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5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6.xml" ContentType="application/vnd.openxmlformats-officedocument.spreadsheetml.comments+xml"/>
  <Override PartName="/xl/drawings/drawing11.xml" ContentType="application/vnd.openxmlformats-officedocument.drawing+xml"/>
  <Override PartName="/xl/comments7.xml" ContentType="application/vnd.openxmlformats-officedocument.spreadsheetml.comments+xml"/>
  <Override PartName="/xl/drawings/drawing12.xml" ContentType="application/vnd.openxmlformats-officedocument.drawing+xml"/>
  <Override PartName="/xl/comments8.xml" ContentType="application/vnd.openxmlformats-officedocument.spreadsheetml.comment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drawings/drawing16.xml" ContentType="application/vnd.openxmlformats-officedocument.drawing+xml"/>
  <Override PartName="/xl/comments11.xml" ContentType="application/vnd.openxmlformats-officedocument.spreadsheetml.comments+xml"/>
  <Override PartName="/xl/drawings/drawing17.xml" ContentType="application/vnd.openxmlformats-officedocument.drawing+xml"/>
  <Override PartName="/xl/comments12.xml" ContentType="application/vnd.openxmlformats-officedocument.spreadsheetml.comments+xml"/>
  <Override PartName="/xl/drawings/drawing18.xml" ContentType="application/vnd.openxmlformats-officedocument.drawing+xml"/>
  <Override PartName="/xl/comments13.xml" ContentType="application/vnd.openxmlformats-officedocument.spreadsheetml.comments+xml"/>
  <Override PartName="/xl/drawings/drawing19.xml" ContentType="application/vnd.openxmlformats-officedocument.drawing+xml"/>
  <Override PartName="/xl/comments14.xml" ContentType="application/vnd.openxmlformats-officedocument.spreadsheetml.comment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2.xml" ContentType="application/vnd.openxmlformats-officedocument.drawing+xml"/>
  <Override PartName="/xl/comments15.xml" ContentType="application/vnd.openxmlformats-officedocument.spreadsheetml.comment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omments1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ThisWorkbook"/>
  <bookViews>
    <workbookView xWindow="-125" yWindow="-125" windowWidth="17230" windowHeight="5084" tabRatio="824" firstSheet="3" activeTab="3"/>
  </bookViews>
  <sheets>
    <sheet name="RINCIAN JENIS RETRIBUSI" sheetId="1" state="hidden" r:id="rId1"/>
    <sheet name="TARGET" sheetId="2" state="hidden" r:id="rId2"/>
    <sheet name="ALL BULAN" sheetId="3" state="hidden" r:id="rId3"/>
    <sheet name="REKAP KOMP" sheetId="33" r:id="rId4"/>
    <sheet name="Sheet4" sheetId="40" r:id="rId5"/>
    <sheet name="rekap perdinas Kua PPAS" sheetId="29" state="hidden" r:id="rId6"/>
    <sheet name="KOM revisi stlh KUA" sheetId="30" state="hidden" r:id="rId7"/>
    <sheet name="Rekap revisi stlh KUA" sheetId="31" state="hidden" r:id="rId8"/>
    <sheet name="Kom Kua PPAS" sheetId="27" state="hidden" r:id="rId9"/>
    <sheet name="Rekap Kua PPAS" sheetId="28" state="hidden" r:id="rId10"/>
    <sheet name="KOM sementara" sheetId="23" state="hidden" r:id="rId11"/>
    <sheet name="rekap sementara" sheetId="24" state="hidden" r:id="rId12"/>
    <sheet name="MAR" sheetId="4" state="hidden" r:id="rId13"/>
    <sheet name="rekap perdinas" sheetId="25" state="hidden" r:id="rId14"/>
    <sheet name="KOM opsi 2" sheetId="16" state="hidden" r:id="rId15"/>
    <sheet name="rekap opsi 2" sheetId="18" state="hidden" r:id="rId16"/>
    <sheet name="KOM opsi 1." sheetId="19" state="hidden" r:id="rId17"/>
    <sheet name="PERBULAN2" sheetId="6" state="hidden" r:id="rId18"/>
    <sheet name="JAN1" sheetId="7" state="hidden" r:id="rId19"/>
    <sheet name="PerDinas" sheetId="8" state="hidden" r:id="rId20"/>
    <sheet name="PerDinas PEBRUARI" sheetId="9" state="hidden" r:id="rId21"/>
    <sheet name="PerDinas (2)" sheetId="10" state="hidden" r:id="rId22"/>
    <sheet name="rekap opsi 1." sheetId="20" state="hidden" r:id="rId23"/>
    <sheet name="Chart" sheetId="21" state="hidden" r:id="rId24"/>
    <sheet name="KOM opsi 1" sheetId="5" state="hidden" r:id="rId25"/>
    <sheet name="REKAPOK" sheetId="11" state="hidden" r:id="rId26"/>
    <sheet name="REKAP" sheetId="12" state="hidden" r:id="rId27"/>
    <sheet name="Rekaf SIMDA" sheetId="13" state="hidden" r:id="rId28"/>
    <sheet name="Sheet1" sheetId="26" state="hidden" r:id="rId29"/>
    <sheet name="Sheet3" sheetId="35" state="hidden" r:id="rId30"/>
    <sheet name="Sheet2" sheetId="36" state="hidden" r:id="rId31"/>
    <sheet name="PER-OPD (2)" sheetId="39" state="hidden" r:id="rId32"/>
  </sheets>
  <externalReferences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</externalReferences>
  <definedNames>
    <definedName name="_xlnm._FilterDatabase" localSheetId="2" hidden="1">'ALL BULAN'!$D$8:$E$789</definedName>
    <definedName name="_xlnm._FilterDatabase" localSheetId="18" hidden="1">'JAN1'!$K$1:$P$1291</definedName>
    <definedName name="_xlnm._FilterDatabase" localSheetId="8" hidden="1">'Kom Kua PPAS'!$L$8:$O$584</definedName>
    <definedName name="_xlnm._FilterDatabase" localSheetId="24" hidden="1">'KOM opsi 1'!$L$9:$O$570</definedName>
    <definedName name="_xlnm._FilterDatabase" localSheetId="16" hidden="1">'KOM opsi 1.'!$L$8:$O$568</definedName>
    <definedName name="_xlnm._FilterDatabase" localSheetId="14" hidden="1">'KOM opsi 2'!$L$8:$O$573</definedName>
    <definedName name="_xlnm._FilterDatabase" localSheetId="6" hidden="1">'KOM revisi stlh KUA'!$L$8:$O$582</definedName>
    <definedName name="_xlnm._FilterDatabase" localSheetId="10" hidden="1">'KOM sementara'!$L$8:$O$582</definedName>
    <definedName name="_xlnm._FilterDatabase" localSheetId="12" hidden="1">MAR!$K$11:$M$792</definedName>
    <definedName name="_xlnm._FilterDatabase" localSheetId="19" hidden="1">PerDinas!$I$1:$O$1100</definedName>
    <definedName name="_xlnm._FilterDatabase" localSheetId="21" hidden="1">'PerDinas (2)'!$L$1:$N$1414</definedName>
    <definedName name="_xlnm._FilterDatabase" localSheetId="20" hidden="1">'PerDinas PEBRUARI'!$L$1:$N$1355</definedName>
    <definedName name="_xlnm._FilterDatabase" localSheetId="31" hidden="1">'PER-OPD (2)'!$D$14:$AA$1069</definedName>
    <definedName name="_xlnm._FilterDatabase" localSheetId="13" hidden="1">'rekap perdinas'!$K$11:$M$845</definedName>
    <definedName name="_xlnm._FilterDatabase" localSheetId="5" hidden="1">'rekap perdinas Kua PPAS'!$K$11:$M$846</definedName>
    <definedName name="_xlnm._FilterDatabase" localSheetId="1" hidden="1">TARGET!$D$1:$D$786</definedName>
    <definedName name="_xlnm.Print_Area" localSheetId="18">'JAN1'!$A$1:$Q$974</definedName>
    <definedName name="_xlnm.Print_Area" localSheetId="8">'Kom Kua PPAS'!$A$1:$R$596</definedName>
    <definedName name="_xlnm.Print_Area" localSheetId="24">'KOM opsi 1'!$A$1:$R$568</definedName>
    <definedName name="_xlnm.Print_Area" localSheetId="16">'KOM opsi 1.'!$A$1:$R$566</definedName>
    <definedName name="_xlnm.Print_Area" localSheetId="14">'KOM opsi 2'!$A$1:$R$571</definedName>
    <definedName name="_xlnm.Print_Area" localSheetId="6">'KOM revisi stlh KUA'!$A$1:$R$597</definedName>
    <definedName name="_xlnm.Print_Area" localSheetId="10">'KOM sementara'!$A$1:$R$597</definedName>
    <definedName name="_xlnm.Print_Area" localSheetId="12">MAR!$G$1:$O$792</definedName>
    <definedName name="_xlnm.Print_Area" localSheetId="19">PerDinas!$A$1:$Q$1100</definedName>
    <definedName name="_xlnm.Print_Area" localSheetId="21">'PerDinas (2)'!$A$1:$Q$1097</definedName>
    <definedName name="_xlnm.Print_Area" localSheetId="20">'PerDinas PEBRUARI'!$A$1:$Q$1038</definedName>
    <definedName name="_xlnm.Print_Area" localSheetId="31">'PER-OPD (2)'!$D$2:$AB$1080</definedName>
    <definedName name="_xlnm.Print_Area" localSheetId="26">REKAP!$A$1:$N$53</definedName>
    <definedName name="_xlnm.Print_Area" localSheetId="3">'REKAP KOMP'!$A$1:$O$10</definedName>
    <definedName name="_xlnm.Print_Area" localSheetId="9">'Rekap Kua PPAS'!$A$1:$R$80</definedName>
    <definedName name="_xlnm.Print_Area" localSheetId="22">'rekap opsi 1.'!$A$1:$R$74</definedName>
    <definedName name="_xlnm.Print_Area" localSheetId="15">'rekap opsi 2'!$A$1:$R$74</definedName>
    <definedName name="_xlnm.Print_Area" localSheetId="13">'rekap perdinas'!$G$1:$P$845</definedName>
    <definedName name="_xlnm.Print_Area" localSheetId="5">'rekap perdinas Kua PPAS'!$A$1:$P$846</definedName>
    <definedName name="_xlnm.Print_Area" localSheetId="7">'Rekap revisi stlh KUA'!$A$1:$R$78</definedName>
    <definedName name="_xlnm.Print_Area" localSheetId="11">'rekap sementara'!$A$1:$R$78</definedName>
    <definedName name="_xlnm.Print_Area" localSheetId="25">REKAPOK!$A$1:$R$74</definedName>
    <definedName name="_xlnm.Print_Area" localSheetId="0">'RINCIAN JENIS RETRIBUSI'!$A$1:$H$36</definedName>
    <definedName name="_xlnm.Print_Area" localSheetId="1">TARGET!$A$1:$E$784</definedName>
    <definedName name="_xlnm.Print_Titles" localSheetId="2">'ALL BULAN'!$5:$5</definedName>
    <definedName name="_xlnm.Print_Titles" localSheetId="18">'JAN1'!$5:$6</definedName>
    <definedName name="_xlnm.Print_Titles" localSheetId="8">'Kom Kua PPAS'!$5:$7</definedName>
    <definedName name="_xlnm.Print_Titles" localSheetId="24">'KOM opsi 1'!$5:$8</definedName>
    <definedName name="_xlnm.Print_Titles" localSheetId="16">'KOM opsi 1.'!$5:$7</definedName>
    <definedName name="_xlnm.Print_Titles" localSheetId="14">'KOM opsi 2'!$5:$7</definedName>
    <definedName name="_xlnm.Print_Titles" localSheetId="6">'KOM revisi stlh KUA'!$5:$7</definedName>
    <definedName name="_xlnm.Print_Titles" localSheetId="10">'KOM sementara'!$5:$7</definedName>
    <definedName name="_xlnm.Print_Titles" localSheetId="12">MAR!$4:$5</definedName>
    <definedName name="_xlnm.Print_Titles" localSheetId="19">PerDinas!$5:$7</definedName>
    <definedName name="_xlnm.Print_Titles" localSheetId="21">'PerDinas (2)'!$5:$7</definedName>
    <definedName name="_xlnm.Print_Titles" localSheetId="20">'PerDinas PEBRUARI'!$5:$7</definedName>
    <definedName name="_xlnm.Print_Titles" localSheetId="31">'PER-OPD (2)'!$6:$9</definedName>
    <definedName name="_xlnm.Print_Titles" localSheetId="3">'REKAP KOMP'!$4:$5</definedName>
    <definedName name="_xlnm.Print_Titles" localSheetId="9">'Rekap Kua PPAS'!$6:$7</definedName>
    <definedName name="_xlnm.Print_Titles" localSheetId="22">'rekap opsi 1.'!$4:$5</definedName>
    <definedName name="_xlnm.Print_Titles" localSheetId="15">'rekap opsi 2'!$4:$5</definedName>
    <definedName name="_xlnm.Print_Titles" localSheetId="13">'rekap perdinas'!$4:$5</definedName>
    <definedName name="_xlnm.Print_Titles" localSheetId="5">'rekap perdinas Kua PPAS'!$4:$5</definedName>
    <definedName name="_xlnm.Print_Titles" localSheetId="7">'Rekap revisi stlh KUA'!$4:$5</definedName>
    <definedName name="_xlnm.Print_Titles" localSheetId="11">'rekap sementara'!$4:$5</definedName>
    <definedName name="_xlnm.Print_Titles" localSheetId="25">REKAPOK!$4:$5</definedName>
    <definedName name="_xlnm.Print_Titles" localSheetId="0">'RINCIAN JENIS RETRIBUSI'!$1:$1</definedName>
    <definedName name="_xlnm.Print_Titles" localSheetId="1">TARGET!$5:$5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8" i="33" l="1"/>
  <c r="F8" i="33"/>
  <c r="F7" i="33" s="1"/>
  <c r="H8" i="33"/>
  <c r="I8" i="33"/>
  <c r="K8" i="33" s="1"/>
  <c r="L8" i="33"/>
  <c r="L7" i="33" s="1"/>
  <c r="E9" i="33"/>
  <c r="F9" i="33"/>
  <c r="H9" i="33"/>
  <c r="I9" i="33"/>
  <c r="J9" i="33" s="1"/>
  <c r="L9" i="33"/>
  <c r="E7" i="33" l="1"/>
  <c r="H7" i="33"/>
  <c r="J8" i="33"/>
  <c r="K9" i="33"/>
  <c r="I7" i="33"/>
  <c r="J7" i="33" l="1"/>
  <c r="K7" i="33"/>
  <c r="X626" i="39" l="1"/>
  <c r="AB626" i="39" s="1"/>
  <c r="V376" i="39"/>
  <c r="W376" i="39"/>
  <c r="AF376" i="39"/>
  <c r="AF1067" i="39"/>
  <c r="AB1067" i="39"/>
  <c r="AA1067" i="39"/>
  <c r="W1067" i="39"/>
  <c r="Y1067" i="39" s="1"/>
  <c r="V1067" i="39"/>
  <c r="R1067" i="39"/>
  <c r="T1067" i="39" s="1"/>
  <c r="Q1067" i="39"/>
  <c r="O1067" i="39"/>
  <c r="X1066" i="39"/>
  <c r="AB1066" i="39" s="1"/>
  <c r="W1066" i="39"/>
  <c r="V1066" i="39"/>
  <c r="N1066" i="39"/>
  <c r="W1065" i="39"/>
  <c r="V1065" i="39"/>
  <c r="W1064" i="39"/>
  <c r="V1064" i="39"/>
  <c r="AF1056" i="39"/>
  <c r="AA1056" i="39"/>
  <c r="W1056" i="39"/>
  <c r="Y1056" i="39" s="1"/>
  <c r="V1056" i="39"/>
  <c r="R1056" i="39"/>
  <c r="T1056" i="39" s="1"/>
  <c r="Q1056" i="39"/>
  <c r="O1056" i="39"/>
  <c r="AF1055" i="39"/>
  <c r="AB1055" i="39"/>
  <c r="AA1055" i="39"/>
  <c r="W1055" i="39"/>
  <c r="Y1055" i="39" s="1"/>
  <c r="V1055" i="39"/>
  <c r="R1055" i="39"/>
  <c r="T1055" i="39" s="1"/>
  <c r="Q1055" i="39"/>
  <c r="O1055" i="39"/>
  <c r="AF1054" i="39"/>
  <c r="AB1054" i="39"/>
  <c r="AA1054" i="39"/>
  <c r="W1054" i="39"/>
  <c r="Y1054" i="39" s="1"/>
  <c r="V1054" i="39"/>
  <c r="N1054" i="39"/>
  <c r="AF1053" i="39"/>
  <c r="AB1053" i="39"/>
  <c r="AA1053" i="39"/>
  <c r="W1053" i="39"/>
  <c r="Y1053" i="39" s="1"/>
  <c r="V1053" i="39"/>
  <c r="AF1052" i="39"/>
  <c r="AB1052" i="39"/>
  <c r="AA1052" i="39"/>
  <c r="W1052" i="39"/>
  <c r="Y1052" i="39" s="1"/>
  <c r="V1052" i="39"/>
  <c r="AF1051" i="39"/>
  <c r="AG1051" i="39" s="1"/>
  <c r="Y1051" i="39"/>
  <c r="R1051" i="39"/>
  <c r="T1051" i="39" s="1"/>
  <c r="Q1051" i="39"/>
  <c r="O1051" i="39"/>
  <c r="AF1050" i="39"/>
  <c r="AA1050" i="39"/>
  <c r="Y1050" i="39"/>
  <c r="V1050" i="39"/>
  <c r="R1050" i="39"/>
  <c r="T1050" i="39" s="1"/>
  <c r="Q1050" i="39"/>
  <c r="O1050" i="39"/>
  <c r="AF1049" i="39"/>
  <c r="AA1049" i="39"/>
  <c r="Y1049" i="39"/>
  <c r="V1049" i="39"/>
  <c r="N1049" i="39"/>
  <c r="AF1048" i="39"/>
  <c r="AA1048" i="39"/>
  <c r="Y1048" i="39"/>
  <c r="V1048" i="39"/>
  <c r="AF1047" i="39"/>
  <c r="AG1047" i="39" s="1"/>
  <c r="Y1047" i="39"/>
  <c r="R1047" i="39"/>
  <c r="T1047" i="39" s="1"/>
  <c r="Q1047" i="39"/>
  <c r="O1047" i="39"/>
  <c r="AF1046" i="39"/>
  <c r="AB1046" i="39"/>
  <c r="AA1046" i="39"/>
  <c r="W1046" i="39"/>
  <c r="Y1046" i="39" s="1"/>
  <c r="V1046" i="39"/>
  <c r="R1046" i="39"/>
  <c r="T1046" i="39" s="1"/>
  <c r="Q1046" i="39"/>
  <c r="O1046" i="39"/>
  <c r="Z1045" i="39"/>
  <c r="Z1044" i="39"/>
  <c r="Z1042" i="39" s="1"/>
  <c r="Z1040" i="39" s="1"/>
  <c r="X1045" i="39"/>
  <c r="U1045" i="39"/>
  <c r="U1044" i="39" s="1"/>
  <c r="U1042" i="39" s="1"/>
  <c r="U1040" i="39" s="1"/>
  <c r="S1045" i="39"/>
  <c r="S1044" i="39" s="1"/>
  <c r="P1045" i="39"/>
  <c r="N1045" i="39"/>
  <c r="AF1043" i="39"/>
  <c r="V1043" i="39"/>
  <c r="AA1043" i="39"/>
  <c r="AF1041" i="39"/>
  <c r="AG1041" i="39" s="1"/>
  <c r="AF1039" i="39"/>
  <c r="AG1039" i="39" s="1"/>
  <c r="W1039" i="39"/>
  <c r="AF1038" i="39"/>
  <c r="AG1038" i="39" s="1"/>
  <c r="AA1038" i="39"/>
  <c r="W1038" i="39"/>
  <c r="Y1038" i="39" s="1"/>
  <c r="V1038" i="39"/>
  <c r="R1038" i="39"/>
  <c r="T1038" i="39" s="1"/>
  <c r="Q1038" i="39"/>
  <c r="O1038" i="39"/>
  <c r="Z1037" i="39"/>
  <c r="Z1036" i="39" s="1"/>
  <c r="X1037" i="39"/>
  <c r="X1036" i="39" s="1"/>
  <c r="U1037" i="39"/>
  <c r="U1036" i="39" s="1"/>
  <c r="S1037" i="39"/>
  <c r="P1037" i="39"/>
  <c r="N1037" i="39"/>
  <c r="O1037" i="39" s="1"/>
  <c r="AF1035" i="39"/>
  <c r="AA1035" i="39"/>
  <c r="W1035" i="39"/>
  <c r="Y1035" i="39" s="1"/>
  <c r="V1035" i="39"/>
  <c r="R1035" i="39"/>
  <c r="T1035" i="39" s="1"/>
  <c r="Q1035" i="39"/>
  <c r="O1035" i="39"/>
  <c r="AF1034" i="39"/>
  <c r="AA1034" i="39"/>
  <c r="W1034" i="39"/>
  <c r="Y1034" i="39" s="1"/>
  <c r="V1034" i="39"/>
  <c r="R1034" i="39"/>
  <c r="T1034" i="39" s="1"/>
  <c r="Q1034" i="39"/>
  <c r="O1034" i="39"/>
  <c r="Z1033" i="39"/>
  <c r="Z1032" i="39" s="1"/>
  <c r="X1033" i="39"/>
  <c r="U1033" i="39"/>
  <c r="U1032" i="39" s="1"/>
  <c r="S1033" i="39"/>
  <c r="P1033" i="39"/>
  <c r="N1033" i="39"/>
  <c r="O1033" i="39" s="1"/>
  <c r="AF1031" i="39"/>
  <c r="AG1031" i="39" s="1"/>
  <c r="AF1030" i="39"/>
  <c r="AA1030" i="39"/>
  <c r="Y1030" i="39"/>
  <c r="V1030" i="39"/>
  <c r="T1030" i="39"/>
  <c r="Q1030" i="39"/>
  <c r="O1030" i="39"/>
  <c r="Z1029" i="39"/>
  <c r="X1029" i="39"/>
  <c r="Y1029" i="39" s="1"/>
  <c r="U1029" i="39"/>
  <c r="S1029" i="39"/>
  <c r="T1029" i="39" s="1"/>
  <c r="P1029" i="39"/>
  <c r="N1029" i="39"/>
  <c r="O1029" i="39" s="1"/>
  <c r="AF1028" i="39"/>
  <c r="AG1028" i="39" s="1"/>
  <c r="AF1027" i="39"/>
  <c r="AB1027" i="39"/>
  <c r="AA1027" i="39"/>
  <c r="W1027" i="39"/>
  <c r="Y1027" i="39" s="1"/>
  <c r="V1027" i="39"/>
  <c r="R1027" i="39"/>
  <c r="T1027" i="39" s="1"/>
  <c r="Q1027" i="39"/>
  <c r="O1027" i="39"/>
  <c r="AF1026" i="39"/>
  <c r="AB1026" i="39"/>
  <c r="AA1026" i="39"/>
  <c r="W1026" i="39"/>
  <c r="Y1026" i="39" s="1"/>
  <c r="V1026" i="39"/>
  <c r="R1026" i="39"/>
  <c r="T1026" i="39" s="1"/>
  <c r="Q1026" i="39"/>
  <c r="O1026" i="39"/>
  <c r="AF1025" i="39"/>
  <c r="AA1025" i="39"/>
  <c r="Y1025" i="39"/>
  <c r="V1025" i="39"/>
  <c r="AG1025" i="39" s="1"/>
  <c r="T1025" i="39"/>
  <c r="Q1025" i="39"/>
  <c r="O1025" i="39"/>
  <c r="AF1024" i="39"/>
  <c r="AB1024" i="39"/>
  <c r="AA1024" i="39"/>
  <c r="W1024" i="39"/>
  <c r="Y1024" i="39" s="1"/>
  <c r="V1024" i="39"/>
  <c r="R1024" i="39"/>
  <c r="T1024" i="39" s="1"/>
  <c r="Q1024" i="39"/>
  <c r="O1024" i="39"/>
  <c r="AF1023" i="39"/>
  <c r="AB1023" i="39"/>
  <c r="AA1023" i="39"/>
  <c r="W1023" i="39"/>
  <c r="Y1023" i="39" s="1"/>
  <c r="V1023" i="39"/>
  <c r="R1023" i="39"/>
  <c r="T1023" i="39" s="1"/>
  <c r="Q1023" i="39"/>
  <c r="O1023" i="39"/>
  <c r="AF1022" i="39"/>
  <c r="AB1022" i="39"/>
  <c r="AA1022" i="39"/>
  <c r="W1022" i="39"/>
  <c r="Y1022" i="39" s="1"/>
  <c r="V1022" i="39"/>
  <c r="R1022" i="39"/>
  <c r="T1022" i="39" s="1"/>
  <c r="Q1022" i="39"/>
  <c r="O1022" i="39"/>
  <c r="AF1021" i="39"/>
  <c r="AB1021" i="39"/>
  <c r="AA1021" i="39"/>
  <c r="W1021" i="39"/>
  <c r="Y1021" i="39" s="1"/>
  <c r="V1021" i="39"/>
  <c r="R1021" i="39"/>
  <c r="T1021" i="39" s="1"/>
  <c r="Q1021" i="39"/>
  <c r="O1021" i="39"/>
  <c r="Z1020" i="39"/>
  <c r="X1020" i="39"/>
  <c r="U1020" i="39"/>
  <c r="S1020" i="39"/>
  <c r="P1020" i="39"/>
  <c r="N1020" i="39"/>
  <c r="AF1019" i="39"/>
  <c r="AG1019" i="39" s="1"/>
  <c r="AF1018" i="39"/>
  <c r="AA1018" i="39"/>
  <c r="Y1018" i="39"/>
  <c r="V1018" i="39"/>
  <c r="AG1018" i="39" s="1"/>
  <c r="T1018" i="39"/>
  <c r="Q1018" i="39"/>
  <c r="O1018" i="39"/>
  <c r="AF1017" i="39"/>
  <c r="AA1017" i="39"/>
  <c r="Y1017" i="39"/>
  <c r="V1017" i="39"/>
  <c r="T1017" i="39"/>
  <c r="Q1017" i="39"/>
  <c r="O1017" i="39"/>
  <c r="AF1016" i="39"/>
  <c r="AB1016" i="39"/>
  <c r="AA1016" i="39"/>
  <c r="W1016" i="39"/>
  <c r="Y1016" i="39" s="1"/>
  <c r="V1016" i="39"/>
  <c r="AG1016" i="39" s="1"/>
  <c r="R1016" i="39"/>
  <c r="T1016" i="39" s="1"/>
  <c r="Q1016" i="39"/>
  <c r="O1016" i="39"/>
  <c r="AF1015" i="39"/>
  <c r="AA1015" i="39"/>
  <c r="Y1015" i="39"/>
  <c r="V1015" i="39"/>
  <c r="T1015" i="39"/>
  <c r="Q1015" i="39"/>
  <c r="O1015" i="39"/>
  <c r="AF1014" i="39"/>
  <c r="AB1014" i="39"/>
  <c r="AA1014" i="39"/>
  <c r="W1014" i="39"/>
  <c r="Y1014" i="39" s="1"/>
  <c r="V1014" i="39"/>
  <c r="R1014" i="39"/>
  <c r="T1014" i="39" s="1"/>
  <c r="Q1014" i="39"/>
  <c r="O1014" i="39"/>
  <c r="AF1013" i="39"/>
  <c r="AB1013" i="39"/>
  <c r="AA1013" i="39"/>
  <c r="W1013" i="39"/>
  <c r="Y1013" i="39" s="1"/>
  <c r="V1013" i="39"/>
  <c r="R1013" i="39"/>
  <c r="T1013" i="39" s="1"/>
  <c r="Q1013" i="39"/>
  <c r="O1013" i="39"/>
  <c r="AF1012" i="39"/>
  <c r="AB1012" i="39"/>
  <c r="AA1012" i="39"/>
  <c r="W1012" i="39"/>
  <c r="Y1012" i="39" s="1"/>
  <c r="V1012" i="39"/>
  <c r="R1012" i="39"/>
  <c r="T1012" i="39" s="1"/>
  <c r="Q1012" i="39"/>
  <c r="O1012" i="39"/>
  <c r="AF1011" i="39"/>
  <c r="AB1011" i="39"/>
  <c r="AA1011" i="39"/>
  <c r="W1011" i="39"/>
  <c r="Y1011" i="39" s="1"/>
  <c r="V1011" i="39"/>
  <c r="R1011" i="39"/>
  <c r="T1011" i="39" s="1"/>
  <c r="Q1011" i="39"/>
  <c r="O1011" i="39"/>
  <c r="AF1010" i="39"/>
  <c r="AB1010" i="39"/>
  <c r="AA1010" i="39"/>
  <c r="W1010" i="39"/>
  <c r="Y1010" i="39" s="1"/>
  <c r="V1010" i="39"/>
  <c r="R1010" i="39"/>
  <c r="T1010" i="39" s="1"/>
  <c r="Q1010" i="39"/>
  <c r="O1010" i="39"/>
  <c r="Z1009" i="39"/>
  <c r="X1009" i="39"/>
  <c r="U1009" i="39"/>
  <c r="S1009" i="39"/>
  <c r="P1009" i="39"/>
  <c r="N1009" i="39"/>
  <c r="AF1006" i="39"/>
  <c r="AG1006" i="39" s="1"/>
  <c r="AF1004" i="39"/>
  <c r="AG1004" i="39" s="1"/>
  <c r="Y1004" i="39"/>
  <c r="T1004" i="39"/>
  <c r="O1004" i="39"/>
  <c r="AF1002" i="39"/>
  <c r="AB1002" i="39"/>
  <c r="AA1002" i="39"/>
  <c r="W1002" i="39"/>
  <c r="Y1002" i="39" s="1"/>
  <c r="V1002" i="39"/>
  <c r="R1002" i="39"/>
  <c r="T1002" i="39" s="1"/>
  <c r="Q1002" i="39"/>
  <c r="O1002" i="39"/>
  <c r="AF1001" i="39"/>
  <c r="AB1001" i="39"/>
  <c r="AA1001" i="39"/>
  <c r="W1001" i="39"/>
  <c r="Y1001" i="39" s="1"/>
  <c r="V1001" i="39"/>
  <c r="R1001" i="39"/>
  <c r="T1001" i="39" s="1"/>
  <c r="Q1001" i="39"/>
  <c r="O1001" i="39"/>
  <c r="AF1000" i="39"/>
  <c r="AB1000" i="39"/>
  <c r="AA1000" i="39"/>
  <c r="W1000" i="39"/>
  <c r="Y1000" i="39" s="1"/>
  <c r="V1000" i="39"/>
  <c r="N1000" i="39"/>
  <c r="AF999" i="39"/>
  <c r="AB999" i="39"/>
  <c r="AA999" i="39"/>
  <c r="W999" i="39"/>
  <c r="Y999" i="39" s="1"/>
  <c r="V999" i="39"/>
  <c r="AF998" i="39"/>
  <c r="AB998" i="39"/>
  <c r="AA998" i="39"/>
  <c r="W998" i="39"/>
  <c r="Y998" i="39" s="1"/>
  <c r="V998" i="39"/>
  <c r="R998" i="39"/>
  <c r="T998" i="39" s="1"/>
  <c r="Q998" i="39"/>
  <c r="O998" i="39"/>
  <c r="AF997" i="39"/>
  <c r="AB997" i="39"/>
  <c r="AA997" i="39"/>
  <c r="W997" i="39"/>
  <c r="Y997" i="39" s="1"/>
  <c r="V997" i="39"/>
  <c r="AG997" i="39" s="1"/>
  <c r="R997" i="39"/>
  <c r="T997" i="39" s="1"/>
  <c r="Q997" i="39"/>
  <c r="O997" i="39"/>
  <c r="AF996" i="39"/>
  <c r="AB996" i="39"/>
  <c r="AA996" i="39"/>
  <c r="W996" i="39"/>
  <c r="Y996" i="39" s="1"/>
  <c r="V996" i="39"/>
  <c r="R996" i="39"/>
  <c r="T996" i="39" s="1"/>
  <c r="Q996" i="39"/>
  <c r="O996" i="39"/>
  <c r="AF995" i="39"/>
  <c r="AB995" i="39"/>
  <c r="AA995" i="39"/>
  <c r="W995" i="39"/>
  <c r="Y995" i="39" s="1"/>
  <c r="V995" i="39"/>
  <c r="AF994" i="39"/>
  <c r="AB994" i="39"/>
  <c r="AA994" i="39"/>
  <c r="W994" i="39"/>
  <c r="Y994" i="39" s="1"/>
  <c r="V994" i="39"/>
  <c r="R994" i="39"/>
  <c r="T994" i="39" s="1"/>
  <c r="Q994" i="39"/>
  <c r="O994" i="39"/>
  <c r="AF993" i="39"/>
  <c r="AB993" i="39"/>
  <c r="AA993" i="39"/>
  <c r="W993" i="39"/>
  <c r="Y993" i="39" s="1"/>
  <c r="V993" i="39"/>
  <c r="R993" i="39"/>
  <c r="T993" i="39" s="1"/>
  <c r="Q993" i="39"/>
  <c r="O993" i="39"/>
  <c r="AF992" i="39"/>
  <c r="AB992" i="39"/>
  <c r="AA992" i="39"/>
  <c r="W992" i="39"/>
  <c r="Y992" i="39" s="1"/>
  <c r="V992" i="39"/>
  <c r="R992" i="39"/>
  <c r="T992" i="39" s="1"/>
  <c r="Q992" i="39"/>
  <c r="O992" i="39"/>
  <c r="AF991" i="39"/>
  <c r="AB991" i="39"/>
  <c r="AA991" i="39"/>
  <c r="W991" i="39"/>
  <c r="Y991" i="39" s="1"/>
  <c r="V991" i="39"/>
  <c r="R991" i="39"/>
  <c r="T991" i="39" s="1"/>
  <c r="Q991" i="39"/>
  <c r="O991" i="39"/>
  <c r="AF990" i="39"/>
  <c r="AB990" i="39"/>
  <c r="AA990" i="39"/>
  <c r="W990" i="39"/>
  <c r="Y990" i="39" s="1"/>
  <c r="V990" i="39"/>
  <c r="R990" i="39"/>
  <c r="T990" i="39" s="1"/>
  <c r="Q990" i="39"/>
  <c r="O990" i="39"/>
  <c r="AF989" i="39"/>
  <c r="AB989" i="39"/>
  <c r="AA989" i="39"/>
  <c r="W989" i="39"/>
  <c r="Y989" i="39" s="1"/>
  <c r="V989" i="39"/>
  <c r="R989" i="39"/>
  <c r="T989" i="39" s="1"/>
  <c r="Q989" i="39"/>
  <c r="O989" i="39"/>
  <c r="AF988" i="39"/>
  <c r="AB988" i="39"/>
  <c r="AA988" i="39"/>
  <c r="W988" i="39"/>
  <c r="Y988" i="39" s="1"/>
  <c r="V988" i="39"/>
  <c r="R988" i="39"/>
  <c r="T988" i="39" s="1"/>
  <c r="Q988" i="39"/>
  <c r="O988" i="39"/>
  <c r="AF987" i="39"/>
  <c r="AB987" i="39"/>
  <c r="AA987" i="39"/>
  <c r="W987" i="39"/>
  <c r="Y987" i="39" s="1"/>
  <c r="V987" i="39"/>
  <c r="R987" i="39"/>
  <c r="T987" i="39" s="1"/>
  <c r="Q987" i="39"/>
  <c r="O987" i="39"/>
  <c r="AF986" i="39"/>
  <c r="AB986" i="39"/>
  <c r="AA986" i="39"/>
  <c r="W986" i="39"/>
  <c r="Y986" i="39" s="1"/>
  <c r="V986" i="39"/>
  <c r="AF985" i="39"/>
  <c r="AG985" i="39" s="1"/>
  <c r="AF984" i="39"/>
  <c r="AA984" i="39"/>
  <c r="Y984" i="39"/>
  <c r="V984" i="39"/>
  <c r="T984" i="39"/>
  <c r="AF983" i="39"/>
  <c r="AG983" i="39" s="1"/>
  <c r="AB983" i="39"/>
  <c r="AA983" i="39"/>
  <c r="W983" i="39"/>
  <c r="Y983" i="39" s="1"/>
  <c r="R983" i="39"/>
  <c r="T983" i="39" s="1"/>
  <c r="Q983" i="39"/>
  <c r="O983" i="39"/>
  <c r="AF982" i="39"/>
  <c r="AB982" i="39"/>
  <c r="AA982" i="39"/>
  <c r="W982" i="39"/>
  <c r="Y982" i="39" s="1"/>
  <c r="V982" i="39"/>
  <c r="R982" i="39"/>
  <c r="T982" i="39" s="1"/>
  <c r="Q982" i="39"/>
  <c r="O982" i="39"/>
  <c r="AF981" i="39"/>
  <c r="AB981" i="39"/>
  <c r="AA981" i="39"/>
  <c r="W981" i="39"/>
  <c r="Y981" i="39" s="1"/>
  <c r="V981" i="39"/>
  <c r="R981" i="39"/>
  <c r="T981" i="39" s="1"/>
  <c r="Q981" i="39"/>
  <c r="O981" i="39"/>
  <c r="AF980" i="39"/>
  <c r="AB980" i="39"/>
  <c r="AA980" i="39"/>
  <c r="W980" i="39"/>
  <c r="Y980" i="39" s="1"/>
  <c r="V980" i="39"/>
  <c r="N980" i="39"/>
  <c r="AF979" i="39"/>
  <c r="AB979" i="39"/>
  <c r="AA979" i="39"/>
  <c r="W979" i="39"/>
  <c r="Y979" i="39" s="1"/>
  <c r="V979" i="39"/>
  <c r="AF978" i="39"/>
  <c r="AB978" i="39"/>
  <c r="AA978" i="39"/>
  <c r="W978" i="39"/>
  <c r="Y978" i="39" s="1"/>
  <c r="V978" i="39"/>
  <c r="R978" i="39"/>
  <c r="T978" i="39" s="1"/>
  <c r="Q978" i="39"/>
  <c r="O978" i="39"/>
  <c r="AF977" i="39"/>
  <c r="AB977" i="39"/>
  <c r="AA977" i="39"/>
  <c r="W977" i="39"/>
  <c r="Y977" i="39"/>
  <c r="V977" i="39"/>
  <c r="R977" i="39"/>
  <c r="T977" i="39" s="1"/>
  <c r="Q977" i="39"/>
  <c r="O977" i="39"/>
  <c r="AF976" i="39"/>
  <c r="AB976" i="39"/>
  <c r="AA976" i="39"/>
  <c r="W976" i="39"/>
  <c r="Y976" i="39" s="1"/>
  <c r="V976" i="39"/>
  <c r="R976" i="39"/>
  <c r="T976" i="39" s="1"/>
  <c r="Q976" i="39"/>
  <c r="O976" i="39"/>
  <c r="AF975" i="39"/>
  <c r="AB975" i="39"/>
  <c r="AA975" i="39"/>
  <c r="W975" i="39"/>
  <c r="Y975" i="39" s="1"/>
  <c r="V975" i="39"/>
  <c r="AF974" i="39"/>
  <c r="AB974" i="39"/>
  <c r="AA974" i="39"/>
  <c r="W974" i="39"/>
  <c r="Y974" i="39" s="1"/>
  <c r="V974" i="39"/>
  <c r="R974" i="39"/>
  <c r="T974" i="39" s="1"/>
  <c r="Q974" i="39"/>
  <c r="O974" i="39"/>
  <c r="AF973" i="39"/>
  <c r="AB973" i="39"/>
  <c r="AA973" i="39"/>
  <c r="W973" i="39"/>
  <c r="Y973" i="39" s="1"/>
  <c r="V973" i="39"/>
  <c r="R973" i="39"/>
  <c r="T973" i="39" s="1"/>
  <c r="Q973" i="39"/>
  <c r="O973" i="39"/>
  <c r="AF972" i="39"/>
  <c r="AB972" i="39"/>
  <c r="AA972" i="39"/>
  <c r="W972" i="39"/>
  <c r="Y972" i="39" s="1"/>
  <c r="V972" i="39"/>
  <c r="R972" i="39"/>
  <c r="T972" i="39" s="1"/>
  <c r="Q972" i="39"/>
  <c r="O972" i="39"/>
  <c r="AF971" i="39"/>
  <c r="AB971" i="39"/>
  <c r="AA971" i="39"/>
  <c r="W971" i="39"/>
  <c r="Y971" i="39" s="1"/>
  <c r="V971" i="39"/>
  <c r="R971" i="39"/>
  <c r="T971" i="39" s="1"/>
  <c r="Q971" i="39"/>
  <c r="O971" i="39"/>
  <c r="AF970" i="39"/>
  <c r="AG970" i="39" s="1"/>
  <c r="AB970" i="39"/>
  <c r="AA970" i="39"/>
  <c r="W970" i="39"/>
  <c r="Y970" i="39"/>
  <c r="V970" i="39"/>
  <c r="R970" i="39"/>
  <c r="T970" i="39" s="1"/>
  <c r="Q970" i="39"/>
  <c r="O970" i="39"/>
  <c r="AF969" i="39"/>
  <c r="AB969" i="39"/>
  <c r="AA969" i="39"/>
  <c r="W969" i="39"/>
  <c r="Y969" i="39" s="1"/>
  <c r="V969" i="39"/>
  <c r="AF968" i="39"/>
  <c r="AG968" i="39" s="1"/>
  <c r="AF967" i="39"/>
  <c r="AA967" i="39"/>
  <c r="Y967" i="39"/>
  <c r="V967" i="39"/>
  <c r="T967" i="39"/>
  <c r="AF966" i="39"/>
  <c r="AG966" i="39" s="1"/>
  <c r="AB966" i="39"/>
  <c r="AA966" i="39"/>
  <c r="W966" i="39"/>
  <c r="AF965" i="39"/>
  <c r="AB965" i="39"/>
  <c r="AA965" i="39"/>
  <c r="W965" i="39"/>
  <c r="Y965" i="39" s="1"/>
  <c r="V965" i="39"/>
  <c r="R965" i="39"/>
  <c r="T965" i="39" s="1"/>
  <c r="Q965" i="39"/>
  <c r="O965" i="39"/>
  <c r="AF964" i="39"/>
  <c r="AB964" i="39"/>
  <c r="AA964" i="39"/>
  <c r="W964" i="39"/>
  <c r="Y964" i="39" s="1"/>
  <c r="V964" i="39"/>
  <c r="R964" i="39"/>
  <c r="T964" i="39" s="1"/>
  <c r="Q964" i="39"/>
  <c r="O964" i="39"/>
  <c r="AF963" i="39"/>
  <c r="AB963" i="39"/>
  <c r="AA963" i="39"/>
  <c r="W963" i="39"/>
  <c r="Y963" i="39" s="1"/>
  <c r="V963" i="39"/>
  <c r="N963" i="39"/>
  <c r="Q963" i="39" s="1"/>
  <c r="AF962" i="39"/>
  <c r="AB962" i="39"/>
  <c r="AA962" i="39"/>
  <c r="W962" i="39"/>
  <c r="Y962" i="39" s="1"/>
  <c r="V962" i="39"/>
  <c r="AF961" i="39"/>
  <c r="AB961" i="39"/>
  <c r="AA961" i="39"/>
  <c r="W961" i="39"/>
  <c r="Y961" i="39" s="1"/>
  <c r="V961" i="39"/>
  <c r="AF960" i="39"/>
  <c r="AB960" i="39"/>
  <c r="AA960" i="39"/>
  <c r="W960" i="39"/>
  <c r="Y960" i="39" s="1"/>
  <c r="V960" i="39"/>
  <c r="T960" i="39"/>
  <c r="Q960" i="39"/>
  <c r="O960" i="39"/>
  <c r="AF959" i="39"/>
  <c r="AB959" i="39"/>
  <c r="AA959" i="39"/>
  <c r="W959" i="39"/>
  <c r="Y959" i="39" s="1"/>
  <c r="V959" i="39"/>
  <c r="AF958" i="39"/>
  <c r="AG958" i="39" s="1"/>
  <c r="AF957" i="39"/>
  <c r="AA957" i="39"/>
  <c r="Y957" i="39"/>
  <c r="V957" i="39"/>
  <c r="AF956" i="39"/>
  <c r="AB956" i="39"/>
  <c r="AA956" i="39"/>
  <c r="W956" i="39"/>
  <c r="Y956" i="39" s="1"/>
  <c r="V956" i="39"/>
  <c r="T956" i="39"/>
  <c r="O956" i="39"/>
  <c r="AF955" i="39"/>
  <c r="AB955" i="39"/>
  <c r="AA955" i="39"/>
  <c r="W955" i="39"/>
  <c r="Y955" i="39" s="1"/>
  <c r="V955" i="39"/>
  <c r="R955" i="39"/>
  <c r="T955" i="39" s="1"/>
  <c r="Q955" i="39"/>
  <c r="O955" i="39"/>
  <c r="AF954" i="39"/>
  <c r="AB954" i="39"/>
  <c r="AA954" i="39"/>
  <c r="W954" i="39"/>
  <c r="Y954" i="39" s="1"/>
  <c r="V954" i="39"/>
  <c r="N954" i="39"/>
  <c r="Q954" i="39" s="1"/>
  <c r="AF953" i="39"/>
  <c r="AB953" i="39"/>
  <c r="AA953" i="39"/>
  <c r="W953" i="39"/>
  <c r="Y953" i="39" s="1"/>
  <c r="V953" i="39"/>
  <c r="AF952" i="39"/>
  <c r="AB952" i="39"/>
  <c r="AA952" i="39"/>
  <c r="W952" i="39"/>
  <c r="Y952" i="39" s="1"/>
  <c r="V952" i="39"/>
  <c r="AF951" i="39"/>
  <c r="AG951" i="39" s="1"/>
  <c r="Q951" i="39"/>
  <c r="AF950" i="39"/>
  <c r="AA950" i="39"/>
  <c r="Y950" i="39"/>
  <c r="V950" i="39"/>
  <c r="T950" i="39"/>
  <c r="Q950" i="39"/>
  <c r="O950" i="39"/>
  <c r="AF949" i="39"/>
  <c r="AA949" i="39"/>
  <c r="W949" i="39"/>
  <c r="Y949" i="39" s="1"/>
  <c r="V949" i="39"/>
  <c r="R949" i="39"/>
  <c r="T949" i="39" s="1"/>
  <c r="Q949" i="39"/>
  <c r="O949" i="39"/>
  <c r="AF948" i="39"/>
  <c r="AB948" i="39"/>
  <c r="AA948" i="39"/>
  <c r="W948" i="39"/>
  <c r="Y948" i="39" s="1"/>
  <c r="V948" i="39"/>
  <c r="R948" i="39"/>
  <c r="T948" i="39" s="1"/>
  <c r="Q948" i="39"/>
  <c r="O948" i="39"/>
  <c r="AF947" i="39"/>
  <c r="AB947" i="39"/>
  <c r="AA947" i="39"/>
  <c r="W947" i="39"/>
  <c r="Y947" i="39" s="1"/>
  <c r="V947" i="39"/>
  <c r="R947" i="39"/>
  <c r="T947" i="39" s="1"/>
  <c r="Q947" i="39"/>
  <c r="O947" i="39"/>
  <c r="AF946" i="39"/>
  <c r="AB946" i="39"/>
  <c r="AA946" i="39"/>
  <c r="W946" i="39"/>
  <c r="Y946" i="39" s="1"/>
  <c r="V946" i="39"/>
  <c r="R946" i="39"/>
  <c r="T946" i="39" s="1"/>
  <c r="Q946" i="39"/>
  <c r="O946" i="39"/>
  <c r="AF945" i="39"/>
  <c r="AA945" i="39"/>
  <c r="Y945" i="39"/>
  <c r="V945" i="39"/>
  <c r="T945" i="39"/>
  <c r="Q945" i="39"/>
  <c r="O945" i="39"/>
  <c r="Z944" i="39"/>
  <c r="Z937" i="39"/>
  <c r="X944" i="39"/>
  <c r="U944" i="39"/>
  <c r="S944" i="39"/>
  <c r="P944" i="39"/>
  <c r="N944" i="39"/>
  <c r="O944" i="39" s="1"/>
  <c r="AF943" i="39"/>
  <c r="AG943" i="39" s="1"/>
  <c r="AF942" i="39"/>
  <c r="AA942" i="39"/>
  <c r="W942" i="39"/>
  <c r="Y942" i="39" s="1"/>
  <c r="V942" i="39"/>
  <c r="R942" i="39"/>
  <c r="T942" i="39" s="1"/>
  <c r="Q942" i="39"/>
  <c r="O942" i="39"/>
  <c r="AF941" i="39"/>
  <c r="AB941" i="39"/>
  <c r="AA941" i="39"/>
  <c r="W941" i="39"/>
  <c r="Y941" i="39" s="1"/>
  <c r="V941" i="39"/>
  <c r="N941" i="39"/>
  <c r="Q941" i="39" s="1"/>
  <c r="AB940" i="39"/>
  <c r="AA940" i="39"/>
  <c r="AF939" i="39"/>
  <c r="AB939" i="39"/>
  <c r="AA939" i="39"/>
  <c r="W939" i="39"/>
  <c r="Y939" i="39" s="1"/>
  <c r="V939" i="39"/>
  <c r="R939" i="39"/>
  <c r="T939" i="39" s="1"/>
  <c r="Q939" i="39"/>
  <c r="O939" i="39"/>
  <c r="AF938" i="39"/>
  <c r="AB938" i="39"/>
  <c r="AA938" i="39"/>
  <c r="W938" i="39"/>
  <c r="Y938" i="39" s="1"/>
  <c r="V938" i="39"/>
  <c r="R938" i="39"/>
  <c r="T938" i="39" s="1"/>
  <c r="Q938" i="39"/>
  <c r="O938" i="39"/>
  <c r="X937" i="39"/>
  <c r="U937" i="39"/>
  <c r="S937" i="39"/>
  <c r="P937" i="39"/>
  <c r="AF934" i="39"/>
  <c r="AG934" i="39" s="1"/>
  <c r="AF932" i="39"/>
  <c r="AG932" i="39" s="1"/>
  <c r="AF930" i="39"/>
  <c r="W930" i="39"/>
  <c r="V930" i="39"/>
  <c r="AF929" i="39"/>
  <c r="AB929" i="39"/>
  <c r="AA929" i="39"/>
  <c r="W929" i="39"/>
  <c r="Y929" i="39" s="1"/>
  <c r="V929" i="39"/>
  <c r="R929" i="39"/>
  <c r="T929" i="39" s="1"/>
  <c r="Q929" i="39"/>
  <c r="O929" i="39"/>
  <c r="AF928" i="39"/>
  <c r="AB928" i="39"/>
  <c r="AA928" i="39"/>
  <c r="W928" i="39"/>
  <c r="Y928" i="39" s="1"/>
  <c r="V928" i="39"/>
  <c r="R928" i="39"/>
  <c r="T928" i="39" s="1"/>
  <c r="Q928" i="39"/>
  <c r="O928" i="39"/>
  <c r="AF927" i="39"/>
  <c r="V927" i="39"/>
  <c r="AB927" i="39"/>
  <c r="AA927" i="39"/>
  <c r="W927" i="39"/>
  <c r="Y927" i="39" s="1"/>
  <c r="N927" i="39"/>
  <c r="AF926" i="39"/>
  <c r="AB926" i="39"/>
  <c r="AA926" i="39"/>
  <c r="W926" i="39"/>
  <c r="Y926" i="39" s="1"/>
  <c r="V926" i="39"/>
  <c r="AF925" i="39"/>
  <c r="AB925" i="39"/>
  <c r="AA925" i="39"/>
  <c r="W925" i="39"/>
  <c r="Y925" i="39" s="1"/>
  <c r="V925" i="39"/>
  <c r="R925" i="39"/>
  <c r="T925" i="39" s="1"/>
  <c r="Q925" i="39"/>
  <c r="O925" i="39"/>
  <c r="AF924" i="39"/>
  <c r="AB924" i="39"/>
  <c r="AA924" i="39"/>
  <c r="W924" i="39"/>
  <c r="Y924" i="39" s="1"/>
  <c r="V924" i="39"/>
  <c r="R924" i="39"/>
  <c r="T924" i="39" s="1"/>
  <c r="Q924" i="39"/>
  <c r="O924" i="39"/>
  <c r="AF923" i="39"/>
  <c r="AB923" i="39"/>
  <c r="AA923" i="39"/>
  <c r="W923" i="39"/>
  <c r="Y923" i="39" s="1"/>
  <c r="V923" i="39"/>
  <c r="N923" i="39"/>
  <c r="Q923" i="39" s="1"/>
  <c r="AF922" i="39"/>
  <c r="AB922" i="39"/>
  <c r="AA922" i="39"/>
  <c r="W922" i="39"/>
  <c r="Y922" i="39" s="1"/>
  <c r="V922" i="39"/>
  <c r="AG922" i="39" s="1"/>
  <c r="AF921" i="39"/>
  <c r="AG921" i="39" s="1"/>
  <c r="Y921" i="39"/>
  <c r="R921" i="39"/>
  <c r="T921" i="39" s="1"/>
  <c r="Q921" i="39"/>
  <c r="O921" i="39"/>
  <c r="AF920" i="39"/>
  <c r="X920" i="39"/>
  <c r="AB920" i="39" s="1"/>
  <c r="W920" i="39"/>
  <c r="V920" i="39"/>
  <c r="R920" i="39"/>
  <c r="T920" i="39" s="1"/>
  <c r="Q920" i="39"/>
  <c r="O920" i="39"/>
  <c r="AF919" i="39"/>
  <c r="V919" i="39"/>
  <c r="AA919" i="39"/>
  <c r="Y919" i="39"/>
  <c r="T919" i="39"/>
  <c r="Q919" i="39"/>
  <c r="O919" i="39"/>
  <c r="AF918" i="39"/>
  <c r="AA918" i="39"/>
  <c r="Y918" i="39"/>
  <c r="V918" i="39"/>
  <c r="T918" i="39"/>
  <c r="Q918" i="39"/>
  <c r="O918" i="39"/>
  <c r="AF917" i="39"/>
  <c r="AA917" i="39"/>
  <c r="Y917" i="39"/>
  <c r="V917" i="39"/>
  <c r="T917" i="39"/>
  <c r="Q917" i="39"/>
  <c r="O917" i="39"/>
  <c r="Z916" i="39"/>
  <c r="U916" i="39"/>
  <c r="S916" i="39"/>
  <c r="P916" i="39"/>
  <c r="N916" i="39"/>
  <c r="O916" i="39" s="1"/>
  <c r="AF915" i="39"/>
  <c r="AG915" i="39" s="1"/>
  <c r="AF914" i="39"/>
  <c r="AA914" i="39"/>
  <c r="Y914" i="39"/>
  <c r="V914" i="39"/>
  <c r="T914" i="39"/>
  <c r="Q914" i="39"/>
  <c r="O914" i="39"/>
  <c r="AF913" i="39"/>
  <c r="AA913" i="39"/>
  <c r="Y913" i="39"/>
  <c r="V913" i="39"/>
  <c r="T913" i="39"/>
  <c r="Q913" i="39"/>
  <c r="O913" i="39"/>
  <c r="Z912" i="39"/>
  <c r="X912" i="39"/>
  <c r="Y912" i="39" s="1"/>
  <c r="U912" i="39"/>
  <c r="U911" i="39" s="1"/>
  <c r="U910" i="39" s="1"/>
  <c r="U908" i="39" s="1"/>
  <c r="U906" i="39" s="1"/>
  <c r="S912" i="39"/>
  <c r="P912" i="39"/>
  <c r="N912" i="39"/>
  <c r="AF909" i="39"/>
  <c r="AG909" i="39" s="1"/>
  <c r="V909" i="39"/>
  <c r="AF907" i="39"/>
  <c r="AG907" i="39" s="1"/>
  <c r="AF905" i="39"/>
  <c r="W905" i="39"/>
  <c r="V905" i="39"/>
  <c r="AF904" i="39"/>
  <c r="W904" i="39"/>
  <c r="Y904" i="39" s="1"/>
  <c r="V904" i="39"/>
  <c r="AG904" i="39" s="1"/>
  <c r="R904" i="39"/>
  <c r="T904" i="39" s="1"/>
  <c r="Q904" i="39"/>
  <c r="O904" i="39"/>
  <c r="AF903" i="39"/>
  <c r="AB903" i="39"/>
  <c r="AA903" i="39"/>
  <c r="W903" i="39"/>
  <c r="Y903" i="39" s="1"/>
  <c r="V903" i="39"/>
  <c r="R903" i="39"/>
  <c r="T903" i="39" s="1"/>
  <c r="Q903" i="39"/>
  <c r="O903" i="39"/>
  <c r="AF902" i="39"/>
  <c r="AB902" i="39"/>
  <c r="AA902" i="39"/>
  <c r="W902" i="39"/>
  <c r="Y902" i="39" s="1"/>
  <c r="V902" i="39"/>
  <c r="R902" i="39"/>
  <c r="T902" i="39" s="1"/>
  <c r="Q902" i="39"/>
  <c r="O902" i="39"/>
  <c r="AF901" i="39"/>
  <c r="AB901" i="39"/>
  <c r="AA901" i="39"/>
  <c r="W901" i="39"/>
  <c r="Y901" i="39" s="1"/>
  <c r="V901" i="39"/>
  <c r="R901" i="39"/>
  <c r="T901" i="39" s="1"/>
  <c r="Q901" i="39"/>
  <c r="O901" i="39"/>
  <c r="AF900" i="39"/>
  <c r="AB900" i="39"/>
  <c r="AA900" i="39"/>
  <c r="W900" i="39"/>
  <c r="Y900" i="39" s="1"/>
  <c r="V900" i="39"/>
  <c r="R900" i="39"/>
  <c r="T900" i="39" s="1"/>
  <c r="Q900" i="39"/>
  <c r="O900" i="39"/>
  <c r="AF899" i="39"/>
  <c r="AB899" i="39"/>
  <c r="AA899" i="39"/>
  <c r="W899" i="39"/>
  <c r="Y899" i="39" s="1"/>
  <c r="V899" i="39"/>
  <c r="R899" i="39"/>
  <c r="T899" i="39" s="1"/>
  <c r="Q899" i="39"/>
  <c r="O899" i="39"/>
  <c r="AF898" i="39"/>
  <c r="AB898" i="39"/>
  <c r="AA898" i="39"/>
  <c r="W898" i="39"/>
  <c r="Y898" i="39" s="1"/>
  <c r="V898" i="39"/>
  <c r="R898" i="39"/>
  <c r="T898" i="39" s="1"/>
  <c r="Q898" i="39"/>
  <c r="O898" i="39"/>
  <c r="AF897" i="39"/>
  <c r="AG897" i="39" s="1"/>
  <c r="Y897" i="39"/>
  <c r="R897" i="39"/>
  <c r="T897" i="39" s="1"/>
  <c r="Q897" i="39"/>
  <c r="O897" i="39"/>
  <c r="AF896" i="39"/>
  <c r="AB896" i="39"/>
  <c r="AA896" i="39"/>
  <c r="W896" i="39"/>
  <c r="Y896" i="39" s="1"/>
  <c r="V896" i="39"/>
  <c r="AG896" i="39" s="1"/>
  <c r="R896" i="39"/>
  <c r="T896" i="39" s="1"/>
  <c r="Q896" i="39"/>
  <c r="O896" i="39"/>
  <c r="Z895" i="39"/>
  <c r="Z894" i="39" s="1"/>
  <c r="Z893" i="39" s="1"/>
  <c r="Z891" i="39" s="1"/>
  <c r="Z889" i="39" s="1"/>
  <c r="X895" i="39"/>
  <c r="U895" i="39"/>
  <c r="U894" i="39" s="1"/>
  <c r="U893" i="39" s="1"/>
  <c r="U891" i="39" s="1"/>
  <c r="U889" i="39" s="1"/>
  <c r="S895" i="39"/>
  <c r="S894" i="39" s="1"/>
  <c r="P895" i="39"/>
  <c r="N895" i="39"/>
  <c r="O895" i="39" s="1"/>
  <c r="AF892" i="39"/>
  <c r="AG892" i="39" s="1"/>
  <c r="AF890" i="39"/>
  <c r="V890" i="39"/>
  <c r="AF888" i="39"/>
  <c r="AG888" i="39" s="1"/>
  <c r="AF887" i="39"/>
  <c r="AB887" i="39"/>
  <c r="AA887" i="39"/>
  <c r="W887" i="39"/>
  <c r="Y887" i="39" s="1"/>
  <c r="V887" i="39"/>
  <c r="R887" i="39"/>
  <c r="T887" i="39" s="1"/>
  <c r="Q887" i="39"/>
  <c r="O887" i="39"/>
  <c r="AF886" i="39"/>
  <c r="AB886" i="39"/>
  <c r="AA886" i="39"/>
  <c r="W886" i="39"/>
  <c r="Y886" i="39" s="1"/>
  <c r="V886" i="39"/>
  <c r="R886" i="39"/>
  <c r="T886" i="39" s="1"/>
  <c r="Q886" i="39"/>
  <c r="O886" i="39"/>
  <c r="AF885" i="39"/>
  <c r="AB885" i="39"/>
  <c r="AA885" i="39"/>
  <c r="W885" i="39"/>
  <c r="Y885" i="39" s="1"/>
  <c r="V885" i="39"/>
  <c r="N885" i="39"/>
  <c r="AF884" i="39"/>
  <c r="AB884" i="39"/>
  <c r="AA884" i="39"/>
  <c r="W884" i="39"/>
  <c r="Y884" i="39" s="1"/>
  <c r="V884" i="39"/>
  <c r="AF883" i="39"/>
  <c r="AG883" i="39" s="1"/>
  <c r="AB883" i="39"/>
  <c r="AA883" i="39"/>
  <c r="W883" i="39"/>
  <c r="Y883" i="39" s="1"/>
  <c r="R883" i="39"/>
  <c r="T883" i="39" s="1"/>
  <c r="Q883" i="39"/>
  <c r="O883" i="39"/>
  <c r="AF882" i="39"/>
  <c r="AG882" i="39" s="1"/>
  <c r="AB882" i="39"/>
  <c r="AA882" i="39"/>
  <c r="W882" i="39"/>
  <c r="Y882" i="39" s="1"/>
  <c r="V882" i="39"/>
  <c r="R882" i="39"/>
  <c r="T882" i="39" s="1"/>
  <c r="Q882" i="39"/>
  <c r="O882" i="39"/>
  <c r="AF881" i="39"/>
  <c r="AB881" i="39"/>
  <c r="AA881" i="39"/>
  <c r="W881" i="39"/>
  <c r="Y881" i="39" s="1"/>
  <c r="V881" i="39"/>
  <c r="N881" i="39"/>
  <c r="R881" i="39" s="1"/>
  <c r="T881" i="39" s="1"/>
  <c r="AF880" i="39"/>
  <c r="AB880" i="39"/>
  <c r="AA880" i="39"/>
  <c r="W880" i="39"/>
  <c r="Y880" i="39" s="1"/>
  <c r="V880" i="39"/>
  <c r="AF879" i="39"/>
  <c r="AG879" i="39" s="1"/>
  <c r="AB879" i="39"/>
  <c r="AA879" i="39"/>
  <c r="W879" i="39"/>
  <c r="Y879" i="39" s="1"/>
  <c r="R879" i="39"/>
  <c r="T879" i="39" s="1"/>
  <c r="Q879" i="39"/>
  <c r="O879" i="39"/>
  <c r="AF878" i="39"/>
  <c r="AA878" i="39"/>
  <c r="Y878" i="39"/>
  <c r="V878" i="39"/>
  <c r="T878" i="39"/>
  <c r="Q878" i="39"/>
  <c r="O878" i="39"/>
  <c r="AF877" i="39"/>
  <c r="AA877" i="39"/>
  <c r="W877" i="39"/>
  <c r="V877" i="39"/>
  <c r="R877" i="39"/>
  <c r="T877" i="39" s="1"/>
  <c r="Q877" i="39"/>
  <c r="O877" i="39"/>
  <c r="AF876" i="39"/>
  <c r="X876" i="39"/>
  <c r="AA876" i="39" s="1"/>
  <c r="W876" i="39"/>
  <c r="V876" i="39"/>
  <c r="R876" i="39"/>
  <c r="T876" i="39" s="1"/>
  <c r="Q876" i="39"/>
  <c r="O876" i="39"/>
  <c r="AF875" i="39"/>
  <c r="X875" i="39"/>
  <c r="AA875" i="39" s="1"/>
  <c r="W875" i="39"/>
  <c r="V875" i="39"/>
  <c r="R875" i="39"/>
  <c r="T875" i="39" s="1"/>
  <c r="Q875" i="39"/>
  <c r="O875" i="39"/>
  <c r="AF874" i="39"/>
  <c r="X874" i="39"/>
  <c r="W874" i="39"/>
  <c r="V874" i="39"/>
  <c r="R874" i="39"/>
  <c r="T874" i="39" s="1"/>
  <c r="Q874" i="39"/>
  <c r="O874" i="39"/>
  <c r="AF873" i="39"/>
  <c r="AA873" i="39"/>
  <c r="Y873" i="39"/>
  <c r="V873" i="39"/>
  <c r="T873" i="39"/>
  <c r="Q873" i="39"/>
  <c r="O873" i="39"/>
  <c r="AF872" i="39"/>
  <c r="AA872" i="39"/>
  <c r="Y872" i="39"/>
  <c r="V872" i="39"/>
  <c r="T872" i="39"/>
  <c r="Q872" i="39"/>
  <c r="O872" i="39"/>
  <c r="AF871" i="39"/>
  <c r="X871" i="39"/>
  <c r="AA871" i="39" s="1"/>
  <c r="W871" i="39"/>
  <c r="V871" i="39"/>
  <c r="R871" i="39"/>
  <c r="T871" i="39" s="1"/>
  <c r="Q871" i="39"/>
  <c r="O871" i="39"/>
  <c r="AF870" i="39"/>
  <c r="X870" i="39"/>
  <c r="AA870" i="39" s="1"/>
  <c r="W870" i="39"/>
  <c r="V870" i="39"/>
  <c r="R870" i="39"/>
  <c r="T870" i="39" s="1"/>
  <c r="Q870" i="39"/>
  <c r="O870" i="39"/>
  <c r="AF869" i="39"/>
  <c r="X869" i="39"/>
  <c r="AA869" i="39" s="1"/>
  <c r="W869" i="39"/>
  <c r="V869" i="39"/>
  <c r="R869" i="39"/>
  <c r="T869" i="39" s="1"/>
  <c r="Q869" i="39"/>
  <c r="O869" i="39"/>
  <c r="Z868" i="39"/>
  <c r="U868" i="39"/>
  <c r="S868" i="39"/>
  <c r="P868" i="39"/>
  <c r="N868" i="39"/>
  <c r="O868" i="39" s="1"/>
  <c r="AF867" i="39"/>
  <c r="AG867" i="39" s="1"/>
  <c r="Y867" i="39"/>
  <c r="R867" i="39"/>
  <c r="T867" i="39" s="1"/>
  <c r="Q867" i="39"/>
  <c r="O867" i="39"/>
  <c r="AF866" i="39"/>
  <c r="AG866" i="39" s="1"/>
  <c r="AA866" i="39"/>
  <c r="W866" i="39"/>
  <c r="Y866" i="39" s="1"/>
  <c r="V866" i="39"/>
  <c r="R866" i="39"/>
  <c r="T866" i="39" s="1"/>
  <c r="Q866" i="39"/>
  <c r="O866" i="39"/>
  <c r="Z865" i="39"/>
  <c r="X865" i="39"/>
  <c r="U865" i="39"/>
  <c r="S865" i="39"/>
  <c r="P865" i="39"/>
  <c r="N865" i="39"/>
  <c r="AF862" i="39"/>
  <c r="AG862" i="39" s="1"/>
  <c r="AF860" i="39"/>
  <c r="Y860" i="39"/>
  <c r="V860" i="39"/>
  <c r="T860" i="39"/>
  <c r="O860" i="39"/>
  <c r="AF858" i="39"/>
  <c r="AG858" i="39" s="1"/>
  <c r="AF857" i="39"/>
  <c r="AA857" i="39"/>
  <c r="V857" i="39"/>
  <c r="R857" i="39"/>
  <c r="Q857" i="39"/>
  <c r="AF856" i="39"/>
  <c r="AB856" i="39"/>
  <c r="AA856" i="39"/>
  <c r="W856" i="39"/>
  <c r="Y856" i="39" s="1"/>
  <c r="V856" i="39"/>
  <c r="R856" i="39"/>
  <c r="T856" i="39" s="1"/>
  <c r="Q856" i="39"/>
  <c r="O856" i="39"/>
  <c r="AF855" i="39"/>
  <c r="W855" i="39"/>
  <c r="V855" i="39"/>
  <c r="R855" i="39"/>
  <c r="T855" i="39" s="1"/>
  <c r="Q855" i="39"/>
  <c r="O855" i="39"/>
  <c r="Z854" i="39"/>
  <c r="Z853" i="39" s="1"/>
  <c r="Z852" i="39" s="1"/>
  <c r="U854" i="39"/>
  <c r="U853" i="39" s="1"/>
  <c r="U852" i="39" s="1"/>
  <c r="S854" i="39"/>
  <c r="S853" i="39" s="1"/>
  <c r="P854" i="39"/>
  <c r="N854" i="39"/>
  <c r="O854" i="39" s="1"/>
  <c r="AF851" i="39"/>
  <c r="AG851" i="39" s="1"/>
  <c r="Y851" i="39"/>
  <c r="T851" i="39"/>
  <c r="O851" i="39"/>
  <c r="AB850" i="39"/>
  <c r="AA850" i="39"/>
  <c r="AB849" i="39"/>
  <c r="AA849" i="39"/>
  <c r="X848" i="39"/>
  <c r="W848" i="39"/>
  <c r="V848" i="39"/>
  <c r="U848" i="39"/>
  <c r="T848" i="39"/>
  <c r="S848" i="39"/>
  <c r="R848" i="39"/>
  <c r="Q848" i="39"/>
  <c r="O848" i="39"/>
  <c r="AF847" i="39"/>
  <c r="AG847" i="39" s="1"/>
  <c r="AF846" i="39"/>
  <c r="AB846" i="39"/>
  <c r="AA846" i="39"/>
  <c r="Y846" i="39"/>
  <c r="V846" i="39"/>
  <c r="R846" i="39"/>
  <c r="T846" i="39" s="1"/>
  <c r="Q846" i="39"/>
  <c r="O846" i="39"/>
  <c r="AB845" i="39"/>
  <c r="AA845" i="39"/>
  <c r="AB844" i="39"/>
  <c r="AA844" i="39"/>
  <c r="AB843" i="39"/>
  <c r="AA843" i="39"/>
  <c r="AF842" i="39"/>
  <c r="AB842" i="39"/>
  <c r="AA842" i="39"/>
  <c r="W842" i="39"/>
  <c r="V842" i="39"/>
  <c r="R842" i="39"/>
  <c r="T842" i="39" s="1"/>
  <c r="Q842" i="39"/>
  <c r="O842" i="39"/>
  <c r="Z841" i="39"/>
  <c r="Z840" i="39" s="1"/>
  <c r="Z839" i="39" s="1"/>
  <c r="X841" i="39"/>
  <c r="U841" i="39"/>
  <c r="S841" i="39"/>
  <c r="S840" i="39" s="1"/>
  <c r="P841" i="39"/>
  <c r="P840" i="39" s="1"/>
  <c r="N841" i="39"/>
  <c r="O841" i="39" s="1"/>
  <c r="AF838" i="39"/>
  <c r="V838" i="39"/>
  <c r="AG838" i="39" s="1"/>
  <c r="Q838" i="39"/>
  <c r="AF836" i="39"/>
  <c r="AG836" i="39" s="1"/>
  <c r="AF834" i="39"/>
  <c r="W834" i="39"/>
  <c r="V834" i="39"/>
  <c r="AF833" i="39"/>
  <c r="AB833" i="39"/>
  <c r="AA833" i="39"/>
  <c r="W833" i="39"/>
  <c r="Y833" i="39" s="1"/>
  <c r="V833" i="39"/>
  <c r="R833" i="39"/>
  <c r="T833" i="39" s="1"/>
  <c r="Q833" i="39"/>
  <c r="O833" i="39"/>
  <c r="AF832" i="39"/>
  <c r="AB832" i="39"/>
  <c r="AA832" i="39"/>
  <c r="W832" i="39"/>
  <c r="Y832" i="39" s="1"/>
  <c r="V832" i="39"/>
  <c r="R832" i="39"/>
  <c r="T832" i="39" s="1"/>
  <c r="Q832" i="39"/>
  <c r="O832" i="39"/>
  <c r="AF831" i="39"/>
  <c r="AB831" i="39"/>
  <c r="AA831" i="39"/>
  <c r="W831" i="39"/>
  <c r="Y831" i="39" s="1"/>
  <c r="V831" i="39"/>
  <c r="N831" i="39"/>
  <c r="N830" i="39" s="1"/>
  <c r="O830" i="39" s="1"/>
  <c r="AF830" i="39"/>
  <c r="AB830" i="39"/>
  <c r="AA830" i="39"/>
  <c r="W830" i="39"/>
  <c r="Y830" i="39" s="1"/>
  <c r="V830" i="39"/>
  <c r="AF829" i="39"/>
  <c r="AG829" i="39" s="1"/>
  <c r="Y829" i="39"/>
  <c r="R829" i="39"/>
  <c r="T829" i="39" s="1"/>
  <c r="Q829" i="39"/>
  <c r="O829" i="39"/>
  <c r="AF828" i="39"/>
  <c r="W828" i="39"/>
  <c r="V828" i="39"/>
  <c r="R828" i="39"/>
  <c r="T828" i="39" s="1"/>
  <c r="Q828" i="39"/>
  <c r="O828" i="39"/>
  <c r="AF827" i="39"/>
  <c r="W827" i="39"/>
  <c r="Y827" i="39" s="1"/>
  <c r="V827" i="39"/>
  <c r="AG827" i="39" s="1"/>
  <c r="T827" i="39"/>
  <c r="Q827" i="39"/>
  <c r="O827" i="39"/>
  <c r="AF826" i="39"/>
  <c r="AA826" i="39"/>
  <c r="Y826" i="39"/>
  <c r="V826" i="39"/>
  <c r="R826" i="39"/>
  <c r="T826" i="39" s="1"/>
  <c r="Q826" i="39"/>
  <c r="O826" i="39"/>
  <c r="AF825" i="39"/>
  <c r="AA825" i="39"/>
  <c r="Y825" i="39"/>
  <c r="V825" i="39"/>
  <c r="R825" i="39"/>
  <c r="T825" i="39" s="1"/>
  <c r="Q825" i="39"/>
  <c r="O825" i="39"/>
  <c r="AF824" i="39"/>
  <c r="V824" i="39"/>
  <c r="AA824" i="39"/>
  <c r="Y824" i="39"/>
  <c r="R824" i="39"/>
  <c r="T824" i="39" s="1"/>
  <c r="Q824" i="39"/>
  <c r="O824" i="39"/>
  <c r="AF823" i="39"/>
  <c r="AA823" i="39"/>
  <c r="Y823" i="39"/>
  <c r="V823" i="39"/>
  <c r="R823" i="39"/>
  <c r="T823" i="39" s="1"/>
  <c r="Q823" i="39"/>
  <c r="O823" i="39"/>
  <c r="AF822" i="39"/>
  <c r="AA822" i="39"/>
  <c r="Y822" i="39"/>
  <c r="V822" i="39"/>
  <c r="R822" i="39"/>
  <c r="T822" i="39" s="1"/>
  <c r="Q822" i="39"/>
  <c r="O822" i="39"/>
  <c r="AF821" i="39"/>
  <c r="AA821" i="39"/>
  <c r="Y821" i="39"/>
  <c r="V821" i="39"/>
  <c r="R821" i="39"/>
  <c r="T821" i="39" s="1"/>
  <c r="Q821" i="39"/>
  <c r="O821" i="39"/>
  <c r="AF820" i="39"/>
  <c r="AA820" i="39"/>
  <c r="Y820" i="39"/>
  <c r="V820" i="39"/>
  <c r="R820" i="39"/>
  <c r="T820" i="39" s="1"/>
  <c r="Q820" i="39"/>
  <c r="O820" i="39"/>
  <c r="AF819" i="39"/>
  <c r="AA819" i="39"/>
  <c r="Y819" i="39"/>
  <c r="V819" i="39"/>
  <c r="R819" i="39"/>
  <c r="T819" i="39" s="1"/>
  <c r="Q819" i="39"/>
  <c r="O819" i="39"/>
  <c r="AF818" i="39"/>
  <c r="AG818" i="39" s="1"/>
  <c r="AA818" i="39"/>
  <c r="Y818" i="39"/>
  <c r="V818" i="39"/>
  <c r="R818" i="39"/>
  <c r="T818" i="39" s="1"/>
  <c r="Q818" i="39"/>
  <c r="O818" i="39"/>
  <c r="Z817" i="39"/>
  <c r="Z816" i="39" s="1"/>
  <c r="Z815" i="39" s="1"/>
  <c r="U817" i="39"/>
  <c r="U816" i="39" s="1"/>
  <c r="U815" i="39" s="1"/>
  <c r="S817" i="39"/>
  <c r="S816" i="39" s="1"/>
  <c r="S815" i="39" s="1"/>
  <c r="P817" i="39"/>
  <c r="O817" i="39"/>
  <c r="N816" i="39"/>
  <c r="AF814" i="39"/>
  <c r="AG814" i="39" s="1"/>
  <c r="AA814" i="39"/>
  <c r="Y814" i="39"/>
  <c r="R814" i="39"/>
  <c r="T814" i="39" s="1"/>
  <c r="Q814" i="39"/>
  <c r="O814" i="39"/>
  <c r="AF813" i="39"/>
  <c r="AG813" i="39" s="1"/>
  <c r="Y813" i="39"/>
  <c r="R813" i="39"/>
  <c r="T813" i="39" s="1"/>
  <c r="Q813" i="39"/>
  <c r="O813" i="39"/>
  <c r="AF812" i="39"/>
  <c r="AG812" i="39" s="1"/>
  <c r="AA812" i="39"/>
  <c r="Y812" i="39"/>
  <c r="V812" i="39"/>
  <c r="R812" i="39"/>
  <c r="T812" i="39" s="1"/>
  <c r="Q812" i="39"/>
  <c r="O812" i="39"/>
  <c r="AF811" i="39"/>
  <c r="AA811" i="39"/>
  <c r="Y811" i="39"/>
  <c r="V811" i="39"/>
  <c r="N811" i="39"/>
  <c r="AF810" i="39"/>
  <c r="AG810" i="39" s="1"/>
  <c r="AA810" i="39"/>
  <c r="Y810" i="39"/>
  <c r="V810" i="39"/>
  <c r="AF809" i="39"/>
  <c r="AG809" i="39" s="1"/>
  <c r="S808" i="39"/>
  <c r="AF808" i="39" s="1"/>
  <c r="N808" i="39"/>
  <c r="Q808" i="39" s="1"/>
  <c r="AF807" i="39"/>
  <c r="V807" i="39"/>
  <c r="W807" i="39"/>
  <c r="R807" i="39"/>
  <c r="T807" i="39" s="1"/>
  <c r="Q807" i="39"/>
  <c r="O807" i="39"/>
  <c r="AF806" i="39"/>
  <c r="AG806" i="39" s="1"/>
  <c r="AF805" i="39"/>
  <c r="AB805" i="39"/>
  <c r="AA805" i="39"/>
  <c r="W805" i="39"/>
  <c r="Y805" i="39" s="1"/>
  <c r="V805" i="39"/>
  <c r="R805" i="39"/>
  <c r="T805" i="39" s="1"/>
  <c r="Q805" i="39"/>
  <c r="O805" i="39"/>
  <c r="AF804" i="39"/>
  <c r="AB804" i="39"/>
  <c r="AA804" i="39"/>
  <c r="W804" i="39"/>
  <c r="Y804" i="39" s="1"/>
  <c r="V804" i="39"/>
  <c r="R804" i="39"/>
  <c r="T804" i="39" s="1"/>
  <c r="Q804" i="39"/>
  <c r="O804" i="39"/>
  <c r="AF803" i="39"/>
  <c r="AB803" i="39"/>
  <c r="AA803" i="39"/>
  <c r="W803" i="39"/>
  <c r="Y803" i="39" s="1"/>
  <c r="V803" i="39"/>
  <c r="R803" i="39"/>
  <c r="T803" i="39" s="1"/>
  <c r="Q803" i="39"/>
  <c r="O803" i="39"/>
  <c r="AF802" i="39"/>
  <c r="X802" i="39"/>
  <c r="AA802" i="39" s="1"/>
  <c r="W802" i="39"/>
  <c r="V802" i="39"/>
  <c r="R802" i="39"/>
  <c r="T802" i="39" s="1"/>
  <c r="Q802" i="39"/>
  <c r="O802" i="39"/>
  <c r="AF801" i="39"/>
  <c r="Y801" i="39"/>
  <c r="V801" i="39"/>
  <c r="T801" i="39"/>
  <c r="O801" i="39"/>
  <c r="AF800" i="39"/>
  <c r="AA800" i="39"/>
  <c r="Y800" i="39"/>
  <c r="V800" i="39"/>
  <c r="R800" i="39"/>
  <c r="T800" i="39" s="1"/>
  <c r="Q800" i="39"/>
  <c r="O800" i="39"/>
  <c r="AF799" i="39"/>
  <c r="V799" i="39"/>
  <c r="AB799" i="39"/>
  <c r="AA799" i="39"/>
  <c r="W799" i="39"/>
  <c r="Y799" i="39" s="1"/>
  <c r="R799" i="39"/>
  <c r="T799" i="39" s="1"/>
  <c r="Q799" i="39"/>
  <c r="O799" i="39"/>
  <c r="AF798" i="39"/>
  <c r="AB798" i="39"/>
  <c r="AA798" i="39"/>
  <c r="W798" i="39"/>
  <c r="Y798" i="39" s="1"/>
  <c r="V798" i="39"/>
  <c r="R798" i="39"/>
  <c r="T798" i="39" s="1"/>
  <c r="Q798" i="39"/>
  <c r="O798" i="39"/>
  <c r="AF797" i="39"/>
  <c r="AB797" i="39"/>
  <c r="AA797" i="39"/>
  <c r="W797" i="39"/>
  <c r="Y797" i="39" s="1"/>
  <c r="V797" i="39"/>
  <c r="R797" i="39"/>
  <c r="T797" i="39" s="1"/>
  <c r="Q797" i="39"/>
  <c r="O797" i="39"/>
  <c r="AF796" i="39"/>
  <c r="AB796" i="39"/>
  <c r="AA796" i="39"/>
  <c r="W796" i="39"/>
  <c r="Y796" i="39" s="1"/>
  <c r="V796" i="39"/>
  <c r="R796" i="39"/>
  <c r="T796" i="39" s="1"/>
  <c r="Q796" i="39"/>
  <c r="O796" i="39"/>
  <c r="AF795" i="39"/>
  <c r="AB795" i="39"/>
  <c r="AA795" i="39"/>
  <c r="W795" i="39"/>
  <c r="Y795" i="39" s="1"/>
  <c r="V795" i="39"/>
  <c r="AG795" i="39" s="1"/>
  <c r="R795" i="39"/>
  <c r="T795" i="39" s="1"/>
  <c r="Q795" i="39"/>
  <c r="O795" i="39"/>
  <c r="AF794" i="39"/>
  <c r="AB794" i="39"/>
  <c r="AA794" i="39"/>
  <c r="W794" i="39"/>
  <c r="Y794" i="39" s="1"/>
  <c r="V794" i="39"/>
  <c r="R794" i="39"/>
  <c r="T794" i="39" s="1"/>
  <c r="Q794" i="39"/>
  <c r="O794" i="39"/>
  <c r="AF793" i="39"/>
  <c r="AB793" i="39"/>
  <c r="AA793" i="39"/>
  <c r="W793" i="39"/>
  <c r="Y793" i="39" s="1"/>
  <c r="V793" i="39"/>
  <c r="R793" i="39"/>
  <c r="T793" i="39" s="1"/>
  <c r="Q793" i="39"/>
  <c r="O793" i="39"/>
  <c r="AF792" i="39"/>
  <c r="AB792" i="39"/>
  <c r="AA792" i="39"/>
  <c r="W792" i="39"/>
  <c r="Y792" i="39" s="1"/>
  <c r="V792" i="39"/>
  <c r="R792" i="39"/>
  <c r="T792" i="39" s="1"/>
  <c r="Q792" i="39"/>
  <c r="O792" i="39"/>
  <c r="AF791" i="39"/>
  <c r="AB791" i="39"/>
  <c r="AA791" i="39"/>
  <c r="W791" i="39"/>
  <c r="Y791" i="39" s="1"/>
  <c r="V791" i="39"/>
  <c r="R791" i="39"/>
  <c r="T791" i="39" s="1"/>
  <c r="Q791" i="39"/>
  <c r="O791" i="39"/>
  <c r="Z790" i="39"/>
  <c r="X790" i="39"/>
  <c r="AB790" i="39" s="1"/>
  <c r="U790" i="39"/>
  <c r="P790" i="39"/>
  <c r="O790" i="39"/>
  <c r="AF789" i="39"/>
  <c r="Y789" i="39"/>
  <c r="V789" i="39"/>
  <c r="T789" i="39"/>
  <c r="O789" i="39"/>
  <c r="AF788" i="39"/>
  <c r="AA788" i="39"/>
  <c r="Y788" i="39"/>
  <c r="V788" i="39"/>
  <c r="R788" i="39"/>
  <c r="T788" i="39" s="1"/>
  <c r="Q788" i="39"/>
  <c r="O788" i="39"/>
  <c r="AF787" i="39"/>
  <c r="AG787" i="39" s="1"/>
  <c r="AA787" i="39"/>
  <c r="Y787" i="39"/>
  <c r="V787" i="39"/>
  <c r="R787" i="39"/>
  <c r="T787" i="39" s="1"/>
  <c r="Q787" i="39"/>
  <c r="O787" i="39"/>
  <c r="AF786" i="39"/>
  <c r="AB786" i="39"/>
  <c r="AA786" i="39"/>
  <c r="W786" i="39"/>
  <c r="Y786" i="39" s="1"/>
  <c r="V786" i="39"/>
  <c r="R786" i="39"/>
  <c r="T786" i="39" s="1"/>
  <c r="Q786" i="39"/>
  <c r="O786" i="39"/>
  <c r="AF785" i="39"/>
  <c r="AB785" i="39"/>
  <c r="AA785" i="39"/>
  <c r="W785" i="39"/>
  <c r="Y785" i="39" s="1"/>
  <c r="V785" i="39"/>
  <c r="R785" i="39"/>
  <c r="T785" i="39" s="1"/>
  <c r="Q785" i="39"/>
  <c r="O785" i="39"/>
  <c r="AF784" i="39"/>
  <c r="AB784" i="39"/>
  <c r="AA784" i="39"/>
  <c r="W784" i="39"/>
  <c r="Y784" i="39" s="1"/>
  <c r="V784" i="39"/>
  <c r="R784" i="39"/>
  <c r="T784" i="39" s="1"/>
  <c r="Q784" i="39"/>
  <c r="O784" i="39"/>
  <c r="AF783" i="39"/>
  <c r="AB783" i="39"/>
  <c r="AA783" i="39"/>
  <c r="W783" i="39"/>
  <c r="Y783" i="39" s="1"/>
  <c r="V783" i="39"/>
  <c r="R783" i="39"/>
  <c r="T783" i="39" s="1"/>
  <c r="Q783" i="39"/>
  <c r="O783" i="39"/>
  <c r="AF782" i="39"/>
  <c r="AB782" i="39"/>
  <c r="AA782" i="39"/>
  <c r="W782" i="39"/>
  <c r="Y782" i="39" s="1"/>
  <c r="V782" i="39"/>
  <c r="R782" i="39"/>
  <c r="T782" i="39" s="1"/>
  <c r="Q782" i="39"/>
  <c r="O782" i="39"/>
  <c r="AF781" i="39"/>
  <c r="AB781" i="39"/>
  <c r="AA781" i="39"/>
  <c r="W781" i="39"/>
  <c r="Y781" i="39" s="1"/>
  <c r="V781" i="39"/>
  <c r="R781" i="39"/>
  <c r="T781" i="39" s="1"/>
  <c r="Q781" i="39"/>
  <c r="O781" i="39"/>
  <c r="AF780" i="39"/>
  <c r="AB780" i="39"/>
  <c r="AA780" i="39"/>
  <c r="W780" i="39"/>
  <c r="Y780" i="39" s="1"/>
  <c r="V780" i="39"/>
  <c r="R780" i="39"/>
  <c r="T780" i="39" s="1"/>
  <c r="Q780" i="39"/>
  <c r="O780" i="39"/>
  <c r="AF779" i="39"/>
  <c r="AB779" i="39"/>
  <c r="AA779" i="39"/>
  <c r="W779" i="39"/>
  <c r="Y779" i="39" s="1"/>
  <c r="V779" i="39"/>
  <c r="R779" i="39"/>
  <c r="T779" i="39" s="1"/>
  <c r="Q779" i="39"/>
  <c r="O779" i="39"/>
  <c r="AF778" i="39"/>
  <c r="AB778" i="39"/>
  <c r="AA778" i="39"/>
  <c r="W778" i="39"/>
  <c r="Y778" i="39" s="1"/>
  <c r="V778" i="39"/>
  <c r="R778" i="39"/>
  <c r="T778" i="39" s="1"/>
  <c r="Q778" i="39"/>
  <c r="O778" i="39"/>
  <c r="Z777" i="39"/>
  <c r="U777" i="39"/>
  <c r="U776" i="39" s="1"/>
  <c r="P777" i="39"/>
  <c r="O777" i="39"/>
  <c r="AF774" i="39"/>
  <c r="AG774" i="39" s="1"/>
  <c r="AF772" i="39"/>
  <c r="AG772" i="39" s="1"/>
  <c r="AB771" i="39"/>
  <c r="AA771" i="39"/>
  <c r="Z771" i="39"/>
  <c r="Z770" i="39" s="1"/>
  <c r="Z769" i="39" s="1"/>
  <c r="Z767" i="39" s="1"/>
  <c r="Z765" i="39" s="1"/>
  <c r="U771" i="39"/>
  <c r="U770" i="39" s="1"/>
  <c r="U769" i="39" s="1"/>
  <c r="U767" i="39" s="1"/>
  <c r="U765" i="39" s="1"/>
  <c r="P771" i="39"/>
  <c r="O771" i="39"/>
  <c r="X770" i="39"/>
  <c r="X769" i="39" s="1"/>
  <c r="S770" i="39"/>
  <c r="N770" i="39"/>
  <c r="O770" i="39" s="1"/>
  <c r="AF768" i="39"/>
  <c r="Y768" i="39"/>
  <c r="V768" i="39"/>
  <c r="T768" i="39"/>
  <c r="O768" i="39"/>
  <c r="AF766" i="39"/>
  <c r="AG766" i="39" s="1"/>
  <c r="AF764" i="39"/>
  <c r="AB764" i="39"/>
  <c r="AA764" i="39"/>
  <c r="W764" i="39"/>
  <c r="V764" i="39"/>
  <c r="AF763" i="39"/>
  <c r="AB763" i="39"/>
  <c r="AA763" i="39"/>
  <c r="W763" i="39"/>
  <c r="Y763" i="39" s="1"/>
  <c r="V763" i="39"/>
  <c r="R763" i="39"/>
  <c r="T763" i="39" s="1"/>
  <c r="Q763" i="39"/>
  <c r="O763" i="39"/>
  <c r="Z762" i="39"/>
  <c r="Z761" i="39" s="1"/>
  <c r="Z760" i="39" s="1"/>
  <c r="Z758" i="39" s="1"/>
  <c r="X762" i="39"/>
  <c r="U762" i="39"/>
  <c r="U761" i="39" s="1"/>
  <c r="U760" i="39" s="1"/>
  <c r="U758" i="39" s="1"/>
  <c r="S762" i="39"/>
  <c r="P762" i="39"/>
  <c r="P761" i="39" s="1"/>
  <c r="P760" i="39" s="1"/>
  <c r="N762" i="39"/>
  <c r="AF759" i="39"/>
  <c r="V759" i="39"/>
  <c r="W759" i="39"/>
  <c r="AF757" i="39"/>
  <c r="AB757" i="39"/>
  <c r="AA757" i="39"/>
  <c r="W757" i="39"/>
  <c r="V757" i="39"/>
  <c r="AF756" i="39"/>
  <c r="V756" i="39"/>
  <c r="AB756" i="39"/>
  <c r="AA756" i="39"/>
  <c r="W756" i="39"/>
  <c r="Y756" i="39" s="1"/>
  <c r="R756" i="39"/>
  <c r="T756" i="39" s="1"/>
  <c r="Q756" i="39"/>
  <c r="O756" i="39"/>
  <c r="AF755" i="39"/>
  <c r="AB755" i="39"/>
  <c r="AA755" i="39"/>
  <c r="W755" i="39"/>
  <c r="Y755" i="39" s="1"/>
  <c r="V755" i="39"/>
  <c r="R755" i="39"/>
  <c r="T755" i="39" s="1"/>
  <c r="Q755" i="39"/>
  <c r="O755" i="39"/>
  <c r="AF754" i="39"/>
  <c r="AB754" i="39"/>
  <c r="AA754" i="39"/>
  <c r="W754" i="39"/>
  <c r="Y754" i="39" s="1"/>
  <c r="V754" i="39"/>
  <c r="N754" i="39"/>
  <c r="Q754" i="39" s="1"/>
  <c r="AF753" i="39"/>
  <c r="AB753" i="39"/>
  <c r="AA753" i="39"/>
  <c r="W753" i="39"/>
  <c r="Y753" i="39" s="1"/>
  <c r="V753" i="39"/>
  <c r="AF752" i="39"/>
  <c r="AB752" i="39"/>
  <c r="AA752" i="39"/>
  <c r="W752" i="39"/>
  <c r="Y752" i="39" s="1"/>
  <c r="V752" i="39"/>
  <c r="R752" i="39"/>
  <c r="T752" i="39" s="1"/>
  <c r="Q752" i="39"/>
  <c r="O752" i="39"/>
  <c r="AF751" i="39"/>
  <c r="AB751" i="39"/>
  <c r="AA751" i="39"/>
  <c r="W751" i="39"/>
  <c r="Y751" i="39" s="1"/>
  <c r="V751" i="39"/>
  <c r="R751" i="39"/>
  <c r="T751" i="39" s="1"/>
  <c r="Q751" i="39"/>
  <c r="O751" i="39"/>
  <c r="AF750" i="39"/>
  <c r="AB750" i="39"/>
  <c r="AA750" i="39"/>
  <c r="W750" i="39"/>
  <c r="Y750" i="39" s="1"/>
  <c r="V750" i="39"/>
  <c r="AG750" i="39" s="1"/>
  <c r="R750" i="39"/>
  <c r="T750" i="39" s="1"/>
  <c r="Q750" i="39"/>
  <c r="O750" i="39"/>
  <c r="AF749" i="39"/>
  <c r="AB749" i="39"/>
  <c r="AA749" i="39"/>
  <c r="W749" i="39"/>
  <c r="Y749" i="39" s="1"/>
  <c r="V749" i="39"/>
  <c r="R749" i="39"/>
  <c r="T749" i="39" s="1"/>
  <c r="Q749" i="39"/>
  <c r="O749" i="39"/>
  <c r="AF748" i="39"/>
  <c r="V748" i="39"/>
  <c r="AB748" i="39"/>
  <c r="AA748" i="39"/>
  <c r="W748" i="39"/>
  <c r="Y748" i="39" s="1"/>
  <c r="N748" i="39"/>
  <c r="R748" i="39" s="1"/>
  <c r="T748" i="39" s="1"/>
  <c r="AF747" i="39"/>
  <c r="AB747" i="39"/>
  <c r="AA747" i="39"/>
  <c r="W747" i="39"/>
  <c r="Y747" i="39" s="1"/>
  <c r="V747" i="39"/>
  <c r="AF746" i="39"/>
  <c r="AB746" i="39"/>
  <c r="AA746" i="39"/>
  <c r="W746" i="39"/>
  <c r="Y746" i="39" s="1"/>
  <c r="V746" i="39"/>
  <c r="R746" i="39"/>
  <c r="T746" i="39"/>
  <c r="Q746" i="39"/>
  <c r="O746" i="39"/>
  <c r="AF745" i="39"/>
  <c r="AB745" i="39"/>
  <c r="AA745" i="39"/>
  <c r="W745" i="39"/>
  <c r="Y745" i="39" s="1"/>
  <c r="V745" i="39"/>
  <c r="AF744" i="39"/>
  <c r="AG744" i="39" s="1"/>
  <c r="Y744" i="39"/>
  <c r="R744" i="39"/>
  <c r="T744" i="39" s="1"/>
  <c r="Q744" i="39"/>
  <c r="O744" i="39"/>
  <c r="AF743" i="39"/>
  <c r="AA743" i="39"/>
  <c r="Y743" i="39"/>
  <c r="V743" i="39"/>
  <c r="T743" i="39"/>
  <c r="AF742" i="39"/>
  <c r="AB742" i="39"/>
  <c r="AA742" i="39"/>
  <c r="W742" i="39"/>
  <c r="Y742" i="39" s="1"/>
  <c r="V742" i="39"/>
  <c r="R742" i="39"/>
  <c r="T742" i="39" s="1"/>
  <c r="Q742" i="39"/>
  <c r="O742" i="39"/>
  <c r="AF741" i="39"/>
  <c r="AB741" i="39"/>
  <c r="AA741" i="39"/>
  <c r="W741" i="39"/>
  <c r="Y741" i="39" s="1"/>
  <c r="V741" i="39"/>
  <c r="R741" i="39"/>
  <c r="T741" i="39" s="1"/>
  <c r="Q741" i="39"/>
  <c r="O741" i="39"/>
  <c r="AF740" i="39"/>
  <c r="AB740" i="39"/>
  <c r="AA740" i="39"/>
  <c r="W740" i="39"/>
  <c r="Y740" i="39" s="1"/>
  <c r="V740" i="39"/>
  <c r="N740" i="39"/>
  <c r="AF739" i="39"/>
  <c r="AB739" i="39"/>
  <c r="AA739" i="39"/>
  <c r="W739" i="39"/>
  <c r="Y739" i="39" s="1"/>
  <c r="V739" i="39"/>
  <c r="AF738" i="39"/>
  <c r="AB738" i="39"/>
  <c r="AA738" i="39"/>
  <c r="W738" i="39"/>
  <c r="Y738" i="39" s="1"/>
  <c r="V738" i="39"/>
  <c r="AF737" i="39"/>
  <c r="AB737" i="39"/>
  <c r="AA737" i="39"/>
  <c r="W737" i="39"/>
  <c r="Y737" i="39" s="1"/>
  <c r="V737" i="39"/>
  <c r="R737" i="39"/>
  <c r="T737" i="39" s="1"/>
  <c r="Q737" i="39"/>
  <c r="O737" i="39"/>
  <c r="AF736" i="39"/>
  <c r="V736" i="39"/>
  <c r="AB736" i="39"/>
  <c r="AA736" i="39"/>
  <c r="W736" i="39"/>
  <c r="Y736" i="39" s="1"/>
  <c r="AF735" i="39"/>
  <c r="AG735" i="39" s="1"/>
  <c r="V735" i="39"/>
  <c r="AF734" i="39"/>
  <c r="AA734" i="39"/>
  <c r="Y734" i="39"/>
  <c r="V734" i="39"/>
  <c r="T734" i="39"/>
  <c r="AF733" i="39"/>
  <c r="AB733" i="39"/>
  <c r="AA733" i="39"/>
  <c r="W733" i="39"/>
  <c r="V733" i="39"/>
  <c r="AF732" i="39"/>
  <c r="AB732" i="39"/>
  <c r="AA732" i="39"/>
  <c r="W732" i="39"/>
  <c r="Y732" i="39" s="1"/>
  <c r="V732" i="39"/>
  <c r="R732" i="39"/>
  <c r="T732" i="39" s="1"/>
  <c r="Q732" i="39"/>
  <c r="O732" i="39"/>
  <c r="AF731" i="39"/>
  <c r="AB731" i="39"/>
  <c r="AA731" i="39"/>
  <c r="W731" i="39"/>
  <c r="Y731" i="39" s="1"/>
  <c r="V731" i="39"/>
  <c r="N731" i="39"/>
  <c r="O731" i="39" s="1"/>
  <c r="AF730" i="39"/>
  <c r="AB730" i="39"/>
  <c r="AA730" i="39"/>
  <c r="W730" i="39"/>
  <c r="Y730" i="39" s="1"/>
  <c r="V730" i="39"/>
  <c r="AG730" i="39" s="1"/>
  <c r="AF729" i="39"/>
  <c r="AB729" i="39"/>
  <c r="AA729" i="39"/>
  <c r="W729" i="39"/>
  <c r="Y729" i="39" s="1"/>
  <c r="V729" i="39"/>
  <c r="R729" i="39"/>
  <c r="T729" i="39" s="1"/>
  <c r="Q729" i="39"/>
  <c r="O729" i="39"/>
  <c r="AF728" i="39"/>
  <c r="AB728" i="39"/>
  <c r="AA728" i="39"/>
  <c r="W728" i="39"/>
  <c r="Y728" i="39" s="1"/>
  <c r="V728" i="39"/>
  <c r="R728" i="39"/>
  <c r="T728" i="39" s="1"/>
  <c r="Q728" i="39"/>
  <c r="O728" i="39"/>
  <c r="AF727" i="39"/>
  <c r="AB727" i="39"/>
  <c r="AA727" i="39"/>
  <c r="W727" i="39"/>
  <c r="Y727" i="39" s="1"/>
  <c r="V727" i="39"/>
  <c r="N727" i="39"/>
  <c r="R727" i="39" s="1"/>
  <c r="T727" i="39" s="1"/>
  <c r="AF726" i="39"/>
  <c r="AB726" i="39"/>
  <c r="AA726" i="39"/>
  <c r="W726" i="39"/>
  <c r="Y726" i="39" s="1"/>
  <c r="V726" i="39"/>
  <c r="AF725" i="39"/>
  <c r="AB725" i="39"/>
  <c r="AA725" i="39"/>
  <c r="W725" i="39"/>
  <c r="Y725" i="39" s="1"/>
  <c r="V725" i="39"/>
  <c r="AF724" i="39"/>
  <c r="AG724" i="39" s="1"/>
  <c r="Y724" i="39"/>
  <c r="R724" i="39"/>
  <c r="T724" i="39" s="1"/>
  <c r="Q724" i="39"/>
  <c r="O724" i="39"/>
  <c r="AF723" i="39"/>
  <c r="AA723" i="39"/>
  <c r="Y723" i="39"/>
  <c r="V723" i="39"/>
  <c r="T723" i="39"/>
  <c r="AF722" i="39"/>
  <c r="AB722" i="39"/>
  <c r="AA722" i="39"/>
  <c r="W722" i="39"/>
  <c r="V722" i="39"/>
  <c r="AF721" i="39"/>
  <c r="AB721" i="39"/>
  <c r="AA721" i="39"/>
  <c r="W721" i="39"/>
  <c r="Y721" i="39" s="1"/>
  <c r="V721" i="39"/>
  <c r="R721" i="39"/>
  <c r="T721" i="39" s="1"/>
  <c r="Q721" i="39"/>
  <c r="O721" i="39"/>
  <c r="AF720" i="39"/>
  <c r="AB720" i="39"/>
  <c r="AA720" i="39"/>
  <c r="W720" i="39"/>
  <c r="Y720" i="39" s="1"/>
  <c r="V720" i="39"/>
  <c r="N720" i="39"/>
  <c r="AF719" i="39"/>
  <c r="AB719" i="39"/>
  <c r="AA719" i="39"/>
  <c r="W719" i="39"/>
  <c r="Y719" i="39" s="1"/>
  <c r="V719" i="39"/>
  <c r="AF718" i="39"/>
  <c r="AB718" i="39"/>
  <c r="AA718" i="39"/>
  <c r="W718" i="39"/>
  <c r="Y718" i="39" s="1"/>
  <c r="V718" i="39"/>
  <c r="AF717" i="39"/>
  <c r="AB717" i="39"/>
  <c r="AA717" i="39"/>
  <c r="W717" i="39"/>
  <c r="V717" i="39"/>
  <c r="R717" i="39"/>
  <c r="Q717" i="39"/>
  <c r="AF716" i="39"/>
  <c r="AB716" i="39"/>
  <c r="AA716" i="39"/>
  <c r="W716" i="39"/>
  <c r="Y716" i="39" s="1"/>
  <c r="V716" i="39"/>
  <c r="AF715" i="39"/>
  <c r="AG715" i="39" s="1"/>
  <c r="R715" i="39"/>
  <c r="Q715" i="39"/>
  <c r="AF714" i="39"/>
  <c r="V714" i="39"/>
  <c r="AA714" i="39"/>
  <c r="Y714" i="39"/>
  <c r="T714" i="39"/>
  <c r="AF713" i="39"/>
  <c r="AB713" i="39"/>
  <c r="AA713" i="39"/>
  <c r="W713" i="39"/>
  <c r="V713" i="39"/>
  <c r="AF712" i="39"/>
  <c r="AB712" i="39"/>
  <c r="AA712" i="39"/>
  <c r="W712" i="39"/>
  <c r="Y712" i="39" s="1"/>
  <c r="V712" i="39"/>
  <c r="R712" i="39"/>
  <c r="T712" i="39" s="1"/>
  <c r="Q712" i="39"/>
  <c r="O712" i="39"/>
  <c r="AF711" i="39"/>
  <c r="AB711" i="39"/>
  <c r="AA711" i="39"/>
  <c r="W711" i="39"/>
  <c r="Y711" i="39" s="1"/>
  <c r="V711" i="39"/>
  <c r="R711" i="39"/>
  <c r="T711" i="39" s="1"/>
  <c r="Q711" i="39"/>
  <c r="O711" i="39"/>
  <c r="AF710" i="39"/>
  <c r="AB710" i="39"/>
  <c r="AA710" i="39"/>
  <c r="W710" i="39"/>
  <c r="Y710" i="39" s="1"/>
  <c r="V710" i="39"/>
  <c r="R710" i="39"/>
  <c r="T710" i="39" s="1"/>
  <c r="Q710" i="39"/>
  <c r="O710" i="39"/>
  <c r="AF709" i="39"/>
  <c r="AB709" i="39"/>
  <c r="AA709" i="39"/>
  <c r="W709" i="39"/>
  <c r="Y709" i="39" s="1"/>
  <c r="V709" i="39"/>
  <c r="AG709" i="39" s="1"/>
  <c r="R709" i="39"/>
  <c r="T709" i="39" s="1"/>
  <c r="Q709" i="39"/>
  <c r="O709" i="39"/>
  <c r="AF708" i="39"/>
  <c r="AB708" i="39"/>
  <c r="AA708" i="39"/>
  <c r="W708" i="39"/>
  <c r="Y708" i="39" s="1"/>
  <c r="V708" i="39"/>
  <c r="R708" i="39"/>
  <c r="T708" i="39" s="1"/>
  <c r="Q708" i="39"/>
  <c r="O708" i="39"/>
  <c r="AF707" i="39"/>
  <c r="AB707" i="39"/>
  <c r="AA707" i="39"/>
  <c r="W707" i="39"/>
  <c r="Y707" i="39" s="1"/>
  <c r="V707" i="39"/>
  <c r="R707" i="39"/>
  <c r="T707" i="39" s="1"/>
  <c r="Q707" i="39"/>
  <c r="O707" i="39"/>
  <c r="AF706" i="39"/>
  <c r="AB706" i="39"/>
  <c r="AA706" i="39"/>
  <c r="W706" i="39"/>
  <c r="Y706" i="39" s="1"/>
  <c r="V706" i="39"/>
  <c r="R706" i="39"/>
  <c r="T706" i="39" s="1"/>
  <c r="Q706" i="39"/>
  <c r="O706" i="39"/>
  <c r="AF705" i="39"/>
  <c r="AG705" i="39" s="1"/>
  <c r="AB705" i="39"/>
  <c r="AA705" i="39"/>
  <c r="W705" i="39"/>
  <c r="Y705" i="39" s="1"/>
  <c r="R705" i="39"/>
  <c r="T705" i="39" s="1"/>
  <c r="Q705" i="39"/>
  <c r="O705" i="39"/>
  <c r="AF704" i="39"/>
  <c r="AB704" i="39"/>
  <c r="AA704" i="39"/>
  <c r="W704" i="39"/>
  <c r="Y704" i="39" s="1"/>
  <c r="V704" i="39"/>
  <c r="R704" i="39"/>
  <c r="T704" i="39" s="1"/>
  <c r="Q704" i="39"/>
  <c r="O704" i="39"/>
  <c r="AF703" i="39"/>
  <c r="AG703" i="39" s="1"/>
  <c r="Y703" i="39"/>
  <c r="R703" i="39"/>
  <c r="T703" i="39" s="1"/>
  <c r="Q703" i="39"/>
  <c r="O703" i="39"/>
  <c r="AF702" i="39"/>
  <c r="AA702" i="39"/>
  <c r="Y702" i="39"/>
  <c r="V702" i="39"/>
  <c r="T702" i="39"/>
  <c r="Q702" i="39"/>
  <c r="O702" i="39"/>
  <c r="AF701" i="39"/>
  <c r="AG701" i="39" s="1"/>
  <c r="AF700" i="39"/>
  <c r="AA700" i="39"/>
  <c r="W700" i="39"/>
  <c r="Y700" i="39" s="1"/>
  <c r="V700" i="39"/>
  <c r="R700" i="39"/>
  <c r="T700" i="39" s="1"/>
  <c r="Q700" i="39"/>
  <c r="O700" i="39"/>
  <c r="Z699" i="39"/>
  <c r="X699" i="39"/>
  <c r="U699" i="39"/>
  <c r="U696" i="39"/>
  <c r="S699" i="39"/>
  <c r="P699" i="39"/>
  <c r="N699" i="39"/>
  <c r="O699" i="39" s="1"/>
  <c r="AF698" i="39"/>
  <c r="AB698" i="39"/>
  <c r="AA698" i="39"/>
  <c r="W698" i="39"/>
  <c r="Y698" i="39" s="1"/>
  <c r="V698" i="39"/>
  <c r="R698" i="39"/>
  <c r="T698" i="39" s="1"/>
  <c r="Q698" i="39"/>
  <c r="O698" i="39"/>
  <c r="AF697" i="39"/>
  <c r="AB697" i="39"/>
  <c r="AA697" i="39"/>
  <c r="W697" i="39"/>
  <c r="Y697" i="39" s="1"/>
  <c r="V697" i="39"/>
  <c r="R697" i="39"/>
  <c r="T697" i="39" s="1"/>
  <c r="Q697" i="39"/>
  <c r="O697" i="39"/>
  <c r="Z696" i="39"/>
  <c r="Z695" i="39" s="1"/>
  <c r="Z694" i="39" s="1"/>
  <c r="Z693" i="39" s="1"/>
  <c r="X696" i="39"/>
  <c r="S696" i="39"/>
  <c r="P696" i="39"/>
  <c r="N696" i="39"/>
  <c r="AF692" i="39"/>
  <c r="AG692" i="39" s="1"/>
  <c r="AF691" i="39"/>
  <c r="X691" i="39"/>
  <c r="X690" i="39" s="1"/>
  <c r="W691" i="39"/>
  <c r="V691" i="39"/>
  <c r="R691" i="39"/>
  <c r="T691" i="39" s="1"/>
  <c r="Q691" i="39"/>
  <c r="O691" i="39"/>
  <c r="Z690" i="39"/>
  <c r="U690" i="39"/>
  <c r="S690" i="39"/>
  <c r="P690" i="39"/>
  <c r="N690" i="39"/>
  <c r="AF689" i="39"/>
  <c r="AA689" i="39"/>
  <c r="Y689" i="39"/>
  <c r="V689" i="39"/>
  <c r="T689" i="39"/>
  <c r="Q689" i="39"/>
  <c r="O689" i="39"/>
  <c r="X688" i="39"/>
  <c r="X687" i="39" s="1"/>
  <c r="R688" i="39"/>
  <c r="Q688" i="39"/>
  <c r="O688" i="39"/>
  <c r="Z687" i="39"/>
  <c r="U687" i="39"/>
  <c r="U686" i="39" s="1"/>
  <c r="U685" i="39" s="1"/>
  <c r="P687" i="39"/>
  <c r="N687" i="39"/>
  <c r="AF684" i="39"/>
  <c r="AG684" i="39" s="1"/>
  <c r="AF683" i="39"/>
  <c r="AA683" i="39"/>
  <c r="W683" i="39"/>
  <c r="Y683" i="39" s="1"/>
  <c r="V683" i="39"/>
  <c r="R683" i="39"/>
  <c r="T683" i="39" s="1"/>
  <c r="Q683" i="39"/>
  <c r="O683" i="39"/>
  <c r="AF682" i="39"/>
  <c r="AA682" i="39"/>
  <c r="W682" i="39"/>
  <c r="Y682" i="39" s="1"/>
  <c r="V682" i="39"/>
  <c r="AG682" i="39" s="1"/>
  <c r="R682" i="39"/>
  <c r="T682" i="39" s="1"/>
  <c r="Q682" i="39"/>
  <c r="O682" i="39"/>
  <c r="AF681" i="39"/>
  <c r="AA681" i="39"/>
  <c r="Y681" i="39"/>
  <c r="V681" i="39"/>
  <c r="T681" i="39"/>
  <c r="Q681" i="39"/>
  <c r="O681" i="39"/>
  <c r="AF680" i="39"/>
  <c r="AA680" i="39"/>
  <c r="W680" i="39"/>
  <c r="Y680" i="39" s="1"/>
  <c r="V680" i="39"/>
  <c r="AG680" i="39" s="1"/>
  <c r="R680" i="39"/>
  <c r="T680" i="39" s="1"/>
  <c r="Q680" i="39"/>
  <c r="O680" i="39"/>
  <c r="AF679" i="39"/>
  <c r="AA679" i="39"/>
  <c r="W679" i="39"/>
  <c r="Y679" i="39" s="1"/>
  <c r="V679" i="39"/>
  <c r="R679" i="39"/>
  <c r="T679" i="39" s="1"/>
  <c r="Q679" i="39"/>
  <c r="O679" i="39"/>
  <c r="AF678" i="39"/>
  <c r="AA678" i="39"/>
  <c r="W678" i="39"/>
  <c r="Y678" i="39" s="1"/>
  <c r="V678" i="39"/>
  <c r="AG678" i="39" s="1"/>
  <c r="R678" i="39"/>
  <c r="T678" i="39" s="1"/>
  <c r="Q678" i="39"/>
  <c r="O678" i="39"/>
  <c r="AF677" i="39"/>
  <c r="AA677" i="39"/>
  <c r="Y677" i="39"/>
  <c r="V677" i="39"/>
  <c r="T677" i="39"/>
  <c r="Q677" i="39"/>
  <c r="O677" i="39"/>
  <c r="AF676" i="39"/>
  <c r="V676" i="39"/>
  <c r="AA676" i="39"/>
  <c r="Y676" i="39"/>
  <c r="T676" i="39"/>
  <c r="Q676" i="39"/>
  <c r="O676" i="39"/>
  <c r="AF675" i="39"/>
  <c r="AA675" i="39"/>
  <c r="W675" i="39"/>
  <c r="Y675" i="39" s="1"/>
  <c r="V675" i="39"/>
  <c r="R675" i="39"/>
  <c r="T675" i="39" s="1"/>
  <c r="Q675" i="39"/>
  <c r="O675" i="39"/>
  <c r="AF674" i="39"/>
  <c r="AA674" i="39"/>
  <c r="W674" i="39"/>
  <c r="Y674" i="39" s="1"/>
  <c r="V674" i="39"/>
  <c r="AG674" i="39" s="1"/>
  <c r="R674" i="39"/>
  <c r="T674" i="39" s="1"/>
  <c r="Q674" i="39"/>
  <c r="O674" i="39"/>
  <c r="AF673" i="39"/>
  <c r="AB673" i="39"/>
  <c r="AA673" i="39"/>
  <c r="W673" i="39"/>
  <c r="Y673" i="39" s="1"/>
  <c r="V673" i="39"/>
  <c r="R673" i="39"/>
  <c r="T673" i="39" s="1"/>
  <c r="Q673" i="39"/>
  <c r="O673" i="39"/>
  <c r="AF672" i="39"/>
  <c r="AG672" i="39" s="1"/>
  <c r="AA672" i="39"/>
  <c r="W672" i="39"/>
  <c r="Y672" i="39" s="1"/>
  <c r="V672" i="39"/>
  <c r="R672" i="39"/>
  <c r="T672" i="39" s="1"/>
  <c r="Q672" i="39"/>
  <c r="O672" i="39"/>
  <c r="AF671" i="39"/>
  <c r="AA671" i="39"/>
  <c r="Y671" i="39"/>
  <c r="V671" i="39"/>
  <c r="AG671" i="39" s="1"/>
  <c r="T671" i="39"/>
  <c r="Q671" i="39"/>
  <c r="O671" i="39"/>
  <c r="AF670" i="39"/>
  <c r="AB670" i="39"/>
  <c r="AA670" i="39"/>
  <c r="W670" i="39"/>
  <c r="Y670" i="39" s="1"/>
  <c r="V670" i="39"/>
  <c r="R670" i="39"/>
  <c r="T670" i="39" s="1"/>
  <c r="Q670" i="39"/>
  <c r="O670" i="39"/>
  <c r="AF669" i="39"/>
  <c r="AB669" i="39"/>
  <c r="AA669" i="39"/>
  <c r="W669" i="39"/>
  <c r="Y669" i="39" s="1"/>
  <c r="V669" i="39"/>
  <c r="R669" i="39"/>
  <c r="T669" i="39" s="1"/>
  <c r="Q669" i="39"/>
  <c r="O669" i="39"/>
  <c r="Z668" i="39"/>
  <c r="X668" i="39"/>
  <c r="U668" i="39"/>
  <c r="S668" i="39"/>
  <c r="P668" i="39"/>
  <c r="N668" i="39"/>
  <c r="O668" i="39" s="1"/>
  <c r="AF667" i="39"/>
  <c r="AA667" i="39"/>
  <c r="W667" i="39"/>
  <c r="Y667" i="39" s="1"/>
  <c r="V667" i="39"/>
  <c r="R667" i="39"/>
  <c r="T667" i="39" s="1"/>
  <c r="Q667" i="39"/>
  <c r="O667" i="39"/>
  <c r="AF666" i="39"/>
  <c r="AA666" i="39"/>
  <c r="Y666" i="39"/>
  <c r="V666" i="39"/>
  <c r="AG666" i="39" s="1"/>
  <c r="R666" i="39"/>
  <c r="T666" i="39" s="1"/>
  <c r="Q666" i="39"/>
  <c r="O666" i="39"/>
  <c r="AF665" i="39"/>
  <c r="AG665" i="39" s="1"/>
  <c r="AA665" i="39"/>
  <c r="Y665" i="39"/>
  <c r="V665" i="39"/>
  <c r="R665" i="39"/>
  <c r="T665" i="39" s="1"/>
  <c r="Q665" i="39"/>
  <c r="O665" i="39"/>
  <c r="AF664" i="39"/>
  <c r="AA664" i="39"/>
  <c r="Y664" i="39"/>
  <c r="V664" i="39"/>
  <c r="AG664" i="39" s="1"/>
  <c r="R664" i="39"/>
  <c r="T664" i="39"/>
  <c r="Q664" i="39"/>
  <c r="O664" i="39"/>
  <c r="AF663" i="39"/>
  <c r="V663" i="39"/>
  <c r="AA663" i="39"/>
  <c r="Y663" i="39"/>
  <c r="R663" i="39"/>
  <c r="T663" i="39" s="1"/>
  <c r="Q663" i="39"/>
  <c r="O663" i="39"/>
  <c r="AF662" i="39"/>
  <c r="AA662" i="39"/>
  <c r="Y662" i="39"/>
  <c r="V662" i="39"/>
  <c r="R662" i="39"/>
  <c r="T662" i="39" s="1"/>
  <c r="Q662" i="39"/>
  <c r="O662" i="39"/>
  <c r="AF661" i="39"/>
  <c r="AA661" i="39"/>
  <c r="Y661" i="39"/>
  <c r="V661" i="39"/>
  <c r="AG661" i="39" s="1"/>
  <c r="R661" i="39"/>
  <c r="T661" i="39" s="1"/>
  <c r="Q661" i="39"/>
  <c r="O661" i="39"/>
  <c r="AF660" i="39"/>
  <c r="AB660" i="39"/>
  <c r="AA660" i="39"/>
  <c r="W660" i="39"/>
  <c r="Y660" i="39"/>
  <c r="V660" i="39"/>
  <c r="R660" i="39"/>
  <c r="T660" i="39" s="1"/>
  <c r="Q660" i="39"/>
  <c r="O660" i="39"/>
  <c r="AF659" i="39"/>
  <c r="AB659" i="39"/>
  <c r="AA659" i="39"/>
  <c r="W659" i="39"/>
  <c r="Y659" i="39" s="1"/>
  <c r="V659" i="39"/>
  <c r="R659" i="39"/>
  <c r="T659" i="39" s="1"/>
  <c r="Q659" i="39"/>
  <c r="O659" i="39"/>
  <c r="AF658" i="39"/>
  <c r="AB658" i="39"/>
  <c r="AA658" i="39"/>
  <c r="W658" i="39"/>
  <c r="Y658" i="39" s="1"/>
  <c r="V658" i="39"/>
  <c r="R658" i="39"/>
  <c r="T658" i="39" s="1"/>
  <c r="Q658" i="39"/>
  <c r="O658" i="39"/>
  <c r="AF657" i="39"/>
  <c r="AB657" i="39"/>
  <c r="AA657" i="39"/>
  <c r="W657" i="39"/>
  <c r="Y657" i="39" s="1"/>
  <c r="V657" i="39"/>
  <c r="R657" i="39"/>
  <c r="T657" i="39" s="1"/>
  <c r="Q657" i="39"/>
  <c r="O657" i="39"/>
  <c r="AF656" i="39"/>
  <c r="AB656" i="39"/>
  <c r="AA656" i="39"/>
  <c r="W656" i="39"/>
  <c r="Y656" i="39" s="1"/>
  <c r="V656" i="39"/>
  <c r="R656" i="39"/>
  <c r="T656" i="39" s="1"/>
  <c r="Q656" i="39"/>
  <c r="O656" i="39"/>
  <c r="AF655" i="39"/>
  <c r="AG655" i="39" s="1"/>
  <c r="Y655" i="39"/>
  <c r="R655" i="39"/>
  <c r="T655" i="39" s="1"/>
  <c r="Q655" i="39"/>
  <c r="O655" i="39"/>
  <c r="Z654" i="39"/>
  <c r="X654" i="39"/>
  <c r="U654" i="39"/>
  <c r="S654" i="39"/>
  <c r="P654" i="39"/>
  <c r="V654" i="39" s="1"/>
  <c r="N654" i="39"/>
  <c r="AF653" i="39"/>
  <c r="AB653" i="39"/>
  <c r="AA653" i="39"/>
  <c r="W653" i="39"/>
  <c r="Y653" i="39" s="1"/>
  <c r="V653" i="39"/>
  <c r="R653" i="39"/>
  <c r="T653" i="39" s="1"/>
  <c r="Q653" i="39"/>
  <c r="O653" i="39"/>
  <c r="AF652" i="39"/>
  <c r="V652" i="39"/>
  <c r="AB652" i="39"/>
  <c r="AA652" i="39"/>
  <c r="W652" i="39"/>
  <c r="Y652" i="39" s="1"/>
  <c r="R652" i="39"/>
  <c r="T652" i="39" s="1"/>
  <c r="Q652" i="39"/>
  <c r="O652" i="39"/>
  <c r="AF651" i="39"/>
  <c r="AB651" i="39"/>
  <c r="AA651" i="39"/>
  <c r="W651" i="39"/>
  <c r="Y651" i="39" s="1"/>
  <c r="V651" i="39"/>
  <c r="R651" i="39"/>
  <c r="T651" i="39" s="1"/>
  <c r="Q651" i="39"/>
  <c r="O651" i="39"/>
  <c r="AF650" i="39"/>
  <c r="AB650" i="39"/>
  <c r="AA650" i="39"/>
  <c r="W650" i="39"/>
  <c r="Y650" i="39" s="1"/>
  <c r="V650" i="39"/>
  <c r="R650" i="39"/>
  <c r="T650" i="39" s="1"/>
  <c r="Q650" i="39"/>
  <c r="O650" i="39"/>
  <c r="Z649" i="39"/>
  <c r="X649" i="39"/>
  <c r="U649" i="39"/>
  <c r="S649" i="39"/>
  <c r="P649" i="39"/>
  <c r="N649" i="39"/>
  <c r="O649" i="39" s="1"/>
  <c r="AF648" i="39"/>
  <c r="AB648" i="39"/>
  <c r="AA648" i="39"/>
  <c r="W648" i="39"/>
  <c r="Y648" i="39" s="1"/>
  <c r="V648" i="39"/>
  <c r="R648" i="39"/>
  <c r="T648" i="39" s="1"/>
  <c r="Q648" i="39"/>
  <c r="O648" i="39"/>
  <c r="Z647" i="39"/>
  <c r="X647" i="39"/>
  <c r="U647" i="39"/>
  <c r="S647" i="39"/>
  <c r="P647" i="39"/>
  <c r="W647" i="39" s="1"/>
  <c r="Y647" i="39" s="1"/>
  <c r="N647" i="39"/>
  <c r="O647" i="39" s="1"/>
  <c r="AF646" i="39"/>
  <c r="X646" i="39"/>
  <c r="AB646" i="39" s="1"/>
  <c r="W646" i="39"/>
  <c r="V646" i="39"/>
  <c r="R646" i="39"/>
  <c r="T646" i="39" s="1"/>
  <c r="Q646" i="39"/>
  <c r="O646" i="39"/>
  <c r="AF645" i="39"/>
  <c r="AA645" i="39"/>
  <c r="W645" i="39"/>
  <c r="Y645" i="39" s="1"/>
  <c r="V645" i="39"/>
  <c r="R645" i="39"/>
  <c r="T645" i="39" s="1"/>
  <c r="Q645" i="39"/>
  <c r="O645" i="39"/>
  <c r="AF644" i="39"/>
  <c r="V644" i="39"/>
  <c r="AA644" i="39"/>
  <c r="W644" i="39"/>
  <c r="Y644" i="39" s="1"/>
  <c r="R644" i="39"/>
  <c r="T644" i="39" s="1"/>
  <c r="Q644" i="39"/>
  <c r="O644" i="39"/>
  <c r="AF643" i="39"/>
  <c r="AA643" i="39"/>
  <c r="W643" i="39"/>
  <c r="Y643" i="39" s="1"/>
  <c r="V643" i="39"/>
  <c r="AG643" i="39" s="1"/>
  <c r="R643" i="39"/>
  <c r="T643" i="39" s="1"/>
  <c r="Q643" i="39"/>
  <c r="O643" i="39"/>
  <c r="AF642" i="39"/>
  <c r="AA642" i="39"/>
  <c r="W642" i="39"/>
  <c r="Y642" i="39" s="1"/>
  <c r="V642" i="39"/>
  <c r="R642" i="39"/>
  <c r="T642" i="39" s="1"/>
  <c r="Q642" i="39"/>
  <c r="O642" i="39"/>
  <c r="AF641" i="39"/>
  <c r="AA641" i="39"/>
  <c r="W641" i="39"/>
  <c r="Y641" i="39" s="1"/>
  <c r="V641" i="39"/>
  <c r="R641" i="39"/>
  <c r="T641" i="39" s="1"/>
  <c r="Q641" i="39"/>
  <c r="O641" i="39"/>
  <c r="AF640" i="39"/>
  <c r="AA640" i="39"/>
  <c r="Y640" i="39"/>
  <c r="V640" i="39"/>
  <c r="T640" i="39"/>
  <c r="Q640" i="39"/>
  <c r="O640" i="39"/>
  <c r="AF639" i="39"/>
  <c r="AA639" i="39"/>
  <c r="W639" i="39"/>
  <c r="Y639" i="39" s="1"/>
  <c r="V639" i="39"/>
  <c r="AG639" i="39" s="1"/>
  <c r="R639" i="39"/>
  <c r="T639" i="39" s="1"/>
  <c r="Q639" i="39"/>
  <c r="O639" i="39"/>
  <c r="AF636" i="39"/>
  <c r="AG636" i="39" s="1"/>
  <c r="Q635" i="39"/>
  <c r="Z634" i="39"/>
  <c r="U634" i="39"/>
  <c r="P634" i="39"/>
  <c r="N634" i="39"/>
  <c r="AF631" i="39"/>
  <c r="AG631" i="39" s="1"/>
  <c r="AF630" i="39"/>
  <c r="AB630" i="39"/>
  <c r="AA630" i="39"/>
  <c r="Y630" i="39"/>
  <c r="V630" i="39"/>
  <c r="R630" i="39"/>
  <c r="T630" i="39" s="1"/>
  <c r="Q630" i="39"/>
  <c r="O630" i="39"/>
  <c r="AF629" i="39"/>
  <c r="AB629" i="39"/>
  <c r="AA629" i="39"/>
  <c r="Y629" i="39"/>
  <c r="V629" i="39"/>
  <c r="N629" i="39"/>
  <c r="O629" i="39" s="1"/>
  <c r="AF628" i="39"/>
  <c r="AG628" i="39" s="1"/>
  <c r="AB628" i="39"/>
  <c r="AA628" i="39"/>
  <c r="Y628" i="39"/>
  <c r="AF627" i="39"/>
  <c r="AG627" i="39" s="1"/>
  <c r="Y627" i="39"/>
  <c r="R627" i="39"/>
  <c r="T627" i="39" s="1"/>
  <c r="Q627" i="39"/>
  <c r="O627" i="39"/>
  <c r="AB625" i="39"/>
  <c r="AA625" i="39"/>
  <c r="AB624" i="39"/>
  <c r="AA624" i="39"/>
  <c r="AB623" i="39"/>
  <c r="AA623" i="39"/>
  <c r="AB622" i="39"/>
  <c r="AA622" i="39"/>
  <c r="AB621" i="39"/>
  <c r="AA621" i="39"/>
  <c r="X620" i="39"/>
  <c r="S620" i="39"/>
  <c r="W619" i="39"/>
  <c r="V619" i="39"/>
  <c r="V618" i="39" s="1"/>
  <c r="V617" i="39" s="1"/>
  <c r="U619" i="39"/>
  <c r="U618" i="39" s="1"/>
  <c r="U617" i="39" s="1"/>
  <c r="T619" i="39"/>
  <c r="T618" i="39" s="1"/>
  <c r="T617" i="39" s="1"/>
  <c r="R619" i="39"/>
  <c r="Q619" i="39"/>
  <c r="O619" i="39"/>
  <c r="Z618" i="39"/>
  <c r="Z617" i="39" s="1"/>
  <c r="W618" i="39"/>
  <c r="W617" i="39" s="1"/>
  <c r="P618" i="39"/>
  <c r="R618" i="39" s="1"/>
  <c r="N618" i="39"/>
  <c r="O618" i="39" s="1"/>
  <c r="AF616" i="39"/>
  <c r="AG616" i="39" s="1"/>
  <c r="Y616" i="39"/>
  <c r="T616" i="39"/>
  <c r="O616" i="39"/>
  <c r="AB615" i="39"/>
  <c r="AA615" i="39"/>
  <c r="X614" i="39"/>
  <c r="AA614" i="39" s="1"/>
  <c r="W613" i="39"/>
  <c r="V613" i="39"/>
  <c r="U613" i="39"/>
  <c r="U612" i="39" s="1"/>
  <c r="U611" i="39" s="1"/>
  <c r="T613" i="39"/>
  <c r="S613" i="39"/>
  <c r="AF613" i="39" s="1"/>
  <c r="R613" i="39"/>
  <c r="Q613" i="39"/>
  <c r="O613" i="39"/>
  <c r="Z612" i="39"/>
  <c r="Z611" i="39" s="1"/>
  <c r="P612" i="39"/>
  <c r="N612" i="39"/>
  <c r="N611" i="39" s="1"/>
  <c r="O611" i="39" s="1"/>
  <c r="AF610" i="39"/>
  <c r="AG610" i="39" s="1"/>
  <c r="Z609" i="39"/>
  <c r="U609" i="39"/>
  <c r="S609" i="39"/>
  <c r="P609" i="39"/>
  <c r="Q609" i="39" s="1"/>
  <c r="O609" i="39"/>
  <c r="AB608" i="39"/>
  <c r="AA608" i="39"/>
  <c r="Z608" i="39"/>
  <c r="Z606" i="39" s="1"/>
  <c r="U608" i="39"/>
  <c r="P608" i="39"/>
  <c r="AF608" i="39" s="1"/>
  <c r="O608" i="39"/>
  <c r="AB607" i="39"/>
  <c r="AA607" i="39"/>
  <c r="Z607" i="39"/>
  <c r="U607" i="39"/>
  <c r="P607" i="39"/>
  <c r="R607" i="39" s="1"/>
  <c r="T607" i="39" s="1"/>
  <c r="O607" i="39"/>
  <c r="X606" i="39"/>
  <c r="N606" i="39"/>
  <c r="O606" i="39" s="1"/>
  <c r="AF605" i="39"/>
  <c r="AG605" i="39" s="1"/>
  <c r="Z604" i="39"/>
  <c r="X604" i="39"/>
  <c r="X599" i="39" s="1"/>
  <c r="U604" i="39"/>
  <c r="U602" i="39"/>
  <c r="S604" i="39"/>
  <c r="P604" i="39"/>
  <c r="R604" i="39" s="1"/>
  <c r="O604" i="39"/>
  <c r="AF603" i="39"/>
  <c r="AG603" i="39" s="1"/>
  <c r="AA603" i="39"/>
  <c r="Z602" i="39"/>
  <c r="S602" i="39"/>
  <c r="P602" i="39"/>
  <c r="V602" i="39" s="1"/>
  <c r="O602" i="39"/>
  <c r="AF601" i="39"/>
  <c r="AA601" i="39"/>
  <c r="Y601" i="39"/>
  <c r="V601" i="39"/>
  <c r="T601" i="39"/>
  <c r="Q601" i="39"/>
  <c r="O601" i="39"/>
  <c r="AF600" i="39"/>
  <c r="AB600" i="39"/>
  <c r="AA600" i="39"/>
  <c r="W600" i="39"/>
  <c r="Y600" i="39" s="1"/>
  <c r="V600" i="39"/>
  <c r="R600" i="39"/>
  <c r="T600" i="39" s="1"/>
  <c r="Q600" i="39"/>
  <c r="O600" i="39"/>
  <c r="N599" i="39"/>
  <c r="O599" i="39" s="1"/>
  <c r="AF596" i="39"/>
  <c r="AG596" i="39" s="1"/>
  <c r="AA596" i="39"/>
  <c r="AF595" i="39"/>
  <c r="AB595" i="39"/>
  <c r="AA595" i="39"/>
  <c r="W595" i="39"/>
  <c r="Y595" i="39" s="1"/>
  <c r="V595" i="39"/>
  <c r="R595" i="39"/>
  <c r="T595" i="39" s="1"/>
  <c r="Q595" i="39"/>
  <c r="O595" i="39"/>
  <c r="Z594" i="39"/>
  <c r="Z593" i="39" s="1"/>
  <c r="X594" i="39"/>
  <c r="X593" i="39" s="1"/>
  <c r="U594" i="39"/>
  <c r="U593" i="39" s="1"/>
  <c r="S594" i="39"/>
  <c r="P594" i="39"/>
  <c r="P593" i="39" s="1"/>
  <c r="N594" i="39"/>
  <c r="N593" i="39" s="1"/>
  <c r="O593" i="39" s="1"/>
  <c r="AF592" i="39"/>
  <c r="AB592" i="39"/>
  <c r="AA592" i="39"/>
  <c r="W592" i="39"/>
  <c r="Y592" i="39" s="1"/>
  <c r="V592" i="39"/>
  <c r="T592" i="39"/>
  <c r="O592" i="39"/>
  <c r="AF591" i="39"/>
  <c r="AB591" i="39"/>
  <c r="AA591" i="39"/>
  <c r="W591" i="39"/>
  <c r="Y591" i="39" s="1"/>
  <c r="V591" i="39"/>
  <c r="R591" i="39"/>
  <c r="T591" i="39" s="1"/>
  <c r="Q591" i="39"/>
  <c r="O591" i="39"/>
  <c r="AF590" i="39"/>
  <c r="AB590" i="39"/>
  <c r="AA590" i="39"/>
  <c r="W590" i="39"/>
  <c r="Y590" i="39" s="1"/>
  <c r="V590" i="39"/>
  <c r="R590" i="39"/>
  <c r="T590" i="39" s="1"/>
  <c r="Q590" i="39"/>
  <c r="O590" i="39"/>
  <c r="AF589" i="39"/>
  <c r="AB589" i="39"/>
  <c r="AA589" i="39"/>
  <c r="W589" i="39"/>
  <c r="Y589" i="39" s="1"/>
  <c r="V589" i="39"/>
  <c r="R589" i="39"/>
  <c r="T589" i="39" s="1"/>
  <c r="Q589" i="39"/>
  <c r="O589" i="39"/>
  <c r="AF588" i="39"/>
  <c r="AB588" i="39"/>
  <c r="AA588" i="39"/>
  <c r="W588" i="39"/>
  <c r="Y588" i="39" s="1"/>
  <c r="V588" i="39"/>
  <c r="N588" i="39"/>
  <c r="AF587" i="39"/>
  <c r="AB587" i="39"/>
  <c r="AA587" i="39"/>
  <c r="W587" i="39"/>
  <c r="Y587" i="39" s="1"/>
  <c r="V587" i="39"/>
  <c r="AF586" i="39"/>
  <c r="AB586" i="39"/>
  <c r="AA586" i="39"/>
  <c r="W586" i="39"/>
  <c r="Y586" i="39" s="1"/>
  <c r="V586" i="39"/>
  <c r="R586" i="39"/>
  <c r="T586" i="39" s="1"/>
  <c r="Q586" i="39"/>
  <c r="O586" i="39"/>
  <c r="AF585" i="39"/>
  <c r="AB585" i="39"/>
  <c r="AA585" i="39"/>
  <c r="W585" i="39"/>
  <c r="Y585" i="39" s="1"/>
  <c r="V585" i="39"/>
  <c r="R585" i="39"/>
  <c r="T585" i="39" s="1"/>
  <c r="Q585" i="39"/>
  <c r="O585" i="39"/>
  <c r="AF584" i="39"/>
  <c r="AB584" i="39"/>
  <c r="AA584" i="39"/>
  <c r="W584" i="39"/>
  <c r="Y584" i="39" s="1"/>
  <c r="V584" i="39"/>
  <c r="R584" i="39"/>
  <c r="T584" i="39" s="1"/>
  <c r="Q584" i="39"/>
  <c r="O584" i="39"/>
  <c r="AF583" i="39"/>
  <c r="AB583" i="39"/>
  <c r="AA583" i="39"/>
  <c r="W583" i="39"/>
  <c r="Y583" i="39" s="1"/>
  <c r="V583" i="39"/>
  <c r="AF582" i="39"/>
  <c r="V582" i="39"/>
  <c r="AB582" i="39"/>
  <c r="AA582" i="39"/>
  <c r="W582" i="39"/>
  <c r="Y582" i="39" s="1"/>
  <c r="R582" i="39"/>
  <c r="T582" i="39" s="1"/>
  <c r="Q582" i="39"/>
  <c r="O582" i="39"/>
  <c r="AF581" i="39"/>
  <c r="AB581" i="39"/>
  <c r="AA581" i="39"/>
  <c r="W581" i="39"/>
  <c r="Y581" i="39" s="1"/>
  <c r="V581" i="39"/>
  <c r="R581" i="39"/>
  <c r="T581" i="39" s="1"/>
  <c r="Q581" i="39"/>
  <c r="O581" i="39"/>
  <c r="AF580" i="39"/>
  <c r="AB580" i="39"/>
  <c r="AA580" i="39"/>
  <c r="W580" i="39"/>
  <c r="Y580" i="39" s="1"/>
  <c r="V580" i="39"/>
  <c r="R580" i="39"/>
  <c r="T580" i="39" s="1"/>
  <c r="Q580" i="39"/>
  <c r="O580" i="39"/>
  <c r="AF579" i="39"/>
  <c r="AB579" i="39"/>
  <c r="AA579" i="39"/>
  <c r="W579" i="39"/>
  <c r="Y579" i="39" s="1"/>
  <c r="V579" i="39"/>
  <c r="R579" i="39"/>
  <c r="T579" i="39" s="1"/>
  <c r="Q579" i="39"/>
  <c r="O579" i="39"/>
  <c r="AF578" i="39"/>
  <c r="AB578" i="39"/>
  <c r="AA578" i="39"/>
  <c r="W578" i="39"/>
  <c r="Y578" i="39" s="1"/>
  <c r="V578" i="39"/>
  <c r="R578" i="39"/>
  <c r="T578" i="39" s="1"/>
  <c r="Q578" i="39"/>
  <c r="O578" i="39"/>
  <c r="AF577" i="39"/>
  <c r="AB577" i="39"/>
  <c r="AA577" i="39"/>
  <c r="W577" i="39"/>
  <c r="Y577" i="39" s="1"/>
  <c r="V577" i="39"/>
  <c r="R577" i="39"/>
  <c r="T577" i="39" s="1"/>
  <c r="Q577" i="39"/>
  <c r="O577" i="39"/>
  <c r="AF576" i="39"/>
  <c r="AB576" i="39"/>
  <c r="AA576" i="39"/>
  <c r="W576" i="39"/>
  <c r="Y576" i="39" s="1"/>
  <c r="V576" i="39"/>
  <c r="R576" i="39"/>
  <c r="T576" i="39" s="1"/>
  <c r="Q576" i="39"/>
  <c r="O576" i="39"/>
  <c r="AF575" i="39"/>
  <c r="V575" i="39"/>
  <c r="AB575" i="39"/>
  <c r="AA575" i="39"/>
  <c r="W575" i="39"/>
  <c r="Y575" i="39" s="1"/>
  <c r="R575" i="39"/>
  <c r="T575" i="39" s="1"/>
  <c r="Q575" i="39"/>
  <c r="O575" i="39"/>
  <c r="AF574" i="39"/>
  <c r="V574" i="39"/>
  <c r="AB574" i="39"/>
  <c r="AA574" i="39"/>
  <c r="W574" i="39"/>
  <c r="Y574" i="39" s="1"/>
  <c r="AF573" i="39"/>
  <c r="W573" i="39"/>
  <c r="Y573" i="39" s="1"/>
  <c r="V573" i="39"/>
  <c r="R573" i="39"/>
  <c r="T573" i="39" s="1"/>
  <c r="Q573" i="39"/>
  <c r="O573" i="39"/>
  <c r="AF572" i="39"/>
  <c r="AA572" i="39"/>
  <c r="Y572" i="39"/>
  <c r="V572" i="39"/>
  <c r="AF571" i="39"/>
  <c r="AB571" i="39"/>
  <c r="AA571" i="39"/>
  <c r="W571" i="39"/>
  <c r="Y571" i="39" s="1"/>
  <c r="V571" i="39"/>
  <c r="R571" i="39"/>
  <c r="T571" i="39" s="1"/>
  <c r="Q571" i="39"/>
  <c r="O571" i="39"/>
  <c r="AF570" i="39"/>
  <c r="AB570" i="39"/>
  <c r="AA570" i="39"/>
  <c r="W570" i="39"/>
  <c r="Y570" i="39" s="1"/>
  <c r="V570" i="39"/>
  <c r="R570" i="39"/>
  <c r="T570" i="39" s="1"/>
  <c r="Q570" i="39"/>
  <c r="O570" i="39"/>
  <c r="AF569" i="39"/>
  <c r="AB569" i="39"/>
  <c r="AA569" i="39"/>
  <c r="W569" i="39"/>
  <c r="Y569" i="39" s="1"/>
  <c r="V569" i="39"/>
  <c r="N569" i="39"/>
  <c r="O569" i="39" s="1"/>
  <c r="AF568" i="39"/>
  <c r="AB568" i="39"/>
  <c r="AA568" i="39"/>
  <c r="W568" i="39"/>
  <c r="Y568" i="39" s="1"/>
  <c r="V568" i="39"/>
  <c r="AF567" i="39"/>
  <c r="AB567" i="39"/>
  <c r="AA567" i="39"/>
  <c r="W567" i="39"/>
  <c r="Y567" i="39" s="1"/>
  <c r="V567" i="39"/>
  <c r="R567" i="39"/>
  <c r="T567" i="39" s="1"/>
  <c r="Q567" i="39"/>
  <c r="O567" i="39"/>
  <c r="AF566" i="39"/>
  <c r="AB566" i="39"/>
  <c r="AA566" i="39"/>
  <c r="W566" i="39"/>
  <c r="Y566" i="39" s="1"/>
  <c r="V566" i="39"/>
  <c r="AF565" i="39"/>
  <c r="AG565" i="39" s="1"/>
  <c r="Y565" i="39"/>
  <c r="R565" i="39"/>
  <c r="T565" i="39" s="1"/>
  <c r="Q565" i="39"/>
  <c r="O565" i="39"/>
  <c r="AF564" i="39"/>
  <c r="AA564" i="39"/>
  <c r="Y564" i="39"/>
  <c r="V564" i="39"/>
  <c r="AF563" i="39"/>
  <c r="AB563" i="39"/>
  <c r="AA563" i="39"/>
  <c r="W563" i="39"/>
  <c r="Y563" i="39" s="1"/>
  <c r="V563" i="39"/>
  <c r="R563" i="39"/>
  <c r="T563" i="39" s="1"/>
  <c r="Q563" i="39"/>
  <c r="O563" i="39"/>
  <c r="AF562" i="39"/>
  <c r="AB562" i="39"/>
  <c r="AA562" i="39"/>
  <c r="W562" i="39"/>
  <c r="Y562" i="39" s="1"/>
  <c r="V562" i="39"/>
  <c r="R562" i="39"/>
  <c r="T562" i="39" s="1"/>
  <c r="Q562" i="39"/>
  <c r="O562" i="39"/>
  <c r="AF561" i="39"/>
  <c r="AB561" i="39"/>
  <c r="AA561" i="39"/>
  <c r="W561" i="39"/>
  <c r="Y561" i="39" s="1"/>
  <c r="V561" i="39"/>
  <c r="N561" i="39"/>
  <c r="AF560" i="39"/>
  <c r="AB560" i="39"/>
  <c r="AA560" i="39"/>
  <c r="W560" i="39"/>
  <c r="Y560" i="39" s="1"/>
  <c r="V560" i="39"/>
  <c r="AF559" i="39"/>
  <c r="AB559" i="39"/>
  <c r="AA559" i="39"/>
  <c r="W559" i="39"/>
  <c r="Y559" i="39" s="1"/>
  <c r="V559" i="39"/>
  <c r="R559" i="39"/>
  <c r="T559" i="39" s="1"/>
  <c r="Q559" i="39"/>
  <c r="O559" i="39"/>
  <c r="AF558" i="39"/>
  <c r="V558" i="39"/>
  <c r="AB558" i="39"/>
  <c r="AA558" i="39"/>
  <c r="W558" i="39"/>
  <c r="Y558" i="39" s="1"/>
  <c r="AF557" i="39"/>
  <c r="AG557" i="39" s="1"/>
  <c r="Y557" i="39"/>
  <c r="R557" i="39"/>
  <c r="T557" i="39" s="1"/>
  <c r="Q557" i="39"/>
  <c r="O557" i="39"/>
  <c r="AF556" i="39"/>
  <c r="AA556" i="39"/>
  <c r="Y556" i="39"/>
  <c r="V556" i="39"/>
  <c r="AF555" i="39"/>
  <c r="Y555" i="39"/>
  <c r="V555" i="39"/>
  <c r="R555" i="39"/>
  <c r="T555" i="39" s="1"/>
  <c r="Q555" i="39"/>
  <c r="O555" i="39"/>
  <c r="AF554" i="39"/>
  <c r="AB554" i="39"/>
  <c r="AA554" i="39"/>
  <c r="W554" i="39"/>
  <c r="Y554" i="39" s="1"/>
  <c r="V554" i="39"/>
  <c r="R554" i="39"/>
  <c r="T554" i="39" s="1"/>
  <c r="Q554" i="39"/>
  <c r="O554" i="39"/>
  <c r="AF553" i="39"/>
  <c r="AB553" i="39"/>
  <c r="AA553" i="39"/>
  <c r="W553" i="39"/>
  <c r="Y553" i="39" s="1"/>
  <c r="V553" i="39"/>
  <c r="R553" i="39"/>
  <c r="T553" i="39" s="1"/>
  <c r="Q553" i="39"/>
  <c r="O553" i="39"/>
  <c r="AF552" i="39"/>
  <c r="V552" i="39"/>
  <c r="AB552" i="39"/>
  <c r="AA552" i="39"/>
  <c r="W552" i="39"/>
  <c r="Y552" i="39" s="1"/>
  <c r="R552" i="39"/>
  <c r="T552" i="39" s="1"/>
  <c r="Q552" i="39"/>
  <c r="O552" i="39"/>
  <c r="AF551" i="39"/>
  <c r="AB551" i="39"/>
  <c r="AA551" i="39"/>
  <c r="W551" i="39"/>
  <c r="Y551" i="39" s="1"/>
  <c r="V551" i="39"/>
  <c r="R551" i="39"/>
  <c r="T551" i="39" s="1"/>
  <c r="Q551" i="39"/>
  <c r="O551" i="39"/>
  <c r="AF550" i="39"/>
  <c r="AB550" i="39"/>
  <c r="AA550" i="39"/>
  <c r="W550" i="39"/>
  <c r="Y550" i="39" s="1"/>
  <c r="V550" i="39"/>
  <c r="R550" i="39"/>
  <c r="T550" i="39" s="1"/>
  <c r="Q550" i="39"/>
  <c r="O550" i="39"/>
  <c r="AF549" i="39"/>
  <c r="AB549" i="39"/>
  <c r="AA549" i="39"/>
  <c r="W549" i="39"/>
  <c r="Y549" i="39" s="1"/>
  <c r="V549" i="39"/>
  <c r="R549" i="39"/>
  <c r="T549" i="39" s="1"/>
  <c r="Q549" i="39"/>
  <c r="O549" i="39"/>
  <c r="AF548" i="39"/>
  <c r="AB548" i="39"/>
  <c r="AA548" i="39"/>
  <c r="W548" i="39"/>
  <c r="Y548" i="39" s="1"/>
  <c r="V548" i="39"/>
  <c r="R548" i="39"/>
  <c r="T548" i="39" s="1"/>
  <c r="Q548" i="39"/>
  <c r="O548" i="39"/>
  <c r="AF547" i="39"/>
  <c r="AB547" i="39"/>
  <c r="AA547" i="39"/>
  <c r="W547" i="39"/>
  <c r="Y547" i="39" s="1"/>
  <c r="V547" i="39"/>
  <c r="R547" i="39"/>
  <c r="T547" i="39" s="1"/>
  <c r="Q547" i="39"/>
  <c r="O547" i="39"/>
  <c r="AF546" i="39"/>
  <c r="AB546" i="39"/>
  <c r="AA546" i="39"/>
  <c r="W546" i="39"/>
  <c r="Y546" i="39" s="1"/>
  <c r="V546" i="39"/>
  <c r="R546" i="39"/>
  <c r="T546" i="39" s="1"/>
  <c r="Q546" i="39"/>
  <c r="O546" i="39"/>
  <c r="AF545" i="39"/>
  <c r="AB545" i="39"/>
  <c r="AA545" i="39"/>
  <c r="W545" i="39"/>
  <c r="Y545" i="39" s="1"/>
  <c r="V545" i="39"/>
  <c r="R545" i="39"/>
  <c r="T545" i="39" s="1"/>
  <c r="Q545" i="39"/>
  <c r="O545" i="39"/>
  <c r="AF544" i="39"/>
  <c r="AA544" i="39"/>
  <c r="Y544" i="39"/>
  <c r="V544" i="39"/>
  <c r="R544" i="39"/>
  <c r="T544" i="39" s="1"/>
  <c r="Q544" i="39"/>
  <c r="O544" i="39"/>
  <c r="AF543" i="39"/>
  <c r="AB543" i="39"/>
  <c r="AA543" i="39"/>
  <c r="W543" i="39"/>
  <c r="V543" i="39"/>
  <c r="R543" i="39"/>
  <c r="Q543" i="39"/>
  <c r="AF542" i="39"/>
  <c r="AB542" i="39"/>
  <c r="AA542" i="39"/>
  <c r="W542" i="39"/>
  <c r="Y542" i="39" s="1"/>
  <c r="V542" i="39"/>
  <c r="R542" i="39"/>
  <c r="T542" i="39" s="1"/>
  <c r="Q542" i="39"/>
  <c r="O542" i="39"/>
  <c r="AF541" i="39"/>
  <c r="AB541" i="39"/>
  <c r="AA541" i="39"/>
  <c r="W541" i="39"/>
  <c r="Y541" i="39" s="1"/>
  <c r="V541" i="39"/>
  <c r="R541" i="39"/>
  <c r="T541" i="39" s="1"/>
  <c r="Q541" i="39"/>
  <c r="O541" i="39"/>
  <c r="AF540" i="39"/>
  <c r="AG540" i="39" s="1"/>
  <c r="R540" i="39"/>
  <c r="Q540" i="39"/>
  <c r="S539" i="39"/>
  <c r="AA539" i="39" s="1"/>
  <c r="R539" i="39"/>
  <c r="Q539" i="39"/>
  <c r="O539" i="39"/>
  <c r="S538" i="39"/>
  <c r="R538" i="39"/>
  <c r="Q538" i="39"/>
  <c r="O538" i="39"/>
  <c r="Z537" i="39"/>
  <c r="X537" i="39"/>
  <c r="U537" i="39"/>
  <c r="P537" i="39"/>
  <c r="N537" i="39"/>
  <c r="S536" i="39"/>
  <c r="R536" i="39"/>
  <c r="Q536" i="39"/>
  <c r="O536" i="39"/>
  <c r="Z535" i="39"/>
  <c r="X535" i="39"/>
  <c r="U535" i="39"/>
  <c r="P535" i="39"/>
  <c r="N535" i="39"/>
  <c r="AF533" i="39"/>
  <c r="AG533" i="39" s="1"/>
  <c r="AF532" i="39"/>
  <c r="AB532" i="39"/>
  <c r="AA532" i="39"/>
  <c r="W532" i="39"/>
  <c r="V532" i="39"/>
  <c r="AF531" i="39"/>
  <c r="AB531" i="39"/>
  <c r="AA531" i="39"/>
  <c r="W531" i="39"/>
  <c r="V531" i="39"/>
  <c r="X530" i="39"/>
  <c r="S530" i="39"/>
  <c r="N530" i="39"/>
  <c r="O530" i="39" s="1"/>
  <c r="Z529" i="39"/>
  <c r="U529" i="39"/>
  <c r="P529" i="39"/>
  <c r="AF528" i="39"/>
  <c r="AG528" i="39" s="1"/>
  <c r="AF527" i="39"/>
  <c r="AA527" i="39"/>
  <c r="Y527" i="39"/>
  <c r="V527" i="39"/>
  <c r="T527" i="39"/>
  <c r="Q527" i="39"/>
  <c r="O527" i="39"/>
  <c r="AF526" i="39"/>
  <c r="AA526" i="39"/>
  <c r="Y526" i="39"/>
  <c r="V526" i="39"/>
  <c r="T526" i="39"/>
  <c r="Q526" i="39"/>
  <c r="O526" i="39"/>
  <c r="Z525" i="39"/>
  <c r="Z524" i="39" s="1"/>
  <c r="X525" i="39"/>
  <c r="U525" i="39"/>
  <c r="U524" i="39" s="1"/>
  <c r="S525" i="39"/>
  <c r="P525" i="39"/>
  <c r="P524" i="39" s="1"/>
  <c r="N525" i="39"/>
  <c r="R525" i="39" s="1"/>
  <c r="AF523" i="39"/>
  <c r="AG523" i="39" s="1"/>
  <c r="Y523" i="39"/>
  <c r="T523" i="39"/>
  <c r="O523" i="39"/>
  <c r="AF522" i="39"/>
  <c r="AA522" i="39"/>
  <c r="Y522" i="39"/>
  <c r="V522" i="39"/>
  <c r="T522" i="39"/>
  <c r="Q522" i="39"/>
  <c r="O522" i="39"/>
  <c r="AF520" i="39"/>
  <c r="AB520" i="39"/>
  <c r="AA520" i="39"/>
  <c r="W520" i="39"/>
  <c r="V520" i="39"/>
  <c r="AF519" i="39"/>
  <c r="AB519" i="39"/>
  <c r="AA519" i="39"/>
  <c r="W519" i="39"/>
  <c r="Y519" i="39" s="1"/>
  <c r="V519" i="39"/>
  <c r="R519" i="39"/>
  <c r="T519" i="39" s="1"/>
  <c r="Q519" i="39"/>
  <c r="O519" i="39"/>
  <c r="AF518" i="39"/>
  <c r="AB518" i="39"/>
  <c r="AA518" i="39"/>
  <c r="W518" i="39"/>
  <c r="Y518" i="39" s="1"/>
  <c r="V518" i="39"/>
  <c r="R518" i="39"/>
  <c r="T518" i="39" s="1"/>
  <c r="Q518" i="39"/>
  <c r="O518" i="39"/>
  <c r="AF517" i="39"/>
  <c r="AB517" i="39"/>
  <c r="AA517" i="39"/>
  <c r="W517" i="39"/>
  <c r="Y517" i="39" s="1"/>
  <c r="V517" i="39"/>
  <c r="R517" i="39"/>
  <c r="T517" i="39" s="1"/>
  <c r="Q517" i="39"/>
  <c r="O517" i="39"/>
  <c r="AF516" i="39"/>
  <c r="AB516" i="39"/>
  <c r="AA516" i="39"/>
  <c r="W516" i="39"/>
  <c r="Y516" i="39" s="1"/>
  <c r="V516" i="39"/>
  <c r="R516" i="39"/>
  <c r="T516" i="39" s="1"/>
  <c r="Q516" i="39"/>
  <c r="O516" i="39"/>
  <c r="AF515" i="39"/>
  <c r="AB515" i="39"/>
  <c r="AA515" i="39"/>
  <c r="W515" i="39"/>
  <c r="Y515" i="39" s="1"/>
  <c r="V515" i="39"/>
  <c r="R515" i="39"/>
  <c r="T515" i="39" s="1"/>
  <c r="Q515" i="39"/>
  <c r="O515" i="39"/>
  <c r="AF514" i="39"/>
  <c r="AB514" i="39"/>
  <c r="AA514" i="39"/>
  <c r="W514" i="39"/>
  <c r="Y514" i="39" s="1"/>
  <c r="V514" i="39"/>
  <c r="R514" i="39"/>
  <c r="T514" i="39" s="1"/>
  <c r="Q514" i="39"/>
  <c r="O514" i="39"/>
  <c r="AF513" i="39"/>
  <c r="AB513" i="39"/>
  <c r="AA513" i="39"/>
  <c r="W513" i="39"/>
  <c r="Y513" i="39" s="1"/>
  <c r="V513" i="39"/>
  <c r="R513" i="39"/>
  <c r="T513" i="39" s="1"/>
  <c r="Q513" i="39"/>
  <c r="O513" i="39"/>
  <c r="AF512" i="39"/>
  <c r="AB512" i="39"/>
  <c r="AA512" i="39"/>
  <c r="W512" i="39"/>
  <c r="Y512" i="39" s="1"/>
  <c r="V512" i="39"/>
  <c r="R512" i="39"/>
  <c r="T512" i="39" s="1"/>
  <c r="Q512" i="39"/>
  <c r="O512" i="39"/>
  <c r="AF511" i="39"/>
  <c r="AB511" i="39"/>
  <c r="AA511" i="39"/>
  <c r="W511" i="39"/>
  <c r="Y511" i="39" s="1"/>
  <c r="V511" i="39"/>
  <c r="N511" i="39"/>
  <c r="M511" i="39"/>
  <c r="AF510" i="39"/>
  <c r="AB510" i="39"/>
  <c r="AA510" i="39"/>
  <c r="W510" i="39"/>
  <c r="Y510" i="39" s="1"/>
  <c r="V510" i="39"/>
  <c r="AF509" i="39"/>
  <c r="AG509" i="39" s="1"/>
  <c r="AB508" i="39"/>
  <c r="AA508" i="39"/>
  <c r="V508" i="39"/>
  <c r="X507" i="39"/>
  <c r="S507" i="39"/>
  <c r="V507" i="39" s="1"/>
  <c r="X505" i="39"/>
  <c r="S505" i="39"/>
  <c r="S504" i="39" s="1"/>
  <c r="W504" i="39"/>
  <c r="V504" i="39"/>
  <c r="U504" i="39"/>
  <c r="T504" i="39"/>
  <c r="AF502" i="39"/>
  <c r="AB502" i="39"/>
  <c r="AA502" i="39"/>
  <c r="W502" i="39"/>
  <c r="Y502" i="39" s="1"/>
  <c r="V502" i="39"/>
  <c r="R502" i="39"/>
  <c r="T502" i="39" s="1"/>
  <c r="Q502" i="39"/>
  <c r="O502" i="39"/>
  <c r="AF501" i="39"/>
  <c r="AB501" i="39"/>
  <c r="AA501" i="39"/>
  <c r="W501" i="39"/>
  <c r="Y501" i="39" s="1"/>
  <c r="V501" i="39"/>
  <c r="R501" i="39"/>
  <c r="T501" i="39" s="1"/>
  <c r="Q501" i="39"/>
  <c r="O501" i="39"/>
  <c r="Z500" i="39"/>
  <c r="X500" i="39"/>
  <c r="U500" i="39"/>
  <c r="S500" i="39"/>
  <c r="P500" i="39"/>
  <c r="N500" i="39"/>
  <c r="O500" i="39" s="1"/>
  <c r="AF499" i="39"/>
  <c r="AG499" i="39" s="1"/>
  <c r="Z498" i="39"/>
  <c r="U498" i="39"/>
  <c r="U497" i="39" s="1"/>
  <c r="P498" i="39"/>
  <c r="P497" i="39" s="1"/>
  <c r="N498" i="39"/>
  <c r="O498" i="39" s="1"/>
  <c r="Z497" i="39"/>
  <c r="S497" i="39"/>
  <c r="AF496" i="39"/>
  <c r="AG496" i="39" s="1"/>
  <c r="X495" i="39"/>
  <c r="J495" i="39"/>
  <c r="AF494" i="39"/>
  <c r="W494" i="39"/>
  <c r="V494" i="39"/>
  <c r="R494" i="39"/>
  <c r="T494" i="39" s="1"/>
  <c r="Q494" i="39"/>
  <c r="O494" i="39"/>
  <c r="Z493" i="39"/>
  <c r="U493" i="39"/>
  <c r="S493" i="39"/>
  <c r="P493" i="39"/>
  <c r="N493" i="39"/>
  <c r="O493" i="39" s="1"/>
  <c r="AF492" i="39"/>
  <c r="AG492" i="39" s="1"/>
  <c r="AA492" i="39"/>
  <c r="AF491" i="39"/>
  <c r="AB491" i="39"/>
  <c r="AA491" i="39"/>
  <c r="W491" i="39"/>
  <c r="Y491" i="39" s="1"/>
  <c r="V491" i="39"/>
  <c r="R491" i="39"/>
  <c r="T491" i="39" s="1"/>
  <c r="Q491" i="39"/>
  <c r="O491" i="39"/>
  <c r="AF490" i="39"/>
  <c r="AA490" i="39"/>
  <c r="Y490" i="39"/>
  <c r="V490" i="39"/>
  <c r="T490" i="39"/>
  <c r="Q490" i="39"/>
  <c r="O490" i="39"/>
  <c r="AF489" i="39"/>
  <c r="V489" i="39"/>
  <c r="AA489" i="39"/>
  <c r="Y489" i="39"/>
  <c r="T489" i="39"/>
  <c r="Q489" i="39"/>
  <c r="O489" i="39"/>
  <c r="AF488" i="39"/>
  <c r="AB488" i="39"/>
  <c r="AA488" i="39"/>
  <c r="W488" i="39"/>
  <c r="Y488" i="39" s="1"/>
  <c r="V488" i="39"/>
  <c r="N488" i="39"/>
  <c r="O488" i="39" s="1"/>
  <c r="AF487" i="39"/>
  <c r="AA487" i="39"/>
  <c r="Y487" i="39"/>
  <c r="V487" i="39"/>
  <c r="T487" i="39"/>
  <c r="Q487" i="39"/>
  <c r="O487" i="39"/>
  <c r="Z486" i="39"/>
  <c r="X486" i="39"/>
  <c r="U486" i="39"/>
  <c r="S486" i="39"/>
  <c r="P486" i="39"/>
  <c r="X482" i="39"/>
  <c r="S482" i="39"/>
  <c r="AF481" i="39"/>
  <c r="W481" i="39"/>
  <c r="V481" i="39"/>
  <c r="R481" i="39"/>
  <c r="T481" i="39" s="1"/>
  <c r="Q481" i="39"/>
  <c r="O481" i="39"/>
  <c r="AF480" i="39"/>
  <c r="V480" i="39"/>
  <c r="X480" i="39"/>
  <c r="AA480" i="39" s="1"/>
  <c r="W480" i="39"/>
  <c r="Y480" i="39" s="1"/>
  <c r="T480" i="39"/>
  <c r="Q480" i="39"/>
  <c r="O480" i="39"/>
  <c r="AF479" i="39"/>
  <c r="AA479" i="39"/>
  <c r="Y479" i="39"/>
  <c r="V479" i="39"/>
  <c r="R479" i="39"/>
  <c r="T479" i="39" s="1"/>
  <c r="Q479" i="39"/>
  <c r="O479" i="39"/>
  <c r="X478" i="39"/>
  <c r="S478" i="39"/>
  <c r="N478" i="39"/>
  <c r="AF477" i="39"/>
  <c r="X477" i="39"/>
  <c r="W477" i="39"/>
  <c r="Y477" i="39" s="1"/>
  <c r="V477" i="39"/>
  <c r="R477" i="39"/>
  <c r="T477" i="39" s="1"/>
  <c r="Q477" i="39"/>
  <c r="O477" i="39"/>
  <c r="Z476" i="39"/>
  <c r="X476" i="39"/>
  <c r="AB476" i="39" s="1"/>
  <c r="U476" i="39"/>
  <c r="P476" i="39"/>
  <c r="R476" i="39" s="1"/>
  <c r="O476" i="39"/>
  <c r="Z475" i="39"/>
  <c r="X475" i="39"/>
  <c r="U475" i="39"/>
  <c r="P475" i="39"/>
  <c r="AF475" i="39" s="1"/>
  <c r="O475" i="39"/>
  <c r="AF472" i="39"/>
  <c r="AG472" i="39" s="1"/>
  <c r="AF470" i="39"/>
  <c r="AG470" i="39" s="1"/>
  <c r="AF469" i="39"/>
  <c r="AA469" i="39"/>
  <c r="W469" i="39"/>
  <c r="Y469" i="39" s="1"/>
  <c r="V469" i="39"/>
  <c r="T469" i="39"/>
  <c r="Q469" i="39"/>
  <c r="O469" i="39"/>
  <c r="AF468" i="39"/>
  <c r="AB468" i="39"/>
  <c r="AA468" i="39"/>
  <c r="W468" i="39"/>
  <c r="Y468" i="39" s="1"/>
  <c r="V468" i="39"/>
  <c r="R468" i="39"/>
  <c r="T468" i="39" s="1"/>
  <c r="Q468" i="39"/>
  <c r="O468" i="39"/>
  <c r="K467" i="39"/>
  <c r="AF466" i="39"/>
  <c r="AG466" i="39" s="1"/>
  <c r="Y466" i="39"/>
  <c r="T466" i="39"/>
  <c r="O466" i="39"/>
  <c r="AF465" i="39"/>
  <c r="AB465" i="39"/>
  <c r="AA465" i="39"/>
  <c r="W465" i="39"/>
  <c r="Y465" i="39" s="1"/>
  <c r="V465" i="39"/>
  <c r="R465" i="39"/>
  <c r="T465" i="39" s="1"/>
  <c r="Q465" i="39"/>
  <c r="O465" i="39"/>
  <c r="AF464" i="39"/>
  <c r="AG464" i="39" s="1"/>
  <c r="Y464" i="39"/>
  <c r="T464" i="39"/>
  <c r="O464" i="39"/>
  <c r="AF463" i="39"/>
  <c r="AB463" i="39"/>
  <c r="AA463" i="39"/>
  <c r="W463" i="39"/>
  <c r="Y463" i="39" s="1"/>
  <c r="V463" i="39"/>
  <c r="R463" i="39"/>
  <c r="T463" i="39" s="1"/>
  <c r="Q463" i="39"/>
  <c r="O463" i="39"/>
  <c r="AF462" i="39"/>
  <c r="AG462" i="39" s="1"/>
  <c r="Y462" i="39"/>
  <c r="T462" i="39"/>
  <c r="O462" i="39"/>
  <c r="AF461" i="39"/>
  <c r="AB461" i="39"/>
  <c r="AA461" i="39"/>
  <c r="W461" i="39"/>
  <c r="Y461" i="39" s="1"/>
  <c r="V461" i="39"/>
  <c r="R461" i="39"/>
  <c r="T461" i="39" s="1"/>
  <c r="Q461" i="39"/>
  <c r="O461" i="39"/>
  <c r="AF460" i="39"/>
  <c r="AB460" i="39"/>
  <c r="AA460" i="39"/>
  <c r="W460" i="39"/>
  <c r="Y460" i="39" s="1"/>
  <c r="V460" i="39"/>
  <c r="R460" i="39"/>
  <c r="T460" i="39" s="1"/>
  <c r="Q460" i="39"/>
  <c r="O460" i="39"/>
  <c r="Z459" i="39"/>
  <c r="U459" i="39"/>
  <c r="S459" i="39"/>
  <c r="P459" i="39"/>
  <c r="W459" i="39" s="1"/>
  <c r="N459" i="39"/>
  <c r="AF458" i="39"/>
  <c r="W458" i="39"/>
  <c r="V458" i="39"/>
  <c r="AG458" i="39" s="1"/>
  <c r="R458" i="39"/>
  <c r="T458" i="39" s="1"/>
  <c r="Q458" i="39"/>
  <c r="O458" i="39"/>
  <c r="AF457" i="39"/>
  <c r="AG457" i="39" s="1"/>
  <c r="W457" i="39"/>
  <c r="V457" i="39"/>
  <c r="R457" i="39"/>
  <c r="T457" i="39" s="1"/>
  <c r="Q457" i="39"/>
  <c r="O457" i="39"/>
  <c r="Z456" i="39"/>
  <c r="Z455" i="39" s="1"/>
  <c r="U456" i="39"/>
  <c r="U455" i="39" s="1"/>
  <c r="P456" i="39"/>
  <c r="O456" i="39"/>
  <c r="S455" i="39"/>
  <c r="N455" i="39"/>
  <c r="O455" i="39" s="1"/>
  <c r="AF451" i="39"/>
  <c r="AB451" i="39"/>
  <c r="AA451" i="39"/>
  <c r="W451" i="39"/>
  <c r="Y451" i="39" s="1"/>
  <c r="V451" i="39"/>
  <c r="R451" i="39"/>
  <c r="T451" i="39" s="1"/>
  <c r="Q451" i="39"/>
  <c r="O451" i="39"/>
  <c r="AF449" i="39"/>
  <c r="AG449" i="39" s="1"/>
  <c r="AF447" i="39"/>
  <c r="AG447" i="39" s="1"/>
  <c r="AF446" i="39"/>
  <c r="AB446" i="39"/>
  <c r="AA446" i="39"/>
  <c r="W446" i="39"/>
  <c r="Y446" i="39" s="1"/>
  <c r="V446" i="39"/>
  <c r="R446" i="39"/>
  <c r="T446" i="39" s="1"/>
  <c r="Q446" i="39"/>
  <c r="O446" i="39"/>
  <c r="AF445" i="39"/>
  <c r="AB445" i="39"/>
  <c r="AA445" i="39"/>
  <c r="W445" i="39"/>
  <c r="Y445" i="39" s="1"/>
  <c r="V445" i="39"/>
  <c r="R445" i="39"/>
  <c r="T445" i="39" s="1"/>
  <c r="Q445" i="39"/>
  <c r="O445" i="39"/>
  <c r="AF444" i="39"/>
  <c r="AB444" i="39"/>
  <c r="AA444" i="39"/>
  <c r="W444" i="39"/>
  <c r="Y444" i="39" s="1"/>
  <c r="V444" i="39"/>
  <c r="R444" i="39"/>
  <c r="T444" i="39" s="1"/>
  <c r="Q444" i="39"/>
  <c r="O444" i="39"/>
  <c r="Z443" i="39"/>
  <c r="Z442" i="39" s="1"/>
  <c r="Z441" i="39" s="1"/>
  <c r="Z439" i="39" s="1"/>
  <c r="Z437" i="39" s="1"/>
  <c r="Z434" i="39"/>
  <c r="Z433" i="39" s="1"/>
  <c r="Z431" i="39" s="1"/>
  <c r="Z429" i="39" s="1"/>
  <c r="X443" i="39"/>
  <c r="U443" i="39"/>
  <c r="U442" i="39" s="1"/>
  <c r="U441" i="39" s="1"/>
  <c r="U439" i="39" s="1"/>
  <c r="U437" i="39" s="1"/>
  <c r="S443" i="39"/>
  <c r="P443" i="39"/>
  <c r="P442" i="39" s="1"/>
  <c r="P441" i="39" s="1"/>
  <c r="P439" i="39" s="1"/>
  <c r="P437" i="39" s="1"/>
  <c r="N443" i="39"/>
  <c r="AF440" i="39"/>
  <c r="AB440" i="39"/>
  <c r="AA440" i="39"/>
  <c r="W440" i="39"/>
  <c r="Y440" i="39" s="1"/>
  <c r="V440" i="39"/>
  <c r="R440" i="39"/>
  <c r="T440" i="39" s="1"/>
  <c r="Q440" i="39"/>
  <c r="O440" i="39"/>
  <c r="AF438" i="39"/>
  <c r="AG438" i="39" s="1"/>
  <c r="AF436" i="39"/>
  <c r="AG436" i="39" s="1"/>
  <c r="AB436" i="39"/>
  <c r="AA436" i="39"/>
  <c r="W436" i="39"/>
  <c r="AF435" i="39"/>
  <c r="AB435" i="39"/>
  <c r="AA435" i="39"/>
  <c r="W435" i="39"/>
  <c r="Y435" i="39" s="1"/>
  <c r="V435" i="39"/>
  <c r="R435" i="39"/>
  <c r="T435" i="39" s="1"/>
  <c r="Q435" i="39"/>
  <c r="O435" i="39"/>
  <c r="X434" i="39"/>
  <c r="S434" i="39"/>
  <c r="S433" i="39" s="1"/>
  <c r="S431" i="39" s="1"/>
  <c r="S429" i="39" s="1"/>
  <c r="T429" i="39" s="1"/>
  <c r="U434" i="39"/>
  <c r="U433" i="39" s="1"/>
  <c r="U431" i="39" s="1"/>
  <c r="U429" i="39" s="1"/>
  <c r="P434" i="39"/>
  <c r="N434" i="39"/>
  <c r="AF432" i="39"/>
  <c r="AB432" i="39"/>
  <c r="AA432" i="39"/>
  <c r="W432" i="39"/>
  <c r="Y432" i="39" s="1"/>
  <c r="V432" i="39"/>
  <c r="R432" i="39"/>
  <c r="T432" i="39" s="1"/>
  <c r="Q432" i="39"/>
  <c r="O432" i="39"/>
  <c r="AF430" i="39"/>
  <c r="AB430" i="39"/>
  <c r="AA430" i="39"/>
  <c r="W430" i="39"/>
  <c r="Y430" i="39" s="1"/>
  <c r="V430" i="39"/>
  <c r="R430" i="39"/>
  <c r="T430" i="39" s="1"/>
  <c r="Q430" i="39"/>
  <c r="O430" i="39"/>
  <c r="AF428" i="39"/>
  <c r="AG428" i="39" s="1"/>
  <c r="AF426" i="39"/>
  <c r="AB426" i="39"/>
  <c r="AA426" i="39"/>
  <c r="W426" i="39"/>
  <c r="Y426" i="39" s="1"/>
  <c r="V426" i="39"/>
  <c r="R426" i="39"/>
  <c r="T426" i="39" s="1"/>
  <c r="Q426" i="39"/>
  <c r="O426" i="39"/>
  <c r="AF425" i="39"/>
  <c r="AB425" i="39"/>
  <c r="AA425" i="39"/>
  <c r="W425" i="39"/>
  <c r="Y425" i="39" s="1"/>
  <c r="V425" i="39"/>
  <c r="AG425" i="39" s="1"/>
  <c r="R425" i="39"/>
  <c r="T425" i="39" s="1"/>
  <c r="Q425" i="39"/>
  <c r="O425" i="39"/>
  <c r="AF424" i="39"/>
  <c r="AB424" i="39"/>
  <c r="AA424" i="39"/>
  <c r="W424" i="39"/>
  <c r="Y424" i="39" s="1"/>
  <c r="V424" i="39"/>
  <c r="R424" i="39"/>
  <c r="T424" i="39" s="1"/>
  <c r="Q424" i="39"/>
  <c r="O424" i="39"/>
  <c r="AF423" i="39"/>
  <c r="AB423" i="39"/>
  <c r="AA423" i="39"/>
  <c r="W423" i="39"/>
  <c r="Y423" i="39" s="1"/>
  <c r="V423" i="39"/>
  <c r="R423" i="39"/>
  <c r="T423" i="39" s="1"/>
  <c r="Q423" i="39"/>
  <c r="O423" i="39"/>
  <c r="AF422" i="39"/>
  <c r="AB422" i="39"/>
  <c r="AA422" i="39"/>
  <c r="W422" i="39"/>
  <c r="Y422" i="39" s="1"/>
  <c r="V422" i="39"/>
  <c r="R422" i="39"/>
  <c r="T422" i="39" s="1"/>
  <c r="Q422" i="39"/>
  <c r="O422" i="39"/>
  <c r="AF421" i="39"/>
  <c r="AB421" i="39"/>
  <c r="AA421" i="39"/>
  <c r="W421" i="39"/>
  <c r="Y421" i="39" s="1"/>
  <c r="V421" i="39"/>
  <c r="R421" i="39"/>
  <c r="T421" i="39" s="1"/>
  <c r="Q421" i="39"/>
  <c r="O421" i="39"/>
  <c r="AF420" i="39"/>
  <c r="AB420" i="39"/>
  <c r="AA420" i="39"/>
  <c r="W420" i="39"/>
  <c r="Y420" i="39" s="1"/>
  <c r="V420" i="39"/>
  <c r="R420" i="39"/>
  <c r="T420" i="39" s="1"/>
  <c r="Q420" i="39"/>
  <c r="O420" i="39"/>
  <c r="AF419" i="39"/>
  <c r="AB419" i="39"/>
  <c r="AA419" i="39"/>
  <c r="W419" i="39"/>
  <c r="Y419" i="39" s="1"/>
  <c r="V419" i="39"/>
  <c r="R419" i="39"/>
  <c r="T419" i="39" s="1"/>
  <c r="Q419" i="39"/>
  <c r="O419" i="39"/>
  <c r="AF418" i="39"/>
  <c r="AB418" i="39"/>
  <c r="AA418" i="39"/>
  <c r="W418" i="39"/>
  <c r="Y418" i="39" s="1"/>
  <c r="V418" i="39"/>
  <c r="R418" i="39"/>
  <c r="T418" i="39" s="1"/>
  <c r="Q418" i="39"/>
  <c r="O418" i="39"/>
  <c r="AF417" i="39"/>
  <c r="AB417" i="39"/>
  <c r="AA417" i="39"/>
  <c r="W417" i="39"/>
  <c r="Y417" i="39" s="1"/>
  <c r="V417" i="39"/>
  <c r="R417" i="39"/>
  <c r="T417" i="39" s="1"/>
  <c r="Q417" i="39"/>
  <c r="O417" i="39"/>
  <c r="AF416" i="39"/>
  <c r="AG416" i="39" s="1"/>
  <c r="Z415" i="39"/>
  <c r="X415" i="39"/>
  <c r="U415" i="39"/>
  <c r="S415" i="39"/>
  <c r="Q415" i="39"/>
  <c r="O415" i="39"/>
  <c r="AF414" i="39"/>
  <c r="AG414" i="39" s="1"/>
  <c r="AB414" i="39"/>
  <c r="AA414" i="39"/>
  <c r="W414" i="39"/>
  <c r="AF413" i="39"/>
  <c r="AB413" i="39"/>
  <c r="AA413" i="39"/>
  <c r="W413" i="39"/>
  <c r="Y413" i="39" s="1"/>
  <c r="V413" i="39"/>
  <c r="R413" i="39"/>
  <c r="T413" i="39" s="1"/>
  <c r="Q413" i="39"/>
  <c r="O413" i="39"/>
  <c r="AF412" i="39"/>
  <c r="AB412" i="39"/>
  <c r="AA412" i="39"/>
  <c r="W412" i="39"/>
  <c r="Y412" i="39" s="1"/>
  <c r="V412" i="39"/>
  <c r="R412" i="39"/>
  <c r="T412" i="39" s="1"/>
  <c r="Q412" i="39"/>
  <c r="O412" i="39"/>
  <c r="AF411" i="39"/>
  <c r="AB411" i="39"/>
  <c r="AA411" i="39"/>
  <c r="W411" i="39"/>
  <c r="Y411" i="39" s="1"/>
  <c r="V411" i="39"/>
  <c r="R411" i="39"/>
  <c r="T411" i="39" s="1"/>
  <c r="Q411" i="39"/>
  <c r="O411" i="39"/>
  <c r="AF410" i="39"/>
  <c r="AB410" i="39"/>
  <c r="AA410" i="39"/>
  <c r="W410" i="39"/>
  <c r="Y410" i="39" s="1"/>
  <c r="V410" i="39"/>
  <c r="N410" i="39"/>
  <c r="AF409" i="39"/>
  <c r="AB409" i="39"/>
  <c r="AA409" i="39"/>
  <c r="W409" i="39"/>
  <c r="Y409" i="39" s="1"/>
  <c r="V409" i="39"/>
  <c r="R409" i="39"/>
  <c r="T409" i="39" s="1"/>
  <c r="Q409" i="39"/>
  <c r="O409" i="39"/>
  <c r="AF408" i="39"/>
  <c r="AB408" i="39"/>
  <c r="AA408" i="39"/>
  <c r="W408" i="39"/>
  <c r="Y408" i="39" s="1"/>
  <c r="V408" i="39"/>
  <c r="AF407" i="39"/>
  <c r="AB407" i="39"/>
  <c r="AA407" i="39"/>
  <c r="W407" i="39"/>
  <c r="Y407" i="39" s="1"/>
  <c r="V407" i="39"/>
  <c r="R407" i="39"/>
  <c r="T407" i="39" s="1"/>
  <c r="Q407" i="39"/>
  <c r="O407" i="39"/>
  <c r="AF406" i="39"/>
  <c r="AB406" i="39"/>
  <c r="AA406" i="39"/>
  <c r="W406" i="39"/>
  <c r="Y406" i="39" s="1"/>
  <c r="V406" i="39"/>
  <c r="R406" i="39"/>
  <c r="T406" i="39" s="1"/>
  <c r="Q406" i="39"/>
  <c r="O406" i="39"/>
  <c r="AF405" i="39"/>
  <c r="AB405" i="39"/>
  <c r="AA405" i="39"/>
  <c r="W405" i="39"/>
  <c r="Y405" i="39" s="1"/>
  <c r="V405" i="39"/>
  <c r="N405" i="39"/>
  <c r="AF404" i="39"/>
  <c r="AB404" i="39"/>
  <c r="AA404" i="39"/>
  <c r="W404" i="39"/>
  <c r="Y404" i="39" s="1"/>
  <c r="V404" i="39"/>
  <c r="AF403" i="39"/>
  <c r="AG403" i="39" s="1"/>
  <c r="Y403" i="39"/>
  <c r="R403" i="39"/>
  <c r="T403" i="39" s="1"/>
  <c r="Q403" i="39"/>
  <c r="O403" i="39"/>
  <c r="AF402" i="39"/>
  <c r="AB402" i="39"/>
  <c r="AA402" i="39"/>
  <c r="W402" i="39"/>
  <c r="Y402" i="39" s="1"/>
  <c r="V402" i="39"/>
  <c r="R402" i="39"/>
  <c r="T402" i="39" s="1"/>
  <c r="Q402" i="39"/>
  <c r="O402" i="39"/>
  <c r="Z401" i="39"/>
  <c r="X401" i="39"/>
  <c r="U401" i="39"/>
  <c r="S401" i="39"/>
  <c r="P401" i="39"/>
  <c r="N401" i="39"/>
  <c r="AF400" i="39"/>
  <c r="AG400" i="39" s="1"/>
  <c r="AF399" i="39"/>
  <c r="AB399" i="39"/>
  <c r="AA399" i="39"/>
  <c r="W399" i="39"/>
  <c r="Y399" i="39" s="1"/>
  <c r="V399" i="39"/>
  <c r="R399" i="39"/>
  <c r="T399" i="39" s="1"/>
  <c r="Q399" i="39"/>
  <c r="O399" i="39"/>
  <c r="AF398" i="39"/>
  <c r="AB398" i="39"/>
  <c r="AA398" i="39"/>
  <c r="W398" i="39"/>
  <c r="Y398" i="39" s="1"/>
  <c r="V398" i="39"/>
  <c r="R398" i="39"/>
  <c r="T398" i="39" s="1"/>
  <c r="Q398" i="39"/>
  <c r="O398" i="39"/>
  <c r="Z397" i="39"/>
  <c r="X397" i="39"/>
  <c r="U397" i="39"/>
  <c r="S397" i="39"/>
  <c r="AA397" i="39" s="1"/>
  <c r="P397" i="39"/>
  <c r="N397" i="39"/>
  <c r="O397" i="39" s="1"/>
  <c r="AF394" i="39"/>
  <c r="AG394" i="39" s="1"/>
  <c r="AF392" i="39"/>
  <c r="AG392" i="39" s="1"/>
  <c r="AF390" i="39"/>
  <c r="AB390" i="39"/>
  <c r="AA390" i="39"/>
  <c r="W390" i="39"/>
  <c r="V390" i="39"/>
  <c r="R390" i="39"/>
  <c r="Q390" i="39"/>
  <c r="AF389" i="39"/>
  <c r="AB389" i="39"/>
  <c r="AA389" i="39"/>
  <c r="W389" i="39"/>
  <c r="Y389" i="39" s="1"/>
  <c r="V389" i="39"/>
  <c r="R389" i="39"/>
  <c r="T389" i="39" s="1"/>
  <c r="Q389" i="39"/>
  <c r="O389" i="39"/>
  <c r="AF388" i="39"/>
  <c r="AB388" i="39"/>
  <c r="AA388" i="39"/>
  <c r="W388" i="39"/>
  <c r="Y388" i="39" s="1"/>
  <c r="V388" i="39"/>
  <c r="N388" i="39"/>
  <c r="O388" i="39" s="1"/>
  <c r="AF387" i="39"/>
  <c r="AB387" i="39"/>
  <c r="AA387" i="39"/>
  <c r="W387" i="39"/>
  <c r="Y387" i="39" s="1"/>
  <c r="V387" i="39"/>
  <c r="R387" i="39"/>
  <c r="T387" i="39" s="1"/>
  <c r="Q387" i="39"/>
  <c r="O387" i="39"/>
  <c r="AF386" i="39"/>
  <c r="AB386" i="39"/>
  <c r="AA386" i="39"/>
  <c r="W386" i="39"/>
  <c r="Y386" i="39" s="1"/>
  <c r="V386" i="39"/>
  <c r="R386" i="39"/>
  <c r="T386" i="39" s="1"/>
  <c r="Q386" i="39"/>
  <c r="O386" i="39"/>
  <c r="AF385" i="39"/>
  <c r="AB385" i="39"/>
  <c r="AA385" i="39"/>
  <c r="W385" i="39"/>
  <c r="Y385" i="39" s="1"/>
  <c r="V385" i="39"/>
  <c r="R385" i="39"/>
  <c r="T385" i="39" s="1"/>
  <c r="Q385" i="39"/>
  <c r="O385" i="39"/>
  <c r="AF384" i="39"/>
  <c r="AB384" i="39"/>
  <c r="AA384" i="39"/>
  <c r="W384" i="39"/>
  <c r="Y384" i="39" s="1"/>
  <c r="V384" i="39"/>
  <c r="AF383" i="39"/>
  <c r="AB383" i="39"/>
  <c r="AA383" i="39"/>
  <c r="W383" i="39"/>
  <c r="Y383" i="39" s="1"/>
  <c r="V383" i="39"/>
  <c r="R383" i="39"/>
  <c r="T383" i="39" s="1"/>
  <c r="Q383" i="39"/>
  <c r="O383" i="39"/>
  <c r="AF382" i="39"/>
  <c r="AB382" i="39"/>
  <c r="AA382" i="39"/>
  <c r="W382" i="39"/>
  <c r="Y382" i="39" s="1"/>
  <c r="V382" i="39"/>
  <c r="R382" i="39"/>
  <c r="T382" i="39" s="1"/>
  <c r="Q382" i="39"/>
  <c r="O382" i="39"/>
  <c r="AF381" i="39"/>
  <c r="AB381" i="39"/>
  <c r="AA381" i="39"/>
  <c r="W381" i="39"/>
  <c r="Y381" i="39" s="1"/>
  <c r="V381" i="39"/>
  <c r="R381" i="39"/>
  <c r="T381" i="39" s="1"/>
  <c r="Q381" i="39"/>
  <c r="O381" i="39"/>
  <c r="AF380" i="39"/>
  <c r="AB380" i="39"/>
  <c r="AA380" i="39"/>
  <c r="W380" i="39"/>
  <c r="Y380" i="39" s="1"/>
  <c r="V380" i="39"/>
  <c r="R380" i="39"/>
  <c r="T380" i="39" s="1"/>
  <c r="Q380" i="39"/>
  <c r="O380" i="39"/>
  <c r="AF379" i="39"/>
  <c r="AB379" i="39"/>
  <c r="AA379" i="39"/>
  <c r="W379" i="39"/>
  <c r="Y379" i="39" s="1"/>
  <c r="V379" i="39"/>
  <c r="R379" i="39"/>
  <c r="T379" i="39" s="1"/>
  <c r="Q379" i="39"/>
  <c r="O379" i="39"/>
  <c r="AF378" i="39"/>
  <c r="AB378" i="39"/>
  <c r="AA378" i="39"/>
  <c r="W378" i="39"/>
  <c r="Y378" i="39" s="1"/>
  <c r="V378" i="39"/>
  <c r="AF377" i="39"/>
  <c r="AA377" i="39"/>
  <c r="Y377" i="39"/>
  <c r="V377" i="39"/>
  <c r="T377" i="39"/>
  <c r="AF375" i="39"/>
  <c r="AB375" i="39"/>
  <c r="AA375" i="39"/>
  <c r="W375" i="39"/>
  <c r="Y375" i="39" s="1"/>
  <c r="V375" i="39"/>
  <c r="R375" i="39"/>
  <c r="T375" i="39" s="1"/>
  <c r="Q375" i="39"/>
  <c r="O375" i="39"/>
  <c r="AF374" i="39"/>
  <c r="AB374" i="39"/>
  <c r="AA374" i="39"/>
  <c r="W374" i="39"/>
  <c r="Y374" i="39" s="1"/>
  <c r="V374" i="39"/>
  <c r="N374" i="39"/>
  <c r="AF373" i="39"/>
  <c r="AB373" i="39"/>
  <c r="AA373" i="39"/>
  <c r="W373" i="39"/>
  <c r="Y373" i="39" s="1"/>
  <c r="V373" i="39"/>
  <c r="AF372" i="39"/>
  <c r="AB372" i="39"/>
  <c r="AA372" i="39"/>
  <c r="W372" i="39"/>
  <c r="Y372" i="39" s="1"/>
  <c r="V372" i="39"/>
  <c r="AG372" i="39" s="1"/>
  <c r="AF371" i="39"/>
  <c r="AG371" i="39" s="1"/>
  <c r="AF370" i="39"/>
  <c r="X370" i="39"/>
  <c r="AB370" i="39" s="1"/>
  <c r="W370" i="39"/>
  <c r="V370" i="39"/>
  <c r="R370" i="39"/>
  <c r="T370" i="39" s="1"/>
  <c r="Q370" i="39"/>
  <c r="O370" i="39"/>
  <c r="Z369" i="39"/>
  <c r="U369" i="39"/>
  <c r="S369" i="39"/>
  <c r="P369" i="39"/>
  <c r="N369" i="39"/>
  <c r="O369" i="39" s="1"/>
  <c r="AF368" i="39"/>
  <c r="AG368" i="39" s="1"/>
  <c r="AF367" i="39"/>
  <c r="X367" i="39"/>
  <c r="S366" i="39"/>
  <c r="P366" i="39"/>
  <c r="W367" i="39"/>
  <c r="V367" i="39"/>
  <c r="AG367" i="39" s="1"/>
  <c r="R367" i="39"/>
  <c r="T367" i="39" s="1"/>
  <c r="Q367" i="39"/>
  <c r="O367" i="39"/>
  <c r="Z366" i="39"/>
  <c r="Z365" i="39" s="1"/>
  <c r="Z364" i="39" s="1"/>
  <c r="Z362" i="39" s="1"/>
  <c r="Z360" i="39" s="1"/>
  <c r="U366" i="39"/>
  <c r="N366" i="39"/>
  <c r="AF363" i="39"/>
  <c r="V363" i="39"/>
  <c r="AF361" i="39"/>
  <c r="AG361" i="39" s="1"/>
  <c r="AF359" i="39"/>
  <c r="W359" i="39"/>
  <c r="V359" i="39"/>
  <c r="AF358" i="39"/>
  <c r="AB358" i="39"/>
  <c r="AA358" i="39"/>
  <c r="W358" i="39"/>
  <c r="Y358" i="39" s="1"/>
  <c r="V358" i="39"/>
  <c r="R358" i="39"/>
  <c r="T358" i="39" s="1"/>
  <c r="Q358" i="39"/>
  <c r="O358" i="39"/>
  <c r="AF357" i="39"/>
  <c r="AB357" i="39"/>
  <c r="AA357" i="39"/>
  <c r="W357" i="39"/>
  <c r="Y357" i="39" s="1"/>
  <c r="V357" i="39"/>
  <c r="N357" i="39"/>
  <c r="M357" i="39"/>
  <c r="M356" i="39" s="1"/>
  <c r="M355" i="39" s="1"/>
  <c r="M329" i="39" s="1"/>
  <c r="AF356" i="39"/>
  <c r="AB356" i="39"/>
  <c r="AA356" i="39"/>
  <c r="W356" i="39"/>
  <c r="Y356" i="39" s="1"/>
  <c r="V356" i="39"/>
  <c r="AF355" i="39"/>
  <c r="AB355" i="39"/>
  <c r="AA355" i="39"/>
  <c r="W355" i="39"/>
  <c r="Y355" i="39" s="1"/>
  <c r="V355" i="39"/>
  <c r="AF354" i="39"/>
  <c r="AG354" i="39" s="1"/>
  <c r="Z353" i="39"/>
  <c r="Z352" i="39" s="1"/>
  <c r="X353" i="39"/>
  <c r="U353" i="39"/>
  <c r="U352" i="39" s="1"/>
  <c r="P353" i="39"/>
  <c r="O353" i="39"/>
  <c r="O352" i="39" s="1"/>
  <c r="S352" i="39"/>
  <c r="N352" i="39"/>
  <c r="M352" i="39"/>
  <c r="AF351" i="39"/>
  <c r="AB351" i="39"/>
  <c r="AA351" i="39"/>
  <c r="W351" i="39"/>
  <c r="V351" i="39"/>
  <c r="AF350" i="39"/>
  <c r="AB350" i="39"/>
  <c r="AA350" i="39"/>
  <c r="W350" i="39"/>
  <c r="Y350" i="39" s="1"/>
  <c r="V350" i="39"/>
  <c r="R350" i="39"/>
  <c r="T350" i="39" s="1"/>
  <c r="Q350" i="39"/>
  <c r="O350" i="39"/>
  <c r="AF349" i="39"/>
  <c r="AB349" i="39"/>
  <c r="AA349" i="39"/>
  <c r="W349" i="39"/>
  <c r="Y349" i="39" s="1"/>
  <c r="V349" i="39"/>
  <c r="R349" i="39"/>
  <c r="T349" i="39" s="1"/>
  <c r="Q349" i="39"/>
  <c r="O349" i="39"/>
  <c r="AF348" i="39"/>
  <c r="AB348" i="39"/>
  <c r="AA348" i="39"/>
  <c r="W348" i="39"/>
  <c r="Y348" i="39" s="1"/>
  <c r="V348" i="39"/>
  <c r="R348" i="39"/>
  <c r="T348" i="39" s="1"/>
  <c r="Q348" i="39"/>
  <c r="O348" i="39"/>
  <c r="AF347" i="39"/>
  <c r="AB347" i="39"/>
  <c r="AA347" i="39"/>
  <c r="W347" i="39"/>
  <c r="Y347" i="39" s="1"/>
  <c r="V347" i="39"/>
  <c r="R347" i="39"/>
  <c r="T347" i="39" s="1"/>
  <c r="Q347" i="39"/>
  <c r="O347" i="39"/>
  <c r="AF346" i="39"/>
  <c r="AB346" i="39"/>
  <c r="AA346" i="39"/>
  <c r="W346" i="39"/>
  <c r="Y346" i="39" s="1"/>
  <c r="V346" i="39"/>
  <c r="R346" i="39"/>
  <c r="T346" i="39" s="1"/>
  <c r="Q346" i="39"/>
  <c r="O346" i="39"/>
  <c r="AF345" i="39"/>
  <c r="AB345" i="39"/>
  <c r="AA345" i="39"/>
  <c r="W345" i="39"/>
  <c r="Y345" i="39" s="1"/>
  <c r="V345" i="39"/>
  <c r="N345" i="39"/>
  <c r="AF344" i="39"/>
  <c r="AB344" i="39"/>
  <c r="AA344" i="39"/>
  <c r="W344" i="39"/>
  <c r="Y344" i="39" s="1"/>
  <c r="V344" i="39"/>
  <c r="AF343" i="39"/>
  <c r="AG343" i="39" s="1"/>
  <c r="AA343" i="39"/>
  <c r="Y343" i="39"/>
  <c r="V343" i="39"/>
  <c r="R343" i="39"/>
  <c r="T343" i="39" s="1"/>
  <c r="Q343" i="39"/>
  <c r="O343" i="39"/>
  <c r="AF342" i="39"/>
  <c r="AA342" i="39"/>
  <c r="Y342" i="39"/>
  <c r="V342" i="39"/>
  <c r="T342" i="39"/>
  <c r="Q342" i="39"/>
  <c r="O342" i="39"/>
  <c r="AF341" i="39"/>
  <c r="V341" i="39"/>
  <c r="AB341" i="39"/>
  <c r="AA341" i="39"/>
  <c r="W341" i="39"/>
  <c r="Y341" i="39" s="1"/>
  <c r="R341" i="39"/>
  <c r="T341" i="39" s="1"/>
  <c r="Q341" i="39"/>
  <c r="O341" i="39"/>
  <c r="Z340" i="39"/>
  <c r="X340" i="39"/>
  <c r="U340" i="39"/>
  <c r="U335" i="39" s="1"/>
  <c r="U332" i="39"/>
  <c r="S340" i="39"/>
  <c r="P340" i="39"/>
  <c r="N340" i="39"/>
  <c r="R340" i="39" s="1"/>
  <c r="X338" i="39"/>
  <c r="S338" i="39"/>
  <c r="AF337" i="39"/>
  <c r="AA337" i="39"/>
  <c r="W337" i="39"/>
  <c r="Y337" i="39" s="1"/>
  <c r="V337" i="39"/>
  <c r="AG337" i="39" s="1"/>
  <c r="R337" i="39"/>
  <c r="T337" i="39" s="1"/>
  <c r="Q337" i="39"/>
  <c r="O337" i="39"/>
  <c r="Z336" i="39"/>
  <c r="Z332" i="39"/>
  <c r="X336" i="39"/>
  <c r="U336" i="39"/>
  <c r="S336" i="39"/>
  <c r="P336" i="39"/>
  <c r="N336" i="39"/>
  <c r="R336" i="39" s="1"/>
  <c r="AF334" i="39"/>
  <c r="AG334" i="39" s="1"/>
  <c r="AF333" i="39"/>
  <c r="V333" i="39"/>
  <c r="AA333" i="39"/>
  <c r="Y333" i="39"/>
  <c r="T333" i="39"/>
  <c r="Q333" i="39"/>
  <c r="O333" i="39"/>
  <c r="X332" i="39"/>
  <c r="Y332" i="39" s="1"/>
  <c r="S332" i="39"/>
  <c r="P332" i="39"/>
  <c r="N332" i="39"/>
  <c r="O332" i="39" s="1"/>
  <c r="AF330" i="39"/>
  <c r="AG330" i="39" s="1"/>
  <c r="AA330" i="39"/>
  <c r="AF328" i="39"/>
  <c r="V328" i="39"/>
  <c r="AG328" i="39" s="1"/>
  <c r="AF326" i="39"/>
  <c r="AG326" i="39" s="1"/>
  <c r="AB326" i="39"/>
  <c r="AA326" i="39"/>
  <c r="W326" i="39"/>
  <c r="AF325" i="39"/>
  <c r="AB325" i="39"/>
  <c r="AA325" i="39"/>
  <c r="W325" i="39"/>
  <c r="Y325" i="39" s="1"/>
  <c r="V325" i="39"/>
  <c r="R325" i="39"/>
  <c r="T325" i="39" s="1"/>
  <c r="Q325" i="39"/>
  <c r="O325" i="39"/>
  <c r="AF324" i="39"/>
  <c r="AB324" i="39"/>
  <c r="AA324" i="39"/>
  <c r="W324" i="39"/>
  <c r="Y324" i="39" s="1"/>
  <c r="V324" i="39"/>
  <c r="R324" i="39"/>
  <c r="T324" i="39" s="1"/>
  <c r="Q324" i="39"/>
  <c r="O324" i="39"/>
  <c r="AF323" i="39"/>
  <c r="AB323" i="39"/>
  <c r="AA323" i="39"/>
  <c r="W323" i="39"/>
  <c r="Y323" i="39" s="1"/>
  <c r="V323" i="39"/>
  <c r="N323" i="39"/>
  <c r="AF322" i="39"/>
  <c r="AB322" i="39"/>
  <c r="AA322" i="39"/>
  <c r="W322" i="39"/>
  <c r="Y322" i="39" s="1"/>
  <c r="V322" i="39"/>
  <c r="AF321" i="39"/>
  <c r="AB321" i="39"/>
  <c r="AA321" i="39"/>
  <c r="W321" i="39"/>
  <c r="Y321" i="39" s="1"/>
  <c r="V321" i="39"/>
  <c r="AF320" i="39"/>
  <c r="AG320" i="39" s="1"/>
  <c r="Y320" i="39"/>
  <c r="R320" i="39"/>
  <c r="T320" i="39" s="1"/>
  <c r="Q320" i="39"/>
  <c r="O320" i="39"/>
  <c r="AF319" i="39"/>
  <c r="AB319" i="39"/>
  <c r="AA319" i="39"/>
  <c r="W319" i="39"/>
  <c r="Y319" i="39" s="1"/>
  <c r="V319" i="39"/>
  <c r="R319" i="39"/>
  <c r="T319" i="39" s="1"/>
  <c r="Q319" i="39"/>
  <c r="O319" i="39"/>
  <c r="Z318" i="39"/>
  <c r="Z317" i="39" s="1"/>
  <c r="Z316" i="39" s="1"/>
  <c r="Z314" i="39" s="1"/>
  <c r="Z312" i="39" s="1"/>
  <c r="X318" i="39"/>
  <c r="U318" i="39"/>
  <c r="U317" i="39" s="1"/>
  <c r="U316" i="39" s="1"/>
  <c r="U314" i="39" s="1"/>
  <c r="U312" i="39" s="1"/>
  <c r="S318" i="39"/>
  <c r="P318" i="39"/>
  <c r="N318" i="39"/>
  <c r="O318" i="39" s="1"/>
  <c r="AF315" i="39"/>
  <c r="AG315" i="39" s="1"/>
  <c r="AF313" i="39"/>
  <c r="AG313" i="39" s="1"/>
  <c r="AF311" i="39"/>
  <c r="AG311" i="39" s="1"/>
  <c r="AB311" i="39"/>
  <c r="AA311" i="39"/>
  <c r="W311" i="39"/>
  <c r="AF310" i="39"/>
  <c r="AB310" i="39"/>
  <c r="AA310" i="39"/>
  <c r="W310" i="39"/>
  <c r="Y310" i="39" s="1"/>
  <c r="V310" i="39"/>
  <c r="R310" i="39"/>
  <c r="T310" i="39" s="1"/>
  <c r="Q310" i="39"/>
  <c r="O310" i="39"/>
  <c r="Z309" i="39"/>
  <c r="Z308" i="39" s="1"/>
  <c r="Z304" i="39" s="1"/>
  <c r="Z298" i="39" s="1"/>
  <c r="Z296" i="39" s="1"/>
  <c r="X309" i="39"/>
  <c r="U309" i="39"/>
  <c r="U308" i="39" s="1"/>
  <c r="U304" i="39" s="1"/>
  <c r="U298" i="39" s="1"/>
  <c r="U296" i="39" s="1"/>
  <c r="S309" i="39"/>
  <c r="S308" i="39" s="1"/>
  <c r="S304" i="39" s="1"/>
  <c r="P309" i="39"/>
  <c r="N309" i="39"/>
  <c r="O309" i="39" s="1"/>
  <c r="AF307" i="39"/>
  <c r="V307" i="39"/>
  <c r="AB307" i="39"/>
  <c r="AA307" i="39"/>
  <c r="W307" i="39"/>
  <c r="Y307" i="39" s="1"/>
  <c r="R307" i="39"/>
  <c r="T307" i="39" s="1"/>
  <c r="Q307" i="39"/>
  <c r="O307" i="39"/>
  <c r="AF306" i="39"/>
  <c r="AB306" i="39"/>
  <c r="AA306" i="39"/>
  <c r="W306" i="39"/>
  <c r="Y306" i="39" s="1"/>
  <c r="V306" i="39"/>
  <c r="R306" i="39"/>
  <c r="T306" i="39" s="1"/>
  <c r="Q306" i="39"/>
  <c r="O306" i="39"/>
  <c r="AF305" i="39"/>
  <c r="AB305" i="39"/>
  <c r="AA305" i="39"/>
  <c r="W305" i="39"/>
  <c r="Y305" i="39" s="1"/>
  <c r="V305" i="39"/>
  <c r="R305" i="39"/>
  <c r="T305" i="39" s="1"/>
  <c r="Q305" i="39"/>
  <c r="O305" i="39"/>
  <c r="AF303" i="39"/>
  <c r="AB303" i="39"/>
  <c r="AA303" i="39"/>
  <c r="W303" i="39"/>
  <c r="Y303" i="39" s="1"/>
  <c r="V303" i="39"/>
  <c r="R303" i="39"/>
  <c r="T303" i="39" s="1"/>
  <c r="Q303" i="39"/>
  <c r="O303" i="39"/>
  <c r="N302" i="39"/>
  <c r="O302" i="39" s="1"/>
  <c r="P302" i="39" s="1"/>
  <c r="AF299" i="39"/>
  <c r="AB299" i="39"/>
  <c r="AA299" i="39"/>
  <c r="W299" i="39"/>
  <c r="V299" i="39"/>
  <c r="R299" i="39"/>
  <c r="Q299" i="39"/>
  <c r="AF297" i="39"/>
  <c r="AG297" i="39" s="1"/>
  <c r="AF295" i="39"/>
  <c r="AB295" i="39"/>
  <c r="AA295" i="39"/>
  <c r="W295" i="39"/>
  <c r="Y295" i="39" s="1"/>
  <c r="V295" i="39"/>
  <c r="R295" i="39"/>
  <c r="T295" i="39" s="1"/>
  <c r="Q295" i="39"/>
  <c r="O295" i="39"/>
  <c r="AF294" i="39"/>
  <c r="AB294" i="39"/>
  <c r="AA294" i="39"/>
  <c r="W294" i="39"/>
  <c r="Y294" i="39" s="1"/>
  <c r="V294" i="39"/>
  <c r="R294" i="39"/>
  <c r="T294" i="39" s="1"/>
  <c r="Q294" i="39"/>
  <c r="O294" i="39"/>
  <c r="AF293" i="39"/>
  <c r="V293" i="39"/>
  <c r="AB293" i="39"/>
  <c r="AA293" i="39"/>
  <c r="W293" i="39"/>
  <c r="Y293" i="39" s="1"/>
  <c r="N293" i="39"/>
  <c r="Q293" i="39" s="1"/>
  <c r="AF292" i="39"/>
  <c r="AB292" i="39"/>
  <c r="AA292" i="39"/>
  <c r="W292" i="39"/>
  <c r="Y292" i="39" s="1"/>
  <c r="V292" i="39"/>
  <c r="AF291" i="39"/>
  <c r="W291" i="39"/>
  <c r="Y291" i="39" s="1"/>
  <c r="V291" i="39"/>
  <c r="R291" i="39"/>
  <c r="T291" i="39" s="1"/>
  <c r="Q291" i="39"/>
  <c r="O291" i="39"/>
  <c r="AF290" i="39"/>
  <c r="X290" i="39"/>
  <c r="X289" i="39" s="1"/>
  <c r="X288" i="39" s="1"/>
  <c r="W290" i="39"/>
  <c r="V290" i="39"/>
  <c r="R290" i="39"/>
  <c r="T290" i="39" s="1"/>
  <c r="Q290" i="39"/>
  <c r="O290" i="39"/>
  <c r="AF289" i="39"/>
  <c r="W289" i="39"/>
  <c r="V289" i="39"/>
  <c r="N289" i="39"/>
  <c r="O289" i="39" s="1"/>
  <c r="AF288" i="39"/>
  <c r="W288" i="39"/>
  <c r="V288" i="39"/>
  <c r="AF287" i="39"/>
  <c r="W287" i="39"/>
  <c r="V287" i="39"/>
  <c r="AF286" i="39"/>
  <c r="AG286" i="39" s="1"/>
  <c r="AF285" i="39"/>
  <c r="V285" i="39"/>
  <c r="T285" i="39"/>
  <c r="AF284" i="39"/>
  <c r="AG284" i="39" s="1"/>
  <c r="AF283" i="39"/>
  <c r="AB283" i="39"/>
  <c r="AA283" i="39"/>
  <c r="W283" i="39"/>
  <c r="Y283" i="39" s="1"/>
  <c r="V283" i="39"/>
  <c r="R283" i="39"/>
  <c r="T283" i="39" s="1"/>
  <c r="Q283" i="39"/>
  <c r="O283" i="39"/>
  <c r="AF282" i="39"/>
  <c r="AB282" i="39"/>
  <c r="AA282" i="39"/>
  <c r="W282" i="39"/>
  <c r="Y282" i="39" s="1"/>
  <c r="V282" i="39"/>
  <c r="R282" i="39"/>
  <c r="T282" i="39" s="1"/>
  <c r="Q282" i="39"/>
  <c r="O282" i="39"/>
  <c r="AF281" i="39"/>
  <c r="AB281" i="39"/>
  <c r="AA281" i="39"/>
  <c r="W281" i="39"/>
  <c r="Y281" i="39" s="1"/>
  <c r="V281" i="39"/>
  <c r="N281" i="39"/>
  <c r="AF280" i="39"/>
  <c r="AB280" i="39"/>
  <c r="AA280" i="39"/>
  <c r="W280" i="39"/>
  <c r="Y280" i="39" s="1"/>
  <c r="V280" i="39"/>
  <c r="AF279" i="39"/>
  <c r="AB279" i="39"/>
  <c r="AA279" i="39"/>
  <c r="W279" i="39"/>
  <c r="Y279" i="39" s="1"/>
  <c r="V279" i="39"/>
  <c r="R279" i="39"/>
  <c r="T279" i="39" s="1"/>
  <c r="Q279" i="39"/>
  <c r="O279" i="39"/>
  <c r="AF278" i="39"/>
  <c r="AB278" i="39"/>
  <c r="AA278" i="39"/>
  <c r="W278" i="39"/>
  <c r="Y278" i="39" s="1"/>
  <c r="V278" i="39"/>
  <c r="R278" i="39"/>
  <c r="T278" i="39" s="1"/>
  <c r="Q278" i="39"/>
  <c r="O278" i="39"/>
  <c r="AF277" i="39"/>
  <c r="AB277" i="39"/>
  <c r="AA277" i="39"/>
  <c r="W277" i="39"/>
  <c r="Y277" i="39" s="1"/>
  <c r="V277" i="39"/>
  <c r="N277" i="39"/>
  <c r="O277" i="39" s="1"/>
  <c r="AF276" i="39"/>
  <c r="AG276" i="39" s="1"/>
  <c r="W276" i="39"/>
  <c r="Y276" i="39" s="1"/>
  <c r="R276" i="39"/>
  <c r="T276" i="39" s="1"/>
  <c r="Q276" i="39"/>
  <c r="O276" i="39"/>
  <c r="AF275" i="39"/>
  <c r="AB275" i="39"/>
  <c r="AA275" i="39"/>
  <c r="W275" i="39"/>
  <c r="Y275" i="39" s="1"/>
  <c r="V275" i="39"/>
  <c r="R275" i="39"/>
  <c r="T275" i="39" s="1"/>
  <c r="Q275" i="39"/>
  <c r="O275" i="39"/>
  <c r="Z274" i="39"/>
  <c r="Z273" i="39" s="1"/>
  <c r="Z272" i="39" s="1"/>
  <c r="X274" i="39"/>
  <c r="X273" i="39" s="1"/>
  <c r="X272" i="39" s="1"/>
  <c r="U274" i="39"/>
  <c r="U273" i="39" s="1"/>
  <c r="U272" i="39" s="1"/>
  <c r="S274" i="39"/>
  <c r="P274" i="39"/>
  <c r="N274" i="39"/>
  <c r="AF271" i="39"/>
  <c r="AG271" i="39" s="1"/>
  <c r="AF270" i="39"/>
  <c r="AB270" i="39"/>
  <c r="AA270" i="39"/>
  <c r="W270" i="39"/>
  <c r="Y270" i="39" s="1"/>
  <c r="V270" i="39"/>
  <c r="R270" i="39"/>
  <c r="T270" i="39" s="1"/>
  <c r="Q270" i="39"/>
  <c r="O270" i="39"/>
  <c r="AF269" i="39"/>
  <c r="AB269" i="39"/>
  <c r="AA269" i="39"/>
  <c r="W269" i="39"/>
  <c r="Y269" i="39" s="1"/>
  <c r="V269" i="39"/>
  <c r="R269" i="39"/>
  <c r="T269" i="39" s="1"/>
  <c r="Q269" i="39"/>
  <c r="O269" i="39"/>
  <c r="Z268" i="39"/>
  <c r="Z267" i="39" s="1"/>
  <c r="Z266" i="39" s="1"/>
  <c r="X268" i="39"/>
  <c r="U268" i="39"/>
  <c r="U267" i="39" s="1"/>
  <c r="U266" i="39" s="1"/>
  <c r="S268" i="39"/>
  <c r="P268" i="39"/>
  <c r="N268" i="39"/>
  <c r="AF265" i="39"/>
  <c r="V265" i="39"/>
  <c r="Q265" i="39"/>
  <c r="AF263" i="39"/>
  <c r="V263" i="39"/>
  <c r="Q263" i="39"/>
  <c r="AF261" i="39"/>
  <c r="AB261" i="39"/>
  <c r="AA261" i="39"/>
  <c r="W261" i="39"/>
  <c r="Y261" i="39" s="1"/>
  <c r="V261" i="39"/>
  <c r="R261" i="39"/>
  <c r="T261" i="39" s="1"/>
  <c r="Q261" i="39"/>
  <c r="O261" i="39"/>
  <c r="AF260" i="39"/>
  <c r="AB260" i="39"/>
  <c r="AA260" i="39"/>
  <c r="W260" i="39"/>
  <c r="Y260" i="39" s="1"/>
  <c r="V260" i="39"/>
  <c r="R260" i="39"/>
  <c r="T260" i="39" s="1"/>
  <c r="Q260" i="39"/>
  <c r="O260" i="39"/>
  <c r="AF259" i="39"/>
  <c r="AB259" i="39"/>
  <c r="AA259" i="39"/>
  <c r="W259" i="39"/>
  <c r="Y259" i="39" s="1"/>
  <c r="V259" i="39"/>
  <c r="N259" i="39"/>
  <c r="AF258" i="39"/>
  <c r="AB258" i="39"/>
  <c r="AA258" i="39"/>
  <c r="W258" i="39"/>
  <c r="Y258" i="39" s="1"/>
  <c r="V258" i="39"/>
  <c r="AF257" i="39"/>
  <c r="AB257" i="39"/>
  <c r="AA257" i="39"/>
  <c r="W257" i="39"/>
  <c r="Y257" i="39" s="1"/>
  <c r="V257" i="39"/>
  <c r="AF256" i="39"/>
  <c r="AB256" i="39"/>
  <c r="AA256" i="39"/>
  <c r="W256" i="39"/>
  <c r="Y256" i="39" s="1"/>
  <c r="V256" i="39"/>
  <c r="R256" i="39"/>
  <c r="T256" i="39" s="1"/>
  <c r="Q256" i="39"/>
  <c r="O256" i="39"/>
  <c r="AF255" i="39"/>
  <c r="V255" i="39"/>
  <c r="AB255" i="39"/>
  <c r="AA255" i="39"/>
  <c r="W255" i="39"/>
  <c r="Y255" i="39" s="1"/>
  <c r="R255" i="39"/>
  <c r="T255" i="39" s="1"/>
  <c r="Q255" i="39"/>
  <c r="O255" i="39"/>
  <c r="AF254" i="39"/>
  <c r="V254" i="39"/>
  <c r="AB254" i="39"/>
  <c r="AA254" i="39"/>
  <c r="W254" i="39"/>
  <c r="Y254" i="39" s="1"/>
  <c r="N254" i="39"/>
  <c r="AF253" i="39"/>
  <c r="V253" i="39"/>
  <c r="AB253" i="39"/>
  <c r="AA253" i="39"/>
  <c r="W253" i="39"/>
  <c r="Y253" i="39" s="1"/>
  <c r="AF252" i="39"/>
  <c r="AB252" i="39"/>
  <c r="AA252" i="39"/>
  <c r="W252" i="39"/>
  <c r="Y252" i="39" s="1"/>
  <c r="V252" i="39"/>
  <c r="AF251" i="39"/>
  <c r="AG251" i="39" s="1"/>
  <c r="AF250" i="39"/>
  <c r="AA250" i="39"/>
  <c r="Y250" i="39"/>
  <c r="V250" i="39"/>
  <c r="T250" i="39"/>
  <c r="AF249" i="39"/>
  <c r="AG249" i="39" s="1"/>
  <c r="AF248" i="39"/>
  <c r="Y248" i="39"/>
  <c r="V248" i="39"/>
  <c r="R248" i="39"/>
  <c r="T248" i="39" s="1"/>
  <c r="Q248" i="39"/>
  <c r="O248" i="39"/>
  <c r="AF247" i="39"/>
  <c r="Y247" i="39"/>
  <c r="V247" i="39"/>
  <c r="N247" i="39"/>
  <c r="Q247" i="39" s="1"/>
  <c r="AF246" i="39"/>
  <c r="Y246" i="39"/>
  <c r="V246" i="39"/>
  <c r="AF245" i="39"/>
  <c r="Y245" i="39"/>
  <c r="V245" i="39"/>
  <c r="R245" i="39"/>
  <c r="T245" i="39" s="1"/>
  <c r="Q245" i="39"/>
  <c r="O245" i="39"/>
  <c r="AF244" i="39"/>
  <c r="Y244" i="39"/>
  <c r="V244" i="39"/>
  <c r="R244" i="39"/>
  <c r="T244" i="39" s="1"/>
  <c r="Q244" i="39"/>
  <c r="O244" i="39"/>
  <c r="AF243" i="39"/>
  <c r="Y243" i="39"/>
  <c r="V243" i="39"/>
  <c r="N243" i="39"/>
  <c r="AF242" i="39"/>
  <c r="Y242" i="39"/>
  <c r="V242" i="39"/>
  <c r="AF241" i="39"/>
  <c r="AG241" i="39" s="1"/>
  <c r="Y241" i="39"/>
  <c r="R241" i="39"/>
  <c r="T241" i="39" s="1"/>
  <c r="Q241" i="39"/>
  <c r="O241" i="39"/>
  <c r="AF240" i="39"/>
  <c r="AB240" i="39"/>
  <c r="AA240" i="39"/>
  <c r="W240" i="39"/>
  <c r="Y240" i="39" s="1"/>
  <c r="V240" i="39"/>
  <c r="R240" i="39"/>
  <c r="T240" i="39" s="1"/>
  <c r="Q240" i="39"/>
  <c r="O240" i="39"/>
  <c r="AF239" i="39"/>
  <c r="V239" i="39"/>
  <c r="AB239" i="39"/>
  <c r="AA239" i="39"/>
  <c r="W239" i="39"/>
  <c r="Y239" i="39" s="1"/>
  <c r="R239" i="39"/>
  <c r="T239" i="39" s="1"/>
  <c r="Q239" i="39"/>
  <c r="O239" i="39"/>
  <c r="Z238" i="39"/>
  <c r="Z237" i="39" s="1"/>
  <c r="X238" i="39"/>
  <c r="U238" i="39"/>
  <c r="U237" i="39" s="1"/>
  <c r="S238" i="39"/>
  <c r="P238" i="39"/>
  <c r="N238" i="39"/>
  <c r="AF236" i="39"/>
  <c r="AG236" i="39" s="1"/>
  <c r="AF235" i="39"/>
  <c r="V235" i="39"/>
  <c r="AB235" i="39"/>
  <c r="AA235" i="39"/>
  <c r="W235" i="39"/>
  <c r="Y235" i="39" s="1"/>
  <c r="R235" i="39"/>
  <c r="T235" i="39" s="1"/>
  <c r="Q235" i="39"/>
  <c r="O235" i="39"/>
  <c r="Z234" i="39"/>
  <c r="X234" i="39"/>
  <c r="U234" i="39"/>
  <c r="S234" i="39"/>
  <c r="P234" i="39"/>
  <c r="N234" i="39"/>
  <c r="O234" i="39" s="1"/>
  <c r="AF232" i="39"/>
  <c r="AG232" i="39" s="1"/>
  <c r="AF230" i="39"/>
  <c r="AG230" i="39" s="1"/>
  <c r="AF228" i="39"/>
  <c r="AG228" i="39" s="1"/>
  <c r="AF227" i="39"/>
  <c r="V227" i="39"/>
  <c r="AA227" i="39"/>
  <c r="Y227" i="39"/>
  <c r="T227" i="39"/>
  <c r="Q227" i="39"/>
  <c r="O227" i="39"/>
  <c r="X226" i="39"/>
  <c r="S226" i="39"/>
  <c r="R226" i="39"/>
  <c r="Q226" i="39"/>
  <c r="O226" i="39"/>
  <c r="Z225" i="39"/>
  <c r="Z224" i="39" s="1"/>
  <c r="U225" i="39"/>
  <c r="U224" i="39" s="1"/>
  <c r="P225" i="39"/>
  <c r="N225" i="39"/>
  <c r="AF223" i="39"/>
  <c r="AB223" i="39"/>
  <c r="AA223" i="39"/>
  <c r="W223" i="39"/>
  <c r="Y223" i="39" s="1"/>
  <c r="V223" i="39"/>
  <c r="R223" i="39"/>
  <c r="T223" i="39" s="1"/>
  <c r="Q223" i="39"/>
  <c r="O223" i="39"/>
  <c r="AF222" i="39"/>
  <c r="AB222" i="39"/>
  <c r="AA222" i="39"/>
  <c r="W222" i="39"/>
  <c r="Y222" i="39" s="1"/>
  <c r="V222" i="39"/>
  <c r="R222" i="39"/>
  <c r="T222" i="39" s="1"/>
  <c r="Q222" i="39"/>
  <c r="O222" i="39"/>
  <c r="AF221" i="39"/>
  <c r="AB221" i="39"/>
  <c r="AA221" i="39"/>
  <c r="W221" i="39"/>
  <c r="Y221" i="39" s="1"/>
  <c r="V221" i="39"/>
  <c r="R221" i="39"/>
  <c r="T221" i="39" s="1"/>
  <c r="Q221" i="39"/>
  <c r="O221" i="39"/>
  <c r="Z220" i="39"/>
  <c r="Z219" i="39" s="1"/>
  <c r="X220" i="39"/>
  <c r="X219" i="39" s="1"/>
  <c r="U220" i="39"/>
  <c r="U219" i="39" s="1"/>
  <c r="S220" i="39"/>
  <c r="P220" i="39"/>
  <c r="N220" i="39"/>
  <c r="AD218" i="39"/>
  <c r="AF217" i="39"/>
  <c r="AG217" i="39" s="1"/>
  <c r="AB217" i="39"/>
  <c r="AA217" i="39"/>
  <c r="W217" i="39"/>
  <c r="AF216" i="39"/>
  <c r="AB216" i="39"/>
  <c r="AA216" i="39"/>
  <c r="W216" i="39"/>
  <c r="Y216" i="39" s="1"/>
  <c r="V216" i="39"/>
  <c r="R216" i="39"/>
  <c r="T216" i="39" s="1"/>
  <c r="Q216" i="39"/>
  <c r="O216" i="39"/>
  <c r="Z215" i="39"/>
  <c r="Z214" i="39" s="1"/>
  <c r="X215" i="39"/>
  <c r="U215" i="39"/>
  <c r="U214" i="39" s="1"/>
  <c r="S215" i="39"/>
  <c r="S214" i="39" s="1"/>
  <c r="P215" i="39"/>
  <c r="N215" i="39"/>
  <c r="N214" i="39"/>
  <c r="O214" i="39" s="1"/>
  <c r="AF212" i="39"/>
  <c r="AG212" i="39" s="1"/>
  <c r="AF210" i="39"/>
  <c r="AG210" i="39" s="1"/>
  <c r="AF209" i="39"/>
  <c r="AB209" i="39"/>
  <c r="AA209" i="39"/>
  <c r="W209" i="39"/>
  <c r="Y209" i="39" s="1"/>
  <c r="V209" i="39"/>
  <c r="R209" i="39"/>
  <c r="T209" i="39" s="1"/>
  <c r="Q209" i="39"/>
  <c r="O209" i="39"/>
  <c r="Z208" i="39"/>
  <c r="X208" i="39"/>
  <c r="U208" i="39"/>
  <c r="S208" i="39"/>
  <c r="P208" i="39"/>
  <c r="N208" i="39"/>
  <c r="Q208" i="39" s="1"/>
  <c r="M208" i="39"/>
  <c r="AF207" i="39"/>
  <c r="AG207" i="39" s="1"/>
  <c r="AB207" i="39"/>
  <c r="AA207" i="39"/>
  <c r="W207" i="39"/>
  <c r="AF206" i="39"/>
  <c r="AB206" i="39"/>
  <c r="AA206" i="39"/>
  <c r="W206" i="39"/>
  <c r="Y206" i="39" s="1"/>
  <c r="V206" i="39"/>
  <c r="T206" i="39"/>
  <c r="Q206" i="39"/>
  <c r="O206" i="39"/>
  <c r="AF205" i="39"/>
  <c r="AB205" i="39"/>
  <c r="AA205" i="39"/>
  <c r="W205" i="39"/>
  <c r="Y205" i="39" s="1"/>
  <c r="V205" i="39"/>
  <c r="R205" i="39"/>
  <c r="T205" i="39" s="1"/>
  <c r="Q205" i="39"/>
  <c r="O205" i="39"/>
  <c r="AF204" i="39"/>
  <c r="AB204" i="39"/>
  <c r="AA204" i="39"/>
  <c r="W204" i="39"/>
  <c r="Y204" i="39" s="1"/>
  <c r="V204" i="39"/>
  <c r="R204" i="39"/>
  <c r="T204" i="39" s="1"/>
  <c r="Q204" i="39"/>
  <c r="O204" i="39"/>
  <c r="Z203" i="39"/>
  <c r="X203" i="39"/>
  <c r="S203" i="39"/>
  <c r="U203" i="39"/>
  <c r="P203" i="39"/>
  <c r="N203" i="39"/>
  <c r="O203" i="39" s="1"/>
  <c r="AF202" i="39"/>
  <c r="AB202" i="39"/>
  <c r="AA202" i="39"/>
  <c r="W202" i="39"/>
  <c r="Y202" i="39" s="1"/>
  <c r="V202" i="39"/>
  <c r="R202" i="39"/>
  <c r="T202" i="39" s="1"/>
  <c r="Q202" i="39"/>
  <c r="O202" i="39"/>
  <c r="AF201" i="39"/>
  <c r="AB201" i="39"/>
  <c r="AA201" i="39"/>
  <c r="W201" i="39"/>
  <c r="Y201" i="39" s="1"/>
  <c r="V201" i="39"/>
  <c r="R201" i="39"/>
  <c r="T201" i="39" s="1"/>
  <c r="Q201" i="39"/>
  <c r="O201" i="39"/>
  <c r="Z200" i="39"/>
  <c r="X200" i="39"/>
  <c r="U200" i="39"/>
  <c r="U172" i="39"/>
  <c r="U193" i="39"/>
  <c r="U196" i="39"/>
  <c r="S200" i="39"/>
  <c r="P200" i="39"/>
  <c r="N200" i="39"/>
  <c r="O200" i="39" s="1"/>
  <c r="AF199" i="39"/>
  <c r="AB199" i="39"/>
  <c r="AA199" i="39"/>
  <c r="W199" i="39"/>
  <c r="Y199" i="39" s="1"/>
  <c r="V199" i="39"/>
  <c r="R199" i="39"/>
  <c r="T199" i="39" s="1"/>
  <c r="Q199" i="39"/>
  <c r="O199" i="39"/>
  <c r="AF198" i="39"/>
  <c r="AB198" i="39"/>
  <c r="AA198" i="39"/>
  <c r="W198" i="39"/>
  <c r="Y198" i="39" s="1"/>
  <c r="V198" i="39"/>
  <c r="R198" i="39"/>
  <c r="T198" i="39" s="1"/>
  <c r="Q198" i="39"/>
  <c r="O198" i="39"/>
  <c r="AF197" i="39"/>
  <c r="AB197" i="39"/>
  <c r="AA197" i="39"/>
  <c r="W197" i="39"/>
  <c r="Y197" i="39" s="1"/>
  <c r="V197" i="39"/>
  <c r="R197" i="39"/>
  <c r="T197" i="39" s="1"/>
  <c r="Q197" i="39"/>
  <c r="O197" i="39"/>
  <c r="Z196" i="39"/>
  <c r="Z172" i="39"/>
  <c r="Z193" i="39"/>
  <c r="X196" i="39"/>
  <c r="AB196" i="39" s="1"/>
  <c r="S196" i="39"/>
  <c r="P196" i="39"/>
  <c r="N196" i="39"/>
  <c r="O196" i="39" s="1"/>
  <c r="AF195" i="39"/>
  <c r="AB195" i="39"/>
  <c r="AA195" i="39"/>
  <c r="W195" i="39"/>
  <c r="Y195" i="39" s="1"/>
  <c r="V195" i="39"/>
  <c r="R195" i="39"/>
  <c r="T195" i="39" s="1"/>
  <c r="Q195" i="39"/>
  <c r="O195" i="39"/>
  <c r="AF194" i="39"/>
  <c r="AB194" i="39"/>
  <c r="AA194" i="39"/>
  <c r="W194" i="39"/>
  <c r="Y194" i="39" s="1"/>
  <c r="V194" i="39"/>
  <c r="R194" i="39"/>
  <c r="T194" i="39" s="1"/>
  <c r="Q194" i="39"/>
  <c r="O194" i="39"/>
  <c r="X193" i="39"/>
  <c r="S193" i="39"/>
  <c r="P193" i="39"/>
  <c r="N193" i="39"/>
  <c r="O193" i="39" s="1"/>
  <c r="AF192" i="39"/>
  <c r="AB192" i="39"/>
  <c r="AA192" i="39"/>
  <c r="W192" i="39"/>
  <c r="Y192" i="39" s="1"/>
  <c r="V192" i="39"/>
  <c r="R192" i="39"/>
  <c r="T192" i="39" s="1"/>
  <c r="Q192" i="39"/>
  <c r="O192" i="39"/>
  <c r="AF191" i="39"/>
  <c r="AB191" i="39"/>
  <c r="AA191" i="39"/>
  <c r="W191" i="39"/>
  <c r="Y191" i="39" s="1"/>
  <c r="V191" i="39"/>
  <c r="R191" i="39"/>
  <c r="T191" i="39" s="1"/>
  <c r="Q191" i="39"/>
  <c r="O191" i="39"/>
  <c r="AF190" i="39"/>
  <c r="AB190" i="39"/>
  <c r="AA190" i="39"/>
  <c r="W190" i="39"/>
  <c r="Y190" i="39" s="1"/>
  <c r="V190" i="39"/>
  <c r="R190" i="39"/>
  <c r="T190" i="39" s="1"/>
  <c r="Q190" i="39"/>
  <c r="O190" i="39"/>
  <c r="AF189" i="39"/>
  <c r="V189" i="39"/>
  <c r="AB189" i="39"/>
  <c r="AA189" i="39"/>
  <c r="W189" i="39"/>
  <c r="Y189" i="39" s="1"/>
  <c r="R189" i="39"/>
  <c r="T189" i="39" s="1"/>
  <c r="Q189" i="39"/>
  <c r="O189" i="39"/>
  <c r="AF188" i="39"/>
  <c r="AB188" i="39"/>
  <c r="AA188" i="39"/>
  <c r="W188" i="39"/>
  <c r="Y188" i="39" s="1"/>
  <c r="V188" i="39"/>
  <c r="R188" i="39"/>
  <c r="T188" i="39" s="1"/>
  <c r="Q188" i="39"/>
  <c r="O188" i="39"/>
  <c r="AF187" i="39"/>
  <c r="AB187" i="39"/>
  <c r="AA187" i="39"/>
  <c r="W187" i="39"/>
  <c r="Y187" i="39" s="1"/>
  <c r="V187" i="39"/>
  <c r="R187" i="39"/>
  <c r="T187" i="39" s="1"/>
  <c r="Q187" i="39"/>
  <c r="O187" i="39"/>
  <c r="AF186" i="39"/>
  <c r="AB186" i="39"/>
  <c r="AA186" i="39"/>
  <c r="W186" i="39"/>
  <c r="Y186" i="39" s="1"/>
  <c r="V186" i="39"/>
  <c r="R186" i="39"/>
  <c r="T186" i="39" s="1"/>
  <c r="Q186" i="39"/>
  <c r="O186" i="39"/>
  <c r="AF185" i="39"/>
  <c r="AB185" i="39"/>
  <c r="AA185" i="39"/>
  <c r="W185" i="39"/>
  <c r="Y185" i="39" s="1"/>
  <c r="V185" i="39"/>
  <c r="R185" i="39"/>
  <c r="T185" i="39" s="1"/>
  <c r="Q185" i="39"/>
  <c r="O185" i="39"/>
  <c r="AF184" i="39"/>
  <c r="AB184" i="39"/>
  <c r="AA184" i="39"/>
  <c r="W184" i="39"/>
  <c r="Y184" i="39" s="1"/>
  <c r="V184" i="39"/>
  <c r="R184" i="39"/>
  <c r="T184" i="39" s="1"/>
  <c r="Q184" i="39"/>
  <c r="O184" i="39"/>
  <c r="AF183" i="39"/>
  <c r="AB183" i="39"/>
  <c r="AA183" i="39"/>
  <c r="W183" i="39"/>
  <c r="Y183" i="39" s="1"/>
  <c r="V183" i="39"/>
  <c r="R183" i="39"/>
  <c r="T183" i="39" s="1"/>
  <c r="Q183" i="39"/>
  <c r="O183" i="39"/>
  <c r="AF182" i="39"/>
  <c r="AB182" i="39"/>
  <c r="AA182" i="39"/>
  <c r="W182" i="39"/>
  <c r="Y182" i="39" s="1"/>
  <c r="V182" i="39"/>
  <c r="R182" i="39"/>
  <c r="T182" i="39" s="1"/>
  <c r="Q182" i="39"/>
  <c r="O182" i="39"/>
  <c r="AF181" i="39"/>
  <c r="V181" i="39"/>
  <c r="AB181" i="39"/>
  <c r="AA181" i="39"/>
  <c r="W181" i="39"/>
  <c r="Y181" i="39" s="1"/>
  <c r="R181" i="39"/>
  <c r="T181" i="39" s="1"/>
  <c r="Q181" i="39"/>
  <c r="O181" i="39"/>
  <c r="AF180" i="39"/>
  <c r="AB180" i="39"/>
  <c r="AA180" i="39"/>
  <c r="W180" i="39"/>
  <c r="Y180" i="39" s="1"/>
  <c r="V180" i="39"/>
  <c r="R180" i="39"/>
  <c r="T180" i="39" s="1"/>
  <c r="Q180" i="39"/>
  <c r="O180" i="39"/>
  <c r="AF179" i="39"/>
  <c r="AB179" i="39"/>
  <c r="AA179" i="39"/>
  <c r="W179" i="39"/>
  <c r="Y179" i="39" s="1"/>
  <c r="V179" i="39"/>
  <c r="R179" i="39"/>
  <c r="T179" i="39" s="1"/>
  <c r="Q179" i="39"/>
  <c r="O179" i="39"/>
  <c r="AF178" i="39"/>
  <c r="AB178" i="39"/>
  <c r="AA178" i="39"/>
  <c r="W178" i="39"/>
  <c r="Y178" i="39" s="1"/>
  <c r="V178" i="39"/>
  <c r="R178" i="39"/>
  <c r="T178" i="39" s="1"/>
  <c r="Q178" i="39"/>
  <c r="O178" i="39"/>
  <c r="AF177" i="39"/>
  <c r="AB177" i="39"/>
  <c r="AA177" i="39"/>
  <c r="W177" i="39"/>
  <c r="Y177" i="39" s="1"/>
  <c r="V177" i="39"/>
  <c r="R177" i="39"/>
  <c r="T177" i="39" s="1"/>
  <c r="Q177" i="39"/>
  <c r="O177" i="39"/>
  <c r="AF176" i="39"/>
  <c r="AB176" i="39"/>
  <c r="AA176" i="39"/>
  <c r="W176" i="39"/>
  <c r="Y176" i="39" s="1"/>
  <c r="V176" i="39"/>
  <c r="R176" i="39"/>
  <c r="T176" i="39" s="1"/>
  <c r="Q176" i="39"/>
  <c r="O176" i="39"/>
  <c r="AF175" i="39"/>
  <c r="AB175" i="39"/>
  <c r="AA175" i="39"/>
  <c r="W175" i="39"/>
  <c r="Y175" i="39" s="1"/>
  <c r="V175" i="39"/>
  <c r="R175" i="39"/>
  <c r="T175" i="39" s="1"/>
  <c r="Q175" i="39"/>
  <c r="O175" i="39"/>
  <c r="AF174" i="39"/>
  <c r="AB174" i="39"/>
  <c r="AA174" i="39"/>
  <c r="W174" i="39"/>
  <c r="Y174" i="39" s="1"/>
  <c r="V174" i="39"/>
  <c r="R174" i="39"/>
  <c r="T174" i="39" s="1"/>
  <c r="Q174" i="39"/>
  <c r="O174" i="39"/>
  <c r="AF173" i="39"/>
  <c r="V173" i="39"/>
  <c r="AB173" i="39"/>
  <c r="AA173" i="39"/>
  <c r="W173" i="39"/>
  <c r="Y173" i="39" s="1"/>
  <c r="R173" i="39"/>
  <c r="T173" i="39" s="1"/>
  <c r="Q173" i="39"/>
  <c r="O173" i="39"/>
  <c r="X172" i="39"/>
  <c r="S172" i="39"/>
  <c r="P172" i="39"/>
  <c r="N172" i="39"/>
  <c r="AF171" i="39"/>
  <c r="W171" i="39"/>
  <c r="Y171" i="39" s="1"/>
  <c r="V171" i="39"/>
  <c r="R171" i="39"/>
  <c r="T171" i="39" s="1"/>
  <c r="Q171" i="39"/>
  <c r="O171" i="39"/>
  <c r="AF170" i="39"/>
  <c r="AB170" i="39"/>
  <c r="AA170" i="39"/>
  <c r="W170" i="39"/>
  <c r="Y170" i="39" s="1"/>
  <c r="V170" i="39"/>
  <c r="R170" i="39"/>
  <c r="T170" i="39" s="1"/>
  <c r="Q170" i="39"/>
  <c r="O170" i="39"/>
  <c r="AF169" i="39"/>
  <c r="AB169" i="39"/>
  <c r="AA169" i="39"/>
  <c r="W169" i="39"/>
  <c r="Y169" i="39" s="1"/>
  <c r="V169" i="39"/>
  <c r="R169" i="39"/>
  <c r="T169" i="39" s="1"/>
  <c r="Q169" i="39"/>
  <c r="O169" i="39"/>
  <c r="AF168" i="39"/>
  <c r="AB168" i="39"/>
  <c r="AA168" i="39"/>
  <c r="W168" i="39"/>
  <c r="Y168" i="39" s="1"/>
  <c r="V168" i="39"/>
  <c r="R168" i="39"/>
  <c r="T168" i="39" s="1"/>
  <c r="Q168" i="39"/>
  <c r="O168" i="39"/>
  <c r="AF167" i="39"/>
  <c r="AB167" i="39"/>
  <c r="AA167" i="39"/>
  <c r="W167" i="39"/>
  <c r="Y167" i="39" s="1"/>
  <c r="V167" i="39"/>
  <c r="R167" i="39"/>
  <c r="T167" i="39" s="1"/>
  <c r="Q167" i="39"/>
  <c r="O167" i="39"/>
  <c r="AF166" i="39"/>
  <c r="V166" i="39"/>
  <c r="AB166" i="39"/>
  <c r="AA166" i="39"/>
  <c r="W166" i="39"/>
  <c r="Y166" i="39" s="1"/>
  <c r="R166" i="39"/>
  <c r="T166" i="39" s="1"/>
  <c r="Q166" i="39"/>
  <c r="O166" i="39"/>
  <c r="AF165" i="39"/>
  <c r="AB165" i="39"/>
  <c r="AA165" i="39"/>
  <c r="W165" i="39"/>
  <c r="Y165" i="39" s="1"/>
  <c r="V165" i="39"/>
  <c r="R165" i="39"/>
  <c r="T165" i="39" s="1"/>
  <c r="Q165" i="39"/>
  <c r="O165" i="39"/>
  <c r="AF164" i="39"/>
  <c r="AB164" i="39"/>
  <c r="AA164" i="39"/>
  <c r="W164" i="39"/>
  <c r="Y164" i="39" s="1"/>
  <c r="V164" i="39"/>
  <c r="R164" i="39"/>
  <c r="T164" i="39" s="1"/>
  <c r="Q164" i="39"/>
  <c r="O164" i="39"/>
  <c r="AF163" i="39"/>
  <c r="AB163" i="39"/>
  <c r="AA163" i="39"/>
  <c r="W163" i="39"/>
  <c r="Y163" i="39" s="1"/>
  <c r="V163" i="39"/>
  <c r="R163" i="39"/>
  <c r="T163" i="39" s="1"/>
  <c r="Q163" i="39"/>
  <c r="O163" i="39"/>
  <c r="AF162" i="39"/>
  <c r="AB162" i="39"/>
  <c r="AA162" i="39"/>
  <c r="W162" i="39"/>
  <c r="Y162" i="39" s="1"/>
  <c r="V162" i="39"/>
  <c r="R162" i="39"/>
  <c r="T162" i="39" s="1"/>
  <c r="Q162" i="39"/>
  <c r="O162" i="39"/>
  <c r="AF161" i="39"/>
  <c r="AB161" i="39"/>
  <c r="AA161" i="39"/>
  <c r="W161" i="39"/>
  <c r="Y161" i="39" s="1"/>
  <c r="V161" i="39"/>
  <c r="R161" i="39"/>
  <c r="T161" i="39" s="1"/>
  <c r="Q161" i="39"/>
  <c r="O161" i="39"/>
  <c r="AF160" i="39"/>
  <c r="AB160" i="39"/>
  <c r="AA160" i="39"/>
  <c r="W160" i="39"/>
  <c r="Y160" i="39" s="1"/>
  <c r="V160" i="39"/>
  <c r="R160" i="39"/>
  <c r="T160" i="39" s="1"/>
  <c r="Q160" i="39"/>
  <c r="O160" i="39"/>
  <c r="AF159" i="39"/>
  <c r="AB159" i="39"/>
  <c r="AA159" i="39"/>
  <c r="W159" i="39"/>
  <c r="Y159" i="39" s="1"/>
  <c r="V159" i="39"/>
  <c r="R159" i="39"/>
  <c r="T159" i="39" s="1"/>
  <c r="Q159" i="39"/>
  <c r="O159" i="39"/>
  <c r="AF158" i="39"/>
  <c r="AB158" i="39"/>
  <c r="AA158" i="39"/>
  <c r="W158" i="39"/>
  <c r="Y158" i="39" s="1"/>
  <c r="V158" i="39"/>
  <c r="R158" i="39"/>
  <c r="T158" i="39" s="1"/>
  <c r="Q158" i="39"/>
  <c r="O158" i="39"/>
  <c r="AF157" i="39"/>
  <c r="AB157" i="39"/>
  <c r="AA157" i="39"/>
  <c r="W157" i="39"/>
  <c r="Y157" i="39" s="1"/>
  <c r="V157" i="39"/>
  <c r="R157" i="39"/>
  <c r="T157" i="39" s="1"/>
  <c r="Q157" i="39"/>
  <c r="O157" i="39"/>
  <c r="AF156" i="39"/>
  <c r="AB156" i="39"/>
  <c r="AA156" i="39"/>
  <c r="W156" i="39"/>
  <c r="Y156" i="39" s="1"/>
  <c r="V156" i="39"/>
  <c r="R156" i="39"/>
  <c r="T156" i="39" s="1"/>
  <c r="Q156" i="39"/>
  <c r="O156" i="39"/>
  <c r="AF155" i="39"/>
  <c r="V155" i="39"/>
  <c r="AB155" i="39"/>
  <c r="AA155" i="39"/>
  <c r="W155" i="39"/>
  <c r="Y155" i="39" s="1"/>
  <c r="R155" i="39"/>
  <c r="T155" i="39" s="1"/>
  <c r="Q155" i="39"/>
  <c r="O155" i="39"/>
  <c r="AF154" i="39"/>
  <c r="V154" i="39"/>
  <c r="AB154" i="39"/>
  <c r="AA154" i="39"/>
  <c r="W154" i="39"/>
  <c r="Y154" i="39" s="1"/>
  <c r="R154" i="39"/>
  <c r="T154" i="39" s="1"/>
  <c r="Q154" i="39"/>
  <c r="O154" i="39"/>
  <c r="AF153" i="39"/>
  <c r="AB153" i="39"/>
  <c r="AA153" i="39"/>
  <c r="W153" i="39"/>
  <c r="Y153" i="39" s="1"/>
  <c r="V153" i="39"/>
  <c r="R153" i="39"/>
  <c r="T153" i="39" s="1"/>
  <c r="Q153" i="39"/>
  <c r="O153" i="39"/>
  <c r="AF152" i="39"/>
  <c r="AB152" i="39"/>
  <c r="AA152" i="39"/>
  <c r="W152" i="39"/>
  <c r="Y152" i="39" s="1"/>
  <c r="V152" i="39"/>
  <c r="R152" i="39"/>
  <c r="T152" i="39" s="1"/>
  <c r="Q152" i="39"/>
  <c r="O152" i="39"/>
  <c r="AF151" i="39"/>
  <c r="AB151" i="39"/>
  <c r="AA151" i="39"/>
  <c r="W151" i="39"/>
  <c r="Y151" i="39" s="1"/>
  <c r="V151" i="39"/>
  <c r="R151" i="39"/>
  <c r="T151" i="39" s="1"/>
  <c r="Q151" i="39"/>
  <c r="O151" i="39"/>
  <c r="AF150" i="39"/>
  <c r="AB150" i="39"/>
  <c r="AA150" i="39"/>
  <c r="W150" i="39"/>
  <c r="Y150" i="39" s="1"/>
  <c r="V150" i="39"/>
  <c r="R150" i="39"/>
  <c r="T150" i="39" s="1"/>
  <c r="Q150" i="39"/>
  <c r="O150" i="39"/>
  <c r="X149" i="39"/>
  <c r="S149" i="39"/>
  <c r="AF146" i="39"/>
  <c r="AG146" i="39" s="1"/>
  <c r="AF145" i="39"/>
  <c r="AG145" i="39" s="1"/>
  <c r="AB145" i="39"/>
  <c r="AA145" i="39"/>
  <c r="W145" i="39"/>
  <c r="AF144" i="39"/>
  <c r="AG144" i="39" s="1"/>
  <c r="AB144" i="39"/>
  <c r="AA144" i="39"/>
  <c r="W144" i="39"/>
  <c r="AF143" i="39"/>
  <c r="AG143" i="39" s="1"/>
  <c r="AB143" i="39"/>
  <c r="AA143" i="39"/>
  <c r="W143" i="39"/>
  <c r="AF142" i="39"/>
  <c r="AG142" i="39" s="1"/>
  <c r="AB142" i="39"/>
  <c r="AA142" i="39"/>
  <c r="W142" i="39"/>
  <c r="AF141" i="39"/>
  <c r="AG141" i="39" s="1"/>
  <c r="AB141" i="39"/>
  <c r="AA141" i="39"/>
  <c r="W141" i="39"/>
  <c r="AF140" i="39"/>
  <c r="AG140" i="39" s="1"/>
  <c r="AB140" i="39"/>
  <c r="AA140" i="39"/>
  <c r="W140" i="39"/>
  <c r="AF139" i="39"/>
  <c r="AG139" i="39" s="1"/>
  <c r="AB139" i="39"/>
  <c r="AA139" i="39"/>
  <c r="W139" i="39"/>
  <c r="AF138" i="39"/>
  <c r="AG138" i="39" s="1"/>
  <c r="AB138" i="39"/>
  <c r="AA138" i="39"/>
  <c r="W138" i="39"/>
  <c r="AF137" i="39"/>
  <c r="AG137" i="39" s="1"/>
  <c r="AB137" i="39"/>
  <c r="AA137" i="39"/>
  <c r="W137" i="39"/>
  <c r="AF136" i="39"/>
  <c r="AG136" i="39" s="1"/>
  <c r="AB136" i="39"/>
  <c r="AA136" i="39"/>
  <c r="W136" i="39"/>
  <c r="AF135" i="39"/>
  <c r="AG135" i="39" s="1"/>
  <c r="AB135" i="39"/>
  <c r="AA135" i="39"/>
  <c r="W135" i="39"/>
  <c r="AF134" i="39"/>
  <c r="AG134" i="39" s="1"/>
  <c r="AB134" i="39"/>
  <c r="AA134" i="39"/>
  <c r="W134" i="39"/>
  <c r="AF133" i="39"/>
  <c r="AG133" i="39" s="1"/>
  <c r="AB133" i="39"/>
  <c r="AA133" i="39"/>
  <c r="W133" i="39"/>
  <c r="AF132" i="39"/>
  <c r="AG132" i="39" s="1"/>
  <c r="AB132" i="39"/>
  <c r="AA132" i="39"/>
  <c r="W132" i="39"/>
  <c r="AF131" i="39"/>
  <c r="AG131" i="39" s="1"/>
  <c r="AB131" i="39"/>
  <c r="AA131" i="39"/>
  <c r="W131" i="39"/>
  <c r="AF130" i="39"/>
  <c r="AG130" i="39" s="1"/>
  <c r="AB130" i="39"/>
  <c r="AA130" i="39"/>
  <c r="W130" i="39"/>
  <c r="AF129" i="39"/>
  <c r="AG129" i="39" s="1"/>
  <c r="AB129" i="39"/>
  <c r="AA129" i="39"/>
  <c r="W129" i="39"/>
  <c r="AF128" i="39"/>
  <c r="AG128" i="39" s="1"/>
  <c r="AB128" i="39"/>
  <c r="AA128" i="39"/>
  <c r="W128" i="39"/>
  <c r="AF127" i="39"/>
  <c r="AG127" i="39" s="1"/>
  <c r="AB127" i="39"/>
  <c r="AA127" i="39"/>
  <c r="W127" i="39"/>
  <c r="AF126" i="39"/>
  <c r="AG126" i="39" s="1"/>
  <c r="AB126" i="39"/>
  <c r="AA126" i="39"/>
  <c r="W126" i="39"/>
  <c r="AF125" i="39"/>
  <c r="AG125" i="39" s="1"/>
  <c r="AB125" i="39"/>
  <c r="AA125" i="39"/>
  <c r="W125" i="39"/>
  <c r="Z124" i="39"/>
  <c r="Z123" i="39" s="1"/>
  <c r="Z122" i="39" s="1"/>
  <c r="X124" i="39"/>
  <c r="U124" i="39"/>
  <c r="U123" i="39" s="1"/>
  <c r="U122" i="39" s="1"/>
  <c r="S124" i="39"/>
  <c r="P124" i="39"/>
  <c r="P123" i="39" s="1"/>
  <c r="P122" i="39" s="1"/>
  <c r="N124" i="39"/>
  <c r="N123" i="39" s="1"/>
  <c r="N122" i="39" s="1"/>
  <c r="AF120" i="39"/>
  <c r="AG120" i="39" s="1"/>
  <c r="AF118" i="39"/>
  <c r="AG118" i="39" s="1"/>
  <c r="AF117" i="39"/>
  <c r="V117" i="39"/>
  <c r="AB117" i="39"/>
  <c r="AA117" i="39"/>
  <c r="W117" i="39"/>
  <c r="Y117" i="39" s="1"/>
  <c r="R117" i="39"/>
  <c r="T117" i="39" s="1"/>
  <c r="Q117" i="39"/>
  <c r="O117" i="39"/>
  <c r="Z116" i="39"/>
  <c r="Z115" i="39" s="1"/>
  <c r="X116" i="39"/>
  <c r="X115" i="39" s="1"/>
  <c r="U116" i="39"/>
  <c r="U115" i="39" s="1"/>
  <c r="S116" i="39"/>
  <c r="P116" i="39"/>
  <c r="N116" i="39"/>
  <c r="M116" i="39"/>
  <c r="AF114" i="39"/>
  <c r="AG114" i="39" s="1"/>
  <c r="AB113" i="39"/>
  <c r="AA113" i="39"/>
  <c r="Z112" i="39"/>
  <c r="Z111" i="39" s="1"/>
  <c r="Z110" i="39" s="1"/>
  <c r="X112" i="39"/>
  <c r="AA112" i="39" s="1"/>
  <c r="U112" i="39"/>
  <c r="U111" i="39" s="1"/>
  <c r="U110" i="39" s="1"/>
  <c r="P112" i="39"/>
  <c r="O112" i="39"/>
  <c r="S111" i="39"/>
  <c r="S110" i="39" s="1"/>
  <c r="N111" i="39"/>
  <c r="AF108" i="39"/>
  <c r="AG108" i="39" s="1"/>
  <c r="AF106" i="39"/>
  <c r="AG106" i="39" s="1"/>
  <c r="AF105" i="39"/>
  <c r="AB105" i="39"/>
  <c r="AA105" i="39"/>
  <c r="W105" i="39"/>
  <c r="Y105" i="39" s="1"/>
  <c r="V105" i="39"/>
  <c r="R105" i="39"/>
  <c r="T105" i="39" s="1"/>
  <c r="Q105" i="39"/>
  <c r="O105" i="39"/>
  <c r="AF104" i="39"/>
  <c r="AB104" i="39"/>
  <c r="AA104" i="39"/>
  <c r="W104" i="39"/>
  <c r="Y104" i="39" s="1"/>
  <c r="V104" i="39"/>
  <c r="N104" i="39"/>
  <c r="R104" i="39" s="1"/>
  <c r="T104" i="39" s="1"/>
  <c r="AF103" i="39"/>
  <c r="AB103" i="39"/>
  <c r="AA103" i="39"/>
  <c r="W103" i="39"/>
  <c r="Y103" i="39" s="1"/>
  <c r="V103" i="39"/>
  <c r="AF102" i="39"/>
  <c r="AB102" i="39"/>
  <c r="AA102" i="39"/>
  <c r="Y102" i="39"/>
  <c r="V102" i="39"/>
  <c r="AF101" i="39"/>
  <c r="AG101" i="39" s="1"/>
  <c r="Y101" i="39"/>
  <c r="R101" i="39"/>
  <c r="T101" i="39" s="1"/>
  <c r="Q101" i="39"/>
  <c r="O101" i="39"/>
  <c r="Y100" i="39"/>
  <c r="S100" i="39"/>
  <c r="V100" i="39" s="1"/>
  <c r="R100" i="39"/>
  <c r="Q100" i="39"/>
  <c r="O100" i="39"/>
  <c r="S98" i="39"/>
  <c r="X97" i="39"/>
  <c r="P97" i="39"/>
  <c r="Z96" i="39"/>
  <c r="Z95" i="39" s="1"/>
  <c r="U96" i="39"/>
  <c r="U95" i="39" s="1"/>
  <c r="U93" i="39" s="1"/>
  <c r="P96" i="39"/>
  <c r="P95" i="39" s="1"/>
  <c r="N96" i="39"/>
  <c r="AF92" i="39"/>
  <c r="AG92" i="39" s="1"/>
  <c r="AF91" i="39"/>
  <c r="V91" i="39"/>
  <c r="AA91" i="39"/>
  <c r="Q91" i="39"/>
  <c r="X90" i="39"/>
  <c r="S90" i="39"/>
  <c r="V90" i="39" s="1"/>
  <c r="R90" i="39"/>
  <c r="Q90" i="39"/>
  <c r="O90" i="39"/>
  <c r="Z89" i="39"/>
  <c r="Z88" i="39" s="1"/>
  <c r="Z87" i="39" s="1"/>
  <c r="Z79" i="39" s="1"/>
  <c r="U89" i="39"/>
  <c r="U88" i="39" s="1"/>
  <c r="U87" i="39" s="1"/>
  <c r="U79" i="39" s="1"/>
  <c r="P89" i="39"/>
  <c r="P88" i="39" s="1"/>
  <c r="N89" i="39"/>
  <c r="AF86" i="39"/>
  <c r="AG86" i="39" s="1"/>
  <c r="AB86" i="39"/>
  <c r="AA86" i="39"/>
  <c r="W86" i="39"/>
  <c r="Y86" i="39" s="1"/>
  <c r="R86" i="39"/>
  <c r="T86" i="39" s="1"/>
  <c r="Q86" i="39"/>
  <c r="O86" i="39"/>
  <c r="AF85" i="39"/>
  <c r="AB85" i="39"/>
  <c r="AA85" i="39"/>
  <c r="W85" i="39"/>
  <c r="Y85" i="39" s="1"/>
  <c r="V85" i="39"/>
  <c r="R85" i="39"/>
  <c r="T85" i="39" s="1"/>
  <c r="Q85" i="39"/>
  <c r="O85" i="39"/>
  <c r="Z84" i="39"/>
  <c r="Z83" i="39" s="1"/>
  <c r="Z81" i="39" s="1"/>
  <c r="X84" i="39"/>
  <c r="U84" i="39"/>
  <c r="U83" i="39" s="1"/>
  <c r="U81" i="39" s="1"/>
  <c r="S84" i="39"/>
  <c r="P84" i="39"/>
  <c r="P83" i="39" s="1"/>
  <c r="N84" i="39"/>
  <c r="AF82" i="39"/>
  <c r="W82" i="39"/>
  <c r="Y82" i="39" s="1"/>
  <c r="V82" i="39"/>
  <c r="AG82" i="39" s="1"/>
  <c r="R82" i="39"/>
  <c r="T82" i="39" s="1"/>
  <c r="Q82" i="39"/>
  <c r="O82" i="39"/>
  <c r="AF80" i="39"/>
  <c r="AG80" i="39" s="1"/>
  <c r="Y80" i="39"/>
  <c r="R80" i="39"/>
  <c r="T80" i="39" s="1"/>
  <c r="Q80" i="39"/>
  <c r="O80" i="39"/>
  <c r="AF78" i="39"/>
  <c r="AB78" i="39"/>
  <c r="AA78" i="39"/>
  <c r="W78" i="39"/>
  <c r="V78" i="39"/>
  <c r="AF77" i="39"/>
  <c r="AB77" i="39"/>
  <c r="AA77" i="39"/>
  <c r="W77" i="39"/>
  <c r="Y77" i="39" s="1"/>
  <c r="V77" i="39"/>
  <c r="R77" i="39"/>
  <c r="T77" i="39" s="1"/>
  <c r="Q77" i="39"/>
  <c r="O77" i="39"/>
  <c r="AF76" i="39"/>
  <c r="AB76" i="39"/>
  <c r="AA76" i="39"/>
  <c r="W76" i="39"/>
  <c r="Y76" i="39" s="1"/>
  <c r="V76" i="39"/>
  <c r="N76" i="39"/>
  <c r="AF75" i="39"/>
  <c r="AB75" i="39"/>
  <c r="AA75" i="39"/>
  <c r="W75" i="39"/>
  <c r="Y75" i="39" s="1"/>
  <c r="V75" i="39"/>
  <c r="AF74" i="39"/>
  <c r="AB74" i="39"/>
  <c r="AA74" i="39"/>
  <c r="W74" i="39"/>
  <c r="Y74" i="39" s="1"/>
  <c r="V74" i="39"/>
  <c r="AF73" i="39"/>
  <c r="AG73" i="39" s="1"/>
  <c r="Y73" i="39"/>
  <c r="R73" i="39"/>
  <c r="T73" i="39" s="1"/>
  <c r="Q73" i="39"/>
  <c r="O73" i="39"/>
  <c r="AF72" i="39"/>
  <c r="AB72" i="39"/>
  <c r="AA72" i="39"/>
  <c r="W72" i="39"/>
  <c r="Y72" i="39" s="1"/>
  <c r="V72" i="39"/>
  <c r="R72" i="39"/>
  <c r="T72" i="39" s="1"/>
  <c r="Q72" i="39"/>
  <c r="O72" i="39"/>
  <c r="Z71" i="39"/>
  <c r="Z70" i="39" s="1"/>
  <c r="Z69" i="39" s="1"/>
  <c r="Z68" i="39" s="1"/>
  <c r="U71" i="39"/>
  <c r="U70" i="39" s="1"/>
  <c r="U69" i="39" s="1"/>
  <c r="U68" i="39" s="1"/>
  <c r="P71" i="39"/>
  <c r="Q71" i="39" s="1"/>
  <c r="O71" i="39"/>
  <c r="N70" i="39"/>
  <c r="AF65" i="39"/>
  <c r="AG65" i="39" s="1"/>
  <c r="AB65" i="39"/>
  <c r="AA65" i="39"/>
  <c r="AF64" i="39"/>
  <c r="AB64" i="39"/>
  <c r="AA64" i="39"/>
  <c r="W64" i="39"/>
  <c r="Y64" i="39" s="1"/>
  <c r="V64" i="39"/>
  <c r="R64" i="39"/>
  <c r="T64" i="39" s="1"/>
  <c r="Q64" i="39"/>
  <c r="O64" i="39"/>
  <c r="AF63" i="39"/>
  <c r="V63" i="39"/>
  <c r="AB63" i="39"/>
  <c r="AA63" i="39"/>
  <c r="W63" i="39"/>
  <c r="Y63" i="39" s="1"/>
  <c r="N63" i="39"/>
  <c r="N62" i="39" s="1"/>
  <c r="AF62" i="39"/>
  <c r="V62" i="39"/>
  <c r="AB62" i="39"/>
  <c r="AA62" i="39"/>
  <c r="W62" i="39"/>
  <c r="Y62" i="39" s="1"/>
  <c r="AF61" i="39"/>
  <c r="AB61" i="39"/>
  <c r="AA61" i="39"/>
  <c r="W61" i="39"/>
  <c r="Y61" i="39" s="1"/>
  <c r="V61" i="39"/>
  <c r="AF60" i="39"/>
  <c r="AG60" i="39" s="1"/>
  <c r="Y60" i="39"/>
  <c r="R60" i="39"/>
  <c r="T60" i="39" s="1"/>
  <c r="Q60" i="39"/>
  <c r="O60" i="39"/>
  <c r="X59" i="39"/>
  <c r="S59" i="39"/>
  <c r="V59" i="39" s="1"/>
  <c r="R59" i="39"/>
  <c r="Q59" i="39"/>
  <c r="O59" i="39"/>
  <c r="Z58" i="39"/>
  <c r="Z57" i="39" s="1"/>
  <c r="U58" i="39"/>
  <c r="U57" i="39" s="1"/>
  <c r="U55" i="39" s="1"/>
  <c r="P58" i="39"/>
  <c r="N58" i="39"/>
  <c r="N57" i="39" s="1"/>
  <c r="O57" i="39" s="1"/>
  <c r="AF54" i="39"/>
  <c r="AG54" i="39" s="1"/>
  <c r="AF53" i="39"/>
  <c r="AB53" i="39"/>
  <c r="AA53" i="39"/>
  <c r="W53" i="39"/>
  <c r="Y53" i="39" s="1"/>
  <c r="V53" i="39"/>
  <c r="T53" i="39"/>
  <c r="O53" i="39"/>
  <c r="AF52" i="39"/>
  <c r="AB52" i="39"/>
  <c r="AA52" i="39"/>
  <c r="W52" i="39"/>
  <c r="Y52" i="39" s="1"/>
  <c r="V52" i="39"/>
  <c r="T52" i="39"/>
  <c r="N52" i="39"/>
  <c r="AF51" i="39"/>
  <c r="V51" i="39"/>
  <c r="AB51" i="39"/>
  <c r="AA51" i="39"/>
  <c r="W51" i="39"/>
  <c r="Y51" i="39" s="1"/>
  <c r="T51" i="39"/>
  <c r="AF50" i="39"/>
  <c r="AB50" i="39"/>
  <c r="AA50" i="39"/>
  <c r="Y50" i="39"/>
  <c r="V50" i="39"/>
  <c r="T50" i="39"/>
  <c r="O50" i="39"/>
  <c r="AF49" i="39"/>
  <c r="AB49" i="39"/>
  <c r="AA49" i="39"/>
  <c r="W49" i="39"/>
  <c r="Y49" i="39" s="1"/>
  <c r="V49" i="39"/>
  <c r="T49" i="39"/>
  <c r="AF48" i="39"/>
  <c r="AB48" i="39"/>
  <c r="AA48" i="39"/>
  <c r="Y48" i="39"/>
  <c r="V48" i="39"/>
  <c r="T48" i="39"/>
  <c r="O48" i="39"/>
  <c r="AF47" i="39"/>
  <c r="AB47" i="39"/>
  <c r="AA47" i="39"/>
  <c r="Y47" i="39"/>
  <c r="V47" i="39"/>
  <c r="T47" i="39"/>
  <c r="AF46" i="39"/>
  <c r="AG46" i="39" s="1"/>
  <c r="Y46" i="39"/>
  <c r="T46" i="39"/>
  <c r="O46" i="39"/>
  <c r="AF45" i="39"/>
  <c r="AG45" i="39" s="1"/>
  <c r="Y45" i="39"/>
  <c r="T45" i="39"/>
  <c r="AF43" i="39"/>
  <c r="AA43" i="39"/>
  <c r="Y43" i="39"/>
  <c r="V43" i="39"/>
  <c r="R43" i="39"/>
  <c r="T43" i="39" s="1"/>
  <c r="O43" i="39"/>
  <c r="AF42" i="39"/>
  <c r="AA42" i="39"/>
  <c r="Y42" i="39"/>
  <c r="V42" i="39"/>
  <c r="R42" i="39"/>
  <c r="T42" i="39" s="1"/>
  <c r="O42" i="39"/>
  <c r="AF41" i="39"/>
  <c r="AA41" i="39"/>
  <c r="Y41" i="39"/>
  <c r="V41" i="39"/>
  <c r="N41" i="39"/>
  <c r="AF40" i="39"/>
  <c r="AC40" i="39"/>
  <c r="AA40" i="39"/>
  <c r="Y40" i="39"/>
  <c r="V40" i="39"/>
  <c r="AF39" i="39"/>
  <c r="AA39" i="39"/>
  <c r="Y39" i="39"/>
  <c r="V39" i="39"/>
  <c r="AF38" i="39"/>
  <c r="AG38" i="39" s="1"/>
  <c r="Y38" i="39"/>
  <c r="R38" i="39"/>
  <c r="T38" i="39" s="1"/>
  <c r="O38" i="39"/>
  <c r="AF37" i="39"/>
  <c r="AA37" i="39"/>
  <c r="Y37" i="39"/>
  <c r="V37" i="39"/>
  <c r="AF36" i="39"/>
  <c r="AG36" i="39" s="1"/>
  <c r="AF35" i="39"/>
  <c r="V35" i="39"/>
  <c r="AA35" i="39"/>
  <c r="Y35" i="39"/>
  <c r="T35" i="39"/>
  <c r="N35" i="39"/>
  <c r="O35" i="39" s="1"/>
  <c r="AF34" i="39"/>
  <c r="AG34" i="39" s="1"/>
  <c r="Y34" i="39"/>
  <c r="R34" i="39"/>
  <c r="T34" i="39" s="1"/>
  <c r="O34" i="39"/>
  <c r="AF33" i="39"/>
  <c r="V33" i="39"/>
  <c r="AB33" i="39"/>
  <c r="AA33" i="39"/>
  <c r="W33" i="39"/>
  <c r="Y33" i="39" s="1"/>
  <c r="R33" i="39"/>
  <c r="T33" i="39" s="1"/>
  <c r="O33" i="39"/>
  <c r="AF32" i="39"/>
  <c r="V32" i="39"/>
  <c r="AB32" i="39"/>
  <c r="AA32" i="39"/>
  <c r="W32" i="39"/>
  <c r="Y32" i="39" s="1"/>
  <c r="N32" i="39"/>
  <c r="O32" i="39" s="1"/>
  <c r="AF31" i="39"/>
  <c r="AB31" i="39"/>
  <c r="AA31" i="39"/>
  <c r="W31" i="39"/>
  <c r="Y31" i="39" s="1"/>
  <c r="V31" i="39"/>
  <c r="AF30" i="39"/>
  <c r="AB30" i="39"/>
  <c r="AA30" i="39"/>
  <c r="W30" i="39"/>
  <c r="Y30" i="39" s="1"/>
  <c r="V30" i="39"/>
  <c r="R30" i="39"/>
  <c r="T30" i="39" s="1"/>
  <c r="O30" i="39"/>
  <c r="AF29" i="39"/>
  <c r="AB29" i="39"/>
  <c r="AA29" i="39"/>
  <c r="W29" i="39"/>
  <c r="Y29" i="39" s="1"/>
  <c r="V29" i="39"/>
  <c r="R29" i="39"/>
  <c r="T29" i="39" s="1"/>
  <c r="O29" i="39"/>
  <c r="AF28" i="39"/>
  <c r="AB28" i="39"/>
  <c r="AA28" i="39"/>
  <c r="W28" i="39"/>
  <c r="Y28" i="39" s="1"/>
  <c r="V28" i="39"/>
  <c r="N28" i="39"/>
  <c r="AF27" i="39"/>
  <c r="V27" i="39"/>
  <c r="AB27" i="39"/>
  <c r="AA27" i="39"/>
  <c r="W27" i="39"/>
  <c r="Y27" i="39" s="1"/>
  <c r="AF26" i="39"/>
  <c r="AG26" i="39" s="1"/>
  <c r="S25" i="39"/>
  <c r="R25" i="39"/>
  <c r="Q25" i="39"/>
  <c r="O25" i="39"/>
  <c r="S24" i="39"/>
  <c r="W24" i="39" s="1"/>
  <c r="R24" i="39"/>
  <c r="Q24" i="39"/>
  <c r="O24" i="39"/>
  <c r="Z23" i="39"/>
  <c r="Z18" i="39"/>
  <c r="X23" i="39"/>
  <c r="U23" i="39"/>
  <c r="U18" i="39"/>
  <c r="P23" i="39"/>
  <c r="N23" i="39"/>
  <c r="O23" i="39" s="1"/>
  <c r="AF22" i="39"/>
  <c r="AG22" i="39" s="1"/>
  <c r="S21" i="39"/>
  <c r="AB21" i="39" s="1"/>
  <c r="S20" i="39"/>
  <c r="S19" i="39"/>
  <c r="R19" i="39"/>
  <c r="Q19" i="39"/>
  <c r="O19" i="39"/>
  <c r="X18" i="39"/>
  <c r="P18" i="39"/>
  <c r="P17" i="39" s="1"/>
  <c r="P16" i="39" s="1"/>
  <c r="N18" i="39"/>
  <c r="AF15" i="39"/>
  <c r="AG15" i="39" s="1"/>
  <c r="AF13" i="39"/>
  <c r="AG13" i="39" s="1"/>
  <c r="M9" i="39"/>
  <c r="Z1008" i="39"/>
  <c r="Z1007" i="39" s="1"/>
  <c r="Z864" i="39"/>
  <c r="Z863" i="39" s="1"/>
  <c r="Z861" i="39" s="1"/>
  <c r="Z859" i="39" s="1"/>
  <c r="N776" i="39"/>
  <c r="O776" i="39" s="1"/>
  <c r="AG1015" i="39"/>
  <c r="AG753" i="39"/>
  <c r="AG969" i="39"/>
  <c r="AB944" i="39"/>
  <c r="AG998" i="39"/>
  <c r="N103" i="39"/>
  <c r="AG398" i="39"/>
  <c r="N753" i="39"/>
  <c r="Q753" i="39" s="1"/>
  <c r="N769" i="39"/>
  <c r="O769" i="39" s="1"/>
  <c r="O76" i="39"/>
  <c r="P115" i="39"/>
  <c r="N317" i="39"/>
  <c r="AG324" i="39"/>
  <c r="N598" i="39"/>
  <c r="O598" i="39" s="1"/>
  <c r="AG630" i="39"/>
  <c r="N840" i="39"/>
  <c r="AG905" i="39"/>
  <c r="AG956" i="39"/>
  <c r="U606" i="39"/>
  <c r="U1008" i="39"/>
  <c r="AG1030" i="39"/>
  <c r="Y848" i="39"/>
  <c r="AG957" i="39"/>
  <c r="AB649" i="39"/>
  <c r="AG834" i="39"/>
  <c r="N999" i="39"/>
  <c r="AG566" i="39"/>
  <c r="AG846" i="39"/>
  <c r="AG979" i="39"/>
  <c r="AG1013" i="39"/>
  <c r="AG1053" i="39"/>
  <c r="X317" i="39"/>
  <c r="X316" i="39" s="1"/>
  <c r="X314" i="39" s="1"/>
  <c r="X312" i="39" s="1"/>
  <c r="AB397" i="39"/>
  <c r="R561" i="39"/>
  <c r="T561" i="39" s="1"/>
  <c r="Z776" i="39"/>
  <c r="Z775" i="39" s="1"/>
  <c r="Z773" i="39" s="1"/>
  <c r="AG788" i="39"/>
  <c r="W854" i="39"/>
  <c r="AG786" i="39"/>
  <c r="AG884" i="39"/>
  <c r="N953" i="39"/>
  <c r="R953" i="39" s="1"/>
  <c r="T953" i="39" s="1"/>
  <c r="O954" i="39"/>
  <c r="N962" i="39"/>
  <c r="O962" i="39" s="1"/>
  <c r="O963" i="39"/>
  <c r="AG345" i="39"/>
  <c r="AA505" i="39"/>
  <c r="P695" i="39"/>
  <c r="P694" i="39" s="1"/>
  <c r="AA699" i="39"/>
  <c r="AG717" i="39"/>
  <c r="AA770" i="39"/>
  <c r="N810" i="39"/>
  <c r="AG917" i="39"/>
  <c r="AG938" i="39"/>
  <c r="X1032" i="39"/>
  <c r="AG347" i="39"/>
  <c r="AG379" i="39"/>
  <c r="AF434" i="39"/>
  <c r="AG479" i="39"/>
  <c r="N301" i="39"/>
  <c r="O301" i="39" s="1"/>
  <c r="AG263" i="39"/>
  <c r="Z454" i="39"/>
  <c r="Z453" i="39" s="1"/>
  <c r="Z452" i="39" s="1"/>
  <c r="Q476" i="39"/>
  <c r="AG430" i="39"/>
  <c r="AA476" i="39"/>
  <c r="AG512" i="39"/>
  <c r="AG589" i="39"/>
  <c r="O720" i="39"/>
  <c r="R817" i="39"/>
  <c r="T817" i="39" s="1"/>
  <c r="O923" i="39"/>
  <c r="N926" i="39"/>
  <c r="R926" i="39" s="1"/>
  <c r="T926" i="39" s="1"/>
  <c r="AG1002" i="39"/>
  <c r="AG1011" i="39"/>
  <c r="N1036" i="39"/>
  <c r="R608" i="39"/>
  <c r="T608" i="39" s="1"/>
  <c r="AG711" i="39"/>
  <c r="AG727" i="39"/>
  <c r="AG732" i="39"/>
  <c r="O754" i="39"/>
  <c r="O811" i="39"/>
  <c r="AG583" i="39"/>
  <c r="AG651" i="39"/>
  <c r="AG754" i="39"/>
  <c r="P770" i="39"/>
  <c r="R770" i="39" s="1"/>
  <c r="T770" i="39" s="1"/>
  <c r="AF771" i="39"/>
  <c r="AG782" i="39"/>
  <c r="O808" i="39"/>
  <c r="AG820" i="39"/>
  <c r="AG821" i="39"/>
  <c r="AG925" i="39"/>
  <c r="AG929" i="39"/>
  <c r="R954" i="39"/>
  <c r="T954" i="39" s="1"/>
  <c r="R963" i="39"/>
  <c r="T963" i="39" s="1"/>
  <c r="AG967" i="39"/>
  <c r="AG984" i="39"/>
  <c r="AG1026" i="39"/>
  <c r="AG562" i="39"/>
  <c r="Q593" i="39"/>
  <c r="AA654" i="39"/>
  <c r="R808" i="39"/>
  <c r="T808" i="39" s="1"/>
  <c r="AG825" i="39"/>
  <c r="R831" i="39"/>
  <c r="T831" i="39" s="1"/>
  <c r="N75" i="39"/>
  <c r="AG85" i="39"/>
  <c r="S89" i="39"/>
  <c r="W90" i="39"/>
  <c r="M115" i="39"/>
  <c r="M109" i="39" s="1"/>
  <c r="AG175" i="39"/>
  <c r="AG179" i="39"/>
  <c r="AG182" i="39"/>
  <c r="AG198" i="39"/>
  <c r="AG199" i="39"/>
  <c r="AG209" i="39"/>
  <c r="AG221" i="39"/>
  <c r="AG222" i="39"/>
  <c r="AF238" i="39"/>
  <c r="AG260" i="39"/>
  <c r="AG325" i="39"/>
  <c r="AG350" i="39"/>
  <c r="Q388" i="39"/>
  <c r="AG460" i="39"/>
  <c r="AG461" i="39"/>
  <c r="AG463" i="39"/>
  <c r="AG465" i="39"/>
  <c r="AG168" i="39"/>
  <c r="AG252" i="39"/>
  <c r="AG258" i="39"/>
  <c r="AG322" i="39"/>
  <c r="AG357" i="39"/>
  <c r="AF369" i="39"/>
  <c r="AG382" i="39"/>
  <c r="O401" i="39"/>
  <c r="N396" i="39"/>
  <c r="N395" i="39" s="1"/>
  <c r="AB401" i="39"/>
  <c r="X396" i="39"/>
  <c r="X395" i="39" s="1"/>
  <c r="X393" i="39" s="1"/>
  <c r="AB477" i="39"/>
  <c r="AG64" i="39"/>
  <c r="AG76" i="39"/>
  <c r="AG197" i="39"/>
  <c r="AG223" i="39"/>
  <c r="W234" i="39"/>
  <c r="Y234" i="39" s="1"/>
  <c r="AG277" i="39"/>
  <c r="AG346" i="39"/>
  <c r="AG355" i="39"/>
  <c r="AG402" i="39"/>
  <c r="AG477" i="39"/>
  <c r="AG378" i="39"/>
  <c r="AG399" i="39"/>
  <c r="Q478" i="39"/>
  <c r="AG373" i="39"/>
  <c r="AG387" i="39"/>
  <c r="V401" i="39"/>
  <c r="AG406" i="39"/>
  <c r="AG407" i="39"/>
  <c r="AG409" i="39"/>
  <c r="AG412" i="39"/>
  <c r="AG413" i="39"/>
  <c r="Z474" i="39"/>
  <c r="Z473" i="39" s="1"/>
  <c r="Z471" i="39" s="1"/>
  <c r="AG481" i="39"/>
  <c r="AG494" i="39"/>
  <c r="Q511" i="39"/>
  <c r="AG519" i="39"/>
  <c r="AG527" i="39"/>
  <c r="R535" i="39"/>
  <c r="AG556" i="39"/>
  <c r="AG590" i="39"/>
  <c r="AG591" i="39"/>
  <c r="Q594" i="39"/>
  <c r="AB594" i="39"/>
  <c r="T604" i="39"/>
  <c r="N617" i="39"/>
  <c r="S619" i="39"/>
  <c r="S618" i="39" s="1"/>
  <c r="AG629" i="39"/>
  <c r="Q634" i="39"/>
  <c r="AG640" i="39"/>
  <c r="AA647" i="39"/>
  <c r="AG675" i="39"/>
  <c r="AG702" i="39"/>
  <c r="AB770" i="39"/>
  <c r="R511" i="39"/>
  <c r="T511" i="39" s="1"/>
  <c r="AG515" i="39"/>
  <c r="AG553" i="39"/>
  <c r="AG554" i="39"/>
  <c r="AG563" i="39"/>
  <c r="AG579" i="39"/>
  <c r="AG580" i="39"/>
  <c r="AG581" i="39"/>
  <c r="AG584" i="39"/>
  <c r="AG585" i="39"/>
  <c r="AG586" i="39"/>
  <c r="AG587" i="39"/>
  <c r="AG588" i="39"/>
  <c r="AG600" i="39"/>
  <c r="AA602" i="39"/>
  <c r="AB604" i="39"/>
  <c r="V608" i="39"/>
  <c r="P617" i="39"/>
  <c r="AA649" i="39"/>
  <c r="AG704" i="39"/>
  <c r="AG733" i="39"/>
  <c r="Q740" i="39"/>
  <c r="N739" i="39"/>
  <c r="R739" i="39" s="1"/>
  <c r="T739" i="39" s="1"/>
  <c r="AG745" i="39"/>
  <c r="AG749" i="39"/>
  <c r="AG351" i="39"/>
  <c r="AG374" i="39"/>
  <c r="AG375" i="39"/>
  <c r="AG405" i="39"/>
  <c r="AG408" i="39"/>
  <c r="AG410" i="39"/>
  <c r="AG411" i="39"/>
  <c r="AB480" i="39"/>
  <c r="AG488" i="39"/>
  <c r="X504" i="39"/>
  <c r="AB504" i="39" s="1"/>
  <c r="AB505" i="39"/>
  <c r="N510" i="39"/>
  <c r="R510" i="39" s="1"/>
  <c r="T510" i="39" s="1"/>
  <c r="AG511" i="39"/>
  <c r="S537" i="39"/>
  <c r="AF537" i="39" s="1"/>
  <c r="AG541" i="39"/>
  <c r="AG560" i="39"/>
  <c r="AG561" i="39"/>
  <c r="AG564" i="39"/>
  <c r="AG567" i="39"/>
  <c r="AG569" i="39"/>
  <c r="AG570" i="39"/>
  <c r="AG571" i="39"/>
  <c r="AG572" i="39"/>
  <c r="S593" i="39"/>
  <c r="V593" i="39" s="1"/>
  <c r="R594" i="39"/>
  <c r="T594" i="39" s="1"/>
  <c r="AF594" i="39"/>
  <c r="Q608" i="39"/>
  <c r="W608" i="39"/>
  <c r="Y608" i="39" s="1"/>
  <c r="AG646" i="39"/>
  <c r="S638" i="39"/>
  <c r="AB647" i="39"/>
  <c r="AG653" i="39"/>
  <c r="W690" i="39"/>
  <c r="AG700" i="39"/>
  <c r="AG722" i="39"/>
  <c r="R731" i="39"/>
  <c r="T731" i="39" s="1"/>
  <c r="AG755" i="39"/>
  <c r="AG783" i="39"/>
  <c r="AG555" i="39"/>
  <c r="N568" i="39"/>
  <c r="R568" i="39" s="1"/>
  <c r="T568" i="39" s="1"/>
  <c r="AG657" i="39"/>
  <c r="Q748" i="39"/>
  <c r="O748" i="39"/>
  <c r="AG785" i="39"/>
  <c r="AG710" i="39"/>
  <c r="AG721" i="39"/>
  <c r="AG728" i="39"/>
  <c r="AG739" i="39"/>
  <c r="AG743" i="39"/>
  <c r="AG752" i="39"/>
  <c r="AG779" i="39"/>
  <c r="AG780" i="39"/>
  <c r="AG800" i="39"/>
  <c r="AG802" i="39"/>
  <c r="AG803" i="39"/>
  <c r="W808" i="39"/>
  <c r="AG811" i="39"/>
  <c r="AF817" i="39"/>
  <c r="V817" i="39"/>
  <c r="AG823" i="39"/>
  <c r="AG831" i="39"/>
  <c r="AA848" i="39"/>
  <c r="AG873" i="39"/>
  <c r="AB895" i="39"/>
  <c r="AA912" i="39"/>
  <c r="X936" i="39"/>
  <c r="S936" i="39"/>
  <c r="S935" i="39" s="1"/>
  <c r="S933" i="39" s="1"/>
  <c r="R841" i="39"/>
  <c r="AG898" i="39"/>
  <c r="AF912" i="39"/>
  <c r="V912" i="39"/>
  <c r="AG716" i="39"/>
  <c r="AG718" i="39"/>
  <c r="AG720" i="39"/>
  <c r="AG729" i="39"/>
  <c r="AG731" i="39"/>
  <c r="AG742" i="39"/>
  <c r="R754" i="39"/>
  <c r="T754" i="39" s="1"/>
  <c r="AG763" i="39"/>
  <c r="AG768" i="39"/>
  <c r="S776" i="39"/>
  <c r="AG778" i="39"/>
  <c r="AG781" i="39"/>
  <c r="AG804" i="39"/>
  <c r="AG805" i="39"/>
  <c r="AG826" i="39"/>
  <c r="AG830" i="39"/>
  <c r="AG833" i="39"/>
  <c r="Q841" i="39"/>
  <c r="AG856" i="39"/>
  <c r="Y875" i="39"/>
  <c r="R885" i="39"/>
  <c r="T885" i="39" s="1"/>
  <c r="AG903" i="39"/>
  <c r="N911" i="39"/>
  <c r="O911" i="39" s="1"/>
  <c r="T912" i="39"/>
  <c r="AG924" i="39"/>
  <c r="AG928" i="39"/>
  <c r="AG930" i="39"/>
  <c r="AG798" i="39"/>
  <c r="AG900" i="39"/>
  <c r="AG939" i="39"/>
  <c r="R923" i="39"/>
  <c r="T923" i="39" s="1"/>
  <c r="R927" i="39"/>
  <c r="T927" i="39" s="1"/>
  <c r="AG954" i="39"/>
  <c r="AG961" i="39"/>
  <c r="AG975" i="39"/>
  <c r="AG976" i="39"/>
  <c r="N979" i="39"/>
  <c r="O979" i="39" s="1"/>
  <c r="AG980" i="39"/>
  <c r="AG990" i="39"/>
  <c r="AG991" i="39"/>
  <c r="AG994" i="39"/>
  <c r="AG1021" i="39"/>
  <c r="Q1029" i="39"/>
  <c r="AG1035" i="39"/>
  <c r="AF1037" i="39"/>
  <c r="AG1048" i="39"/>
  <c r="AG1054" i="39"/>
  <c r="AG1001" i="39"/>
  <c r="AG1012" i="39"/>
  <c r="AG1027" i="39"/>
  <c r="AG1046" i="39"/>
  <c r="AG913" i="39"/>
  <c r="AG941" i="39"/>
  <c r="AG946" i="39"/>
  <c r="AG955" i="39"/>
  <c r="AG962" i="39"/>
  <c r="AG964" i="39"/>
  <c r="AG977" i="39"/>
  <c r="AG978" i="39"/>
  <c r="O980" i="39"/>
  <c r="AG989" i="39"/>
  <c r="AG992" i="39"/>
  <c r="AG993" i="39"/>
  <c r="AG999" i="39"/>
  <c r="R1000" i="39"/>
  <c r="T1000" i="39" s="1"/>
  <c r="R1049" i="39"/>
  <c r="T1049" i="39" s="1"/>
  <c r="AG1050" i="39"/>
  <c r="AG1055" i="39"/>
  <c r="AG1067" i="39"/>
  <c r="AG1010" i="39"/>
  <c r="AA1033" i="39"/>
  <c r="S1036" i="39"/>
  <c r="AA1037" i="39"/>
  <c r="P57" i="39"/>
  <c r="S58" i="39"/>
  <c r="S57" i="39" s="1"/>
  <c r="S55" i="39" s="1"/>
  <c r="W59" i="39"/>
  <c r="AF59" i="39"/>
  <c r="AG59" i="39" s="1"/>
  <c r="R71" i="39"/>
  <c r="O70" i="39"/>
  <c r="N69" i="39"/>
  <c r="O69" i="39" s="1"/>
  <c r="X96" i="39"/>
  <c r="Y96" i="39" s="1"/>
  <c r="X214" i="39"/>
  <c r="AB214" i="39" s="1"/>
  <c r="O215" i="39"/>
  <c r="AA215" i="39"/>
  <c r="P219" i="39"/>
  <c r="X225" i="39"/>
  <c r="X224" i="39" s="1"/>
  <c r="V226" i="39"/>
  <c r="Q234" i="39"/>
  <c r="AF234" i="39"/>
  <c r="S237" i="39"/>
  <c r="V238" i="39"/>
  <c r="O243" i="39"/>
  <c r="N246" i="39"/>
  <c r="O246" i="39" s="1"/>
  <c r="R247" i="39"/>
  <c r="T247" i="39" s="1"/>
  <c r="R268" i="39"/>
  <c r="T268" i="39" s="1"/>
  <c r="AF112" i="39"/>
  <c r="AB215" i="39"/>
  <c r="R234" i="39"/>
  <c r="W238" i="39"/>
  <c r="X267" i="39"/>
  <c r="X266" i="39" s="1"/>
  <c r="X264" i="39" s="1"/>
  <c r="X262" i="39" s="1"/>
  <c r="AG289" i="39"/>
  <c r="P301" i="39"/>
  <c r="Q301" i="39" s="1"/>
  <c r="S83" i="39"/>
  <c r="S81" i="39" s="1"/>
  <c r="V84" i="39"/>
  <c r="V112" i="39"/>
  <c r="O247" i="39"/>
  <c r="O259" i="39"/>
  <c r="R259" i="39"/>
  <c r="T259" i="39" s="1"/>
  <c r="N267" i="39"/>
  <c r="N266" i="39" s="1"/>
  <c r="O268" i="39"/>
  <c r="AB274" i="39"/>
  <c r="R254" i="39"/>
  <c r="T254" i="39" s="1"/>
  <c r="O254" i="39"/>
  <c r="Q268" i="39"/>
  <c r="S273" i="39"/>
  <c r="AB273" i="39" s="1"/>
  <c r="W268" i="39"/>
  <c r="Y268" i="39" s="1"/>
  <c r="N308" i="39"/>
  <c r="P335" i="39"/>
  <c r="X335" i="39"/>
  <c r="O336" i="39"/>
  <c r="V369" i="39"/>
  <c r="Y370" i="39"/>
  <c r="N384" i="39"/>
  <c r="R388" i="39"/>
  <c r="T388" i="39" s="1"/>
  <c r="S396" i="39"/>
  <c r="AB396" i="39" s="1"/>
  <c r="V397" i="39"/>
  <c r="W434" i="39"/>
  <c r="O443" i="39"/>
  <c r="W456" i="39"/>
  <c r="Q456" i="39"/>
  <c r="AA370" i="39"/>
  <c r="W397" i="39"/>
  <c r="Y397" i="39" s="1"/>
  <c r="S454" i="39"/>
  <c r="S453" i="39" s="1"/>
  <c r="X308" i="39"/>
  <c r="AB308" i="39" s="1"/>
  <c r="AA309" i="39"/>
  <c r="X369" i="39"/>
  <c r="AA369" i="39" s="1"/>
  <c r="AA401" i="39"/>
  <c r="P433" i="39"/>
  <c r="W433" i="39" s="1"/>
  <c r="V434" i="39"/>
  <c r="R459" i="39"/>
  <c r="T459" i="39" s="1"/>
  <c r="Q459" i="39"/>
  <c r="AF459" i="39"/>
  <c r="Q475" i="39"/>
  <c r="V475" i="39"/>
  <c r="AG475" i="39" s="1"/>
  <c r="T476" i="39"/>
  <c r="W476" i="39"/>
  <c r="Y476" i="39" s="1"/>
  <c r="AA477" i="39"/>
  <c r="AF478" i="39"/>
  <c r="AF486" i="39"/>
  <c r="V486" i="39"/>
  <c r="Q488" i="39"/>
  <c r="R493" i="39"/>
  <c r="T493" i="39" s="1"/>
  <c r="V493" i="39"/>
  <c r="AF498" i="39"/>
  <c r="R500" i="39"/>
  <c r="T500" i="39" s="1"/>
  <c r="V525" i="39"/>
  <c r="AF525" i="39"/>
  <c r="S524" i="39"/>
  <c r="V524" i="39" s="1"/>
  <c r="W530" i="39"/>
  <c r="S529" i="39"/>
  <c r="W529" i="39" s="1"/>
  <c r="Y529" i="39" s="1"/>
  <c r="V530" i="39"/>
  <c r="AF530" i="39"/>
  <c r="V459" i="39"/>
  <c r="N474" i="39"/>
  <c r="R475" i="39"/>
  <c r="T475" i="39" s="1"/>
  <c r="W475" i="39"/>
  <c r="N486" i="39"/>
  <c r="R488" i="39"/>
  <c r="T488" i="39" s="1"/>
  <c r="N497" i="39"/>
  <c r="Q498" i="39"/>
  <c r="AA500" i="39"/>
  <c r="AG517" i="39"/>
  <c r="AG518" i="39"/>
  <c r="T530" i="39"/>
  <c r="AF538" i="39"/>
  <c r="V538" i="39"/>
  <c r="AG538" i="39" s="1"/>
  <c r="W538" i="39"/>
  <c r="Y538" i="39" s="1"/>
  <c r="AF539" i="39"/>
  <c r="W539" i="39"/>
  <c r="Y539" i="39" s="1"/>
  <c r="AB539" i="39"/>
  <c r="V539" i="39"/>
  <c r="W486" i="39"/>
  <c r="Y486" i="39" s="1"/>
  <c r="AA486" i="39"/>
  <c r="R498" i="39"/>
  <c r="T498" i="39" s="1"/>
  <c r="AB500" i="39"/>
  <c r="Q493" i="39"/>
  <c r="Q500" i="39"/>
  <c r="AG513" i="39"/>
  <c r="AG514" i="39"/>
  <c r="W525" i="39"/>
  <c r="Y525" i="39" s="1"/>
  <c r="O537" i="39"/>
  <c r="AG543" i="39"/>
  <c r="AG545" i="39"/>
  <c r="AG549" i="39"/>
  <c r="Q569" i="39"/>
  <c r="O594" i="39"/>
  <c r="W594" i="39"/>
  <c r="Y594" i="39" s="1"/>
  <c r="AA594" i="39"/>
  <c r="AB602" i="39"/>
  <c r="Q604" i="39"/>
  <c r="AF604" i="39"/>
  <c r="R609" i="39"/>
  <c r="T609" i="39" s="1"/>
  <c r="V609" i="39"/>
  <c r="AA609" i="39"/>
  <c r="O612" i="39"/>
  <c r="S612" i="39"/>
  <c r="Q618" i="39"/>
  <c r="N638" i="39"/>
  <c r="O638" i="39" s="1"/>
  <c r="O654" i="39"/>
  <c r="R569" i="39"/>
  <c r="T569" i="39" s="1"/>
  <c r="X598" i="39"/>
  <c r="S599" i="39"/>
  <c r="AA599" i="39" s="1"/>
  <c r="V604" i="39"/>
  <c r="W609" i="39"/>
  <c r="Y609" i="39" s="1"/>
  <c r="R629" i="39"/>
  <c r="T629" i="39" s="1"/>
  <c r="R593" i="39"/>
  <c r="W604" i="39"/>
  <c r="AA604" i="39"/>
  <c r="R647" i="39"/>
  <c r="T647" i="39" s="1"/>
  <c r="Q647" i="39"/>
  <c r="R649" i="39"/>
  <c r="T649" i="39" s="1"/>
  <c r="Q649" i="39"/>
  <c r="W649" i="39"/>
  <c r="Y649" i="39" s="1"/>
  <c r="AG656" i="39"/>
  <c r="AG641" i="39"/>
  <c r="AG645" i="39"/>
  <c r="AG648" i="39"/>
  <c r="V649" i="39"/>
  <c r="AF649" i="39"/>
  <c r="AG650" i="39"/>
  <c r="AF654" i="39"/>
  <c r="AB654" i="39"/>
  <c r="AF690" i="39"/>
  <c r="X695" i="39"/>
  <c r="X694" i="39" s="1"/>
  <c r="X693" i="39" s="1"/>
  <c r="O696" i="39"/>
  <c r="AF699" i="39"/>
  <c r="V699" i="39"/>
  <c r="Q720" i="39"/>
  <c r="O727" i="39"/>
  <c r="Q699" i="39"/>
  <c r="Q727" i="39"/>
  <c r="R740" i="39"/>
  <c r="T740" i="39" s="1"/>
  <c r="O740" i="39"/>
  <c r="AA668" i="39"/>
  <c r="Q687" i="39"/>
  <c r="Q696" i="39"/>
  <c r="R699" i="39"/>
  <c r="T699" i="39" s="1"/>
  <c r="W699" i="39"/>
  <c r="Y699" i="39" s="1"/>
  <c r="AF762" i="39"/>
  <c r="X767" i="39"/>
  <c r="X765" i="39" s="1"/>
  <c r="V808" i="39"/>
  <c r="AG808" i="39" s="1"/>
  <c r="AG842" i="39"/>
  <c r="P853" i="39"/>
  <c r="W853" i="39" s="1"/>
  <c r="U864" i="39"/>
  <c r="U863" i="39" s="1"/>
  <c r="U861" i="39" s="1"/>
  <c r="U859" i="39" s="1"/>
  <c r="AG869" i="39"/>
  <c r="AG870" i="39"/>
  <c r="V762" i="39"/>
  <c r="AF777" i="39"/>
  <c r="AA841" i="39"/>
  <c r="AF854" i="39"/>
  <c r="Y865" i="39"/>
  <c r="X761" i="39"/>
  <c r="AA762" i="39"/>
  <c r="S769" i="39"/>
  <c r="AB769" i="39" s="1"/>
  <c r="R771" i="39"/>
  <c r="T771" i="39" s="1"/>
  <c r="Q777" i="39"/>
  <c r="V777" i="39"/>
  <c r="Q817" i="39"/>
  <c r="AB841" i="39"/>
  <c r="S852" i="39"/>
  <c r="V854" i="39"/>
  <c r="Y869" i="39"/>
  <c r="AB869" i="39"/>
  <c r="Y870" i="39"/>
  <c r="AB870" i="39"/>
  <c r="Y871" i="39"/>
  <c r="AB871" i="39"/>
  <c r="AG877" i="39"/>
  <c r="R777" i="39"/>
  <c r="T777" i="39" s="1"/>
  <c r="P839" i="39"/>
  <c r="V865" i="39"/>
  <c r="S864" i="39"/>
  <c r="AF865" i="39"/>
  <c r="AB875" i="39"/>
  <c r="AB876" i="39"/>
  <c r="O881" i="39"/>
  <c r="S893" i="39"/>
  <c r="N894" i="39"/>
  <c r="Q895" i="39"/>
  <c r="AF895" i="39"/>
  <c r="V895" i="39"/>
  <c r="S911" i="39"/>
  <c r="S910" i="39" s="1"/>
  <c r="S908" i="39" s="1"/>
  <c r="S906" i="39" s="1"/>
  <c r="Y920" i="39"/>
  <c r="AB937" i="39"/>
  <c r="Q881" i="39"/>
  <c r="R895" i="39"/>
  <c r="T895" i="39" s="1"/>
  <c r="AA920" i="39"/>
  <c r="AG942" i="39"/>
  <c r="X894" i="39"/>
  <c r="AA894" i="39" s="1"/>
  <c r="AA895" i="39"/>
  <c r="X916" i="39"/>
  <c r="X911" i="39" s="1"/>
  <c r="R941" i="39"/>
  <c r="T941" i="39" s="1"/>
  <c r="N937" i="39"/>
  <c r="O941" i="39"/>
  <c r="AA944" i="39"/>
  <c r="R1009" i="39"/>
  <c r="T1009" i="39" s="1"/>
  <c r="AA1009" i="39"/>
  <c r="X1008" i="39"/>
  <c r="N1008" i="39"/>
  <c r="O1009" i="39"/>
  <c r="Q1009" i="39"/>
  <c r="P1008" i="39"/>
  <c r="AB1009" i="39"/>
  <c r="W1009" i="39"/>
  <c r="Y1009" i="39" s="1"/>
  <c r="V1029" i="39"/>
  <c r="AA1029" i="39"/>
  <c r="Q1033" i="39"/>
  <c r="Q1037" i="39"/>
  <c r="P1044" i="39"/>
  <c r="P1042" i="39" s="1"/>
  <c r="S1042" i="39"/>
  <c r="X1044" i="39"/>
  <c r="X1042" i="39" s="1"/>
  <c r="O1045" i="39"/>
  <c r="W1045" i="39"/>
  <c r="Y1045" i="39" s="1"/>
  <c r="AA1045" i="39"/>
  <c r="X1065" i="39"/>
  <c r="X1064" i="39" s="1"/>
  <c r="Y1064" i="39" s="1"/>
  <c r="AF1029" i="39"/>
  <c r="R1033" i="39"/>
  <c r="T1033" i="39" s="1"/>
  <c r="V1033" i="39"/>
  <c r="R1037" i="39"/>
  <c r="T1037" i="39" s="1"/>
  <c r="V1037" i="39"/>
  <c r="AB1045" i="39"/>
  <c r="Q1045" i="39"/>
  <c r="N1048" i="39"/>
  <c r="R1045" i="39"/>
  <c r="T1045" i="39" s="1"/>
  <c r="W89" i="39"/>
  <c r="W840" i="39"/>
  <c r="N767" i="39"/>
  <c r="N765" i="39" s="1"/>
  <c r="S839" i="39"/>
  <c r="Q510" i="39"/>
  <c r="N300" i="39"/>
  <c r="V770" i="39"/>
  <c r="O396" i="39"/>
  <c r="O926" i="39"/>
  <c r="R753" i="39"/>
  <c r="T753" i="39" s="1"/>
  <c r="AF770" i="39"/>
  <c r="Q926" i="39"/>
  <c r="Q770" i="39"/>
  <c r="O753" i="39"/>
  <c r="N747" i="39"/>
  <c r="Q962" i="39"/>
  <c r="O953" i="39"/>
  <c r="N952" i="39"/>
  <c r="O1036" i="39"/>
  <c r="N1032" i="39"/>
  <c r="N922" i="39"/>
  <c r="O922" i="39" s="1"/>
  <c r="Q979" i="39"/>
  <c r="Q739" i="39"/>
  <c r="N738" i="39"/>
  <c r="N566" i="39"/>
  <c r="O566" i="39" s="1"/>
  <c r="Q75" i="39"/>
  <c r="P431" i="39"/>
  <c r="W431" i="39" s="1"/>
  <c r="O767" i="39"/>
  <c r="R301" i="39"/>
  <c r="S233" i="39"/>
  <c r="X95" i="39"/>
  <c r="Y1065" i="39"/>
  <c r="O267" i="39"/>
  <c r="O474" i="39"/>
  <c r="N473" i="39"/>
  <c r="O473" i="39" s="1"/>
  <c r="AA529" i="39"/>
  <c r="O308" i="39"/>
  <c r="S272" i="39"/>
  <c r="AA273" i="39"/>
  <c r="AA214" i="39"/>
  <c r="X494" i="39"/>
  <c r="X493" i="39" s="1"/>
  <c r="X458" i="39"/>
  <c r="AA458" i="39" s="1"/>
  <c r="X457" i="39"/>
  <c r="Y457" i="39" s="1"/>
  <c r="X467" i="39"/>
  <c r="X459" i="39" s="1"/>
  <c r="AA459" i="39" s="1"/>
  <c r="X828" i="39"/>
  <c r="AB828" i="39" s="1"/>
  <c r="X1071" i="39"/>
  <c r="L5" i="33"/>
  <c r="L4" i="33"/>
  <c r="I5" i="33"/>
  <c r="I4" i="33"/>
  <c r="P523" i="29"/>
  <c r="P515" i="29"/>
  <c r="P471" i="29"/>
  <c r="P461" i="29"/>
  <c r="P442" i="29"/>
  <c r="P418" i="29"/>
  <c r="N565" i="29"/>
  <c r="P565" i="29" s="1"/>
  <c r="N563" i="29"/>
  <c r="X807" i="39" s="1"/>
  <c r="AB807" i="39" s="1"/>
  <c r="N561" i="29"/>
  <c r="O561" i="29" s="1"/>
  <c r="N459" i="29"/>
  <c r="N458" i="29" s="1"/>
  <c r="N392" i="29"/>
  <c r="X481" i="39" s="1"/>
  <c r="N647" i="29"/>
  <c r="O647" i="29" s="1"/>
  <c r="P647" i="29" s="1"/>
  <c r="N549" i="29"/>
  <c r="P222" i="30"/>
  <c r="O36" i="31"/>
  <c r="O39" i="31"/>
  <c r="P367" i="30"/>
  <c r="R367" i="30" s="1"/>
  <c r="O71" i="31"/>
  <c r="H31" i="24"/>
  <c r="H33" i="28" s="1"/>
  <c r="M68" i="31"/>
  <c r="M67" i="31" s="1"/>
  <c r="L68" i="31"/>
  <c r="L67" i="31" s="1"/>
  <c r="K68" i="31"/>
  <c r="K67" i="31" s="1"/>
  <c r="S66" i="31"/>
  <c r="T66" i="31" s="1"/>
  <c r="S65" i="31"/>
  <c r="T65" i="31" s="1"/>
  <c r="P63" i="31"/>
  <c r="M63" i="31"/>
  <c r="L63" i="31"/>
  <c r="K63" i="31"/>
  <c r="O53" i="31"/>
  <c r="L53" i="31"/>
  <c r="K53" i="31"/>
  <c r="O52" i="31"/>
  <c r="H52" i="31"/>
  <c r="N51" i="31"/>
  <c r="L51" i="31"/>
  <c r="H51" i="31"/>
  <c r="H50" i="31"/>
  <c r="K47" i="31"/>
  <c r="S41" i="31"/>
  <c r="T41" i="31" s="1"/>
  <c r="O40" i="31"/>
  <c r="N40" i="31"/>
  <c r="M40" i="31"/>
  <c r="N39" i="31"/>
  <c r="N33" i="31"/>
  <c r="N34" i="31"/>
  <c r="N35" i="31"/>
  <c r="N36" i="31"/>
  <c r="N37" i="31"/>
  <c r="N38" i="31"/>
  <c r="M39" i="31"/>
  <c r="L39" i="31"/>
  <c r="K39" i="31"/>
  <c r="O38" i="31"/>
  <c r="M38" i="31"/>
  <c r="L38" i="31"/>
  <c r="K38" i="31"/>
  <c r="O37" i="31"/>
  <c r="M37" i="31"/>
  <c r="L37" i="31"/>
  <c r="K37" i="31"/>
  <c r="M36" i="31"/>
  <c r="L36" i="31"/>
  <c r="K36" i="31"/>
  <c r="O35" i="31"/>
  <c r="M35" i="31"/>
  <c r="L35" i="31"/>
  <c r="K35" i="31"/>
  <c r="O34" i="31"/>
  <c r="M34" i="31"/>
  <c r="L34" i="31"/>
  <c r="K34" i="31"/>
  <c r="O33" i="31"/>
  <c r="M33" i="31"/>
  <c r="L33" i="31"/>
  <c r="K33" i="31"/>
  <c r="S26" i="31"/>
  <c r="T26" i="31" s="1"/>
  <c r="K23" i="31"/>
  <c r="S20" i="31"/>
  <c r="T20" i="31" s="1"/>
  <c r="M19" i="31"/>
  <c r="L19" i="31"/>
  <c r="K19" i="31"/>
  <c r="M18" i="31"/>
  <c r="L18" i="31"/>
  <c r="K18" i="31"/>
  <c r="O14" i="31"/>
  <c r="N14" i="31"/>
  <c r="M14" i="31"/>
  <c r="L14" i="31"/>
  <c r="K14" i="31"/>
  <c r="O13" i="31"/>
  <c r="N13" i="31"/>
  <c r="M13" i="31"/>
  <c r="L13" i="31"/>
  <c r="K13" i="31"/>
  <c r="O12" i="31"/>
  <c r="N12" i="31"/>
  <c r="M12" i="31"/>
  <c r="L12" i="31"/>
  <c r="K12" i="31"/>
  <c r="P654" i="30"/>
  <c r="P653" i="30" s="1"/>
  <c r="N654" i="30"/>
  <c r="N653" i="30" s="1"/>
  <c r="M654" i="30"/>
  <c r="M653" i="30" s="1"/>
  <c r="L654" i="30"/>
  <c r="L653" i="30" s="1"/>
  <c r="P651" i="30"/>
  <c r="O651" i="30"/>
  <c r="N651" i="30"/>
  <c r="M651" i="30"/>
  <c r="L651" i="30"/>
  <c r="P650" i="30"/>
  <c r="O650" i="30"/>
  <c r="L650" i="30"/>
  <c r="N650" i="30"/>
  <c r="N649" i="30"/>
  <c r="M649" i="30"/>
  <c r="M650" i="30"/>
  <c r="L649" i="30"/>
  <c r="P649" i="30"/>
  <c r="O649" i="30"/>
  <c r="R646" i="30"/>
  <c r="P646" i="30"/>
  <c r="O646" i="30"/>
  <c r="N646" i="30"/>
  <c r="M646" i="30"/>
  <c r="L646" i="30"/>
  <c r="R645" i="30"/>
  <c r="P645" i="30"/>
  <c r="O645" i="30"/>
  <c r="N645" i="30"/>
  <c r="M645" i="30"/>
  <c r="L645" i="30"/>
  <c r="R644" i="30"/>
  <c r="P644" i="30"/>
  <c r="O644" i="30"/>
  <c r="N644" i="30"/>
  <c r="M644" i="30"/>
  <c r="L644" i="30"/>
  <c r="R643" i="30"/>
  <c r="P643" i="30"/>
  <c r="O643" i="30"/>
  <c r="N643" i="30"/>
  <c r="M643" i="30"/>
  <c r="L643" i="30"/>
  <c r="U642" i="30"/>
  <c r="R642" i="30"/>
  <c r="P642" i="30"/>
  <c r="O642" i="30"/>
  <c r="N642" i="30"/>
  <c r="M642" i="30"/>
  <c r="L642" i="30"/>
  <c r="R641" i="30"/>
  <c r="P641" i="30"/>
  <c r="O641" i="30"/>
  <c r="N641" i="30"/>
  <c r="M641" i="30"/>
  <c r="L641" i="30"/>
  <c r="R640" i="30"/>
  <c r="P640" i="30"/>
  <c r="O640" i="30"/>
  <c r="N640" i="30"/>
  <c r="M640" i="30"/>
  <c r="L640" i="30"/>
  <c r="R639" i="30"/>
  <c r="R635" i="30"/>
  <c r="R637" i="30"/>
  <c r="P639" i="30"/>
  <c r="O639" i="30"/>
  <c r="N639" i="30"/>
  <c r="M639" i="30"/>
  <c r="L639" i="30"/>
  <c r="U638" i="30"/>
  <c r="R638" i="30"/>
  <c r="P638" i="30"/>
  <c r="O638" i="30"/>
  <c r="N638" i="30"/>
  <c r="M638" i="30"/>
  <c r="L638" i="30"/>
  <c r="P637" i="30"/>
  <c r="O637" i="30"/>
  <c r="N637" i="30"/>
  <c r="M637" i="30"/>
  <c r="L637" i="30"/>
  <c r="P636" i="30"/>
  <c r="O636" i="30"/>
  <c r="N636" i="30"/>
  <c r="M636" i="30"/>
  <c r="U635" i="30"/>
  <c r="P635" i="30"/>
  <c r="O635" i="30"/>
  <c r="N635" i="30"/>
  <c r="M635" i="30"/>
  <c r="L635" i="30"/>
  <c r="U630" i="30"/>
  <c r="P630" i="30"/>
  <c r="O630" i="30"/>
  <c r="N630" i="30"/>
  <c r="M630" i="30"/>
  <c r="U629" i="30"/>
  <c r="R629" i="30"/>
  <c r="P629" i="30"/>
  <c r="O629" i="30"/>
  <c r="N629" i="30"/>
  <c r="M629" i="30"/>
  <c r="L629" i="30"/>
  <c r="U628" i="30"/>
  <c r="R628" i="30"/>
  <c r="P628" i="30"/>
  <c r="O628" i="30"/>
  <c r="N628" i="30"/>
  <c r="M628" i="30"/>
  <c r="L628" i="30"/>
  <c r="U627" i="30"/>
  <c r="R627" i="30"/>
  <c r="P627" i="30"/>
  <c r="O627" i="30"/>
  <c r="N627" i="30"/>
  <c r="M627" i="30"/>
  <c r="L627" i="30"/>
  <c r="U626" i="30"/>
  <c r="R626" i="30"/>
  <c r="P626" i="30"/>
  <c r="O626" i="30"/>
  <c r="N626" i="30"/>
  <c r="M626" i="30"/>
  <c r="L626" i="30"/>
  <c r="U625" i="30"/>
  <c r="R625" i="30"/>
  <c r="P625" i="30"/>
  <c r="O625" i="30"/>
  <c r="N625" i="30"/>
  <c r="M625" i="30"/>
  <c r="L625" i="30"/>
  <c r="R624" i="30"/>
  <c r="P624" i="30"/>
  <c r="O624" i="30"/>
  <c r="N624" i="30"/>
  <c r="M624" i="30"/>
  <c r="L624" i="30"/>
  <c r="U623" i="30"/>
  <c r="R623" i="30"/>
  <c r="P623" i="30"/>
  <c r="O623" i="30"/>
  <c r="N623" i="30"/>
  <c r="M623" i="30"/>
  <c r="L623" i="30"/>
  <c r="P622" i="30"/>
  <c r="M622" i="30"/>
  <c r="H622" i="30"/>
  <c r="U621" i="30"/>
  <c r="P621" i="30"/>
  <c r="M621" i="30"/>
  <c r="U620" i="30"/>
  <c r="R620" i="30"/>
  <c r="P620" i="30"/>
  <c r="O620" i="30"/>
  <c r="N620" i="30"/>
  <c r="M620" i="30"/>
  <c r="L620" i="30"/>
  <c r="U619" i="30"/>
  <c r="R619" i="30"/>
  <c r="P619" i="30"/>
  <c r="O619" i="30"/>
  <c r="N619" i="30"/>
  <c r="M619" i="30"/>
  <c r="L619" i="30"/>
  <c r="U618" i="30"/>
  <c r="R618" i="30"/>
  <c r="P618" i="30"/>
  <c r="O618" i="30"/>
  <c r="N618" i="30"/>
  <c r="M618" i="30"/>
  <c r="L618" i="30"/>
  <c r="U617" i="30"/>
  <c r="P617" i="30"/>
  <c r="O617" i="30"/>
  <c r="N617" i="30"/>
  <c r="M617" i="30"/>
  <c r="L617" i="30"/>
  <c r="U616" i="30"/>
  <c r="R616" i="30"/>
  <c r="P616" i="30"/>
  <c r="O616" i="30"/>
  <c r="N616" i="30"/>
  <c r="M616" i="30"/>
  <c r="L616" i="30"/>
  <c r="U615" i="30"/>
  <c r="R615" i="30"/>
  <c r="P615" i="30"/>
  <c r="O615" i="30"/>
  <c r="N615" i="30"/>
  <c r="M615" i="30"/>
  <c r="L615" i="30"/>
  <c r="U614" i="30"/>
  <c r="R614" i="30"/>
  <c r="P614" i="30"/>
  <c r="O614" i="30"/>
  <c r="N614" i="30"/>
  <c r="M614" i="30"/>
  <c r="L614" i="30"/>
  <c r="U613" i="30"/>
  <c r="P613" i="30"/>
  <c r="M613" i="30"/>
  <c r="U612" i="30"/>
  <c r="R612" i="30"/>
  <c r="P612" i="30"/>
  <c r="O612" i="30"/>
  <c r="N612" i="30"/>
  <c r="M612" i="30"/>
  <c r="L612" i="30"/>
  <c r="U611" i="30"/>
  <c r="R611" i="30"/>
  <c r="P611" i="30"/>
  <c r="M611" i="30"/>
  <c r="R610" i="30"/>
  <c r="O610" i="30"/>
  <c r="L610" i="30"/>
  <c r="N610" i="30"/>
  <c r="M610" i="30"/>
  <c r="P609" i="30"/>
  <c r="O609" i="30"/>
  <c r="N609" i="30"/>
  <c r="M609" i="30"/>
  <c r="L609" i="30"/>
  <c r="R608" i="30"/>
  <c r="P608" i="30"/>
  <c r="O608" i="30"/>
  <c r="N608" i="30"/>
  <c r="M608" i="30"/>
  <c r="M606" i="30"/>
  <c r="M607" i="30"/>
  <c r="L608" i="30"/>
  <c r="P607" i="30"/>
  <c r="O607" i="30"/>
  <c r="N607" i="30"/>
  <c r="L607" i="30"/>
  <c r="P606" i="30"/>
  <c r="O606" i="30"/>
  <c r="N606" i="30"/>
  <c r="L606" i="30"/>
  <c r="V581" i="30"/>
  <c r="V578" i="30"/>
  <c r="R578" i="30"/>
  <c r="Q578" i="30"/>
  <c r="N577" i="30"/>
  <c r="N576" i="30" s="1"/>
  <c r="N575" i="30" s="1"/>
  <c r="N574" i="30" s="1"/>
  <c r="N573" i="30" s="1"/>
  <c r="O573" i="30" s="1"/>
  <c r="V573" i="30" s="1"/>
  <c r="K576" i="30"/>
  <c r="K574" i="30" s="1"/>
  <c r="K573" i="30" s="1"/>
  <c r="J576" i="30"/>
  <c r="J574" i="30" s="1"/>
  <c r="J573" i="30" s="1"/>
  <c r="P575" i="30"/>
  <c r="P574" i="30" s="1"/>
  <c r="P573" i="30" s="1"/>
  <c r="Q572" i="30"/>
  <c r="P571" i="30"/>
  <c r="Q571" i="30" s="1"/>
  <c r="O571" i="30"/>
  <c r="V570" i="30"/>
  <c r="U570" i="30"/>
  <c r="Q570" i="30"/>
  <c r="V569" i="30"/>
  <c r="Q569" i="30"/>
  <c r="V568" i="30"/>
  <c r="U568" i="30"/>
  <c r="Q568" i="30"/>
  <c r="V567" i="30"/>
  <c r="Q567" i="30"/>
  <c r="V566" i="30"/>
  <c r="U566" i="30"/>
  <c r="Q566" i="30"/>
  <c r="V565" i="30"/>
  <c r="Q565" i="30"/>
  <c r="V564" i="30"/>
  <c r="Q564" i="30"/>
  <c r="V563" i="30"/>
  <c r="U563" i="30"/>
  <c r="Q563" i="30"/>
  <c r="V562" i="30"/>
  <c r="Q562" i="30"/>
  <c r="V561" i="30"/>
  <c r="U561" i="30"/>
  <c r="Q561" i="30"/>
  <c r="V560" i="30"/>
  <c r="Q560" i="30"/>
  <c r="V559" i="30"/>
  <c r="Q559" i="30"/>
  <c r="V558" i="30"/>
  <c r="Q558" i="30"/>
  <c r="V557" i="30"/>
  <c r="U557" i="30"/>
  <c r="Q557" i="30"/>
  <c r="V556" i="30"/>
  <c r="Q556" i="30"/>
  <c r="V555" i="30"/>
  <c r="Q555" i="30"/>
  <c r="V554" i="30"/>
  <c r="U554" i="30"/>
  <c r="Q554" i="30"/>
  <c r="V553" i="30"/>
  <c r="Q553" i="30"/>
  <c r="V552" i="30"/>
  <c r="Q552" i="30"/>
  <c r="V551" i="30"/>
  <c r="Q551" i="30"/>
  <c r="V550" i="30"/>
  <c r="Q550" i="30"/>
  <c r="V549" i="30"/>
  <c r="U549" i="30"/>
  <c r="Q549" i="30"/>
  <c r="V548" i="30"/>
  <c r="Q548" i="30"/>
  <c r="V547" i="30"/>
  <c r="Q547" i="30"/>
  <c r="V546" i="30"/>
  <c r="Q546" i="30"/>
  <c r="V545" i="30"/>
  <c r="Q545" i="30"/>
  <c r="V544" i="30"/>
  <c r="U544" i="30"/>
  <c r="Q544" i="30"/>
  <c r="V543" i="30"/>
  <c r="Q543" i="30"/>
  <c r="V542" i="30"/>
  <c r="Q542" i="30"/>
  <c r="V541" i="30"/>
  <c r="U541" i="30"/>
  <c r="Q541" i="30"/>
  <c r="V540" i="30"/>
  <c r="U540" i="30"/>
  <c r="Q540" i="30"/>
  <c r="V539" i="30"/>
  <c r="Q539" i="30"/>
  <c r="V538" i="30"/>
  <c r="U538" i="30"/>
  <c r="Q538" i="30"/>
  <c r="V537" i="30"/>
  <c r="Q537" i="30"/>
  <c r="V536" i="30"/>
  <c r="Q536" i="30"/>
  <c r="V535" i="30"/>
  <c r="Q535" i="30"/>
  <c r="V534" i="30"/>
  <c r="Q534" i="30"/>
  <c r="V533" i="30"/>
  <c r="Q533" i="30"/>
  <c r="V532" i="30"/>
  <c r="U532" i="30"/>
  <c r="Q532" i="30"/>
  <c r="V531" i="30"/>
  <c r="Q531" i="30"/>
  <c r="V530" i="30"/>
  <c r="Q530" i="30"/>
  <c r="V529" i="30"/>
  <c r="Q529" i="30"/>
  <c r="V528" i="30"/>
  <c r="Q528" i="30"/>
  <c r="V527" i="30"/>
  <c r="Q527" i="30"/>
  <c r="V526" i="30"/>
  <c r="U526" i="30"/>
  <c r="U624" i="30" s="1"/>
  <c r="Q526" i="30"/>
  <c r="V525" i="30"/>
  <c r="Q525" i="30"/>
  <c r="V524" i="30"/>
  <c r="Q524" i="30"/>
  <c r="V523" i="30"/>
  <c r="U523" i="30"/>
  <c r="Q523" i="30"/>
  <c r="V522" i="30"/>
  <c r="Q522" i="30"/>
  <c r="V521" i="30"/>
  <c r="U521" i="30"/>
  <c r="Q521" i="30"/>
  <c r="V520" i="30"/>
  <c r="Q520" i="30"/>
  <c r="V519" i="30"/>
  <c r="Q519" i="30"/>
  <c r="V518" i="30"/>
  <c r="U518" i="30"/>
  <c r="U639" i="30" s="1"/>
  <c r="Q518" i="30"/>
  <c r="V517" i="30"/>
  <c r="Q517" i="30"/>
  <c r="V516" i="30"/>
  <c r="Q516" i="30"/>
  <c r="V515" i="30"/>
  <c r="U515" i="30"/>
  <c r="Q515" i="30"/>
  <c r="V514" i="30"/>
  <c r="Q514" i="30"/>
  <c r="V513" i="30"/>
  <c r="Q513" i="30"/>
  <c r="V512" i="30"/>
  <c r="U512" i="30"/>
  <c r="U641" i="30" s="1"/>
  <c r="Q512" i="30"/>
  <c r="V511" i="30"/>
  <c r="Q511" i="30"/>
  <c r="K511" i="30"/>
  <c r="V510" i="30"/>
  <c r="Q510" i="30"/>
  <c r="V509" i="30"/>
  <c r="U509" i="30"/>
  <c r="Q509" i="30"/>
  <c r="V508" i="30"/>
  <c r="Q508" i="30"/>
  <c r="V507" i="30"/>
  <c r="Q507" i="30"/>
  <c r="V506" i="30"/>
  <c r="Q506" i="30"/>
  <c r="V505" i="30"/>
  <c r="Q505" i="30"/>
  <c r="K505" i="30"/>
  <c r="V504" i="30"/>
  <c r="Q504" i="30"/>
  <c r="V503" i="30"/>
  <c r="U503" i="30"/>
  <c r="Q503" i="30"/>
  <c r="V502" i="30"/>
  <c r="Q502" i="30"/>
  <c r="K502" i="30"/>
  <c r="V501" i="30"/>
  <c r="R501" i="30"/>
  <c r="Q501" i="30"/>
  <c r="V500" i="30"/>
  <c r="R500" i="30"/>
  <c r="R609" i="30" s="1"/>
  <c r="Q500" i="30"/>
  <c r="V499" i="30"/>
  <c r="R499" i="30"/>
  <c r="Q499" i="30"/>
  <c r="K499" i="30"/>
  <c r="J499" i="30"/>
  <c r="V498" i="30"/>
  <c r="R498" i="30"/>
  <c r="Q498" i="30"/>
  <c r="V497" i="30"/>
  <c r="R497" i="30"/>
  <c r="R630" i="30" s="1"/>
  <c r="Q497" i="30"/>
  <c r="V496" i="30"/>
  <c r="R496" i="30"/>
  <c r="Q496" i="30"/>
  <c r="N495" i="30"/>
  <c r="N494" i="30" s="1"/>
  <c r="N480" i="30" s="1"/>
  <c r="N479" i="30" s="1"/>
  <c r="L495" i="30"/>
  <c r="V493" i="30"/>
  <c r="V492" i="30"/>
  <c r="U492" i="30"/>
  <c r="Q492" i="30"/>
  <c r="H492" i="30"/>
  <c r="V491" i="30"/>
  <c r="U491" i="30"/>
  <c r="Q491" i="30"/>
  <c r="H491" i="30"/>
  <c r="V490" i="30"/>
  <c r="U490" i="30"/>
  <c r="Q490" i="30"/>
  <c r="H490" i="30"/>
  <c r="V489" i="30"/>
  <c r="U489" i="30"/>
  <c r="Q489" i="30"/>
  <c r="H489" i="30"/>
  <c r="V488" i="30"/>
  <c r="U488" i="30"/>
  <c r="Q488" i="30"/>
  <c r="H488" i="30"/>
  <c r="V487" i="30"/>
  <c r="U487" i="30"/>
  <c r="Q487" i="30"/>
  <c r="H487" i="30"/>
  <c r="V486" i="30"/>
  <c r="U486" i="30"/>
  <c r="Q486" i="30"/>
  <c r="H486" i="30"/>
  <c r="V485" i="30"/>
  <c r="U485" i="30"/>
  <c r="Q485" i="30"/>
  <c r="H485" i="30"/>
  <c r="V484" i="30"/>
  <c r="U484" i="30"/>
  <c r="Q484" i="30"/>
  <c r="H484" i="30"/>
  <c r="V483" i="30"/>
  <c r="U483" i="30"/>
  <c r="R483" i="30"/>
  <c r="Q483" i="30"/>
  <c r="H483" i="30"/>
  <c r="R482" i="30"/>
  <c r="Q482" i="30"/>
  <c r="O482" i="30"/>
  <c r="O654" i="30" s="1"/>
  <c r="K482" i="30"/>
  <c r="K480" i="30" s="1"/>
  <c r="K479" i="30" s="1"/>
  <c r="V481" i="30"/>
  <c r="U481" i="30"/>
  <c r="R481" i="30"/>
  <c r="Q481" i="30"/>
  <c r="P480" i="30"/>
  <c r="P479" i="30" s="1"/>
  <c r="M480" i="30"/>
  <c r="M479" i="30" s="1"/>
  <c r="J480" i="30"/>
  <c r="J479" i="30" s="1"/>
  <c r="J442" i="30"/>
  <c r="J460" i="30"/>
  <c r="J463" i="30"/>
  <c r="J469" i="30"/>
  <c r="J474" i="30"/>
  <c r="V478" i="30"/>
  <c r="V477" i="30"/>
  <c r="U477" i="30"/>
  <c r="U645" i="30" s="1"/>
  <c r="Q477" i="30"/>
  <c r="V476" i="30"/>
  <c r="R476" i="30"/>
  <c r="Q476" i="30"/>
  <c r="V475" i="30"/>
  <c r="R475" i="30"/>
  <c r="Q475" i="30"/>
  <c r="N474" i="30"/>
  <c r="O474" i="30" s="1"/>
  <c r="V474" i="30" s="1"/>
  <c r="L474" i="30"/>
  <c r="K474" i="30"/>
  <c r="V473" i="30"/>
  <c r="V472" i="30"/>
  <c r="U472" i="30"/>
  <c r="R472" i="30"/>
  <c r="Q472" i="30"/>
  <c r="H472" i="30"/>
  <c r="V471" i="30"/>
  <c r="U471" i="30"/>
  <c r="R471" i="30"/>
  <c r="Q471" i="30"/>
  <c r="H471" i="30"/>
  <c r="V470" i="30"/>
  <c r="U470" i="30"/>
  <c r="U607" i="30" s="1"/>
  <c r="R470" i="30"/>
  <c r="R607" i="30" s="1"/>
  <c r="Q470" i="30"/>
  <c r="H470" i="30"/>
  <c r="P469" i="30"/>
  <c r="O469" i="30"/>
  <c r="V469" i="30" s="1"/>
  <c r="N469" i="30"/>
  <c r="M469" i="30"/>
  <c r="L469" i="30"/>
  <c r="K469" i="30"/>
  <c r="V467" i="30"/>
  <c r="R467" i="30"/>
  <c r="R636" i="30" s="1"/>
  <c r="Q467" i="30"/>
  <c r="H467" i="30"/>
  <c r="V466" i="30"/>
  <c r="U466" i="30"/>
  <c r="R466" i="30"/>
  <c r="Q466" i="30"/>
  <c r="H466" i="30"/>
  <c r="V465" i="30"/>
  <c r="U465" i="30"/>
  <c r="R465" i="30"/>
  <c r="R606" i="30" s="1"/>
  <c r="Q465" i="30"/>
  <c r="H465" i="30"/>
  <c r="V464" i="30"/>
  <c r="U464" i="30"/>
  <c r="R464" i="30"/>
  <c r="Q464" i="30"/>
  <c r="H464" i="30"/>
  <c r="N463" i="30"/>
  <c r="O463" i="30" s="1"/>
  <c r="V463" i="30" s="1"/>
  <c r="L463" i="30"/>
  <c r="R463" i="30" s="1"/>
  <c r="K463" i="30"/>
  <c r="V461" i="30"/>
  <c r="U461" i="30"/>
  <c r="R461" i="30"/>
  <c r="R617" i="30" s="1"/>
  <c r="Q461" i="30"/>
  <c r="L460" i="30"/>
  <c r="K460" i="30"/>
  <c r="V459" i="30"/>
  <c r="R459" i="30"/>
  <c r="Q459" i="30"/>
  <c r="V458" i="30"/>
  <c r="U458" i="30"/>
  <c r="R458" i="30"/>
  <c r="Q458" i="30"/>
  <c r="N457" i="30"/>
  <c r="O457" i="30" s="1"/>
  <c r="V457" i="30" s="1"/>
  <c r="L457" i="30"/>
  <c r="Q457" i="30" s="1"/>
  <c r="K457" i="30"/>
  <c r="V456" i="30"/>
  <c r="R456" i="30"/>
  <c r="Q456" i="30"/>
  <c r="U455" i="30"/>
  <c r="U454" i="30" s="1"/>
  <c r="U622" i="30" s="1"/>
  <c r="V453" i="30"/>
  <c r="R453" i="30"/>
  <c r="Q453" i="30"/>
  <c r="U452" i="30"/>
  <c r="V450" i="30"/>
  <c r="R450" i="30"/>
  <c r="Q450" i="30"/>
  <c r="V447" i="30"/>
  <c r="R447" i="30"/>
  <c r="Q447" i="30"/>
  <c r="U446" i="30"/>
  <c r="U444" i="30"/>
  <c r="V443" i="30"/>
  <c r="U443" i="30"/>
  <c r="R443" i="30"/>
  <c r="Q443" i="30"/>
  <c r="V440" i="30"/>
  <c r="V437" i="30"/>
  <c r="K435" i="30"/>
  <c r="J435" i="30"/>
  <c r="H435" i="30"/>
  <c r="V432" i="30"/>
  <c r="R432" i="30"/>
  <c r="Q432" i="30"/>
  <c r="H432" i="30"/>
  <c r="V431" i="30"/>
  <c r="R431" i="30"/>
  <c r="Q431" i="30"/>
  <c r="H431" i="30"/>
  <c r="V430" i="30"/>
  <c r="R430" i="30"/>
  <c r="Q430" i="30"/>
  <c r="H430" i="30"/>
  <c r="V429" i="30"/>
  <c r="R429" i="30"/>
  <c r="Q429" i="30"/>
  <c r="H429" i="30"/>
  <c r="V428" i="30"/>
  <c r="R428" i="30"/>
  <c r="Q428" i="30"/>
  <c r="H428" i="30"/>
  <c r="O427" i="30"/>
  <c r="V427" i="30" s="1"/>
  <c r="N427" i="30"/>
  <c r="L427" i="30"/>
  <c r="R427" i="30" s="1"/>
  <c r="K427" i="30"/>
  <c r="J427" i="30"/>
  <c r="H427" i="30"/>
  <c r="P426" i="30"/>
  <c r="P425" i="30" s="1"/>
  <c r="G426" i="30"/>
  <c r="F425" i="30"/>
  <c r="V424" i="30"/>
  <c r="V423" i="30"/>
  <c r="R423" i="30"/>
  <c r="Q423" i="30"/>
  <c r="H423" i="30"/>
  <c r="V422" i="30"/>
  <c r="R422" i="30"/>
  <c r="Q422" i="30"/>
  <c r="H422" i="30"/>
  <c r="P421" i="30"/>
  <c r="P420" i="30" s="1"/>
  <c r="O421" i="30"/>
  <c r="V421" i="30" s="1"/>
  <c r="N421" i="30"/>
  <c r="N420" i="30" s="1"/>
  <c r="L421" i="30"/>
  <c r="G421" i="30"/>
  <c r="K420" i="30"/>
  <c r="J420" i="30"/>
  <c r="F420" i="30"/>
  <c r="Q419" i="30"/>
  <c r="N419" i="30"/>
  <c r="N415" i="30" s="1"/>
  <c r="V418" i="30"/>
  <c r="R418" i="30"/>
  <c r="Q418" i="30"/>
  <c r="H418" i="30"/>
  <c r="V417" i="30"/>
  <c r="R417" i="30"/>
  <c r="Q417" i="30"/>
  <c r="H417" i="30"/>
  <c r="V416" i="30"/>
  <c r="R416" i="30"/>
  <c r="Q416" i="30"/>
  <c r="H416" i="30"/>
  <c r="P415" i="30"/>
  <c r="L415" i="30"/>
  <c r="K415" i="30"/>
  <c r="J415" i="30"/>
  <c r="G415" i="30"/>
  <c r="V414" i="30"/>
  <c r="R414" i="30"/>
  <c r="Q414" i="30"/>
  <c r="H414" i="30"/>
  <c r="H413" i="30"/>
  <c r="V412" i="30"/>
  <c r="R412" i="30"/>
  <c r="Q412" i="30"/>
  <c r="H412" i="30"/>
  <c r="V409" i="30"/>
  <c r="Q409" i="30"/>
  <c r="H409" i="30"/>
  <c r="V408" i="30"/>
  <c r="R408" i="30"/>
  <c r="Q408" i="30"/>
  <c r="H408" i="30"/>
  <c r="P407" i="30"/>
  <c r="K407" i="30"/>
  <c r="J407" i="30"/>
  <c r="J406" i="30" s="1"/>
  <c r="G407" i="30"/>
  <c r="F406" i="30"/>
  <c r="V404" i="30"/>
  <c r="N403" i="30"/>
  <c r="O403" i="30" s="1"/>
  <c r="V403" i="30" s="1"/>
  <c r="N402" i="30"/>
  <c r="O402" i="30" s="1"/>
  <c r="V402" i="30" s="1"/>
  <c r="L401" i="30"/>
  <c r="N400" i="30"/>
  <c r="O400" i="30" s="1"/>
  <c r="V400" i="30" s="1"/>
  <c r="V399" i="30"/>
  <c r="Q399" i="30"/>
  <c r="V398" i="30"/>
  <c r="Q398" i="30"/>
  <c r="V397" i="30"/>
  <c r="V396" i="30"/>
  <c r="R396" i="30"/>
  <c r="Q396" i="30"/>
  <c r="U395" i="30"/>
  <c r="V393" i="30"/>
  <c r="G392" i="30"/>
  <c r="G391" i="30"/>
  <c r="G390" i="30"/>
  <c r="U389" i="30"/>
  <c r="K389" i="30"/>
  <c r="J389" i="30"/>
  <c r="V387" i="30"/>
  <c r="V386" i="30"/>
  <c r="R386" i="30"/>
  <c r="Q386" i="30"/>
  <c r="V385" i="30"/>
  <c r="R385" i="30"/>
  <c r="Q385" i="30"/>
  <c r="H385" i="30"/>
  <c r="V384" i="30"/>
  <c r="R384" i="30"/>
  <c r="Q384" i="30"/>
  <c r="V383" i="30"/>
  <c r="R383" i="30"/>
  <c r="Q383" i="30"/>
  <c r="V382" i="30"/>
  <c r="R382" i="30"/>
  <c r="Q382" i="30"/>
  <c r="P381" i="30"/>
  <c r="O381" i="30"/>
  <c r="O380" i="30" s="1"/>
  <c r="N381" i="30"/>
  <c r="N380" i="30" s="1"/>
  <c r="M381" i="30"/>
  <c r="M380" i="30" s="1"/>
  <c r="L381" i="30"/>
  <c r="L380" i="30" s="1"/>
  <c r="K381" i="30"/>
  <c r="K380" i="30" s="1"/>
  <c r="J381" i="30"/>
  <c r="J380" i="30" s="1"/>
  <c r="U380" i="30"/>
  <c r="F380" i="30"/>
  <c r="V378" i="30"/>
  <c r="V377" i="30"/>
  <c r="R377" i="30"/>
  <c r="Q377" i="30"/>
  <c r="V376" i="30"/>
  <c r="R376" i="30"/>
  <c r="Q376" i="30"/>
  <c r="U375" i="30"/>
  <c r="O375" i="30"/>
  <c r="V375" i="30" s="1"/>
  <c r="N375" i="30"/>
  <c r="N373" i="30" s="1"/>
  <c r="O373" i="30" s="1"/>
  <c r="V373" i="30" s="1"/>
  <c r="L375" i="30"/>
  <c r="V374" i="30"/>
  <c r="U374" i="30"/>
  <c r="R374" i="30"/>
  <c r="Q374" i="30"/>
  <c r="K373" i="30"/>
  <c r="J373" i="30"/>
  <c r="V371" i="30"/>
  <c r="Q371" i="30"/>
  <c r="N369" i="30"/>
  <c r="N368" i="30"/>
  <c r="N367" i="30"/>
  <c r="K366" i="30"/>
  <c r="J366" i="30"/>
  <c r="G364" i="30"/>
  <c r="G363" i="30"/>
  <c r="G362" i="30"/>
  <c r="G361" i="30"/>
  <c r="G360" i="30"/>
  <c r="G359" i="30"/>
  <c r="N358" i="30"/>
  <c r="G358" i="30"/>
  <c r="G357" i="30"/>
  <c r="V356" i="30"/>
  <c r="Q356" i="30"/>
  <c r="V355" i="30"/>
  <c r="Q355" i="30"/>
  <c r="V354" i="30"/>
  <c r="Q354" i="30"/>
  <c r="V353" i="30"/>
  <c r="Q353" i="30"/>
  <c r="V352" i="30"/>
  <c r="Q352" i="30"/>
  <c r="V351" i="30"/>
  <c r="Q351" i="30"/>
  <c r="V350" i="30"/>
  <c r="Q350" i="30"/>
  <c r="V349" i="30"/>
  <c r="Q349" i="30"/>
  <c r="V348" i="30"/>
  <c r="Q348" i="30"/>
  <c r="V347" i="30"/>
  <c r="Q347" i="30"/>
  <c r="V346" i="30"/>
  <c r="Q346" i="30"/>
  <c r="V345" i="30"/>
  <c r="Q345" i="30"/>
  <c r="V344" i="30"/>
  <c r="Q344" i="30"/>
  <c r="V343" i="30"/>
  <c r="Q343" i="30"/>
  <c r="V342" i="30"/>
  <c r="Q342" i="30"/>
  <c r="V341" i="30"/>
  <c r="Q341" i="30"/>
  <c r="V340" i="30"/>
  <c r="Q340" i="30"/>
  <c r="V339" i="30"/>
  <c r="Q339" i="30"/>
  <c r="V338" i="30"/>
  <c r="Q338" i="30"/>
  <c r="V337" i="30"/>
  <c r="Q337" i="30"/>
  <c r="V336" i="30"/>
  <c r="Q336" i="30"/>
  <c r="V335" i="30"/>
  <c r="Q335" i="30"/>
  <c r="V334" i="30"/>
  <c r="Q334" i="30"/>
  <c r="V333" i="30"/>
  <c r="Q333" i="30"/>
  <c r="V332" i="30"/>
  <c r="Q332" i="30"/>
  <c r="V331" i="30"/>
  <c r="Q331" i="30"/>
  <c r="V330" i="30"/>
  <c r="Q330" i="30"/>
  <c r="V329" i="30"/>
  <c r="Q329" i="30"/>
  <c r="V328" i="30"/>
  <c r="Q328" i="30"/>
  <c r="V327" i="30"/>
  <c r="Q327" i="30"/>
  <c r="V326" i="30"/>
  <c r="Q326" i="30"/>
  <c r="V325" i="30"/>
  <c r="Q325" i="30"/>
  <c r="V324" i="30"/>
  <c r="Q324" i="30"/>
  <c r="V323" i="30"/>
  <c r="Q323" i="30"/>
  <c r="V322" i="30"/>
  <c r="U322" i="30"/>
  <c r="Q322" i="30"/>
  <c r="V321" i="30"/>
  <c r="Q321" i="30"/>
  <c r="V320" i="30"/>
  <c r="Q320" i="30"/>
  <c r="V319" i="30"/>
  <c r="Q319" i="30"/>
  <c r="V318" i="30"/>
  <c r="Q318" i="30"/>
  <c r="V317" i="30"/>
  <c r="R317" i="30"/>
  <c r="Q317" i="30"/>
  <c r="V315" i="30"/>
  <c r="G315" i="30"/>
  <c r="G314" i="30"/>
  <c r="V313" i="30"/>
  <c r="R313" i="30"/>
  <c r="Q313" i="30"/>
  <c r="G313" i="30"/>
  <c r="L312" i="30"/>
  <c r="R312" i="30" s="1"/>
  <c r="K312" i="30"/>
  <c r="K299" i="30" s="1"/>
  <c r="J312" i="30"/>
  <c r="J299" i="30" s="1"/>
  <c r="U311" i="30"/>
  <c r="L311" i="30"/>
  <c r="V310" i="30"/>
  <c r="R310" i="30"/>
  <c r="Q310" i="30"/>
  <c r="V309" i="30"/>
  <c r="R309" i="30"/>
  <c r="Q309" i="30"/>
  <c r="U307" i="30"/>
  <c r="L307" i="30"/>
  <c r="V306" i="30"/>
  <c r="R306" i="30"/>
  <c r="Q306" i="30"/>
  <c r="V305" i="30"/>
  <c r="Q305" i="30"/>
  <c r="V304" i="30"/>
  <c r="P304" i="30"/>
  <c r="V303" i="30"/>
  <c r="R303" i="30"/>
  <c r="Q303" i="30"/>
  <c r="V302" i="30"/>
  <c r="R302" i="30"/>
  <c r="Q302" i="30"/>
  <c r="V301" i="30"/>
  <c r="R301" i="30"/>
  <c r="Q301" i="30"/>
  <c r="V300" i="30"/>
  <c r="Q300" i="30"/>
  <c r="M299" i="30"/>
  <c r="V298" i="30"/>
  <c r="V297" i="30"/>
  <c r="U297" i="30"/>
  <c r="Q297" i="30"/>
  <c r="K297" i="30"/>
  <c r="J297" i="30"/>
  <c r="N296" i="30"/>
  <c r="O296" i="30" s="1"/>
  <c r="V296" i="30" s="1"/>
  <c r="L296" i="30"/>
  <c r="Q296" i="30" s="1"/>
  <c r="K296" i="30"/>
  <c r="J296" i="30"/>
  <c r="V295" i="30"/>
  <c r="V294" i="30"/>
  <c r="R294" i="30"/>
  <c r="Q294" i="30"/>
  <c r="V293" i="30"/>
  <c r="R293" i="30"/>
  <c r="Q293" i="30"/>
  <c r="V292" i="30"/>
  <c r="R292" i="30"/>
  <c r="Q292" i="30"/>
  <c r="P291" i="30"/>
  <c r="O291" i="30"/>
  <c r="V291" i="30" s="1"/>
  <c r="N291" i="30"/>
  <c r="M291" i="30"/>
  <c r="L291" i="30"/>
  <c r="K291" i="30"/>
  <c r="J291" i="30"/>
  <c r="V290" i="30"/>
  <c r="Q290" i="30"/>
  <c r="H290" i="30"/>
  <c r="V289" i="30"/>
  <c r="Q289" i="30"/>
  <c r="H289" i="30"/>
  <c r="V288" i="30"/>
  <c r="Q288" i="30"/>
  <c r="H288" i="30"/>
  <c r="V287" i="30"/>
  <c r="Q287" i="30"/>
  <c r="H287" i="30"/>
  <c r="V286" i="30"/>
  <c r="Q286" i="30"/>
  <c r="H286" i="30"/>
  <c r="V285" i="30"/>
  <c r="Q285" i="30"/>
  <c r="H285" i="30"/>
  <c r="V284" i="30"/>
  <c r="Q284" i="30"/>
  <c r="H284" i="30"/>
  <c r="V283" i="30"/>
  <c r="Q283" i="30"/>
  <c r="H283" i="30"/>
  <c r="V282" i="30"/>
  <c r="Q282" i="30"/>
  <c r="H282" i="30"/>
  <c r="V281" i="30"/>
  <c r="Q281" i="30"/>
  <c r="H281" i="30"/>
  <c r="R280" i="30"/>
  <c r="Q280" i="30"/>
  <c r="O280" i="30"/>
  <c r="V280" i="30" s="1"/>
  <c r="K280" i="30"/>
  <c r="K268" i="30" s="1"/>
  <c r="V279" i="30"/>
  <c r="Q279" i="30"/>
  <c r="H279" i="30"/>
  <c r="V278" i="30"/>
  <c r="Q278" i="30"/>
  <c r="H278" i="30"/>
  <c r="V277" i="30"/>
  <c r="Q277" i="30"/>
  <c r="H277" i="30"/>
  <c r="V276" i="30"/>
  <c r="Q276" i="30"/>
  <c r="H276" i="30"/>
  <c r="V275" i="30"/>
  <c r="Q275" i="30"/>
  <c r="H275" i="30"/>
  <c r="V274" i="30"/>
  <c r="Q274" i="30"/>
  <c r="H274" i="30"/>
  <c r="V273" i="30"/>
  <c r="Q273" i="30"/>
  <c r="H273" i="30"/>
  <c r="V272" i="30"/>
  <c r="Q272" i="30"/>
  <c r="H272" i="30"/>
  <c r="V271" i="30"/>
  <c r="Q271" i="30"/>
  <c r="H271" i="30"/>
  <c r="V270" i="30"/>
  <c r="Q270" i="30"/>
  <c r="H270" i="30"/>
  <c r="V269" i="30"/>
  <c r="R269" i="30"/>
  <c r="Q269" i="30"/>
  <c r="P268" i="30"/>
  <c r="N268" i="30"/>
  <c r="M268" i="30"/>
  <c r="L268" i="30"/>
  <c r="J268" i="30"/>
  <c r="V267" i="30"/>
  <c r="V266" i="30"/>
  <c r="Q266" i="30"/>
  <c r="V265" i="30"/>
  <c r="Q265" i="30"/>
  <c r="V264" i="30"/>
  <c r="Q264" i="30"/>
  <c r="V263" i="30"/>
  <c r="Q263" i="30"/>
  <c r="V262" i="30"/>
  <c r="Q262" i="30"/>
  <c r="V261" i="30"/>
  <c r="Q261" i="30"/>
  <c r="V260" i="30"/>
  <c r="Q260" i="30"/>
  <c r="V259" i="30"/>
  <c r="Q259" i="30"/>
  <c r="V258" i="30"/>
  <c r="Q258" i="30"/>
  <c r="V257" i="30"/>
  <c r="Q257" i="30"/>
  <c r="V256" i="30"/>
  <c r="Q256" i="30"/>
  <c r="V255" i="30"/>
  <c r="Q255" i="30"/>
  <c r="V254" i="30"/>
  <c r="Q254" i="30"/>
  <c r="V253" i="30"/>
  <c r="Q253" i="30"/>
  <c r="V252" i="30"/>
  <c r="Q252" i="30"/>
  <c r="V251" i="30"/>
  <c r="P251" i="30"/>
  <c r="P250" i="30" s="1"/>
  <c r="Q250" i="30" s="1"/>
  <c r="L250" i="30"/>
  <c r="K251" i="30"/>
  <c r="K250" i="30" s="1"/>
  <c r="O250" i="30"/>
  <c r="V250" i="30" s="1"/>
  <c r="N250" i="30"/>
  <c r="M250" i="30"/>
  <c r="V249" i="30"/>
  <c r="V248" i="30"/>
  <c r="R248" i="30"/>
  <c r="Q248" i="30"/>
  <c r="V247" i="30"/>
  <c r="R247" i="30"/>
  <c r="Q247" i="30"/>
  <c r="P246" i="30"/>
  <c r="O246" i="30"/>
  <c r="V246" i="30" s="1"/>
  <c r="N246" i="30"/>
  <c r="M246" i="30"/>
  <c r="L246" i="30"/>
  <c r="K246" i="30"/>
  <c r="J246" i="30"/>
  <c r="O245" i="30"/>
  <c r="V245" i="30" s="1"/>
  <c r="V244" i="30"/>
  <c r="R244" i="30"/>
  <c r="Q244" i="30"/>
  <c r="P243" i="30"/>
  <c r="O243" i="30"/>
  <c r="V243" i="30" s="1"/>
  <c r="N243" i="30"/>
  <c r="M243" i="30"/>
  <c r="L243" i="30"/>
  <c r="K243" i="30"/>
  <c r="J243" i="30"/>
  <c r="V242" i="30"/>
  <c r="V241" i="30"/>
  <c r="V240" i="30"/>
  <c r="R240" i="30"/>
  <c r="Q240" i="30"/>
  <c r="V239" i="30"/>
  <c r="P239" i="30"/>
  <c r="R239" i="30" s="1"/>
  <c r="V238" i="30"/>
  <c r="Q238" i="30"/>
  <c r="O237" i="30"/>
  <c r="V237" i="30" s="1"/>
  <c r="N237" i="30"/>
  <c r="M237" i="30"/>
  <c r="L237" i="30"/>
  <c r="K237" i="30"/>
  <c r="J237" i="30"/>
  <c r="V236" i="30"/>
  <c r="V235" i="30"/>
  <c r="R235" i="30"/>
  <c r="Q235" i="30"/>
  <c r="F235" i="30"/>
  <c r="V234" i="30"/>
  <c r="Q234" i="30"/>
  <c r="F234" i="30"/>
  <c r="V233" i="30"/>
  <c r="Q233" i="30"/>
  <c r="F233" i="30"/>
  <c r="V232" i="30"/>
  <c r="R232" i="30"/>
  <c r="Q232" i="30"/>
  <c r="F232" i="30"/>
  <c r="V231" i="30"/>
  <c r="U231" i="30"/>
  <c r="Q231" i="30"/>
  <c r="F231" i="30"/>
  <c r="P230" i="30"/>
  <c r="N230" i="30"/>
  <c r="O230" i="30" s="1"/>
  <c r="V230" i="30" s="1"/>
  <c r="L230" i="30"/>
  <c r="K230" i="30"/>
  <c r="J230" i="30"/>
  <c r="V228" i="30"/>
  <c r="V227" i="30"/>
  <c r="R227" i="30"/>
  <c r="Q227" i="30"/>
  <c r="V226" i="30"/>
  <c r="R226" i="30"/>
  <c r="Q226" i="30"/>
  <c r="V225" i="30"/>
  <c r="T225" i="30"/>
  <c r="R225" i="30"/>
  <c r="Q225" i="30"/>
  <c r="G225" i="30"/>
  <c r="V224" i="30"/>
  <c r="T224" i="30"/>
  <c r="R224" i="30"/>
  <c r="Q224" i="30"/>
  <c r="G224" i="30"/>
  <c r="V223" i="30"/>
  <c r="T223" i="30"/>
  <c r="Q223" i="30"/>
  <c r="G223" i="30"/>
  <c r="V222" i="30"/>
  <c r="T222" i="30"/>
  <c r="R222" i="30"/>
  <c r="Q222" i="30"/>
  <c r="G222" i="30"/>
  <c r="V221" i="30"/>
  <c r="T221" i="30"/>
  <c r="R221" i="30"/>
  <c r="Q221" i="30"/>
  <c r="G221" i="30"/>
  <c r="V220" i="30"/>
  <c r="T220" i="30"/>
  <c r="R220" i="30"/>
  <c r="Q220" i="30"/>
  <c r="G220" i="30"/>
  <c r="V219" i="30"/>
  <c r="T219" i="30"/>
  <c r="R219" i="30"/>
  <c r="Q219" i="30"/>
  <c r="G219" i="30"/>
  <c r="P218" i="30"/>
  <c r="P217" i="30" s="1"/>
  <c r="N218" i="30"/>
  <c r="O218" i="30" s="1"/>
  <c r="L218" i="30"/>
  <c r="K218" i="30"/>
  <c r="K217" i="30" s="1"/>
  <c r="K216" i="30" s="1"/>
  <c r="J218" i="30"/>
  <c r="J217" i="30" s="1"/>
  <c r="J216" i="30" s="1"/>
  <c r="M216" i="30"/>
  <c r="U214" i="30"/>
  <c r="U213" i="30" s="1"/>
  <c r="N214" i="30"/>
  <c r="N213" i="30" s="1"/>
  <c r="P213" i="30"/>
  <c r="K213" i="30"/>
  <c r="J213" i="30"/>
  <c r="V212" i="30"/>
  <c r="N211" i="30"/>
  <c r="N210" i="30" s="1"/>
  <c r="O210" i="30" s="1"/>
  <c r="V210" i="30" s="1"/>
  <c r="P210" i="30"/>
  <c r="K210" i="30"/>
  <c r="K205" i="30"/>
  <c r="J210" i="30"/>
  <c r="V209" i="30"/>
  <c r="N206" i="30"/>
  <c r="P205" i="30"/>
  <c r="J205" i="30"/>
  <c r="V203" i="30"/>
  <c r="V202" i="30"/>
  <c r="U202" i="30"/>
  <c r="U195" i="30" s="1"/>
  <c r="R202" i="30"/>
  <c r="Q202" i="30"/>
  <c r="H202" i="30"/>
  <c r="V201" i="30"/>
  <c r="R201" i="30"/>
  <c r="Q201" i="30"/>
  <c r="H201" i="30"/>
  <c r="V200" i="30"/>
  <c r="R200" i="30"/>
  <c r="Q200" i="30"/>
  <c r="H200" i="30"/>
  <c r="V199" i="30"/>
  <c r="Q199" i="30"/>
  <c r="H199" i="30"/>
  <c r="V198" i="30"/>
  <c r="R198" i="30"/>
  <c r="Q198" i="30"/>
  <c r="H198" i="30"/>
  <c r="V197" i="30"/>
  <c r="R197" i="30"/>
  <c r="Q197" i="30"/>
  <c r="H197" i="30"/>
  <c r="V196" i="30"/>
  <c r="R196" i="30"/>
  <c r="Q196" i="30"/>
  <c r="H196" i="30"/>
  <c r="P195" i="30"/>
  <c r="O195" i="30"/>
  <c r="V195" i="30" s="1"/>
  <c r="N195" i="30"/>
  <c r="M195" i="30"/>
  <c r="L195" i="30"/>
  <c r="K195" i="30"/>
  <c r="J195" i="30"/>
  <c r="V194" i="30"/>
  <c r="Q194" i="30"/>
  <c r="H194" i="30"/>
  <c r="V193" i="30"/>
  <c r="Q193" i="30"/>
  <c r="H193" i="30"/>
  <c r="V192" i="30"/>
  <c r="Q192" i="30"/>
  <c r="H192" i="30"/>
  <c r="V191" i="30"/>
  <c r="R191" i="30"/>
  <c r="Q191" i="30"/>
  <c r="H191" i="30"/>
  <c r="V190" i="30"/>
  <c r="R190" i="30"/>
  <c r="Q190" i="30"/>
  <c r="H190" i="30"/>
  <c r="V189" i="30"/>
  <c r="R189" i="30"/>
  <c r="Q189" i="30"/>
  <c r="H189" i="30"/>
  <c r="V188" i="30"/>
  <c r="Q188" i="30"/>
  <c r="H188" i="30"/>
  <c r="P187" i="30"/>
  <c r="O187" i="30"/>
  <c r="V187" i="30" s="1"/>
  <c r="N187" i="30"/>
  <c r="M187" i="30"/>
  <c r="L187" i="30"/>
  <c r="K187" i="30"/>
  <c r="J187" i="30"/>
  <c r="V186" i="30"/>
  <c r="Q186" i="30"/>
  <c r="V185" i="30"/>
  <c r="Q185" i="30"/>
  <c r="V184" i="30"/>
  <c r="Q184" i="30"/>
  <c r="V183" i="30"/>
  <c r="Q183" i="30"/>
  <c r="P182" i="30"/>
  <c r="O182" i="30"/>
  <c r="V182" i="30" s="1"/>
  <c r="N182" i="30"/>
  <c r="M182" i="30"/>
  <c r="L182" i="30"/>
  <c r="K182" i="30"/>
  <c r="J182" i="30"/>
  <c r="V181" i="30"/>
  <c r="Q181" i="30"/>
  <c r="V180" i="30"/>
  <c r="Q180" i="30"/>
  <c r="V179" i="30"/>
  <c r="R179" i="30"/>
  <c r="Q179" i="30"/>
  <c r="H179" i="30"/>
  <c r="V178" i="30"/>
  <c r="Q178" i="30"/>
  <c r="H178" i="30"/>
  <c r="V177" i="30"/>
  <c r="Q177" i="30"/>
  <c r="H177" i="30"/>
  <c r="V176" i="30"/>
  <c r="R176" i="30"/>
  <c r="Q176" i="30"/>
  <c r="H176" i="30"/>
  <c r="V175" i="30"/>
  <c r="R175" i="30"/>
  <c r="Q175" i="30"/>
  <c r="H175" i="30"/>
  <c r="V174" i="30"/>
  <c r="R174" i="30"/>
  <c r="Q174" i="30"/>
  <c r="H174" i="30"/>
  <c r="V173" i="30"/>
  <c r="Q173" i="30"/>
  <c r="H173" i="30"/>
  <c r="V172" i="30"/>
  <c r="Q172" i="30"/>
  <c r="H172" i="30"/>
  <c r="V171" i="30"/>
  <c r="R171" i="30"/>
  <c r="Q171" i="30"/>
  <c r="H171" i="30"/>
  <c r="V170" i="30"/>
  <c r="R170" i="30"/>
  <c r="Q170" i="30"/>
  <c r="H170" i="30"/>
  <c r="V169" i="30"/>
  <c r="R169" i="30"/>
  <c r="Q169" i="30"/>
  <c r="H169" i="30"/>
  <c r="P168" i="30"/>
  <c r="O168" i="30"/>
  <c r="V168" i="30" s="1"/>
  <c r="N168" i="30"/>
  <c r="M168" i="30"/>
  <c r="L168" i="30"/>
  <c r="K168" i="30"/>
  <c r="J168" i="30"/>
  <c r="V167" i="30"/>
  <c r="Q167" i="30"/>
  <c r="V166" i="30"/>
  <c r="Q166" i="30"/>
  <c r="J166" i="30"/>
  <c r="V164" i="30"/>
  <c r="Q162" i="30"/>
  <c r="P162" i="30"/>
  <c r="P160" i="30"/>
  <c r="Q160" i="30" s="1"/>
  <c r="Q161" i="30"/>
  <c r="O159" i="30"/>
  <c r="V159" i="30" s="1"/>
  <c r="L159" i="30"/>
  <c r="K159" i="30"/>
  <c r="J159" i="30"/>
  <c r="V158" i="30"/>
  <c r="V157" i="30"/>
  <c r="U157" i="30"/>
  <c r="R157" i="30"/>
  <c r="Q157" i="30"/>
  <c r="V156" i="30"/>
  <c r="R156" i="30"/>
  <c r="Q156" i="30"/>
  <c r="K156" i="30"/>
  <c r="J156" i="30"/>
  <c r="R155" i="30"/>
  <c r="Q155" i="30"/>
  <c r="Q154" i="30"/>
  <c r="V154" i="30"/>
  <c r="R154" i="30"/>
  <c r="P153" i="30"/>
  <c r="L153" i="30"/>
  <c r="O153" i="30"/>
  <c r="V153" i="30" s="1"/>
  <c r="N153" i="30"/>
  <c r="M153" i="30"/>
  <c r="K153" i="30"/>
  <c r="J153" i="30"/>
  <c r="V152" i="30"/>
  <c r="R152" i="30"/>
  <c r="Q152" i="30"/>
  <c r="H152" i="30"/>
  <c r="V151" i="30"/>
  <c r="R151" i="30"/>
  <c r="Q151" i="30"/>
  <c r="V150" i="30"/>
  <c r="U150" i="30"/>
  <c r="Q150" i="30"/>
  <c r="V149" i="30"/>
  <c r="Q149" i="30"/>
  <c r="V148" i="30"/>
  <c r="U148" i="30"/>
  <c r="R148" i="30"/>
  <c r="Q148" i="30"/>
  <c r="V147" i="30"/>
  <c r="P147" i="30"/>
  <c r="R147" i="30" s="1"/>
  <c r="V146" i="30"/>
  <c r="R146" i="30"/>
  <c r="Q146" i="30"/>
  <c r="V145" i="30"/>
  <c r="R145" i="30"/>
  <c r="Q145" i="30"/>
  <c r="V144" i="30"/>
  <c r="R144" i="30"/>
  <c r="Q144" i="30"/>
  <c r="H144" i="30"/>
  <c r="V143" i="30"/>
  <c r="R143" i="30"/>
  <c r="Q143" i="30"/>
  <c r="V142" i="30"/>
  <c r="R142" i="30"/>
  <c r="Q142" i="30"/>
  <c r="H142" i="30"/>
  <c r="V141" i="30"/>
  <c r="R141" i="30"/>
  <c r="Q141" i="30"/>
  <c r="H141" i="30"/>
  <c r="P140" i="30"/>
  <c r="O140" i="30"/>
  <c r="V140" i="30" s="1"/>
  <c r="N140" i="30"/>
  <c r="M140" i="30"/>
  <c r="L140" i="30"/>
  <c r="K140" i="30"/>
  <c r="J140" i="30"/>
  <c r="V138" i="30"/>
  <c r="V136" i="30"/>
  <c r="U136" i="30"/>
  <c r="Q136" i="30"/>
  <c r="V135" i="30"/>
  <c r="P135" i="30"/>
  <c r="Q135" i="30" s="1"/>
  <c r="F135" i="30"/>
  <c r="V134" i="30"/>
  <c r="U134" i="30"/>
  <c r="R134" i="30"/>
  <c r="Q134" i="30"/>
  <c r="V133" i="30"/>
  <c r="L133" i="30"/>
  <c r="Q133" i="30" s="1"/>
  <c r="K133" i="30"/>
  <c r="V132" i="30"/>
  <c r="U132" i="30"/>
  <c r="Q132" i="30"/>
  <c r="V131" i="30"/>
  <c r="Q131" i="30"/>
  <c r="V130" i="30"/>
  <c r="P130" i="30"/>
  <c r="Q130" i="30" s="1"/>
  <c r="V129" i="30"/>
  <c r="U129" i="30"/>
  <c r="Q129" i="30"/>
  <c r="V128" i="30"/>
  <c r="U128" i="30"/>
  <c r="Q128" i="30"/>
  <c r="V127" i="30"/>
  <c r="U127" i="30"/>
  <c r="R127" i="30"/>
  <c r="Q127" i="30"/>
  <c r="V126" i="30"/>
  <c r="U126" i="30"/>
  <c r="Q126" i="30"/>
  <c r="V125" i="30"/>
  <c r="U125" i="30"/>
  <c r="R125" i="30"/>
  <c r="Q125" i="30"/>
  <c r="V124" i="30"/>
  <c r="U124" i="30"/>
  <c r="R124" i="30"/>
  <c r="Q124" i="30"/>
  <c r="V123" i="30"/>
  <c r="U123" i="30"/>
  <c r="R123" i="30"/>
  <c r="Q123" i="30"/>
  <c r="V122" i="30"/>
  <c r="U122" i="30"/>
  <c r="R122" i="30"/>
  <c r="Q122" i="30"/>
  <c r="V121" i="30"/>
  <c r="U121" i="30"/>
  <c r="R121" i="30"/>
  <c r="Q121" i="30"/>
  <c r="P120" i="30"/>
  <c r="L120" i="30"/>
  <c r="O120" i="30"/>
  <c r="V120" i="30" s="1"/>
  <c r="N120" i="30"/>
  <c r="M120" i="30"/>
  <c r="K120" i="30"/>
  <c r="J120" i="30"/>
  <c r="V119" i="30"/>
  <c r="U119" i="30"/>
  <c r="Q119" i="30"/>
  <c r="V118" i="30"/>
  <c r="U118" i="30"/>
  <c r="R118" i="30"/>
  <c r="Q118" i="30"/>
  <c r="V117" i="30"/>
  <c r="U117" i="30"/>
  <c r="R117" i="30"/>
  <c r="Q117" i="30"/>
  <c r="V116" i="30"/>
  <c r="U116" i="30"/>
  <c r="R116" i="30"/>
  <c r="Q116" i="30"/>
  <c r="P115" i="30"/>
  <c r="O115" i="30"/>
  <c r="V115" i="30" s="1"/>
  <c r="N115" i="30"/>
  <c r="M115" i="30"/>
  <c r="L115" i="30"/>
  <c r="K115" i="30"/>
  <c r="J115" i="30"/>
  <c r="V114" i="30"/>
  <c r="Q114" i="30"/>
  <c r="V113" i="30"/>
  <c r="Q113" i="30"/>
  <c r="P112" i="30"/>
  <c r="O112" i="30"/>
  <c r="V112" i="30" s="1"/>
  <c r="N112" i="30"/>
  <c r="M112" i="30"/>
  <c r="L112" i="30"/>
  <c r="K112" i="30"/>
  <c r="J112" i="30"/>
  <c r="V111" i="30"/>
  <c r="V110" i="30"/>
  <c r="Q110" i="30"/>
  <c r="V109" i="30"/>
  <c r="P109" i="30"/>
  <c r="Q109" i="30" s="1"/>
  <c r="V107" i="30"/>
  <c r="U107" i="30"/>
  <c r="Q107" i="30"/>
  <c r="V106" i="30"/>
  <c r="U106" i="30"/>
  <c r="R106" i="30"/>
  <c r="Q106" i="30"/>
  <c r="V105" i="30"/>
  <c r="U105" i="30"/>
  <c r="R105" i="30"/>
  <c r="Q105" i="30"/>
  <c r="V104" i="30"/>
  <c r="U104" i="30"/>
  <c r="R104" i="30"/>
  <c r="Q104" i="30"/>
  <c r="V103" i="30"/>
  <c r="U103" i="30"/>
  <c r="R103" i="30"/>
  <c r="Q103" i="30"/>
  <c r="V102" i="30"/>
  <c r="U102" i="30"/>
  <c r="R102" i="30"/>
  <c r="Q102" i="30"/>
  <c r="P101" i="30"/>
  <c r="L101" i="30"/>
  <c r="O101" i="30"/>
  <c r="N101" i="30"/>
  <c r="M101" i="30"/>
  <c r="J101" i="30"/>
  <c r="J97" i="30"/>
  <c r="V100" i="30"/>
  <c r="U100" i="30"/>
  <c r="R100" i="30"/>
  <c r="Q100" i="30"/>
  <c r="V99" i="30"/>
  <c r="U99" i="30"/>
  <c r="R99" i="30"/>
  <c r="Q99" i="30"/>
  <c r="V98" i="30"/>
  <c r="U98" i="30"/>
  <c r="R98" i="30"/>
  <c r="Q98" i="30"/>
  <c r="U97" i="30"/>
  <c r="P97" i="30"/>
  <c r="L97" i="30"/>
  <c r="L96" i="30" s="1"/>
  <c r="L95" i="30" s="1"/>
  <c r="O97" i="30"/>
  <c r="V97" i="30" s="1"/>
  <c r="N97" i="30"/>
  <c r="N96" i="30" s="1"/>
  <c r="N95" i="30" s="1"/>
  <c r="M97" i="30"/>
  <c r="K97" i="30"/>
  <c r="K96" i="30" s="1"/>
  <c r="K95" i="30" s="1"/>
  <c r="U96" i="30"/>
  <c r="V94" i="30"/>
  <c r="Q94" i="30"/>
  <c r="V93" i="30"/>
  <c r="Q93" i="30"/>
  <c r="V92" i="30"/>
  <c r="Q92" i="30"/>
  <c r="V91" i="30"/>
  <c r="Q91" i="30"/>
  <c r="V90" i="30"/>
  <c r="Q90" i="30"/>
  <c r="V89" i="30"/>
  <c r="Q89" i="30"/>
  <c r="V88" i="30"/>
  <c r="Q88" i="30"/>
  <c r="V87" i="30"/>
  <c r="Q87" i="30"/>
  <c r="V86" i="30"/>
  <c r="Q86" i="30"/>
  <c r="V85" i="30"/>
  <c r="Q85" i="30"/>
  <c r="V84" i="30"/>
  <c r="Q84" i="30"/>
  <c r="V83" i="30"/>
  <c r="Q83" i="30"/>
  <c r="V82" i="30"/>
  <c r="Q82" i="30"/>
  <c r="V81" i="30"/>
  <c r="U81" i="30"/>
  <c r="R81" i="30"/>
  <c r="Q81" i="30"/>
  <c r="V80" i="30"/>
  <c r="U80" i="30"/>
  <c r="R80" i="30"/>
  <c r="Q80" i="30"/>
  <c r="V79" i="30"/>
  <c r="U79" i="30"/>
  <c r="R79" i="30"/>
  <c r="Q79" i="30"/>
  <c r="P78" i="30"/>
  <c r="O78" i="30"/>
  <c r="V78" i="30" s="1"/>
  <c r="N78" i="30"/>
  <c r="M78" i="30"/>
  <c r="L78" i="30"/>
  <c r="K78" i="30"/>
  <c r="J78" i="30"/>
  <c r="R77" i="30"/>
  <c r="Q77" i="30"/>
  <c r="R76" i="30"/>
  <c r="Q76" i="30"/>
  <c r="V75" i="30"/>
  <c r="R75" i="30"/>
  <c r="Q75" i="30"/>
  <c r="R74" i="30"/>
  <c r="Q74" i="30"/>
  <c r="V73" i="30"/>
  <c r="U73" i="30"/>
  <c r="R73" i="30"/>
  <c r="Q73" i="30"/>
  <c r="P72" i="30"/>
  <c r="O72" i="30"/>
  <c r="N72" i="30"/>
  <c r="M72" i="30"/>
  <c r="L72" i="30"/>
  <c r="K72" i="30"/>
  <c r="J72" i="30"/>
  <c r="V71" i="30"/>
  <c r="Q71" i="30"/>
  <c r="V70" i="30"/>
  <c r="U70" i="30"/>
  <c r="Q70" i="30"/>
  <c r="V69" i="30"/>
  <c r="Q69" i="30"/>
  <c r="V68" i="30"/>
  <c r="Q68" i="30"/>
  <c r="V67" i="30"/>
  <c r="R67" i="30"/>
  <c r="Q67" i="30"/>
  <c r="V66" i="30"/>
  <c r="P66" i="30"/>
  <c r="R66" i="30" s="1"/>
  <c r="V65" i="30"/>
  <c r="R65" i="30"/>
  <c r="Q65" i="30"/>
  <c r="V64" i="30"/>
  <c r="R64" i="30"/>
  <c r="Q64" i="30"/>
  <c r="V63" i="30"/>
  <c r="R63" i="30"/>
  <c r="Q63" i="30"/>
  <c r="V62" i="30"/>
  <c r="R62" i="30"/>
  <c r="Q62" i="30"/>
  <c r="P61" i="30"/>
  <c r="L61" i="30"/>
  <c r="O61" i="30"/>
  <c r="V61" i="30" s="1"/>
  <c r="N61" i="30"/>
  <c r="M61" i="30"/>
  <c r="K61" i="30"/>
  <c r="J61" i="30"/>
  <c r="V60" i="30"/>
  <c r="R60" i="30"/>
  <c r="Q60" i="30"/>
  <c r="H60" i="30"/>
  <c r="V59" i="30"/>
  <c r="R59" i="30"/>
  <c r="Q59" i="30"/>
  <c r="H59" i="30"/>
  <c r="V58" i="30"/>
  <c r="R58" i="30"/>
  <c r="Q58" i="30"/>
  <c r="P57" i="30"/>
  <c r="O57" i="30"/>
  <c r="V57" i="30" s="1"/>
  <c r="N57" i="30"/>
  <c r="M57" i="30"/>
  <c r="M45" i="30"/>
  <c r="M44" i="30" s="1"/>
  <c r="M13" i="30"/>
  <c r="M25" i="30"/>
  <c r="L57" i="30"/>
  <c r="K57" i="30"/>
  <c r="J57" i="30"/>
  <c r="V54" i="30"/>
  <c r="V53" i="30"/>
  <c r="P53" i="30"/>
  <c r="V52" i="30"/>
  <c r="R52" i="30"/>
  <c r="Q52" i="30"/>
  <c r="V51" i="30"/>
  <c r="P51" i="30"/>
  <c r="V50" i="30"/>
  <c r="V49" i="30"/>
  <c r="Q49" i="30"/>
  <c r="V48" i="30"/>
  <c r="Q48" i="30"/>
  <c r="V47" i="30"/>
  <c r="R47" i="30"/>
  <c r="Q47" i="30"/>
  <c r="V46" i="30"/>
  <c r="R46" i="30"/>
  <c r="Q46" i="30"/>
  <c r="P45" i="30"/>
  <c r="L45" i="30"/>
  <c r="O45" i="30"/>
  <c r="O44" i="30" s="1"/>
  <c r="N45" i="30"/>
  <c r="N44" i="30" s="1"/>
  <c r="K45" i="30"/>
  <c r="K44" i="30" s="1"/>
  <c r="J45" i="30"/>
  <c r="J44" i="30" s="1"/>
  <c r="R41" i="30"/>
  <c r="Q41" i="30"/>
  <c r="R39" i="30"/>
  <c r="Q39" i="30"/>
  <c r="Z37" i="30"/>
  <c r="R37" i="30"/>
  <c r="Q37" i="30"/>
  <c r="S35" i="30"/>
  <c r="R35" i="30"/>
  <c r="Q35" i="30"/>
  <c r="S34" i="30"/>
  <c r="R34" i="30"/>
  <c r="Q34" i="30"/>
  <c r="S33" i="30"/>
  <c r="R33" i="30"/>
  <c r="Q33" i="30"/>
  <c r="S32" i="30"/>
  <c r="R32" i="30"/>
  <c r="Q32" i="30"/>
  <c r="S31" i="30"/>
  <c r="R31" i="30"/>
  <c r="Q31" i="30"/>
  <c r="S30" i="30"/>
  <c r="R30" i="30"/>
  <c r="Q30" i="30"/>
  <c r="S29" i="30"/>
  <c r="R29" i="30"/>
  <c r="Q29" i="30"/>
  <c r="S28" i="30"/>
  <c r="R28" i="30"/>
  <c r="Q28" i="30"/>
  <c r="S27" i="30"/>
  <c r="R27" i="30"/>
  <c r="Q27" i="30"/>
  <c r="S26" i="30"/>
  <c r="R26" i="30"/>
  <c r="Q26" i="30"/>
  <c r="P25" i="30"/>
  <c r="O25" i="30"/>
  <c r="O13" i="30"/>
  <c r="N25" i="30"/>
  <c r="L25" i="30"/>
  <c r="K25" i="30"/>
  <c r="K13" i="30"/>
  <c r="J25" i="30"/>
  <c r="S23" i="30"/>
  <c r="R23" i="30"/>
  <c r="Q23" i="30"/>
  <c r="S22" i="30"/>
  <c r="R22" i="30"/>
  <c r="Q22" i="30"/>
  <c r="S21" i="30"/>
  <c r="R21" i="30"/>
  <c r="Q21" i="30"/>
  <c r="S20" i="30"/>
  <c r="R20" i="30"/>
  <c r="Q20" i="30"/>
  <c r="S19" i="30"/>
  <c r="R19" i="30"/>
  <c r="Q19" i="30"/>
  <c r="S18" i="30"/>
  <c r="R18" i="30"/>
  <c r="Q18" i="30"/>
  <c r="S17" i="30"/>
  <c r="S14" i="30"/>
  <c r="S15" i="30"/>
  <c r="S16" i="30"/>
  <c r="R17" i="30"/>
  <c r="Q17" i="30"/>
  <c r="R16" i="30"/>
  <c r="Q16" i="30"/>
  <c r="R15" i="30"/>
  <c r="Q15" i="30"/>
  <c r="R14" i="30"/>
  <c r="Q14" i="30"/>
  <c r="P13" i="30"/>
  <c r="N13" i="30"/>
  <c r="N12" i="30" s="1"/>
  <c r="L13" i="30"/>
  <c r="J13" i="30"/>
  <c r="Q463" i="30"/>
  <c r="K406" i="30"/>
  <c r="R457" i="30"/>
  <c r="R421" i="30"/>
  <c r="Q218" i="30"/>
  <c r="A4" i="28"/>
  <c r="O73" i="28"/>
  <c r="E18" i="26"/>
  <c r="F18" i="26" s="1"/>
  <c r="E19" i="26"/>
  <c r="F19" i="26" s="1"/>
  <c r="E20" i="26"/>
  <c r="F20" i="26" s="1"/>
  <c r="C5" i="26"/>
  <c r="C11" i="26"/>
  <c r="C16" i="26"/>
  <c r="P437" i="27"/>
  <c r="N470" i="29" s="1"/>
  <c r="O470" i="29" s="1"/>
  <c r="P470" i="29" s="1"/>
  <c r="L844" i="29"/>
  <c r="M844" i="29" s="1"/>
  <c r="O844" i="29" s="1"/>
  <c r="L843" i="29"/>
  <c r="M843" i="29" s="1"/>
  <c r="O843" i="29" s="1"/>
  <c r="L842" i="29"/>
  <c r="M842" i="29" s="1"/>
  <c r="O842" i="29" s="1"/>
  <c r="L841" i="29"/>
  <c r="L840" i="29"/>
  <c r="M840" i="29" s="1"/>
  <c r="O840" i="29" s="1"/>
  <c r="M838" i="29"/>
  <c r="O838" i="29" s="1"/>
  <c r="P838" i="29" s="1"/>
  <c r="O837" i="29"/>
  <c r="O836" i="29" s="1"/>
  <c r="O835" i="29" s="1"/>
  <c r="L837" i="29"/>
  <c r="N836" i="29"/>
  <c r="N835" i="29" s="1"/>
  <c r="J836" i="29"/>
  <c r="J835" i="29" s="1"/>
  <c r="J834" i="29" s="1"/>
  <c r="N834" i="29"/>
  <c r="L832" i="29"/>
  <c r="M832" i="29" s="1"/>
  <c r="O832" i="29" s="1"/>
  <c r="L831" i="29"/>
  <c r="M831" i="29" s="1"/>
  <c r="O831" i="29" s="1"/>
  <c r="L830" i="29"/>
  <c r="M830" i="29" s="1"/>
  <c r="O830" i="29" s="1"/>
  <c r="L829" i="29"/>
  <c r="M829" i="29" s="1"/>
  <c r="O829" i="29" s="1"/>
  <c r="L828" i="29"/>
  <c r="L823" i="29"/>
  <c r="M823" i="29" s="1"/>
  <c r="O823" i="29" s="1"/>
  <c r="L822" i="29"/>
  <c r="M822" i="29" s="1"/>
  <c r="O822" i="29" s="1"/>
  <c r="L821" i="29"/>
  <c r="L820" i="29"/>
  <c r="L819" i="29"/>
  <c r="M819" i="29" s="1"/>
  <c r="O819" i="29" s="1"/>
  <c r="L814" i="29"/>
  <c r="M814" i="29" s="1"/>
  <c r="O814" i="29" s="1"/>
  <c r="L813" i="29"/>
  <c r="L812" i="29"/>
  <c r="M812" i="29" s="1"/>
  <c r="O812" i="29" s="1"/>
  <c r="L811" i="29"/>
  <c r="M811" i="29" s="1"/>
  <c r="O811" i="29" s="1"/>
  <c r="L810" i="29"/>
  <c r="M810" i="29" s="1"/>
  <c r="O810" i="29" s="1"/>
  <c r="L805" i="29"/>
  <c r="M805" i="29" s="1"/>
  <c r="O805" i="29" s="1"/>
  <c r="L804" i="29"/>
  <c r="M804" i="29" s="1"/>
  <c r="O804" i="29" s="1"/>
  <c r="L803" i="29"/>
  <c r="M803" i="29" s="1"/>
  <c r="O803" i="29" s="1"/>
  <c r="L802" i="29"/>
  <c r="M802" i="29" s="1"/>
  <c r="O802" i="29" s="1"/>
  <c r="L801" i="29"/>
  <c r="L796" i="29"/>
  <c r="M796" i="29" s="1"/>
  <c r="O796" i="29" s="1"/>
  <c r="L795" i="29"/>
  <c r="L794" i="29"/>
  <c r="M794" i="29" s="1"/>
  <c r="O794" i="29" s="1"/>
  <c r="L793" i="29"/>
  <c r="M793" i="29" s="1"/>
  <c r="O793" i="29" s="1"/>
  <c r="L792" i="29"/>
  <c r="L787" i="29"/>
  <c r="M787" i="29" s="1"/>
  <c r="O787" i="29" s="1"/>
  <c r="L786" i="29"/>
  <c r="M786" i="29" s="1"/>
  <c r="O786" i="29" s="1"/>
  <c r="L785" i="29"/>
  <c r="L784" i="29"/>
  <c r="M784" i="29" s="1"/>
  <c r="O784" i="29" s="1"/>
  <c r="L783" i="29"/>
  <c r="L778" i="29"/>
  <c r="M778" i="29" s="1"/>
  <c r="O778" i="29" s="1"/>
  <c r="L777" i="29"/>
  <c r="L776" i="29"/>
  <c r="M776" i="29" s="1"/>
  <c r="O776" i="29" s="1"/>
  <c r="L775" i="29"/>
  <c r="M775" i="29" s="1"/>
  <c r="O775" i="29" s="1"/>
  <c r="L774" i="29"/>
  <c r="M774" i="29" s="1"/>
  <c r="O774" i="29" s="1"/>
  <c r="L769" i="29"/>
  <c r="M769" i="29" s="1"/>
  <c r="O769" i="29" s="1"/>
  <c r="L768" i="29"/>
  <c r="M768" i="29" s="1"/>
  <c r="O768" i="29" s="1"/>
  <c r="L767" i="29"/>
  <c r="M767" i="29" s="1"/>
  <c r="O767" i="29" s="1"/>
  <c r="L766" i="29"/>
  <c r="L765" i="29"/>
  <c r="M765" i="29" s="1"/>
  <c r="O765" i="29" s="1"/>
  <c r="M763" i="29"/>
  <c r="O763" i="29" s="1"/>
  <c r="P763" i="29" s="1"/>
  <c r="L762" i="29"/>
  <c r="M762" i="29" s="1"/>
  <c r="O762" i="29" s="1"/>
  <c r="O756" i="29"/>
  <c r="M756" i="29"/>
  <c r="O755" i="29"/>
  <c r="L755" i="29"/>
  <c r="M755" i="29" s="1"/>
  <c r="O754" i="29"/>
  <c r="L754" i="29"/>
  <c r="M754" i="29" s="1"/>
  <c r="O753" i="29"/>
  <c r="L753" i="29"/>
  <c r="M753" i="29" s="1"/>
  <c r="O752" i="29"/>
  <c r="L752" i="29"/>
  <c r="M752" i="29" s="1"/>
  <c r="O751" i="29"/>
  <c r="O750" i="29"/>
  <c r="M750" i="29"/>
  <c r="O749" i="29"/>
  <c r="M749" i="29"/>
  <c r="O748" i="29"/>
  <c r="P748" i="29" s="1"/>
  <c r="M748" i="29"/>
  <c r="O747" i="29"/>
  <c r="P747" i="29" s="1"/>
  <c r="M747" i="29"/>
  <c r="O746" i="29"/>
  <c r="P746" i="29" s="1"/>
  <c r="M746" i="29"/>
  <c r="O745" i="29"/>
  <c r="M745" i="29"/>
  <c r="O744" i="29"/>
  <c r="P744" i="29" s="1"/>
  <c r="M744" i="29"/>
  <c r="O743" i="29"/>
  <c r="P743" i="29" s="1"/>
  <c r="M743" i="29"/>
  <c r="O742" i="29"/>
  <c r="P742" i="29" s="1"/>
  <c r="L742" i="29"/>
  <c r="L741" i="29" s="1"/>
  <c r="M741" i="29" s="1"/>
  <c r="N741" i="29"/>
  <c r="J741" i="29"/>
  <c r="O740" i="29"/>
  <c r="M740" i="29"/>
  <c r="O739" i="29"/>
  <c r="L739" i="29"/>
  <c r="M739" i="29" s="1"/>
  <c r="O738" i="29"/>
  <c r="L738" i="29"/>
  <c r="M738" i="29" s="1"/>
  <c r="O737" i="29"/>
  <c r="P737" i="29" s="1"/>
  <c r="M737" i="29"/>
  <c r="O736" i="29"/>
  <c r="L736" i="29"/>
  <c r="O735" i="29"/>
  <c r="P735" i="29" s="1"/>
  <c r="L735" i="29"/>
  <c r="O734" i="29"/>
  <c r="P734" i="29" s="1"/>
  <c r="M734" i="29"/>
  <c r="O733" i="29"/>
  <c r="P733" i="29" s="1"/>
  <c r="M733" i="29"/>
  <c r="O732" i="29"/>
  <c r="P732" i="29" s="1"/>
  <c r="M732" i="29"/>
  <c r="O731" i="29"/>
  <c r="P731" i="29" s="1"/>
  <c r="M731" i="29"/>
  <c r="N730" i="29"/>
  <c r="J730" i="29"/>
  <c r="M728" i="29"/>
  <c r="O728" i="29" s="1"/>
  <c r="J725" i="29"/>
  <c r="L723" i="29"/>
  <c r="M723" i="29" s="1"/>
  <c r="O723" i="29" s="1"/>
  <c r="L722" i="29"/>
  <c r="M722" i="29" s="1"/>
  <c r="O722" i="29" s="1"/>
  <c r="L721" i="29"/>
  <c r="M721" i="29" s="1"/>
  <c r="O721" i="29" s="1"/>
  <c r="L720" i="29"/>
  <c r="M720" i="29" s="1"/>
  <c r="O720" i="29" s="1"/>
  <c r="L719" i="29"/>
  <c r="O715" i="29"/>
  <c r="M715" i="29"/>
  <c r="O714" i="29"/>
  <c r="L714" i="29"/>
  <c r="M714" i="29" s="1"/>
  <c r="O713" i="29"/>
  <c r="L713" i="29"/>
  <c r="M713" i="29" s="1"/>
  <c r="O712" i="29"/>
  <c r="L712" i="29"/>
  <c r="O711" i="29"/>
  <c r="O710" i="29"/>
  <c r="P710" i="29" s="1"/>
  <c r="M710" i="29"/>
  <c r="O709" i="29"/>
  <c r="L709" i="29"/>
  <c r="M709" i="29" s="1"/>
  <c r="O708" i="29"/>
  <c r="L708" i="29"/>
  <c r="M708" i="29" s="1"/>
  <c r="O707" i="29"/>
  <c r="L707" i="29"/>
  <c r="M707" i="29" s="1"/>
  <c r="O706" i="29"/>
  <c r="L706" i="29"/>
  <c r="O705" i="29"/>
  <c r="P705" i="29" s="1"/>
  <c r="L705" i="29"/>
  <c r="M705" i="29" s="1"/>
  <c r="O704" i="29"/>
  <c r="P704" i="29" s="1"/>
  <c r="M704" i="29"/>
  <c r="O703" i="29"/>
  <c r="L703" i="29"/>
  <c r="M703" i="29" s="1"/>
  <c r="N702" i="29"/>
  <c r="J702" i="29"/>
  <c r="J695" i="29"/>
  <c r="O701" i="29"/>
  <c r="M701" i="29"/>
  <c r="O700" i="29"/>
  <c r="M700" i="29"/>
  <c r="O699" i="29"/>
  <c r="M699" i="29"/>
  <c r="O698" i="29"/>
  <c r="O697" i="29"/>
  <c r="P697" i="29" s="1"/>
  <c r="M697" i="29"/>
  <c r="O696" i="29"/>
  <c r="P696" i="29" s="1"/>
  <c r="M696" i="29"/>
  <c r="N695" i="29"/>
  <c r="L695" i="29"/>
  <c r="M695" i="29" s="1"/>
  <c r="O691" i="29"/>
  <c r="L691" i="29"/>
  <c r="M691" i="29" s="1"/>
  <c r="O690" i="29"/>
  <c r="M690" i="29"/>
  <c r="O689" i="29"/>
  <c r="L689" i="29"/>
  <c r="M689" i="29" s="1"/>
  <c r="O688" i="29"/>
  <c r="L688" i="29"/>
  <c r="O687" i="29"/>
  <c r="L687" i="29"/>
  <c r="M687" i="29" s="1"/>
  <c r="N686" i="29"/>
  <c r="O686" i="29" s="1"/>
  <c r="O685" i="29"/>
  <c r="M685" i="29"/>
  <c r="O684" i="29"/>
  <c r="P684" i="29" s="1"/>
  <c r="L684" i="29"/>
  <c r="M684" i="29" s="1"/>
  <c r="O683" i="29"/>
  <c r="L683" i="29"/>
  <c r="M683" i="29" s="1"/>
  <c r="O682" i="29"/>
  <c r="L682" i="29"/>
  <c r="M682" i="29" s="1"/>
  <c r="O681" i="29"/>
  <c r="P681" i="29" s="1"/>
  <c r="L681" i="29"/>
  <c r="M681" i="29" s="1"/>
  <c r="O680" i="29"/>
  <c r="P680" i="29" s="1"/>
  <c r="L680" i="29"/>
  <c r="M680" i="29" s="1"/>
  <c r="O679" i="29"/>
  <c r="P679" i="29" s="1"/>
  <c r="M679" i="29"/>
  <c r="O678" i="29"/>
  <c r="L678" i="29"/>
  <c r="M678" i="29" s="1"/>
  <c r="O677" i="29"/>
  <c r="L677" i="29"/>
  <c r="M677" i="29" s="1"/>
  <c r="O676" i="29"/>
  <c r="P676" i="29" s="1"/>
  <c r="L676" i="29"/>
  <c r="O675" i="29"/>
  <c r="P675" i="29" s="1"/>
  <c r="M675" i="29"/>
  <c r="O674" i="29"/>
  <c r="P674" i="29" s="1"/>
  <c r="L674" i="29"/>
  <c r="M674" i="29" s="1"/>
  <c r="N673" i="29"/>
  <c r="J673" i="29"/>
  <c r="O672" i="29"/>
  <c r="M672" i="29"/>
  <c r="O671" i="29"/>
  <c r="P671" i="29" s="1"/>
  <c r="M671" i="29"/>
  <c r="N670" i="29"/>
  <c r="L670" i="29"/>
  <c r="L669" i="29" s="1"/>
  <c r="M669" i="29" s="1"/>
  <c r="J670" i="29"/>
  <c r="L665" i="29"/>
  <c r="M665" i="29" s="1"/>
  <c r="O665" i="29" s="1"/>
  <c r="L664" i="29"/>
  <c r="M663" i="29"/>
  <c r="L662" i="29"/>
  <c r="M662" i="29" s="1"/>
  <c r="O662" i="29" s="1"/>
  <c r="L661" i="29"/>
  <c r="M661" i="29" s="1"/>
  <c r="O661" i="29" s="1"/>
  <c r="N660" i="29"/>
  <c r="N659" i="29" s="1"/>
  <c r="J659" i="29"/>
  <c r="L657" i="29"/>
  <c r="M657" i="29" s="1"/>
  <c r="O657" i="29" s="1"/>
  <c r="L656" i="29"/>
  <c r="M656" i="29" s="1"/>
  <c r="O656" i="29" s="1"/>
  <c r="M655" i="29"/>
  <c r="L654" i="29"/>
  <c r="M654" i="29" s="1"/>
  <c r="O654" i="29" s="1"/>
  <c r="L653" i="29"/>
  <c r="M653" i="29" s="1"/>
  <c r="O653" i="29" s="1"/>
  <c r="O649" i="29"/>
  <c r="L649" i="29"/>
  <c r="O648" i="29"/>
  <c r="L648" i="29"/>
  <c r="M648" i="29" s="1"/>
  <c r="L647" i="29"/>
  <c r="M647" i="29" s="1"/>
  <c r="J646" i="29"/>
  <c r="J642" i="29" s="1"/>
  <c r="O645" i="29"/>
  <c r="L645" i="29"/>
  <c r="M645" i="29" s="1"/>
  <c r="O644" i="29"/>
  <c r="L644" i="29"/>
  <c r="M644" i="29" s="1"/>
  <c r="O643" i="29"/>
  <c r="L643" i="29"/>
  <c r="M643" i="29" s="1"/>
  <c r="O641" i="29"/>
  <c r="M641" i="29"/>
  <c r="O640" i="29"/>
  <c r="L640" i="29"/>
  <c r="M640" i="29" s="1"/>
  <c r="O639" i="29"/>
  <c r="O638" i="29"/>
  <c r="O637" i="29"/>
  <c r="P637" i="29" s="1"/>
  <c r="O636" i="29"/>
  <c r="P636" i="29" s="1"/>
  <c r="O635" i="29"/>
  <c r="P635" i="29" s="1"/>
  <c r="M635" i="29"/>
  <c r="N634" i="29"/>
  <c r="J634" i="29"/>
  <c r="O634" i="29" s="1"/>
  <c r="P634" i="29" s="1"/>
  <c r="O633" i="29"/>
  <c r="P633" i="29" s="1"/>
  <c r="M633" i="29"/>
  <c r="O632" i="29"/>
  <c r="P632" i="29" s="1"/>
  <c r="N631" i="29"/>
  <c r="L631" i="29"/>
  <c r="M631" i="29" s="1"/>
  <c r="J631" i="29"/>
  <c r="O626" i="29"/>
  <c r="P626" i="29" s="1"/>
  <c r="L626" i="29"/>
  <c r="L625" i="29" s="1"/>
  <c r="M625" i="29" s="1"/>
  <c r="O625" i="29"/>
  <c r="O624" i="29"/>
  <c r="P624" i="29" s="1"/>
  <c r="L624" i="29"/>
  <c r="M624" i="29" s="1"/>
  <c r="O623" i="29"/>
  <c r="M623" i="29"/>
  <c r="O622" i="29"/>
  <c r="M622" i="29"/>
  <c r="O621" i="29"/>
  <c r="M621" i="29"/>
  <c r="O620" i="29"/>
  <c r="M620" i="29"/>
  <c r="O619" i="29"/>
  <c r="M619" i="29"/>
  <c r="O618" i="29"/>
  <c r="M618" i="29"/>
  <c r="O617" i="29"/>
  <c r="M617" i="29"/>
  <c r="O616" i="29"/>
  <c r="M616" i="29"/>
  <c r="O615" i="29"/>
  <c r="M615" i="29"/>
  <c r="O614" i="29"/>
  <c r="L614" i="29"/>
  <c r="M614" i="29" s="1"/>
  <c r="O613" i="29"/>
  <c r="P613" i="29" s="1"/>
  <c r="M613" i="29"/>
  <c r="O612" i="29"/>
  <c r="L612" i="29"/>
  <c r="M612" i="29" s="1"/>
  <c r="O611" i="29"/>
  <c r="P611" i="29" s="1"/>
  <c r="M611" i="29"/>
  <c r="O610" i="29"/>
  <c r="M610" i="29"/>
  <c r="O609" i="29"/>
  <c r="P609" i="29" s="1"/>
  <c r="M609" i="29"/>
  <c r="O608" i="29"/>
  <c r="L608" i="29"/>
  <c r="M608" i="29" s="1"/>
  <c r="O607" i="29"/>
  <c r="L607" i="29"/>
  <c r="M607" i="29" s="1"/>
  <c r="O606" i="29"/>
  <c r="L606" i="29"/>
  <c r="M606" i="29" s="1"/>
  <c r="O605" i="29"/>
  <c r="L605" i="29"/>
  <c r="M605" i="29" s="1"/>
  <c r="O604" i="29"/>
  <c r="O603" i="29"/>
  <c r="L603" i="29"/>
  <c r="M603" i="29" s="1"/>
  <c r="O602" i="29"/>
  <c r="L602" i="29"/>
  <c r="M602" i="29" s="1"/>
  <c r="O601" i="29"/>
  <c r="L601" i="29"/>
  <c r="M601" i="29" s="1"/>
  <c r="O600" i="29"/>
  <c r="L600" i="29"/>
  <c r="M600" i="29" s="1"/>
  <c r="O599" i="29"/>
  <c r="L599" i="29"/>
  <c r="M599" i="29" s="1"/>
  <c r="O598" i="29"/>
  <c r="L598" i="29"/>
  <c r="O597" i="29"/>
  <c r="O596" i="29"/>
  <c r="L596" i="29"/>
  <c r="M596" i="29" s="1"/>
  <c r="O595" i="29"/>
  <c r="L595" i="29"/>
  <c r="M595" i="29" s="1"/>
  <c r="O594" i="29"/>
  <c r="O593" i="29"/>
  <c r="P593" i="29" s="1"/>
  <c r="M593" i="29"/>
  <c r="O592" i="29"/>
  <c r="M592" i="29"/>
  <c r="O591" i="29"/>
  <c r="M591" i="29"/>
  <c r="O590" i="29"/>
  <c r="M590" i="29"/>
  <c r="O589" i="29"/>
  <c r="M589" i="29"/>
  <c r="O588" i="29"/>
  <c r="M588" i="29"/>
  <c r="O587" i="29"/>
  <c r="M587" i="29"/>
  <c r="O586" i="29"/>
  <c r="M586" i="29"/>
  <c r="O585" i="29"/>
  <c r="M585" i="29"/>
  <c r="O584" i="29"/>
  <c r="M584" i="29"/>
  <c r="O583" i="29"/>
  <c r="M583" i="29"/>
  <c r="O581" i="29"/>
  <c r="P581" i="29" s="1"/>
  <c r="M581" i="29"/>
  <c r="O580" i="29"/>
  <c r="M580" i="29"/>
  <c r="O579" i="29"/>
  <c r="M579" i="29"/>
  <c r="O578" i="29"/>
  <c r="M578" i="29"/>
  <c r="O577" i="29"/>
  <c r="M577" i="29"/>
  <c r="O576" i="29"/>
  <c r="M576" i="29"/>
  <c r="O575" i="29"/>
  <c r="M575" i="29"/>
  <c r="O574" i="29"/>
  <c r="M574" i="29"/>
  <c r="O573" i="29"/>
  <c r="M573" i="29"/>
  <c r="O572" i="29"/>
  <c r="M572" i="29"/>
  <c r="O571" i="29"/>
  <c r="M571" i="29"/>
  <c r="O570" i="29"/>
  <c r="L570" i="29"/>
  <c r="M570" i="29" s="1"/>
  <c r="J569" i="29"/>
  <c r="J567" i="29" s="1"/>
  <c r="O568" i="29"/>
  <c r="P568" i="29" s="1"/>
  <c r="M568" i="29"/>
  <c r="P559" i="29"/>
  <c r="O559" i="29"/>
  <c r="P558" i="29"/>
  <c r="O558" i="29"/>
  <c r="P557" i="29"/>
  <c r="O557" i="29"/>
  <c r="P556" i="29"/>
  <c r="O556" i="29"/>
  <c r="P555" i="29"/>
  <c r="O555" i="29"/>
  <c r="P554" i="29"/>
  <c r="O554" i="29"/>
  <c r="P553" i="29"/>
  <c r="O553" i="29"/>
  <c r="P552" i="29"/>
  <c r="O552" i="29"/>
  <c r="P551" i="29"/>
  <c r="O551" i="29"/>
  <c r="P550" i="29"/>
  <c r="O550" i="29"/>
  <c r="J549" i="29"/>
  <c r="P547" i="29"/>
  <c r="O547" i="29"/>
  <c r="P546" i="29"/>
  <c r="O546" i="29"/>
  <c r="P545" i="29"/>
  <c r="O545" i="29"/>
  <c r="P544" i="29"/>
  <c r="O544" i="29"/>
  <c r="P543" i="29"/>
  <c r="O543" i="29"/>
  <c r="P542" i="29"/>
  <c r="O542" i="29"/>
  <c r="P541" i="29"/>
  <c r="O541" i="29"/>
  <c r="P540" i="29"/>
  <c r="O540" i="29"/>
  <c r="P539" i="29"/>
  <c r="O539" i="29"/>
  <c r="P538" i="29"/>
  <c r="O538" i="29"/>
  <c r="J537" i="29"/>
  <c r="L533" i="29"/>
  <c r="M533" i="29" s="1"/>
  <c r="O533" i="29" s="1"/>
  <c r="L532" i="29"/>
  <c r="M532" i="29" s="1"/>
  <c r="O532" i="29" s="1"/>
  <c r="L531" i="29"/>
  <c r="M531" i="29" s="1"/>
  <c r="O531" i="29" s="1"/>
  <c r="L530" i="29"/>
  <c r="M530" i="29" s="1"/>
  <c r="O530" i="29" s="1"/>
  <c r="L529" i="29"/>
  <c r="M529" i="29" s="1"/>
  <c r="O529" i="29" s="1"/>
  <c r="M527" i="29"/>
  <c r="O527" i="29" s="1"/>
  <c r="O526" i="29"/>
  <c r="P526" i="29" s="1"/>
  <c r="M526" i="29"/>
  <c r="L525" i="29"/>
  <c r="M525" i="29" s="1"/>
  <c r="J525" i="29"/>
  <c r="J524" i="29" s="1"/>
  <c r="O524" i="29" s="1"/>
  <c r="P524" i="29" s="1"/>
  <c r="L522" i="29"/>
  <c r="M522" i="29" s="1"/>
  <c r="O522" i="29" s="1"/>
  <c r="P522" i="29" s="1"/>
  <c r="L521" i="29"/>
  <c r="M521" i="29" s="1"/>
  <c r="O521" i="29" s="1"/>
  <c r="P521" i="29" s="1"/>
  <c r="L520" i="29"/>
  <c r="L519" i="29"/>
  <c r="M519" i="29" s="1"/>
  <c r="O519" i="29" s="1"/>
  <c r="P519" i="29" s="1"/>
  <c r="L518" i="29"/>
  <c r="M518" i="29" s="1"/>
  <c r="O518" i="29" s="1"/>
  <c r="P518" i="29" s="1"/>
  <c r="L514" i="29"/>
  <c r="M514" i="29" s="1"/>
  <c r="O514" i="29" s="1"/>
  <c r="P514" i="29" s="1"/>
  <c r="O513" i="29"/>
  <c r="P513" i="29" s="1"/>
  <c r="O512" i="29"/>
  <c r="P512" i="29" s="1"/>
  <c r="M512" i="29"/>
  <c r="O511" i="29"/>
  <c r="P511" i="29" s="1"/>
  <c r="M511" i="29"/>
  <c r="N510" i="29"/>
  <c r="N509" i="29" s="1"/>
  <c r="N508" i="29" s="1"/>
  <c r="N507" i="29" s="1"/>
  <c r="L510" i="29"/>
  <c r="J510" i="29"/>
  <c r="O506" i="29"/>
  <c r="P506" i="29" s="1"/>
  <c r="O505" i="29"/>
  <c r="P505" i="29" s="1"/>
  <c r="L505" i="29"/>
  <c r="O504" i="29"/>
  <c r="P504" i="29" s="1"/>
  <c r="O503" i="29"/>
  <c r="P503" i="29" s="1"/>
  <c r="L503" i="29"/>
  <c r="M503" i="29" s="1"/>
  <c r="O502" i="29"/>
  <c r="P502" i="29" s="1"/>
  <c r="L502" i="29"/>
  <c r="O501" i="29"/>
  <c r="P501" i="29" s="1"/>
  <c r="N500" i="29"/>
  <c r="N499" i="29" s="1"/>
  <c r="J500" i="29"/>
  <c r="J499" i="29" s="1"/>
  <c r="O498" i="29"/>
  <c r="P498" i="29" s="1"/>
  <c r="M498" i="29"/>
  <c r="O497" i="29"/>
  <c r="P497" i="29" s="1"/>
  <c r="L497" i="29"/>
  <c r="M497" i="29" s="1"/>
  <c r="O496" i="29"/>
  <c r="P496" i="29" s="1"/>
  <c r="L496" i="29"/>
  <c r="M496" i="29" s="1"/>
  <c r="O495" i="29"/>
  <c r="P495" i="29" s="1"/>
  <c r="L495" i="29"/>
  <c r="M495" i="29" s="1"/>
  <c r="N494" i="29"/>
  <c r="J494" i="29"/>
  <c r="O493" i="29"/>
  <c r="P493" i="29" s="1"/>
  <c r="L493" i="29"/>
  <c r="M493" i="29" s="1"/>
  <c r="O492" i="29"/>
  <c r="P492" i="29" s="1"/>
  <c r="L492" i="29"/>
  <c r="M492" i="29" s="1"/>
  <c r="O491" i="29"/>
  <c r="P491" i="29" s="1"/>
  <c r="L491" i="29"/>
  <c r="M491" i="29" s="1"/>
  <c r="O490" i="29"/>
  <c r="P490" i="29" s="1"/>
  <c r="L490" i="29"/>
  <c r="M490" i="29" s="1"/>
  <c r="O489" i="29"/>
  <c r="P489" i="29" s="1"/>
  <c r="L489" i="29"/>
  <c r="M489" i="29" s="1"/>
  <c r="O488" i="29"/>
  <c r="P488" i="29" s="1"/>
  <c r="L488" i="29"/>
  <c r="N487" i="29"/>
  <c r="J487" i="29"/>
  <c r="O486" i="29"/>
  <c r="P486" i="29" s="1"/>
  <c r="L486" i="29"/>
  <c r="M486" i="29" s="1"/>
  <c r="O485" i="29"/>
  <c r="P485" i="29" s="1"/>
  <c r="L485" i="29"/>
  <c r="M485" i="29" s="1"/>
  <c r="O484" i="29"/>
  <c r="P484" i="29" s="1"/>
  <c r="L484" i="29"/>
  <c r="O483" i="29"/>
  <c r="P483" i="29" s="1"/>
  <c r="L483" i="29"/>
  <c r="N482" i="29"/>
  <c r="J482" i="29"/>
  <c r="O481" i="29"/>
  <c r="P481" i="29" s="1"/>
  <c r="L481" i="29"/>
  <c r="M481" i="29" s="1"/>
  <c r="O480" i="29"/>
  <c r="P480" i="29" s="1"/>
  <c r="O479" i="29"/>
  <c r="P479" i="29" s="1"/>
  <c r="L479" i="29"/>
  <c r="M479" i="29" s="1"/>
  <c r="O476" i="29"/>
  <c r="P476" i="29" s="1"/>
  <c r="M476" i="29"/>
  <c r="O475" i="29"/>
  <c r="P475" i="29" s="1"/>
  <c r="L475" i="29"/>
  <c r="L474" i="29" s="1"/>
  <c r="M474" i="29" s="1"/>
  <c r="O474" i="29"/>
  <c r="P474" i="29" s="1"/>
  <c r="L470" i="29"/>
  <c r="M470" i="29" s="1"/>
  <c r="O469" i="29"/>
  <c r="P469" i="29" s="1"/>
  <c r="L469" i="29"/>
  <c r="O468" i="29"/>
  <c r="P468" i="29" s="1"/>
  <c r="M468" i="29"/>
  <c r="O467" i="29"/>
  <c r="P467" i="29" s="1"/>
  <c r="M467" i="29"/>
  <c r="O466" i="29"/>
  <c r="P466" i="29" s="1"/>
  <c r="M466" i="29"/>
  <c r="O465" i="29"/>
  <c r="P465" i="29" s="1"/>
  <c r="L465" i="29"/>
  <c r="M465" i="29" s="1"/>
  <c r="N464" i="29"/>
  <c r="J464" i="29"/>
  <c r="J463" i="29" s="1"/>
  <c r="J462" i="29" s="1"/>
  <c r="L460" i="29"/>
  <c r="M460" i="29" s="1"/>
  <c r="O460" i="29" s="1"/>
  <c r="P460" i="29" s="1"/>
  <c r="M459" i="29"/>
  <c r="J458" i="29"/>
  <c r="J457" i="29" s="1"/>
  <c r="O456" i="29"/>
  <c r="P456" i="29" s="1"/>
  <c r="M456" i="29"/>
  <c r="O455" i="29"/>
  <c r="P455" i="29" s="1"/>
  <c r="M455" i="29"/>
  <c r="O454" i="29"/>
  <c r="P454" i="29" s="1"/>
  <c r="M454" i="29"/>
  <c r="O453" i="29"/>
  <c r="P453" i="29" s="1"/>
  <c r="M453" i="29"/>
  <c r="N452" i="29"/>
  <c r="L452" i="29"/>
  <c r="J452" i="29"/>
  <c r="O451" i="29"/>
  <c r="M451" i="29"/>
  <c r="O450" i="29"/>
  <c r="P450" i="29" s="1"/>
  <c r="M450" i="29"/>
  <c r="O449" i="29"/>
  <c r="P449" i="29" s="1"/>
  <c r="L449" i="29"/>
  <c r="M449" i="29" s="1"/>
  <c r="O448" i="29"/>
  <c r="P448" i="29" s="1"/>
  <c r="M448" i="29"/>
  <c r="O447" i="29"/>
  <c r="P447" i="29" s="1"/>
  <c r="L447" i="29"/>
  <c r="O446" i="29"/>
  <c r="P446" i="29" s="1"/>
  <c r="M446" i="29"/>
  <c r="N445" i="29"/>
  <c r="J445" i="29"/>
  <c r="O441" i="29"/>
  <c r="P441" i="29" s="1"/>
  <c r="L441" i="29"/>
  <c r="M441" i="29" s="1"/>
  <c r="O440" i="29"/>
  <c r="P440" i="29" s="1"/>
  <c r="L440" i="29"/>
  <c r="M440" i="29" s="1"/>
  <c r="N439" i="29"/>
  <c r="O439" i="29" s="1"/>
  <c r="P439" i="29" s="1"/>
  <c r="J439" i="29"/>
  <c r="O438" i="29"/>
  <c r="P438" i="29" s="1"/>
  <c r="L438" i="29"/>
  <c r="M438" i="29" s="1"/>
  <c r="N437" i="29"/>
  <c r="J437" i="29"/>
  <c r="O435" i="29"/>
  <c r="M435" i="29"/>
  <c r="O434" i="29"/>
  <c r="L434" i="29"/>
  <c r="M434" i="29" s="1"/>
  <c r="O433" i="29"/>
  <c r="L433" i="29"/>
  <c r="M433" i="29" s="1"/>
  <c r="O432" i="29"/>
  <c r="P432" i="29" s="1"/>
  <c r="L432" i="29"/>
  <c r="M432" i="29" s="1"/>
  <c r="J431" i="29"/>
  <c r="O430" i="29"/>
  <c r="M430" i="29"/>
  <c r="O429" i="29"/>
  <c r="L429" i="29"/>
  <c r="O428" i="29"/>
  <c r="L428" i="29"/>
  <c r="M428" i="29" s="1"/>
  <c r="O427" i="29"/>
  <c r="P427" i="29" s="1"/>
  <c r="L427" i="29"/>
  <c r="M427" i="29" s="1"/>
  <c r="N426" i="29"/>
  <c r="J426" i="29"/>
  <c r="O425" i="29"/>
  <c r="P425" i="29" s="1"/>
  <c r="L425" i="29"/>
  <c r="M425" i="29" s="1"/>
  <c r="O424" i="29"/>
  <c r="P424" i="29" s="1"/>
  <c r="N423" i="29"/>
  <c r="O423" i="29" s="1"/>
  <c r="P423" i="29" s="1"/>
  <c r="L423" i="29"/>
  <c r="M423" i="29" s="1"/>
  <c r="O421" i="29"/>
  <c r="P421" i="29" s="1"/>
  <c r="M421" i="29"/>
  <c r="O420" i="29"/>
  <c r="P420" i="29" s="1"/>
  <c r="M420" i="29"/>
  <c r="N419" i="29"/>
  <c r="L419" i="29"/>
  <c r="M419" i="29" s="1"/>
  <c r="J419" i="29"/>
  <c r="O417" i="29"/>
  <c r="P417" i="29" s="1"/>
  <c r="L417" i="29"/>
  <c r="M417" i="29" s="1"/>
  <c r="N416" i="29"/>
  <c r="J416" i="29"/>
  <c r="O415" i="29"/>
  <c r="P415" i="29" s="1"/>
  <c r="M415" i="29"/>
  <c r="O414" i="29"/>
  <c r="P414" i="29" s="1"/>
  <c r="L414" i="29"/>
  <c r="M414" i="29" s="1"/>
  <c r="O413" i="29"/>
  <c r="P413" i="29" s="1"/>
  <c r="Q413" i="29" s="1"/>
  <c r="L413" i="29"/>
  <c r="M413" i="29" s="1"/>
  <c r="N412" i="29"/>
  <c r="J412" i="29"/>
  <c r="O411" i="29"/>
  <c r="P411" i="29" s="1"/>
  <c r="Q411" i="29" s="1"/>
  <c r="M411" i="29"/>
  <c r="O410" i="29"/>
  <c r="P410" i="29" s="1"/>
  <c r="Q410" i="29" s="1"/>
  <c r="M410" i="29"/>
  <c r="N409" i="29"/>
  <c r="O409" i="29" s="1"/>
  <c r="P409" i="29" s="1"/>
  <c r="Q409" i="29" s="1"/>
  <c r="L409" i="29"/>
  <c r="M409" i="29" s="1"/>
  <c r="J409" i="29"/>
  <c r="O408" i="29"/>
  <c r="P408" i="29" s="1"/>
  <c r="Q408" i="29" s="1"/>
  <c r="M408" i="29"/>
  <c r="O407" i="29"/>
  <c r="P407" i="29" s="1"/>
  <c r="Q407" i="29" s="1"/>
  <c r="M407" i="29"/>
  <c r="O406" i="29"/>
  <c r="P406" i="29" s="1"/>
  <c r="Q406" i="29" s="1"/>
  <c r="M406" i="29"/>
  <c r="N405" i="29"/>
  <c r="L405" i="29"/>
  <c r="M405" i="29" s="1"/>
  <c r="J405" i="29"/>
  <c r="O404" i="29"/>
  <c r="P404" i="29" s="1"/>
  <c r="Q404" i="29" s="1"/>
  <c r="M404" i="29"/>
  <c r="O403" i="29"/>
  <c r="P403" i="29" s="1"/>
  <c r="Q403" i="29" s="1"/>
  <c r="L403" i="29"/>
  <c r="M403" i="29" s="1"/>
  <c r="O402" i="29"/>
  <c r="P402" i="29" s="1"/>
  <c r="Q402" i="29" s="1"/>
  <c r="L402" i="29"/>
  <c r="M402" i="29" s="1"/>
  <c r="O401" i="29"/>
  <c r="P401" i="29" s="1"/>
  <c r="Q401" i="29" s="1"/>
  <c r="L401" i="29"/>
  <c r="O400" i="29"/>
  <c r="P400" i="29" s="1"/>
  <c r="Q400" i="29" s="1"/>
  <c r="L400" i="29"/>
  <c r="O399" i="29"/>
  <c r="P399" i="29" s="1"/>
  <c r="Q399" i="29" s="1"/>
  <c r="L399" i="29"/>
  <c r="M399" i="29" s="1"/>
  <c r="N398" i="29"/>
  <c r="J398" i="29"/>
  <c r="M396" i="29"/>
  <c r="O396" i="29" s="1"/>
  <c r="P396" i="29" s="1"/>
  <c r="O395" i="29"/>
  <c r="P395" i="29" s="1"/>
  <c r="L395" i="29"/>
  <c r="O394" i="29"/>
  <c r="P394" i="29" s="1"/>
  <c r="O393" i="29"/>
  <c r="M393" i="29"/>
  <c r="L392" i="29"/>
  <c r="M392" i="29" s="1"/>
  <c r="O391" i="29"/>
  <c r="P391" i="29" s="1"/>
  <c r="L391" i="29"/>
  <c r="M391" i="29" s="1"/>
  <c r="O390" i="29"/>
  <c r="L390" i="29"/>
  <c r="M390" i="29" s="1"/>
  <c r="L389" i="29"/>
  <c r="M389" i="29" s="1"/>
  <c r="O388" i="29"/>
  <c r="P388" i="29" s="1"/>
  <c r="L388" i="29"/>
  <c r="M388" i="29" s="1"/>
  <c r="O387" i="29"/>
  <c r="P387" i="29" s="1"/>
  <c r="L387" i="29"/>
  <c r="M387" i="29" s="1"/>
  <c r="O386" i="29"/>
  <c r="P386" i="29" s="1"/>
  <c r="L386" i="29"/>
  <c r="M386" i="29" s="1"/>
  <c r="J385" i="29"/>
  <c r="J384" i="29" s="1"/>
  <c r="J383" i="29" s="1"/>
  <c r="M382" i="29"/>
  <c r="O382" i="29" s="1"/>
  <c r="P382" i="29" s="1"/>
  <c r="L381" i="29"/>
  <c r="M381" i="29" s="1"/>
  <c r="O381" i="29" s="1"/>
  <c r="O380" i="29"/>
  <c r="P380" i="29" s="1"/>
  <c r="L380" i="29"/>
  <c r="M380" i="29" s="1"/>
  <c r="O379" i="29"/>
  <c r="P379" i="29" s="1"/>
  <c r="L379" i="29"/>
  <c r="O378" i="29"/>
  <c r="P378" i="29" s="1"/>
  <c r="M378" i="29"/>
  <c r="O377" i="29"/>
  <c r="P377" i="29" s="1"/>
  <c r="L377" i="29"/>
  <c r="M377" i="29" s="1"/>
  <c r="O376" i="29"/>
  <c r="P376" i="29" s="1"/>
  <c r="M376" i="29"/>
  <c r="N375" i="29"/>
  <c r="J375" i="29"/>
  <c r="O374" i="29"/>
  <c r="P374" i="29" s="1"/>
  <c r="M374" i="29"/>
  <c r="O373" i="29"/>
  <c r="P373" i="29" s="1"/>
  <c r="M373" i="29"/>
  <c r="O372" i="29"/>
  <c r="P372" i="29" s="1"/>
  <c r="M372" i="29"/>
  <c r="N371" i="29"/>
  <c r="N370" i="29" s="1"/>
  <c r="N369" i="29" s="1"/>
  <c r="N368" i="29" s="1"/>
  <c r="J371" i="29"/>
  <c r="M364" i="29"/>
  <c r="M363" i="29"/>
  <c r="L362" i="29"/>
  <c r="L361" i="29"/>
  <c r="M361" i="29" s="1"/>
  <c r="O361" i="29" s="1"/>
  <c r="L360" i="29"/>
  <c r="L356" i="29"/>
  <c r="M356" i="29" s="1"/>
  <c r="O356" i="29" s="1"/>
  <c r="L355" i="29"/>
  <c r="M355" i="29" s="1"/>
  <c r="O355" i="29" s="1"/>
  <c r="L354" i="29"/>
  <c r="M354" i="29" s="1"/>
  <c r="O354" i="29" s="1"/>
  <c r="L353" i="29"/>
  <c r="M353" i="29" s="1"/>
  <c r="O353" i="29" s="1"/>
  <c r="L352" i="29"/>
  <c r="M352" i="29" s="1"/>
  <c r="O352" i="29" s="1"/>
  <c r="O348" i="29"/>
  <c r="P348" i="29" s="1"/>
  <c r="L348" i="29"/>
  <c r="M348" i="29" s="1"/>
  <c r="N347" i="29"/>
  <c r="J347" i="29"/>
  <c r="O346" i="29"/>
  <c r="P346" i="29" s="1"/>
  <c r="O345" i="29"/>
  <c r="P345" i="29" s="1"/>
  <c r="L345" i="29"/>
  <c r="M345" i="29" s="1"/>
  <c r="O344" i="29"/>
  <c r="L344" i="29"/>
  <c r="M344" i="29" s="1"/>
  <c r="O343" i="29"/>
  <c r="P343" i="29" s="1"/>
  <c r="L343" i="29"/>
  <c r="M343" i="29" s="1"/>
  <c r="O342" i="29"/>
  <c r="P342" i="29" s="1"/>
  <c r="O341" i="29"/>
  <c r="P341" i="29" s="1"/>
  <c r="O340" i="29"/>
  <c r="P340" i="29" s="1"/>
  <c r="N339" i="29"/>
  <c r="N338" i="29" s="1"/>
  <c r="J339" i="29"/>
  <c r="L338" i="29"/>
  <c r="M338" i="29" s="1"/>
  <c r="L337" i="29"/>
  <c r="M337" i="29" s="1"/>
  <c r="L336" i="29"/>
  <c r="M336" i="29" s="1"/>
  <c r="O336" i="29" s="1"/>
  <c r="L335" i="29"/>
  <c r="M335" i="29" s="1"/>
  <c r="O335" i="29" s="1"/>
  <c r="L334" i="29"/>
  <c r="M334" i="29" s="1"/>
  <c r="O334" i="29" s="1"/>
  <c r="L333" i="29"/>
  <c r="M333" i="29" s="1"/>
  <c r="O333" i="29" s="1"/>
  <c r="L332" i="29"/>
  <c r="M332" i="29" s="1"/>
  <c r="O332" i="29" s="1"/>
  <c r="L328" i="29"/>
  <c r="M328" i="29" s="1"/>
  <c r="O328" i="29" s="1"/>
  <c r="L327" i="29"/>
  <c r="M327" i="29" s="1"/>
  <c r="O327" i="29" s="1"/>
  <c r="L326" i="29"/>
  <c r="M326" i="29" s="1"/>
  <c r="O326" i="29" s="1"/>
  <c r="L325" i="29"/>
  <c r="M325" i="29" s="1"/>
  <c r="O325" i="29" s="1"/>
  <c r="L324" i="29"/>
  <c r="L320" i="29"/>
  <c r="M320" i="29" s="1"/>
  <c r="O320" i="29" s="1"/>
  <c r="L319" i="29"/>
  <c r="M319" i="29" s="1"/>
  <c r="O319" i="29" s="1"/>
  <c r="L318" i="29"/>
  <c r="M318" i="29" s="1"/>
  <c r="O318" i="29" s="1"/>
  <c r="L317" i="29"/>
  <c r="M317" i="29" s="1"/>
  <c r="O317" i="29" s="1"/>
  <c r="L316" i="29"/>
  <c r="L311" i="29"/>
  <c r="M311" i="29" s="1"/>
  <c r="O311" i="29" s="1"/>
  <c r="L310" i="29"/>
  <c r="M310" i="29" s="1"/>
  <c r="O310" i="29" s="1"/>
  <c r="L309" i="29"/>
  <c r="L308" i="29"/>
  <c r="M308" i="29" s="1"/>
  <c r="O308" i="29" s="1"/>
  <c r="L307" i="29"/>
  <c r="M307" i="29" s="1"/>
  <c r="O307" i="29" s="1"/>
  <c r="L303" i="29"/>
  <c r="L302" i="29"/>
  <c r="M302" i="29" s="1"/>
  <c r="O302" i="29" s="1"/>
  <c r="L301" i="29"/>
  <c r="M301" i="29" s="1"/>
  <c r="O301" i="29" s="1"/>
  <c r="L300" i="29"/>
  <c r="M300" i="29" s="1"/>
  <c r="O300" i="29" s="1"/>
  <c r="L299" i="29"/>
  <c r="M299" i="29" s="1"/>
  <c r="O299" i="29" s="1"/>
  <c r="O296" i="29"/>
  <c r="O295" i="29"/>
  <c r="M295" i="29"/>
  <c r="O294" i="29"/>
  <c r="M294" i="29"/>
  <c r="O293" i="29"/>
  <c r="M293" i="29"/>
  <c r="O292" i="29"/>
  <c r="M292" i="29"/>
  <c r="O291" i="29"/>
  <c r="L291" i="29"/>
  <c r="M291" i="29" s="1"/>
  <c r="O290" i="29"/>
  <c r="O289" i="29"/>
  <c r="P289" i="29" s="1"/>
  <c r="O288" i="29"/>
  <c r="P288" i="29" s="1"/>
  <c r="M288" i="29"/>
  <c r="O287" i="29"/>
  <c r="P287" i="29" s="1"/>
  <c r="M287" i="29"/>
  <c r="O286" i="29"/>
  <c r="P286" i="29" s="1"/>
  <c r="L286" i="29"/>
  <c r="N285" i="29"/>
  <c r="J285" i="29"/>
  <c r="J284" i="29" s="1"/>
  <c r="J283" i="29" s="1"/>
  <c r="J282" i="29" s="1"/>
  <c r="L278" i="29"/>
  <c r="M278" i="29" s="1"/>
  <c r="O278" i="29" s="1"/>
  <c r="L277" i="29"/>
  <c r="M277" i="29" s="1"/>
  <c r="O277" i="29" s="1"/>
  <c r="L276" i="29"/>
  <c r="M276" i="29" s="1"/>
  <c r="O276" i="29" s="1"/>
  <c r="L275" i="29"/>
  <c r="M275" i="29" s="1"/>
  <c r="O275" i="29" s="1"/>
  <c r="L274" i="29"/>
  <c r="M274" i="29" s="1"/>
  <c r="O274" i="29" s="1"/>
  <c r="L271" i="29"/>
  <c r="M271" i="29" s="1"/>
  <c r="O271" i="29" s="1"/>
  <c r="L270" i="29"/>
  <c r="M270" i="29" s="1"/>
  <c r="O270" i="29" s="1"/>
  <c r="L269" i="29"/>
  <c r="M269" i="29" s="1"/>
  <c r="O269" i="29" s="1"/>
  <c r="L268" i="29"/>
  <c r="M268" i="29" s="1"/>
  <c r="O268" i="29" s="1"/>
  <c r="L267" i="29"/>
  <c r="M267" i="29" s="1"/>
  <c r="O267" i="29" s="1"/>
  <c r="L263" i="29"/>
  <c r="M263" i="29" s="1"/>
  <c r="O263" i="29" s="1"/>
  <c r="L262" i="29"/>
  <c r="M262" i="29" s="1"/>
  <c r="O262" i="29" s="1"/>
  <c r="L261" i="29"/>
  <c r="M261" i="29" s="1"/>
  <c r="O261" i="29" s="1"/>
  <c r="L260" i="29"/>
  <c r="M260" i="29" s="1"/>
  <c r="O260" i="29" s="1"/>
  <c r="L259" i="29"/>
  <c r="M255" i="29"/>
  <c r="M254" i="29"/>
  <c r="M253" i="29"/>
  <c r="L252" i="29"/>
  <c r="M252" i="29" s="1"/>
  <c r="J252" i="29"/>
  <c r="M251" i="29"/>
  <c r="O251" i="29" s="1"/>
  <c r="P251" i="29" s="1"/>
  <c r="L250" i="29"/>
  <c r="M250" i="29" s="1"/>
  <c r="O250" i="29" s="1"/>
  <c r="L249" i="29"/>
  <c r="M249" i="29" s="1"/>
  <c r="O249" i="29" s="1"/>
  <c r="L248" i="29"/>
  <c r="M248" i="29" s="1"/>
  <c r="O248" i="29" s="1"/>
  <c r="L247" i="29"/>
  <c r="M245" i="29"/>
  <c r="O245" i="29" s="1"/>
  <c r="P245" i="29" s="1"/>
  <c r="O244" i="29"/>
  <c r="P244" i="29" s="1"/>
  <c r="M244" i="29"/>
  <c r="N243" i="29"/>
  <c r="L243" i="29"/>
  <c r="J243" i="29"/>
  <c r="O242" i="29"/>
  <c r="M242" i="29"/>
  <c r="O241" i="29"/>
  <c r="P241" i="29" s="1"/>
  <c r="M241" i="29"/>
  <c r="N240" i="29"/>
  <c r="L240" i="29"/>
  <c r="M240" i="29" s="1"/>
  <c r="J240" i="29"/>
  <c r="K237" i="29"/>
  <c r="K846" i="29" s="1"/>
  <c r="L234" i="29"/>
  <c r="M234" i="29" s="1"/>
  <c r="O234" i="29" s="1"/>
  <c r="L233" i="29"/>
  <c r="L232" i="29"/>
  <c r="L231" i="29"/>
  <c r="M231" i="29" s="1"/>
  <c r="O231" i="29" s="1"/>
  <c r="N230" i="29"/>
  <c r="J230" i="29"/>
  <c r="O229" i="29"/>
  <c r="P229" i="29" s="1"/>
  <c r="L228" i="29"/>
  <c r="M228" i="29" s="1"/>
  <c r="O228" i="29" s="1"/>
  <c r="M227" i="29"/>
  <c r="L226" i="29"/>
  <c r="L225" i="29"/>
  <c r="M225" i="29" s="1"/>
  <c r="O225" i="29" s="1"/>
  <c r="L224" i="29"/>
  <c r="M224" i="29" s="1"/>
  <c r="O224" i="29" s="1"/>
  <c r="O222" i="29"/>
  <c r="P222" i="29" s="1"/>
  <c r="O221" i="29"/>
  <c r="P221" i="29" s="1"/>
  <c r="M221" i="29"/>
  <c r="L220" i="29"/>
  <c r="M220" i="29" s="1"/>
  <c r="J220" i="29"/>
  <c r="O220" i="29" s="1"/>
  <c r="P220" i="29" s="1"/>
  <c r="O219" i="29"/>
  <c r="O218" i="29"/>
  <c r="P218" i="29" s="1"/>
  <c r="M218" i="29"/>
  <c r="O217" i="29"/>
  <c r="M217" i="29"/>
  <c r="N216" i="29"/>
  <c r="L216" i="29"/>
  <c r="L215" i="29" s="1"/>
  <c r="J216" i="29"/>
  <c r="L212" i="29"/>
  <c r="M210" i="29"/>
  <c r="O210" i="29" s="1"/>
  <c r="P210" i="29" s="1"/>
  <c r="L209" i="29"/>
  <c r="M209" i="29" s="1"/>
  <c r="O209" i="29" s="1"/>
  <c r="L208" i="29"/>
  <c r="M208" i="29" s="1"/>
  <c r="O208" i="29" s="1"/>
  <c r="L207" i="29"/>
  <c r="L206" i="29"/>
  <c r="L205" i="29"/>
  <c r="M205" i="29" s="1"/>
  <c r="O205" i="29" s="1"/>
  <c r="M203" i="29"/>
  <c r="O203" i="29" s="1"/>
  <c r="P203" i="29" s="1"/>
  <c r="L202" i="29"/>
  <c r="L201" i="29" s="1"/>
  <c r="O200" i="29"/>
  <c r="O199" i="29" s="1"/>
  <c r="M200" i="29"/>
  <c r="N199" i="29"/>
  <c r="N198" i="29" s="1"/>
  <c r="N197" i="29" s="1"/>
  <c r="N196" i="29" s="1"/>
  <c r="L199" i="29"/>
  <c r="M199" i="29" s="1"/>
  <c r="J199" i="29"/>
  <c r="J198" i="29" s="1"/>
  <c r="J197" i="29" s="1"/>
  <c r="J196" i="29" s="1"/>
  <c r="L194" i="29"/>
  <c r="M194" i="29" s="1"/>
  <c r="O194" i="29" s="1"/>
  <c r="L193" i="29"/>
  <c r="M193" i="29" s="1"/>
  <c r="O193" i="29" s="1"/>
  <c r="L192" i="29"/>
  <c r="M192" i="29" s="1"/>
  <c r="O192" i="29" s="1"/>
  <c r="L191" i="29"/>
  <c r="L190" i="29"/>
  <c r="M190" i="29" s="1"/>
  <c r="O190" i="29" s="1"/>
  <c r="M188" i="29"/>
  <c r="O188" i="29" s="1"/>
  <c r="P188" i="29" s="1"/>
  <c r="O187" i="29"/>
  <c r="M187" i="29"/>
  <c r="O186" i="29"/>
  <c r="M186" i="29"/>
  <c r="O185" i="29"/>
  <c r="O184" i="29" s="1"/>
  <c r="O183" i="29" s="1"/>
  <c r="O182" i="29" s="1"/>
  <c r="L185" i="29"/>
  <c r="M185" i="29" s="1"/>
  <c r="O180" i="29"/>
  <c r="M180" i="29"/>
  <c r="O179" i="29"/>
  <c r="M179" i="29"/>
  <c r="O178" i="29"/>
  <c r="L178" i="29"/>
  <c r="M178" i="29" s="1"/>
  <c r="O177" i="29"/>
  <c r="L177" i="29"/>
  <c r="M177" i="29" s="1"/>
  <c r="O176" i="29"/>
  <c r="L176" i="29"/>
  <c r="M176" i="29" s="1"/>
  <c r="O173" i="29"/>
  <c r="M173" i="29"/>
  <c r="I173" i="29"/>
  <c r="P172" i="29"/>
  <c r="P171" i="29" s="1"/>
  <c r="P170" i="29" s="1"/>
  <c r="P169" i="29" s="1"/>
  <c r="N172" i="29"/>
  <c r="N171" i="29" s="1"/>
  <c r="N170" i="29" s="1"/>
  <c r="L172" i="29"/>
  <c r="L171" i="29" s="1"/>
  <c r="L167" i="29"/>
  <c r="L166" i="29"/>
  <c r="M166" i="29" s="1"/>
  <c r="O166" i="29" s="1"/>
  <c r="L165" i="29"/>
  <c r="L164" i="29"/>
  <c r="M164" i="29" s="1"/>
  <c r="O164" i="29" s="1"/>
  <c r="L163" i="29"/>
  <c r="M163" i="29" s="1"/>
  <c r="O163" i="29" s="1"/>
  <c r="O162" i="29"/>
  <c r="P162" i="29" s="1"/>
  <c r="P161" i="29" s="1"/>
  <c r="M162" i="29"/>
  <c r="J161" i="29"/>
  <c r="M160" i="29"/>
  <c r="O160" i="29" s="1"/>
  <c r="P160" i="29" s="1"/>
  <c r="O159" i="29"/>
  <c r="P159" i="29" s="1"/>
  <c r="P158" i="29" s="1"/>
  <c r="L159" i="29"/>
  <c r="O158" i="29"/>
  <c r="M158" i="29"/>
  <c r="N157" i="29"/>
  <c r="N156" i="29" s="1"/>
  <c r="N155" i="29" s="1"/>
  <c r="J157" i="29"/>
  <c r="J156" i="29" s="1"/>
  <c r="J155" i="29" s="1"/>
  <c r="L152" i="29"/>
  <c r="M152" i="29" s="1"/>
  <c r="O152" i="29" s="1"/>
  <c r="L151" i="29"/>
  <c r="M151" i="29" s="1"/>
  <c r="O151" i="29" s="1"/>
  <c r="L150" i="29"/>
  <c r="M150" i="29" s="1"/>
  <c r="O150" i="29" s="1"/>
  <c r="L149" i="29"/>
  <c r="M149" i="29" s="1"/>
  <c r="O149" i="29" s="1"/>
  <c r="L148" i="29"/>
  <c r="M148" i="29" s="1"/>
  <c r="O148" i="29" s="1"/>
  <c r="M144" i="29"/>
  <c r="M143" i="29"/>
  <c r="O143" i="29" s="1"/>
  <c r="L142" i="29"/>
  <c r="L141" i="29"/>
  <c r="M141" i="29" s="1"/>
  <c r="O141" i="29" s="1"/>
  <c r="M140" i="29"/>
  <c r="O138" i="29"/>
  <c r="P138" i="29" s="1"/>
  <c r="M137" i="29"/>
  <c r="P137" i="29" s="1"/>
  <c r="M136" i="29"/>
  <c r="P136" i="29" s="1"/>
  <c r="N135" i="29"/>
  <c r="N134" i="29" s="1"/>
  <c r="N131" i="29"/>
  <c r="L135" i="29"/>
  <c r="J135" i="29"/>
  <c r="J134" i="29" s="1"/>
  <c r="J131" i="29"/>
  <c r="O133" i="29"/>
  <c r="P133" i="29" s="1"/>
  <c r="L132" i="29"/>
  <c r="M132" i="29" s="1"/>
  <c r="P132" i="29" s="1"/>
  <c r="L127" i="29"/>
  <c r="M127" i="29" s="1"/>
  <c r="O127" i="29" s="1"/>
  <c r="L126" i="29"/>
  <c r="M126" i="29" s="1"/>
  <c r="O126" i="29" s="1"/>
  <c r="L125" i="29"/>
  <c r="M125" i="29" s="1"/>
  <c r="O125" i="29" s="1"/>
  <c r="L124" i="29"/>
  <c r="L123" i="29"/>
  <c r="M123" i="29" s="1"/>
  <c r="O123" i="29" s="1"/>
  <c r="L122" i="29"/>
  <c r="M122" i="29" s="1"/>
  <c r="M121" i="29"/>
  <c r="O121" i="29" s="1"/>
  <c r="P121" i="29" s="1"/>
  <c r="P120" i="29"/>
  <c r="M120" i="29"/>
  <c r="N119" i="29"/>
  <c r="N118" i="29" s="1"/>
  <c r="N116" i="29" s="1"/>
  <c r="L119" i="29"/>
  <c r="M119" i="29" s="1"/>
  <c r="J119" i="29"/>
  <c r="J118" i="29" s="1"/>
  <c r="J116" i="29" s="1"/>
  <c r="L114" i="29"/>
  <c r="M114" i="29" s="1"/>
  <c r="O114" i="29" s="1"/>
  <c r="L113" i="29"/>
  <c r="M113" i="29" s="1"/>
  <c r="O113" i="29" s="1"/>
  <c r="L112" i="29"/>
  <c r="M112" i="29" s="1"/>
  <c r="L111" i="29"/>
  <c r="L110" i="29"/>
  <c r="O109" i="29"/>
  <c r="P109" i="29" s="1"/>
  <c r="O108" i="29"/>
  <c r="O107" i="29" s="1"/>
  <c r="M108" i="29"/>
  <c r="R108" i="29" s="1"/>
  <c r="R107" i="29" s="1"/>
  <c r="N107" i="29"/>
  <c r="N106" i="29" s="1"/>
  <c r="L107" i="29"/>
  <c r="M107" i="29" s="1"/>
  <c r="J107" i="29"/>
  <c r="J106" i="29" s="1"/>
  <c r="L102" i="29"/>
  <c r="M102" i="29" s="1"/>
  <c r="O102" i="29" s="1"/>
  <c r="L101" i="29"/>
  <c r="M101" i="29" s="1"/>
  <c r="O101" i="29" s="1"/>
  <c r="L100" i="29"/>
  <c r="M100" i="29" s="1"/>
  <c r="L99" i="29"/>
  <c r="M99" i="29" s="1"/>
  <c r="O99" i="29" s="1"/>
  <c r="L98" i="29"/>
  <c r="M98" i="29" s="1"/>
  <c r="O98" i="29" s="1"/>
  <c r="O97" i="29"/>
  <c r="P97" i="29" s="1"/>
  <c r="O96" i="29"/>
  <c r="P96" i="29" s="1"/>
  <c r="L96" i="29"/>
  <c r="L94" i="29" s="1"/>
  <c r="M94" i="29" s="1"/>
  <c r="O95" i="29"/>
  <c r="P95" i="29" s="1"/>
  <c r="M95" i="29"/>
  <c r="N94" i="29"/>
  <c r="J94" i="29"/>
  <c r="J93" i="29" s="1"/>
  <c r="J91" i="29" s="1"/>
  <c r="L89" i="29"/>
  <c r="M88" i="29"/>
  <c r="L87" i="29"/>
  <c r="M87" i="29" s="1"/>
  <c r="O87" i="29" s="1"/>
  <c r="L86" i="29"/>
  <c r="M86" i="29" s="1"/>
  <c r="O86" i="29" s="1"/>
  <c r="L85" i="29"/>
  <c r="M85" i="29" s="1"/>
  <c r="O85" i="29" s="1"/>
  <c r="O83" i="29"/>
  <c r="P83" i="29" s="1"/>
  <c r="O82" i="29"/>
  <c r="L82" i="29"/>
  <c r="O81" i="29"/>
  <c r="P81" i="29" s="1"/>
  <c r="O80" i="29"/>
  <c r="L80" i="29"/>
  <c r="M80" i="29" s="1"/>
  <c r="P80" i="29" s="1"/>
  <c r="N79" i="29"/>
  <c r="N78" i="29" s="1"/>
  <c r="J79" i="29"/>
  <c r="J78" i="29" s="1"/>
  <c r="P78" i="29" s="1"/>
  <c r="L76" i="29"/>
  <c r="L75" i="29"/>
  <c r="M75" i="29" s="1"/>
  <c r="O75" i="29" s="1"/>
  <c r="L74" i="29"/>
  <c r="M74" i="29" s="1"/>
  <c r="O74" i="29" s="1"/>
  <c r="M73" i="29"/>
  <c r="O73" i="29" s="1"/>
  <c r="L72" i="29"/>
  <c r="M72" i="29" s="1"/>
  <c r="O72" i="29" s="1"/>
  <c r="L71" i="29"/>
  <c r="M71" i="29" s="1"/>
  <c r="O71" i="29" s="1"/>
  <c r="O70" i="29"/>
  <c r="P70" i="29" s="1"/>
  <c r="M70" i="29"/>
  <c r="N69" i="29"/>
  <c r="N68" i="29" s="1"/>
  <c r="N67" i="29" s="1"/>
  <c r="N66" i="29" s="1"/>
  <c r="J69" i="29"/>
  <c r="J68" i="29" s="1"/>
  <c r="J67" i="29" s="1"/>
  <c r="J66" i="29" s="1"/>
  <c r="L64" i="29"/>
  <c r="M64" i="29" s="1"/>
  <c r="O64" i="29" s="1"/>
  <c r="L63" i="29"/>
  <c r="M63" i="29" s="1"/>
  <c r="O63" i="29" s="1"/>
  <c r="L62" i="29"/>
  <c r="M62" i="29" s="1"/>
  <c r="O62" i="29" s="1"/>
  <c r="L61" i="29"/>
  <c r="M61" i="29" s="1"/>
  <c r="O61" i="29" s="1"/>
  <c r="L60" i="29"/>
  <c r="M60" i="29" s="1"/>
  <c r="O60" i="29" s="1"/>
  <c r="O58" i="29"/>
  <c r="P58" i="29" s="1"/>
  <c r="O57" i="29"/>
  <c r="M57" i="29"/>
  <c r="N56" i="29"/>
  <c r="X71" i="39" s="1"/>
  <c r="L56" i="29"/>
  <c r="J56" i="29"/>
  <c r="S71" i="39" s="1"/>
  <c r="S70" i="39" s="1"/>
  <c r="L52" i="29"/>
  <c r="M52" i="29" s="1"/>
  <c r="O52" i="29" s="1"/>
  <c r="L51" i="29"/>
  <c r="M51" i="29" s="1"/>
  <c r="O51" i="29" s="1"/>
  <c r="L50" i="29"/>
  <c r="L49" i="29"/>
  <c r="M49" i="29" s="1"/>
  <c r="O49" i="29" s="1"/>
  <c r="L48" i="29"/>
  <c r="M48" i="29" s="1"/>
  <c r="O48" i="29" s="1"/>
  <c r="O46" i="29"/>
  <c r="P46" i="29" s="1"/>
  <c r="O45" i="29"/>
  <c r="P45" i="29" s="1"/>
  <c r="L45" i="29"/>
  <c r="L44" i="29" s="1"/>
  <c r="M44" i="29" s="1"/>
  <c r="N44" i="29"/>
  <c r="J44" i="29"/>
  <c r="J43" i="29" s="1"/>
  <c r="L41" i="29"/>
  <c r="M41" i="29" s="1"/>
  <c r="O41" i="29" s="1"/>
  <c r="L40" i="29"/>
  <c r="M40" i="29" s="1"/>
  <c r="O40" i="29" s="1"/>
  <c r="L39" i="29"/>
  <c r="M39" i="29" s="1"/>
  <c r="O39" i="29" s="1"/>
  <c r="L38" i="29"/>
  <c r="M38" i="29" s="1"/>
  <c r="O38" i="29" s="1"/>
  <c r="L37" i="29"/>
  <c r="M37" i="29" s="1"/>
  <c r="O37" i="29" s="1"/>
  <c r="L36" i="29"/>
  <c r="M36" i="29" s="1"/>
  <c r="O36" i="29" s="1"/>
  <c r="O34" i="29"/>
  <c r="P34" i="29" s="1"/>
  <c r="L33" i="29"/>
  <c r="M33" i="29" s="1"/>
  <c r="O33" i="29" s="1"/>
  <c r="K29" i="29"/>
  <c r="O27" i="29"/>
  <c r="L27" i="29"/>
  <c r="M27" i="29" s="1"/>
  <c r="O26" i="29"/>
  <c r="L26" i="29"/>
  <c r="M26" i="29" s="1"/>
  <c r="O25" i="29"/>
  <c r="L25" i="29"/>
  <c r="Q24" i="29"/>
  <c r="O24" i="29"/>
  <c r="L24" i="29"/>
  <c r="M24" i="29" s="1"/>
  <c r="O23" i="29"/>
  <c r="L23" i="29"/>
  <c r="M23" i="29" s="1"/>
  <c r="O22" i="29"/>
  <c r="M22" i="29"/>
  <c r="O21" i="29"/>
  <c r="O20" i="29"/>
  <c r="M20" i="29"/>
  <c r="Q19" i="29"/>
  <c r="N19" i="29"/>
  <c r="O19" i="29" s="1"/>
  <c r="L19" i="29"/>
  <c r="M19" i="29" s="1"/>
  <c r="P19" i="29" s="1"/>
  <c r="N18" i="29"/>
  <c r="O18" i="29" s="1"/>
  <c r="P18" i="29" s="1"/>
  <c r="M18" i="29"/>
  <c r="Q17" i="29"/>
  <c r="J17" i="29"/>
  <c r="Q16" i="29"/>
  <c r="O16" i="29"/>
  <c r="Q15" i="29"/>
  <c r="N15" i="29"/>
  <c r="O15" i="29" s="1"/>
  <c r="P15" i="29" s="1"/>
  <c r="L15" i="29"/>
  <c r="N14" i="29"/>
  <c r="O14" i="29" s="1"/>
  <c r="P14" i="29" s="1"/>
  <c r="M14" i="29"/>
  <c r="N13" i="29"/>
  <c r="M13" i="29"/>
  <c r="J12" i="29"/>
  <c r="O7" i="29"/>
  <c r="M7" i="29"/>
  <c r="L7" i="29"/>
  <c r="M70" i="28"/>
  <c r="M69" i="28" s="1"/>
  <c r="L70" i="28"/>
  <c r="L69" i="28" s="1"/>
  <c r="K70" i="28"/>
  <c r="K69" i="28" s="1"/>
  <c r="S68" i="28"/>
  <c r="T68" i="28" s="1"/>
  <c r="S67" i="28"/>
  <c r="T67" i="28" s="1"/>
  <c r="P65" i="28"/>
  <c r="M65" i="28"/>
  <c r="L65" i="28"/>
  <c r="K65" i="28"/>
  <c r="O55" i="28"/>
  <c r="L55" i="28"/>
  <c r="K55" i="28"/>
  <c r="O54" i="28"/>
  <c r="H54" i="28"/>
  <c r="N53" i="28"/>
  <c r="L53" i="28"/>
  <c r="H53" i="28"/>
  <c r="H52" i="28"/>
  <c r="K49" i="28"/>
  <c r="S43" i="28"/>
  <c r="T43" i="28" s="1"/>
  <c r="O42" i="28"/>
  <c r="N42" i="28"/>
  <c r="M42" i="28"/>
  <c r="O41" i="28"/>
  <c r="N41" i="28"/>
  <c r="M41" i="28"/>
  <c r="L41" i="28"/>
  <c r="K41" i="28"/>
  <c r="O40" i="28"/>
  <c r="N40" i="28"/>
  <c r="M40" i="28"/>
  <c r="L40" i="28"/>
  <c r="K40" i="28"/>
  <c r="O39" i="28"/>
  <c r="M39" i="28"/>
  <c r="N39" i="28"/>
  <c r="L39" i="28"/>
  <c r="K39" i="28"/>
  <c r="O38" i="28"/>
  <c r="N38" i="28"/>
  <c r="M38" i="28"/>
  <c r="L38" i="28"/>
  <c r="K38" i="28"/>
  <c r="O37" i="28"/>
  <c r="M37" i="28"/>
  <c r="N37" i="28"/>
  <c r="L37" i="28"/>
  <c r="K37" i="28"/>
  <c r="K35" i="28"/>
  <c r="K36" i="28"/>
  <c r="O36" i="28"/>
  <c r="N36" i="28"/>
  <c r="M36" i="28"/>
  <c r="L36" i="28"/>
  <c r="O35" i="28"/>
  <c r="N35" i="28"/>
  <c r="M35" i="28"/>
  <c r="L35" i="28"/>
  <c r="S28" i="28"/>
  <c r="T28" i="28" s="1"/>
  <c r="K25" i="28"/>
  <c r="S22" i="28"/>
  <c r="T22" i="28" s="1"/>
  <c r="M21" i="28"/>
  <c r="L21" i="28"/>
  <c r="K21" i="28"/>
  <c r="M20" i="28"/>
  <c r="L20" i="28"/>
  <c r="K20" i="28"/>
  <c r="O16" i="28"/>
  <c r="N16" i="28"/>
  <c r="M16" i="28"/>
  <c r="L16" i="28"/>
  <c r="K16" i="28"/>
  <c r="O15" i="28"/>
  <c r="M15" i="28"/>
  <c r="N15" i="28"/>
  <c r="L15" i="28"/>
  <c r="K15" i="28"/>
  <c r="O14" i="28"/>
  <c r="N14" i="28"/>
  <c r="M14" i="28"/>
  <c r="L14" i="28"/>
  <c r="K14" i="28"/>
  <c r="P656" i="27"/>
  <c r="P655" i="27" s="1"/>
  <c r="N656" i="27"/>
  <c r="N655" i="27" s="1"/>
  <c r="M656" i="27"/>
  <c r="M655" i="27" s="1"/>
  <c r="L656" i="27"/>
  <c r="L655" i="27" s="1"/>
  <c r="P653" i="27"/>
  <c r="O653" i="27"/>
  <c r="N653" i="27"/>
  <c r="M653" i="27"/>
  <c r="L653" i="27"/>
  <c r="P652" i="27"/>
  <c r="O652" i="27"/>
  <c r="N652" i="27"/>
  <c r="N651" i="27"/>
  <c r="M652" i="27"/>
  <c r="L652" i="27"/>
  <c r="P651" i="27"/>
  <c r="O651" i="27"/>
  <c r="L651" i="27"/>
  <c r="L650" i="27" s="1"/>
  <c r="M651" i="27"/>
  <c r="R648" i="27"/>
  <c r="P648" i="27"/>
  <c r="O648" i="27"/>
  <c r="N648" i="27"/>
  <c r="M648" i="27"/>
  <c r="L648" i="27"/>
  <c r="R647" i="27"/>
  <c r="P647" i="27"/>
  <c r="O647" i="27"/>
  <c r="N647" i="27"/>
  <c r="M647" i="27"/>
  <c r="L647" i="27"/>
  <c r="R646" i="27"/>
  <c r="P646" i="27"/>
  <c r="O646" i="27"/>
  <c r="N646" i="27"/>
  <c r="M646" i="27"/>
  <c r="L646" i="27"/>
  <c r="R645" i="27"/>
  <c r="P645" i="27"/>
  <c r="O645" i="27"/>
  <c r="N645" i="27"/>
  <c r="M645" i="27"/>
  <c r="L645" i="27"/>
  <c r="U644" i="27"/>
  <c r="R644" i="27"/>
  <c r="P644" i="27"/>
  <c r="O644" i="27"/>
  <c r="N644" i="27"/>
  <c r="M644" i="27"/>
  <c r="L644" i="27"/>
  <c r="R643" i="27"/>
  <c r="P643" i="27"/>
  <c r="O643" i="27"/>
  <c r="N643" i="27"/>
  <c r="M643" i="27"/>
  <c r="L643" i="27"/>
  <c r="R642" i="27"/>
  <c r="P642" i="27"/>
  <c r="O642" i="27"/>
  <c r="N642" i="27"/>
  <c r="M642" i="27"/>
  <c r="L642" i="27"/>
  <c r="R641" i="27"/>
  <c r="P641" i="27"/>
  <c r="O641" i="27"/>
  <c r="N641" i="27"/>
  <c r="M641" i="27"/>
  <c r="L641" i="27"/>
  <c r="U640" i="27"/>
  <c r="R640" i="27"/>
  <c r="P640" i="27"/>
  <c r="O640" i="27"/>
  <c r="N640" i="27"/>
  <c r="M640" i="27"/>
  <c r="L640" i="27"/>
  <c r="R639" i="27"/>
  <c r="P639" i="27"/>
  <c r="O639" i="27"/>
  <c r="N639" i="27"/>
  <c r="M639" i="27"/>
  <c r="M637" i="27"/>
  <c r="M638" i="27"/>
  <c r="L639" i="27"/>
  <c r="P638" i="27"/>
  <c r="O638" i="27"/>
  <c r="N638" i="27"/>
  <c r="N637" i="27"/>
  <c r="U637" i="27"/>
  <c r="R637" i="27"/>
  <c r="P637" i="27"/>
  <c r="O637" i="27"/>
  <c r="L637" i="27"/>
  <c r="U632" i="27"/>
  <c r="P632" i="27"/>
  <c r="O632" i="27"/>
  <c r="N632" i="27"/>
  <c r="M632" i="27"/>
  <c r="U631" i="27"/>
  <c r="R631" i="27"/>
  <c r="P631" i="27"/>
  <c r="O631" i="27"/>
  <c r="N631" i="27"/>
  <c r="M631" i="27"/>
  <c r="L631" i="27"/>
  <c r="U630" i="27"/>
  <c r="R630" i="27"/>
  <c r="P630" i="27"/>
  <c r="O630" i="27"/>
  <c r="N630" i="27"/>
  <c r="M630" i="27"/>
  <c r="L630" i="27"/>
  <c r="U629" i="27"/>
  <c r="R629" i="27"/>
  <c r="P629" i="27"/>
  <c r="O629" i="27"/>
  <c r="N629" i="27"/>
  <c r="M629" i="27"/>
  <c r="L629" i="27"/>
  <c r="U628" i="27"/>
  <c r="R628" i="27"/>
  <c r="P628" i="27"/>
  <c r="O628" i="27"/>
  <c r="N628" i="27"/>
  <c r="M628" i="27"/>
  <c r="L628" i="27"/>
  <c r="U627" i="27"/>
  <c r="R627" i="27"/>
  <c r="P627" i="27"/>
  <c r="O627" i="27"/>
  <c r="N627" i="27"/>
  <c r="M627" i="27"/>
  <c r="L627" i="27"/>
  <c r="R626" i="27"/>
  <c r="P626" i="27"/>
  <c r="O626" i="27"/>
  <c r="N626" i="27"/>
  <c r="M626" i="27"/>
  <c r="L626" i="27"/>
  <c r="U625" i="27"/>
  <c r="R625" i="27"/>
  <c r="P625" i="27"/>
  <c r="O625" i="27"/>
  <c r="N625" i="27"/>
  <c r="M625" i="27"/>
  <c r="L625" i="27"/>
  <c r="P624" i="27"/>
  <c r="M624" i="27"/>
  <c r="H624" i="27"/>
  <c r="U623" i="27"/>
  <c r="P623" i="27"/>
  <c r="M623" i="27"/>
  <c r="U622" i="27"/>
  <c r="R622" i="27"/>
  <c r="P622" i="27"/>
  <c r="O622" i="27"/>
  <c r="N622" i="27"/>
  <c r="M622" i="27"/>
  <c r="L622" i="27"/>
  <c r="U621" i="27"/>
  <c r="R621" i="27"/>
  <c r="P621" i="27"/>
  <c r="O621" i="27"/>
  <c r="N621" i="27"/>
  <c r="M621" i="27"/>
  <c r="L621" i="27"/>
  <c r="U620" i="27"/>
  <c r="R620" i="27"/>
  <c r="P620" i="27"/>
  <c r="O620" i="27"/>
  <c r="N620" i="27"/>
  <c r="M620" i="27"/>
  <c r="L620" i="27"/>
  <c r="U619" i="27"/>
  <c r="P619" i="27"/>
  <c r="O619" i="27"/>
  <c r="N619" i="27"/>
  <c r="M619" i="27"/>
  <c r="L619" i="27"/>
  <c r="U618" i="27"/>
  <c r="R618" i="27"/>
  <c r="P618" i="27"/>
  <c r="O618" i="27"/>
  <c r="N618" i="27"/>
  <c r="M618" i="27"/>
  <c r="L618" i="27"/>
  <c r="U617" i="27"/>
  <c r="R617" i="27"/>
  <c r="P617" i="27"/>
  <c r="O617" i="27"/>
  <c r="N617" i="27"/>
  <c r="M617" i="27"/>
  <c r="L617" i="27"/>
  <c r="U616" i="27"/>
  <c r="R616" i="27"/>
  <c r="P616" i="27"/>
  <c r="O616" i="27"/>
  <c r="N616" i="27"/>
  <c r="M616" i="27"/>
  <c r="L616" i="27"/>
  <c r="U615" i="27"/>
  <c r="P615" i="27"/>
  <c r="M615" i="27"/>
  <c r="U614" i="27"/>
  <c r="R614" i="27"/>
  <c r="P614" i="27"/>
  <c r="O614" i="27"/>
  <c r="N614" i="27"/>
  <c r="M614" i="27"/>
  <c r="L614" i="27"/>
  <c r="U613" i="27"/>
  <c r="R613" i="27"/>
  <c r="P613" i="27"/>
  <c r="M613" i="27"/>
  <c r="R612" i="27"/>
  <c r="O612" i="27"/>
  <c r="L612" i="27"/>
  <c r="N612" i="27"/>
  <c r="M612" i="27"/>
  <c r="P611" i="27"/>
  <c r="O611" i="27"/>
  <c r="N611" i="27"/>
  <c r="M611" i="27"/>
  <c r="L611" i="27"/>
  <c r="R610" i="27"/>
  <c r="P610" i="27"/>
  <c r="O610" i="27"/>
  <c r="N610" i="27"/>
  <c r="M610" i="27"/>
  <c r="M608" i="27"/>
  <c r="M609" i="27"/>
  <c r="L610" i="27"/>
  <c r="P609" i="27"/>
  <c r="O609" i="27"/>
  <c r="N609" i="27"/>
  <c r="L609" i="27"/>
  <c r="P608" i="27"/>
  <c r="O608" i="27"/>
  <c r="N608" i="27"/>
  <c r="L608" i="27"/>
  <c r="V583" i="27"/>
  <c r="V580" i="27"/>
  <c r="R580" i="27"/>
  <c r="Q580" i="27"/>
  <c r="N579" i="27"/>
  <c r="N578" i="27" s="1"/>
  <c r="N577" i="27" s="1"/>
  <c r="N576" i="27" s="1"/>
  <c r="N575" i="27" s="1"/>
  <c r="O575" i="27" s="1"/>
  <c r="V575" i="27" s="1"/>
  <c r="K578" i="27"/>
  <c r="K576" i="27" s="1"/>
  <c r="K575" i="27" s="1"/>
  <c r="J578" i="27"/>
  <c r="J576" i="27" s="1"/>
  <c r="J575" i="27" s="1"/>
  <c r="P577" i="27"/>
  <c r="P576" i="27" s="1"/>
  <c r="P575" i="27" s="1"/>
  <c r="D21" i="26" s="1"/>
  <c r="E21" i="26" s="1"/>
  <c r="F21" i="26" s="1"/>
  <c r="Q574" i="27"/>
  <c r="P573" i="27"/>
  <c r="O573" i="27"/>
  <c r="V572" i="27"/>
  <c r="U572" i="27"/>
  <c r="Q572" i="27"/>
  <c r="V571" i="27"/>
  <c r="Q571" i="27"/>
  <c r="V570" i="27"/>
  <c r="U570" i="27"/>
  <c r="Q570" i="27"/>
  <c r="V569" i="27"/>
  <c r="Q569" i="27"/>
  <c r="V568" i="27"/>
  <c r="U568" i="27"/>
  <c r="Q568" i="27"/>
  <c r="V567" i="27"/>
  <c r="Q567" i="27"/>
  <c r="V566" i="27"/>
  <c r="Q566" i="27"/>
  <c r="V565" i="27"/>
  <c r="U565" i="27"/>
  <c r="Q565" i="27"/>
  <c r="V564" i="27"/>
  <c r="Q564" i="27"/>
  <c r="V563" i="27"/>
  <c r="U563" i="27"/>
  <c r="Q563" i="27"/>
  <c r="V562" i="27"/>
  <c r="Q562" i="27"/>
  <c r="V561" i="27"/>
  <c r="Q561" i="27"/>
  <c r="V560" i="27"/>
  <c r="Q560" i="27"/>
  <c r="V559" i="27"/>
  <c r="U559" i="27"/>
  <c r="Q559" i="27"/>
  <c r="V558" i="27"/>
  <c r="Q558" i="27"/>
  <c r="V557" i="27"/>
  <c r="Q557" i="27"/>
  <c r="V556" i="27"/>
  <c r="U556" i="27"/>
  <c r="Q556" i="27"/>
  <c r="V555" i="27"/>
  <c r="Q555" i="27"/>
  <c r="V554" i="27"/>
  <c r="Q554" i="27"/>
  <c r="V553" i="27"/>
  <c r="Q553" i="27"/>
  <c r="V552" i="27"/>
  <c r="Q552" i="27"/>
  <c r="V551" i="27"/>
  <c r="U551" i="27"/>
  <c r="Q551" i="27"/>
  <c r="V550" i="27"/>
  <c r="Q550" i="27"/>
  <c r="V549" i="27"/>
  <c r="Q549" i="27"/>
  <c r="V548" i="27"/>
  <c r="Q548" i="27"/>
  <c r="V547" i="27"/>
  <c r="Q547" i="27"/>
  <c r="V546" i="27"/>
  <c r="U546" i="27"/>
  <c r="Q546" i="27"/>
  <c r="V545" i="27"/>
  <c r="Q545" i="27"/>
  <c r="V544" i="27"/>
  <c r="Q544" i="27"/>
  <c r="V543" i="27"/>
  <c r="U543" i="27"/>
  <c r="Q543" i="27"/>
  <c r="V542" i="27"/>
  <c r="U542" i="27"/>
  <c r="Q542" i="27"/>
  <c r="V541" i="27"/>
  <c r="Q541" i="27"/>
  <c r="V540" i="27"/>
  <c r="U540" i="27"/>
  <c r="Q540" i="27"/>
  <c r="V539" i="27"/>
  <c r="Q539" i="27"/>
  <c r="V538" i="27"/>
  <c r="Q538" i="27"/>
  <c r="V537" i="27"/>
  <c r="Q537" i="27"/>
  <c r="V536" i="27"/>
  <c r="Q536" i="27"/>
  <c r="V535" i="27"/>
  <c r="Q535" i="27"/>
  <c r="V534" i="27"/>
  <c r="U534" i="27"/>
  <c r="Q534" i="27"/>
  <c r="V533" i="27"/>
  <c r="Q533" i="27"/>
  <c r="V532" i="27"/>
  <c r="Q532" i="27"/>
  <c r="V531" i="27"/>
  <c r="Q531" i="27"/>
  <c r="V530" i="27"/>
  <c r="Q530" i="27"/>
  <c r="V529" i="27"/>
  <c r="Q529" i="27"/>
  <c r="V528" i="27"/>
  <c r="U528" i="27"/>
  <c r="U626" i="27" s="1"/>
  <c r="Q528" i="27"/>
  <c r="V527" i="27"/>
  <c r="Q527" i="27"/>
  <c r="V526" i="27"/>
  <c r="Q526" i="27"/>
  <c r="V525" i="27"/>
  <c r="U525" i="27"/>
  <c r="Q525" i="27"/>
  <c r="V524" i="27"/>
  <c r="Q524" i="27"/>
  <c r="V523" i="27"/>
  <c r="U523" i="27"/>
  <c r="Q523" i="27"/>
  <c r="V522" i="27"/>
  <c r="Q522" i="27"/>
  <c r="V521" i="27"/>
  <c r="Q521" i="27"/>
  <c r="V520" i="27"/>
  <c r="U520" i="27"/>
  <c r="U641" i="27" s="1"/>
  <c r="Q520" i="27"/>
  <c r="V519" i="27"/>
  <c r="Q519" i="27"/>
  <c r="V518" i="27"/>
  <c r="Q518" i="27"/>
  <c r="V517" i="27"/>
  <c r="U517" i="27"/>
  <c r="Q517" i="27"/>
  <c r="V516" i="27"/>
  <c r="Q516" i="27"/>
  <c r="V515" i="27"/>
  <c r="Q515" i="27"/>
  <c r="V514" i="27"/>
  <c r="U514" i="27"/>
  <c r="U643" i="27" s="1"/>
  <c r="Q514" i="27"/>
  <c r="V513" i="27"/>
  <c r="Q513" i="27"/>
  <c r="K513" i="27"/>
  <c r="V512" i="27"/>
  <c r="Q512" i="27"/>
  <c r="V511" i="27"/>
  <c r="U511" i="27"/>
  <c r="Q511" i="27"/>
  <c r="V510" i="27"/>
  <c r="Q510" i="27"/>
  <c r="V509" i="27"/>
  <c r="Q509" i="27"/>
  <c r="V508" i="27"/>
  <c r="Q508" i="27"/>
  <c r="V507" i="27"/>
  <c r="Q507" i="27"/>
  <c r="K507" i="27"/>
  <c r="V506" i="27"/>
  <c r="Q506" i="27"/>
  <c r="V505" i="27"/>
  <c r="U505" i="27"/>
  <c r="Q505" i="27"/>
  <c r="V504" i="27"/>
  <c r="Q504" i="27"/>
  <c r="K504" i="27"/>
  <c r="V503" i="27"/>
  <c r="R503" i="27"/>
  <c r="Q503" i="27"/>
  <c r="V502" i="27"/>
  <c r="R502" i="27"/>
  <c r="R611" i="27" s="1"/>
  <c r="Q502" i="27"/>
  <c r="V501" i="27"/>
  <c r="R501" i="27"/>
  <c r="Q501" i="27"/>
  <c r="K501" i="27"/>
  <c r="J501" i="27"/>
  <c r="V500" i="27"/>
  <c r="R500" i="27"/>
  <c r="Q500" i="27"/>
  <c r="V499" i="27"/>
  <c r="R499" i="27"/>
  <c r="R632" i="27" s="1"/>
  <c r="Q499" i="27"/>
  <c r="V498" i="27"/>
  <c r="R498" i="27"/>
  <c r="Q498" i="27"/>
  <c r="N497" i="27"/>
  <c r="N496" i="27" s="1"/>
  <c r="N482" i="27" s="1"/>
  <c r="N481" i="27" s="1"/>
  <c r="L497" i="27"/>
  <c r="V495" i="27"/>
  <c r="V494" i="27"/>
  <c r="U494" i="27"/>
  <c r="Q494" i="27"/>
  <c r="H494" i="27"/>
  <c r="V493" i="27"/>
  <c r="U493" i="27"/>
  <c r="Q493" i="27"/>
  <c r="H493" i="27"/>
  <c r="V492" i="27"/>
  <c r="U492" i="27"/>
  <c r="Q492" i="27"/>
  <c r="H492" i="27"/>
  <c r="V491" i="27"/>
  <c r="U491" i="27"/>
  <c r="Q491" i="27"/>
  <c r="H491" i="27"/>
  <c r="V490" i="27"/>
  <c r="U490" i="27"/>
  <c r="Q490" i="27"/>
  <c r="H490" i="27"/>
  <c r="V489" i="27"/>
  <c r="U489" i="27"/>
  <c r="Q489" i="27"/>
  <c r="H489" i="27"/>
  <c r="V488" i="27"/>
  <c r="U488" i="27"/>
  <c r="Q488" i="27"/>
  <c r="H488" i="27"/>
  <c r="V487" i="27"/>
  <c r="U487" i="27"/>
  <c r="Q487" i="27"/>
  <c r="H487" i="27"/>
  <c r="V486" i="27"/>
  <c r="U486" i="27"/>
  <c r="Q486" i="27"/>
  <c r="H486" i="27"/>
  <c r="V485" i="27"/>
  <c r="U485" i="27"/>
  <c r="R485" i="27"/>
  <c r="Q485" i="27"/>
  <c r="H485" i="27"/>
  <c r="R484" i="27"/>
  <c r="Q484" i="27"/>
  <c r="O484" i="27"/>
  <c r="V484" i="27" s="1"/>
  <c r="K484" i="27"/>
  <c r="K482" i="27" s="1"/>
  <c r="K481" i="27" s="1"/>
  <c r="K462" i="27"/>
  <c r="K459" i="27"/>
  <c r="K465" i="27"/>
  <c r="K471" i="27"/>
  <c r="K476" i="27"/>
  <c r="V483" i="27"/>
  <c r="U483" i="27"/>
  <c r="R483" i="27"/>
  <c r="Q483" i="27"/>
  <c r="P482" i="27"/>
  <c r="P481" i="27" s="1"/>
  <c r="M482" i="27"/>
  <c r="M481" i="27" s="1"/>
  <c r="M471" i="27"/>
  <c r="J482" i="27"/>
  <c r="J481" i="27" s="1"/>
  <c r="V480" i="27"/>
  <c r="V479" i="27"/>
  <c r="U479" i="27"/>
  <c r="U647" i="27" s="1"/>
  <c r="Q479" i="27"/>
  <c r="V478" i="27"/>
  <c r="R478" i="27"/>
  <c r="Q478" i="27"/>
  <c r="V477" i="27"/>
  <c r="R477" i="27"/>
  <c r="Q477" i="27"/>
  <c r="N476" i="27"/>
  <c r="O476" i="27" s="1"/>
  <c r="V476" i="27" s="1"/>
  <c r="L476" i="27"/>
  <c r="R476" i="27" s="1"/>
  <c r="J476" i="27"/>
  <c r="J444" i="27"/>
  <c r="J462" i="27"/>
  <c r="J465" i="27"/>
  <c r="J471" i="27"/>
  <c r="V475" i="27"/>
  <c r="V474" i="27"/>
  <c r="U474" i="27"/>
  <c r="R474" i="27"/>
  <c r="Q474" i="27"/>
  <c r="H474" i="27"/>
  <c r="V473" i="27"/>
  <c r="U473" i="27"/>
  <c r="R473" i="27"/>
  <c r="Q473" i="27"/>
  <c r="H473" i="27"/>
  <c r="V472" i="27"/>
  <c r="U472" i="27"/>
  <c r="U609" i="27" s="1"/>
  <c r="R472" i="27"/>
  <c r="R609" i="27" s="1"/>
  <c r="Q472" i="27"/>
  <c r="H472" i="27"/>
  <c r="P471" i="27"/>
  <c r="O471" i="27"/>
  <c r="V471" i="27" s="1"/>
  <c r="N471" i="27"/>
  <c r="L471" i="27"/>
  <c r="V469" i="27"/>
  <c r="R469" i="27"/>
  <c r="R638" i="27" s="1"/>
  <c r="Q469" i="27"/>
  <c r="H469" i="27"/>
  <c r="V468" i="27"/>
  <c r="U468" i="27"/>
  <c r="R468" i="27"/>
  <c r="Q468" i="27"/>
  <c r="H468" i="27"/>
  <c r="V467" i="27"/>
  <c r="U467" i="27"/>
  <c r="R467" i="27"/>
  <c r="R608" i="27" s="1"/>
  <c r="Q467" i="27"/>
  <c r="H467" i="27"/>
  <c r="V466" i="27"/>
  <c r="U466" i="27"/>
  <c r="R466" i="27"/>
  <c r="Q466" i="27"/>
  <c r="H466" i="27"/>
  <c r="N465" i="27"/>
  <c r="O465" i="27" s="1"/>
  <c r="V465" i="27" s="1"/>
  <c r="L465" i="27"/>
  <c r="R465" i="27" s="1"/>
  <c r="V463" i="27"/>
  <c r="U463" i="27"/>
  <c r="R463" i="27"/>
  <c r="R619" i="27" s="1"/>
  <c r="Q463" i="27"/>
  <c r="L462" i="27"/>
  <c r="V461" i="27"/>
  <c r="R461" i="27"/>
  <c r="Q461" i="27"/>
  <c r="V460" i="27"/>
  <c r="U460" i="27"/>
  <c r="R460" i="27"/>
  <c r="Q460" i="27"/>
  <c r="N459" i="27"/>
  <c r="O459" i="27" s="1"/>
  <c r="V459" i="27" s="1"/>
  <c r="L459" i="27"/>
  <c r="V458" i="27"/>
  <c r="R458" i="27"/>
  <c r="Q458" i="27"/>
  <c r="U457" i="27"/>
  <c r="U456" i="27" s="1"/>
  <c r="U624" i="27" s="1"/>
  <c r="V455" i="27"/>
  <c r="R455" i="27"/>
  <c r="Q455" i="27"/>
  <c r="U454" i="27"/>
  <c r="V452" i="27"/>
  <c r="R452" i="27"/>
  <c r="Q452" i="27"/>
  <c r="V449" i="27"/>
  <c r="R449" i="27"/>
  <c r="Q449" i="27"/>
  <c r="U448" i="27"/>
  <c r="U446" i="27"/>
  <c r="V445" i="27"/>
  <c r="U445" i="27"/>
  <c r="R445" i="27"/>
  <c r="Q445" i="27"/>
  <c r="V442" i="27"/>
  <c r="V439" i="27"/>
  <c r="K437" i="27"/>
  <c r="J437" i="27"/>
  <c r="H437" i="27"/>
  <c r="V434" i="27"/>
  <c r="R434" i="27"/>
  <c r="Q434" i="27"/>
  <c r="H434" i="27"/>
  <c r="V433" i="27"/>
  <c r="R433" i="27"/>
  <c r="Q433" i="27"/>
  <c r="H433" i="27"/>
  <c r="V432" i="27"/>
  <c r="R432" i="27"/>
  <c r="Q432" i="27"/>
  <c r="H432" i="27"/>
  <c r="V431" i="27"/>
  <c r="R431" i="27"/>
  <c r="Q431" i="27"/>
  <c r="H431" i="27"/>
  <c r="V430" i="27"/>
  <c r="R430" i="27"/>
  <c r="Q430" i="27"/>
  <c r="H430" i="27"/>
  <c r="O429" i="27"/>
  <c r="V429" i="27" s="1"/>
  <c r="N429" i="27"/>
  <c r="L429" i="27"/>
  <c r="R429" i="27" s="1"/>
  <c r="K429" i="27"/>
  <c r="J429" i="27"/>
  <c r="H429" i="27"/>
  <c r="P428" i="27"/>
  <c r="P427" i="27" s="1"/>
  <c r="G428" i="27"/>
  <c r="F427" i="27"/>
  <c r="V426" i="27"/>
  <c r="V425" i="27"/>
  <c r="R425" i="27"/>
  <c r="Q425" i="27"/>
  <c r="H425" i="27"/>
  <c r="V424" i="27"/>
  <c r="R424" i="27"/>
  <c r="Q424" i="27"/>
  <c r="H424" i="27"/>
  <c r="P423" i="27"/>
  <c r="L423" i="27"/>
  <c r="L422" i="27" s="1"/>
  <c r="O423" i="27"/>
  <c r="N423" i="27"/>
  <c r="N422" i="27" s="1"/>
  <c r="G423" i="27"/>
  <c r="K422" i="27"/>
  <c r="J422" i="27"/>
  <c r="F422" i="27"/>
  <c r="Q421" i="27"/>
  <c r="N421" i="27"/>
  <c r="N417" i="27" s="1"/>
  <c r="V420" i="27"/>
  <c r="R420" i="27"/>
  <c r="Q420" i="27"/>
  <c r="H420" i="27"/>
  <c r="V419" i="27"/>
  <c r="R419" i="27"/>
  <c r="Q419" i="27"/>
  <c r="H419" i="27"/>
  <c r="V418" i="27"/>
  <c r="R418" i="27"/>
  <c r="Q418" i="27"/>
  <c r="H418" i="27"/>
  <c r="P417" i="27"/>
  <c r="L417" i="27"/>
  <c r="Q417" i="27" s="1"/>
  <c r="K417" i="27"/>
  <c r="J417" i="27"/>
  <c r="G417" i="27"/>
  <c r="V416" i="27"/>
  <c r="R416" i="27"/>
  <c r="Q416" i="27"/>
  <c r="H416" i="27"/>
  <c r="H415" i="27"/>
  <c r="V414" i="27"/>
  <c r="R414" i="27"/>
  <c r="Q414" i="27"/>
  <c r="H414" i="27"/>
  <c r="V411" i="27"/>
  <c r="Q411" i="27"/>
  <c r="H411" i="27"/>
  <c r="V410" i="27"/>
  <c r="R410" i="27"/>
  <c r="Q410" i="27"/>
  <c r="H410" i="27"/>
  <c r="P409" i="27"/>
  <c r="P408" i="27" s="1"/>
  <c r="D12" i="26" s="1"/>
  <c r="E12" i="26" s="1"/>
  <c r="F12" i="26" s="1"/>
  <c r="K409" i="27"/>
  <c r="K408" i="27" s="1"/>
  <c r="J409" i="27"/>
  <c r="J408" i="27" s="1"/>
  <c r="G409" i="27"/>
  <c r="F408" i="27"/>
  <c r="V406" i="27"/>
  <c r="N405" i="27"/>
  <c r="O405" i="27" s="1"/>
  <c r="V405" i="27" s="1"/>
  <c r="N403" i="27"/>
  <c r="O403" i="27" s="1"/>
  <c r="V403" i="27" s="1"/>
  <c r="L402" i="27"/>
  <c r="N401" i="27"/>
  <c r="V400" i="27"/>
  <c r="Q400" i="27"/>
  <c r="V399" i="27"/>
  <c r="Q399" i="27"/>
  <c r="V398" i="27"/>
  <c r="V397" i="27"/>
  <c r="R397" i="27"/>
  <c r="Q397" i="27"/>
  <c r="U396" i="27"/>
  <c r="V394" i="27"/>
  <c r="G393" i="27"/>
  <c r="G392" i="27"/>
  <c r="G391" i="27"/>
  <c r="U390" i="27"/>
  <c r="K390" i="27"/>
  <c r="J390" i="27"/>
  <c r="V388" i="27"/>
  <c r="V387" i="27"/>
  <c r="R387" i="27"/>
  <c r="Q387" i="27"/>
  <c r="V386" i="27"/>
  <c r="R386" i="27"/>
  <c r="Q386" i="27"/>
  <c r="H386" i="27"/>
  <c r="V385" i="27"/>
  <c r="R385" i="27"/>
  <c r="Q385" i="27"/>
  <c r="V384" i="27"/>
  <c r="R384" i="27"/>
  <c r="Q384" i="27"/>
  <c r="V383" i="27"/>
  <c r="R383" i="27"/>
  <c r="Q383" i="27"/>
  <c r="P382" i="27"/>
  <c r="O382" i="27"/>
  <c r="N382" i="27"/>
  <c r="N381" i="27" s="1"/>
  <c r="M382" i="27"/>
  <c r="M381" i="27" s="1"/>
  <c r="L382" i="27"/>
  <c r="L381" i="27" s="1"/>
  <c r="K382" i="27"/>
  <c r="K381" i="27" s="1"/>
  <c r="J382" i="27"/>
  <c r="J381" i="27" s="1"/>
  <c r="U381" i="27"/>
  <c r="F381" i="27"/>
  <c r="V379" i="27"/>
  <c r="V378" i="27"/>
  <c r="R378" i="27"/>
  <c r="Q378" i="27"/>
  <c r="V377" i="27"/>
  <c r="R377" i="27"/>
  <c r="Q377" i="27"/>
  <c r="U376" i="27"/>
  <c r="O376" i="27"/>
  <c r="V376" i="27" s="1"/>
  <c r="N376" i="27"/>
  <c r="N374" i="27" s="1"/>
  <c r="O374" i="27" s="1"/>
  <c r="V374" i="27" s="1"/>
  <c r="L376" i="27"/>
  <c r="V375" i="27"/>
  <c r="U375" i="27"/>
  <c r="R375" i="27"/>
  <c r="Q375" i="27"/>
  <c r="K374" i="27"/>
  <c r="J374" i="27"/>
  <c r="V372" i="27"/>
  <c r="Q372" i="27"/>
  <c r="N370" i="27"/>
  <c r="N369" i="27"/>
  <c r="N367" i="27" s="1"/>
  <c r="R368" i="27"/>
  <c r="Q368" i="27"/>
  <c r="N368" i="27"/>
  <c r="P367" i="27"/>
  <c r="K367" i="27"/>
  <c r="J367" i="27"/>
  <c r="G365" i="27"/>
  <c r="G364" i="27"/>
  <c r="G363" i="27"/>
  <c r="G362" i="27"/>
  <c r="G361" i="27"/>
  <c r="G360" i="27"/>
  <c r="N359" i="27"/>
  <c r="G359" i="27"/>
  <c r="G358" i="27"/>
  <c r="V357" i="27"/>
  <c r="Q357" i="27"/>
  <c r="V356" i="27"/>
  <c r="Q356" i="27"/>
  <c r="V355" i="27"/>
  <c r="Q355" i="27"/>
  <c r="V354" i="27"/>
  <c r="Q354" i="27"/>
  <c r="V353" i="27"/>
  <c r="Q353" i="27"/>
  <c r="V352" i="27"/>
  <c r="Q352" i="27"/>
  <c r="V351" i="27"/>
  <c r="Q351" i="27"/>
  <c r="V350" i="27"/>
  <c r="Q350" i="27"/>
  <c r="V349" i="27"/>
  <c r="Q349" i="27"/>
  <c r="V348" i="27"/>
  <c r="Q348" i="27"/>
  <c r="V347" i="27"/>
  <c r="Q347" i="27"/>
  <c r="V346" i="27"/>
  <c r="Q346" i="27"/>
  <c r="V345" i="27"/>
  <c r="Q345" i="27"/>
  <c r="V344" i="27"/>
  <c r="Q344" i="27"/>
  <c r="V343" i="27"/>
  <c r="Q343" i="27"/>
  <c r="V342" i="27"/>
  <c r="Q342" i="27"/>
  <c r="V341" i="27"/>
  <c r="Q341" i="27"/>
  <c r="V340" i="27"/>
  <c r="Q340" i="27"/>
  <c r="V339" i="27"/>
  <c r="Q339" i="27"/>
  <c r="V338" i="27"/>
  <c r="Q338" i="27"/>
  <c r="V337" i="27"/>
  <c r="Q337" i="27"/>
  <c r="V336" i="27"/>
  <c r="Q336" i="27"/>
  <c r="V335" i="27"/>
  <c r="Q335" i="27"/>
  <c r="V334" i="27"/>
  <c r="Q334" i="27"/>
  <c r="V333" i="27"/>
  <c r="Q333" i="27"/>
  <c r="V332" i="27"/>
  <c r="Q332" i="27"/>
  <c r="V331" i="27"/>
  <c r="Q331" i="27"/>
  <c r="V330" i="27"/>
  <c r="Q330" i="27"/>
  <c r="V329" i="27"/>
  <c r="Q329" i="27"/>
  <c r="V328" i="27"/>
  <c r="Q328" i="27"/>
  <c r="V327" i="27"/>
  <c r="Q327" i="27"/>
  <c r="V326" i="27"/>
  <c r="Q326" i="27"/>
  <c r="V325" i="27"/>
  <c r="Q325" i="27"/>
  <c r="V324" i="27"/>
  <c r="Q324" i="27"/>
  <c r="V323" i="27"/>
  <c r="U323" i="27"/>
  <c r="Q323" i="27"/>
  <c r="V322" i="27"/>
  <c r="Q322" i="27"/>
  <c r="V321" i="27"/>
  <c r="Q321" i="27"/>
  <c r="V320" i="27"/>
  <c r="Q320" i="27"/>
  <c r="V319" i="27"/>
  <c r="Q319" i="27"/>
  <c r="V318" i="27"/>
  <c r="R318" i="27"/>
  <c r="Q318" i="27"/>
  <c r="V316" i="27"/>
  <c r="G316" i="27"/>
  <c r="G315" i="27"/>
  <c r="V314" i="27"/>
  <c r="R314" i="27"/>
  <c r="Q314" i="27"/>
  <c r="G314" i="27"/>
  <c r="L313" i="27"/>
  <c r="Q313" i="27" s="1"/>
  <c r="K313" i="27"/>
  <c r="K300" i="27" s="1"/>
  <c r="J313" i="27"/>
  <c r="J300" i="27" s="1"/>
  <c r="U312" i="27"/>
  <c r="L312" i="27"/>
  <c r="V311" i="27"/>
  <c r="R311" i="27"/>
  <c r="Q311" i="27"/>
  <c r="V310" i="27"/>
  <c r="R310" i="27"/>
  <c r="Q310" i="27"/>
  <c r="U308" i="27"/>
  <c r="L308" i="27"/>
  <c r="V307" i="27"/>
  <c r="R307" i="27"/>
  <c r="Q307" i="27"/>
  <c r="V306" i="27"/>
  <c r="Q306" i="27"/>
  <c r="V305" i="27"/>
  <c r="P305" i="27"/>
  <c r="Q305" i="27" s="1"/>
  <c r="V304" i="27"/>
  <c r="R304" i="27"/>
  <c r="Q304" i="27"/>
  <c r="V303" i="27"/>
  <c r="R303" i="27"/>
  <c r="Q303" i="27"/>
  <c r="V302" i="27"/>
  <c r="R302" i="27"/>
  <c r="Q302" i="27"/>
  <c r="V301" i="27"/>
  <c r="Q301" i="27"/>
  <c r="M300" i="27"/>
  <c r="V299" i="27"/>
  <c r="V298" i="27"/>
  <c r="U298" i="27"/>
  <c r="Q298" i="27"/>
  <c r="K298" i="27"/>
  <c r="J298" i="27"/>
  <c r="N297" i="27"/>
  <c r="O297" i="27" s="1"/>
  <c r="V297" i="27" s="1"/>
  <c r="L297" i="27"/>
  <c r="Q297" i="27" s="1"/>
  <c r="K297" i="27"/>
  <c r="J297" i="27"/>
  <c r="V296" i="27"/>
  <c r="V295" i="27"/>
  <c r="R295" i="27"/>
  <c r="Q295" i="27"/>
  <c r="V294" i="27"/>
  <c r="R294" i="27"/>
  <c r="Q294" i="27"/>
  <c r="V293" i="27"/>
  <c r="R293" i="27"/>
  <c r="Q293" i="27"/>
  <c r="P292" i="27"/>
  <c r="O292" i="27"/>
  <c r="V292" i="27" s="1"/>
  <c r="N292" i="27"/>
  <c r="M292" i="27"/>
  <c r="L292" i="27"/>
  <c r="K292" i="27"/>
  <c r="J292" i="27"/>
  <c r="V291" i="27"/>
  <c r="Q291" i="27"/>
  <c r="H291" i="27"/>
  <c r="V290" i="27"/>
  <c r="Q290" i="27"/>
  <c r="H290" i="27"/>
  <c r="V289" i="27"/>
  <c r="Q289" i="27"/>
  <c r="H289" i="27"/>
  <c r="V288" i="27"/>
  <c r="Q288" i="27"/>
  <c r="H288" i="27"/>
  <c r="V287" i="27"/>
  <c r="Q287" i="27"/>
  <c r="H287" i="27"/>
  <c r="V286" i="27"/>
  <c r="Q286" i="27"/>
  <c r="H286" i="27"/>
  <c r="V285" i="27"/>
  <c r="Q285" i="27"/>
  <c r="H285" i="27"/>
  <c r="V284" i="27"/>
  <c r="Q284" i="27"/>
  <c r="H284" i="27"/>
  <c r="V283" i="27"/>
  <c r="Q283" i="27"/>
  <c r="H283" i="27"/>
  <c r="V282" i="27"/>
  <c r="Q282" i="27"/>
  <c r="H282" i="27"/>
  <c r="R281" i="27"/>
  <c r="Q281" i="27"/>
  <c r="O281" i="27"/>
  <c r="V281" i="27" s="1"/>
  <c r="K281" i="27"/>
  <c r="K269" i="27" s="1"/>
  <c r="V280" i="27"/>
  <c r="Q280" i="27"/>
  <c r="H280" i="27"/>
  <c r="V279" i="27"/>
  <c r="Q279" i="27"/>
  <c r="H279" i="27"/>
  <c r="V278" i="27"/>
  <c r="Q278" i="27"/>
  <c r="H278" i="27"/>
  <c r="V277" i="27"/>
  <c r="Q277" i="27"/>
  <c r="H277" i="27"/>
  <c r="V276" i="27"/>
  <c r="Q276" i="27"/>
  <c r="H276" i="27"/>
  <c r="V275" i="27"/>
  <c r="Q275" i="27"/>
  <c r="H275" i="27"/>
  <c r="V274" i="27"/>
  <c r="Q274" i="27"/>
  <c r="H274" i="27"/>
  <c r="V273" i="27"/>
  <c r="Q273" i="27"/>
  <c r="H273" i="27"/>
  <c r="V272" i="27"/>
  <c r="Q272" i="27"/>
  <c r="H272" i="27"/>
  <c r="V271" i="27"/>
  <c r="Q271" i="27"/>
  <c r="H271" i="27"/>
  <c r="V270" i="27"/>
  <c r="R270" i="27"/>
  <c r="Q270" i="27"/>
  <c r="P269" i="27"/>
  <c r="O269" i="27"/>
  <c r="V269" i="27" s="1"/>
  <c r="N269" i="27"/>
  <c r="M269" i="27"/>
  <c r="L269" i="27"/>
  <c r="J269" i="27"/>
  <c r="V268" i="27"/>
  <c r="V267" i="27"/>
  <c r="Q267" i="27"/>
  <c r="V266" i="27"/>
  <c r="Q266" i="27"/>
  <c r="V265" i="27"/>
  <c r="Q265" i="27"/>
  <c r="V264" i="27"/>
  <c r="Q264" i="27"/>
  <c r="V263" i="27"/>
  <c r="Q263" i="27"/>
  <c r="V262" i="27"/>
  <c r="Q262" i="27"/>
  <c r="V261" i="27"/>
  <c r="Q261" i="27"/>
  <c r="V260" i="27"/>
  <c r="Q260" i="27"/>
  <c r="V259" i="27"/>
  <c r="Q259" i="27"/>
  <c r="V258" i="27"/>
  <c r="Q258" i="27"/>
  <c r="V257" i="27"/>
  <c r="Q257" i="27"/>
  <c r="V256" i="27"/>
  <c r="Q256" i="27"/>
  <c r="V255" i="27"/>
  <c r="Q255" i="27"/>
  <c r="V254" i="27"/>
  <c r="Q254" i="27"/>
  <c r="V253" i="27"/>
  <c r="Q253" i="27"/>
  <c r="V252" i="27"/>
  <c r="P252" i="27"/>
  <c r="Q252" i="27" s="1"/>
  <c r="K252" i="27"/>
  <c r="K251" i="27" s="1"/>
  <c r="O251" i="27"/>
  <c r="V251" i="27" s="1"/>
  <c r="N251" i="27"/>
  <c r="M251" i="27"/>
  <c r="M238" i="27"/>
  <c r="M244" i="27"/>
  <c r="M247" i="27"/>
  <c r="L251" i="27"/>
  <c r="V250" i="27"/>
  <c r="V249" i="27"/>
  <c r="R249" i="27"/>
  <c r="Q249" i="27"/>
  <c r="V248" i="27"/>
  <c r="R248" i="27"/>
  <c r="Q248" i="27"/>
  <c r="P247" i="27"/>
  <c r="O247" i="27"/>
  <c r="V247" i="27" s="1"/>
  <c r="N247" i="27"/>
  <c r="L247" i="27"/>
  <c r="K247" i="27"/>
  <c r="J247" i="27"/>
  <c r="O246" i="27"/>
  <c r="V246" i="27" s="1"/>
  <c r="V245" i="27"/>
  <c r="R245" i="27"/>
  <c r="Q245" i="27"/>
  <c r="P244" i="27"/>
  <c r="Q244" i="27" s="1"/>
  <c r="O244" i="27"/>
  <c r="V244" i="27" s="1"/>
  <c r="N244" i="27"/>
  <c r="L244" i="27"/>
  <c r="K244" i="27"/>
  <c r="J244" i="27"/>
  <c r="V243" i="27"/>
  <c r="V242" i="27"/>
  <c r="V241" i="27"/>
  <c r="R241" i="27"/>
  <c r="Q241" i="27"/>
  <c r="V240" i="27"/>
  <c r="P240" i="27"/>
  <c r="P238" i="27" s="1"/>
  <c r="V239" i="27"/>
  <c r="Q239" i="27"/>
  <c r="O238" i="27"/>
  <c r="V238" i="27" s="1"/>
  <c r="N238" i="27"/>
  <c r="L238" i="27"/>
  <c r="K238" i="27"/>
  <c r="J238" i="27"/>
  <c r="V237" i="27"/>
  <c r="V236" i="27"/>
  <c r="R236" i="27"/>
  <c r="Q236" i="27"/>
  <c r="F236" i="27"/>
  <c r="V235" i="27"/>
  <c r="Q235" i="27"/>
  <c r="F235" i="27"/>
  <c r="V234" i="27"/>
  <c r="Q234" i="27"/>
  <c r="F234" i="27"/>
  <c r="V233" i="27"/>
  <c r="R233" i="27"/>
  <c r="Q233" i="27"/>
  <c r="F233" i="27"/>
  <c r="V232" i="27"/>
  <c r="U232" i="27"/>
  <c r="Q232" i="27"/>
  <c r="F232" i="27"/>
  <c r="P231" i="27"/>
  <c r="N231" i="27"/>
  <c r="O231" i="27" s="1"/>
  <c r="V231" i="27" s="1"/>
  <c r="L231" i="27"/>
  <c r="K231" i="27"/>
  <c r="J231" i="27"/>
  <c r="V229" i="27"/>
  <c r="V228" i="27"/>
  <c r="R228" i="27"/>
  <c r="Q228" i="27"/>
  <c r="V227" i="27"/>
  <c r="R227" i="27"/>
  <c r="Q227" i="27"/>
  <c r="V226" i="27"/>
  <c r="T226" i="27"/>
  <c r="R226" i="27"/>
  <c r="Q226" i="27"/>
  <c r="G226" i="27"/>
  <c r="V225" i="27"/>
  <c r="T225" i="27"/>
  <c r="R225" i="27"/>
  <c r="Q225" i="27"/>
  <c r="G225" i="27"/>
  <c r="V224" i="27"/>
  <c r="T224" i="27"/>
  <c r="Q224" i="27"/>
  <c r="G224" i="27"/>
  <c r="V223" i="27"/>
  <c r="T223" i="27"/>
  <c r="R223" i="27"/>
  <c r="Q223" i="27"/>
  <c r="G223" i="27"/>
  <c r="V222" i="27"/>
  <c r="T222" i="27"/>
  <c r="R222" i="27"/>
  <c r="Q222" i="27"/>
  <c r="G222" i="27"/>
  <c r="V221" i="27"/>
  <c r="T221" i="27"/>
  <c r="R221" i="27"/>
  <c r="Q221" i="27"/>
  <c r="G221" i="27"/>
  <c r="V220" i="27"/>
  <c r="T220" i="27"/>
  <c r="R220" i="27"/>
  <c r="Q220" i="27"/>
  <c r="G220" i="27"/>
  <c r="P219" i="27"/>
  <c r="N219" i="27"/>
  <c r="O219" i="27" s="1"/>
  <c r="L219" i="27"/>
  <c r="K219" i="27"/>
  <c r="K218" i="27" s="1"/>
  <c r="K217" i="27" s="1"/>
  <c r="J219" i="27"/>
  <c r="J218" i="27" s="1"/>
  <c r="J217" i="27" s="1"/>
  <c r="M217" i="27"/>
  <c r="U215" i="27"/>
  <c r="U214" i="27" s="1"/>
  <c r="N215" i="27"/>
  <c r="N214" i="27" s="1"/>
  <c r="P214" i="27"/>
  <c r="K214" i="27"/>
  <c r="J214" i="27"/>
  <c r="V213" i="27"/>
  <c r="N212" i="27"/>
  <c r="N211" i="27" s="1"/>
  <c r="O211" i="27" s="1"/>
  <c r="V211" i="27" s="1"/>
  <c r="P211" i="27"/>
  <c r="K211" i="27"/>
  <c r="J211" i="27"/>
  <c r="J206" i="27"/>
  <c r="V210" i="27"/>
  <c r="N207" i="27"/>
  <c r="P206" i="27"/>
  <c r="K206" i="27"/>
  <c r="V204" i="27"/>
  <c r="V203" i="27"/>
  <c r="U203" i="27"/>
  <c r="U196" i="27" s="1"/>
  <c r="R203" i="27"/>
  <c r="Q203" i="27"/>
  <c r="H203" i="27"/>
  <c r="V202" i="27"/>
  <c r="R202" i="27"/>
  <c r="Q202" i="27"/>
  <c r="H202" i="27"/>
  <c r="V201" i="27"/>
  <c r="R201" i="27"/>
  <c r="Q201" i="27"/>
  <c r="H201" i="27"/>
  <c r="V200" i="27"/>
  <c r="Q200" i="27"/>
  <c r="H200" i="27"/>
  <c r="V199" i="27"/>
  <c r="R199" i="27"/>
  <c r="Q199" i="27"/>
  <c r="H199" i="27"/>
  <c r="V198" i="27"/>
  <c r="R198" i="27"/>
  <c r="Q198" i="27"/>
  <c r="H198" i="27"/>
  <c r="V197" i="27"/>
  <c r="R197" i="27"/>
  <c r="Q197" i="27"/>
  <c r="H197" i="27"/>
  <c r="P196" i="27"/>
  <c r="O196" i="27"/>
  <c r="V196" i="27" s="1"/>
  <c r="N196" i="27"/>
  <c r="M196" i="27"/>
  <c r="L196" i="27"/>
  <c r="K196" i="27"/>
  <c r="J196" i="27"/>
  <c r="V195" i="27"/>
  <c r="Q195" i="27"/>
  <c r="H195" i="27"/>
  <c r="V194" i="27"/>
  <c r="Q194" i="27"/>
  <c r="H194" i="27"/>
  <c r="V193" i="27"/>
  <c r="Q193" i="27"/>
  <c r="H193" i="27"/>
  <c r="V192" i="27"/>
  <c r="R192" i="27"/>
  <c r="Q192" i="27"/>
  <c r="H192" i="27"/>
  <c r="V191" i="27"/>
  <c r="R191" i="27"/>
  <c r="Q191" i="27"/>
  <c r="H191" i="27"/>
  <c r="V190" i="27"/>
  <c r="R190" i="27"/>
  <c r="Q190" i="27"/>
  <c r="H190" i="27"/>
  <c r="V189" i="27"/>
  <c r="Q189" i="27"/>
  <c r="H189" i="27"/>
  <c r="P188" i="27"/>
  <c r="O188" i="27"/>
  <c r="V188" i="27" s="1"/>
  <c r="N188" i="27"/>
  <c r="M188" i="27"/>
  <c r="L188" i="27"/>
  <c r="K188" i="27"/>
  <c r="J188" i="27"/>
  <c r="V187" i="27"/>
  <c r="Q187" i="27"/>
  <c r="V186" i="27"/>
  <c r="Q186" i="27"/>
  <c r="V185" i="27"/>
  <c r="Q185" i="27"/>
  <c r="V184" i="27"/>
  <c r="Q184" i="27"/>
  <c r="P183" i="27"/>
  <c r="L183" i="27"/>
  <c r="O183" i="27"/>
  <c r="V183" i="27" s="1"/>
  <c r="N183" i="27"/>
  <c r="M183" i="27"/>
  <c r="K183" i="27"/>
  <c r="J183" i="27"/>
  <c r="V182" i="27"/>
  <c r="Q182" i="27"/>
  <c r="V181" i="27"/>
  <c r="Q181" i="27"/>
  <c r="V180" i="27"/>
  <c r="R180" i="27"/>
  <c r="Q180" i="27"/>
  <c r="H180" i="27"/>
  <c r="V179" i="27"/>
  <c r="Q179" i="27"/>
  <c r="H179" i="27"/>
  <c r="V178" i="27"/>
  <c r="Q178" i="27"/>
  <c r="H178" i="27"/>
  <c r="V177" i="27"/>
  <c r="R177" i="27"/>
  <c r="Q177" i="27"/>
  <c r="H177" i="27"/>
  <c r="V176" i="27"/>
  <c r="R176" i="27"/>
  <c r="Q176" i="27"/>
  <c r="H176" i="27"/>
  <c r="V175" i="27"/>
  <c r="R175" i="27"/>
  <c r="Q175" i="27"/>
  <c r="H175" i="27"/>
  <c r="V174" i="27"/>
  <c r="Q174" i="27"/>
  <c r="H174" i="27"/>
  <c r="V173" i="27"/>
  <c r="Q173" i="27"/>
  <c r="H173" i="27"/>
  <c r="V172" i="27"/>
  <c r="R172" i="27"/>
  <c r="Q172" i="27"/>
  <c r="H172" i="27"/>
  <c r="V171" i="27"/>
  <c r="R171" i="27"/>
  <c r="Q171" i="27"/>
  <c r="H171" i="27"/>
  <c r="V170" i="27"/>
  <c r="R170" i="27"/>
  <c r="Q170" i="27"/>
  <c r="H170" i="27"/>
  <c r="P169" i="27"/>
  <c r="O169" i="27"/>
  <c r="N169" i="27"/>
  <c r="M169" i="27"/>
  <c r="L169" i="27"/>
  <c r="K169" i="27"/>
  <c r="J169" i="27"/>
  <c r="V168" i="27"/>
  <c r="Q168" i="27"/>
  <c r="V167" i="27"/>
  <c r="Q167" i="27"/>
  <c r="J167" i="27"/>
  <c r="V165" i="27"/>
  <c r="Q162" i="27"/>
  <c r="P162" i="27"/>
  <c r="P159" i="27" s="1"/>
  <c r="Q161" i="27"/>
  <c r="P160" i="27"/>
  <c r="Q160" i="27" s="1"/>
  <c r="O159" i="27"/>
  <c r="V159" i="27" s="1"/>
  <c r="L159" i="27"/>
  <c r="K159" i="27"/>
  <c r="J159" i="27"/>
  <c r="V158" i="27"/>
  <c r="Q158" i="27"/>
  <c r="V157" i="27"/>
  <c r="U157" i="27"/>
  <c r="R157" i="27"/>
  <c r="Q157" i="27"/>
  <c r="V156" i="27"/>
  <c r="R156" i="27"/>
  <c r="Q156" i="27"/>
  <c r="K156" i="27"/>
  <c r="J156" i="27"/>
  <c r="R155" i="27"/>
  <c r="Q155" i="27"/>
  <c r="Q154" i="27"/>
  <c r="V154" i="27"/>
  <c r="R154" i="27"/>
  <c r="P153" i="27"/>
  <c r="L153" i="27"/>
  <c r="O153" i="27"/>
  <c r="V153" i="27" s="1"/>
  <c r="N153" i="27"/>
  <c r="M153" i="27"/>
  <c r="K153" i="27"/>
  <c r="J153" i="27"/>
  <c r="V152" i="27"/>
  <c r="R152" i="27"/>
  <c r="Q152" i="27"/>
  <c r="H152" i="27"/>
  <c r="V151" i="27"/>
  <c r="R151" i="27"/>
  <c r="Q151" i="27"/>
  <c r="V150" i="27"/>
  <c r="U150" i="27"/>
  <c r="Q150" i="27"/>
  <c r="V149" i="27"/>
  <c r="Q149" i="27"/>
  <c r="V148" i="27"/>
  <c r="U148" i="27"/>
  <c r="R148" i="27"/>
  <c r="Q148" i="27"/>
  <c r="V147" i="27"/>
  <c r="P147" i="27"/>
  <c r="Q147" i="27" s="1"/>
  <c r="V146" i="27"/>
  <c r="R146" i="27"/>
  <c r="Q146" i="27"/>
  <c r="V145" i="27"/>
  <c r="R145" i="27"/>
  <c r="Q145" i="27"/>
  <c r="V144" i="27"/>
  <c r="R144" i="27"/>
  <c r="Q144" i="27"/>
  <c r="H144" i="27"/>
  <c r="V143" i="27"/>
  <c r="R143" i="27"/>
  <c r="Q143" i="27"/>
  <c r="V142" i="27"/>
  <c r="R142" i="27"/>
  <c r="Q142" i="27"/>
  <c r="H142" i="27"/>
  <c r="V141" i="27"/>
  <c r="R141" i="27"/>
  <c r="Q141" i="27"/>
  <c r="H141" i="27"/>
  <c r="P140" i="27"/>
  <c r="O140" i="27"/>
  <c r="V140" i="27" s="1"/>
  <c r="N140" i="27"/>
  <c r="M140" i="27"/>
  <c r="L140" i="27"/>
  <c r="K140" i="27"/>
  <c r="J140" i="27"/>
  <c r="V138" i="27"/>
  <c r="V136" i="27"/>
  <c r="U136" i="27"/>
  <c r="Q136" i="27"/>
  <c r="V135" i="27"/>
  <c r="P135" i="27"/>
  <c r="Q135" i="27" s="1"/>
  <c r="F135" i="27"/>
  <c r="V134" i="27"/>
  <c r="U134" i="27"/>
  <c r="R134" i="27"/>
  <c r="Q134" i="27"/>
  <c r="V133" i="27"/>
  <c r="L133" i="27"/>
  <c r="K133" i="27"/>
  <c r="V132" i="27"/>
  <c r="U132" i="27"/>
  <c r="Q132" i="27"/>
  <c r="V131" i="27"/>
  <c r="Q131" i="27"/>
  <c r="V130" i="27"/>
  <c r="P130" i="27"/>
  <c r="Q130" i="27" s="1"/>
  <c r="V129" i="27"/>
  <c r="U129" i="27"/>
  <c r="Q129" i="27"/>
  <c r="V128" i="27"/>
  <c r="U128" i="27"/>
  <c r="Q128" i="27"/>
  <c r="V127" i="27"/>
  <c r="U127" i="27"/>
  <c r="R127" i="27"/>
  <c r="Q127" i="27"/>
  <c r="V126" i="27"/>
  <c r="U126" i="27"/>
  <c r="Q126" i="27"/>
  <c r="V125" i="27"/>
  <c r="U125" i="27"/>
  <c r="R125" i="27"/>
  <c r="Q125" i="27"/>
  <c r="V124" i="27"/>
  <c r="U124" i="27"/>
  <c r="R124" i="27"/>
  <c r="Q124" i="27"/>
  <c r="V123" i="27"/>
  <c r="U123" i="27"/>
  <c r="R123" i="27"/>
  <c r="Q123" i="27"/>
  <c r="V122" i="27"/>
  <c r="U122" i="27"/>
  <c r="R122" i="27"/>
  <c r="Q122" i="27"/>
  <c r="V121" i="27"/>
  <c r="U121" i="27"/>
  <c r="R121" i="27"/>
  <c r="Q121" i="27"/>
  <c r="P120" i="27"/>
  <c r="O120" i="27"/>
  <c r="V120" i="27" s="1"/>
  <c r="N120" i="27"/>
  <c r="M120" i="27"/>
  <c r="L120" i="27"/>
  <c r="Q120" i="27" s="1"/>
  <c r="K120" i="27"/>
  <c r="J120" i="27"/>
  <c r="V119" i="27"/>
  <c r="U119" i="27"/>
  <c r="Q119" i="27"/>
  <c r="V118" i="27"/>
  <c r="U118" i="27"/>
  <c r="R118" i="27"/>
  <c r="Q118" i="27"/>
  <c r="V117" i="27"/>
  <c r="U117" i="27"/>
  <c r="R117" i="27"/>
  <c r="Q117" i="27"/>
  <c r="V116" i="27"/>
  <c r="U116" i="27"/>
  <c r="R116" i="27"/>
  <c r="Q116" i="27"/>
  <c r="P115" i="27"/>
  <c r="R115" i="27" s="1"/>
  <c r="L115" i="27"/>
  <c r="O115" i="27"/>
  <c r="V115" i="27" s="1"/>
  <c r="N115" i="27"/>
  <c r="M115" i="27"/>
  <c r="K115" i="27"/>
  <c r="J115" i="27"/>
  <c r="V114" i="27"/>
  <c r="Q114" i="27"/>
  <c r="V113" i="27"/>
  <c r="Q113" i="27"/>
  <c r="P112" i="27"/>
  <c r="O112" i="27"/>
  <c r="V112" i="27" s="1"/>
  <c r="N112" i="27"/>
  <c r="M112" i="27"/>
  <c r="L112" i="27"/>
  <c r="K112" i="27"/>
  <c r="J112" i="27"/>
  <c r="V111" i="27"/>
  <c r="V110" i="27"/>
  <c r="Q110" i="27"/>
  <c r="V109" i="27"/>
  <c r="P109" i="27"/>
  <c r="Q109" i="27" s="1"/>
  <c r="V107" i="27"/>
  <c r="U107" i="27"/>
  <c r="Q107" i="27"/>
  <c r="V106" i="27"/>
  <c r="U106" i="27"/>
  <c r="R106" i="27"/>
  <c r="Q106" i="27"/>
  <c r="V105" i="27"/>
  <c r="U105" i="27"/>
  <c r="R105" i="27"/>
  <c r="Q105" i="27"/>
  <c r="V104" i="27"/>
  <c r="U104" i="27"/>
  <c r="R104" i="27"/>
  <c r="Q104" i="27"/>
  <c r="V103" i="27"/>
  <c r="U103" i="27"/>
  <c r="R103" i="27"/>
  <c r="Q103" i="27"/>
  <c r="V102" i="27"/>
  <c r="U102" i="27"/>
  <c r="R102" i="27"/>
  <c r="Q102" i="27"/>
  <c r="P101" i="27"/>
  <c r="O101" i="27"/>
  <c r="V101" i="27" s="1"/>
  <c r="N101" i="27"/>
  <c r="M101" i="27"/>
  <c r="L101" i="27"/>
  <c r="J101" i="27"/>
  <c r="V100" i="27"/>
  <c r="U100" i="27"/>
  <c r="R100" i="27"/>
  <c r="Q100" i="27"/>
  <c r="V99" i="27"/>
  <c r="U99" i="27"/>
  <c r="R99" i="27"/>
  <c r="Q99" i="27"/>
  <c r="V98" i="27"/>
  <c r="U98" i="27"/>
  <c r="R98" i="27"/>
  <c r="Q98" i="27"/>
  <c r="U97" i="27"/>
  <c r="P97" i="27"/>
  <c r="O97" i="27"/>
  <c r="N97" i="27"/>
  <c r="M97" i="27"/>
  <c r="L97" i="27"/>
  <c r="K97" i="27"/>
  <c r="K96" i="27" s="1"/>
  <c r="K95" i="27" s="1"/>
  <c r="J97" i="27"/>
  <c r="U96" i="27"/>
  <c r="V94" i="27"/>
  <c r="Q94" i="27"/>
  <c r="V93" i="27"/>
  <c r="Q93" i="27"/>
  <c r="V92" i="27"/>
  <c r="Q92" i="27"/>
  <c r="V91" i="27"/>
  <c r="Q91" i="27"/>
  <c r="V90" i="27"/>
  <c r="Q90" i="27"/>
  <c r="V89" i="27"/>
  <c r="Q89" i="27"/>
  <c r="V88" i="27"/>
  <c r="Q88" i="27"/>
  <c r="V87" i="27"/>
  <c r="Q87" i="27"/>
  <c r="V86" i="27"/>
  <c r="Q86" i="27"/>
  <c r="V85" i="27"/>
  <c r="Q85" i="27"/>
  <c r="V84" i="27"/>
  <c r="Q84" i="27"/>
  <c r="V83" i="27"/>
  <c r="Q83" i="27"/>
  <c r="V82" i="27"/>
  <c r="Q82" i="27"/>
  <c r="V81" i="27"/>
  <c r="U81" i="27"/>
  <c r="R81" i="27"/>
  <c r="Q81" i="27"/>
  <c r="V80" i="27"/>
  <c r="U80" i="27"/>
  <c r="R80" i="27"/>
  <c r="Q80" i="27"/>
  <c r="V79" i="27"/>
  <c r="U79" i="27"/>
  <c r="R79" i="27"/>
  <c r="Q79" i="27"/>
  <c r="P78" i="27"/>
  <c r="O78" i="27"/>
  <c r="V78" i="27" s="1"/>
  <c r="N78" i="27"/>
  <c r="M78" i="27"/>
  <c r="L78" i="27"/>
  <c r="K78" i="27"/>
  <c r="J78" i="27"/>
  <c r="R77" i="27"/>
  <c r="Q77" i="27"/>
  <c r="R76" i="27"/>
  <c r="Q76" i="27"/>
  <c r="V75" i="27"/>
  <c r="R75" i="27"/>
  <c r="Q75" i="27"/>
  <c r="R74" i="27"/>
  <c r="Q74" i="27"/>
  <c r="V73" i="27"/>
  <c r="U73" i="27"/>
  <c r="R73" i="27"/>
  <c r="Q73" i="27"/>
  <c r="P72" i="27"/>
  <c r="O72" i="27"/>
  <c r="V72" i="27" s="1"/>
  <c r="N72" i="27"/>
  <c r="M72" i="27"/>
  <c r="L72" i="27"/>
  <c r="K72" i="27"/>
  <c r="J72" i="27"/>
  <c r="V71" i="27"/>
  <c r="Q71" i="27"/>
  <c r="V70" i="27"/>
  <c r="U70" i="27"/>
  <c r="Q70" i="27"/>
  <c r="V69" i="27"/>
  <c r="Q69" i="27"/>
  <c r="V68" i="27"/>
  <c r="Q68" i="27"/>
  <c r="V67" i="27"/>
  <c r="R67" i="27"/>
  <c r="Q67" i="27"/>
  <c r="V66" i="27"/>
  <c r="P66" i="27"/>
  <c r="V65" i="27"/>
  <c r="R65" i="27"/>
  <c r="Q65" i="27"/>
  <c r="V64" i="27"/>
  <c r="R64" i="27"/>
  <c r="Q64" i="27"/>
  <c r="V63" i="27"/>
  <c r="R63" i="27"/>
  <c r="Q63" i="27"/>
  <c r="V62" i="27"/>
  <c r="R62" i="27"/>
  <c r="Q62" i="27"/>
  <c r="P61" i="27"/>
  <c r="O61" i="27"/>
  <c r="V61" i="27" s="1"/>
  <c r="N61" i="27"/>
  <c r="M61" i="27"/>
  <c r="L61" i="27"/>
  <c r="K61" i="27"/>
  <c r="K57" i="27"/>
  <c r="J61" i="27"/>
  <c r="V60" i="27"/>
  <c r="R60" i="27"/>
  <c r="Q60" i="27"/>
  <c r="H60" i="27"/>
  <c r="V59" i="27"/>
  <c r="R59" i="27"/>
  <c r="Q59" i="27"/>
  <c r="H59" i="27"/>
  <c r="V58" i="27"/>
  <c r="R58" i="27"/>
  <c r="Q58" i="27"/>
  <c r="P57" i="27"/>
  <c r="O57" i="27"/>
  <c r="V57" i="27" s="1"/>
  <c r="N57" i="27"/>
  <c r="M57" i="27"/>
  <c r="L57" i="27"/>
  <c r="J57" i="27"/>
  <c r="V54" i="27"/>
  <c r="V53" i="27"/>
  <c r="P53" i="27"/>
  <c r="Q53" i="27" s="1"/>
  <c r="V52" i="27"/>
  <c r="R52" i="27"/>
  <c r="Q52" i="27"/>
  <c r="V51" i="27"/>
  <c r="P51" i="27"/>
  <c r="Q51" i="27" s="1"/>
  <c r="V50" i="27"/>
  <c r="V49" i="27"/>
  <c r="Q49" i="27"/>
  <c r="V48" i="27"/>
  <c r="Q48" i="27"/>
  <c r="V47" i="27"/>
  <c r="R47" i="27"/>
  <c r="Q47" i="27"/>
  <c r="V46" i="27"/>
  <c r="R46" i="27"/>
  <c r="Q46" i="27"/>
  <c r="P45" i="27"/>
  <c r="O45" i="27"/>
  <c r="O44" i="27" s="1"/>
  <c r="N45" i="27"/>
  <c r="N44" i="27" s="1"/>
  <c r="M45" i="27"/>
  <c r="M44" i="27" s="1"/>
  <c r="L45" i="27"/>
  <c r="K45" i="27"/>
  <c r="K44" i="27" s="1"/>
  <c r="J45" i="27"/>
  <c r="J44" i="27" s="1"/>
  <c r="R41" i="27"/>
  <c r="Q41" i="27"/>
  <c r="R39" i="27"/>
  <c r="Q39" i="27"/>
  <c r="Z37" i="27"/>
  <c r="R37" i="27"/>
  <c r="Q37" i="27"/>
  <c r="S35" i="27"/>
  <c r="R35" i="27"/>
  <c r="Q35" i="27"/>
  <c r="S34" i="27"/>
  <c r="R34" i="27"/>
  <c r="Q34" i="27"/>
  <c r="S33" i="27"/>
  <c r="R33" i="27"/>
  <c r="Q33" i="27"/>
  <c r="S32" i="27"/>
  <c r="R32" i="27"/>
  <c r="Q32" i="27"/>
  <c r="S31" i="27"/>
  <c r="R31" i="27"/>
  <c r="Q31" i="27"/>
  <c r="S30" i="27"/>
  <c r="R30" i="27"/>
  <c r="Q30" i="27"/>
  <c r="S29" i="27"/>
  <c r="R29" i="27"/>
  <c r="Q29" i="27"/>
  <c r="S28" i="27"/>
  <c r="R28" i="27"/>
  <c r="Q28" i="27"/>
  <c r="S27" i="27"/>
  <c r="R27" i="27"/>
  <c r="Q27" i="27"/>
  <c r="S26" i="27"/>
  <c r="R26" i="27"/>
  <c r="Q26" i="27"/>
  <c r="P25" i="27"/>
  <c r="O25" i="27"/>
  <c r="O13" i="27"/>
  <c r="N25" i="27"/>
  <c r="M25" i="27"/>
  <c r="L25" i="27"/>
  <c r="K25" i="27"/>
  <c r="J25" i="27"/>
  <c r="S23" i="27"/>
  <c r="R23" i="27"/>
  <c r="Q23" i="27"/>
  <c r="S22" i="27"/>
  <c r="R22" i="27"/>
  <c r="Q22" i="27"/>
  <c r="S21" i="27"/>
  <c r="R21" i="27"/>
  <c r="Q21" i="27"/>
  <c r="S20" i="27"/>
  <c r="R20" i="27"/>
  <c r="Q20" i="27"/>
  <c r="S19" i="27"/>
  <c r="R19" i="27"/>
  <c r="Q19" i="27"/>
  <c r="S18" i="27"/>
  <c r="R18" i="27"/>
  <c r="Q18" i="27"/>
  <c r="S17" i="27"/>
  <c r="R17" i="27"/>
  <c r="Q17" i="27"/>
  <c r="S16" i="27"/>
  <c r="R16" i="27"/>
  <c r="Q16" i="27"/>
  <c r="S15" i="27"/>
  <c r="R15" i="27"/>
  <c r="Q15" i="27"/>
  <c r="S14" i="27"/>
  <c r="R14" i="27"/>
  <c r="Q14" i="27"/>
  <c r="P13" i="27"/>
  <c r="L13" i="27"/>
  <c r="N13" i="27"/>
  <c r="M13" i="27"/>
  <c r="K13" i="27"/>
  <c r="J13" i="27"/>
  <c r="J12" i="27" s="1"/>
  <c r="N285" i="25"/>
  <c r="N284" i="25" s="1"/>
  <c r="N157" i="25"/>
  <c r="N156" i="25" s="1"/>
  <c r="N155" i="25" s="1"/>
  <c r="N154" i="25" s="1"/>
  <c r="N135" i="25"/>
  <c r="N44" i="25"/>
  <c r="N425" i="25"/>
  <c r="O416" i="25"/>
  <c r="L416" i="25"/>
  <c r="M416" i="25" s="1"/>
  <c r="N415" i="25"/>
  <c r="J415" i="25"/>
  <c r="O415" i="25" s="1"/>
  <c r="O525" i="25"/>
  <c r="P525" i="25" s="1"/>
  <c r="P97" i="23"/>
  <c r="N422" i="25"/>
  <c r="O423" i="25"/>
  <c r="N397" i="25"/>
  <c r="N404" i="25"/>
  <c r="N408" i="25"/>
  <c r="N411" i="25"/>
  <c r="N418" i="25"/>
  <c r="N436" i="25"/>
  <c r="N438" i="25"/>
  <c r="J438" i="25"/>
  <c r="O438" i="25" s="1"/>
  <c r="J436" i="25"/>
  <c r="J430" i="25"/>
  <c r="J425" i="25"/>
  <c r="J418" i="25"/>
  <c r="J411" i="25"/>
  <c r="J408" i="25"/>
  <c r="J404" i="25"/>
  <c r="J397" i="25"/>
  <c r="P147" i="23"/>
  <c r="Q147" i="23" s="1"/>
  <c r="O405" i="25"/>
  <c r="O406" i="25"/>
  <c r="O407" i="25"/>
  <c r="O409" i="25"/>
  <c r="O410" i="25"/>
  <c r="O412" i="25"/>
  <c r="O413" i="25"/>
  <c r="O414" i="25"/>
  <c r="O419" i="25"/>
  <c r="O420" i="25"/>
  <c r="O424" i="25"/>
  <c r="O426" i="25"/>
  <c r="O427" i="25"/>
  <c r="N835" i="25"/>
  <c r="N834" i="25" s="1"/>
  <c r="O836" i="25"/>
  <c r="O835" i="25" s="1"/>
  <c r="O834" i="25" s="1"/>
  <c r="O730" i="25"/>
  <c r="P730" i="25" s="1"/>
  <c r="O731" i="25"/>
  <c r="P731" i="25" s="1"/>
  <c r="O732" i="25"/>
  <c r="P732" i="25" s="1"/>
  <c r="O733" i="25"/>
  <c r="P733" i="25" s="1"/>
  <c r="O734" i="25"/>
  <c r="P734" i="25" s="1"/>
  <c r="O735" i="25"/>
  <c r="O736" i="25"/>
  <c r="P736" i="25" s="1"/>
  <c r="O737" i="25"/>
  <c r="O738" i="25"/>
  <c r="O739" i="25"/>
  <c r="O741" i="25"/>
  <c r="P741" i="25" s="1"/>
  <c r="O742" i="25"/>
  <c r="P742" i="25" s="1"/>
  <c r="O743" i="25"/>
  <c r="P743" i="25" s="1"/>
  <c r="O744" i="25"/>
  <c r="O745" i="25"/>
  <c r="P745" i="25" s="1"/>
  <c r="O746" i="25"/>
  <c r="P746" i="25" s="1"/>
  <c r="O747" i="25"/>
  <c r="P747" i="25" s="1"/>
  <c r="O748" i="25"/>
  <c r="O749" i="25"/>
  <c r="O750" i="25"/>
  <c r="O751" i="25"/>
  <c r="O752" i="25"/>
  <c r="O753" i="25"/>
  <c r="O754" i="25"/>
  <c r="O755" i="25"/>
  <c r="N740" i="25"/>
  <c r="N729" i="25"/>
  <c r="O695" i="25"/>
  <c r="P695" i="25" s="1"/>
  <c r="O696" i="25"/>
  <c r="P696" i="25" s="1"/>
  <c r="O697" i="25"/>
  <c r="O698" i="25"/>
  <c r="O699" i="25"/>
  <c r="O700" i="25"/>
  <c r="O702" i="25"/>
  <c r="O703" i="25"/>
  <c r="P703" i="25" s="1"/>
  <c r="O704" i="25"/>
  <c r="P704" i="25" s="1"/>
  <c r="O705" i="25"/>
  <c r="O706" i="25"/>
  <c r="O707" i="25"/>
  <c r="O708" i="25"/>
  <c r="O709" i="25"/>
  <c r="P709" i="25" s="1"/>
  <c r="O710" i="25"/>
  <c r="O711" i="25"/>
  <c r="O712" i="25"/>
  <c r="O713" i="25"/>
  <c r="O714" i="25"/>
  <c r="O670" i="25"/>
  <c r="P670" i="25" s="1"/>
  <c r="O671" i="25"/>
  <c r="O673" i="25"/>
  <c r="P673" i="25" s="1"/>
  <c r="O674" i="25"/>
  <c r="P674" i="25" s="1"/>
  <c r="O675" i="25"/>
  <c r="P675" i="25" s="1"/>
  <c r="O676" i="25"/>
  <c r="O677" i="25"/>
  <c r="O678" i="25"/>
  <c r="P678" i="25" s="1"/>
  <c r="O679" i="25"/>
  <c r="P679" i="25" s="1"/>
  <c r="O680" i="25"/>
  <c r="P680" i="25" s="1"/>
  <c r="O681" i="25"/>
  <c r="O682" i="25"/>
  <c r="O683" i="25"/>
  <c r="P683" i="25" s="1"/>
  <c r="O684" i="25"/>
  <c r="O686" i="25"/>
  <c r="O687" i="25"/>
  <c r="O688" i="25"/>
  <c r="O689" i="25"/>
  <c r="O690" i="25"/>
  <c r="O631" i="25"/>
  <c r="P631" i="25" s="1"/>
  <c r="O632" i="25"/>
  <c r="P632" i="25" s="1"/>
  <c r="O634" i="25"/>
  <c r="P634" i="25" s="1"/>
  <c r="O635" i="25"/>
  <c r="P635" i="25" s="1"/>
  <c r="O636" i="25"/>
  <c r="P636" i="25" s="1"/>
  <c r="O637" i="25"/>
  <c r="O638" i="25"/>
  <c r="O639" i="25"/>
  <c r="O640" i="25"/>
  <c r="O642" i="25"/>
  <c r="O643" i="25"/>
  <c r="O644" i="25"/>
  <c r="O646" i="25"/>
  <c r="P646" i="25" s="1"/>
  <c r="O647" i="25"/>
  <c r="O648" i="25"/>
  <c r="J581" i="25"/>
  <c r="N581" i="25"/>
  <c r="N568" i="25" s="1"/>
  <c r="N566" i="25" s="1"/>
  <c r="O567" i="25"/>
  <c r="P567" i="25" s="1"/>
  <c r="O569" i="25"/>
  <c r="O570" i="25"/>
  <c r="O571" i="25"/>
  <c r="O572" i="25"/>
  <c r="O573" i="25"/>
  <c r="O574" i="25"/>
  <c r="O575" i="25"/>
  <c r="O576" i="25"/>
  <c r="O577" i="25"/>
  <c r="O578" i="25"/>
  <c r="O579" i="25"/>
  <c r="O580" i="25"/>
  <c r="P580" i="25" s="1"/>
  <c r="O582" i="25"/>
  <c r="O583" i="25"/>
  <c r="O584" i="25"/>
  <c r="O585" i="25"/>
  <c r="O586" i="25"/>
  <c r="O587" i="25"/>
  <c r="O588" i="25"/>
  <c r="O589" i="25"/>
  <c r="O590" i="25"/>
  <c r="O591" i="25"/>
  <c r="O592" i="25"/>
  <c r="O593" i="25"/>
  <c r="O594" i="25"/>
  <c r="O595" i="25"/>
  <c r="O596" i="25"/>
  <c r="O597" i="25"/>
  <c r="O598" i="25"/>
  <c r="O599" i="25"/>
  <c r="O600" i="25"/>
  <c r="O601" i="25"/>
  <c r="O602" i="25"/>
  <c r="O603" i="25"/>
  <c r="O604" i="25"/>
  <c r="O605" i="25"/>
  <c r="O606" i="25"/>
  <c r="O607" i="25"/>
  <c r="O608" i="25"/>
  <c r="O609" i="25"/>
  <c r="O610" i="25"/>
  <c r="P610" i="25" s="1"/>
  <c r="O611" i="25"/>
  <c r="O612" i="25"/>
  <c r="O613" i="25"/>
  <c r="O614" i="25"/>
  <c r="O615" i="25"/>
  <c r="O616" i="25"/>
  <c r="O617" i="25"/>
  <c r="O618" i="25"/>
  <c r="O619" i="25"/>
  <c r="O620" i="25"/>
  <c r="O621" i="25"/>
  <c r="O622" i="25"/>
  <c r="O623" i="25"/>
  <c r="P623" i="25" s="1"/>
  <c r="O624" i="25"/>
  <c r="O625" i="25"/>
  <c r="P625" i="25" s="1"/>
  <c r="O492" i="25"/>
  <c r="L492" i="25"/>
  <c r="M492" i="25" s="1"/>
  <c r="O473" i="25"/>
  <c r="O474" i="25"/>
  <c r="O475" i="25"/>
  <c r="O478" i="25"/>
  <c r="P478" i="25" s="1"/>
  <c r="O479" i="25"/>
  <c r="P479" i="25" s="1"/>
  <c r="O480" i="25"/>
  <c r="P480" i="25" s="1"/>
  <c r="O482" i="25"/>
  <c r="P482" i="25" s="1"/>
  <c r="O483" i="25"/>
  <c r="P483" i="25" s="1"/>
  <c r="O484" i="25"/>
  <c r="P484" i="25" s="1"/>
  <c r="O485" i="25"/>
  <c r="P485" i="25" s="1"/>
  <c r="O487" i="25"/>
  <c r="P487" i="25" s="1"/>
  <c r="O488" i="25"/>
  <c r="P488" i="25" s="1"/>
  <c r="O489" i="25"/>
  <c r="P489" i="25" s="1"/>
  <c r="O490" i="25"/>
  <c r="P490" i="25" s="1"/>
  <c r="O491" i="25"/>
  <c r="P491" i="25" s="1"/>
  <c r="O494" i="25"/>
  <c r="P494" i="25" s="1"/>
  <c r="O495" i="25"/>
  <c r="P495" i="25" s="1"/>
  <c r="O496" i="25"/>
  <c r="P496" i="25" s="1"/>
  <c r="O497" i="25"/>
  <c r="O500" i="25"/>
  <c r="P500" i="25" s="1"/>
  <c r="O501" i="25"/>
  <c r="P501" i="25" s="1"/>
  <c r="O502" i="25"/>
  <c r="O503" i="25"/>
  <c r="P503" i="25" s="1"/>
  <c r="O504" i="25"/>
  <c r="P504" i="25" s="1"/>
  <c r="O505" i="25"/>
  <c r="O510" i="25"/>
  <c r="O511" i="25"/>
  <c r="P511" i="25" s="1"/>
  <c r="O512" i="25"/>
  <c r="N493" i="25"/>
  <c r="N509" i="25"/>
  <c r="N499" i="25"/>
  <c r="N486" i="25"/>
  <c r="N481" i="25"/>
  <c r="O464" i="25"/>
  <c r="P464" i="25" s="1"/>
  <c r="O465" i="25"/>
  <c r="P465" i="25" s="1"/>
  <c r="O466" i="25"/>
  <c r="P466" i="25" s="1"/>
  <c r="O467" i="25"/>
  <c r="P467" i="25" s="1"/>
  <c r="O468" i="25"/>
  <c r="O469" i="25"/>
  <c r="O458" i="25"/>
  <c r="P458" i="25" s="1"/>
  <c r="N463" i="25"/>
  <c r="J463" i="25"/>
  <c r="J462" i="25" s="1"/>
  <c r="J461" i="25" s="1"/>
  <c r="N457" i="25"/>
  <c r="N456" i="25" s="1"/>
  <c r="O445" i="25"/>
  <c r="P445" i="25" s="1"/>
  <c r="O446" i="25"/>
  <c r="O447" i="25"/>
  <c r="P447" i="25" s="1"/>
  <c r="O448" i="25"/>
  <c r="O449" i="25"/>
  <c r="P449" i="25" s="1"/>
  <c r="O450" i="25"/>
  <c r="O452" i="25"/>
  <c r="P452" i="25" s="1"/>
  <c r="O453" i="25"/>
  <c r="P453" i="25" s="1"/>
  <c r="O454" i="25"/>
  <c r="P454" i="25" s="1"/>
  <c r="O455" i="25"/>
  <c r="N451" i="25"/>
  <c r="N444" i="25"/>
  <c r="O398" i="25"/>
  <c r="O399" i="25"/>
  <c r="O400" i="25"/>
  <c r="O401" i="25"/>
  <c r="O402" i="25"/>
  <c r="O403" i="25"/>
  <c r="O428" i="25"/>
  <c r="O429" i="25"/>
  <c r="O431" i="25"/>
  <c r="O432" i="25"/>
  <c r="O433" i="25"/>
  <c r="O434" i="25"/>
  <c r="O439" i="25"/>
  <c r="O440" i="25"/>
  <c r="O385" i="25"/>
  <c r="P385" i="25" s="1"/>
  <c r="O386" i="25"/>
  <c r="P386" i="25" s="1"/>
  <c r="O387" i="25"/>
  <c r="P387" i="25" s="1"/>
  <c r="O388" i="25"/>
  <c r="P388" i="25" s="1"/>
  <c r="O389" i="25"/>
  <c r="O390" i="25"/>
  <c r="P390" i="25" s="1"/>
  <c r="O391" i="25"/>
  <c r="P391" i="25" s="1"/>
  <c r="O394" i="25"/>
  <c r="P394" i="25" s="1"/>
  <c r="O393" i="25"/>
  <c r="P393" i="25" s="1"/>
  <c r="O392" i="25"/>
  <c r="N384" i="25"/>
  <c r="N383" i="25" s="1"/>
  <c r="J384" i="25"/>
  <c r="J383" i="25" s="1"/>
  <c r="J382" i="25" s="1"/>
  <c r="O371" i="25"/>
  <c r="P371" i="25" s="1"/>
  <c r="O372" i="25"/>
  <c r="P372" i="25" s="1"/>
  <c r="O373" i="25"/>
  <c r="P373" i="25" s="1"/>
  <c r="O375" i="25"/>
  <c r="P375" i="25" s="1"/>
  <c r="O376" i="25"/>
  <c r="P376" i="25" s="1"/>
  <c r="O377" i="25"/>
  <c r="P377" i="25" s="1"/>
  <c r="O378" i="25"/>
  <c r="P378" i="25" s="1"/>
  <c r="O379" i="25"/>
  <c r="P379" i="25" s="1"/>
  <c r="N374" i="25"/>
  <c r="N370" i="25"/>
  <c r="O339" i="25"/>
  <c r="P339" i="25" s="1"/>
  <c r="O340" i="25"/>
  <c r="P340" i="25" s="1"/>
  <c r="O341" i="25"/>
  <c r="P341" i="25" s="1"/>
  <c r="O342" i="25"/>
  <c r="P342" i="25" s="1"/>
  <c r="O343" i="25"/>
  <c r="O344" i="25"/>
  <c r="P344" i="25" s="1"/>
  <c r="O345" i="25"/>
  <c r="P345" i="25" s="1"/>
  <c r="N346" i="25"/>
  <c r="O347" i="25"/>
  <c r="P347" i="25" s="1"/>
  <c r="N338" i="25"/>
  <c r="O286" i="25"/>
  <c r="P286" i="25" s="1"/>
  <c r="O287" i="25"/>
  <c r="P287" i="25" s="1"/>
  <c r="O288" i="25"/>
  <c r="P288" i="25" s="1"/>
  <c r="O289" i="25"/>
  <c r="O290" i="25"/>
  <c r="O291" i="25"/>
  <c r="O292" i="25"/>
  <c r="O293" i="25"/>
  <c r="O294" i="25"/>
  <c r="O295" i="25"/>
  <c r="O296" i="25"/>
  <c r="O240" i="25"/>
  <c r="P240" i="25" s="1"/>
  <c r="O241" i="25"/>
  <c r="O243" i="25"/>
  <c r="P243" i="25" s="1"/>
  <c r="O217" i="25"/>
  <c r="O218" i="25"/>
  <c r="P218" i="25" s="1"/>
  <c r="O219" i="25"/>
  <c r="O221" i="25"/>
  <c r="P221" i="25" s="1"/>
  <c r="O200" i="25"/>
  <c r="O199" i="25" s="1"/>
  <c r="O186" i="25"/>
  <c r="O187" i="25"/>
  <c r="O185" i="25"/>
  <c r="O184" i="25" s="1"/>
  <c r="O183" i="25" s="1"/>
  <c r="O182" i="25" s="1"/>
  <c r="O173" i="25"/>
  <c r="O179" i="25"/>
  <c r="O178" i="25"/>
  <c r="O177" i="25"/>
  <c r="O176" i="25"/>
  <c r="O180" i="25"/>
  <c r="O162" i="25"/>
  <c r="O161" i="25" s="1"/>
  <c r="O158" i="25"/>
  <c r="O159" i="25"/>
  <c r="P159" i="25" s="1"/>
  <c r="P158" i="25" s="1"/>
  <c r="P120" i="25"/>
  <c r="O108" i="25"/>
  <c r="O95" i="25"/>
  <c r="P95" i="25" s="1"/>
  <c r="O96" i="25"/>
  <c r="P96" i="25" s="1"/>
  <c r="O80" i="25"/>
  <c r="O82" i="25"/>
  <c r="O70" i="25"/>
  <c r="O57" i="25"/>
  <c r="P57" i="25" s="1"/>
  <c r="O45" i="25"/>
  <c r="P45" i="25" s="1"/>
  <c r="J230" i="25"/>
  <c r="N230" i="25"/>
  <c r="N833" i="25"/>
  <c r="K236" i="25"/>
  <c r="J724" i="25"/>
  <c r="J835" i="25"/>
  <c r="J834" i="25" s="1"/>
  <c r="J833" i="25" s="1"/>
  <c r="J740" i="25"/>
  <c r="J729" i="25"/>
  <c r="N701" i="25"/>
  <c r="N694" i="25"/>
  <c r="O694" i="25" s="1"/>
  <c r="P694" i="25" s="1"/>
  <c r="J701" i="25"/>
  <c r="J694" i="25"/>
  <c r="N685" i="25"/>
  <c r="O685" i="25" s="1"/>
  <c r="N669" i="25"/>
  <c r="N672" i="25"/>
  <c r="J672" i="25"/>
  <c r="Q22" i="25" s="1"/>
  <c r="Q23" i="25" s="1"/>
  <c r="J669" i="25"/>
  <c r="J668" i="25" s="1"/>
  <c r="N659" i="25"/>
  <c r="N658" i="25" s="1"/>
  <c r="J658" i="25"/>
  <c r="N645" i="25"/>
  <c r="J645" i="25"/>
  <c r="J641" i="25" s="1"/>
  <c r="N630" i="25"/>
  <c r="J630" i="25"/>
  <c r="N633" i="25"/>
  <c r="J633" i="25"/>
  <c r="J524" i="25"/>
  <c r="J509" i="25"/>
  <c r="J508" i="25" s="1"/>
  <c r="J507" i="25" s="1"/>
  <c r="J506" i="25" s="1"/>
  <c r="J499" i="25"/>
  <c r="J498" i="25" s="1"/>
  <c r="J493" i="25"/>
  <c r="J486" i="25"/>
  <c r="J481" i="25"/>
  <c r="J457" i="25"/>
  <c r="J451" i="25"/>
  <c r="J444" i="25"/>
  <c r="J374" i="25"/>
  <c r="J370" i="25"/>
  <c r="J346" i="25"/>
  <c r="J336" i="25" s="1"/>
  <c r="J338" i="25"/>
  <c r="J285" i="25"/>
  <c r="J284" i="25" s="1"/>
  <c r="J283" i="25" s="1"/>
  <c r="J282" i="25" s="1"/>
  <c r="J251" i="25"/>
  <c r="N239" i="25"/>
  <c r="N242" i="25"/>
  <c r="N238" i="25" s="1"/>
  <c r="N237" i="25" s="1"/>
  <c r="N236" i="25" s="1"/>
  <c r="J242" i="25"/>
  <c r="Q18" i="25" s="1"/>
  <c r="J239" i="25"/>
  <c r="N216" i="25"/>
  <c r="J220" i="25"/>
  <c r="O220" i="25" s="1"/>
  <c r="P220" i="25" s="1"/>
  <c r="J216" i="25"/>
  <c r="N199" i="25"/>
  <c r="N198" i="25" s="1"/>
  <c r="N197" i="25" s="1"/>
  <c r="N196" i="25" s="1"/>
  <c r="J199" i="25"/>
  <c r="J198" i="25" s="1"/>
  <c r="J197" i="25" s="1"/>
  <c r="J196" i="25" s="1"/>
  <c r="N172" i="25"/>
  <c r="J161" i="25"/>
  <c r="J157" i="25"/>
  <c r="J156" i="25" s="1"/>
  <c r="J155" i="25" s="1"/>
  <c r="N131" i="25"/>
  <c r="N134" i="25"/>
  <c r="N130" i="25" s="1"/>
  <c r="N129" i="25" s="1"/>
  <c r="J131" i="25"/>
  <c r="J135" i="25"/>
  <c r="J134" i="25" s="1"/>
  <c r="N119" i="25"/>
  <c r="N118" i="25" s="1"/>
  <c r="N116" i="25" s="1"/>
  <c r="J119" i="25"/>
  <c r="P119" i="25" s="1"/>
  <c r="N107" i="25"/>
  <c r="N106" i="25" s="1"/>
  <c r="J107" i="25"/>
  <c r="J106" i="25" s="1"/>
  <c r="N94" i="25"/>
  <c r="N93" i="25" s="1"/>
  <c r="N91" i="25" s="1"/>
  <c r="J94" i="25"/>
  <c r="N79" i="25"/>
  <c r="N78" i="25" s="1"/>
  <c r="J79" i="25"/>
  <c r="J78" i="25" s="1"/>
  <c r="P78" i="25" s="1"/>
  <c r="N69" i="25"/>
  <c r="N68" i="25" s="1"/>
  <c r="N67" i="25" s="1"/>
  <c r="N66" i="25" s="1"/>
  <c r="J69" i="25"/>
  <c r="J68" i="25" s="1"/>
  <c r="J67" i="25" s="1"/>
  <c r="J66" i="25" s="1"/>
  <c r="N56" i="25"/>
  <c r="N55" i="25" s="1"/>
  <c r="N54" i="25" s="1"/>
  <c r="J56" i="25"/>
  <c r="J55" i="25" s="1"/>
  <c r="J54" i="25" s="1"/>
  <c r="J44" i="25"/>
  <c r="J43" i="25" s="1"/>
  <c r="J17" i="25"/>
  <c r="Q12" i="25" s="1"/>
  <c r="Q13" i="25" s="1"/>
  <c r="J12" i="25"/>
  <c r="J536" i="25"/>
  <c r="M583" i="25"/>
  <c r="M584" i="25"/>
  <c r="M585" i="25"/>
  <c r="M586" i="25"/>
  <c r="M587" i="25"/>
  <c r="M588" i="25"/>
  <c r="M589" i="25"/>
  <c r="M590" i="25"/>
  <c r="M591" i="25"/>
  <c r="N548" i="25"/>
  <c r="J548" i="25"/>
  <c r="N536" i="25"/>
  <c r="P564" i="25"/>
  <c r="O564" i="25"/>
  <c r="P562" i="25"/>
  <c r="O562" i="25"/>
  <c r="P560" i="25"/>
  <c r="O560" i="25"/>
  <c r="P558" i="25"/>
  <c r="O558" i="25"/>
  <c r="P557" i="25"/>
  <c r="O557" i="25"/>
  <c r="P556" i="25"/>
  <c r="O556" i="25"/>
  <c r="P555" i="25"/>
  <c r="O555" i="25"/>
  <c r="P554" i="25"/>
  <c r="O554" i="25"/>
  <c r="P553" i="25"/>
  <c r="O553" i="25"/>
  <c r="P552" i="25"/>
  <c r="O552" i="25"/>
  <c r="P551" i="25"/>
  <c r="O551" i="25"/>
  <c r="P550" i="25"/>
  <c r="O550" i="25"/>
  <c r="P549" i="25"/>
  <c r="O549" i="25"/>
  <c r="P546" i="25"/>
  <c r="O546" i="25"/>
  <c r="P545" i="25"/>
  <c r="O545" i="25"/>
  <c r="P544" i="25"/>
  <c r="O544" i="25"/>
  <c r="P543" i="25"/>
  <c r="O543" i="25"/>
  <c r="P542" i="25"/>
  <c r="O542" i="25"/>
  <c r="P541" i="25"/>
  <c r="O541" i="25"/>
  <c r="P540" i="25"/>
  <c r="O540" i="25"/>
  <c r="P539" i="25"/>
  <c r="O539" i="25"/>
  <c r="P538" i="25"/>
  <c r="O538" i="25"/>
  <c r="P537" i="25"/>
  <c r="O537" i="25"/>
  <c r="O536" i="25" s="1"/>
  <c r="L13" i="23"/>
  <c r="M96" i="27"/>
  <c r="M95" i="27" s="1"/>
  <c r="M650" i="27"/>
  <c r="J55" i="29"/>
  <c r="J54" i="29" s="1"/>
  <c r="L96" i="27"/>
  <c r="L95" i="27" s="1"/>
  <c r="O139" i="27"/>
  <c r="V139" i="27" s="1"/>
  <c r="N55" i="29"/>
  <c r="N54" i="29" s="1"/>
  <c r="O525" i="29"/>
  <c r="P525" i="29" s="1"/>
  <c r="R51" i="27"/>
  <c r="R313" i="27"/>
  <c r="Q97" i="27"/>
  <c r="R97" i="27"/>
  <c r="M135" i="29"/>
  <c r="P135" i="29" s="1"/>
  <c r="L134" i="29"/>
  <c r="P119" i="29"/>
  <c r="N215" i="29"/>
  <c r="N214" i="29" s="1"/>
  <c r="M670" i="29"/>
  <c r="O437" i="29"/>
  <c r="P437" i="29" s="1"/>
  <c r="O412" i="29"/>
  <c r="P412" i="29" s="1"/>
  <c r="Q412" i="29" s="1"/>
  <c r="N436" i="29"/>
  <c r="O695" i="29"/>
  <c r="P695" i="29" s="1"/>
  <c r="P16" i="28"/>
  <c r="Q37" i="28"/>
  <c r="P422" i="27"/>
  <c r="O61" i="28" s="1"/>
  <c r="P251" i="27"/>
  <c r="M45" i="29"/>
  <c r="O161" i="29"/>
  <c r="M172" i="29"/>
  <c r="M360" i="29"/>
  <c r="O360" i="29" s="1"/>
  <c r="O69" i="29"/>
  <c r="P108" i="29"/>
  <c r="L184" i="29"/>
  <c r="M379" i="29"/>
  <c r="L569" i="29"/>
  <c r="M569" i="29" s="1"/>
  <c r="N569" i="29"/>
  <c r="N567" i="29" s="1"/>
  <c r="O567" i="29" s="1"/>
  <c r="L634" i="29"/>
  <c r="M634" i="29" s="1"/>
  <c r="M735" i="29"/>
  <c r="M783" i="29"/>
  <c r="O783" i="29" s="1"/>
  <c r="M742" i="29"/>
  <c r="P37" i="28"/>
  <c r="P14" i="28"/>
  <c r="O401" i="27"/>
  <c r="V401" i="27" s="1"/>
  <c r="Q465" i="27"/>
  <c r="O242" i="25"/>
  <c r="P242" i="25" s="1"/>
  <c r="P536" i="25"/>
  <c r="N337" i="25"/>
  <c r="O337" i="25" s="1"/>
  <c r="P337" i="25" s="1"/>
  <c r="P336" i="25" s="1"/>
  <c r="P162" i="25"/>
  <c r="P161" i="25" s="1"/>
  <c r="O451" i="25"/>
  <c r="P451" i="25" s="1"/>
  <c r="O437" i="25"/>
  <c r="S27" i="23"/>
  <c r="S28" i="23"/>
  <c r="S29" i="23"/>
  <c r="S30" i="23"/>
  <c r="S31" i="23"/>
  <c r="S32" i="23"/>
  <c r="S33" i="23"/>
  <c r="S34" i="23"/>
  <c r="S35" i="23"/>
  <c r="S26" i="23"/>
  <c r="S15" i="23"/>
  <c r="S16" i="23"/>
  <c r="S17" i="23"/>
  <c r="S18" i="23"/>
  <c r="S19" i="23"/>
  <c r="S20" i="23"/>
  <c r="S21" i="23"/>
  <c r="S22" i="23"/>
  <c r="S23" i="23"/>
  <c r="S14" i="23"/>
  <c r="O569" i="29"/>
  <c r="Q14" i="23"/>
  <c r="Q15" i="23"/>
  <c r="Q16" i="23"/>
  <c r="Q17" i="23"/>
  <c r="Q18" i="23"/>
  <c r="Q19" i="23"/>
  <c r="Q20" i="23"/>
  <c r="Q21" i="23"/>
  <c r="Q22" i="23"/>
  <c r="Q23" i="23"/>
  <c r="K29" i="25"/>
  <c r="N19" i="25"/>
  <c r="O19" i="25" s="1"/>
  <c r="N18" i="25"/>
  <c r="N15" i="25"/>
  <c r="O15" i="25" s="1"/>
  <c r="N14" i="25"/>
  <c r="O14" i="25" s="1"/>
  <c r="N13" i="25"/>
  <c r="O13" i="25" s="1"/>
  <c r="H50" i="24"/>
  <c r="O52" i="24"/>
  <c r="H52" i="24"/>
  <c r="H51" i="24"/>
  <c r="P366" i="23"/>
  <c r="O51" i="24" s="1"/>
  <c r="N369" i="23"/>
  <c r="N368" i="23"/>
  <c r="N367" i="23"/>
  <c r="R367" i="23"/>
  <c r="K366" i="23"/>
  <c r="J366" i="23"/>
  <c r="P13" i="23"/>
  <c r="R13" i="23" s="1"/>
  <c r="Q384" i="23"/>
  <c r="Q367" i="23"/>
  <c r="L427" i="23"/>
  <c r="R427" i="23" s="1"/>
  <c r="L415" i="23"/>
  <c r="P415" i="23"/>
  <c r="P407" i="23"/>
  <c r="O57" i="31" s="1"/>
  <c r="L268" i="23"/>
  <c r="L218" i="23"/>
  <c r="L195" i="23"/>
  <c r="P187" i="23"/>
  <c r="L187" i="23"/>
  <c r="P168" i="23"/>
  <c r="L168" i="23"/>
  <c r="L140" i="23"/>
  <c r="P120" i="23"/>
  <c r="L120" i="23"/>
  <c r="M469" i="23"/>
  <c r="N469" i="23"/>
  <c r="O469" i="23"/>
  <c r="V469" i="23" s="1"/>
  <c r="P469" i="23"/>
  <c r="L336" i="25"/>
  <c r="M336" i="25" s="1"/>
  <c r="L337" i="25"/>
  <c r="M337" i="25" s="1"/>
  <c r="L342" i="25"/>
  <c r="M342" i="25" s="1"/>
  <c r="L343" i="25"/>
  <c r="M343" i="25" s="1"/>
  <c r="L344" i="25"/>
  <c r="M344" i="25" s="1"/>
  <c r="L347" i="25"/>
  <c r="M347" i="25" s="1"/>
  <c r="O16" i="25"/>
  <c r="O20" i="25"/>
  <c r="O21" i="25"/>
  <c r="O22" i="25"/>
  <c r="O23" i="25"/>
  <c r="O24" i="25"/>
  <c r="O25" i="25"/>
  <c r="O26" i="25"/>
  <c r="O27" i="25"/>
  <c r="K845" i="25"/>
  <c r="L843" i="25"/>
  <c r="M843" i="25" s="1"/>
  <c r="O843" i="25" s="1"/>
  <c r="L842" i="25"/>
  <c r="L841" i="25"/>
  <c r="M841" i="25" s="1"/>
  <c r="O841" i="25" s="1"/>
  <c r="L840" i="25"/>
  <c r="M840" i="25" s="1"/>
  <c r="O840" i="25" s="1"/>
  <c r="L839" i="25"/>
  <c r="M839" i="25" s="1"/>
  <c r="O839" i="25" s="1"/>
  <c r="M837" i="25"/>
  <c r="O837" i="25" s="1"/>
  <c r="P837" i="25" s="1"/>
  <c r="L836" i="25"/>
  <c r="M836" i="25" s="1"/>
  <c r="L831" i="25"/>
  <c r="M831" i="25" s="1"/>
  <c r="O831" i="25" s="1"/>
  <c r="L830" i="25"/>
  <c r="L829" i="25"/>
  <c r="L828" i="25"/>
  <c r="M828" i="25" s="1"/>
  <c r="O828" i="25" s="1"/>
  <c r="L827" i="25"/>
  <c r="M827" i="25" s="1"/>
  <c r="O827" i="25" s="1"/>
  <c r="L822" i="25"/>
  <c r="M822" i="25" s="1"/>
  <c r="O822" i="25" s="1"/>
  <c r="L821" i="25"/>
  <c r="L820" i="25"/>
  <c r="M820" i="25" s="1"/>
  <c r="O820" i="25" s="1"/>
  <c r="L819" i="25"/>
  <c r="M819" i="25" s="1"/>
  <c r="O819" i="25" s="1"/>
  <c r="L818" i="25"/>
  <c r="L813" i="25"/>
  <c r="L812" i="25"/>
  <c r="M812" i="25" s="1"/>
  <c r="O812" i="25" s="1"/>
  <c r="L811" i="25"/>
  <c r="M811" i="25" s="1"/>
  <c r="O811" i="25" s="1"/>
  <c r="L810" i="25"/>
  <c r="M810" i="25" s="1"/>
  <c r="O810" i="25" s="1"/>
  <c r="L809" i="25"/>
  <c r="L804" i="25"/>
  <c r="M804" i="25" s="1"/>
  <c r="O804" i="25" s="1"/>
  <c r="L803" i="25"/>
  <c r="M803" i="25" s="1"/>
  <c r="O803" i="25" s="1"/>
  <c r="L802" i="25"/>
  <c r="M802" i="25" s="1"/>
  <c r="O802" i="25" s="1"/>
  <c r="L801" i="25"/>
  <c r="L800" i="25"/>
  <c r="L795" i="25"/>
  <c r="M795" i="25" s="1"/>
  <c r="O795" i="25" s="1"/>
  <c r="L794" i="25"/>
  <c r="M794" i="25" s="1"/>
  <c r="O794" i="25" s="1"/>
  <c r="L793" i="25"/>
  <c r="L792" i="25"/>
  <c r="L791" i="25"/>
  <c r="M791" i="25" s="1"/>
  <c r="O791" i="25" s="1"/>
  <c r="L786" i="25"/>
  <c r="M786" i="25" s="1"/>
  <c r="O786" i="25" s="1"/>
  <c r="L785" i="25"/>
  <c r="L784" i="25"/>
  <c r="L783" i="25"/>
  <c r="M783" i="25" s="1"/>
  <c r="O783" i="25" s="1"/>
  <c r="L782" i="25"/>
  <c r="M782" i="25" s="1"/>
  <c r="O782" i="25" s="1"/>
  <c r="L777" i="25"/>
  <c r="M777" i="25" s="1"/>
  <c r="O777" i="25" s="1"/>
  <c r="L776" i="25"/>
  <c r="M776" i="25" s="1"/>
  <c r="O776" i="25" s="1"/>
  <c r="L775" i="25"/>
  <c r="M775" i="25" s="1"/>
  <c r="O775" i="25" s="1"/>
  <c r="L774" i="25"/>
  <c r="M774" i="25" s="1"/>
  <c r="O774" i="25" s="1"/>
  <c r="L773" i="25"/>
  <c r="L768" i="25"/>
  <c r="M768" i="25" s="1"/>
  <c r="O768" i="25" s="1"/>
  <c r="L767" i="25"/>
  <c r="M767" i="25" s="1"/>
  <c r="O767" i="25" s="1"/>
  <c r="L766" i="25"/>
  <c r="M766" i="25" s="1"/>
  <c r="O766" i="25" s="1"/>
  <c r="L765" i="25"/>
  <c r="M765" i="25" s="1"/>
  <c r="O765" i="25" s="1"/>
  <c r="L764" i="25"/>
  <c r="M764" i="25" s="1"/>
  <c r="O764" i="25" s="1"/>
  <c r="M762" i="25"/>
  <c r="O762" i="25" s="1"/>
  <c r="P762" i="25" s="1"/>
  <c r="L761" i="25"/>
  <c r="M755" i="25"/>
  <c r="L754" i="25"/>
  <c r="M754" i="25" s="1"/>
  <c r="L753" i="25"/>
  <c r="M753" i="25" s="1"/>
  <c r="L752" i="25"/>
  <c r="M752" i="25" s="1"/>
  <c r="L751" i="25"/>
  <c r="M749" i="25"/>
  <c r="M748" i="25"/>
  <c r="M747" i="25"/>
  <c r="M746" i="25"/>
  <c r="M745" i="25"/>
  <c r="M744" i="25"/>
  <c r="M743" i="25"/>
  <c r="M742" i="25"/>
  <c r="L741" i="25"/>
  <c r="M739" i="25"/>
  <c r="L738" i="25"/>
  <c r="M738" i="25" s="1"/>
  <c r="L737" i="25"/>
  <c r="M736" i="25"/>
  <c r="L735" i="25"/>
  <c r="L734" i="25"/>
  <c r="M734" i="25" s="1"/>
  <c r="M733" i="25"/>
  <c r="M732" i="25"/>
  <c r="M731" i="25"/>
  <c r="M730" i="25"/>
  <c r="M727" i="25"/>
  <c r="O727" i="25" s="1"/>
  <c r="L722" i="25"/>
  <c r="M722" i="25" s="1"/>
  <c r="O722" i="25" s="1"/>
  <c r="L721" i="25"/>
  <c r="M721" i="25" s="1"/>
  <c r="O721" i="25" s="1"/>
  <c r="L720" i="25"/>
  <c r="L719" i="25"/>
  <c r="L718" i="25"/>
  <c r="M718" i="25" s="1"/>
  <c r="O718" i="25" s="1"/>
  <c r="M714" i="25"/>
  <c r="L713" i="25"/>
  <c r="M713" i="25" s="1"/>
  <c r="L712" i="25"/>
  <c r="M712" i="25" s="1"/>
  <c r="L711" i="25"/>
  <c r="M709" i="25"/>
  <c r="L708" i="25"/>
  <c r="M708" i="25" s="1"/>
  <c r="L707" i="25"/>
  <c r="L706" i="25"/>
  <c r="M706" i="25" s="1"/>
  <c r="L705" i="25"/>
  <c r="M705" i="25" s="1"/>
  <c r="P705" i="25" s="1"/>
  <c r="L704" i="25"/>
  <c r="M704" i="25" s="1"/>
  <c r="M703" i="25"/>
  <c r="L702" i="25"/>
  <c r="M700" i="25"/>
  <c r="M699" i="25"/>
  <c r="M698" i="25"/>
  <c r="M696" i="25"/>
  <c r="M695" i="25"/>
  <c r="L694" i="25"/>
  <c r="M694" i="25" s="1"/>
  <c r="L690" i="25"/>
  <c r="M690" i="25" s="1"/>
  <c r="M689" i="25"/>
  <c r="L688" i="25"/>
  <c r="L687" i="25"/>
  <c r="M687" i="25" s="1"/>
  <c r="L686" i="25"/>
  <c r="M684" i="25"/>
  <c r="L683" i="25"/>
  <c r="M683" i="25" s="1"/>
  <c r="L682" i="25"/>
  <c r="M682" i="25" s="1"/>
  <c r="L681" i="25"/>
  <c r="M681" i="25" s="1"/>
  <c r="L680" i="25"/>
  <c r="M680" i="25" s="1"/>
  <c r="L679" i="25"/>
  <c r="M679" i="25" s="1"/>
  <c r="M678" i="25"/>
  <c r="L677" i="25"/>
  <c r="L676" i="25"/>
  <c r="M676" i="25" s="1"/>
  <c r="L675" i="25"/>
  <c r="M675" i="25" s="1"/>
  <c r="M674" i="25"/>
  <c r="L673" i="25"/>
  <c r="M671" i="25"/>
  <c r="M670" i="25"/>
  <c r="L669" i="25"/>
  <c r="L664" i="25"/>
  <c r="M664" i="25" s="1"/>
  <c r="O664" i="25" s="1"/>
  <c r="L663" i="25"/>
  <c r="M663" i="25" s="1"/>
  <c r="M662" i="25"/>
  <c r="L661" i="25"/>
  <c r="M661" i="25" s="1"/>
  <c r="O661" i="25" s="1"/>
  <c r="L660" i="25"/>
  <c r="L656" i="25"/>
  <c r="M656" i="25" s="1"/>
  <c r="O656" i="25" s="1"/>
  <c r="L655" i="25"/>
  <c r="M655" i="25" s="1"/>
  <c r="O655" i="25" s="1"/>
  <c r="M654" i="25"/>
  <c r="L653" i="25"/>
  <c r="L652" i="25"/>
  <c r="M652" i="25" s="1"/>
  <c r="O652" i="25" s="1"/>
  <c r="L648" i="25"/>
  <c r="M648" i="25" s="1"/>
  <c r="L647" i="25"/>
  <c r="M647" i="25" s="1"/>
  <c r="L646" i="25"/>
  <c r="L644" i="25"/>
  <c r="M644" i="25" s="1"/>
  <c r="L643" i="25"/>
  <c r="L642" i="25"/>
  <c r="M642" i="25" s="1"/>
  <c r="M640" i="25"/>
  <c r="L639" i="25"/>
  <c r="M639" i="25" s="1"/>
  <c r="M634" i="25"/>
  <c r="M632" i="25"/>
  <c r="L630" i="25"/>
  <c r="M630" i="25" s="1"/>
  <c r="L625" i="25"/>
  <c r="L623" i="25"/>
  <c r="L613" i="25" s="1"/>
  <c r="M613" i="25" s="1"/>
  <c r="M622" i="25"/>
  <c r="M621" i="25"/>
  <c r="M620" i="25"/>
  <c r="M619" i="25"/>
  <c r="M618" i="25"/>
  <c r="M617" i="25"/>
  <c r="M616" i="25"/>
  <c r="M615" i="25"/>
  <c r="M614" i="25"/>
  <c r="M612" i="25"/>
  <c r="P612" i="25"/>
  <c r="L611" i="25"/>
  <c r="M611" i="25" s="1"/>
  <c r="M610" i="25"/>
  <c r="M609" i="25"/>
  <c r="M608" i="25"/>
  <c r="P608" i="25"/>
  <c r="L607" i="25"/>
  <c r="M607" i="25" s="1"/>
  <c r="L606" i="25"/>
  <c r="M606" i="25" s="1"/>
  <c r="L605" i="25"/>
  <c r="M605" i="25" s="1"/>
  <c r="L604" i="25"/>
  <c r="M604" i="25" s="1"/>
  <c r="L602" i="25"/>
  <c r="M602" i="25" s="1"/>
  <c r="L601" i="25"/>
  <c r="M601" i="25" s="1"/>
  <c r="L600" i="25"/>
  <c r="M600" i="25" s="1"/>
  <c r="L599" i="25"/>
  <c r="M599" i="25" s="1"/>
  <c r="L598" i="25"/>
  <c r="M598" i="25" s="1"/>
  <c r="L597" i="25"/>
  <c r="M597" i="25" s="1"/>
  <c r="L595" i="25"/>
  <c r="M595" i="25" s="1"/>
  <c r="L594" i="25"/>
  <c r="M594" i="25" s="1"/>
  <c r="M592" i="25"/>
  <c r="P592" i="25"/>
  <c r="M582" i="25"/>
  <c r="L581" i="25"/>
  <c r="M581" i="25" s="1"/>
  <c r="M580" i="25"/>
  <c r="M579" i="25"/>
  <c r="M578" i="25"/>
  <c r="M577" i="25"/>
  <c r="M576" i="25"/>
  <c r="M575" i="25"/>
  <c r="M574" i="25"/>
  <c r="M573" i="25"/>
  <c r="M572" i="25"/>
  <c r="M571" i="25"/>
  <c r="M570" i="25"/>
  <c r="L569" i="25"/>
  <c r="M569" i="25" s="1"/>
  <c r="M567" i="25"/>
  <c r="L532" i="25"/>
  <c r="M532" i="25" s="1"/>
  <c r="O532" i="25" s="1"/>
  <c r="L531" i="25"/>
  <c r="M531" i="25" s="1"/>
  <c r="O531" i="25" s="1"/>
  <c r="L530" i="25"/>
  <c r="M530" i="25" s="1"/>
  <c r="O530" i="25" s="1"/>
  <c r="L529" i="25"/>
  <c r="M529" i="25" s="1"/>
  <c r="O529" i="25" s="1"/>
  <c r="L528" i="25"/>
  <c r="M528" i="25" s="1"/>
  <c r="O528" i="25" s="1"/>
  <c r="M526" i="25"/>
  <c r="O526" i="25" s="1"/>
  <c r="P526" i="25" s="1"/>
  <c r="M525" i="25"/>
  <c r="L524" i="25"/>
  <c r="M524" i="25" s="1"/>
  <c r="L521" i="25"/>
  <c r="M521" i="25" s="1"/>
  <c r="O521" i="25" s="1"/>
  <c r="L520" i="25"/>
  <c r="M520" i="25" s="1"/>
  <c r="O520" i="25" s="1"/>
  <c r="L519" i="25"/>
  <c r="M519" i="25" s="1"/>
  <c r="O519" i="25" s="1"/>
  <c r="L518" i="25"/>
  <c r="L517" i="25"/>
  <c r="L513" i="25"/>
  <c r="M513" i="25" s="1"/>
  <c r="O513" i="25" s="1"/>
  <c r="M511" i="25"/>
  <c r="M510" i="25"/>
  <c r="L509" i="25"/>
  <c r="M509" i="25" s="1"/>
  <c r="L504" i="25"/>
  <c r="L503" i="25" s="1"/>
  <c r="L502" i="25"/>
  <c r="L501" i="25"/>
  <c r="M501" i="25" s="1"/>
  <c r="M497" i="25"/>
  <c r="L496" i="25"/>
  <c r="M496" i="25" s="1"/>
  <c r="L495" i="25"/>
  <c r="M495" i="25" s="1"/>
  <c r="L494" i="25"/>
  <c r="L491" i="25"/>
  <c r="M491" i="25" s="1"/>
  <c r="L490" i="25"/>
  <c r="M490" i="25" s="1"/>
  <c r="L489" i="25"/>
  <c r="M489" i="25" s="1"/>
  <c r="L488" i="25"/>
  <c r="L487" i="25"/>
  <c r="L485" i="25"/>
  <c r="M485" i="25" s="1"/>
  <c r="L484" i="25"/>
  <c r="M484" i="25" s="1"/>
  <c r="L483" i="25"/>
  <c r="M483" i="25" s="1"/>
  <c r="L482" i="25"/>
  <c r="M482" i="25" s="1"/>
  <c r="L480" i="25"/>
  <c r="L478" i="25"/>
  <c r="M478" i="25" s="1"/>
  <c r="M475" i="25"/>
  <c r="L474" i="25"/>
  <c r="M474" i="25" s="1"/>
  <c r="L469" i="25"/>
  <c r="M469" i="25" s="1"/>
  <c r="P469" i="25" s="1"/>
  <c r="L468" i="25"/>
  <c r="M468" i="25" s="1"/>
  <c r="P468" i="25" s="1"/>
  <c r="M467" i="25"/>
  <c r="M466" i="25"/>
  <c r="M465" i="25"/>
  <c r="L464" i="25"/>
  <c r="L459" i="25"/>
  <c r="M459" i="25" s="1"/>
  <c r="O459" i="25" s="1"/>
  <c r="P459" i="25" s="1"/>
  <c r="M458" i="25"/>
  <c r="M455" i="25"/>
  <c r="M454" i="25"/>
  <c r="M453" i="25"/>
  <c r="M452" i="25"/>
  <c r="L451" i="25"/>
  <c r="M450" i="25"/>
  <c r="M449" i="25"/>
  <c r="L448" i="25"/>
  <c r="M448" i="25" s="1"/>
  <c r="M447" i="25"/>
  <c r="L446" i="25"/>
  <c r="M446" i="25" s="1"/>
  <c r="M445" i="25"/>
  <c r="L440" i="25"/>
  <c r="M440" i="25" s="1"/>
  <c r="P440" i="25" s="1"/>
  <c r="L439" i="25"/>
  <c r="L437" i="25"/>
  <c r="M434" i="25"/>
  <c r="L433" i="25"/>
  <c r="L432" i="25"/>
  <c r="M432" i="25" s="1"/>
  <c r="L431" i="25"/>
  <c r="M429" i="25"/>
  <c r="L428" i="25"/>
  <c r="L427" i="25"/>
  <c r="M427" i="25" s="1"/>
  <c r="L426" i="25"/>
  <c r="L424" i="25"/>
  <c r="M424" i="25" s="1"/>
  <c r="L422" i="25"/>
  <c r="M422" i="25" s="1"/>
  <c r="M420" i="25"/>
  <c r="M419" i="25"/>
  <c r="P419" i="25" s="1"/>
  <c r="L418" i="25"/>
  <c r="M418" i="25" s="1"/>
  <c r="M414" i="25"/>
  <c r="L413" i="25"/>
  <c r="M413" i="25" s="1"/>
  <c r="P413" i="25" s="1"/>
  <c r="L412" i="25"/>
  <c r="M412" i="25" s="1"/>
  <c r="P412" i="25" s="1"/>
  <c r="M410" i="25"/>
  <c r="M409" i="25"/>
  <c r="P409" i="25" s="1"/>
  <c r="L408" i="25"/>
  <c r="M408" i="25" s="1"/>
  <c r="M407" i="25"/>
  <c r="M406" i="25"/>
  <c r="M405" i="25"/>
  <c r="P405" i="25" s="1"/>
  <c r="L404" i="25"/>
  <c r="M404" i="25" s="1"/>
  <c r="P404" i="25" s="1"/>
  <c r="M403" i="25"/>
  <c r="L402" i="25"/>
  <c r="L401" i="25"/>
  <c r="L400" i="25"/>
  <c r="M400" i="25" s="1"/>
  <c r="L399" i="25"/>
  <c r="M399" i="25" s="1"/>
  <c r="P399" i="25" s="1"/>
  <c r="L398" i="25"/>
  <c r="M398" i="25" s="1"/>
  <c r="M395" i="25"/>
  <c r="O395" i="25" s="1"/>
  <c r="P395" i="25" s="1"/>
  <c r="L394" i="25"/>
  <c r="M392" i="25"/>
  <c r="L391" i="25"/>
  <c r="M391" i="25" s="1"/>
  <c r="L390" i="25"/>
  <c r="M390" i="25" s="1"/>
  <c r="L389" i="25"/>
  <c r="M389" i="25" s="1"/>
  <c r="L388" i="25"/>
  <c r="M388" i="25" s="1"/>
  <c r="L387" i="25"/>
  <c r="M387" i="25" s="1"/>
  <c r="L386" i="25"/>
  <c r="M386" i="25" s="1"/>
  <c r="L385" i="25"/>
  <c r="M385" i="25" s="1"/>
  <c r="M381" i="25"/>
  <c r="O381" i="25" s="1"/>
  <c r="P381" i="25" s="1"/>
  <c r="L380" i="25"/>
  <c r="M380" i="25" s="1"/>
  <c r="O380" i="25" s="1"/>
  <c r="L379" i="25"/>
  <c r="M379" i="25" s="1"/>
  <c r="L378" i="25"/>
  <c r="M378" i="25" s="1"/>
  <c r="M377" i="25"/>
  <c r="L376" i="25"/>
  <c r="M375" i="25"/>
  <c r="M373" i="25"/>
  <c r="M372" i="25"/>
  <c r="M371" i="25"/>
  <c r="M363" i="25"/>
  <c r="M362" i="25"/>
  <c r="L361" i="25"/>
  <c r="M361" i="25" s="1"/>
  <c r="O361" i="25" s="1"/>
  <c r="L360" i="25"/>
  <c r="M360" i="25" s="1"/>
  <c r="O360" i="25" s="1"/>
  <c r="L359" i="25"/>
  <c r="L355" i="25"/>
  <c r="M355" i="25" s="1"/>
  <c r="O355" i="25" s="1"/>
  <c r="L354" i="25"/>
  <c r="M354" i="25" s="1"/>
  <c r="O354" i="25" s="1"/>
  <c r="L353" i="25"/>
  <c r="M353" i="25" s="1"/>
  <c r="O353" i="25" s="1"/>
  <c r="L352" i="25"/>
  <c r="M352" i="25" s="1"/>
  <c r="O352" i="25" s="1"/>
  <c r="L351" i="25"/>
  <c r="M351" i="25" s="1"/>
  <c r="O351" i="25" s="1"/>
  <c r="L335" i="25"/>
  <c r="M335" i="25" s="1"/>
  <c r="O335" i="25" s="1"/>
  <c r="L334" i="25"/>
  <c r="M334" i="25" s="1"/>
  <c r="O334" i="25" s="1"/>
  <c r="L333" i="25"/>
  <c r="L332" i="25"/>
  <c r="M332" i="25" s="1"/>
  <c r="O332" i="25" s="1"/>
  <c r="L331" i="25"/>
  <c r="L327" i="25"/>
  <c r="M327" i="25" s="1"/>
  <c r="O327" i="25" s="1"/>
  <c r="L326" i="25"/>
  <c r="L325" i="25"/>
  <c r="M325" i="25" s="1"/>
  <c r="O325" i="25" s="1"/>
  <c r="L324" i="25"/>
  <c r="M324" i="25" s="1"/>
  <c r="O324" i="25" s="1"/>
  <c r="L323" i="25"/>
  <c r="M323" i="25" s="1"/>
  <c r="O323" i="25" s="1"/>
  <c r="L319" i="25"/>
  <c r="M319" i="25" s="1"/>
  <c r="O319" i="25" s="1"/>
  <c r="L318" i="25"/>
  <c r="M318" i="25" s="1"/>
  <c r="O318" i="25" s="1"/>
  <c r="L317" i="25"/>
  <c r="L316" i="25"/>
  <c r="M316" i="25" s="1"/>
  <c r="O316" i="25" s="1"/>
  <c r="L315" i="25"/>
  <c r="L311" i="25"/>
  <c r="M311" i="25" s="1"/>
  <c r="O311" i="25" s="1"/>
  <c r="L310" i="25"/>
  <c r="M310" i="25" s="1"/>
  <c r="O310" i="25" s="1"/>
  <c r="L309" i="25"/>
  <c r="M309" i="25" s="1"/>
  <c r="O309" i="25" s="1"/>
  <c r="L308" i="25"/>
  <c r="M308" i="25" s="1"/>
  <c r="O308" i="25" s="1"/>
  <c r="L307" i="25"/>
  <c r="M307" i="25" s="1"/>
  <c r="O307" i="25" s="1"/>
  <c r="L303" i="25"/>
  <c r="L302" i="25"/>
  <c r="M302" i="25" s="1"/>
  <c r="O302" i="25" s="1"/>
  <c r="L301" i="25"/>
  <c r="L300" i="25"/>
  <c r="M300" i="25" s="1"/>
  <c r="O300" i="25" s="1"/>
  <c r="L299" i="25"/>
  <c r="M295" i="25"/>
  <c r="M294" i="25"/>
  <c r="M293" i="25"/>
  <c r="M292" i="25"/>
  <c r="L291" i="25"/>
  <c r="P289" i="25"/>
  <c r="M288" i="25"/>
  <c r="M287" i="25"/>
  <c r="L286" i="25"/>
  <c r="M286" i="25" s="1"/>
  <c r="L278" i="25"/>
  <c r="M278" i="25" s="1"/>
  <c r="O278" i="25" s="1"/>
  <c r="L277" i="25"/>
  <c r="M277" i="25" s="1"/>
  <c r="O277" i="25" s="1"/>
  <c r="L276" i="25"/>
  <c r="M276" i="25" s="1"/>
  <c r="O276" i="25" s="1"/>
  <c r="L275" i="25"/>
  <c r="L274" i="25"/>
  <c r="L270" i="25"/>
  <c r="M270" i="25" s="1"/>
  <c r="O270" i="25" s="1"/>
  <c r="L269" i="25"/>
  <c r="M269" i="25" s="1"/>
  <c r="O269" i="25" s="1"/>
  <c r="L268" i="25"/>
  <c r="L267" i="25"/>
  <c r="L266" i="25"/>
  <c r="M266" i="25" s="1"/>
  <c r="O266" i="25" s="1"/>
  <c r="L262" i="25"/>
  <c r="M262" i="25" s="1"/>
  <c r="O262" i="25" s="1"/>
  <c r="L261" i="25"/>
  <c r="M261" i="25" s="1"/>
  <c r="O261" i="25" s="1"/>
  <c r="L260" i="25"/>
  <c r="M260" i="25" s="1"/>
  <c r="O260" i="25" s="1"/>
  <c r="L259" i="25"/>
  <c r="M259" i="25" s="1"/>
  <c r="O259" i="25" s="1"/>
  <c r="L258" i="25"/>
  <c r="M258" i="25" s="1"/>
  <c r="O258" i="25" s="1"/>
  <c r="M254" i="25"/>
  <c r="M253" i="25"/>
  <c r="M252" i="25"/>
  <c r="L251" i="25"/>
  <c r="M251" i="25" s="1"/>
  <c r="M250" i="25"/>
  <c r="O250" i="25" s="1"/>
  <c r="P250" i="25" s="1"/>
  <c r="L249" i="25"/>
  <c r="L248" i="25"/>
  <c r="M248" i="25" s="1"/>
  <c r="O248" i="25" s="1"/>
  <c r="L247" i="25"/>
  <c r="M247" i="25" s="1"/>
  <c r="O247" i="25" s="1"/>
  <c r="L246" i="25"/>
  <c r="M246" i="25" s="1"/>
  <c r="O246" i="25" s="1"/>
  <c r="M244" i="25"/>
  <c r="O244" i="25" s="1"/>
  <c r="P244" i="25" s="1"/>
  <c r="M243" i="25"/>
  <c r="L242" i="25"/>
  <c r="M242" i="25" s="1"/>
  <c r="M241" i="25"/>
  <c r="M240" i="25"/>
  <c r="L239" i="25"/>
  <c r="M239" i="25" s="1"/>
  <c r="L234" i="25"/>
  <c r="M234" i="25" s="1"/>
  <c r="O234" i="25" s="1"/>
  <c r="L233" i="25"/>
  <c r="M233" i="25" s="1"/>
  <c r="O233" i="25" s="1"/>
  <c r="L232" i="25"/>
  <c r="M232" i="25" s="1"/>
  <c r="O232" i="25" s="1"/>
  <c r="L231" i="25"/>
  <c r="M231" i="25" s="1"/>
  <c r="O231" i="25" s="1"/>
  <c r="O229" i="25"/>
  <c r="P229" i="25" s="1"/>
  <c r="L228" i="25"/>
  <c r="M228" i="25" s="1"/>
  <c r="O228" i="25" s="1"/>
  <c r="M227" i="25"/>
  <c r="L226" i="25"/>
  <c r="M226" i="25" s="1"/>
  <c r="O226" i="25" s="1"/>
  <c r="L225" i="25"/>
  <c r="M225" i="25" s="1"/>
  <c r="O225" i="25" s="1"/>
  <c r="L224" i="25"/>
  <c r="M224" i="25" s="1"/>
  <c r="O224" i="25" s="1"/>
  <c r="O222" i="25"/>
  <c r="P222" i="25" s="1"/>
  <c r="M221" i="25"/>
  <c r="L220" i="25"/>
  <c r="M220" i="25" s="1"/>
  <c r="M218" i="25"/>
  <c r="M217" i="25"/>
  <c r="L216" i="25"/>
  <c r="L212" i="25"/>
  <c r="M210" i="25"/>
  <c r="O210" i="25" s="1"/>
  <c r="P210" i="25" s="1"/>
  <c r="L209" i="25"/>
  <c r="M209" i="25" s="1"/>
  <c r="O209" i="25" s="1"/>
  <c r="L208" i="25"/>
  <c r="M208" i="25" s="1"/>
  <c r="O208" i="25" s="1"/>
  <c r="L207" i="25"/>
  <c r="M207" i="25" s="1"/>
  <c r="O207" i="25" s="1"/>
  <c r="L206" i="25"/>
  <c r="L205" i="25"/>
  <c r="M203" i="25"/>
  <c r="O203" i="25" s="1"/>
  <c r="P203" i="25" s="1"/>
  <c r="L202" i="25"/>
  <c r="M200" i="25"/>
  <c r="L199" i="25"/>
  <c r="M199" i="25" s="1"/>
  <c r="L194" i="25"/>
  <c r="M194" i="25" s="1"/>
  <c r="O194" i="25" s="1"/>
  <c r="L193" i="25"/>
  <c r="M193" i="25" s="1"/>
  <c r="O193" i="25" s="1"/>
  <c r="L192" i="25"/>
  <c r="M192" i="25" s="1"/>
  <c r="O192" i="25" s="1"/>
  <c r="L191" i="25"/>
  <c r="L190" i="25"/>
  <c r="M188" i="25"/>
  <c r="O188" i="25" s="1"/>
  <c r="P188" i="25" s="1"/>
  <c r="M187" i="25"/>
  <c r="M186" i="25"/>
  <c r="L185" i="25"/>
  <c r="M180" i="25"/>
  <c r="M179" i="25"/>
  <c r="L178" i="25"/>
  <c r="L177" i="25"/>
  <c r="M177" i="25" s="1"/>
  <c r="L176" i="25"/>
  <c r="M173" i="25"/>
  <c r="I173" i="25"/>
  <c r="P172" i="25"/>
  <c r="P171" i="25" s="1"/>
  <c r="P170" i="25" s="1"/>
  <c r="P169" i="25" s="1"/>
  <c r="L172" i="25"/>
  <c r="L171" i="25" s="1"/>
  <c r="L167" i="25"/>
  <c r="M167" i="25" s="1"/>
  <c r="O167" i="25" s="1"/>
  <c r="L166" i="25"/>
  <c r="L165" i="25"/>
  <c r="L164" i="25"/>
  <c r="M164" i="25" s="1"/>
  <c r="O164" i="25" s="1"/>
  <c r="L163" i="25"/>
  <c r="M163" i="25" s="1"/>
  <c r="O163" i="25" s="1"/>
  <c r="M162" i="25"/>
  <c r="M160" i="25"/>
  <c r="O160" i="25" s="1"/>
  <c r="P160" i="25" s="1"/>
  <c r="L159" i="25"/>
  <c r="M159" i="25" s="1"/>
  <c r="M158" i="25"/>
  <c r="L152" i="25"/>
  <c r="M152" i="25" s="1"/>
  <c r="O152" i="25" s="1"/>
  <c r="L151" i="25"/>
  <c r="M151" i="25" s="1"/>
  <c r="O151" i="25" s="1"/>
  <c r="L150" i="25"/>
  <c r="L149" i="25"/>
  <c r="M149" i="25" s="1"/>
  <c r="O149" i="25" s="1"/>
  <c r="L148" i="25"/>
  <c r="M148" i="25" s="1"/>
  <c r="O148" i="25" s="1"/>
  <c r="M144" i="25"/>
  <c r="M143" i="25"/>
  <c r="O143" i="25" s="1"/>
  <c r="L142" i="25"/>
  <c r="L141" i="25"/>
  <c r="M141" i="25" s="1"/>
  <c r="O141" i="25" s="1"/>
  <c r="M140" i="25"/>
  <c r="O138" i="25"/>
  <c r="P138" i="25" s="1"/>
  <c r="M137" i="25"/>
  <c r="P137" i="25" s="1"/>
  <c r="M136" i="25"/>
  <c r="P136" i="25" s="1"/>
  <c r="L135" i="25"/>
  <c r="L134" i="25" s="1"/>
  <c r="O133" i="25"/>
  <c r="P133" i="25" s="1"/>
  <c r="L132" i="25"/>
  <c r="M132" i="25" s="1"/>
  <c r="P132" i="25" s="1"/>
  <c r="L127" i="25"/>
  <c r="M127" i="25" s="1"/>
  <c r="O127" i="25" s="1"/>
  <c r="L126" i="25"/>
  <c r="M126" i="25" s="1"/>
  <c r="O126" i="25" s="1"/>
  <c r="L125" i="25"/>
  <c r="M125" i="25" s="1"/>
  <c r="O125" i="25" s="1"/>
  <c r="L124" i="25"/>
  <c r="M124" i="25" s="1"/>
  <c r="L123" i="25"/>
  <c r="M123" i="25" s="1"/>
  <c r="O123" i="25" s="1"/>
  <c r="L122" i="25"/>
  <c r="M121" i="25"/>
  <c r="O121" i="25" s="1"/>
  <c r="M120" i="25"/>
  <c r="L119" i="25"/>
  <c r="M119" i="25" s="1"/>
  <c r="L114" i="25"/>
  <c r="M114" i="25" s="1"/>
  <c r="L113" i="25"/>
  <c r="M113" i="25" s="1"/>
  <c r="L112" i="25"/>
  <c r="M112" i="25" s="1"/>
  <c r="O112" i="25" s="1"/>
  <c r="L111" i="25"/>
  <c r="M111" i="25" s="1"/>
  <c r="O111" i="25" s="1"/>
  <c r="L110" i="25"/>
  <c r="O109" i="25"/>
  <c r="P109" i="25" s="1"/>
  <c r="M108" i="25"/>
  <c r="R108" i="25" s="1"/>
  <c r="R107" i="25" s="1"/>
  <c r="L107" i="25"/>
  <c r="M107" i="25" s="1"/>
  <c r="L102" i="25"/>
  <c r="M102" i="25" s="1"/>
  <c r="O102" i="25" s="1"/>
  <c r="L101" i="25"/>
  <c r="M101" i="25" s="1"/>
  <c r="O101" i="25" s="1"/>
  <c r="L100" i="25"/>
  <c r="M100" i="25" s="1"/>
  <c r="O100" i="25" s="1"/>
  <c r="L99" i="25"/>
  <c r="L98" i="25"/>
  <c r="O97" i="25"/>
  <c r="P97" i="25" s="1"/>
  <c r="L96" i="25"/>
  <c r="L94" i="25" s="1"/>
  <c r="M94" i="25" s="1"/>
  <c r="M95" i="25"/>
  <c r="L89" i="25"/>
  <c r="M89" i="25" s="1"/>
  <c r="O89" i="25" s="1"/>
  <c r="M88" i="25"/>
  <c r="L87" i="25"/>
  <c r="M87" i="25" s="1"/>
  <c r="O87" i="25" s="1"/>
  <c r="L86" i="25"/>
  <c r="L85" i="25"/>
  <c r="M85" i="25" s="1"/>
  <c r="O85" i="25" s="1"/>
  <c r="O83" i="25"/>
  <c r="P83" i="25" s="1"/>
  <c r="L82" i="25"/>
  <c r="O81" i="25"/>
  <c r="P81" i="25" s="1"/>
  <c r="L80" i="25"/>
  <c r="L76" i="25"/>
  <c r="M76" i="25" s="1"/>
  <c r="O76" i="25" s="1"/>
  <c r="L75" i="25"/>
  <c r="M75" i="25" s="1"/>
  <c r="O75" i="25" s="1"/>
  <c r="L74" i="25"/>
  <c r="M73" i="25"/>
  <c r="O73" i="25" s="1"/>
  <c r="L72" i="25"/>
  <c r="M72" i="25" s="1"/>
  <c r="O72" i="25" s="1"/>
  <c r="L71" i="25"/>
  <c r="M70" i="25"/>
  <c r="L64" i="25"/>
  <c r="M64" i="25" s="1"/>
  <c r="O64" i="25" s="1"/>
  <c r="L63" i="25"/>
  <c r="M63" i="25" s="1"/>
  <c r="O63" i="25" s="1"/>
  <c r="L62" i="25"/>
  <c r="M62" i="25" s="1"/>
  <c r="O62" i="25" s="1"/>
  <c r="L61" i="25"/>
  <c r="L60" i="25"/>
  <c r="O58" i="25"/>
  <c r="P58" i="25" s="1"/>
  <c r="M57" i="25"/>
  <c r="L56" i="25"/>
  <c r="M56" i="25" s="1"/>
  <c r="L52" i="25"/>
  <c r="M52" i="25" s="1"/>
  <c r="O52" i="25" s="1"/>
  <c r="L51" i="25"/>
  <c r="M51" i="25" s="1"/>
  <c r="O51" i="25" s="1"/>
  <c r="L50" i="25"/>
  <c r="M50" i="25" s="1"/>
  <c r="O50" i="25" s="1"/>
  <c r="L49" i="25"/>
  <c r="L48" i="25"/>
  <c r="O46" i="25"/>
  <c r="P46" i="25" s="1"/>
  <c r="L45" i="25"/>
  <c r="M45" i="25" s="1"/>
  <c r="L41" i="25"/>
  <c r="M41" i="25" s="1"/>
  <c r="O41" i="25" s="1"/>
  <c r="L40" i="25"/>
  <c r="M40" i="25" s="1"/>
  <c r="O40" i="25" s="1"/>
  <c r="L39" i="25"/>
  <c r="M39" i="25" s="1"/>
  <c r="O39" i="25" s="1"/>
  <c r="L38" i="25"/>
  <c r="L37" i="25"/>
  <c r="L36" i="25"/>
  <c r="M36" i="25" s="1"/>
  <c r="O36" i="25" s="1"/>
  <c r="O34" i="25"/>
  <c r="P34" i="25" s="1"/>
  <c r="L33" i="25"/>
  <c r="L27" i="25"/>
  <c r="M27" i="25" s="1"/>
  <c r="L26" i="25"/>
  <c r="M26" i="25" s="1"/>
  <c r="L25" i="25"/>
  <c r="L23" i="25"/>
  <c r="L24" i="25"/>
  <c r="M24" i="25" s="1"/>
  <c r="Q24" i="25"/>
  <c r="M22" i="25"/>
  <c r="Q21" i="25"/>
  <c r="Q20" i="25"/>
  <c r="M20" i="25"/>
  <c r="Q19" i="25"/>
  <c r="L19" i="25"/>
  <c r="M18" i="25"/>
  <c r="P18" i="25" s="1"/>
  <c r="Q17" i="25"/>
  <c r="Q16" i="25"/>
  <c r="Q15" i="25"/>
  <c r="L15" i="25"/>
  <c r="M14" i="25"/>
  <c r="P14" i="25" s="1"/>
  <c r="M13" i="25"/>
  <c r="P13" i="25" s="1"/>
  <c r="O7" i="25"/>
  <c r="L512" i="25"/>
  <c r="M512" i="25" s="1"/>
  <c r="L835" i="25"/>
  <c r="M835" i="25" s="1"/>
  <c r="K68" i="24"/>
  <c r="K67" i="24" s="1"/>
  <c r="L68" i="24"/>
  <c r="L67" i="24" s="1"/>
  <c r="M68" i="24"/>
  <c r="M67" i="24" s="1"/>
  <c r="Z37" i="23"/>
  <c r="M13" i="23"/>
  <c r="N13" i="23"/>
  <c r="N25" i="23"/>
  <c r="O13" i="23"/>
  <c r="O25" i="23"/>
  <c r="Q27" i="23"/>
  <c r="R27" i="23"/>
  <c r="Q28" i="23"/>
  <c r="R28" i="23"/>
  <c r="Q29" i="23"/>
  <c r="R29" i="23"/>
  <c r="Q30" i="23"/>
  <c r="R30" i="23"/>
  <c r="Q31" i="23"/>
  <c r="R31" i="23"/>
  <c r="Q32" i="23"/>
  <c r="R32" i="23"/>
  <c r="Q33" i="23"/>
  <c r="R33" i="23"/>
  <c r="Q34" i="23"/>
  <c r="R34" i="23"/>
  <c r="Q35" i="23"/>
  <c r="R35" i="23"/>
  <c r="R26" i="23"/>
  <c r="Q26" i="23"/>
  <c r="R15" i="23"/>
  <c r="R16" i="23"/>
  <c r="R17" i="23"/>
  <c r="R18" i="23"/>
  <c r="R19" i="23"/>
  <c r="R20" i="23"/>
  <c r="R21" i="23"/>
  <c r="R22" i="23"/>
  <c r="R23" i="23"/>
  <c r="R14" i="23"/>
  <c r="M25" i="23"/>
  <c r="P25" i="23"/>
  <c r="O40" i="24"/>
  <c r="O39" i="24"/>
  <c r="O38" i="24"/>
  <c r="Q38" i="24" s="1"/>
  <c r="M38" i="24"/>
  <c r="O36" i="24"/>
  <c r="O35" i="24"/>
  <c r="M35" i="24"/>
  <c r="O34" i="24"/>
  <c r="O33" i="24"/>
  <c r="O14" i="24"/>
  <c r="O13" i="24"/>
  <c r="O12" i="24"/>
  <c r="S66" i="24"/>
  <c r="T66" i="24" s="1"/>
  <c r="S65" i="24"/>
  <c r="T65" i="24" s="1"/>
  <c r="P63" i="24"/>
  <c r="M63" i="24"/>
  <c r="L63" i="24"/>
  <c r="K63" i="24"/>
  <c r="O53" i="24"/>
  <c r="L53" i="24"/>
  <c r="K53" i="24"/>
  <c r="N51" i="24"/>
  <c r="L51" i="24"/>
  <c r="K47" i="24"/>
  <c r="S41" i="24"/>
  <c r="T41" i="24" s="1"/>
  <c r="N40" i="24"/>
  <c r="M40" i="24"/>
  <c r="N39" i="24"/>
  <c r="M39" i="24"/>
  <c r="L39" i="24"/>
  <c r="K39" i="24"/>
  <c r="N38" i="24"/>
  <c r="L38" i="24"/>
  <c r="L33" i="24"/>
  <c r="L34" i="24"/>
  <c r="L35" i="24"/>
  <c r="L36" i="24"/>
  <c r="L37" i="24"/>
  <c r="K38" i="24"/>
  <c r="O37" i="24"/>
  <c r="N37" i="24"/>
  <c r="M37" i="24"/>
  <c r="K37" i="24"/>
  <c r="N36" i="24"/>
  <c r="M36" i="24"/>
  <c r="K36" i="24"/>
  <c r="N35" i="24"/>
  <c r="K35" i="24"/>
  <c r="N34" i="24"/>
  <c r="M34" i="24"/>
  <c r="K34" i="24"/>
  <c r="N33" i="24"/>
  <c r="M33" i="24"/>
  <c r="K33" i="24"/>
  <c r="S26" i="24"/>
  <c r="T26" i="24" s="1"/>
  <c r="K23" i="24"/>
  <c r="S20" i="24"/>
  <c r="T20" i="24" s="1"/>
  <c r="M19" i="24"/>
  <c r="L19" i="24"/>
  <c r="K19" i="24"/>
  <c r="M18" i="24"/>
  <c r="L18" i="24"/>
  <c r="K18" i="24"/>
  <c r="N14" i="24"/>
  <c r="M14" i="24"/>
  <c r="L14" i="24"/>
  <c r="K14" i="24"/>
  <c r="N13" i="24"/>
  <c r="M13" i="24"/>
  <c r="L13" i="24"/>
  <c r="K13" i="24"/>
  <c r="N12" i="24"/>
  <c r="M12" i="24"/>
  <c r="L12" i="24"/>
  <c r="K12" i="24"/>
  <c r="Q155" i="23"/>
  <c r="R155" i="23"/>
  <c r="M153" i="23"/>
  <c r="M140" i="23"/>
  <c r="N153" i="23"/>
  <c r="O153" i="23"/>
  <c r="P153" i="23"/>
  <c r="L153" i="23"/>
  <c r="P72" i="23"/>
  <c r="Q76" i="23"/>
  <c r="R76" i="23"/>
  <c r="Q77" i="23"/>
  <c r="R77" i="23"/>
  <c r="Q74" i="23"/>
  <c r="R74" i="23"/>
  <c r="Q73" i="23"/>
  <c r="P654" i="23"/>
  <c r="P653" i="23" s="1"/>
  <c r="N654" i="23"/>
  <c r="N653" i="23" s="1"/>
  <c r="M654" i="23"/>
  <c r="M653" i="23" s="1"/>
  <c r="L654" i="23"/>
  <c r="L653" i="23" s="1"/>
  <c r="P651" i="23"/>
  <c r="O651" i="23"/>
  <c r="N651" i="23"/>
  <c r="M651" i="23"/>
  <c r="L651" i="23"/>
  <c r="P650" i="23"/>
  <c r="O650" i="23"/>
  <c r="N650" i="23"/>
  <c r="M650" i="23"/>
  <c r="L650" i="23"/>
  <c r="P649" i="23"/>
  <c r="O649" i="23"/>
  <c r="N649" i="23"/>
  <c r="M649" i="23"/>
  <c r="L649" i="23"/>
  <c r="R646" i="23"/>
  <c r="P646" i="23"/>
  <c r="O646" i="23"/>
  <c r="N646" i="23"/>
  <c r="M646" i="23"/>
  <c r="L646" i="23"/>
  <c r="R645" i="23"/>
  <c r="P645" i="23"/>
  <c r="O645" i="23"/>
  <c r="N645" i="23"/>
  <c r="M645" i="23"/>
  <c r="L645" i="23"/>
  <c r="R644" i="23"/>
  <c r="P644" i="23"/>
  <c r="O644" i="23"/>
  <c r="N644" i="23"/>
  <c r="M644" i="23"/>
  <c r="L644" i="23"/>
  <c r="R643" i="23"/>
  <c r="P643" i="23"/>
  <c r="O643" i="23"/>
  <c r="N643" i="23"/>
  <c r="M643" i="23"/>
  <c r="L643" i="23"/>
  <c r="U642" i="23"/>
  <c r="R642" i="23"/>
  <c r="P642" i="23"/>
  <c r="O642" i="23"/>
  <c r="N642" i="23"/>
  <c r="M642" i="23"/>
  <c r="L642" i="23"/>
  <c r="R641" i="23"/>
  <c r="P641" i="23"/>
  <c r="O641" i="23"/>
  <c r="N641" i="23"/>
  <c r="M641" i="23"/>
  <c r="L641" i="23"/>
  <c r="R640" i="23"/>
  <c r="P640" i="23"/>
  <c r="O640" i="23"/>
  <c r="N640" i="23"/>
  <c r="M640" i="23"/>
  <c r="L640" i="23"/>
  <c r="R639" i="23"/>
  <c r="P639" i="23"/>
  <c r="O639" i="23"/>
  <c r="N639" i="23"/>
  <c r="M639" i="23"/>
  <c r="L639" i="23"/>
  <c r="U638" i="23"/>
  <c r="R638" i="23"/>
  <c r="P638" i="23"/>
  <c r="O638" i="23"/>
  <c r="N638" i="23"/>
  <c r="M638" i="23"/>
  <c r="L638" i="23"/>
  <c r="R637" i="23"/>
  <c r="P637" i="23"/>
  <c r="O637" i="23"/>
  <c r="N637" i="23"/>
  <c r="N635" i="23"/>
  <c r="N636" i="23"/>
  <c r="M637" i="23"/>
  <c r="L637" i="23"/>
  <c r="P636" i="23"/>
  <c r="O636" i="23"/>
  <c r="M636" i="23"/>
  <c r="U635" i="23"/>
  <c r="R635" i="23"/>
  <c r="P635" i="23"/>
  <c r="O635" i="23"/>
  <c r="M635" i="23"/>
  <c r="L635" i="23"/>
  <c r="U630" i="23"/>
  <c r="P630" i="23"/>
  <c r="O630" i="23"/>
  <c r="N630" i="23"/>
  <c r="M630" i="23"/>
  <c r="U629" i="23"/>
  <c r="R629" i="23"/>
  <c r="P629" i="23"/>
  <c r="O629" i="23"/>
  <c r="N629" i="23"/>
  <c r="M629" i="23"/>
  <c r="L629" i="23"/>
  <c r="U628" i="23"/>
  <c r="R628" i="23"/>
  <c r="P628" i="23"/>
  <c r="O628" i="23"/>
  <c r="N628" i="23"/>
  <c r="M628" i="23"/>
  <c r="L628" i="23"/>
  <c r="U627" i="23"/>
  <c r="R627" i="23"/>
  <c r="P627" i="23"/>
  <c r="O627" i="23"/>
  <c r="N627" i="23"/>
  <c r="M627" i="23"/>
  <c r="L627" i="23"/>
  <c r="U626" i="23"/>
  <c r="R626" i="23"/>
  <c r="P626" i="23"/>
  <c r="O626" i="23"/>
  <c r="N626" i="23"/>
  <c r="M626" i="23"/>
  <c r="L626" i="23"/>
  <c r="U625" i="23"/>
  <c r="R625" i="23"/>
  <c r="P625" i="23"/>
  <c r="O625" i="23"/>
  <c r="N625" i="23"/>
  <c r="M625" i="23"/>
  <c r="L625" i="23"/>
  <c r="R624" i="23"/>
  <c r="P624" i="23"/>
  <c r="O624" i="23"/>
  <c r="N624" i="23"/>
  <c r="M624" i="23"/>
  <c r="L624" i="23"/>
  <c r="U623" i="23"/>
  <c r="R623" i="23"/>
  <c r="P623" i="23"/>
  <c r="O623" i="23"/>
  <c r="N623" i="23"/>
  <c r="M623" i="23"/>
  <c r="L623" i="23"/>
  <c r="P622" i="23"/>
  <c r="M622" i="23"/>
  <c r="H622" i="23"/>
  <c r="U621" i="23"/>
  <c r="P621" i="23"/>
  <c r="M621" i="23"/>
  <c r="U620" i="23"/>
  <c r="R620" i="23"/>
  <c r="P620" i="23"/>
  <c r="O620" i="23"/>
  <c r="N620" i="23"/>
  <c r="M620" i="23"/>
  <c r="L620" i="23"/>
  <c r="U619" i="23"/>
  <c r="R619" i="23"/>
  <c r="P619" i="23"/>
  <c r="O619" i="23"/>
  <c r="N619" i="23"/>
  <c r="M619" i="23"/>
  <c r="L619" i="23"/>
  <c r="U618" i="23"/>
  <c r="R618" i="23"/>
  <c r="P618" i="23"/>
  <c r="O618" i="23"/>
  <c r="N618" i="23"/>
  <c r="M618" i="23"/>
  <c r="L618" i="23"/>
  <c r="U617" i="23"/>
  <c r="P617" i="23"/>
  <c r="O617" i="23"/>
  <c r="N617" i="23"/>
  <c r="M617" i="23"/>
  <c r="L617" i="23"/>
  <c r="U616" i="23"/>
  <c r="R616" i="23"/>
  <c r="P616" i="23"/>
  <c r="O616" i="23"/>
  <c r="N616" i="23"/>
  <c r="M616" i="23"/>
  <c r="L616" i="23"/>
  <c r="U615" i="23"/>
  <c r="R615" i="23"/>
  <c r="P615" i="23"/>
  <c r="O615" i="23"/>
  <c r="N615" i="23"/>
  <c r="M615" i="23"/>
  <c r="M606" i="23"/>
  <c r="M607" i="23"/>
  <c r="M608" i="23"/>
  <c r="M609" i="23"/>
  <c r="M610" i="23"/>
  <c r="M611" i="23"/>
  <c r="M612" i="23"/>
  <c r="M613" i="23"/>
  <c r="M614" i="23"/>
  <c r="L615" i="23"/>
  <c r="U614" i="23"/>
  <c r="R614" i="23"/>
  <c r="P614" i="23"/>
  <c r="O614" i="23"/>
  <c r="N614" i="23"/>
  <c r="L614" i="23"/>
  <c r="U613" i="23"/>
  <c r="P613" i="23"/>
  <c r="U612" i="23"/>
  <c r="R612" i="23"/>
  <c r="P612" i="23"/>
  <c r="O612" i="23"/>
  <c r="N612" i="23"/>
  <c r="L612" i="23"/>
  <c r="U611" i="23"/>
  <c r="R611" i="23"/>
  <c r="P611" i="23"/>
  <c r="R610" i="23"/>
  <c r="O610" i="23"/>
  <c r="L610" i="23"/>
  <c r="N610" i="23"/>
  <c r="P609" i="23"/>
  <c r="O609" i="23"/>
  <c r="N609" i="23"/>
  <c r="L609" i="23"/>
  <c r="R608" i="23"/>
  <c r="P608" i="23"/>
  <c r="O608" i="23"/>
  <c r="N608" i="23"/>
  <c r="L608" i="23"/>
  <c r="P607" i="23"/>
  <c r="O607" i="23"/>
  <c r="N607" i="23"/>
  <c r="L607" i="23"/>
  <c r="P606" i="23"/>
  <c r="O606" i="23"/>
  <c r="N606" i="23"/>
  <c r="L606" i="23"/>
  <c r="V581" i="23"/>
  <c r="V578" i="23"/>
  <c r="R578" i="23"/>
  <c r="Q578" i="23"/>
  <c r="N577" i="23"/>
  <c r="N576" i="23" s="1"/>
  <c r="N575" i="23" s="1"/>
  <c r="N574" i="23" s="1"/>
  <c r="N573" i="23" s="1"/>
  <c r="O573" i="23" s="1"/>
  <c r="V573" i="23" s="1"/>
  <c r="K576" i="23"/>
  <c r="K574" i="23" s="1"/>
  <c r="K573" i="23" s="1"/>
  <c r="J576" i="23"/>
  <c r="J574" i="23" s="1"/>
  <c r="J573" i="23" s="1"/>
  <c r="P575" i="23"/>
  <c r="P574" i="23" s="1"/>
  <c r="Q572" i="23"/>
  <c r="P571" i="23"/>
  <c r="Q571" i="23" s="1"/>
  <c r="O571" i="23"/>
  <c r="V570" i="23"/>
  <c r="U570" i="23"/>
  <c r="Q570" i="23"/>
  <c r="V569" i="23"/>
  <c r="Q569" i="23"/>
  <c r="V568" i="23"/>
  <c r="U568" i="23"/>
  <c r="Q568" i="23"/>
  <c r="V567" i="23"/>
  <c r="Q567" i="23"/>
  <c r="V566" i="23"/>
  <c r="U566" i="23"/>
  <c r="Q566" i="23"/>
  <c r="V565" i="23"/>
  <c r="Q565" i="23"/>
  <c r="V564" i="23"/>
  <c r="Q564" i="23"/>
  <c r="V563" i="23"/>
  <c r="U563" i="23"/>
  <c r="Q563" i="23"/>
  <c r="V562" i="23"/>
  <c r="Q562" i="23"/>
  <c r="V561" i="23"/>
  <c r="U561" i="23"/>
  <c r="Q561" i="23"/>
  <c r="V560" i="23"/>
  <c r="Q560" i="23"/>
  <c r="V559" i="23"/>
  <c r="Q559" i="23"/>
  <c r="V558" i="23"/>
  <c r="Q558" i="23"/>
  <c r="V557" i="23"/>
  <c r="U557" i="23"/>
  <c r="Q557" i="23"/>
  <c r="V556" i="23"/>
  <c r="Q556" i="23"/>
  <c r="V555" i="23"/>
  <c r="Q555" i="23"/>
  <c r="V554" i="23"/>
  <c r="U554" i="23"/>
  <c r="Q554" i="23"/>
  <c r="V553" i="23"/>
  <c r="Q553" i="23"/>
  <c r="V552" i="23"/>
  <c r="Q552" i="23"/>
  <c r="V551" i="23"/>
  <c r="Q551" i="23"/>
  <c r="V550" i="23"/>
  <c r="Q550" i="23"/>
  <c r="V549" i="23"/>
  <c r="U549" i="23"/>
  <c r="Q549" i="23"/>
  <c r="V548" i="23"/>
  <c r="Q548" i="23"/>
  <c r="V547" i="23"/>
  <c r="Q547" i="23"/>
  <c r="V546" i="23"/>
  <c r="Q546" i="23"/>
  <c r="V545" i="23"/>
  <c r="Q545" i="23"/>
  <c r="V544" i="23"/>
  <c r="U544" i="23"/>
  <c r="Q544" i="23"/>
  <c r="V543" i="23"/>
  <c r="Q543" i="23"/>
  <c r="V542" i="23"/>
  <c r="Q542" i="23"/>
  <c r="V541" i="23"/>
  <c r="U541" i="23"/>
  <c r="Q541" i="23"/>
  <c r="V540" i="23"/>
  <c r="U540" i="23"/>
  <c r="Q540" i="23"/>
  <c r="V539" i="23"/>
  <c r="Q539" i="23"/>
  <c r="V538" i="23"/>
  <c r="U538" i="23"/>
  <c r="Q538" i="23"/>
  <c r="V537" i="23"/>
  <c r="Q537" i="23"/>
  <c r="V536" i="23"/>
  <c r="Q536" i="23"/>
  <c r="V535" i="23"/>
  <c r="Q535" i="23"/>
  <c r="V534" i="23"/>
  <c r="Q534" i="23"/>
  <c r="V533" i="23"/>
  <c r="Q533" i="23"/>
  <c r="V532" i="23"/>
  <c r="U532" i="23"/>
  <c r="Q532" i="23"/>
  <c r="V531" i="23"/>
  <c r="Q531" i="23"/>
  <c r="V530" i="23"/>
  <c r="Q530" i="23"/>
  <c r="V529" i="23"/>
  <c r="Q529" i="23"/>
  <c r="V528" i="23"/>
  <c r="Q528" i="23"/>
  <c r="V527" i="23"/>
  <c r="Q527" i="23"/>
  <c r="V526" i="23"/>
  <c r="U526" i="23"/>
  <c r="U624" i="23" s="1"/>
  <c r="Q526" i="23"/>
  <c r="V525" i="23"/>
  <c r="Q525" i="23"/>
  <c r="V524" i="23"/>
  <c r="Q524" i="23"/>
  <c r="V523" i="23"/>
  <c r="U523" i="23"/>
  <c r="Q523" i="23"/>
  <c r="V522" i="23"/>
  <c r="Q522" i="23"/>
  <c r="V521" i="23"/>
  <c r="U521" i="23"/>
  <c r="Q521" i="23"/>
  <c r="V520" i="23"/>
  <c r="Q520" i="23"/>
  <c r="V519" i="23"/>
  <c r="Q519" i="23"/>
  <c r="V518" i="23"/>
  <c r="U518" i="23"/>
  <c r="U639" i="23" s="1"/>
  <c r="Q518" i="23"/>
  <c r="V517" i="23"/>
  <c r="Q517" i="23"/>
  <c r="V516" i="23"/>
  <c r="Q516" i="23"/>
  <c r="V515" i="23"/>
  <c r="U515" i="23"/>
  <c r="Q515" i="23"/>
  <c r="V514" i="23"/>
  <c r="Q514" i="23"/>
  <c r="V513" i="23"/>
  <c r="Q513" i="23"/>
  <c r="V512" i="23"/>
  <c r="U512" i="23"/>
  <c r="U641" i="23" s="1"/>
  <c r="Q512" i="23"/>
  <c r="V511" i="23"/>
  <c r="Q511" i="23"/>
  <c r="K511" i="23"/>
  <c r="V510" i="23"/>
  <c r="Q510" i="23"/>
  <c r="V509" i="23"/>
  <c r="U509" i="23"/>
  <c r="Q509" i="23"/>
  <c r="V508" i="23"/>
  <c r="Q508" i="23"/>
  <c r="V507" i="23"/>
  <c r="Q507" i="23"/>
  <c r="V506" i="23"/>
  <c r="Q506" i="23"/>
  <c r="V505" i="23"/>
  <c r="Q505" i="23"/>
  <c r="K505" i="23"/>
  <c r="V504" i="23"/>
  <c r="Q504" i="23"/>
  <c r="V503" i="23"/>
  <c r="U503" i="23"/>
  <c r="Q503" i="23"/>
  <c r="V502" i="23"/>
  <c r="Q502" i="23"/>
  <c r="K502" i="23"/>
  <c r="V501" i="23"/>
  <c r="R501" i="23"/>
  <c r="Q501" i="23"/>
  <c r="V500" i="23"/>
  <c r="R500" i="23"/>
  <c r="R609" i="23" s="1"/>
  <c r="Q500" i="23"/>
  <c r="V499" i="23"/>
  <c r="R499" i="23"/>
  <c r="Q499" i="23"/>
  <c r="K499" i="23"/>
  <c r="J499" i="23"/>
  <c r="V498" i="23"/>
  <c r="R498" i="23"/>
  <c r="Q498" i="23"/>
  <c r="V497" i="23"/>
  <c r="R497" i="23"/>
  <c r="R630" i="23" s="1"/>
  <c r="Q497" i="23"/>
  <c r="V496" i="23"/>
  <c r="R496" i="23"/>
  <c r="Q496" i="23"/>
  <c r="N495" i="23"/>
  <c r="N494" i="23" s="1"/>
  <c r="N480" i="23" s="1"/>
  <c r="N479" i="23" s="1"/>
  <c r="L495" i="23"/>
  <c r="L494" i="23" s="1"/>
  <c r="V493" i="23"/>
  <c r="V492" i="23"/>
  <c r="U492" i="23"/>
  <c r="Q492" i="23"/>
  <c r="H492" i="23"/>
  <c r="V491" i="23"/>
  <c r="U491" i="23"/>
  <c r="Q491" i="23"/>
  <c r="H491" i="23"/>
  <c r="V490" i="23"/>
  <c r="U490" i="23"/>
  <c r="Q490" i="23"/>
  <c r="H490" i="23"/>
  <c r="V489" i="23"/>
  <c r="U489" i="23"/>
  <c r="Q489" i="23"/>
  <c r="H489" i="23"/>
  <c r="V488" i="23"/>
  <c r="U488" i="23"/>
  <c r="Q488" i="23"/>
  <c r="H488" i="23"/>
  <c r="V487" i="23"/>
  <c r="U487" i="23"/>
  <c r="Q487" i="23"/>
  <c r="H487" i="23"/>
  <c r="V486" i="23"/>
  <c r="U486" i="23"/>
  <c r="Q486" i="23"/>
  <c r="H486" i="23"/>
  <c r="V485" i="23"/>
  <c r="U485" i="23"/>
  <c r="Q485" i="23"/>
  <c r="H485" i="23"/>
  <c r="V484" i="23"/>
  <c r="U484" i="23"/>
  <c r="Q484" i="23"/>
  <c r="H484" i="23"/>
  <c r="V483" i="23"/>
  <c r="U483" i="23"/>
  <c r="R483" i="23"/>
  <c r="Q483" i="23"/>
  <c r="H483" i="23"/>
  <c r="R482" i="23"/>
  <c r="Q482" i="23"/>
  <c r="O482" i="23"/>
  <c r="O654" i="23" s="1"/>
  <c r="K482" i="23"/>
  <c r="K480" i="23" s="1"/>
  <c r="K479" i="23" s="1"/>
  <c r="V481" i="23"/>
  <c r="U481" i="23"/>
  <c r="R481" i="23"/>
  <c r="Q481" i="23"/>
  <c r="P480" i="23"/>
  <c r="P479" i="23" s="1"/>
  <c r="M480" i="23"/>
  <c r="M479" i="23" s="1"/>
  <c r="J480" i="23"/>
  <c r="J479" i="23" s="1"/>
  <c r="J442" i="23"/>
  <c r="J460" i="23"/>
  <c r="J463" i="23"/>
  <c r="J469" i="23"/>
  <c r="J474" i="23"/>
  <c r="V478" i="23"/>
  <c r="V477" i="23"/>
  <c r="U477" i="23"/>
  <c r="U645" i="23" s="1"/>
  <c r="Q477" i="23"/>
  <c r="V476" i="23"/>
  <c r="R476" i="23"/>
  <c r="Q476" i="23"/>
  <c r="V475" i="23"/>
  <c r="R475" i="23"/>
  <c r="Q475" i="23"/>
  <c r="N474" i="23"/>
  <c r="O474" i="23" s="1"/>
  <c r="V474" i="23" s="1"/>
  <c r="L474" i="23"/>
  <c r="K474" i="23"/>
  <c r="V473" i="23"/>
  <c r="V472" i="23"/>
  <c r="U472" i="23"/>
  <c r="R472" i="23"/>
  <c r="Q472" i="23"/>
  <c r="H472" i="23"/>
  <c r="V471" i="23"/>
  <c r="U471" i="23"/>
  <c r="R471" i="23"/>
  <c r="Q471" i="23"/>
  <c r="H471" i="23"/>
  <c r="V470" i="23"/>
  <c r="U470" i="23"/>
  <c r="U607" i="23" s="1"/>
  <c r="R470" i="23"/>
  <c r="R607" i="23" s="1"/>
  <c r="Q470" i="23"/>
  <c r="H470" i="23"/>
  <c r="L469" i="23"/>
  <c r="K469" i="23"/>
  <c r="V467" i="23"/>
  <c r="R467" i="23"/>
  <c r="R636" i="23" s="1"/>
  <c r="Q467" i="23"/>
  <c r="H467" i="23"/>
  <c r="V466" i="23"/>
  <c r="U466" i="23"/>
  <c r="R466" i="23"/>
  <c r="Q466" i="23"/>
  <c r="H466" i="23"/>
  <c r="V465" i="23"/>
  <c r="U465" i="23"/>
  <c r="R465" i="23"/>
  <c r="R606" i="23" s="1"/>
  <c r="Q465" i="23"/>
  <c r="H465" i="23"/>
  <c r="V464" i="23"/>
  <c r="U464" i="23"/>
  <c r="R464" i="23"/>
  <c r="Q464" i="23"/>
  <c r="H464" i="23"/>
  <c r="N463" i="23"/>
  <c r="O463" i="23" s="1"/>
  <c r="V463" i="23" s="1"/>
  <c r="L463" i="23"/>
  <c r="K463" i="23"/>
  <c r="K460" i="23"/>
  <c r="K457" i="23"/>
  <c r="V461" i="23"/>
  <c r="U461" i="23"/>
  <c r="R461" i="23"/>
  <c r="R617" i="23" s="1"/>
  <c r="Q461" i="23"/>
  <c r="L460" i="23"/>
  <c r="V459" i="23"/>
  <c r="R459" i="23"/>
  <c r="Q459" i="23"/>
  <c r="V458" i="23"/>
  <c r="U458" i="23"/>
  <c r="R458" i="23"/>
  <c r="Q458" i="23"/>
  <c r="N457" i="23"/>
  <c r="O457" i="23" s="1"/>
  <c r="V457" i="23" s="1"/>
  <c r="L457" i="23"/>
  <c r="Q457" i="23" s="1"/>
  <c r="V456" i="23"/>
  <c r="R456" i="23"/>
  <c r="Q456" i="23"/>
  <c r="U455" i="23"/>
  <c r="U454" i="23" s="1"/>
  <c r="U622" i="23" s="1"/>
  <c r="V453" i="23"/>
  <c r="R453" i="23"/>
  <c r="Q453" i="23"/>
  <c r="U452" i="23"/>
  <c r="V450" i="23"/>
  <c r="R450" i="23"/>
  <c r="Q450" i="23"/>
  <c r="V447" i="23"/>
  <c r="R447" i="23"/>
  <c r="Q447" i="23"/>
  <c r="U446" i="23"/>
  <c r="U444" i="23"/>
  <c r="V443" i="23"/>
  <c r="U443" i="23"/>
  <c r="R443" i="23"/>
  <c r="Q443" i="23"/>
  <c r="V440" i="23"/>
  <c r="V437" i="23"/>
  <c r="K435" i="23"/>
  <c r="K427" i="23"/>
  <c r="J435" i="23"/>
  <c r="H435" i="23"/>
  <c r="V432" i="23"/>
  <c r="R432" i="23"/>
  <c r="Q432" i="23"/>
  <c r="H432" i="23"/>
  <c r="V431" i="23"/>
  <c r="R431" i="23"/>
  <c r="Q431" i="23"/>
  <c r="H431" i="23"/>
  <c r="V430" i="23"/>
  <c r="R430" i="23"/>
  <c r="Q430" i="23"/>
  <c r="H430" i="23"/>
  <c r="V429" i="23"/>
  <c r="R429" i="23"/>
  <c r="Q429" i="23"/>
  <c r="H429" i="23"/>
  <c r="V428" i="23"/>
  <c r="R428" i="23"/>
  <c r="Q428" i="23"/>
  <c r="H428" i="23"/>
  <c r="O427" i="23"/>
  <c r="V427" i="23" s="1"/>
  <c r="N427" i="23"/>
  <c r="J427" i="23"/>
  <c r="J407" i="23"/>
  <c r="J415" i="23"/>
  <c r="J420" i="23"/>
  <c r="H427" i="23"/>
  <c r="P426" i="23"/>
  <c r="P425" i="23" s="1"/>
  <c r="O60" i="24" s="1"/>
  <c r="G426" i="23"/>
  <c r="F425" i="23"/>
  <c r="V424" i="23"/>
  <c r="V423" i="23"/>
  <c r="R423" i="23"/>
  <c r="Q423" i="23"/>
  <c r="H423" i="23"/>
  <c r="V422" i="23"/>
  <c r="R422" i="23"/>
  <c r="Q422" i="23"/>
  <c r="H422" i="23"/>
  <c r="P421" i="23"/>
  <c r="P420" i="23" s="1"/>
  <c r="O421" i="23"/>
  <c r="N421" i="23"/>
  <c r="N420" i="23" s="1"/>
  <c r="L421" i="23"/>
  <c r="L420" i="23" s="1"/>
  <c r="G421" i="23"/>
  <c r="K420" i="23"/>
  <c r="F420" i="23"/>
  <c r="Q419" i="23"/>
  <c r="N419" i="23"/>
  <c r="N415" i="23" s="1"/>
  <c r="V418" i="23"/>
  <c r="R418" i="23"/>
  <c r="Q418" i="23"/>
  <c r="H418" i="23"/>
  <c r="V417" i="23"/>
  <c r="R417" i="23"/>
  <c r="Q417" i="23"/>
  <c r="H417" i="23"/>
  <c r="V416" i="23"/>
  <c r="R416" i="23"/>
  <c r="Q416" i="23"/>
  <c r="H416" i="23"/>
  <c r="K415" i="23"/>
  <c r="K407" i="23"/>
  <c r="G415" i="23"/>
  <c r="V414" i="23"/>
  <c r="R414" i="23"/>
  <c r="Q414" i="23"/>
  <c r="H414" i="23"/>
  <c r="H413" i="23"/>
  <c r="V412" i="23"/>
  <c r="R412" i="23"/>
  <c r="Q412" i="23"/>
  <c r="H412" i="23"/>
  <c r="V409" i="23"/>
  <c r="Q409" i="23"/>
  <c r="H409" i="23"/>
  <c r="V408" i="23"/>
  <c r="R408" i="23"/>
  <c r="Q408" i="23"/>
  <c r="H408" i="23"/>
  <c r="G407" i="23"/>
  <c r="F406" i="23"/>
  <c r="V404" i="23"/>
  <c r="N403" i="23"/>
  <c r="O403" i="23" s="1"/>
  <c r="V403" i="23" s="1"/>
  <c r="N402" i="23"/>
  <c r="O402" i="23" s="1"/>
  <c r="V402" i="23" s="1"/>
  <c r="L401" i="23"/>
  <c r="N400" i="23"/>
  <c r="O400" i="23" s="1"/>
  <c r="V400" i="23" s="1"/>
  <c r="V399" i="23"/>
  <c r="Q399" i="23"/>
  <c r="V398" i="23"/>
  <c r="Q398" i="23"/>
  <c r="V397" i="23"/>
  <c r="V396" i="23"/>
  <c r="R396" i="23"/>
  <c r="Q396" i="23"/>
  <c r="U395" i="23"/>
  <c r="V393" i="23"/>
  <c r="G392" i="23"/>
  <c r="G391" i="23"/>
  <c r="G390" i="23"/>
  <c r="U389" i="23"/>
  <c r="K389" i="23"/>
  <c r="J389" i="23"/>
  <c r="V387" i="23"/>
  <c r="V386" i="23"/>
  <c r="R386" i="23"/>
  <c r="Q386" i="23"/>
  <c r="V385" i="23"/>
  <c r="R385" i="23"/>
  <c r="Q385" i="23"/>
  <c r="H385" i="23"/>
  <c r="V384" i="23"/>
  <c r="R384" i="23"/>
  <c r="V383" i="23"/>
  <c r="R383" i="23"/>
  <c r="Q383" i="23"/>
  <c r="V382" i="23"/>
  <c r="R382" i="23"/>
  <c r="Q382" i="23"/>
  <c r="P381" i="23"/>
  <c r="O381" i="23"/>
  <c r="N381" i="23"/>
  <c r="N380" i="23" s="1"/>
  <c r="M381" i="23"/>
  <c r="M380" i="23" s="1"/>
  <c r="L381" i="23"/>
  <c r="K381" i="23"/>
  <c r="K380" i="23" s="1"/>
  <c r="J381" i="23"/>
  <c r="J380" i="23" s="1"/>
  <c r="U380" i="23"/>
  <c r="F380" i="23"/>
  <c r="V378" i="23"/>
  <c r="V377" i="23"/>
  <c r="R377" i="23"/>
  <c r="Q377" i="23"/>
  <c r="V376" i="23"/>
  <c r="R376" i="23"/>
  <c r="Q376" i="23"/>
  <c r="U375" i="23"/>
  <c r="O375" i="23"/>
  <c r="V375" i="23" s="1"/>
  <c r="N375" i="23"/>
  <c r="N373" i="23" s="1"/>
  <c r="O373" i="23" s="1"/>
  <c r="V373" i="23" s="1"/>
  <c r="L375" i="23"/>
  <c r="V374" i="23"/>
  <c r="U374" i="23"/>
  <c r="R374" i="23"/>
  <c r="Q374" i="23"/>
  <c r="K373" i="23"/>
  <c r="J373" i="23"/>
  <c r="V371" i="23"/>
  <c r="Q371" i="23"/>
  <c r="G364" i="23"/>
  <c r="G363" i="23"/>
  <c r="G362" i="23"/>
  <c r="G361" i="23"/>
  <c r="G360" i="23"/>
  <c r="G359" i="23"/>
  <c r="N358" i="23"/>
  <c r="G358" i="23"/>
  <c r="G357" i="23"/>
  <c r="V356" i="23"/>
  <c r="Q356" i="23"/>
  <c r="V355" i="23"/>
  <c r="Q355" i="23"/>
  <c r="V354" i="23"/>
  <c r="Q354" i="23"/>
  <c r="V353" i="23"/>
  <c r="Q353" i="23"/>
  <c r="V352" i="23"/>
  <c r="Q352" i="23"/>
  <c r="V351" i="23"/>
  <c r="Q351" i="23"/>
  <c r="V350" i="23"/>
  <c r="Q350" i="23"/>
  <c r="V349" i="23"/>
  <c r="Q349" i="23"/>
  <c r="V348" i="23"/>
  <c r="Q348" i="23"/>
  <c r="V347" i="23"/>
  <c r="Q347" i="23"/>
  <c r="V346" i="23"/>
  <c r="Q346" i="23"/>
  <c r="V345" i="23"/>
  <c r="Q345" i="23"/>
  <c r="V344" i="23"/>
  <c r="Q344" i="23"/>
  <c r="V343" i="23"/>
  <c r="Q343" i="23"/>
  <c r="V342" i="23"/>
  <c r="Q342" i="23"/>
  <c r="V341" i="23"/>
  <c r="Q341" i="23"/>
  <c r="V340" i="23"/>
  <c r="Q340" i="23"/>
  <c r="V339" i="23"/>
  <c r="Q339" i="23"/>
  <c r="V338" i="23"/>
  <c r="Q338" i="23"/>
  <c r="V337" i="23"/>
  <c r="Q337" i="23"/>
  <c r="V336" i="23"/>
  <c r="Q336" i="23"/>
  <c r="V335" i="23"/>
  <c r="Q335" i="23"/>
  <c r="V334" i="23"/>
  <c r="Q334" i="23"/>
  <c r="V333" i="23"/>
  <c r="Q333" i="23"/>
  <c r="V332" i="23"/>
  <c r="Q332" i="23"/>
  <c r="V331" i="23"/>
  <c r="Q331" i="23"/>
  <c r="V330" i="23"/>
  <c r="Q330" i="23"/>
  <c r="V329" i="23"/>
  <c r="Q329" i="23"/>
  <c r="V328" i="23"/>
  <c r="Q328" i="23"/>
  <c r="V327" i="23"/>
  <c r="Q327" i="23"/>
  <c r="V326" i="23"/>
  <c r="Q326" i="23"/>
  <c r="V325" i="23"/>
  <c r="Q325" i="23"/>
  <c r="V324" i="23"/>
  <c r="Q324" i="23"/>
  <c r="V323" i="23"/>
  <c r="Q323" i="23"/>
  <c r="V322" i="23"/>
  <c r="U322" i="23"/>
  <c r="Q322" i="23"/>
  <c r="V321" i="23"/>
  <c r="Q321" i="23"/>
  <c r="V320" i="23"/>
  <c r="Q320" i="23"/>
  <c r="V319" i="23"/>
  <c r="Q319" i="23"/>
  <c r="V318" i="23"/>
  <c r="Q318" i="23"/>
  <c r="V317" i="23"/>
  <c r="R317" i="23"/>
  <c r="Q317" i="23"/>
  <c r="V315" i="23"/>
  <c r="G315" i="23"/>
  <c r="G314" i="23"/>
  <c r="V313" i="23"/>
  <c r="R313" i="23"/>
  <c r="Q313" i="23"/>
  <c r="G313" i="23"/>
  <c r="L312" i="23"/>
  <c r="R312" i="23" s="1"/>
  <c r="K312" i="23"/>
  <c r="K299" i="23" s="1"/>
  <c r="J312" i="23"/>
  <c r="J299" i="23" s="1"/>
  <c r="U311" i="23"/>
  <c r="L311" i="23"/>
  <c r="V310" i="23"/>
  <c r="R310" i="23"/>
  <c r="Q310" i="23"/>
  <c r="V309" i="23"/>
  <c r="R309" i="23"/>
  <c r="Q309" i="23"/>
  <c r="U307" i="23"/>
  <c r="L307" i="23"/>
  <c r="Q307" i="23" s="1"/>
  <c r="V306" i="23"/>
  <c r="R306" i="23"/>
  <c r="Q306" i="23"/>
  <c r="V305" i="23"/>
  <c r="Q305" i="23"/>
  <c r="V304" i="23"/>
  <c r="P304" i="23"/>
  <c r="Q304" i="23" s="1"/>
  <c r="V303" i="23"/>
  <c r="R303" i="23"/>
  <c r="Q303" i="23"/>
  <c r="V302" i="23"/>
  <c r="R302" i="23"/>
  <c r="Q302" i="23"/>
  <c r="V301" i="23"/>
  <c r="R301" i="23"/>
  <c r="Q301" i="23"/>
  <c r="V300" i="23"/>
  <c r="Q300" i="23"/>
  <c r="M299" i="23"/>
  <c r="V298" i="23"/>
  <c r="V297" i="23"/>
  <c r="U297" i="23"/>
  <c r="Q297" i="23"/>
  <c r="K297" i="23"/>
  <c r="J297" i="23"/>
  <c r="N296" i="23"/>
  <c r="O296" i="23" s="1"/>
  <c r="V296" i="23" s="1"/>
  <c r="L296" i="23"/>
  <c r="Q296" i="23" s="1"/>
  <c r="K296" i="23"/>
  <c r="J296" i="23"/>
  <c r="V295" i="23"/>
  <c r="V294" i="23"/>
  <c r="R294" i="23"/>
  <c r="Q294" i="23"/>
  <c r="V293" i="23"/>
  <c r="R293" i="23"/>
  <c r="Q293" i="23"/>
  <c r="V292" i="23"/>
  <c r="R292" i="23"/>
  <c r="Q292" i="23"/>
  <c r="P291" i="23"/>
  <c r="O49" i="31" s="1"/>
  <c r="O291" i="23"/>
  <c r="V291" i="23" s="1"/>
  <c r="N291" i="23"/>
  <c r="M291" i="23"/>
  <c r="L291" i="23"/>
  <c r="K291" i="23"/>
  <c r="J291" i="23"/>
  <c r="V290" i="23"/>
  <c r="Q290" i="23"/>
  <c r="H290" i="23"/>
  <c r="V289" i="23"/>
  <c r="Q289" i="23"/>
  <c r="H289" i="23"/>
  <c r="V288" i="23"/>
  <c r="Q288" i="23"/>
  <c r="H288" i="23"/>
  <c r="V287" i="23"/>
  <c r="Q287" i="23"/>
  <c r="H287" i="23"/>
  <c r="V286" i="23"/>
  <c r="Q286" i="23"/>
  <c r="H286" i="23"/>
  <c r="V285" i="23"/>
  <c r="Q285" i="23"/>
  <c r="H285" i="23"/>
  <c r="V284" i="23"/>
  <c r="Q284" i="23"/>
  <c r="H284" i="23"/>
  <c r="V283" i="23"/>
  <c r="Q283" i="23"/>
  <c r="H283" i="23"/>
  <c r="V282" i="23"/>
  <c r="Q282" i="23"/>
  <c r="H282" i="23"/>
  <c r="V281" i="23"/>
  <c r="Q281" i="23"/>
  <c r="H281" i="23"/>
  <c r="R280" i="23"/>
  <c r="Q280" i="23"/>
  <c r="O280" i="23"/>
  <c r="V280" i="23" s="1"/>
  <c r="K280" i="23"/>
  <c r="K268" i="23" s="1"/>
  <c r="V279" i="23"/>
  <c r="Q279" i="23"/>
  <c r="H279" i="23"/>
  <c r="V278" i="23"/>
  <c r="Q278" i="23"/>
  <c r="H278" i="23"/>
  <c r="V277" i="23"/>
  <c r="Q277" i="23"/>
  <c r="H277" i="23"/>
  <c r="V276" i="23"/>
  <c r="Q276" i="23"/>
  <c r="H276" i="23"/>
  <c r="V275" i="23"/>
  <c r="Q275" i="23"/>
  <c r="H275" i="23"/>
  <c r="V274" i="23"/>
  <c r="Q274" i="23"/>
  <c r="H274" i="23"/>
  <c r="V273" i="23"/>
  <c r="Q273" i="23"/>
  <c r="H273" i="23"/>
  <c r="V272" i="23"/>
  <c r="Q272" i="23"/>
  <c r="H272" i="23"/>
  <c r="V271" i="23"/>
  <c r="Q271" i="23"/>
  <c r="H271" i="23"/>
  <c r="V270" i="23"/>
  <c r="Q270" i="23"/>
  <c r="H270" i="23"/>
  <c r="V269" i="23"/>
  <c r="R269" i="23"/>
  <c r="Q269" i="23"/>
  <c r="P268" i="23"/>
  <c r="N268" i="23"/>
  <c r="M268" i="23"/>
  <c r="J268" i="23"/>
  <c r="V267" i="23"/>
  <c r="V266" i="23"/>
  <c r="Q266" i="23"/>
  <c r="V265" i="23"/>
  <c r="Q265" i="23"/>
  <c r="V264" i="23"/>
  <c r="Q264" i="23"/>
  <c r="V263" i="23"/>
  <c r="Q263" i="23"/>
  <c r="V262" i="23"/>
  <c r="Q262" i="23"/>
  <c r="V261" i="23"/>
  <c r="Q261" i="23"/>
  <c r="V260" i="23"/>
  <c r="Q260" i="23"/>
  <c r="V259" i="23"/>
  <c r="Q259" i="23"/>
  <c r="V258" i="23"/>
  <c r="Q258" i="23"/>
  <c r="V257" i="23"/>
  <c r="Q257" i="23"/>
  <c r="V256" i="23"/>
  <c r="Q256" i="23"/>
  <c r="V255" i="23"/>
  <c r="Q255" i="23"/>
  <c r="V254" i="23"/>
  <c r="Q254" i="23"/>
  <c r="V253" i="23"/>
  <c r="Q253" i="23"/>
  <c r="V252" i="23"/>
  <c r="Q252" i="23"/>
  <c r="V251" i="23"/>
  <c r="P251" i="23"/>
  <c r="K251" i="23"/>
  <c r="K250" i="23" s="1"/>
  <c r="O250" i="23"/>
  <c r="V250" i="23" s="1"/>
  <c r="N250" i="23"/>
  <c r="M250" i="23"/>
  <c r="L250" i="23"/>
  <c r="V249" i="23"/>
  <c r="V248" i="23"/>
  <c r="R248" i="23"/>
  <c r="Q248" i="23"/>
  <c r="V247" i="23"/>
  <c r="R247" i="23"/>
  <c r="Q247" i="23"/>
  <c r="P246" i="23"/>
  <c r="O46" i="31" s="1"/>
  <c r="O246" i="23"/>
  <c r="V246" i="23" s="1"/>
  <c r="N246" i="23"/>
  <c r="M246" i="23"/>
  <c r="L246" i="23"/>
  <c r="K246" i="23"/>
  <c r="J246" i="23"/>
  <c r="O245" i="23"/>
  <c r="V245" i="23" s="1"/>
  <c r="V244" i="23"/>
  <c r="R244" i="23"/>
  <c r="Q244" i="23"/>
  <c r="P243" i="23"/>
  <c r="O243" i="23"/>
  <c r="V243" i="23" s="1"/>
  <c r="N243" i="23"/>
  <c r="M243" i="23"/>
  <c r="L243" i="23"/>
  <c r="K243" i="23"/>
  <c r="J243" i="23"/>
  <c r="V242" i="23"/>
  <c r="V241" i="23"/>
  <c r="V240" i="23"/>
  <c r="R240" i="23"/>
  <c r="Q240" i="23"/>
  <c r="V239" i="23"/>
  <c r="P239" i="23"/>
  <c r="Q239" i="23" s="1"/>
  <c r="V238" i="23"/>
  <c r="Q238" i="23"/>
  <c r="O237" i="23"/>
  <c r="V237" i="23" s="1"/>
  <c r="N237" i="23"/>
  <c r="M237" i="23"/>
  <c r="L237" i="23"/>
  <c r="K237" i="23"/>
  <c r="J237" i="23"/>
  <c r="V236" i="23"/>
  <c r="V235" i="23"/>
  <c r="R235" i="23"/>
  <c r="Q235" i="23"/>
  <c r="F235" i="23"/>
  <c r="V234" i="23"/>
  <c r="Q234" i="23"/>
  <c r="F234" i="23"/>
  <c r="V233" i="23"/>
  <c r="Q233" i="23"/>
  <c r="F233" i="23"/>
  <c r="V232" i="23"/>
  <c r="R232" i="23"/>
  <c r="Q232" i="23"/>
  <c r="F232" i="23"/>
  <c r="V231" i="23"/>
  <c r="U231" i="23"/>
  <c r="Q231" i="23"/>
  <c r="F231" i="23"/>
  <c r="P230" i="23"/>
  <c r="N230" i="23"/>
  <c r="O230" i="23" s="1"/>
  <c r="V230" i="23" s="1"/>
  <c r="L230" i="23"/>
  <c r="K230" i="23"/>
  <c r="J230" i="23"/>
  <c r="V228" i="23"/>
  <c r="V227" i="23"/>
  <c r="R227" i="23"/>
  <c r="Q227" i="23"/>
  <c r="V226" i="23"/>
  <c r="R226" i="23"/>
  <c r="Q226" i="23"/>
  <c r="V225" i="23"/>
  <c r="T225" i="23"/>
  <c r="R225" i="23"/>
  <c r="Q225" i="23"/>
  <c r="G225" i="23"/>
  <c r="V224" i="23"/>
  <c r="T224" i="23"/>
  <c r="R224" i="23"/>
  <c r="Q224" i="23"/>
  <c r="G224" i="23"/>
  <c r="V223" i="23"/>
  <c r="T223" i="23"/>
  <c r="Q223" i="23"/>
  <c r="G223" i="23"/>
  <c r="V222" i="23"/>
  <c r="T222" i="23"/>
  <c r="R222" i="23"/>
  <c r="Q222" i="23"/>
  <c r="G222" i="23"/>
  <c r="V221" i="23"/>
  <c r="T221" i="23"/>
  <c r="R221" i="23"/>
  <c r="Q221" i="23"/>
  <c r="G221" i="23"/>
  <c r="V220" i="23"/>
  <c r="T220" i="23"/>
  <c r="R220" i="23"/>
  <c r="Q220" i="23"/>
  <c r="G220" i="23"/>
  <c r="V219" i="23"/>
  <c r="T219" i="23"/>
  <c r="R219" i="23"/>
  <c r="Q219" i="23"/>
  <c r="G219" i="23"/>
  <c r="P218" i="23"/>
  <c r="P217" i="23" s="1"/>
  <c r="N218" i="23"/>
  <c r="N217" i="23" s="1"/>
  <c r="N216" i="23" s="1"/>
  <c r="K218" i="23"/>
  <c r="K217" i="23" s="1"/>
  <c r="K216" i="23" s="1"/>
  <c r="J218" i="23"/>
  <c r="J217" i="23" s="1"/>
  <c r="J216" i="23" s="1"/>
  <c r="M216" i="23"/>
  <c r="U214" i="23"/>
  <c r="U213" i="23" s="1"/>
  <c r="N214" i="23"/>
  <c r="N213" i="23" s="1"/>
  <c r="P213" i="23"/>
  <c r="O30" i="31" s="1"/>
  <c r="K213" i="23"/>
  <c r="J213" i="23"/>
  <c r="V212" i="23"/>
  <c r="N211" i="23"/>
  <c r="N210" i="23" s="1"/>
  <c r="O210" i="23" s="1"/>
  <c r="V210" i="23" s="1"/>
  <c r="P210" i="23"/>
  <c r="K210" i="23"/>
  <c r="J210" i="23"/>
  <c r="V209" i="23"/>
  <c r="N206" i="23"/>
  <c r="P205" i="23"/>
  <c r="K205" i="23"/>
  <c r="J205" i="23"/>
  <c r="V203" i="23"/>
  <c r="V202" i="23"/>
  <c r="U202" i="23"/>
  <c r="U195" i="23" s="1"/>
  <c r="R202" i="23"/>
  <c r="Q202" i="23"/>
  <c r="H202" i="23"/>
  <c r="V201" i="23"/>
  <c r="R201" i="23"/>
  <c r="Q201" i="23"/>
  <c r="H201" i="23"/>
  <c r="V200" i="23"/>
  <c r="R200" i="23"/>
  <c r="Q200" i="23"/>
  <c r="H200" i="23"/>
  <c r="V199" i="23"/>
  <c r="Q199" i="23"/>
  <c r="H199" i="23"/>
  <c r="V198" i="23"/>
  <c r="R198" i="23"/>
  <c r="Q198" i="23"/>
  <c r="H198" i="23"/>
  <c r="V197" i="23"/>
  <c r="R197" i="23"/>
  <c r="Q197" i="23"/>
  <c r="H197" i="23"/>
  <c r="V196" i="23"/>
  <c r="R196" i="23"/>
  <c r="Q196" i="23"/>
  <c r="H196" i="23"/>
  <c r="P195" i="23"/>
  <c r="O195" i="23"/>
  <c r="V195" i="23" s="1"/>
  <c r="N195" i="23"/>
  <c r="M195" i="23"/>
  <c r="K195" i="23"/>
  <c r="J195" i="23"/>
  <c r="V194" i="23"/>
  <c r="Q194" i="23"/>
  <c r="H194" i="23"/>
  <c r="V193" i="23"/>
  <c r="Q193" i="23"/>
  <c r="H193" i="23"/>
  <c r="V192" i="23"/>
  <c r="Q192" i="23"/>
  <c r="H192" i="23"/>
  <c r="V191" i="23"/>
  <c r="R191" i="23"/>
  <c r="Q191" i="23"/>
  <c r="H191" i="23"/>
  <c r="V190" i="23"/>
  <c r="R190" i="23"/>
  <c r="Q190" i="23"/>
  <c r="H190" i="23"/>
  <c r="V189" i="23"/>
  <c r="R189" i="23"/>
  <c r="Q189" i="23"/>
  <c r="H189" i="23"/>
  <c r="V188" i="23"/>
  <c r="Q188" i="23"/>
  <c r="H188" i="23"/>
  <c r="O187" i="23"/>
  <c r="N187" i="23"/>
  <c r="M187" i="23"/>
  <c r="K187" i="23"/>
  <c r="J187" i="23"/>
  <c r="V186" i="23"/>
  <c r="Q186" i="23"/>
  <c r="V185" i="23"/>
  <c r="Q185" i="23"/>
  <c r="V184" i="23"/>
  <c r="Q184" i="23"/>
  <c r="V183" i="23"/>
  <c r="Q183" i="23"/>
  <c r="P182" i="23"/>
  <c r="O182" i="23"/>
  <c r="V182" i="23" s="1"/>
  <c r="N182" i="23"/>
  <c r="M182" i="23"/>
  <c r="L182" i="23"/>
  <c r="K182" i="23"/>
  <c r="K168" i="23"/>
  <c r="J182" i="23"/>
  <c r="V181" i="23"/>
  <c r="Q181" i="23"/>
  <c r="V180" i="23"/>
  <c r="Q180" i="23"/>
  <c r="V179" i="23"/>
  <c r="R179" i="23"/>
  <c r="Q179" i="23"/>
  <c r="H179" i="23"/>
  <c r="V178" i="23"/>
  <c r="Q178" i="23"/>
  <c r="H178" i="23"/>
  <c r="V177" i="23"/>
  <c r="Q177" i="23"/>
  <c r="H177" i="23"/>
  <c r="V176" i="23"/>
  <c r="R176" i="23"/>
  <c r="Q176" i="23"/>
  <c r="H176" i="23"/>
  <c r="V175" i="23"/>
  <c r="R175" i="23"/>
  <c r="Q175" i="23"/>
  <c r="H175" i="23"/>
  <c r="V174" i="23"/>
  <c r="R174" i="23"/>
  <c r="Q174" i="23"/>
  <c r="H174" i="23"/>
  <c r="V173" i="23"/>
  <c r="Q173" i="23"/>
  <c r="H173" i="23"/>
  <c r="V172" i="23"/>
  <c r="Q172" i="23"/>
  <c r="H172" i="23"/>
  <c r="V171" i="23"/>
  <c r="R171" i="23"/>
  <c r="Q171" i="23"/>
  <c r="H171" i="23"/>
  <c r="V170" i="23"/>
  <c r="R170" i="23"/>
  <c r="Q170" i="23"/>
  <c r="H170" i="23"/>
  <c r="V169" i="23"/>
  <c r="R169" i="23"/>
  <c r="Q169" i="23"/>
  <c r="H169" i="23"/>
  <c r="O168" i="23"/>
  <c r="V168" i="23" s="1"/>
  <c r="N168" i="23"/>
  <c r="M168" i="23"/>
  <c r="J168" i="23"/>
  <c r="V167" i="23"/>
  <c r="Q167" i="23"/>
  <c r="V166" i="23"/>
  <c r="Q166" i="23"/>
  <c r="J166" i="23"/>
  <c r="V164" i="23"/>
  <c r="Q162" i="23"/>
  <c r="P162" i="23"/>
  <c r="Q161" i="23"/>
  <c r="P160" i="23"/>
  <c r="Q160" i="23" s="1"/>
  <c r="O159" i="23"/>
  <c r="V159" i="23" s="1"/>
  <c r="L159" i="23"/>
  <c r="K159" i="23"/>
  <c r="J159" i="23"/>
  <c r="V158" i="23"/>
  <c r="Q158" i="23"/>
  <c r="V157" i="23"/>
  <c r="U157" i="23"/>
  <c r="R157" i="23"/>
  <c r="Q157" i="23"/>
  <c r="V156" i="23"/>
  <c r="R156" i="23"/>
  <c r="Q156" i="23"/>
  <c r="K156" i="23"/>
  <c r="J156" i="23"/>
  <c r="V154" i="23"/>
  <c r="R154" i="23"/>
  <c r="Q154" i="23"/>
  <c r="K153" i="23"/>
  <c r="K140" i="23"/>
  <c r="J153" i="23"/>
  <c r="V152" i="23"/>
  <c r="R152" i="23"/>
  <c r="Q152" i="23"/>
  <c r="H152" i="23"/>
  <c r="V151" i="23"/>
  <c r="R151" i="23"/>
  <c r="Q151" i="23"/>
  <c r="V150" i="23"/>
  <c r="U150" i="23"/>
  <c r="Q150" i="23"/>
  <c r="V149" i="23"/>
  <c r="Q149" i="23"/>
  <c r="V148" i="23"/>
  <c r="U148" i="23"/>
  <c r="R148" i="23"/>
  <c r="Q148" i="23"/>
  <c r="V147" i="23"/>
  <c r="R147" i="23"/>
  <c r="V146" i="23"/>
  <c r="R146" i="23"/>
  <c r="Q146" i="23"/>
  <c r="V145" i="23"/>
  <c r="R145" i="23"/>
  <c r="Q145" i="23"/>
  <c r="V144" i="23"/>
  <c r="R144" i="23"/>
  <c r="Q144" i="23"/>
  <c r="H144" i="23"/>
  <c r="V143" i="23"/>
  <c r="R143" i="23"/>
  <c r="Q143" i="23"/>
  <c r="V142" i="23"/>
  <c r="R142" i="23"/>
  <c r="Q142" i="23"/>
  <c r="H142" i="23"/>
  <c r="V141" i="23"/>
  <c r="R141" i="23"/>
  <c r="Q141" i="23"/>
  <c r="H141" i="23"/>
  <c r="P140" i="23"/>
  <c r="Q140" i="23" s="1"/>
  <c r="O140" i="23"/>
  <c r="V140" i="23" s="1"/>
  <c r="N140" i="23"/>
  <c r="N139" i="23" s="1"/>
  <c r="J140" i="23"/>
  <c r="V138" i="23"/>
  <c r="V136" i="23"/>
  <c r="U136" i="23"/>
  <c r="Q136" i="23"/>
  <c r="V135" i="23"/>
  <c r="P135" i="23"/>
  <c r="Q135" i="23" s="1"/>
  <c r="F135" i="23"/>
  <c r="V134" i="23"/>
  <c r="U134" i="23"/>
  <c r="R134" i="23"/>
  <c r="Q134" i="23"/>
  <c r="V133" i="23"/>
  <c r="L133" i="23"/>
  <c r="Q133" i="23" s="1"/>
  <c r="K133" i="23"/>
  <c r="V132" i="23"/>
  <c r="U132" i="23"/>
  <c r="Q132" i="23"/>
  <c r="V131" i="23"/>
  <c r="Q131" i="23"/>
  <c r="V130" i="23"/>
  <c r="P130" i="23"/>
  <c r="Q130" i="23" s="1"/>
  <c r="V129" i="23"/>
  <c r="U129" i="23"/>
  <c r="Q129" i="23"/>
  <c r="V128" i="23"/>
  <c r="U128" i="23"/>
  <c r="Q128" i="23"/>
  <c r="V127" i="23"/>
  <c r="U127" i="23"/>
  <c r="R127" i="23"/>
  <c r="Q127" i="23"/>
  <c r="V126" i="23"/>
  <c r="U126" i="23"/>
  <c r="Q126" i="23"/>
  <c r="V125" i="23"/>
  <c r="U125" i="23"/>
  <c r="R125" i="23"/>
  <c r="Q125" i="23"/>
  <c r="V124" i="23"/>
  <c r="U124" i="23"/>
  <c r="R124" i="23"/>
  <c r="Q124" i="23"/>
  <c r="V123" i="23"/>
  <c r="U123" i="23"/>
  <c r="R123" i="23"/>
  <c r="Q123" i="23"/>
  <c r="V122" i="23"/>
  <c r="U122" i="23"/>
  <c r="R122" i="23"/>
  <c r="Q122" i="23"/>
  <c r="V121" i="23"/>
  <c r="U121" i="23"/>
  <c r="R121" i="23"/>
  <c r="Q121" i="23"/>
  <c r="O120" i="23"/>
  <c r="V120" i="23" s="1"/>
  <c r="N120" i="23"/>
  <c r="M120" i="23"/>
  <c r="K120" i="23"/>
  <c r="J120" i="23"/>
  <c r="V119" i="23"/>
  <c r="U119" i="23"/>
  <c r="Q119" i="23"/>
  <c r="V118" i="23"/>
  <c r="U118" i="23"/>
  <c r="R118" i="23"/>
  <c r="Q118" i="23"/>
  <c r="V117" i="23"/>
  <c r="U117" i="23"/>
  <c r="R117" i="23"/>
  <c r="Q117" i="23"/>
  <c r="V116" i="23"/>
  <c r="U116" i="23"/>
  <c r="R116" i="23"/>
  <c r="Q116" i="23"/>
  <c r="P115" i="23"/>
  <c r="O115" i="23"/>
  <c r="V115" i="23" s="1"/>
  <c r="N115" i="23"/>
  <c r="M115" i="23"/>
  <c r="L115" i="23"/>
  <c r="K115" i="23"/>
  <c r="J115" i="23"/>
  <c r="V114" i="23"/>
  <c r="Q114" i="23"/>
  <c r="V113" i="23"/>
  <c r="Q113" i="23"/>
  <c r="P112" i="23"/>
  <c r="L112" i="23"/>
  <c r="O112" i="23"/>
  <c r="V112" i="23" s="1"/>
  <c r="N112" i="23"/>
  <c r="M112" i="23"/>
  <c r="K112" i="23"/>
  <c r="J112" i="23"/>
  <c r="V111" i="23"/>
  <c r="V110" i="23"/>
  <c r="Q110" i="23"/>
  <c r="V109" i="23"/>
  <c r="P109" i="23"/>
  <c r="Q109" i="23" s="1"/>
  <c r="V107" i="23"/>
  <c r="U107" i="23"/>
  <c r="Q107" i="23"/>
  <c r="V106" i="23"/>
  <c r="U106" i="23"/>
  <c r="R106" i="23"/>
  <c r="Q106" i="23"/>
  <c r="V105" i="23"/>
  <c r="U105" i="23"/>
  <c r="R105" i="23"/>
  <c r="Q105" i="23"/>
  <c r="V104" i="23"/>
  <c r="U104" i="23"/>
  <c r="R104" i="23"/>
  <c r="Q104" i="23"/>
  <c r="V103" i="23"/>
  <c r="U103" i="23"/>
  <c r="R103" i="23"/>
  <c r="Q103" i="23"/>
  <c r="V102" i="23"/>
  <c r="U102" i="23"/>
  <c r="R102" i="23"/>
  <c r="Q102" i="23"/>
  <c r="P101" i="23"/>
  <c r="O101" i="23"/>
  <c r="V101" i="23" s="1"/>
  <c r="N101" i="23"/>
  <c r="N97" i="23"/>
  <c r="M101" i="23"/>
  <c r="L101" i="23"/>
  <c r="J101" i="23"/>
  <c r="V100" i="23"/>
  <c r="U100" i="23"/>
  <c r="R100" i="23"/>
  <c r="Q100" i="23"/>
  <c r="V99" i="23"/>
  <c r="U99" i="23"/>
  <c r="R99" i="23"/>
  <c r="Q99" i="23"/>
  <c r="V98" i="23"/>
  <c r="U98" i="23"/>
  <c r="R98" i="23"/>
  <c r="Q98" i="23"/>
  <c r="U97" i="23"/>
  <c r="O97" i="23"/>
  <c r="V97" i="23" s="1"/>
  <c r="M97" i="23"/>
  <c r="L97" i="23"/>
  <c r="K97" i="23"/>
  <c r="K96" i="23" s="1"/>
  <c r="K95" i="23" s="1"/>
  <c r="J97" i="23"/>
  <c r="U96" i="23"/>
  <c r="V94" i="23"/>
  <c r="Q94" i="23"/>
  <c r="V93" i="23"/>
  <c r="Q93" i="23"/>
  <c r="V92" i="23"/>
  <c r="Q92" i="23"/>
  <c r="V91" i="23"/>
  <c r="Q91" i="23"/>
  <c r="V90" i="23"/>
  <c r="Q90" i="23"/>
  <c r="V89" i="23"/>
  <c r="Q89" i="23"/>
  <c r="V88" i="23"/>
  <c r="Q88" i="23"/>
  <c r="V87" i="23"/>
  <c r="Q87" i="23"/>
  <c r="V86" i="23"/>
  <c r="Q86" i="23"/>
  <c r="V85" i="23"/>
  <c r="Q85" i="23"/>
  <c r="V84" i="23"/>
  <c r="Q84" i="23"/>
  <c r="V83" i="23"/>
  <c r="Q83" i="23"/>
  <c r="V82" i="23"/>
  <c r="Q82" i="23"/>
  <c r="V81" i="23"/>
  <c r="U81" i="23"/>
  <c r="R81" i="23"/>
  <c r="Q81" i="23"/>
  <c r="V80" i="23"/>
  <c r="U80" i="23"/>
  <c r="R80" i="23"/>
  <c r="Q80" i="23"/>
  <c r="V79" i="23"/>
  <c r="U79" i="23"/>
  <c r="R79" i="23"/>
  <c r="Q79" i="23"/>
  <c r="P78" i="23"/>
  <c r="O78" i="23"/>
  <c r="V78" i="23" s="1"/>
  <c r="N78" i="23"/>
  <c r="M78" i="23"/>
  <c r="L78" i="23"/>
  <c r="K78" i="23"/>
  <c r="J78" i="23"/>
  <c r="J57" i="23"/>
  <c r="J61" i="23"/>
  <c r="J72" i="23"/>
  <c r="V75" i="23"/>
  <c r="R75" i="23"/>
  <c r="Q75" i="23"/>
  <c r="V73" i="23"/>
  <c r="U73" i="23"/>
  <c r="R73" i="23"/>
  <c r="O72" i="23"/>
  <c r="V72" i="23" s="1"/>
  <c r="N72" i="23"/>
  <c r="M72" i="23"/>
  <c r="M57" i="23"/>
  <c r="M61" i="23"/>
  <c r="M45" i="23"/>
  <c r="M44" i="23" s="1"/>
  <c r="L72" i="23"/>
  <c r="R72" i="23" s="1"/>
  <c r="K72" i="23"/>
  <c r="V71" i="23"/>
  <c r="Q71" i="23"/>
  <c r="V70" i="23"/>
  <c r="U70" i="23"/>
  <c r="Q70" i="23"/>
  <c r="V69" i="23"/>
  <c r="Q69" i="23"/>
  <c r="V68" i="23"/>
  <c r="Q68" i="23"/>
  <c r="V67" i="23"/>
  <c r="R67" i="23"/>
  <c r="Q67" i="23"/>
  <c r="V66" i="23"/>
  <c r="P66" i="23"/>
  <c r="Q66" i="23" s="1"/>
  <c r="V65" i="23"/>
  <c r="R65" i="23"/>
  <c r="Q65" i="23"/>
  <c r="V64" i="23"/>
  <c r="R64" i="23"/>
  <c r="Q64" i="23"/>
  <c r="V63" i="23"/>
  <c r="R63" i="23"/>
  <c r="Q63" i="23"/>
  <c r="V62" i="23"/>
  <c r="R62" i="23"/>
  <c r="Q62" i="23"/>
  <c r="P61" i="23"/>
  <c r="O61" i="23"/>
  <c r="N61" i="23"/>
  <c r="L61" i="23"/>
  <c r="K61" i="23"/>
  <c r="V60" i="23"/>
  <c r="R60" i="23"/>
  <c r="Q60" i="23"/>
  <c r="H60" i="23"/>
  <c r="V59" i="23"/>
  <c r="R59" i="23"/>
  <c r="Q59" i="23"/>
  <c r="H59" i="23"/>
  <c r="V58" i="23"/>
  <c r="R58" i="23"/>
  <c r="Q58" i="23"/>
  <c r="P57" i="23"/>
  <c r="O57" i="23"/>
  <c r="V57" i="23" s="1"/>
  <c r="N57" i="23"/>
  <c r="L57" i="23"/>
  <c r="K57" i="23"/>
  <c r="V54" i="23"/>
  <c r="V53" i="23"/>
  <c r="P53" i="23"/>
  <c r="Q53" i="23" s="1"/>
  <c r="V52" i="23"/>
  <c r="R52" i="23"/>
  <c r="Q52" i="23"/>
  <c r="V51" i="23"/>
  <c r="P51" i="23"/>
  <c r="O21" i="28"/>
  <c r="S21" i="28" s="1"/>
  <c r="V50" i="23"/>
  <c r="V49" i="23"/>
  <c r="Q49" i="23"/>
  <c r="V48" i="23"/>
  <c r="Q48" i="23"/>
  <c r="V47" i="23"/>
  <c r="R47" i="23"/>
  <c r="Q47" i="23"/>
  <c r="V46" i="23"/>
  <c r="R46" i="23"/>
  <c r="Q46" i="23"/>
  <c r="P45" i="23"/>
  <c r="O45" i="23"/>
  <c r="O44" i="23" s="1"/>
  <c r="N45" i="23"/>
  <c r="N44" i="23" s="1"/>
  <c r="L45" i="23"/>
  <c r="L44" i="23" s="1"/>
  <c r="K45" i="23"/>
  <c r="K44" i="23" s="1"/>
  <c r="J45" i="23"/>
  <c r="J44" i="23" s="1"/>
  <c r="R41" i="23"/>
  <c r="Q41" i="23"/>
  <c r="R39" i="23"/>
  <c r="Q39" i="23"/>
  <c r="R37" i="23"/>
  <c r="Q37" i="23"/>
  <c r="L25" i="23"/>
  <c r="L12" i="23" s="1"/>
  <c r="K25" i="23"/>
  <c r="J25" i="23"/>
  <c r="K13" i="23"/>
  <c r="K12" i="23" s="1"/>
  <c r="J13" i="23"/>
  <c r="J12" i="23" s="1"/>
  <c r="O28" i="31"/>
  <c r="O51" i="28"/>
  <c r="O68" i="31"/>
  <c r="Q68" i="31" s="1"/>
  <c r="L373" i="23"/>
  <c r="R373" i="23" s="1"/>
  <c r="O49" i="24"/>
  <c r="Q427" i="23"/>
  <c r="Q495" i="23"/>
  <c r="R307" i="23"/>
  <c r="O54" i="18"/>
  <c r="O53" i="18"/>
  <c r="O14" i="18"/>
  <c r="O13" i="18"/>
  <c r="O12" i="18"/>
  <c r="O11" i="18"/>
  <c r="P398" i="16"/>
  <c r="O60" i="18" s="1"/>
  <c r="R41" i="16"/>
  <c r="R39" i="16"/>
  <c r="R37" i="16"/>
  <c r="L451" i="16"/>
  <c r="Q563" i="16"/>
  <c r="P562" i="16"/>
  <c r="Q562" i="16" s="1"/>
  <c r="O562" i="16"/>
  <c r="C7" i="21"/>
  <c r="C6" i="21"/>
  <c r="C5" i="21"/>
  <c r="O10" i="18"/>
  <c r="O10" i="20"/>
  <c r="S73" i="20"/>
  <c r="T73" i="20" s="1"/>
  <c r="M72" i="20"/>
  <c r="M71" i="20" s="1"/>
  <c r="L72" i="20"/>
  <c r="L71" i="20" s="1"/>
  <c r="K72" i="20"/>
  <c r="K71" i="20" s="1"/>
  <c r="S70" i="20"/>
  <c r="T70" i="20" s="1"/>
  <c r="S69" i="20"/>
  <c r="T69" i="20" s="1"/>
  <c r="P67" i="20"/>
  <c r="M67" i="20"/>
  <c r="L67" i="20"/>
  <c r="K67" i="20"/>
  <c r="S64" i="20"/>
  <c r="T64" i="20" s="1"/>
  <c r="S57" i="20"/>
  <c r="T57" i="20" s="1"/>
  <c r="O55" i="20"/>
  <c r="L55" i="20"/>
  <c r="K55" i="20"/>
  <c r="O54" i="20"/>
  <c r="O53" i="20"/>
  <c r="P51" i="20"/>
  <c r="N51" i="20"/>
  <c r="L51" i="20"/>
  <c r="K48" i="20"/>
  <c r="S42" i="20"/>
  <c r="T42" i="20" s="1"/>
  <c r="O41" i="20"/>
  <c r="N41" i="20"/>
  <c r="M41" i="20"/>
  <c r="O40" i="20"/>
  <c r="M40" i="20"/>
  <c r="N40" i="20"/>
  <c r="L40" i="20"/>
  <c r="K40" i="20"/>
  <c r="O39" i="20"/>
  <c r="N39" i="20"/>
  <c r="M39" i="20"/>
  <c r="L39" i="20"/>
  <c r="K39" i="20"/>
  <c r="O38" i="20"/>
  <c r="N38" i="20"/>
  <c r="M38" i="20"/>
  <c r="L38" i="20"/>
  <c r="K38" i="20"/>
  <c r="O37" i="20"/>
  <c r="N37" i="20"/>
  <c r="M37" i="20"/>
  <c r="L37" i="20"/>
  <c r="K37" i="20"/>
  <c r="O36" i="20"/>
  <c r="N36" i="20"/>
  <c r="M36" i="20"/>
  <c r="L36" i="20"/>
  <c r="K36" i="20"/>
  <c r="O35" i="20"/>
  <c r="M35" i="20"/>
  <c r="N35" i="20"/>
  <c r="L35" i="20"/>
  <c r="K35" i="20"/>
  <c r="K34" i="20"/>
  <c r="O34" i="20"/>
  <c r="N34" i="20"/>
  <c r="M34" i="20"/>
  <c r="L34" i="20"/>
  <c r="S31" i="20"/>
  <c r="T31" i="20" s="1"/>
  <c r="S26" i="20"/>
  <c r="T26" i="20" s="1"/>
  <c r="K23" i="20"/>
  <c r="S20" i="20"/>
  <c r="T20" i="20" s="1"/>
  <c r="M19" i="20"/>
  <c r="L19" i="20"/>
  <c r="K19" i="20"/>
  <c r="M18" i="20"/>
  <c r="L18" i="20"/>
  <c r="K18" i="20"/>
  <c r="O14" i="20"/>
  <c r="N14" i="20"/>
  <c r="M14" i="20"/>
  <c r="L14" i="20"/>
  <c r="K14" i="20"/>
  <c r="O13" i="20"/>
  <c r="N13" i="20"/>
  <c r="M13" i="20"/>
  <c r="L13" i="20"/>
  <c r="K13" i="20"/>
  <c r="O12" i="20"/>
  <c r="N12" i="20"/>
  <c r="M12" i="20"/>
  <c r="L12" i="20"/>
  <c r="K12" i="20"/>
  <c r="O11" i="20"/>
  <c r="P643" i="19"/>
  <c r="P642" i="19" s="1"/>
  <c r="N643" i="19"/>
  <c r="N642" i="19" s="1"/>
  <c r="M643" i="19"/>
  <c r="M642" i="19" s="1"/>
  <c r="L643" i="19"/>
  <c r="L642" i="19" s="1"/>
  <c r="P640" i="19"/>
  <c r="O640" i="19"/>
  <c r="N640" i="19"/>
  <c r="M640" i="19"/>
  <c r="L640" i="19"/>
  <c r="P639" i="19"/>
  <c r="P638" i="19"/>
  <c r="O639" i="19"/>
  <c r="N639" i="19"/>
  <c r="M639" i="19"/>
  <c r="L639" i="19"/>
  <c r="L638" i="19"/>
  <c r="O638" i="19"/>
  <c r="N638" i="19"/>
  <c r="M638" i="19"/>
  <c r="R635" i="19"/>
  <c r="P635" i="19"/>
  <c r="O635" i="19"/>
  <c r="N635" i="19"/>
  <c r="M635" i="19"/>
  <c r="L635" i="19"/>
  <c r="R634" i="19"/>
  <c r="P634" i="19"/>
  <c r="O634" i="19"/>
  <c r="N634" i="19"/>
  <c r="M634" i="19"/>
  <c r="L634" i="19"/>
  <c r="R633" i="19"/>
  <c r="P633" i="19"/>
  <c r="O633" i="19"/>
  <c r="N633" i="19"/>
  <c r="M633" i="19"/>
  <c r="L633" i="19"/>
  <c r="R632" i="19"/>
  <c r="P632" i="19"/>
  <c r="O632" i="19"/>
  <c r="N632" i="19"/>
  <c r="M632" i="19"/>
  <c r="L632" i="19"/>
  <c r="U631" i="19"/>
  <c r="R631" i="19"/>
  <c r="P631" i="19"/>
  <c r="P624" i="19"/>
  <c r="P626" i="19"/>
  <c r="P628" i="19"/>
  <c r="O631" i="19"/>
  <c r="N631" i="19"/>
  <c r="M631" i="19"/>
  <c r="L631" i="19"/>
  <c r="R630" i="19"/>
  <c r="P630" i="19"/>
  <c r="O630" i="19"/>
  <c r="N630" i="19"/>
  <c r="M630" i="19"/>
  <c r="L630" i="19"/>
  <c r="R629" i="19"/>
  <c r="P629" i="19"/>
  <c r="O629" i="19"/>
  <c r="N629" i="19"/>
  <c r="M629" i="19"/>
  <c r="L629" i="19"/>
  <c r="L624" i="19"/>
  <c r="L626" i="19"/>
  <c r="L627" i="19"/>
  <c r="L628" i="19"/>
  <c r="R628" i="19"/>
  <c r="O628" i="19"/>
  <c r="N628" i="19"/>
  <c r="M628" i="19"/>
  <c r="U627" i="19"/>
  <c r="R627" i="19"/>
  <c r="P627" i="19"/>
  <c r="O627" i="19"/>
  <c r="N627" i="19"/>
  <c r="M627" i="19"/>
  <c r="M624" i="19"/>
  <c r="M625" i="19"/>
  <c r="M626" i="19"/>
  <c r="R626" i="19"/>
  <c r="O626" i="19"/>
  <c r="N626" i="19"/>
  <c r="P625" i="19"/>
  <c r="O625" i="19"/>
  <c r="N625" i="19"/>
  <c r="U624" i="19"/>
  <c r="R624" i="19"/>
  <c r="O624" i="19"/>
  <c r="N624" i="19"/>
  <c r="U619" i="19"/>
  <c r="P619" i="19"/>
  <c r="O619" i="19"/>
  <c r="N619" i="19"/>
  <c r="M619" i="19"/>
  <c r="U618" i="19"/>
  <c r="R618" i="19"/>
  <c r="P618" i="19"/>
  <c r="O618" i="19"/>
  <c r="N618" i="19"/>
  <c r="M618" i="19"/>
  <c r="L618" i="19"/>
  <c r="U617" i="19"/>
  <c r="R617" i="19"/>
  <c r="P617" i="19"/>
  <c r="O617" i="19"/>
  <c r="N617" i="19"/>
  <c r="M617" i="19"/>
  <c r="L617" i="19"/>
  <c r="U616" i="19"/>
  <c r="R616" i="19"/>
  <c r="P616" i="19"/>
  <c r="O616" i="19"/>
  <c r="N616" i="19"/>
  <c r="M616" i="19"/>
  <c r="L616" i="19"/>
  <c r="U615" i="19"/>
  <c r="R615" i="19"/>
  <c r="P615" i="19"/>
  <c r="O615" i="19"/>
  <c r="N615" i="19"/>
  <c r="M615" i="19"/>
  <c r="L615" i="19"/>
  <c r="U614" i="19"/>
  <c r="R614" i="19"/>
  <c r="P614" i="19"/>
  <c r="O614" i="19"/>
  <c r="N614" i="19"/>
  <c r="M614" i="19"/>
  <c r="L614" i="19"/>
  <c r="R613" i="19"/>
  <c r="P613" i="19"/>
  <c r="O613" i="19"/>
  <c r="N613" i="19"/>
  <c r="M613" i="19"/>
  <c r="L613" i="19"/>
  <c r="U612" i="19"/>
  <c r="R612" i="19"/>
  <c r="P612" i="19"/>
  <c r="O612" i="19"/>
  <c r="N612" i="19"/>
  <c r="M612" i="19"/>
  <c r="L612" i="19"/>
  <c r="P611" i="19"/>
  <c r="M611" i="19"/>
  <c r="H611" i="19"/>
  <c r="U610" i="19"/>
  <c r="P610" i="19"/>
  <c r="M610" i="19"/>
  <c r="U609" i="19"/>
  <c r="R609" i="19"/>
  <c r="P609" i="19"/>
  <c r="O609" i="19"/>
  <c r="N609" i="19"/>
  <c r="M609" i="19"/>
  <c r="L609" i="19"/>
  <c r="U608" i="19"/>
  <c r="R608" i="19"/>
  <c r="P608" i="19"/>
  <c r="O608" i="19"/>
  <c r="N608" i="19"/>
  <c r="M608" i="19"/>
  <c r="L608" i="19"/>
  <c r="U607" i="19"/>
  <c r="R607" i="19"/>
  <c r="P607" i="19"/>
  <c r="O607" i="19"/>
  <c r="N607" i="19"/>
  <c r="M607" i="19"/>
  <c r="L607" i="19"/>
  <c r="U606" i="19"/>
  <c r="P606" i="19"/>
  <c r="O606" i="19"/>
  <c r="N606" i="19"/>
  <c r="M606" i="19"/>
  <c r="L606" i="19"/>
  <c r="U605" i="19"/>
  <c r="R605" i="19"/>
  <c r="P605" i="19"/>
  <c r="O605" i="19"/>
  <c r="N605" i="19"/>
  <c r="M605" i="19"/>
  <c r="L605" i="19"/>
  <c r="U604" i="19"/>
  <c r="R604" i="19"/>
  <c r="P604" i="19"/>
  <c r="O604" i="19"/>
  <c r="N604" i="19"/>
  <c r="M604" i="19"/>
  <c r="L604" i="19"/>
  <c r="U603" i="19"/>
  <c r="R603" i="19"/>
  <c r="P603" i="19"/>
  <c r="O603" i="19"/>
  <c r="N603" i="19"/>
  <c r="M603" i="19"/>
  <c r="L603" i="19"/>
  <c r="U602" i="19"/>
  <c r="P602" i="19"/>
  <c r="M602" i="19"/>
  <c r="U601" i="19"/>
  <c r="R601" i="19"/>
  <c r="P601" i="19"/>
  <c r="O601" i="19"/>
  <c r="N601" i="19"/>
  <c r="M601" i="19"/>
  <c r="L601" i="19"/>
  <c r="U600" i="19"/>
  <c r="R600" i="19"/>
  <c r="P600" i="19"/>
  <c r="M600" i="19"/>
  <c r="R599" i="19"/>
  <c r="O599" i="19"/>
  <c r="N599" i="19"/>
  <c r="M599" i="19"/>
  <c r="L599" i="19"/>
  <c r="P598" i="19"/>
  <c r="O598" i="19"/>
  <c r="N598" i="19"/>
  <c r="M598" i="19"/>
  <c r="L598" i="19"/>
  <c r="R597" i="19"/>
  <c r="P597" i="19"/>
  <c r="O597" i="19"/>
  <c r="N597" i="19"/>
  <c r="M597" i="19"/>
  <c r="L597" i="19"/>
  <c r="P596" i="19"/>
  <c r="P595" i="19"/>
  <c r="O596" i="19"/>
  <c r="N596" i="19"/>
  <c r="M596" i="19"/>
  <c r="L596" i="19"/>
  <c r="O595" i="19"/>
  <c r="N595" i="19"/>
  <c r="M595" i="19"/>
  <c r="L595" i="19"/>
  <c r="P577" i="19"/>
  <c r="L577" i="19"/>
  <c r="P576" i="19"/>
  <c r="L576" i="19"/>
  <c r="L573" i="19"/>
  <c r="L572" i="19"/>
  <c r="V567" i="19"/>
  <c r="V564" i="19"/>
  <c r="R564" i="19"/>
  <c r="Q564" i="19"/>
  <c r="N563" i="19"/>
  <c r="N562" i="19" s="1"/>
  <c r="N561" i="19" s="1"/>
  <c r="N560" i="19" s="1"/>
  <c r="N559" i="19" s="1"/>
  <c r="O559" i="19" s="1"/>
  <c r="V559" i="19" s="1"/>
  <c r="K562" i="19"/>
  <c r="K560" i="19" s="1"/>
  <c r="K559" i="19" s="1"/>
  <c r="J562" i="19"/>
  <c r="J560" i="19" s="1"/>
  <c r="J559" i="19" s="1"/>
  <c r="P561" i="19"/>
  <c r="P560" i="19" s="1"/>
  <c r="P559" i="19" s="1"/>
  <c r="V558" i="19"/>
  <c r="U558" i="19"/>
  <c r="Q558" i="19"/>
  <c r="V557" i="19"/>
  <c r="Q557" i="19"/>
  <c r="V556" i="19"/>
  <c r="U556" i="19"/>
  <c r="Q556" i="19"/>
  <c r="V555" i="19"/>
  <c r="Q555" i="19"/>
  <c r="V554" i="19"/>
  <c r="U554" i="19"/>
  <c r="Q554" i="19"/>
  <c r="V553" i="19"/>
  <c r="Q553" i="19"/>
  <c r="V552" i="19"/>
  <c r="Q552" i="19"/>
  <c r="V551" i="19"/>
  <c r="U551" i="19"/>
  <c r="Q551" i="19"/>
  <c r="V550" i="19"/>
  <c r="Q550" i="19"/>
  <c r="V549" i="19"/>
  <c r="U549" i="19"/>
  <c r="Q549" i="19"/>
  <c r="V548" i="19"/>
  <c r="Q548" i="19"/>
  <c r="V547" i="19"/>
  <c r="Q547" i="19"/>
  <c r="V546" i="19"/>
  <c r="Q546" i="19"/>
  <c r="V545" i="19"/>
  <c r="U545" i="19"/>
  <c r="Q545" i="19"/>
  <c r="V544" i="19"/>
  <c r="Q544" i="19"/>
  <c r="V543" i="19"/>
  <c r="Q543" i="19"/>
  <c r="V542" i="19"/>
  <c r="U542" i="19"/>
  <c r="Q542" i="19"/>
  <c r="V541" i="19"/>
  <c r="Q541" i="19"/>
  <c r="V540" i="19"/>
  <c r="Q540" i="19"/>
  <c r="V539" i="19"/>
  <c r="Q539" i="19"/>
  <c r="V538" i="19"/>
  <c r="Q538" i="19"/>
  <c r="V537" i="19"/>
  <c r="U537" i="19"/>
  <c r="Q537" i="19"/>
  <c r="V536" i="19"/>
  <c r="Q536" i="19"/>
  <c r="V535" i="19"/>
  <c r="Q535" i="19"/>
  <c r="V534" i="19"/>
  <c r="Q534" i="19"/>
  <c r="V533" i="19"/>
  <c r="Q533" i="19"/>
  <c r="V532" i="19"/>
  <c r="U532" i="19"/>
  <c r="Q532" i="19"/>
  <c r="V531" i="19"/>
  <c r="Q531" i="19"/>
  <c r="V530" i="19"/>
  <c r="Q530" i="19"/>
  <c r="V529" i="19"/>
  <c r="U529" i="19"/>
  <c r="Q529" i="19"/>
  <c r="V528" i="19"/>
  <c r="U528" i="19"/>
  <c r="Q528" i="19"/>
  <c r="V527" i="19"/>
  <c r="Q527" i="19"/>
  <c r="V526" i="19"/>
  <c r="U526" i="19"/>
  <c r="Q526" i="19"/>
  <c r="V525" i="19"/>
  <c r="Q525" i="19"/>
  <c r="V524" i="19"/>
  <c r="Q524" i="19"/>
  <c r="V523" i="19"/>
  <c r="Q523" i="19"/>
  <c r="V522" i="19"/>
  <c r="Q522" i="19"/>
  <c r="V521" i="19"/>
  <c r="Q521" i="19"/>
  <c r="V520" i="19"/>
  <c r="U520" i="19"/>
  <c r="Q520" i="19"/>
  <c r="V519" i="19"/>
  <c r="Q519" i="19"/>
  <c r="V518" i="19"/>
  <c r="Q518" i="19"/>
  <c r="V517" i="19"/>
  <c r="Q517" i="19"/>
  <c r="V516" i="19"/>
  <c r="Q516" i="19"/>
  <c r="V515" i="19"/>
  <c r="Q515" i="19"/>
  <c r="V514" i="19"/>
  <c r="U514" i="19"/>
  <c r="U613" i="19" s="1"/>
  <c r="Q514" i="19"/>
  <c r="V513" i="19"/>
  <c r="Q513" i="19"/>
  <c r="V512" i="19"/>
  <c r="Q512" i="19"/>
  <c r="V511" i="19"/>
  <c r="U511" i="19"/>
  <c r="Q511" i="19"/>
  <c r="V510" i="19"/>
  <c r="Q510" i="19"/>
  <c r="V509" i="19"/>
  <c r="U509" i="19"/>
  <c r="Q509" i="19"/>
  <c r="V508" i="19"/>
  <c r="Q508" i="19"/>
  <c r="V507" i="19"/>
  <c r="Q507" i="19"/>
  <c r="V506" i="19"/>
  <c r="U506" i="19"/>
  <c r="U628" i="19" s="1"/>
  <c r="Q506" i="19"/>
  <c r="V505" i="19"/>
  <c r="Q505" i="19"/>
  <c r="V504" i="19"/>
  <c r="Q504" i="19"/>
  <c r="V503" i="19"/>
  <c r="U503" i="19"/>
  <c r="Q503" i="19"/>
  <c r="V502" i="19"/>
  <c r="Q502" i="19"/>
  <c r="V501" i="19"/>
  <c r="Q501" i="19"/>
  <c r="V500" i="19"/>
  <c r="U500" i="19"/>
  <c r="U630" i="19" s="1"/>
  <c r="Q500" i="19"/>
  <c r="V499" i="19"/>
  <c r="Q499" i="19"/>
  <c r="K499" i="19"/>
  <c r="V498" i="19"/>
  <c r="Q498" i="19"/>
  <c r="V497" i="19"/>
  <c r="U497" i="19"/>
  <c r="Q497" i="19"/>
  <c r="V496" i="19"/>
  <c r="Q496" i="19"/>
  <c r="V495" i="19"/>
  <c r="Q495" i="19"/>
  <c r="V494" i="19"/>
  <c r="Q494" i="19"/>
  <c r="V493" i="19"/>
  <c r="Q493" i="19"/>
  <c r="K493" i="19"/>
  <c r="V492" i="19"/>
  <c r="Q492" i="19"/>
  <c r="V491" i="19"/>
  <c r="U491" i="19"/>
  <c r="Q491" i="19"/>
  <c r="V490" i="19"/>
  <c r="Q490" i="19"/>
  <c r="K490" i="19"/>
  <c r="V489" i="19"/>
  <c r="R489" i="19"/>
  <c r="Q489" i="19"/>
  <c r="V488" i="19"/>
  <c r="R488" i="19"/>
  <c r="R598" i="19" s="1"/>
  <c r="Q488" i="19"/>
  <c r="V487" i="19"/>
  <c r="R487" i="19"/>
  <c r="Q487" i="19"/>
  <c r="K487" i="19"/>
  <c r="J487" i="19"/>
  <c r="V486" i="19"/>
  <c r="R486" i="19"/>
  <c r="Q486" i="19"/>
  <c r="V485" i="19"/>
  <c r="R485" i="19"/>
  <c r="R619" i="19" s="1"/>
  <c r="Q485" i="19"/>
  <c r="V484" i="19"/>
  <c r="R484" i="19"/>
  <c r="Q484" i="19"/>
  <c r="N483" i="19"/>
  <c r="N482" i="19" s="1"/>
  <c r="N468" i="19" s="1"/>
  <c r="N467" i="19" s="1"/>
  <c r="L483" i="19"/>
  <c r="V481" i="19"/>
  <c r="V480" i="19"/>
  <c r="U480" i="19"/>
  <c r="Q480" i="19"/>
  <c r="H480" i="19"/>
  <c r="V479" i="19"/>
  <c r="U479" i="19"/>
  <c r="Q479" i="19"/>
  <c r="H479" i="19"/>
  <c r="V478" i="19"/>
  <c r="U478" i="19"/>
  <c r="Q478" i="19"/>
  <c r="H478" i="19"/>
  <c r="V477" i="19"/>
  <c r="U477" i="19"/>
  <c r="Q477" i="19"/>
  <c r="H477" i="19"/>
  <c r="V476" i="19"/>
  <c r="U476" i="19"/>
  <c r="Q476" i="19"/>
  <c r="H476" i="19"/>
  <c r="V475" i="19"/>
  <c r="U475" i="19"/>
  <c r="Q475" i="19"/>
  <c r="H475" i="19"/>
  <c r="V474" i="19"/>
  <c r="U474" i="19"/>
  <c r="Q474" i="19"/>
  <c r="H474" i="19"/>
  <c r="V473" i="19"/>
  <c r="U473" i="19"/>
  <c r="Q473" i="19"/>
  <c r="H473" i="19"/>
  <c r="V472" i="19"/>
  <c r="U472" i="19"/>
  <c r="Q472" i="19"/>
  <c r="H472" i="19"/>
  <c r="V471" i="19"/>
  <c r="U471" i="19"/>
  <c r="R471" i="19"/>
  <c r="Q471" i="19"/>
  <c r="H471" i="19"/>
  <c r="R470" i="19"/>
  <c r="Q470" i="19"/>
  <c r="O470" i="19"/>
  <c r="K470" i="19"/>
  <c r="K468" i="19" s="1"/>
  <c r="K467" i="19" s="1"/>
  <c r="V469" i="19"/>
  <c r="U469" i="19"/>
  <c r="R469" i="19"/>
  <c r="Q469" i="19"/>
  <c r="P468" i="19"/>
  <c r="M468" i="19"/>
  <c r="M467" i="19" s="1"/>
  <c r="M429" i="19" s="1"/>
  <c r="M427" i="19" s="1"/>
  <c r="M426" i="19" s="1"/>
  <c r="J468" i="19"/>
  <c r="J467" i="19" s="1"/>
  <c r="V466" i="19"/>
  <c r="V465" i="19"/>
  <c r="U465" i="19"/>
  <c r="U634" i="19" s="1"/>
  <c r="Q465" i="19"/>
  <c r="V464" i="19"/>
  <c r="R464" i="19"/>
  <c r="Q464" i="19"/>
  <c r="V463" i="19"/>
  <c r="R463" i="19"/>
  <c r="Q463" i="19"/>
  <c r="N462" i="19"/>
  <c r="O462" i="19" s="1"/>
  <c r="V462" i="19" s="1"/>
  <c r="L462" i="19"/>
  <c r="K462" i="19"/>
  <c r="J462" i="19"/>
  <c r="V461" i="19"/>
  <c r="V460" i="19"/>
  <c r="U460" i="19"/>
  <c r="R460" i="19"/>
  <c r="Q460" i="19"/>
  <c r="H460" i="19"/>
  <c r="V459" i="19"/>
  <c r="U459" i="19"/>
  <c r="R459" i="19"/>
  <c r="Q459" i="19"/>
  <c r="H459" i="19"/>
  <c r="V458" i="19"/>
  <c r="U458" i="19"/>
  <c r="U596" i="19" s="1"/>
  <c r="R458" i="19"/>
  <c r="R596" i="19" s="1"/>
  <c r="Q458" i="19"/>
  <c r="H458" i="19"/>
  <c r="O457" i="19"/>
  <c r="V457" i="19" s="1"/>
  <c r="N457" i="19"/>
  <c r="L457" i="19"/>
  <c r="K457" i="19"/>
  <c r="J457" i="19"/>
  <c r="V455" i="19"/>
  <c r="R455" i="19"/>
  <c r="R625" i="19" s="1"/>
  <c r="Q455" i="19"/>
  <c r="H455" i="19"/>
  <c r="V454" i="19"/>
  <c r="U454" i="19"/>
  <c r="R454" i="19"/>
  <c r="Q454" i="19"/>
  <c r="H454" i="19"/>
  <c r="V453" i="19"/>
  <c r="U453" i="19"/>
  <c r="R453" i="19"/>
  <c r="R595" i="19" s="1"/>
  <c r="Q453" i="19"/>
  <c r="H453" i="19"/>
  <c r="V452" i="19"/>
  <c r="U452" i="19"/>
  <c r="R452" i="19"/>
  <c r="Q452" i="19"/>
  <c r="H452" i="19"/>
  <c r="N451" i="19"/>
  <c r="O451" i="19" s="1"/>
  <c r="V451" i="19" s="1"/>
  <c r="L451" i="19"/>
  <c r="K451" i="19"/>
  <c r="J451" i="19"/>
  <c r="V449" i="19"/>
  <c r="U449" i="19"/>
  <c r="R449" i="19"/>
  <c r="R606" i="19" s="1"/>
  <c r="Q449" i="19"/>
  <c r="K448" i="19"/>
  <c r="J448" i="19"/>
  <c r="V447" i="19"/>
  <c r="R447" i="19"/>
  <c r="Q447" i="19"/>
  <c r="V446" i="19"/>
  <c r="U446" i="19"/>
  <c r="R446" i="19"/>
  <c r="Q446" i="19"/>
  <c r="N445" i="19"/>
  <c r="O445" i="19" s="1"/>
  <c r="V445" i="19" s="1"/>
  <c r="L445" i="19"/>
  <c r="Q445" i="19" s="1"/>
  <c r="K445" i="19"/>
  <c r="V444" i="19"/>
  <c r="R444" i="19"/>
  <c r="Q444" i="19"/>
  <c r="U443" i="19"/>
  <c r="U442" i="19" s="1"/>
  <c r="U611" i="19" s="1"/>
  <c r="V441" i="19"/>
  <c r="R441" i="19"/>
  <c r="Q441" i="19"/>
  <c r="U440" i="19"/>
  <c r="V438" i="19"/>
  <c r="R438" i="19"/>
  <c r="Q438" i="19"/>
  <c r="V435" i="19"/>
  <c r="R435" i="19"/>
  <c r="Q435" i="19"/>
  <c r="U434" i="19"/>
  <c r="U432" i="19"/>
  <c r="V431" i="19"/>
  <c r="U431" i="19"/>
  <c r="R431" i="19"/>
  <c r="Q431" i="19"/>
  <c r="J430" i="19"/>
  <c r="V428" i="19"/>
  <c r="V425" i="19"/>
  <c r="K423" i="19"/>
  <c r="J423" i="19"/>
  <c r="H423" i="19"/>
  <c r="V420" i="19"/>
  <c r="R420" i="19"/>
  <c r="Q420" i="19"/>
  <c r="H420" i="19"/>
  <c r="V419" i="19"/>
  <c r="R419" i="19"/>
  <c r="Q419" i="19"/>
  <c r="H419" i="19"/>
  <c r="V418" i="19"/>
  <c r="R418" i="19"/>
  <c r="Q418" i="19"/>
  <c r="H418" i="19"/>
  <c r="V417" i="19"/>
  <c r="R417" i="19"/>
  <c r="Q417" i="19"/>
  <c r="H417" i="19"/>
  <c r="V416" i="19"/>
  <c r="R416" i="19"/>
  <c r="Q416" i="19"/>
  <c r="H416" i="19"/>
  <c r="O415" i="19"/>
  <c r="V415" i="19" s="1"/>
  <c r="N415" i="19"/>
  <c r="L415" i="19"/>
  <c r="R415" i="19" s="1"/>
  <c r="K415" i="19"/>
  <c r="J415" i="19"/>
  <c r="H415" i="19"/>
  <c r="P414" i="19"/>
  <c r="P413" i="19" s="1"/>
  <c r="G414" i="19"/>
  <c r="F413" i="19"/>
  <c r="V412" i="19"/>
  <c r="R412" i="19"/>
  <c r="Q412" i="19"/>
  <c r="H412" i="19"/>
  <c r="V411" i="19"/>
  <c r="R411" i="19"/>
  <c r="Q411" i="19"/>
  <c r="H411" i="19"/>
  <c r="P410" i="19"/>
  <c r="P409" i="19" s="1"/>
  <c r="O410" i="19"/>
  <c r="N410" i="19"/>
  <c r="N409" i="19" s="1"/>
  <c r="L410" i="19"/>
  <c r="G410" i="19"/>
  <c r="K409" i="19"/>
  <c r="J409" i="19"/>
  <c r="F409" i="19"/>
  <c r="Q408" i="19"/>
  <c r="N408" i="19"/>
  <c r="N404" i="19" s="1"/>
  <c r="V407" i="19"/>
  <c r="R407" i="19"/>
  <c r="Q407" i="19"/>
  <c r="H407" i="19"/>
  <c r="V406" i="19"/>
  <c r="R406" i="19"/>
  <c r="Q406" i="19"/>
  <c r="H406" i="19"/>
  <c r="V405" i="19"/>
  <c r="R405" i="19"/>
  <c r="Q405" i="19"/>
  <c r="H405" i="19"/>
  <c r="P404" i="19"/>
  <c r="L404" i="19"/>
  <c r="K404" i="19"/>
  <c r="J404" i="19"/>
  <c r="G404" i="19"/>
  <c r="V403" i="19"/>
  <c r="R403" i="19"/>
  <c r="Q403" i="19"/>
  <c r="H403" i="19"/>
  <c r="H402" i="19"/>
  <c r="V401" i="19"/>
  <c r="R401" i="19"/>
  <c r="Q401" i="19"/>
  <c r="H401" i="19"/>
  <c r="V400" i="19"/>
  <c r="Q400" i="19"/>
  <c r="H400" i="19"/>
  <c r="V399" i="19"/>
  <c r="R399" i="19"/>
  <c r="Q399" i="19"/>
  <c r="H399" i="19"/>
  <c r="P398" i="19"/>
  <c r="K398" i="19"/>
  <c r="K397" i="19" s="1"/>
  <c r="J398" i="19"/>
  <c r="G398" i="19"/>
  <c r="F397" i="19"/>
  <c r="V395" i="19"/>
  <c r="N394" i="19"/>
  <c r="O394" i="19" s="1"/>
  <c r="V394" i="19" s="1"/>
  <c r="N393" i="19"/>
  <c r="O393" i="19" s="1"/>
  <c r="V393" i="19" s="1"/>
  <c r="L392" i="19"/>
  <c r="N391" i="19"/>
  <c r="O391" i="19" s="1"/>
  <c r="V391" i="19" s="1"/>
  <c r="V390" i="19"/>
  <c r="Q390" i="19"/>
  <c r="V389" i="19"/>
  <c r="Q389" i="19"/>
  <c r="V388" i="19"/>
  <c r="V387" i="19"/>
  <c r="R387" i="19"/>
  <c r="Q387" i="19"/>
  <c r="U386" i="19"/>
  <c r="V384" i="19"/>
  <c r="G383" i="19"/>
  <c r="G382" i="19"/>
  <c r="G381" i="19"/>
  <c r="U380" i="19"/>
  <c r="K380" i="19"/>
  <c r="J380" i="19"/>
  <c r="V378" i="19"/>
  <c r="V377" i="19"/>
  <c r="R377" i="19"/>
  <c r="Q377" i="19"/>
  <c r="V376" i="19"/>
  <c r="R376" i="19"/>
  <c r="Q376" i="19"/>
  <c r="H376" i="19"/>
  <c r="V375" i="19"/>
  <c r="R375" i="19"/>
  <c r="Q375" i="19"/>
  <c r="V374" i="19"/>
  <c r="R374" i="19"/>
  <c r="Q374" i="19"/>
  <c r="V373" i="19"/>
  <c r="R373" i="19"/>
  <c r="Q373" i="19"/>
  <c r="P372" i="19"/>
  <c r="P371" i="19" s="1"/>
  <c r="O372" i="19"/>
  <c r="N372" i="19"/>
  <c r="N371" i="19" s="1"/>
  <c r="M372" i="19"/>
  <c r="M371" i="19" s="1"/>
  <c r="L372" i="19"/>
  <c r="L371" i="19" s="1"/>
  <c r="K372" i="19"/>
  <c r="K371" i="19" s="1"/>
  <c r="J372" i="19"/>
  <c r="J371" i="19" s="1"/>
  <c r="U371" i="19"/>
  <c r="F371" i="19"/>
  <c r="V369" i="19"/>
  <c r="V368" i="19"/>
  <c r="R368" i="19"/>
  <c r="Q368" i="19"/>
  <c r="V367" i="19"/>
  <c r="R367" i="19"/>
  <c r="Q367" i="19"/>
  <c r="U366" i="19"/>
  <c r="O366" i="19"/>
  <c r="V366" i="19" s="1"/>
  <c r="N366" i="19"/>
  <c r="N364" i="19"/>
  <c r="O364" i="19" s="1"/>
  <c r="V364" i="19" s="1"/>
  <c r="L366" i="19"/>
  <c r="V365" i="19"/>
  <c r="U365" i="19"/>
  <c r="R365" i="19"/>
  <c r="Q365" i="19"/>
  <c r="K364" i="19"/>
  <c r="J364" i="19"/>
  <c r="V363" i="19"/>
  <c r="Q363" i="19"/>
  <c r="G360" i="19"/>
  <c r="G359" i="19"/>
  <c r="G358" i="19"/>
  <c r="G357" i="19"/>
  <c r="G356" i="19"/>
  <c r="G355" i="19"/>
  <c r="N354" i="19"/>
  <c r="G354" i="19"/>
  <c r="G353" i="19"/>
  <c r="V352" i="19"/>
  <c r="Q352" i="19"/>
  <c r="V351" i="19"/>
  <c r="Q351" i="19"/>
  <c r="V350" i="19"/>
  <c r="Q350" i="19"/>
  <c r="V349" i="19"/>
  <c r="Q349" i="19"/>
  <c r="V348" i="19"/>
  <c r="Q348" i="19"/>
  <c r="V347" i="19"/>
  <c r="Q347" i="19"/>
  <c r="V346" i="19"/>
  <c r="Q346" i="19"/>
  <c r="V345" i="19"/>
  <c r="Q345" i="19"/>
  <c r="V344" i="19"/>
  <c r="Q344" i="19"/>
  <c r="V343" i="19"/>
  <c r="Q343" i="19"/>
  <c r="V342" i="19"/>
  <c r="Q342" i="19"/>
  <c r="V341" i="19"/>
  <c r="Q341" i="19"/>
  <c r="V340" i="19"/>
  <c r="Q340" i="19"/>
  <c r="V339" i="19"/>
  <c r="Q339" i="19"/>
  <c r="V338" i="19"/>
  <c r="Q338" i="19"/>
  <c r="V337" i="19"/>
  <c r="Q337" i="19"/>
  <c r="V336" i="19"/>
  <c r="Q336" i="19"/>
  <c r="V335" i="19"/>
  <c r="Q335" i="19"/>
  <c r="V334" i="19"/>
  <c r="Q334" i="19"/>
  <c r="V333" i="19"/>
  <c r="Q333" i="19"/>
  <c r="V332" i="19"/>
  <c r="Q332" i="19"/>
  <c r="V331" i="19"/>
  <c r="Q331" i="19"/>
  <c r="V330" i="19"/>
  <c r="Q330" i="19"/>
  <c r="V329" i="19"/>
  <c r="Q329" i="19"/>
  <c r="V328" i="19"/>
  <c r="Q328" i="19"/>
  <c r="V327" i="19"/>
  <c r="Q327" i="19"/>
  <c r="V326" i="19"/>
  <c r="Q326" i="19"/>
  <c r="V325" i="19"/>
  <c r="Q325" i="19"/>
  <c r="V324" i="19"/>
  <c r="Q324" i="19"/>
  <c r="V323" i="19"/>
  <c r="Q323" i="19"/>
  <c r="V322" i="19"/>
  <c r="Q322" i="19"/>
  <c r="V321" i="19"/>
  <c r="Q321" i="19"/>
  <c r="V320" i="19"/>
  <c r="Q320" i="19"/>
  <c r="V319" i="19"/>
  <c r="Q319" i="19"/>
  <c r="V318" i="19"/>
  <c r="U318" i="19"/>
  <c r="Q318" i="19"/>
  <c r="V317" i="19"/>
  <c r="Q317" i="19"/>
  <c r="V316" i="19"/>
  <c r="Q316" i="19"/>
  <c r="V315" i="19"/>
  <c r="Q315" i="19"/>
  <c r="V314" i="19"/>
  <c r="Q314" i="19"/>
  <c r="V313" i="19"/>
  <c r="R313" i="19"/>
  <c r="Q313" i="19"/>
  <c r="V311" i="19"/>
  <c r="G311" i="19"/>
  <c r="G310" i="19"/>
  <c r="V309" i="19"/>
  <c r="R309" i="19"/>
  <c r="Q309" i="19"/>
  <c r="G309" i="19"/>
  <c r="L308" i="19"/>
  <c r="Q308" i="19" s="1"/>
  <c r="K308" i="19"/>
  <c r="K295" i="19" s="1"/>
  <c r="J308" i="19"/>
  <c r="J295" i="19" s="1"/>
  <c r="U307" i="19"/>
  <c r="L307" i="19"/>
  <c r="V306" i="19"/>
  <c r="R306" i="19"/>
  <c r="Q306" i="19"/>
  <c r="V305" i="19"/>
  <c r="R305" i="19"/>
  <c r="Q305" i="19"/>
  <c r="U303" i="19"/>
  <c r="L303" i="19"/>
  <c r="V302" i="19"/>
  <c r="R302" i="19"/>
  <c r="Q302" i="19"/>
  <c r="V301" i="19"/>
  <c r="Q301" i="19"/>
  <c r="V300" i="19"/>
  <c r="P300" i="19"/>
  <c r="V299" i="19"/>
  <c r="R299" i="19"/>
  <c r="Q299" i="19"/>
  <c r="V298" i="19"/>
  <c r="R298" i="19"/>
  <c r="Q298" i="19"/>
  <c r="V297" i="19"/>
  <c r="R297" i="19"/>
  <c r="Q297" i="19"/>
  <c r="V296" i="19"/>
  <c r="Q296" i="19"/>
  <c r="M295" i="19"/>
  <c r="V294" i="19"/>
  <c r="V293" i="19"/>
  <c r="U293" i="19"/>
  <c r="Q293" i="19"/>
  <c r="K293" i="19"/>
  <c r="J293" i="19"/>
  <c r="N292" i="19"/>
  <c r="O292" i="19" s="1"/>
  <c r="V292" i="19" s="1"/>
  <c r="L292" i="19"/>
  <c r="Q292" i="19" s="1"/>
  <c r="K292" i="19"/>
  <c r="J292" i="19"/>
  <c r="V291" i="19"/>
  <c r="V290" i="19"/>
  <c r="R290" i="19"/>
  <c r="Q290" i="19"/>
  <c r="V289" i="19"/>
  <c r="R289" i="19"/>
  <c r="Q289" i="19"/>
  <c r="V288" i="19"/>
  <c r="R288" i="19"/>
  <c r="Q288" i="19"/>
  <c r="P287" i="19"/>
  <c r="O287" i="19"/>
  <c r="V287" i="19" s="1"/>
  <c r="N287" i="19"/>
  <c r="M287" i="19"/>
  <c r="L287" i="19"/>
  <c r="K287" i="19"/>
  <c r="J287" i="19"/>
  <c r="V286" i="19"/>
  <c r="Q286" i="19"/>
  <c r="H286" i="19"/>
  <c r="V285" i="19"/>
  <c r="Q285" i="19"/>
  <c r="H285" i="19"/>
  <c r="V284" i="19"/>
  <c r="Q284" i="19"/>
  <c r="H284" i="19"/>
  <c r="V283" i="19"/>
  <c r="Q283" i="19"/>
  <c r="H283" i="19"/>
  <c r="V282" i="19"/>
  <c r="Q282" i="19"/>
  <c r="H282" i="19"/>
  <c r="V281" i="19"/>
  <c r="Q281" i="19"/>
  <c r="H281" i="19"/>
  <c r="V280" i="19"/>
  <c r="Q280" i="19"/>
  <c r="H280" i="19"/>
  <c r="V279" i="19"/>
  <c r="Q279" i="19"/>
  <c r="H279" i="19"/>
  <c r="V278" i="19"/>
  <c r="Q278" i="19"/>
  <c r="H278" i="19"/>
  <c r="V277" i="19"/>
  <c r="Q277" i="19"/>
  <c r="H277" i="19"/>
  <c r="R276" i="19"/>
  <c r="Q276" i="19"/>
  <c r="O276" i="19"/>
  <c r="V276" i="19" s="1"/>
  <c r="K276" i="19"/>
  <c r="K264" i="19" s="1"/>
  <c r="V275" i="19"/>
  <c r="Q275" i="19"/>
  <c r="H275" i="19"/>
  <c r="V274" i="19"/>
  <c r="Q274" i="19"/>
  <c r="H274" i="19"/>
  <c r="V273" i="19"/>
  <c r="Q273" i="19"/>
  <c r="H273" i="19"/>
  <c r="V272" i="19"/>
  <c r="Q272" i="19"/>
  <c r="H272" i="19"/>
  <c r="V271" i="19"/>
  <c r="Q271" i="19"/>
  <c r="H271" i="19"/>
  <c r="V270" i="19"/>
  <c r="Q270" i="19"/>
  <c r="H270" i="19"/>
  <c r="V269" i="19"/>
  <c r="Q269" i="19"/>
  <c r="H269" i="19"/>
  <c r="V268" i="19"/>
  <c r="Q268" i="19"/>
  <c r="H268" i="19"/>
  <c r="V267" i="19"/>
  <c r="Q267" i="19"/>
  <c r="H267" i="19"/>
  <c r="V266" i="19"/>
  <c r="Q266" i="19"/>
  <c r="H266" i="19"/>
  <c r="V265" i="19"/>
  <c r="R265" i="19"/>
  <c r="Q265" i="19"/>
  <c r="P264" i="19"/>
  <c r="O264" i="19"/>
  <c r="V264" i="19" s="1"/>
  <c r="N264" i="19"/>
  <c r="M264" i="19"/>
  <c r="L264" i="19"/>
  <c r="J264" i="19"/>
  <c r="V263" i="19"/>
  <c r="V262" i="19"/>
  <c r="Q262" i="19"/>
  <c r="V261" i="19"/>
  <c r="Q261" i="19"/>
  <c r="V260" i="19"/>
  <c r="Q260" i="19"/>
  <c r="V259" i="19"/>
  <c r="Q259" i="19"/>
  <c r="V258" i="19"/>
  <c r="Q258" i="19"/>
  <c r="V257" i="19"/>
  <c r="Q257" i="19"/>
  <c r="V256" i="19"/>
  <c r="Q256" i="19"/>
  <c r="V255" i="19"/>
  <c r="Q255" i="19"/>
  <c r="V254" i="19"/>
  <c r="Q254" i="19"/>
  <c r="V253" i="19"/>
  <c r="Q253" i="19"/>
  <c r="V252" i="19"/>
  <c r="Q252" i="19"/>
  <c r="V251" i="19"/>
  <c r="Q251" i="19"/>
  <c r="V250" i="19"/>
  <c r="Q250" i="19"/>
  <c r="V249" i="19"/>
  <c r="Q249" i="19"/>
  <c r="V248" i="19"/>
  <c r="Q248" i="19"/>
  <c r="V247" i="19"/>
  <c r="P247" i="19"/>
  <c r="K247" i="19"/>
  <c r="K246" i="19" s="1"/>
  <c r="O246" i="19"/>
  <c r="V246" i="19" s="1"/>
  <c r="N246" i="19"/>
  <c r="M246" i="19"/>
  <c r="L246" i="19"/>
  <c r="V245" i="19"/>
  <c r="V244" i="19"/>
  <c r="R244" i="19"/>
  <c r="Q244" i="19"/>
  <c r="V243" i="19"/>
  <c r="R243" i="19"/>
  <c r="Q243" i="19"/>
  <c r="P242" i="19"/>
  <c r="O242" i="19"/>
  <c r="V242" i="19" s="1"/>
  <c r="N242" i="19"/>
  <c r="M242" i="19"/>
  <c r="L242" i="19"/>
  <c r="K242" i="19"/>
  <c r="J242" i="19"/>
  <c r="O241" i="19"/>
  <c r="V241" i="19" s="1"/>
  <c r="V240" i="19"/>
  <c r="R240" i="19"/>
  <c r="Q240" i="19"/>
  <c r="P239" i="19"/>
  <c r="O239" i="19"/>
  <c r="V239" i="19" s="1"/>
  <c r="N239" i="19"/>
  <c r="M239" i="19"/>
  <c r="L239" i="19"/>
  <c r="K239" i="19"/>
  <c r="J239" i="19"/>
  <c r="V238" i="19"/>
  <c r="V237" i="19"/>
  <c r="V236" i="19"/>
  <c r="R236" i="19"/>
  <c r="Q236" i="19"/>
  <c r="V235" i="19"/>
  <c r="P235" i="19"/>
  <c r="V234" i="19"/>
  <c r="Q234" i="19"/>
  <c r="O233" i="19"/>
  <c r="V233" i="19" s="1"/>
  <c r="N233" i="19"/>
  <c r="M233" i="19"/>
  <c r="L233" i="19"/>
  <c r="K233" i="19"/>
  <c r="J233" i="19"/>
  <c r="V232" i="19"/>
  <c r="V231" i="19"/>
  <c r="R231" i="19"/>
  <c r="Q231" i="19"/>
  <c r="F231" i="19"/>
  <c r="V230" i="19"/>
  <c r="Q230" i="19"/>
  <c r="F230" i="19"/>
  <c r="V229" i="19"/>
  <c r="Q229" i="19"/>
  <c r="F229" i="19"/>
  <c r="V228" i="19"/>
  <c r="R228" i="19"/>
  <c r="Q228" i="19"/>
  <c r="F228" i="19"/>
  <c r="V227" i="19"/>
  <c r="U227" i="19"/>
  <c r="Q227" i="19"/>
  <c r="F227" i="19"/>
  <c r="P226" i="19"/>
  <c r="N226" i="19"/>
  <c r="O226" i="19" s="1"/>
  <c r="V226" i="19" s="1"/>
  <c r="L226" i="19"/>
  <c r="K226" i="19"/>
  <c r="J226" i="19"/>
  <c r="V224" i="19"/>
  <c r="V223" i="19"/>
  <c r="R223" i="19"/>
  <c r="Q223" i="19"/>
  <c r="V222" i="19"/>
  <c r="R222" i="19"/>
  <c r="Q222" i="19"/>
  <c r="V221" i="19"/>
  <c r="T221" i="19"/>
  <c r="R221" i="19"/>
  <c r="Q221" i="19"/>
  <c r="G221" i="19"/>
  <c r="V220" i="19"/>
  <c r="T220" i="19"/>
  <c r="R220" i="19"/>
  <c r="Q220" i="19"/>
  <c r="G220" i="19"/>
  <c r="V219" i="19"/>
  <c r="T219" i="19"/>
  <c r="Q219" i="19"/>
  <c r="G219" i="19"/>
  <c r="V218" i="19"/>
  <c r="T218" i="19"/>
  <c r="R218" i="19"/>
  <c r="Q218" i="19"/>
  <c r="G218" i="19"/>
  <c r="V217" i="19"/>
  <c r="T217" i="19"/>
  <c r="R217" i="19"/>
  <c r="Q217" i="19"/>
  <c r="G217" i="19"/>
  <c r="V216" i="19"/>
  <c r="T216" i="19"/>
  <c r="R216" i="19"/>
  <c r="Q216" i="19"/>
  <c r="G216" i="19"/>
  <c r="V215" i="19"/>
  <c r="T215" i="19"/>
  <c r="R215" i="19"/>
  <c r="Q215" i="19"/>
  <c r="G215" i="19"/>
  <c r="P214" i="19"/>
  <c r="L214" i="19"/>
  <c r="N214" i="19"/>
  <c r="K214" i="19"/>
  <c r="K213" i="19" s="1"/>
  <c r="K212" i="19" s="1"/>
  <c r="J214" i="19"/>
  <c r="J213" i="19" s="1"/>
  <c r="J212" i="19" s="1"/>
  <c r="M212" i="19"/>
  <c r="U210" i="19"/>
  <c r="U209" i="19" s="1"/>
  <c r="N210" i="19"/>
  <c r="N209" i="19" s="1"/>
  <c r="P209" i="19"/>
  <c r="K209" i="19"/>
  <c r="J209" i="19"/>
  <c r="J201" i="19"/>
  <c r="J206" i="19"/>
  <c r="V208" i="19"/>
  <c r="N207" i="19"/>
  <c r="N206" i="19" s="1"/>
  <c r="O206" i="19" s="1"/>
  <c r="V206" i="19" s="1"/>
  <c r="P206" i="19"/>
  <c r="P201" i="19"/>
  <c r="K206" i="19"/>
  <c r="V205" i="19"/>
  <c r="N202" i="19"/>
  <c r="K201" i="19"/>
  <c r="V199" i="19"/>
  <c r="V198" i="19"/>
  <c r="U198" i="19"/>
  <c r="U191" i="19" s="1"/>
  <c r="R198" i="19"/>
  <c r="Q198" i="19"/>
  <c r="H198" i="19"/>
  <c r="V197" i="19"/>
  <c r="R197" i="19"/>
  <c r="Q197" i="19"/>
  <c r="H197" i="19"/>
  <c r="V196" i="19"/>
  <c r="R196" i="19"/>
  <c r="Q196" i="19"/>
  <c r="H196" i="19"/>
  <c r="V195" i="19"/>
  <c r="Q195" i="19"/>
  <c r="H195" i="19"/>
  <c r="V194" i="19"/>
  <c r="R194" i="19"/>
  <c r="Q194" i="19"/>
  <c r="H194" i="19"/>
  <c r="V193" i="19"/>
  <c r="R193" i="19"/>
  <c r="Q193" i="19"/>
  <c r="H193" i="19"/>
  <c r="V192" i="19"/>
  <c r="R192" i="19"/>
  <c r="Q192" i="19"/>
  <c r="H192" i="19"/>
  <c r="P191" i="19"/>
  <c r="O191" i="19"/>
  <c r="V191" i="19" s="1"/>
  <c r="N191" i="19"/>
  <c r="M191" i="19"/>
  <c r="L191" i="19"/>
  <c r="K191" i="19"/>
  <c r="J191" i="19"/>
  <c r="V190" i="19"/>
  <c r="Q190" i="19"/>
  <c r="H190" i="19"/>
  <c r="V189" i="19"/>
  <c r="Q189" i="19"/>
  <c r="H189" i="19"/>
  <c r="V188" i="19"/>
  <c r="Q188" i="19"/>
  <c r="H188" i="19"/>
  <c r="V187" i="19"/>
  <c r="R187" i="19"/>
  <c r="Q187" i="19"/>
  <c r="H187" i="19"/>
  <c r="V186" i="19"/>
  <c r="R186" i="19"/>
  <c r="Q186" i="19"/>
  <c r="H186" i="19"/>
  <c r="V185" i="19"/>
  <c r="R185" i="19"/>
  <c r="Q185" i="19"/>
  <c r="H185" i="19"/>
  <c r="V184" i="19"/>
  <c r="Q184" i="19"/>
  <c r="H184" i="19"/>
  <c r="P183" i="19"/>
  <c r="L183" i="19"/>
  <c r="O183" i="19"/>
  <c r="V183" i="19" s="1"/>
  <c r="N183" i="19"/>
  <c r="M183" i="19"/>
  <c r="K183" i="19"/>
  <c r="J183" i="19"/>
  <c r="V182" i="19"/>
  <c r="Q182" i="19"/>
  <c r="V181" i="19"/>
  <c r="Q181" i="19"/>
  <c r="V180" i="19"/>
  <c r="Q180" i="19"/>
  <c r="V179" i="19"/>
  <c r="Q179" i="19"/>
  <c r="P178" i="19"/>
  <c r="L178" i="19"/>
  <c r="O178" i="19"/>
  <c r="V178" i="19" s="1"/>
  <c r="N178" i="19"/>
  <c r="M178" i="19"/>
  <c r="K178" i="19"/>
  <c r="J178" i="19"/>
  <c r="V177" i="19"/>
  <c r="Q177" i="19"/>
  <c r="V176" i="19"/>
  <c r="Q176" i="19"/>
  <c r="V175" i="19"/>
  <c r="R175" i="19"/>
  <c r="Q175" i="19"/>
  <c r="H175" i="19"/>
  <c r="V174" i="19"/>
  <c r="Q174" i="19"/>
  <c r="H174" i="19"/>
  <c r="V173" i="19"/>
  <c r="Q173" i="19"/>
  <c r="H173" i="19"/>
  <c r="V172" i="19"/>
  <c r="R172" i="19"/>
  <c r="Q172" i="19"/>
  <c r="H172" i="19"/>
  <c r="V171" i="19"/>
  <c r="R171" i="19"/>
  <c r="Q171" i="19"/>
  <c r="H171" i="19"/>
  <c r="V170" i="19"/>
  <c r="R170" i="19"/>
  <c r="Q170" i="19"/>
  <c r="H170" i="19"/>
  <c r="V169" i="19"/>
  <c r="Q169" i="19"/>
  <c r="H169" i="19"/>
  <c r="V168" i="19"/>
  <c r="Q168" i="19"/>
  <c r="H168" i="19"/>
  <c r="V167" i="19"/>
  <c r="R167" i="19"/>
  <c r="Q167" i="19"/>
  <c r="H167" i="19"/>
  <c r="V166" i="19"/>
  <c r="R166" i="19"/>
  <c r="Q166" i="19"/>
  <c r="H166" i="19"/>
  <c r="V165" i="19"/>
  <c r="R165" i="19"/>
  <c r="Q165" i="19"/>
  <c r="H165" i="19"/>
  <c r="P164" i="19"/>
  <c r="O164" i="19"/>
  <c r="N164" i="19"/>
  <c r="M164" i="19"/>
  <c r="L164" i="19"/>
  <c r="K164" i="19"/>
  <c r="J164" i="19"/>
  <c r="V163" i="19"/>
  <c r="Q163" i="19"/>
  <c r="V162" i="19"/>
  <c r="Q162" i="19"/>
  <c r="J162" i="19"/>
  <c r="V160" i="19"/>
  <c r="Q158" i="19"/>
  <c r="P158" i="19"/>
  <c r="Q157" i="19"/>
  <c r="P156" i="19"/>
  <c r="O155" i="19"/>
  <c r="V155" i="19" s="1"/>
  <c r="L155" i="19"/>
  <c r="K155" i="19"/>
  <c r="J155" i="19"/>
  <c r="V154" i="19"/>
  <c r="Q154" i="19"/>
  <c r="V153" i="19"/>
  <c r="U153" i="19"/>
  <c r="R153" i="19"/>
  <c r="Q153" i="19"/>
  <c r="V152" i="19"/>
  <c r="R152" i="19"/>
  <c r="Q152" i="19"/>
  <c r="K152" i="19"/>
  <c r="J152" i="19"/>
  <c r="V151" i="19"/>
  <c r="R151" i="19"/>
  <c r="Q151" i="19"/>
  <c r="V150" i="19"/>
  <c r="R150" i="19"/>
  <c r="Q150" i="19"/>
  <c r="K150" i="19"/>
  <c r="J150" i="19"/>
  <c r="V149" i="19"/>
  <c r="R149" i="19"/>
  <c r="Q149" i="19"/>
  <c r="H149" i="19"/>
  <c r="V148" i="19"/>
  <c r="R148" i="19"/>
  <c r="Q148" i="19"/>
  <c r="V147" i="19"/>
  <c r="U147" i="19"/>
  <c r="Q147" i="19"/>
  <c r="V146" i="19"/>
  <c r="Q146" i="19"/>
  <c r="V145" i="19"/>
  <c r="U145" i="19"/>
  <c r="R145" i="19"/>
  <c r="Q145" i="19"/>
  <c r="V144" i="19"/>
  <c r="R144" i="19"/>
  <c r="Q144" i="19"/>
  <c r="V143" i="19"/>
  <c r="R143" i="19"/>
  <c r="Q143" i="19"/>
  <c r="V142" i="19"/>
  <c r="R142" i="19"/>
  <c r="Q142" i="19"/>
  <c r="V141" i="19"/>
  <c r="R141" i="19"/>
  <c r="Q141" i="19"/>
  <c r="H141" i="19"/>
  <c r="H151" i="19" s="1"/>
  <c r="V140" i="19"/>
  <c r="R140" i="19"/>
  <c r="Q140" i="19"/>
  <c r="V139" i="19"/>
  <c r="R139" i="19"/>
  <c r="Q139" i="19"/>
  <c r="H139" i="19"/>
  <c r="V138" i="19"/>
  <c r="R138" i="19"/>
  <c r="Q138" i="19"/>
  <c r="H138" i="19"/>
  <c r="P137" i="19"/>
  <c r="L137" i="19"/>
  <c r="O137" i="19"/>
  <c r="V137" i="19" s="1"/>
  <c r="N137" i="19"/>
  <c r="N136" i="19" s="1"/>
  <c r="M137" i="19"/>
  <c r="M136" i="19" s="1"/>
  <c r="L136" i="19"/>
  <c r="K137" i="19"/>
  <c r="K136" i="19" s="1"/>
  <c r="J137" i="19"/>
  <c r="V135" i="19"/>
  <c r="V133" i="19"/>
  <c r="U133" i="19"/>
  <c r="Q133" i="19"/>
  <c r="V132" i="19"/>
  <c r="P132" i="19"/>
  <c r="Q132" i="19" s="1"/>
  <c r="F132" i="19"/>
  <c r="V131" i="19"/>
  <c r="U131" i="19"/>
  <c r="R131" i="19"/>
  <c r="Q131" i="19"/>
  <c r="V130" i="19"/>
  <c r="L130" i="19"/>
  <c r="R130" i="19" s="1"/>
  <c r="K130" i="19"/>
  <c r="V129" i="19"/>
  <c r="U129" i="19"/>
  <c r="Q129" i="19"/>
  <c r="V128" i="19"/>
  <c r="Q128" i="19"/>
  <c r="V127" i="19"/>
  <c r="P127" i="19"/>
  <c r="Q127" i="19" s="1"/>
  <c r="V126" i="19"/>
  <c r="U126" i="19"/>
  <c r="Q126" i="19"/>
  <c r="V125" i="19"/>
  <c r="U125" i="19"/>
  <c r="Q125" i="19"/>
  <c r="V124" i="19"/>
  <c r="U124" i="19"/>
  <c r="R124" i="19"/>
  <c r="Q124" i="19"/>
  <c r="V123" i="19"/>
  <c r="U123" i="19"/>
  <c r="Q123" i="19"/>
  <c r="V122" i="19"/>
  <c r="U122" i="19"/>
  <c r="R122" i="19"/>
  <c r="Q122" i="19"/>
  <c r="V121" i="19"/>
  <c r="U121" i="19"/>
  <c r="R121" i="19"/>
  <c r="Q121" i="19"/>
  <c r="V120" i="19"/>
  <c r="U120" i="19"/>
  <c r="R120" i="19"/>
  <c r="Q120" i="19"/>
  <c r="V119" i="19"/>
  <c r="U119" i="19"/>
  <c r="R119" i="19"/>
  <c r="Q119" i="19"/>
  <c r="V118" i="19"/>
  <c r="U118" i="19"/>
  <c r="R118" i="19"/>
  <c r="Q118" i="19"/>
  <c r="P117" i="19"/>
  <c r="L117" i="19"/>
  <c r="O117" i="19"/>
  <c r="V117" i="19" s="1"/>
  <c r="N117" i="19"/>
  <c r="M117" i="19"/>
  <c r="K117" i="19"/>
  <c r="J117" i="19"/>
  <c r="V116" i="19"/>
  <c r="U116" i="19"/>
  <c r="Q116" i="19"/>
  <c r="V115" i="19"/>
  <c r="U115" i="19"/>
  <c r="R115" i="19"/>
  <c r="Q115" i="19"/>
  <c r="V114" i="19"/>
  <c r="U114" i="19"/>
  <c r="R114" i="19"/>
  <c r="Q114" i="19"/>
  <c r="V113" i="19"/>
  <c r="U113" i="19"/>
  <c r="R113" i="19"/>
  <c r="Q113" i="19"/>
  <c r="P112" i="19"/>
  <c r="L112" i="19"/>
  <c r="O112" i="19"/>
  <c r="V112" i="19" s="1"/>
  <c r="N112" i="19"/>
  <c r="M112" i="19"/>
  <c r="K112" i="19"/>
  <c r="J112" i="19"/>
  <c r="V111" i="19"/>
  <c r="Q111" i="19"/>
  <c r="V110" i="19"/>
  <c r="Q110" i="19"/>
  <c r="P109" i="19"/>
  <c r="O109" i="19"/>
  <c r="V109" i="19" s="1"/>
  <c r="N109" i="19"/>
  <c r="M109" i="19"/>
  <c r="L109" i="19"/>
  <c r="K109" i="19"/>
  <c r="J109" i="19"/>
  <c r="V108" i="19"/>
  <c r="V107" i="19"/>
  <c r="Q107" i="19"/>
  <c r="V106" i="19"/>
  <c r="P106" i="19"/>
  <c r="Q106" i="19" s="1"/>
  <c r="V104" i="19"/>
  <c r="U104" i="19"/>
  <c r="Q104" i="19"/>
  <c r="V103" i="19"/>
  <c r="U103" i="19"/>
  <c r="R103" i="19"/>
  <c r="Q103" i="19"/>
  <c r="V102" i="19"/>
  <c r="U102" i="19"/>
  <c r="R102" i="19"/>
  <c r="Q102" i="19"/>
  <c r="V101" i="19"/>
  <c r="U101" i="19"/>
  <c r="R101" i="19"/>
  <c r="Q101" i="19"/>
  <c r="V100" i="19"/>
  <c r="U100" i="19"/>
  <c r="R100" i="19"/>
  <c r="Q100" i="19"/>
  <c r="V99" i="19"/>
  <c r="U99" i="19"/>
  <c r="R99" i="19"/>
  <c r="Q99" i="19"/>
  <c r="P98" i="19"/>
  <c r="O98" i="19"/>
  <c r="V98" i="19" s="1"/>
  <c r="N98" i="19"/>
  <c r="M98" i="19"/>
  <c r="L98" i="19"/>
  <c r="J98" i="19"/>
  <c r="V97" i="19"/>
  <c r="U97" i="19"/>
  <c r="R97" i="19"/>
  <c r="Q97" i="19"/>
  <c r="V96" i="19"/>
  <c r="U96" i="19"/>
  <c r="R96" i="19"/>
  <c r="Q96" i="19"/>
  <c r="V95" i="19"/>
  <c r="U95" i="19"/>
  <c r="R95" i="19"/>
  <c r="Q95" i="19"/>
  <c r="U94" i="19"/>
  <c r="P94" i="19"/>
  <c r="O94" i="19"/>
  <c r="N94" i="19"/>
  <c r="N93" i="19" s="1"/>
  <c r="N92" i="19" s="1"/>
  <c r="M94" i="19"/>
  <c r="L94" i="19"/>
  <c r="K94" i="19"/>
  <c r="K93" i="19" s="1"/>
  <c r="K92" i="19" s="1"/>
  <c r="J94" i="19"/>
  <c r="J57" i="19"/>
  <c r="J61" i="19"/>
  <c r="J72" i="19"/>
  <c r="J75" i="19"/>
  <c r="U93" i="19"/>
  <c r="V91" i="19"/>
  <c r="Q91" i="19"/>
  <c r="V90" i="19"/>
  <c r="Q90" i="19"/>
  <c r="V89" i="19"/>
  <c r="Q89" i="19"/>
  <c r="V88" i="19"/>
  <c r="Q88" i="19"/>
  <c r="V87" i="19"/>
  <c r="Q87" i="19"/>
  <c r="V86" i="19"/>
  <c r="Q86" i="19"/>
  <c r="V85" i="19"/>
  <c r="Q85" i="19"/>
  <c r="V84" i="19"/>
  <c r="Q84" i="19"/>
  <c r="V83" i="19"/>
  <c r="Q83" i="19"/>
  <c r="V82" i="19"/>
  <c r="Q82" i="19"/>
  <c r="V81" i="19"/>
  <c r="Q81" i="19"/>
  <c r="V80" i="19"/>
  <c r="Q80" i="19"/>
  <c r="V79" i="19"/>
  <c r="Q79" i="19"/>
  <c r="V78" i="19"/>
  <c r="U78" i="19"/>
  <c r="R78" i="19"/>
  <c r="Q78" i="19"/>
  <c r="V77" i="19"/>
  <c r="U77" i="19"/>
  <c r="R77" i="19"/>
  <c r="Q77" i="19"/>
  <c r="V76" i="19"/>
  <c r="U76" i="19"/>
  <c r="R76" i="19"/>
  <c r="Q76" i="19"/>
  <c r="P75" i="19"/>
  <c r="L75" i="19"/>
  <c r="O75" i="19"/>
  <c r="V75" i="19" s="1"/>
  <c r="N75" i="19"/>
  <c r="M75" i="19"/>
  <c r="K75" i="19"/>
  <c r="V74" i="19"/>
  <c r="R74" i="19"/>
  <c r="Q74" i="19"/>
  <c r="V73" i="19"/>
  <c r="U73" i="19"/>
  <c r="R73" i="19"/>
  <c r="Q73" i="19"/>
  <c r="P72" i="19"/>
  <c r="O72" i="19"/>
  <c r="V72" i="19" s="1"/>
  <c r="N72" i="19"/>
  <c r="M72" i="19"/>
  <c r="L72" i="19"/>
  <c r="K72" i="19"/>
  <c r="V71" i="19"/>
  <c r="Q71" i="19"/>
  <c r="V70" i="19"/>
  <c r="U70" i="19"/>
  <c r="Q70" i="19"/>
  <c r="V69" i="19"/>
  <c r="Q69" i="19"/>
  <c r="V68" i="19"/>
  <c r="Q68" i="19"/>
  <c r="V67" i="19"/>
  <c r="R67" i="19"/>
  <c r="Q67" i="19"/>
  <c r="V66" i="19"/>
  <c r="P66" i="19"/>
  <c r="V65" i="19"/>
  <c r="R65" i="19"/>
  <c r="Q65" i="19"/>
  <c r="V64" i="19"/>
  <c r="R64" i="19"/>
  <c r="Q64" i="19"/>
  <c r="V63" i="19"/>
  <c r="R63" i="19"/>
  <c r="Q63" i="19"/>
  <c r="V62" i="19"/>
  <c r="R62" i="19"/>
  <c r="Q62" i="19"/>
  <c r="P61" i="19"/>
  <c r="O61" i="19"/>
  <c r="V61" i="19" s="1"/>
  <c r="N61" i="19"/>
  <c r="M61" i="19"/>
  <c r="L61" i="19"/>
  <c r="K61" i="19"/>
  <c r="K57" i="19"/>
  <c r="V60" i="19"/>
  <c r="R60" i="19"/>
  <c r="Q60" i="19"/>
  <c r="H60" i="19"/>
  <c r="V59" i="19"/>
  <c r="R59" i="19"/>
  <c r="Q59" i="19"/>
  <c r="H59" i="19"/>
  <c r="V58" i="19"/>
  <c r="R58" i="19"/>
  <c r="Q58" i="19"/>
  <c r="H58" i="19"/>
  <c r="P57" i="19"/>
  <c r="O57" i="19"/>
  <c r="N57" i="19"/>
  <c r="M57" i="19"/>
  <c r="L57" i="19"/>
  <c r="V54" i="19"/>
  <c r="V53" i="19"/>
  <c r="P53" i="19"/>
  <c r="V52" i="19"/>
  <c r="R52" i="19"/>
  <c r="Q52" i="19"/>
  <c r="V51" i="19"/>
  <c r="P51" i="19"/>
  <c r="R51" i="19" s="1"/>
  <c r="V50" i="19"/>
  <c r="V49" i="19"/>
  <c r="Q49" i="19"/>
  <c r="V48" i="19"/>
  <c r="Q48" i="19"/>
  <c r="V47" i="19"/>
  <c r="R47" i="19"/>
  <c r="Q47" i="19"/>
  <c r="V46" i="19"/>
  <c r="R46" i="19"/>
  <c r="Q46" i="19"/>
  <c r="P45" i="19"/>
  <c r="O45" i="19"/>
  <c r="O44" i="19" s="1"/>
  <c r="N45" i="19"/>
  <c r="N44" i="19" s="1"/>
  <c r="M45" i="19"/>
  <c r="M44" i="19" s="1"/>
  <c r="L45" i="19"/>
  <c r="L44" i="19" s="1"/>
  <c r="K45" i="19"/>
  <c r="K44" i="19" s="1"/>
  <c r="J45" i="19"/>
  <c r="J44" i="19" s="1"/>
  <c r="Q41" i="19"/>
  <c r="Q39" i="19"/>
  <c r="Q37" i="19"/>
  <c r="O25" i="19"/>
  <c r="O13" i="19"/>
  <c r="N25" i="19"/>
  <c r="M25" i="19"/>
  <c r="M13" i="19"/>
  <c r="L25" i="19"/>
  <c r="R25" i="19" s="1"/>
  <c r="K25" i="19"/>
  <c r="J25" i="19"/>
  <c r="J13" i="19"/>
  <c r="N13" i="19"/>
  <c r="N12" i="19" s="1"/>
  <c r="L13" i="19"/>
  <c r="Q13" i="19" s="1"/>
  <c r="K13" i="19"/>
  <c r="K12" i="19" s="1"/>
  <c r="P12" i="19"/>
  <c r="P214" i="16"/>
  <c r="P213" i="16" s="1"/>
  <c r="L7" i="25"/>
  <c r="Q40" i="20"/>
  <c r="Q35" i="20"/>
  <c r="R287" i="19"/>
  <c r="Q415" i="19"/>
  <c r="S38" i="20"/>
  <c r="Q130" i="19"/>
  <c r="R445" i="19"/>
  <c r="V57" i="19"/>
  <c r="O41" i="18"/>
  <c r="O40" i="18"/>
  <c r="O39" i="18"/>
  <c r="O38" i="18"/>
  <c r="O37" i="18"/>
  <c r="O36" i="18"/>
  <c r="O35" i="18"/>
  <c r="O34" i="18"/>
  <c r="S73" i="18"/>
  <c r="T73" i="18" s="1"/>
  <c r="M72" i="18"/>
  <c r="M71" i="18" s="1"/>
  <c r="L72" i="18"/>
  <c r="L71" i="18" s="1"/>
  <c r="K72" i="18"/>
  <c r="K71" i="18" s="1"/>
  <c r="S70" i="18"/>
  <c r="T70" i="18" s="1"/>
  <c r="S69" i="18"/>
  <c r="T69" i="18" s="1"/>
  <c r="P67" i="18"/>
  <c r="M67" i="18"/>
  <c r="L67" i="18"/>
  <c r="K67" i="18"/>
  <c r="S64" i="18"/>
  <c r="T64" i="18" s="1"/>
  <c r="S57" i="18"/>
  <c r="T57" i="18" s="1"/>
  <c r="O55" i="18"/>
  <c r="L55" i="18"/>
  <c r="K55" i="18"/>
  <c r="P51" i="18"/>
  <c r="N51" i="18"/>
  <c r="L51" i="18"/>
  <c r="K48" i="18"/>
  <c r="S42" i="18"/>
  <c r="T42" i="18" s="1"/>
  <c r="N41" i="18"/>
  <c r="M41" i="18"/>
  <c r="N40" i="18"/>
  <c r="M40" i="18"/>
  <c r="L40" i="18"/>
  <c r="K40" i="18"/>
  <c r="N39" i="18"/>
  <c r="M39" i="18"/>
  <c r="L39" i="18"/>
  <c r="K39" i="18"/>
  <c r="K34" i="18"/>
  <c r="K35" i="18"/>
  <c r="K36" i="18"/>
  <c r="K37" i="18"/>
  <c r="K38" i="18"/>
  <c r="N38" i="18"/>
  <c r="M38" i="18"/>
  <c r="L38" i="18"/>
  <c r="N37" i="18"/>
  <c r="M37" i="18"/>
  <c r="L37" i="18"/>
  <c r="N36" i="18"/>
  <c r="M36" i="18"/>
  <c r="L36" i="18"/>
  <c r="N35" i="18"/>
  <c r="M35" i="18"/>
  <c r="L35" i="18"/>
  <c r="N34" i="18"/>
  <c r="M34" i="18"/>
  <c r="P34" i="18" s="1"/>
  <c r="L34" i="18"/>
  <c r="S31" i="18"/>
  <c r="T31" i="18" s="1"/>
  <c r="S26" i="18"/>
  <c r="T26" i="18" s="1"/>
  <c r="K23" i="18"/>
  <c r="S20" i="18"/>
  <c r="T20" i="18" s="1"/>
  <c r="M19" i="18"/>
  <c r="L19" i="18"/>
  <c r="K19" i="18"/>
  <c r="M18" i="18"/>
  <c r="L18" i="18"/>
  <c r="K18" i="18"/>
  <c r="N14" i="18"/>
  <c r="M14" i="18"/>
  <c r="L14" i="18"/>
  <c r="K14" i="18"/>
  <c r="N13" i="18"/>
  <c r="M13" i="18"/>
  <c r="L13" i="18"/>
  <c r="K13" i="18"/>
  <c r="N12" i="18"/>
  <c r="M12" i="18"/>
  <c r="L12" i="18"/>
  <c r="K12" i="18"/>
  <c r="T216" i="16"/>
  <c r="T217" i="16"/>
  <c r="T218" i="16"/>
  <c r="T219" i="16"/>
  <c r="T220" i="16"/>
  <c r="T221" i="16"/>
  <c r="T215" i="16"/>
  <c r="P648" i="16"/>
  <c r="P647" i="16" s="1"/>
  <c r="N648" i="16"/>
  <c r="N647" i="16" s="1"/>
  <c r="M648" i="16"/>
  <c r="M647" i="16" s="1"/>
  <c r="L648" i="16"/>
  <c r="L647" i="16" s="1"/>
  <c r="P645" i="16"/>
  <c r="O645" i="16"/>
  <c r="N645" i="16"/>
  <c r="M645" i="16"/>
  <c r="L645" i="16"/>
  <c r="P644" i="16"/>
  <c r="P643" i="16"/>
  <c r="O644" i="16"/>
  <c r="N644" i="16"/>
  <c r="M644" i="16"/>
  <c r="L644" i="16"/>
  <c r="O643" i="16"/>
  <c r="N643" i="16"/>
  <c r="M643" i="16"/>
  <c r="M642" i="16" s="1"/>
  <c r="L643" i="16"/>
  <c r="R643" i="16" s="1"/>
  <c r="R640" i="16"/>
  <c r="P640" i="16"/>
  <c r="O640" i="16"/>
  <c r="N640" i="16"/>
  <c r="M640" i="16"/>
  <c r="L640" i="16"/>
  <c r="R639" i="16"/>
  <c r="R629" i="16"/>
  <c r="R631" i="16"/>
  <c r="R633" i="16"/>
  <c r="R636" i="16"/>
  <c r="P639" i="16"/>
  <c r="O639" i="16"/>
  <c r="N639" i="16"/>
  <c r="M639" i="16"/>
  <c r="L639" i="16"/>
  <c r="R638" i="16"/>
  <c r="P638" i="16"/>
  <c r="O638" i="16"/>
  <c r="N638" i="16"/>
  <c r="M638" i="16"/>
  <c r="L638" i="16"/>
  <c r="R637" i="16"/>
  <c r="P637" i="16"/>
  <c r="O637" i="16"/>
  <c r="N637" i="16"/>
  <c r="M637" i="16"/>
  <c r="L637" i="16"/>
  <c r="U636" i="16"/>
  <c r="P636" i="16"/>
  <c r="P629" i="16"/>
  <c r="P631" i="16"/>
  <c r="P633" i="16"/>
  <c r="O636" i="16"/>
  <c r="N636" i="16"/>
  <c r="M636" i="16"/>
  <c r="L636" i="16"/>
  <c r="R635" i="16"/>
  <c r="P635" i="16"/>
  <c r="O635" i="16"/>
  <c r="N635" i="16"/>
  <c r="M635" i="16"/>
  <c r="L635" i="16"/>
  <c r="R634" i="16"/>
  <c r="P634" i="16"/>
  <c r="O634" i="16"/>
  <c r="N634" i="16"/>
  <c r="M634" i="16"/>
  <c r="L634" i="16"/>
  <c r="L629" i="16"/>
  <c r="L631" i="16"/>
  <c r="L632" i="16"/>
  <c r="L633" i="16"/>
  <c r="O633" i="16"/>
  <c r="N633" i="16"/>
  <c r="M633" i="16"/>
  <c r="U632" i="16"/>
  <c r="R632" i="16"/>
  <c r="P632" i="16"/>
  <c r="O632" i="16"/>
  <c r="N632" i="16"/>
  <c r="M632" i="16"/>
  <c r="M629" i="16"/>
  <c r="M630" i="16"/>
  <c r="M631" i="16"/>
  <c r="O631" i="16"/>
  <c r="N631" i="16"/>
  <c r="P630" i="16"/>
  <c r="O630" i="16"/>
  <c r="N630" i="16"/>
  <c r="U629" i="16"/>
  <c r="O629" i="16"/>
  <c r="N629" i="16"/>
  <c r="U624" i="16"/>
  <c r="P624" i="16"/>
  <c r="O624" i="16"/>
  <c r="N624" i="16"/>
  <c r="M624" i="16"/>
  <c r="U623" i="16"/>
  <c r="R623" i="16"/>
  <c r="P623" i="16"/>
  <c r="O623" i="16"/>
  <c r="N623" i="16"/>
  <c r="M623" i="16"/>
  <c r="L623" i="16"/>
  <c r="U622" i="16"/>
  <c r="R622" i="16"/>
  <c r="P622" i="16"/>
  <c r="O622" i="16"/>
  <c r="N622" i="16"/>
  <c r="M622" i="16"/>
  <c r="L622" i="16"/>
  <c r="U621" i="16"/>
  <c r="R621" i="16"/>
  <c r="P621" i="16"/>
  <c r="O621" i="16"/>
  <c r="N621" i="16"/>
  <c r="M621" i="16"/>
  <c r="L621" i="16"/>
  <c r="U620" i="16"/>
  <c r="R620" i="16"/>
  <c r="P620" i="16"/>
  <c r="O620" i="16"/>
  <c r="N620" i="16"/>
  <c r="M620" i="16"/>
  <c r="L620" i="16"/>
  <c r="U619" i="16"/>
  <c r="R619" i="16"/>
  <c r="P619" i="16"/>
  <c r="O619" i="16"/>
  <c r="N619" i="16"/>
  <c r="M619" i="16"/>
  <c r="L619" i="16"/>
  <c r="R618" i="16"/>
  <c r="P618" i="16"/>
  <c r="O618" i="16"/>
  <c r="N618" i="16"/>
  <c r="M618" i="16"/>
  <c r="L618" i="16"/>
  <c r="U617" i="16"/>
  <c r="R617" i="16"/>
  <c r="P617" i="16"/>
  <c r="O617" i="16"/>
  <c r="N617" i="16"/>
  <c r="M617" i="16"/>
  <c r="L617" i="16"/>
  <c r="P616" i="16"/>
  <c r="M616" i="16"/>
  <c r="H616" i="16"/>
  <c r="U615" i="16"/>
  <c r="P615" i="16"/>
  <c r="M615" i="16"/>
  <c r="U614" i="16"/>
  <c r="R614" i="16"/>
  <c r="P614" i="16"/>
  <c r="O614" i="16"/>
  <c r="N614" i="16"/>
  <c r="M614" i="16"/>
  <c r="L614" i="16"/>
  <c r="U613" i="16"/>
  <c r="R613" i="16"/>
  <c r="P613" i="16"/>
  <c r="O613" i="16"/>
  <c r="N613" i="16"/>
  <c r="M613" i="16"/>
  <c r="L613" i="16"/>
  <c r="U612" i="16"/>
  <c r="R612" i="16"/>
  <c r="P612" i="16"/>
  <c r="O612" i="16"/>
  <c r="N612" i="16"/>
  <c r="M612" i="16"/>
  <c r="L612" i="16"/>
  <c r="U611" i="16"/>
  <c r="P611" i="16"/>
  <c r="O611" i="16"/>
  <c r="N611" i="16"/>
  <c r="M611" i="16"/>
  <c r="L611" i="16"/>
  <c r="U610" i="16"/>
  <c r="R610" i="16"/>
  <c r="P610" i="16"/>
  <c r="O610" i="16"/>
  <c r="N610" i="16"/>
  <c r="M610" i="16"/>
  <c r="L610" i="16"/>
  <c r="U609" i="16"/>
  <c r="R609" i="16"/>
  <c r="P609" i="16"/>
  <c r="O609" i="16"/>
  <c r="N609" i="16"/>
  <c r="M609" i="16"/>
  <c r="L609" i="16"/>
  <c r="U608" i="16"/>
  <c r="R608" i="16"/>
  <c r="P608" i="16"/>
  <c r="O608" i="16"/>
  <c r="N608" i="16"/>
  <c r="M608" i="16"/>
  <c r="L608" i="16"/>
  <c r="U607" i="16"/>
  <c r="P607" i="16"/>
  <c r="M607" i="16"/>
  <c r="U606" i="16"/>
  <c r="R606" i="16"/>
  <c r="P606" i="16"/>
  <c r="O606" i="16"/>
  <c r="N606" i="16"/>
  <c r="M606" i="16"/>
  <c r="L606" i="16"/>
  <c r="U605" i="16"/>
  <c r="R605" i="16"/>
  <c r="P605" i="16"/>
  <c r="M605" i="16"/>
  <c r="R604" i="16"/>
  <c r="O604" i="16"/>
  <c r="N604" i="16"/>
  <c r="M604" i="16"/>
  <c r="L604" i="16"/>
  <c r="P604" i="16" s="1"/>
  <c r="P603" i="16"/>
  <c r="O603" i="16"/>
  <c r="N603" i="16"/>
  <c r="M603" i="16"/>
  <c r="L603" i="16"/>
  <c r="R602" i="16"/>
  <c r="P602" i="16"/>
  <c r="O602" i="16"/>
  <c r="N602" i="16"/>
  <c r="M602" i="16"/>
  <c r="L602" i="16"/>
  <c r="P601" i="16"/>
  <c r="P600" i="16"/>
  <c r="O601" i="16"/>
  <c r="N601" i="16"/>
  <c r="M601" i="16"/>
  <c r="L601" i="16"/>
  <c r="O600" i="16"/>
  <c r="N600" i="16"/>
  <c r="M600" i="16"/>
  <c r="L600" i="16"/>
  <c r="P582" i="16"/>
  <c r="L582" i="16"/>
  <c r="P581" i="16"/>
  <c r="L581" i="16"/>
  <c r="L578" i="16"/>
  <c r="L577" i="16"/>
  <c r="V572" i="16"/>
  <c r="V569" i="16"/>
  <c r="R569" i="16"/>
  <c r="Q569" i="16"/>
  <c r="N568" i="16"/>
  <c r="N567" i="16" s="1"/>
  <c r="N566" i="16" s="1"/>
  <c r="N565" i="16" s="1"/>
  <c r="N564" i="16" s="1"/>
  <c r="O564" i="16" s="1"/>
  <c r="V564" i="16" s="1"/>
  <c r="K567" i="16"/>
  <c r="K565" i="16" s="1"/>
  <c r="K564" i="16" s="1"/>
  <c r="J567" i="16"/>
  <c r="J565" i="16" s="1"/>
  <c r="J564" i="16" s="1"/>
  <c r="P566" i="16"/>
  <c r="P565" i="16" s="1"/>
  <c r="V561" i="16"/>
  <c r="U561" i="16"/>
  <c r="Q561" i="16"/>
  <c r="V560" i="16"/>
  <c r="Q560" i="16"/>
  <c r="V559" i="16"/>
  <c r="U559" i="16"/>
  <c r="Q559" i="16"/>
  <c r="V558" i="16"/>
  <c r="Q558" i="16"/>
  <c r="V557" i="16"/>
  <c r="U557" i="16"/>
  <c r="Q557" i="16"/>
  <c r="V556" i="16"/>
  <c r="Q556" i="16"/>
  <c r="V555" i="16"/>
  <c r="Q555" i="16"/>
  <c r="V554" i="16"/>
  <c r="U554" i="16"/>
  <c r="Q554" i="16"/>
  <c r="V553" i="16"/>
  <c r="Q553" i="16"/>
  <c r="V552" i="16"/>
  <c r="U552" i="16"/>
  <c r="Q552" i="16"/>
  <c r="V551" i="16"/>
  <c r="Q551" i="16"/>
  <c r="V550" i="16"/>
  <c r="Q550" i="16"/>
  <c r="V549" i="16"/>
  <c r="Q549" i="16"/>
  <c r="V548" i="16"/>
  <c r="U548" i="16"/>
  <c r="Q548" i="16"/>
  <c r="V547" i="16"/>
  <c r="Q547" i="16"/>
  <c r="V546" i="16"/>
  <c r="Q546" i="16"/>
  <c r="V545" i="16"/>
  <c r="U545" i="16"/>
  <c r="Q545" i="16"/>
  <c r="V544" i="16"/>
  <c r="Q544" i="16"/>
  <c r="V543" i="16"/>
  <c r="Q543" i="16"/>
  <c r="V542" i="16"/>
  <c r="Q542" i="16"/>
  <c r="V541" i="16"/>
  <c r="Q541" i="16"/>
  <c r="V540" i="16"/>
  <c r="U540" i="16"/>
  <c r="Q540" i="16"/>
  <c r="V539" i="16"/>
  <c r="Q539" i="16"/>
  <c r="V538" i="16"/>
  <c r="Q538" i="16"/>
  <c r="V537" i="16"/>
  <c r="Q537" i="16"/>
  <c r="V536" i="16"/>
  <c r="Q536" i="16"/>
  <c r="V535" i="16"/>
  <c r="U535" i="16"/>
  <c r="Q535" i="16"/>
  <c r="V534" i="16"/>
  <c r="Q534" i="16"/>
  <c r="V533" i="16"/>
  <c r="Q533" i="16"/>
  <c r="V532" i="16"/>
  <c r="U532" i="16"/>
  <c r="Q532" i="16"/>
  <c r="V531" i="16"/>
  <c r="U531" i="16"/>
  <c r="Q531" i="16"/>
  <c r="V530" i="16"/>
  <c r="Q530" i="16"/>
  <c r="V529" i="16"/>
  <c r="U529" i="16"/>
  <c r="Q529" i="16"/>
  <c r="V528" i="16"/>
  <c r="Q528" i="16"/>
  <c r="V527" i="16"/>
  <c r="Q527" i="16"/>
  <c r="V526" i="16"/>
  <c r="Q526" i="16"/>
  <c r="V525" i="16"/>
  <c r="Q525" i="16"/>
  <c r="V524" i="16"/>
  <c r="Q524" i="16"/>
  <c r="V523" i="16"/>
  <c r="U523" i="16"/>
  <c r="Q523" i="16"/>
  <c r="V522" i="16"/>
  <c r="Q522" i="16"/>
  <c r="V521" i="16"/>
  <c r="Q521" i="16"/>
  <c r="V520" i="16"/>
  <c r="Q520" i="16"/>
  <c r="V519" i="16"/>
  <c r="Q519" i="16"/>
  <c r="V518" i="16"/>
  <c r="Q518" i="16"/>
  <c r="V517" i="16"/>
  <c r="U517" i="16"/>
  <c r="U618" i="16" s="1"/>
  <c r="Q517" i="16"/>
  <c r="V516" i="16"/>
  <c r="Q516" i="16"/>
  <c r="V515" i="16"/>
  <c r="Q515" i="16"/>
  <c r="V514" i="16"/>
  <c r="U514" i="16"/>
  <c r="Q514" i="16"/>
  <c r="V513" i="16"/>
  <c r="Q513" i="16"/>
  <c r="V512" i="16"/>
  <c r="U512" i="16"/>
  <c r="Q512" i="16"/>
  <c r="V511" i="16"/>
  <c r="Q511" i="16"/>
  <c r="V510" i="16"/>
  <c r="Q510" i="16"/>
  <c r="V509" i="16"/>
  <c r="U509" i="16"/>
  <c r="U633" i="16" s="1"/>
  <c r="Q509" i="16"/>
  <c r="V508" i="16"/>
  <c r="Q508" i="16"/>
  <c r="V507" i="16"/>
  <c r="Q507" i="16"/>
  <c r="V506" i="16"/>
  <c r="U506" i="16"/>
  <c r="Q506" i="16"/>
  <c r="V505" i="16"/>
  <c r="Q505" i="16"/>
  <c r="V504" i="16"/>
  <c r="Q504" i="16"/>
  <c r="V503" i="16"/>
  <c r="U503" i="16"/>
  <c r="U635" i="16" s="1"/>
  <c r="Q503" i="16"/>
  <c r="V502" i="16"/>
  <c r="Q502" i="16"/>
  <c r="K502" i="16"/>
  <c r="V501" i="16"/>
  <c r="Q501" i="16"/>
  <c r="V500" i="16"/>
  <c r="U500" i="16"/>
  <c r="Q500" i="16"/>
  <c r="V499" i="16"/>
  <c r="Q499" i="16"/>
  <c r="V498" i="16"/>
  <c r="Q498" i="16"/>
  <c r="V497" i="16"/>
  <c r="Q497" i="16"/>
  <c r="V496" i="16"/>
  <c r="Q496" i="16"/>
  <c r="K496" i="16"/>
  <c r="V495" i="16"/>
  <c r="Q495" i="16"/>
  <c r="V494" i="16"/>
  <c r="U494" i="16"/>
  <c r="Q494" i="16"/>
  <c r="V493" i="16"/>
  <c r="Q493" i="16"/>
  <c r="K493" i="16"/>
  <c r="V492" i="16"/>
  <c r="R492" i="16"/>
  <c r="Q492" i="16"/>
  <c r="V491" i="16"/>
  <c r="R491" i="16"/>
  <c r="R603" i="16" s="1"/>
  <c r="Q491" i="16"/>
  <c r="V490" i="16"/>
  <c r="R490" i="16"/>
  <c r="Q490" i="16"/>
  <c r="K490" i="16"/>
  <c r="J490" i="16"/>
  <c r="V489" i="16"/>
  <c r="R489" i="16"/>
  <c r="Q489" i="16"/>
  <c r="V488" i="16"/>
  <c r="R488" i="16"/>
  <c r="R624" i="16" s="1"/>
  <c r="Q488" i="16"/>
  <c r="V487" i="16"/>
  <c r="R487" i="16"/>
  <c r="Q487" i="16"/>
  <c r="N486" i="16"/>
  <c r="N485" i="16" s="1"/>
  <c r="N471" i="16" s="1"/>
  <c r="N470" i="16" s="1"/>
  <c r="L486" i="16"/>
  <c r="V484" i="16"/>
  <c r="V483" i="16"/>
  <c r="U483" i="16"/>
  <c r="Q483" i="16"/>
  <c r="H483" i="16"/>
  <c r="V482" i="16"/>
  <c r="U482" i="16"/>
  <c r="Q482" i="16"/>
  <c r="H482" i="16"/>
  <c r="V481" i="16"/>
  <c r="U481" i="16"/>
  <c r="Q481" i="16"/>
  <c r="H481" i="16"/>
  <c r="V480" i="16"/>
  <c r="U480" i="16"/>
  <c r="Q480" i="16"/>
  <c r="H480" i="16"/>
  <c r="V479" i="16"/>
  <c r="U479" i="16"/>
  <c r="Q479" i="16"/>
  <c r="H479" i="16"/>
  <c r="V478" i="16"/>
  <c r="U478" i="16"/>
  <c r="Q478" i="16"/>
  <c r="H478" i="16"/>
  <c r="V477" i="16"/>
  <c r="U477" i="16"/>
  <c r="Q477" i="16"/>
  <c r="H477" i="16"/>
  <c r="V476" i="16"/>
  <c r="U476" i="16"/>
  <c r="Q476" i="16"/>
  <c r="H476" i="16"/>
  <c r="V475" i="16"/>
  <c r="U475" i="16"/>
  <c r="Q475" i="16"/>
  <c r="H475" i="16"/>
  <c r="V474" i="16"/>
  <c r="U474" i="16"/>
  <c r="R474" i="16"/>
  <c r="Q474" i="16"/>
  <c r="H474" i="16"/>
  <c r="R473" i="16"/>
  <c r="Q473" i="16"/>
  <c r="O473" i="16"/>
  <c r="K473" i="16"/>
  <c r="K471" i="16" s="1"/>
  <c r="K470" i="16" s="1"/>
  <c r="V472" i="16"/>
  <c r="U472" i="16"/>
  <c r="R472" i="16"/>
  <c r="Q472" i="16"/>
  <c r="P471" i="16"/>
  <c r="P470" i="16" s="1"/>
  <c r="M471" i="16"/>
  <c r="M470" i="16" s="1"/>
  <c r="M432" i="16" s="1"/>
  <c r="M430" i="16" s="1"/>
  <c r="M429" i="16" s="1"/>
  <c r="J471" i="16"/>
  <c r="J470" i="16" s="1"/>
  <c r="V469" i="16"/>
  <c r="V468" i="16"/>
  <c r="U468" i="16"/>
  <c r="U639" i="16" s="1"/>
  <c r="Q468" i="16"/>
  <c r="V467" i="16"/>
  <c r="R467" i="16"/>
  <c r="Q467" i="16"/>
  <c r="V466" i="16"/>
  <c r="R466" i="16"/>
  <c r="Q466" i="16"/>
  <c r="N465" i="16"/>
  <c r="O465" i="16" s="1"/>
  <c r="V465" i="16" s="1"/>
  <c r="L465" i="16"/>
  <c r="K465" i="16"/>
  <c r="J465" i="16"/>
  <c r="V464" i="16"/>
  <c r="V463" i="16"/>
  <c r="U463" i="16"/>
  <c r="R463" i="16"/>
  <c r="Q463" i="16"/>
  <c r="H463" i="16"/>
  <c r="V462" i="16"/>
  <c r="U462" i="16"/>
  <c r="R462" i="16"/>
  <c r="Q462" i="16"/>
  <c r="H462" i="16"/>
  <c r="V461" i="16"/>
  <c r="U461" i="16"/>
  <c r="U601" i="16" s="1"/>
  <c r="R461" i="16"/>
  <c r="R601" i="16" s="1"/>
  <c r="Q461" i="16"/>
  <c r="H461" i="16"/>
  <c r="O460" i="16"/>
  <c r="V460" i="16" s="1"/>
  <c r="N460" i="16"/>
  <c r="L460" i="16"/>
  <c r="K460" i="16"/>
  <c r="J460" i="16"/>
  <c r="V458" i="16"/>
  <c r="R458" i="16"/>
  <c r="R630" i="16" s="1"/>
  <c r="Q458" i="16"/>
  <c r="H458" i="16"/>
  <c r="V457" i="16"/>
  <c r="U457" i="16"/>
  <c r="R457" i="16"/>
  <c r="Q457" i="16"/>
  <c r="H457" i="16"/>
  <c r="V456" i="16"/>
  <c r="U456" i="16"/>
  <c r="R456" i="16"/>
  <c r="R600" i="16" s="1"/>
  <c r="Q456" i="16"/>
  <c r="H456" i="16"/>
  <c r="V455" i="16"/>
  <c r="U455" i="16"/>
  <c r="R455" i="16"/>
  <c r="Q455" i="16"/>
  <c r="H455" i="16"/>
  <c r="N454" i="16"/>
  <c r="O454" i="16" s="1"/>
  <c r="V454" i="16" s="1"/>
  <c r="L454" i="16"/>
  <c r="Q454" i="16" s="1"/>
  <c r="K454" i="16"/>
  <c r="J454" i="16"/>
  <c r="V452" i="16"/>
  <c r="U452" i="16"/>
  <c r="R452" i="16"/>
  <c r="R611" i="16" s="1"/>
  <c r="Q452" i="16"/>
  <c r="K451" i="16"/>
  <c r="J451" i="16"/>
  <c r="V450" i="16"/>
  <c r="R450" i="16"/>
  <c r="Q450" i="16"/>
  <c r="V449" i="16"/>
  <c r="U449" i="16"/>
  <c r="R449" i="16"/>
  <c r="Q449" i="16"/>
  <c r="N448" i="16"/>
  <c r="O448" i="16" s="1"/>
  <c r="V448" i="16" s="1"/>
  <c r="L448" i="16"/>
  <c r="R448" i="16" s="1"/>
  <c r="K448" i="16"/>
  <c r="V447" i="16"/>
  <c r="R447" i="16"/>
  <c r="Q447" i="16"/>
  <c r="U446" i="16"/>
  <c r="U445" i="16" s="1"/>
  <c r="U616" i="16" s="1"/>
  <c r="V444" i="16"/>
  <c r="R444" i="16"/>
  <c r="Q444" i="16"/>
  <c r="U443" i="16"/>
  <c r="V441" i="16"/>
  <c r="R441" i="16"/>
  <c r="Q441" i="16"/>
  <c r="V438" i="16"/>
  <c r="R438" i="16"/>
  <c r="Q438" i="16"/>
  <c r="U437" i="16"/>
  <c r="U435" i="16"/>
  <c r="V434" i="16"/>
  <c r="U434" i="16"/>
  <c r="R434" i="16"/>
  <c r="Q434" i="16"/>
  <c r="J433" i="16"/>
  <c r="V431" i="16"/>
  <c r="V428" i="16"/>
  <c r="K426" i="16"/>
  <c r="J426" i="16"/>
  <c r="H426" i="16"/>
  <c r="V423" i="16"/>
  <c r="R423" i="16"/>
  <c r="Q423" i="16"/>
  <c r="H423" i="16"/>
  <c r="V422" i="16"/>
  <c r="R422" i="16"/>
  <c r="Q422" i="16"/>
  <c r="H422" i="16"/>
  <c r="V421" i="16"/>
  <c r="R421" i="16"/>
  <c r="Q421" i="16"/>
  <c r="H421" i="16"/>
  <c r="V420" i="16"/>
  <c r="R420" i="16"/>
  <c r="Q420" i="16"/>
  <c r="H420" i="16"/>
  <c r="V419" i="16"/>
  <c r="R419" i="16"/>
  <c r="Q419" i="16"/>
  <c r="H419" i="16"/>
  <c r="O418" i="16"/>
  <c r="V418" i="16" s="1"/>
  <c r="N418" i="16"/>
  <c r="L418" i="16"/>
  <c r="K418" i="16"/>
  <c r="J418" i="16"/>
  <c r="H418" i="16"/>
  <c r="P417" i="16"/>
  <c r="P416" i="16" s="1"/>
  <c r="O63" i="18" s="1"/>
  <c r="G417" i="16"/>
  <c r="F416" i="16"/>
  <c r="V415" i="16"/>
  <c r="V414" i="16"/>
  <c r="R414" i="16"/>
  <c r="Q414" i="16"/>
  <c r="H414" i="16"/>
  <c r="V413" i="16"/>
  <c r="R413" i="16"/>
  <c r="Q413" i="16"/>
  <c r="H413" i="16"/>
  <c r="P412" i="16"/>
  <c r="O412" i="16"/>
  <c r="V412" i="16" s="1"/>
  <c r="N412" i="16"/>
  <c r="N411" i="16" s="1"/>
  <c r="L412" i="16"/>
  <c r="L411" i="16" s="1"/>
  <c r="G412" i="16"/>
  <c r="K411" i="16"/>
  <c r="J411" i="16"/>
  <c r="F411" i="16"/>
  <c r="Q410" i="16"/>
  <c r="N410" i="16"/>
  <c r="N406" i="16" s="1"/>
  <c r="V409" i="16"/>
  <c r="R409" i="16"/>
  <c r="Q409" i="16"/>
  <c r="H409" i="16"/>
  <c r="V408" i="16"/>
  <c r="R408" i="16"/>
  <c r="Q408" i="16"/>
  <c r="H408" i="16"/>
  <c r="V407" i="16"/>
  <c r="R407" i="16"/>
  <c r="Q407" i="16"/>
  <c r="H407" i="16"/>
  <c r="P406" i="16"/>
  <c r="L406" i="16"/>
  <c r="K406" i="16"/>
  <c r="J406" i="16"/>
  <c r="G406" i="16"/>
  <c r="V405" i="16"/>
  <c r="R405" i="16"/>
  <c r="Q405" i="16"/>
  <c r="H405" i="16"/>
  <c r="H404" i="16"/>
  <c r="V403" i="16"/>
  <c r="R403" i="16"/>
  <c r="Q403" i="16"/>
  <c r="H403" i="16"/>
  <c r="V400" i="16"/>
  <c r="Q400" i="16"/>
  <c r="H400" i="16"/>
  <c r="V399" i="16"/>
  <c r="R399" i="16"/>
  <c r="Q399" i="16"/>
  <c r="H399" i="16"/>
  <c r="K398" i="16"/>
  <c r="J398" i="16"/>
  <c r="G398" i="16"/>
  <c r="F397" i="16"/>
  <c r="V395" i="16"/>
  <c r="N394" i="16"/>
  <c r="O394" i="16" s="1"/>
  <c r="V394" i="16" s="1"/>
  <c r="N393" i="16"/>
  <c r="O393" i="16" s="1"/>
  <c r="V393" i="16" s="1"/>
  <c r="L392" i="16"/>
  <c r="N391" i="16"/>
  <c r="O391" i="16" s="1"/>
  <c r="V391" i="16" s="1"/>
  <c r="V390" i="16"/>
  <c r="Q390" i="16"/>
  <c r="V389" i="16"/>
  <c r="Q389" i="16"/>
  <c r="V388" i="16"/>
  <c r="V387" i="16"/>
  <c r="R387" i="16"/>
  <c r="Q387" i="16"/>
  <c r="U386" i="16"/>
  <c r="V384" i="16"/>
  <c r="G383" i="16"/>
  <c r="G382" i="16"/>
  <c r="G381" i="16"/>
  <c r="U380" i="16"/>
  <c r="K380" i="16"/>
  <c r="J380" i="16"/>
  <c r="V378" i="16"/>
  <c r="V377" i="16"/>
  <c r="R377" i="16"/>
  <c r="Q377" i="16"/>
  <c r="V376" i="16"/>
  <c r="R376" i="16"/>
  <c r="Q376" i="16"/>
  <c r="H376" i="16"/>
  <c r="V375" i="16"/>
  <c r="R375" i="16"/>
  <c r="Q375" i="16"/>
  <c r="V374" i="16"/>
  <c r="R374" i="16"/>
  <c r="Q374" i="16"/>
  <c r="V373" i="16"/>
  <c r="R373" i="16"/>
  <c r="Q373" i="16"/>
  <c r="P372" i="16"/>
  <c r="O372" i="16"/>
  <c r="N372" i="16"/>
  <c r="N371" i="16" s="1"/>
  <c r="M372" i="16"/>
  <c r="M371" i="16" s="1"/>
  <c r="L372" i="16"/>
  <c r="K372" i="16"/>
  <c r="K371" i="16" s="1"/>
  <c r="J372" i="16"/>
  <c r="J371" i="16" s="1"/>
  <c r="U371" i="16"/>
  <c r="F371" i="16"/>
  <c r="V369" i="16"/>
  <c r="V368" i="16"/>
  <c r="R368" i="16"/>
  <c r="Q368" i="16"/>
  <c r="V367" i="16"/>
  <c r="R367" i="16"/>
  <c r="Q367" i="16"/>
  <c r="U366" i="16"/>
  <c r="O366" i="16"/>
  <c r="V366" i="16" s="1"/>
  <c r="N366" i="16"/>
  <c r="N364" i="16" s="1"/>
  <c r="O364" i="16" s="1"/>
  <c r="V364" i="16" s="1"/>
  <c r="L366" i="16"/>
  <c r="V365" i="16"/>
  <c r="U365" i="16"/>
  <c r="R365" i="16"/>
  <c r="Q365" i="16"/>
  <c r="K364" i="16"/>
  <c r="J364" i="16"/>
  <c r="V363" i="16"/>
  <c r="Q363" i="16"/>
  <c r="G360" i="16"/>
  <c r="G359" i="16"/>
  <c r="G358" i="16"/>
  <c r="G357" i="16"/>
  <c r="G356" i="16"/>
  <c r="G355" i="16"/>
  <c r="N354" i="16"/>
  <c r="G354" i="16"/>
  <c r="G353" i="16"/>
  <c r="V352" i="16"/>
  <c r="Q352" i="16"/>
  <c r="V351" i="16"/>
  <c r="Q351" i="16"/>
  <c r="V350" i="16"/>
  <c r="Q350" i="16"/>
  <c r="V349" i="16"/>
  <c r="Q349" i="16"/>
  <c r="V348" i="16"/>
  <c r="Q348" i="16"/>
  <c r="V347" i="16"/>
  <c r="Q347" i="16"/>
  <c r="V346" i="16"/>
  <c r="Q346" i="16"/>
  <c r="V345" i="16"/>
  <c r="Q345" i="16"/>
  <c r="V344" i="16"/>
  <c r="Q344" i="16"/>
  <c r="V343" i="16"/>
  <c r="Q343" i="16"/>
  <c r="V342" i="16"/>
  <c r="Q342" i="16"/>
  <c r="V341" i="16"/>
  <c r="Q341" i="16"/>
  <c r="V340" i="16"/>
  <c r="Q340" i="16"/>
  <c r="V339" i="16"/>
  <c r="Q339" i="16"/>
  <c r="V338" i="16"/>
  <c r="Q338" i="16"/>
  <c r="V337" i="16"/>
  <c r="Q337" i="16"/>
  <c r="V336" i="16"/>
  <c r="Q336" i="16"/>
  <c r="V335" i="16"/>
  <c r="Q335" i="16"/>
  <c r="V334" i="16"/>
  <c r="Q334" i="16"/>
  <c r="V333" i="16"/>
  <c r="Q333" i="16"/>
  <c r="V332" i="16"/>
  <c r="Q332" i="16"/>
  <c r="V331" i="16"/>
  <c r="Q331" i="16"/>
  <c r="V330" i="16"/>
  <c r="Q330" i="16"/>
  <c r="V329" i="16"/>
  <c r="Q329" i="16"/>
  <c r="V328" i="16"/>
  <c r="Q328" i="16"/>
  <c r="V327" i="16"/>
  <c r="Q327" i="16"/>
  <c r="V326" i="16"/>
  <c r="Q326" i="16"/>
  <c r="V325" i="16"/>
  <c r="Q325" i="16"/>
  <c r="V324" i="16"/>
  <c r="Q324" i="16"/>
  <c r="V323" i="16"/>
  <c r="Q323" i="16"/>
  <c r="V322" i="16"/>
  <c r="Q322" i="16"/>
  <c r="V321" i="16"/>
  <c r="Q321" i="16"/>
  <c r="V320" i="16"/>
  <c r="Q320" i="16"/>
  <c r="V319" i="16"/>
  <c r="Q319" i="16"/>
  <c r="V318" i="16"/>
  <c r="U318" i="16"/>
  <c r="Q318" i="16"/>
  <c r="V317" i="16"/>
  <c r="Q317" i="16"/>
  <c r="V316" i="16"/>
  <c r="Q316" i="16"/>
  <c r="V315" i="16"/>
  <c r="Q315" i="16"/>
  <c r="V314" i="16"/>
  <c r="Q314" i="16"/>
  <c r="V313" i="16"/>
  <c r="R313" i="16"/>
  <c r="Q313" i="16"/>
  <c r="V311" i="16"/>
  <c r="G311" i="16"/>
  <c r="G310" i="16"/>
  <c r="V309" i="16"/>
  <c r="R309" i="16"/>
  <c r="Q309" i="16"/>
  <c r="G309" i="16"/>
  <c r="L308" i="16"/>
  <c r="K308" i="16"/>
  <c r="K295" i="16"/>
  <c r="J308" i="16"/>
  <c r="J295" i="16" s="1"/>
  <c r="U307" i="16"/>
  <c r="L307" i="16"/>
  <c r="V306" i="16"/>
  <c r="R306" i="16"/>
  <c r="Q306" i="16"/>
  <c r="V305" i="16"/>
  <c r="R305" i="16"/>
  <c r="Q305" i="16"/>
  <c r="U303" i="16"/>
  <c r="L303" i="16"/>
  <c r="V302" i="16"/>
  <c r="R302" i="16"/>
  <c r="Q302" i="16"/>
  <c r="V301" i="16"/>
  <c r="Q301" i="16"/>
  <c r="V300" i="16"/>
  <c r="P300" i="16"/>
  <c r="V299" i="16"/>
  <c r="R299" i="16"/>
  <c r="Q299" i="16"/>
  <c r="V298" i="16"/>
  <c r="R298" i="16"/>
  <c r="Q298" i="16"/>
  <c r="V297" i="16"/>
  <c r="R297" i="16"/>
  <c r="Q297" i="16"/>
  <c r="V296" i="16"/>
  <c r="Q296" i="16"/>
  <c r="M295" i="16"/>
  <c r="V294" i="16"/>
  <c r="V293" i="16"/>
  <c r="U293" i="16"/>
  <c r="Q293" i="16"/>
  <c r="K293" i="16"/>
  <c r="J293" i="16"/>
  <c r="N292" i="16"/>
  <c r="O292" i="16" s="1"/>
  <c r="V292" i="16" s="1"/>
  <c r="L292" i="16"/>
  <c r="Q292" i="16" s="1"/>
  <c r="K292" i="16"/>
  <c r="J292" i="16"/>
  <c r="V291" i="16"/>
  <c r="V290" i="16"/>
  <c r="R290" i="16"/>
  <c r="Q290" i="16"/>
  <c r="V289" i="16"/>
  <c r="R289" i="16"/>
  <c r="Q289" i="16"/>
  <c r="V288" i="16"/>
  <c r="R288" i="16"/>
  <c r="Q288" i="16"/>
  <c r="P287" i="16"/>
  <c r="O287" i="16"/>
  <c r="V287" i="16" s="1"/>
  <c r="N287" i="16"/>
  <c r="M287" i="16"/>
  <c r="L287" i="16"/>
  <c r="K287" i="16"/>
  <c r="J287" i="16"/>
  <c r="V286" i="16"/>
  <c r="Q286" i="16"/>
  <c r="H286" i="16"/>
  <c r="V285" i="16"/>
  <c r="Q285" i="16"/>
  <c r="H285" i="16"/>
  <c r="V284" i="16"/>
  <c r="Q284" i="16"/>
  <c r="H284" i="16"/>
  <c r="V283" i="16"/>
  <c r="Q283" i="16"/>
  <c r="H283" i="16"/>
  <c r="V282" i="16"/>
  <c r="Q282" i="16"/>
  <c r="H282" i="16"/>
  <c r="V281" i="16"/>
  <c r="Q281" i="16"/>
  <c r="H281" i="16"/>
  <c r="V280" i="16"/>
  <c r="Q280" i="16"/>
  <c r="H280" i="16"/>
  <c r="V279" i="16"/>
  <c r="Q279" i="16"/>
  <c r="H279" i="16"/>
  <c r="V278" i="16"/>
  <c r="Q278" i="16"/>
  <c r="H278" i="16"/>
  <c r="V277" i="16"/>
  <c r="Q277" i="16"/>
  <c r="H277" i="16"/>
  <c r="R276" i="16"/>
  <c r="Q276" i="16"/>
  <c r="O276" i="16"/>
  <c r="O264" i="16" s="1"/>
  <c r="V264" i="16" s="1"/>
  <c r="K276" i="16"/>
  <c r="K264" i="16" s="1"/>
  <c r="V275" i="16"/>
  <c r="Q275" i="16"/>
  <c r="H275" i="16"/>
  <c r="V274" i="16"/>
  <c r="Q274" i="16"/>
  <c r="H274" i="16"/>
  <c r="V273" i="16"/>
  <c r="Q273" i="16"/>
  <c r="H273" i="16"/>
  <c r="V272" i="16"/>
  <c r="Q272" i="16"/>
  <c r="H272" i="16"/>
  <c r="V271" i="16"/>
  <c r="Q271" i="16"/>
  <c r="H271" i="16"/>
  <c r="V270" i="16"/>
  <c r="Q270" i="16"/>
  <c r="H270" i="16"/>
  <c r="V269" i="16"/>
  <c r="Q269" i="16"/>
  <c r="H269" i="16"/>
  <c r="V268" i="16"/>
  <c r="Q268" i="16"/>
  <c r="H268" i="16"/>
  <c r="V267" i="16"/>
  <c r="Q267" i="16"/>
  <c r="H267" i="16"/>
  <c r="V266" i="16"/>
  <c r="Q266" i="16"/>
  <c r="H266" i="16"/>
  <c r="V265" i="16"/>
  <c r="R265" i="16"/>
  <c r="Q265" i="16"/>
  <c r="P264" i="16"/>
  <c r="N264" i="16"/>
  <c r="M264" i="16"/>
  <c r="L264" i="16"/>
  <c r="J264" i="16"/>
  <c r="V263" i="16"/>
  <c r="V262" i="16"/>
  <c r="Q262" i="16"/>
  <c r="V261" i="16"/>
  <c r="Q261" i="16"/>
  <c r="V260" i="16"/>
  <c r="Q260" i="16"/>
  <c r="V259" i="16"/>
  <c r="Q259" i="16"/>
  <c r="V258" i="16"/>
  <c r="Q258" i="16"/>
  <c r="V257" i="16"/>
  <c r="Q257" i="16"/>
  <c r="V256" i="16"/>
  <c r="Q256" i="16"/>
  <c r="V255" i="16"/>
  <c r="Q255" i="16"/>
  <c r="V254" i="16"/>
  <c r="Q254" i="16"/>
  <c r="V253" i="16"/>
  <c r="Q253" i="16"/>
  <c r="V252" i="16"/>
  <c r="Q252" i="16"/>
  <c r="V251" i="16"/>
  <c r="Q251" i="16"/>
  <c r="V250" i="16"/>
  <c r="Q250" i="16"/>
  <c r="V249" i="16"/>
  <c r="Q249" i="16"/>
  <c r="V248" i="16"/>
  <c r="Q248" i="16"/>
  <c r="V247" i="16"/>
  <c r="P247" i="16"/>
  <c r="Q247" i="16" s="1"/>
  <c r="K247" i="16"/>
  <c r="K246" i="16" s="1"/>
  <c r="O246" i="16"/>
  <c r="V246" i="16" s="1"/>
  <c r="N246" i="16"/>
  <c r="M246" i="16"/>
  <c r="M233" i="16"/>
  <c r="M239" i="16"/>
  <c r="M242" i="16"/>
  <c r="L246" i="16"/>
  <c r="V245" i="16"/>
  <c r="V244" i="16"/>
  <c r="R244" i="16"/>
  <c r="Q244" i="16"/>
  <c r="V243" i="16"/>
  <c r="R243" i="16"/>
  <c r="Q243" i="16"/>
  <c r="P242" i="16"/>
  <c r="O47" i="18" s="1"/>
  <c r="O242" i="16"/>
  <c r="V242" i="16" s="1"/>
  <c r="N242" i="16"/>
  <c r="L242" i="16"/>
  <c r="Q242" i="16" s="1"/>
  <c r="K242" i="16"/>
  <c r="J242" i="16"/>
  <c r="O241" i="16"/>
  <c r="V241" i="16" s="1"/>
  <c r="V240" i="16"/>
  <c r="R240" i="16"/>
  <c r="Q240" i="16"/>
  <c r="P239" i="16"/>
  <c r="O46" i="18" s="1"/>
  <c r="O239" i="16"/>
  <c r="V239" i="16" s="1"/>
  <c r="N239" i="16"/>
  <c r="L239" i="16"/>
  <c r="K239" i="16"/>
  <c r="J239" i="16"/>
  <c r="V238" i="16"/>
  <c r="V237" i="16"/>
  <c r="V236" i="16"/>
  <c r="R236" i="16"/>
  <c r="Q236" i="16"/>
  <c r="V235" i="16"/>
  <c r="P235" i="16"/>
  <c r="V234" i="16"/>
  <c r="Q234" i="16"/>
  <c r="O233" i="16"/>
  <c r="V233" i="16" s="1"/>
  <c r="N233" i="16"/>
  <c r="L233" i="16"/>
  <c r="K233" i="16"/>
  <c r="J233" i="16"/>
  <c r="V232" i="16"/>
  <c r="V231" i="16"/>
  <c r="R231" i="16"/>
  <c r="Q231" i="16"/>
  <c r="F231" i="16"/>
  <c r="V230" i="16"/>
  <c r="Q230" i="16"/>
  <c r="F230" i="16"/>
  <c r="V229" i="16"/>
  <c r="Q229" i="16"/>
  <c r="F229" i="16"/>
  <c r="V228" i="16"/>
  <c r="R228" i="16"/>
  <c r="Q228" i="16"/>
  <c r="F228" i="16"/>
  <c r="V227" i="16"/>
  <c r="U227" i="16"/>
  <c r="Q227" i="16"/>
  <c r="F227" i="16"/>
  <c r="P226" i="16"/>
  <c r="N226" i="16"/>
  <c r="O226" i="16" s="1"/>
  <c r="V226" i="16" s="1"/>
  <c r="L226" i="16"/>
  <c r="K226" i="16"/>
  <c r="J226" i="16"/>
  <c r="V224" i="16"/>
  <c r="V223" i="16"/>
  <c r="R223" i="16"/>
  <c r="Q223" i="16"/>
  <c r="V222" i="16"/>
  <c r="R222" i="16"/>
  <c r="Q222" i="16"/>
  <c r="V221" i="16"/>
  <c r="R221" i="16"/>
  <c r="Q221" i="16"/>
  <c r="G221" i="16"/>
  <c r="V220" i="16"/>
  <c r="R220" i="16"/>
  <c r="Q220" i="16"/>
  <c r="G220" i="16"/>
  <c r="V219" i="16"/>
  <c r="Q219" i="16"/>
  <c r="G219" i="16"/>
  <c r="V218" i="16"/>
  <c r="R218" i="16"/>
  <c r="Q218" i="16"/>
  <c r="G218" i="16"/>
  <c r="V217" i="16"/>
  <c r="R217" i="16"/>
  <c r="Q217" i="16"/>
  <c r="G217" i="16"/>
  <c r="V216" i="16"/>
  <c r="R216" i="16"/>
  <c r="Q216" i="16"/>
  <c r="G216" i="16"/>
  <c r="V215" i="16"/>
  <c r="R215" i="16"/>
  <c r="Q215" i="16"/>
  <c r="G215" i="16"/>
  <c r="N214" i="16"/>
  <c r="L214" i="16"/>
  <c r="K214" i="16"/>
  <c r="K213" i="16" s="1"/>
  <c r="K212" i="16" s="1"/>
  <c r="J214" i="16"/>
  <c r="J213" i="16" s="1"/>
  <c r="J212" i="16" s="1"/>
  <c r="M212" i="16"/>
  <c r="U210" i="16"/>
  <c r="U209" i="16" s="1"/>
  <c r="N210" i="16"/>
  <c r="N209" i="16" s="1"/>
  <c r="P209" i="16"/>
  <c r="O30" i="18" s="1"/>
  <c r="K209" i="16"/>
  <c r="J209" i="16"/>
  <c r="J201" i="16"/>
  <c r="J206" i="16"/>
  <c r="V208" i="16"/>
  <c r="N207" i="16"/>
  <c r="N206" i="16" s="1"/>
  <c r="O206" i="16" s="1"/>
  <c r="V206" i="16" s="1"/>
  <c r="P206" i="16"/>
  <c r="O29" i="18" s="1"/>
  <c r="K206" i="16"/>
  <c r="V205" i="16"/>
  <c r="N202" i="16"/>
  <c r="P201" i="16"/>
  <c r="K201" i="16"/>
  <c r="V199" i="16"/>
  <c r="V198" i="16"/>
  <c r="U198" i="16"/>
  <c r="U191" i="16" s="1"/>
  <c r="R198" i="16"/>
  <c r="Q198" i="16"/>
  <c r="H198" i="16"/>
  <c r="V197" i="16"/>
  <c r="R197" i="16"/>
  <c r="Q197" i="16"/>
  <c r="H197" i="16"/>
  <c r="V196" i="16"/>
  <c r="R196" i="16"/>
  <c r="Q196" i="16"/>
  <c r="H196" i="16"/>
  <c r="V195" i="16"/>
  <c r="Q195" i="16"/>
  <c r="H195" i="16"/>
  <c r="V194" i="16"/>
  <c r="R194" i="16"/>
  <c r="Q194" i="16"/>
  <c r="H194" i="16"/>
  <c r="V193" i="16"/>
  <c r="R193" i="16"/>
  <c r="Q193" i="16"/>
  <c r="H193" i="16"/>
  <c r="V192" i="16"/>
  <c r="R192" i="16"/>
  <c r="Q192" i="16"/>
  <c r="H192" i="16"/>
  <c r="P191" i="16"/>
  <c r="O191" i="16"/>
  <c r="V191" i="16" s="1"/>
  <c r="N191" i="16"/>
  <c r="M191" i="16"/>
  <c r="L191" i="16"/>
  <c r="K191" i="16"/>
  <c r="J191" i="16"/>
  <c r="V190" i="16"/>
  <c r="Q190" i="16"/>
  <c r="H190" i="16"/>
  <c r="V189" i="16"/>
  <c r="Q189" i="16"/>
  <c r="H189" i="16"/>
  <c r="V188" i="16"/>
  <c r="Q188" i="16"/>
  <c r="H188" i="16"/>
  <c r="V187" i="16"/>
  <c r="R187" i="16"/>
  <c r="Q187" i="16"/>
  <c r="H187" i="16"/>
  <c r="V186" i="16"/>
  <c r="R186" i="16"/>
  <c r="Q186" i="16"/>
  <c r="H186" i="16"/>
  <c r="V185" i="16"/>
  <c r="R185" i="16"/>
  <c r="Q185" i="16"/>
  <c r="H185" i="16"/>
  <c r="V184" i="16"/>
  <c r="Q184" i="16"/>
  <c r="H184" i="16"/>
  <c r="P183" i="16"/>
  <c r="O183" i="16"/>
  <c r="V183" i="16" s="1"/>
  <c r="N183" i="16"/>
  <c r="M183" i="16"/>
  <c r="L183" i="16"/>
  <c r="K183" i="16"/>
  <c r="J183" i="16"/>
  <c r="V182" i="16"/>
  <c r="Q182" i="16"/>
  <c r="V181" i="16"/>
  <c r="Q181" i="16"/>
  <c r="V180" i="16"/>
  <c r="Q180" i="16"/>
  <c r="V179" i="16"/>
  <c r="Q179" i="16"/>
  <c r="P178" i="16"/>
  <c r="L178" i="16"/>
  <c r="O178" i="16"/>
  <c r="V178" i="16" s="1"/>
  <c r="N178" i="16"/>
  <c r="M178" i="16"/>
  <c r="K178" i="16"/>
  <c r="J178" i="16"/>
  <c r="V177" i="16"/>
  <c r="Q177" i="16"/>
  <c r="V176" i="16"/>
  <c r="Q176" i="16"/>
  <c r="V175" i="16"/>
  <c r="R175" i="16"/>
  <c r="Q175" i="16"/>
  <c r="H175" i="16"/>
  <c r="V174" i="16"/>
  <c r="Q174" i="16"/>
  <c r="H174" i="16"/>
  <c r="V173" i="16"/>
  <c r="Q173" i="16"/>
  <c r="H173" i="16"/>
  <c r="V172" i="16"/>
  <c r="R172" i="16"/>
  <c r="Q172" i="16"/>
  <c r="H172" i="16"/>
  <c r="V171" i="16"/>
  <c r="R171" i="16"/>
  <c r="Q171" i="16"/>
  <c r="H171" i="16"/>
  <c r="V170" i="16"/>
  <c r="R170" i="16"/>
  <c r="Q170" i="16"/>
  <c r="H170" i="16"/>
  <c r="V169" i="16"/>
  <c r="Q169" i="16"/>
  <c r="H169" i="16"/>
  <c r="V168" i="16"/>
  <c r="Q168" i="16"/>
  <c r="H168" i="16"/>
  <c r="V167" i="16"/>
  <c r="R167" i="16"/>
  <c r="Q167" i="16"/>
  <c r="H167" i="16"/>
  <c r="V166" i="16"/>
  <c r="R166" i="16"/>
  <c r="Q166" i="16"/>
  <c r="H166" i="16"/>
  <c r="V165" i="16"/>
  <c r="R165" i="16"/>
  <c r="Q165" i="16"/>
  <c r="H165" i="16"/>
  <c r="P164" i="16"/>
  <c r="O164" i="16"/>
  <c r="V164" i="16" s="1"/>
  <c r="N164" i="16"/>
  <c r="M164" i="16"/>
  <c r="L164" i="16"/>
  <c r="K164" i="16"/>
  <c r="J164" i="16"/>
  <c r="V163" i="16"/>
  <c r="Q163" i="16"/>
  <c r="V162" i="16"/>
  <c r="Q162" i="16"/>
  <c r="J162" i="16"/>
  <c r="V160" i="16"/>
  <c r="Q158" i="16"/>
  <c r="P158" i="16"/>
  <c r="Q157" i="16"/>
  <c r="P156" i="16"/>
  <c r="O155" i="16"/>
  <c r="V155" i="16" s="1"/>
  <c r="L155" i="16"/>
  <c r="K155" i="16"/>
  <c r="J155" i="16"/>
  <c r="V154" i="16"/>
  <c r="Q154" i="16"/>
  <c r="V153" i="16"/>
  <c r="U153" i="16"/>
  <c r="R153" i="16"/>
  <c r="Q153" i="16"/>
  <c r="V152" i="16"/>
  <c r="R152" i="16"/>
  <c r="Q152" i="16"/>
  <c r="K152" i="16"/>
  <c r="J152" i="16"/>
  <c r="V151" i="16"/>
  <c r="R151" i="16"/>
  <c r="Q151" i="16"/>
  <c r="V150" i="16"/>
  <c r="R150" i="16"/>
  <c r="Q150" i="16"/>
  <c r="K150" i="16"/>
  <c r="J150" i="16"/>
  <c r="V149" i="16"/>
  <c r="R149" i="16"/>
  <c r="Q149" i="16"/>
  <c r="H149" i="16"/>
  <c r="V148" i="16"/>
  <c r="R148" i="16"/>
  <c r="Q148" i="16"/>
  <c r="V147" i="16"/>
  <c r="U147" i="16"/>
  <c r="Q147" i="16"/>
  <c r="V146" i="16"/>
  <c r="Q146" i="16"/>
  <c r="V145" i="16"/>
  <c r="U145" i="16"/>
  <c r="R145" i="16"/>
  <c r="Q145" i="16"/>
  <c r="V144" i="16"/>
  <c r="R144" i="16"/>
  <c r="Q144" i="16"/>
  <c r="V143" i="16"/>
  <c r="R143" i="16"/>
  <c r="Q143" i="16"/>
  <c r="V142" i="16"/>
  <c r="R142" i="16"/>
  <c r="Q142" i="16"/>
  <c r="V141" i="16"/>
  <c r="R141" i="16"/>
  <c r="Q141" i="16"/>
  <c r="H141" i="16"/>
  <c r="H151" i="16" s="1"/>
  <c r="V140" i="16"/>
  <c r="R140" i="16"/>
  <c r="Q140" i="16"/>
  <c r="V139" i="16"/>
  <c r="R139" i="16"/>
  <c r="Q139" i="16"/>
  <c r="H139" i="16"/>
  <c r="V138" i="16"/>
  <c r="R138" i="16"/>
  <c r="Q138" i="16"/>
  <c r="H138" i="16"/>
  <c r="P137" i="16"/>
  <c r="P136" i="16" s="1"/>
  <c r="O23" i="18" s="1"/>
  <c r="O137" i="16"/>
  <c r="N137" i="16"/>
  <c r="N136" i="16" s="1"/>
  <c r="M137" i="16"/>
  <c r="M136" i="16" s="1"/>
  <c r="L137" i="16"/>
  <c r="L136" i="16" s="1"/>
  <c r="K137" i="16"/>
  <c r="J137" i="16"/>
  <c r="V135" i="16"/>
  <c r="V133" i="16"/>
  <c r="U133" i="16"/>
  <c r="Q133" i="16"/>
  <c r="V132" i="16"/>
  <c r="P132" i="16"/>
  <c r="Q132" i="16" s="1"/>
  <c r="F132" i="16"/>
  <c r="V131" i="16"/>
  <c r="U131" i="16"/>
  <c r="R131" i="16"/>
  <c r="Q131" i="16"/>
  <c r="V130" i="16"/>
  <c r="L130" i="16"/>
  <c r="K130" i="16"/>
  <c r="V129" i="16"/>
  <c r="U129" i="16"/>
  <c r="Q129" i="16"/>
  <c r="V128" i="16"/>
  <c r="Q128" i="16"/>
  <c r="V127" i="16"/>
  <c r="P127" i="16"/>
  <c r="Q127" i="16" s="1"/>
  <c r="V126" i="16"/>
  <c r="U126" i="16"/>
  <c r="Q126" i="16"/>
  <c r="V125" i="16"/>
  <c r="U125" i="16"/>
  <c r="Q125" i="16"/>
  <c r="V124" i="16"/>
  <c r="U124" i="16"/>
  <c r="R124" i="16"/>
  <c r="Q124" i="16"/>
  <c r="V123" i="16"/>
  <c r="U123" i="16"/>
  <c r="Q123" i="16"/>
  <c r="V122" i="16"/>
  <c r="U122" i="16"/>
  <c r="R122" i="16"/>
  <c r="Q122" i="16"/>
  <c r="V121" i="16"/>
  <c r="U121" i="16"/>
  <c r="R121" i="16"/>
  <c r="Q121" i="16"/>
  <c r="V120" i="16"/>
  <c r="U120" i="16"/>
  <c r="R120" i="16"/>
  <c r="Q120" i="16"/>
  <c r="V119" i="16"/>
  <c r="U119" i="16"/>
  <c r="R119" i="16"/>
  <c r="Q119" i="16"/>
  <c r="V118" i="16"/>
  <c r="U118" i="16"/>
  <c r="R118" i="16"/>
  <c r="Q118" i="16"/>
  <c r="P117" i="16"/>
  <c r="O117" i="16"/>
  <c r="V117" i="16" s="1"/>
  <c r="N117" i="16"/>
  <c r="M117" i="16"/>
  <c r="L117" i="16"/>
  <c r="K117" i="16"/>
  <c r="J117" i="16"/>
  <c r="V116" i="16"/>
  <c r="U116" i="16"/>
  <c r="Q116" i="16"/>
  <c r="V115" i="16"/>
  <c r="U115" i="16"/>
  <c r="R115" i="16"/>
  <c r="Q115" i="16"/>
  <c r="V114" i="16"/>
  <c r="U114" i="16"/>
  <c r="R114" i="16"/>
  <c r="Q114" i="16"/>
  <c r="V113" i="16"/>
  <c r="U113" i="16"/>
  <c r="R113" i="16"/>
  <c r="Q113" i="16"/>
  <c r="P112" i="16"/>
  <c r="Q112" i="16" s="1"/>
  <c r="L112" i="16"/>
  <c r="O112" i="16"/>
  <c r="V112" i="16" s="1"/>
  <c r="N112" i="16"/>
  <c r="M112" i="16"/>
  <c r="K112" i="16"/>
  <c r="J112" i="16"/>
  <c r="V111" i="16"/>
  <c r="Q111" i="16"/>
  <c r="V110" i="16"/>
  <c r="Q110" i="16"/>
  <c r="P109" i="16"/>
  <c r="O109" i="16"/>
  <c r="V109" i="16" s="1"/>
  <c r="N109" i="16"/>
  <c r="M109" i="16"/>
  <c r="L109" i="16"/>
  <c r="K109" i="16"/>
  <c r="J109" i="16"/>
  <c r="V108" i="16"/>
  <c r="V107" i="16"/>
  <c r="Q107" i="16"/>
  <c r="V106" i="16"/>
  <c r="P106" i="16"/>
  <c r="Q106" i="16" s="1"/>
  <c r="V104" i="16"/>
  <c r="U104" i="16"/>
  <c r="Q104" i="16"/>
  <c r="V103" i="16"/>
  <c r="U103" i="16"/>
  <c r="R103" i="16"/>
  <c r="Q103" i="16"/>
  <c r="V102" i="16"/>
  <c r="U102" i="16"/>
  <c r="R102" i="16"/>
  <c r="Q102" i="16"/>
  <c r="V101" i="16"/>
  <c r="U101" i="16"/>
  <c r="R101" i="16"/>
  <c r="Q101" i="16"/>
  <c r="V100" i="16"/>
  <c r="U100" i="16"/>
  <c r="R100" i="16"/>
  <c r="Q100" i="16"/>
  <c r="V99" i="16"/>
  <c r="U99" i="16"/>
  <c r="R99" i="16"/>
  <c r="Q99" i="16"/>
  <c r="P98" i="16"/>
  <c r="O98" i="16"/>
  <c r="V98" i="16" s="1"/>
  <c r="N98" i="16"/>
  <c r="M98" i="16"/>
  <c r="L98" i="16"/>
  <c r="J98" i="16"/>
  <c r="V97" i="16"/>
  <c r="U97" i="16"/>
  <c r="R97" i="16"/>
  <c r="Q97" i="16"/>
  <c r="V96" i="16"/>
  <c r="U96" i="16"/>
  <c r="R96" i="16"/>
  <c r="Q96" i="16"/>
  <c r="V95" i="16"/>
  <c r="U95" i="16"/>
  <c r="R95" i="16"/>
  <c r="Q95" i="16"/>
  <c r="U94" i="16"/>
  <c r="P94" i="16"/>
  <c r="O94" i="16"/>
  <c r="N94" i="16"/>
  <c r="M94" i="16"/>
  <c r="M93" i="16" s="1"/>
  <c r="M92" i="16" s="1"/>
  <c r="L94" i="16"/>
  <c r="K94" i="16"/>
  <c r="K93" i="16" s="1"/>
  <c r="K92" i="16" s="1"/>
  <c r="J94" i="16"/>
  <c r="J57" i="16"/>
  <c r="J61" i="16"/>
  <c r="J72" i="16"/>
  <c r="J75" i="16"/>
  <c r="U93" i="16"/>
  <c r="V91" i="16"/>
  <c r="Q91" i="16"/>
  <c r="V90" i="16"/>
  <c r="Q90" i="16"/>
  <c r="V89" i="16"/>
  <c r="Q89" i="16"/>
  <c r="V88" i="16"/>
  <c r="Q88" i="16"/>
  <c r="V87" i="16"/>
  <c r="Q87" i="16"/>
  <c r="V86" i="16"/>
  <c r="Q86" i="16"/>
  <c r="V85" i="16"/>
  <c r="Q85" i="16"/>
  <c r="V84" i="16"/>
  <c r="Q84" i="16"/>
  <c r="V83" i="16"/>
  <c r="Q83" i="16"/>
  <c r="V82" i="16"/>
  <c r="Q82" i="16"/>
  <c r="V81" i="16"/>
  <c r="Q81" i="16"/>
  <c r="V80" i="16"/>
  <c r="Q80" i="16"/>
  <c r="V79" i="16"/>
  <c r="Q79" i="16"/>
  <c r="V78" i="16"/>
  <c r="U78" i="16"/>
  <c r="R78" i="16"/>
  <c r="Q78" i="16"/>
  <c r="V77" i="16"/>
  <c r="U77" i="16"/>
  <c r="R77" i="16"/>
  <c r="Q77" i="16"/>
  <c r="V76" i="16"/>
  <c r="U76" i="16"/>
  <c r="R76" i="16"/>
  <c r="Q76" i="16"/>
  <c r="P75" i="16"/>
  <c r="L75" i="16"/>
  <c r="O75" i="16"/>
  <c r="V75" i="16" s="1"/>
  <c r="N75" i="16"/>
  <c r="M75" i="16"/>
  <c r="K75" i="16"/>
  <c r="V74" i="16"/>
  <c r="R74" i="16"/>
  <c r="Q74" i="16"/>
  <c r="V73" i="16"/>
  <c r="U73" i="16"/>
  <c r="R73" i="16"/>
  <c r="Q73" i="16"/>
  <c r="P72" i="16"/>
  <c r="O72" i="16"/>
  <c r="N72" i="16"/>
  <c r="M72" i="16"/>
  <c r="L72" i="16"/>
  <c r="K72" i="16"/>
  <c r="V71" i="16"/>
  <c r="Q71" i="16"/>
  <c r="V70" i="16"/>
  <c r="U70" i="16"/>
  <c r="Q70" i="16"/>
  <c r="V69" i="16"/>
  <c r="Q69" i="16"/>
  <c r="V68" i="16"/>
  <c r="Q68" i="16"/>
  <c r="V67" i="16"/>
  <c r="R67" i="16"/>
  <c r="Q67" i="16"/>
  <c r="V66" i="16"/>
  <c r="P66" i="16"/>
  <c r="R66" i="16" s="1"/>
  <c r="V65" i="16"/>
  <c r="R65" i="16"/>
  <c r="Q65" i="16"/>
  <c r="V64" i="16"/>
  <c r="R64" i="16"/>
  <c r="Q64" i="16"/>
  <c r="V63" i="16"/>
  <c r="R63" i="16"/>
  <c r="Q63" i="16"/>
  <c r="V62" i="16"/>
  <c r="R62" i="16"/>
  <c r="Q62" i="16"/>
  <c r="P61" i="16"/>
  <c r="O61" i="16"/>
  <c r="V61" i="16" s="1"/>
  <c r="N61" i="16"/>
  <c r="M61" i="16"/>
  <c r="L61" i="16"/>
  <c r="K61" i="16"/>
  <c r="V60" i="16"/>
  <c r="R60" i="16"/>
  <c r="Q60" i="16"/>
  <c r="H60" i="16"/>
  <c r="V59" i="16"/>
  <c r="R59" i="16"/>
  <c r="Q59" i="16"/>
  <c r="H59" i="16"/>
  <c r="V58" i="16"/>
  <c r="R58" i="16"/>
  <c r="Q58" i="16"/>
  <c r="H58" i="16"/>
  <c r="P57" i="16"/>
  <c r="O57" i="16"/>
  <c r="V57" i="16" s="1"/>
  <c r="N57" i="16"/>
  <c r="M57" i="16"/>
  <c r="M45" i="16"/>
  <c r="M44" i="16" s="1"/>
  <c r="L57" i="16"/>
  <c r="K57" i="16"/>
  <c r="V54" i="16"/>
  <c r="V53" i="16"/>
  <c r="P53" i="16"/>
  <c r="V52" i="16"/>
  <c r="R52" i="16"/>
  <c r="Q52" i="16"/>
  <c r="V51" i="16"/>
  <c r="P51" i="16"/>
  <c r="V50" i="16"/>
  <c r="V49" i="16"/>
  <c r="Q49" i="16"/>
  <c r="V48" i="16"/>
  <c r="Q48" i="16"/>
  <c r="V47" i="16"/>
  <c r="R47" i="16"/>
  <c r="Q47" i="16"/>
  <c r="V46" i="16"/>
  <c r="R46" i="16"/>
  <c r="Q46" i="16"/>
  <c r="P45" i="16"/>
  <c r="O45" i="16"/>
  <c r="O44" i="16" s="1"/>
  <c r="N45" i="16"/>
  <c r="N44" i="16" s="1"/>
  <c r="L45" i="16"/>
  <c r="L44" i="16" s="1"/>
  <c r="K45" i="16"/>
  <c r="K44" i="16" s="1"/>
  <c r="J45" i="16"/>
  <c r="J44" i="16" s="1"/>
  <c r="Q41" i="16"/>
  <c r="Q39" i="16"/>
  <c r="Q37" i="16"/>
  <c r="O25" i="16"/>
  <c r="N25" i="16"/>
  <c r="M25" i="16"/>
  <c r="L25" i="16"/>
  <c r="Q25" i="16" s="1"/>
  <c r="K25" i="16"/>
  <c r="K13" i="16"/>
  <c r="J25" i="16"/>
  <c r="O13" i="16"/>
  <c r="N13" i="16"/>
  <c r="M13" i="16"/>
  <c r="L13" i="16"/>
  <c r="Q13" i="16" s="1"/>
  <c r="J13" i="16"/>
  <c r="P12" i="16"/>
  <c r="J33" i="13"/>
  <c r="I33" i="13"/>
  <c r="H33" i="13"/>
  <c r="J32" i="13"/>
  <c r="I32" i="13"/>
  <c r="H32" i="13"/>
  <c r="J31" i="13"/>
  <c r="I31" i="13"/>
  <c r="H31" i="13"/>
  <c r="J30" i="13"/>
  <c r="J34" i="13" s="1"/>
  <c r="I30" i="13"/>
  <c r="I29" i="13"/>
  <c r="H30" i="13"/>
  <c r="H34" i="13" s="1"/>
  <c r="K29" i="13"/>
  <c r="J29" i="13"/>
  <c r="H29" i="13"/>
  <c r="H27" i="13"/>
  <c r="E27" i="13"/>
  <c r="B27" i="13"/>
  <c r="L20" i="13"/>
  <c r="L43" i="13" s="1"/>
  <c r="L19" i="13"/>
  <c r="L42" i="13" s="1"/>
  <c r="L16" i="13"/>
  <c r="L39" i="13" s="1"/>
  <c r="H10" i="13"/>
  <c r="H9" i="13"/>
  <c r="H8" i="13"/>
  <c r="J7" i="13"/>
  <c r="I7" i="13"/>
  <c r="H7" i="13"/>
  <c r="A2" i="13"/>
  <c r="A24" i="13" s="1"/>
  <c r="M7" i="25"/>
  <c r="N642" i="16"/>
  <c r="R239" i="16"/>
  <c r="Q448" i="16"/>
  <c r="R412" i="16"/>
  <c r="R454" i="16"/>
  <c r="A24" i="12"/>
  <c r="L20" i="12"/>
  <c r="L19" i="12"/>
  <c r="L16" i="12"/>
  <c r="H10" i="12"/>
  <c r="H9" i="12"/>
  <c r="H8" i="12"/>
  <c r="J7" i="12"/>
  <c r="I7" i="12"/>
  <c r="H7" i="12"/>
  <c r="A2" i="12"/>
  <c r="S73" i="11"/>
  <c r="M72" i="11"/>
  <c r="M71" i="11" s="1"/>
  <c r="L72" i="11"/>
  <c r="L71" i="11" s="1"/>
  <c r="K72" i="11"/>
  <c r="K71" i="11" s="1"/>
  <c r="S70" i="11"/>
  <c r="T70" i="11" s="1"/>
  <c r="S69" i="11"/>
  <c r="T69" i="11" s="1"/>
  <c r="P67" i="11"/>
  <c r="M67" i="11"/>
  <c r="L67" i="11"/>
  <c r="K67" i="11"/>
  <c r="S64" i="11"/>
  <c r="S57" i="11"/>
  <c r="O55" i="11"/>
  <c r="L55" i="11"/>
  <c r="K55" i="11"/>
  <c r="O54" i="11"/>
  <c r="O53" i="11"/>
  <c r="P51" i="11"/>
  <c r="N51" i="11"/>
  <c r="L51" i="11"/>
  <c r="K48" i="11"/>
  <c r="S42" i="11"/>
  <c r="O41" i="11"/>
  <c r="N41" i="11"/>
  <c r="M41" i="11"/>
  <c r="L41" i="11"/>
  <c r="K41" i="11"/>
  <c r="O40" i="11"/>
  <c r="N40" i="11"/>
  <c r="M40" i="11"/>
  <c r="L40" i="11"/>
  <c r="K40" i="11"/>
  <c r="O39" i="11"/>
  <c r="N39" i="11"/>
  <c r="M39" i="11"/>
  <c r="L39" i="11"/>
  <c r="K39" i="11"/>
  <c r="O38" i="11"/>
  <c r="M38" i="11"/>
  <c r="N38" i="11"/>
  <c r="L38" i="11"/>
  <c r="K38" i="11"/>
  <c r="O37" i="11"/>
  <c r="N37" i="11"/>
  <c r="M37" i="11"/>
  <c r="L37" i="11"/>
  <c r="K37" i="11"/>
  <c r="O36" i="11"/>
  <c r="N36" i="11"/>
  <c r="M36" i="11"/>
  <c r="L36" i="11"/>
  <c r="K36" i="11"/>
  <c r="O35" i="11"/>
  <c r="N35" i="11"/>
  <c r="N34" i="11"/>
  <c r="M35" i="11"/>
  <c r="L35" i="11"/>
  <c r="K35" i="11"/>
  <c r="O34" i="11"/>
  <c r="M34" i="11"/>
  <c r="L34" i="11"/>
  <c r="K34" i="11"/>
  <c r="S31" i="11"/>
  <c r="T31" i="11" s="1"/>
  <c r="S26" i="11"/>
  <c r="K23" i="11"/>
  <c r="S20" i="11"/>
  <c r="M19" i="11"/>
  <c r="L19" i="11"/>
  <c r="K19" i="11"/>
  <c r="M18" i="11"/>
  <c r="L18" i="11"/>
  <c r="K18" i="11"/>
  <c r="O14" i="11"/>
  <c r="N14" i="11"/>
  <c r="M14" i="11"/>
  <c r="L14" i="11"/>
  <c r="K14" i="11"/>
  <c r="O13" i="11"/>
  <c r="N13" i="11"/>
  <c r="M13" i="11"/>
  <c r="L13" i="11"/>
  <c r="K13" i="11"/>
  <c r="O12" i="11"/>
  <c r="N12" i="11"/>
  <c r="M12" i="11"/>
  <c r="L12" i="11"/>
  <c r="K12" i="11"/>
  <c r="O11" i="11"/>
  <c r="O10" i="11"/>
  <c r="L1090" i="10"/>
  <c r="L1087" i="10"/>
  <c r="M1086" i="10"/>
  <c r="M1085" i="10" s="1"/>
  <c r="M1080" i="10"/>
  <c r="K1086" i="10"/>
  <c r="K1085" i="10" s="1"/>
  <c r="K1080" i="10"/>
  <c r="J1086" i="10"/>
  <c r="J1085" i="10" s="1"/>
  <c r="J1080" i="10"/>
  <c r="L1083" i="10"/>
  <c r="N1082" i="10"/>
  <c r="O1082" i="10" s="1"/>
  <c r="N1081" i="10"/>
  <c r="O1081" i="10" s="1"/>
  <c r="L1075" i="10"/>
  <c r="M1074" i="10"/>
  <c r="M1073" i="10" s="1"/>
  <c r="K1074" i="10"/>
  <c r="K1073" i="10" s="1"/>
  <c r="J1074" i="10"/>
  <c r="J1073" i="10" s="1"/>
  <c r="J1068" i="10"/>
  <c r="N1071" i="10"/>
  <c r="N1070" i="10"/>
  <c r="O1070" i="10" s="1"/>
  <c r="N1069" i="10"/>
  <c r="O1069" i="10" s="1"/>
  <c r="M1068" i="10"/>
  <c r="L1068" i="10"/>
  <c r="K1068" i="10"/>
  <c r="M1063" i="10"/>
  <c r="N1063" i="10" s="1"/>
  <c r="K1063" i="10"/>
  <c r="K1062" i="10" s="1"/>
  <c r="L1062" i="10"/>
  <c r="L1061" i="10" s="1"/>
  <c r="J1062" i="10"/>
  <c r="J1061" i="10" s="1"/>
  <c r="J1056" i="10"/>
  <c r="M1059" i="10"/>
  <c r="L1059" i="10"/>
  <c r="K1059" i="10"/>
  <c r="K1056" i="10" s="1"/>
  <c r="M1058" i="10"/>
  <c r="N1058" i="10" s="1"/>
  <c r="O1058" i="10" s="1"/>
  <c r="M1057" i="10"/>
  <c r="M1050" i="10"/>
  <c r="L1050" i="10"/>
  <c r="K1050" i="10"/>
  <c r="K1049" i="10" s="1"/>
  <c r="K1048" i="10" s="1"/>
  <c r="J1049" i="10"/>
  <c r="J1048" i="10" s="1"/>
  <c r="J1043" i="10"/>
  <c r="M1046" i="10"/>
  <c r="L1046" i="10"/>
  <c r="L1043" i="10" s="1"/>
  <c r="K1046" i="10"/>
  <c r="K1043" i="10" s="1"/>
  <c r="M1045" i="10"/>
  <c r="M1044" i="10"/>
  <c r="N1044" i="10" s="1"/>
  <c r="O1044" i="10" s="1"/>
  <c r="M1038" i="10"/>
  <c r="L1038" i="10"/>
  <c r="L1037" i="10" s="1"/>
  <c r="K1038" i="10"/>
  <c r="K1037" i="10" s="1"/>
  <c r="K1036" i="10" s="1"/>
  <c r="J1037" i="10"/>
  <c r="J1036" i="10" s="1"/>
  <c r="M1034" i="10"/>
  <c r="L1034" i="10"/>
  <c r="K1034" i="10"/>
  <c r="K1031" i="10" s="1"/>
  <c r="M1033" i="10"/>
  <c r="L1033" i="10"/>
  <c r="M1032" i="10"/>
  <c r="L1032" i="10"/>
  <c r="K1032" i="10"/>
  <c r="J1031" i="10"/>
  <c r="M1026" i="10"/>
  <c r="L1026" i="10"/>
  <c r="L1025" i="10" s="1"/>
  <c r="L1024" i="10" s="1"/>
  <c r="K1026" i="10"/>
  <c r="K1025" i="10" s="1"/>
  <c r="K1024" i="10" s="1"/>
  <c r="K1022" i="10"/>
  <c r="K1019" i="10" s="1"/>
  <c r="J1025" i="10"/>
  <c r="J1024" i="10"/>
  <c r="M1022" i="10"/>
  <c r="L1022" i="10"/>
  <c r="L1019" i="10" s="1"/>
  <c r="M1021" i="10"/>
  <c r="N1021" i="10" s="1"/>
  <c r="M1020" i="10"/>
  <c r="N1020" i="10" s="1"/>
  <c r="J1019" i="10"/>
  <c r="M1018" i="10"/>
  <c r="M1017" i="10" s="1"/>
  <c r="L1018" i="10"/>
  <c r="K1017" i="10"/>
  <c r="J1017" i="10"/>
  <c r="L1015" i="10"/>
  <c r="N1015" i="10" s="1"/>
  <c r="O1015" i="10" s="1"/>
  <c r="M1014" i="10"/>
  <c r="L1014" i="10"/>
  <c r="K1014" i="10"/>
  <c r="K1013" i="10" s="1"/>
  <c r="J1011" i="10"/>
  <c r="J1010" i="10" s="1"/>
  <c r="M1009" i="10"/>
  <c r="M1008" i="10" s="1"/>
  <c r="M1007" i="10" s="1"/>
  <c r="L1009" i="10"/>
  <c r="K1009" i="10"/>
  <c r="K1008" i="10" s="1"/>
  <c r="K1007" i="10" s="1"/>
  <c r="J1008" i="10"/>
  <c r="J1007" i="10" s="1"/>
  <c r="J1002" i="10"/>
  <c r="M1005" i="10"/>
  <c r="L1005" i="10"/>
  <c r="L1002" i="10" s="1"/>
  <c r="K1005" i="10"/>
  <c r="K1002" i="10" s="1"/>
  <c r="M1004" i="10"/>
  <c r="N1004" i="10" s="1"/>
  <c r="O1004" i="10" s="1"/>
  <c r="M1003" i="10"/>
  <c r="K1003" i="10"/>
  <c r="M996" i="10"/>
  <c r="L996" i="10"/>
  <c r="K996" i="10"/>
  <c r="K995" i="10" s="1"/>
  <c r="K994" i="10" s="1"/>
  <c r="J995" i="10"/>
  <c r="J994" i="10" s="1"/>
  <c r="J989" i="10"/>
  <c r="M992" i="10"/>
  <c r="L992" i="10"/>
  <c r="K992" i="10"/>
  <c r="K989" i="10" s="1"/>
  <c r="M991" i="10"/>
  <c r="N991" i="10" s="1"/>
  <c r="O991" i="10" s="1"/>
  <c r="M990" i="10"/>
  <c r="L983" i="10"/>
  <c r="M982" i="10"/>
  <c r="M981" i="10" s="1"/>
  <c r="M980" i="10" s="1"/>
  <c r="L982" i="10"/>
  <c r="K982" i="10"/>
  <c r="K981" i="10" s="1"/>
  <c r="J981" i="10"/>
  <c r="J980" i="10" s="1"/>
  <c r="J975" i="10"/>
  <c r="M978" i="10"/>
  <c r="L978" i="10"/>
  <c r="K978" i="10"/>
  <c r="K975" i="10" s="1"/>
  <c r="M977" i="10"/>
  <c r="M976" i="10"/>
  <c r="N972" i="10"/>
  <c r="M971" i="10"/>
  <c r="L971" i="10"/>
  <c r="L970" i="10" s="1"/>
  <c r="K971" i="10"/>
  <c r="K970" i="10" s="1"/>
  <c r="J971" i="10"/>
  <c r="J970" i="10" s="1"/>
  <c r="J966" i="10"/>
  <c r="N968" i="10"/>
  <c r="O968" i="10" s="1"/>
  <c r="M967" i="10"/>
  <c r="L967" i="10"/>
  <c r="K967" i="10"/>
  <c r="K966" i="10" s="1"/>
  <c r="N960" i="10"/>
  <c r="O960" i="10" s="1"/>
  <c r="M959" i="10"/>
  <c r="L959" i="10"/>
  <c r="L958" i="10" s="1"/>
  <c r="L957" i="10" s="1"/>
  <c r="K959" i="10"/>
  <c r="K958" i="10" s="1"/>
  <c r="J958" i="10"/>
  <c r="J957" i="10" s="1"/>
  <c r="M955" i="10"/>
  <c r="L955" i="10"/>
  <c r="K955" i="10"/>
  <c r="K952" i="10" s="1"/>
  <c r="M954" i="10"/>
  <c r="L954" i="10"/>
  <c r="K954" i="10"/>
  <c r="K953" i="10"/>
  <c r="J952" i="10"/>
  <c r="M949" i="10"/>
  <c r="L949" i="10"/>
  <c r="K949" i="10"/>
  <c r="M947" i="10"/>
  <c r="L947" i="10"/>
  <c r="K947" i="10"/>
  <c r="M946" i="10"/>
  <c r="L946" i="10"/>
  <c r="K946" i="10"/>
  <c r="M945" i="10"/>
  <c r="L945" i="10"/>
  <c r="K945" i="10"/>
  <c r="M944" i="10"/>
  <c r="L944" i="10"/>
  <c r="M943" i="10"/>
  <c r="L943" i="10"/>
  <c r="K943" i="10"/>
  <c r="M942" i="10"/>
  <c r="L942" i="10"/>
  <c r="K942" i="10"/>
  <c r="M941" i="10"/>
  <c r="L941" i="10"/>
  <c r="K941" i="10"/>
  <c r="J941" i="10"/>
  <c r="J940" i="10" s="1"/>
  <c r="M938" i="10"/>
  <c r="L938" i="10"/>
  <c r="K938" i="10"/>
  <c r="M937" i="10"/>
  <c r="L937" i="10"/>
  <c r="K937" i="10"/>
  <c r="M936" i="10"/>
  <c r="L936" i="10"/>
  <c r="K936" i="10"/>
  <c r="M935" i="10"/>
  <c r="L935" i="10"/>
  <c r="K935" i="10"/>
  <c r="M934" i="10"/>
  <c r="L934" i="10"/>
  <c r="K934" i="10"/>
  <c r="M933" i="10"/>
  <c r="L933" i="10"/>
  <c r="K933" i="10"/>
  <c r="M932" i="10"/>
  <c r="L932" i="10"/>
  <c r="K932" i="10"/>
  <c r="M931" i="10"/>
  <c r="L931" i="10"/>
  <c r="K931" i="10"/>
  <c r="M930" i="10"/>
  <c r="L930" i="10"/>
  <c r="K930" i="10"/>
  <c r="J929" i="10"/>
  <c r="M921" i="10"/>
  <c r="L921" i="10"/>
  <c r="L919" i="10"/>
  <c r="L920" i="10"/>
  <c r="K921" i="10"/>
  <c r="M920" i="10"/>
  <c r="K920" i="10"/>
  <c r="K919" i="10"/>
  <c r="M919" i="10"/>
  <c r="J918" i="10"/>
  <c r="J917" i="10" s="1"/>
  <c r="M915" i="10"/>
  <c r="L915" i="10"/>
  <c r="K915" i="10"/>
  <c r="K912" i="10" s="1"/>
  <c r="M914" i="10"/>
  <c r="N914" i="10" s="1"/>
  <c r="O914" i="10" s="1"/>
  <c r="M913" i="10"/>
  <c r="J912" i="10"/>
  <c r="M911" i="10"/>
  <c r="M910" i="10" s="1"/>
  <c r="L911" i="10"/>
  <c r="L910" i="10" s="1"/>
  <c r="K911" i="10"/>
  <c r="N906" i="10"/>
  <c r="O906" i="10" s="1"/>
  <c r="M905" i="10"/>
  <c r="L905" i="10"/>
  <c r="K905" i="10"/>
  <c r="J905" i="10"/>
  <c r="N903" i="10"/>
  <c r="O903" i="10" s="1"/>
  <c r="M902" i="10"/>
  <c r="L902" i="10"/>
  <c r="L901" i="10" s="1"/>
  <c r="K902" i="10"/>
  <c r="J902" i="10"/>
  <c r="M897" i="10"/>
  <c r="N897" i="10" s="1"/>
  <c r="K897" i="10"/>
  <c r="M896" i="10"/>
  <c r="M895" i="10" s="1"/>
  <c r="M894" i="10" s="1"/>
  <c r="L896" i="10"/>
  <c r="L895" i="10" s="1"/>
  <c r="K896" i="10"/>
  <c r="J895" i="10"/>
  <c r="J894" i="10" s="1"/>
  <c r="M892" i="10"/>
  <c r="L892" i="10"/>
  <c r="L889" i="10" s="1"/>
  <c r="K892" i="10"/>
  <c r="M891" i="10"/>
  <c r="N891" i="10" s="1"/>
  <c r="M890" i="10"/>
  <c r="N890" i="10" s="1"/>
  <c r="O890" i="10" s="1"/>
  <c r="J889" i="10"/>
  <c r="M887" i="10"/>
  <c r="M886" i="10" s="1"/>
  <c r="L887" i="10"/>
  <c r="L886" i="10" s="1"/>
  <c r="K887" i="10"/>
  <c r="N883" i="10"/>
  <c r="M882" i="10"/>
  <c r="L882" i="10"/>
  <c r="L881" i="10" s="1"/>
  <c r="K882" i="10"/>
  <c r="K881" i="10" s="1"/>
  <c r="J882" i="10"/>
  <c r="J881" i="10" s="1"/>
  <c r="M875" i="10"/>
  <c r="L875" i="10"/>
  <c r="L874" i="10" s="1"/>
  <c r="L873" i="10" s="1"/>
  <c r="K875" i="10"/>
  <c r="K874" i="10" s="1"/>
  <c r="J874" i="10"/>
  <c r="J873" i="10" s="1"/>
  <c r="J868" i="10"/>
  <c r="M871" i="10"/>
  <c r="M868" i="10" s="1"/>
  <c r="L871" i="10"/>
  <c r="L868" i="10" s="1"/>
  <c r="L869" i="10"/>
  <c r="K871" i="10"/>
  <c r="K868" i="10" s="1"/>
  <c r="M870" i="10"/>
  <c r="N870" i="10" s="1"/>
  <c r="K870" i="10"/>
  <c r="M869" i="10"/>
  <c r="M865" i="10"/>
  <c r="L865" i="10"/>
  <c r="K865" i="10"/>
  <c r="M864" i="10"/>
  <c r="L864" i="10"/>
  <c r="K864" i="10"/>
  <c r="M863" i="10"/>
  <c r="L863" i="10"/>
  <c r="K863" i="10"/>
  <c r="K860" i="10"/>
  <c r="K861" i="10"/>
  <c r="K862" i="10"/>
  <c r="M862" i="10"/>
  <c r="L862" i="10"/>
  <c r="M861" i="10"/>
  <c r="L861" i="10"/>
  <c r="M860" i="10"/>
  <c r="L860" i="10"/>
  <c r="M859" i="10"/>
  <c r="N859" i="10" s="1"/>
  <c r="L859" i="10"/>
  <c r="J858" i="10"/>
  <c r="M856" i="10"/>
  <c r="L856" i="10"/>
  <c r="K856" i="10"/>
  <c r="M855" i="10"/>
  <c r="L855" i="10"/>
  <c r="K855" i="10"/>
  <c r="M854" i="10"/>
  <c r="L854" i="10"/>
  <c r="K854" i="10"/>
  <c r="M853" i="10"/>
  <c r="L853" i="10"/>
  <c r="K853" i="10"/>
  <c r="J852" i="10"/>
  <c r="L843" i="10"/>
  <c r="M842" i="10"/>
  <c r="M840" i="10" s="1"/>
  <c r="L842" i="10"/>
  <c r="L840" i="10" s="1"/>
  <c r="L839" i="10" s="1"/>
  <c r="K842" i="10"/>
  <c r="K840" i="10" s="1"/>
  <c r="K839" i="10" s="1"/>
  <c r="M841" i="10"/>
  <c r="N841" i="10" s="1"/>
  <c r="O841" i="10" s="1"/>
  <c r="L841" i="10"/>
  <c r="J840" i="10"/>
  <c r="J839" i="10" s="1"/>
  <c r="M837" i="10"/>
  <c r="L837" i="10"/>
  <c r="L834" i="10" s="1"/>
  <c r="K837" i="10"/>
  <c r="K834" i="10" s="1"/>
  <c r="M836" i="10"/>
  <c r="M835" i="10"/>
  <c r="N835" i="10" s="1"/>
  <c r="O835" i="10" s="1"/>
  <c r="J834" i="10"/>
  <c r="M831" i="10"/>
  <c r="L831" i="10"/>
  <c r="K831" i="10"/>
  <c r="K827" i="10" s="1"/>
  <c r="M828" i="10"/>
  <c r="M827" i="10" s="1"/>
  <c r="J827" i="10"/>
  <c r="M825" i="10"/>
  <c r="L825" i="10"/>
  <c r="K825" i="10"/>
  <c r="K824" i="10"/>
  <c r="M824" i="10"/>
  <c r="L824" i="10"/>
  <c r="L823" i="10" s="1"/>
  <c r="J823" i="10"/>
  <c r="M814" i="10"/>
  <c r="L814" i="10"/>
  <c r="K814" i="10"/>
  <c r="K813" i="10" s="1"/>
  <c r="K812" i="10" s="1"/>
  <c r="J813" i="10"/>
  <c r="J812" i="10" s="1"/>
  <c r="J807" i="10"/>
  <c r="J791" i="10"/>
  <c r="J794" i="10"/>
  <c r="M810" i="10"/>
  <c r="N810" i="10" s="1"/>
  <c r="L810" i="10"/>
  <c r="L807" i="10" s="1"/>
  <c r="K810" i="10"/>
  <c r="K807" i="10" s="1"/>
  <c r="M809" i="10"/>
  <c r="N809" i="10" s="1"/>
  <c r="O809" i="10" s="1"/>
  <c r="M808" i="10"/>
  <c r="L808" i="10"/>
  <c r="M803" i="10"/>
  <c r="L803" i="10"/>
  <c r="K803" i="10"/>
  <c r="M802" i="10"/>
  <c r="L802" i="10"/>
  <c r="K802" i="10"/>
  <c r="M801" i="10"/>
  <c r="L801" i="10"/>
  <c r="K801" i="10"/>
  <c r="M800" i="10"/>
  <c r="L800" i="10"/>
  <c r="K800" i="10"/>
  <c r="M799" i="10"/>
  <c r="L799" i="10"/>
  <c r="K799" i="10"/>
  <c r="M798" i="10"/>
  <c r="L798" i="10"/>
  <c r="K798" i="10"/>
  <c r="M797" i="10"/>
  <c r="L797" i="10"/>
  <c r="K797" i="10"/>
  <c r="M796" i="10"/>
  <c r="L796" i="10"/>
  <c r="K796" i="10"/>
  <c r="M795" i="10"/>
  <c r="L795" i="10"/>
  <c r="K795" i="10"/>
  <c r="M791" i="10"/>
  <c r="L791" i="10"/>
  <c r="N791" i="10" s="1"/>
  <c r="O791" i="10" s="1"/>
  <c r="K791" i="10"/>
  <c r="M782" i="10"/>
  <c r="N782" i="10" s="1"/>
  <c r="L782" i="10"/>
  <c r="K782" i="10"/>
  <c r="M781" i="10"/>
  <c r="L781" i="10"/>
  <c r="K781" i="10"/>
  <c r="J780" i="10"/>
  <c r="J779" i="10" s="1"/>
  <c r="M777" i="10"/>
  <c r="L777" i="10"/>
  <c r="L774" i="10" s="1"/>
  <c r="K777" i="10"/>
  <c r="K774" i="10" s="1"/>
  <c r="M776" i="10"/>
  <c r="M775" i="10"/>
  <c r="K775" i="10"/>
  <c r="J775" i="10"/>
  <c r="J774" i="10"/>
  <c r="M766" i="10"/>
  <c r="L766" i="10"/>
  <c r="K766" i="10"/>
  <c r="M765" i="10"/>
  <c r="L765" i="10"/>
  <c r="K765" i="10"/>
  <c r="K764" i="10" s="1"/>
  <c r="K763" i="10" s="1"/>
  <c r="J764" i="10"/>
  <c r="J763" i="10" s="1"/>
  <c r="M761" i="10"/>
  <c r="L761" i="10"/>
  <c r="L758" i="10" s="1"/>
  <c r="K761" i="10"/>
  <c r="K758" i="10" s="1"/>
  <c r="K757" i="10" s="1"/>
  <c r="K754" i="10" s="1"/>
  <c r="K752" i="10" s="1"/>
  <c r="M760" i="10"/>
  <c r="N760" i="10" s="1"/>
  <c r="M759" i="10"/>
  <c r="N759" i="10" s="1"/>
  <c r="O759" i="10" s="1"/>
  <c r="J758" i="10"/>
  <c r="M750" i="10"/>
  <c r="L750" i="10"/>
  <c r="K750" i="10"/>
  <c r="J749" i="10"/>
  <c r="J748" i="10" s="1"/>
  <c r="L748" i="10"/>
  <c r="K748" i="10"/>
  <c r="M746" i="10"/>
  <c r="L746" i="10"/>
  <c r="L743" i="10" s="1"/>
  <c r="K746" i="10"/>
  <c r="K743" i="10" s="1"/>
  <c r="M745" i="10"/>
  <c r="N745" i="10" s="1"/>
  <c r="O745" i="10" s="1"/>
  <c r="M744" i="10"/>
  <c r="N744" i="10" s="1"/>
  <c r="O744" i="10" s="1"/>
  <c r="J743" i="10"/>
  <c r="J742" i="10" s="1"/>
  <c r="M740" i="10"/>
  <c r="L740" i="10"/>
  <c r="K740" i="10"/>
  <c r="M739" i="10"/>
  <c r="L739" i="10"/>
  <c r="L738" i="10" s="1"/>
  <c r="L736" i="10" s="1"/>
  <c r="K739" i="10"/>
  <c r="J738" i="10"/>
  <c r="J736" i="10" s="1"/>
  <c r="M729" i="10"/>
  <c r="L729" i="10"/>
  <c r="N728" i="10"/>
  <c r="N727" i="10"/>
  <c r="O727" i="10" s="1"/>
  <c r="N726" i="10"/>
  <c r="O726" i="10" s="1"/>
  <c r="N725" i="10"/>
  <c r="O725" i="10" s="1"/>
  <c r="N724" i="10"/>
  <c r="O724" i="10" s="1"/>
  <c r="N723" i="10"/>
  <c r="O723" i="10" s="1"/>
  <c r="N722" i="10"/>
  <c r="O722" i="10" s="1"/>
  <c r="N721" i="10"/>
  <c r="O721" i="10" s="1"/>
  <c r="N720" i="10"/>
  <c r="O720" i="10" s="1"/>
  <c r="N719" i="10"/>
  <c r="O719" i="10" s="1"/>
  <c r="N718" i="10"/>
  <c r="O718" i="10" s="1"/>
  <c r="N717" i="10"/>
  <c r="M715" i="10"/>
  <c r="L715" i="10"/>
  <c r="K715" i="10"/>
  <c r="M714" i="10"/>
  <c r="L714" i="10"/>
  <c r="K714" i="10"/>
  <c r="M713" i="10"/>
  <c r="L713" i="10"/>
  <c r="K713" i="10"/>
  <c r="M712" i="10"/>
  <c r="L712" i="10"/>
  <c r="K712" i="10"/>
  <c r="M711" i="10"/>
  <c r="L711" i="10"/>
  <c r="K711" i="10"/>
  <c r="M710" i="10"/>
  <c r="L710" i="10"/>
  <c r="K710" i="10"/>
  <c r="M709" i="10"/>
  <c r="L709" i="10"/>
  <c r="K709" i="10"/>
  <c r="M708" i="10"/>
  <c r="L708" i="10"/>
  <c r="K708" i="10"/>
  <c r="M707" i="10"/>
  <c r="L707" i="10"/>
  <c r="K707" i="10"/>
  <c r="J706" i="10"/>
  <c r="J704" i="10" s="1"/>
  <c r="M703" i="10"/>
  <c r="L703" i="10"/>
  <c r="K703" i="10"/>
  <c r="M702" i="10"/>
  <c r="L702" i="10"/>
  <c r="K702" i="10"/>
  <c r="M701" i="10"/>
  <c r="L701" i="10"/>
  <c r="K701" i="10"/>
  <c r="M700" i="10"/>
  <c r="L700" i="10"/>
  <c r="K700" i="10"/>
  <c r="M699" i="10"/>
  <c r="L699" i="10"/>
  <c r="K699" i="10"/>
  <c r="M698" i="10"/>
  <c r="L698" i="10"/>
  <c r="K698" i="10"/>
  <c r="M697" i="10"/>
  <c r="L697" i="10"/>
  <c r="K697" i="10"/>
  <c r="M696" i="10"/>
  <c r="L696" i="10"/>
  <c r="K696" i="10"/>
  <c r="M695" i="10"/>
  <c r="L695" i="10"/>
  <c r="K695" i="10"/>
  <c r="M694" i="10"/>
  <c r="L694" i="10"/>
  <c r="K694" i="10"/>
  <c r="J693" i="10"/>
  <c r="J690" i="10" s="1"/>
  <c r="M692" i="10"/>
  <c r="N692" i="10" s="1"/>
  <c r="O692" i="10" s="1"/>
  <c r="M691" i="10"/>
  <c r="N691" i="10" s="1"/>
  <c r="O691" i="10" s="1"/>
  <c r="M689" i="10"/>
  <c r="L689" i="10"/>
  <c r="K689" i="10"/>
  <c r="M688" i="10"/>
  <c r="L688" i="10"/>
  <c r="K688" i="10"/>
  <c r="M687" i="10"/>
  <c r="L687" i="10"/>
  <c r="K687" i="10"/>
  <c r="M686" i="10"/>
  <c r="L686" i="10"/>
  <c r="N686" i="10" s="1"/>
  <c r="P686" i="10" s="1"/>
  <c r="K686" i="10"/>
  <c r="M685" i="10"/>
  <c r="L685" i="10"/>
  <c r="K685" i="10"/>
  <c r="M684" i="10"/>
  <c r="L684" i="10"/>
  <c r="K684" i="10"/>
  <c r="M683" i="10"/>
  <c r="L683" i="10"/>
  <c r="K683" i="10"/>
  <c r="M682" i="10"/>
  <c r="L682" i="10"/>
  <c r="K682" i="10"/>
  <c r="M681" i="10"/>
  <c r="L681" i="10"/>
  <c r="K681" i="10"/>
  <c r="J680" i="10"/>
  <c r="M679" i="10"/>
  <c r="L679" i="10"/>
  <c r="K679" i="10"/>
  <c r="M678" i="10"/>
  <c r="L678" i="10"/>
  <c r="K678" i="10"/>
  <c r="M677" i="10"/>
  <c r="L677" i="10"/>
  <c r="K677" i="10"/>
  <c r="M676" i="10"/>
  <c r="L676" i="10"/>
  <c r="N676" i="10" s="1"/>
  <c r="K676" i="10"/>
  <c r="M675" i="10"/>
  <c r="L675" i="10"/>
  <c r="K675" i="10"/>
  <c r="M674" i="10"/>
  <c r="L674" i="10"/>
  <c r="K674" i="10"/>
  <c r="M673" i="10"/>
  <c r="L673" i="10"/>
  <c r="K673" i="10"/>
  <c r="M672" i="10"/>
  <c r="L672" i="10"/>
  <c r="K672" i="10"/>
  <c r="M671" i="10"/>
  <c r="L671" i="10"/>
  <c r="K671" i="10"/>
  <c r="J670" i="10"/>
  <c r="J669" i="10" s="1"/>
  <c r="M667" i="10"/>
  <c r="M666" i="10" s="1"/>
  <c r="L667" i="10"/>
  <c r="L666" i="10" s="1"/>
  <c r="K667" i="10"/>
  <c r="K666" i="10" s="1"/>
  <c r="P666" i="10"/>
  <c r="M663" i="10"/>
  <c r="L663" i="10"/>
  <c r="L662" i="10" s="1"/>
  <c r="L661" i="10" s="1"/>
  <c r="K663" i="10"/>
  <c r="K662" i="10" s="1"/>
  <c r="K661" i="10" s="1"/>
  <c r="M656" i="10"/>
  <c r="L656" i="10"/>
  <c r="K656" i="10"/>
  <c r="M655" i="10"/>
  <c r="L655" i="10"/>
  <c r="K655" i="10"/>
  <c r="K654" i="10" s="1"/>
  <c r="K653" i="10" s="1"/>
  <c r="J654" i="10"/>
  <c r="J653" i="10" s="1"/>
  <c r="M651" i="10"/>
  <c r="L651" i="10"/>
  <c r="L650" i="10" s="1"/>
  <c r="K651" i="10"/>
  <c r="K650" i="10" s="1"/>
  <c r="K649" i="10" s="1"/>
  <c r="J650" i="10"/>
  <c r="J649" i="10" s="1"/>
  <c r="M643" i="10"/>
  <c r="L643" i="10"/>
  <c r="L642" i="10" s="1"/>
  <c r="K643" i="10"/>
  <c r="K642" i="10" s="1"/>
  <c r="N640" i="10"/>
  <c r="N639" i="10"/>
  <c r="P639" i="10" s="1"/>
  <c r="N638" i="10"/>
  <c r="O638" i="10" s="1"/>
  <c r="N637" i="10"/>
  <c r="N636" i="10"/>
  <c r="N635" i="10"/>
  <c r="N634" i="10"/>
  <c r="O634" i="10" s="1"/>
  <c r="N633" i="10"/>
  <c r="N632" i="10"/>
  <c r="N631" i="10"/>
  <c r="N630" i="10"/>
  <c r="O630" i="10" s="1"/>
  <c r="N629" i="10"/>
  <c r="O629" i="10" s="1"/>
  <c r="N628" i="10"/>
  <c r="N627" i="10"/>
  <c r="N626" i="10"/>
  <c r="O626" i="10" s="1"/>
  <c r="N625" i="10"/>
  <c r="O625" i="10" s="1"/>
  <c r="N624" i="10"/>
  <c r="N623" i="10"/>
  <c r="P623" i="10" s="1"/>
  <c r="N622" i="10"/>
  <c r="O622" i="10" s="1"/>
  <c r="N621" i="10"/>
  <c r="N620" i="10"/>
  <c r="N619" i="10"/>
  <c r="P619" i="10" s="1"/>
  <c r="N618" i="10"/>
  <c r="O618" i="10" s="1"/>
  <c r="N617" i="10"/>
  <c r="N616" i="10"/>
  <c r="N615" i="10"/>
  <c r="N614" i="10"/>
  <c r="O614" i="10" s="1"/>
  <c r="N613" i="10"/>
  <c r="N612" i="10"/>
  <c r="N611" i="10"/>
  <c r="N610" i="10"/>
  <c r="O610" i="10" s="1"/>
  <c r="N609" i="10"/>
  <c r="N608" i="10"/>
  <c r="N607" i="10"/>
  <c r="N606" i="10"/>
  <c r="N605" i="10"/>
  <c r="N604" i="10"/>
  <c r="N603" i="10"/>
  <c r="P603" i="10" s="1"/>
  <c r="N602" i="10"/>
  <c r="O602" i="10" s="1"/>
  <c r="N601" i="10"/>
  <c r="N600" i="10"/>
  <c r="N599" i="10"/>
  <c r="P599" i="10" s="1"/>
  <c r="N598" i="10"/>
  <c r="O598" i="10" s="1"/>
  <c r="N597" i="10"/>
  <c r="N596" i="10"/>
  <c r="N595" i="10"/>
  <c r="N594" i="10"/>
  <c r="O594" i="10" s="1"/>
  <c r="N593" i="10"/>
  <c r="N592" i="10"/>
  <c r="N591" i="10"/>
  <c r="N590" i="10"/>
  <c r="N589" i="10"/>
  <c r="O589" i="10" s="1"/>
  <c r="N588" i="10"/>
  <c r="N587" i="10"/>
  <c r="N586" i="10"/>
  <c r="O586" i="10" s="1"/>
  <c r="N585" i="10"/>
  <c r="N584" i="10"/>
  <c r="N583" i="10"/>
  <c r="P583" i="10" s="1"/>
  <c r="N582" i="10"/>
  <c r="O582" i="10" s="1"/>
  <c r="N581" i="10"/>
  <c r="O581" i="10" s="1"/>
  <c r="N580" i="10"/>
  <c r="M579" i="10"/>
  <c r="M578" i="10" s="1"/>
  <c r="L579" i="10"/>
  <c r="L578" i="10" s="1"/>
  <c r="K579" i="10"/>
  <c r="M576" i="10"/>
  <c r="L576" i="10"/>
  <c r="N576" i="10" s="1"/>
  <c r="M575" i="10"/>
  <c r="M574" i="10" s="1"/>
  <c r="L575" i="10"/>
  <c r="K574" i="10"/>
  <c r="K572" i="10" s="1"/>
  <c r="M573" i="10"/>
  <c r="L573" i="10"/>
  <c r="M570" i="10"/>
  <c r="M569" i="10" s="1"/>
  <c r="L570" i="10"/>
  <c r="K570" i="10"/>
  <c r="K569" i="10" s="1"/>
  <c r="M567" i="10"/>
  <c r="L567" i="10"/>
  <c r="K567" i="10"/>
  <c r="M566" i="10"/>
  <c r="L566" i="10"/>
  <c r="K566" i="10"/>
  <c r="M565" i="10"/>
  <c r="L565" i="10"/>
  <c r="M564" i="10"/>
  <c r="M563" i="10" s="1"/>
  <c r="L564" i="10"/>
  <c r="J563" i="10"/>
  <c r="M561" i="10"/>
  <c r="L561" i="10"/>
  <c r="M560" i="10"/>
  <c r="L560" i="10"/>
  <c r="M559" i="10"/>
  <c r="L559" i="10"/>
  <c r="M558" i="10"/>
  <c r="L558" i="10"/>
  <c r="M557" i="10"/>
  <c r="L557" i="10"/>
  <c r="M556" i="10"/>
  <c r="L556" i="10"/>
  <c r="M555" i="10"/>
  <c r="L555" i="10"/>
  <c r="M554" i="10"/>
  <c r="L554" i="10"/>
  <c r="M553" i="10"/>
  <c r="L553" i="10"/>
  <c r="K552" i="10"/>
  <c r="M550" i="10"/>
  <c r="L550" i="10"/>
  <c r="K550" i="10"/>
  <c r="M549" i="10"/>
  <c r="M548" i="10" s="1"/>
  <c r="L549" i="10"/>
  <c r="K549" i="10"/>
  <c r="K548" i="10" s="1"/>
  <c r="J548" i="10"/>
  <c r="M546" i="10"/>
  <c r="L546" i="10"/>
  <c r="K546" i="10"/>
  <c r="K545" i="10" s="1"/>
  <c r="J545" i="10"/>
  <c r="M543" i="10"/>
  <c r="L543" i="10"/>
  <c r="K543" i="10"/>
  <c r="M542" i="10"/>
  <c r="M541" i="10" s="1"/>
  <c r="L542" i="10"/>
  <c r="K542" i="10"/>
  <c r="M540" i="10"/>
  <c r="J534" i="10"/>
  <c r="M531" i="10"/>
  <c r="L531" i="10"/>
  <c r="K531" i="10"/>
  <c r="M530" i="10"/>
  <c r="L530" i="10"/>
  <c r="K530" i="10"/>
  <c r="M529" i="10"/>
  <c r="L529" i="10"/>
  <c r="K529" i="10"/>
  <c r="M528" i="10"/>
  <c r="L528" i="10"/>
  <c r="K528" i="10"/>
  <c r="M527" i="10"/>
  <c r="L527" i="10"/>
  <c r="K527" i="10"/>
  <c r="M526" i="10"/>
  <c r="L526" i="10"/>
  <c r="K526" i="10"/>
  <c r="M525" i="10"/>
  <c r="L525" i="10"/>
  <c r="K525" i="10"/>
  <c r="J524" i="10"/>
  <c r="J523" i="10" s="1"/>
  <c r="J522" i="10" s="1"/>
  <c r="J520" i="10"/>
  <c r="K519" i="10"/>
  <c r="J519" i="10"/>
  <c r="K518" i="10"/>
  <c r="J518" i="10"/>
  <c r="K517" i="10"/>
  <c r="J517" i="10"/>
  <c r="K516" i="10"/>
  <c r="J516" i="10"/>
  <c r="K515" i="10"/>
  <c r="J515" i="10"/>
  <c r="K514" i="10"/>
  <c r="J514" i="10"/>
  <c r="K513" i="10"/>
  <c r="J513" i="10"/>
  <c r="K512" i="10"/>
  <c r="J512" i="10"/>
  <c r="J511" i="10" s="1"/>
  <c r="K511" i="10"/>
  <c r="K510" i="10" s="1"/>
  <c r="J510" i="10"/>
  <c r="K509" i="10"/>
  <c r="J509" i="10"/>
  <c r="K508" i="10"/>
  <c r="J508" i="10"/>
  <c r="J507" i="10" s="1"/>
  <c r="K507" i="10"/>
  <c r="K506" i="10" s="1"/>
  <c r="K505" i="10" s="1"/>
  <c r="K504" i="10" s="1"/>
  <c r="M506" i="10"/>
  <c r="M505" i="10" s="1"/>
  <c r="M504" i="10" s="1"/>
  <c r="L506" i="10"/>
  <c r="J505" i="10"/>
  <c r="J504" i="10" s="1"/>
  <c r="N499" i="10"/>
  <c r="M498" i="10"/>
  <c r="L498" i="10"/>
  <c r="L496" i="10" s="1"/>
  <c r="K498" i="10"/>
  <c r="K496" i="10" s="1"/>
  <c r="N497" i="10"/>
  <c r="O497" i="10" s="1"/>
  <c r="J496" i="10"/>
  <c r="M494" i="10"/>
  <c r="L494" i="10"/>
  <c r="L490" i="10" s="1"/>
  <c r="L486" i="10"/>
  <c r="L485" i="10" s="1"/>
  <c r="K494" i="10"/>
  <c r="K490" i="10" s="1"/>
  <c r="M493" i="10"/>
  <c r="N493" i="10" s="1"/>
  <c r="O493" i="10" s="1"/>
  <c r="M492" i="10"/>
  <c r="N492" i="10" s="1"/>
  <c r="O492" i="10" s="1"/>
  <c r="N491" i="10"/>
  <c r="J490" i="10"/>
  <c r="N487" i="10"/>
  <c r="M486" i="10"/>
  <c r="M485" i="10" s="1"/>
  <c r="K486" i="10"/>
  <c r="K485" i="10" s="1"/>
  <c r="J486" i="10"/>
  <c r="J485" i="10" s="1"/>
  <c r="N479" i="10"/>
  <c r="O479" i="10" s="1"/>
  <c r="M478" i="10"/>
  <c r="L478" i="10"/>
  <c r="K478" i="10"/>
  <c r="L473" i="10"/>
  <c r="J478" i="10"/>
  <c r="N476" i="10"/>
  <c r="N475" i="10"/>
  <c r="O475" i="10" s="1"/>
  <c r="N474" i="10"/>
  <c r="O474" i="10" s="1"/>
  <c r="M473" i="10"/>
  <c r="M472" i="10" s="1"/>
  <c r="M471" i="10" s="1"/>
  <c r="M470" i="10" s="1"/>
  <c r="K473" i="10"/>
  <c r="J473" i="10"/>
  <c r="N469" i="10"/>
  <c r="O469" i="10" s="1"/>
  <c r="M468" i="10"/>
  <c r="L468" i="10"/>
  <c r="L463" i="10"/>
  <c r="K468" i="10"/>
  <c r="J468" i="10"/>
  <c r="N466" i="10"/>
  <c r="N465" i="10"/>
  <c r="O465" i="10" s="1"/>
  <c r="N464" i="10"/>
  <c r="O464" i="10" s="1"/>
  <c r="M463" i="10"/>
  <c r="M462" i="10" s="1"/>
  <c r="M457" i="10" s="1"/>
  <c r="K463" i="10"/>
  <c r="J463" i="10"/>
  <c r="N461" i="10"/>
  <c r="N460" i="10" s="1"/>
  <c r="N459" i="10" s="1"/>
  <c r="K461" i="10"/>
  <c r="M460" i="10"/>
  <c r="M459" i="10" s="1"/>
  <c r="L460" i="10"/>
  <c r="L459" i="10" s="1"/>
  <c r="J460" i="10"/>
  <c r="J459" i="10" s="1"/>
  <c r="N456" i="10"/>
  <c r="K456" i="10"/>
  <c r="M455" i="10"/>
  <c r="L455" i="10"/>
  <c r="L449" i="10" s="1"/>
  <c r="J455" i="10"/>
  <c r="J449" i="10" s="1"/>
  <c r="J448" i="10" s="1"/>
  <c r="J447" i="10" s="1"/>
  <c r="N453" i="10"/>
  <c r="O453" i="10" s="1"/>
  <c r="N452" i="10"/>
  <c r="O452" i="10"/>
  <c r="N451" i="10"/>
  <c r="O451" i="10" s="1"/>
  <c r="M450" i="10"/>
  <c r="L450" i="10"/>
  <c r="L446" i="10"/>
  <c r="K446" i="10"/>
  <c r="K445" i="10" s="1"/>
  <c r="M445" i="10"/>
  <c r="J445" i="10"/>
  <c r="J439" i="10"/>
  <c r="J438" i="10" s="1"/>
  <c r="J436" i="10" s="1"/>
  <c r="N443" i="10"/>
  <c r="O443" i="10" s="1"/>
  <c r="N442" i="10"/>
  <c r="N441" i="10"/>
  <c r="M440" i="10"/>
  <c r="M439" i="10" s="1"/>
  <c r="M438" i="10" s="1"/>
  <c r="M436" i="10" s="1"/>
  <c r="L440" i="10"/>
  <c r="N435" i="10"/>
  <c r="K435" i="10"/>
  <c r="K434" i="10" s="1"/>
  <c r="K428" i="10" s="1"/>
  <c r="K426" i="10" s="1"/>
  <c r="K424" i="10" s="1"/>
  <c r="M434" i="10"/>
  <c r="L434" i="10"/>
  <c r="L429" i="10"/>
  <c r="J434" i="10"/>
  <c r="J428" i="10" s="1"/>
  <c r="J426" i="10" s="1"/>
  <c r="J424" i="10" s="1"/>
  <c r="N432" i="10"/>
  <c r="K432" i="10"/>
  <c r="N431" i="10"/>
  <c r="N430" i="10"/>
  <c r="O430" i="10" s="1"/>
  <c r="M429" i="10"/>
  <c r="M428" i="10" s="1"/>
  <c r="M426" i="10" s="1"/>
  <c r="M424" i="10" s="1"/>
  <c r="M423" i="10"/>
  <c r="L423" i="10"/>
  <c r="K423" i="10"/>
  <c r="M422" i="10"/>
  <c r="L422" i="10"/>
  <c r="K422" i="10"/>
  <c r="M421" i="10"/>
  <c r="L421" i="10"/>
  <c r="K421" i="10"/>
  <c r="M420" i="10"/>
  <c r="L420" i="10"/>
  <c r="K420" i="10"/>
  <c r="M419" i="10"/>
  <c r="L419" i="10"/>
  <c r="K419" i="10"/>
  <c r="J418" i="10"/>
  <c r="J417" i="10" s="1"/>
  <c r="M415" i="10"/>
  <c r="L415" i="10"/>
  <c r="K415" i="10"/>
  <c r="M414" i="10"/>
  <c r="L414" i="10"/>
  <c r="K414" i="10"/>
  <c r="M413" i="10"/>
  <c r="L413" i="10"/>
  <c r="K413" i="10"/>
  <c r="N412" i="10"/>
  <c r="M412" i="10"/>
  <c r="M411" i="10" s="1"/>
  <c r="M409" i="10" s="1"/>
  <c r="L412" i="10"/>
  <c r="L411" i="10" s="1"/>
  <c r="L409" i="10" s="1"/>
  <c r="K412" i="10"/>
  <c r="J412" i="10"/>
  <c r="J411" i="10" s="1"/>
  <c r="J409" i="10" s="1"/>
  <c r="M401" i="10"/>
  <c r="M400" i="10" s="1"/>
  <c r="L401" i="10"/>
  <c r="K401" i="10"/>
  <c r="K400" i="10" s="1"/>
  <c r="K394" i="10" s="1"/>
  <c r="K392" i="10" s="1"/>
  <c r="K390" i="10" s="1"/>
  <c r="J400" i="10"/>
  <c r="J394" i="10" s="1"/>
  <c r="J392" i="10" s="1"/>
  <c r="J390" i="10" s="1"/>
  <c r="M398" i="10"/>
  <c r="L398" i="10"/>
  <c r="L395" i="10" s="1"/>
  <c r="K398" i="10"/>
  <c r="M397" i="10"/>
  <c r="N397" i="10" s="1"/>
  <c r="O397" i="10" s="1"/>
  <c r="M396" i="10"/>
  <c r="M388" i="10"/>
  <c r="M386" i="10" s="1"/>
  <c r="L388" i="10"/>
  <c r="K388" i="10"/>
  <c r="K386" i="10" s="1"/>
  <c r="K378" i="10"/>
  <c r="L387" i="10"/>
  <c r="N387" i="10" s="1"/>
  <c r="J386" i="10"/>
  <c r="M384" i="10"/>
  <c r="L384" i="10"/>
  <c r="M383" i="10"/>
  <c r="L383" i="10"/>
  <c r="M382" i="10"/>
  <c r="L382" i="10"/>
  <c r="K382" i="10"/>
  <c r="P381" i="10"/>
  <c r="M381" i="10"/>
  <c r="M380" i="10"/>
  <c r="N380" i="10" s="1"/>
  <c r="O380" i="10" s="1"/>
  <c r="M379" i="10"/>
  <c r="N379" i="10" s="1"/>
  <c r="O379" i="10" s="1"/>
  <c r="J378" i="10"/>
  <c r="J377" i="10" s="1"/>
  <c r="M375" i="10"/>
  <c r="M374" i="10" s="1"/>
  <c r="L375" i="10"/>
  <c r="L374" i="10" s="1"/>
  <c r="K375" i="10"/>
  <c r="K374" i="10" s="1"/>
  <c r="J374" i="10"/>
  <c r="M372" i="10"/>
  <c r="L372" i="10"/>
  <c r="L371" i="10"/>
  <c r="K372" i="10"/>
  <c r="M371" i="10"/>
  <c r="K371" i="10"/>
  <c r="J370" i="10"/>
  <c r="M361" i="10"/>
  <c r="L361" i="10"/>
  <c r="K361" i="10"/>
  <c r="M360" i="10"/>
  <c r="L360" i="10"/>
  <c r="K360" i="10"/>
  <c r="L359" i="10"/>
  <c r="K359" i="10"/>
  <c r="M358" i="10"/>
  <c r="L358" i="10"/>
  <c r="K358" i="10"/>
  <c r="K357" i="10" s="1"/>
  <c r="J357" i="10"/>
  <c r="J356" i="10" s="1"/>
  <c r="J350" i="10" s="1"/>
  <c r="M355" i="10"/>
  <c r="L355" i="10"/>
  <c r="K355" i="10"/>
  <c r="M354" i="10"/>
  <c r="L354" i="10"/>
  <c r="K354" i="10"/>
  <c r="M353" i="10"/>
  <c r="M352" i="10"/>
  <c r="N352" i="10" s="1"/>
  <c r="O352" i="10" s="1"/>
  <c r="M348" i="10"/>
  <c r="L348" i="10"/>
  <c r="L347" i="10" s="1"/>
  <c r="K348" i="10"/>
  <c r="K347" i="10" s="1"/>
  <c r="J347" i="10"/>
  <c r="M345" i="10"/>
  <c r="M344" i="10" s="1"/>
  <c r="L345" i="10"/>
  <c r="K345" i="10"/>
  <c r="J344" i="10"/>
  <c r="M337" i="10"/>
  <c r="N337" i="10" s="1"/>
  <c r="K337" i="10"/>
  <c r="M336" i="10"/>
  <c r="L336" i="10"/>
  <c r="K336" i="10"/>
  <c r="M335" i="10"/>
  <c r="L335" i="10"/>
  <c r="L333" i="10"/>
  <c r="L334" i="10"/>
  <c r="K335" i="10"/>
  <c r="M334" i="10"/>
  <c r="K334" i="10"/>
  <c r="M333" i="10"/>
  <c r="K333" i="10"/>
  <c r="J332" i="10"/>
  <c r="J331" i="10" s="1"/>
  <c r="J326" i="10"/>
  <c r="M329" i="10"/>
  <c r="L329" i="10"/>
  <c r="K329" i="10"/>
  <c r="K326" i="10" s="1"/>
  <c r="M328" i="10"/>
  <c r="L328" i="10"/>
  <c r="M327" i="10"/>
  <c r="N327" i="10" s="1"/>
  <c r="O327" i="10" s="1"/>
  <c r="N324" i="10"/>
  <c r="M323" i="10"/>
  <c r="M322" i="10" s="1"/>
  <c r="L323" i="10"/>
  <c r="K323" i="10"/>
  <c r="J322" i="10"/>
  <c r="M321" i="10"/>
  <c r="L321" i="10"/>
  <c r="M320" i="10"/>
  <c r="L320" i="10"/>
  <c r="K320" i="10"/>
  <c r="K319" i="10" s="1"/>
  <c r="J319" i="10"/>
  <c r="M316" i="10"/>
  <c r="M315" i="10" s="1"/>
  <c r="L316" i="10"/>
  <c r="K316" i="10"/>
  <c r="K315" i="10" s="1"/>
  <c r="J315" i="10"/>
  <c r="M308" i="10"/>
  <c r="M306" i="10" s="1"/>
  <c r="M305" i="10" s="1"/>
  <c r="L308" i="10"/>
  <c r="L306" i="10" s="1"/>
  <c r="L305" i="10" s="1"/>
  <c r="K308" i="10"/>
  <c r="K306" i="10" s="1"/>
  <c r="N307" i="10"/>
  <c r="J306" i="10"/>
  <c r="J305" i="10" s="1"/>
  <c r="J299" i="10"/>
  <c r="N303" i="10"/>
  <c r="O303" i="10" s="1"/>
  <c r="M302" i="10"/>
  <c r="L302" i="10"/>
  <c r="L299" i="10" s="1"/>
  <c r="K302" i="10"/>
  <c r="K299" i="10" s="1"/>
  <c r="M301" i="10"/>
  <c r="N301" i="10" s="1"/>
  <c r="O301" i="10" s="1"/>
  <c r="M300" i="10"/>
  <c r="M296" i="10"/>
  <c r="L296" i="10"/>
  <c r="L295" i="10" s="1"/>
  <c r="L294" i="10" s="1"/>
  <c r="L292" i="10" s="1"/>
  <c r="K296" i="10"/>
  <c r="K295" i="10" s="1"/>
  <c r="K294" i="10" s="1"/>
  <c r="K292" i="10" s="1"/>
  <c r="J295" i="10"/>
  <c r="J294" i="10" s="1"/>
  <c r="J292" i="10" s="1"/>
  <c r="M286" i="10"/>
  <c r="M285" i="10" s="1"/>
  <c r="M284" i="10" s="1"/>
  <c r="L286" i="10"/>
  <c r="K286" i="10"/>
  <c r="K285" i="10" s="1"/>
  <c r="J285" i="10"/>
  <c r="J284" i="10" s="1"/>
  <c r="J279" i="10"/>
  <c r="M282" i="10"/>
  <c r="N282" i="10" s="1"/>
  <c r="L282" i="10"/>
  <c r="L279" i="10" s="1"/>
  <c r="K282" i="10"/>
  <c r="K279" i="10" s="1"/>
  <c r="M281" i="10"/>
  <c r="N281" i="10" s="1"/>
  <c r="O281" i="10" s="1"/>
  <c r="M280" i="10"/>
  <c r="M279" i="10" s="1"/>
  <c r="M271" i="10"/>
  <c r="M270" i="10" s="1"/>
  <c r="M269" i="10" s="1"/>
  <c r="L271" i="10"/>
  <c r="L270" i="10" s="1"/>
  <c r="L269" i="10" s="1"/>
  <c r="K271" i="10"/>
  <c r="J270" i="10"/>
  <c r="J269" i="10" s="1"/>
  <c r="M267" i="10"/>
  <c r="L267" i="10"/>
  <c r="L264" i="10" s="1"/>
  <c r="L263" i="10" s="1"/>
  <c r="L262" i="10" s="1"/>
  <c r="L260" i="10" s="1"/>
  <c r="K267" i="10"/>
  <c r="K264" i="10" s="1"/>
  <c r="M266" i="10"/>
  <c r="M265" i="10"/>
  <c r="N265" i="10" s="1"/>
  <c r="O265" i="10" s="1"/>
  <c r="J264" i="10"/>
  <c r="L259" i="10"/>
  <c r="M258" i="10"/>
  <c r="L258" i="10"/>
  <c r="K258" i="10"/>
  <c r="K257" i="10" s="1"/>
  <c r="J257" i="10"/>
  <c r="J256" i="10" s="1"/>
  <c r="N255" i="10"/>
  <c r="M254" i="10"/>
  <c r="L254" i="10"/>
  <c r="K254" i="10"/>
  <c r="K251" i="10" s="1"/>
  <c r="M253" i="10"/>
  <c r="L253" i="10"/>
  <c r="M252" i="10"/>
  <c r="N252" i="10" s="1"/>
  <c r="O252" i="10" s="1"/>
  <c r="J251" i="10"/>
  <c r="M249" i="10"/>
  <c r="L249" i="10"/>
  <c r="L248" i="10" s="1"/>
  <c r="L247" i="10" s="1"/>
  <c r="K249" i="10"/>
  <c r="K248" i="10" s="1"/>
  <c r="K247" i="10" s="1"/>
  <c r="J248" i="10"/>
  <c r="J247" i="10" s="1"/>
  <c r="M245" i="10"/>
  <c r="M244" i="10" s="1"/>
  <c r="L245" i="10"/>
  <c r="L244" i="10" s="1"/>
  <c r="K245" i="10"/>
  <c r="K244" i="10" s="1"/>
  <c r="M241" i="10"/>
  <c r="L241" i="10"/>
  <c r="K241" i="10"/>
  <c r="M240" i="10"/>
  <c r="L240" i="10"/>
  <c r="K240" i="10"/>
  <c r="J239" i="10"/>
  <c r="J238" i="10" s="1"/>
  <c r="J236" i="10" s="1"/>
  <c r="M230" i="10"/>
  <c r="L230" i="10"/>
  <c r="K230" i="10"/>
  <c r="M229" i="10"/>
  <c r="L229" i="10"/>
  <c r="L226" i="10" s="1"/>
  <c r="K229" i="10"/>
  <c r="K226" i="10" s="1"/>
  <c r="M228" i="10"/>
  <c r="M227" i="10"/>
  <c r="N227" i="10" s="1"/>
  <c r="O227" i="10" s="1"/>
  <c r="J226" i="10"/>
  <c r="M224" i="10"/>
  <c r="L224" i="10"/>
  <c r="K224" i="10"/>
  <c r="K223" i="10" s="1"/>
  <c r="J223" i="10"/>
  <c r="J222" i="10" s="1"/>
  <c r="J214" i="10" s="1"/>
  <c r="M220" i="10"/>
  <c r="L220" i="10"/>
  <c r="K220" i="10"/>
  <c r="K219" i="10" s="1"/>
  <c r="K218" i="10" s="1"/>
  <c r="J219" i="10"/>
  <c r="J218" i="10" s="1"/>
  <c r="M213" i="10"/>
  <c r="L213" i="10"/>
  <c r="K213" i="10"/>
  <c r="K212" i="10" s="1"/>
  <c r="J212" i="10"/>
  <c r="M210" i="10"/>
  <c r="L210" i="10"/>
  <c r="K210" i="10"/>
  <c r="M209" i="10"/>
  <c r="L209" i="10"/>
  <c r="M208" i="10"/>
  <c r="L208" i="10"/>
  <c r="J207" i="10"/>
  <c r="M205" i="10"/>
  <c r="L205" i="10"/>
  <c r="K205" i="10"/>
  <c r="K204" i="10" s="1"/>
  <c r="J204" i="10"/>
  <c r="M201" i="10"/>
  <c r="L201" i="10"/>
  <c r="N201" i="10" s="1"/>
  <c r="K201" i="10"/>
  <c r="M200" i="10"/>
  <c r="L200" i="10"/>
  <c r="K200" i="10"/>
  <c r="J199" i="10"/>
  <c r="J198" i="10" s="1"/>
  <c r="M196" i="10"/>
  <c r="M195" i="10" s="1"/>
  <c r="L196" i="10"/>
  <c r="K196" i="10"/>
  <c r="K195" i="10" s="1"/>
  <c r="J195" i="10"/>
  <c r="M188" i="10"/>
  <c r="L188" i="10"/>
  <c r="K188" i="10"/>
  <c r="K187" i="10" s="1"/>
  <c r="J187" i="10"/>
  <c r="M185" i="10"/>
  <c r="L185" i="10"/>
  <c r="L184" i="10" s="1"/>
  <c r="K185" i="10"/>
  <c r="K184" i="10" s="1"/>
  <c r="J184" i="10"/>
  <c r="J181" i="10" s="1"/>
  <c r="J176" i="10" s="1"/>
  <c r="J174" i="10" s="1"/>
  <c r="M182" i="10"/>
  <c r="L182" i="10"/>
  <c r="K182" i="10"/>
  <c r="N179" i="10"/>
  <c r="P179" i="10" s="1"/>
  <c r="M178" i="10"/>
  <c r="L178" i="10"/>
  <c r="K178" i="10"/>
  <c r="M172" i="10"/>
  <c r="M171" i="10" s="1"/>
  <c r="M170" i="10" s="1"/>
  <c r="L172" i="10"/>
  <c r="L171" i="10" s="1"/>
  <c r="L170" i="10" s="1"/>
  <c r="K172" i="10"/>
  <c r="K171" i="10" s="1"/>
  <c r="J171" i="10"/>
  <c r="J170" i="10" s="1"/>
  <c r="M168" i="10"/>
  <c r="L168" i="10"/>
  <c r="K168" i="10"/>
  <c r="M167" i="10"/>
  <c r="N167" i="10" s="1"/>
  <c r="O167" i="10" s="1"/>
  <c r="M166" i="10"/>
  <c r="J165" i="10"/>
  <c r="M163" i="10"/>
  <c r="L163" i="10"/>
  <c r="K163" i="10"/>
  <c r="J163" i="10"/>
  <c r="M156" i="10"/>
  <c r="M155" i="10" s="1"/>
  <c r="L156" i="10"/>
  <c r="K156" i="10"/>
  <c r="K155" i="10" s="1"/>
  <c r="J155" i="10"/>
  <c r="J147" i="10" s="1"/>
  <c r="M154" i="10"/>
  <c r="L154" i="10"/>
  <c r="K154" i="10"/>
  <c r="K151" i="10" s="1"/>
  <c r="M153" i="10"/>
  <c r="N153" i="10" s="1"/>
  <c r="O153" i="10" s="1"/>
  <c r="M152" i="10"/>
  <c r="M149" i="10"/>
  <c r="L149" i="10"/>
  <c r="L148" i="10" s="1"/>
  <c r="K148" i="10"/>
  <c r="M145" i="10"/>
  <c r="M144" i="10" s="1"/>
  <c r="L145" i="10"/>
  <c r="K145" i="10"/>
  <c r="K144" i="10" s="1"/>
  <c r="K143" i="10" s="1"/>
  <c r="J144" i="10"/>
  <c r="J143" i="10" s="1"/>
  <c r="M138" i="10"/>
  <c r="L138" i="10"/>
  <c r="K137" i="10"/>
  <c r="K130" i="10"/>
  <c r="K132" i="10"/>
  <c r="J137" i="10"/>
  <c r="M135" i="10"/>
  <c r="L135" i="10"/>
  <c r="M134" i="10"/>
  <c r="M133" i="10"/>
  <c r="J132" i="10"/>
  <c r="M130" i="10"/>
  <c r="L130" i="10"/>
  <c r="J130" i="10"/>
  <c r="J129" i="10" s="1"/>
  <c r="J127" i="10" s="1"/>
  <c r="J125" i="10" s="1"/>
  <c r="M124" i="10"/>
  <c r="L124" i="10"/>
  <c r="L123" i="10" s="1"/>
  <c r="K124" i="10"/>
  <c r="K123" i="10" s="1"/>
  <c r="J123" i="10"/>
  <c r="N122" i="10"/>
  <c r="O122" i="10" s="1"/>
  <c r="M121" i="10"/>
  <c r="L121" i="10"/>
  <c r="K121" i="10"/>
  <c r="K118" i="10" s="1"/>
  <c r="M120" i="10"/>
  <c r="N120" i="10" s="1"/>
  <c r="O120" i="10" s="1"/>
  <c r="M119" i="10"/>
  <c r="N119" i="10" s="1"/>
  <c r="L118" i="10"/>
  <c r="J118" i="10"/>
  <c r="N116" i="10"/>
  <c r="O116" i="10" s="1"/>
  <c r="M115" i="10"/>
  <c r="M114" i="10" s="1"/>
  <c r="M112" i="10" s="1"/>
  <c r="L115" i="10"/>
  <c r="K115" i="10"/>
  <c r="K114" i="10" s="1"/>
  <c r="K112" i="10" s="1"/>
  <c r="J114" i="10"/>
  <c r="J112" i="10" s="1"/>
  <c r="L107" i="10"/>
  <c r="M106" i="10"/>
  <c r="M105" i="10" s="1"/>
  <c r="M104" i="10" s="1"/>
  <c r="L106" i="10"/>
  <c r="K106" i="10"/>
  <c r="K105" i="10" s="1"/>
  <c r="K104" i="10" s="1"/>
  <c r="K102" i="10"/>
  <c r="K96" i="10"/>
  <c r="K95" i="10" s="1"/>
  <c r="K94" i="10" s="1"/>
  <c r="P105" i="10"/>
  <c r="J105" i="10"/>
  <c r="J104" i="10" s="1"/>
  <c r="J99" i="10"/>
  <c r="M102" i="10"/>
  <c r="L102" i="10"/>
  <c r="M101" i="10"/>
  <c r="N101" i="10" s="1"/>
  <c r="O101" i="10" s="1"/>
  <c r="M100" i="10"/>
  <c r="N100" i="10" s="1"/>
  <c r="O100" i="10" s="1"/>
  <c r="M99" i="10"/>
  <c r="N99" i="10" s="1"/>
  <c r="O99" i="10" s="1"/>
  <c r="M96" i="10"/>
  <c r="L96" i="10"/>
  <c r="J95" i="10"/>
  <c r="J94" i="10" s="1"/>
  <c r="M90" i="10"/>
  <c r="M89" i="10" s="1"/>
  <c r="L90" i="10"/>
  <c r="K90" i="10"/>
  <c r="K89" i="10" s="1"/>
  <c r="K88" i="10" s="1"/>
  <c r="K86" i="10"/>
  <c r="K83" i="10" s="1"/>
  <c r="J89" i="10"/>
  <c r="J88" i="10" s="1"/>
  <c r="J83" i="10"/>
  <c r="J79" i="10"/>
  <c r="J78" i="10" s="1"/>
  <c r="M86" i="10"/>
  <c r="L86" i="10"/>
  <c r="L83" i="10" s="1"/>
  <c r="M85" i="10"/>
  <c r="N85" i="10" s="1"/>
  <c r="O85" i="10" s="1"/>
  <c r="M84" i="10"/>
  <c r="N84" i="10" s="1"/>
  <c r="M80" i="10"/>
  <c r="M79" i="10" s="1"/>
  <c r="M78" i="10" s="1"/>
  <c r="L80" i="10"/>
  <c r="L79" i="10" s="1"/>
  <c r="L78" i="10" s="1"/>
  <c r="K80" i="10"/>
  <c r="K79" i="10" s="1"/>
  <c r="K78" i="10" s="1"/>
  <c r="M73" i="10"/>
  <c r="M72" i="10" s="1"/>
  <c r="L73" i="10"/>
  <c r="K73" i="10"/>
  <c r="K72" i="10" s="1"/>
  <c r="J72" i="10"/>
  <c r="N71" i="10"/>
  <c r="O71" i="10" s="1"/>
  <c r="M70" i="10"/>
  <c r="L70" i="10"/>
  <c r="L67" i="10" s="1"/>
  <c r="K70" i="10"/>
  <c r="K67" i="10" s="1"/>
  <c r="M69" i="10"/>
  <c r="N69" i="10" s="1"/>
  <c r="O69" i="10" s="1"/>
  <c r="M68" i="10"/>
  <c r="J67" i="10"/>
  <c r="N64" i="10"/>
  <c r="O64" i="10" s="1"/>
  <c r="M63" i="10"/>
  <c r="L63" i="10"/>
  <c r="L62" i="10" s="1"/>
  <c r="L61" i="10" s="1"/>
  <c r="K63" i="10"/>
  <c r="K62" i="10" s="1"/>
  <c r="K61" i="10" s="1"/>
  <c r="J62" i="10"/>
  <c r="J61" i="10" s="1"/>
  <c r="M56" i="10"/>
  <c r="L56" i="10"/>
  <c r="L55" i="10" s="1"/>
  <c r="K56" i="10"/>
  <c r="M54" i="10"/>
  <c r="L54" i="10"/>
  <c r="L51" i="10" s="1"/>
  <c r="K54" i="10"/>
  <c r="K51" i="10" s="1"/>
  <c r="M53" i="10"/>
  <c r="N53" i="10" s="1"/>
  <c r="O53" i="10" s="1"/>
  <c r="M52" i="10"/>
  <c r="P51" i="10"/>
  <c r="J51" i="10"/>
  <c r="M50" i="10"/>
  <c r="M49" i="10" s="1"/>
  <c r="L50" i="10"/>
  <c r="K50" i="10"/>
  <c r="K49" i="10" s="1"/>
  <c r="J49" i="10"/>
  <c r="M46" i="10"/>
  <c r="M45" i="10" s="1"/>
  <c r="M44" i="10" s="1"/>
  <c r="M42" i="10" s="1"/>
  <c r="L46" i="10"/>
  <c r="K46" i="10"/>
  <c r="K45" i="10" s="1"/>
  <c r="K44" i="10" s="1"/>
  <c r="K42" i="10" s="1"/>
  <c r="K40" i="10" s="1"/>
  <c r="K38" i="10" s="1"/>
  <c r="J45" i="10"/>
  <c r="J44" i="10" s="1"/>
  <c r="J42" i="10" s="1"/>
  <c r="J40" i="10" s="1"/>
  <c r="J38" i="10" s="1"/>
  <c r="N35" i="10"/>
  <c r="O35" i="10" s="1"/>
  <c r="N34" i="10"/>
  <c r="O34" i="10" s="1"/>
  <c r="M33" i="10"/>
  <c r="N33" i="10" s="1"/>
  <c r="K33" i="10"/>
  <c r="K32" i="10" s="1"/>
  <c r="L32" i="10"/>
  <c r="J32" i="10"/>
  <c r="J24" i="10" s="1"/>
  <c r="N31" i="10"/>
  <c r="M30" i="10"/>
  <c r="K30" i="10"/>
  <c r="M29" i="10"/>
  <c r="M28" i="10"/>
  <c r="N28" i="10" s="1"/>
  <c r="O28" i="10" s="1"/>
  <c r="L27" i="10"/>
  <c r="J27" i="10"/>
  <c r="M26" i="10"/>
  <c r="N26" i="10" s="1"/>
  <c r="L25" i="10"/>
  <c r="K25" i="10"/>
  <c r="J25" i="10"/>
  <c r="M22" i="10"/>
  <c r="K22" i="10"/>
  <c r="M21" i="10"/>
  <c r="N21" i="10" s="1"/>
  <c r="K21" i="10"/>
  <c r="L20" i="10"/>
  <c r="L19" i="10" s="1"/>
  <c r="L17" i="10" s="1"/>
  <c r="J20" i="10"/>
  <c r="J19" i="10" s="1"/>
  <c r="J17" i="10" s="1"/>
  <c r="L1031" i="9"/>
  <c r="L1028" i="9"/>
  <c r="N1028" i="9" s="1"/>
  <c r="O1028" i="9" s="1"/>
  <c r="M1027" i="9"/>
  <c r="M1026" i="9" s="1"/>
  <c r="K1027" i="9"/>
  <c r="K1026" i="9" s="1"/>
  <c r="J1027" i="9"/>
  <c r="J1026" i="9" s="1"/>
  <c r="L1024" i="9"/>
  <c r="N1023" i="9"/>
  <c r="O1023" i="9" s="1"/>
  <c r="N1022" i="9"/>
  <c r="M1021" i="9"/>
  <c r="K1021" i="9"/>
  <c r="J1021" i="9"/>
  <c r="L1016" i="9"/>
  <c r="N1016" i="9" s="1"/>
  <c r="O1016" i="9" s="1"/>
  <c r="M1015" i="9"/>
  <c r="M1014" i="9" s="1"/>
  <c r="K1015" i="9"/>
  <c r="K1014" i="9" s="1"/>
  <c r="J1015" i="9"/>
  <c r="J1014" i="9" s="1"/>
  <c r="J1009" i="9"/>
  <c r="N1012" i="9"/>
  <c r="O1012" i="9" s="1"/>
  <c r="N1011" i="9"/>
  <c r="O1011" i="9"/>
  <c r="N1010" i="9"/>
  <c r="M1009" i="9"/>
  <c r="L1009" i="9"/>
  <c r="K1009" i="9"/>
  <c r="M1004" i="9"/>
  <c r="N1004" i="9" s="1"/>
  <c r="K1004" i="9"/>
  <c r="L1003" i="9"/>
  <c r="L1002" i="9"/>
  <c r="J1003" i="9"/>
  <c r="J1002" i="9" s="1"/>
  <c r="J997" i="9"/>
  <c r="M1000" i="9"/>
  <c r="L1000" i="9"/>
  <c r="L997" i="9" s="1"/>
  <c r="L996" i="9" s="1"/>
  <c r="L994" i="9" s="1"/>
  <c r="L993" i="9" s="1"/>
  <c r="K1000" i="9"/>
  <c r="K997" i="9" s="1"/>
  <c r="M999" i="9"/>
  <c r="N999" i="9" s="1"/>
  <c r="O999" i="9" s="1"/>
  <c r="M998" i="9"/>
  <c r="M991" i="9"/>
  <c r="L991" i="9"/>
  <c r="K991" i="9"/>
  <c r="K990" i="9" s="1"/>
  <c r="K989" i="9" s="1"/>
  <c r="J990" i="9"/>
  <c r="J989" i="9" s="1"/>
  <c r="M987" i="9"/>
  <c r="L987" i="9"/>
  <c r="K987" i="9"/>
  <c r="K984" i="9" s="1"/>
  <c r="M986" i="9"/>
  <c r="M985" i="9"/>
  <c r="N985" i="9" s="1"/>
  <c r="O985" i="9" s="1"/>
  <c r="L984" i="9"/>
  <c r="J984" i="9"/>
  <c r="M979" i="9"/>
  <c r="M978" i="9" s="1"/>
  <c r="M977" i="9" s="1"/>
  <c r="L979" i="9"/>
  <c r="L978" i="9" s="1"/>
  <c r="K979" i="9"/>
  <c r="K978" i="9" s="1"/>
  <c r="K977" i="9" s="1"/>
  <c r="J978" i="9"/>
  <c r="J977" i="9" s="1"/>
  <c r="J972" i="9"/>
  <c r="M975" i="9"/>
  <c r="L975" i="9"/>
  <c r="K975" i="9"/>
  <c r="K972" i="9" s="1"/>
  <c r="M974" i="9"/>
  <c r="L974" i="9"/>
  <c r="M973" i="9"/>
  <c r="L973" i="9"/>
  <c r="K973" i="9"/>
  <c r="M967" i="9"/>
  <c r="M966" i="9" s="1"/>
  <c r="N966" i="9" s="1"/>
  <c r="L967" i="9"/>
  <c r="L966" i="9" s="1"/>
  <c r="L965" i="9" s="1"/>
  <c r="K967" i="9"/>
  <c r="K966" i="9" s="1"/>
  <c r="J966" i="9"/>
  <c r="J965" i="9" s="1"/>
  <c r="M963" i="9"/>
  <c r="L963" i="9"/>
  <c r="L960" i="9" s="1"/>
  <c r="K963" i="9"/>
  <c r="K960" i="9" s="1"/>
  <c r="K955" i="9"/>
  <c r="K954" i="9" s="1"/>
  <c r="M962" i="9"/>
  <c r="M961" i="9"/>
  <c r="N961" i="9" s="1"/>
  <c r="O961" i="9" s="1"/>
  <c r="J960" i="9"/>
  <c r="M959" i="9"/>
  <c r="M958" i="9" s="1"/>
  <c r="L959" i="9"/>
  <c r="K958" i="9"/>
  <c r="J958" i="9"/>
  <c r="L956" i="9"/>
  <c r="M955" i="9"/>
  <c r="L955" i="9"/>
  <c r="J952" i="9"/>
  <c r="J951" i="9" s="1"/>
  <c r="M950" i="9"/>
  <c r="L950" i="9"/>
  <c r="K950" i="9"/>
  <c r="K949" i="9" s="1"/>
  <c r="K948" i="9" s="1"/>
  <c r="J949" i="9"/>
  <c r="J948" i="9" s="1"/>
  <c r="M946" i="9"/>
  <c r="L946" i="9"/>
  <c r="K946" i="9"/>
  <c r="K943" i="9" s="1"/>
  <c r="M945" i="9"/>
  <c r="M944" i="9"/>
  <c r="N944" i="9" s="1"/>
  <c r="K944" i="9"/>
  <c r="J943" i="9"/>
  <c r="M937" i="9"/>
  <c r="M936" i="9" s="1"/>
  <c r="L937" i="9"/>
  <c r="L933" i="9"/>
  <c r="K937" i="9"/>
  <c r="K936" i="9" s="1"/>
  <c r="K935" i="9" s="1"/>
  <c r="J936" i="9"/>
  <c r="J935" i="9" s="1"/>
  <c r="M933" i="9"/>
  <c r="K933" i="9"/>
  <c r="K930" i="9" s="1"/>
  <c r="M932" i="9"/>
  <c r="N932" i="9" s="1"/>
  <c r="M931" i="9"/>
  <c r="N931" i="9" s="1"/>
  <c r="O931" i="9" s="1"/>
  <c r="J930" i="9"/>
  <c r="L924" i="9"/>
  <c r="M923" i="9"/>
  <c r="M922" i="9" s="1"/>
  <c r="M921" i="9" s="1"/>
  <c r="L923" i="9"/>
  <c r="L922" i="9" s="1"/>
  <c r="K923" i="9"/>
  <c r="K922" i="9" s="1"/>
  <c r="K921" i="9" s="1"/>
  <c r="J922" i="9"/>
  <c r="J921" i="9" s="1"/>
  <c r="M919" i="9"/>
  <c r="L919" i="9"/>
  <c r="K919" i="9"/>
  <c r="K916" i="9" s="1"/>
  <c r="K915" i="9" s="1"/>
  <c r="M918" i="9"/>
  <c r="M917" i="9"/>
  <c r="J916" i="9"/>
  <c r="N913" i="9"/>
  <c r="P913" i="9" s="1"/>
  <c r="M912" i="9"/>
  <c r="M911" i="9" s="1"/>
  <c r="L912" i="9"/>
  <c r="K912" i="9"/>
  <c r="J912" i="9"/>
  <c r="J911" i="9" s="1"/>
  <c r="N909" i="9"/>
  <c r="O909" i="9" s="1"/>
  <c r="M908" i="9"/>
  <c r="M907" i="9" s="1"/>
  <c r="L908" i="9"/>
  <c r="L907" i="9" s="1"/>
  <c r="K908" i="9"/>
  <c r="K907" i="9" s="1"/>
  <c r="J907" i="9"/>
  <c r="N901" i="9"/>
  <c r="O901" i="9" s="1"/>
  <c r="M900" i="9"/>
  <c r="M899" i="9" s="1"/>
  <c r="M898" i="9" s="1"/>
  <c r="L900" i="9"/>
  <c r="K900" i="9"/>
  <c r="K899" i="9" s="1"/>
  <c r="K898" i="9" s="1"/>
  <c r="J899" i="9"/>
  <c r="J898" i="9" s="1"/>
  <c r="J893" i="9"/>
  <c r="J870" i="9"/>
  <c r="J882" i="9"/>
  <c r="J881" i="9" s="1"/>
  <c r="M896" i="9"/>
  <c r="L896" i="9"/>
  <c r="K896" i="9"/>
  <c r="K893" i="9" s="1"/>
  <c r="M895" i="9"/>
  <c r="L895" i="9"/>
  <c r="K895" i="9"/>
  <c r="K894" i="9"/>
  <c r="M890" i="9"/>
  <c r="L890" i="9"/>
  <c r="K890" i="9"/>
  <c r="M888" i="9"/>
  <c r="L888" i="9"/>
  <c r="K888" i="9"/>
  <c r="M887" i="9"/>
  <c r="L887" i="9"/>
  <c r="K887" i="9"/>
  <c r="M886" i="9"/>
  <c r="L886" i="9"/>
  <c r="K886" i="9"/>
  <c r="M885" i="9"/>
  <c r="L885" i="9"/>
  <c r="M884" i="9"/>
  <c r="L884" i="9"/>
  <c r="K884" i="9"/>
  <c r="M883" i="9"/>
  <c r="L883" i="9"/>
  <c r="K883" i="9"/>
  <c r="M882" i="9"/>
  <c r="L882" i="9"/>
  <c r="K882" i="9"/>
  <c r="M879" i="9"/>
  <c r="L879" i="9"/>
  <c r="K879" i="9"/>
  <c r="M878" i="9"/>
  <c r="L878" i="9"/>
  <c r="K878" i="9"/>
  <c r="M877" i="9"/>
  <c r="L877" i="9"/>
  <c r="K877" i="9"/>
  <c r="M876" i="9"/>
  <c r="L876" i="9"/>
  <c r="K876" i="9"/>
  <c r="M875" i="9"/>
  <c r="L875" i="9"/>
  <c r="K875" i="9"/>
  <c r="M874" i="9"/>
  <c r="L874" i="9"/>
  <c r="K874" i="9"/>
  <c r="M873" i="9"/>
  <c r="L873" i="9"/>
  <c r="K873" i="9"/>
  <c r="M872" i="9"/>
  <c r="L872" i="9"/>
  <c r="K872" i="9"/>
  <c r="M871" i="9"/>
  <c r="L871" i="9"/>
  <c r="K871" i="9"/>
  <c r="M862" i="9"/>
  <c r="L862" i="9"/>
  <c r="K862" i="9"/>
  <c r="M861" i="9"/>
  <c r="L861" i="9"/>
  <c r="K861" i="9"/>
  <c r="M860" i="9"/>
  <c r="L860" i="9"/>
  <c r="K860" i="9"/>
  <c r="J859" i="9"/>
  <c r="J858" i="9" s="1"/>
  <c r="M856" i="9"/>
  <c r="N856" i="9" s="1"/>
  <c r="L856" i="9"/>
  <c r="L853" i="9" s="1"/>
  <c r="K856" i="9"/>
  <c r="K853" i="9" s="1"/>
  <c r="M855" i="9"/>
  <c r="N855" i="9" s="1"/>
  <c r="M854" i="9"/>
  <c r="N854" i="9" s="1"/>
  <c r="O854" i="9" s="1"/>
  <c r="J853" i="9"/>
  <c r="M852" i="9"/>
  <c r="L852" i="9"/>
  <c r="L851" i="9" s="1"/>
  <c r="K852" i="9"/>
  <c r="N847" i="9"/>
  <c r="M846" i="9"/>
  <c r="L846" i="9"/>
  <c r="K846" i="9"/>
  <c r="J846" i="9"/>
  <c r="N844" i="9"/>
  <c r="M843" i="9"/>
  <c r="L843" i="9"/>
  <c r="K843" i="9"/>
  <c r="J843" i="9"/>
  <c r="M838" i="9"/>
  <c r="N838" i="9" s="1"/>
  <c r="K838" i="9"/>
  <c r="K836" i="9" s="1"/>
  <c r="K835" i="9" s="1"/>
  <c r="K826" i="9" s="1"/>
  <c r="K820" i="9" s="1"/>
  <c r="K818" i="9" s="1"/>
  <c r="M837" i="9"/>
  <c r="M836" i="9" s="1"/>
  <c r="L837" i="9"/>
  <c r="L836" i="9" s="1"/>
  <c r="K837" i="9"/>
  <c r="J836" i="9"/>
  <c r="J835" i="9" s="1"/>
  <c r="M833" i="9"/>
  <c r="L833" i="9"/>
  <c r="L830" i="9" s="1"/>
  <c r="K833" i="9"/>
  <c r="K830" i="9" s="1"/>
  <c r="K823" i="9"/>
  <c r="K822" i="9" s="1"/>
  <c r="M832" i="9"/>
  <c r="N832" i="9" s="1"/>
  <c r="M831" i="9"/>
  <c r="N831" i="9" s="1"/>
  <c r="J830" i="9"/>
  <c r="M828" i="9"/>
  <c r="L828" i="9"/>
  <c r="L827" i="9" s="1"/>
  <c r="K828" i="9"/>
  <c r="N824" i="9"/>
  <c r="P824" i="9" s="1"/>
  <c r="M823" i="9"/>
  <c r="M822" i="9" s="1"/>
  <c r="L823" i="9"/>
  <c r="J823" i="9"/>
  <c r="J822" i="9" s="1"/>
  <c r="M816" i="9"/>
  <c r="M815" i="9" s="1"/>
  <c r="M814" i="9" s="1"/>
  <c r="L816" i="9"/>
  <c r="L815" i="9" s="1"/>
  <c r="L812" i="9"/>
  <c r="L809" i="9" s="1"/>
  <c r="L810" i="9"/>
  <c r="L794" i="9"/>
  <c r="L795" i="9"/>
  <c r="L796" i="9"/>
  <c r="L797" i="9"/>
  <c r="L800" i="9"/>
  <c r="L801" i="9"/>
  <c r="L802" i="9"/>
  <c r="L803" i="9"/>
  <c r="L804" i="9"/>
  <c r="L805" i="9"/>
  <c r="L806" i="9"/>
  <c r="K816" i="9"/>
  <c r="K815" i="9" s="1"/>
  <c r="K814" i="9" s="1"/>
  <c r="J815" i="9"/>
  <c r="J814" i="9" s="1"/>
  <c r="J809" i="9"/>
  <c r="M812" i="9"/>
  <c r="M809" i="9" s="1"/>
  <c r="K812" i="9"/>
  <c r="K809" i="9" s="1"/>
  <c r="M811" i="9"/>
  <c r="N811" i="9" s="1"/>
  <c r="K811" i="9"/>
  <c r="M810" i="9"/>
  <c r="M806" i="9"/>
  <c r="K806" i="9"/>
  <c r="M805" i="9"/>
  <c r="K805" i="9"/>
  <c r="M804" i="9"/>
  <c r="K804" i="9"/>
  <c r="M803" i="9"/>
  <c r="K803" i="9"/>
  <c r="M802" i="9"/>
  <c r="K802" i="9"/>
  <c r="K801" i="9"/>
  <c r="M801" i="9"/>
  <c r="M800" i="9"/>
  <c r="J799" i="9"/>
  <c r="M797" i="9"/>
  <c r="K797" i="9"/>
  <c r="M796" i="9"/>
  <c r="K796" i="9"/>
  <c r="M795" i="9"/>
  <c r="K795" i="9"/>
  <c r="M794" i="9"/>
  <c r="K794" i="9"/>
  <c r="J793" i="9"/>
  <c r="L784" i="9"/>
  <c r="M783" i="9"/>
  <c r="L783" i="9"/>
  <c r="K783" i="9"/>
  <c r="K781" i="9" s="1"/>
  <c r="K780" i="9" s="1"/>
  <c r="M782" i="9"/>
  <c r="L782" i="9"/>
  <c r="L781" i="9"/>
  <c r="L780" i="9" s="1"/>
  <c r="J781" i="9"/>
  <c r="J780" i="9" s="1"/>
  <c r="J775" i="9"/>
  <c r="J764" i="9"/>
  <c r="J768" i="9"/>
  <c r="M778" i="9"/>
  <c r="L778" i="9"/>
  <c r="L775" i="9" s="1"/>
  <c r="K778" i="9"/>
  <c r="K775" i="9" s="1"/>
  <c r="M777" i="9"/>
  <c r="N777" i="9" s="1"/>
  <c r="O777" i="9" s="1"/>
  <c r="M776" i="9"/>
  <c r="M772" i="9"/>
  <c r="L772" i="9"/>
  <c r="L768" i="9" s="1"/>
  <c r="L765" i="9"/>
  <c r="L766" i="9"/>
  <c r="K772" i="9"/>
  <c r="K768" i="9" s="1"/>
  <c r="M769" i="9"/>
  <c r="M766" i="9"/>
  <c r="K766" i="9"/>
  <c r="M765" i="9"/>
  <c r="K765" i="9"/>
  <c r="M755" i="9"/>
  <c r="L755" i="9"/>
  <c r="K755" i="9"/>
  <c r="K754" i="9" s="1"/>
  <c r="K753" i="9" s="1"/>
  <c r="J754" i="9"/>
  <c r="J753" i="9" s="1"/>
  <c r="J748" i="9"/>
  <c r="J732" i="9"/>
  <c r="J735" i="9"/>
  <c r="M751" i="9"/>
  <c r="L751" i="9"/>
  <c r="L748" i="9" s="1"/>
  <c r="K751" i="9"/>
  <c r="K748" i="9" s="1"/>
  <c r="K732" i="9"/>
  <c r="K736" i="9"/>
  <c r="K737" i="9"/>
  <c r="K738" i="9"/>
  <c r="K739" i="9"/>
  <c r="K740" i="9"/>
  <c r="K741" i="9"/>
  <c r="K742" i="9"/>
  <c r="K743" i="9"/>
  <c r="K744" i="9"/>
  <c r="M750" i="9"/>
  <c r="N750" i="9" s="1"/>
  <c r="O750" i="9" s="1"/>
  <c r="M749" i="9"/>
  <c r="N749" i="9" s="1"/>
  <c r="O749" i="9" s="1"/>
  <c r="L749" i="9"/>
  <c r="M744" i="9"/>
  <c r="L744" i="9"/>
  <c r="M743" i="9"/>
  <c r="N743" i="9" s="1"/>
  <c r="O743" i="9" s="1"/>
  <c r="L743" i="9"/>
  <c r="M742" i="9"/>
  <c r="L742" i="9"/>
  <c r="M741" i="9"/>
  <c r="N741" i="9" s="1"/>
  <c r="L741" i="9"/>
  <c r="M740" i="9"/>
  <c r="L740" i="9"/>
  <c r="M739" i="9"/>
  <c r="N739" i="9" s="1"/>
  <c r="O739" i="9" s="1"/>
  <c r="L739" i="9"/>
  <c r="M738" i="9"/>
  <c r="L738" i="9"/>
  <c r="M737" i="9"/>
  <c r="L737" i="9"/>
  <c r="M736" i="9"/>
  <c r="L736" i="9"/>
  <c r="M732" i="9"/>
  <c r="L732" i="9"/>
  <c r="M723" i="9"/>
  <c r="L723" i="9"/>
  <c r="K723" i="9"/>
  <c r="K721" i="9" s="1"/>
  <c r="K720" i="9" s="1"/>
  <c r="K714" i="9" s="1"/>
  <c r="K711" i="9" s="1"/>
  <c r="K709" i="9" s="1"/>
  <c r="M722" i="9"/>
  <c r="L722" i="9"/>
  <c r="K722" i="9"/>
  <c r="J721" i="9"/>
  <c r="J720" i="9" s="1"/>
  <c r="M718" i="9"/>
  <c r="L718" i="9"/>
  <c r="K718" i="9"/>
  <c r="K715" i="9" s="1"/>
  <c r="M717" i="9"/>
  <c r="M716" i="9"/>
  <c r="K716" i="9"/>
  <c r="J716" i="9"/>
  <c r="J715" i="9"/>
  <c r="M707" i="9"/>
  <c r="L707" i="9"/>
  <c r="K707" i="9"/>
  <c r="M706" i="9"/>
  <c r="M705" i="9" s="1"/>
  <c r="M704" i="9" s="1"/>
  <c r="L706" i="9"/>
  <c r="K706" i="9"/>
  <c r="J705" i="9"/>
  <c r="J704" i="9" s="1"/>
  <c r="M702" i="9"/>
  <c r="N702" i="9" s="1"/>
  <c r="L702" i="9"/>
  <c r="L699" i="9" s="1"/>
  <c r="K702" i="9"/>
  <c r="K699" i="9" s="1"/>
  <c r="M701" i="9"/>
  <c r="N701" i="9" s="1"/>
  <c r="O701" i="9" s="1"/>
  <c r="M700" i="9"/>
  <c r="J699" i="9"/>
  <c r="M691" i="9"/>
  <c r="L691" i="9"/>
  <c r="K691" i="9"/>
  <c r="J690" i="9"/>
  <c r="J689" i="9" s="1"/>
  <c r="L689" i="9"/>
  <c r="K689" i="9"/>
  <c r="M687" i="9"/>
  <c r="N687" i="9" s="1"/>
  <c r="L687" i="9"/>
  <c r="K687" i="9"/>
  <c r="K684" i="9" s="1"/>
  <c r="M686" i="9"/>
  <c r="N686" i="9" s="1"/>
  <c r="M685" i="9"/>
  <c r="J684" i="9"/>
  <c r="J683" i="9" s="1"/>
  <c r="J675" i="9" s="1"/>
  <c r="J673" i="9" s="1"/>
  <c r="M681" i="9"/>
  <c r="L681" i="9"/>
  <c r="K681" i="9"/>
  <c r="K679" i="9" s="1"/>
  <c r="K677" i="9" s="1"/>
  <c r="M680" i="9"/>
  <c r="L680" i="9"/>
  <c r="K680" i="9"/>
  <c r="J679" i="9"/>
  <c r="J677" i="9" s="1"/>
  <c r="M670" i="9"/>
  <c r="L670" i="9"/>
  <c r="N669" i="9"/>
  <c r="N668" i="9"/>
  <c r="O668" i="9" s="1"/>
  <c r="N667" i="9"/>
  <c r="O667" i="9" s="1"/>
  <c r="N666" i="9"/>
  <c r="O666" i="9" s="1"/>
  <c r="N665" i="9"/>
  <c r="O665" i="9" s="1"/>
  <c r="N664" i="9"/>
  <c r="O664" i="9" s="1"/>
  <c r="N663" i="9"/>
  <c r="O663" i="9" s="1"/>
  <c r="N662" i="9"/>
  <c r="O662" i="9" s="1"/>
  <c r="N661" i="9"/>
  <c r="O661" i="9" s="1"/>
  <c r="N660" i="9"/>
  <c r="O660" i="9" s="1"/>
  <c r="N659" i="9"/>
  <c r="O659" i="9" s="1"/>
  <c r="N658" i="9"/>
  <c r="M656" i="9"/>
  <c r="L656" i="9"/>
  <c r="N656" i="9" s="1"/>
  <c r="P656" i="9" s="1"/>
  <c r="K656" i="9"/>
  <c r="M655" i="9"/>
  <c r="L655" i="9"/>
  <c r="K655" i="9"/>
  <c r="M654" i="9"/>
  <c r="L654" i="9"/>
  <c r="K654" i="9"/>
  <c r="M653" i="9"/>
  <c r="N653" i="9" s="1"/>
  <c r="L653" i="9"/>
  <c r="K653" i="9"/>
  <c r="M652" i="9"/>
  <c r="L652" i="9"/>
  <c r="N652" i="9" s="1"/>
  <c r="K652" i="9"/>
  <c r="M651" i="9"/>
  <c r="L651" i="9"/>
  <c r="K651" i="9"/>
  <c r="M650" i="9"/>
  <c r="L650" i="9"/>
  <c r="N650" i="9" s="1"/>
  <c r="K650" i="9"/>
  <c r="M649" i="9"/>
  <c r="L649" i="9"/>
  <c r="K649" i="9"/>
  <c r="M648" i="9"/>
  <c r="L648" i="9"/>
  <c r="K648" i="9"/>
  <c r="J647" i="9"/>
  <c r="J645" i="9" s="1"/>
  <c r="M644" i="9"/>
  <c r="L644" i="9"/>
  <c r="N644" i="9" s="1"/>
  <c r="K644" i="9"/>
  <c r="M643" i="9"/>
  <c r="L643" i="9"/>
  <c r="K643" i="9"/>
  <c r="M642" i="9"/>
  <c r="L642" i="9"/>
  <c r="K642" i="9"/>
  <c r="M641" i="9"/>
  <c r="N641" i="9" s="1"/>
  <c r="L641" i="9"/>
  <c r="K641" i="9"/>
  <c r="M640" i="9"/>
  <c r="L640" i="9"/>
  <c r="N640" i="9" s="1"/>
  <c r="K640" i="9"/>
  <c r="M639" i="9"/>
  <c r="L639" i="9"/>
  <c r="K639" i="9"/>
  <c r="M638" i="9"/>
  <c r="L638" i="9"/>
  <c r="K638" i="9"/>
  <c r="M637" i="9"/>
  <c r="L637" i="9"/>
  <c r="K637" i="9"/>
  <c r="M636" i="9"/>
  <c r="L636" i="9"/>
  <c r="K636" i="9"/>
  <c r="M635" i="9"/>
  <c r="L635" i="9"/>
  <c r="K635" i="9"/>
  <c r="J634" i="9"/>
  <c r="J631" i="9" s="1"/>
  <c r="M633" i="9"/>
  <c r="N633" i="9" s="1"/>
  <c r="O633" i="9" s="1"/>
  <c r="M632" i="9"/>
  <c r="N632" i="9" s="1"/>
  <c r="O632" i="9" s="1"/>
  <c r="M630" i="9"/>
  <c r="L630" i="9"/>
  <c r="K630" i="9"/>
  <c r="M629" i="9"/>
  <c r="L629" i="9"/>
  <c r="K629" i="9"/>
  <c r="M628" i="9"/>
  <c r="L628" i="9"/>
  <c r="K628" i="9"/>
  <c r="M627" i="9"/>
  <c r="L627" i="9"/>
  <c r="K627" i="9"/>
  <c r="M626" i="9"/>
  <c r="L626" i="9"/>
  <c r="K626" i="9"/>
  <c r="M625" i="9"/>
  <c r="L625" i="9"/>
  <c r="N625" i="9" s="1"/>
  <c r="L622" i="9"/>
  <c r="L623" i="9"/>
  <c r="L624" i="9"/>
  <c r="K625" i="9"/>
  <c r="M624" i="9"/>
  <c r="K624" i="9"/>
  <c r="M623" i="9"/>
  <c r="K623" i="9"/>
  <c r="M622" i="9"/>
  <c r="N622" i="9" s="1"/>
  <c r="K622" i="9"/>
  <c r="J621" i="9"/>
  <c r="M620" i="9"/>
  <c r="L620" i="9"/>
  <c r="K620" i="9"/>
  <c r="M619" i="9"/>
  <c r="L619" i="9"/>
  <c r="K619" i="9"/>
  <c r="M618" i="9"/>
  <c r="L618" i="9"/>
  <c r="K618" i="9"/>
  <c r="M617" i="9"/>
  <c r="L617" i="9"/>
  <c r="K617" i="9"/>
  <c r="M616" i="9"/>
  <c r="L616" i="9"/>
  <c r="K616" i="9"/>
  <c r="M615" i="9"/>
  <c r="L615" i="9"/>
  <c r="K615" i="9"/>
  <c r="M614" i="9"/>
  <c r="L614" i="9"/>
  <c r="K614" i="9"/>
  <c r="M613" i="9"/>
  <c r="L613" i="9"/>
  <c r="K613" i="9"/>
  <c r="M612" i="9"/>
  <c r="L612" i="9"/>
  <c r="K612" i="9"/>
  <c r="J611" i="9"/>
  <c r="M608" i="9"/>
  <c r="L608" i="9"/>
  <c r="L607" i="9" s="1"/>
  <c r="K608" i="9"/>
  <c r="K607" i="9" s="1"/>
  <c r="P607" i="9"/>
  <c r="M604" i="9"/>
  <c r="L604" i="9"/>
  <c r="K604" i="9"/>
  <c r="K603" i="9" s="1"/>
  <c r="M597" i="9"/>
  <c r="L597" i="9"/>
  <c r="K597" i="9"/>
  <c r="M596" i="9"/>
  <c r="L596" i="9"/>
  <c r="K596" i="9"/>
  <c r="K595" i="9" s="1"/>
  <c r="J595" i="9"/>
  <c r="J594" i="9" s="1"/>
  <c r="M592" i="9"/>
  <c r="M591" i="9" s="1"/>
  <c r="M590" i="9" s="1"/>
  <c r="L592" i="9"/>
  <c r="K592" i="9"/>
  <c r="K591" i="9" s="1"/>
  <c r="J591" i="9"/>
  <c r="J590" i="9" s="1"/>
  <c r="M584" i="9"/>
  <c r="M583" i="9" s="1"/>
  <c r="L584" i="9"/>
  <c r="L583" i="9" s="1"/>
  <c r="K584" i="9"/>
  <c r="M581" i="9"/>
  <c r="L581" i="9"/>
  <c r="K581" i="9"/>
  <c r="M580" i="9"/>
  <c r="L580" i="9"/>
  <c r="K580" i="9"/>
  <c r="M579" i="9"/>
  <c r="M578" i="9" s="1"/>
  <c r="M577" i="9" s="1"/>
  <c r="L579" i="9"/>
  <c r="K579" i="9"/>
  <c r="M575" i="9"/>
  <c r="L575" i="9"/>
  <c r="K575" i="9"/>
  <c r="K571" i="9" s="1"/>
  <c r="M574" i="9"/>
  <c r="L574" i="9"/>
  <c r="K574" i="9"/>
  <c r="M573" i="9"/>
  <c r="L573" i="9"/>
  <c r="M572" i="9"/>
  <c r="M571" i="9" s="1"/>
  <c r="L572" i="9"/>
  <c r="N572" i="9" s="1"/>
  <c r="O572" i="9" s="1"/>
  <c r="J571" i="9"/>
  <c r="M569" i="9"/>
  <c r="L569" i="9"/>
  <c r="K569" i="9"/>
  <c r="M568" i="9"/>
  <c r="L568" i="9"/>
  <c r="K568" i="9"/>
  <c r="J567" i="9"/>
  <c r="M565" i="9"/>
  <c r="L565" i="9"/>
  <c r="K565" i="9"/>
  <c r="K564" i="9" s="1"/>
  <c r="J564" i="9"/>
  <c r="M562" i="9"/>
  <c r="L562" i="9"/>
  <c r="K562" i="9"/>
  <c r="M561" i="9"/>
  <c r="J560" i="9"/>
  <c r="M557" i="9"/>
  <c r="L557" i="9"/>
  <c r="K557" i="9"/>
  <c r="P557" i="9" s="1"/>
  <c r="M556" i="9"/>
  <c r="L556" i="9"/>
  <c r="K556" i="9"/>
  <c r="M555" i="9"/>
  <c r="L555" i="9"/>
  <c r="N555" i="9" s="1"/>
  <c r="P555" i="9" s="1"/>
  <c r="K555" i="9"/>
  <c r="M554" i="9"/>
  <c r="L554" i="9"/>
  <c r="K554" i="9"/>
  <c r="M553" i="9"/>
  <c r="L553" i="9"/>
  <c r="K553" i="9"/>
  <c r="M552" i="9"/>
  <c r="L552" i="9"/>
  <c r="K552" i="9"/>
  <c r="M551" i="9"/>
  <c r="M550" i="9" s="1"/>
  <c r="L551" i="9"/>
  <c r="K551" i="9"/>
  <c r="J550" i="9"/>
  <c r="J549" i="9"/>
  <c r="J547" i="9" s="1"/>
  <c r="J544" i="9"/>
  <c r="J543" i="9" s="1"/>
  <c r="N545" i="9"/>
  <c r="O545" i="9" s="1"/>
  <c r="M544" i="9"/>
  <c r="M543" i="9" s="1"/>
  <c r="L544" i="9"/>
  <c r="L543" i="9" s="1"/>
  <c r="K544" i="9"/>
  <c r="N538" i="9"/>
  <c r="M537" i="9"/>
  <c r="M535" i="9" s="1"/>
  <c r="L537" i="9"/>
  <c r="K537" i="9"/>
  <c r="K535" i="9" s="1"/>
  <c r="K528" i="9" s="1"/>
  <c r="K522" i="9" s="1"/>
  <c r="K520" i="9" s="1"/>
  <c r="K533" i="9"/>
  <c r="K529" i="9" s="1"/>
  <c r="N536" i="9"/>
  <c r="O536" i="9" s="1"/>
  <c r="J535" i="9"/>
  <c r="M533" i="9"/>
  <c r="L533" i="9"/>
  <c r="L529" i="9" s="1"/>
  <c r="M532" i="9"/>
  <c r="N532" i="9" s="1"/>
  <c r="O532" i="9" s="1"/>
  <c r="M531" i="9"/>
  <c r="N531" i="9" s="1"/>
  <c r="O531" i="9" s="1"/>
  <c r="N530" i="9"/>
  <c r="J529" i="9"/>
  <c r="N526" i="9"/>
  <c r="M525" i="9"/>
  <c r="M524" i="9" s="1"/>
  <c r="L525" i="9"/>
  <c r="L524" i="9" s="1"/>
  <c r="K525" i="9"/>
  <c r="K524" i="9" s="1"/>
  <c r="J525" i="9"/>
  <c r="J524" i="9" s="1"/>
  <c r="N518" i="9"/>
  <c r="O518" i="9" s="1"/>
  <c r="M517" i="9"/>
  <c r="M512" i="9"/>
  <c r="M511" i="9" s="1"/>
  <c r="M510" i="9" s="1"/>
  <c r="M509" i="9" s="1"/>
  <c r="L517" i="9"/>
  <c r="K517" i="9"/>
  <c r="J517" i="9"/>
  <c r="N515" i="9"/>
  <c r="O515" i="9" s="1"/>
  <c r="N514" i="9"/>
  <c r="O514" i="9" s="1"/>
  <c r="N513" i="9"/>
  <c r="L512" i="9"/>
  <c r="K512" i="9"/>
  <c r="J512" i="9"/>
  <c r="N508" i="9"/>
  <c r="O508" i="9" s="1"/>
  <c r="M507" i="9"/>
  <c r="L507" i="9"/>
  <c r="K507" i="9"/>
  <c r="J507" i="9"/>
  <c r="N505" i="9"/>
  <c r="O505" i="9" s="1"/>
  <c r="N504" i="9"/>
  <c r="O504" i="9" s="1"/>
  <c r="N503" i="9"/>
  <c r="M502" i="9"/>
  <c r="L502" i="9"/>
  <c r="K502" i="9"/>
  <c r="J502" i="9"/>
  <c r="N500" i="9"/>
  <c r="K500" i="9"/>
  <c r="M499" i="9"/>
  <c r="M498" i="9" s="1"/>
  <c r="L499" i="9"/>
  <c r="L498" i="9" s="1"/>
  <c r="J499" i="9"/>
  <c r="J498" i="9" s="1"/>
  <c r="N495" i="9"/>
  <c r="K495" i="9"/>
  <c r="K494" i="9" s="1"/>
  <c r="K488" i="9" s="1"/>
  <c r="M494" i="9"/>
  <c r="L494" i="9"/>
  <c r="J494" i="9"/>
  <c r="J488" i="9" s="1"/>
  <c r="J487" i="9" s="1"/>
  <c r="J486" i="9" s="1"/>
  <c r="N492" i="9"/>
  <c r="O492" i="9" s="1"/>
  <c r="N491" i="9"/>
  <c r="N490" i="9"/>
  <c r="M489" i="9"/>
  <c r="L489" i="9"/>
  <c r="L485" i="9"/>
  <c r="N485" i="9" s="1"/>
  <c r="K485" i="9"/>
  <c r="K484" i="9" s="1"/>
  <c r="M484" i="9"/>
  <c r="J484" i="9"/>
  <c r="J478" i="9" s="1"/>
  <c r="J477" i="9" s="1"/>
  <c r="J475" i="9" s="1"/>
  <c r="N482" i="9"/>
  <c r="O482" i="9" s="1"/>
  <c r="N481" i="9"/>
  <c r="N480" i="9"/>
  <c r="M479" i="9"/>
  <c r="L479" i="9"/>
  <c r="N474" i="9"/>
  <c r="K474" i="9"/>
  <c r="M473" i="9"/>
  <c r="L473" i="9"/>
  <c r="J473" i="9"/>
  <c r="J467" i="9" s="1"/>
  <c r="J465" i="9" s="1"/>
  <c r="J463" i="9" s="1"/>
  <c r="N471" i="9"/>
  <c r="K471" i="9"/>
  <c r="N470" i="9"/>
  <c r="O470" i="9" s="1"/>
  <c r="N469" i="9"/>
  <c r="M468" i="9"/>
  <c r="L468" i="9"/>
  <c r="M462" i="9"/>
  <c r="M460" i="9" s="1"/>
  <c r="L462" i="9"/>
  <c r="K462" i="9"/>
  <c r="M461" i="9"/>
  <c r="L461" i="9"/>
  <c r="K461" i="9"/>
  <c r="K460" i="9" s="1"/>
  <c r="J460" i="9"/>
  <c r="N458" i="9"/>
  <c r="O458" i="9" s="1"/>
  <c r="N457" i="9"/>
  <c r="O457" i="9" s="1"/>
  <c r="M456" i="9"/>
  <c r="L456" i="9"/>
  <c r="N456" i="9" s="1"/>
  <c r="O456" i="9" s="1"/>
  <c r="K456" i="9"/>
  <c r="J456" i="9"/>
  <c r="J454" i="9" s="1"/>
  <c r="J432" i="9"/>
  <c r="J442" i="9"/>
  <c r="J416" i="9"/>
  <c r="J420" i="9"/>
  <c r="M455" i="9"/>
  <c r="L455" i="9"/>
  <c r="K455" i="9"/>
  <c r="K454" i="9" s="1"/>
  <c r="M445" i="9"/>
  <c r="L445" i="9"/>
  <c r="K445" i="9"/>
  <c r="K442" i="9" s="1"/>
  <c r="M444" i="9"/>
  <c r="N444" i="9" s="1"/>
  <c r="O444" i="9" s="1"/>
  <c r="M443" i="9"/>
  <c r="M442" i="9" s="1"/>
  <c r="L443" i="9"/>
  <c r="L440" i="9"/>
  <c r="K440" i="9"/>
  <c r="K439" i="9" s="1"/>
  <c r="M439" i="9"/>
  <c r="J439" i="9"/>
  <c r="M437" i="9"/>
  <c r="L437" i="9"/>
  <c r="K437" i="9"/>
  <c r="M436" i="9"/>
  <c r="L436" i="9"/>
  <c r="N436" i="9" s="1"/>
  <c r="K436" i="9"/>
  <c r="M435" i="9"/>
  <c r="L435" i="9"/>
  <c r="K435" i="9"/>
  <c r="M434" i="9"/>
  <c r="L434" i="9"/>
  <c r="K434" i="9"/>
  <c r="M433" i="9"/>
  <c r="L433" i="9"/>
  <c r="K433" i="9"/>
  <c r="M429" i="9"/>
  <c r="N429" i="9" s="1"/>
  <c r="K429" i="9"/>
  <c r="M428" i="9"/>
  <c r="L428" i="9"/>
  <c r="M427" i="9"/>
  <c r="N427" i="9" s="1"/>
  <c r="M426" i="9"/>
  <c r="N426" i="9" s="1"/>
  <c r="M425" i="9"/>
  <c r="L425" i="9"/>
  <c r="K425" i="9"/>
  <c r="M424" i="9"/>
  <c r="N424" i="9" s="1"/>
  <c r="L424" i="9"/>
  <c r="K424" i="9"/>
  <c r="K421" i="9"/>
  <c r="K422" i="9"/>
  <c r="K423" i="9"/>
  <c r="M423" i="9"/>
  <c r="L423" i="9"/>
  <c r="M422" i="9"/>
  <c r="L422" i="9"/>
  <c r="M421" i="9"/>
  <c r="L421" i="9"/>
  <c r="M419" i="9"/>
  <c r="N419" i="9" s="1"/>
  <c r="L419" i="9"/>
  <c r="L417" i="9"/>
  <c r="L418" i="9"/>
  <c r="K419" i="9"/>
  <c r="M418" i="9"/>
  <c r="K418" i="9"/>
  <c r="M417" i="9"/>
  <c r="K417" i="9"/>
  <c r="M415" i="9"/>
  <c r="L415" i="9"/>
  <c r="K415" i="9"/>
  <c r="M414" i="9"/>
  <c r="N414" i="9" s="1"/>
  <c r="L414" i="9"/>
  <c r="K414" i="9"/>
  <c r="M413" i="9"/>
  <c r="L413" i="9"/>
  <c r="N413" i="9" s="1"/>
  <c r="O413" i="9" s="1"/>
  <c r="K413" i="9"/>
  <c r="M401" i="9"/>
  <c r="M400" i="9" s="1"/>
  <c r="L401" i="9"/>
  <c r="L400" i="9" s="1"/>
  <c r="K401" i="9"/>
  <c r="K400" i="9" s="1"/>
  <c r="K394" i="9" s="1"/>
  <c r="K392" i="9" s="1"/>
  <c r="K390" i="9" s="1"/>
  <c r="J400" i="9"/>
  <c r="J394" i="9" s="1"/>
  <c r="J392" i="9" s="1"/>
  <c r="J390" i="9" s="1"/>
  <c r="M398" i="9"/>
  <c r="L398" i="9"/>
  <c r="L395" i="9" s="1"/>
  <c r="K398" i="9"/>
  <c r="M397" i="9"/>
  <c r="M396" i="9"/>
  <c r="N396" i="9" s="1"/>
  <c r="O396" i="9" s="1"/>
  <c r="M388" i="9"/>
  <c r="L388" i="9"/>
  <c r="K388" i="9"/>
  <c r="K386" i="9" s="1"/>
  <c r="L387" i="9"/>
  <c r="N387" i="9" s="1"/>
  <c r="J386" i="9"/>
  <c r="M384" i="9"/>
  <c r="N384" i="9" s="1"/>
  <c r="L384" i="9"/>
  <c r="M383" i="9"/>
  <c r="L383" i="9"/>
  <c r="M382" i="9"/>
  <c r="N382" i="9" s="1"/>
  <c r="L382" i="9"/>
  <c r="K382" i="9"/>
  <c r="P381" i="9"/>
  <c r="M381" i="9"/>
  <c r="M380" i="9"/>
  <c r="N380" i="9" s="1"/>
  <c r="O380" i="9" s="1"/>
  <c r="M379" i="9"/>
  <c r="N379" i="9" s="1"/>
  <c r="O379" i="9" s="1"/>
  <c r="K378" i="9"/>
  <c r="J378" i="9"/>
  <c r="M375" i="9"/>
  <c r="M374" i="9" s="1"/>
  <c r="L375" i="9"/>
  <c r="L374" i="9" s="1"/>
  <c r="K375" i="9"/>
  <c r="K374" i="9" s="1"/>
  <c r="J374" i="9"/>
  <c r="M372" i="9"/>
  <c r="L372" i="9"/>
  <c r="K372" i="9"/>
  <c r="M371" i="9"/>
  <c r="M370" i="9" s="1"/>
  <c r="L371" i="9"/>
  <c r="K371" i="9"/>
  <c r="J370" i="9"/>
  <c r="M361" i="9"/>
  <c r="N361" i="9" s="1"/>
  <c r="L361" i="9"/>
  <c r="K361" i="9"/>
  <c r="M360" i="9"/>
  <c r="L360" i="9"/>
  <c r="K360" i="9"/>
  <c r="L359" i="9"/>
  <c r="N359" i="9" s="1"/>
  <c r="K359" i="9"/>
  <c r="M358" i="9"/>
  <c r="M357" i="9" s="1"/>
  <c r="M356" i="9" s="1"/>
  <c r="L358" i="9"/>
  <c r="K358" i="9"/>
  <c r="J357" i="9"/>
  <c r="J356" i="9" s="1"/>
  <c r="J350" i="9" s="1"/>
  <c r="M355" i="9"/>
  <c r="N355" i="9" s="1"/>
  <c r="L355" i="9"/>
  <c r="K355" i="9"/>
  <c r="M354" i="9"/>
  <c r="L354" i="9"/>
  <c r="L351" i="9" s="1"/>
  <c r="K354" i="9"/>
  <c r="M353" i="9"/>
  <c r="N353" i="9" s="1"/>
  <c r="O353" i="9" s="1"/>
  <c r="M352" i="9"/>
  <c r="M348" i="9"/>
  <c r="M347" i="9" s="1"/>
  <c r="L348" i="9"/>
  <c r="L347" i="9" s="1"/>
  <c r="K348" i="9"/>
  <c r="K347" i="9" s="1"/>
  <c r="J347" i="9"/>
  <c r="M345" i="9"/>
  <c r="M344" i="9" s="1"/>
  <c r="N344" i="9" s="1"/>
  <c r="L345" i="9"/>
  <c r="L344" i="9" s="1"/>
  <c r="K345" i="9"/>
  <c r="J344" i="9"/>
  <c r="M337" i="9"/>
  <c r="N337" i="9" s="1"/>
  <c r="K337" i="9"/>
  <c r="M336" i="9"/>
  <c r="L336" i="9"/>
  <c r="K336" i="9"/>
  <c r="M335" i="9"/>
  <c r="L335" i="9"/>
  <c r="K335" i="9"/>
  <c r="M334" i="9"/>
  <c r="N334" i="9" s="1"/>
  <c r="O334" i="9" s="1"/>
  <c r="L334" i="9"/>
  <c r="L333" i="9"/>
  <c r="K334" i="9"/>
  <c r="M333" i="9"/>
  <c r="K333" i="9"/>
  <c r="K329" i="9"/>
  <c r="K326" i="9" s="1"/>
  <c r="J332" i="9"/>
  <c r="J331" i="9" s="1"/>
  <c r="M329" i="9"/>
  <c r="N329" i="9" s="1"/>
  <c r="L329" i="9"/>
  <c r="M328" i="9"/>
  <c r="L328" i="9"/>
  <c r="M327" i="9"/>
  <c r="J326" i="9"/>
  <c r="N324" i="9"/>
  <c r="M323" i="9"/>
  <c r="M322" i="9" s="1"/>
  <c r="L323" i="9"/>
  <c r="K323" i="9"/>
  <c r="K322" i="9" s="1"/>
  <c r="J322" i="9"/>
  <c r="J319" i="9"/>
  <c r="J315" i="9"/>
  <c r="M321" i="9"/>
  <c r="L321" i="9"/>
  <c r="M320" i="9"/>
  <c r="L320" i="9"/>
  <c r="N320" i="9" s="1"/>
  <c r="O320" i="9" s="1"/>
  <c r="K320" i="9"/>
  <c r="K319" i="9" s="1"/>
  <c r="M316" i="9"/>
  <c r="L316" i="9"/>
  <c r="L315" i="9" s="1"/>
  <c r="K316" i="9"/>
  <c r="K315" i="9" s="1"/>
  <c r="M308" i="9"/>
  <c r="M306" i="9" s="1"/>
  <c r="M305" i="9" s="1"/>
  <c r="L308" i="9"/>
  <c r="K308" i="9"/>
  <c r="K306" i="9" s="1"/>
  <c r="K305" i="9" s="1"/>
  <c r="N307" i="9"/>
  <c r="O307" i="9" s="1"/>
  <c r="J306" i="9"/>
  <c r="J305" i="9" s="1"/>
  <c r="N303" i="9"/>
  <c r="O303" i="9" s="1"/>
  <c r="M302" i="9"/>
  <c r="L302" i="9"/>
  <c r="L299" i="9" s="1"/>
  <c r="K302" i="9"/>
  <c r="K299" i="9" s="1"/>
  <c r="M301" i="9"/>
  <c r="N301" i="9" s="1"/>
  <c r="O301" i="9" s="1"/>
  <c r="M300" i="9"/>
  <c r="J299" i="9"/>
  <c r="M296" i="9"/>
  <c r="M295" i="9" s="1"/>
  <c r="L296" i="9"/>
  <c r="K296" i="9"/>
  <c r="J295" i="9"/>
  <c r="J294" i="9" s="1"/>
  <c r="J292" i="9" s="1"/>
  <c r="M286" i="9"/>
  <c r="M285" i="9" s="1"/>
  <c r="M284" i="9" s="1"/>
  <c r="L286" i="9"/>
  <c r="L285" i="9" s="1"/>
  <c r="L284" i="9" s="1"/>
  <c r="K286" i="9"/>
  <c r="K285" i="9" s="1"/>
  <c r="K284" i="9" s="1"/>
  <c r="J285" i="9"/>
  <c r="J284" i="9" s="1"/>
  <c r="J279" i="9"/>
  <c r="M282" i="9"/>
  <c r="L282" i="9"/>
  <c r="L279" i="9" s="1"/>
  <c r="K282" i="9"/>
  <c r="K279" i="9" s="1"/>
  <c r="M281" i="9"/>
  <c r="N281" i="9" s="1"/>
  <c r="O281" i="9" s="1"/>
  <c r="M280" i="9"/>
  <c r="N280" i="9" s="1"/>
  <c r="M271" i="9"/>
  <c r="L271" i="9"/>
  <c r="K271" i="9"/>
  <c r="K270" i="9" s="1"/>
  <c r="K269" i="9" s="1"/>
  <c r="J270" i="9"/>
  <c r="J269" i="9" s="1"/>
  <c r="M267" i="9"/>
  <c r="L267" i="9"/>
  <c r="K267" i="9"/>
  <c r="K264" i="9" s="1"/>
  <c r="M266" i="9"/>
  <c r="M265" i="9"/>
  <c r="J264" i="9"/>
  <c r="L259" i="9"/>
  <c r="M258" i="9"/>
  <c r="M257" i="9" s="1"/>
  <c r="M256" i="9" s="1"/>
  <c r="L258" i="9"/>
  <c r="K258" i="9"/>
  <c r="K257" i="9" s="1"/>
  <c r="J257" i="9"/>
  <c r="J256" i="9" s="1"/>
  <c r="N255" i="9"/>
  <c r="M254" i="9"/>
  <c r="L254" i="9"/>
  <c r="L251" i="9" s="1"/>
  <c r="K254" i="9"/>
  <c r="K251" i="9" s="1"/>
  <c r="M253" i="9"/>
  <c r="L253" i="9"/>
  <c r="M252" i="9"/>
  <c r="J251" i="9"/>
  <c r="M249" i="9"/>
  <c r="M248" i="9" s="1"/>
  <c r="L249" i="9"/>
  <c r="K249" i="9"/>
  <c r="K248" i="9" s="1"/>
  <c r="K247" i="9" s="1"/>
  <c r="K245" i="9"/>
  <c r="K244" i="9" s="1"/>
  <c r="J248" i="9"/>
  <c r="J247" i="9" s="1"/>
  <c r="M245" i="9"/>
  <c r="M244" i="9" s="1"/>
  <c r="L245" i="9"/>
  <c r="M241" i="9"/>
  <c r="L241" i="9"/>
  <c r="K241" i="9"/>
  <c r="M240" i="9"/>
  <c r="N240" i="9" s="1"/>
  <c r="L240" i="9"/>
  <c r="K240" i="9"/>
  <c r="J239" i="9"/>
  <c r="J238" i="9" s="1"/>
  <c r="J236" i="9" s="1"/>
  <c r="M230" i="9"/>
  <c r="N230" i="9" s="1"/>
  <c r="L230" i="9"/>
  <c r="K230" i="9"/>
  <c r="M229" i="9"/>
  <c r="L229" i="9"/>
  <c r="K229" i="9"/>
  <c r="K226" i="9" s="1"/>
  <c r="M228" i="9"/>
  <c r="M227" i="9"/>
  <c r="N227" i="9" s="1"/>
  <c r="O227" i="9" s="1"/>
  <c r="J226" i="9"/>
  <c r="M224" i="9"/>
  <c r="L224" i="9"/>
  <c r="L223" i="9" s="1"/>
  <c r="K224" i="9"/>
  <c r="K223" i="9" s="1"/>
  <c r="J223" i="9"/>
  <c r="J222" i="9" s="1"/>
  <c r="J214" i="9" s="1"/>
  <c r="M220" i="9"/>
  <c r="L220" i="9"/>
  <c r="L219" i="9" s="1"/>
  <c r="L218" i="9" s="1"/>
  <c r="K220" i="9"/>
  <c r="K219" i="9" s="1"/>
  <c r="K218" i="9" s="1"/>
  <c r="J219" i="9"/>
  <c r="J218" i="9" s="1"/>
  <c r="M213" i="9"/>
  <c r="L213" i="9"/>
  <c r="L212" i="9" s="1"/>
  <c r="K213" i="9"/>
  <c r="K212" i="9" s="1"/>
  <c r="J212" i="9"/>
  <c r="M210" i="9"/>
  <c r="L210" i="9"/>
  <c r="K210" i="9"/>
  <c r="K207" i="9" s="1"/>
  <c r="M209" i="9"/>
  <c r="N209" i="9" s="1"/>
  <c r="L209" i="9"/>
  <c r="M208" i="9"/>
  <c r="L208" i="9"/>
  <c r="J207" i="9"/>
  <c r="M205" i="9"/>
  <c r="M204" i="9" s="1"/>
  <c r="L205" i="9"/>
  <c r="K205" i="9"/>
  <c r="K204" i="9" s="1"/>
  <c r="J204" i="9"/>
  <c r="J203" i="9" s="1"/>
  <c r="M201" i="9"/>
  <c r="L201" i="9"/>
  <c r="K201" i="9"/>
  <c r="K200" i="9"/>
  <c r="M200" i="9"/>
  <c r="L200" i="9"/>
  <c r="J199" i="9"/>
  <c r="J198" i="9" s="1"/>
  <c r="M196" i="9"/>
  <c r="M195" i="9" s="1"/>
  <c r="L196" i="9"/>
  <c r="L195" i="9" s="1"/>
  <c r="K196" i="9"/>
  <c r="K195" i="9" s="1"/>
  <c r="J195" i="9"/>
  <c r="M188" i="9"/>
  <c r="L188" i="9"/>
  <c r="L187" i="9" s="1"/>
  <c r="K188" i="9"/>
  <c r="K187" i="9" s="1"/>
  <c r="J187" i="9"/>
  <c r="M185" i="9"/>
  <c r="L185" i="9"/>
  <c r="L184" i="9" s="1"/>
  <c r="K185" i="9"/>
  <c r="K184" i="9" s="1"/>
  <c r="J184" i="9"/>
  <c r="J181" i="9" s="1"/>
  <c r="J176" i="9" s="1"/>
  <c r="J174" i="9" s="1"/>
  <c r="M182" i="9"/>
  <c r="L182" i="9"/>
  <c r="K182" i="9"/>
  <c r="N179" i="9"/>
  <c r="M178" i="9"/>
  <c r="L178" i="9"/>
  <c r="K178" i="9"/>
  <c r="M172" i="9"/>
  <c r="M171" i="9" s="1"/>
  <c r="M170" i="9" s="1"/>
  <c r="L172" i="9"/>
  <c r="L171" i="9" s="1"/>
  <c r="L170" i="9" s="1"/>
  <c r="L163" i="9"/>
  <c r="L168" i="9"/>
  <c r="L165" i="9" s="1"/>
  <c r="K172" i="9"/>
  <c r="K171" i="9" s="1"/>
  <c r="K170" i="9" s="1"/>
  <c r="J171" i="9"/>
  <c r="J170" i="9" s="1"/>
  <c r="M168" i="9"/>
  <c r="K168" i="9"/>
  <c r="K165" i="9" s="1"/>
  <c r="M167" i="9"/>
  <c r="M166" i="9"/>
  <c r="J165" i="9"/>
  <c r="M163" i="9"/>
  <c r="K163" i="9"/>
  <c r="J163" i="9"/>
  <c r="M156" i="9"/>
  <c r="M155" i="9" s="1"/>
  <c r="L156" i="9"/>
  <c r="L155" i="9" s="1"/>
  <c r="K156" i="9"/>
  <c r="J155" i="9"/>
  <c r="J147" i="9" s="1"/>
  <c r="M154" i="9"/>
  <c r="L154" i="9"/>
  <c r="L151" i="9" s="1"/>
  <c r="K154" i="9"/>
  <c r="K151" i="9" s="1"/>
  <c r="M153" i="9"/>
  <c r="M152" i="9"/>
  <c r="N152" i="9" s="1"/>
  <c r="O152" i="9" s="1"/>
  <c r="M149" i="9"/>
  <c r="L149" i="9"/>
  <c r="L148" i="9" s="1"/>
  <c r="K148" i="9"/>
  <c r="M145" i="9"/>
  <c r="M144" i="9" s="1"/>
  <c r="L145" i="9"/>
  <c r="L144" i="9" s="1"/>
  <c r="K145" i="9"/>
  <c r="K144" i="9" s="1"/>
  <c r="K143" i="9" s="1"/>
  <c r="J144" i="9"/>
  <c r="J143" i="9" s="1"/>
  <c r="J141" i="9" s="1"/>
  <c r="J139" i="9" s="1"/>
  <c r="M138" i="9"/>
  <c r="M137" i="9" s="1"/>
  <c r="L138" i="9"/>
  <c r="K137" i="9"/>
  <c r="J137" i="9"/>
  <c r="M135" i="9"/>
  <c r="L135" i="9"/>
  <c r="M134" i="9"/>
  <c r="N134" i="9" s="1"/>
  <c r="O134" i="9" s="1"/>
  <c r="M133" i="9"/>
  <c r="N133" i="9" s="1"/>
  <c r="O133" i="9" s="1"/>
  <c r="K132" i="9"/>
  <c r="J132" i="9"/>
  <c r="M130" i="9"/>
  <c r="L130" i="9"/>
  <c r="K130" i="9"/>
  <c r="K129" i="9" s="1"/>
  <c r="K127" i="9" s="1"/>
  <c r="K125" i="9" s="1"/>
  <c r="J130" i="9"/>
  <c r="J129" i="9" s="1"/>
  <c r="J127" i="9" s="1"/>
  <c r="J125" i="9" s="1"/>
  <c r="M124" i="9"/>
  <c r="M123" i="9" s="1"/>
  <c r="L124" i="9"/>
  <c r="K124" i="9"/>
  <c r="K123" i="9" s="1"/>
  <c r="K121" i="9"/>
  <c r="K118" i="9" s="1"/>
  <c r="J123" i="9"/>
  <c r="N122" i="9"/>
  <c r="O122" i="9" s="1"/>
  <c r="M121" i="9"/>
  <c r="L121" i="9"/>
  <c r="L118" i="9" s="1"/>
  <c r="M120" i="9"/>
  <c r="N120" i="9" s="1"/>
  <c r="M119" i="9"/>
  <c r="N119" i="9" s="1"/>
  <c r="J118" i="9"/>
  <c r="J117" i="9" s="1"/>
  <c r="N116" i="9"/>
  <c r="O116" i="9" s="1"/>
  <c r="M115" i="9"/>
  <c r="M114" i="9" s="1"/>
  <c r="M112" i="9" s="1"/>
  <c r="L115" i="9"/>
  <c r="K115" i="9"/>
  <c r="K114" i="9" s="1"/>
  <c r="K112" i="9" s="1"/>
  <c r="J114" i="9"/>
  <c r="J112" i="9" s="1"/>
  <c r="L107" i="9"/>
  <c r="M106" i="9"/>
  <c r="L106" i="9"/>
  <c r="K106" i="9"/>
  <c r="K105" i="9" s="1"/>
  <c r="K104" i="9" s="1"/>
  <c r="K102" i="9"/>
  <c r="M99" i="9"/>
  <c r="N99" i="9" s="1"/>
  <c r="O99" i="9" s="1"/>
  <c r="M100" i="9"/>
  <c r="N100" i="9" s="1"/>
  <c r="O100" i="9" s="1"/>
  <c r="M101" i="9"/>
  <c r="N101" i="9" s="1"/>
  <c r="O101" i="9" s="1"/>
  <c r="M102" i="9"/>
  <c r="L102" i="9"/>
  <c r="P105" i="9"/>
  <c r="J105" i="9"/>
  <c r="J104" i="9" s="1"/>
  <c r="J99" i="9"/>
  <c r="M96" i="9"/>
  <c r="M95" i="9" s="1"/>
  <c r="M94" i="9" s="1"/>
  <c r="L96" i="9"/>
  <c r="L95" i="9" s="1"/>
  <c r="L94" i="9" s="1"/>
  <c r="K96" i="9"/>
  <c r="K95" i="9" s="1"/>
  <c r="K94" i="9" s="1"/>
  <c r="J95" i="9"/>
  <c r="J94" i="9" s="1"/>
  <c r="M90" i="9"/>
  <c r="L90" i="9"/>
  <c r="L89" i="9" s="1"/>
  <c r="K90" i="9"/>
  <c r="K89" i="9" s="1"/>
  <c r="K88" i="9" s="1"/>
  <c r="J89" i="9"/>
  <c r="J88" i="9" s="1"/>
  <c r="M86" i="9"/>
  <c r="L86" i="9"/>
  <c r="L83" i="9" s="1"/>
  <c r="K86" i="9"/>
  <c r="K83" i="9" s="1"/>
  <c r="M85" i="9"/>
  <c r="N85" i="9" s="1"/>
  <c r="O85" i="9" s="1"/>
  <c r="M84" i="9"/>
  <c r="N84" i="9" s="1"/>
  <c r="J83" i="9"/>
  <c r="M80" i="9"/>
  <c r="M79" i="9" s="1"/>
  <c r="M78" i="9" s="1"/>
  <c r="L80" i="9"/>
  <c r="L79" i="9" s="1"/>
  <c r="L78" i="9" s="1"/>
  <c r="K80" i="9"/>
  <c r="K79" i="9" s="1"/>
  <c r="K78" i="9" s="1"/>
  <c r="J79" i="9"/>
  <c r="J78" i="9" s="1"/>
  <c r="M73" i="9"/>
  <c r="L73" i="9"/>
  <c r="L72" i="9" s="1"/>
  <c r="K73" i="9"/>
  <c r="K72" i="9" s="1"/>
  <c r="J72" i="9"/>
  <c r="N71" i="9"/>
  <c r="O71" i="9" s="1"/>
  <c r="M70" i="9"/>
  <c r="L70" i="9"/>
  <c r="K70" i="9"/>
  <c r="K67" i="9" s="1"/>
  <c r="M69" i="9"/>
  <c r="N69" i="9" s="1"/>
  <c r="O69" i="9" s="1"/>
  <c r="M68" i="9"/>
  <c r="N68" i="9" s="1"/>
  <c r="L67" i="9"/>
  <c r="L66" i="9" s="1"/>
  <c r="J67" i="9"/>
  <c r="J66" i="9" s="1"/>
  <c r="J62" i="9"/>
  <c r="J61" i="9" s="1"/>
  <c r="N64" i="9"/>
  <c r="O64" i="9" s="1"/>
  <c r="M63" i="9"/>
  <c r="M62" i="9" s="1"/>
  <c r="M61" i="9" s="1"/>
  <c r="L63" i="9"/>
  <c r="K63" i="9"/>
  <c r="K62" i="9" s="1"/>
  <c r="K61" i="9" s="1"/>
  <c r="M56" i="9"/>
  <c r="L56" i="9"/>
  <c r="K56" i="9"/>
  <c r="M54" i="9"/>
  <c r="L54" i="9"/>
  <c r="L51" i="9" s="1"/>
  <c r="K54" i="9"/>
  <c r="K51" i="9" s="1"/>
  <c r="M53" i="9"/>
  <c r="N53" i="9" s="1"/>
  <c r="O53" i="9" s="1"/>
  <c r="M52" i="9"/>
  <c r="N52" i="9" s="1"/>
  <c r="O52" i="9" s="1"/>
  <c r="P51" i="9"/>
  <c r="J51" i="9"/>
  <c r="M50" i="9"/>
  <c r="M49" i="9" s="1"/>
  <c r="L50" i="9"/>
  <c r="K50" i="9"/>
  <c r="K49" i="9" s="1"/>
  <c r="J49" i="9"/>
  <c r="M46" i="9"/>
  <c r="M45" i="9" s="1"/>
  <c r="M44" i="9" s="1"/>
  <c r="M42" i="9" s="1"/>
  <c r="L46" i="9"/>
  <c r="K46" i="9"/>
  <c r="K45" i="9" s="1"/>
  <c r="K44" i="9" s="1"/>
  <c r="K42" i="9" s="1"/>
  <c r="K40" i="9" s="1"/>
  <c r="K38" i="9" s="1"/>
  <c r="J45" i="9"/>
  <c r="J44" i="9" s="1"/>
  <c r="J42" i="9" s="1"/>
  <c r="J40" i="9" s="1"/>
  <c r="J38" i="9" s="1"/>
  <c r="N35" i="9"/>
  <c r="O35" i="9" s="1"/>
  <c r="N34" i="9"/>
  <c r="O34" i="9" s="1"/>
  <c r="M33" i="9"/>
  <c r="M32" i="9" s="1"/>
  <c r="L33" i="9"/>
  <c r="K33" i="9"/>
  <c r="K32" i="9" s="1"/>
  <c r="J32" i="9"/>
  <c r="J25" i="9"/>
  <c r="J27" i="9"/>
  <c r="N31" i="9"/>
  <c r="M30" i="9"/>
  <c r="L30" i="9"/>
  <c r="K30" i="9"/>
  <c r="K27" i="9" s="1"/>
  <c r="M29" i="9"/>
  <c r="L29" i="9"/>
  <c r="M28" i="9"/>
  <c r="N28" i="9" s="1"/>
  <c r="O28" i="9" s="1"/>
  <c r="M26" i="9"/>
  <c r="M25" i="9" s="1"/>
  <c r="L26" i="9"/>
  <c r="K25" i="9"/>
  <c r="M22" i="9"/>
  <c r="L22" i="9"/>
  <c r="L20" i="9" s="1"/>
  <c r="L19" i="9" s="1"/>
  <c r="L17" i="9" s="1"/>
  <c r="L21" i="9"/>
  <c r="K22" i="9"/>
  <c r="M21" i="9"/>
  <c r="K21" i="9"/>
  <c r="J20" i="9"/>
  <c r="J19" i="9" s="1"/>
  <c r="J17" i="9" s="1"/>
  <c r="O1093" i="8"/>
  <c r="L1093" i="8"/>
  <c r="N1090" i="8"/>
  <c r="O1090" i="8" s="1"/>
  <c r="M1089" i="8"/>
  <c r="L1089" i="8"/>
  <c r="K1089" i="8"/>
  <c r="K1088" i="8" s="1"/>
  <c r="J1089" i="8"/>
  <c r="J1088" i="8" s="1"/>
  <c r="M1086" i="8"/>
  <c r="M1083" i="8" s="1"/>
  <c r="L1086" i="8"/>
  <c r="L1083" i="8" s="1"/>
  <c r="K1086" i="8"/>
  <c r="N1085" i="8"/>
  <c r="O1085" i="8" s="1"/>
  <c r="N1084" i="8"/>
  <c r="O1084" i="8" s="1"/>
  <c r="J1083" i="8"/>
  <c r="N1078" i="8"/>
  <c r="O1078" i="8" s="1"/>
  <c r="M1077" i="8"/>
  <c r="L1077" i="8"/>
  <c r="L1076" i="8" s="1"/>
  <c r="K1077" i="8"/>
  <c r="K1076" i="8" s="1"/>
  <c r="J1077" i="8"/>
  <c r="J1076" i="8" s="1"/>
  <c r="M1074" i="8"/>
  <c r="M1071" i="8" s="1"/>
  <c r="L1074" i="8"/>
  <c r="L1071" i="8" s="1"/>
  <c r="N1073" i="8"/>
  <c r="O1073" i="8" s="1"/>
  <c r="N1072" i="8"/>
  <c r="O1072" i="8" s="1"/>
  <c r="K1071" i="8"/>
  <c r="J1071" i="8"/>
  <c r="N1066" i="8"/>
  <c r="K1066" i="8"/>
  <c r="K1062" i="8"/>
  <c r="K1059" i="8" s="1"/>
  <c r="M1065" i="8"/>
  <c r="M1064" i="8" s="1"/>
  <c r="L1065" i="8"/>
  <c r="L1064" i="8" s="1"/>
  <c r="J1065" i="8"/>
  <c r="J1064" i="8" s="1"/>
  <c r="M1062" i="8"/>
  <c r="L1062" i="8"/>
  <c r="L1059" i="8" s="1"/>
  <c r="M1061" i="8"/>
  <c r="M1060" i="8"/>
  <c r="L1060" i="8"/>
  <c r="L1058" i="8" s="1"/>
  <c r="L1056" i="8" s="1"/>
  <c r="L1055" i="8" s="1"/>
  <c r="J1059" i="8"/>
  <c r="L1053" i="8"/>
  <c r="L1052" i="8" s="1"/>
  <c r="L1051" i="8" s="1"/>
  <c r="K1053" i="8"/>
  <c r="K1052" i="8" s="1"/>
  <c r="K1051" i="8" s="1"/>
  <c r="M1052" i="8"/>
  <c r="J1052" i="8"/>
  <c r="J1051" i="8" s="1"/>
  <c r="M1049" i="8"/>
  <c r="L1049" i="8"/>
  <c r="L1046" i="8" s="1"/>
  <c r="K1049" i="8"/>
  <c r="K1046" i="8" s="1"/>
  <c r="M1048" i="8"/>
  <c r="N1048" i="8" s="1"/>
  <c r="M1047" i="8"/>
  <c r="N1047" i="8" s="1"/>
  <c r="O1047" i="8" s="1"/>
  <c r="J1046" i="8"/>
  <c r="L1041" i="8"/>
  <c r="K1041" i="8"/>
  <c r="K1040" i="8" s="1"/>
  <c r="M1040" i="8"/>
  <c r="M1039" i="8" s="1"/>
  <c r="J1040" i="8"/>
  <c r="J1039" i="8" s="1"/>
  <c r="M1037" i="8"/>
  <c r="N1037" i="8" s="1"/>
  <c r="L1037" i="8"/>
  <c r="K1037" i="8"/>
  <c r="K1034" i="8" s="1"/>
  <c r="K1035" i="8"/>
  <c r="M1036" i="8"/>
  <c r="N1036" i="8" s="1"/>
  <c r="O1036" i="8" s="1"/>
  <c r="M1035" i="8"/>
  <c r="L1035" i="8"/>
  <c r="J1034" i="8"/>
  <c r="N1029" i="8"/>
  <c r="K1029" i="8"/>
  <c r="M1028" i="8"/>
  <c r="L1028" i="8"/>
  <c r="L1027" i="8" s="1"/>
  <c r="J1028" i="8"/>
  <c r="J1027" i="8" s="1"/>
  <c r="M1025" i="8"/>
  <c r="L1025" i="8"/>
  <c r="L1022" i="8" s="1"/>
  <c r="K1025" i="8"/>
  <c r="K1022" i="8" s="1"/>
  <c r="M1024" i="8"/>
  <c r="N1024" i="8" s="1"/>
  <c r="O1024" i="8" s="1"/>
  <c r="M1023" i="8"/>
  <c r="N1023" i="8" s="1"/>
  <c r="J1022" i="8"/>
  <c r="M1021" i="8"/>
  <c r="M1020" i="8" s="1"/>
  <c r="L1021" i="8"/>
  <c r="L1020" i="8" s="1"/>
  <c r="K1020" i="8"/>
  <c r="J1020" i="8"/>
  <c r="M1018" i="8"/>
  <c r="L1018" i="8"/>
  <c r="L892" i="7" s="1"/>
  <c r="M892" i="7"/>
  <c r="M1017" i="8"/>
  <c r="M1016" i="8" s="1"/>
  <c r="L1017" i="8"/>
  <c r="K1017" i="8"/>
  <c r="K1016" i="8" s="1"/>
  <c r="J1014" i="8"/>
  <c r="J1013" i="8" s="1"/>
  <c r="M1010" i="8"/>
  <c r="L1010" i="8"/>
  <c r="M1009" i="8"/>
  <c r="L1009" i="8"/>
  <c r="K1009" i="8"/>
  <c r="K1008" i="8" s="1"/>
  <c r="K1007" i="8" s="1"/>
  <c r="J1008" i="8"/>
  <c r="J1007" i="8" s="1"/>
  <c r="M1005" i="8"/>
  <c r="M1002" i="8" s="1"/>
  <c r="L1005" i="8"/>
  <c r="K1005" i="8"/>
  <c r="K1002" i="8" s="1"/>
  <c r="M1004" i="8"/>
  <c r="L1004" i="8"/>
  <c r="N1004" i="8" s="1"/>
  <c r="O1004" i="8" s="1"/>
  <c r="N1003" i="8"/>
  <c r="K1003" i="8"/>
  <c r="J1002" i="8"/>
  <c r="J1001" i="8" s="1"/>
  <c r="J999" i="8" s="1"/>
  <c r="J998" i="8" s="1"/>
  <c r="N996" i="8"/>
  <c r="K996" i="8"/>
  <c r="M995" i="8"/>
  <c r="L995" i="8"/>
  <c r="L992" i="8"/>
  <c r="L989" i="8" s="1"/>
  <c r="J995" i="8"/>
  <c r="J994" i="8" s="1"/>
  <c r="M992" i="8"/>
  <c r="K992" i="8"/>
  <c r="K989" i="8" s="1"/>
  <c r="M991" i="8"/>
  <c r="N991" i="8" s="1"/>
  <c r="O991" i="8" s="1"/>
  <c r="M990" i="8"/>
  <c r="N990" i="8" s="1"/>
  <c r="O990" i="8" s="1"/>
  <c r="J989" i="8"/>
  <c r="N982" i="8"/>
  <c r="K982" i="8"/>
  <c r="M981" i="8"/>
  <c r="M980" i="8" s="1"/>
  <c r="L981" i="8"/>
  <c r="L980" i="8" s="1"/>
  <c r="J981" i="8"/>
  <c r="J980" i="8" s="1"/>
  <c r="J975" i="8"/>
  <c r="M978" i="8"/>
  <c r="L978" i="8"/>
  <c r="K978" i="8"/>
  <c r="K975" i="8" s="1"/>
  <c r="M977" i="8"/>
  <c r="M976" i="8"/>
  <c r="L976" i="8"/>
  <c r="L975" i="8" s="1"/>
  <c r="N972" i="8"/>
  <c r="O972" i="8" s="1"/>
  <c r="M971" i="8"/>
  <c r="M970" i="8" s="1"/>
  <c r="L971" i="8"/>
  <c r="K971" i="8"/>
  <c r="K970" i="8" s="1"/>
  <c r="K967" i="8"/>
  <c r="K966" i="8" s="1"/>
  <c r="J971" i="8"/>
  <c r="J970" i="8" s="1"/>
  <c r="N968" i="8"/>
  <c r="O968" i="8" s="1"/>
  <c r="M967" i="8"/>
  <c r="M966" i="8" s="1"/>
  <c r="L967" i="8"/>
  <c r="J966" i="8"/>
  <c r="N960" i="8"/>
  <c r="O960" i="8" s="1"/>
  <c r="N959" i="8"/>
  <c r="K959" i="8"/>
  <c r="O959" i="8" s="1"/>
  <c r="M958" i="8"/>
  <c r="M957" i="8" s="1"/>
  <c r="L958" i="8"/>
  <c r="L957" i="8" s="1"/>
  <c r="J958" i="8"/>
  <c r="J957" i="8" s="1"/>
  <c r="J952" i="8"/>
  <c r="M955" i="8"/>
  <c r="L955" i="8"/>
  <c r="K955" i="8"/>
  <c r="K952" i="8" s="1"/>
  <c r="M954" i="8"/>
  <c r="L954" i="8"/>
  <c r="L953" i="8" s="1"/>
  <c r="N953" i="8" s="1"/>
  <c r="K954" i="8"/>
  <c r="K953" i="8"/>
  <c r="L402" i="23" s="1"/>
  <c r="M949" i="8"/>
  <c r="L949" i="8"/>
  <c r="K949" i="8"/>
  <c r="M947" i="8"/>
  <c r="L947" i="8"/>
  <c r="K947" i="8"/>
  <c r="M946" i="8"/>
  <c r="L946" i="8"/>
  <c r="K946" i="8"/>
  <c r="M945" i="8"/>
  <c r="L945" i="8"/>
  <c r="K945" i="8"/>
  <c r="M944" i="8"/>
  <c r="L944" i="8"/>
  <c r="N944" i="8" s="1"/>
  <c r="O944" i="8" s="1"/>
  <c r="K944" i="8"/>
  <c r="M943" i="8"/>
  <c r="L943" i="8"/>
  <c r="K943" i="8"/>
  <c r="M942" i="8"/>
  <c r="L942" i="8"/>
  <c r="K942" i="8"/>
  <c r="M941" i="8"/>
  <c r="L941" i="8"/>
  <c r="K941" i="8"/>
  <c r="J941" i="8"/>
  <c r="J940" i="8" s="1"/>
  <c r="M938" i="8"/>
  <c r="N938" i="8" s="1"/>
  <c r="L938" i="8"/>
  <c r="K938" i="8"/>
  <c r="M937" i="8"/>
  <c r="L937" i="8"/>
  <c r="N937" i="8" s="1"/>
  <c r="K937" i="8"/>
  <c r="M936" i="8"/>
  <c r="L936" i="8"/>
  <c r="K936" i="8"/>
  <c r="M935" i="8"/>
  <c r="L935" i="8"/>
  <c r="K935" i="8"/>
  <c r="M934" i="8"/>
  <c r="L934" i="8"/>
  <c r="K934" i="8"/>
  <c r="M933" i="8"/>
  <c r="L933" i="8"/>
  <c r="K933" i="8"/>
  <c r="M932" i="8"/>
  <c r="L932" i="8"/>
  <c r="K932" i="8"/>
  <c r="M931" i="8"/>
  <c r="L931" i="8"/>
  <c r="K931" i="8"/>
  <c r="K930" i="8"/>
  <c r="M930" i="8"/>
  <c r="L930" i="8"/>
  <c r="J929" i="8"/>
  <c r="M921" i="8"/>
  <c r="N921" i="8" s="1"/>
  <c r="K921" i="8"/>
  <c r="M920" i="8"/>
  <c r="K920" i="8"/>
  <c r="N919" i="8"/>
  <c r="K919" i="8"/>
  <c r="L918" i="8"/>
  <c r="L917" i="8" s="1"/>
  <c r="J918" i="8"/>
  <c r="J917" i="8" s="1"/>
  <c r="M915" i="8"/>
  <c r="N915" i="8" s="1"/>
  <c r="L915" i="8"/>
  <c r="L912" i="8" s="1"/>
  <c r="K915" i="8"/>
  <c r="K912" i="8" s="1"/>
  <c r="M914" i="8"/>
  <c r="N914" i="8" s="1"/>
  <c r="M913" i="8"/>
  <c r="J912" i="8"/>
  <c r="M911" i="8"/>
  <c r="M910" i="8" s="1"/>
  <c r="L911" i="8"/>
  <c r="K911" i="8"/>
  <c r="N906" i="8"/>
  <c r="O906" i="8" s="1"/>
  <c r="M905" i="8"/>
  <c r="L905" i="8"/>
  <c r="K905" i="8"/>
  <c r="J905" i="8"/>
  <c r="J902" i="8"/>
  <c r="N903" i="8"/>
  <c r="P903" i="8" s="1"/>
  <c r="M902" i="8"/>
  <c r="M901" i="8" s="1"/>
  <c r="L902" i="8"/>
  <c r="K902" i="8"/>
  <c r="N896" i="8"/>
  <c r="O896" i="8" s="1"/>
  <c r="M895" i="8"/>
  <c r="M894" i="8" s="1"/>
  <c r="L895" i="8"/>
  <c r="K895" i="8"/>
  <c r="K894" i="8" s="1"/>
  <c r="J895" i="8"/>
  <c r="J894" i="8" s="1"/>
  <c r="J889" i="8"/>
  <c r="J882" i="8"/>
  <c r="J881" i="8" s="1"/>
  <c r="M892" i="8"/>
  <c r="L892" i="8"/>
  <c r="L889" i="8" s="1"/>
  <c r="K892" i="8"/>
  <c r="K889" i="8" s="1"/>
  <c r="M891" i="8"/>
  <c r="N891" i="8" s="1"/>
  <c r="O891" i="8" s="1"/>
  <c r="M890" i="8"/>
  <c r="N890" i="8" s="1"/>
  <c r="M887" i="8"/>
  <c r="M886" i="8" s="1"/>
  <c r="L887" i="8"/>
  <c r="K887" i="8"/>
  <c r="N883" i="8"/>
  <c r="M882" i="8"/>
  <c r="L882" i="8"/>
  <c r="L881" i="8" s="1"/>
  <c r="K882" i="8"/>
  <c r="K881" i="8" s="1"/>
  <c r="N875" i="8"/>
  <c r="M874" i="8"/>
  <c r="L874" i="8"/>
  <c r="K874" i="8"/>
  <c r="K873" i="8" s="1"/>
  <c r="J874" i="8"/>
  <c r="J873" i="8" s="1"/>
  <c r="J868" i="8"/>
  <c r="M871" i="8"/>
  <c r="L871" i="8"/>
  <c r="L868" i="8" s="1"/>
  <c r="M870" i="8"/>
  <c r="N401" i="30" s="1"/>
  <c r="M869" i="8"/>
  <c r="L869" i="8"/>
  <c r="N869" i="8" s="1"/>
  <c r="O869" i="8" s="1"/>
  <c r="K868" i="8"/>
  <c r="M865" i="8"/>
  <c r="L865" i="8"/>
  <c r="K865" i="8"/>
  <c r="M864" i="8"/>
  <c r="L864" i="8"/>
  <c r="K864" i="8"/>
  <c r="M863" i="8"/>
  <c r="N863" i="8" s="1"/>
  <c r="L863" i="8"/>
  <c r="K863" i="8"/>
  <c r="M862" i="8"/>
  <c r="L862" i="8"/>
  <c r="N862" i="8" s="1"/>
  <c r="K862" i="8"/>
  <c r="M861" i="8"/>
  <c r="L861" i="8"/>
  <c r="K861" i="8"/>
  <c r="M860" i="8"/>
  <c r="L860" i="8"/>
  <c r="K860" i="8"/>
  <c r="M859" i="8"/>
  <c r="L859" i="8"/>
  <c r="K859" i="8"/>
  <c r="J858" i="8"/>
  <c r="M856" i="8"/>
  <c r="M853" i="8"/>
  <c r="M854" i="8"/>
  <c r="M855" i="8"/>
  <c r="L856" i="8"/>
  <c r="K856" i="8"/>
  <c r="L855" i="8"/>
  <c r="K855" i="8"/>
  <c r="L854" i="8"/>
  <c r="K854" i="8"/>
  <c r="L853" i="8"/>
  <c r="K853" i="8"/>
  <c r="J852" i="8"/>
  <c r="M842" i="8"/>
  <c r="M840" i="8" s="1"/>
  <c r="M839" i="8" s="1"/>
  <c r="K842" i="8"/>
  <c r="K840" i="8" s="1"/>
  <c r="K839" i="8" s="1"/>
  <c r="M841" i="8"/>
  <c r="L841" i="8"/>
  <c r="K841" i="8"/>
  <c r="L840" i="8"/>
  <c r="L839" i="8" s="1"/>
  <c r="J840" i="8"/>
  <c r="J839" i="8" s="1"/>
  <c r="J834" i="8"/>
  <c r="J823" i="8"/>
  <c r="J827" i="8"/>
  <c r="M837" i="8"/>
  <c r="L837" i="8"/>
  <c r="K837" i="8"/>
  <c r="M836" i="8"/>
  <c r="M835" i="8"/>
  <c r="N835" i="8" s="1"/>
  <c r="M831" i="8"/>
  <c r="L831" i="8"/>
  <c r="K831" i="8"/>
  <c r="K827" i="8" s="1"/>
  <c r="M828" i="8"/>
  <c r="M825" i="8"/>
  <c r="L825" i="8"/>
  <c r="K825" i="8"/>
  <c r="K824" i="8"/>
  <c r="M824" i="8"/>
  <c r="M823" i="8" s="1"/>
  <c r="N823" i="8" s="1"/>
  <c r="L824" i="8"/>
  <c r="L823" i="8" s="1"/>
  <c r="M814" i="8"/>
  <c r="M813" i="8" s="1"/>
  <c r="M812" i="8" s="1"/>
  <c r="L814" i="8"/>
  <c r="K814" i="8"/>
  <c r="K813" i="8" s="1"/>
  <c r="K812" i="8" s="1"/>
  <c r="J813" i="8"/>
  <c r="J812" i="8" s="1"/>
  <c r="M810" i="8"/>
  <c r="L810" i="8"/>
  <c r="L807" i="8" s="1"/>
  <c r="K810" i="8"/>
  <c r="K807" i="8" s="1"/>
  <c r="K791" i="8"/>
  <c r="K795" i="8"/>
  <c r="K796" i="8"/>
  <c r="K797" i="8"/>
  <c r="K798" i="8"/>
  <c r="K799" i="8"/>
  <c r="K800" i="8"/>
  <c r="K801" i="8"/>
  <c r="K802" i="8"/>
  <c r="K803" i="8"/>
  <c r="M809" i="8"/>
  <c r="M808" i="8"/>
  <c r="L808" i="8"/>
  <c r="J807" i="8"/>
  <c r="M803" i="8"/>
  <c r="L803" i="8"/>
  <c r="M802" i="8"/>
  <c r="L802" i="8"/>
  <c r="M801" i="8"/>
  <c r="L801" i="8"/>
  <c r="M800" i="8"/>
  <c r="L800" i="8"/>
  <c r="M799" i="8"/>
  <c r="L799" i="8"/>
  <c r="M798" i="8"/>
  <c r="L798" i="8"/>
  <c r="M797" i="8"/>
  <c r="L797" i="8"/>
  <c r="N797" i="8" s="1"/>
  <c r="O797" i="8" s="1"/>
  <c r="M796" i="8"/>
  <c r="L796" i="8"/>
  <c r="M795" i="8"/>
  <c r="L795" i="8"/>
  <c r="J794" i="8"/>
  <c r="M791" i="8"/>
  <c r="L791" i="8"/>
  <c r="J791" i="8"/>
  <c r="N782" i="8"/>
  <c r="N781" i="8"/>
  <c r="K782" i="8"/>
  <c r="K781" i="8"/>
  <c r="O781" i="8" s="1"/>
  <c r="M780" i="8"/>
  <c r="M779" i="8" s="1"/>
  <c r="L780" i="8"/>
  <c r="L779" i="8"/>
  <c r="J780" i="8"/>
  <c r="J779" i="8" s="1"/>
  <c r="J774" i="8"/>
  <c r="M777" i="8"/>
  <c r="L777" i="8"/>
  <c r="L774" i="8" s="1"/>
  <c r="K777" i="8"/>
  <c r="K774" i="8" s="1"/>
  <c r="M776" i="8"/>
  <c r="N776" i="8" s="1"/>
  <c r="M775" i="8"/>
  <c r="N775" i="8" s="1"/>
  <c r="K775" i="8"/>
  <c r="J775" i="8"/>
  <c r="N766" i="8"/>
  <c r="K766" i="8"/>
  <c r="N765" i="8"/>
  <c r="K765" i="8"/>
  <c r="O765" i="8" s="1"/>
  <c r="M764" i="8"/>
  <c r="L764" i="8"/>
  <c r="J764" i="8"/>
  <c r="J763" i="8" s="1"/>
  <c r="J758" i="8"/>
  <c r="M761" i="8"/>
  <c r="L761" i="8"/>
  <c r="L758" i="8" s="1"/>
  <c r="K761" i="8"/>
  <c r="K758" i="8" s="1"/>
  <c r="M760" i="8"/>
  <c r="M759" i="8"/>
  <c r="N759" i="8" s="1"/>
  <c r="M750" i="8"/>
  <c r="L750" i="8"/>
  <c r="K750" i="8"/>
  <c r="L749" i="8"/>
  <c r="N749" i="8" s="1"/>
  <c r="O749" i="8" s="1"/>
  <c r="J749" i="8"/>
  <c r="J748" i="8" s="1"/>
  <c r="M748" i="8"/>
  <c r="K748" i="8"/>
  <c r="M746" i="8"/>
  <c r="L746" i="8"/>
  <c r="K746" i="8"/>
  <c r="K743" i="8" s="1"/>
  <c r="M745" i="8"/>
  <c r="M744" i="8"/>
  <c r="L744" i="8"/>
  <c r="J743" i="8"/>
  <c r="J742" i="8" s="1"/>
  <c r="M740" i="8"/>
  <c r="L740" i="8"/>
  <c r="K740" i="8"/>
  <c r="M739" i="8"/>
  <c r="L739" i="8"/>
  <c r="K739" i="8"/>
  <c r="J738" i="8"/>
  <c r="J736" i="8" s="1"/>
  <c r="M729" i="8"/>
  <c r="L729" i="8"/>
  <c r="N728" i="8"/>
  <c r="N727" i="8"/>
  <c r="O727" i="8" s="1"/>
  <c r="N726" i="8"/>
  <c r="O726" i="8" s="1"/>
  <c r="N725" i="8"/>
  <c r="O725" i="8" s="1"/>
  <c r="N724" i="8"/>
  <c r="O724" i="8" s="1"/>
  <c r="N723" i="8"/>
  <c r="O723" i="8" s="1"/>
  <c r="N722" i="8"/>
  <c r="O722" i="8" s="1"/>
  <c r="N721" i="8"/>
  <c r="O721" i="8" s="1"/>
  <c r="N720" i="8"/>
  <c r="O720" i="8" s="1"/>
  <c r="N719" i="8"/>
  <c r="O719" i="8" s="1"/>
  <c r="N718" i="8"/>
  <c r="O718" i="8" s="1"/>
  <c r="N717" i="8"/>
  <c r="N715" i="8"/>
  <c r="N714" i="8"/>
  <c r="N713" i="8"/>
  <c r="P713" i="8" s="1"/>
  <c r="N712" i="8"/>
  <c r="N711" i="8"/>
  <c r="P711" i="8" s="1"/>
  <c r="N710" i="8"/>
  <c r="P710" i="8" s="1"/>
  <c r="N709" i="8"/>
  <c r="P709" i="8" s="1"/>
  <c r="N708" i="8"/>
  <c r="N707" i="8"/>
  <c r="M706" i="8"/>
  <c r="L706" i="8"/>
  <c r="L704" i="8" s="1"/>
  <c r="K706" i="8"/>
  <c r="K704" i="8" s="1"/>
  <c r="J706" i="8"/>
  <c r="J704" i="8" s="1"/>
  <c r="M703" i="8"/>
  <c r="L703" i="8"/>
  <c r="K703" i="8"/>
  <c r="M702" i="8"/>
  <c r="L702" i="8"/>
  <c r="N702" i="8" s="1"/>
  <c r="K702" i="8"/>
  <c r="M701" i="8"/>
  <c r="N701" i="8" s="1"/>
  <c r="L701" i="8"/>
  <c r="K701" i="8"/>
  <c r="M700" i="8"/>
  <c r="L700" i="8"/>
  <c r="N700" i="8" s="1"/>
  <c r="O700" i="8" s="1"/>
  <c r="K700" i="8"/>
  <c r="M699" i="8"/>
  <c r="L699" i="8"/>
  <c r="K699" i="8"/>
  <c r="M698" i="8"/>
  <c r="L698" i="8"/>
  <c r="K698" i="8"/>
  <c r="M697" i="8"/>
  <c r="L697" i="8"/>
  <c r="K697" i="8"/>
  <c r="M696" i="8"/>
  <c r="L696" i="8"/>
  <c r="N696" i="8" s="1"/>
  <c r="O696" i="8" s="1"/>
  <c r="K696" i="8"/>
  <c r="M695" i="8"/>
  <c r="L695" i="8"/>
  <c r="K695" i="8"/>
  <c r="M694" i="8"/>
  <c r="L694" i="8"/>
  <c r="K694" i="8"/>
  <c r="J693" i="8"/>
  <c r="J690" i="8" s="1"/>
  <c r="M692" i="8"/>
  <c r="N692" i="8" s="1"/>
  <c r="M691" i="8"/>
  <c r="M689" i="8"/>
  <c r="L689" i="8"/>
  <c r="N689" i="8" s="1"/>
  <c r="P689" i="8" s="1"/>
  <c r="K689" i="8"/>
  <c r="M688" i="8"/>
  <c r="L688" i="8"/>
  <c r="K688" i="8"/>
  <c r="M687" i="8"/>
  <c r="L687" i="8"/>
  <c r="K687" i="8"/>
  <c r="M686" i="8"/>
  <c r="L686" i="8"/>
  <c r="K686" i="8"/>
  <c r="M685" i="8"/>
  <c r="L685" i="8"/>
  <c r="K685" i="8"/>
  <c r="M684" i="8"/>
  <c r="L684" i="8"/>
  <c r="K684" i="8"/>
  <c r="M683" i="8"/>
  <c r="L683" i="8"/>
  <c r="K683" i="8"/>
  <c r="M682" i="8"/>
  <c r="L682" i="8"/>
  <c r="K682" i="8"/>
  <c r="M681" i="8"/>
  <c r="L681" i="8"/>
  <c r="N681" i="8" s="1"/>
  <c r="K681" i="8"/>
  <c r="J680" i="8"/>
  <c r="M679" i="8"/>
  <c r="L679" i="8"/>
  <c r="N679" i="8" s="1"/>
  <c r="K679" i="8"/>
  <c r="M678" i="8"/>
  <c r="L678" i="8"/>
  <c r="K678" i="8"/>
  <c r="M677" i="8"/>
  <c r="L677" i="8"/>
  <c r="K677" i="8"/>
  <c r="M676" i="8"/>
  <c r="N676" i="8" s="1"/>
  <c r="L676" i="8"/>
  <c r="K676" i="8"/>
  <c r="M675" i="8"/>
  <c r="L675" i="8"/>
  <c r="K675" i="8"/>
  <c r="M674" i="8"/>
  <c r="L674" i="8"/>
  <c r="K674" i="8"/>
  <c r="K671" i="8"/>
  <c r="K672" i="8"/>
  <c r="K673" i="8"/>
  <c r="M673" i="8"/>
  <c r="L673" i="8"/>
  <c r="M672" i="8"/>
  <c r="L672" i="8"/>
  <c r="M671" i="8"/>
  <c r="L671" i="8"/>
  <c r="J670" i="8"/>
  <c r="J669" i="8" s="1"/>
  <c r="M667" i="8"/>
  <c r="M666" i="8" s="1"/>
  <c r="L667" i="8"/>
  <c r="K667" i="8"/>
  <c r="K666" i="8" s="1"/>
  <c r="P666" i="8"/>
  <c r="N663" i="8"/>
  <c r="P663" i="8" s="1"/>
  <c r="M662" i="8"/>
  <c r="L662" i="8"/>
  <c r="L661" i="8" s="1"/>
  <c r="K662" i="8"/>
  <c r="K661" i="8" s="1"/>
  <c r="L656" i="8"/>
  <c r="N656" i="8" s="1"/>
  <c r="K656" i="8"/>
  <c r="M655" i="8"/>
  <c r="M654" i="8" s="1"/>
  <c r="L655" i="8"/>
  <c r="K655" i="8"/>
  <c r="K654" i="8" s="1"/>
  <c r="K653" i="8" s="1"/>
  <c r="J654" i="8"/>
  <c r="J653" i="8" s="1"/>
  <c r="M651" i="8"/>
  <c r="M650" i="8" s="1"/>
  <c r="L651" i="8"/>
  <c r="L650" i="8" s="1"/>
  <c r="L649" i="8" s="1"/>
  <c r="K651" i="8"/>
  <c r="K650" i="8" s="1"/>
  <c r="J650" i="8"/>
  <c r="J649" i="8" s="1"/>
  <c r="M643" i="8"/>
  <c r="M642" i="8" s="1"/>
  <c r="L643" i="8"/>
  <c r="L642" i="8" s="1"/>
  <c r="K642" i="8"/>
  <c r="M640" i="8"/>
  <c r="M639" i="8" s="1"/>
  <c r="L640" i="8"/>
  <c r="L639" i="8" s="1"/>
  <c r="K640" i="8"/>
  <c r="K639" i="8" s="1"/>
  <c r="M638" i="8"/>
  <c r="L638" i="8"/>
  <c r="N638" i="8" s="1"/>
  <c r="O638" i="8" s="1"/>
  <c r="K638" i="8"/>
  <c r="M637" i="8"/>
  <c r="L637" i="8"/>
  <c r="K637" i="8"/>
  <c r="K636" i="8" s="1"/>
  <c r="N634" i="8"/>
  <c r="P634" i="8" s="1"/>
  <c r="M633" i="8"/>
  <c r="L633" i="8"/>
  <c r="K633" i="8"/>
  <c r="M632" i="8"/>
  <c r="M915" i="7" s="1"/>
  <c r="L632" i="8"/>
  <c r="L915" i="7" s="1"/>
  <c r="L914" i="7" s="1"/>
  <c r="L913" i="7" s="1"/>
  <c r="K632" i="8"/>
  <c r="M631" i="8"/>
  <c r="L631" i="8"/>
  <c r="L857" i="7" s="1"/>
  <c r="L856" i="7" s="1"/>
  <c r="L855" i="7" s="1"/>
  <c r="K631" i="8"/>
  <c r="M630" i="8"/>
  <c r="L630" i="8"/>
  <c r="K630" i="8"/>
  <c r="M629" i="8"/>
  <c r="L629" i="8"/>
  <c r="K629" i="8"/>
  <c r="M628" i="8"/>
  <c r="L628" i="8"/>
  <c r="K628" i="8"/>
  <c r="M627" i="8"/>
  <c r="M625" i="8" s="1"/>
  <c r="L627" i="8"/>
  <c r="K627" i="8"/>
  <c r="M626" i="8"/>
  <c r="L626" i="8"/>
  <c r="N626" i="8" s="1"/>
  <c r="L640" i="7"/>
  <c r="K626" i="8"/>
  <c r="M624" i="8"/>
  <c r="L624" i="8"/>
  <c r="N624" i="8" s="1"/>
  <c r="K624" i="8"/>
  <c r="M623" i="8"/>
  <c r="L623" i="8"/>
  <c r="K623" i="8"/>
  <c r="M622" i="8"/>
  <c r="L622" i="8"/>
  <c r="K622" i="8"/>
  <c r="M621" i="8"/>
  <c r="L621" i="8"/>
  <c r="M620" i="8"/>
  <c r="L620" i="8"/>
  <c r="M619" i="8"/>
  <c r="N619" i="8" s="1"/>
  <c r="O619" i="8" s="1"/>
  <c r="L619" i="8"/>
  <c r="M618" i="8"/>
  <c r="L618" i="8"/>
  <c r="M617" i="8"/>
  <c r="L617" i="8"/>
  <c r="M616" i="8"/>
  <c r="L616" i="8"/>
  <c r="M615" i="8"/>
  <c r="L615" i="8"/>
  <c r="M614" i="8"/>
  <c r="L614" i="8"/>
  <c r="M613" i="8"/>
  <c r="L613" i="8"/>
  <c r="M612" i="8"/>
  <c r="L612" i="8"/>
  <c r="K612" i="8"/>
  <c r="K611" i="8" s="1"/>
  <c r="K610" i="8"/>
  <c r="M610" i="8"/>
  <c r="L610" i="8"/>
  <c r="M608" i="8"/>
  <c r="L608" i="8"/>
  <c r="K608" i="8"/>
  <c r="M607" i="8"/>
  <c r="L607" i="8"/>
  <c r="K607" i="8"/>
  <c r="M606" i="8"/>
  <c r="L606" i="8"/>
  <c r="L605" i="8" s="1"/>
  <c r="K606" i="8"/>
  <c r="K605" i="8" s="1"/>
  <c r="M604" i="8"/>
  <c r="L604" i="8"/>
  <c r="K604" i="8"/>
  <c r="M603" i="8"/>
  <c r="N603" i="8" s="1"/>
  <c r="L603" i="8"/>
  <c r="K603" i="8"/>
  <c r="M602" i="8"/>
  <c r="N602" i="8" s="1"/>
  <c r="K602" i="8"/>
  <c r="M601" i="8"/>
  <c r="M286" i="7" s="1"/>
  <c r="M285" i="7" s="1"/>
  <c r="L601" i="8"/>
  <c r="K601" i="8"/>
  <c r="M600" i="8"/>
  <c r="N600" i="8" s="1"/>
  <c r="L600" i="8"/>
  <c r="K600" i="8"/>
  <c r="M599" i="8"/>
  <c r="L599" i="8"/>
  <c r="K599" i="8"/>
  <c r="M598" i="8"/>
  <c r="L598" i="8"/>
  <c r="K598" i="8"/>
  <c r="M597" i="8"/>
  <c r="L597" i="8"/>
  <c r="K597" i="8"/>
  <c r="M596" i="8"/>
  <c r="L596" i="8"/>
  <c r="K596" i="8"/>
  <c r="M594" i="8"/>
  <c r="L594" i="8"/>
  <c r="N594" i="8" s="1"/>
  <c r="K594" i="8"/>
  <c r="M593" i="8"/>
  <c r="L593" i="8"/>
  <c r="K593" i="8"/>
  <c r="K591" i="8"/>
  <c r="K592" i="8"/>
  <c r="M592" i="8"/>
  <c r="L592" i="8"/>
  <c r="M591" i="8"/>
  <c r="L591" i="8"/>
  <c r="M589" i="8"/>
  <c r="M588" i="8" s="1"/>
  <c r="L589" i="8"/>
  <c r="L588" i="8" s="1"/>
  <c r="K589" i="8"/>
  <c r="K588" i="8" s="1"/>
  <c r="M587" i="8"/>
  <c r="L587" i="8"/>
  <c r="K587" i="8"/>
  <c r="M586" i="8"/>
  <c r="L586" i="8"/>
  <c r="K586" i="8"/>
  <c r="M585" i="8"/>
  <c r="L585" i="8"/>
  <c r="L230" i="7" s="1"/>
  <c r="K585" i="8"/>
  <c r="M584" i="8"/>
  <c r="L584" i="8"/>
  <c r="K584" i="8"/>
  <c r="M583" i="8"/>
  <c r="L583" i="8"/>
  <c r="K583" i="8"/>
  <c r="M582" i="8"/>
  <c r="L582" i="8"/>
  <c r="K582" i="8"/>
  <c r="M581" i="8"/>
  <c r="L581" i="8"/>
  <c r="K581" i="8"/>
  <c r="M580" i="8"/>
  <c r="L580" i="8"/>
  <c r="N580" i="8" s="1"/>
  <c r="K580" i="8"/>
  <c r="M576" i="8"/>
  <c r="L576" i="8"/>
  <c r="K576" i="8"/>
  <c r="K574" i="8" s="1"/>
  <c r="K575" i="8"/>
  <c r="K573" i="8"/>
  <c r="M575" i="8"/>
  <c r="L575" i="8"/>
  <c r="M573" i="8"/>
  <c r="L573" i="8"/>
  <c r="M570" i="8"/>
  <c r="M569" i="8" s="1"/>
  <c r="L570" i="8"/>
  <c r="L569" i="8" s="1"/>
  <c r="N569" i="8" s="1"/>
  <c r="P569" i="8" s="1"/>
  <c r="K570" i="8"/>
  <c r="K569" i="8" s="1"/>
  <c r="M567" i="8"/>
  <c r="L567" i="8"/>
  <c r="K567" i="8"/>
  <c r="M566" i="8"/>
  <c r="L566" i="8"/>
  <c r="K566" i="8"/>
  <c r="M565" i="8"/>
  <c r="L565" i="8"/>
  <c r="K565" i="8"/>
  <c r="M564" i="8"/>
  <c r="L564" i="8"/>
  <c r="K564" i="8"/>
  <c r="J563" i="8"/>
  <c r="M561" i="8"/>
  <c r="L561" i="8"/>
  <c r="K561" i="8"/>
  <c r="M560" i="8"/>
  <c r="L560" i="8"/>
  <c r="K560" i="8"/>
  <c r="M559" i="8"/>
  <c r="L559" i="8"/>
  <c r="K559" i="8"/>
  <c r="M558" i="8"/>
  <c r="L558" i="8"/>
  <c r="L553" i="8"/>
  <c r="L554" i="8"/>
  <c r="L556" i="8"/>
  <c r="L557" i="8"/>
  <c r="K558" i="8"/>
  <c r="M557" i="8"/>
  <c r="K557" i="8"/>
  <c r="M556" i="8"/>
  <c r="K556" i="8"/>
  <c r="N555" i="8"/>
  <c r="K555" i="8"/>
  <c r="P555" i="8" s="1"/>
  <c r="M554" i="8"/>
  <c r="K554" i="8"/>
  <c r="M553" i="8"/>
  <c r="K553" i="8"/>
  <c r="M550" i="8"/>
  <c r="L550" i="8"/>
  <c r="K550" i="8"/>
  <c r="M549" i="8"/>
  <c r="L549" i="8"/>
  <c r="K549" i="8"/>
  <c r="J548" i="8"/>
  <c r="M546" i="8"/>
  <c r="M545" i="8" s="1"/>
  <c r="L546" i="8"/>
  <c r="L545" i="8" s="1"/>
  <c r="K546" i="8"/>
  <c r="K545" i="8" s="1"/>
  <c r="J545" i="8"/>
  <c r="M543" i="8"/>
  <c r="L543" i="8"/>
  <c r="K543" i="8"/>
  <c r="K542" i="8"/>
  <c r="M542" i="8"/>
  <c r="L542" i="8"/>
  <c r="L541" i="8" s="1"/>
  <c r="M539" i="8"/>
  <c r="L539" i="8"/>
  <c r="K539" i="8"/>
  <c r="M538" i="8"/>
  <c r="L538" i="8"/>
  <c r="L535" i="8"/>
  <c r="L536" i="8"/>
  <c r="L537" i="8"/>
  <c r="K538" i="8"/>
  <c r="M537" i="8"/>
  <c r="K537" i="8"/>
  <c r="M536" i="8"/>
  <c r="K536" i="8"/>
  <c r="M535" i="8"/>
  <c r="N535" i="8" s="1"/>
  <c r="K535" i="8"/>
  <c r="J534" i="8"/>
  <c r="M531" i="8"/>
  <c r="L531" i="8"/>
  <c r="K531" i="8"/>
  <c r="M530" i="8"/>
  <c r="L530" i="8"/>
  <c r="K530" i="8"/>
  <c r="M529" i="8"/>
  <c r="L529" i="8"/>
  <c r="K529" i="8"/>
  <c r="M528" i="8"/>
  <c r="L528" i="8"/>
  <c r="N528" i="8" s="1"/>
  <c r="O528" i="8" s="1"/>
  <c r="K528" i="8"/>
  <c r="M527" i="8"/>
  <c r="L527" i="8"/>
  <c r="K527" i="8"/>
  <c r="M526" i="8"/>
  <c r="L526" i="8"/>
  <c r="K526" i="8"/>
  <c r="M525" i="8"/>
  <c r="L525" i="8"/>
  <c r="K525" i="8"/>
  <c r="J524" i="8"/>
  <c r="J523" i="8" s="1"/>
  <c r="J522" i="8" s="1"/>
  <c r="J505" i="8"/>
  <c r="J504" i="8" s="1"/>
  <c r="M520" i="8"/>
  <c r="L520" i="8"/>
  <c r="K520" i="8"/>
  <c r="J520" i="8"/>
  <c r="M519" i="8"/>
  <c r="L519" i="8"/>
  <c r="K519" i="8"/>
  <c r="J519" i="8"/>
  <c r="M518" i="8"/>
  <c r="L518" i="8"/>
  <c r="K518" i="8"/>
  <c r="J518" i="8"/>
  <c r="M517" i="8"/>
  <c r="L517" i="8"/>
  <c r="K517" i="8"/>
  <c r="J517" i="8"/>
  <c r="M516" i="8"/>
  <c r="L516" i="8"/>
  <c r="K516" i="8"/>
  <c r="J516" i="8"/>
  <c r="M515" i="8"/>
  <c r="L515" i="8"/>
  <c r="K515" i="8"/>
  <c r="J515" i="8"/>
  <c r="M514" i="8"/>
  <c r="L514" i="8"/>
  <c r="K514" i="8"/>
  <c r="J514" i="8"/>
  <c r="M513" i="8"/>
  <c r="L513" i="8"/>
  <c r="K513" i="8"/>
  <c r="J513" i="8"/>
  <c r="M512" i="8"/>
  <c r="M511" i="8" s="1"/>
  <c r="L512" i="8"/>
  <c r="K512" i="8"/>
  <c r="K508" i="8"/>
  <c r="K509" i="8"/>
  <c r="K510" i="8"/>
  <c r="J512" i="8"/>
  <c r="J511" i="8" s="1"/>
  <c r="M510" i="8"/>
  <c r="L510" i="8"/>
  <c r="J510" i="8"/>
  <c r="M509" i="8"/>
  <c r="L509" i="8"/>
  <c r="J509" i="8"/>
  <c r="M508" i="8"/>
  <c r="L508" i="8"/>
  <c r="J508" i="8"/>
  <c r="J507" i="8"/>
  <c r="N499" i="8"/>
  <c r="N498" i="8"/>
  <c r="O498" i="8" s="1"/>
  <c r="N497" i="8"/>
  <c r="O497" i="8" s="1"/>
  <c r="M496" i="8"/>
  <c r="L496" i="8"/>
  <c r="K496" i="8"/>
  <c r="J496" i="8"/>
  <c r="J490" i="8"/>
  <c r="M494" i="8"/>
  <c r="L494" i="8"/>
  <c r="M493" i="8"/>
  <c r="N493" i="8" s="1"/>
  <c r="O493" i="8" s="1"/>
  <c r="M492" i="8"/>
  <c r="L491" i="8"/>
  <c r="N491" i="8" s="1"/>
  <c r="K490" i="8"/>
  <c r="K489" i="8" s="1"/>
  <c r="N487" i="8"/>
  <c r="M486" i="8"/>
  <c r="M485" i="8" s="1"/>
  <c r="L486" i="8"/>
  <c r="L485" i="8" s="1"/>
  <c r="K486" i="8"/>
  <c r="K485" i="8" s="1"/>
  <c r="J486" i="8"/>
  <c r="J485" i="8" s="1"/>
  <c r="N479" i="8"/>
  <c r="O479" i="8" s="1"/>
  <c r="M478" i="8"/>
  <c r="L478" i="8"/>
  <c r="K478" i="8"/>
  <c r="J478" i="8"/>
  <c r="N476" i="8"/>
  <c r="N475" i="8"/>
  <c r="O475" i="8" s="1"/>
  <c r="N474" i="8"/>
  <c r="O474" i="8" s="1"/>
  <c r="M473" i="8"/>
  <c r="L473" i="8"/>
  <c r="K473" i="8"/>
  <c r="J473" i="8"/>
  <c r="N469" i="8"/>
  <c r="O469" i="8" s="1"/>
  <c r="M468" i="8"/>
  <c r="L468" i="8"/>
  <c r="K468" i="8"/>
  <c r="J468" i="8"/>
  <c r="N466" i="8"/>
  <c r="N465" i="8"/>
  <c r="O465" i="8" s="1"/>
  <c r="N464" i="8"/>
  <c r="O464" i="8" s="1"/>
  <c r="M463" i="8"/>
  <c r="L463" i="8"/>
  <c r="K463" i="8"/>
  <c r="J463" i="8"/>
  <c r="N461" i="8"/>
  <c r="N460" i="8" s="1"/>
  <c r="M460" i="8"/>
  <c r="M459" i="8" s="1"/>
  <c r="L460" i="8"/>
  <c r="L459" i="8" s="1"/>
  <c r="K460" i="8"/>
  <c r="K459" i="8" s="1"/>
  <c r="J460" i="8"/>
  <c r="J459" i="8" s="1"/>
  <c r="N456" i="8"/>
  <c r="K456" i="8"/>
  <c r="M455" i="8"/>
  <c r="L455" i="8"/>
  <c r="J455" i="8"/>
  <c r="J449" i="8" s="1"/>
  <c r="J448" i="8" s="1"/>
  <c r="J447" i="8" s="1"/>
  <c r="N453" i="8"/>
  <c r="O453" i="8" s="1"/>
  <c r="N452" i="8"/>
  <c r="O452" i="8" s="1"/>
  <c r="N451" i="8"/>
  <c r="O451" i="8" s="1"/>
  <c r="M450" i="8"/>
  <c r="L450" i="8"/>
  <c r="N446" i="8"/>
  <c r="K446" i="8"/>
  <c r="M445" i="8"/>
  <c r="L445" i="8"/>
  <c r="J445" i="8"/>
  <c r="J439" i="8" s="1"/>
  <c r="J438" i="8" s="1"/>
  <c r="J436" i="8" s="1"/>
  <c r="N443" i="8"/>
  <c r="O443" i="8" s="1"/>
  <c r="N442" i="8"/>
  <c r="N441" i="8"/>
  <c r="O441" i="8" s="1"/>
  <c r="M440" i="8"/>
  <c r="L440" i="8"/>
  <c r="N435" i="8"/>
  <c r="O435" i="8" s="1"/>
  <c r="M434" i="8"/>
  <c r="L434" i="8"/>
  <c r="K434" i="8"/>
  <c r="K428" i="8" s="1"/>
  <c r="K426" i="8" s="1"/>
  <c r="K424" i="8" s="1"/>
  <c r="J434" i="8"/>
  <c r="J428" i="8" s="1"/>
  <c r="J426" i="8" s="1"/>
  <c r="J424" i="8" s="1"/>
  <c r="N432" i="8"/>
  <c r="O432" i="8" s="1"/>
  <c r="N431" i="8"/>
  <c r="N430" i="8"/>
  <c r="O430" i="8" s="1"/>
  <c r="M429" i="8"/>
  <c r="L429" i="8"/>
  <c r="M422" i="8"/>
  <c r="N422" i="8" s="1"/>
  <c r="O422" i="8" s="1"/>
  <c r="M421" i="8"/>
  <c r="L421" i="8"/>
  <c r="M420" i="8"/>
  <c r="M419" i="8"/>
  <c r="L419" i="8"/>
  <c r="M418" i="8"/>
  <c r="L418" i="8"/>
  <c r="J418" i="8"/>
  <c r="J417" i="8" s="1"/>
  <c r="K417" i="8"/>
  <c r="M415" i="8"/>
  <c r="L415" i="8"/>
  <c r="K415" i="8"/>
  <c r="M414" i="8"/>
  <c r="L414" i="8"/>
  <c r="K414" i="8"/>
  <c r="M413" i="8"/>
  <c r="N413" i="8" s="1"/>
  <c r="L413" i="8"/>
  <c r="K413" i="8"/>
  <c r="J412" i="8"/>
  <c r="J411" i="8" s="1"/>
  <c r="J409" i="8" s="1"/>
  <c r="N401" i="8"/>
  <c r="K401" i="8"/>
  <c r="K400" i="8" s="1"/>
  <c r="M400" i="8"/>
  <c r="L400" i="8"/>
  <c r="J400" i="8"/>
  <c r="J394" i="8" s="1"/>
  <c r="J392" i="8" s="1"/>
  <c r="J390" i="8" s="1"/>
  <c r="M398" i="8"/>
  <c r="L398" i="8"/>
  <c r="L395" i="8" s="1"/>
  <c r="K398" i="8"/>
  <c r="M397" i="8"/>
  <c r="M396" i="8"/>
  <c r="N396" i="8" s="1"/>
  <c r="O396" i="8" s="1"/>
  <c r="M388" i="8"/>
  <c r="M386" i="8" s="1"/>
  <c r="L388" i="8"/>
  <c r="L386" i="8" s="1"/>
  <c r="K388" i="8"/>
  <c r="K386" i="8" s="1"/>
  <c r="L387" i="8"/>
  <c r="N387" i="8" s="1"/>
  <c r="J386" i="8"/>
  <c r="M384" i="8"/>
  <c r="N384" i="8" s="1"/>
  <c r="M383" i="8"/>
  <c r="N383" i="8" s="1"/>
  <c r="M382" i="8"/>
  <c r="N382" i="8" s="1"/>
  <c r="K382" i="8"/>
  <c r="P381" i="8"/>
  <c r="M381" i="8"/>
  <c r="L381" i="8"/>
  <c r="M380" i="8"/>
  <c r="N380" i="8" s="1"/>
  <c r="M379" i="8"/>
  <c r="N379" i="8" s="1"/>
  <c r="O379" i="8" s="1"/>
  <c r="K378" i="8"/>
  <c r="J378" i="8"/>
  <c r="M375" i="8"/>
  <c r="L375" i="8"/>
  <c r="L374" i="8" s="1"/>
  <c r="K375" i="8"/>
  <c r="K374" i="8" s="1"/>
  <c r="J374" i="8"/>
  <c r="M372" i="8"/>
  <c r="L372" i="8"/>
  <c r="K372" i="8"/>
  <c r="K370" i="8" s="1"/>
  <c r="K369" i="8" s="1"/>
  <c r="K367" i="8" s="1"/>
  <c r="M371" i="8"/>
  <c r="L371" i="8"/>
  <c r="K371" i="8"/>
  <c r="J370" i="8"/>
  <c r="M361" i="8"/>
  <c r="N361" i="8" s="1"/>
  <c r="K361" i="8"/>
  <c r="N360" i="8"/>
  <c r="K360" i="8"/>
  <c r="N359" i="8"/>
  <c r="K359" i="8"/>
  <c r="N358" i="8"/>
  <c r="K358" i="8"/>
  <c r="L357" i="8"/>
  <c r="L356" i="8" s="1"/>
  <c r="L354" i="8"/>
  <c r="L351" i="8" s="1"/>
  <c r="L355" i="8"/>
  <c r="J357" i="8"/>
  <c r="J356" i="8" s="1"/>
  <c r="J350" i="8" s="1"/>
  <c r="M355" i="8"/>
  <c r="K355" i="8"/>
  <c r="M354" i="8"/>
  <c r="K354" i="8"/>
  <c r="M353" i="8"/>
  <c r="M352" i="8"/>
  <c r="N352" i="8" s="1"/>
  <c r="O352" i="8" s="1"/>
  <c r="M348" i="8"/>
  <c r="L348" i="8"/>
  <c r="L347" i="8" s="1"/>
  <c r="K348" i="8"/>
  <c r="K347" i="8" s="1"/>
  <c r="J347" i="8"/>
  <c r="M345" i="8"/>
  <c r="M344" i="8" s="1"/>
  <c r="L345" i="8"/>
  <c r="L344" i="8" s="1"/>
  <c r="K345" i="8"/>
  <c r="K344" i="8" s="1"/>
  <c r="J344" i="8"/>
  <c r="M337" i="8"/>
  <c r="L337" i="8"/>
  <c r="N336" i="8"/>
  <c r="K336" i="8"/>
  <c r="N335" i="8"/>
  <c r="K335" i="8"/>
  <c r="O335" i="8" s="1"/>
  <c r="N334" i="8"/>
  <c r="K334" i="8"/>
  <c r="N333" i="8"/>
  <c r="K333" i="8"/>
  <c r="M332" i="8"/>
  <c r="L332" i="8"/>
  <c r="L331" i="8" s="1"/>
  <c r="J332" i="8"/>
  <c r="J331" i="8" s="1"/>
  <c r="M329" i="8"/>
  <c r="N329" i="8" s="1"/>
  <c r="L329" i="8"/>
  <c r="K329" i="8"/>
  <c r="K326" i="8" s="1"/>
  <c r="M328" i="8"/>
  <c r="N328" i="8" s="1"/>
  <c r="O328" i="8" s="1"/>
  <c r="M327" i="8"/>
  <c r="J326" i="8"/>
  <c r="N324" i="8"/>
  <c r="M323" i="8"/>
  <c r="M322" i="8" s="1"/>
  <c r="L323" i="8"/>
  <c r="L322" i="8" s="1"/>
  <c r="K323" i="8"/>
  <c r="K322" i="8" s="1"/>
  <c r="J322" i="8"/>
  <c r="M320" i="8"/>
  <c r="M319" i="8" s="1"/>
  <c r="L320" i="8"/>
  <c r="K320" i="8"/>
  <c r="K319" i="8" s="1"/>
  <c r="J319" i="8"/>
  <c r="J318" i="8" s="1"/>
  <c r="J315" i="8"/>
  <c r="M316" i="8"/>
  <c r="M315" i="8" s="1"/>
  <c r="L316" i="8"/>
  <c r="L315" i="8" s="1"/>
  <c r="K316" i="8"/>
  <c r="K315" i="8" s="1"/>
  <c r="N308" i="8"/>
  <c r="K308" i="8"/>
  <c r="N307" i="8"/>
  <c r="M306" i="8"/>
  <c r="M305" i="8" s="1"/>
  <c r="L306" i="8"/>
  <c r="L305" i="8"/>
  <c r="J306" i="8"/>
  <c r="J305" i="8" s="1"/>
  <c r="J299" i="8"/>
  <c r="N303" i="8"/>
  <c r="O303" i="8" s="1"/>
  <c r="M302" i="8"/>
  <c r="L302" i="8"/>
  <c r="L299" i="8" s="1"/>
  <c r="K302" i="8"/>
  <c r="K299" i="8" s="1"/>
  <c r="K296" i="8"/>
  <c r="K295" i="8" s="1"/>
  <c r="K294" i="8" s="1"/>
  <c r="K292" i="8" s="1"/>
  <c r="M301" i="8"/>
  <c r="M300" i="8"/>
  <c r="N300" i="8" s="1"/>
  <c r="O300" i="8" s="1"/>
  <c r="M296" i="8"/>
  <c r="M295" i="8" s="1"/>
  <c r="M294" i="8" s="1"/>
  <c r="L296" i="8"/>
  <c r="L295" i="8" s="1"/>
  <c r="L294" i="8" s="1"/>
  <c r="L292" i="8" s="1"/>
  <c r="J295" i="8"/>
  <c r="J294" i="8" s="1"/>
  <c r="J292" i="8" s="1"/>
  <c r="N286" i="8"/>
  <c r="N285" i="8" s="1"/>
  <c r="N284" i="8" s="1"/>
  <c r="K286" i="8"/>
  <c r="M285" i="8"/>
  <c r="M284" i="8" s="1"/>
  <c r="L285" i="8"/>
  <c r="L284" i="8" s="1"/>
  <c r="L282" i="8"/>
  <c r="L279" i="8" s="1"/>
  <c r="J285" i="8"/>
  <c r="J284" i="8" s="1"/>
  <c r="M282" i="8"/>
  <c r="K282" i="8"/>
  <c r="K279" i="8" s="1"/>
  <c r="M281" i="8"/>
  <c r="N281" i="8" s="1"/>
  <c r="O281" i="8" s="1"/>
  <c r="M280" i="8"/>
  <c r="J279" i="8"/>
  <c r="L271" i="8"/>
  <c r="N271" i="8" s="1"/>
  <c r="K271" i="8"/>
  <c r="K270" i="8" s="1"/>
  <c r="K269" i="8" s="1"/>
  <c r="K267" i="8"/>
  <c r="K264" i="8" s="1"/>
  <c r="M270" i="8"/>
  <c r="M269" i="8" s="1"/>
  <c r="J270" i="8"/>
  <c r="J269" i="8" s="1"/>
  <c r="J264" i="8"/>
  <c r="M267" i="8"/>
  <c r="L267" i="8"/>
  <c r="L264" i="8" s="1"/>
  <c r="M266" i="8"/>
  <c r="M265" i="8"/>
  <c r="N258" i="8"/>
  <c r="K258" i="8"/>
  <c r="M257" i="8"/>
  <c r="M256" i="8" s="1"/>
  <c r="L257" i="8"/>
  <c r="J257" i="8"/>
  <c r="J256" i="8" s="1"/>
  <c r="N255" i="8"/>
  <c r="M254" i="8"/>
  <c r="N254" i="8" s="1"/>
  <c r="L254" i="8"/>
  <c r="L251" i="8" s="1"/>
  <c r="K254" i="8"/>
  <c r="M253" i="8"/>
  <c r="M252" i="8"/>
  <c r="J251" i="8"/>
  <c r="L249" i="8"/>
  <c r="K249" i="8"/>
  <c r="M248" i="8"/>
  <c r="M247" i="8" s="1"/>
  <c r="J248" i="8"/>
  <c r="J247" i="8" s="1"/>
  <c r="M245" i="8"/>
  <c r="M244" i="8" s="1"/>
  <c r="L245" i="8"/>
  <c r="L244" i="8" s="1"/>
  <c r="K245" i="8"/>
  <c r="K244" i="8" s="1"/>
  <c r="M241" i="8"/>
  <c r="L241" i="8"/>
  <c r="K241" i="8"/>
  <c r="M240" i="8"/>
  <c r="M239" i="8" s="1"/>
  <c r="M238" i="8" s="1"/>
  <c r="M236" i="8" s="1"/>
  <c r="L240" i="8"/>
  <c r="K240" i="8"/>
  <c r="J239" i="8"/>
  <c r="J238" i="8" s="1"/>
  <c r="J236" i="8" s="1"/>
  <c r="N230" i="8"/>
  <c r="K230" i="8"/>
  <c r="M229" i="8"/>
  <c r="L229" i="8"/>
  <c r="L226" i="8" s="1"/>
  <c r="K229" i="8"/>
  <c r="K226" i="8" s="1"/>
  <c r="K224" i="8"/>
  <c r="K223" i="8" s="1"/>
  <c r="M228" i="8"/>
  <c r="N228" i="8" s="1"/>
  <c r="O228" i="8" s="1"/>
  <c r="M227" i="8"/>
  <c r="N227" i="8" s="1"/>
  <c r="O227" i="8" s="1"/>
  <c r="J226" i="8"/>
  <c r="M224" i="8"/>
  <c r="M223" i="8" s="1"/>
  <c r="L224" i="8"/>
  <c r="L223" i="8" s="1"/>
  <c r="J223" i="8"/>
  <c r="M220" i="8"/>
  <c r="K220" i="8"/>
  <c r="K219" i="8" s="1"/>
  <c r="L219" i="8"/>
  <c r="L218" i="8" s="1"/>
  <c r="J219" i="8"/>
  <c r="J218" i="8" s="1"/>
  <c r="M213" i="8"/>
  <c r="L213" i="8"/>
  <c r="L212" i="8" s="1"/>
  <c r="K213" i="8"/>
  <c r="K212" i="8" s="1"/>
  <c r="J212" i="8"/>
  <c r="M210" i="8"/>
  <c r="L210" i="8"/>
  <c r="L207" i="8" s="1"/>
  <c r="K210" i="8"/>
  <c r="K207" i="8" s="1"/>
  <c r="M209" i="8"/>
  <c r="N209" i="8" s="1"/>
  <c r="O209" i="8" s="1"/>
  <c r="M208" i="8"/>
  <c r="J207" i="8"/>
  <c r="M205" i="8"/>
  <c r="M204" i="8" s="1"/>
  <c r="L205" i="8"/>
  <c r="K205" i="8"/>
  <c r="K204" i="8" s="1"/>
  <c r="J204" i="8"/>
  <c r="M201" i="8"/>
  <c r="L201" i="8"/>
  <c r="K201" i="8"/>
  <c r="K199" i="8" s="1"/>
  <c r="K198" i="8" s="1"/>
  <c r="M200" i="8"/>
  <c r="L200" i="8"/>
  <c r="K200" i="8"/>
  <c r="J199" i="8"/>
  <c r="J198" i="8" s="1"/>
  <c r="M196" i="8"/>
  <c r="M195" i="8" s="1"/>
  <c r="L196" i="8"/>
  <c r="K196" i="8"/>
  <c r="K195" i="8" s="1"/>
  <c r="J195" i="8"/>
  <c r="L188" i="8"/>
  <c r="N188" i="8" s="1"/>
  <c r="K188" i="8"/>
  <c r="K187" i="8" s="1"/>
  <c r="M187" i="8"/>
  <c r="J187" i="8"/>
  <c r="M185" i="8"/>
  <c r="M184" i="8" s="1"/>
  <c r="L185" i="8"/>
  <c r="K185" i="8"/>
  <c r="K184" i="8" s="1"/>
  <c r="K182" i="8"/>
  <c r="J184" i="8"/>
  <c r="J181" i="8" s="1"/>
  <c r="M182" i="8"/>
  <c r="N182" i="8" s="1"/>
  <c r="M179" i="8"/>
  <c r="M178" i="8" s="1"/>
  <c r="L179" i="8"/>
  <c r="L178" i="8" s="1"/>
  <c r="K178" i="8"/>
  <c r="M172" i="8"/>
  <c r="M163" i="8"/>
  <c r="M166" i="8"/>
  <c r="M165" i="8" s="1"/>
  <c r="M168" i="8"/>
  <c r="K172" i="8"/>
  <c r="K171" i="8" s="1"/>
  <c r="K170" i="8" s="1"/>
  <c r="L171" i="8"/>
  <c r="L170" i="8" s="1"/>
  <c r="J171" i="8"/>
  <c r="J170" i="8" s="1"/>
  <c r="L168" i="8"/>
  <c r="L163" i="8"/>
  <c r="L166" i="8"/>
  <c r="L166" i="7" s="1"/>
  <c r="L167" i="8"/>
  <c r="N167" i="8" s="1"/>
  <c r="O167" i="8" s="1"/>
  <c r="K168" i="8"/>
  <c r="J165" i="8"/>
  <c r="K163" i="8"/>
  <c r="J163" i="8"/>
  <c r="N156" i="8"/>
  <c r="N155" i="8" s="1"/>
  <c r="K156" i="8"/>
  <c r="K155" i="8" s="1"/>
  <c r="M155" i="8"/>
  <c r="L155" i="8"/>
  <c r="J155" i="8"/>
  <c r="J147" i="8" s="1"/>
  <c r="M154" i="8"/>
  <c r="L154" i="8"/>
  <c r="L151" i="8" s="1"/>
  <c r="L148" i="8"/>
  <c r="K154" i="8"/>
  <c r="K151" i="8" s="1"/>
  <c r="M153" i="8"/>
  <c r="M152" i="8"/>
  <c r="N152" i="8" s="1"/>
  <c r="O152" i="8" s="1"/>
  <c r="M149" i="8"/>
  <c r="K148" i="8"/>
  <c r="M145" i="8"/>
  <c r="L145" i="8"/>
  <c r="L144" i="8" s="1"/>
  <c r="L143" i="8" s="1"/>
  <c r="K145" i="8"/>
  <c r="K144" i="8" s="1"/>
  <c r="J144" i="8"/>
  <c r="J143" i="8" s="1"/>
  <c r="N138" i="8"/>
  <c r="N137" i="8" s="1"/>
  <c r="K137" i="8"/>
  <c r="M137" i="8"/>
  <c r="L137" i="8"/>
  <c r="J137" i="8"/>
  <c r="M135" i="8"/>
  <c r="L135" i="8"/>
  <c r="L132" i="8" s="1"/>
  <c r="M134" i="8"/>
  <c r="N134" i="8" s="1"/>
  <c r="O134" i="8" s="1"/>
  <c r="M133" i="8"/>
  <c r="N133" i="8" s="1"/>
  <c r="O133" i="8" s="1"/>
  <c r="K132" i="8"/>
  <c r="J132" i="8"/>
  <c r="M130" i="8"/>
  <c r="L130" i="8"/>
  <c r="K130" i="8"/>
  <c r="J130" i="8"/>
  <c r="J129" i="8" s="1"/>
  <c r="J127" i="8" s="1"/>
  <c r="J125" i="8" s="1"/>
  <c r="N124" i="8"/>
  <c r="K124" i="8"/>
  <c r="K123" i="8" s="1"/>
  <c r="M123" i="8"/>
  <c r="L123" i="8"/>
  <c r="J123" i="8"/>
  <c r="S122" i="8"/>
  <c r="N122" i="8"/>
  <c r="O122" i="8" s="1"/>
  <c r="M121" i="8"/>
  <c r="M118" i="8" s="1"/>
  <c r="M117" i="8" s="1"/>
  <c r="L121" i="8"/>
  <c r="K121" i="8"/>
  <c r="K118" i="8" s="1"/>
  <c r="K117" i="8" s="1"/>
  <c r="M120" i="8"/>
  <c r="N120" i="8" s="1"/>
  <c r="O120" i="8" s="1"/>
  <c r="K119" i="8"/>
  <c r="J118" i="8"/>
  <c r="J117" i="8" s="1"/>
  <c r="N116" i="8"/>
  <c r="O116" i="8" s="1"/>
  <c r="M115" i="8"/>
  <c r="L115" i="8"/>
  <c r="K115" i="8"/>
  <c r="J114" i="8"/>
  <c r="J112" i="8" s="1"/>
  <c r="M106" i="8"/>
  <c r="L106" i="8"/>
  <c r="K106" i="8"/>
  <c r="L389" i="5" s="1"/>
  <c r="P105" i="8"/>
  <c r="J105" i="8"/>
  <c r="J104" i="8" s="1"/>
  <c r="J99" i="8"/>
  <c r="M102" i="8"/>
  <c r="L102" i="8"/>
  <c r="K102" i="8"/>
  <c r="M101" i="8"/>
  <c r="N101" i="8" s="1"/>
  <c r="O101" i="8" s="1"/>
  <c r="M100" i="8"/>
  <c r="N100" i="8" s="1"/>
  <c r="O100" i="8" s="1"/>
  <c r="M99" i="8"/>
  <c r="L99" i="8"/>
  <c r="M96" i="8"/>
  <c r="M95" i="8" s="1"/>
  <c r="M94" i="8" s="1"/>
  <c r="L96" i="8"/>
  <c r="K96" i="8"/>
  <c r="K95" i="8" s="1"/>
  <c r="J95" i="8"/>
  <c r="J94" i="8" s="1"/>
  <c r="M90" i="8"/>
  <c r="L90" i="8"/>
  <c r="L89" i="8" s="1"/>
  <c r="K90" i="8"/>
  <c r="K89" i="8" s="1"/>
  <c r="K88" i="8" s="1"/>
  <c r="K86" i="8"/>
  <c r="K83" i="8" s="1"/>
  <c r="K80" i="8"/>
  <c r="K79" i="8" s="1"/>
  <c r="K78" i="8" s="1"/>
  <c r="J89" i="8"/>
  <c r="J88" i="8" s="1"/>
  <c r="M86" i="8"/>
  <c r="L86" i="8"/>
  <c r="L83" i="8" s="1"/>
  <c r="M85" i="8"/>
  <c r="N85" i="8" s="1"/>
  <c r="M84" i="8"/>
  <c r="N84" i="8" s="1"/>
  <c r="O84" i="8" s="1"/>
  <c r="J83" i="8"/>
  <c r="M80" i="8"/>
  <c r="M79" i="8" s="1"/>
  <c r="M78" i="8" s="1"/>
  <c r="L80" i="8"/>
  <c r="L79" i="8" s="1"/>
  <c r="L78" i="8" s="1"/>
  <c r="N78" i="8" s="1"/>
  <c r="J79" i="8"/>
  <c r="J78" i="8" s="1"/>
  <c r="N73" i="8"/>
  <c r="K73" i="8"/>
  <c r="K72" i="8" s="1"/>
  <c r="M72" i="8"/>
  <c r="L72" i="8"/>
  <c r="J72" i="8"/>
  <c r="N71" i="8"/>
  <c r="O71" i="8" s="1"/>
  <c r="M70" i="8"/>
  <c r="N70" i="8" s="1"/>
  <c r="L70" i="8"/>
  <c r="L67" i="8" s="1"/>
  <c r="L66" i="8" s="1"/>
  <c r="K70" i="8"/>
  <c r="K67" i="8" s="1"/>
  <c r="M69" i="8"/>
  <c r="N69" i="8" s="1"/>
  <c r="O69" i="8" s="1"/>
  <c r="M68" i="8"/>
  <c r="J67" i="8"/>
  <c r="N64" i="8"/>
  <c r="O64" i="8" s="1"/>
  <c r="M63" i="8"/>
  <c r="M62" i="8" s="1"/>
  <c r="M61" i="8" s="1"/>
  <c r="L63" i="8"/>
  <c r="L62" i="8" s="1"/>
  <c r="K63" i="8"/>
  <c r="K62" i="8" s="1"/>
  <c r="J62" i="8"/>
  <c r="J61" i="8" s="1"/>
  <c r="M56" i="8"/>
  <c r="M55" i="8" s="1"/>
  <c r="L56" i="8"/>
  <c r="L55" i="8" s="1"/>
  <c r="K56" i="8"/>
  <c r="M54" i="8"/>
  <c r="K54" i="8"/>
  <c r="K51" i="8" s="1"/>
  <c r="M53" i="8"/>
  <c r="L53" i="8"/>
  <c r="L53" i="7" s="1"/>
  <c r="M52" i="8"/>
  <c r="L52" i="8"/>
  <c r="P51" i="8"/>
  <c r="J51" i="8"/>
  <c r="M50" i="8"/>
  <c r="N50" i="8" s="1"/>
  <c r="K50" i="8"/>
  <c r="K49" i="8" s="1"/>
  <c r="L49" i="8"/>
  <c r="J49" i="8"/>
  <c r="M46" i="8"/>
  <c r="K46" i="8"/>
  <c r="K45" i="8" s="1"/>
  <c r="K44" i="8" s="1"/>
  <c r="K42" i="8" s="1"/>
  <c r="K40" i="8" s="1"/>
  <c r="K38" i="8" s="1"/>
  <c r="L45" i="8"/>
  <c r="L44" i="8" s="1"/>
  <c r="L42" i="8" s="1"/>
  <c r="J45" i="8"/>
  <c r="J44" i="8" s="1"/>
  <c r="J42" i="8" s="1"/>
  <c r="J40" i="8" s="1"/>
  <c r="J38" i="8" s="1"/>
  <c r="N35" i="8"/>
  <c r="O35" i="8" s="1"/>
  <c r="N34" i="8"/>
  <c r="O34" i="8" s="1"/>
  <c r="N33" i="8"/>
  <c r="K33" i="8"/>
  <c r="K32" i="8" s="1"/>
  <c r="M32" i="8"/>
  <c r="L32" i="8"/>
  <c r="J32" i="8"/>
  <c r="N31" i="8"/>
  <c r="M30" i="8"/>
  <c r="L30" i="8"/>
  <c r="L27" i="8" s="1"/>
  <c r="K30" i="8"/>
  <c r="K27" i="8" s="1"/>
  <c r="M29" i="8"/>
  <c r="N29" i="8" s="1"/>
  <c r="M28" i="8"/>
  <c r="N28" i="8" s="1"/>
  <c r="O28" i="8" s="1"/>
  <c r="J27" i="8"/>
  <c r="M26" i="8"/>
  <c r="L26" i="8"/>
  <c r="L25" i="8" s="1"/>
  <c r="K25" i="8"/>
  <c r="J25" i="8"/>
  <c r="M22" i="8"/>
  <c r="L22" i="8"/>
  <c r="K22" i="8"/>
  <c r="M21" i="8"/>
  <c r="L21" i="8"/>
  <c r="L20" i="8" s="1"/>
  <c r="L19" i="8" s="1"/>
  <c r="K21" i="8"/>
  <c r="J20" i="8"/>
  <c r="J19" i="8" s="1"/>
  <c r="J17" i="8" s="1"/>
  <c r="K5" i="8"/>
  <c r="E3" i="8"/>
  <c r="L967" i="7"/>
  <c r="L964" i="7"/>
  <c r="M963" i="7"/>
  <c r="M962" i="7" s="1"/>
  <c r="K963" i="7"/>
  <c r="K962" i="7" s="1"/>
  <c r="K957" i="7"/>
  <c r="J963" i="7"/>
  <c r="J962" i="7" s="1"/>
  <c r="N960" i="7"/>
  <c r="O960" i="7" s="1"/>
  <c r="N959" i="7"/>
  <c r="O959" i="7" s="1"/>
  <c r="N958" i="7"/>
  <c r="M957" i="7"/>
  <c r="L957" i="7"/>
  <c r="J957" i="7"/>
  <c r="M952" i="7"/>
  <c r="M951" i="7" s="1"/>
  <c r="M950" i="7" s="1"/>
  <c r="L952" i="7"/>
  <c r="L951" i="7" s="1"/>
  <c r="K951" i="7"/>
  <c r="K950" i="7" s="1"/>
  <c r="K945" i="7"/>
  <c r="J951" i="7"/>
  <c r="J950" i="7" s="1"/>
  <c r="J945" i="7"/>
  <c r="N948" i="7"/>
  <c r="O948" i="7" s="1"/>
  <c r="N947" i="7"/>
  <c r="O947" i="7" s="1"/>
  <c r="N946" i="7"/>
  <c r="O946" i="7" s="1"/>
  <c r="M945" i="7"/>
  <c r="L945" i="7"/>
  <c r="N940" i="7"/>
  <c r="K940" i="7"/>
  <c r="M939" i="7"/>
  <c r="M938" i="7" s="1"/>
  <c r="L939" i="7"/>
  <c r="J939" i="7"/>
  <c r="J938" i="7" s="1"/>
  <c r="J933" i="7"/>
  <c r="M936" i="7"/>
  <c r="M933" i="7" s="1"/>
  <c r="L936" i="7"/>
  <c r="K936" i="7"/>
  <c r="K933" i="7" s="1"/>
  <c r="N935" i="7"/>
  <c r="O935" i="7" s="1"/>
  <c r="M934" i="7"/>
  <c r="N934" i="7" s="1"/>
  <c r="O934" i="7" s="1"/>
  <c r="L927" i="7"/>
  <c r="N927" i="7" s="1"/>
  <c r="K927" i="7"/>
  <c r="K926" i="7" s="1"/>
  <c r="K925" i="7" s="1"/>
  <c r="M926" i="7"/>
  <c r="J926" i="7"/>
  <c r="J925" i="7" s="1"/>
  <c r="J920" i="7"/>
  <c r="M923" i="7"/>
  <c r="K923" i="7"/>
  <c r="K920" i="7" s="1"/>
  <c r="M922" i="7"/>
  <c r="N921" i="7"/>
  <c r="O921" i="7" s="1"/>
  <c r="K915" i="7"/>
  <c r="K914" i="7" s="1"/>
  <c r="K913" i="7" s="1"/>
  <c r="J914" i="7"/>
  <c r="J913" i="7" s="1"/>
  <c r="M911" i="7"/>
  <c r="L911" i="7"/>
  <c r="K911" i="7"/>
  <c r="K908" i="7" s="1"/>
  <c r="M910" i="7"/>
  <c r="L910" i="7"/>
  <c r="M909" i="7"/>
  <c r="L909" i="7"/>
  <c r="K909" i="7"/>
  <c r="J908" i="7"/>
  <c r="L903" i="7"/>
  <c r="K903" i="7"/>
  <c r="M902" i="7"/>
  <c r="J902" i="7"/>
  <c r="J901" i="7" s="1"/>
  <c r="M899" i="7"/>
  <c r="L899" i="7"/>
  <c r="L896" i="7" s="1"/>
  <c r="K899" i="7"/>
  <c r="K896" i="7" s="1"/>
  <c r="N898" i="7"/>
  <c r="O898" i="7" s="1"/>
  <c r="M897" i="7"/>
  <c r="J896" i="7"/>
  <c r="M895" i="7"/>
  <c r="M894" i="7" s="1"/>
  <c r="L894" i="7"/>
  <c r="K894" i="7"/>
  <c r="J894" i="7"/>
  <c r="M891" i="7"/>
  <c r="L891" i="7"/>
  <c r="K891" i="7"/>
  <c r="J888" i="7"/>
  <c r="J887" i="7" s="1"/>
  <c r="M885" i="7"/>
  <c r="L885" i="7"/>
  <c r="M884" i="7"/>
  <c r="L884" i="7"/>
  <c r="K884" i="7"/>
  <c r="K883" i="7" s="1"/>
  <c r="K882" i="7" s="1"/>
  <c r="J883" i="7"/>
  <c r="J882" i="7" s="1"/>
  <c r="M880" i="7"/>
  <c r="L880" i="7"/>
  <c r="K880" i="7"/>
  <c r="K877" i="7" s="1"/>
  <c r="K876" i="7" s="1"/>
  <c r="M879" i="7"/>
  <c r="L879" i="7"/>
  <c r="N878" i="7"/>
  <c r="O878" i="7" s="1"/>
  <c r="J877" i="7"/>
  <c r="L871" i="7"/>
  <c r="K871" i="7"/>
  <c r="K870" i="7" s="1"/>
  <c r="M870" i="7"/>
  <c r="M869" i="7" s="1"/>
  <c r="J870" i="7"/>
  <c r="J869" i="7" s="1"/>
  <c r="J864" i="7"/>
  <c r="M867" i="7"/>
  <c r="L867" i="7"/>
  <c r="K867" i="7"/>
  <c r="K864" i="7" s="1"/>
  <c r="N866" i="7"/>
  <c r="O866" i="7" s="1"/>
  <c r="M865" i="7"/>
  <c r="N865" i="7" s="1"/>
  <c r="O865" i="7" s="1"/>
  <c r="M857" i="7"/>
  <c r="M856" i="7" s="1"/>
  <c r="M855" i="7" s="1"/>
  <c r="K857" i="7"/>
  <c r="K856" i="7" s="1"/>
  <c r="K855" i="7" s="1"/>
  <c r="J856" i="7"/>
  <c r="J855" i="7" s="1"/>
  <c r="J850" i="7"/>
  <c r="M853" i="7"/>
  <c r="M850" i="7" s="1"/>
  <c r="L853" i="7"/>
  <c r="L850" i="7" s="1"/>
  <c r="K853" i="7"/>
  <c r="K850" i="7" s="1"/>
  <c r="M852" i="7"/>
  <c r="N852" i="7" s="1"/>
  <c r="O852" i="7" s="1"/>
  <c r="M851" i="7"/>
  <c r="N851" i="7" s="1"/>
  <c r="O851" i="7" s="1"/>
  <c r="N847" i="7"/>
  <c r="M846" i="7"/>
  <c r="L846" i="7"/>
  <c r="L845" i="7" s="1"/>
  <c r="K846" i="7"/>
  <c r="K845" i="7" s="1"/>
  <c r="J846" i="7"/>
  <c r="J845" i="7" s="1"/>
  <c r="N843" i="7"/>
  <c r="O843" i="7" s="1"/>
  <c r="M842" i="7"/>
  <c r="L842" i="7"/>
  <c r="L841" i="7" s="1"/>
  <c r="K842" i="7"/>
  <c r="K841" i="7" s="1"/>
  <c r="J841" i="7"/>
  <c r="N835" i="7"/>
  <c r="O835" i="7" s="1"/>
  <c r="M834" i="7"/>
  <c r="L834" i="7"/>
  <c r="K834" i="7"/>
  <c r="K833" i="7" s="1"/>
  <c r="K832" i="7" s="1"/>
  <c r="J833" i="7"/>
  <c r="J832" i="7" s="1"/>
  <c r="M830" i="7"/>
  <c r="L830" i="7"/>
  <c r="K830" i="7"/>
  <c r="K827" i="7" s="1"/>
  <c r="M829" i="7"/>
  <c r="L829" i="7"/>
  <c r="K829" i="7"/>
  <c r="K828" i="7"/>
  <c r="J827" i="7"/>
  <c r="L824" i="7"/>
  <c r="N824" i="7" s="1"/>
  <c r="K824" i="7"/>
  <c r="M822" i="7"/>
  <c r="L822" i="7"/>
  <c r="K822" i="7"/>
  <c r="M821" i="7"/>
  <c r="L821" i="7"/>
  <c r="K821" i="7"/>
  <c r="M820" i="7"/>
  <c r="L820" i="7"/>
  <c r="K820" i="7"/>
  <c r="M819" i="7"/>
  <c r="L819" i="7"/>
  <c r="K819" i="7"/>
  <c r="K816" i="7"/>
  <c r="K817" i="7"/>
  <c r="K818" i="7"/>
  <c r="M818" i="7"/>
  <c r="L818" i="7"/>
  <c r="M817" i="7"/>
  <c r="L817" i="7"/>
  <c r="M816" i="7"/>
  <c r="L816" i="7"/>
  <c r="J816" i="7"/>
  <c r="J815" i="7" s="1"/>
  <c r="M813" i="7"/>
  <c r="L813" i="7"/>
  <c r="K813" i="7"/>
  <c r="M812" i="7"/>
  <c r="L812" i="7"/>
  <c r="K812" i="7"/>
  <c r="M811" i="7"/>
  <c r="L811" i="7"/>
  <c r="K811" i="7"/>
  <c r="M810" i="7"/>
  <c r="L810" i="7"/>
  <c r="K810" i="7"/>
  <c r="M809" i="7"/>
  <c r="L809" i="7"/>
  <c r="K809" i="7"/>
  <c r="M808" i="7"/>
  <c r="L808" i="7"/>
  <c r="K808" i="7"/>
  <c r="M807" i="7"/>
  <c r="L807" i="7"/>
  <c r="K807" i="7"/>
  <c r="M806" i="7"/>
  <c r="L806" i="7"/>
  <c r="K806" i="7"/>
  <c r="M805" i="7"/>
  <c r="L805" i="7"/>
  <c r="K805" i="7"/>
  <c r="J804" i="7"/>
  <c r="M796" i="7"/>
  <c r="L796" i="7"/>
  <c r="K796" i="7"/>
  <c r="M795" i="7"/>
  <c r="L795" i="7"/>
  <c r="K795" i="7"/>
  <c r="M794" i="7"/>
  <c r="L794" i="7"/>
  <c r="K794" i="7"/>
  <c r="J793" i="7"/>
  <c r="J792" i="7" s="1"/>
  <c r="M790" i="7"/>
  <c r="L790" i="7"/>
  <c r="L787" i="7" s="1"/>
  <c r="K790" i="7"/>
  <c r="K787" i="7" s="1"/>
  <c r="M789" i="7"/>
  <c r="N788" i="7"/>
  <c r="O788" i="7" s="1"/>
  <c r="J787" i="7"/>
  <c r="M786" i="7"/>
  <c r="M785" i="7" s="1"/>
  <c r="L786" i="7"/>
  <c r="L785" i="7" s="1"/>
  <c r="K786" i="7"/>
  <c r="N781" i="7"/>
  <c r="O781" i="7" s="1"/>
  <c r="M780" i="7"/>
  <c r="L780" i="7"/>
  <c r="K780" i="7"/>
  <c r="J780" i="7"/>
  <c r="N778" i="7"/>
  <c r="P778" i="7" s="1"/>
  <c r="M777" i="7"/>
  <c r="M776" i="7" s="1"/>
  <c r="L777" i="7"/>
  <c r="K777" i="7"/>
  <c r="J777" i="7"/>
  <c r="M772" i="7"/>
  <c r="N772" i="7" s="1"/>
  <c r="K772" i="7"/>
  <c r="M771" i="7"/>
  <c r="L771" i="7"/>
  <c r="K771" i="7"/>
  <c r="K767" i="7"/>
  <c r="K764" i="7" s="1"/>
  <c r="J770" i="7"/>
  <c r="J769" i="7" s="1"/>
  <c r="M767" i="7"/>
  <c r="N767" i="7" s="1"/>
  <c r="L767" i="7"/>
  <c r="M766" i="7"/>
  <c r="M765" i="7"/>
  <c r="N765" i="7" s="1"/>
  <c r="J764" i="7"/>
  <c r="L762" i="7"/>
  <c r="K762" i="7"/>
  <c r="M761" i="7"/>
  <c r="N758" i="7"/>
  <c r="M757" i="7"/>
  <c r="M756" i="7" s="1"/>
  <c r="L757" i="7"/>
  <c r="L756" i="7" s="1"/>
  <c r="K757" i="7"/>
  <c r="K756" i="7" s="1"/>
  <c r="J757" i="7"/>
  <c r="J756" i="7" s="1"/>
  <c r="M750" i="7"/>
  <c r="M749" i="7" s="1"/>
  <c r="L750" i="7"/>
  <c r="K750" i="7"/>
  <c r="K749" i="7" s="1"/>
  <c r="K748" i="7" s="1"/>
  <c r="K746" i="7"/>
  <c r="K743" i="7" s="1"/>
  <c r="K745" i="7"/>
  <c r="J749" i="7"/>
  <c r="J748" i="7" s="1"/>
  <c r="J743" i="7"/>
  <c r="M746" i="7"/>
  <c r="L746" i="7"/>
  <c r="L743" i="7" s="1"/>
  <c r="M745" i="7"/>
  <c r="L745" i="7"/>
  <c r="M744" i="7"/>
  <c r="L744" i="7"/>
  <c r="M740" i="7"/>
  <c r="L740" i="7"/>
  <c r="K740" i="7"/>
  <c r="M739" i="7"/>
  <c r="L739" i="7"/>
  <c r="K739" i="7"/>
  <c r="M738" i="7"/>
  <c r="N738" i="7" s="1"/>
  <c r="L738" i="7"/>
  <c r="K738" i="7"/>
  <c r="M737" i="7"/>
  <c r="L737" i="7"/>
  <c r="K737" i="7"/>
  <c r="M736" i="7"/>
  <c r="L736" i="7"/>
  <c r="K736" i="7"/>
  <c r="M735" i="7"/>
  <c r="L735" i="7"/>
  <c r="K735" i="7"/>
  <c r="M734" i="7"/>
  <c r="L734" i="7"/>
  <c r="K734" i="7"/>
  <c r="J733" i="7"/>
  <c r="M731" i="7"/>
  <c r="N731" i="7" s="1"/>
  <c r="L731" i="7"/>
  <c r="K731" i="7"/>
  <c r="K728" i="7"/>
  <c r="K729" i="7"/>
  <c r="K730" i="7"/>
  <c r="M730" i="7"/>
  <c r="L730" i="7"/>
  <c r="M729" i="7"/>
  <c r="L729" i="7"/>
  <c r="M728" i="7"/>
  <c r="L728" i="7"/>
  <c r="J727" i="7"/>
  <c r="M717" i="7"/>
  <c r="M715" i="7" s="1"/>
  <c r="M714" i="7" s="1"/>
  <c r="L717" i="7"/>
  <c r="L715" i="7" s="1"/>
  <c r="K717" i="7"/>
  <c r="K715" i="7" s="1"/>
  <c r="K714" i="7" s="1"/>
  <c r="M716" i="7"/>
  <c r="L716" i="7"/>
  <c r="K716" i="7"/>
  <c r="J715" i="7"/>
  <c r="J714" i="7" s="1"/>
  <c r="J709" i="7"/>
  <c r="M712" i="7"/>
  <c r="L712" i="7"/>
  <c r="L709" i="7" s="1"/>
  <c r="K712" i="7"/>
  <c r="K709" i="7" s="1"/>
  <c r="M711" i="7"/>
  <c r="N710" i="7"/>
  <c r="O710" i="7" s="1"/>
  <c r="M706" i="7"/>
  <c r="M702" i="7" s="1"/>
  <c r="L706" i="7"/>
  <c r="K706" i="7"/>
  <c r="K702" i="7" s="1"/>
  <c r="E27" i="1" s="1"/>
  <c r="J702" i="7"/>
  <c r="M700" i="7"/>
  <c r="L700" i="7"/>
  <c r="K700" i="7"/>
  <c r="K699" i="7"/>
  <c r="M699" i="7"/>
  <c r="M698" i="7" s="1"/>
  <c r="L699" i="7"/>
  <c r="J698" i="7"/>
  <c r="L689" i="7"/>
  <c r="L688" i="7" s="1"/>
  <c r="L687" i="7" s="1"/>
  <c r="L685" i="7"/>
  <c r="L682" i="7" s="1"/>
  <c r="L683" i="7"/>
  <c r="K689" i="7"/>
  <c r="K688" i="7" s="1"/>
  <c r="K687" i="7" s="1"/>
  <c r="J688" i="7"/>
  <c r="J687" i="7" s="1"/>
  <c r="M685" i="7"/>
  <c r="M682" i="7" s="1"/>
  <c r="K685" i="7"/>
  <c r="K682" i="7" s="1"/>
  <c r="M684" i="7"/>
  <c r="N684" i="7" s="1"/>
  <c r="O684" i="7" s="1"/>
  <c r="K683" i="7"/>
  <c r="J682" i="7"/>
  <c r="M678" i="7"/>
  <c r="L678" i="7"/>
  <c r="K678" i="7"/>
  <c r="M677" i="7"/>
  <c r="L677" i="7"/>
  <c r="K677" i="7"/>
  <c r="M676" i="7"/>
  <c r="L676" i="7"/>
  <c r="K676" i="7"/>
  <c r="M675" i="7"/>
  <c r="N675" i="7" s="1"/>
  <c r="L675" i="7"/>
  <c r="K675" i="7"/>
  <c r="M674" i="7"/>
  <c r="L674" i="7"/>
  <c r="K674" i="7"/>
  <c r="M673" i="7"/>
  <c r="L673" i="7"/>
  <c r="K673" i="7"/>
  <c r="M672" i="7"/>
  <c r="L672" i="7"/>
  <c r="K672" i="7"/>
  <c r="M671" i="7"/>
  <c r="L671" i="7"/>
  <c r="K671" i="7"/>
  <c r="K670" i="7"/>
  <c r="K666" i="7"/>
  <c r="M670" i="7"/>
  <c r="L670" i="7"/>
  <c r="J669" i="7"/>
  <c r="M666" i="7"/>
  <c r="L666" i="7"/>
  <c r="J666" i="7"/>
  <c r="L657" i="7"/>
  <c r="N657" i="7" s="1"/>
  <c r="K657" i="7"/>
  <c r="L656" i="7"/>
  <c r="N656" i="7" s="1"/>
  <c r="K656" i="7"/>
  <c r="M655" i="7"/>
  <c r="M654" i="7" s="1"/>
  <c r="J655" i="7"/>
  <c r="J654" i="7" s="1"/>
  <c r="M652" i="7"/>
  <c r="L652" i="7"/>
  <c r="L649" i="7" s="1"/>
  <c r="K652" i="7"/>
  <c r="K649" i="7" s="1"/>
  <c r="M651" i="7"/>
  <c r="N651" i="7" s="1"/>
  <c r="O651" i="7" s="1"/>
  <c r="M650" i="7"/>
  <c r="N650" i="7" s="1"/>
  <c r="K650" i="7"/>
  <c r="J650" i="7"/>
  <c r="J649" i="7"/>
  <c r="M641" i="7"/>
  <c r="K641" i="7"/>
  <c r="M640" i="7"/>
  <c r="K640" i="7"/>
  <c r="J639" i="7"/>
  <c r="J638" i="7" s="1"/>
  <c r="M636" i="7"/>
  <c r="L636" i="7"/>
  <c r="L633" i="7" s="1"/>
  <c r="K636" i="7"/>
  <c r="K633" i="7" s="1"/>
  <c r="N635" i="7"/>
  <c r="O635" i="7" s="1"/>
  <c r="M634" i="7"/>
  <c r="N634" i="7" s="1"/>
  <c r="J633" i="7"/>
  <c r="M625" i="7"/>
  <c r="N625" i="7" s="1"/>
  <c r="L625" i="7"/>
  <c r="K625" i="7"/>
  <c r="L624" i="7"/>
  <c r="J624" i="7"/>
  <c r="J623" i="7" s="1"/>
  <c r="M623" i="7"/>
  <c r="K623" i="7"/>
  <c r="M621" i="7"/>
  <c r="M618" i="7" s="1"/>
  <c r="M619" i="7"/>
  <c r="L621" i="7"/>
  <c r="K621" i="7"/>
  <c r="K618" i="7" s="1"/>
  <c r="K617" i="7" s="1"/>
  <c r="M620" i="7"/>
  <c r="N620" i="7" s="1"/>
  <c r="L619" i="7"/>
  <c r="J618" i="7"/>
  <c r="J617" i="7" s="1"/>
  <c r="M615" i="7"/>
  <c r="L615" i="7"/>
  <c r="K615" i="7"/>
  <c r="E24" i="1" s="1"/>
  <c r="M614" i="7"/>
  <c r="L614" i="7"/>
  <c r="K614" i="7"/>
  <c r="J613" i="7"/>
  <c r="J611" i="7" s="1"/>
  <c r="M604" i="7"/>
  <c r="L604" i="7"/>
  <c r="M603" i="7"/>
  <c r="L603" i="7"/>
  <c r="K603" i="7"/>
  <c r="M602" i="7"/>
  <c r="L602" i="7"/>
  <c r="K602" i="7"/>
  <c r="M601" i="7"/>
  <c r="L601" i="7"/>
  <c r="K601" i="7"/>
  <c r="M600" i="7"/>
  <c r="L600" i="7"/>
  <c r="K600" i="7"/>
  <c r="M599" i="7"/>
  <c r="L599" i="7"/>
  <c r="K599" i="7"/>
  <c r="M598" i="7"/>
  <c r="L598" i="7"/>
  <c r="K598" i="7"/>
  <c r="M597" i="7"/>
  <c r="L597" i="7"/>
  <c r="K597" i="7"/>
  <c r="M596" i="7"/>
  <c r="L596" i="7"/>
  <c r="K596" i="7"/>
  <c r="K595" i="7"/>
  <c r="M595" i="7"/>
  <c r="L595" i="7"/>
  <c r="J594" i="7"/>
  <c r="J592" i="7" s="1"/>
  <c r="M591" i="7"/>
  <c r="L591" i="7"/>
  <c r="K591" i="7"/>
  <c r="M590" i="7"/>
  <c r="L590" i="7"/>
  <c r="K590" i="7"/>
  <c r="M589" i="7"/>
  <c r="L589" i="7"/>
  <c r="K589" i="7"/>
  <c r="M588" i="7"/>
  <c r="L588" i="7"/>
  <c r="K588" i="7"/>
  <c r="M587" i="7"/>
  <c r="L587" i="7"/>
  <c r="K587" i="7"/>
  <c r="M586" i="7"/>
  <c r="L586" i="7"/>
  <c r="K586" i="7"/>
  <c r="M585" i="7"/>
  <c r="L585" i="7"/>
  <c r="K585" i="7"/>
  <c r="M584" i="7"/>
  <c r="L584" i="7"/>
  <c r="L582" i="7"/>
  <c r="L583" i="7"/>
  <c r="M583" i="7"/>
  <c r="K584" i="7"/>
  <c r="K583" i="7"/>
  <c r="K582" i="7"/>
  <c r="M582" i="7"/>
  <c r="J581" i="7"/>
  <c r="J578" i="7" s="1"/>
  <c r="M580" i="7"/>
  <c r="N580" i="7" s="1"/>
  <c r="O580" i="7" s="1"/>
  <c r="M579" i="7"/>
  <c r="M577" i="7"/>
  <c r="N577" i="7" s="1"/>
  <c r="L577" i="7"/>
  <c r="K577" i="7"/>
  <c r="M576" i="7"/>
  <c r="L576" i="7"/>
  <c r="K576" i="7"/>
  <c r="M575" i="7"/>
  <c r="L575" i="7"/>
  <c r="K575" i="7"/>
  <c r="M574" i="7"/>
  <c r="L574" i="7"/>
  <c r="K574" i="7"/>
  <c r="M573" i="7"/>
  <c r="L573" i="7"/>
  <c r="K573" i="7"/>
  <c r="M572" i="7"/>
  <c r="L572" i="7"/>
  <c r="K572" i="7"/>
  <c r="K569" i="7"/>
  <c r="K570" i="7"/>
  <c r="K571" i="7"/>
  <c r="M571" i="7"/>
  <c r="L571" i="7"/>
  <c r="M570" i="7"/>
  <c r="L570" i="7"/>
  <c r="M569" i="7"/>
  <c r="L569" i="7"/>
  <c r="J568" i="7"/>
  <c r="M567" i="7"/>
  <c r="N567" i="7" s="1"/>
  <c r="L567" i="7"/>
  <c r="K567" i="7"/>
  <c r="M566" i="7"/>
  <c r="L566" i="7"/>
  <c r="K566" i="7"/>
  <c r="M565" i="7"/>
  <c r="L565" i="7"/>
  <c r="K565" i="7"/>
  <c r="M564" i="7"/>
  <c r="L564" i="7"/>
  <c r="K564" i="7"/>
  <c r="M563" i="7"/>
  <c r="N563" i="7" s="1"/>
  <c r="L563" i="7"/>
  <c r="K563" i="7"/>
  <c r="M562" i="7"/>
  <c r="L562" i="7"/>
  <c r="K562" i="7"/>
  <c r="K559" i="7"/>
  <c r="K560" i="7"/>
  <c r="K561" i="7"/>
  <c r="M561" i="7"/>
  <c r="L561" i="7"/>
  <c r="M560" i="7"/>
  <c r="L560" i="7"/>
  <c r="M559" i="7"/>
  <c r="L559" i="7"/>
  <c r="J558" i="7"/>
  <c r="J557" i="7" s="1"/>
  <c r="M555" i="7"/>
  <c r="M554" i="7" s="1"/>
  <c r="L555" i="7"/>
  <c r="L554" i="7" s="1"/>
  <c r="K555" i="7"/>
  <c r="K554" i="7" s="1"/>
  <c r="P554" i="7"/>
  <c r="M551" i="7"/>
  <c r="N551" i="7" s="1"/>
  <c r="L551" i="7"/>
  <c r="L550" i="7" s="1"/>
  <c r="L549" i="7" s="1"/>
  <c r="K551" i="7"/>
  <c r="K550" i="7" s="1"/>
  <c r="K549" i="7" s="1"/>
  <c r="M544" i="7"/>
  <c r="L544" i="7"/>
  <c r="K544" i="7"/>
  <c r="M543" i="7"/>
  <c r="L543" i="7"/>
  <c r="K543" i="7"/>
  <c r="K542" i="7" s="1"/>
  <c r="K541" i="7" s="1"/>
  <c r="J542" i="7"/>
  <c r="J541" i="7" s="1"/>
  <c r="M539" i="7"/>
  <c r="M538" i="7" s="1"/>
  <c r="M537" i="7" s="1"/>
  <c r="L539" i="7"/>
  <c r="L538" i="7" s="1"/>
  <c r="K539" i="7"/>
  <c r="J538" i="7"/>
  <c r="J537" i="7" s="1"/>
  <c r="M531" i="7"/>
  <c r="L531" i="7"/>
  <c r="L530" i="7" s="1"/>
  <c r="K531" i="7"/>
  <c r="K530" i="7" s="1"/>
  <c r="M528" i="7"/>
  <c r="N528" i="7" s="1"/>
  <c r="K528" i="7"/>
  <c r="M527" i="7"/>
  <c r="L527" i="7"/>
  <c r="K527" i="7"/>
  <c r="K526" i="7"/>
  <c r="M523" i="7"/>
  <c r="L523" i="7"/>
  <c r="K523" i="7"/>
  <c r="M522" i="7"/>
  <c r="L522" i="7"/>
  <c r="K522" i="7"/>
  <c r="M520" i="7"/>
  <c r="L520" i="7"/>
  <c r="K520" i="7"/>
  <c r="M517" i="7"/>
  <c r="L517" i="7"/>
  <c r="K517" i="7"/>
  <c r="K516" i="7" s="1"/>
  <c r="M514" i="7"/>
  <c r="L514" i="7"/>
  <c r="K514" i="7"/>
  <c r="M513" i="7"/>
  <c r="L513" i="7"/>
  <c r="K513" i="7"/>
  <c r="M512" i="7"/>
  <c r="L512" i="7"/>
  <c r="K512" i="7"/>
  <c r="M511" i="7"/>
  <c r="L511" i="7"/>
  <c r="K511" i="7"/>
  <c r="J510" i="7"/>
  <c r="M508" i="7"/>
  <c r="N508" i="7" s="1"/>
  <c r="L508" i="7"/>
  <c r="K508" i="7"/>
  <c r="M507" i="7"/>
  <c r="L507" i="7"/>
  <c r="K507" i="7"/>
  <c r="M506" i="7"/>
  <c r="L506" i="7"/>
  <c r="K506" i="7"/>
  <c r="M505" i="7"/>
  <c r="L505" i="7"/>
  <c r="K505" i="7"/>
  <c r="M504" i="7"/>
  <c r="N504" i="7" s="1"/>
  <c r="L504" i="7"/>
  <c r="K504" i="7"/>
  <c r="M503" i="7"/>
  <c r="L503" i="7"/>
  <c r="K503" i="7"/>
  <c r="M502" i="7"/>
  <c r="K502" i="7"/>
  <c r="M501" i="7"/>
  <c r="L501" i="7"/>
  <c r="K501" i="7"/>
  <c r="M500" i="7"/>
  <c r="L500" i="7"/>
  <c r="K500" i="7"/>
  <c r="M497" i="7"/>
  <c r="L497" i="7"/>
  <c r="K497" i="7"/>
  <c r="M496" i="7"/>
  <c r="L496" i="7"/>
  <c r="K496" i="7"/>
  <c r="J495" i="7"/>
  <c r="M493" i="7"/>
  <c r="M492" i="7" s="1"/>
  <c r="L493" i="7"/>
  <c r="K493" i="7"/>
  <c r="K492" i="7" s="1"/>
  <c r="J492" i="7"/>
  <c r="J511" i="9"/>
  <c r="J510" i="9" s="1"/>
  <c r="J509" i="9" s="1"/>
  <c r="J851" i="10"/>
  <c r="J849" i="10" s="1"/>
  <c r="N939" i="7"/>
  <c r="K1083" i="8"/>
  <c r="K1082" i="8" s="1"/>
  <c r="M449" i="8"/>
  <c r="L938" i="7"/>
  <c r="J901" i="10"/>
  <c r="O913" i="9"/>
  <c r="O709" i="8"/>
  <c r="O824" i="9"/>
  <c r="P581" i="10"/>
  <c r="P589" i="10"/>
  <c r="P629" i="10"/>
  <c r="P903" i="10"/>
  <c r="P781" i="7"/>
  <c r="P906" i="8"/>
  <c r="P625" i="10"/>
  <c r="N796" i="8"/>
  <c r="O1010" i="9"/>
  <c r="O179" i="10"/>
  <c r="J822" i="10"/>
  <c r="J820" i="10" s="1"/>
  <c r="P498" i="8"/>
  <c r="J851" i="8"/>
  <c r="J849" i="8" s="1"/>
  <c r="N496" i="8"/>
  <c r="P496" i="8" s="1"/>
  <c r="O634" i="8"/>
  <c r="O713" i="8"/>
  <c r="J957" i="9"/>
  <c r="J66" i="10"/>
  <c r="L1017" i="10"/>
  <c r="P919" i="8"/>
  <c r="P918" i="8" s="1"/>
  <c r="N1065" i="8"/>
  <c r="N842" i="8"/>
  <c r="O711" i="8"/>
  <c r="N942" i="8"/>
  <c r="M567" i="9"/>
  <c r="N958" i="8"/>
  <c r="N981" i="8"/>
  <c r="L467" i="9"/>
  <c r="L465" i="9" s="1"/>
  <c r="L463" i="9" s="1"/>
  <c r="K1028" i="8"/>
  <c r="K1027" i="8" s="1"/>
  <c r="O663" i="8"/>
  <c r="M994" i="8"/>
  <c r="M564" i="9"/>
  <c r="O658" i="9"/>
  <c r="J343" i="9"/>
  <c r="J342" i="9" s="1"/>
  <c r="J610" i="9"/>
  <c r="J606" i="9" s="1"/>
  <c r="J600" i="9" s="1"/>
  <c r="J599" i="9" s="1"/>
  <c r="N468" i="9"/>
  <c r="L501" i="9"/>
  <c r="L496" i="9" s="1"/>
  <c r="N583" i="9"/>
  <c r="N499" i="9"/>
  <c r="N498" i="9" s="1"/>
  <c r="N654" i="9"/>
  <c r="N333" i="10"/>
  <c r="P333" i="10" s="1"/>
  <c r="O1022" i="9"/>
  <c r="L165" i="10"/>
  <c r="O432" i="10"/>
  <c r="O583" i="10"/>
  <c r="O599" i="10"/>
  <c r="O603" i="10"/>
  <c r="O619" i="10"/>
  <c r="O623" i="10"/>
  <c r="O639" i="10"/>
  <c r="J928" i="10"/>
  <c r="J926" i="10" s="1"/>
  <c r="N575" i="10"/>
  <c r="L981" i="10"/>
  <c r="L980" i="10" s="1"/>
  <c r="N854" i="10"/>
  <c r="N971" i="10"/>
  <c r="P971" i="10" s="1"/>
  <c r="J1030" i="10"/>
  <c r="J1028" i="10" s="1"/>
  <c r="J1027" i="10" s="1"/>
  <c r="K901" i="10"/>
  <c r="N715" i="10"/>
  <c r="N869" i="10"/>
  <c r="O869" i="10" s="1"/>
  <c r="M995" i="10"/>
  <c r="M994" i="10" s="1"/>
  <c r="M1062" i="10"/>
  <c r="M331" i="8"/>
  <c r="N459" i="8"/>
  <c r="P459" i="8" s="1"/>
  <c r="O461" i="8"/>
  <c r="O460" i="8" s="1"/>
  <c r="O487" i="8"/>
  <c r="L763" i="8"/>
  <c r="N836" i="8"/>
  <c r="O836" i="8" s="1"/>
  <c r="L873" i="8"/>
  <c r="O832" i="9"/>
  <c r="L199" i="9"/>
  <c r="L198" i="9" s="1"/>
  <c r="L194" i="9" s="1"/>
  <c r="M270" i="9"/>
  <c r="M269" i="9" s="1"/>
  <c r="N525" i="9"/>
  <c r="P972" i="8"/>
  <c r="N401" i="9"/>
  <c r="O469" i="9"/>
  <c r="O480" i="9"/>
  <c r="O490" i="9"/>
  <c r="N507" i="9"/>
  <c r="L1088" i="8"/>
  <c r="N732" i="9"/>
  <c r="N716" i="9"/>
  <c r="M842" i="9"/>
  <c r="K911" i="9"/>
  <c r="N30" i="10"/>
  <c r="O30" i="10" s="1"/>
  <c r="K1003" i="9"/>
  <c r="K1002" i="9" s="1"/>
  <c r="M187" i="10"/>
  <c r="M295" i="10"/>
  <c r="N254" i="10"/>
  <c r="J757" i="10"/>
  <c r="J754" i="10" s="1"/>
  <c r="J752" i="10" s="1"/>
  <c r="N468" i="10"/>
  <c r="O441" i="10"/>
  <c r="N450" i="10"/>
  <c r="M545" i="10"/>
  <c r="K578" i="10"/>
  <c r="P582" i="10"/>
  <c r="P586" i="10"/>
  <c r="P594" i="10"/>
  <c r="P598" i="10"/>
  <c r="P602" i="10"/>
  <c r="P610" i="10"/>
  <c r="P614" i="10"/>
  <c r="P618" i="10"/>
  <c r="P622" i="10"/>
  <c r="P626" i="10"/>
  <c r="P630" i="10"/>
  <c r="P634" i="10"/>
  <c r="P638" i="10"/>
  <c r="M662" i="10"/>
  <c r="N775" i="10"/>
  <c r="O775" i="10" s="1"/>
  <c r="P906" i="10"/>
  <c r="M958" i="10"/>
  <c r="M957" i="10" s="1"/>
  <c r="M966" i="10"/>
  <c r="M965" i="10" s="1"/>
  <c r="M813" i="10"/>
  <c r="M812" i="10" s="1"/>
  <c r="M970" i="10"/>
  <c r="K1067" i="10"/>
  <c r="K1065" i="10" s="1"/>
  <c r="K1064" i="10" s="1"/>
  <c r="L490" i="7"/>
  <c r="K490" i="7"/>
  <c r="M489" i="7"/>
  <c r="L489" i="7"/>
  <c r="K489" i="7"/>
  <c r="M486" i="7"/>
  <c r="L486" i="7"/>
  <c r="K486" i="7"/>
  <c r="M485" i="7"/>
  <c r="L485" i="7"/>
  <c r="K485" i="7"/>
  <c r="M484" i="7"/>
  <c r="L484" i="7"/>
  <c r="K484" i="7"/>
  <c r="M483" i="7"/>
  <c r="L483" i="7"/>
  <c r="K483" i="7"/>
  <c r="M482" i="7"/>
  <c r="L482" i="7"/>
  <c r="K482" i="7"/>
  <c r="J481" i="7"/>
  <c r="M478" i="7"/>
  <c r="L478" i="7"/>
  <c r="K478" i="7"/>
  <c r="M477" i="7"/>
  <c r="L477" i="7"/>
  <c r="K477" i="7"/>
  <c r="M476" i="7"/>
  <c r="L476" i="7"/>
  <c r="K476" i="7"/>
  <c r="M475" i="7"/>
  <c r="L475" i="7"/>
  <c r="K475" i="7"/>
  <c r="M474" i="7"/>
  <c r="L474" i="7"/>
  <c r="K474" i="7"/>
  <c r="M473" i="7"/>
  <c r="L473" i="7"/>
  <c r="K473" i="7"/>
  <c r="M472" i="7"/>
  <c r="L472" i="7"/>
  <c r="K472" i="7"/>
  <c r="J471" i="7"/>
  <c r="J470" i="7" s="1"/>
  <c r="J469" i="7" s="1"/>
  <c r="M467" i="7"/>
  <c r="L467" i="7"/>
  <c r="K467" i="7"/>
  <c r="J467" i="7"/>
  <c r="M466" i="7"/>
  <c r="L466" i="7"/>
  <c r="K466" i="7"/>
  <c r="J466" i="7"/>
  <c r="M465" i="7"/>
  <c r="L465" i="7"/>
  <c r="K465" i="7"/>
  <c r="J465" i="7"/>
  <c r="M464" i="7"/>
  <c r="L464" i="7"/>
  <c r="K464" i="7"/>
  <c r="J464" i="7"/>
  <c r="M463" i="7"/>
  <c r="L463" i="7"/>
  <c r="K463" i="7"/>
  <c r="J463" i="7"/>
  <c r="M462" i="7"/>
  <c r="L462" i="7"/>
  <c r="K462" i="7"/>
  <c r="J462" i="7"/>
  <c r="M461" i="7"/>
  <c r="L461" i="7"/>
  <c r="K461" i="7"/>
  <c r="J461" i="7"/>
  <c r="M460" i="7"/>
  <c r="L460" i="7"/>
  <c r="K460" i="7"/>
  <c r="J460" i="7"/>
  <c r="M459" i="7"/>
  <c r="M458" i="7" s="1"/>
  <c r="L459" i="7"/>
  <c r="K459" i="7"/>
  <c r="J459" i="7"/>
  <c r="J458" i="7" s="1"/>
  <c r="M457" i="7"/>
  <c r="L457" i="7"/>
  <c r="K457" i="7"/>
  <c r="J457" i="7"/>
  <c r="M456" i="7"/>
  <c r="L456" i="7"/>
  <c r="K456" i="7"/>
  <c r="J456" i="7"/>
  <c r="M455" i="7"/>
  <c r="M454" i="7" s="1"/>
  <c r="L455" i="7"/>
  <c r="L454" i="7" s="1"/>
  <c r="K455" i="7"/>
  <c r="K454" i="7" s="1"/>
  <c r="J455" i="7"/>
  <c r="J454" i="7" s="1"/>
  <c r="J452" i="7"/>
  <c r="J451" i="7" s="1"/>
  <c r="N446" i="7"/>
  <c r="M445" i="7"/>
  <c r="M443" i="7" s="1"/>
  <c r="L445" i="7"/>
  <c r="K445" i="7"/>
  <c r="K443" i="7" s="1"/>
  <c r="N444" i="7"/>
  <c r="J443" i="7"/>
  <c r="M441" i="7"/>
  <c r="M437" i="7" s="1"/>
  <c r="L441" i="7"/>
  <c r="L437" i="7" s="1"/>
  <c r="K441" i="7"/>
  <c r="K437" i="7" s="1"/>
  <c r="N440" i="7"/>
  <c r="O440" i="7" s="1"/>
  <c r="N439" i="7"/>
  <c r="O439" i="7" s="1"/>
  <c r="N438" i="7"/>
  <c r="J437" i="7"/>
  <c r="N434" i="7"/>
  <c r="M433" i="7"/>
  <c r="M432" i="7" s="1"/>
  <c r="L433" i="7"/>
  <c r="L432" i="7" s="1"/>
  <c r="K433" i="7"/>
  <c r="K432" i="7" s="1"/>
  <c r="J433" i="7"/>
  <c r="J432" i="7" s="1"/>
  <c r="M425" i="7"/>
  <c r="M423" i="7" s="1"/>
  <c r="N423" i="7" s="1"/>
  <c r="L425" i="7"/>
  <c r="L423" i="7" s="1"/>
  <c r="K425" i="7"/>
  <c r="K423" i="7" s="1"/>
  <c r="J424" i="7"/>
  <c r="J423" i="7" s="1"/>
  <c r="M421" i="7"/>
  <c r="L421" i="7"/>
  <c r="K421" i="7"/>
  <c r="K418" i="7" s="1"/>
  <c r="K417" i="7" s="1"/>
  <c r="M420" i="7"/>
  <c r="L420" i="7"/>
  <c r="M419" i="7"/>
  <c r="L419" i="7"/>
  <c r="J418" i="7"/>
  <c r="J417" i="7" s="1"/>
  <c r="M415" i="7"/>
  <c r="M413" i="7"/>
  <c r="M414" i="7"/>
  <c r="L415" i="7"/>
  <c r="K415" i="7"/>
  <c r="L414" i="7"/>
  <c r="K414" i="7"/>
  <c r="L413" i="7"/>
  <c r="K413" i="7"/>
  <c r="J412" i="7"/>
  <c r="J411" i="7" s="1"/>
  <c r="J409" i="7" s="1"/>
  <c r="J407" i="7" s="1"/>
  <c r="J405" i="7" s="1"/>
  <c r="J403" i="7" s="1"/>
  <c r="M401" i="7"/>
  <c r="L401" i="7"/>
  <c r="K401" i="7"/>
  <c r="K400" i="7" s="1"/>
  <c r="K394" i="7" s="1"/>
  <c r="K392" i="7" s="1"/>
  <c r="K390" i="7" s="1"/>
  <c r="J400" i="7"/>
  <c r="J394" i="7" s="1"/>
  <c r="J392" i="7" s="1"/>
  <c r="J390" i="7" s="1"/>
  <c r="M398" i="7"/>
  <c r="L398" i="7"/>
  <c r="K398" i="7"/>
  <c r="M397" i="7"/>
  <c r="N397" i="7" s="1"/>
  <c r="O397" i="7" s="1"/>
  <c r="M396" i="7"/>
  <c r="N396" i="7" s="1"/>
  <c r="O396" i="7" s="1"/>
  <c r="M388" i="7"/>
  <c r="M386" i="7" s="1"/>
  <c r="L388" i="7"/>
  <c r="K388" i="7"/>
  <c r="K386" i="7" s="1"/>
  <c r="M387" i="7"/>
  <c r="L387" i="7"/>
  <c r="J386" i="7"/>
  <c r="M384" i="7"/>
  <c r="L384" i="7"/>
  <c r="M383" i="7"/>
  <c r="L383" i="7"/>
  <c r="M382" i="7"/>
  <c r="L382" i="7"/>
  <c r="K382" i="7"/>
  <c r="P381" i="7"/>
  <c r="M381" i="7"/>
  <c r="M380" i="7"/>
  <c r="M379" i="7"/>
  <c r="K378" i="7"/>
  <c r="J378" i="7"/>
  <c r="J377" i="7" s="1"/>
  <c r="M375" i="7"/>
  <c r="L375" i="7"/>
  <c r="L374" i="7" s="1"/>
  <c r="K375" i="7"/>
  <c r="K374" i="7" s="1"/>
  <c r="E20" i="1" s="1"/>
  <c r="J374" i="7"/>
  <c r="J369" i="7" s="1"/>
  <c r="J367" i="7" s="1"/>
  <c r="M372" i="7"/>
  <c r="L372" i="7"/>
  <c r="K372" i="7"/>
  <c r="M371" i="7"/>
  <c r="L371" i="7"/>
  <c r="K371" i="7"/>
  <c r="J370" i="7"/>
  <c r="M361" i="7"/>
  <c r="L361" i="7"/>
  <c r="K361" i="7"/>
  <c r="M360" i="7"/>
  <c r="L360" i="7"/>
  <c r="K360" i="7"/>
  <c r="M359" i="7"/>
  <c r="L359" i="7"/>
  <c r="K359" i="7"/>
  <c r="M358" i="7"/>
  <c r="L358" i="7"/>
  <c r="K358" i="7"/>
  <c r="J357" i="7"/>
  <c r="J356" i="7" s="1"/>
  <c r="J350" i="7" s="1"/>
  <c r="M355" i="7"/>
  <c r="L355" i="7"/>
  <c r="K355" i="7"/>
  <c r="M354" i="7"/>
  <c r="L354" i="7"/>
  <c r="K354" i="7"/>
  <c r="M353" i="7"/>
  <c r="M352" i="7"/>
  <c r="N352" i="7" s="1"/>
  <c r="O352" i="7" s="1"/>
  <c r="M348" i="7"/>
  <c r="M347" i="7" s="1"/>
  <c r="L348" i="7"/>
  <c r="K348" i="7"/>
  <c r="K347" i="7" s="1"/>
  <c r="E18" i="1" s="1"/>
  <c r="J347" i="7"/>
  <c r="J344" i="7"/>
  <c r="M345" i="7"/>
  <c r="M344" i="7" s="1"/>
  <c r="L345" i="7"/>
  <c r="L344" i="7" s="1"/>
  <c r="K345" i="7"/>
  <c r="K344" i="7" s="1"/>
  <c r="M337" i="7"/>
  <c r="L337" i="7"/>
  <c r="K337" i="7"/>
  <c r="M336" i="7"/>
  <c r="L336" i="7"/>
  <c r="K336" i="7"/>
  <c r="K334" i="7"/>
  <c r="K335" i="7"/>
  <c r="K330" i="7"/>
  <c r="K327" i="7" s="1"/>
  <c r="M335" i="7"/>
  <c r="L335" i="7"/>
  <c r="M334" i="7"/>
  <c r="L334" i="7"/>
  <c r="J333" i="7"/>
  <c r="J332" i="7" s="1"/>
  <c r="M330" i="7"/>
  <c r="N330" i="7" s="1"/>
  <c r="L330" i="7"/>
  <c r="M329" i="7"/>
  <c r="L329" i="7"/>
  <c r="M328" i="7"/>
  <c r="J327" i="7"/>
  <c r="N325" i="7"/>
  <c r="M324" i="7"/>
  <c r="M323" i="7" s="1"/>
  <c r="L324" i="7"/>
  <c r="K324" i="7"/>
  <c r="K323" i="7" s="1"/>
  <c r="J323" i="7"/>
  <c r="M321" i="7"/>
  <c r="M320" i="7"/>
  <c r="N320" i="7" s="1"/>
  <c r="L320" i="7"/>
  <c r="K320" i="7"/>
  <c r="K319" i="7" s="1"/>
  <c r="E15" i="1" s="1"/>
  <c r="J319" i="7"/>
  <c r="M316" i="7"/>
  <c r="M315" i="7" s="1"/>
  <c r="L316" i="7"/>
  <c r="L315" i="7" s="1"/>
  <c r="K316" i="7"/>
  <c r="J315" i="7"/>
  <c r="M308" i="7"/>
  <c r="M306" i="7" s="1"/>
  <c r="M305" i="7" s="1"/>
  <c r="M300" i="7"/>
  <c r="N300" i="7" s="1"/>
  <c r="O300" i="7" s="1"/>
  <c r="M301" i="7"/>
  <c r="N301" i="7" s="1"/>
  <c r="O301" i="7" s="1"/>
  <c r="M302" i="7"/>
  <c r="M307" i="7"/>
  <c r="N307" i="7" s="1"/>
  <c r="O307" i="7" s="1"/>
  <c r="M296" i="7"/>
  <c r="M295" i="7" s="1"/>
  <c r="L308" i="7"/>
  <c r="L306" i="7" s="1"/>
  <c r="L305" i="7" s="1"/>
  <c r="K308" i="7"/>
  <c r="J306" i="7"/>
  <c r="J305" i="7"/>
  <c r="N303" i="7"/>
  <c r="O303" i="7" s="1"/>
  <c r="L302" i="7"/>
  <c r="L299" i="7" s="1"/>
  <c r="K302" i="7"/>
  <c r="K299" i="7" s="1"/>
  <c r="J299" i="7"/>
  <c r="J298" i="7" s="1"/>
  <c r="L296" i="7"/>
  <c r="L295" i="7" s="1"/>
  <c r="L294" i="7" s="1"/>
  <c r="L292" i="7" s="1"/>
  <c r="K296" i="7"/>
  <c r="K295" i="7" s="1"/>
  <c r="K294" i="7" s="1"/>
  <c r="K292" i="7" s="1"/>
  <c r="J295" i="7"/>
  <c r="J294" i="7" s="1"/>
  <c r="J292" i="7" s="1"/>
  <c r="K286" i="7"/>
  <c r="K285" i="7" s="1"/>
  <c r="K284" i="7" s="1"/>
  <c r="J285" i="7"/>
  <c r="J284" i="7" s="1"/>
  <c r="M282" i="7"/>
  <c r="L282" i="7"/>
  <c r="K282" i="7"/>
  <c r="K279" i="7" s="1"/>
  <c r="M281" i="7"/>
  <c r="N281" i="7" s="1"/>
  <c r="O281" i="7" s="1"/>
  <c r="M280" i="7"/>
  <c r="J279" i="7"/>
  <c r="M271" i="7"/>
  <c r="L271" i="7"/>
  <c r="L270" i="7" s="1"/>
  <c r="L269" i="7" s="1"/>
  <c r="K271" i="7"/>
  <c r="K270" i="7" s="1"/>
  <c r="J270" i="7"/>
  <c r="J269" i="7" s="1"/>
  <c r="M267" i="7"/>
  <c r="L267" i="7"/>
  <c r="L264" i="7" s="1"/>
  <c r="L263" i="7" s="1"/>
  <c r="L262" i="7" s="1"/>
  <c r="K267" i="7"/>
  <c r="K264" i="7" s="1"/>
  <c r="M266" i="7"/>
  <c r="M265" i="7"/>
  <c r="N265" i="7" s="1"/>
  <c r="O265" i="7" s="1"/>
  <c r="J264" i="7"/>
  <c r="L259" i="7"/>
  <c r="M258" i="7"/>
  <c r="M257" i="7" s="1"/>
  <c r="M256" i="7" s="1"/>
  <c r="L258" i="7"/>
  <c r="K258" i="7"/>
  <c r="K257" i="7" s="1"/>
  <c r="K256" i="7" s="1"/>
  <c r="J257" i="7"/>
  <c r="J256" i="7"/>
  <c r="J248" i="7"/>
  <c r="J247" i="7" s="1"/>
  <c r="J251" i="7"/>
  <c r="N255" i="7"/>
  <c r="M254" i="7"/>
  <c r="N254" i="7" s="1"/>
  <c r="L254" i="7"/>
  <c r="K254" i="7"/>
  <c r="K251" i="7" s="1"/>
  <c r="M253" i="7"/>
  <c r="L253" i="7"/>
  <c r="L251" i="7" s="1"/>
  <c r="M252" i="7"/>
  <c r="N252" i="7" s="1"/>
  <c r="O252" i="7" s="1"/>
  <c r="M249" i="7"/>
  <c r="L249" i="7"/>
  <c r="L248" i="7" s="1"/>
  <c r="L247" i="7" s="1"/>
  <c r="K249" i="7"/>
  <c r="K248" i="7" s="1"/>
  <c r="K247" i="7" s="1"/>
  <c r="K245" i="7"/>
  <c r="K244" i="7" s="1"/>
  <c r="K240" i="7"/>
  <c r="K241" i="7"/>
  <c r="M245" i="7"/>
  <c r="M244" i="7" s="1"/>
  <c r="N244" i="7" s="1"/>
  <c r="P244" i="7" s="1"/>
  <c r="L245" i="7"/>
  <c r="L244" i="7" s="1"/>
  <c r="M241" i="7"/>
  <c r="L241" i="7"/>
  <c r="M240" i="7"/>
  <c r="N240" i="7" s="1"/>
  <c r="L240" i="7"/>
  <c r="J239" i="7"/>
  <c r="J238" i="7" s="1"/>
  <c r="J236" i="7" s="1"/>
  <c r="M230" i="7"/>
  <c r="K230" i="7"/>
  <c r="M229" i="7"/>
  <c r="L229" i="7"/>
  <c r="K229" i="7"/>
  <c r="K226" i="7" s="1"/>
  <c r="M228" i="7"/>
  <c r="M227" i="7"/>
  <c r="J226" i="7"/>
  <c r="M224" i="7"/>
  <c r="M223" i="7" s="1"/>
  <c r="L224" i="7"/>
  <c r="K224" i="7"/>
  <c r="K223" i="7" s="1"/>
  <c r="J223" i="7"/>
  <c r="M220" i="7"/>
  <c r="M219" i="7" s="1"/>
  <c r="M218" i="7" s="1"/>
  <c r="L220" i="7"/>
  <c r="K220" i="7"/>
  <c r="K219" i="7" s="1"/>
  <c r="K218" i="7" s="1"/>
  <c r="J219" i="7"/>
  <c r="J218" i="7" s="1"/>
  <c r="M213" i="7"/>
  <c r="M212" i="7" s="1"/>
  <c r="L213" i="7"/>
  <c r="L212" i="7" s="1"/>
  <c r="K213" i="7"/>
  <c r="K212" i="7" s="1"/>
  <c r="J212" i="7"/>
  <c r="M210" i="7"/>
  <c r="L210" i="7"/>
  <c r="K210" i="7"/>
  <c r="K207" i="7" s="1"/>
  <c r="M209" i="7"/>
  <c r="L209" i="7"/>
  <c r="M208" i="7"/>
  <c r="L208" i="7"/>
  <c r="J207" i="7"/>
  <c r="J204" i="7"/>
  <c r="M205" i="7"/>
  <c r="M204" i="7" s="1"/>
  <c r="L205" i="7"/>
  <c r="L204" i="7" s="1"/>
  <c r="K205" i="7"/>
  <c r="K204" i="7" s="1"/>
  <c r="M201" i="7"/>
  <c r="L201" i="7"/>
  <c r="K201" i="7"/>
  <c r="M200" i="7"/>
  <c r="L200" i="7"/>
  <c r="K200" i="7"/>
  <c r="K199" i="7" s="1"/>
  <c r="E9" i="1" s="1"/>
  <c r="J199" i="7"/>
  <c r="J198" i="7" s="1"/>
  <c r="M196" i="7"/>
  <c r="L196" i="7"/>
  <c r="K196" i="7"/>
  <c r="K195" i="7" s="1"/>
  <c r="J195" i="7"/>
  <c r="M188" i="7"/>
  <c r="M187" i="7" s="1"/>
  <c r="L188" i="7"/>
  <c r="L187" i="7" s="1"/>
  <c r="K188" i="7"/>
  <c r="K187" i="7" s="1"/>
  <c r="J187" i="7"/>
  <c r="M185" i="7"/>
  <c r="L185" i="7"/>
  <c r="L184" i="7" s="1"/>
  <c r="K185" i="7"/>
  <c r="K184" i="7" s="1"/>
  <c r="J184" i="7"/>
  <c r="J181" i="7" s="1"/>
  <c r="J176" i="7" s="1"/>
  <c r="J174" i="7" s="1"/>
  <c r="M182" i="7"/>
  <c r="L182" i="7"/>
  <c r="K182" i="7"/>
  <c r="M179" i="7"/>
  <c r="M178" i="7" s="1"/>
  <c r="L179" i="7"/>
  <c r="K178" i="7"/>
  <c r="M172" i="7"/>
  <c r="M163" i="7"/>
  <c r="M168" i="7"/>
  <c r="M165" i="7" s="1"/>
  <c r="M166" i="7"/>
  <c r="M167" i="7"/>
  <c r="N167" i="7" s="1"/>
  <c r="O167" i="7" s="1"/>
  <c r="L163" i="7"/>
  <c r="L168" i="7"/>
  <c r="L165" i="7" s="1"/>
  <c r="L172" i="7"/>
  <c r="L171" i="7" s="1"/>
  <c r="L170" i="7" s="1"/>
  <c r="K172" i="7"/>
  <c r="K171" i="7" s="1"/>
  <c r="K170" i="7" s="1"/>
  <c r="J171" i="7"/>
  <c r="J170" i="7" s="1"/>
  <c r="K168" i="7"/>
  <c r="K165" i="7" s="1"/>
  <c r="J165" i="7"/>
  <c r="K163" i="7"/>
  <c r="J163" i="7"/>
  <c r="M156" i="7"/>
  <c r="M155" i="7" s="1"/>
  <c r="L156" i="7"/>
  <c r="L155" i="7" s="1"/>
  <c r="K156" i="7"/>
  <c r="K155" i="7" s="1"/>
  <c r="J155" i="7"/>
  <c r="J147" i="7" s="1"/>
  <c r="M154" i="7"/>
  <c r="L154" i="7"/>
  <c r="L151" i="7" s="1"/>
  <c r="K154" i="7"/>
  <c r="K151" i="7" s="1"/>
  <c r="M153" i="7"/>
  <c r="N153" i="7" s="1"/>
  <c r="O153" i="7" s="1"/>
  <c r="M152" i="7"/>
  <c r="N152" i="7" s="1"/>
  <c r="M149" i="7"/>
  <c r="M148" i="7" s="1"/>
  <c r="L149" i="7"/>
  <c r="L148" i="7" s="1"/>
  <c r="K148" i="7"/>
  <c r="M145" i="7"/>
  <c r="M144" i="7" s="1"/>
  <c r="M143" i="7" s="1"/>
  <c r="L145" i="7"/>
  <c r="K145" i="7"/>
  <c r="J144" i="7"/>
  <c r="J143" i="7" s="1"/>
  <c r="M138" i="7"/>
  <c r="M137" i="7" s="1"/>
  <c r="L138" i="7"/>
  <c r="L137" i="7" s="1"/>
  <c r="K137" i="7"/>
  <c r="J137" i="7"/>
  <c r="M135" i="7"/>
  <c r="L135" i="7"/>
  <c r="L132" i="7" s="1"/>
  <c r="M134" i="7"/>
  <c r="N134" i="7" s="1"/>
  <c r="M133" i="7"/>
  <c r="N133" i="7" s="1"/>
  <c r="O133" i="7" s="1"/>
  <c r="K132" i="7"/>
  <c r="J132" i="7"/>
  <c r="M130" i="7"/>
  <c r="L130" i="7"/>
  <c r="K130" i="7"/>
  <c r="J130" i="7"/>
  <c r="J129" i="7" s="1"/>
  <c r="J127" i="7" s="1"/>
  <c r="J125" i="7" s="1"/>
  <c r="M124" i="7"/>
  <c r="M123" i="7" s="1"/>
  <c r="L124" i="7"/>
  <c r="L123" i="7" s="1"/>
  <c r="K124" i="7"/>
  <c r="K123" i="7" s="1"/>
  <c r="J123" i="7"/>
  <c r="N122" i="7"/>
  <c r="O122" i="7" s="1"/>
  <c r="M121" i="7"/>
  <c r="M118" i="7" s="1"/>
  <c r="L121" i="7"/>
  <c r="L118" i="7" s="1"/>
  <c r="K121" i="7"/>
  <c r="K118" i="7" s="1"/>
  <c r="M120" i="7"/>
  <c r="N120" i="7" s="1"/>
  <c r="O120" i="7" s="1"/>
  <c r="M119" i="7"/>
  <c r="M119" i="8" s="1"/>
  <c r="L119" i="7"/>
  <c r="L119" i="8" s="1"/>
  <c r="J118" i="7"/>
  <c r="N116" i="7"/>
  <c r="O116" i="7" s="1"/>
  <c r="M115" i="7"/>
  <c r="L115" i="7"/>
  <c r="L114" i="7" s="1"/>
  <c r="J114" i="7"/>
  <c r="J112" i="7" s="1"/>
  <c r="L107" i="7"/>
  <c r="M106" i="7"/>
  <c r="L106" i="7"/>
  <c r="K106" i="7"/>
  <c r="K105" i="7" s="1"/>
  <c r="K104" i="7" s="1"/>
  <c r="P105" i="7"/>
  <c r="J105" i="7"/>
  <c r="J104" i="7" s="1"/>
  <c r="M102" i="7"/>
  <c r="L102" i="7"/>
  <c r="K102" i="7"/>
  <c r="M101" i="7"/>
  <c r="N101" i="7" s="1"/>
  <c r="O101" i="7" s="1"/>
  <c r="M100" i="7"/>
  <c r="N100" i="7" s="1"/>
  <c r="O100" i="7" s="1"/>
  <c r="M99" i="7"/>
  <c r="L99" i="7"/>
  <c r="J99" i="7"/>
  <c r="J98" i="7" s="1"/>
  <c r="M96" i="7"/>
  <c r="M95" i="7" s="1"/>
  <c r="M94" i="7" s="1"/>
  <c r="L96" i="7"/>
  <c r="K96" i="7"/>
  <c r="K95" i="7" s="1"/>
  <c r="J95" i="7"/>
  <c r="J94" i="7" s="1"/>
  <c r="M90" i="7"/>
  <c r="M89" i="7" s="1"/>
  <c r="L90" i="7"/>
  <c r="K90" i="7"/>
  <c r="K89" i="7" s="1"/>
  <c r="J89" i="7"/>
  <c r="J88" i="7" s="1"/>
  <c r="J83" i="7"/>
  <c r="M86" i="7"/>
  <c r="L86" i="7"/>
  <c r="L83" i="7" s="1"/>
  <c r="K86" i="7"/>
  <c r="K83" i="7" s="1"/>
  <c r="M85" i="7"/>
  <c r="N85" i="7" s="1"/>
  <c r="O85" i="7" s="1"/>
  <c r="M84" i="7"/>
  <c r="M80" i="7"/>
  <c r="L80" i="7"/>
  <c r="L79" i="7" s="1"/>
  <c r="L78" i="7" s="1"/>
  <c r="K80" i="7"/>
  <c r="J79" i="7"/>
  <c r="J78" i="7" s="1"/>
  <c r="M73" i="7"/>
  <c r="L73" i="7"/>
  <c r="L72" i="7" s="1"/>
  <c r="K73" i="7"/>
  <c r="K72" i="7" s="1"/>
  <c r="J72" i="7"/>
  <c r="N71" i="7"/>
  <c r="O71" i="7"/>
  <c r="M70" i="7"/>
  <c r="L70" i="7"/>
  <c r="L67" i="7" s="1"/>
  <c r="K70" i="7"/>
  <c r="K67" i="7" s="1"/>
  <c r="M69" i="7"/>
  <c r="M68" i="7"/>
  <c r="N68" i="7" s="1"/>
  <c r="O68" i="7" s="1"/>
  <c r="J67" i="7"/>
  <c r="N64" i="7"/>
  <c r="O64" i="7" s="1"/>
  <c r="M63" i="7"/>
  <c r="M62" i="7" s="1"/>
  <c r="M61" i="7" s="1"/>
  <c r="L63" i="7"/>
  <c r="L62" i="7" s="1"/>
  <c r="L61" i="7" s="1"/>
  <c r="K63" i="7"/>
  <c r="K62" i="7" s="1"/>
  <c r="K61" i="7" s="1"/>
  <c r="J62" i="7"/>
  <c r="J61" i="7"/>
  <c r="M56" i="7"/>
  <c r="M55" i="7" s="1"/>
  <c r="L56" i="7"/>
  <c r="K56" i="7"/>
  <c r="M54" i="7"/>
  <c r="L54" i="7"/>
  <c r="L54" i="8" s="1"/>
  <c r="N54" i="8" s="1"/>
  <c r="K54" i="7"/>
  <c r="K51" i="7" s="1"/>
  <c r="M53" i="7"/>
  <c r="M52" i="7"/>
  <c r="P51" i="7"/>
  <c r="J51" i="7"/>
  <c r="M50" i="7"/>
  <c r="M49" i="7" s="1"/>
  <c r="L50" i="7"/>
  <c r="L49" i="7" s="1"/>
  <c r="K50" i="7"/>
  <c r="K49" i="7" s="1"/>
  <c r="J49" i="7"/>
  <c r="M46" i="7"/>
  <c r="M45" i="7" s="1"/>
  <c r="M44" i="7" s="1"/>
  <c r="M42" i="7" s="1"/>
  <c r="L46" i="7"/>
  <c r="K46" i="7"/>
  <c r="K45" i="7" s="1"/>
  <c r="K44" i="7" s="1"/>
  <c r="K42" i="7" s="1"/>
  <c r="K40" i="7" s="1"/>
  <c r="K38" i="7" s="1"/>
  <c r="J45" i="7"/>
  <c r="J44" i="7" s="1"/>
  <c r="J42" i="7" s="1"/>
  <c r="J40" i="7" s="1"/>
  <c r="J38" i="7" s="1"/>
  <c r="N35" i="7"/>
  <c r="O35" i="7" s="1"/>
  <c r="N34" i="7"/>
  <c r="O34" i="7" s="1"/>
  <c r="M33" i="7"/>
  <c r="M32" i="7" s="1"/>
  <c r="L33" i="7"/>
  <c r="K33" i="7"/>
  <c r="K32" i="7" s="1"/>
  <c r="J32" i="7"/>
  <c r="N31" i="7"/>
  <c r="M30" i="7"/>
  <c r="L30" i="7"/>
  <c r="K30" i="7"/>
  <c r="M29" i="7"/>
  <c r="L29" i="7"/>
  <c r="M28" i="7"/>
  <c r="N28" i="7" s="1"/>
  <c r="O28" i="7" s="1"/>
  <c r="K27" i="7"/>
  <c r="K25" i="7"/>
  <c r="J27" i="7"/>
  <c r="M26" i="7"/>
  <c r="L26" i="7"/>
  <c r="L25" i="7" s="1"/>
  <c r="J25" i="7"/>
  <c r="L22" i="7"/>
  <c r="L21" i="7"/>
  <c r="K22" i="7"/>
  <c r="K21" i="7"/>
  <c r="J20" i="7"/>
  <c r="J19" i="7" s="1"/>
  <c r="J17" i="7" s="1"/>
  <c r="G15" i="7"/>
  <c r="G13" i="7"/>
  <c r="B2" i="1" s="1"/>
  <c r="E1048" i="6"/>
  <c r="E1050" i="6" s="1"/>
  <c r="Q716" i="6"/>
  <c r="D716" i="6"/>
  <c r="R716" i="6" s="1"/>
  <c r="P715" i="6"/>
  <c r="O715" i="6"/>
  <c r="N715" i="6"/>
  <c r="M715" i="6"/>
  <c r="L715" i="6"/>
  <c r="K715" i="6"/>
  <c r="J715" i="6"/>
  <c r="I715" i="6"/>
  <c r="H715" i="6"/>
  <c r="G715" i="6"/>
  <c r="F715" i="6"/>
  <c r="E715" i="6"/>
  <c r="P714" i="6"/>
  <c r="O714" i="6"/>
  <c r="N714" i="6"/>
  <c r="M714" i="6"/>
  <c r="L714" i="6"/>
  <c r="K714" i="6"/>
  <c r="J714" i="6"/>
  <c r="I714" i="6"/>
  <c r="H714" i="6"/>
  <c r="G714" i="6"/>
  <c r="F714" i="6"/>
  <c r="E714" i="6"/>
  <c r="P713" i="6"/>
  <c r="O713" i="6"/>
  <c r="N713" i="6"/>
  <c r="M713" i="6"/>
  <c r="L713" i="6"/>
  <c r="K713" i="6"/>
  <c r="J713" i="6"/>
  <c r="I713" i="6"/>
  <c r="H713" i="6"/>
  <c r="G713" i="6"/>
  <c r="F713" i="6"/>
  <c r="E713" i="6"/>
  <c r="P712" i="6"/>
  <c r="P711" i="6" s="1"/>
  <c r="P709" i="6" s="1"/>
  <c r="O712" i="6"/>
  <c r="O711" i="6" s="1"/>
  <c r="O709" i="6" s="1"/>
  <c r="N712" i="6"/>
  <c r="N711" i="6" s="1"/>
  <c r="N709" i="6" s="1"/>
  <c r="M712" i="6"/>
  <c r="L712" i="6"/>
  <c r="K712" i="6"/>
  <c r="K711" i="6" s="1"/>
  <c r="K709" i="6" s="1"/>
  <c r="J712" i="6"/>
  <c r="J711" i="6" s="1"/>
  <c r="J709" i="6" s="1"/>
  <c r="I712" i="6"/>
  <c r="I711" i="6" s="1"/>
  <c r="I709" i="6" s="1"/>
  <c r="H712" i="6"/>
  <c r="G712" i="6"/>
  <c r="G711" i="6" s="1"/>
  <c r="G709" i="6" s="1"/>
  <c r="F712" i="6"/>
  <c r="E712" i="6"/>
  <c r="E711" i="6" s="1"/>
  <c r="E709" i="6" s="1"/>
  <c r="Q707" i="6"/>
  <c r="D707" i="6"/>
  <c r="D702" i="6" s="1"/>
  <c r="D700" i="6" s="1"/>
  <c r="P706" i="6"/>
  <c r="O706" i="6"/>
  <c r="N706" i="6"/>
  <c r="M706" i="6"/>
  <c r="L706" i="6"/>
  <c r="K706" i="6"/>
  <c r="J706" i="6"/>
  <c r="I706" i="6"/>
  <c r="H706" i="6"/>
  <c r="G706" i="6"/>
  <c r="F706" i="6"/>
  <c r="E706" i="6"/>
  <c r="P705" i="6"/>
  <c r="O705" i="6"/>
  <c r="N705" i="6"/>
  <c r="M705" i="6"/>
  <c r="L705" i="6"/>
  <c r="K705" i="6"/>
  <c r="J705" i="6"/>
  <c r="I705" i="6"/>
  <c r="H705" i="6"/>
  <c r="G705" i="6"/>
  <c r="F705" i="6"/>
  <c r="E705" i="6"/>
  <c r="P704" i="6"/>
  <c r="O704" i="6"/>
  <c r="N704" i="6"/>
  <c r="M704" i="6"/>
  <c r="L704" i="6"/>
  <c r="K704" i="6"/>
  <c r="J704" i="6"/>
  <c r="I704" i="6"/>
  <c r="H704" i="6"/>
  <c r="G704" i="6"/>
  <c r="F704" i="6"/>
  <c r="E704" i="6"/>
  <c r="P703" i="6"/>
  <c r="P702" i="6" s="1"/>
  <c r="P700" i="6" s="1"/>
  <c r="O703" i="6"/>
  <c r="O702" i="6" s="1"/>
  <c r="O700" i="6" s="1"/>
  <c r="N703" i="6"/>
  <c r="N702" i="6" s="1"/>
  <c r="N700" i="6" s="1"/>
  <c r="M703" i="6"/>
  <c r="M702" i="6" s="1"/>
  <c r="M700" i="6" s="1"/>
  <c r="L703" i="6"/>
  <c r="L702" i="6" s="1"/>
  <c r="L700" i="6" s="1"/>
  <c r="K703" i="6"/>
  <c r="K702" i="6" s="1"/>
  <c r="K700" i="6" s="1"/>
  <c r="J703" i="6"/>
  <c r="J702" i="6" s="1"/>
  <c r="J700" i="6" s="1"/>
  <c r="I703" i="6"/>
  <c r="H703" i="6"/>
  <c r="H702" i="6" s="1"/>
  <c r="H700" i="6" s="1"/>
  <c r="G703" i="6"/>
  <c r="G702" i="6" s="1"/>
  <c r="G700" i="6" s="1"/>
  <c r="F703" i="6"/>
  <c r="F702" i="6" s="1"/>
  <c r="F700" i="6" s="1"/>
  <c r="E703" i="6"/>
  <c r="Q698" i="6"/>
  <c r="D698" i="6"/>
  <c r="D693" i="6" s="1"/>
  <c r="D691" i="6" s="1"/>
  <c r="P697" i="6"/>
  <c r="O697" i="6"/>
  <c r="N697" i="6"/>
  <c r="M697" i="6"/>
  <c r="L697" i="6"/>
  <c r="K697" i="6"/>
  <c r="J697" i="6"/>
  <c r="I697" i="6"/>
  <c r="H697" i="6"/>
  <c r="G697" i="6"/>
  <c r="F697" i="6"/>
  <c r="E697" i="6"/>
  <c r="P696" i="6"/>
  <c r="O696" i="6"/>
  <c r="N696" i="6"/>
  <c r="M696" i="6"/>
  <c r="L696" i="6"/>
  <c r="K696" i="6"/>
  <c r="J696" i="6"/>
  <c r="I696" i="6"/>
  <c r="H696" i="6"/>
  <c r="G696" i="6"/>
  <c r="F696" i="6"/>
  <c r="E696" i="6"/>
  <c r="P695" i="6"/>
  <c r="O695" i="6"/>
  <c r="N695" i="6"/>
  <c r="M695" i="6"/>
  <c r="L695" i="6"/>
  <c r="K695" i="6"/>
  <c r="J695" i="6"/>
  <c r="I695" i="6"/>
  <c r="H695" i="6"/>
  <c r="G695" i="6"/>
  <c r="F695" i="6"/>
  <c r="E695" i="6"/>
  <c r="P694" i="6"/>
  <c r="P693" i="6" s="1"/>
  <c r="P691" i="6" s="1"/>
  <c r="O694" i="6"/>
  <c r="N694" i="6"/>
  <c r="N693" i="6" s="1"/>
  <c r="N691" i="6" s="1"/>
  <c r="M694" i="6"/>
  <c r="M693" i="6" s="1"/>
  <c r="M691" i="6" s="1"/>
  <c r="L694" i="6"/>
  <c r="L693" i="6" s="1"/>
  <c r="L691" i="6" s="1"/>
  <c r="K694" i="6"/>
  <c r="J694" i="6"/>
  <c r="I694" i="6"/>
  <c r="H694" i="6"/>
  <c r="G694" i="6"/>
  <c r="F694" i="6"/>
  <c r="E694" i="6"/>
  <c r="E693" i="6" s="1"/>
  <c r="E691" i="6" s="1"/>
  <c r="Q689" i="6"/>
  <c r="R689" i="6" s="1"/>
  <c r="P688" i="6"/>
  <c r="O688" i="6"/>
  <c r="N688" i="6"/>
  <c r="M688" i="6"/>
  <c r="L688" i="6"/>
  <c r="K688" i="6"/>
  <c r="J688" i="6"/>
  <c r="I688" i="6"/>
  <c r="H688" i="6"/>
  <c r="G688" i="6"/>
  <c r="F688" i="6"/>
  <c r="E688" i="6"/>
  <c r="P687" i="6"/>
  <c r="O687" i="6"/>
  <c r="N687" i="6"/>
  <c r="M687" i="6"/>
  <c r="L687" i="6"/>
  <c r="K687" i="6"/>
  <c r="J687" i="6"/>
  <c r="I687" i="6"/>
  <c r="H687" i="6"/>
  <c r="G687" i="6"/>
  <c r="F687" i="6"/>
  <c r="E687" i="6"/>
  <c r="P685" i="6"/>
  <c r="P684" i="6" s="1"/>
  <c r="O685" i="6"/>
  <c r="O682" i="6"/>
  <c r="O681" i="6" s="1"/>
  <c r="O683" i="6"/>
  <c r="N685" i="6"/>
  <c r="M685" i="6"/>
  <c r="L685" i="6"/>
  <c r="K685" i="6"/>
  <c r="J685" i="6"/>
  <c r="I685" i="6"/>
  <c r="H685" i="6"/>
  <c r="H682" i="6"/>
  <c r="H683" i="6"/>
  <c r="G685" i="6"/>
  <c r="F685" i="6"/>
  <c r="F684" i="6" s="1"/>
  <c r="E685" i="6"/>
  <c r="E684" i="6" s="1"/>
  <c r="D684" i="6"/>
  <c r="P683" i="6"/>
  <c r="N683" i="6"/>
  <c r="N681" i="6" s="1"/>
  <c r="N682" i="6"/>
  <c r="M683" i="6"/>
  <c r="L683" i="6"/>
  <c r="K683" i="6"/>
  <c r="K681" i="6" s="1"/>
  <c r="J683" i="6"/>
  <c r="I683" i="6"/>
  <c r="G683" i="6"/>
  <c r="F683" i="6"/>
  <c r="E683" i="6"/>
  <c r="P682" i="6"/>
  <c r="M682" i="6"/>
  <c r="L682" i="6"/>
  <c r="K682" i="6"/>
  <c r="J682" i="6"/>
  <c r="I682" i="6"/>
  <c r="G682" i="6"/>
  <c r="F682" i="6"/>
  <c r="E682" i="6"/>
  <c r="D682" i="6"/>
  <c r="D681" i="6" s="1"/>
  <c r="J677" i="6"/>
  <c r="Q677" i="6" s="1"/>
  <c r="P676" i="6"/>
  <c r="O676" i="6"/>
  <c r="N676" i="6"/>
  <c r="M676" i="6"/>
  <c r="L676" i="6"/>
  <c r="K676" i="6"/>
  <c r="J676" i="6"/>
  <c r="I676" i="6"/>
  <c r="H676" i="6"/>
  <c r="G676" i="6"/>
  <c r="F676" i="6"/>
  <c r="E676" i="6"/>
  <c r="P675" i="6"/>
  <c r="O675" i="6"/>
  <c r="N675" i="6"/>
  <c r="M675" i="6"/>
  <c r="L675" i="6"/>
  <c r="K675" i="6"/>
  <c r="J675" i="6"/>
  <c r="I675" i="6"/>
  <c r="H675" i="6"/>
  <c r="G675" i="6"/>
  <c r="F675" i="6"/>
  <c r="E675" i="6"/>
  <c r="P674" i="6"/>
  <c r="N674" i="6"/>
  <c r="M674" i="6"/>
  <c r="L674" i="6"/>
  <c r="K674" i="6"/>
  <c r="I674" i="6"/>
  <c r="H674" i="6"/>
  <c r="G674" i="6"/>
  <c r="F674" i="6"/>
  <c r="E674" i="6"/>
  <c r="P673" i="6"/>
  <c r="O673" i="6"/>
  <c r="N673" i="6"/>
  <c r="M673" i="6"/>
  <c r="L673" i="6"/>
  <c r="K673" i="6"/>
  <c r="J673" i="6"/>
  <c r="I673" i="6"/>
  <c r="H673" i="6"/>
  <c r="G673" i="6"/>
  <c r="F673" i="6"/>
  <c r="E673" i="6"/>
  <c r="D672" i="6"/>
  <c r="P670" i="6"/>
  <c r="O670" i="6"/>
  <c r="N670" i="6"/>
  <c r="N669" i="6"/>
  <c r="M670" i="6"/>
  <c r="L670" i="6"/>
  <c r="K670" i="6"/>
  <c r="J670" i="6"/>
  <c r="J669" i="6"/>
  <c r="I670" i="6"/>
  <c r="H670" i="6"/>
  <c r="G670" i="6"/>
  <c r="F670" i="6"/>
  <c r="E670" i="6"/>
  <c r="D670" i="6"/>
  <c r="P669" i="6"/>
  <c r="O669" i="6"/>
  <c r="M669" i="6"/>
  <c r="L669" i="6"/>
  <c r="K669" i="6"/>
  <c r="I669" i="6"/>
  <c r="I668" i="6" s="1"/>
  <c r="H669" i="6"/>
  <c r="G669" i="6"/>
  <c r="E669" i="6"/>
  <c r="F669" i="6"/>
  <c r="D669" i="6"/>
  <c r="Q664" i="6"/>
  <c r="D664" i="6"/>
  <c r="D659" i="6" s="1"/>
  <c r="P663" i="6"/>
  <c r="O663" i="6"/>
  <c r="N663" i="6"/>
  <c r="M663" i="6"/>
  <c r="L663" i="6"/>
  <c r="K663" i="6"/>
  <c r="J663" i="6"/>
  <c r="I663" i="6"/>
  <c r="H663" i="6"/>
  <c r="G663" i="6"/>
  <c r="F663" i="6"/>
  <c r="E663" i="6"/>
  <c r="P662" i="6"/>
  <c r="O662" i="6"/>
  <c r="N662" i="6"/>
  <c r="M662" i="6"/>
  <c r="L662" i="6"/>
  <c r="K662" i="6"/>
  <c r="J662" i="6"/>
  <c r="I662" i="6"/>
  <c r="H662" i="6"/>
  <c r="G662" i="6"/>
  <c r="F662" i="6"/>
  <c r="E662" i="6"/>
  <c r="P661" i="6"/>
  <c r="O661" i="6"/>
  <c r="N661" i="6"/>
  <c r="M661" i="6"/>
  <c r="L661" i="6"/>
  <c r="K661" i="6"/>
  <c r="J661" i="6"/>
  <c r="I661" i="6"/>
  <c r="H661" i="6"/>
  <c r="G661" i="6"/>
  <c r="F661" i="6"/>
  <c r="E661" i="6"/>
  <c r="P660" i="6"/>
  <c r="P659" i="6" s="1"/>
  <c r="P657" i="6" s="1"/>
  <c r="O660" i="6"/>
  <c r="O659" i="6" s="1"/>
  <c r="O657" i="6" s="1"/>
  <c r="N660" i="6"/>
  <c r="N659" i="6" s="1"/>
  <c r="N657" i="6" s="1"/>
  <c r="M660" i="6"/>
  <c r="M659" i="6" s="1"/>
  <c r="M657" i="6" s="1"/>
  <c r="L660" i="6"/>
  <c r="L659" i="6" s="1"/>
  <c r="L657" i="6" s="1"/>
  <c r="K660" i="6"/>
  <c r="J660" i="6"/>
  <c r="J659" i="6" s="1"/>
  <c r="J657" i="6" s="1"/>
  <c r="I660" i="6"/>
  <c r="I659" i="6" s="1"/>
  <c r="I657" i="6" s="1"/>
  <c r="H660" i="6"/>
  <c r="H659" i="6" s="1"/>
  <c r="H657" i="6" s="1"/>
  <c r="G660" i="6"/>
  <c r="F660" i="6"/>
  <c r="E660" i="6"/>
  <c r="E659" i="6" s="1"/>
  <c r="E657" i="6" s="1"/>
  <c r="Q655" i="6"/>
  <c r="D655" i="6"/>
  <c r="P654" i="6"/>
  <c r="O654" i="6"/>
  <c r="N654" i="6"/>
  <c r="M654" i="6"/>
  <c r="L654" i="6"/>
  <c r="K654" i="6"/>
  <c r="J654" i="6"/>
  <c r="J650" i="6" s="1"/>
  <c r="J644" i="6" s="1"/>
  <c r="I654" i="6"/>
  <c r="H654" i="6"/>
  <c r="G654" i="6"/>
  <c r="F654" i="6"/>
  <c r="E654" i="6"/>
  <c r="D654" i="6"/>
  <c r="P653" i="6"/>
  <c r="O653" i="6"/>
  <c r="N653" i="6"/>
  <c r="M653" i="6"/>
  <c r="L653" i="6"/>
  <c r="K653" i="6"/>
  <c r="J653" i="6"/>
  <c r="I653" i="6"/>
  <c r="H653" i="6"/>
  <c r="G653" i="6"/>
  <c r="F653" i="6"/>
  <c r="E653" i="6"/>
  <c r="P652" i="6"/>
  <c r="O652" i="6"/>
  <c r="N652" i="6"/>
  <c r="M652" i="6"/>
  <c r="L652" i="6"/>
  <c r="K652" i="6"/>
  <c r="J652" i="6"/>
  <c r="I652" i="6"/>
  <c r="H652" i="6"/>
  <c r="G652" i="6"/>
  <c r="F652" i="6"/>
  <c r="E652" i="6"/>
  <c r="P651" i="6"/>
  <c r="O651" i="6"/>
  <c r="N651" i="6"/>
  <c r="M651" i="6"/>
  <c r="L651" i="6"/>
  <c r="K651" i="6"/>
  <c r="J651" i="6"/>
  <c r="I651" i="6"/>
  <c r="H651" i="6"/>
  <c r="G651" i="6"/>
  <c r="F651" i="6"/>
  <c r="E651" i="6"/>
  <c r="P648" i="6"/>
  <c r="P647" i="6" s="1"/>
  <c r="P646" i="6" s="1"/>
  <c r="O648" i="6"/>
  <c r="O647" i="6" s="1"/>
  <c r="O646" i="6" s="1"/>
  <c r="N648" i="6"/>
  <c r="N647" i="6" s="1"/>
  <c r="N646" i="6" s="1"/>
  <c r="M648" i="6"/>
  <c r="M647" i="6" s="1"/>
  <c r="M646" i="6" s="1"/>
  <c r="L648" i="6"/>
  <c r="L647" i="6" s="1"/>
  <c r="L646" i="6" s="1"/>
  <c r="K648" i="6"/>
  <c r="K647" i="6" s="1"/>
  <c r="K646" i="6" s="1"/>
  <c r="J648" i="6"/>
  <c r="J647" i="6" s="1"/>
  <c r="J646" i="6" s="1"/>
  <c r="I648" i="6"/>
  <c r="I647" i="6" s="1"/>
  <c r="I646" i="6" s="1"/>
  <c r="H648" i="6"/>
  <c r="H647" i="6" s="1"/>
  <c r="H646" i="6" s="1"/>
  <c r="G648" i="6"/>
  <c r="G647" i="6" s="1"/>
  <c r="G646" i="6" s="1"/>
  <c r="F648" i="6"/>
  <c r="F647" i="6" s="1"/>
  <c r="F646" i="6" s="1"/>
  <c r="E648" i="6"/>
  <c r="E647" i="6" s="1"/>
  <c r="E646" i="6" s="1"/>
  <c r="D648" i="6"/>
  <c r="D647" i="6" s="1"/>
  <c r="D646" i="6" s="1"/>
  <c r="Q642" i="6"/>
  <c r="D642" i="6"/>
  <c r="P641" i="6"/>
  <c r="O641" i="6"/>
  <c r="N641" i="6"/>
  <c r="M641" i="6"/>
  <c r="L641" i="6"/>
  <c r="K641" i="6"/>
  <c r="J641" i="6"/>
  <c r="I641" i="6"/>
  <c r="H641" i="6"/>
  <c r="G641" i="6"/>
  <c r="F641" i="6"/>
  <c r="E641" i="6"/>
  <c r="P640" i="6"/>
  <c r="O640" i="6"/>
  <c r="N640" i="6"/>
  <c r="M640" i="6"/>
  <c r="L640" i="6"/>
  <c r="K640" i="6"/>
  <c r="J640" i="6"/>
  <c r="I640" i="6"/>
  <c r="H640" i="6"/>
  <c r="G640" i="6"/>
  <c r="F640" i="6"/>
  <c r="E640" i="6"/>
  <c r="P639" i="6"/>
  <c r="O639" i="6"/>
  <c r="N639" i="6"/>
  <c r="M639" i="6"/>
  <c r="L639" i="6"/>
  <c r="K639" i="6"/>
  <c r="J639" i="6"/>
  <c r="I639" i="6"/>
  <c r="H639" i="6"/>
  <c r="G639" i="6"/>
  <c r="F639" i="6"/>
  <c r="E639" i="6"/>
  <c r="P638" i="6"/>
  <c r="P637" i="6" s="1"/>
  <c r="O638" i="6"/>
  <c r="N638" i="6"/>
  <c r="N637" i="6" s="1"/>
  <c r="M638" i="6"/>
  <c r="L638" i="6"/>
  <c r="K638" i="6"/>
  <c r="K637" i="6" s="1"/>
  <c r="J638" i="6"/>
  <c r="I638" i="6"/>
  <c r="H638" i="6"/>
  <c r="H637" i="6" s="1"/>
  <c r="G638" i="6"/>
  <c r="G637" i="6" s="1"/>
  <c r="F638" i="6"/>
  <c r="F637" i="6" s="1"/>
  <c r="E638" i="6"/>
  <c r="D638" i="6"/>
  <c r="P635" i="6"/>
  <c r="O635" i="6"/>
  <c r="N635" i="6"/>
  <c r="M635" i="6"/>
  <c r="L635" i="6"/>
  <c r="K635" i="6"/>
  <c r="J635" i="6"/>
  <c r="I635" i="6"/>
  <c r="H635" i="6"/>
  <c r="G635" i="6"/>
  <c r="F635" i="6"/>
  <c r="E635" i="6"/>
  <c r="D635" i="6"/>
  <c r="P633" i="6"/>
  <c r="O633" i="6"/>
  <c r="N633" i="6"/>
  <c r="M633" i="6"/>
  <c r="L633" i="6"/>
  <c r="K633" i="6"/>
  <c r="J633" i="6"/>
  <c r="I633" i="6"/>
  <c r="H633" i="6"/>
  <c r="G633" i="6"/>
  <c r="F633" i="6"/>
  <c r="E633" i="6"/>
  <c r="D633" i="6"/>
  <c r="P632" i="6"/>
  <c r="O632" i="6"/>
  <c r="N632" i="6"/>
  <c r="M632" i="6"/>
  <c r="L632" i="6"/>
  <c r="K632" i="6"/>
  <c r="J632" i="6"/>
  <c r="I632" i="6"/>
  <c r="H632" i="6"/>
  <c r="G632" i="6"/>
  <c r="F632" i="6"/>
  <c r="E632" i="6"/>
  <c r="D632" i="6"/>
  <c r="P631" i="6"/>
  <c r="O631" i="6"/>
  <c r="N631" i="6"/>
  <c r="M631" i="6"/>
  <c r="L631" i="6"/>
  <c r="K631" i="6"/>
  <c r="J631" i="6"/>
  <c r="I631" i="6"/>
  <c r="H631" i="6"/>
  <c r="G631" i="6"/>
  <c r="F631" i="6"/>
  <c r="E631" i="6"/>
  <c r="D631" i="6"/>
  <c r="P630" i="6"/>
  <c r="O630" i="6"/>
  <c r="O627" i="6"/>
  <c r="O628" i="6"/>
  <c r="O629" i="6"/>
  <c r="N630" i="6"/>
  <c r="M630" i="6"/>
  <c r="L630" i="6"/>
  <c r="K630" i="6"/>
  <c r="J630" i="6"/>
  <c r="I630" i="6"/>
  <c r="H630" i="6"/>
  <c r="G630" i="6"/>
  <c r="G627" i="6"/>
  <c r="G628" i="6"/>
  <c r="G629" i="6"/>
  <c r="F630" i="6"/>
  <c r="E630" i="6"/>
  <c r="D630" i="6"/>
  <c r="P629" i="6"/>
  <c r="N629" i="6"/>
  <c r="M629" i="6"/>
  <c r="L629" i="6"/>
  <c r="L627" i="6"/>
  <c r="L628" i="6"/>
  <c r="K629" i="6"/>
  <c r="J629" i="6"/>
  <c r="I629" i="6"/>
  <c r="H629" i="6"/>
  <c r="F629" i="6"/>
  <c r="E629" i="6"/>
  <c r="D629" i="6"/>
  <c r="D627" i="6"/>
  <c r="D628" i="6"/>
  <c r="P628" i="6"/>
  <c r="N628" i="6"/>
  <c r="M628" i="6"/>
  <c r="K628" i="6"/>
  <c r="J628" i="6"/>
  <c r="I628" i="6"/>
  <c r="I627" i="6"/>
  <c r="H628" i="6"/>
  <c r="F628" i="6"/>
  <c r="E628" i="6"/>
  <c r="P627" i="6"/>
  <c r="N627" i="6"/>
  <c r="M627" i="6"/>
  <c r="K627" i="6"/>
  <c r="J627" i="6"/>
  <c r="H627" i="6"/>
  <c r="F627" i="6"/>
  <c r="E627" i="6"/>
  <c r="P624" i="6"/>
  <c r="O624" i="6"/>
  <c r="N624" i="6"/>
  <c r="M624" i="6"/>
  <c r="L624" i="6"/>
  <c r="K624" i="6"/>
  <c r="J624" i="6"/>
  <c r="I624" i="6"/>
  <c r="H624" i="6"/>
  <c r="G624" i="6"/>
  <c r="F624" i="6"/>
  <c r="E624" i="6"/>
  <c r="D624" i="6"/>
  <c r="P623" i="6"/>
  <c r="O623" i="6"/>
  <c r="N623" i="6"/>
  <c r="M623" i="6"/>
  <c r="L623" i="6"/>
  <c r="K623" i="6"/>
  <c r="J623" i="6"/>
  <c r="I623" i="6"/>
  <c r="H623" i="6"/>
  <c r="G623" i="6"/>
  <c r="F623" i="6"/>
  <c r="E623" i="6"/>
  <c r="D623" i="6"/>
  <c r="P622" i="6"/>
  <c r="O622" i="6"/>
  <c r="N622" i="6"/>
  <c r="M622" i="6"/>
  <c r="L622" i="6"/>
  <c r="K622" i="6"/>
  <c r="J622" i="6"/>
  <c r="I622" i="6"/>
  <c r="H622" i="6"/>
  <c r="G622" i="6"/>
  <c r="F622" i="6"/>
  <c r="E622" i="6"/>
  <c r="D622" i="6"/>
  <c r="Q621" i="6"/>
  <c r="V621" i="6" s="1"/>
  <c r="D621" i="6"/>
  <c r="P620" i="6"/>
  <c r="O620" i="6"/>
  <c r="N620" i="6"/>
  <c r="M620" i="6"/>
  <c r="L620" i="6"/>
  <c r="K620" i="6"/>
  <c r="J620" i="6"/>
  <c r="I620" i="6"/>
  <c r="H620" i="6"/>
  <c r="G620" i="6"/>
  <c r="F620" i="6"/>
  <c r="E620" i="6"/>
  <c r="D620" i="6"/>
  <c r="P619" i="6"/>
  <c r="O619" i="6"/>
  <c r="N619" i="6"/>
  <c r="N616" i="6"/>
  <c r="N617" i="6"/>
  <c r="N618" i="6"/>
  <c r="M619" i="6"/>
  <c r="L619" i="6"/>
  <c r="K619" i="6"/>
  <c r="J619" i="6"/>
  <c r="J616" i="6"/>
  <c r="J617" i="6"/>
  <c r="J618" i="6"/>
  <c r="I619" i="6"/>
  <c r="H619" i="6"/>
  <c r="G619" i="6"/>
  <c r="F619" i="6"/>
  <c r="E619" i="6"/>
  <c r="D619" i="6"/>
  <c r="P618" i="6"/>
  <c r="O618" i="6"/>
  <c r="O616" i="6"/>
  <c r="O617" i="6"/>
  <c r="M618" i="6"/>
  <c r="L618" i="6"/>
  <c r="K618" i="6"/>
  <c r="K616" i="6"/>
  <c r="K617" i="6"/>
  <c r="I618" i="6"/>
  <c r="H618" i="6"/>
  <c r="G618" i="6"/>
  <c r="G616" i="6"/>
  <c r="G617" i="6"/>
  <c r="F618" i="6"/>
  <c r="E618" i="6"/>
  <c r="D618" i="6"/>
  <c r="P617" i="6"/>
  <c r="P616" i="6"/>
  <c r="M617" i="6"/>
  <c r="L617" i="6"/>
  <c r="L616" i="6"/>
  <c r="I617" i="6"/>
  <c r="H617" i="6"/>
  <c r="H616" i="6"/>
  <c r="F617" i="6"/>
  <c r="E617" i="6"/>
  <c r="D617" i="6"/>
  <c r="D616" i="6"/>
  <c r="M616" i="6"/>
  <c r="I616" i="6"/>
  <c r="F616" i="6"/>
  <c r="E616" i="6"/>
  <c r="Q608" i="6"/>
  <c r="D608" i="6"/>
  <c r="D601" i="6" s="1"/>
  <c r="D599" i="6" s="1"/>
  <c r="P607" i="6"/>
  <c r="O607" i="6"/>
  <c r="N607" i="6"/>
  <c r="M607" i="6"/>
  <c r="L607" i="6"/>
  <c r="K607" i="6"/>
  <c r="J607" i="6"/>
  <c r="I607" i="6"/>
  <c r="H607" i="6"/>
  <c r="G607" i="6"/>
  <c r="F607" i="6"/>
  <c r="E607" i="6"/>
  <c r="P606" i="6"/>
  <c r="O606" i="6"/>
  <c r="N606" i="6"/>
  <c r="M606" i="6"/>
  <c r="L606" i="6"/>
  <c r="K606" i="6"/>
  <c r="J606" i="6"/>
  <c r="I606" i="6"/>
  <c r="H606" i="6"/>
  <c r="G606" i="6"/>
  <c r="E606" i="6"/>
  <c r="F606" i="6"/>
  <c r="P605" i="6"/>
  <c r="O605" i="6"/>
  <c r="N605" i="6"/>
  <c r="M605" i="6"/>
  <c r="L605" i="6"/>
  <c r="K605" i="6"/>
  <c r="J605" i="6"/>
  <c r="I605" i="6"/>
  <c r="H605" i="6"/>
  <c r="G605" i="6"/>
  <c r="F605" i="6"/>
  <c r="E605" i="6"/>
  <c r="P604" i="6"/>
  <c r="O604" i="6"/>
  <c r="N604" i="6"/>
  <c r="M604" i="6"/>
  <c r="L604" i="6"/>
  <c r="K604" i="6"/>
  <c r="J604" i="6"/>
  <c r="I604" i="6"/>
  <c r="H604" i="6"/>
  <c r="G604" i="6"/>
  <c r="F604" i="6"/>
  <c r="E604" i="6"/>
  <c r="P603" i="6"/>
  <c r="O603" i="6"/>
  <c r="N603" i="6"/>
  <c r="M603" i="6"/>
  <c r="L603" i="6"/>
  <c r="K603" i="6"/>
  <c r="J603" i="6"/>
  <c r="I603" i="6"/>
  <c r="H603" i="6"/>
  <c r="G603" i="6"/>
  <c r="F603" i="6"/>
  <c r="E603" i="6"/>
  <c r="P602" i="6"/>
  <c r="O602" i="6"/>
  <c r="O601" i="6" s="1"/>
  <c r="O599" i="6" s="1"/>
  <c r="N602" i="6"/>
  <c r="N601" i="6" s="1"/>
  <c r="N599" i="6" s="1"/>
  <c r="M602" i="6"/>
  <c r="L602" i="6"/>
  <c r="K602" i="6"/>
  <c r="J602" i="6"/>
  <c r="I602" i="6"/>
  <c r="H602" i="6"/>
  <c r="G602" i="6"/>
  <c r="G601" i="6" s="1"/>
  <c r="G599" i="6" s="1"/>
  <c r="F602" i="6"/>
  <c r="E602" i="6"/>
  <c r="Q600" i="6"/>
  <c r="R600" i="6" s="1"/>
  <c r="Q597" i="6"/>
  <c r="D597" i="6"/>
  <c r="D591" i="6" s="1"/>
  <c r="D590" i="6" s="1"/>
  <c r="L596" i="6"/>
  <c r="J596" i="6"/>
  <c r="I596" i="6"/>
  <c r="E596" i="6"/>
  <c r="H596" i="6"/>
  <c r="P595" i="6"/>
  <c r="O595" i="6"/>
  <c r="N595" i="6"/>
  <c r="M595" i="6"/>
  <c r="L595" i="6"/>
  <c r="K595" i="6"/>
  <c r="J595" i="6"/>
  <c r="I595" i="6"/>
  <c r="H595" i="6"/>
  <c r="G595" i="6"/>
  <c r="E595" i="6"/>
  <c r="F595" i="6"/>
  <c r="P594" i="6"/>
  <c r="O594" i="6"/>
  <c r="N594" i="6"/>
  <c r="M594" i="6"/>
  <c r="L594" i="6"/>
  <c r="K594" i="6"/>
  <c r="J594" i="6"/>
  <c r="I594" i="6"/>
  <c r="H594" i="6"/>
  <c r="G594" i="6"/>
  <c r="E594" i="6"/>
  <c r="F594" i="6"/>
  <c r="P593" i="6"/>
  <c r="O593" i="6"/>
  <c r="N593" i="6"/>
  <c r="M593" i="6"/>
  <c r="L593" i="6"/>
  <c r="K593" i="6"/>
  <c r="J593" i="6"/>
  <c r="I593" i="6"/>
  <c r="H593" i="6"/>
  <c r="G593" i="6"/>
  <c r="F593" i="6"/>
  <c r="E593" i="6"/>
  <c r="P592" i="6"/>
  <c r="P591" i="6" s="1"/>
  <c r="P590" i="6" s="1"/>
  <c r="O592" i="6"/>
  <c r="O591" i="6" s="1"/>
  <c r="N592" i="6"/>
  <c r="M592" i="6"/>
  <c r="M591" i="6" s="1"/>
  <c r="M590" i="6" s="1"/>
  <c r="L592" i="6"/>
  <c r="K592" i="6"/>
  <c r="K591" i="6" s="1"/>
  <c r="K590" i="6" s="1"/>
  <c r="J592" i="6"/>
  <c r="I592" i="6"/>
  <c r="H592" i="6"/>
  <c r="G592" i="6"/>
  <c r="F592" i="6"/>
  <c r="E592" i="6"/>
  <c r="Q588" i="6"/>
  <c r="D588" i="6"/>
  <c r="D583" i="6" s="1"/>
  <c r="P587" i="6"/>
  <c r="O587" i="6"/>
  <c r="N587" i="6"/>
  <c r="M587" i="6"/>
  <c r="L587" i="6"/>
  <c r="K587" i="6"/>
  <c r="J587" i="6"/>
  <c r="I587" i="6"/>
  <c r="H587" i="6"/>
  <c r="G587" i="6"/>
  <c r="F587" i="6"/>
  <c r="E587" i="6"/>
  <c r="P586" i="6"/>
  <c r="O586" i="6"/>
  <c r="N586" i="6"/>
  <c r="M586" i="6"/>
  <c r="M583" i="6" s="1"/>
  <c r="L586" i="6"/>
  <c r="K586" i="6"/>
  <c r="J586" i="6"/>
  <c r="I586" i="6"/>
  <c r="H586" i="6"/>
  <c r="G586" i="6"/>
  <c r="F586" i="6"/>
  <c r="E586" i="6"/>
  <c r="P585" i="6"/>
  <c r="O585" i="6"/>
  <c r="N585" i="6"/>
  <c r="N584" i="6"/>
  <c r="M585" i="6"/>
  <c r="L585" i="6"/>
  <c r="K585" i="6"/>
  <c r="J585" i="6"/>
  <c r="J584" i="6"/>
  <c r="I585" i="6"/>
  <c r="H585" i="6"/>
  <c r="G585" i="6"/>
  <c r="F585" i="6"/>
  <c r="E585" i="6"/>
  <c r="P584" i="6"/>
  <c r="O584" i="6"/>
  <c r="M584" i="6"/>
  <c r="L584" i="6"/>
  <c r="K584" i="6"/>
  <c r="I584" i="6"/>
  <c r="H584" i="6"/>
  <c r="G584" i="6"/>
  <c r="F584" i="6"/>
  <c r="E584" i="6"/>
  <c r="P581" i="6"/>
  <c r="O581" i="6"/>
  <c r="N581" i="6"/>
  <c r="M581" i="6"/>
  <c r="L581" i="6"/>
  <c r="K581" i="6"/>
  <c r="J581" i="6"/>
  <c r="I581" i="6"/>
  <c r="H581" i="6"/>
  <c r="G581" i="6"/>
  <c r="F581" i="6"/>
  <c r="E581" i="6"/>
  <c r="D581" i="6"/>
  <c r="P580" i="6"/>
  <c r="O580" i="6"/>
  <c r="N580" i="6"/>
  <c r="M580" i="6"/>
  <c r="L580" i="6"/>
  <c r="K580" i="6"/>
  <c r="J580" i="6"/>
  <c r="I580" i="6"/>
  <c r="H580" i="6"/>
  <c r="G580" i="6"/>
  <c r="F580" i="6"/>
  <c r="E580" i="6"/>
  <c r="D580" i="6"/>
  <c r="P579" i="6"/>
  <c r="O579" i="6"/>
  <c r="N579" i="6"/>
  <c r="M579" i="6"/>
  <c r="L579" i="6"/>
  <c r="K579" i="6"/>
  <c r="J579" i="6"/>
  <c r="I579" i="6"/>
  <c r="H579" i="6"/>
  <c r="G579" i="6"/>
  <c r="F579" i="6"/>
  <c r="E579" i="6"/>
  <c r="D579" i="6"/>
  <c r="P578" i="6"/>
  <c r="O578" i="6"/>
  <c r="N578" i="6"/>
  <c r="M578" i="6"/>
  <c r="L578" i="6"/>
  <c r="K578" i="6"/>
  <c r="J578" i="6"/>
  <c r="I578" i="6"/>
  <c r="H578" i="6"/>
  <c r="H575" i="6"/>
  <c r="H576" i="6"/>
  <c r="H577" i="6"/>
  <c r="G578" i="6"/>
  <c r="F578" i="6"/>
  <c r="E578" i="6"/>
  <c r="D578" i="6"/>
  <c r="P577" i="6"/>
  <c r="O577" i="6"/>
  <c r="N577" i="6"/>
  <c r="M577" i="6"/>
  <c r="M575" i="6"/>
  <c r="M576" i="6"/>
  <c r="L577" i="6"/>
  <c r="K577" i="6"/>
  <c r="J577" i="6"/>
  <c r="I577" i="6"/>
  <c r="G577" i="6"/>
  <c r="F577" i="6"/>
  <c r="E577" i="6"/>
  <c r="D577" i="6"/>
  <c r="P576" i="6"/>
  <c r="O576" i="6"/>
  <c r="N576" i="6"/>
  <c r="L576" i="6"/>
  <c r="K576" i="6"/>
  <c r="J576" i="6"/>
  <c r="J575" i="6"/>
  <c r="I576" i="6"/>
  <c r="G576" i="6"/>
  <c r="F576" i="6"/>
  <c r="E576" i="6"/>
  <c r="D576" i="6"/>
  <c r="P575" i="6"/>
  <c r="O575" i="6"/>
  <c r="N575" i="6"/>
  <c r="L575" i="6"/>
  <c r="K575" i="6"/>
  <c r="I575" i="6"/>
  <c r="G575" i="6"/>
  <c r="F575" i="6"/>
  <c r="E575" i="6"/>
  <c r="D575" i="6"/>
  <c r="P572" i="6"/>
  <c r="O572" i="6"/>
  <c r="N572" i="6"/>
  <c r="M572" i="6"/>
  <c r="L572" i="6"/>
  <c r="L569" i="6"/>
  <c r="L570" i="6"/>
  <c r="L571" i="6"/>
  <c r="K572" i="6"/>
  <c r="J572" i="6"/>
  <c r="I572" i="6"/>
  <c r="H572" i="6"/>
  <c r="E572" i="6"/>
  <c r="F572" i="6"/>
  <c r="G572" i="6"/>
  <c r="D572" i="6"/>
  <c r="D569" i="6"/>
  <c r="D570" i="6"/>
  <c r="D571" i="6"/>
  <c r="P571" i="6"/>
  <c r="O571" i="6"/>
  <c r="N571" i="6"/>
  <c r="M571" i="6"/>
  <c r="M569" i="6"/>
  <c r="M570" i="6"/>
  <c r="K571" i="6"/>
  <c r="J571" i="6"/>
  <c r="I571" i="6"/>
  <c r="H571" i="6"/>
  <c r="G571" i="6"/>
  <c r="F571" i="6"/>
  <c r="E571" i="6"/>
  <c r="E569" i="6"/>
  <c r="E570" i="6"/>
  <c r="P570" i="6"/>
  <c r="O570" i="6"/>
  <c r="N570" i="6"/>
  <c r="K570" i="6"/>
  <c r="J570" i="6"/>
  <c r="J569" i="6"/>
  <c r="I570" i="6"/>
  <c r="H570" i="6"/>
  <c r="G570" i="6"/>
  <c r="F570" i="6"/>
  <c r="P569" i="6"/>
  <c r="O569" i="6"/>
  <c r="N569" i="6"/>
  <c r="K569" i="6"/>
  <c r="I569" i="6"/>
  <c r="H569" i="6"/>
  <c r="G569" i="6"/>
  <c r="F569" i="6"/>
  <c r="Q564" i="6"/>
  <c r="D564" i="6"/>
  <c r="P563" i="6"/>
  <c r="O563" i="6"/>
  <c r="N563" i="6"/>
  <c r="M563" i="6"/>
  <c r="L563" i="6"/>
  <c r="K563" i="6"/>
  <c r="J563" i="6"/>
  <c r="I563" i="6"/>
  <c r="H563" i="6"/>
  <c r="G563" i="6"/>
  <c r="F563" i="6"/>
  <c r="E563" i="6"/>
  <c r="P562" i="6"/>
  <c r="O562" i="6"/>
  <c r="N562" i="6"/>
  <c r="M562" i="6"/>
  <c r="L562" i="6"/>
  <c r="K562" i="6"/>
  <c r="J562" i="6"/>
  <c r="I562" i="6"/>
  <c r="H562" i="6"/>
  <c r="G562" i="6"/>
  <c r="F562" i="6"/>
  <c r="E562" i="6"/>
  <c r="P561" i="6"/>
  <c r="O561" i="6"/>
  <c r="N561" i="6"/>
  <c r="M561" i="6"/>
  <c r="L561" i="6"/>
  <c r="K561" i="6"/>
  <c r="J561" i="6"/>
  <c r="I561" i="6"/>
  <c r="H561" i="6"/>
  <c r="G561" i="6"/>
  <c r="F561" i="6"/>
  <c r="E561" i="6"/>
  <c r="P560" i="6"/>
  <c r="P559" i="6" s="1"/>
  <c r="O560" i="6"/>
  <c r="N560" i="6"/>
  <c r="M560" i="6"/>
  <c r="M559" i="6" s="1"/>
  <c r="L560" i="6"/>
  <c r="K560" i="6"/>
  <c r="J560" i="6"/>
  <c r="J559" i="6" s="1"/>
  <c r="I560" i="6"/>
  <c r="H560" i="6"/>
  <c r="G560" i="6"/>
  <c r="F560" i="6"/>
  <c r="F559" i="6" s="1"/>
  <c r="E560" i="6"/>
  <c r="P557" i="6"/>
  <c r="O557" i="6"/>
  <c r="N557" i="6"/>
  <c r="N555" i="6" s="1"/>
  <c r="N556" i="6"/>
  <c r="M557" i="6"/>
  <c r="L557" i="6"/>
  <c r="K557" i="6"/>
  <c r="K555" i="6" s="1"/>
  <c r="J557" i="6"/>
  <c r="J556" i="6"/>
  <c r="I557" i="6"/>
  <c r="H557" i="6"/>
  <c r="G557" i="6"/>
  <c r="F557" i="6"/>
  <c r="E557" i="6"/>
  <c r="D557" i="6"/>
  <c r="P556" i="6"/>
  <c r="O556" i="6"/>
  <c r="M556" i="6"/>
  <c r="L556" i="6"/>
  <c r="K556" i="6"/>
  <c r="I556" i="6"/>
  <c r="H556" i="6"/>
  <c r="G556" i="6"/>
  <c r="G555" i="6" s="1"/>
  <c r="F556" i="6"/>
  <c r="E556" i="6"/>
  <c r="D556" i="6"/>
  <c r="P553" i="6"/>
  <c r="P551" i="6" s="1"/>
  <c r="P552" i="6"/>
  <c r="O553" i="6"/>
  <c r="N553" i="6"/>
  <c r="M553" i="6"/>
  <c r="M551" i="6" s="1"/>
  <c r="L553" i="6"/>
  <c r="K553" i="6"/>
  <c r="J553" i="6"/>
  <c r="I553" i="6"/>
  <c r="I551" i="6" s="1"/>
  <c r="H553" i="6"/>
  <c r="H552" i="6"/>
  <c r="G553" i="6"/>
  <c r="F553" i="6"/>
  <c r="E553" i="6"/>
  <c r="D553" i="6"/>
  <c r="O552" i="6"/>
  <c r="N552" i="6"/>
  <c r="M552" i="6"/>
  <c r="L552" i="6"/>
  <c r="K552" i="6"/>
  <c r="J552" i="6"/>
  <c r="I552" i="6"/>
  <c r="G552" i="6"/>
  <c r="F552" i="6"/>
  <c r="E552" i="6"/>
  <c r="D552" i="6"/>
  <c r="N547" i="6"/>
  <c r="L547" i="6"/>
  <c r="D547" i="6"/>
  <c r="P546" i="6"/>
  <c r="O546" i="6"/>
  <c r="N546" i="6"/>
  <c r="M546" i="6"/>
  <c r="L546" i="6"/>
  <c r="K546" i="6"/>
  <c r="J546" i="6"/>
  <c r="I546" i="6"/>
  <c r="H546" i="6"/>
  <c r="G546" i="6"/>
  <c r="F546" i="6"/>
  <c r="E546" i="6"/>
  <c r="P545" i="6"/>
  <c r="O545" i="6"/>
  <c r="N545" i="6"/>
  <c r="M545" i="6"/>
  <c r="L545" i="6"/>
  <c r="K545" i="6"/>
  <c r="J545" i="6"/>
  <c r="I545" i="6"/>
  <c r="H545" i="6"/>
  <c r="G545" i="6"/>
  <c r="F545" i="6"/>
  <c r="E545" i="6"/>
  <c r="P544" i="6"/>
  <c r="O544" i="6"/>
  <c r="O543" i="6"/>
  <c r="N544" i="6"/>
  <c r="M544" i="6"/>
  <c r="M543" i="6"/>
  <c r="L544" i="6"/>
  <c r="K544" i="6"/>
  <c r="J544" i="6"/>
  <c r="I544" i="6"/>
  <c r="H544" i="6"/>
  <c r="G544" i="6"/>
  <c r="F544" i="6"/>
  <c r="E544" i="6"/>
  <c r="P543" i="6"/>
  <c r="N543" i="6"/>
  <c r="L543" i="6"/>
  <c r="K543" i="6"/>
  <c r="J543" i="6"/>
  <c r="I543" i="6"/>
  <c r="H543" i="6"/>
  <c r="G543" i="6"/>
  <c r="F543" i="6"/>
  <c r="E543" i="6"/>
  <c r="D543" i="6"/>
  <c r="P540" i="6"/>
  <c r="O540" i="6"/>
  <c r="N540" i="6"/>
  <c r="M540" i="6"/>
  <c r="L540" i="6"/>
  <c r="K540" i="6"/>
  <c r="J540" i="6"/>
  <c r="I540" i="6"/>
  <c r="H540" i="6"/>
  <c r="G540" i="6"/>
  <c r="F540" i="6"/>
  <c r="E540" i="6"/>
  <c r="P539" i="6"/>
  <c r="O539" i="6"/>
  <c r="N539" i="6"/>
  <c r="M539" i="6"/>
  <c r="L539" i="6"/>
  <c r="K539" i="6"/>
  <c r="J539" i="6"/>
  <c r="I539" i="6"/>
  <c r="H539" i="6"/>
  <c r="G539" i="6"/>
  <c r="F539" i="6"/>
  <c r="E539" i="6"/>
  <c r="D539" i="6"/>
  <c r="P538" i="6"/>
  <c r="O538" i="6"/>
  <c r="N538" i="6"/>
  <c r="M538" i="6"/>
  <c r="L538" i="6"/>
  <c r="K538" i="6"/>
  <c r="J538" i="6"/>
  <c r="I538" i="6"/>
  <c r="H538" i="6"/>
  <c r="G538" i="6"/>
  <c r="F538" i="6"/>
  <c r="E538" i="6"/>
  <c r="D538" i="6"/>
  <c r="P537" i="6"/>
  <c r="O537" i="6"/>
  <c r="N537" i="6"/>
  <c r="M537" i="6"/>
  <c r="L537" i="6"/>
  <c r="K537" i="6"/>
  <c r="J537" i="6"/>
  <c r="I537" i="6"/>
  <c r="H537" i="6"/>
  <c r="G537" i="6"/>
  <c r="F537" i="6"/>
  <c r="E537" i="6"/>
  <c r="D537" i="6"/>
  <c r="P536" i="6"/>
  <c r="O536" i="6"/>
  <c r="N536" i="6"/>
  <c r="M536" i="6"/>
  <c r="L536" i="6"/>
  <c r="K536" i="6"/>
  <c r="J536" i="6"/>
  <c r="I536" i="6"/>
  <c r="H536" i="6"/>
  <c r="G536" i="6"/>
  <c r="E536" i="6"/>
  <c r="F536" i="6"/>
  <c r="D536" i="6"/>
  <c r="P535" i="6"/>
  <c r="O535" i="6"/>
  <c r="N535" i="6"/>
  <c r="M535" i="6"/>
  <c r="L535" i="6"/>
  <c r="K535" i="6"/>
  <c r="J535" i="6"/>
  <c r="I535" i="6"/>
  <c r="H535" i="6"/>
  <c r="G535" i="6"/>
  <c r="F535" i="6"/>
  <c r="E535" i="6"/>
  <c r="D535" i="6"/>
  <c r="P534" i="6"/>
  <c r="O534" i="6"/>
  <c r="N534" i="6"/>
  <c r="M534" i="6"/>
  <c r="M531" i="6"/>
  <c r="M532" i="6"/>
  <c r="M533" i="6"/>
  <c r="L534" i="6"/>
  <c r="K534" i="6"/>
  <c r="J534" i="6"/>
  <c r="I534" i="6"/>
  <c r="I531" i="6"/>
  <c r="I532" i="6"/>
  <c r="I533" i="6"/>
  <c r="H534" i="6"/>
  <c r="G534" i="6"/>
  <c r="F534" i="6"/>
  <c r="E534" i="6"/>
  <c r="D534" i="6"/>
  <c r="P533" i="6"/>
  <c r="O533" i="6"/>
  <c r="N533" i="6"/>
  <c r="L533" i="6"/>
  <c r="K533" i="6"/>
  <c r="J533" i="6"/>
  <c r="H533" i="6"/>
  <c r="G533" i="6"/>
  <c r="F533" i="6"/>
  <c r="E533" i="6"/>
  <c r="D533" i="6"/>
  <c r="P532" i="6"/>
  <c r="O532" i="6"/>
  <c r="N532" i="6"/>
  <c r="L532" i="6"/>
  <c r="K532" i="6"/>
  <c r="J532" i="6"/>
  <c r="H532" i="6"/>
  <c r="G532" i="6"/>
  <c r="F532" i="6"/>
  <c r="E532" i="6"/>
  <c r="D532" i="6"/>
  <c r="P531" i="6"/>
  <c r="O531" i="6"/>
  <c r="N531" i="6"/>
  <c r="L531" i="6"/>
  <c r="K531" i="6"/>
  <c r="J531" i="6"/>
  <c r="H531" i="6"/>
  <c r="G531" i="6"/>
  <c r="F531" i="6"/>
  <c r="E531" i="6"/>
  <c r="D531" i="6"/>
  <c r="Q527" i="6"/>
  <c r="D527" i="6"/>
  <c r="Q526" i="6"/>
  <c r="D526" i="6"/>
  <c r="R526" i="6" s="1"/>
  <c r="P525" i="6"/>
  <c r="O525" i="6"/>
  <c r="N525" i="6"/>
  <c r="M525" i="6"/>
  <c r="L525" i="6"/>
  <c r="K525" i="6"/>
  <c r="J525" i="6"/>
  <c r="I525" i="6"/>
  <c r="H525" i="6"/>
  <c r="G525" i="6"/>
  <c r="F525" i="6"/>
  <c r="E525" i="6"/>
  <c r="P524" i="6"/>
  <c r="O524" i="6"/>
  <c r="N524" i="6"/>
  <c r="M524" i="6"/>
  <c r="L524" i="6"/>
  <c r="K524" i="6"/>
  <c r="J524" i="6"/>
  <c r="I524" i="6"/>
  <c r="H524" i="6"/>
  <c r="G524" i="6"/>
  <c r="F524" i="6"/>
  <c r="E524" i="6"/>
  <c r="P523" i="6"/>
  <c r="O523" i="6"/>
  <c r="N523" i="6"/>
  <c r="M523" i="6"/>
  <c r="L523" i="6"/>
  <c r="K523" i="6"/>
  <c r="J523" i="6"/>
  <c r="I523" i="6"/>
  <c r="H523" i="6"/>
  <c r="G523" i="6"/>
  <c r="F523" i="6"/>
  <c r="E523" i="6"/>
  <c r="P522" i="6"/>
  <c r="O522" i="6"/>
  <c r="O521" i="6" s="1"/>
  <c r="O520" i="6" s="1"/>
  <c r="N522" i="6"/>
  <c r="N521" i="6" s="1"/>
  <c r="N520" i="6" s="1"/>
  <c r="M522" i="6"/>
  <c r="M521" i="6" s="1"/>
  <c r="M520" i="6" s="1"/>
  <c r="L522" i="6"/>
  <c r="L521" i="6" s="1"/>
  <c r="L520" i="6" s="1"/>
  <c r="K522" i="6"/>
  <c r="J522" i="6"/>
  <c r="J521" i="6" s="1"/>
  <c r="I522" i="6"/>
  <c r="H522" i="6"/>
  <c r="H521" i="6" s="1"/>
  <c r="H520" i="6" s="1"/>
  <c r="G522" i="6"/>
  <c r="G521" i="6" s="1"/>
  <c r="G520" i="6" s="1"/>
  <c r="F522" i="6"/>
  <c r="E522" i="6"/>
  <c r="E521" i="6" s="1"/>
  <c r="P521" i="6"/>
  <c r="P520" i="6" s="1"/>
  <c r="Q518" i="6"/>
  <c r="D518" i="6"/>
  <c r="Q517" i="6"/>
  <c r="D517" i="6"/>
  <c r="P516" i="6"/>
  <c r="O516" i="6"/>
  <c r="N516" i="6"/>
  <c r="M516" i="6"/>
  <c r="L516" i="6"/>
  <c r="K516" i="6"/>
  <c r="J516" i="6"/>
  <c r="I516" i="6"/>
  <c r="H516" i="6"/>
  <c r="G516" i="6"/>
  <c r="F516" i="6"/>
  <c r="E516" i="6"/>
  <c r="P515" i="6"/>
  <c r="O515" i="6"/>
  <c r="N515" i="6"/>
  <c r="M515" i="6"/>
  <c r="L515" i="6"/>
  <c r="K515" i="6"/>
  <c r="J515" i="6"/>
  <c r="I515" i="6"/>
  <c r="H515" i="6"/>
  <c r="G515" i="6"/>
  <c r="F515" i="6"/>
  <c r="E515" i="6"/>
  <c r="P514" i="6"/>
  <c r="O514" i="6"/>
  <c r="N514" i="6"/>
  <c r="M514" i="6"/>
  <c r="L514" i="6"/>
  <c r="K514" i="6"/>
  <c r="J514" i="6"/>
  <c r="I514" i="6"/>
  <c r="H514" i="6"/>
  <c r="G514" i="6"/>
  <c r="F514" i="6"/>
  <c r="E514" i="6"/>
  <c r="P513" i="6"/>
  <c r="P512" i="6" s="1"/>
  <c r="P511" i="6" s="1"/>
  <c r="O513" i="6"/>
  <c r="N513" i="6"/>
  <c r="N512" i="6" s="1"/>
  <c r="N511" i="6" s="1"/>
  <c r="M513" i="6"/>
  <c r="L513" i="6"/>
  <c r="L512" i="6" s="1"/>
  <c r="L511" i="6" s="1"/>
  <c r="K513" i="6"/>
  <c r="J513" i="6"/>
  <c r="J512" i="6" s="1"/>
  <c r="J511" i="6" s="1"/>
  <c r="I513" i="6"/>
  <c r="H513" i="6"/>
  <c r="G513" i="6"/>
  <c r="F513" i="6"/>
  <c r="E513" i="6"/>
  <c r="E512" i="6" s="1"/>
  <c r="E511" i="6" s="1"/>
  <c r="P509" i="6"/>
  <c r="O509" i="6"/>
  <c r="N509" i="6"/>
  <c r="N504" i="6"/>
  <c r="N505" i="6"/>
  <c r="N506" i="6"/>
  <c r="N507" i="6"/>
  <c r="N508" i="6"/>
  <c r="M509" i="6"/>
  <c r="L509" i="6"/>
  <c r="K509" i="6"/>
  <c r="J509" i="6"/>
  <c r="I509" i="6"/>
  <c r="H509" i="6"/>
  <c r="G509" i="6"/>
  <c r="F509" i="6"/>
  <c r="F504" i="6"/>
  <c r="F505" i="6"/>
  <c r="F506" i="6"/>
  <c r="F507" i="6"/>
  <c r="F508" i="6"/>
  <c r="E509" i="6"/>
  <c r="D509" i="6"/>
  <c r="D503" i="6" s="1"/>
  <c r="P508" i="6"/>
  <c r="O508" i="6"/>
  <c r="M508" i="6"/>
  <c r="L508" i="6"/>
  <c r="K508" i="6"/>
  <c r="J508" i="6"/>
  <c r="I508" i="6"/>
  <c r="H508" i="6"/>
  <c r="G508" i="6"/>
  <c r="E508" i="6"/>
  <c r="P507" i="6"/>
  <c r="O507" i="6"/>
  <c r="M507" i="6"/>
  <c r="L507" i="6"/>
  <c r="K507" i="6"/>
  <c r="J507" i="6"/>
  <c r="I507" i="6"/>
  <c r="H507" i="6"/>
  <c r="G507" i="6"/>
  <c r="E507" i="6"/>
  <c r="P506" i="6"/>
  <c r="O506" i="6"/>
  <c r="M506" i="6"/>
  <c r="L506" i="6"/>
  <c r="K506" i="6"/>
  <c r="J506" i="6"/>
  <c r="I506" i="6"/>
  <c r="H506" i="6"/>
  <c r="G506" i="6"/>
  <c r="E506" i="6"/>
  <c r="P505" i="6"/>
  <c r="O505" i="6"/>
  <c r="M505" i="6"/>
  <c r="L505" i="6"/>
  <c r="K505" i="6"/>
  <c r="J505" i="6"/>
  <c r="I505" i="6"/>
  <c r="H505" i="6"/>
  <c r="E505" i="6"/>
  <c r="G505" i="6"/>
  <c r="P504" i="6"/>
  <c r="O504" i="6"/>
  <c r="M504" i="6"/>
  <c r="L504" i="6"/>
  <c r="K504" i="6"/>
  <c r="J504" i="6"/>
  <c r="I504" i="6"/>
  <c r="H504" i="6"/>
  <c r="G504" i="6"/>
  <c r="E504" i="6"/>
  <c r="P501" i="6"/>
  <c r="O501" i="6"/>
  <c r="N501" i="6"/>
  <c r="M501" i="6"/>
  <c r="L501" i="6"/>
  <c r="L500" i="6"/>
  <c r="K501" i="6"/>
  <c r="J501" i="6"/>
  <c r="I501" i="6"/>
  <c r="H501" i="6"/>
  <c r="G501" i="6"/>
  <c r="F501" i="6"/>
  <c r="E501" i="6"/>
  <c r="D501" i="6"/>
  <c r="P500" i="6"/>
  <c r="O500" i="6"/>
  <c r="N500" i="6"/>
  <c r="M500" i="6"/>
  <c r="K500" i="6"/>
  <c r="K499" i="6" s="1"/>
  <c r="J500" i="6"/>
  <c r="J499" i="6" s="1"/>
  <c r="I500" i="6"/>
  <c r="I499" i="6" s="1"/>
  <c r="H500" i="6"/>
  <c r="H499" i="6" s="1"/>
  <c r="G500" i="6"/>
  <c r="F500" i="6"/>
  <c r="E500" i="6"/>
  <c r="E499" i="6" s="1"/>
  <c r="D500" i="6"/>
  <c r="D499" i="6" s="1"/>
  <c r="D498" i="6" s="1"/>
  <c r="Q496" i="6"/>
  <c r="R496" i="6" s="1"/>
  <c r="Q495" i="6"/>
  <c r="R495" i="6" s="1"/>
  <c r="Q494" i="6"/>
  <c r="D494" i="6"/>
  <c r="Q493" i="6"/>
  <c r="D493" i="6"/>
  <c r="Q492" i="6"/>
  <c r="D492" i="6"/>
  <c r="Q491" i="6"/>
  <c r="D491" i="6"/>
  <c r="S491" i="6" s="1"/>
  <c r="Q490" i="6"/>
  <c r="D490" i="6"/>
  <c r="Q489" i="6"/>
  <c r="D489" i="6"/>
  <c r="Q488" i="6"/>
  <c r="D488" i="6"/>
  <c r="Q487" i="6"/>
  <c r="D487" i="6"/>
  <c r="Q486" i="6"/>
  <c r="D486" i="6"/>
  <c r="P485" i="6"/>
  <c r="O485" i="6"/>
  <c r="N485" i="6"/>
  <c r="M485" i="6"/>
  <c r="L485" i="6"/>
  <c r="K485" i="6"/>
  <c r="J485" i="6"/>
  <c r="I485" i="6"/>
  <c r="H485" i="6"/>
  <c r="G485" i="6"/>
  <c r="F485" i="6"/>
  <c r="E485" i="6"/>
  <c r="Q483" i="6"/>
  <c r="D483" i="6"/>
  <c r="S483" i="6" s="1"/>
  <c r="P481" i="6"/>
  <c r="O481" i="6"/>
  <c r="N481" i="6"/>
  <c r="M481" i="6"/>
  <c r="L481" i="6"/>
  <c r="K481" i="6"/>
  <c r="J481" i="6"/>
  <c r="I481" i="6"/>
  <c r="H481" i="6"/>
  <c r="G481" i="6"/>
  <c r="F481" i="6"/>
  <c r="E481" i="6"/>
  <c r="D481" i="6"/>
  <c r="Q480" i="6"/>
  <c r="P479" i="6"/>
  <c r="O479" i="6"/>
  <c r="N479" i="6"/>
  <c r="M479" i="6"/>
  <c r="L479" i="6"/>
  <c r="K479" i="6"/>
  <c r="J479" i="6"/>
  <c r="I479" i="6"/>
  <c r="H479" i="6"/>
  <c r="E479" i="6"/>
  <c r="F479" i="6"/>
  <c r="G479" i="6"/>
  <c r="D479" i="6"/>
  <c r="P478" i="6"/>
  <c r="O478" i="6"/>
  <c r="N478" i="6"/>
  <c r="M478" i="6"/>
  <c r="L478" i="6"/>
  <c r="K478" i="6"/>
  <c r="J478" i="6"/>
  <c r="I478" i="6"/>
  <c r="H478" i="6"/>
  <c r="G478" i="6"/>
  <c r="F478" i="6"/>
  <c r="E478" i="6"/>
  <c r="D478" i="6"/>
  <c r="P477" i="6"/>
  <c r="O477" i="6"/>
  <c r="N477" i="6"/>
  <c r="M477" i="6"/>
  <c r="L477" i="6"/>
  <c r="K477" i="6"/>
  <c r="J477" i="6"/>
  <c r="I477" i="6"/>
  <c r="H477" i="6"/>
  <c r="G477" i="6"/>
  <c r="F477" i="6"/>
  <c r="E477" i="6"/>
  <c r="D477" i="6"/>
  <c r="P476" i="6"/>
  <c r="O476" i="6"/>
  <c r="N476" i="6"/>
  <c r="M476" i="6"/>
  <c r="L476" i="6"/>
  <c r="K476" i="6"/>
  <c r="J476" i="6"/>
  <c r="I476" i="6"/>
  <c r="H476" i="6"/>
  <c r="G476" i="6"/>
  <c r="F476" i="6"/>
  <c r="E476" i="6"/>
  <c r="D476" i="6"/>
  <c r="P475" i="6"/>
  <c r="O475" i="6"/>
  <c r="N475" i="6"/>
  <c r="M475" i="6"/>
  <c r="L475" i="6"/>
  <c r="K475" i="6"/>
  <c r="J475" i="6"/>
  <c r="I475" i="6"/>
  <c r="H475" i="6"/>
  <c r="E475" i="6"/>
  <c r="F475" i="6"/>
  <c r="G475" i="6"/>
  <c r="D475" i="6"/>
  <c r="P474" i="6"/>
  <c r="O474" i="6"/>
  <c r="N474" i="6"/>
  <c r="M474" i="6"/>
  <c r="L474" i="6"/>
  <c r="K474" i="6"/>
  <c r="J474" i="6"/>
  <c r="I474" i="6"/>
  <c r="H474" i="6"/>
  <c r="G474" i="6"/>
  <c r="F474" i="6"/>
  <c r="E474" i="6"/>
  <c r="D474" i="6"/>
  <c r="P473" i="6"/>
  <c r="O473" i="6"/>
  <c r="N473" i="6"/>
  <c r="M473" i="6"/>
  <c r="L473" i="6"/>
  <c r="K473" i="6"/>
  <c r="J473" i="6"/>
  <c r="J470" i="6"/>
  <c r="J471" i="6"/>
  <c r="J472" i="6"/>
  <c r="I473" i="6"/>
  <c r="H473" i="6"/>
  <c r="G473" i="6"/>
  <c r="F473" i="6"/>
  <c r="E473" i="6"/>
  <c r="D473" i="6"/>
  <c r="P472" i="6"/>
  <c r="O472" i="6"/>
  <c r="N472" i="6"/>
  <c r="M472" i="6"/>
  <c r="L472" i="6"/>
  <c r="K472" i="6"/>
  <c r="I472" i="6"/>
  <c r="H472" i="6"/>
  <c r="G472" i="6"/>
  <c r="F472" i="6"/>
  <c r="E472" i="6"/>
  <c r="D472" i="6"/>
  <c r="P471" i="6"/>
  <c r="O471" i="6"/>
  <c r="N471" i="6"/>
  <c r="M471" i="6"/>
  <c r="L471" i="6"/>
  <c r="K471" i="6"/>
  <c r="I471" i="6"/>
  <c r="H471" i="6"/>
  <c r="E471" i="6"/>
  <c r="F471" i="6"/>
  <c r="G471" i="6"/>
  <c r="D471" i="6"/>
  <c r="D470" i="6"/>
  <c r="P470" i="6"/>
  <c r="O470" i="6"/>
  <c r="N470" i="6"/>
  <c r="M470" i="6"/>
  <c r="L470" i="6"/>
  <c r="K470" i="6"/>
  <c r="I470" i="6"/>
  <c r="H470" i="6"/>
  <c r="G470" i="6"/>
  <c r="F470" i="6"/>
  <c r="E470" i="6"/>
  <c r="P468" i="6"/>
  <c r="O468" i="6"/>
  <c r="N468" i="6"/>
  <c r="M468" i="6"/>
  <c r="L468" i="6"/>
  <c r="K468" i="6"/>
  <c r="J468" i="6"/>
  <c r="I468" i="6"/>
  <c r="H468" i="6"/>
  <c r="G468" i="6"/>
  <c r="F468" i="6"/>
  <c r="E468" i="6"/>
  <c r="D468" i="6"/>
  <c r="P467" i="6"/>
  <c r="O467" i="6"/>
  <c r="N467" i="6"/>
  <c r="M467" i="6"/>
  <c r="L467" i="6"/>
  <c r="K467" i="6"/>
  <c r="J467" i="6"/>
  <c r="I467" i="6"/>
  <c r="H467" i="6"/>
  <c r="G467" i="6"/>
  <c r="F467" i="6"/>
  <c r="E467" i="6"/>
  <c r="D467" i="6"/>
  <c r="P466" i="6"/>
  <c r="O466" i="6"/>
  <c r="N466" i="6"/>
  <c r="M466" i="6"/>
  <c r="L466" i="6"/>
  <c r="K466" i="6"/>
  <c r="J466" i="6"/>
  <c r="I466" i="6"/>
  <c r="H466" i="6"/>
  <c r="G466" i="6"/>
  <c r="F466" i="6"/>
  <c r="E466" i="6"/>
  <c r="D466" i="6"/>
  <c r="P464" i="6"/>
  <c r="O464" i="6"/>
  <c r="N464" i="6"/>
  <c r="M464" i="6"/>
  <c r="L464" i="6"/>
  <c r="K464" i="6"/>
  <c r="J464" i="6"/>
  <c r="I464" i="6"/>
  <c r="H464" i="6"/>
  <c r="G464" i="6"/>
  <c r="F464" i="6"/>
  <c r="E464" i="6"/>
  <c r="D464" i="6"/>
  <c r="P463" i="6"/>
  <c r="O463" i="6"/>
  <c r="N463" i="6"/>
  <c r="M463" i="6"/>
  <c r="L463" i="6"/>
  <c r="K463" i="6"/>
  <c r="J463" i="6"/>
  <c r="I463" i="6"/>
  <c r="H463" i="6"/>
  <c r="G463" i="6"/>
  <c r="F463" i="6"/>
  <c r="E463" i="6"/>
  <c r="D463" i="6"/>
  <c r="P462" i="6"/>
  <c r="O462" i="6"/>
  <c r="N462" i="6"/>
  <c r="M462" i="6"/>
  <c r="L462" i="6"/>
  <c r="K462" i="6"/>
  <c r="J462" i="6"/>
  <c r="I462" i="6"/>
  <c r="H462" i="6"/>
  <c r="G462" i="6"/>
  <c r="E462" i="6"/>
  <c r="F462" i="6"/>
  <c r="D462" i="6"/>
  <c r="P461" i="6"/>
  <c r="O461" i="6"/>
  <c r="N461" i="6"/>
  <c r="M461" i="6"/>
  <c r="L461" i="6"/>
  <c r="K461" i="6"/>
  <c r="J461" i="6"/>
  <c r="I461" i="6"/>
  <c r="H461" i="6"/>
  <c r="G461" i="6"/>
  <c r="F461" i="6"/>
  <c r="E461" i="6"/>
  <c r="D461" i="6"/>
  <c r="P460" i="6"/>
  <c r="O460" i="6"/>
  <c r="N460" i="6"/>
  <c r="M460" i="6"/>
  <c r="L460" i="6"/>
  <c r="K460" i="6"/>
  <c r="J460" i="6"/>
  <c r="I460" i="6"/>
  <c r="H460" i="6"/>
  <c r="G460" i="6"/>
  <c r="F460" i="6"/>
  <c r="E460" i="6"/>
  <c r="D460" i="6"/>
  <c r="P459" i="6"/>
  <c r="O459" i="6"/>
  <c r="N459" i="6"/>
  <c r="N456" i="6"/>
  <c r="N457" i="6"/>
  <c r="N458" i="6"/>
  <c r="M459" i="6"/>
  <c r="L459" i="6"/>
  <c r="K459" i="6"/>
  <c r="J459" i="6"/>
  <c r="I459" i="6"/>
  <c r="H459" i="6"/>
  <c r="G459" i="6"/>
  <c r="F459" i="6"/>
  <c r="E459" i="6"/>
  <c r="D459" i="6"/>
  <c r="P458" i="6"/>
  <c r="O458" i="6"/>
  <c r="M458" i="6"/>
  <c r="L458" i="6"/>
  <c r="K458" i="6"/>
  <c r="K456" i="6"/>
  <c r="K457" i="6"/>
  <c r="J458" i="6"/>
  <c r="I458" i="6"/>
  <c r="H458" i="6"/>
  <c r="G458" i="6"/>
  <c r="E458" i="6"/>
  <c r="F458" i="6"/>
  <c r="D458" i="6"/>
  <c r="P457" i="6"/>
  <c r="O457" i="6"/>
  <c r="M457" i="6"/>
  <c r="L457" i="6"/>
  <c r="L456" i="6"/>
  <c r="J457" i="6"/>
  <c r="I457" i="6"/>
  <c r="H457" i="6"/>
  <c r="G457" i="6"/>
  <c r="F457" i="6"/>
  <c r="E457" i="6"/>
  <c r="D457" i="6"/>
  <c r="P456" i="6"/>
  <c r="O456" i="6"/>
  <c r="M456" i="6"/>
  <c r="J456" i="6"/>
  <c r="I456" i="6"/>
  <c r="H456" i="6"/>
  <c r="G456" i="6"/>
  <c r="F456" i="6"/>
  <c r="E456" i="6"/>
  <c r="D456" i="6"/>
  <c r="P454" i="6"/>
  <c r="O454" i="6"/>
  <c r="N454" i="6"/>
  <c r="M454" i="6"/>
  <c r="L454" i="6"/>
  <c r="K454" i="6"/>
  <c r="J454" i="6"/>
  <c r="I454" i="6"/>
  <c r="H454" i="6"/>
  <c r="G454" i="6"/>
  <c r="F454" i="6"/>
  <c r="E454" i="6"/>
  <c r="D454" i="6"/>
  <c r="P453" i="6"/>
  <c r="O453" i="6"/>
  <c r="N453" i="6"/>
  <c r="M453" i="6"/>
  <c r="L453" i="6"/>
  <c r="K453" i="6"/>
  <c r="J453" i="6"/>
  <c r="I453" i="6"/>
  <c r="H453" i="6"/>
  <c r="G453" i="6"/>
  <c r="E453" i="6"/>
  <c r="F453" i="6"/>
  <c r="D453" i="6"/>
  <c r="P452" i="6"/>
  <c r="O452" i="6"/>
  <c r="N452" i="6"/>
  <c r="M452" i="6"/>
  <c r="L452" i="6"/>
  <c r="K452" i="6"/>
  <c r="J452" i="6"/>
  <c r="I452" i="6"/>
  <c r="H452" i="6"/>
  <c r="G452" i="6"/>
  <c r="F452" i="6"/>
  <c r="E452" i="6"/>
  <c r="D452" i="6"/>
  <c r="P451" i="6"/>
  <c r="O451" i="6"/>
  <c r="N451" i="6"/>
  <c r="M451" i="6"/>
  <c r="L451" i="6"/>
  <c r="K451" i="6"/>
  <c r="J451" i="6"/>
  <c r="I451" i="6"/>
  <c r="H451" i="6"/>
  <c r="G451" i="6"/>
  <c r="F451" i="6"/>
  <c r="E451" i="6"/>
  <c r="D451" i="6"/>
  <c r="P450" i="6"/>
  <c r="O450" i="6"/>
  <c r="N450" i="6"/>
  <c r="M450" i="6"/>
  <c r="L450" i="6"/>
  <c r="K450" i="6"/>
  <c r="J450" i="6"/>
  <c r="I450" i="6"/>
  <c r="H450" i="6"/>
  <c r="G450" i="6"/>
  <c r="F450" i="6"/>
  <c r="E450" i="6"/>
  <c r="D450" i="6"/>
  <c r="P449" i="6"/>
  <c r="O449" i="6"/>
  <c r="N449" i="6"/>
  <c r="M449" i="6"/>
  <c r="L449" i="6"/>
  <c r="K449" i="6"/>
  <c r="K446" i="6"/>
  <c r="K447" i="6"/>
  <c r="K448" i="6"/>
  <c r="J449" i="6"/>
  <c r="I449" i="6"/>
  <c r="H449" i="6"/>
  <c r="G449" i="6"/>
  <c r="F449" i="6"/>
  <c r="E449" i="6"/>
  <c r="D449" i="6"/>
  <c r="P448" i="6"/>
  <c r="P446" i="6"/>
  <c r="P447" i="6"/>
  <c r="O448" i="6"/>
  <c r="N448" i="6"/>
  <c r="M448" i="6"/>
  <c r="L448" i="6"/>
  <c r="J448" i="6"/>
  <c r="I448" i="6"/>
  <c r="H448" i="6"/>
  <c r="H446" i="6"/>
  <c r="H447" i="6"/>
  <c r="G448" i="6"/>
  <c r="F448" i="6"/>
  <c r="E448" i="6"/>
  <c r="D448" i="6"/>
  <c r="O447" i="6"/>
  <c r="N447" i="6"/>
  <c r="M447" i="6"/>
  <c r="E447" i="6"/>
  <c r="F447" i="6"/>
  <c r="G447" i="6"/>
  <c r="I447" i="6"/>
  <c r="J447" i="6"/>
  <c r="L447" i="6"/>
  <c r="I446" i="6"/>
  <c r="D447" i="6"/>
  <c r="O446" i="6"/>
  <c r="N446" i="6"/>
  <c r="M446" i="6"/>
  <c r="L446" i="6"/>
  <c r="J446" i="6"/>
  <c r="G446" i="6"/>
  <c r="F446" i="6"/>
  <c r="E446" i="6"/>
  <c r="D446" i="6"/>
  <c r="Q438" i="6"/>
  <c r="R438" i="6" s="1"/>
  <c r="P437" i="6"/>
  <c r="O437" i="6"/>
  <c r="N437" i="6"/>
  <c r="M437" i="6"/>
  <c r="L437" i="6"/>
  <c r="K437" i="6"/>
  <c r="J437" i="6"/>
  <c r="I437" i="6"/>
  <c r="H437" i="6"/>
  <c r="G437" i="6"/>
  <c r="F437" i="6"/>
  <c r="E437" i="6"/>
  <c r="P436" i="6"/>
  <c r="O436" i="6"/>
  <c r="N436" i="6"/>
  <c r="M436" i="6"/>
  <c r="L436" i="6"/>
  <c r="K436" i="6"/>
  <c r="J436" i="6"/>
  <c r="I436" i="6"/>
  <c r="H436" i="6"/>
  <c r="G436" i="6"/>
  <c r="F436" i="6"/>
  <c r="E436" i="6"/>
  <c r="P435" i="6"/>
  <c r="O435" i="6"/>
  <c r="O433" i="6" s="1"/>
  <c r="O429" i="6" s="1"/>
  <c r="N435" i="6"/>
  <c r="M435" i="6"/>
  <c r="L435" i="6"/>
  <c r="K435" i="6"/>
  <c r="K433" i="6" s="1"/>
  <c r="K429" i="6" s="1"/>
  <c r="J435" i="6"/>
  <c r="I435" i="6"/>
  <c r="I434" i="6"/>
  <c r="H435" i="6"/>
  <c r="G435" i="6"/>
  <c r="F435" i="6"/>
  <c r="E435" i="6"/>
  <c r="P434" i="6"/>
  <c r="O434" i="6"/>
  <c r="N434" i="6"/>
  <c r="M434" i="6"/>
  <c r="L434" i="6"/>
  <c r="K434" i="6"/>
  <c r="J434" i="6"/>
  <c r="H434" i="6"/>
  <c r="G434" i="6"/>
  <c r="G433" i="6" s="1"/>
  <c r="G429" i="6" s="1"/>
  <c r="F434" i="6"/>
  <c r="E434" i="6"/>
  <c r="D433" i="6"/>
  <c r="P431" i="6"/>
  <c r="P430" i="6" s="1"/>
  <c r="O431" i="6"/>
  <c r="O430" i="6" s="1"/>
  <c r="N431" i="6"/>
  <c r="N430" i="6" s="1"/>
  <c r="M431" i="6"/>
  <c r="M430" i="6" s="1"/>
  <c r="L431" i="6"/>
  <c r="L430" i="6" s="1"/>
  <c r="K431" i="6"/>
  <c r="K430" i="6" s="1"/>
  <c r="J431" i="6"/>
  <c r="J430" i="6" s="1"/>
  <c r="I431" i="6"/>
  <c r="I430" i="6" s="1"/>
  <c r="H431" i="6"/>
  <c r="H430" i="6" s="1"/>
  <c r="G431" i="6"/>
  <c r="G430" i="6" s="1"/>
  <c r="F431" i="6"/>
  <c r="E431" i="6"/>
  <c r="E430" i="6" s="1"/>
  <c r="D431" i="6"/>
  <c r="D430" i="6" s="1"/>
  <c r="Q426" i="6"/>
  <c r="R426" i="6" s="1"/>
  <c r="P425" i="6"/>
  <c r="O425" i="6"/>
  <c r="N425" i="6"/>
  <c r="M425" i="6"/>
  <c r="L425" i="6"/>
  <c r="K425" i="6"/>
  <c r="J425" i="6"/>
  <c r="I425" i="6"/>
  <c r="H425" i="6"/>
  <c r="G425" i="6"/>
  <c r="F425" i="6"/>
  <c r="E425" i="6"/>
  <c r="P424" i="6"/>
  <c r="O424" i="6"/>
  <c r="N424" i="6"/>
  <c r="M424" i="6"/>
  <c r="L424" i="6"/>
  <c r="K424" i="6"/>
  <c r="J424" i="6"/>
  <c r="I424" i="6"/>
  <c r="H424" i="6"/>
  <c r="G424" i="6"/>
  <c r="F424" i="6"/>
  <c r="E424" i="6"/>
  <c r="P423" i="6"/>
  <c r="O423" i="6"/>
  <c r="N423" i="6"/>
  <c r="M423" i="6"/>
  <c r="L423" i="6"/>
  <c r="K423" i="6"/>
  <c r="J423" i="6"/>
  <c r="I423" i="6"/>
  <c r="H423" i="6"/>
  <c r="G423" i="6"/>
  <c r="F423" i="6"/>
  <c r="E423" i="6"/>
  <c r="P422" i="6"/>
  <c r="P421" i="6" s="1"/>
  <c r="P420" i="6" s="1"/>
  <c r="O422" i="6"/>
  <c r="N422" i="6"/>
  <c r="N421" i="6" s="1"/>
  <c r="N420" i="6" s="1"/>
  <c r="M422" i="6"/>
  <c r="L422" i="6"/>
  <c r="L421" i="6" s="1"/>
  <c r="L420" i="6" s="1"/>
  <c r="K422" i="6"/>
  <c r="J422" i="6"/>
  <c r="J421" i="6" s="1"/>
  <c r="J420" i="6" s="1"/>
  <c r="I422" i="6"/>
  <c r="I421" i="6" s="1"/>
  <c r="I420" i="6" s="1"/>
  <c r="H422" i="6"/>
  <c r="H421" i="6" s="1"/>
  <c r="H420" i="6" s="1"/>
  <c r="G422" i="6"/>
  <c r="F422" i="6"/>
  <c r="F421" i="6" s="1"/>
  <c r="F420" i="6" s="1"/>
  <c r="E422" i="6"/>
  <c r="E421" i="6" s="1"/>
  <c r="E420" i="6" s="1"/>
  <c r="D421" i="6"/>
  <c r="D420" i="6" s="1"/>
  <c r="P418" i="6"/>
  <c r="O418" i="6"/>
  <c r="N418" i="6"/>
  <c r="M418" i="6"/>
  <c r="L418" i="6"/>
  <c r="K418" i="6"/>
  <c r="J418" i="6"/>
  <c r="I418" i="6"/>
  <c r="H418" i="6"/>
  <c r="E418" i="6"/>
  <c r="F418" i="6"/>
  <c r="G418" i="6"/>
  <c r="P416" i="6"/>
  <c r="P415" i="6" s="1"/>
  <c r="P413" i="6"/>
  <c r="P412" i="6" s="1"/>
  <c r="P414" i="6"/>
  <c r="O416" i="6"/>
  <c r="O415" i="6" s="1"/>
  <c r="N416" i="6"/>
  <c r="N415" i="6" s="1"/>
  <c r="M416" i="6"/>
  <c r="M415" i="6" s="1"/>
  <c r="L416" i="6"/>
  <c r="L415" i="6" s="1"/>
  <c r="L413" i="6"/>
  <c r="L414" i="6"/>
  <c r="K416" i="6"/>
  <c r="K415" i="6" s="1"/>
  <c r="J416" i="6"/>
  <c r="J415" i="6" s="1"/>
  <c r="I416" i="6"/>
  <c r="I415" i="6" s="1"/>
  <c r="H416" i="6"/>
  <c r="H415" i="6" s="1"/>
  <c r="H413" i="6"/>
  <c r="H412" i="6" s="1"/>
  <c r="H414" i="6"/>
  <c r="G416" i="6"/>
  <c r="F416" i="6"/>
  <c r="F415" i="6" s="1"/>
  <c r="E416" i="6"/>
  <c r="E415" i="6" s="1"/>
  <c r="D416" i="6"/>
  <c r="D415" i="6" s="1"/>
  <c r="O414" i="6"/>
  <c r="N414" i="6"/>
  <c r="M414" i="6"/>
  <c r="M412" i="6" s="1"/>
  <c r="M411" i="6" s="1"/>
  <c r="M413" i="6"/>
  <c r="K414" i="6"/>
  <c r="J414" i="6"/>
  <c r="I414" i="6"/>
  <c r="I412" i="6" s="1"/>
  <c r="G414" i="6"/>
  <c r="F414" i="6"/>
  <c r="E414" i="6"/>
  <c r="D414" i="6"/>
  <c r="O413" i="6"/>
  <c r="N413" i="6"/>
  <c r="N412" i="6" s="1"/>
  <c r="N411" i="6" s="1"/>
  <c r="K413" i="6"/>
  <c r="J413" i="6"/>
  <c r="I413" i="6"/>
  <c r="G413" i="6"/>
  <c r="F413" i="6"/>
  <c r="E413" i="6"/>
  <c r="D413" i="6"/>
  <c r="Q410" i="6"/>
  <c r="P409" i="6"/>
  <c r="O409" i="6"/>
  <c r="N409" i="6"/>
  <c r="M409" i="6"/>
  <c r="L409" i="6"/>
  <c r="K409" i="6"/>
  <c r="J409" i="6"/>
  <c r="I409" i="6"/>
  <c r="H409" i="6"/>
  <c r="G409" i="6"/>
  <c r="F409" i="6"/>
  <c r="E409" i="6"/>
  <c r="D409" i="6"/>
  <c r="P408" i="6"/>
  <c r="O408" i="6"/>
  <c r="N408" i="6"/>
  <c r="M408" i="6"/>
  <c r="L408" i="6"/>
  <c r="K408" i="6"/>
  <c r="J408" i="6"/>
  <c r="I408" i="6"/>
  <c r="H408" i="6"/>
  <c r="G408" i="6"/>
  <c r="F408" i="6"/>
  <c r="E408" i="6"/>
  <c r="D408" i="6"/>
  <c r="P407" i="6"/>
  <c r="O407" i="6"/>
  <c r="N407" i="6"/>
  <c r="M407" i="6"/>
  <c r="L407" i="6"/>
  <c r="K407" i="6"/>
  <c r="J407" i="6"/>
  <c r="I407" i="6"/>
  <c r="H407" i="6"/>
  <c r="G407" i="6"/>
  <c r="F407" i="6"/>
  <c r="E407" i="6"/>
  <c r="D407" i="6"/>
  <c r="P406" i="6"/>
  <c r="O406" i="6"/>
  <c r="N406" i="6"/>
  <c r="M406" i="6"/>
  <c r="L406" i="6"/>
  <c r="K406" i="6"/>
  <c r="J406" i="6"/>
  <c r="I406" i="6"/>
  <c r="H406" i="6"/>
  <c r="G406" i="6"/>
  <c r="F406" i="6"/>
  <c r="E406" i="6"/>
  <c r="D406" i="6"/>
  <c r="P405" i="6"/>
  <c r="O405" i="6"/>
  <c r="N405" i="6"/>
  <c r="M405" i="6"/>
  <c r="L405" i="6"/>
  <c r="K405" i="6"/>
  <c r="J405" i="6"/>
  <c r="I405" i="6"/>
  <c r="H405" i="6"/>
  <c r="E405" i="6"/>
  <c r="F405" i="6"/>
  <c r="G405" i="6"/>
  <c r="D405" i="6"/>
  <c r="P404" i="6"/>
  <c r="O404" i="6"/>
  <c r="N404" i="6"/>
  <c r="M404" i="6"/>
  <c r="L404" i="6"/>
  <c r="K404" i="6"/>
  <c r="J404" i="6"/>
  <c r="I404" i="6"/>
  <c r="H404" i="6"/>
  <c r="G404" i="6"/>
  <c r="F404" i="6"/>
  <c r="E404" i="6"/>
  <c r="D404" i="6"/>
  <c r="P403" i="6"/>
  <c r="O403" i="6"/>
  <c r="N403" i="6"/>
  <c r="M403" i="6"/>
  <c r="L403" i="6"/>
  <c r="K403" i="6"/>
  <c r="J403" i="6"/>
  <c r="J402" i="6"/>
  <c r="I403" i="6"/>
  <c r="H403" i="6"/>
  <c r="G403" i="6"/>
  <c r="F403" i="6"/>
  <c r="E403" i="6"/>
  <c r="D403" i="6"/>
  <c r="P402" i="6"/>
  <c r="O402" i="6"/>
  <c r="N402" i="6"/>
  <c r="M402" i="6"/>
  <c r="L402" i="6"/>
  <c r="K402" i="6"/>
  <c r="I402" i="6"/>
  <c r="I401" i="6" s="1"/>
  <c r="H402" i="6"/>
  <c r="G402" i="6"/>
  <c r="G401" i="6" s="1"/>
  <c r="F402" i="6"/>
  <c r="E402" i="6"/>
  <c r="E401" i="6" s="1"/>
  <c r="D402" i="6"/>
  <c r="P400" i="6"/>
  <c r="O400" i="6"/>
  <c r="N400" i="6"/>
  <c r="M400" i="6"/>
  <c r="L400" i="6"/>
  <c r="K400" i="6"/>
  <c r="J400" i="6"/>
  <c r="I400" i="6"/>
  <c r="H400" i="6"/>
  <c r="E400" i="6"/>
  <c r="F400" i="6"/>
  <c r="G400" i="6"/>
  <c r="D400" i="6"/>
  <c r="P399" i="6"/>
  <c r="O399" i="6"/>
  <c r="N399" i="6"/>
  <c r="M399" i="6"/>
  <c r="L399" i="6"/>
  <c r="K399" i="6"/>
  <c r="J399" i="6"/>
  <c r="I399" i="6"/>
  <c r="H399" i="6"/>
  <c r="G399" i="6"/>
  <c r="F399" i="6"/>
  <c r="E399" i="6"/>
  <c r="D399" i="6"/>
  <c r="P398" i="6"/>
  <c r="O398" i="6"/>
  <c r="N398" i="6"/>
  <c r="M398" i="6"/>
  <c r="L398" i="6"/>
  <c r="K398" i="6"/>
  <c r="J398" i="6"/>
  <c r="I398" i="6"/>
  <c r="H398" i="6"/>
  <c r="G398" i="6"/>
  <c r="F398" i="6"/>
  <c r="E398" i="6"/>
  <c r="D398" i="6"/>
  <c r="Q397" i="6"/>
  <c r="D397" i="6"/>
  <c r="P396" i="6"/>
  <c r="O396" i="6"/>
  <c r="N396" i="6"/>
  <c r="M396" i="6"/>
  <c r="L396" i="6"/>
  <c r="K396" i="6"/>
  <c r="J396" i="6"/>
  <c r="I396" i="6"/>
  <c r="H396" i="6"/>
  <c r="G396" i="6"/>
  <c r="F396" i="6"/>
  <c r="E396" i="6"/>
  <c r="P395" i="6"/>
  <c r="O395" i="6"/>
  <c r="N395" i="6"/>
  <c r="M395" i="6"/>
  <c r="L395" i="6"/>
  <c r="K395" i="6"/>
  <c r="J395" i="6"/>
  <c r="I395" i="6"/>
  <c r="H395" i="6"/>
  <c r="G395" i="6"/>
  <c r="F395" i="6"/>
  <c r="E395" i="6"/>
  <c r="P394" i="6"/>
  <c r="O394" i="6"/>
  <c r="N394" i="6"/>
  <c r="M394" i="6"/>
  <c r="L394" i="6"/>
  <c r="K394" i="6"/>
  <c r="J394" i="6"/>
  <c r="I394" i="6"/>
  <c r="H394" i="6"/>
  <c r="G394" i="6"/>
  <c r="F394" i="6"/>
  <c r="E394" i="6"/>
  <c r="P393" i="6"/>
  <c r="O393" i="6"/>
  <c r="N393" i="6"/>
  <c r="M393" i="6"/>
  <c r="L393" i="6"/>
  <c r="K393" i="6"/>
  <c r="J393" i="6"/>
  <c r="I393" i="6"/>
  <c r="H393" i="6"/>
  <c r="G393" i="6"/>
  <c r="F393" i="6"/>
  <c r="E393" i="6"/>
  <c r="P392" i="6"/>
  <c r="O392" i="6"/>
  <c r="N392" i="6"/>
  <c r="M392" i="6"/>
  <c r="L392" i="6"/>
  <c r="K392" i="6"/>
  <c r="J392" i="6"/>
  <c r="I392" i="6"/>
  <c r="H392" i="6"/>
  <c r="G392" i="6"/>
  <c r="F392" i="6"/>
  <c r="E392" i="6"/>
  <c r="P391" i="6"/>
  <c r="O391" i="6"/>
  <c r="N391" i="6"/>
  <c r="M391" i="6"/>
  <c r="L391" i="6"/>
  <c r="K391" i="6"/>
  <c r="J391" i="6"/>
  <c r="I391" i="6"/>
  <c r="H391" i="6"/>
  <c r="G391" i="6"/>
  <c r="F391" i="6"/>
  <c r="E391" i="6"/>
  <c r="P390" i="6"/>
  <c r="O390" i="6"/>
  <c r="N390" i="6"/>
  <c r="M390" i="6"/>
  <c r="L390" i="6"/>
  <c r="K390" i="6"/>
  <c r="J390" i="6"/>
  <c r="I390" i="6"/>
  <c r="H390" i="6"/>
  <c r="G390" i="6"/>
  <c r="F390" i="6"/>
  <c r="E390" i="6"/>
  <c r="P389" i="6"/>
  <c r="O389" i="6"/>
  <c r="N389" i="6"/>
  <c r="M389" i="6"/>
  <c r="M388" i="6"/>
  <c r="L389" i="6"/>
  <c r="K389" i="6"/>
  <c r="J389" i="6"/>
  <c r="I389" i="6"/>
  <c r="I388" i="6"/>
  <c r="I386" i="6"/>
  <c r="H389" i="6"/>
  <c r="G389" i="6"/>
  <c r="G387" i="6" s="1"/>
  <c r="F389" i="6"/>
  <c r="E389" i="6"/>
  <c r="P388" i="6"/>
  <c r="O388" i="6"/>
  <c r="O387" i="6" s="1"/>
  <c r="O385" i="6" s="1"/>
  <c r="N388" i="6"/>
  <c r="L388" i="6"/>
  <c r="L386" i="6"/>
  <c r="K388" i="6"/>
  <c r="J388" i="6"/>
  <c r="J386" i="6"/>
  <c r="H388" i="6"/>
  <c r="H386" i="6"/>
  <c r="G388" i="6"/>
  <c r="F388" i="6"/>
  <c r="E388" i="6"/>
  <c r="D388" i="6"/>
  <c r="D387" i="6" s="1"/>
  <c r="O386" i="6"/>
  <c r="P386" i="6"/>
  <c r="N386" i="6"/>
  <c r="M386" i="6"/>
  <c r="K386" i="6"/>
  <c r="G386" i="6"/>
  <c r="F386" i="6"/>
  <c r="E386" i="6"/>
  <c r="D386" i="6"/>
  <c r="P384" i="6"/>
  <c r="O384" i="6"/>
  <c r="N384" i="6"/>
  <c r="M384" i="6"/>
  <c r="L384" i="6"/>
  <c r="K384" i="6"/>
  <c r="J384" i="6"/>
  <c r="I384" i="6"/>
  <c r="H384" i="6"/>
  <c r="G384" i="6"/>
  <c r="E384" i="6"/>
  <c r="F384" i="6"/>
  <c r="D384" i="6"/>
  <c r="P383" i="6"/>
  <c r="O383" i="6"/>
  <c r="N383" i="6"/>
  <c r="M383" i="6"/>
  <c r="L383" i="6"/>
  <c r="K383" i="6"/>
  <c r="J383" i="6"/>
  <c r="I383" i="6"/>
  <c r="H383" i="6"/>
  <c r="G383" i="6"/>
  <c r="F383" i="6"/>
  <c r="E383" i="6"/>
  <c r="D383" i="6"/>
  <c r="Q382" i="6"/>
  <c r="D382" i="6"/>
  <c r="D381" i="6" s="1"/>
  <c r="P381" i="6"/>
  <c r="O381" i="6"/>
  <c r="N381" i="6"/>
  <c r="M381" i="6"/>
  <c r="L381" i="6"/>
  <c r="K381" i="6"/>
  <c r="J381" i="6"/>
  <c r="I381" i="6"/>
  <c r="H381" i="6"/>
  <c r="E381" i="6"/>
  <c r="F381" i="6"/>
  <c r="G381" i="6"/>
  <c r="Q380" i="6"/>
  <c r="D380" i="6"/>
  <c r="Q379" i="6"/>
  <c r="D379" i="6"/>
  <c r="Q378" i="6"/>
  <c r="D378" i="6"/>
  <c r="P377" i="6"/>
  <c r="O377" i="6"/>
  <c r="N377" i="6"/>
  <c r="M377" i="6"/>
  <c r="L377" i="6"/>
  <c r="K377" i="6"/>
  <c r="J377" i="6"/>
  <c r="I377" i="6"/>
  <c r="H377" i="6"/>
  <c r="G377" i="6"/>
  <c r="F377" i="6"/>
  <c r="E377" i="6"/>
  <c r="D377" i="6"/>
  <c r="P376" i="6"/>
  <c r="O376" i="6"/>
  <c r="N376" i="6"/>
  <c r="M376" i="6"/>
  <c r="L376" i="6"/>
  <c r="K376" i="6"/>
  <c r="J376" i="6"/>
  <c r="I376" i="6"/>
  <c r="H376" i="6"/>
  <c r="G376" i="6"/>
  <c r="F376" i="6"/>
  <c r="E376" i="6"/>
  <c r="D376" i="6"/>
  <c r="P375" i="6"/>
  <c r="P373" i="6"/>
  <c r="P374" i="6"/>
  <c r="O375" i="6"/>
  <c r="N375" i="6"/>
  <c r="M375" i="6"/>
  <c r="L375" i="6"/>
  <c r="L373" i="6"/>
  <c r="L374" i="6"/>
  <c r="K375" i="6"/>
  <c r="J375" i="6"/>
  <c r="I375" i="6"/>
  <c r="H375" i="6"/>
  <c r="H373" i="6"/>
  <c r="H374" i="6"/>
  <c r="G375" i="6"/>
  <c r="F375" i="6"/>
  <c r="E375" i="6"/>
  <c r="D375" i="6"/>
  <c r="O374" i="6"/>
  <c r="N374" i="6"/>
  <c r="M374" i="6"/>
  <c r="M373" i="6"/>
  <c r="K374" i="6"/>
  <c r="J374" i="6"/>
  <c r="I374" i="6"/>
  <c r="G374" i="6"/>
  <c r="G371" i="6" s="1"/>
  <c r="F374" i="6"/>
  <c r="E374" i="6"/>
  <c r="D374" i="6"/>
  <c r="O373" i="6"/>
  <c r="O371" i="6" s="1"/>
  <c r="N373" i="6"/>
  <c r="K373" i="6"/>
  <c r="J373" i="6"/>
  <c r="I373" i="6"/>
  <c r="G373" i="6"/>
  <c r="F373" i="6"/>
  <c r="E373" i="6"/>
  <c r="D373" i="6"/>
  <c r="Q372" i="6"/>
  <c r="D372" i="6"/>
  <c r="P370" i="6"/>
  <c r="O370" i="6"/>
  <c r="N370" i="6"/>
  <c r="M370" i="6"/>
  <c r="M367" i="6"/>
  <c r="M368" i="6"/>
  <c r="M369" i="6"/>
  <c r="L370" i="6"/>
  <c r="K370" i="6"/>
  <c r="J370" i="6"/>
  <c r="I370" i="6"/>
  <c r="H370" i="6"/>
  <c r="G370" i="6"/>
  <c r="F370" i="6"/>
  <c r="E370" i="6"/>
  <c r="D370" i="6"/>
  <c r="P369" i="6"/>
  <c r="O369" i="6"/>
  <c r="N369" i="6"/>
  <c r="N367" i="6"/>
  <c r="N368" i="6"/>
  <c r="L369" i="6"/>
  <c r="K369" i="6"/>
  <c r="J369" i="6"/>
  <c r="J367" i="6"/>
  <c r="J368" i="6"/>
  <c r="I369" i="6"/>
  <c r="H369" i="6"/>
  <c r="G369" i="6"/>
  <c r="F369" i="6"/>
  <c r="E369" i="6"/>
  <c r="D369" i="6"/>
  <c r="P368" i="6"/>
  <c r="O368" i="6"/>
  <c r="O366" i="6" s="1"/>
  <c r="O367" i="6"/>
  <c r="L368" i="6"/>
  <c r="K368" i="6"/>
  <c r="K367" i="6"/>
  <c r="K356" i="6"/>
  <c r="K357" i="6"/>
  <c r="K358" i="6"/>
  <c r="K359" i="6"/>
  <c r="K360" i="6"/>
  <c r="K361" i="6"/>
  <c r="K362" i="6"/>
  <c r="K365" i="6"/>
  <c r="K364" i="6" s="1"/>
  <c r="I368" i="6"/>
  <c r="H368" i="6"/>
  <c r="G368" i="6"/>
  <c r="F368" i="6"/>
  <c r="E368" i="6"/>
  <c r="D368" i="6"/>
  <c r="P367" i="6"/>
  <c r="L367" i="6"/>
  <c r="I367" i="6"/>
  <c r="H367" i="6"/>
  <c r="G367" i="6"/>
  <c r="F367" i="6"/>
  <c r="F366" i="6" s="1"/>
  <c r="E367" i="6"/>
  <c r="D367" i="6"/>
  <c r="D366" i="6"/>
  <c r="P365" i="6"/>
  <c r="P364" i="6" s="1"/>
  <c r="O365" i="6"/>
  <c r="O364" i="6" s="1"/>
  <c r="N365" i="6"/>
  <c r="N364" i="6" s="1"/>
  <c r="M365" i="6"/>
  <c r="M364" i="6" s="1"/>
  <c r="L365" i="6"/>
  <c r="L364" i="6" s="1"/>
  <c r="J365" i="6"/>
  <c r="J364" i="6" s="1"/>
  <c r="I365" i="6"/>
  <c r="I364" i="6" s="1"/>
  <c r="H365" i="6"/>
  <c r="H364" i="6" s="1"/>
  <c r="G365" i="6"/>
  <c r="G364" i="6" s="1"/>
  <c r="F365" i="6"/>
  <c r="F364" i="6" s="1"/>
  <c r="E365" i="6"/>
  <c r="E364" i="6" s="1"/>
  <c r="D365" i="6"/>
  <c r="D364" i="6" s="1"/>
  <c r="Q363" i="6"/>
  <c r="D363" i="6"/>
  <c r="P362" i="6"/>
  <c r="O362" i="6"/>
  <c r="N362" i="6"/>
  <c r="M362" i="6"/>
  <c r="L362" i="6"/>
  <c r="J362" i="6"/>
  <c r="I362" i="6"/>
  <c r="H362" i="6"/>
  <c r="G362" i="6"/>
  <c r="F362" i="6"/>
  <c r="E362" i="6"/>
  <c r="D362" i="6"/>
  <c r="P361" i="6"/>
  <c r="O361" i="6"/>
  <c r="N361" i="6"/>
  <c r="M361" i="6"/>
  <c r="L361" i="6"/>
  <c r="J361" i="6"/>
  <c r="I361" i="6"/>
  <c r="H361" i="6"/>
  <c r="G361" i="6"/>
  <c r="F361" i="6"/>
  <c r="E361" i="6"/>
  <c r="D361" i="6"/>
  <c r="P360" i="6"/>
  <c r="O360" i="6"/>
  <c r="N360" i="6"/>
  <c r="M360" i="6"/>
  <c r="L360" i="6"/>
  <c r="J360" i="6"/>
  <c r="I360" i="6"/>
  <c r="H360" i="6"/>
  <c r="G360" i="6"/>
  <c r="F360" i="6"/>
  <c r="E360" i="6"/>
  <c r="D360" i="6"/>
  <c r="P359" i="6"/>
  <c r="O359" i="6"/>
  <c r="N359" i="6"/>
  <c r="M359" i="6"/>
  <c r="L359" i="6"/>
  <c r="J359" i="6"/>
  <c r="I359" i="6"/>
  <c r="H359" i="6"/>
  <c r="E359" i="6"/>
  <c r="F359" i="6"/>
  <c r="G359" i="6"/>
  <c r="D359" i="6"/>
  <c r="P358" i="6"/>
  <c r="O358" i="6"/>
  <c r="N358" i="6"/>
  <c r="M358" i="6"/>
  <c r="L358" i="6"/>
  <c r="J358" i="6"/>
  <c r="I358" i="6"/>
  <c r="H358" i="6"/>
  <c r="G358" i="6"/>
  <c r="F358" i="6"/>
  <c r="E358" i="6"/>
  <c r="D358" i="6"/>
  <c r="P357" i="6"/>
  <c r="O357" i="6"/>
  <c r="N357" i="6"/>
  <c r="M357" i="6"/>
  <c r="L357" i="6"/>
  <c r="J357" i="6"/>
  <c r="I357" i="6"/>
  <c r="H357" i="6"/>
  <c r="G357" i="6"/>
  <c r="F357" i="6"/>
  <c r="E357" i="6"/>
  <c r="D357" i="6"/>
  <c r="P356" i="6"/>
  <c r="O356" i="6"/>
  <c r="N356" i="6"/>
  <c r="M356" i="6"/>
  <c r="L356" i="6"/>
  <c r="J356" i="6"/>
  <c r="I356" i="6"/>
  <c r="H356" i="6"/>
  <c r="G356" i="6"/>
  <c r="F356" i="6"/>
  <c r="E356" i="6"/>
  <c r="D356" i="6"/>
  <c r="P352" i="6"/>
  <c r="P351" i="6" s="1"/>
  <c r="O352" i="6"/>
  <c r="O351" i="6" s="1"/>
  <c r="N352" i="6"/>
  <c r="N351" i="6" s="1"/>
  <c r="M352" i="6"/>
  <c r="M351" i="6" s="1"/>
  <c r="L352" i="6"/>
  <c r="L351" i="6" s="1"/>
  <c r="K352" i="6"/>
  <c r="K351" i="6" s="1"/>
  <c r="J352" i="6"/>
  <c r="J351" i="6" s="1"/>
  <c r="I352" i="6"/>
  <c r="I351" i="6" s="1"/>
  <c r="H352" i="6"/>
  <c r="H351" i="6" s="1"/>
  <c r="G352" i="6"/>
  <c r="G351" i="6" s="1"/>
  <c r="F352" i="6"/>
  <c r="E352" i="6"/>
  <c r="E351" i="6" s="1"/>
  <c r="D352" i="6"/>
  <c r="D351" i="6" s="1"/>
  <c r="P349" i="6"/>
  <c r="O349" i="6"/>
  <c r="N349" i="6"/>
  <c r="M349" i="6"/>
  <c r="L349" i="6"/>
  <c r="K349" i="6"/>
  <c r="J349" i="6"/>
  <c r="J348" i="6"/>
  <c r="I349" i="6"/>
  <c r="H349" i="6"/>
  <c r="G349" i="6"/>
  <c r="F349" i="6"/>
  <c r="E349" i="6"/>
  <c r="D349" i="6"/>
  <c r="P348" i="6"/>
  <c r="O348" i="6"/>
  <c r="N348" i="6"/>
  <c r="M348" i="6"/>
  <c r="L348" i="6"/>
  <c r="K348" i="6"/>
  <c r="I348" i="6"/>
  <c r="I347" i="6" s="1"/>
  <c r="H348" i="6"/>
  <c r="G348" i="6"/>
  <c r="F348" i="6"/>
  <c r="E348" i="6"/>
  <c r="E347" i="6" s="1"/>
  <c r="D348" i="6"/>
  <c r="D347" i="6" s="1"/>
  <c r="P346" i="6"/>
  <c r="O346" i="6"/>
  <c r="N346" i="6"/>
  <c r="M346" i="6"/>
  <c r="L346" i="6"/>
  <c r="K346" i="6"/>
  <c r="J346" i="6"/>
  <c r="I346" i="6"/>
  <c r="H346" i="6"/>
  <c r="G346" i="6"/>
  <c r="F346" i="6"/>
  <c r="E346" i="6"/>
  <c r="D346" i="6"/>
  <c r="Q344" i="6"/>
  <c r="P343" i="6"/>
  <c r="P342" i="6" s="1"/>
  <c r="O343" i="6"/>
  <c r="O342" i="6" s="1"/>
  <c r="N343" i="6"/>
  <c r="N342" i="6" s="1"/>
  <c r="M343" i="6"/>
  <c r="M342" i="6" s="1"/>
  <c r="L343" i="6"/>
  <c r="L342" i="6" s="1"/>
  <c r="E343" i="6"/>
  <c r="F343" i="6"/>
  <c r="F342" i="6" s="1"/>
  <c r="G343" i="6"/>
  <c r="G342" i="6" s="1"/>
  <c r="H343" i="6"/>
  <c r="H342" i="6" s="1"/>
  <c r="I343" i="6"/>
  <c r="I342" i="6" s="1"/>
  <c r="J343" i="6"/>
  <c r="J342" i="6" s="1"/>
  <c r="K343" i="6"/>
  <c r="K342" i="6" s="1"/>
  <c r="D343" i="6"/>
  <c r="D342" i="6" s="1"/>
  <c r="D340" i="6"/>
  <c r="D338" i="6"/>
  <c r="D339" i="6"/>
  <c r="D334" i="6"/>
  <c r="D335" i="6"/>
  <c r="D336" i="6"/>
  <c r="P338" i="6"/>
  <c r="P337" i="6" s="1"/>
  <c r="H338" i="6"/>
  <c r="O337" i="6"/>
  <c r="N337" i="6"/>
  <c r="M337" i="6"/>
  <c r="L337" i="6"/>
  <c r="K337" i="6"/>
  <c r="J337" i="6"/>
  <c r="I337" i="6"/>
  <c r="G337" i="6"/>
  <c r="F337" i="6"/>
  <c r="E337" i="6"/>
  <c r="P336" i="6"/>
  <c r="P334" i="6"/>
  <c r="P335" i="6"/>
  <c r="O336" i="6"/>
  <c r="N336" i="6"/>
  <c r="M336" i="6"/>
  <c r="L336" i="6"/>
  <c r="L334" i="6"/>
  <c r="L335" i="6"/>
  <c r="K336" i="6"/>
  <c r="J336" i="6"/>
  <c r="I336" i="6"/>
  <c r="H336" i="6"/>
  <c r="G336" i="6"/>
  <c r="F336" i="6"/>
  <c r="E336" i="6"/>
  <c r="O335" i="6"/>
  <c r="N335" i="6"/>
  <c r="M335" i="6"/>
  <c r="K335" i="6"/>
  <c r="J335" i="6"/>
  <c r="I335" i="6"/>
  <c r="I334" i="6"/>
  <c r="H335" i="6"/>
  <c r="G335" i="6"/>
  <c r="F335" i="6"/>
  <c r="E335" i="6"/>
  <c r="E333" i="6" s="1"/>
  <c r="O334" i="6"/>
  <c r="N334" i="6"/>
  <c r="M334" i="6"/>
  <c r="K334" i="6"/>
  <c r="J334" i="6"/>
  <c r="H334" i="6"/>
  <c r="G334" i="6"/>
  <c r="F334" i="6"/>
  <c r="E334" i="6"/>
  <c r="D331" i="6"/>
  <c r="D330" i="6"/>
  <c r="D329" i="6"/>
  <c r="D328" i="6"/>
  <c r="D327" i="6"/>
  <c r="D326" i="6"/>
  <c r="D325" i="6"/>
  <c r="D324" i="6"/>
  <c r="P323" i="6"/>
  <c r="P322" i="6" s="1"/>
  <c r="O323" i="6"/>
  <c r="O322" i="6" s="1"/>
  <c r="N323" i="6"/>
  <c r="N322" i="6" s="1"/>
  <c r="M323" i="6"/>
  <c r="M322" i="6" s="1"/>
  <c r="L323" i="6"/>
  <c r="L322" i="6" s="1"/>
  <c r="K323" i="6"/>
  <c r="K322" i="6" s="1"/>
  <c r="J323" i="6"/>
  <c r="J322" i="6" s="1"/>
  <c r="I323" i="6"/>
  <c r="H323" i="6"/>
  <c r="H322" i="6" s="1"/>
  <c r="G323" i="6"/>
  <c r="G322" i="6" s="1"/>
  <c r="F323" i="6"/>
  <c r="F322" i="6" s="1"/>
  <c r="E323" i="6"/>
  <c r="E322" i="6" s="1"/>
  <c r="D323" i="6"/>
  <c r="P320" i="6"/>
  <c r="P319" i="6"/>
  <c r="O320" i="6"/>
  <c r="N320" i="6"/>
  <c r="M320" i="6"/>
  <c r="L320" i="6"/>
  <c r="K320" i="6"/>
  <c r="J320" i="6"/>
  <c r="I320" i="6"/>
  <c r="H320" i="6"/>
  <c r="H318" i="6" s="1"/>
  <c r="H319" i="6"/>
  <c r="G320" i="6"/>
  <c r="G319" i="6"/>
  <c r="F320" i="6"/>
  <c r="E320" i="6"/>
  <c r="D320" i="6"/>
  <c r="O319" i="6"/>
  <c r="N319" i="6"/>
  <c r="M319" i="6"/>
  <c r="L319" i="6"/>
  <c r="K319" i="6"/>
  <c r="J319" i="6"/>
  <c r="I319" i="6"/>
  <c r="F319" i="6"/>
  <c r="E319" i="6"/>
  <c r="D319" i="6"/>
  <c r="P316" i="6"/>
  <c r="P315" i="6" s="1"/>
  <c r="O316" i="6"/>
  <c r="O315" i="6" s="1"/>
  <c r="N316" i="6"/>
  <c r="N315" i="6" s="1"/>
  <c r="M316" i="6"/>
  <c r="M315" i="6" s="1"/>
  <c r="L316" i="6"/>
  <c r="L315" i="6" s="1"/>
  <c r="K316" i="6"/>
  <c r="J316" i="6"/>
  <c r="J315" i="6" s="1"/>
  <c r="I316" i="6"/>
  <c r="I315" i="6" s="1"/>
  <c r="H316" i="6"/>
  <c r="H315" i="6" s="1"/>
  <c r="G316" i="6"/>
  <c r="G315" i="6" s="1"/>
  <c r="F316" i="6"/>
  <c r="F315" i="6" s="1"/>
  <c r="E316" i="6"/>
  <c r="E315" i="6" s="1"/>
  <c r="D316" i="6"/>
  <c r="D315" i="6" s="1"/>
  <c r="P313" i="6"/>
  <c r="P312" i="6"/>
  <c r="O313" i="6"/>
  <c r="N313" i="6"/>
  <c r="M313" i="6"/>
  <c r="L313" i="6"/>
  <c r="L312" i="6"/>
  <c r="K313" i="6"/>
  <c r="J313" i="6"/>
  <c r="I313" i="6"/>
  <c r="H313" i="6"/>
  <c r="H311" i="6" s="1"/>
  <c r="H312" i="6"/>
  <c r="G313" i="6"/>
  <c r="G312" i="6"/>
  <c r="F313" i="6"/>
  <c r="E313" i="6"/>
  <c r="D313" i="6"/>
  <c r="D312" i="6"/>
  <c r="O312" i="6"/>
  <c r="N312" i="6"/>
  <c r="M312" i="6"/>
  <c r="K312" i="6"/>
  <c r="J312" i="6"/>
  <c r="I312" i="6"/>
  <c r="F312" i="6"/>
  <c r="E312" i="6"/>
  <c r="Q310" i="6"/>
  <c r="P309" i="6"/>
  <c r="O309" i="6"/>
  <c r="N309" i="6"/>
  <c r="M309" i="6"/>
  <c r="L309" i="6"/>
  <c r="K309" i="6"/>
  <c r="J309" i="6"/>
  <c r="I309" i="6"/>
  <c r="H309" i="6"/>
  <c r="G309" i="6"/>
  <c r="E309" i="6"/>
  <c r="F309" i="6"/>
  <c r="D309" i="6"/>
  <c r="P308" i="6"/>
  <c r="P305" i="6"/>
  <c r="P306" i="6"/>
  <c r="P307" i="6"/>
  <c r="O308" i="6"/>
  <c r="N308" i="6"/>
  <c r="M308" i="6"/>
  <c r="L308" i="6"/>
  <c r="L305" i="6"/>
  <c r="L306" i="6"/>
  <c r="L307" i="6"/>
  <c r="K308" i="6"/>
  <c r="J308" i="6"/>
  <c r="I308" i="6"/>
  <c r="H308" i="6"/>
  <c r="G308" i="6"/>
  <c r="F308" i="6"/>
  <c r="E308" i="6"/>
  <c r="D308" i="6"/>
  <c r="D305" i="6"/>
  <c r="D306" i="6"/>
  <c r="D307" i="6"/>
  <c r="O307" i="6"/>
  <c r="N307" i="6"/>
  <c r="M307" i="6"/>
  <c r="M305" i="6"/>
  <c r="M306" i="6"/>
  <c r="K307" i="6"/>
  <c r="J307" i="6"/>
  <c r="I307" i="6"/>
  <c r="I305" i="6"/>
  <c r="I306" i="6"/>
  <c r="H307" i="6"/>
  <c r="G307" i="6"/>
  <c r="F307" i="6"/>
  <c r="E307" i="6"/>
  <c r="O306" i="6"/>
  <c r="N306" i="6"/>
  <c r="N305" i="6"/>
  <c r="K306" i="6"/>
  <c r="J306" i="6"/>
  <c r="J305" i="6"/>
  <c r="H306" i="6"/>
  <c r="G306" i="6"/>
  <c r="F306" i="6"/>
  <c r="E306" i="6"/>
  <c r="O305" i="6"/>
  <c r="K305" i="6"/>
  <c r="H305" i="6"/>
  <c r="G305" i="6"/>
  <c r="E305" i="6"/>
  <c r="F305" i="6"/>
  <c r="P301" i="6"/>
  <c r="O301" i="6"/>
  <c r="N301" i="6"/>
  <c r="M301" i="6"/>
  <c r="L301" i="6"/>
  <c r="K301" i="6"/>
  <c r="J301" i="6"/>
  <c r="I301" i="6"/>
  <c r="H301" i="6"/>
  <c r="E301" i="6"/>
  <c r="F301" i="6"/>
  <c r="G301" i="6"/>
  <c r="D301" i="6"/>
  <c r="P300" i="6"/>
  <c r="O300" i="6"/>
  <c r="N300" i="6"/>
  <c r="M300" i="6"/>
  <c r="L300" i="6"/>
  <c r="K300" i="6"/>
  <c r="J300" i="6"/>
  <c r="I300" i="6"/>
  <c r="H300" i="6"/>
  <c r="G300" i="6"/>
  <c r="F300" i="6"/>
  <c r="E300" i="6"/>
  <c r="D300" i="6"/>
  <c r="P299" i="6"/>
  <c r="O299" i="6"/>
  <c r="N299" i="6"/>
  <c r="M299" i="6"/>
  <c r="L299" i="6"/>
  <c r="K299" i="6"/>
  <c r="J299" i="6"/>
  <c r="I299" i="6"/>
  <c r="H299" i="6"/>
  <c r="G299" i="6"/>
  <c r="F299" i="6"/>
  <c r="E299" i="6"/>
  <c r="D299" i="6"/>
  <c r="P298" i="6"/>
  <c r="O298" i="6"/>
  <c r="O295" i="6"/>
  <c r="O296" i="6"/>
  <c r="O297" i="6"/>
  <c r="N298" i="6"/>
  <c r="M298" i="6"/>
  <c r="L298" i="6"/>
  <c r="K298" i="6"/>
  <c r="K295" i="6"/>
  <c r="K296" i="6"/>
  <c r="K297" i="6"/>
  <c r="J298" i="6"/>
  <c r="I298" i="6"/>
  <c r="H298" i="6"/>
  <c r="G298" i="6"/>
  <c r="E298" i="6"/>
  <c r="F298" i="6"/>
  <c r="D298" i="6"/>
  <c r="P297" i="6"/>
  <c r="P295" i="6"/>
  <c r="P296" i="6"/>
  <c r="N297" i="6"/>
  <c r="M297" i="6"/>
  <c r="L297" i="6"/>
  <c r="L295" i="6"/>
  <c r="L296" i="6"/>
  <c r="J297" i="6"/>
  <c r="I297" i="6"/>
  <c r="H297" i="6"/>
  <c r="G297" i="6"/>
  <c r="F297" i="6"/>
  <c r="E297" i="6"/>
  <c r="D297" i="6"/>
  <c r="N296" i="6"/>
  <c r="M296" i="6"/>
  <c r="M295" i="6"/>
  <c r="J296" i="6"/>
  <c r="I296" i="6"/>
  <c r="I295" i="6"/>
  <c r="H296" i="6"/>
  <c r="G296" i="6"/>
  <c r="F296" i="6"/>
  <c r="E296" i="6"/>
  <c r="D296" i="6"/>
  <c r="N295" i="6"/>
  <c r="J295" i="6"/>
  <c r="H295" i="6"/>
  <c r="G295" i="6"/>
  <c r="F295" i="6"/>
  <c r="E295" i="6"/>
  <c r="D295" i="6"/>
  <c r="P290" i="6"/>
  <c r="O290" i="6"/>
  <c r="N290" i="6"/>
  <c r="M290" i="6"/>
  <c r="L290" i="6"/>
  <c r="K290" i="6"/>
  <c r="J290" i="6"/>
  <c r="I290" i="6"/>
  <c r="H290" i="6"/>
  <c r="G290" i="6"/>
  <c r="E290" i="6"/>
  <c r="F290" i="6"/>
  <c r="D290" i="6"/>
  <c r="P289" i="6"/>
  <c r="O289" i="6"/>
  <c r="N289" i="6"/>
  <c r="M289" i="6"/>
  <c r="L289" i="6"/>
  <c r="K289" i="6"/>
  <c r="J289" i="6"/>
  <c r="I289" i="6"/>
  <c r="H289" i="6"/>
  <c r="E289" i="6"/>
  <c r="F289" i="6"/>
  <c r="G289" i="6"/>
  <c r="D289" i="6"/>
  <c r="P288" i="6"/>
  <c r="O288" i="6"/>
  <c r="N288" i="6"/>
  <c r="M288" i="6"/>
  <c r="L288" i="6"/>
  <c r="K288" i="6"/>
  <c r="J288" i="6"/>
  <c r="I288" i="6"/>
  <c r="H288" i="6"/>
  <c r="G288" i="6"/>
  <c r="F288" i="6"/>
  <c r="E288" i="6"/>
  <c r="D288" i="6"/>
  <c r="P287" i="6"/>
  <c r="O287" i="6"/>
  <c r="N287" i="6"/>
  <c r="M287" i="6"/>
  <c r="L287" i="6"/>
  <c r="K287" i="6"/>
  <c r="J287" i="6"/>
  <c r="I287" i="6"/>
  <c r="H287" i="6"/>
  <c r="G287" i="6"/>
  <c r="F287" i="6"/>
  <c r="E287" i="6"/>
  <c r="D287" i="6"/>
  <c r="P286" i="6"/>
  <c r="O286" i="6"/>
  <c r="N286" i="6"/>
  <c r="M286" i="6"/>
  <c r="L286" i="6"/>
  <c r="K286" i="6"/>
  <c r="J286" i="6"/>
  <c r="I286" i="6"/>
  <c r="H286" i="6"/>
  <c r="G286" i="6"/>
  <c r="E286" i="6"/>
  <c r="F286" i="6"/>
  <c r="D286" i="6"/>
  <c r="P285" i="6"/>
  <c r="P282" i="6"/>
  <c r="P283" i="6"/>
  <c r="P284" i="6"/>
  <c r="O285" i="6"/>
  <c r="N285" i="6"/>
  <c r="M285" i="6"/>
  <c r="L285" i="6"/>
  <c r="L282" i="6"/>
  <c r="L283" i="6"/>
  <c r="L284" i="6"/>
  <c r="K285" i="6"/>
  <c r="J285" i="6"/>
  <c r="I285" i="6"/>
  <c r="H285" i="6"/>
  <c r="G285" i="6"/>
  <c r="F285" i="6"/>
  <c r="E285" i="6"/>
  <c r="D285" i="6"/>
  <c r="D282" i="6"/>
  <c r="D283" i="6"/>
  <c r="D284" i="6"/>
  <c r="O284" i="6"/>
  <c r="N284" i="6"/>
  <c r="M284" i="6"/>
  <c r="M282" i="6"/>
  <c r="M283" i="6"/>
  <c r="K284" i="6"/>
  <c r="J284" i="6"/>
  <c r="I284" i="6"/>
  <c r="I282" i="6"/>
  <c r="I283" i="6"/>
  <c r="H284" i="6"/>
  <c r="G284" i="6"/>
  <c r="F284" i="6"/>
  <c r="E284" i="6"/>
  <c r="O283" i="6"/>
  <c r="N283" i="6"/>
  <c r="N282" i="6"/>
  <c r="K283" i="6"/>
  <c r="J283" i="6"/>
  <c r="J282" i="6"/>
  <c r="H283" i="6"/>
  <c r="G283" i="6"/>
  <c r="F283" i="6"/>
  <c r="E283" i="6"/>
  <c r="O282" i="6"/>
  <c r="O278" i="6"/>
  <c r="O279" i="6"/>
  <c r="O280" i="6"/>
  <c r="K282" i="6"/>
  <c r="K278" i="6"/>
  <c r="K279" i="6"/>
  <c r="K280" i="6"/>
  <c r="H282" i="6"/>
  <c r="G282" i="6"/>
  <c r="F282" i="6"/>
  <c r="E282" i="6"/>
  <c r="P280" i="6"/>
  <c r="P278" i="6"/>
  <c r="P279" i="6"/>
  <c r="N280" i="6"/>
  <c r="M280" i="6"/>
  <c r="L280" i="6"/>
  <c r="L278" i="6"/>
  <c r="L279" i="6"/>
  <c r="J280" i="6"/>
  <c r="I280" i="6"/>
  <c r="H280" i="6"/>
  <c r="G280" i="6"/>
  <c r="F280" i="6"/>
  <c r="E280" i="6"/>
  <c r="D280" i="6"/>
  <c r="D278" i="6"/>
  <c r="D279" i="6"/>
  <c r="N279" i="6"/>
  <c r="M279" i="6"/>
  <c r="M278" i="6"/>
  <c r="J279" i="6"/>
  <c r="I279" i="6"/>
  <c r="H279" i="6"/>
  <c r="G279" i="6"/>
  <c r="F279" i="6"/>
  <c r="E279" i="6"/>
  <c r="N278" i="6"/>
  <c r="J278" i="6"/>
  <c r="I278" i="6"/>
  <c r="I277" i="6" s="1"/>
  <c r="H278" i="6"/>
  <c r="G278" i="6"/>
  <c r="F278" i="6"/>
  <c r="E278" i="6"/>
  <c r="E277" i="6" s="1"/>
  <c r="Q270" i="6"/>
  <c r="R270" i="6"/>
  <c r="P269" i="6"/>
  <c r="O269" i="6"/>
  <c r="N269" i="6"/>
  <c r="M269" i="6"/>
  <c r="L269" i="6"/>
  <c r="K269" i="6"/>
  <c r="J269" i="6"/>
  <c r="I269" i="6"/>
  <c r="H269" i="6"/>
  <c r="G269" i="6"/>
  <c r="F269" i="6"/>
  <c r="E269" i="6"/>
  <c r="P268" i="6"/>
  <c r="O268" i="6"/>
  <c r="N268" i="6"/>
  <c r="M268" i="6"/>
  <c r="L268" i="6"/>
  <c r="K268" i="6"/>
  <c r="J268" i="6"/>
  <c r="I268" i="6"/>
  <c r="H268" i="6"/>
  <c r="G268" i="6"/>
  <c r="F268" i="6"/>
  <c r="E268" i="6"/>
  <c r="P267" i="6"/>
  <c r="O267" i="6"/>
  <c r="N267" i="6"/>
  <c r="M267" i="6"/>
  <c r="M266" i="6"/>
  <c r="L267" i="6"/>
  <c r="K267" i="6"/>
  <c r="J267" i="6"/>
  <c r="I267" i="6"/>
  <c r="I266" i="6"/>
  <c r="H267" i="6"/>
  <c r="G267" i="6"/>
  <c r="F267" i="6"/>
  <c r="E267" i="6"/>
  <c r="S266" i="6"/>
  <c r="P266" i="6"/>
  <c r="O266" i="6"/>
  <c r="N266" i="6"/>
  <c r="N265" i="6" s="1"/>
  <c r="L266" i="6"/>
  <c r="K266" i="6"/>
  <c r="J266" i="6"/>
  <c r="H266" i="6"/>
  <c r="H265" i="6" s="1"/>
  <c r="G266" i="6"/>
  <c r="F266" i="6"/>
  <c r="E266" i="6"/>
  <c r="D265" i="6"/>
  <c r="P263" i="6"/>
  <c r="O263" i="6"/>
  <c r="O261" i="6"/>
  <c r="O262" i="6"/>
  <c r="N263" i="6"/>
  <c r="M263" i="6"/>
  <c r="L263" i="6"/>
  <c r="K263" i="6"/>
  <c r="K261" i="6"/>
  <c r="K262" i="6"/>
  <c r="J263" i="6"/>
  <c r="I263" i="6"/>
  <c r="H263" i="6"/>
  <c r="G263" i="6"/>
  <c r="G261" i="6"/>
  <c r="G262" i="6"/>
  <c r="F263" i="6"/>
  <c r="E263" i="6"/>
  <c r="D263" i="6"/>
  <c r="P262" i="6"/>
  <c r="N262" i="6"/>
  <c r="M262" i="6"/>
  <c r="L262" i="6"/>
  <c r="L261" i="6"/>
  <c r="L260" i="6" s="1"/>
  <c r="L259" i="6" s="1"/>
  <c r="L257" i="6" s="1"/>
  <c r="J262" i="6"/>
  <c r="I262" i="6"/>
  <c r="H262" i="6"/>
  <c r="F262" i="6"/>
  <c r="E262" i="6"/>
  <c r="D262" i="6"/>
  <c r="D261" i="6"/>
  <c r="P261" i="6"/>
  <c r="P260" i="6" s="1"/>
  <c r="P259" i="6" s="1"/>
  <c r="P257" i="6" s="1"/>
  <c r="N261" i="6"/>
  <c r="N260" i="6" s="1"/>
  <c r="N259" i="6" s="1"/>
  <c r="N257" i="6" s="1"/>
  <c r="M261" i="6"/>
  <c r="M260" i="6" s="1"/>
  <c r="J261" i="6"/>
  <c r="I261" i="6"/>
  <c r="H261" i="6"/>
  <c r="F261" i="6"/>
  <c r="E261" i="6"/>
  <c r="Q258" i="6"/>
  <c r="Q256" i="6"/>
  <c r="Q249" i="6"/>
  <c r="D249" i="6"/>
  <c r="P248" i="6"/>
  <c r="O248" i="6"/>
  <c r="N248" i="6"/>
  <c r="M248" i="6"/>
  <c r="L248" i="6"/>
  <c r="K248" i="6"/>
  <c r="J248" i="6"/>
  <c r="I248" i="6"/>
  <c r="H248" i="6"/>
  <c r="G248" i="6"/>
  <c r="F248" i="6"/>
  <c r="E248" i="6"/>
  <c r="P247" i="6"/>
  <c r="O247" i="6"/>
  <c r="N247" i="6"/>
  <c r="M247" i="6"/>
  <c r="L247" i="6"/>
  <c r="K247" i="6"/>
  <c r="J247" i="6"/>
  <c r="I247" i="6"/>
  <c r="H247" i="6"/>
  <c r="G247" i="6"/>
  <c r="F247" i="6"/>
  <c r="E247" i="6"/>
  <c r="P246" i="6"/>
  <c r="O246" i="6"/>
  <c r="N246" i="6"/>
  <c r="M246" i="6"/>
  <c r="L246" i="6"/>
  <c r="K246" i="6"/>
  <c r="J246" i="6"/>
  <c r="I246" i="6"/>
  <c r="H246" i="6"/>
  <c r="G246" i="6"/>
  <c r="F246" i="6"/>
  <c r="E246" i="6"/>
  <c r="P245" i="6"/>
  <c r="P244" i="6" s="1"/>
  <c r="P243" i="6" s="1"/>
  <c r="O245" i="6"/>
  <c r="N245" i="6"/>
  <c r="N244" i="6" s="1"/>
  <c r="N243" i="6" s="1"/>
  <c r="M245" i="6"/>
  <c r="M244" i="6" s="1"/>
  <c r="M243" i="6" s="1"/>
  <c r="L245" i="6"/>
  <c r="K245" i="6"/>
  <c r="J245" i="6"/>
  <c r="I245" i="6"/>
  <c r="H245" i="6"/>
  <c r="H244" i="6" s="1"/>
  <c r="H243" i="6" s="1"/>
  <c r="G245" i="6"/>
  <c r="F245" i="6"/>
  <c r="F244" i="6" s="1"/>
  <c r="F243" i="6" s="1"/>
  <c r="E245" i="6"/>
  <c r="Q241" i="6"/>
  <c r="D241" i="6"/>
  <c r="P240" i="6"/>
  <c r="O240" i="6"/>
  <c r="N240" i="6"/>
  <c r="M240" i="6"/>
  <c r="L240" i="6"/>
  <c r="K240" i="6"/>
  <c r="J240" i="6"/>
  <c r="I240" i="6"/>
  <c r="H240" i="6"/>
  <c r="G240" i="6"/>
  <c r="E240" i="6"/>
  <c r="F240" i="6"/>
  <c r="P239" i="6"/>
  <c r="O239" i="6"/>
  <c r="N239" i="6"/>
  <c r="M239" i="6"/>
  <c r="L239" i="6"/>
  <c r="K239" i="6"/>
  <c r="J239" i="6"/>
  <c r="I239" i="6"/>
  <c r="H239" i="6"/>
  <c r="G239" i="6"/>
  <c r="E239" i="6"/>
  <c r="F239" i="6"/>
  <c r="P238" i="6"/>
  <c r="O238" i="6"/>
  <c r="N238" i="6"/>
  <c r="N236" i="6" s="1"/>
  <c r="M238" i="6"/>
  <c r="L238" i="6"/>
  <c r="K238" i="6"/>
  <c r="J238" i="6"/>
  <c r="J236" i="6" s="1"/>
  <c r="I238" i="6"/>
  <c r="H238" i="6"/>
  <c r="G238" i="6"/>
  <c r="E238" i="6"/>
  <c r="F238" i="6"/>
  <c r="S237" i="6"/>
  <c r="P237" i="6"/>
  <c r="O237" i="6"/>
  <c r="N237" i="6"/>
  <c r="M237" i="6"/>
  <c r="L237" i="6"/>
  <c r="K237" i="6"/>
  <c r="J237" i="6"/>
  <c r="I237" i="6"/>
  <c r="H237" i="6"/>
  <c r="G237" i="6"/>
  <c r="F237" i="6"/>
  <c r="F236" i="6" s="1"/>
  <c r="E237" i="6"/>
  <c r="D237" i="6"/>
  <c r="Q235" i="6"/>
  <c r="P234" i="6"/>
  <c r="P233" i="6" s="1"/>
  <c r="O234" i="6"/>
  <c r="O233" i="6" s="1"/>
  <c r="N234" i="6"/>
  <c r="N233" i="6" s="1"/>
  <c r="M234" i="6"/>
  <c r="M233" i="6" s="1"/>
  <c r="L234" i="6"/>
  <c r="L233" i="6" s="1"/>
  <c r="K234" i="6"/>
  <c r="K233" i="6" s="1"/>
  <c r="J234" i="6"/>
  <c r="J233" i="6" s="1"/>
  <c r="I234" i="6"/>
  <c r="I233" i="6" s="1"/>
  <c r="H234" i="6"/>
  <c r="H233" i="6" s="1"/>
  <c r="G234" i="6"/>
  <c r="F234" i="6"/>
  <c r="F233" i="6" s="1"/>
  <c r="E234" i="6"/>
  <c r="E233" i="6" s="1"/>
  <c r="D234" i="6"/>
  <c r="D233" i="6" s="1"/>
  <c r="Q232" i="6"/>
  <c r="P231" i="6"/>
  <c r="P230" i="6"/>
  <c r="O231" i="6"/>
  <c r="N231" i="6"/>
  <c r="M231" i="6"/>
  <c r="L231" i="6"/>
  <c r="L229" i="6" s="1"/>
  <c r="L230" i="6"/>
  <c r="K231" i="6"/>
  <c r="J231" i="6"/>
  <c r="I231" i="6"/>
  <c r="H231" i="6"/>
  <c r="G231" i="6"/>
  <c r="F231" i="6"/>
  <c r="E231" i="6"/>
  <c r="D231" i="6"/>
  <c r="D230" i="6"/>
  <c r="O230" i="6"/>
  <c r="N230" i="6"/>
  <c r="M230" i="6"/>
  <c r="K230" i="6"/>
  <c r="K229" i="6" s="1"/>
  <c r="K228" i="6" s="1"/>
  <c r="J230" i="6"/>
  <c r="J229" i="6" s="1"/>
  <c r="I230" i="6"/>
  <c r="I229" i="6" s="1"/>
  <c r="I228" i="6" s="1"/>
  <c r="H230" i="6"/>
  <c r="G230" i="6"/>
  <c r="F230" i="6"/>
  <c r="E230" i="6"/>
  <c r="Q225" i="6"/>
  <c r="D225" i="6"/>
  <c r="Q224" i="6"/>
  <c r="D224" i="6"/>
  <c r="S224" i="6" s="1"/>
  <c r="D223" i="6"/>
  <c r="P222" i="6"/>
  <c r="O222" i="6"/>
  <c r="N222" i="6"/>
  <c r="M222" i="6"/>
  <c r="L222" i="6"/>
  <c r="K222" i="6"/>
  <c r="J222" i="6"/>
  <c r="I222" i="6"/>
  <c r="H222" i="6"/>
  <c r="G222" i="6"/>
  <c r="E222" i="6"/>
  <c r="F222" i="6"/>
  <c r="P221" i="6"/>
  <c r="O221" i="6"/>
  <c r="N221" i="6"/>
  <c r="M221" i="6"/>
  <c r="L221" i="6"/>
  <c r="K221" i="6"/>
  <c r="J221" i="6"/>
  <c r="I221" i="6"/>
  <c r="H221" i="6"/>
  <c r="G221" i="6"/>
  <c r="E221" i="6"/>
  <c r="F221" i="6"/>
  <c r="P220" i="6"/>
  <c r="O220" i="6"/>
  <c r="N220" i="6"/>
  <c r="M220" i="6"/>
  <c r="L220" i="6"/>
  <c r="K220" i="6"/>
  <c r="J220" i="6"/>
  <c r="I220" i="6"/>
  <c r="H220" i="6"/>
  <c r="G220" i="6"/>
  <c r="E220" i="6"/>
  <c r="F220" i="6"/>
  <c r="P219" i="6"/>
  <c r="P218" i="6" s="1"/>
  <c r="O219" i="6"/>
  <c r="N219" i="6"/>
  <c r="M219" i="6"/>
  <c r="L219" i="6"/>
  <c r="K219" i="6"/>
  <c r="K218" i="6" s="1"/>
  <c r="J219" i="6"/>
  <c r="J218" i="6" s="1"/>
  <c r="I219" i="6"/>
  <c r="I218" i="6" s="1"/>
  <c r="H219" i="6"/>
  <c r="G219" i="6"/>
  <c r="F219" i="6"/>
  <c r="E219" i="6"/>
  <c r="Q217" i="6"/>
  <c r="P216" i="6"/>
  <c r="P215" i="6" s="1"/>
  <c r="O216" i="6"/>
  <c r="O215" i="6" s="1"/>
  <c r="N216" i="6"/>
  <c r="N215" i="6" s="1"/>
  <c r="M216" i="6"/>
  <c r="M215" i="6" s="1"/>
  <c r="L216" i="6"/>
  <c r="L215" i="6" s="1"/>
  <c r="K216" i="6"/>
  <c r="K215" i="6" s="1"/>
  <c r="J216" i="6"/>
  <c r="J215" i="6" s="1"/>
  <c r="I216" i="6"/>
  <c r="I215" i="6" s="1"/>
  <c r="H216" i="6"/>
  <c r="G216" i="6"/>
  <c r="G215" i="6" s="1"/>
  <c r="F216" i="6"/>
  <c r="F215" i="6" s="1"/>
  <c r="E216" i="6"/>
  <c r="E215" i="6" s="1"/>
  <c r="D216" i="6"/>
  <c r="D215" i="6" s="1"/>
  <c r="Q214" i="6"/>
  <c r="P213" i="6"/>
  <c r="P212" i="6" s="1"/>
  <c r="O213" i="6"/>
  <c r="O212" i="6" s="1"/>
  <c r="N213" i="6"/>
  <c r="N212" i="6" s="1"/>
  <c r="M213" i="6"/>
  <c r="M212" i="6" s="1"/>
  <c r="L213" i="6"/>
  <c r="L212" i="6" s="1"/>
  <c r="K213" i="6"/>
  <c r="K212" i="6" s="1"/>
  <c r="J213" i="6"/>
  <c r="J212" i="6" s="1"/>
  <c r="I213" i="6"/>
  <c r="I212" i="6" s="1"/>
  <c r="H213" i="6"/>
  <c r="H212" i="6" s="1"/>
  <c r="E213" i="6"/>
  <c r="E212" i="6" s="1"/>
  <c r="F213" i="6"/>
  <c r="G213" i="6"/>
  <c r="G212" i="6" s="1"/>
  <c r="D213" i="6"/>
  <c r="D212" i="6" s="1"/>
  <c r="M209" i="6"/>
  <c r="D209" i="6"/>
  <c r="Q208" i="6"/>
  <c r="D208" i="6"/>
  <c r="Q207" i="6"/>
  <c r="D207" i="6"/>
  <c r="Q206" i="6"/>
  <c r="D206" i="6"/>
  <c r="Q205" i="6"/>
  <c r="D205" i="6"/>
  <c r="P204" i="6"/>
  <c r="O204" i="6"/>
  <c r="N204" i="6"/>
  <c r="M204" i="6"/>
  <c r="L204" i="6"/>
  <c r="K204" i="6"/>
  <c r="J204" i="6"/>
  <c r="I204" i="6"/>
  <c r="H204" i="6"/>
  <c r="G204" i="6"/>
  <c r="F204" i="6"/>
  <c r="E204" i="6"/>
  <c r="P203" i="6"/>
  <c r="O203" i="6"/>
  <c r="N203" i="6"/>
  <c r="M203" i="6"/>
  <c r="L203" i="6"/>
  <c r="K203" i="6"/>
  <c r="J203" i="6"/>
  <c r="I203" i="6"/>
  <c r="H203" i="6"/>
  <c r="G203" i="6"/>
  <c r="F203" i="6"/>
  <c r="E203" i="6"/>
  <c r="P202" i="6"/>
  <c r="O202" i="6"/>
  <c r="N202" i="6"/>
  <c r="M202" i="6"/>
  <c r="L202" i="6"/>
  <c r="K202" i="6"/>
  <c r="J202" i="6"/>
  <c r="I202" i="6"/>
  <c r="H202" i="6"/>
  <c r="G202" i="6"/>
  <c r="F202" i="6"/>
  <c r="E202" i="6"/>
  <c r="P201" i="6"/>
  <c r="P200" i="6" s="1"/>
  <c r="O201" i="6"/>
  <c r="O200" i="6" s="1"/>
  <c r="N201" i="6"/>
  <c r="N200" i="6" s="1"/>
  <c r="M201" i="6"/>
  <c r="L201" i="6"/>
  <c r="K201" i="6"/>
  <c r="J201" i="6"/>
  <c r="J200" i="6" s="1"/>
  <c r="I201" i="6"/>
  <c r="H201" i="6"/>
  <c r="H200" i="6" s="1"/>
  <c r="G201" i="6"/>
  <c r="F201" i="6"/>
  <c r="F200" i="6" s="1"/>
  <c r="F190" i="6"/>
  <c r="F189" i="6" s="1"/>
  <c r="F194" i="6"/>
  <c r="F193" i="6" s="1"/>
  <c r="F195" i="6"/>
  <c r="F198" i="6"/>
  <c r="F197" i="6" s="1"/>
  <c r="E201" i="6"/>
  <c r="Q199" i="6"/>
  <c r="P198" i="6"/>
  <c r="P197" i="6" s="1"/>
  <c r="O198" i="6"/>
  <c r="O197" i="6" s="1"/>
  <c r="N198" i="6"/>
  <c r="N197" i="6" s="1"/>
  <c r="M198" i="6"/>
  <c r="M197" i="6" s="1"/>
  <c r="L198" i="6"/>
  <c r="L197" i="6" s="1"/>
  <c r="K198" i="6"/>
  <c r="K197" i="6" s="1"/>
  <c r="J198" i="6"/>
  <c r="J197" i="6" s="1"/>
  <c r="I198" i="6"/>
  <c r="I197" i="6" s="1"/>
  <c r="H198" i="6"/>
  <c r="H197" i="6" s="1"/>
  <c r="G198" i="6"/>
  <c r="G197" i="6" s="1"/>
  <c r="E198" i="6"/>
  <c r="D198" i="6"/>
  <c r="D197" i="6" s="1"/>
  <c r="P195" i="6"/>
  <c r="O195" i="6"/>
  <c r="O194" i="6"/>
  <c r="N195" i="6"/>
  <c r="N193" i="6" s="1"/>
  <c r="M195" i="6"/>
  <c r="L195" i="6"/>
  <c r="K195" i="6"/>
  <c r="K194" i="6"/>
  <c r="K193" i="6" s="1"/>
  <c r="J195" i="6"/>
  <c r="I195" i="6"/>
  <c r="H195" i="6"/>
  <c r="G195" i="6"/>
  <c r="E195" i="6"/>
  <c r="D195" i="6"/>
  <c r="P194" i="6"/>
  <c r="P190" i="6"/>
  <c r="P189" i="6" s="1"/>
  <c r="N194" i="6"/>
  <c r="M194" i="6"/>
  <c r="L194" i="6"/>
  <c r="L190" i="6"/>
  <c r="L189" i="6" s="1"/>
  <c r="J194" i="6"/>
  <c r="J193" i="6" s="1"/>
  <c r="I194" i="6"/>
  <c r="I193" i="6" s="1"/>
  <c r="H194" i="6"/>
  <c r="E194" i="6"/>
  <c r="G194" i="6"/>
  <c r="D194" i="6"/>
  <c r="D193" i="6" s="1"/>
  <c r="D190" i="6"/>
  <c r="D189" i="6" s="1"/>
  <c r="O190" i="6"/>
  <c r="O189" i="6" s="1"/>
  <c r="N190" i="6"/>
  <c r="N189" i="6" s="1"/>
  <c r="M190" i="6"/>
  <c r="M189" i="6" s="1"/>
  <c r="K190" i="6"/>
  <c r="K189" i="6" s="1"/>
  <c r="J190" i="6"/>
  <c r="J189" i="6" s="1"/>
  <c r="I190" i="6"/>
  <c r="I189" i="6" s="1"/>
  <c r="H190" i="6"/>
  <c r="H189" i="6" s="1"/>
  <c r="G190" i="6"/>
  <c r="G189" i="6" s="1"/>
  <c r="E190" i="6"/>
  <c r="E189" i="6" s="1"/>
  <c r="Q186" i="6"/>
  <c r="D186" i="6"/>
  <c r="D181" i="6" s="1"/>
  <c r="P185" i="6"/>
  <c r="O185" i="6"/>
  <c r="N185" i="6"/>
  <c r="M185" i="6"/>
  <c r="L185" i="6"/>
  <c r="K185" i="6"/>
  <c r="J185" i="6"/>
  <c r="I185" i="6"/>
  <c r="H185" i="6"/>
  <c r="G185" i="6"/>
  <c r="F185" i="6"/>
  <c r="E185" i="6"/>
  <c r="P184" i="6"/>
  <c r="O184" i="6"/>
  <c r="N184" i="6"/>
  <c r="M184" i="6"/>
  <c r="L184" i="6"/>
  <c r="K184" i="6"/>
  <c r="J184" i="6"/>
  <c r="I184" i="6"/>
  <c r="H184" i="6"/>
  <c r="G184" i="6"/>
  <c r="F184" i="6"/>
  <c r="E184" i="6"/>
  <c r="P183" i="6"/>
  <c r="O183" i="6"/>
  <c r="N183" i="6"/>
  <c r="M183" i="6"/>
  <c r="L183" i="6"/>
  <c r="K183" i="6"/>
  <c r="J183" i="6"/>
  <c r="I183" i="6"/>
  <c r="H183" i="6"/>
  <c r="G183" i="6"/>
  <c r="F183" i="6"/>
  <c r="E183" i="6"/>
  <c r="P182" i="6"/>
  <c r="P181" i="6" s="1"/>
  <c r="O182" i="6"/>
  <c r="O181" i="6" s="1"/>
  <c r="N182" i="6"/>
  <c r="M182" i="6"/>
  <c r="M181" i="6" s="1"/>
  <c r="L182" i="6"/>
  <c r="L181" i="6" s="1"/>
  <c r="K182" i="6"/>
  <c r="K181" i="6" s="1"/>
  <c r="J182" i="6"/>
  <c r="I182" i="6"/>
  <c r="H182" i="6"/>
  <c r="H181" i="6" s="1"/>
  <c r="G182" i="6"/>
  <c r="G181" i="6" s="1"/>
  <c r="F182" i="6"/>
  <c r="F181" i="6" s="1"/>
  <c r="E182" i="6"/>
  <c r="P179" i="6"/>
  <c r="P178" i="6" s="1"/>
  <c r="O179" i="6"/>
  <c r="O178" i="6" s="1"/>
  <c r="O177" i="6" s="1"/>
  <c r="N179" i="6"/>
  <c r="N178" i="6" s="1"/>
  <c r="M179" i="6"/>
  <c r="M178" i="6" s="1"/>
  <c r="L179" i="6"/>
  <c r="L178" i="6" s="1"/>
  <c r="L177" i="6" s="1"/>
  <c r="K179" i="6"/>
  <c r="K178" i="6" s="1"/>
  <c r="J179" i="6"/>
  <c r="J178" i="6" s="1"/>
  <c r="I179" i="6"/>
  <c r="I178" i="6" s="1"/>
  <c r="H179" i="6"/>
  <c r="H178" i="6" s="1"/>
  <c r="H177" i="6" s="1"/>
  <c r="G179" i="6"/>
  <c r="F179" i="6"/>
  <c r="F178" i="6" s="1"/>
  <c r="E179" i="6"/>
  <c r="E178" i="6" s="1"/>
  <c r="D179" i="6"/>
  <c r="D178" i="6" s="1"/>
  <c r="Q175" i="6"/>
  <c r="D175" i="6"/>
  <c r="D170" i="6" s="1"/>
  <c r="D169" i="6" s="1"/>
  <c r="P174" i="6"/>
  <c r="O174" i="6"/>
  <c r="N174" i="6"/>
  <c r="M174" i="6"/>
  <c r="L174" i="6"/>
  <c r="K174" i="6"/>
  <c r="J174" i="6"/>
  <c r="I174" i="6"/>
  <c r="H174" i="6"/>
  <c r="G174" i="6"/>
  <c r="F174" i="6"/>
  <c r="E174" i="6"/>
  <c r="P173" i="6"/>
  <c r="O173" i="6"/>
  <c r="N173" i="6"/>
  <c r="M173" i="6"/>
  <c r="L173" i="6"/>
  <c r="K173" i="6"/>
  <c r="J173" i="6"/>
  <c r="I173" i="6"/>
  <c r="H173" i="6"/>
  <c r="G173" i="6"/>
  <c r="F173" i="6"/>
  <c r="E173" i="6"/>
  <c r="P172" i="6"/>
  <c r="O172" i="6"/>
  <c r="N172" i="6"/>
  <c r="M172" i="6"/>
  <c r="L172" i="6"/>
  <c r="K172" i="6"/>
  <c r="J172" i="6"/>
  <c r="I172" i="6"/>
  <c r="H172" i="6"/>
  <c r="G172" i="6"/>
  <c r="F172" i="6"/>
  <c r="E172" i="6"/>
  <c r="P171" i="6"/>
  <c r="P170" i="6" s="1"/>
  <c r="P169" i="6" s="1"/>
  <c r="O171" i="6"/>
  <c r="N171" i="6"/>
  <c r="M171" i="6"/>
  <c r="L171" i="6"/>
  <c r="L170" i="6" s="1"/>
  <c r="L169" i="6" s="1"/>
  <c r="K171" i="6"/>
  <c r="J171" i="6"/>
  <c r="I171" i="6"/>
  <c r="H171" i="6"/>
  <c r="G171" i="6"/>
  <c r="G170" i="6" s="1"/>
  <c r="G169" i="6" s="1"/>
  <c r="F171" i="6"/>
  <c r="E171" i="6"/>
  <c r="Q167" i="6"/>
  <c r="D167" i="6"/>
  <c r="D162" i="6" s="1"/>
  <c r="D161" i="6" s="1"/>
  <c r="P166" i="6"/>
  <c r="O166" i="6"/>
  <c r="N166" i="6"/>
  <c r="M166" i="6"/>
  <c r="L166" i="6"/>
  <c r="K166" i="6"/>
  <c r="J166" i="6"/>
  <c r="I166" i="6"/>
  <c r="H166" i="6"/>
  <c r="E166" i="6"/>
  <c r="F166" i="6"/>
  <c r="G166" i="6"/>
  <c r="P165" i="6"/>
  <c r="O165" i="6"/>
  <c r="N165" i="6"/>
  <c r="M165" i="6"/>
  <c r="L165" i="6"/>
  <c r="K165" i="6"/>
  <c r="J165" i="6"/>
  <c r="I165" i="6"/>
  <c r="H165" i="6"/>
  <c r="G165" i="6"/>
  <c r="F165" i="6"/>
  <c r="E165" i="6"/>
  <c r="P164" i="6"/>
  <c r="O164" i="6"/>
  <c r="N164" i="6"/>
  <c r="M164" i="6"/>
  <c r="L164" i="6"/>
  <c r="K164" i="6"/>
  <c r="J164" i="6"/>
  <c r="I164" i="6"/>
  <c r="H164" i="6"/>
  <c r="E164" i="6"/>
  <c r="F164" i="6"/>
  <c r="G164" i="6"/>
  <c r="P163" i="6"/>
  <c r="P162" i="6" s="1"/>
  <c r="P161" i="6" s="1"/>
  <c r="O163" i="6"/>
  <c r="N163" i="6"/>
  <c r="N162" i="6" s="1"/>
  <c r="N161" i="6" s="1"/>
  <c r="M163" i="6"/>
  <c r="L163" i="6"/>
  <c r="L162" i="6" s="1"/>
  <c r="L161" i="6" s="1"/>
  <c r="K163" i="6"/>
  <c r="J163" i="6"/>
  <c r="I163" i="6"/>
  <c r="I162" i="6" s="1"/>
  <c r="I161" i="6" s="1"/>
  <c r="H163" i="6"/>
  <c r="H162" i="6" s="1"/>
  <c r="H161" i="6" s="1"/>
  <c r="G163" i="6"/>
  <c r="F163" i="6"/>
  <c r="E163" i="6"/>
  <c r="Q158" i="6"/>
  <c r="D158" i="6"/>
  <c r="P157" i="6"/>
  <c r="O157" i="6"/>
  <c r="N157" i="6"/>
  <c r="M157" i="6"/>
  <c r="L157" i="6"/>
  <c r="K157" i="6"/>
  <c r="J157" i="6"/>
  <c r="I157" i="6"/>
  <c r="H157" i="6"/>
  <c r="G157" i="6"/>
  <c r="F157" i="6"/>
  <c r="E157" i="6"/>
  <c r="P156" i="6"/>
  <c r="O156" i="6"/>
  <c r="N156" i="6"/>
  <c r="M156" i="6"/>
  <c r="L156" i="6"/>
  <c r="K156" i="6"/>
  <c r="J156" i="6"/>
  <c r="I156" i="6"/>
  <c r="H156" i="6"/>
  <c r="G156" i="6"/>
  <c r="F156" i="6"/>
  <c r="E156" i="6"/>
  <c r="P155" i="6"/>
  <c r="O155" i="6"/>
  <c r="N155" i="6"/>
  <c r="M155" i="6"/>
  <c r="L155" i="6"/>
  <c r="K155" i="6"/>
  <c r="J155" i="6"/>
  <c r="I155" i="6"/>
  <c r="H155" i="6"/>
  <c r="G155" i="6"/>
  <c r="F155" i="6"/>
  <c r="E155" i="6"/>
  <c r="P154" i="6"/>
  <c r="O154" i="6"/>
  <c r="N154" i="6"/>
  <c r="N152" i="6" s="1"/>
  <c r="M154" i="6"/>
  <c r="L154" i="6"/>
  <c r="K154" i="6"/>
  <c r="J154" i="6"/>
  <c r="J152" i="6" s="1"/>
  <c r="J153" i="6"/>
  <c r="I154" i="6"/>
  <c r="H154" i="6"/>
  <c r="G154" i="6"/>
  <c r="F154" i="6"/>
  <c r="E154" i="6"/>
  <c r="P153" i="6"/>
  <c r="O153" i="6"/>
  <c r="O152" i="6" s="1"/>
  <c r="N153" i="6"/>
  <c r="M153" i="6"/>
  <c r="L153" i="6"/>
  <c r="K153" i="6"/>
  <c r="K152" i="6" s="1"/>
  <c r="I153" i="6"/>
  <c r="H153" i="6"/>
  <c r="G153" i="6"/>
  <c r="F153" i="6"/>
  <c r="F152" i="6" s="1"/>
  <c r="E153" i="6"/>
  <c r="D153" i="6"/>
  <c r="Q151" i="6"/>
  <c r="P150" i="6"/>
  <c r="O150" i="6"/>
  <c r="N150" i="6"/>
  <c r="N149" i="6"/>
  <c r="M150" i="6"/>
  <c r="L150" i="6"/>
  <c r="K150" i="6"/>
  <c r="J150" i="6"/>
  <c r="I150" i="6"/>
  <c r="H150" i="6"/>
  <c r="G150" i="6"/>
  <c r="F150" i="6"/>
  <c r="E150" i="6"/>
  <c r="D150" i="6"/>
  <c r="P149" i="6"/>
  <c r="O149" i="6"/>
  <c r="M149" i="6"/>
  <c r="M148" i="6" s="1"/>
  <c r="M147" i="6" s="1"/>
  <c r="L149" i="6"/>
  <c r="L148" i="6" s="1"/>
  <c r="L147" i="6" s="1"/>
  <c r="K149" i="6"/>
  <c r="J149" i="6"/>
  <c r="J148" i="6" s="1"/>
  <c r="J147" i="6" s="1"/>
  <c r="I149" i="6"/>
  <c r="H149" i="6"/>
  <c r="H148" i="6" s="1"/>
  <c r="H147" i="6" s="1"/>
  <c r="G149" i="6"/>
  <c r="F149" i="6"/>
  <c r="F148" i="6" s="1"/>
  <c r="F147" i="6" s="1"/>
  <c r="E149" i="6"/>
  <c r="E148" i="6" s="1"/>
  <c r="E147" i="6" s="1"/>
  <c r="D149" i="6"/>
  <c r="D148" i="6" s="1"/>
  <c r="D147" i="6" s="1"/>
  <c r="Q145" i="6"/>
  <c r="Q144" i="6"/>
  <c r="D144" i="6"/>
  <c r="P143" i="6"/>
  <c r="O143" i="6"/>
  <c r="N143" i="6"/>
  <c r="M143" i="6"/>
  <c r="L143" i="6"/>
  <c r="K143" i="6"/>
  <c r="J143" i="6"/>
  <c r="I143" i="6"/>
  <c r="H143" i="6"/>
  <c r="G143" i="6"/>
  <c r="F143" i="6"/>
  <c r="E143" i="6"/>
  <c r="P142" i="6"/>
  <c r="O142" i="6"/>
  <c r="N142" i="6"/>
  <c r="M142" i="6"/>
  <c r="L142" i="6"/>
  <c r="K142" i="6"/>
  <c r="J142" i="6"/>
  <c r="I142" i="6"/>
  <c r="H142" i="6"/>
  <c r="G142" i="6"/>
  <c r="F142" i="6"/>
  <c r="E142" i="6"/>
  <c r="P141" i="6"/>
  <c r="O141" i="6"/>
  <c r="O140" i="6"/>
  <c r="N141" i="6"/>
  <c r="M141" i="6"/>
  <c r="L141" i="6"/>
  <c r="K141" i="6"/>
  <c r="K140" i="6"/>
  <c r="J141" i="6"/>
  <c r="I141" i="6"/>
  <c r="H141" i="6"/>
  <c r="G141" i="6"/>
  <c r="G140" i="6"/>
  <c r="F141" i="6"/>
  <c r="E141" i="6"/>
  <c r="P140" i="6"/>
  <c r="N140" i="6"/>
  <c r="N137" i="6"/>
  <c r="N136" i="6" s="1"/>
  <c r="M140" i="6"/>
  <c r="L140" i="6"/>
  <c r="J140" i="6"/>
  <c r="I140" i="6"/>
  <c r="H140" i="6"/>
  <c r="F140" i="6"/>
  <c r="E140" i="6"/>
  <c r="D140" i="6"/>
  <c r="Q138" i="6"/>
  <c r="P137" i="6"/>
  <c r="P136" i="6" s="1"/>
  <c r="O137" i="6"/>
  <c r="O136" i="6" s="1"/>
  <c r="M137" i="6"/>
  <c r="M136" i="6" s="1"/>
  <c r="L137" i="6"/>
  <c r="L136" i="6" s="1"/>
  <c r="K137" i="6"/>
  <c r="K136" i="6" s="1"/>
  <c r="J137" i="6"/>
  <c r="J136" i="6" s="1"/>
  <c r="I137" i="6"/>
  <c r="I136" i="6" s="1"/>
  <c r="H137" i="6"/>
  <c r="H136" i="6" s="1"/>
  <c r="G137" i="6"/>
  <c r="F137" i="6"/>
  <c r="F136" i="6" s="1"/>
  <c r="E137" i="6"/>
  <c r="E136" i="6" s="1"/>
  <c r="D137" i="6"/>
  <c r="D136" i="6" s="1"/>
  <c r="Q133" i="6"/>
  <c r="D133" i="6"/>
  <c r="D128" i="6" s="1"/>
  <c r="E129" i="6"/>
  <c r="E130" i="6"/>
  <c r="E131" i="6"/>
  <c r="E132" i="6"/>
  <c r="F129" i="6"/>
  <c r="F130" i="6"/>
  <c r="F131" i="6"/>
  <c r="F132" i="6"/>
  <c r="G129" i="6"/>
  <c r="G130" i="6"/>
  <c r="G131" i="6"/>
  <c r="G132" i="6"/>
  <c r="H129" i="6"/>
  <c r="H130" i="6"/>
  <c r="H131" i="6"/>
  <c r="H132" i="6"/>
  <c r="I129" i="6"/>
  <c r="I130" i="6"/>
  <c r="I131" i="6"/>
  <c r="I132" i="6"/>
  <c r="J129" i="6"/>
  <c r="J130" i="6"/>
  <c r="J131" i="6"/>
  <c r="J132" i="6"/>
  <c r="K129" i="6"/>
  <c r="K130" i="6"/>
  <c r="K131" i="6"/>
  <c r="K132" i="6"/>
  <c r="L129" i="6"/>
  <c r="L130" i="6"/>
  <c r="L131" i="6"/>
  <c r="L132" i="6"/>
  <c r="M129" i="6"/>
  <c r="M130" i="6"/>
  <c r="M131" i="6"/>
  <c r="M132" i="6"/>
  <c r="N129" i="6"/>
  <c r="N130" i="6"/>
  <c r="N131" i="6"/>
  <c r="N132" i="6"/>
  <c r="O129" i="6"/>
  <c r="O130" i="6"/>
  <c r="O131" i="6"/>
  <c r="O132" i="6"/>
  <c r="P129" i="6"/>
  <c r="P130" i="6"/>
  <c r="P131" i="6"/>
  <c r="P132" i="6"/>
  <c r="P126" i="6"/>
  <c r="P125" i="6"/>
  <c r="O126" i="6"/>
  <c r="O124" i="6" s="1"/>
  <c r="N126" i="6"/>
  <c r="M126" i="6"/>
  <c r="L126" i="6"/>
  <c r="L125" i="6"/>
  <c r="K126" i="6"/>
  <c r="J126" i="6"/>
  <c r="I126" i="6"/>
  <c r="H126" i="6"/>
  <c r="H124" i="6" s="1"/>
  <c r="H125" i="6"/>
  <c r="G126" i="6"/>
  <c r="F126" i="6"/>
  <c r="E126" i="6"/>
  <c r="D126" i="6"/>
  <c r="D125" i="6"/>
  <c r="O125" i="6"/>
  <c r="N125" i="6"/>
  <c r="M125" i="6"/>
  <c r="K125" i="6"/>
  <c r="J125" i="6"/>
  <c r="I125" i="6"/>
  <c r="G125" i="6"/>
  <c r="F125" i="6"/>
  <c r="E125" i="6"/>
  <c r="Q123" i="6"/>
  <c r="P122" i="6"/>
  <c r="P121" i="6" s="1"/>
  <c r="O122" i="6"/>
  <c r="O121" i="6" s="1"/>
  <c r="N122" i="6"/>
  <c r="N121" i="6" s="1"/>
  <c r="M122" i="6"/>
  <c r="M121" i="6" s="1"/>
  <c r="L122" i="6"/>
  <c r="L121" i="6" s="1"/>
  <c r="K122" i="6"/>
  <c r="K121" i="6" s="1"/>
  <c r="J122" i="6"/>
  <c r="J121" i="6" s="1"/>
  <c r="I122" i="6"/>
  <c r="I121" i="6" s="1"/>
  <c r="H122" i="6"/>
  <c r="H121" i="6" s="1"/>
  <c r="G122" i="6"/>
  <c r="F122" i="6"/>
  <c r="F121" i="6" s="1"/>
  <c r="E122" i="6"/>
  <c r="E121" i="6" s="1"/>
  <c r="D122" i="6"/>
  <c r="D121" i="6" s="1"/>
  <c r="Q119" i="6"/>
  <c r="Q118" i="6"/>
  <c r="D118" i="6"/>
  <c r="R118" i="6" s="1"/>
  <c r="P117" i="6"/>
  <c r="O117" i="6"/>
  <c r="N117" i="6"/>
  <c r="M117" i="6"/>
  <c r="L117" i="6"/>
  <c r="K117" i="6"/>
  <c r="J117" i="6"/>
  <c r="I117" i="6"/>
  <c r="H117" i="6"/>
  <c r="G117" i="6"/>
  <c r="F117" i="6"/>
  <c r="E117" i="6"/>
  <c r="P116" i="6"/>
  <c r="O116" i="6"/>
  <c r="N116" i="6"/>
  <c r="M116" i="6"/>
  <c r="L116" i="6"/>
  <c r="K116" i="6"/>
  <c r="J116" i="6"/>
  <c r="I116" i="6"/>
  <c r="H116" i="6"/>
  <c r="G116" i="6"/>
  <c r="F116" i="6"/>
  <c r="E116" i="6"/>
  <c r="P115" i="6"/>
  <c r="O115" i="6"/>
  <c r="N115" i="6"/>
  <c r="M115" i="6"/>
  <c r="L115" i="6"/>
  <c r="K115" i="6"/>
  <c r="J115" i="6"/>
  <c r="I115" i="6"/>
  <c r="H115" i="6"/>
  <c r="G115" i="6"/>
  <c r="F115" i="6"/>
  <c r="E115" i="6"/>
  <c r="P114" i="6"/>
  <c r="O114" i="6"/>
  <c r="N114" i="6"/>
  <c r="M114" i="6"/>
  <c r="L114" i="6"/>
  <c r="K114" i="6"/>
  <c r="J114" i="6"/>
  <c r="I114" i="6"/>
  <c r="H114" i="6"/>
  <c r="G114" i="6"/>
  <c r="F114" i="6"/>
  <c r="E114" i="6"/>
  <c r="P113" i="6"/>
  <c r="P112" i="6" s="1"/>
  <c r="P111" i="6" s="1"/>
  <c r="O113" i="6"/>
  <c r="N113" i="6"/>
  <c r="N112" i="6" s="1"/>
  <c r="N111" i="6" s="1"/>
  <c r="M113" i="6"/>
  <c r="M112" i="6" s="1"/>
  <c r="M111" i="6" s="1"/>
  <c r="L113" i="6"/>
  <c r="K113" i="6"/>
  <c r="K112" i="6" s="1"/>
  <c r="K111" i="6" s="1"/>
  <c r="J113" i="6"/>
  <c r="I113" i="6"/>
  <c r="I112" i="6" s="1"/>
  <c r="I111" i="6" s="1"/>
  <c r="H113" i="6"/>
  <c r="G113" i="6"/>
  <c r="G112" i="6" s="1"/>
  <c r="G111" i="6" s="1"/>
  <c r="F113" i="6"/>
  <c r="F112" i="6" s="1"/>
  <c r="F111" i="6" s="1"/>
  <c r="E113" i="6"/>
  <c r="D113" i="6"/>
  <c r="Q110" i="6"/>
  <c r="Q109" i="6"/>
  <c r="P108" i="6"/>
  <c r="O108" i="6"/>
  <c r="N108" i="6"/>
  <c r="M108" i="6"/>
  <c r="L108" i="6"/>
  <c r="K108" i="6"/>
  <c r="J108" i="6"/>
  <c r="I108" i="6"/>
  <c r="H108" i="6"/>
  <c r="G108" i="6"/>
  <c r="F108" i="6"/>
  <c r="E108" i="6"/>
  <c r="P107" i="6"/>
  <c r="O107" i="6"/>
  <c r="N107" i="6"/>
  <c r="M107" i="6"/>
  <c r="L107" i="6"/>
  <c r="K107" i="6"/>
  <c r="J107" i="6"/>
  <c r="I107" i="6"/>
  <c r="H107" i="6"/>
  <c r="G107" i="6"/>
  <c r="F107" i="6"/>
  <c r="E107" i="6"/>
  <c r="P106" i="6"/>
  <c r="O106" i="6"/>
  <c r="N106" i="6"/>
  <c r="M106" i="6"/>
  <c r="L106" i="6"/>
  <c r="K106" i="6"/>
  <c r="J106" i="6"/>
  <c r="I106" i="6"/>
  <c r="H106" i="6"/>
  <c r="G106" i="6"/>
  <c r="F106" i="6"/>
  <c r="E106" i="6"/>
  <c r="P105" i="6"/>
  <c r="P103" i="6" s="1"/>
  <c r="P102" i="6" s="1"/>
  <c r="O105" i="6"/>
  <c r="N105" i="6"/>
  <c r="M105" i="6"/>
  <c r="L105" i="6"/>
  <c r="L103" i="6" s="1"/>
  <c r="L102" i="6" s="1"/>
  <c r="K105" i="6"/>
  <c r="K104" i="6"/>
  <c r="J105" i="6"/>
  <c r="I105" i="6"/>
  <c r="H105" i="6"/>
  <c r="G105" i="6"/>
  <c r="F105" i="6"/>
  <c r="E105" i="6"/>
  <c r="P104" i="6"/>
  <c r="O104" i="6"/>
  <c r="N104" i="6"/>
  <c r="M104" i="6"/>
  <c r="L104" i="6"/>
  <c r="J104" i="6"/>
  <c r="I104" i="6"/>
  <c r="H104" i="6"/>
  <c r="G104" i="6"/>
  <c r="F104" i="6"/>
  <c r="E104" i="6"/>
  <c r="D104" i="6"/>
  <c r="D103" i="6" s="1"/>
  <c r="D102" i="6" s="1"/>
  <c r="Q101" i="6"/>
  <c r="Q100" i="6"/>
  <c r="D100" i="6"/>
  <c r="P99" i="6"/>
  <c r="O99" i="6"/>
  <c r="N99" i="6"/>
  <c r="M99" i="6"/>
  <c r="L99" i="6"/>
  <c r="K99" i="6"/>
  <c r="J99" i="6"/>
  <c r="I99" i="6"/>
  <c r="H99" i="6"/>
  <c r="G99" i="6"/>
  <c r="F99" i="6"/>
  <c r="E99" i="6"/>
  <c r="P98" i="6"/>
  <c r="O98" i="6"/>
  <c r="N98" i="6"/>
  <c r="M98" i="6"/>
  <c r="L98" i="6"/>
  <c r="K98" i="6"/>
  <c r="J98" i="6"/>
  <c r="I98" i="6"/>
  <c r="H98" i="6"/>
  <c r="G98" i="6"/>
  <c r="F98" i="6"/>
  <c r="E98" i="6"/>
  <c r="P97" i="6"/>
  <c r="O97" i="6"/>
  <c r="N97" i="6"/>
  <c r="M97" i="6"/>
  <c r="L97" i="6"/>
  <c r="K97" i="6"/>
  <c r="J97" i="6"/>
  <c r="J96" i="6"/>
  <c r="I97" i="6"/>
  <c r="H97" i="6"/>
  <c r="G97" i="6"/>
  <c r="F97" i="6"/>
  <c r="F96" i="6"/>
  <c r="E97" i="6"/>
  <c r="P96" i="6"/>
  <c r="O96" i="6"/>
  <c r="N96" i="6"/>
  <c r="M96" i="6"/>
  <c r="L96" i="6"/>
  <c r="K96" i="6"/>
  <c r="I96" i="6"/>
  <c r="I93" i="6"/>
  <c r="I92" i="6" s="1"/>
  <c r="H96" i="6"/>
  <c r="G96" i="6"/>
  <c r="E96" i="6"/>
  <c r="P93" i="6"/>
  <c r="P92" i="6" s="1"/>
  <c r="O93" i="6"/>
  <c r="O92" i="6" s="1"/>
  <c r="N93" i="6"/>
  <c r="N92" i="6" s="1"/>
  <c r="M93" i="6"/>
  <c r="M92" i="6" s="1"/>
  <c r="L93" i="6"/>
  <c r="L92" i="6" s="1"/>
  <c r="K93" i="6"/>
  <c r="K92" i="6" s="1"/>
  <c r="J93" i="6"/>
  <c r="J92" i="6" s="1"/>
  <c r="H93" i="6"/>
  <c r="H92" i="6" s="1"/>
  <c r="G93" i="6"/>
  <c r="G92" i="6" s="1"/>
  <c r="F93" i="6"/>
  <c r="F92" i="6" s="1"/>
  <c r="E93" i="6"/>
  <c r="E92" i="6" s="1"/>
  <c r="D93" i="6"/>
  <c r="D92" i="6" s="1"/>
  <c r="Q89" i="6"/>
  <c r="R89" i="6" s="1"/>
  <c r="P88" i="6"/>
  <c r="O88" i="6"/>
  <c r="N88" i="6"/>
  <c r="M88" i="6"/>
  <c r="L88" i="6"/>
  <c r="K88" i="6"/>
  <c r="J88" i="6"/>
  <c r="I88" i="6"/>
  <c r="H88" i="6"/>
  <c r="G88" i="6"/>
  <c r="F88" i="6"/>
  <c r="E88" i="6"/>
  <c r="P87" i="6"/>
  <c r="O87" i="6"/>
  <c r="N87" i="6"/>
  <c r="M87" i="6"/>
  <c r="L87" i="6"/>
  <c r="K87" i="6"/>
  <c r="J87" i="6"/>
  <c r="I87" i="6"/>
  <c r="H87" i="6"/>
  <c r="G87" i="6"/>
  <c r="F87" i="6"/>
  <c r="E87" i="6"/>
  <c r="P86" i="6"/>
  <c r="O86" i="6"/>
  <c r="N86" i="6"/>
  <c r="M86" i="6"/>
  <c r="L86" i="6"/>
  <c r="K86" i="6"/>
  <c r="J86" i="6"/>
  <c r="I86" i="6"/>
  <c r="H86" i="6"/>
  <c r="G86" i="6"/>
  <c r="F86" i="6"/>
  <c r="E86" i="6"/>
  <c r="P85" i="6"/>
  <c r="O85" i="6"/>
  <c r="N85" i="6"/>
  <c r="M85" i="6"/>
  <c r="L85" i="6"/>
  <c r="K85" i="6"/>
  <c r="J85" i="6"/>
  <c r="I85" i="6"/>
  <c r="H85" i="6"/>
  <c r="G85" i="6"/>
  <c r="F85" i="6"/>
  <c r="E85" i="6"/>
  <c r="P84" i="6"/>
  <c r="P83" i="6" s="1"/>
  <c r="P82" i="6" s="1"/>
  <c r="O84" i="6"/>
  <c r="N84" i="6"/>
  <c r="N83" i="6" s="1"/>
  <c r="N82" i="6" s="1"/>
  <c r="M84" i="6"/>
  <c r="M83" i="6" s="1"/>
  <c r="M82" i="6" s="1"/>
  <c r="L84" i="6"/>
  <c r="K84" i="6"/>
  <c r="J84" i="6"/>
  <c r="J83" i="6" s="1"/>
  <c r="J82" i="6" s="1"/>
  <c r="I84" i="6"/>
  <c r="I83" i="6" s="1"/>
  <c r="I82" i="6" s="1"/>
  <c r="H84" i="6"/>
  <c r="G84" i="6"/>
  <c r="F84" i="6"/>
  <c r="F83" i="6" s="1"/>
  <c r="F82" i="6" s="1"/>
  <c r="E84" i="6"/>
  <c r="D84" i="6"/>
  <c r="D83" i="6" s="1"/>
  <c r="D82" i="6" s="1"/>
  <c r="Q80" i="6"/>
  <c r="D80" i="6"/>
  <c r="D75" i="6" s="1"/>
  <c r="D71" i="6" s="1"/>
  <c r="P79" i="6"/>
  <c r="O79" i="6"/>
  <c r="N79" i="6"/>
  <c r="M79" i="6"/>
  <c r="L79" i="6"/>
  <c r="K79" i="6"/>
  <c r="J79" i="6"/>
  <c r="I79" i="6"/>
  <c r="H79" i="6"/>
  <c r="G79" i="6"/>
  <c r="F79" i="6"/>
  <c r="E79" i="6"/>
  <c r="P78" i="6"/>
  <c r="O78" i="6"/>
  <c r="N78" i="6"/>
  <c r="N76" i="6"/>
  <c r="N75" i="6" s="1"/>
  <c r="N77" i="6"/>
  <c r="M78" i="6"/>
  <c r="L78" i="6"/>
  <c r="K78" i="6"/>
  <c r="J78" i="6"/>
  <c r="J76" i="6"/>
  <c r="J77" i="6"/>
  <c r="I78" i="6"/>
  <c r="H78" i="6"/>
  <c r="G78" i="6"/>
  <c r="F78" i="6"/>
  <c r="E78" i="6"/>
  <c r="M77" i="6"/>
  <c r="L77" i="6"/>
  <c r="K77" i="6"/>
  <c r="I77" i="6"/>
  <c r="H77" i="6"/>
  <c r="E77" i="6"/>
  <c r="F77" i="6"/>
  <c r="G77" i="6"/>
  <c r="P76" i="6"/>
  <c r="O76" i="6"/>
  <c r="O75" i="6" s="1"/>
  <c r="M76" i="6"/>
  <c r="L76" i="6"/>
  <c r="L73" i="6"/>
  <c r="L72" i="6" s="1"/>
  <c r="K76" i="6"/>
  <c r="I76" i="6"/>
  <c r="H76" i="6"/>
  <c r="G76" i="6"/>
  <c r="F76" i="6"/>
  <c r="E76" i="6"/>
  <c r="P74" i="6"/>
  <c r="O74" i="6"/>
  <c r="P73" i="6"/>
  <c r="O73" i="6"/>
  <c r="N73" i="6"/>
  <c r="N72" i="6" s="1"/>
  <c r="M73" i="6"/>
  <c r="M72" i="6" s="1"/>
  <c r="K73" i="6"/>
  <c r="K72" i="6" s="1"/>
  <c r="J73" i="6"/>
  <c r="J72" i="6" s="1"/>
  <c r="I73" i="6"/>
  <c r="I72" i="6" s="1"/>
  <c r="H73" i="6"/>
  <c r="H72" i="6" s="1"/>
  <c r="G73" i="6"/>
  <c r="G72" i="6" s="1"/>
  <c r="F73" i="6"/>
  <c r="F72" i="6" s="1"/>
  <c r="E73" i="6"/>
  <c r="E72" i="6" s="1"/>
  <c r="D73" i="6"/>
  <c r="D72" i="6" s="1"/>
  <c r="H69" i="6"/>
  <c r="G69" i="6"/>
  <c r="F69" i="6"/>
  <c r="E69" i="6"/>
  <c r="P68" i="6"/>
  <c r="O68" i="6"/>
  <c r="N68" i="6"/>
  <c r="M68" i="6"/>
  <c r="L68" i="6"/>
  <c r="K68" i="6"/>
  <c r="J68" i="6"/>
  <c r="J65" i="6"/>
  <c r="J62" i="6"/>
  <c r="J61" i="6" s="1"/>
  <c r="I68" i="6"/>
  <c r="H68" i="6"/>
  <c r="G68" i="6"/>
  <c r="F68" i="6"/>
  <c r="E68" i="6"/>
  <c r="P67" i="6"/>
  <c r="O67" i="6"/>
  <c r="N67" i="6"/>
  <c r="P66" i="6"/>
  <c r="O66" i="6"/>
  <c r="N66" i="6"/>
  <c r="M66" i="6"/>
  <c r="L66" i="6"/>
  <c r="P65" i="6"/>
  <c r="O65" i="6"/>
  <c r="N65" i="6"/>
  <c r="M65" i="6"/>
  <c r="L65" i="6"/>
  <c r="K65" i="6"/>
  <c r="I65" i="6"/>
  <c r="I62" i="6"/>
  <c r="I61" i="6" s="1"/>
  <c r="H65" i="6"/>
  <c r="G65" i="6"/>
  <c r="F65" i="6"/>
  <c r="E65" i="6"/>
  <c r="E62" i="6"/>
  <c r="E61" i="6" s="1"/>
  <c r="D64" i="6"/>
  <c r="P62" i="6"/>
  <c r="P61" i="6" s="1"/>
  <c r="O62" i="6"/>
  <c r="O61" i="6" s="1"/>
  <c r="N62" i="6"/>
  <c r="N61" i="6" s="1"/>
  <c r="M62" i="6"/>
  <c r="M61" i="6" s="1"/>
  <c r="L62" i="6"/>
  <c r="L61" i="6" s="1"/>
  <c r="K62" i="6"/>
  <c r="K61" i="6" s="1"/>
  <c r="H62" i="6"/>
  <c r="H61" i="6" s="1"/>
  <c r="G62" i="6"/>
  <c r="G61" i="6" s="1"/>
  <c r="F62" i="6"/>
  <c r="D62" i="6"/>
  <c r="D61" i="6" s="1"/>
  <c r="P58" i="6"/>
  <c r="O58" i="6"/>
  <c r="N58" i="6"/>
  <c r="M58" i="6"/>
  <c r="L58" i="6"/>
  <c r="K58" i="6"/>
  <c r="J58" i="6"/>
  <c r="I58" i="6"/>
  <c r="H58" i="6"/>
  <c r="G58" i="6"/>
  <c r="F58" i="6"/>
  <c r="E58" i="6"/>
  <c r="P57" i="6"/>
  <c r="O57" i="6"/>
  <c r="N57" i="6"/>
  <c r="M57" i="6"/>
  <c r="L57" i="6"/>
  <c r="K57" i="6"/>
  <c r="J57" i="6"/>
  <c r="I57" i="6"/>
  <c r="H57" i="6"/>
  <c r="G57" i="6"/>
  <c r="F57" i="6"/>
  <c r="E57" i="6"/>
  <c r="P56" i="6"/>
  <c r="O56" i="6"/>
  <c r="N56" i="6"/>
  <c r="M56" i="6"/>
  <c r="L56" i="6"/>
  <c r="K56" i="6"/>
  <c r="J56" i="6"/>
  <c r="I56" i="6"/>
  <c r="H56" i="6"/>
  <c r="G56" i="6"/>
  <c r="F56" i="6"/>
  <c r="E56" i="6"/>
  <c r="P55" i="6"/>
  <c r="O55" i="6"/>
  <c r="N55" i="6"/>
  <c r="M55" i="6"/>
  <c r="L55" i="6"/>
  <c r="L53" i="6" s="1"/>
  <c r="K55" i="6"/>
  <c r="J55" i="6"/>
  <c r="I55" i="6"/>
  <c r="H55" i="6"/>
  <c r="G55" i="6"/>
  <c r="F55" i="6"/>
  <c r="E55" i="6"/>
  <c r="P54" i="6"/>
  <c r="P53" i="6" s="1"/>
  <c r="O54" i="6"/>
  <c r="O53" i="6" s="1"/>
  <c r="O51" i="6"/>
  <c r="O50" i="6" s="1"/>
  <c r="N54" i="6"/>
  <c r="M54" i="6"/>
  <c r="L54" i="6"/>
  <c r="L51" i="6"/>
  <c r="L50" i="6" s="1"/>
  <c r="K54" i="6"/>
  <c r="J54" i="6"/>
  <c r="I54" i="6"/>
  <c r="H54" i="6"/>
  <c r="G54" i="6"/>
  <c r="F54" i="6"/>
  <c r="E54" i="6"/>
  <c r="D53" i="6"/>
  <c r="P51" i="6"/>
  <c r="P50" i="6" s="1"/>
  <c r="N51" i="6"/>
  <c r="N50" i="6" s="1"/>
  <c r="M51" i="6"/>
  <c r="M50" i="6" s="1"/>
  <c r="K51" i="6"/>
  <c r="K50" i="6" s="1"/>
  <c r="J51" i="6"/>
  <c r="J50" i="6" s="1"/>
  <c r="I51" i="6"/>
  <c r="I50" i="6" s="1"/>
  <c r="H51" i="6"/>
  <c r="H50" i="6" s="1"/>
  <c r="G51" i="6"/>
  <c r="G50" i="6" s="1"/>
  <c r="F51" i="6"/>
  <c r="F50" i="6" s="1"/>
  <c r="E51" i="6"/>
  <c r="D51" i="6"/>
  <c r="D50" i="6" s="1"/>
  <c r="Q47" i="6"/>
  <c r="R47" i="6" s="1"/>
  <c r="P46" i="6"/>
  <c r="O46" i="6"/>
  <c r="N46" i="6"/>
  <c r="M46" i="6"/>
  <c r="L46" i="6"/>
  <c r="K46" i="6"/>
  <c r="J46" i="6"/>
  <c r="I46" i="6"/>
  <c r="H46" i="6"/>
  <c r="G46" i="6"/>
  <c r="F46" i="6"/>
  <c r="E46" i="6"/>
  <c r="P45" i="6"/>
  <c r="O45" i="6"/>
  <c r="N45" i="6"/>
  <c r="M45" i="6"/>
  <c r="L45" i="6"/>
  <c r="K45" i="6"/>
  <c r="J45" i="6"/>
  <c r="I45" i="6"/>
  <c r="H45" i="6"/>
  <c r="G45" i="6"/>
  <c r="F45" i="6"/>
  <c r="E45" i="6"/>
  <c r="P44" i="6"/>
  <c r="O44" i="6"/>
  <c r="N44" i="6"/>
  <c r="M44" i="6"/>
  <c r="L44" i="6"/>
  <c r="K44" i="6"/>
  <c r="J44" i="6"/>
  <c r="I44" i="6"/>
  <c r="H44" i="6"/>
  <c r="G44" i="6"/>
  <c r="F44" i="6"/>
  <c r="E44" i="6"/>
  <c r="P43" i="6"/>
  <c r="O43" i="6"/>
  <c r="N43" i="6"/>
  <c r="M43" i="6"/>
  <c r="L43" i="6"/>
  <c r="K43" i="6"/>
  <c r="J43" i="6"/>
  <c r="I43" i="6"/>
  <c r="H43" i="6"/>
  <c r="G43" i="6"/>
  <c r="F43" i="6"/>
  <c r="E43" i="6"/>
  <c r="P42" i="6"/>
  <c r="O42" i="6"/>
  <c r="N42" i="6"/>
  <c r="M42" i="6"/>
  <c r="L42" i="6"/>
  <c r="K42" i="6"/>
  <c r="J42" i="6"/>
  <c r="I42" i="6"/>
  <c r="H42" i="6"/>
  <c r="G42" i="6"/>
  <c r="F42" i="6"/>
  <c r="E42" i="6"/>
  <c r="D42" i="6"/>
  <c r="P40" i="6"/>
  <c r="P39" i="6" s="1"/>
  <c r="P38" i="6" s="1"/>
  <c r="O40" i="6"/>
  <c r="O39" i="6" s="1"/>
  <c r="N40" i="6"/>
  <c r="N39" i="6" s="1"/>
  <c r="M40" i="6"/>
  <c r="M39" i="6" s="1"/>
  <c r="L40" i="6"/>
  <c r="L39" i="6" s="1"/>
  <c r="L38" i="6" s="1"/>
  <c r="K40" i="6"/>
  <c r="K39" i="6" s="1"/>
  <c r="J40" i="6"/>
  <c r="J39" i="6" s="1"/>
  <c r="I40" i="6"/>
  <c r="I39" i="6" s="1"/>
  <c r="H40" i="6"/>
  <c r="H39" i="6" s="1"/>
  <c r="H38" i="6" s="1"/>
  <c r="G40" i="6"/>
  <c r="G39" i="6" s="1"/>
  <c r="F40" i="6"/>
  <c r="F39" i="6" s="1"/>
  <c r="E40" i="6"/>
  <c r="D40" i="6"/>
  <c r="D39" i="6" s="1"/>
  <c r="D38" i="6" s="1"/>
  <c r="P36" i="6"/>
  <c r="H36" i="6"/>
  <c r="P35" i="6"/>
  <c r="O35" i="6"/>
  <c r="N35" i="6"/>
  <c r="M35" i="6"/>
  <c r="L35" i="6"/>
  <c r="K35" i="6"/>
  <c r="J35" i="6"/>
  <c r="I35" i="6"/>
  <c r="H35" i="6"/>
  <c r="E35" i="6"/>
  <c r="F35" i="6"/>
  <c r="G35" i="6"/>
  <c r="P34" i="6"/>
  <c r="O34" i="6"/>
  <c r="N34" i="6"/>
  <c r="M34" i="6"/>
  <c r="L34" i="6"/>
  <c r="K34" i="6"/>
  <c r="K31" i="6" s="1"/>
  <c r="J34" i="6"/>
  <c r="I34" i="6"/>
  <c r="H34" i="6"/>
  <c r="G34" i="6"/>
  <c r="F34" i="6"/>
  <c r="E34" i="6"/>
  <c r="P33" i="6"/>
  <c r="O33" i="6"/>
  <c r="N33" i="6"/>
  <c r="N32" i="6"/>
  <c r="M33" i="6"/>
  <c r="L33" i="6"/>
  <c r="K33" i="6"/>
  <c r="J33" i="6"/>
  <c r="I33" i="6"/>
  <c r="H33" i="6"/>
  <c r="H32" i="6"/>
  <c r="G33" i="6"/>
  <c r="F33" i="6"/>
  <c r="E33" i="6"/>
  <c r="P32" i="6"/>
  <c r="O32" i="6"/>
  <c r="M32" i="6"/>
  <c r="L32" i="6"/>
  <c r="K32" i="6"/>
  <c r="J32" i="6"/>
  <c r="I32" i="6"/>
  <c r="G32" i="6"/>
  <c r="F32" i="6"/>
  <c r="E32" i="6"/>
  <c r="D31" i="6"/>
  <c r="P29" i="6"/>
  <c r="P28" i="6" s="1"/>
  <c r="O29" i="6"/>
  <c r="O28" i="6" s="1"/>
  <c r="N29" i="6"/>
  <c r="N28" i="6" s="1"/>
  <c r="M29" i="6"/>
  <c r="M28" i="6" s="1"/>
  <c r="L29" i="6"/>
  <c r="L28" i="6" s="1"/>
  <c r="K29" i="6"/>
  <c r="K28" i="6" s="1"/>
  <c r="J29" i="6"/>
  <c r="J28" i="6" s="1"/>
  <c r="I29" i="6"/>
  <c r="I28" i="6" s="1"/>
  <c r="H29" i="6"/>
  <c r="H28" i="6" s="1"/>
  <c r="G29" i="6"/>
  <c r="G28" i="6" s="1"/>
  <c r="F29" i="6"/>
  <c r="E29" i="6"/>
  <c r="E28" i="6" s="1"/>
  <c r="D29" i="6"/>
  <c r="D28" i="6" s="1"/>
  <c r="Q23" i="6"/>
  <c r="D23" i="6"/>
  <c r="P22" i="6"/>
  <c r="O22" i="6"/>
  <c r="N22" i="6"/>
  <c r="M22" i="6"/>
  <c r="L22" i="6"/>
  <c r="K22" i="6"/>
  <c r="J22" i="6"/>
  <c r="I22" i="6"/>
  <c r="H22" i="6"/>
  <c r="G22" i="6"/>
  <c r="F22" i="6"/>
  <c r="E22" i="6"/>
  <c r="P21" i="6"/>
  <c r="O21" i="6"/>
  <c r="N21" i="6"/>
  <c r="M21" i="6"/>
  <c r="L21" i="6"/>
  <c r="K21" i="6"/>
  <c r="J21" i="6"/>
  <c r="I21" i="6"/>
  <c r="H21" i="6"/>
  <c r="G21" i="6"/>
  <c r="F21" i="6"/>
  <c r="E21" i="6"/>
  <c r="P20" i="6"/>
  <c r="O20" i="6"/>
  <c r="N20" i="6"/>
  <c r="M20" i="6"/>
  <c r="L20" i="6"/>
  <c r="K20" i="6"/>
  <c r="J20" i="6"/>
  <c r="I20" i="6"/>
  <c r="H20" i="6"/>
  <c r="G20" i="6"/>
  <c r="F20" i="6"/>
  <c r="E20" i="6"/>
  <c r="P19" i="6"/>
  <c r="O19" i="6"/>
  <c r="O18" i="6" s="1"/>
  <c r="N19" i="6"/>
  <c r="N18" i="6" s="1"/>
  <c r="M19" i="6"/>
  <c r="M18" i="6" s="1"/>
  <c r="L19" i="6"/>
  <c r="K19" i="6"/>
  <c r="K18" i="6" s="1"/>
  <c r="J19" i="6"/>
  <c r="I19" i="6"/>
  <c r="I18" i="6" s="1"/>
  <c r="H19" i="6"/>
  <c r="G19" i="6"/>
  <c r="G18" i="6" s="1"/>
  <c r="F19" i="6"/>
  <c r="E19" i="6"/>
  <c r="E18" i="6" s="1"/>
  <c r="P16" i="6"/>
  <c r="O16" i="6"/>
  <c r="O14" i="6" s="1"/>
  <c r="O13" i="6" s="1"/>
  <c r="N16" i="6"/>
  <c r="M16" i="6"/>
  <c r="L16" i="6"/>
  <c r="K16" i="6"/>
  <c r="K14" i="6" s="1"/>
  <c r="J16" i="6"/>
  <c r="I16" i="6"/>
  <c r="H16" i="6"/>
  <c r="G16" i="6"/>
  <c r="F16" i="6"/>
  <c r="E16" i="6"/>
  <c r="M22" i="7" s="1"/>
  <c r="D16" i="6"/>
  <c r="P15" i="6"/>
  <c r="O15" i="6"/>
  <c r="N15" i="6"/>
  <c r="M15" i="6"/>
  <c r="L15" i="6"/>
  <c r="L14" i="6" s="1"/>
  <c r="K15" i="6"/>
  <c r="J15" i="6"/>
  <c r="I15" i="6"/>
  <c r="H15" i="6"/>
  <c r="G15" i="6"/>
  <c r="F15" i="6"/>
  <c r="E15" i="6"/>
  <c r="D15" i="6"/>
  <c r="P645" i="5"/>
  <c r="P644" i="5" s="1"/>
  <c r="N645" i="5"/>
  <c r="N644" i="5" s="1"/>
  <c r="M645" i="5"/>
  <c r="L645" i="5"/>
  <c r="P642" i="5"/>
  <c r="O642" i="5"/>
  <c r="N642" i="5"/>
  <c r="M642" i="5"/>
  <c r="L642" i="5"/>
  <c r="P641" i="5"/>
  <c r="P640" i="5"/>
  <c r="O641" i="5"/>
  <c r="L641" i="5"/>
  <c r="N641" i="5"/>
  <c r="M641" i="5"/>
  <c r="O640" i="5"/>
  <c r="N640" i="5"/>
  <c r="M640" i="5"/>
  <c r="L640" i="5"/>
  <c r="R637" i="5"/>
  <c r="P637" i="5"/>
  <c r="O637" i="5"/>
  <c r="N637" i="5"/>
  <c r="M637" i="5"/>
  <c r="L637" i="5"/>
  <c r="R636" i="5"/>
  <c r="P636" i="5"/>
  <c r="O636" i="5"/>
  <c r="N636" i="5"/>
  <c r="M636" i="5"/>
  <c r="L636" i="5"/>
  <c r="R635" i="5"/>
  <c r="P635" i="5"/>
  <c r="O635" i="5"/>
  <c r="N635" i="5"/>
  <c r="M635" i="5"/>
  <c r="L635" i="5"/>
  <c r="R634" i="5"/>
  <c r="P634" i="5"/>
  <c r="O634" i="5"/>
  <c r="N634" i="5"/>
  <c r="M634" i="5"/>
  <c r="L634" i="5"/>
  <c r="S633" i="5"/>
  <c r="R633" i="5"/>
  <c r="R626" i="5"/>
  <c r="R628" i="5"/>
  <c r="R630" i="5"/>
  <c r="P633" i="5"/>
  <c r="O633" i="5"/>
  <c r="N633" i="5"/>
  <c r="M633" i="5"/>
  <c r="L633" i="5"/>
  <c r="R632" i="5"/>
  <c r="P632" i="5"/>
  <c r="O632" i="5"/>
  <c r="N632" i="5"/>
  <c r="M632" i="5"/>
  <c r="L632" i="5"/>
  <c r="R631" i="5"/>
  <c r="P631" i="5"/>
  <c r="O631" i="5"/>
  <c r="N631" i="5"/>
  <c r="M631" i="5"/>
  <c r="L631" i="5"/>
  <c r="P630" i="5"/>
  <c r="P625" i="5" s="1"/>
  <c r="O630" i="5"/>
  <c r="N630" i="5"/>
  <c r="M630" i="5"/>
  <c r="L630" i="5"/>
  <c r="S629" i="5"/>
  <c r="R629" i="5"/>
  <c r="P629" i="5"/>
  <c r="O629" i="5"/>
  <c r="N629" i="5"/>
  <c r="M629" i="5"/>
  <c r="L629" i="5"/>
  <c r="L626" i="5"/>
  <c r="L628" i="5"/>
  <c r="P628" i="5"/>
  <c r="O628" i="5"/>
  <c r="N628" i="5"/>
  <c r="M628" i="5"/>
  <c r="P627" i="5"/>
  <c r="O627" i="5"/>
  <c r="N627" i="5"/>
  <c r="M627" i="5"/>
  <c r="S626" i="5"/>
  <c r="P626" i="5"/>
  <c r="O626" i="5"/>
  <c r="N626" i="5"/>
  <c r="M626" i="5"/>
  <c r="S621" i="5"/>
  <c r="P621" i="5"/>
  <c r="O621" i="5"/>
  <c r="N621" i="5"/>
  <c r="M621" i="5"/>
  <c r="S620" i="5"/>
  <c r="R620" i="5"/>
  <c r="P620" i="5"/>
  <c r="O620" i="5"/>
  <c r="N620" i="5"/>
  <c r="M620" i="5"/>
  <c r="L620" i="5"/>
  <c r="S619" i="5"/>
  <c r="R619" i="5"/>
  <c r="P619" i="5"/>
  <c r="O619" i="5"/>
  <c r="N619" i="5"/>
  <c r="M619" i="5"/>
  <c r="L619" i="5"/>
  <c r="S618" i="5"/>
  <c r="R618" i="5"/>
  <c r="P618" i="5"/>
  <c r="O618" i="5"/>
  <c r="N618" i="5"/>
  <c r="M618" i="5"/>
  <c r="L618" i="5"/>
  <c r="S617" i="5"/>
  <c r="R617" i="5"/>
  <c r="P617" i="5"/>
  <c r="O617" i="5"/>
  <c r="N617" i="5"/>
  <c r="M617" i="5"/>
  <c r="L617" i="5"/>
  <c r="S616" i="5"/>
  <c r="R616" i="5"/>
  <c r="P616" i="5"/>
  <c r="O616" i="5"/>
  <c r="N616" i="5"/>
  <c r="M616" i="5"/>
  <c r="L616" i="5"/>
  <c r="R615" i="5"/>
  <c r="P615" i="5"/>
  <c r="O615" i="5"/>
  <c r="N615" i="5"/>
  <c r="M615" i="5"/>
  <c r="L615" i="5"/>
  <c r="S614" i="5"/>
  <c r="R614" i="5"/>
  <c r="P614" i="5"/>
  <c r="O614" i="5"/>
  <c r="N614" i="5"/>
  <c r="M614" i="5"/>
  <c r="L614" i="5"/>
  <c r="P613" i="5"/>
  <c r="M613" i="5"/>
  <c r="H613" i="5"/>
  <c r="S612" i="5"/>
  <c r="P612" i="5"/>
  <c r="M612" i="5"/>
  <c r="S611" i="5"/>
  <c r="R611" i="5"/>
  <c r="P611" i="5"/>
  <c r="O611" i="5"/>
  <c r="N611" i="5"/>
  <c r="M611" i="5"/>
  <c r="L611" i="5"/>
  <c r="S610" i="5"/>
  <c r="R610" i="5"/>
  <c r="P610" i="5"/>
  <c r="O610" i="5"/>
  <c r="N610" i="5"/>
  <c r="M610" i="5"/>
  <c r="L610" i="5"/>
  <c r="S609" i="5"/>
  <c r="R609" i="5"/>
  <c r="P609" i="5"/>
  <c r="O609" i="5"/>
  <c r="N609" i="5"/>
  <c r="M609" i="5"/>
  <c r="L609" i="5"/>
  <c r="S608" i="5"/>
  <c r="P608" i="5"/>
  <c r="O608" i="5"/>
  <c r="N608" i="5"/>
  <c r="M608" i="5"/>
  <c r="L608" i="5"/>
  <c r="S607" i="5"/>
  <c r="R607" i="5"/>
  <c r="P607" i="5"/>
  <c r="O607" i="5"/>
  <c r="N607" i="5"/>
  <c r="M607" i="5"/>
  <c r="L607" i="5"/>
  <c r="S606" i="5"/>
  <c r="R606" i="5"/>
  <c r="P606" i="5"/>
  <c r="O606" i="5"/>
  <c r="N606" i="5"/>
  <c r="M606" i="5"/>
  <c r="L606" i="5"/>
  <c r="S605" i="5"/>
  <c r="R605" i="5"/>
  <c r="P605" i="5"/>
  <c r="O605" i="5"/>
  <c r="N605" i="5"/>
  <c r="M605" i="5"/>
  <c r="L605" i="5"/>
  <c r="S604" i="5"/>
  <c r="P604" i="5"/>
  <c r="M604" i="5"/>
  <c r="S603" i="5"/>
  <c r="R603" i="5"/>
  <c r="P603" i="5"/>
  <c r="O603" i="5"/>
  <c r="N603" i="5"/>
  <c r="M603" i="5"/>
  <c r="L603" i="5"/>
  <c r="S602" i="5"/>
  <c r="R602" i="5"/>
  <c r="P602" i="5"/>
  <c r="M602" i="5"/>
  <c r="R601" i="5"/>
  <c r="O601" i="5"/>
  <c r="N601" i="5"/>
  <c r="M601" i="5"/>
  <c r="L601" i="5"/>
  <c r="P600" i="5"/>
  <c r="O600" i="5"/>
  <c r="N600" i="5"/>
  <c r="M600" i="5"/>
  <c r="L600" i="5"/>
  <c r="R599" i="5"/>
  <c r="P599" i="5"/>
  <c r="P597" i="5"/>
  <c r="P598" i="5"/>
  <c r="O599" i="5"/>
  <c r="N599" i="5"/>
  <c r="M599" i="5"/>
  <c r="L599" i="5"/>
  <c r="O598" i="5"/>
  <c r="N598" i="5"/>
  <c r="M598" i="5"/>
  <c r="M597" i="5"/>
  <c r="L598" i="5"/>
  <c r="O597" i="5"/>
  <c r="N597" i="5"/>
  <c r="L597" i="5"/>
  <c r="P579" i="5"/>
  <c r="L579" i="5"/>
  <c r="P578" i="5"/>
  <c r="L578" i="5"/>
  <c r="L575" i="5"/>
  <c r="L574" i="5"/>
  <c r="N980" i="8"/>
  <c r="G499" i="6"/>
  <c r="Q485" i="6"/>
  <c r="M195" i="7"/>
  <c r="N379" i="7"/>
  <c r="O379" i="7" s="1"/>
  <c r="J318" i="7"/>
  <c r="J314" i="7" s="1"/>
  <c r="J161" i="7"/>
  <c r="J159" i="7" s="1"/>
  <c r="J157" i="7" s="1"/>
  <c r="K278" i="7"/>
  <c r="K275" i="7" s="1"/>
  <c r="K273" i="7" s="1"/>
  <c r="N840" i="8"/>
  <c r="K458" i="7"/>
  <c r="S642" i="6"/>
  <c r="N227" i="7"/>
  <c r="O227" i="7" s="1"/>
  <c r="P254" i="10"/>
  <c r="O254" i="10"/>
  <c r="K20" i="7"/>
  <c r="M1067" i="10"/>
  <c r="M1065" i="10" s="1"/>
  <c r="M1064" i="10" s="1"/>
  <c r="M549" i="9"/>
  <c r="M653" i="8"/>
  <c r="M88" i="7"/>
  <c r="M114" i="7"/>
  <c r="M112" i="7" s="1"/>
  <c r="M292" i="8"/>
  <c r="N292" i="8" s="1"/>
  <c r="P292" i="8" s="1"/>
  <c r="O732" i="9"/>
  <c r="P732" i="9"/>
  <c r="O525" i="9"/>
  <c r="P525" i="9"/>
  <c r="T569" i="5"/>
  <c r="T566" i="5"/>
  <c r="R566" i="5"/>
  <c r="Q566" i="5"/>
  <c r="N565" i="5"/>
  <c r="N564" i="5" s="1"/>
  <c r="N563" i="5" s="1"/>
  <c r="N562" i="5" s="1"/>
  <c r="N561" i="5" s="1"/>
  <c r="O561" i="5" s="1"/>
  <c r="T561" i="5" s="1"/>
  <c r="K564" i="5"/>
  <c r="K562" i="5" s="1"/>
  <c r="K561" i="5" s="1"/>
  <c r="J564" i="5"/>
  <c r="J562" i="5" s="1"/>
  <c r="P563" i="5"/>
  <c r="T560" i="5"/>
  <c r="S560" i="5"/>
  <c r="Q560" i="5"/>
  <c r="T559" i="5"/>
  <c r="Q559" i="5"/>
  <c r="T558" i="5"/>
  <c r="S558" i="5"/>
  <c r="Q558" i="5"/>
  <c r="T557" i="5"/>
  <c r="Q557" i="5"/>
  <c r="T556" i="5"/>
  <c r="S556" i="5"/>
  <c r="Q556" i="5"/>
  <c r="T555" i="5"/>
  <c r="Q555" i="5"/>
  <c r="T554" i="5"/>
  <c r="Q554" i="5"/>
  <c r="T553" i="5"/>
  <c r="S553" i="5"/>
  <c r="Q553" i="5"/>
  <c r="T552" i="5"/>
  <c r="Q552" i="5"/>
  <c r="T551" i="5"/>
  <c r="S551" i="5"/>
  <c r="Q551" i="5"/>
  <c r="T550" i="5"/>
  <c r="Q550" i="5"/>
  <c r="T549" i="5"/>
  <c r="Q549" i="5"/>
  <c r="T548" i="5"/>
  <c r="Q548" i="5"/>
  <c r="T547" i="5"/>
  <c r="S547" i="5"/>
  <c r="Q547" i="5"/>
  <c r="T546" i="5"/>
  <c r="Q546" i="5"/>
  <c r="T545" i="5"/>
  <c r="Q545" i="5"/>
  <c r="T544" i="5"/>
  <c r="S544" i="5"/>
  <c r="Q544" i="5"/>
  <c r="T543" i="5"/>
  <c r="Q543" i="5"/>
  <c r="T542" i="5"/>
  <c r="Q542" i="5"/>
  <c r="T541" i="5"/>
  <c r="Q541" i="5"/>
  <c r="T540" i="5"/>
  <c r="Q540" i="5"/>
  <c r="T539" i="5"/>
  <c r="S539" i="5"/>
  <c r="Q539" i="5"/>
  <c r="T538" i="5"/>
  <c r="Q538" i="5"/>
  <c r="T537" i="5"/>
  <c r="Q537" i="5"/>
  <c r="T536" i="5"/>
  <c r="Q536" i="5"/>
  <c r="T535" i="5"/>
  <c r="Q535" i="5"/>
  <c r="T534" i="5"/>
  <c r="S534" i="5"/>
  <c r="Q534" i="5"/>
  <c r="T533" i="5"/>
  <c r="Q533" i="5"/>
  <c r="T532" i="5"/>
  <c r="Q532" i="5"/>
  <c r="T531" i="5"/>
  <c r="S531" i="5"/>
  <c r="Q531" i="5"/>
  <c r="T530" i="5"/>
  <c r="S530" i="5"/>
  <c r="Q530" i="5"/>
  <c r="T529" i="5"/>
  <c r="Q529" i="5"/>
  <c r="T528" i="5"/>
  <c r="S528" i="5"/>
  <c r="Q528" i="5"/>
  <c r="T527" i="5"/>
  <c r="Q527" i="5"/>
  <c r="T526" i="5"/>
  <c r="Q526" i="5"/>
  <c r="T525" i="5"/>
  <c r="Q525" i="5"/>
  <c r="T524" i="5"/>
  <c r="Q524" i="5"/>
  <c r="T523" i="5"/>
  <c r="Q523" i="5"/>
  <c r="T522" i="5"/>
  <c r="S522" i="5"/>
  <c r="Q522" i="5"/>
  <c r="T521" i="5"/>
  <c r="Q521" i="5"/>
  <c r="T520" i="5"/>
  <c r="Q520" i="5"/>
  <c r="T519" i="5"/>
  <c r="Q519" i="5"/>
  <c r="T518" i="5"/>
  <c r="Q518" i="5"/>
  <c r="T517" i="5"/>
  <c r="Q517" i="5"/>
  <c r="T516" i="5"/>
  <c r="S516" i="5"/>
  <c r="S615" i="5" s="1"/>
  <c r="Q516" i="5"/>
  <c r="T515" i="5"/>
  <c r="Q515" i="5"/>
  <c r="T514" i="5"/>
  <c r="Q514" i="5"/>
  <c r="T513" i="5"/>
  <c r="S513" i="5"/>
  <c r="Q513" i="5"/>
  <c r="T512" i="5"/>
  <c r="Q512" i="5"/>
  <c r="T511" i="5"/>
  <c r="S511" i="5"/>
  <c r="Q511" i="5"/>
  <c r="T510" i="5"/>
  <c r="Q510" i="5"/>
  <c r="T509" i="5"/>
  <c r="Q509" i="5"/>
  <c r="T508" i="5"/>
  <c r="S508" i="5"/>
  <c r="S630" i="5" s="1"/>
  <c r="Q508" i="5"/>
  <c r="T507" i="5"/>
  <c r="Q507" i="5"/>
  <c r="T506" i="5"/>
  <c r="Q506" i="5"/>
  <c r="T505" i="5"/>
  <c r="S505" i="5"/>
  <c r="Q505" i="5"/>
  <c r="T504" i="5"/>
  <c r="Q504" i="5"/>
  <c r="T503" i="5"/>
  <c r="Q503" i="5"/>
  <c r="T502" i="5"/>
  <c r="S502" i="5"/>
  <c r="S632" i="5" s="1"/>
  <c r="Q502" i="5"/>
  <c r="T501" i="5"/>
  <c r="Q501" i="5"/>
  <c r="K501" i="5"/>
  <c r="T500" i="5"/>
  <c r="Q500" i="5"/>
  <c r="T499" i="5"/>
  <c r="S499" i="5"/>
  <c r="Q499" i="5"/>
  <c r="T498" i="5"/>
  <c r="Q498" i="5"/>
  <c r="T497" i="5"/>
  <c r="Q497" i="5"/>
  <c r="T496" i="5"/>
  <c r="Q496" i="5"/>
  <c r="T495" i="5"/>
  <c r="Q495" i="5"/>
  <c r="K495" i="5"/>
  <c r="T494" i="5"/>
  <c r="Q494" i="5"/>
  <c r="T493" i="5"/>
  <c r="S493" i="5"/>
  <c r="Q493" i="5"/>
  <c r="T492" i="5"/>
  <c r="Q492" i="5"/>
  <c r="K492" i="5"/>
  <c r="T491" i="5"/>
  <c r="R491" i="5"/>
  <c r="Q491" i="5"/>
  <c r="T490" i="5"/>
  <c r="R490" i="5"/>
  <c r="R600" i="5" s="1"/>
  <c r="Q490" i="5"/>
  <c r="T489" i="5"/>
  <c r="R489" i="5"/>
  <c r="Q489" i="5"/>
  <c r="K489" i="5"/>
  <c r="J489" i="5"/>
  <c r="T488" i="5"/>
  <c r="R488" i="5"/>
  <c r="Q488" i="5"/>
  <c r="T487" i="5"/>
  <c r="R487" i="5"/>
  <c r="R621" i="5" s="1"/>
  <c r="Q487" i="5"/>
  <c r="T486" i="5"/>
  <c r="R486" i="5"/>
  <c r="Q486" i="5"/>
  <c r="N485" i="5"/>
  <c r="N484" i="5" s="1"/>
  <c r="N470" i="5" s="1"/>
  <c r="N469" i="5" s="1"/>
  <c r="L485" i="5"/>
  <c r="L484" i="5" s="1"/>
  <c r="T483" i="5"/>
  <c r="T482" i="5"/>
  <c r="S482" i="5"/>
  <c r="Q482" i="5"/>
  <c r="H482" i="5"/>
  <c r="T481" i="5"/>
  <c r="S481" i="5"/>
  <c r="Q481" i="5"/>
  <c r="H481" i="5"/>
  <c r="T480" i="5"/>
  <c r="S480" i="5"/>
  <c r="Q480" i="5"/>
  <c r="H480" i="5"/>
  <c r="T479" i="5"/>
  <c r="S479" i="5"/>
  <c r="Q479" i="5"/>
  <c r="H479" i="5"/>
  <c r="T478" i="5"/>
  <c r="S478" i="5"/>
  <c r="Q478" i="5"/>
  <c r="H478" i="5"/>
  <c r="T477" i="5"/>
  <c r="S477" i="5"/>
  <c r="Q477" i="5"/>
  <c r="H477" i="5"/>
  <c r="T476" i="5"/>
  <c r="S476" i="5"/>
  <c r="Q476" i="5"/>
  <c r="H476" i="5"/>
  <c r="T475" i="5"/>
  <c r="S475" i="5"/>
  <c r="Q475" i="5"/>
  <c r="H475" i="5"/>
  <c r="T474" i="5"/>
  <c r="S474" i="5"/>
  <c r="Q474" i="5"/>
  <c r="H474" i="5"/>
  <c r="T473" i="5"/>
  <c r="S473" i="5"/>
  <c r="R473" i="5"/>
  <c r="Q473" i="5"/>
  <c r="H473" i="5"/>
  <c r="R472" i="5"/>
  <c r="Q472" i="5"/>
  <c r="O472" i="5"/>
  <c r="O645" i="5" s="1"/>
  <c r="R645" i="5" s="1"/>
  <c r="R644" i="5" s="1"/>
  <c r="K472" i="5"/>
  <c r="K470" i="5" s="1"/>
  <c r="K469" i="5" s="1"/>
  <c r="T471" i="5"/>
  <c r="S471" i="5"/>
  <c r="R471" i="5"/>
  <c r="Q471" i="5"/>
  <c r="P470" i="5"/>
  <c r="M470" i="5"/>
  <c r="J470" i="5"/>
  <c r="J469" i="5" s="1"/>
  <c r="T468" i="5"/>
  <c r="T467" i="5"/>
  <c r="S467" i="5"/>
  <c r="S636" i="5" s="1"/>
  <c r="Q467" i="5"/>
  <c r="T466" i="5"/>
  <c r="R466" i="5"/>
  <c r="Q466" i="5"/>
  <c r="T465" i="5"/>
  <c r="R465" i="5"/>
  <c r="Q465" i="5"/>
  <c r="N464" i="5"/>
  <c r="O464" i="5" s="1"/>
  <c r="T464" i="5" s="1"/>
  <c r="L464" i="5"/>
  <c r="K464" i="5"/>
  <c r="J464" i="5"/>
  <c r="T463" i="5"/>
  <c r="T462" i="5"/>
  <c r="S462" i="5"/>
  <c r="R462" i="5"/>
  <c r="Q462" i="5"/>
  <c r="H462" i="5"/>
  <c r="T461" i="5"/>
  <c r="S461" i="5"/>
  <c r="R461" i="5"/>
  <c r="Q461" i="5"/>
  <c r="H461" i="5"/>
  <c r="T460" i="5"/>
  <c r="S460" i="5"/>
  <c r="S598" i="5" s="1"/>
  <c r="R460" i="5"/>
  <c r="R598" i="5" s="1"/>
  <c r="Q460" i="5"/>
  <c r="H460" i="5"/>
  <c r="O459" i="5"/>
  <c r="T459" i="5" s="1"/>
  <c r="N459" i="5"/>
  <c r="L459" i="5"/>
  <c r="K459" i="5"/>
  <c r="J459" i="5"/>
  <c r="T457" i="5"/>
  <c r="R457" i="5"/>
  <c r="R627" i="5" s="1"/>
  <c r="Q457" i="5"/>
  <c r="H457" i="5"/>
  <c r="T456" i="5"/>
  <c r="S456" i="5"/>
  <c r="R456" i="5"/>
  <c r="Q456" i="5"/>
  <c r="H456" i="5"/>
  <c r="T455" i="5"/>
  <c r="S455" i="5"/>
  <c r="R455" i="5"/>
  <c r="R597" i="5" s="1"/>
  <c r="Q455" i="5"/>
  <c r="H455" i="5"/>
  <c r="T454" i="5"/>
  <c r="S454" i="5"/>
  <c r="R454" i="5"/>
  <c r="Q454" i="5"/>
  <c r="H454" i="5"/>
  <c r="N453" i="5"/>
  <c r="O453" i="5" s="1"/>
  <c r="T453" i="5" s="1"/>
  <c r="L453" i="5"/>
  <c r="K453" i="5"/>
  <c r="J453" i="5"/>
  <c r="T451" i="5"/>
  <c r="S451" i="5"/>
  <c r="R451" i="5"/>
  <c r="R608" i="5" s="1"/>
  <c r="Q451" i="5"/>
  <c r="K450" i="5"/>
  <c r="J450" i="5"/>
  <c r="J432" i="5"/>
  <c r="T449" i="5"/>
  <c r="R449" i="5"/>
  <c r="Q449" i="5"/>
  <c r="T448" i="5"/>
  <c r="S448" i="5"/>
  <c r="R448" i="5"/>
  <c r="Q448" i="5"/>
  <c r="N447" i="5"/>
  <c r="O447" i="5" s="1"/>
  <c r="T447" i="5" s="1"/>
  <c r="L447" i="5"/>
  <c r="Q447" i="5" s="1"/>
  <c r="K447" i="5"/>
  <c r="T446" i="5"/>
  <c r="R446" i="5"/>
  <c r="Q446" i="5"/>
  <c r="S445" i="5"/>
  <c r="S444" i="5" s="1"/>
  <c r="S613" i="5" s="1"/>
  <c r="T443" i="5"/>
  <c r="R443" i="5"/>
  <c r="Q443" i="5"/>
  <c r="S442" i="5"/>
  <c r="T440" i="5"/>
  <c r="R440" i="5"/>
  <c r="Q440" i="5"/>
  <c r="T437" i="5"/>
  <c r="R437" i="5"/>
  <c r="Q437" i="5"/>
  <c r="S436" i="5"/>
  <c r="S434" i="5"/>
  <c r="T433" i="5"/>
  <c r="S433" i="5"/>
  <c r="R433" i="5"/>
  <c r="Q433" i="5"/>
  <c r="T430" i="5"/>
  <c r="T427" i="5"/>
  <c r="K425" i="5"/>
  <c r="J425" i="5"/>
  <c r="J417" i="5"/>
  <c r="H425" i="5"/>
  <c r="T422" i="5"/>
  <c r="R422" i="5"/>
  <c r="Q422" i="5"/>
  <c r="H422" i="5"/>
  <c r="T421" i="5"/>
  <c r="R421" i="5"/>
  <c r="Q421" i="5"/>
  <c r="H421" i="5"/>
  <c r="T420" i="5"/>
  <c r="R420" i="5"/>
  <c r="Q420" i="5"/>
  <c r="H420" i="5"/>
  <c r="T419" i="5"/>
  <c r="R419" i="5"/>
  <c r="Q419" i="5"/>
  <c r="H419" i="5"/>
  <c r="T418" i="5"/>
  <c r="R418" i="5"/>
  <c r="Q418" i="5"/>
  <c r="H418" i="5"/>
  <c r="O417" i="5"/>
  <c r="T417" i="5" s="1"/>
  <c r="N417" i="5"/>
  <c r="L417" i="5"/>
  <c r="R417" i="5" s="1"/>
  <c r="K417" i="5"/>
  <c r="K416" i="5" s="1"/>
  <c r="K415" i="5" s="1"/>
  <c r="H417" i="5"/>
  <c r="P416" i="5"/>
  <c r="P415" i="5" s="1"/>
  <c r="G416" i="5"/>
  <c r="F415" i="5"/>
  <c r="T414" i="5"/>
  <c r="T413" i="5"/>
  <c r="R413" i="5"/>
  <c r="Q413" i="5"/>
  <c r="H413" i="5"/>
  <c r="T412" i="5"/>
  <c r="R412" i="5"/>
  <c r="Q412" i="5"/>
  <c r="H412" i="5"/>
  <c r="P411" i="5"/>
  <c r="O411" i="5"/>
  <c r="N411" i="5"/>
  <c r="N410" i="5" s="1"/>
  <c r="L411" i="5"/>
  <c r="G411" i="5"/>
  <c r="K410" i="5"/>
  <c r="J410" i="5"/>
  <c r="F410" i="5"/>
  <c r="Q409" i="5"/>
  <c r="N409" i="5"/>
  <c r="N405" i="5" s="1"/>
  <c r="T408" i="5"/>
  <c r="R408" i="5"/>
  <c r="Q408" i="5"/>
  <c r="H408" i="5"/>
  <c r="T407" i="5"/>
  <c r="R407" i="5"/>
  <c r="Q407" i="5"/>
  <c r="H407" i="5"/>
  <c r="T406" i="5"/>
  <c r="R406" i="5"/>
  <c r="Q406" i="5"/>
  <c r="H406" i="5"/>
  <c r="P405" i="5"/>
  <c r="L405" i="5"/>
  <c r="K405" i="5"/>
  <c r="J405" i="5"/>
  <c r="K58" i="24" s="1"/>
  <c r="G405" i="5"/>
  <c r="T404" i="5"/>
  <c r="R404" i="5"/>
  <c r="Q404" i="5"/>
  <c r="H404" i="5"/>
  <c r="H403" i="5"/>
  <c r="T402" i="5"/>
  <c r="R402" i="5"/>
  <c r="Q402" i="5"/>
  <c r="H402" i="5"/>
  <c r="T401" i="5"/>
  <c r="Q401" i="5"/>
  <c r="H401" i="5"/>
  <c r="T400" i="5"/>
  <c r="R400" i="5"/>
  <c r="Q400" i="5"/>
  <c r="H400" i="5"/>
  <c r="P399" i="5"/>
  <c r="K399" i="5"/>
  <c r="J399" i="5"/>
  <c r="G399" i="5"/>
  <c r="F398" i="5"/>
  <c r="T396" i="5"/>
  <c r="N395" i="5"/>
  <c r="N394" i="5"/>
  <c r="O394" i="5" s="1"/>
  <c r="T394" i="5" s="1"/>
  <c r="L394" i="5"/>
  <c r="Q394" i="5" s="1"/>
  <c r="N393" i="5"/>
  <c r="O393" i="5" s="1"/>
  <c r="T393" i="5" s="1"/>
  <c r="L393" i="5"/>
  <c r="N392" i="5"/>
  <c r="O392" i="5" s="1"/>
  <c r="T392" i="5" s="1"/>
  <c r="L392" i="5"/>
  <c r="T391" i="5"/>
  <c r="Q391" i="5"/>
  <c r="T390" i="5"/>
  <c r="Q390" i="5"/>
  <c r="T389" i="5"/>
  <c r="T388" i="5"/>
  <c r="R388" i="5"/>
  <c r="Q388" i="5"/>
  <c r="S387" i="5"/>
  <c r="T385" i="5"/>
  <c r="G384" i="5"/>
  <c r="G383" i="5"/>
  <c r="G382" i="5"/>
  <c r="S381" i="5"/>
  <c r="K381" i="5"/>
  <c r="J381" i="5"/>
  <c r="T379" i="5"/>
  <c r="T378" i="5"/>
  <c r="R378" i="5"/>
  <c r="Q378" i="5"/>
  <c r="T377" i="5"/>
  <c r="R377" i="5"/>
  <c r="Q377" i="5"/>
  <c r="H377" i="5"/>
  <c r="T376" i="5"/>
  <c r="R376" i="5"/>
  <c r="Q376" i="5"/>
  <c r="T375" i="5"/>
  <c r="R375" i="5"/>
  <c r="Q375" i="5"/>
  <c r="T374" i="5"/>
  <c r="R374" i="5"/>
  <c r="Q374" i="5"/>
  <c r="P373" i="5"/>
  <c r="O373" i="5"/>
  <c r="N373" i="5"/>
  <c r="N372" i="5" s="1"/>
  <c r="M373" i="5"/>
  <c r="M372" i="5" s="1"/>
  <c r="L373" i="5"/>
  <c r="M56" i="11" s="1"/>
  <c r="K373" i="5"/>
  <c r="L56" i="20" s="1"/>
  <c r="J373" i="5"/>
  <c r="K56" i="11" s="1"/>
  <c r="S372" i="5"/>
  <c r="F372" i="5"/>
  <c r="T370" i="5"/>
  <c r="T369" i="5"/>
  <c r="R369" i="5"/>
  <c r="Q369" i="5"/>
  <c r="T368" i="5"/>
  <c r="R368" i="5"/>
  <c r="Q368" i="5"/>
  <c r="S367" i="5"/>
  <c r="O367" i="5"/>
  <c r="T367" i="5" s="1"/>
  <c r="N367" i="5"/>
  <c r="N365" i="5" s="1"/>
  <c r="O365" i="5" s="1"/>
  <c r="L367" i="5"/>
  <c r="T366" i="5"/>
  <c r="S366" i="5"/>
  <c r="R366" i="5"/>
  <c r="Q366" i="5"/>
  <c r="K365" i="5"/>
  <c r="L54" i="18" s="1"/>
  <c r="J365" i="5"/>
  <c r="T364" i="5"/>
  <c r="Q364" i="5"/>
  <c r="G361" i="5"/>
  <c r="G360" i="5"/>
  <c r="G359" i="5"/>
  <c r="G358" i="5"/>
  <c r="G357" i="5"/>
  <c r="G356" i="5"/>
  <c r="N355" i="5"/>
  <c r="G355" i="5"/>
  <c r="G354" i="5"/>
  <c r="T353" i="5"/>
  <c r="Q353" i="5"/>
  <c r="T352" i="5"/>
  <c r="Q352" i="5"/>
  <c r="T351" i="5"/>
  <c r="Q351" i="5"/>
  <c r="T350" i="5"/>
  <c r="Q350" i="5"/>
  <c r="T349" i="5"/>
  <c r="Q349" i="5"/>
  <c r="T348" i="5"/>
  <c r="Q348" i="5"/>
  <c r="T347" i="5"/>
  <c r="Q347" i="5"/>
  <c r="T346" i="5"/>
  <c r="Q346" i="5"/>
  <c r="T345" i="5"/>
  <c r="Q345" i="5"/>
  <c r="T344" i="5"/>
  <c r="Q344" i="5"/>
  <c r="T343" i="5"/>
  <c r="Q343" i="5"/>
  <c r="T342" i="5"/>
  <c r="Q342" i="5"/>
  <c r="T341" i="5"/>
  <c r="Q341" i="5"/>
  <c r="T340" i="5"/>
  <c r="Q340" i="5"/>
  <c r="T339" i="5"/>
  <c r="Q339" i="5"/>
  <c r="T338" i="5"/>
  <c r="Q338" i="5"/>
  <c r="T337" i="5"/>
  <c r="Q337" i="5"/>
  <c r="T336" i="5"/>
  <c r="Q336" i="5"/>
  <c r="T335" i="5"/>
  <c r="Q335" i="5"/>
  <c r="T334" i="5"/>
  <c r="Q334" i="5"/>
  <c r="T333" i="5"/>
  <c r="Q333" i="5"/>
  <c r="T332" i="5"/>
  <c r="Q332" i="5"/>
  <c r="T331" i="5"/>
  <c r="Q331" i="5"/>
  <c r="T330" i="5"/>
  <c r="Q330" i="5"/>
  <c r="T329" i="5"/>
  <c r="Q329" i="5"/>
  <c r="T328" i="5"/>
  <c r="Q328" i="5"/>
  <c r="T327" i="5"/>
  <c r="Q327" i="5"/>
  <c r="T326" i="5"/>
  <c r="Q326" i="5"/>
  <c r="T325" i="5"/>
  <c r="Q325" i="5"/>
  <c r="T324" i="5"/>
  <c r="Q324" i="5"/>
  <c r="T323" i="5"/>
  <c r="Q323" i="5"/>
  <c r="T322" i="5"/>
  <c r="Q322" i="5"/>
  <c r="T321" i="5"/>
  <c r="Q321" i="5"/>
  <c r="T320" i="5"/>
  <c r="Q320" i="5"/>
  <c r="T319" i="5"/>
  <c r="S319" i="5"/>
  <c r="Q319" i="5"/>
  <c r="T318" i="5"/>
  <c r="Q318" i="5"/>
  <c r="T317" i="5"/>
  <c r="Q317" i="5"/>
  <c r="T316" i="5"/>
  <c r="Q316" i="5"/>
  <c r="T315" i="5"/>
  <c r="Q315" i="5"/>
  <c r="T314" i="5"/>
  <c r="R314" i="5"/>
  <c r="Q314" i="5"/>
  <c r="T312" i="5"/>
  <c r="G312" i="5"/>
  <c r="G311" i="5"/>
  <c r="T310" i="5"/>
  <c r="R310" i="5"/>
  <c r="Q310" i="5"/>
  <c r="G310" i="5"/>
  <c r="L309" i="5"/>
  <c r="Q309" i="5" s="1"/>
  <c r="K309" i="5"/>
  <c r="K296" i="5" s="1"/>
  <c r="L52" i="24" s="1"/>
  <c r="J309" i="5"/>
  <c r="J296" i="5" s="1"/>
  <c r="K52" i="31" s="1"/>
  <c r="S308" i="5"/>
  <c r="L308" i="5"/>
  <c r="L305" i="5" s="1"/>
  <c r="Q305" i="5" s="1"/>
  <c r="T307" i="5"/>
  <c r="R307" i="5"/>
  <c r="Q307" i="5"/>
  <c r="T306" i="5"/>
  <c r="R306" i="5"/>
  <c r="Q306" i="5"/>
  <c r="S304" i="5"/>
  <c r="L304" i="5"/>
  <c r="Q304" i="5" s="1"/>
  <c r="T303" i="5"/>
  <c r="R303" i="5"/>
  <c r="Q303" i="5"/>
  <c r="T302" i="5"/>
  <c r="Q302" i="5"/>
  <c r="T301" i="5"/>
  <c r="P301" i="5"/>
  <c r="P296" i="5" s="1"/>
  <c r="T300" i="5"/>
  <c r="R300" i="5"/>
  <c r="Q300" i="5"/>
  <c r="T299" i="5"/>
  <c r="R299" i="5"/>
  <c r="Q299" i="5"/>
  <c r="T298" i="5"/>
  <c r="R298" i="5"/>
  <c r="Q298" i="5"/>
  <c r="T297" i="5"/>
  <c r="Q297" i="5"/>
  <c r="M296" i="5"/>
  <c r="T295" i="5"/>
  <c r="T294" i="5"/>
  <c r="S294" i="5"/>
  <c r="Q294" i="5"/>
  <c r="K294" i="5"/>
  <c r="J294" i="5"/>
  <c r="N293" i="5"/>
  <c r="M51" i="11" s="1"/>
  <c r="L293" i="5"/>
  <c r="K293" i="5"/>
  <c r="J293" i="5"/>
  <c r="T292" i="5"/>
  <c r="T291" i="5"/>
  <c r="R291" i="5"/>
  <c r="Q291" i="5"/>
  <c r="T290" i="5"/>
  <c r="R290" i="5"/>
  <c r="Q290" i="5"/>
  <c r="T289" i="5"/>
  <c r="R289" i="5"/>
  <c r="Q289" i="5"/>
  <c r="P288" i="5"/>
  <c r="L288" i="5"/>
  <c r="O288" i="5"/>
  <c r="N288" i="5"/>
  <c r="M288" i="5"/>
  <c r="K288" i="5"/>
  <c r="J288" i="5"/>
  <c r="T287" i="5"/>
  <c r="Q287" i="5"/>
  <c r="H287" i="5"/>
  <c r="T286" i="5"/>
  <c r="Q286" i="5"/>
  <c r="H286" i="5"/>
  <c r="T285" i="5"/>
  <c r="Q285" i="5"/>
  <c r="H285" i="5"/>
  <c r="T284" i="5"/>
  <c r="Q284" i="5"/>
  <c r="H284" i="5"/>
  <c r="T283" i="5"/>
  <c r="Q283" i="5"/>
  <c r="H283" i="5"/>
  <c r="T282" i="5"/>
  <c r="Q282" i="5"/>
  <c r="H282" i="5"/>
  <c r="T281" i="5"/>
  <c r="Q281" i="5"/>
  <c r="H281" i="5"/>
  <c r="T280" i="5"/>
  <c r="Q280" i="5"/>
  <c r="H280" i="5"/>
  <c r="T279" i="5"/>
  <c r="Q279" i="5"/>
  <c r="H279" i="5"/>
  <c r="T278" i="5"/>
  <c r="Q278" i="5"/>
  <c r="H278" i="5"/>
  <c r="R277" i="5"/>
  <c r="Q277" i="5"/>
  <c r="O277" i="5"/>
  <c r="T277" i="5" s="1"/>
  <c r="K277" i="5"/>
  <c r="K265" i="5" s="1"/>
  <c r="T276" i="5"/>
  <c r="Q276" i="5"/>
  <c r="H276" i="5"/>
  <c r="T275" i="5"/>
  <c r="Q275" i="5"/>
  <c r="H275" i="5"/>
  <c r="T274" i="5"/>
  <c r="Q274" i="5"/>
  <c r="H274" i="5"/>
  <c r="T273" i="5"/>
  <c r="Q273" i="5"/>
  <c r="H273" i="5"/>
  <c r="T272" i="5"/>
  <c r="Q272" i="5"/>
  <c r="H272" i="5"/>
  <c r="T271" i="5"/>
  <c r="Q271" i="5"/>
  <c r="H271" i="5"/>
  <c r="T270" i="5"/>
  <c r="Q270" i="5"/>
  <c r="H270" i="5"/>
  <c r="T269" i="5"/>
  <c r="Q269" i="5"/>
  <c r="H269" i="5"/>
  <c r="T268" i="5"/>
  <c r="Q268" i="5"/>
  <c r="H268" i="5"/>
  <c r="T267" i="5"/>
  <c r="Q267" i="5"/>
  <c r="H267" i="5"/>
  <c r="T266" i="5"/>
  <c r="R266" i="5"/>
  <c r="Q266" i="5"/>
  <c r="P265" i="5"/>
  <c r="O49" i="11" s="1"/>
  <c r="N265" i="5"/>
  <c r="M265" i="5"/>
  <c r="L265" i="5"/>
  <c r="J265" i="5"/>
  <c r="T264" i="5"/>
  <c r="T263" i="5"/>
  <c r="Q263" i="5"/>
  <c r="T262" i="5"/>
  <c r="Q262" i="5"/>
  <c r="T261" i="5"/>
  <c r="Q261" i="5"/>
  <c r="T260" i="5"/>
  <c r="Q260" i="5"/>
  <c r="T259" i="5"/>
  <c r="Q259" i="5"/>
  <c r="T258" i="5"/>
  <c r="Q258" i="5"/>
  <c r="T257" i="5"/>
  <c r="Q257" i="5"/>
  <c r="T256" i="5"/>
  <c r="Q256" i="5"/>
  <c r="T255" i="5"/>
  <c r="Q255" i="5"/>
  <c r="T254" i="5"/>
  <c r="Q254" i="5"/>
  <c r="T253" i="5"/>
  <c r="Q253" i="5"/>
  <c r="T252" i="5"/>
  <c r="Q252" i="5"/>
  <c r="T251" i="5"/>
  <c r="Q251" i="5"/>
  <c r="T250" i="5"/>
  <c r="Q250" i="5"/>
  <c r="T249" i="5"/>
  <c r="Q249" i="5"/>
  <c r="T248" i="5"/>
  <c r="P248" i="5"/>
  <c r="Q248" i="5" s="1"/>
  <c r="K248" i="5"/>
  <c r="K247" i="5" s="1"/>
  <c r="O247" i="5"/>
  <c r="N247" i="5"/>
  <c r="M247" i="5"/>
  <c r="L247" i="5"/>
  <c r="M47" i="31" s="1"/>
  <c r="T246" i="5"/>
  <c r="T245" i="5"/>
  <c r="R245" i="5"/>
  <c r="Q245" i="5"/>
  <c r="T244" i="5"/>
  <c r="R244" i="5"/>
  <c r="Q244" i="5"/>
  <c r="P243" i="5"/>
  <c r="O47" i="20" s="1"/>
  <c r="O243" i="5"/>
  <c r="N243" i="5"/>
  <c r="M243" i="5"/>
  <c r="L243" i="5"/>
  <c r="M48" i="28" s="1"/>
  <c r="K243" i="5"/>
  <c r="L46" i="31" s="1"/>
  <c r="J243" i="5"/>
  <c r="O242" i="5"/>
  <c r="T242" i="5" s="1"/>
  <c r="T241" i="5"/>
  <c r="R241" i="5"/>
  <c r="Q241" i="5"/>
  <c r="P240" i="5"/>
  <c r="O240" i="5"/>
  <c r="N45" i="31" s="1"/>
  <c r="N240" i="5"/>
  <c r="M240" i="5"/>
  <c r="L240" i="5"/>
  <c r="K240" i="5"/>
  <c r="L46" i="20" s="1"/>
  <c r="J240" i="5"/>
  <c r="K45" i="24" s="1"/>
  <c r="T239" i="5"/>
  <c r="T238" i="5"/>
  <c r="T237" i="5"/>
  <c r="R237" i="5"/>
  <c r="Q237" i="5"/>
  <c r="T236" i="5"/>
  <c r="P236" i="5"/>
  <c r="T235" i="5"/>
  <c r="Q235" i="5"/>
  <c r="O234" i="5"/>
  <c r="N234" i="5"/>
  <c r="M234" i="5"/>
  <c r="L234" i="5"/>
  <c r="K234" i="5"/>
  <c r="L44" i="31" s="1"/>
  <c r="J234" i="5"/>
  <c r="T233" i="5"/>
  <c r="T232" i="5"/>
  <c r="R232" i="5"/>
  <c r="Q232" i="5"/>
  <c r="F232" i="5"/>
  <c r="T231" i="5"/>
  <c r="Q231" i="5"/>
  <c r="F231" i="5"/>
  <c r="T230" i="5"/>
  <c r="Q230" i="5"/>
  <c r="F230" i="5"/>
  <c r="T229" i="5"/>
  <c r="R229" i="5"/>
  <c r="Q229" i="5"/>
  <c r="F229" i="5"/>
  <c r="T228" i="5"/>
  <c r="S228" i="5"/>
  <c r="Q228" i="5"/>
  <c r="F228" i="5"/>
  <c r="P227" i="5"/>
  <c r="O44" i="20" s="1"/>
  <c r="N227" i="5"/>
  <c r="O227" i="5" s="1"/>
  <c r="L227" i="5"/>
  <c r="K227" i="5"/>
  <c r="L43" i="24" s="1"/>
  <c r="J227" i="5"/>
  <c r="T225" i="5"/>
  <c r="T224" i="5"/>
  <c r="R224" i="5"/>
  <c r="Q224" i="5"/>
  <c r="P41" i="11" s="1"/>
  <c r="T223" i="5"/>
  <c r="R223" i="5"/>
  <c r="Q223" i="5"/>
  <c r="T222" i="5"/>
  <c r="R222" i="5"/>
  <c r="Q222" i="5"/>
  <c r="P40" i="11" s="1"/>
  <c r="G222" i="5"/>
  <c r="T221" i="5"/>
  <c r="R221" i="5"/>
  <c r="Q221" i="5"/>
  <c r="P39" i="11" s="1"/>
  <c r="P33" i="11" s="1"/>
  <c r="P32" i="11" s="1"/>
  <c r="G221" i="5"/>
  <c r="T220" i="5"/>
  <c r="Q220" i="5"/>
  <c r="P38" i="11" s="1"/>
  <c r="G220" i="5"/>
  <c r="T219" i="5"/>
  <c r="R219" i="5"/>
  <c r="Q219" i="5"/>
  <c r="P37" i="11" s="1"/>
  <c r="G219" i="5"/>
  <c r="T218" i="5"/>
  <c r="R218" i="5"/>
  <c r="Q218" i="5"/>
  <c r="P36" i="11" s="1"/>
  <c r="G218" i="5"/>
  <c r="T217" i="5"/>
  <c r="R217" i="5"/>
  <c r="Q217" i="5"/>
  <c r="P34" i="11" s="1"/>
  <c r="G217" i="5"/>
  <c r="T216" i="5"/>
  <c r="R216" i="5"/>
  <c r="Q216" i="5"/>
  <c r="P35" i="11" s="1"/>
  <c r="G216" i="5"/>
  <c r="N215" i="5"/>
  <c r="L215" i="5"/>
  <c r="K215" i="5"/>
  <c r="K214" i="5" s="1"/>
  <c r="K213" i="5" s="1"/>
  <c r="J215" i="5"/>
  <c r="J214" i="5" s="1"/>
  <c r="J213" i="5" s="1"/>
  <c r="P214" i="5"/>
  <c r="M213" i="5"/>
  <c r="I9" i="13" s="1"/>
  <c r="S211" i="5"/>
  <c r="S210" i="5" s="1"/>
  <c r="N211" i="5"/>
  <c r="N210" i="5" s="1"/>
  <c r="P210" i="5"/>
  <c r="K210" i="5"/>
  <c r="L32" i="28" s="1"/>
  <c r="J210" i="5"/>
  <c r="T209" i="5"/>
  <c r="N208" i="5"/>
  <c r="P207" i="5"/>
  <c r="K207" i="5"/>
  <c r="J207" i="5"/>
  <c r="T206" i="5"/>
  <c r="N203" i="5"/>
  <c r="P202" i="5"/>
  <c r="K202" i="5"/>
  <c r="J202" i="5"/>
  <c r="T200" i="5"/>
  <c r="T199" i="5"/>
  <c r="S199" i="5"/>
  <c r="S192" i="5" s="1"/>
  <c r="R199" i="5"/>
  <c r="Q199" i="5"/>
  <c r="H199" i="5"/>
  <c r="T198" i="5"/>
  <c r="R198" i="5"/>
  <c r="Q198" i="5"/>
  <c r="H198" i="5"/>
  <c r="T197" i="5"/>
  <c r="R197" i="5"/>
  <c r="Q197" i="5"/>
  <c r="H197" i="5"/>
  <c r="T196" i="5"/>
  <c r="Q196" i="5"/>
  <c r="H196" i="5"/>
  <c r="T195" i="5"/>
  <c r="R195" i="5"/>
  <c r="Q195" i="5"/>
  <c r="H195" i="5"/>
  <c r="T194" i="5"/>
  <c r="R194" i="5"/>
  <c r="Q194" i="5"/>
  <c r="H194" i="5"/>
  <c r="T193" i="5"/>
  <c r="R193" i="5"/>
  <c r="Q193" i="5"/>
  <c r="H193" i="5"/>
  <c r="P192" i="5"/>
  <c r="L192" i="5"/>
  <c r="O192" i="5"/>
  <c r="T192" i="5" s="1"/>
  <c r="N192" i="5"/>
  <c r="M192" i="5"/>
  <c r="K192" i="5"/>
  <c r="J192" i="5"/>
  <c r="T191" i="5"/>
  <c r="Q191" i="5"/>
  <c r="H191" i="5"/>
  <c r="T190" i="5"/>
  <c r="Q190" i="5"/>
  <c r="H190" i="5"/>
  <c r="T189" i="5"/>
  <c r="Q189" i="5"/>
  <c r="H189" i="5"/>
  <c r="T188" i="5"/>
  <c r="R188" i="5"/>
  <c r="Q188" i="5"/>
  <c r="H188" i="5"/>
  <c r="T187" i="5"/>
  <c r="R187" i="5"/>
  <c r="Q187" i="5"/>
  <c r="H187" i="5"/>
  <c r="T186" i="5"/>
  <c r="R186" i="5"/>
  <c r="Q186" i="5"/>
  <c r="H186" i="5"/>
  <c r="T185" i="5"/>
  <c r="Q185" i="5"/>
  <c r="H185" i="5"/>
  <c r="P184" i="5"/>
  <c r="O184" i="5"/>
  <c r="N184" i="5"/>
  <c r="M184" i="5"/>
  <c r="L184" i="5"/>
  <c r="K184" i="5"/>
  <c r="J184" i="5"/>
  <c r="T183" i="5"/>
  <c r="Q183" i="5"/>
  <c r="T182" i="5"/>
  <c r="Q182" i="5"/>
  <c r="T181" i="5"/>
  <c r="Q181" i="5"/>
  <c r="T180" i="5"/>
  <c r="Q180" i="5"/>
  <c r="P179" i="5"/>
  <c r="O179" i="5"/>
  <c r="T179" i="5" s="1"/>
  <c r="N179" i="5"/>
  <c r="M179" i="5"/>
  <c r="L179" i="5"/>
  <c r="K179" i="5"/>
  <c r="J179" i="5"/>
  <c r="T178" i="5"/>
  <c r="Q178" i="5"/>
  <c r="T177" i="5"/>
  <c r="Q177" i="5"/>
  <c r="T176" i="5"/>
  <c r="R176" i="5"/>
  <c r="Q176" i="5"/>
  <c r="H176" i="5"/>
  <c r="T175" i="5"/>
  <c r="Q175" i="5"/>
  <c r="H175" i="5"/>
  <c r="T174" i="5"/>
  <c r="Q174" i="5"/>
  <c r="H174" i="5"/>
  <c r="T173" i="5"/>
  <c r="R173" i="5"/>
  <c r="Q173" i="5"/>
  <c r="H173" i="5"/>
  <c r="T172" i="5"/>
  <c r="R172" i="5"/>
  <c r="Q172" i="5"/>
  <c r="H172" i="5"/>
  <c r="T171" i="5"/>
  <c r="R171" i="5"/>
  <c r="Q171" i="5"/>
  <c r="H171" i="5"/>
  <c r="T170" i="5"/>
  <c r="Q170" i="5"/>
  <c r="H170" i="5"/>
  <c r="T169" i="5"/>
  <c r="Q169" i="5"/>
  <c r="H169" i="5"/>
  <c r="T168" i="5"/>
  <c r="R168" i="5"/>
  <c r="Q168" i="5"/>
  <c r="H168" i="5"/>
  <c r="T167" i="5"/>
  <c r="R167" i="5"/>
  <c r="Q167" i="5"/>
  <c r="H167" i="5"/>
  <c r="T166" i="5"/>
  <c r="R166" i="5"/>
  <c r="Q166" i="5"/>
  <c r="H166" i="5"/>
  <c r="P165" i="5"/>
  <c r="O165" i="5"/>
  <c r="T165" i="5" s="1"/>
  <c r="N165" i="5"/>
  <c r="M165" i="5"/>
  <c r="L165" i="5"/>
  <c r="K165" i="5"/>
  <c r="J165" i="5"/>
  <c r="T164" i="5"/>
  <c r="Q164" i="5"/>
  <c r="T163" i="5"/>
  <c r="Q163" i="5"/>
  <c r="J163" i="5"/>
  <c r="T161" i="5"/>
  <c r="Q159" i="5"/>
  <c r="P159" i="5"/>
  <c r="Q158" i="5"/>
  <c r="P157" i="5"/>
  <c r="O156" i="5"/>
  <c r="N26" i="28" s="1"/>
  <c r="L156" i="5"/>
  <c r="K156" i="5"/>
  <c r="J156" i="5"/>
  <c r="T155" i="5"/>
  <c r="Q155" i="5"/>
  <c r="T154" i="5"/>
  <c r="S154" i="5"/>
  <c r="R154" i="5"/>
  <c r="Q154" i="5"/>
  <c r="T153" i="5"/>
  <c r="R153" i="5"/>
  <c r="Q153" i="5"/>
  <c r="K153" i="5"/>
  <c r="J153" i="5"/>
  <c r="T152" i="5"/>
  <c r="R152" i="5"/>
  <c r="Q152" i="5"/>
  <c r="T151" i="5"/>
  <c r="R151" i="5"/>
  <c r="Q151" i="5"/>
  <c r="K151" i="5"/>
  <c r="J151" i="5"/>
  <c r="T150" i="5"/>
  <c r="R150" i="5"/>
  <c r="Q150" i="5"/>
  <c r="H150" i="5"/>
  <c r="T149" i="5"/>
  <c r="R149" i="5"/>
  <c r="Q149" i="5"/>
  <c r="T148" i="5"/>
  <c r="S148" i="5"/>
  <c r="Q148" i="5"/>
  <c r="T147" i="5"/>
  <c r="Q147" i="5"/>
  <c r="T146" i="5"/>
  <c r="S146" i="5"/>
  <c r="R146" i="5"/>
  <c r="Q146" i="5"/>
  <c r="T145" i="5"/>
  <c r="R145" i="5"/>
  <c r="Q145" i="5"/>
  <c r="T144" i="5"/>
  <c r="R144" i="5"/>
  <c r="Q144" i="5"/>
  <c r="T143" i="5"/>
  <c r="R143" i="5"/>
  <c r="Q143" i="5"/>
  <c r="T142" i="5"/>
  <c r="R142" i="5"/>
  <c r="Q142" i="5"/>
  <c r="H142" i="5"/>
  <c r="H152" i="5" s="1"/>
  <c r="T141" i="5"/>
  <c r="R141" i="5"/>
  <c r="Q141" i="5"/>
  <c r="T140" i="5"/>
  <c r="R140" i="5"/>
  <c r="Q140" i="5"/>
  <c r="H140" i="5"/>
  <c r="T139" i="5"/>
  <c r="R139" i="5"/>
  <c r="Q139" i="5"/>
  <c r="H139" i="5"/>
  <c r="P138" i="5"/>
  <c r="P137" i="5" s="1"/>
  <c r="O23" i="11" s="1"/>
  <c r="O138" i="5"/>
  <c r="N138" i="5"/>
  <c r="N137" i="5"/>
  <c r="M138" i="5"/>
  <c r="M137" i="5" s="1"/>
  <c r="L138" i="5"/>
  <c r="K138" i="5"/>
  <c r="J138" i="5"/>
  <c r="T136" i="5"/>
  <c r="T134" i="5"/>
  <c r="S134" i="5"/>
  <c r="Q134" i="5"/>
  <c r="T133" i="5"/>
  <c r="P133" i="5"/>
  <c r="Q133" i="5" s="1"/>
  <c r="F133" i="5"/>
  <c r="T132" i="5"/>
  <c r="S132" i="5"/>
  <c r="R132" i="5"/>
  <c r="Q132" i="5"/>
  <c r="T131" i="5"/>
  <c r="L131" i="5"/>
  <c r="K131" i="5"/>
  <c r="T130" i="5"/>
  <c r="S130" i="5"/>
  <c r="Q130" i="5"/>
  <c r="T129" i="5"/>
  <c r="Q129" i="5"/>
  <c r="T128" i="5"/>
  <c r="P128" i="5"/>
  <c r="Q128" i="5" s="1"/>
  <c r="T127" i="5"/>
  <c r="S127" i="5"/>
  <c r="Q127" i="5"/>
  <c r="T126" i="5"/>
  <c r="S126" i="5"/>
  <c r="Q126" i="5"/>
  <c r="T125" i="5"/>
  <c r="S125" i="5"/>
  <c r="R125" i="5"/>
  <c r="Q125" i="5"/>
  <c r="T124" i="5"/>
  <c r="S124" i="5"/>
  <c r="Q124" i="5"/>
  <c r="T123" i="5"/>
  <c r="S123" i="5"/>
  <c r="R123" i="5"/>
  <c r="Q123" i="5"/>
  <c r="T122" i="5"/>
  <c r="S122" i="5"/>
  <c r="R122" i="5"/>
  <c r="Q122" i="5"/>
  <c r="T121" i="5"/>
  <c r="S121" i="5"/>
  <c r="R121" i="5"/>
  <c r="Q121" i="5"/>
  <c r="T120" i="5"/>
  <c r="S120" i="5"/>
  <c r="R120" i="5"/>
  <c r="Q120" i="5"/>
  <c r="T119" i="5"/>
  <c r="S119" i="5"/>
  <c r="R119" i="5"/>
  <c r="Q119" i="5"/>
  <c r="P118" i="5"/>
  <c r="O118" i="5"/>
  <c r="T118" i="5" s="1"/>
  <c r="N118" i="5"/>
  <c r="M118" i="5"/>
  <c r="L118" i="5"/>
  <c r="K118" i="5"/>
  <c r="J118" i="5"/>
  <c r="T117" i="5"/>
  <c r="S117" i="5"/>
  <c r="Q117" i="5"/>
  <c r="T116" i="5"/>
  <c r="S116" i="5"/>
  <c r="R116" i="5"/>
  <c r="Q116" i="5"/>
  <c r="T115" i="5"/>
  <c r="S115" i="5"/>
  <c r="R115" i="5"/>
  <c r="Q115" i="5"/>
  <c r="T114" i="5"/>
  <c r="S114" i="5"/>
  <c r="R114" i="5"/>
  <c r="Q114" i="5"/>
  <c r="P113" i="5"/>
  <c r="O113" i="5"/>
  <c r="T113" i="5" s="1"/>
  <c r="N113" i="5"/>
  <c r="M113" i="5"/>
  <c r="L113" i="5"/>
  <c r="K113" i="5"/>
  <c r="J113" i="5"/>
  <c r="T112" i="5"/>
  <c r="Q112" i="5"/>
  <c r="T111" i="5"/>
  <c r="Q111" i="5"/>
  <c r="P110" i="5"/>
  <c r="L110" i="5"/>
  <c r="O110" i="5"/>
  <c r="T110" i="5" s="1"/>
  <c r="N110" i="5"/>
  <c r="M110" i="5"/>
  <c r="K110" i="5"/>
  <c r="J110" i="5"/>
  <c r="T109" i="5"/>
  <c r="T108" i="5"/>
  <c r="Q108" i="5"/>
  <c r="T107" i="5"/>
  <c r="P107" i="5"/>
  <c r="Q107" i="5" s="1"/>
  <c r="T105" i="5"/>
  <c r="S105" i="5"/>
  <c r="Q105" i="5"/>
  <c r="T104" i="5"/>
  <c r="S104" i="5"/>
  <c r="R104" i="5"/>
  <c r="Q104" i="5"/>
  <c r="T103" i="5"/>
  <c r="S103" i="5"/>
  <c r="R103" i="5"/>
  <c r="Q103" i="5"/>
  <c r="T102" i="5"/>
  <c r="S102" i="5"/>
  <c r="R102" i="5"/>
  <c r="Q102" i="5"/>
  <c r="T101" i="5"/>
  <c r="S101" i="5"/>
  <c r="R101" i="5"/>
  <c r="Q101" i="5"/>
  <c r="T100" i="5"/>
  <c r="S100" i="5"/>
  <c r="R100" i="5"/>
  <c r="Q100" i="5"/>
  <c r="P99" i="5"/>
  <c r="O99" i="5"/>
  <c r="T99" i="5" s="1"/>
  <c r="N99" i="5"/>
  <c r="M99" i="5"/>
  <c r="L99" i="5"/>
  <c r="J99" i="5"/>
  <c r="T98" i="5"/>
  <c r="S98" i="5"/>
  <c r="R98" i="5"/>
  <c r="Q98" i="5"/>
  <c r="T97" i="5"/>
  <c r="S97" i="5"/>
  <c r="R97" i="5"/>
  <c r="Q97" i="5"/>
  <c r="T96" i="5"/>
  <c r="S96" i="5"/>
  <c r="R96" i="5"/>
  <c r="Q96" i="5"/>
  <c r="S95" i="5"/>
  <c r="P95" i="5"/>
  <c r="O95" i="5"/>
  <c r="T95" i="5" s="1"/>
  <c r="N95" i="5"/>
  <c r="M95" i="5"/>
  <c r="L95" i="5"/>
  <c r="K95" i="5"/>
  <c r="K94" i="5" s="1"/>
  <c r="K93" i="5" s="1"/>
  <c r="J95" i="5"/>
  <c r="J94" i="5" s="1"/>
  <c r="J93" i="5" s="1"/>
  <c r="S94" i="5"/>
  <c r="T92" i="5"/>
  <c r="Q92" i="5"/>
  <c r="T91" i="5"/>
  <c r="Q91" i="5"/>
  <c r="T90" i="5"/>
  <c r="Q90" i="5"/>
  <c r="T89" i="5"/>
  <c r="Q89" i="5"/>
  <c r="T88" i="5"/>
  <c r="Q88" i="5"/>
  <c r="T87" i="5"/>
  <c r="Q87" i="5"/>
  <c r="T86" i="5"/>
  <c r="Q86" i="5"/>
  <c r="T85" i="5"/>
  <c r="Q85" i="5"/>
  <c r="T84" i="5"/>
  <c r="Q84" i="5"/>
  <c r="T83" i="5"/>
  <c r="Q83" i="5"/>
  <c r="T82" i="5"/>
  <c r="Q82" i="5"/>
  <c r="T81" i="5"/>
  <c r="Q81" i="5"/>
  <c r="T80" i="5"/>
  <c r="Q80" i="5"/>
  <c r="T79" i="5"/>
  <c r="S79" i="5"/>
  <c r="R79" i="5"/>
  <c r="Q79" i="5"/>
  <c r="T78" i="5"/>
  <c r="S78" i="5"/>
  <c r="R78" i="5"/>
  <c r="Q78" i="5"/>
  <c r="T77" i="5"/>
  <c r="S77" i="5"/>
  <c r="R77" i="5"/>
  <c r="Q77" i="5"/>
  <c r="P76" i="5"/>
  <c r="L76" i="5"/>
  <c r="O76" i="5"/>
  <c r="T76" i="5" s="1"/>
  <c r="N76" i="5"/>
  <c r="M76" i="5"/>
  <c r="K76" i="5"/>
  <c r="K58" i="5"/>
  <c r="K62" i="5"/>
  <c r="K73" i="5"/>
  <c r="J76" i="5"/>
  <c r="T75" i="5"/>
  <c r="R75" i="5"/>
  <c r="Q75" i="5"/>
  <c r="T74" i="5"/>
  <c r="S74" i="5"/>
  <c r="R74" i="5"/>
  <c r="Q74" i="5"/>
  <c r="P73" i="5"/>
  <c r="L73" i="5"/>
  <c r="O73" i="5"/>
  <c r="T73" i="5" s="1"/>
  <c r="N73" i="5"/>
  <c r="M73" i="5"/>
  <c r="J73" i="5"/>
  <c r="T72" i="5"/>
  <c r="Q72" i="5"/>
  <c r="T71" i="5"/>
  <c r="S71" i="5"/>
  <c r="Q71" i="5"/>
  <c r="T70" i="5"/>
  <c r="Q70" i="5"/>
  <c r="T69" i="5"/>
  <c r="Q69" i="5"/>
  <c r="T68" i="5"/>
  <c r="R68" i="5"/>
  <c r="Q68" i="5"/>
  <c r="T67" i="5"/>
  <c r="P67" i="5"/>
  <c r="Q67" i="5" s="1"/>
  <c r="T66" i="5"/>
  <c r="R66" i="5"/>
  <c r="Q66" i="5"/>
  <c r="T65" i="5"/>
  <c r="R65" i="5"/>
  <c r="Q65" i="5"/>
  <c r="T64" i="5"/>
  <c r="R64" i="5"/>
  <c r="Q64" i="5"/>
  <c r="T63" i="5"/>
  <c r="R63" i="5"/>
  <c r="Q63" i="5"/>
  <c r="P62" i="5"/>
  <c r="L62" i="5"/>
  <c r="O62" i="5"/>
  <c r="T62" i="5" s="1"/>
  <c r="N62" i="5"/>
  <c r="M62" i="5"/>
  <c r="J62" i="5"/>
  <c r="T61" i="5"/>
  <c r="R61" i="5"/>
  <c r="Q61" i="5"/>
  <c r="H61" i="5"/>
  <c r="T60" i="5"/>
  <c r="R60" i="5"/>
  <c r="Q60" i="5"/>
  <c r="H60" i="5"/>
  <c r="T59" i="5"/>
  <c r="R59" i="5"/>
  <c r="Q59" i="5"/>
  <c r="H59" i="5"/>
  <c r="P58" i="5"/>
  <c r="L58" i="5"/>
  <c r="O58" i="5"/>
  <c r="T58" i="5" s="1"/>
  <c r="N58" i="5"/>
  <c r="M58" i="5"/>
  <c r="J58" i="5"/>
  <c r="T55" i="5"/>
  <c r="T54" i="5"/>
  <c r="P54" i="5"/>
  <c r="T53" i="5"/>
  <c r="R53" i="5"/>
  <c r="Q53" i="5"/>
  <c r="T52" i="5"/>
  <c r="P52" i="5"/>
  <c r="T51" i="5"/>
  <c r="T50" i="5"/>
  <c r="Q50" i="5"/>
  <c r="T49" i="5"/>
  <c r="Q49" i="5"/>
  <c r="T48" i="5"/>
  <c r="R48" i="5"/>
  <c r="Q48" i="5"/>
  <c r="T47" i="5"/>
  <c r="R47" i="5"/>
  <c r="Q47" i="5"/>
  <c r="P46" i="5"/>
  <c r="O46" i="5"/>
  <c r="N46" i="5"/>
  <c r="M46" i="5"/>
  <c r="L46" i="5"/>
  <c r="M19" i="28" s="1"/>
  <c r="K46" i="5"/>
  <c r="L17" i="20" s="1"/>
  <c r="L16" i="20" s="1"/>
  <c r="J46" i="5"/>
  <c r="Q42" i="5"/>
  <c r="Q40" i="5"/>
  <c r="Q38" i="5"/>
  <c r="O26" i="5"/>
  <c r="N11" i="20" s="1"/>
  <c r="N26" i="5"/>
  <c r="L30" i="24"/>
  <c r="M48" i="31"/>
  <c r="N54" i="31"/>
  <c r="L58" i="24"/>
  <c r="K45" i="28"/>
  <c r="M58" i="31"/>
  <c r="N54" i="24"/>
  <c r="O29" i="20"/>
  <c r="L30" i="18"/>
  <c r="N48" i="20"/>
  <c r="O60" i="20"/>
  <c r="L61" i="18"/>
  <c r="L61" i="20"/>
  <c r="N56" i="20"/>
  <c r="Q308" i="5"/>
  <c r="O29" i="11"/>
  <c r="M46" i="11"/>
  <c r="L56" i="11"/>
  <c r="O60" i="11"/>
  <c r="L30" i="11"/>
  <c r="L60" i="11"/>
  <c r="L61" i="11"/>
  <c r="K28" i="11"/>
  <c r="K44" i="11"/>
  <c r="L45" i="11"/>
  <c r="O47" i="11"/>
  <c r="M26" i="5"/>
  <c r="M13" i="5" s="1"/>
  <c r="L26" i="5"/>
  <c r="K26" i="5"/>
  <c r="J26" i="5"/>
  <c r="O14" i="5"/>
  <c r="N14" i="5"/>
  <c r="M14" i="5"/>
  <c r="L14" i="5"/>
  <c r="K14" i="5"/>
  <c r="J14" i="5"/>
  <c r="P13" i="5"/>
  <c r="K792" i="4"/>
  <c r="L790" i="4"/>
  <c r="J790" i="4"/>
  <c r="L789" i="4"/>
  <c r="J789" i="4"/>
  <c r="L788" i="4"/>
  <c r="M788" i="4" s="1"/>
  <c r="J788" i="4"/>
  <c r="L787" i="4"/>
  <c r="M787" i="4" s="1"/>
  <c r="J787" i="4"/>
  <c r="L786" i="4"/>
  <c r="M786" i="4" s="1"/>
  <c r="J786" i="4"/>
  <c r="M784" i="4"/>
  <c r="L783" i="4"/>
  <c r="M783" i="4" s="1"/>
  <c r="J783" i="4"/>
  <c r="L778" i="4"/>
  <c r="M778" i="4" s="1"/>
  <c r="N778" i="4" s="1"/>
  <c r="J778" i="4"/>
  <c r="L777" i="4"/>
  <c r="J777" i="4"/>
  <c r="L776" i="4"/>
  <c r="M776" i="4" s="1"/>
  <c r="N776" i="4" s="1"/>
  <c r="J776" i="4"/>
  <c r="J774" i="4"/>
  <c r="J775" i="4"/>
  <c r="L775" i="4"/>
  <c r="L774" i="4"/>
  <c r="L769" i="4"/>
  <c r="J769" i="4"/>
  <c r="L768" i="4"/>
  <c r="M768" i="4" s="1"/>
  <c r="N768" i="4" s="1"/>
  <c r="J768" i="4"/>
  <c r="L767" i="4"/>
  <c r="J767" i="4"/>
  <c r="L766" i="4"/>
  <c r="L765" i="4"/>
  <c r="J766" i="4"/>
  <c r="J765" i="4"/>
  <c r="L760" i="4"/>
  <c r="M760" i="4" s="1"/>
  <c r="N760" i="4" s="1"/>
  <c r="L751" i="4"/>
  <c r="L742" i="4"/>
  <c r="M742" i="4" s="1"/>
  <c r="L733" i="4"/>
  <c r="M733" i="4" s="1"/>
  <c r="L724" i="4"/>
  <c r="M724" i="4" s="1"/>
  <c r="N724" i="4" s="1"/>
  <c r="L715" i="4"/>
  <c r="M715" i="4" s="1"/>
  <c r="L669" i="4"/>
  <c r="M669" i="4" s="1"/>
  <c r="J669" i="4"/>
  <c r="L611" i="4"/>
  <c r="M611" i="4" s="1"/>
  <c r="L604" i="4"/>
  <c r="L515" i="4"/>
  <c r="L504" i="4"/>
  <c r="L343" i="4"/>
  <c r="M343" i="4" s="1"/>
  <c r="N343" i="4" s="1"/>
  <c r="L335" i="4"/>
  <c r="L327" i="4"/>
  <c r="L319" i="4"/>
  <c r="M319" i="4" s="1"/>
  <c r="L311" i="4"/>
  <c r="L303" i="4"/>
  <c r="L278" i="4"/>
  <c r="L270" i="4"/>
  <c r="M270" i="4" s="1"/>
  <c r="L262" i="4"/>
  <c r="L257" i="4" s="1"/>
  <c r="L228" i="4"/>
  <c r="L209" i="4"/>
  <c r="L194" i="4"/>
  <c r="L167" i="4"/>
  <c r="M167" i="4" s="1"/>
  <c r="N167" i="4" s="1"/>
  <c r="L152" i="4"/>
  <c r="L127" i="4"/>
  <c r="L114" i="4"/>
  <c r="L102" i="4"/>
  <c r="L89" i="4"/>
  <c r="L76" i="4"/>
  <c r="L64" i="4"/>
  <c r="M64" i="4" s="1"/>
  <c r="L52" i="4"/>
  <c r="L41" i="4"/>
  <c r="L27" i="4"/>
  <c r="J760" i="4"/>
  <c r="L759" i="4"/>
  <c r="M759" i="4" s="1"/>
  <c r="N759" i="4" s="1"/>
  <c r="J759" i="4"/>
  <c r="L758" i="4"/>
  <c r="M758" i="4" s="1"/>
  <c r="J758" i="4"/>
  <c r="L757" i="4"/>
  <c r="J757" i="4"/>
  <c r="L756" i="4"/>
  <c r="J756" i="4"/>
  <c r="J751" i="4"/>
  <c r="L750" i="4"/>
  <c r="M750" i="4" s="1"/>
  <c r="J750" i="4"/>
  <c r="L749" i="4"/>
  <c r="M749" i="4" s="1"/>
  <c r="J749" i="4"/>
  <c r="J746" i="4" s="1"/>
  <c r="J744" i="4" s="1"/>
  <c r="L748" i="4"/>
  <c r="M748" i="4"/>
  <c r="J748" i="4"/>
  <c r="L747" i="4"/>
  <c r="M747" i="4" s="1"/>
  <c r="N747" i="4" s="1"/>
  <c r="J747" i="4"/>
  <c r="J742" i="4"/>
  <c r="L741" i="4"/>
  <c r="M741" i="4" s="1"/>
  <c r="J741" i="4"/>
  <c r="L740" i="4"/>
  <c r="M740" i="4"/>
  <c r="J740" i="4"/>
  <c r="L739" i="4"/>
  <c r="J739" i="4"/>
  <c r="J738" i="4"/>
  <c r="L738" i="4"/>
  <c r="M738" i="4" s="1"/>
  <c r="J733" i="4"/>
  <c r="L732" i="4"/>
  <c r="M732" i="4" s="1"/>
  <c r="J732" i="4"/>
  <c r="L731" i="4"/>
  <c r="M731" i="4" s="1"/>
  <c r="J731" i="4"/>
  <c r="L730" i="4"/>
  <c r="M730" i="4" s="1"/>
  <c r="J730" i="4"/>
  <c r="L729" i="4"/>
  <c r="M729" i="4" s="1"/>
  <c r="J729" i="4"/>
  <c r="N729" i="4" s="1"/>
  <c r="L720" i="4"/>
  <c r="M720" i="4" s="1"/>
  <c r="L721" i="4"/>
  <c r="L722" i="4"/>
  <c r="M722" i="4" s="1"/>
  <c r="L723" i="4"/>
  <c r="M723" i="4" s="1"/>
  <c r="N723" i="4" s="1"/>
  <c r="J724" i="4"/>
  <c r="J723" i="4"/>
  <c r="J722" i="4"/>
  <c r="J721" i="4"/>
  <c r="J719" i="4" s="1"/>
  <c r="J717" i="4" s="1"/>
  <c r="J720" i="4"/>
  <c r="J715" i="4"/>
  <c r="L714" i="4"/>
  <c r="M714" i="4" s="1"/>
  <c r="J714" i="4"/>
  <c r="L713" i="4"/>
  <c r="M713" i="4" s="1"/>
  <c r="J713" i="4"/>
  <c r="L712" i="4"/>
  <c r="M712" i="4" s="1"/>
  <c r="J712" i="4"/>
  <c r="L711" i="4"/>
  <c r="J711" i="4"/>
  <c r="M709" i="4"/>
  <c r="N709" i="4" s="1"/>
  <c r="O709" i="4" s="1"/>
  <c r="L708" i="4"/>
  <c r="J708" i="4"/>
  <c r="J707" i="4" s="1"/>
  <c r="J706" i="4" s="1"/>
  <c r="M702" i="4"/>
  <c r="J702" i="4"/>
  <c r="L701" i="4"/>
  <c r="M701" i="4" s="1"/>
  <c r="N701" i="4" s="1"/>
  <c r="J701" i="4"/>
  <c r="L700" i="4"/>
  <c r="J700" i="4"/>
  <c r="L699" i="4"/>
  <c r="L697" i="4" s="1"/>
  <c r="M697" i="4" s="1"/>
  <c r="J699" i="4"/>
  <c r="L698" i="4"/>
  <c r="M698" i="4" s="1"/>
  <c r="J698" i="4"/>
  <c r="M696" i="4"/>
  <c r="N696" i="4" s="1"/>
  <c r="O696" i="4" s="1"/>
  <c r="M695" i="4"/>
  <c r="J695" i="4"/>
  <c r="M694" i="4"/>
  <c r="J694" i="4"/>
  <c r="N694" i="4" s="1"/>
  <c r="M693" i="4"/>
  <c r="J693" i="4"/>
  <c r="M692" i="4"/>
  <c r="J692" i="4"/>
  <c r="M691" i="4"/>
  <c r="J691" i="4"/>
  <c r="M690" i="4"/>
  <c r="J690" i="4"/>
  <c r="O690" i="4" s="1"/>
  <c r="M689" i="4"/>
  <c r="J689" i="4"/>
  <c r="L688" i="4"/>
  <c r="L687" i="4" s="1"/>
  <c r="M687" i="4" s="1"/>
  <c r="J688" i="4"/>
  <c r="M686" i="4"/>
  <c r="N686" i="4" s="1"/>
  <c r="O686" i="4" s="1"/>
  <c r="L685" i="4"/>
  <c r="J685" i="4"/>
  <c r="L684" i="4"/>
  <c r="J684" i="4"/>
  <c r="M683" i="4"/>
  <c r="J683" i="4"/>
  <c r="L682" i="4"/>
  <c r="M682" i="4" s="1"/>
  <c r="N682" i="4" s="1"/>
  <c r="L681" i="4"/>
  <c r="M681" i="4" s="1"/>
  <c r="J682" i="4"/>
  <c r="J681" i="4"/>
  <c r="N681" i="4" s="1"/>
  <c r="M680" i="4"/>
  <c r="N680" i="4" s="1"/>
  <c r="J680" i="4"/>
  <c r="M679" i="4"/>
  <c r="J679" i="4"/>
  <c r="M678" i="4"/>
  <c r="O678" i="4" s="1"/>
  <c r="J678" i="4"/>
  <c r="M677" i="4"/>
  <c r="J677" i="4"/>
  <c r="M674" i="4"/>
  <c r="N674" i="4" s="1"/>
  <c r="O674" i="4" s="1"/>
  <c r="L668" i="4"/>
  <c r="J668" i="4"/>
  <c r="L667" i="4"/>
  <c r="M667" i="4" s="1"/>
  <c r="J667" i="4"/>
  <c r="L666" i="4"/>
  <c r="J666" i="4"/>
  <c r="L665" i="4"/>
  <c r="J665" i="4"/>
  <c r="M661" i="4"/>
  <c r="J661" i="4"/>
  <c r="L660" i="4"/>
  <c r="M660" i="4" s="1"/>
  <c r="J660" i="4"/>
  <c r="L659" i="4"/>
  <c r="J659" i="4"/>
  <c r="L658" i="4"/>
  <c r="L657" i="4" s="1"/>
  <c r="M657" i="4" s="1"/>
  <c r="J658" i="4"/>
  <c r="J657" i="4" s="1"/>
  <c r="M656" i="4"/>
  <c r="N656" i="4" s="1"/>
  <c r="O656" i="4" s="1"/>
  <c r="L655" i="4"/>
  <c r="M655" i="4" s="1"/>
  <c r="J655" i="4"/>
  <c r="L654" i="4"/>
  <c r="J654" i="4"/>
  <c r="L653" i="4"/>
  <c r="M653" i="4" s="1"/>
  <c r="J653" i="4"/>
  <c r="L652" i="4"/>
  <c r="J652" i="4"/>
  <c r="L651" i="4"/>
  <c r="M651" i="4" s="1"/>
  <c r="J651" i="4"/>
  <c r="M650" i="4"/>
  <c r="J650" i="4"/>
  <c r="L649" i="4"/>
  <c r="M649" i="4" s="1"/>
  <c r="J649" i="4"/>
  <c r="M647" i="4"/>
  <c r="N647" i="4" s="1"/>
  <c r="O647" i="4" s="1"/>
  <c r="M646" i="4"/>
  <c r="J646" i="4"/>
  <c r="N646" i="4" s="1"/>
  <c r="M645" i="4"/>
  <c r="J645" i="4"/>
  <c r="M644" i="4"/>
  <c r="J644" i="4"/>
  <c r="M643" i="4"/>
  <c r="J643" i="4"/>
  <c r="L642" i="4"/>
  <c r="M642" i="4" s="1"/>
  <c r="L638" i="4"/>
  <c r="M638" i="4" s="1"/>
  <c r="J638" i="4"/>
  <c r="M637" i="4"/>
  <c r="J637" i="4"/>
  <c r="L636" i="4"/>
  <c r="M636" i="4" s="1"/>
  <c r="J636" i="4"/>
  <c r="L635" i="4"/>
  <c r="J635" i="4"/>
  <c r="L634" i="4"/>
  <c r="J634" i="4"/>
  <c r="M632" i="4"/>
  <c r="N632" i="4" s="1"/>
  <c r="O632" i="4" s="1"/>
  <c r="L631" i="4"/>
  <c r="M631" i="4" s="1"/>
  <c r="L621" i="4"/>
  <c r="M621" i="4" s="1"/>
  <c r="L623" i="4"/>
  <c r="L624" i="4"/>
  <c r="L625" i="4"/>
  <c r="M625" i="4" s="1"/>
  <c r="L627" i="4"/>
  <c r="M627" i="4" s="1"/>
  <c r="L628" i="4"/>
  <c r="M628" i="4" s="1"/>
  <c r="L629" i="4"/>
  <c r="M629" i="4" s="1"/>
  <c r="L630" i="4"/>
  <c r="M630" i="4" s="1"/>
  <c r="J631" i="4"/>
  <c r="J630" i="4"/>
  <c r="J629" i="4"/>
  <c r="J628" i="4"/>
  <c r="J627" i="4"/>
  <c r="M626" i="4"/>
  <c r="J626" i="4"/>
  <c r="J625" i="4"/>
  <c r="J624" i="4"/>
  <c r="J623" i="4"/>
  <c r="M622" i="4"/>
  <c r="J622" i="4"/>
  <c r="J621" i="4"/>
  <c r="M619" i="4"/>
  <c r="N619" i="4" s="1"/>
  <c r="O619" i="4" s="1"/>
  <c r="M618" i="4"/>
  <c r="J618" i="4"/>
  <c r="L617" i="4"/>
  <c r="M617" i="4" s="1"/>
  <c r="L612" i="4"/>
  <c r="J612" i="4"/>
  <c r="J608" i="4"/>
  <c r="J609" i="4"/>
  <c r="J610" i="4"/>
  <c r="J611" i="4"/>
  <c r="J607" i="4" s="1"/>
  <c r="M610" i="4"/>
  <c r="L609" i="4"/>
  <c r="L608" i="4"/>
  <c r="M608" i="4" s="1"/>
  <c r="J604" i="4"/>
  <c r="L603" i="4"/>
  <c r="M603" i="4" s="1"/>
  <c r="J603" i="4"/>
  <c r="M602" i="4"/>
  <c r="J602" i="4"/>
  <c r="N602" i="4" s="1"/>
  <c r="L601" i="4"/>
  <c r="J601" i="4"/>
  <c r="L600" i="4"/>
  <c r="J600" i="4"/>
  <c r="J599" i="4" s="1"/>
  <c r="J598" i="4" s="1"/>
  <c r="N598" i="4" s="1"/>
  <c r="L596" i="4"/>
  <c r="J596" i="4"/>
  <c r="L595" i="4"/>
  <c r="J595" i="4"/>
  <c r="L594" i="4"/>
  <c r="J594" i="4"/>
  <c r="L592" i="4"/>
  <c r="M592" i="4" s="1"/>
  <c r="J592" i="4"/>
  <c r="N592" i="4" s="1"/>
  <c r="L591" i="4"/>
  <c r="M591" i="4" s="1"/>
  <c r="J591" i="4"/>
  <c r="L590" i="4"/>
  <c r="J590" i="4"/>
  <c r="M588" i="4"/>
  <c r="N588" i="4" s="1"/>
  <c r="O588" i="4" s="1"/>
  <c r="L587" i="4"/>
  <c r="J587" i="4"/>
  <c r="M586" i="4"/>
  <c r="J586" i="4"/>
  <c r="M584" i="4"/>
  <c r="N584" i="4" s="1"/>
  <c r="L583" i="4"/>
  <c r="L578" i="4"/>
  <c r="J578" i="4"/>
  <c r="J577" i="4" s="1"/>
  <c r="L576" i="4"/>
  <c r="L566" i="4" s="1"/>
  <c r="M566" i="4" s="1"/>
  <c r="J576" i="4"/>
  <c r="M575" i="4"/>
  <c r="J575" i="4"/>
  <c r="M574" i="4"/>
  <c r="J574" i="4"/>
  <c r="M573" i="4"/>
  <c r="J573" i="4"/>
  <c r="M572" i="4"/>
  <c r="J572" i="4"/>
  <c r="M571" i="4"/>
  <c r="N571" i="4" s="1"/>
  <c r="J571" i="4"/>
  <c r="M570" i="4"/>
  <c r="J570" i="4"/>
  <c r="M569" i="4"/>
  <c r="N569" i="4" s="1"/>
  <c r="J569" i="4"/>
  <c r="M568" i="4"/>
  <c r="J568" i="4"/>
  <c r="J567" i="4"/>
  <c r="M567" i="4"/>
  <c r="M565" i="4"/>
  <c r="N565" i="4" s="1"/>
  <c r="O565" i="4" s="1"/>
  <c r="L564" i="4"/>
  <c r="M564" i="4" s="1"/>
  <c r="J564" i="4"/>
  <c r="M563" i="4"/>
  <c r="N563" i="4" s="1"/>
  <c r="O563" i="4" s="1"/>
  <c r="M562" i="4"/>
  <c r="M561" i="4"/>
  <c r="N561" i="4" s="1"/>
  <c r="O561" i="4" s="1"/>
  <c r="L560" i="4"/>
  <c r="M560" i="4" s="1"/>
  <c r="N560" i="4" s="1"/>
  <c r="J560" i="4"/>
  <c r="L559" i="4"/>
  <c r="M559" i="4" s="1"/>
  <c r="J559" i="4"/>
  <c r="L558" i="4"/>
  <c r="M558" i="4" s="1"/>
  <c r="N558" i="4" s="1"/>
  <c r="J558" i="4"/>
  <c r="L557" i="4"/>
  <c r="J557" i="4"/>
  <c r="L555" i="4"/>
  <c r="M555" i="4" s="1"/>
  <c r="N555" i="4" s="1"/>
  <c r="J555" i="4"/>
  <c r="L554" i="4"/>
  <c r="M554" i="4" s="1"/>
  <c r="J554" i="4"/>
  <c r="L553" i="4"/>
  <c r="M553" i="4" s="1"/>
  <c r="J553" i="4"/>
  <c r="L552" i="4"/>
  <c r="M552" i="4" s="1"/>
  <c r="J552" i="4"/>
  <c r="L551" i="4"/>
  <c r="M551" i="4" s="1"/>
  <c r="N551" i="4" s="1"/>
  <c r="J551" i="4"/>
  <c r="L550" i="4"/>
  <c r="J550" i="4"/>
  <c r="L548" i="4"/>
  <c r="M548" i="4" s="1"/>
  <c r="N548" i="4" s="1"/>
  <c r="J548" i="4"/>
  <c r="L547" i="4"/>
  <c r="M547" i="4" s="1"/>
  <c r="J547" i="4"/>
  <c r="M545" i="4"/>
  <c r="N545" i="4" s="1"/>
  <c r="O545" i="4" s="1"/>
  <c r="M544" i="4"/>
  <c r="J544" i="4"/>
  <c r="M543" i="4"/>
  <c r="J543" i="4"/>
  <c r="M542" i="4"/>
  <c r="J542" i="4"/>
  <c r="M541" i="4"/>
  <c r="J541" i="4"/>
  <c r="M540" i="4"/>
  <c r="M539" i="4"/>
  <c r="J539" i="4"/>
  <c r="M538" i="4"/>
  <c r="N538" i="4" s="1"/>
  <c r="J538" i="4"/>
  <c r="M537" i="4"/>
  <c r="J537" i="4"/>
  <c r="M536" i="4"/>
  <c r="J536" i="4"/>
  <c r="M535" i="4"/>
  <c r="J535" i="4"/>
  <c r="L534" i="4"/>
  <c r="M534" i="4" s="1"/>
  <c r="M533" i="4"/>
  <c r="N533" i="4" s="1"/>
  <c r="O533" i="4" s="1"/>
  <c r="M532" i="4"/>
  <c r="J532" i="4"/>
  <c r="M531" i="4"/>
  <c r="J531" i="4"/>
  <c r="M530" i="4"/>
  <c r="J530" i="4"/>
  <c r="M529" i="4"/>
  <c r="J529" i="4"/>
  <c r="M528" i="4"/>
  <c r="N528" i="4" s="1"/>
  <c r="M527" i="4"/>
  <c r="J527" i="4"/>
  <c r="M526" i="4"/>
  <c r="J526" i="4"/>
  <c r="M525" i="4"/>
  <c r="J525" i="4"/>
  <c r="M524" i="4"/>
  <c r="J524" i="4"/>
  <c r="M523" i="4"/>
  <c r="J523" i="4"/>
  <c r="J522" i="4" s="1"/>
  <c r="L522" i="4"/>
  <c r="M520" i="4"/>
  <c r="N520" i="4" s="1"/>
  <c r="O520" i="4" s="1"/>
  <c r="J515" i="4"/>
  <c r="L514" i="4"/>
  <c r="M514" i="4" s="1"/>
  <c r="N514" i="4" s="1"/>
  <c r="J514" i="4"/>
  <c r="L513" i="4"/>
  <c r="M513" i="4" s="1"/>
  <c r="J513" i="4"/>
  <c r="L512" i="4"/>
  <c r="J512" i="4"/>
  <c r="L511" i="4"/>
  <c r="J511" i="4"/>
  <c r="M509" i="4"/>
  <c r="N509" i="4" s="1"/>
  <c r="O509" i="4" s="1"/>
  <c r="M508" i="4"/>
  <c r="J508" i="4"/>
  <c r="J507" i="4" s="1"/>
  <c r="L507" i="4"/>
  <c r="M507" i="4" s="1"/>
  <c r="J504" i="4"/>
  <c r="L503" i="4"/>
  <c r="J503" i="4"/>
  <c r="L502" i="4"/>
  <c r="M502" i="4" s="1"/>
  <c r="J502" i="4"/>
  <c r="L501" i="4"/>
  <c r="J501" i="4"/>
  <c r="J500" i="4"/>
  <c r="L500" i="4"/>
  <c r="L496" i="4"/>
  <c r="J496" i="4"/>
  <c r="M494" i="4"/>
  <c r="J494" i="4"/>
  <c r="M493" i="4"/>
  <c r="J493" i="4"/>
  <c r="L492" i="4"/>
  <c r="L487" i="4"/>
  <c r="J487" i="4"/>
  <c r="J486" i="4" s="1"/>
  <c r="L485" i="4"/>
  <c r="J485" i="4"/>
  <c r="L484" i="4"/>
  <c r="M484" i="4" s="1"/>
  <c r="J484" i="4"/>
  <c r="M480" i="4"/>
  <c r="N480" i="4" s="1"/>
  <c r="O480" i="4" s="1"/>
  <c r="L479" i="4"/>
  <c r="J479" i="4"/>
  <c r="N479" i="4" s="1"/>
  <c r="L478" i="4"/>
  <c r="J478" i="4"/>
  <c r="L477" i="4"/>
  <c r="M477" i="4"/>
  <c r="J477" i="4"/>
  <c r="L475" i="4"/>
  <c r="J475" i="4"/>
  <c r="L474" i="4"/>
  <c r="M474" i="4" s="1"/>
  <c r="O474" i="4" s="1"/>
  <c r="J474" i="4"/>
  <c r="L473" i="4"/>
  <c r="J473" i="4"/>
  <c r="L472" i="4"/>
  <c r="J472" i="4"/>
  <c r="L471" i="4"/>
  <c r="J471" i="4"/>
  <c r="L469" i="4"/>
  <c r="M469" i="4" s="1"/>
  <c r="J469" i="4"/>
  <c r="L468" i="4"/>
  <c r="J468" i="4"/>
  <c r="L467" i="4"/>
  <c r="J467" i="4"/>
  <c r="L466" i="4"/>
  <c r="J466" i="4"/>
  <c r="L464" i="4"/>
  <c r="J464" i="4"/>
  <c r="J463" i="4" s="1"/>
  <c r="L462" i="4"/>
  <c r="J462" i="4"/>
  <c r="M459" i="4"/>
  <c r="N459" i="4" s="1"/>
  <c r="O459" i="4" s="1"/>
  <c r="L458" i="4"/>
  <c r="L457" i="4" s="1"/>
  <c r="J458" i="4"/>
  <c r="L453" i="4"/>
  <c r="J453" i="4"/>
  <c r="L452" i="4"/>
  <c r="J452" i="4"/>
  <c r="M451" i="4"/>
  <c r="J451" i="4"/>
  <c r="M450" i="4"/>
  <c r="J450" i="4"/>
  <c r="M449" i="4"/>
  <c r="J449" i="4"/>
  <c r="J447" i="4" s="1"/>
  <c r="N447" i="4" s="1"/>
  <c r="L448" i="4"/>
  <c r="L447" i="4" s="1"/>
  <c r="M447" i="4" s="1"/>
  <c r="J448" i="4"/>
  <c r="L443" i="4"/>
  <c r="J443" i="4"/>
  <c r="J441" i="4" s="1"/>
  <c r="J440" i="4" s="1"/>
  <c r="M442" i="4"/>
  <c r="J442" i="4"/>
  <c r="M439" i="4"/>
  <c r="M438" i="4"/>
  <c r="N438" i="4" s="1"/>
  <c r="J438" i="4"/>
  <c r="M437" i="4"/>
  <c r="J437" i="4"/>
  <c r="M436" i="4"/>
  <c r="N436" i="4" s="1"/>
  <c r="J436" i="4"/>
  <c r="L435" i="4"/>
  <c r="M434" i="4"/>
  <c r="N434" i="4" s="1"/>
  <c r="O434" i="4" s="1"/>
  <c r="M433" i="4"/>
  <c r="J433" i="4"/>
  <c r="L432" i="4"/>
  <c r="J432" i="4"/>
  <c r="M431" i="4"/>
  <c r="J431" i="4"/>
  <c r="L430" i="4"/>
  <c r="M430" i="4" s="1"/>
  <c r="J430" i="4"/>
  <c r="N430" i="4" s="1"/>
  <c r="M429" i="4"/>
  <c r="J429" i="4"/>
  <c r="L424" i="4"/>
  <c r="J424" i="4"/>
  <c r="J423" i="4"/>
  <c r="L423" i="4"/>
  <c r="L421" i="4"/>
  <c r="L420" i="4" s="1"/>
  <c r="M420" i="4" s="1"/>
  <c r="J421" i="4"/>
  <c r="M418" i="4"/>
  <c r="N418" i="4" s="1"/>
  <c r="O418" i="4" s="1"/>
  <c r="L417" i="4"/>
  <c r="M417" i="4" s="1"/>
  <c r="J417" i="4"/>
  <c r="L416" i="4"/>
  <c r="J416" i="4"/>
  <c r="L415" i="4"/>
  <c r="J415" i="4"/>
  <c r="M413" i="4"/>
  <c r="N413" i="4" s="1"/>
  <c r="O413" i="4" s="1"/>
  <c r="L412" i="4"/>
  <c r="J412" i="4"/>
  <c r="L411" i="4"/>
  <c r="J411" i="4"/>
  <c r="L410" i="4"/>
  <c r="J410" i="4"/>
  <c r="L408" i="4"/>
  <c r="J408" i="4"/>
  <c r="L407" i="4"/>
  <c r="J407" i="4"/>
  <c r="M405" i="4"/>
  <c r="M404" i="4"/>
  <c r="N404" i="4" s="1"/>
  <c r="J404" i="4"/>
  <c r="L403" i="4"/>
  <c r="M403" i="4" s="1"/>
  <c r="M402" i="4"/>
  <c r="N402" i="4" s="1"/>
  <c r="O402" i="4" s="1"/>
  <c r="L401" i="4"/>
  <c r="L399" i="4" s="1"/>
  <c r="M399" i="4" s="1"/>
  <c r="J401" i="4"/>
  <c r="L400" i="4"/>
  <c r="J400" i="4"/>
  <c r="M398" i="4"/>
  <c r="N398" i="4" s="1"/>
  <c r="O398" i="4" s="1"/>
  <c r="M397" i="4"/>
  <c r="J397" i="4"/>
  <c r="L396" i="4"/>
  <c r="M396" i="4" s="1"/>
  <c r="M395" i="4"/>
  <c r="N395" i="4" s="1"/>
  <c r="O395" i="4" s="1"/>
  <c r="M394" i="4"/>
  <c r="J394" i="4"/>
  <c r="M393" i="4"/>
  <c r="J393" i="4"/>
  <c r="L392" i="4"/>
  <c r="M392" i="4" s="1"/>
  <c r="M391" i="4"/>
  <c r="N391" i="4" s="1"/>
  <c r="O391" i="4" s="1"/>
  <c r="L390" i="4"/>
  <c r="J390" i="4"/>
  <c r="L389" i="4"/>
  <c r="M389" i="4" s="1"/>
  <c r="N389" i="4" s="1"/>
  <c r="J389" i="4"/>
  <c r="L388" i="4"/>
  <c r="M388" i="4" s="1"/>
  <c r="J388" i="4"/>
  <c r="N388" i="4" s="1"/>
  <c r="L387" i="4"/>
  <c r="J387" i="4"/>
  <c r="L386" i="4"/>
  <c r="J386" i="4"/>
  <c r="J385" i="4" s="1"/>
  <c r="M383" i="4"/>
  <c r="N383" i="4" s="1"/>
  <c r="O383" i="4" s="1"/>
  <c r="L382" i="4"/>
  <c r="M382" i="4" s="1"/>
  <c r="J382" i="4"/>
  <c r="J381" i="4"/>
  <c r="M380" i="4"/>
  <c r="N380" i="4" s="1"/>
  <c r="O380" i="4" s="1"/>
  <c r="L379" i="4"/>
  <c r="J379" i="4"/>
  <c r="L378" i="4"/>
  <c r="M378" i="4" s="1"/>
  <c r="O378" i="4" s="1"/>
  <c r="J378" i="4"/>
  <c r="L377" i="4"/>
  <c r="J377" i="4"/>
  <c r="L376" i="4"/>
  <c r="J376" i="4"/>
  <c r="L375" i="4"/>
  <c r="J375" i="4"/>
  <c r="J373" i="4"/>
  <c r="J374" i="4"/>
  <c r="L374" i="4"/>
  <c r="M374" i="4" s="1"/>
  <c r="L373" i="4"/>
  <c r="M373" i="4" s="1"/>
  <c r="M369" i="4"/>
  <c r="N369" i="4" s="1"/>
  <c r="O369" i="4" s="1"/>
  <c r="L368" i="4"/>
  <c r="J368" i="4"/>
  <c r="L367" i="4"/>
  <c r="J367" i="4"/>
  <c r="N367" i="4" s="1"/>
  <c r="L366" i="4"/>
  <c r="J366" i="4"/>
  <c r="M365" i="4"/>
  <c r="J365" i="4"/>
  <c r="N365" i="4" s="1"/>
  <c r="L364" i="4"/>
  <c r="J364" i="4"/>
  <c r="M363" i="4"/>
  <c r="J363" i="4"/>
  <c r="M361" i="4"/>
  <c r="N361" i="4" s="1"/>
  <c r="J361" i="4"/>
  <c r="M360" i="4"/>
  <c r="J360" i="4"/>
  <c r="N360" i="4" s="1"/>
  <c r="M359" i="4"/>
  <c r="J359" i="4"/>
  <c r="M351" i="4"/>
  <c r="J351" i="4"/>
  <c r="N351" i="4" s="1"/>
  <c r="M350" i="4"/>
  <c r="J350" i="4"/>
  <c r="L349" i="4"/>
  <c r="M349" i="4" s="1"/>
  <c r="J349" i="4"/>
  <c r="L348" i="4"/>
  <c r="J348" i="4"/>
  <c r="L347" i="4"/>
  <c r="J347" i="4"/>
  <c r="J343" i="4"/>
  <c r="L342" i="4"/>
  <c r="J342" i="4"/>
  <c r="L341" i="4"/>
  <c r="J341" i="4"/>
  <c r="L340" i="4"/>
  <c r="J340" i="4"/>
  <c r="L339" i="4"/>
  <c r="M339" i="4" s="1"/>
  <c r="J339" i="4"/>
  <c r="J335" i="4"/>
  <c r="L334" i="4"/>
  <c r="J334" i="4"/>
  <c r="L333" i="4"/>
  <c r="J333" i="4"/>
  <c r="L332" i="4"/>
  <c r="J332" i="4"/>
  <c r="L331" i="4"/>
  <c r="M331" i="4" s="1"/>
  <c r="J331" i="4"/>
  <c r="J327" i="4"/>
  <c r="L326" i="4"/>
  <c r="M326" i="4" s="1"/>
  <c r="N326" i="4" s="1"/>
  <c r="J326" i="4"/>
  <c r="L325" i="4"/>
  <c r="J325" i="4"/>
  <c r="L324" i="4"/>
  <c r="M324" i="4" s="1"/>
  <c r="N324" i="4" s="1"/>
  <c r="J324" i="4"/>
  <c r="L323" i="4"/>
  <c r="M323" i="4" s="1"/>
  <c r="J323" i="4"/>
  <c r="N323" i="4" s="1"/>
  <c r="J319" i="4"/>
  <c r="L318" i="4"/>
  <c r="J318" i="4"/>
  <c r="L317" i="4"/>
  <c r="M317" i="4" s="1"/>
  <c r="J317" i="4"/>
  <c r="N317" i="4" s="1"/>
  <c r="L316" i="4"/>
  <c r="J316" i="4"/>
  <c r="J315" i="4"/>
  <c r="L315" i="4"/>
  <c r="M315" i="4" s="1"/>
  <c r="N315" i="4" s="1"/>
  <c r="J311" i="4"/>
  <c r="L310" i="4"/>
  <c r="L302" i="4"/>
  <c r="J310" i="4"/>
  <c r="L309" i="4"/>
  <c r="J309" i="4"/>
  <c r="L308" i="4"/>
  <c r="J308" i="4"/>
  <c r="J306" i="4" s="1"/>
  <c r="J305" i="4" s="1"/>
  <c r="L307" i="4"/>
  <c r="J307" i="4"/>
  <c r="J303" i="4"/>
  <c r="J302" i="4"/>
  <c r="L355" i="19" s="1"/>
  <c r="Q355" i="19" s="1"/>
  <c r="L301" i="4"/>
  <c r="J301" i="4"/>
  <c r="L300" i="4"/>
  <c r="J300" i="4"/>
  <c r="J298" i="4" s="1"/>
  <c r="J297" i="4" s="1"/>
  <c r="L299" i="4"/>
  <c r="J299" i="4"/>
  <c r="M295" i="4"/>
  <c r="J295" i="4"/>
  <c r="M294" i="4"/>
  <c r="J294" i="4"/>
  <c r="M293" i="4"/>
  <c r="J293" i="4"/>
  <c r="N293" i="4" s="1"/>
  <c r="M292" i="4"/>
  <c r="J292" i="4"/>
  <c r="L291" i="4"/>
  <c r="L290" i="4" s="1"/>
  <c r="M290" i="4" s="1"/>
  <c r="J291" i="4"/>
  <c r="J290" i="4" s="1"/>
  <c r="N290" i="4" s="1"/>
  <c r="N289" i="4"/>
  <c r="O289" i="4" s="1"/>
  <c r="M288" i="4"/>
  <c r="J288" i="4"/>
  <c r="O288" i="4" s="1"/>
  <c r="M287" i="4"/>
  <c r="N287" i="4" s="1"/>
  <c r="J287" i="4"/>
  <c r="L286" i="4"/>
  <c r="L285" i="4" s="1"/>
  <c r="J286" i="4"/>
  <c r="J278" i="4"/>
  <c r="L277" i="4"/>
  <c r="M277" i="4" s="1"/>
  <c r="J277" i="4"/>
  <c r="L276" i="4"/>
  <c r="J276" i="4"/>
  <c r="L275" i="4"/>
  <c r="J275" i="4"/>
  <c r="L274" i="4"/>
  <c r="L273" i="4" s="1"/>
  <c r="J274" i="4"/>
  <c r="J270" i="4"/>
  <c r="L269" i="4"/>
  <c r="J269" i="4"/>
  <c r="L268" i="4"/>
  <c r="M268" i="4" s="1"/>
  <c r="N268" i="4" s="1"/>
  <c r="J268" i="4"/>
  <c r="L267" i="4"/>
  <c r="J267" i="4"/>
  <c r="L266" i="4"/>
  <c r="J266" i="4"/>
  <c r="J262" i="4"/>
  <c r="L261" i="4"/>
  <c r="J261" i="4"/>
  <c r="L260" i="4"/>
  <c r="J260" i="4"/>
  <c r="L259" i="4"/>
  <c r="J259" i="4"/>
  <c r="J257" i="4" s="1"/>
  <c r="J256" i="4" s="1"/>
  <c r="L258" i="4"/>
  <c r="J258" i="4"/>
  <c r="M254" i="4"/>
  <c r="J254" i="4"/>
  <c r="M253" i="4"/>
  <c r="J253" i="4"/>
  <c r="M252" i="4"/>
  <c r="J252" i="4"/>
  <c r="L251" i="4"/>
  <c r="M251" i="4" s="1"/>
  <c r="M250" i="4"/>
  <c r="N250" i="4" s="1"/>
  <c r="O250" i="4" s="1"/>
  <c r="L249" i="4"/>
  <c r="J249" i="4"/>
  <c r="L248" i="4"/>
  <c r="M248" i="4" s="1"/>
  <c r="J248" i="4"/>
  <c r="L247" i="4"/>
  <c r="J247" i="4"/>
  <c r="L246" i="4"/>
  <c r="J246" i="4"/>
  <c r="M244" i="4"/>
  <c r="N244" i="4" s="1"/>
  <c r="O244" i="4" s="1"/>
  <c r="M243" i="4"/>
  <c r="J243" i="4"/>
  <c r="L242" i="4"/>
  <c r="M242" i="4" s="1"/>
  <c r="M241" i="4"/>
  <c r="N241" i="4" s="1"/>
  <c r="O241" i="4" s="1"/>
  <c r="M240" i="4"/>
  <c r="J240" i="4"/>
  <c r="J239" i="4" s="1"/>
  <c r="L239" i="4"/>
  <c r="M239" i="4" s="1"/>
  <c r="L234" i="4"/>
  <c r="M234" i="4" s="1"/>
  <c r="J234" i="4"/>
  <c r="N234" i="4" s="1"/>
  <c r="L233" i="4"/>
  <c r="J233" i="4"/>
  <c r="L232" i="4"/>
  <c r="J232" i="4"/>
  <c r="J230" i="4" s="1"/>
  <c r="J231" i="4"/>
  <c r="L231" i="4"/>
  <c r="N229" i="4"/>
  <c r="O229" i="4" s="1"/>
  <c r="J228" i="4"/>
  <c r="M227" i="4"/>
  <c r="J227" i="4"/>
  <c r="J224" i="4"/>
  <c r="J225" i="4"/>
  <c r="N225" i="4" s="1"/>
  <c r="J226" i="4"/>
  <c r="L226" i="4"/>
  <c r="L225" i="4"/>
  <c r="M225" i="4" s="1"/>
  <c r="L224" i="4"/>
  <c r="M224" i="4" s="1"/>
  <c r="N224" i="4" s="1"/>
  <c r="N222" i="4"/>
  <c r="O222" i="4" s="1"/>
  <c r="M221" i="4"/>
  <c r="J221" i="4"/>
  <c r="O221" i="4" s="1"/>
  <c r="L220" i="4"/>
  <c r="N219" i="4"/>
  <c r="O219" i="4" s="1"/>
  <c r="M218" i="4"/>
  <c r="J218" i="4"/>
  <c r="M217" i="4"/>
  <c r="N217" i="4" s="1"/>
  <c r="J217" i="4"/>
  <c r="L216" i="4"/>
  <c r="M216" i="4" s="1"/>
  <c r="L212" i="4"/>
  <c r="L211" i="4" s="1"/>
  <c r="J212" i="4"/>
  <c r="J211" i="4" s="1"/>
  <c r="M210" i="4"/>
  <c r="N210" i="4" s="1"/>
  <c r="O210" i="4" s="1"/>
  <c r="J209" i="4"/>
  <c r="L208" i="4"/>
  <c r="J208" i="4"/>
  <c r="L207" i="4"/>
  <c r="M207" i="4" s="1"/>
  <c r="J207" i="4"/>
  <c r="L206" i="4"/>
  <c r="J206" i="4"/>
  <c r="L205" i="4"/>
  <c r="J205" i="4"/>
  <c r="M203" i="4"/>
  <c r="N203" i="4" s="1"/>
  <c r="O203" i="4" s="1"/>
  <c r="L202" i="4"/>
  <c r="J202" i="4"/>
  <c r="M200" i="4"/>
  <c r="J200" i="4"/>
  <c r="L199" i="4"/>
  <c r="M199" i="4" s="1"/>
  <c r="J194" i="4"/>
  <c r="L193" i="4"/>
  <c r="J193" i="4"/>
  <c r="L192" i="4"/>
  <c r="M192" i="4" s="1"/>
  <c r="N192" i="4" s="1"/>
  <c r="J192" i="4"/>
  <c r="L191" i="4"/>
  <c r="J191" i="4"/>
  <c r="J189" i="4" s="1"/>
  <c r="J182" i="4" s="1"/>
  <c r="L190" i="4"/>
  <c r="M190" i="4" s="1"/>
  <c r="N190" i="4" s="1"/>
  <c r="J190" i="4"/>
  <c r="M188" i="4"/>
  <c r="N188" i="4" s="1"/>
  <c r="O188" i="4" s="1"/>
  <c r="M187" i="4"/>
  <c r="J187" i="4"/>
  <c r="J185" i="4" s="1"/>
  <c r="M186" i="4"/>
  <c r="J186" i="4"/>
  <c r="L185" i="4"/>
  <c r="M180" i="4"/>
  <c r="N180" i="4" s="1"/>
  <c r="J180" i="4"/>
  <c r="M179" i="4"/>
  <c r="J179" i="4"/>
  <c r="L178" i="4"/>
  <c r="M178" i="4" s="1"/>
  <c r="J178" i="4"/>
  <c r="L177" i="4"/>
  <c r="J177" i="4"/>
  <c r="J176" i="4"/>
  <c r="L176" i="4"/>
  <c r="M173" i="4"/>
  <c r="J173" i="4"/>
  <c r="I173" i="4"/>
  <c r="O172" i="4"/>
  <c r="O171" i="4" s="1"/>
  <c r="O170" i="4" s="1"/>
  <c r="O169" i="4" s="1"/>
  <c r="L172" i="4"/>
  <c r="J167" i="4"/>
  <c r="L166" i="4"/>
  <c r="M166" i="4" s="1"/>
  <c r="N166" i="4" s="1"/>
  <c r="J166" i="4"/>
  <c r="L165" i="4"/>
  <c r="J165" i="4"/>
  <c r="L164" i="4"/>
  <c r="M164" i="4" s="1"/>
  <c r="N164" i="4" s="1"/>
  <c r="J164" i="4"/>
  <c r="L163" i="4"/>
  <c r="M163" i="4" s="1"/>
  <c r="J163" i="4"/>
  <c r="M162" i="4"/>
  <c r="N162" i="4" s="1"/>
  <c r="J162" i="4"/>
  <c r="M160" i="4"/>
  <c r="N160" i="4" s="1"/>
  <c r="O160" i="4" s="1"/>
  <c r="L159" i="4"/>
  <c r="J159" i="4"/>
  <c r="M158" i="4"/>
  <c r="J158" i="4"/>
  <c r="L202" i="16" s="1"/>
  <c r="R202" i="16" s="1"/>
  <c r="M152" i="4"/>
  <c r="J152" i="4"/>
  <c r="N152" i="4" s="1"/>
  <c r="L151" i="4"/>
  <c r="J151" i="4"/>
  <c r="L150" i="4"/>
  <c r="J150" i="4"/>
  <c r="L149" i="4"/>
  <c r="J149" i="4"/>
  <c r="L148" i="4"/>
  <c r="M148" i="4" s="1"/>
  <c r="J148" i="4"/>
  <c r="N148" i="4" s="1"/>
  <c r="M144" i="4"/>
  <c r="J144" i="4"/>
  <c r="N144" i="4" s="1"/>
  <c r="M143" i="4"/>
  <c r="J143" i="4"/>
  <c r="N143" i="4" s="1"/>
  <c r="L142" i="4"/>
  <c r="M142" i="4" s="1"/>
  <c r="J142" i="4"/>
  <c r="L141" i="4"/>
  <c r="J141" i="4"/>
  <c r="M140" i="4"/>
  <c r="J140" i="4"/>
  <c r="N138" i="4"/>
  <c r="O138" i="4" s="1"/>
  <c r="M137" i="4"/>
  <c r="N137" i="4" s="1"/>
  <c r="J137" i="4"/>
  <c r="M136" i="4"/>
  <c r="J136" i="4"/>
  <c r="L135" i="4"/>
  <c r="N133" i="4"/>
  <c r="O133" i="4" s="1"/>
  <c r="L132" i="4"/>
  <c r="L131" i="4" s="1"/>
  <c r="J132" i="4"/>
  <c r="J131" i="4" s="1"/>
  <c r="J127" i="4"/>
  <c r="L126" i="4"/>
  <c r="J126" i="4"/>
  <c r="L125" i="4"/>
  <c r="M125" i="4" s="1"/>
  <c r="J125" i="4"/>
  <c r="N125" i="4" s="1"/>
  <c r="L124" i="4"/>
  <c r="J124" i="4"/>
  <c r="L123" i="4"/>
  <c r="J123" i="4"/>
  <c r="J118" i="4" s="1"/>
  <c r="J116" i="4" s="1"/>
  <c r="L122" i="4"/>
  <c r="J122" i="4"/>
  <c r="M121" i="4"/>
  <c r="N121" i="4" s="1"/>
  <c r="O121" i="4" s="1"/>
  <c r="M120" i="4"/>
  <c r="J120" i="4"/>
  <c r="L119" i="4"/>
  <c r="M119" i="4" s="1"/>
  <c r="J114" i="4"/>
  <c r="L451" i="27" s="1"/>
  <c r="L113" i="4"/>
  <c r="M113" i="4" s="1"/>
  <c r="J113" i="4"/>
  <c r="L112" i="4"/>
  <c r="M112" i="4" s="1"/>
  <c r="J112" i="4"/>
  <c r="L111" i="4"/>
  <c r="M111" i="4" s="1"/>
  <c r="N111" i="4" s="1"/>
  <c r="J111" i="4"/>
  <c r="L110" i="4"/>
  <c r="J110" i="4"/>
  <c r="N109" i="4"/>
  <c r="O109" i="4" s="1"/>
  <c r="M108" i="4"/>
  <c r="J108" i="4"/>
  <c r="J107" i="4" s="1"/>
  <c r="L107" i="4"/>
  <c r="M107" i="4" s="1"/>
  <c r="J102" i="4"/>
  <c r="L101" i="4"/>
  <c r="M101" i="4" s="1"/>
  <c r="J101" i="4"/>
  <c r="L100" i="4"/>
  <c r="J100" i="4"/>
  <c r="L99" i="4"/>
  <c r="L96" i="4"/>
  <c r="L98" i="4"/>
  <c r="M98" i="4" s="1"/>
  <c r="J99" i="4"/>
  <c r="J93" i="4" s="1"/>
  <c r="J91" i="4" s="1"/>
  <c r="J98" i="4"/>
  <c r="N97" i="4"/>
  <c r="O97" i="4" s="1"/>
  <c r="J96" i="4"/>
  <c r="M95" i="4"/>
  <c r="O95" i="4" s="1"/>
  <c r="J95" i="4"/>
  <c r="J89" i="4"/>
  <c r="M88" i="4"/>
  <c r="J88" i="4"/>
  <c r="L87" i="4"/>
  <c r="J87" i="4"/>
  <c r="L86" i="4"/>
  <c r="J86" i="4"/>
  <c r="L85" i="4"/>
  <c r="J85" i="4"/>
  <c r="N83" i="4"/>
  <c r="O83" i="4" s="1"/>
  <c r="L82" i="4"/>
  <c r="J82" i="4"/>
  <c r="P15" i="4"/>
  <c r="N81" i="4"/>
  <c r="O81" i="4" s="1"/>
  <c r="L80" i="4"/>
  <c r="M80" i="4" s="1"/>
  <c r="J80" i="4"/>
  <c r="J76" i="4"/>
  <c r="L440" i="19" s="1"/>
  <c r="Q440" i="19" s="1"/>
  <c r="L75" i="4"/>
  <c r="M75" i="4" s="1"/>
  <c r="J75" i="4"/>
  <c r="N75" i="4" s="1"/>
  <c r="L74" i="4"/>
  <c r="J74" i="4"/>
  <c r="M73" i="4"/>
  <c r="J73" i="4"/>
  <c r="L72" i="4"/>
  <c r="J72" i="4"/>
  <c r="L71" i="4"/>
  <c r="J71" i="4"/>
  <c r="J69" i="4" s="1"/>
  <c r="J68" i="4" s="1"/>
  <c r="J70" i="4"/>
  <c r="M70" i="4"/>
  <c r="N70" i="4" s="1"/>
  <c r="J64" i="4"/>
  <c r="L63" i="4"/>
  <c r="M63" i="4" s="1"/>
  <c r="N63" i="4" s="1"/>
  <c r="J63" i="4"/>
  <c r="L62" i="4"/>
  <c r="J62" i="4"/>
  <c r="L61" i="4"/>
  <c r="J61" i="4"/>
  <c r="L60" i="4"/>
  <c r="M60" i="4" s="1"/>
  <c r="J60" i="4"/>
  <c r="N58" i="4"/>
  <c r="O58" i="4" s="1"/>
  <c r="M57" i="4"/>
  <c r="J57" i="4"/>
  <c r="L56" i="4"/>
  <c r="J52" i="4"/>
  <c r="L51" i="4"/>
  <c r="J51" i="4"/>
  <c r="L50" i="4"/>
  <c r="M50" i="4" s="1"/>
  <c r="J50" i="4"/>
  <c r="N50" i="4" s="1"/>
  <c r="L49" i="4"/>
  <c r="J49" i="4"/>
  <c r="L48" i="4"/>
  <c r="J48" i="4"/>
  <c r="J47" i="4" s="1"/>
  <c r="J43" i="4" s="1"/>
  <c r="N46" i="4"/>
  <c r="O46" i="4" s="1"/>
  <c r="L45" i="4"/>
  <c r="J45" i="4"/>
  <c r="J44" i="4" s="1"/>
  <c r="J41" i="4"/>
  <c r="L40" i="4"/>
  <c r="M40" i="4" s="1"/>
  <c r="J40" i="4"/>
  <c r="L39" i="4"/>
  <c r="J39" i="4"/>
  <c r="L38" i="4"/>
  <c r="M38" i="4" s="1"/>
  <c r="J38" i="4"/>
  <c r="L37" i="4"/>
  <c r="J37" i="4"/>
  <c r="J35" i="4" s="1"/>
  <c r="J31" i="4" s="1"/>
  <c r="L36" i="4"/>
  <c r="J36" i="4"/>
  <c r="N34" i="4"/>
  <c r="O34" i="4" s="1"/>
  <c r="L33" i="4"/>
  <c r="J33" i="4"/>
  <c r="J32" i="4" s="1"/>
  <c r="J27" i="4"/>
  <c r="L26" i="4"/>
  <c r="J26" i="4"/>
  <c r="L25" i="4"/>
  <c r="M25" i="4" s="1"/>
  <c r="J25" i="4"/>
  <c r="L24" i="4"/>
  <c r="J24" i="4"/>
  <c r="L23" i="4"/>
  <c r="J23" i="4"/>
  <c r="M22" i="4"/>
  <c r="J22" i="4"/>
  <c r="N22" i="4" s="1"/>
  <c r="P20" i="4"/>
  <c r="M20" i="4"/>
  <c r="N20" i="4" s="1"/>
  <c r="L19" i="4"/>
  <c r="L17" i="4" s="1"/>
  <c r="M17" i="4" s="1"/>
  <c r="J18" i="4"/>
  <c r="J19" i="4"/>
  <c r="M18" i="4"/>
  <c r="N16" i="4"/>
  <c r="L15" i="4"/>
  <c r="J15" i="4"/>
  <c r="M14" i="4"/>
  <c r="J14" i="4"/>
  <c r="J13" i="4"/>
  <c r="M13" i="4"/>
  <c r="Q787" i="3"/>
  <c r="D787" i="3"/>
  <c r="Q786" i="3"/>
  <c r="D786" i="3"/>
  <c r="Q785" i="3"/>
  <c r="D785" i="3"/>
  <c r="Q784" i="3"/>
  <c r="D784" i="3"/>
  <c r="Q783" i="3"/>
  <c r="D783" i="3"/>
  <c r="P782" i="3"/>
  <c r="O782" i="3"/>
  <c r="N782" i="3"/>
  <c r="M782" i="3"/>
  <c r="L782" i="3"/>
  <c r="K782" i="3"/>
  <c r="J782" i="3"/>
  <c r="I782" i="3"/>
  <c r="H782" i="3"/>
  <c r="G782" i="3"/>
  <c r="F782" i="3"/>
  <c r="E782" i="3"/>
  <c r="Q781" i="3"/>
  <c r="R781" i="3" s="1"/>
  <c r="S781" i="3" s="1"/>
  <c r="Q780" i="3"/>
  <c r="D780" i="3"/>
  <c r="P779" i="3"/>
  <c r="O779" i="3"/>
  <c r="O778" i="3" s="1"/>
  <c r="N779" i="3"/>
  <c r="N778" i="3" s="1"/>
  <c r="M779" i="3"/>
  <c r="M778" i="3" s="1"/>
  <c r="L779" i="3"/>
  <c r="L778" i="3" s="1"/>
  <c r="K779" i="3"/>
  <c r="K778" i="3" s="1"/>
  <c r="J779" i="3"/>
  <c r="J778" i="3" s="1"/>
  <c r="I779" i="3"/>
  <c r="I778" i="3" s="1"/>
  <c r="H779" i="3"/>
  <c r="H778" i="3" s="1"/>
  <c r="G779" i="3"/>
  <c r="G778" i="3" s="1"/>
  <c r="F779" i="3"/>
  <c r="F778" i="3" s="1"/>
  <c r="E779" i="3"/>
  <c r="E778" i="3" s="1"/>
  <c r="P778" i="3"/>
  <c r="Q775" i="3"/>
  <c r="D775" i="3"/>
  <c r="Q774" i="3"/>
  <c r="D774" i="3"/>
  <c r="R774" i="3" s="1"/>
  <c r="Q773" i="3"/>
  <c r="D773" i="3"/>
  <c r="Q772" i="3"/>
  <c r="D772" i="3"/>
  <c r="Q771" i="3"/>
  <c r="D771" i="3"/>
  <c r="P770" i="3"/>
  <c r="P768" i="3" s="1"/>
  <c r="O770" i="3"/>
  <c r="O768" i="3" s="1"/>
  <c r="N770" i="3"/>
  <c r="N768" i="3" s="1"/>
  <c r="M770" i="3"/>
  <c r="M768" i="3" s="1"/>
  <c r="L770" i="3"/>
  <c r="L768" i="3" s="1"/>
  <c r="K770" i="3"/>
  <c r="K768" i="3" s="1"/>
  <c r="J770" i="3"/>
  <c r="J768" i="3" s="1"/>
  <c r="I770" i="3"/>
  <c r="I768" i="3" s="1"/>
  <c r="H770" i="3"/>
  <c r="H768" i="3" s="1"/>
  <c r="G770" i="3"/>
  <c r="G768" i="3" s="1"/>
  <c r="F770" i="3"/>
  <c r="F768" i="3" s="1"/>
  <c r="E770" i="3"/>
  <c r="E768" i="3" s="1"/>
  <c r="Q766" i="3"/>
  <c r="D766" i="3"/>
  <c r="Q765" i="3"/>
  <c r="D765" i="3"/>
  <c r="Q764" i="3"/>
  <c r="D764" i="3"/>
  <c r="Q763" i="3"/>
  <c r="D763" i="3"/>
  <c r="Q762" i="3"/>
  <c r="D762" i="3"/>
  <c r="P761" i="3"/>
  <c r="P759" i="3" s="1"/>
  <c r="O761" i="3"/>
  <c r="O759" i="3" s="1"/>
  <c r="N761" i="3"/>
  <c r="N759" i="3" s="1"/>
  <c r="M761" i="3"/>
  <c r="M759" i="3" s="1"/>
  <c r="L761" i="3"/>
  <c r="L759" i="3" s="1"/>
  <c r="K761" i="3"/>
  <c r="K759" i="3" s="1"/>
  <c r="J761" i="3"/>
  <c r="J759" i="3" s="1"/>
  <c r="I761" i="3"/>
  <c r="I759" i="3" s="1"/>
  <c r="H761" i="3"/>
  <c r="H759" i="3" s="1"/>
  <c r="G761" i="3"/>
  <c r="G759" i="3" s="1"/>
  <c r="F761" i="3"/>
  <c r="F759" i="3" s="1"/>
  <c r="E761" i="3"/>
  <c r="E759" i="3" s="1"/>
  <c r="Q757" i="3"/>
  <c r="D757" i="3"/>
  <c r="Q756" i="3"/>
  <c r="D756" i="3"/>
  <c r="R756" i="3" s="1"/>
  <c r="Q755" i="3"/>
  <c r="D755" i="3"/>
  <c r="Q754" i="3"/>
  <c r="D754" i="3"/>
  <c r="R754" i="3" s="1"/>
  <c r="Q753" i="3"/>
  <c r="D753" i="3"/>
  <c r="P752" i="3"/>
  <c r="P750" i="3" s="1"/>
  <c r="O752" i="3"/>
  <c r="O750" i="3" s="1"/>
  <c r="N752" i="3"/>
  <c r="N750" i="3" s="1"/>
  <c r="M752" i="3"/>
  <c r="M750" i="3" s="1"/>
  <c r="L752" i="3"/>
  <c r="L750" i="3" s="1"/>
  <c r="K752" i="3"/>
  <c r="K750" i="3" s="1"/>
  <c r="J752" i="3"/>
  <c r="J750" i="3" s="1"/>
  <c r="I752" i="3"/>
  <c r="I750" i="3" s="1"/>
  <c r="E752" i="3"/>
  <c r="E750" i="3" s="1"/>
  <c r="F752" i="3"/>
  <c r="F750" i="3" s="1"/>
  <c r="G752" i="3"/>
  <c r="H752" i="3"/>
  <c r="H750" i="3" s="1"/>
  <c r="Q748" i="3"/>
  <c r="R748" i="3" s="1"/>
  <c r="D748" i="3"/>
  <c r="Q747" i="3"/>
  <c r="D747" i="3"/>
  <c r="Q746" i="3"/>
  <c r="D746" i="3"/>
  <c r="Q745" i="3"/>
  <c r="D745" i="3"/>
  <c r="Q744" i="3"/>
  <c r="R744" i="3" s="1"/>
  <c r="D744" i="3"/>
  <c r="P743" i="3"/>
  <c r="P741" i="3" s="1"/>
  <c r="O743" i="3"/>
  <c r="O741" i="3" s="1"/>
  <c r="N743" i="3"/>
  <c r="N741" i="3" s="1"/>
  <c r="M743" i="3"/>
  <c r="M741" i="3" s="1"/>
  <c r="L743" i="3"/>
  <c r="L741" i="3"/>
  <c r="K743" i="3"/>
  <c r="K741" i="3" s="1"/>
  <c r="J743" i="3"/>
  <c r="J741" i="3" s="1"/>
  <c r="I743" i="3"/>
  <c r="I741" i="3" s="1"/>
  <c r="H743" i="3"/>
  <c r="G743" i="3"/>
  <c r="G741" i="3" s="1"/>
  <c r="F743" i="3"/>
  <c r="F741" i="3" s="1"/>
  <c r="E743" i="3"/>
  <c r="Q739" i="3"/>
  <c r="D739" i="3"/>
  <c r="Q738" i="3"/>
  <c r="D738" i="3"/>
  <c r="Q737" i="3"/>
  <c r="D737" i="3"/>
  <c r="Q736" i="3"/>
  <c r="D736" i="3"/>
  <c r="Q735" i="3"/>
  <c r="D735" i="3"/>
  <c r="P734" i="3"/>
  <c r="P732" i="3" s="1"/>
  <c r="O734" i="3"/>
  <c r="O732" i="3" s="1"/>
  <c r="N734" i="3"/>
  <c r="N732" i="3" s="1"/>
  <c r="M734" i="3"/>
  <c r="M732" i="3" s="1"/>
  <c r="L734" i="3"/>
  <c r="L732" i="3" s="1"/>
  <c r="K734" i="3"/>
  <c r="K732" i="3" s="1"/>
  <c r="J734" i="3"/>
  <c r="J732" i="3" s="1"/>
  <c r="I734" i="3"/>
  <c r="I732" i="3" s="1"/>
  <c r="H734" i="3"/>
  <c r="H732" i="3" s="1"/>
  <c r="G734" i="3"/>
  <c r="G732" i="3" s="1"/>
  <c r="F734" i="3"/>
  <c r="F732" i="3" s="1"/>
  <c r="E734" i="3"/>
  <c r="Q730" i="3"/>
  <c r="D730" i="3"/>
  <c r="Q729" i="3"/>
  <c r="D729" i="3"/>
  <c r="Q728" i="3"/>
  <c r="D728" i="3"/>
  <c r="Q727" i="3"/>
  <c r="D727" i="3"/>
  <c r="Q726" i="3"/>
  <c r="D726" i="3"/>
  <c r="P725" i="3"/>
  <c r="P723" i="3" s="1"/>
  <c r="O725" i="3"/>
  <c r="O723" i="3" s="1"/>
  <c r="N725" i="3"/>
  <c r="N723" i="3" s="1"/>
  <c r="M725" i="3"/>
  <c r="M723" i="3" s="1"/>
  <c r="L725" i="3"/>
  <c r="L723" i="3" s="1"/>
  <c r="K725" i="3"/>
  <c r="K723" i="3" s="1"/>
  <c r="J725" i="3"/>
  <c r="J723" i="3" s="1"/>
  <c r="I725" i="3"/>
  <c r="I723" i="3" s="1"/>
  <c r="H725" i="3"/>
  <c r="H723" i="3" s="1"/>
  <c r="G725" i="3"/>
  <c r="G723" i="3" s="1"/>
  <c r="F725" i="3"/>
  <c r="F723" i="3" s="1"/>
  <c r="E725" i="3"/>
  <c r="Q721" i="3"/>
  <c r="D721" i="3"/>
  <c r="Q720" i="3"/>
  <c r="D720" i="3"/>
  <c r="Q719" i="3"/>
  <c r="R719" i="3" s="1"/>
  <c r="D719" i="3"/>
  <c r="Q718" i="3"/>
  <c r="D718" i="3"/>
  <c r="Q717" i="3"/>
  <c r="D717" i="3"/>
  <c r="P716" i="3"/>
  <c r="P714" i="3" s="1"/>
  <c r="O716" i="3"/>
  <c r="O714" i="3" s="1"/>
  <c r="N716" i="3"/>
  <c r="N714" i="3" s="1"/>
  <c r="M716" i="3"/>
  <c r="M714" i="3" s="1"/>
  <c r="L716" i="3"/>
  <c r="L714" i="3" s="1"/>
  <c r="K716" i="3"/>
  <c r="K714" i="3"/>
  <c r="J716" i="3"/>
  <c r="J714" i="3" s="1"/>
  <c r="I716" i="3"/>
  <c r="I714" i="3" s="1"/>
  <c r="H716" i="3"/>
  <c r="G716" i="3"/>
  <c r="G714" i="3" s="1"/>
  <c r="F716" i="3"/>
  <c r="F714" i="3" s="1"/>
  <c r="E716" i="3"/>
  <c r="E714" i="3" s="1"/>
  <c r="Q712" i="3"/>
  <c r="D712" i="3"/>
  <c r="Q711" i="3"/>
  <c r="D711" i="3"/>
  <c r="Q710" i="3"/>
  <c r="D710" i="3"/>
  <c r="Q709" i="3"/>
  <c r="D709" i="3"/>
  <c r="D708" i="3"/>
  <c r="Q708" i="3"/>
  <c r="P707" i="3"/>
  <c r="O707" i="3"/>
  <c r="N707" i="3"/>
  <c r="N704" i="3"/>
  <c r="N703" i="3" s="1"/>
  <c r="M707" i="3"/>
  <c r="L707" i="3"/>
  <c r="K707" i="3"/>
  <c r="J707" i="3"/>
  <c r="J704" i="3"/>
  <c r="J703" i="3"/>
  <c r="I707" i="3"/>
  <c r="I704" i="3"/>
  <c r="I703" i="3" s="1"/>
  <c r="H707" i="3"/>
  <c r="G707" i="3"/>
  <c r="F707" i="3"/>
  <c r="F704" i="3"/>
  <c r="E707" i="3"/>
  <c r="Q706" i="3"/>
  <c r="R706" i="3" s="1"/>
  <c r="S706" i="3" s="1"/>
  <c r="Q705" i="3"/>
  <c r="D705" i="3"/>
  <c r="P704" i="3"/>
  <c r="P703" i="3"/>
  <c r="O704" i="3"/>
  <c r="O703" i="3" s="1"/>
  <c r="M704" i="3"/>
  <c r="M703" i="3" s="1"/>
  <c r="M701" i="3" s="1"/>
  <c r="L704" i="3"/>
  <c r="L703" i="3" s="1"/>
  <c r="L701" i="3" s="1"/>
  <c r="K704" i="3"/>
  <c r="K703" i="3"/>
  <c r="H704" i="3"/>
  <c r="H703" i="3" s="1"/>
  <c r="H701" i="3" s="1"/>
  <c r="G704" i="3"/>
  <c r="G703" i="3" s="1"/>
  <c r="G701" i="3" s="1"/>
  <c r="E704" i="3"/>
  <c r="E703" i="3"/>
  <c r="E701" i="3" s="1"/>
  <c r="Q699" i="3"/>
  <c r="R699" i="3" s="1"/>
  <c r="D699" i="3"/>
  <c r="Q698" i="3"/>
  <c r="D698" i="3"/>
  <c r="Q697" i="3"/>
  <c r="D697" i="3"/>
  <c r="Q696" i="3"/>
  <c r="D696" i="3"/>
  <c r="R696" i="3" s="1"/>
  <c r="Q695" i="3"/>
  <c r="D695" i="3"/>
  <c r="P694" i="3"/>
  <c r="O694" i="3"/>
  <c r="N694" i="3"/>
  <c r="M694" i="3"/>
  <c r="L694" i="3"/>
  <c r="K694" i="3"/>
  <c r="J694" i="3"/>
  <c r="I694" i="3"/>
  <c r="H694" i="3"/>
  <c r="G694" i="3"/>
  <c r="F694" i="3"/>
  <c r="E694" i="3"/>
  <c r="Q693" i="3"/>
  <c r="R693" i="3" s="1"/>
  <c r="S693" i="3" s="1"/>
  <c r="Q692" i="3"/>
  <c r="D692" i="3"/>
  <c r="Q691" i="3"/>
  <c r="D691" i="3"/>
  <c r="Q690" i="3"/>
  <c r="D690" i="3"/>
  <c r="Q689" i="3"/>
  <c r="D689" i="3"/>
  <c r="Q688" i="3"/>
  <c r="D688" i="3"/>
  <c r="Q687" i="3"/>
  <c r="D687" i="3"/>
  <c r="Q686" i="3"/>
  <c r="D686" i="3"/>
  <c r="Q685" i="3"/>
  <c r="D685" i="3"/>
  <c r="P684" i="3"/>
  <c r="O684" i="3"/>
  <c r="N684" i="3"/>
  <c r="M684" i="3"/>
  <c r="L684" i="3"/>
  <c r="K684" i="3"/>
  <c r="J684" i="3"/>
  <c r="I684" i="3"/>
  <c r="H684" i="3"/>
  <c r="G684" i="3"/>
  <c r="F684" i="3"/>
  <c r="E684" i="3"/>
  <c r="Q683" i="3"/>
  <c r="R683" i="3" s="1"/>
  <c r="S683" i="3" s="1"/>
  <c r="Q682" i="3"/>
  <c r="R682" i="3" s="1"/>
  <c r="D682" i="3"/>
  <c r="Q681" i="3"/>
  <c r="D681" i="3"/>
  <c r="Q680" i="3"/>
  <c r="D680" i="3"/>
  <c r="Q679" i="3"/>
  <c r="D679" i="3"/>
  <c r="Q678" i="3"/>
  <c r="D678" i="3"/>
  <c r="Q677" i="3"/>
  <c r="D677" i="3"/>
  <c r="R677" i="3" s="1"/>
  <c r="Q676" i="3"/>
  <c r="D676" i="3"/>
  <c r="Q675" i="3"/>
  <c r="D675" i="3"/>
  <c r="R675" i="3" s="1"/>
  <c r="Q674" i="3"/>
  <c r="R674" i="3" s="1"/>
  <c r="D674" i="3"/>
  <c r="P673" i="3"/>
  <c r="P672" i="3" s="1"/>
  <c r="O673" i="3"/>
  <c r="O672" i="3" s="1"/>
  <c r="N673" i="3"/>
  <c r="N672" i="3" s="1"/>
  <c r="M673" i="3"/>
  <c r="M672" i="3" s="1"/>
  <c r="L673" i="3"/>
  <c r="L672" i="3" s="1"/>
  <c r="K673" i="3"/>
  <c r="K672" i="3" s="1"/>
  <c r="J673" i="3"/>
  <c r="J672" i="3" s="1"/>
  <c r="I673" i="3"/>
  <c r="I672" i="3" s="1"/>
  <c r="H673" i="3"/>
  <c r="H672" i="3" s="1"/>
  <c r="G673" i="3"/>
  <c r="G672" i="3" s="1"/>
  <c r="F673" i="3"/>
  <c r="F672" i="3" s="1"/>
  <c r="F670" i="3" s="1"/>
  <c r="F668" i="3" s="1"/>
  <c r="E673" i="3"/>
  <c r="Q671" i="3"/>
  <c r="R671" i="3" s="1"/>
  <c r="S671" i="3" s="1"/>
  <c r="Q666" i="3"/>
  <c r="D666" i="3"/>
  <c r="Q665" i="3"/>
  <c r="D665" i="3"/>
  <c r="Q664" i="3"/>
  <c r="D664" i="3"/>
  <c r="Q663" i="3"/>
  <c r="D663" i="3"/>
  <c r="Q662" i="3"/>
  <c r="D662" i="3"/>
  <c r="P661" i="3"/>
  <c r="P660" i="3" s="1"/>
  <c r="O661" i="3"/>
  <c r="O660" i="3" s="1"/>
  <c r="N661" i="3"/>
  <c r="N660" i="3" s="1"/>
  <c r="M661" i="3"/>
  <c r="M660" i="3" s="1"/>
  <c r="L661" i="3"/>
  <c r="L660" i="3" s="1"/>
  <c r="K661" i="3"/>
  <c r="K660" i="3" s="1"/>
  <c r="J661" i="3"/>
  <c r="J660" i="3" s="1"/>
  <c r="I661" i="3"/>
  <c r="I660" i="3" s="1"/>
  <c r="H661" i="3"/>
  <c r="G661" i="3"/>
  <c r="G660" i="3" s="1"/>
  <c r="F661" i="3"/>
  <c r="F660" i="3" s="1"/>
  <c r="E661" i="3"/>
  <c r="Q658" i="3"/>
  <c r="D658" i="3"/>
  <c r="Q657" i="3"/>
  <c r="D657" i="3"/>
  <c r="Q656" i="3"/>
  <c r="D656" i="3"/>
  <c r="Q655" i="3"/>
  <c r="D655" i="3"/>
  <c r="P654" i="3"/>
  <c r="O654" i="3"/>
  <c r="N654" i="3"/>
  <c r="M654" i="3"/>
  <c r="L654" i="3"/>
  <c r="K654" i="3"/>
  <c r="J654" i="3"/>
  <c r="I654" i="3"/>
  <c r="H654" i="3"/>
  <c r="G654" i="3"/>
  <c r="F654" i="3"/>
  <c r="E654" i="3"/>
  <c r="Q653" i="3"/>
  <c r="R653" i="3" s="1"/>
  <c r="S653" i="3" s="1"/>
  <c r="Q652" i="3"/>
  <c r="D652" i="3"/>
  <c r="Q651" i="3"/>
  <c r="D651" i="3"/>
  <c r="Q650" i="3"/>
  <c r="D650" i="3"/>
  <c r="Q649" i="3"/>
  <c r="D649" i="3"/>
  <c r="Q648" i="3"/>
  <c r="D648" i="3"/>
  <c r="Q647" i="3"/>
  <c r="D647" i="3"/>
  <c r="Q646" i="3"/>
  <c r="D646" i="3"/>
  <c r="P645" i="3"/>
  <c r="O645" i="3"/>
  <c r="N645" i="3"/>
  <c r="M645" i="3"/>
  <c r="L645" i="3"/>
  <c r="K645" i="3"/>
  <c r="J645" i="3"/>
  <c r="I645" i="3"/>
  <c r="I639" i="3"/>
  <c r="H645" i="3"/>
  <c r="G645" i="3"/>
  <c r="F645" i="3"/>
  <c r="E645" i="3"/>
  <c r="Q644" i="3"/>
  <c r="R644" i="3" s="1"/>
  <c r="S644" i="3" s="1"/>
  <c r="Q643" i="3"/>
  <c r="D643" i="3"/>
  <c r="Q642" i="3"/>
  <c r="D642" i="3"/>
  <c r="Q641" i="3"/>
  <c r="D641" i="3"/>
  <c r="D639" i="3" s="1"/>
  <c r="Q640" i="3"/>
  <c r="S640" i="3" s="1"/>
  <c r="D640" i="3"/>
  <c r="P639" i="3"/>
  <c r="O639" i="3"/>
  <c r="N639" i="3"/>
  <c r="M639" i="3"/>
  <c r="L639" i="3"/>
  <c r="K639" i="3"/>
  <c r="K638" i="3" s="1"/>
  <c r="J639" i="3"/>
  <c r="H639" i="3"/>
  <c r="G639" i="3"/>
  <c r="F639" i="3"/>
  <c r="E639" i="3"/>
  <c r="Q635" i="3"/>
  <c r="D635" i="3"/>
  <c r="Q634" i="3"/>
  <c r="D634" i="3"/>
  <c r="Q633" i="3"/>
  <c r="D633" i="3"/>
  <c r="Q632" i="3"/>
  <c r="D632" i="3"/>
  <c r="Q631" i="3"/>
  <c r="D631" i="3"/>
  <c r="P630" i="3"/>
  <c r="O630" i="3"/>
  <c r="N630" i="3"/>
  <c r="M630" i="3"/>
  <c r="L630" i="3"/>
  <c r="K630" i="3"/>
  <c r="J630" i="3"/>
  <c r="I630" i="3"/>
  <c r="H630" i="3"/>
  <c r="E630" i="3"/>
  <c r="F630" i="3"/>
  <c r="G630" i="3"/>
  <c r="Q629" i="3"/>
  <c r="R629" i="3" s="1"/>
  <c r="S629" i="3" s="1"/>
  <c r="Q628" i="3"/>
  <c r="D628" i="3"/>
  <c r="Q627" i="3"/>
  <c r="D627" i="3"/>
  <c r="Q626" i="3"/>
  <c r="D626" i="3"/>
  <c r="Q625" i="3"/>
  <c r="D625" i="3"/>
  <c r="Q624" i="3"/>
  <c r="D624" i="3"/>
  <c r="Q623" i="3"/>
  <c r="D623" i="3"/>
  <c r="R623" i="3" s="1"/>
  <c r="Q622" i="3"/>
  <c r="D622" i="3"/>
  <c r="Q621" i="3"/>
  <c r="D621" i="3"/>
  <c r="Q620" i="3"/>
  <c r="D620" i="3"/>
  <c r="Q619" i="3"/>
  <c r="D619" i="3"/>
  <c r="S619" i="3" s="1"/>
  <c r="Q618" i="3"/>
  <c r="D618" i="3"/>
  <c r="P617" i="3"/>
  <c r="O617" i="3"/>
  <c r="N617" i="3"/>
  <c r="M617" i="3"/>
  <c r="L617" i="3"/>
  <c r="K617" i="3"/>
  <c r="J617" i="3"/>
  <c r="I617" i="3"/>
  <c r="H617" i="3"/>
  <c r="G617" i="3"/>
  <c r="F617" i="3"/>
  <c r="E617" i="3"/>
  <c r="Q616" i="3"/>
  <c r="R616" i="3" s="1"/>
  <c r="S616" i="3" s="1"/>
  <c r="Q615" i="3"/>
  <c r="D615" i="3"/>
  <c r="P614" i="3"/>
  <c r="P613" i="3" s="1"/>
  <c r="O614" i="3"/>
  <c r="O613" i="3" s="1"/>
  <c r="N614" i="3"/>
  <c r="N613" i="3" s="1"/>
  <c r="M614" i="3"/>
  <c r="M613" i="3" s="1"/>
  <c r="L614" i="3"/>
  <c r="L613" i="3" s="1"/>
  <c r="K614" i="3"/>
  <c r="K613" i="3" s="1"/>
  <c r="J614" i="3"/>
  <c r="J613" i="3" s="1"/>
  <c r="I614" i="3"/>
  <c r="I613" i="3" s="1"/>
  <c r="H614" i="3"/>
  <c r="H613" i="3" s="1"/>
  <c r="G614" i="3"/>
  <c r="G613" i="3" s="1"/>
  <c r="F614" i="3"/>
  <c r="F613" i="3" s="1"/>
  <c r="E614" i="3"/>
  <c r="E613" i="3" s="1"/>
  <c r="Q609" i="3"/>
  <c r="D609" i="3"/>
  <c r="Q608" i="3"/>
  <c r="D608" i="3"/>
  <c r="Q607" i="3"/>
  <c r="D607" i="3"/>
  <c r="Q606" i="3"/>
  <c r="D606" i="3"/>
  <c r="Q605" i="3"/>
  <c r="D605" i="3"/>
  <c r="P604" i="3"/>
  <c r="P603" i="3" s="1"/>
  <c r="O604" i="3"/>
  <c r="O603" i="3" s="1"/>
  <c r="N604" i="3"/>
  <c r="N603" i="3" s="1"/>
  <c r="M604" i="3"/>
  <c r="M603" i="3" s="1"/>
  <c r="L604" i="3"/>
  <c r="L603" i="3" s="1"/>
  <c r="K604" i="3"/>
  <c r="K603" i="3" s="1"/>
  <c r="J604" i="3"/>
  <c r="I604" i="3"/>
  <c r="I603" i="3" s="1"/>
  <c r="H604" i="3"/>
  <c r="H603" i="3" s="1"/>
  <c r="G604" i="3"/>
  <c r="G603" i="3" s="1"/>
  <c r="F604" i="3"/>
  <c r="F603" i="3" s="1"/>
  <c r="E604" i="3"/>
  <c r="Q601" i="3"/>
  <c r="D601" i="3"/>
  <c r="Q600" i="3"/>
  <c r="D600" i="3"/>
  <c r="Q599" i="3"/>
  <c r="D599" i="3"/>
  <c r="Q598" i="3"/>
  <c r="D598" i="3"/>
  <c r="Q597" i="3"/>
  <c r="D597" i="3"/>
  <c r="P596" i="3"/>
  <c r="P595" i="3" s="1"/>
  <c r="O596" i="3"/>
  <c r="O595" i="3" s="1"/>
  <c r="N596" i="3"/>
  <c r="N595" i="3" s="1"/>
  <c r="M596" i="3"/>
  <c r="M595" i="3" s="1"/>
  <c r="L596" i="3"/>
  <c r="L595" i="3" s="1"/>
  <c r="K596" i="3"/>
  <c r="K595" i="3" s="1"/>
  <c r="J596" i="3"/>
  <c r="J595" i="3" s="1"/>
  <c r="I596" i="3"/>
  <c r="I595" i="3" s="1"/>
  <c r="H596" i="3"/>
  <c r="H595" i="3" s="1"/>
  <c r="G596" i="3"/>
  <c r="F596" i="3"/>
  <c r="F595" i="3" s="1"/>
  <c r="E596" i="3"/>
  <c r="E595" i="3" s="1"/>
  <c r="Q593" i="3"/>
  <c r="D593" i="3"/>
  <c r="Q592" i="3"/>
  <c r="D592" i="3"/>
  <c r="Q591" i="3"/>
  <c r="D591" i="3"/>
  <c r="P590" i="3"/>
  <c r="P586" i="3" s="1"/>
  <c r="O590" i="3"/>
  <c r="O586" i="3" s="1"/>
  <c r="E590" i="3"/>
  <c r="E586" i="3" s="1"/>
  <c r="F590" i="3"/>
  <c r="F586" i="3" s="1"/>
  <c r="G590" i="3"/>
  <c r="G586" i="3" s="1"/>
  <c r="H590" i="3"/>
  <c r="H586" i="3" s="1"/>
  <c r="I590" i="3"/>
  <c r="I586" i="3" s="1"/>
  <c r="J590" i="3"/>
  <c r="J586" i="3" s="1"/>
  <c r="K590" i="3"/>
  <c r="K586" i="3" s="1"/>
  <c r="L590" i="3"/>
  <c r="L586" i="3" s="1"/>
  <c r="M590" i="3"/>
  <c r="M586" i="3" s="1"/>
  <c r="N590" i="3"/>
  <c r="N586" i="3" s="1"/>
  <c r="Q589" i="3"/>
  <c r="D589" i="3"/>
  <c r="Q588" i="3"/>
  <c r="D588" i="3"/>
  <c r="Q587" i="3"/>
  <c r="D587" i="3"/>
  <c r="Q585" i="3"/>
  <c r="R585" i="3" s="1"/>
  <c r="S585" i="3" s="1"/>
  <c r="Q584" i="3"/>
  <c r="D584" i="3"/>
  <c r="D583" i="3"/>
  <c r="Q583" i="3"/>
  <c r="C584" i="3"/>
  <c r="I587" i="4" s="1"/>
  <c r="P582" i="3"/>
  <c r="P579" i="3" s="1"/>
  <c r="P578" i="3" s="1"/>
  <c r="P577" i="3" s="1"/>
  <c r="O582" i="3"/>
  <c r="O579" i="3" s="1"/>
  <c r="O578" i="3" s="1"/>
  <c r="N582" i="3"/>
  <c r="N579" i="3" s="1"/>
  <c r="N578" i="3" s="1"/>
  <c r="M582" i="3"/>
  <c r="M579" i="3" s="1"/>
  <c r="M578" i="3" s="1"/>
  <c r="L582" i="3"/>
  <c r="L579" i="3" s="1"/>
  <c r="L578" i="3" s="1"/>
  <c r="K582" i="3"/>
  <c r="K579" i="3" s="1"/>
  <c r="K578" i="3" s="1"/>
  <c r="J582" i="3"/>
  <c r="J579" i="3" s="1"/>
  <c r="J578" i="3" s="1"/>
  <c r="I582" i="3"/>
  <c r="I579" i="3" s="1"/>
  <c r="I578" i="3" s="1"/>
  <c r="H582" i="3"/>
  <c r="H579" i="3"/>
  <c r="H578" i="3" s="1"/>
  <c r="G582" i="3"/>
  <c r="G579" i="3" s="1"/>
  <c r="G578" i="3" s="1"/>
  <c r="F582" i="3"/>
  <c r="E582" i="3"/>
  <c r="E579" i="3" s="1"/>
  <c r="E578" i="3" s="1"/>
  <c r="Q581" i="3"/>
  <c r="R581" i="3" s="1"/>
  <c r="S581" i="3" s="1"/>
  <c r="Q580" i="3"/>
  <c r="Q575" i="3"/>
  <c r="D575" i="3"/>
  <c r="D574" i="3" s="1"/>
  <c r="P574" i="3"/>
  <c r="O574" i="3"/>
  <c r="O523" i="3"/>
  <c r="O534" i="3"/>
  <c r="O548" i="3"/>
  <c r="O545" i="3" s="1"/>
  <c r="O564" i="3"/>
  <c r="N574" i="3"/>
  <c r="M574" i="3"/>
  <c r="L574" i="3"/>
  <c r="K574" i="3"/>
  <c r="K523" i="3"/>
  <c r="K534" i="3"/>
  <c r="K548" i="3"/>
  <c r="K545" i="3" s="1"/>
  <c r="K564" i="3"/>
  <c r="J574" i="3"/>
  <c r="I574" i="3"/>
  <c r="H574" i="3"/>
  <c r="G574" i="3"/>
  <c r="E574" i="3"/>
  <c r="F574" i="3"/>
  <c r="Q574" i="3" s="1"/>
  <c r="R574" i="3" s="1"/>
  <c r="Q573" i="3"/>
  <c r="D573" i="3"/>
  <c r="Q572" i="3"/>
  <c r="D572" i="3"/>
  <c r="R572" i="3" s="1"/>
  <c r="S572" i="3" s="1"/>
  <c r="Q571" i="3"/>
  <c r="D571" i="3"/>
  <c r="Q570" i="3"/>
  <c r="D570" i="3"/>
  <c r="R570" i="3" s="1"/>
  <c r="S570" i="3" s="1"/>
  <c r="Q569" i="3"/>
  <c r="D569" i="3"/>
  <c r="Q568" i="3"/>
  <c r="D568" i="3"/>
  <c r="Q567" i="3"/>
  <c r="R567" i="3" s="1"/>
  <c r="S567" i="3" s="1"/>
  <c r="D567" i="3"/>
  <c r="Q566" i="3"/>
  <c r="D566" i="3"/>
  <c r="D564" i="3" s="1"/>
  <c r="Q565" i="3"/>
  <c r="D565" i="3"/>
  <c r="P564" i="3"/>
  <c r="N564" i="3"/>
  <c r="N520" i="3" s="1"/>
  <c r="N518" i="3" s="1"/>
  <c r="M564" i="3"/>
  <c r="M523" i="3"/>
  <c r="M534" i="3"/>
  <c r="M548" i="3"/>
  <c r="L564" i="3"/>
  <c r="J564" i="3"/>
  <c r="I564" i="3"/>
  <c r="E564" i="3"/>
  <c r="F564" i="3"/>
  <c r="G564" i="3"/>
  <c r="H564" i="3"/>
  <c r="I523" i="3"/>
  <c r="I534" i="3"/>
  <c r="I548" i="3"/>
  <c r="I545" i="3" s="1"/>
  <c r="E523" i="3"/>
  <c r="E534" i="3"/>
  <c r="E548" i="3"/>
  <c r="E545" i="3" s="1"/>
  <c r="Q563" i="3"/>
  <c r="R563" i="3" s="1"/>
  <c r="S563" i="3" s="1"/>
  <c r="Q562" i="3"/>
  <c r="D562" i="3"/>
  <c r="Q561" i="3"/>
  <c r="R561" i="3" s="1"/>
  <c r="S561" i="3" s="1"/>
  <c r="Q560" i="3"/>
  <c r="R560" i="3" s="1"/>
  <c r="Q559" i="3"/>
  <c r="Q558" i="3"/>
  <c r="D558" i="3"/>
  <c r="Q557" i="3"/>
  <c r="D557" i="3"/>
  <c r="Q556" i="3"/>
  <c r="D556" i="3"/>
  <c r="Q555" i="3"/>
  <c r="D555" i="3"/>
  <c r="Q554" i="3"/>
  <c r="D554" i="3"/>
  <c r="Q553" i="3"/>
  <c r="D553" i="3"/>
  <c r="Q552" i="3"/>
  <c r="R552" i="3" s="1"/>
  <c r="D552" i="3"/>
  <c r="Q551" i="3"/>
  <c r="D551" i="3"/>
  <c r="Q550" i="3"/>
  <c r="D550" i="3"/>
  <c r="Q549" i="3"/>
  <c r="D549" i="3"/>
  <c r="P548" i="3"/>
  <c r="P545" i="3" s="1"/>
  <c r="N548" i="3"/>
  <c r="N545" i="3" s="1"/>
  <c r="N523" i="3"/>
  <c r="N534" i="3"/>
  <c r="L548" i="3"/>
  <c r="L545" i="3" s="1"/>
  <c r="J548" i="3"/>
  <c r="J545" i="3" s="1"/>
  <c r="H548" i="3"/>
  <c r="H545" i="3" s="1"/>
  <c r="G548" i="3"/>
  <c r="G545" i="3"/>
  <c r="G520" i="3" s="1"/>
  <c r="G518" i="3" s="1"/>
  <c r="F548" i="3"/>
  <c r="F545" i="3" s="1"/>
  <c r="F523" i="3"/>
  <c r="F534" i="3"/>
  <c r="Q547" i="3"/>
  <c r="R547" i="3" s="1"/>
  <c r="D547" i="3"/>
  <c r="Q546" i="3"/>
  <c r="D546" i="3"/>
  <c r="Q544" i="3"/>
  <c r="R544" i="3" s="1"/>
  <c r="S544" i="3" s="1"/>
  <c r="Q543" i="3"/>
  <c r="D543" i="3"/>
  <c r="Q542" i="3"/>
  <c r="D542" i="3"/>
  <c r="R542" i="3" s="1"/>
  <c r="Q541" i="3"/>
  <c r="R541" i="3" s="1"/>
  <c r="D541" i="3"/>
  <c r="Q540" i="3"/>
  <c r="D540" i="3"/>
  <c r="R540" i="3" s="1"/>
  <c r="Q539" i="3"/>
  <c r="R539" i="3" s="1"/>
  <c r="D539" i="3"/>
  <c r="Q538" i="3"/>
  <c r="D538" i="3"/>
  <c r="R538" i="3" s="1"/>
  <c r="Q537" i="3"/>
  <c r="D537" i="3"/>
  <c r="Q536" i="3"/>
  <c r="D536" i="3"/>
  <c r="D534" i="3" s="1"/>
  <c r="Q535" i="3"/>
  <c r="D535" i="3"/>
  <c r="P534" i="3"/>
  <c r="L534" i="3"/>
  <c r="J534" i="3"/>
  <c r="H534" i="3"/>
  <c r="G534" i="3"/>
  <c r="Q533" i="3"/>
  <c r="R533" i="3" s="1"/>
  <c r="S533" i="3" s="1"/>
  <c r="Q532" i="3"/>
  <c r="D532" i="3"/>
  <c r="Q531" i="3"/>
  <c r="D531" i="3"/>
  <c r="R531" i="3" s="1"/>
  <c r="Q530" i="3"/>
  <c r="R530" i="3" s="1"/>
  <c r="D530" i="3"/>
  <c r="Q529" i="3"/>
  <c r="D529" i="3"/>
  <c r="R529" i="3" s="1"/>
  <c r="Q528" i="3"/>
  <c r="D528" i="3"/>
  <c r="Q527" i="3"/>
  <c r="D527" i="3"/>
  <c r="Q526" i="3"/>
  <c r="R526" i="3" s="1"/>
  <c r="D526" i="3"/>
  <c r="Q525" i="3"/>
  <c r="D525" i="3"/>
  <c r="D523" i="3" s="1"/>
  <c r="Q524" i="3"/>
  <c r="R524" i="3" s="1"/>
  <c r="D524" i="3"/>
  <c r="P523" i="3"/>
  <c r="P522" i="3" s="1"/>
  <c r="L523" i="3"/>
  <c r="J523" i="3"/>
  <c r="J522" i="3" s="1"/>
  <c r="H523" i="3"/>
  <c r="H522" i="3" s="1"/>
  <c r="G523" i="3"/>
  <c r="G522" i="3" s="1"/>
  <c r="Q521" i="3"/>
  <c r="R521" i="3" s="1"/>
  <c r="S521" i="3" s="1"/>
  <c r="Q516" i="3"/>
  <c r="R516" i="3" s="1"/>
  <c r="D516" i="3"/>
  <c r="Q515" i="3"/>
  <c r="D515" i="3"/>
  <c r="Q514" i="3"/>
  <c r="D514" i="3"/>
  <c r="Q513" i="3"/>
  <c r="D513" i="3"/>
  <c r="D512" i="3"/>
  <c r="R512" i="3" s="1"/>
  <c r="Q512" i="3"/>
  <c r="P511" i="3"/>
  <c r="O511" i="3"/>
  <c r="N511" i="3"/>
  <c r="M511" i="3"/>
  <c r="L511" i="3"/>
  <c r="K511" i="3"/>
  <c r="K508" i="3"/>
  <c r="J511" i="3"/>
  <c r="I511" i="3"/>
  <c r="H511" i="3"/>
  <c r="H507" i="3" s="1"/>
  <c r="G511" i="3"/>
  <c r="E511" i="3"/>
  <c r="F511" i="3"/>
  <c r="Q510" i="3"/>
  <c r="R510" i="3" s="1"/>
  <c r="S510" i="3" s="1"/>
  <c r="Q509" i="3"/>
  <c r="D509" i="3"/>
  <c r="D508" i="3" s="1"/>
  <c r="P508" i="3"/>
  <c r="O508" i="3"/>
  <c r="N508" i="3"/>
  <c r="N507" i="3" s="1"/>
  <c r="M508" i="3"/>
  <c r="L508" i="3"/>
  <c r="L507" i="3" s="1"/>
  <c r="J508" i="3"/>
  <c r="J507" i="3" s="1"/>
  <c r="I508" i="3"/>
  <c r="H508" i="3"/>
  <c r="G508" i="3"/>
  <c r="F508" i="3"/>
  <c r="Q508" i="3" s="1"/>
  <c r="E508" i="3"/>
  <c r="Q505" i="3"/>
  <c r="D505" i="3"/>
  <c r="Q504" i="3"/>
  <c r="R504" i="3" s="1"/>
  <c r="D504" i="3"/>
  <c r="Q503" i="3"/>
  <c r="D503" i="3"/>
  <c r="Q502" i="3"/>
  <c r="D502" i="3"/>
  <c r="Q501" i="3"/>
  <c r="D501" i="3"/>
  <c r="P500" i="3"/>
  <c r="P499" i="3" s="1"/>
  <c r="O500" i="3"/>
  <c r="O499" i="3" s="1"/>
  <c r="N500" i="3"/>
  <c r="N499" i="3" s="1"/>
  <c r="M500" i="3"/>
  <c r="M499" i="3" s="1"/>
  <c r="L500" i="3"/>
  <c r="L499" i="3" s="1"/>
  <c r="K500" i="3"/>
  <c r="J500" i="3"/>
  <c r="J499" i="3" s="1"/>
  <c r="I500" i="3"/>
  <c r="I499" i="3" s="1"/>
  <c r="H500" i="3"/>
  <c r="G500" i="3"/>
  <c r="G499" i="3" s="1"/>
  <c r="F500" i="3"/>
  <c r="F499" i="3" s="1"/>
  <c r="E500" i="3"/>
  <c r="Q497" i="3"/>
  <c r="R497" i="3" s="1"/>
  <c r="D497" i="3"/>
  <c r="D496" i="3" s="1"/>
  <c r="P496" i="3"/>
  <c r="O496" i="3"/>
  <c r="N496" i="3"/>
  <c r="M496" i="3"/>
  <c r="L496" i="3"/>
  <c r="K496" i="3"/>
  <c r="J496" i="3"/>
  <c r="I496" i="3"/>
  <c r="H496" i="3"/>
  <c r="G496" i="3"/>
  <c r="F496" i="3"/>
  <c r="Q496" i="3" s="1"/>
  <c r="R496" i="3" s="1"/>
  <c r="E496" i="3"/>
  <c r="Q495" i="3"/>
  <c r="D495" i="3"/>
  <c r="Q494" i="3"/>
  <c r="D494" i="3"/>
  <c r="P493" i="3"/>
  <c r="P492" i="3" s="1"/>
  <c r="P491" i="3" s="1"/>
  <c r="P490" i="3" s="1"/>
  <c r="O493" i="3"/>
  <c r="O492" i="3" s="1"/>
  <c r="O491" i="3" s="1"/>
  <c r="O490" i="3" s="1"/>
  <c r="N493" i="3"/>
  <c r="N492" i="3" s="1"/>
  <c r="N491" i="3" s="1"/>
  <c r="M493" i="3"/>
  <c r="M492" i="3" s="1"/>
  <c r="M491" i="3" s="1"/>
  <c r="M490" i="3" s="1"/>
  <c r="L493" i="3"/>
  <c r="L492" i="3" s="1"/>
  <c r="L491" i="3" s="1"/>
  <c r="L490" i="3" s="1"/>
  <c r="K493" i="3"/>
  <c r="K492" i="3" s="1"/>
  <c r="K491" i="3" s="1"/>
  <c r="K490" i="3" s="1"/>
  <c r="J493" i="3"/>
  <c r="J492" i="3" s="1"/>
  <c r="J491" i="3" s="1"/>
  <c r="J490" i="3" s="1"/>
  <c r="I493" i="3"/>
  <c r="I492" i="3" s="1"/>
  <c r="I491" i="3" s="1"/>
  <c r="I490" i="3" s="1"/>
  <c r="H493" i="3"/>
  <c r="H492" i="3" s="1"/>
  <c r="H491" i="3" s="1"/>
  <c r="H490" i="3" s="1"/>
  <c r="G493" i="3"/>
  <c r="G492" i="3" s="1"/>
  <c r="G491" i="3" s="1"/>
  <c r="G490" i="3" s="1"/>
  <c r="F493" i="3"/>
  <c r="E493" i="3"/>
  <c r="E492" i="3" s="1"/>
  <c r="Q488" i="3"/>
  <c r="D488" i="3"/>
  <c r="P487" i="3"/>
  <c r="O487" i="3"/>
  <c r="N487" i="3"/>
  <c r="M487" i="3"/>
  <c r="L487" i="3"/>
  <c r="K487" i="3"/>
  <c r="J487" i="3"/>
  <c r="I487" i="3"/>
  <c r="H487" i="3"/>
  <c r="Q487" i="3" s="1"/>
  <c r="G487" i="3"/>
  <c r="F487" i="3"/>
  <c r="E487" i="3"/>
  <c r="Q486" i="3"/>
  <c r="D486" i="3"/>
  <c r="Q485" i="3"/>
  <c r="D485" i="3"/>
  <c r="P484" i="3"/>
  <c r="P483" i="3" s="1"/>
  <c r="P482" i="3" s="1"/>
  <c r="O484" i="3"/>
  <c r="N484" i="3"/>
  <c r="N483" i="3" s="1"/>
  <c r="N482" i="3" s="1"/>
  <c r="M484" i="3"/>
  <c r="L484" i="3"/>
  <c r="K484" i="3"/>
  <c r="J484" i="3"/>
  <c r="J483" i="3" s="1"/>
  <c r="J482" i="3" s="1"/>
  <c r="I484" i="3"/>
  <c r="I483" i="3"/>
  <c r="I482" i="3" s="1"/>
  <c r="H484" i="3"/>
  <c r="G484" i="3"/>
  <c r="F484" i="3"/>
  <c r="E484" i="3"/>
  <c r="Q481" i="3"/>
  <c r="R481" i="3" s="1"/>
  <c r="S481" i="3" s="1"/>
  <c r="Q480" i="3"/>
  <c r="D480" i="3"/>
  <c r="Q479" i="3"/>
  <c r="S479" i="3" s="1"/>
  <c r="D479" i="3"/>
  <c r="Q478" i="3"/>
  <c r="D478" i="3"/>
  <c r="P477" i="3"/>
  <c r="O477" i="3"/>
  <c r="N477" i="3"/>
  <c r="M477" i="3"/>
  <c r="L477" i="3"/>
  <c r="K477" i="3"/>
  <c r="J477" i="3"/>
  <c r="I477" i="3"/>
  <c r="H477" i="3"/>
  <c r="Q477" i="3" s="1"/>
  <c r="G477" i="3"/>
  <c r="F477" i="3"/>
  <c r="E477" i="3"/>
  <c r="Q476" i="3"/>
  <c r="D476" i="3"/>
  <c r="Q475" i="3"/>
  <c r="D475" i="3"/>
  <c r="Q474" i="3"/>
  <c r="D474" i="3"/>
  <c r="Q473" i="3"/>
  <c r="D473" i="3"/>
  <c r="D472" i="3"/>
  <c r="Q472" i="3"/>
  <c r="P471" i="3"/>
  <c r="O471" i="3"/>
  <c r="N471" i="3"/>
  <c r="M471" i="3"/>
  <c r="L471" i="3"/>
  <c r="K471" i="3"/>
  <c r="J471" i="3"/>
  <c r="I471" i="3"/>
  <c r="H471" i="3"/>
  <c r="G471" i="3"/>
  <c r="F471" i="3"/>
  <c r="Q471" i="3" s="1"/>
  <c r="E471" i="3"/>
  <c r="Q470" i="3"/>
  <c r="D470" i="3"/>
  <c r="Q469" i="3"/>
  <c r="D469" i="3"/>
  <c r="Q468" i="3"/>
  <c r="D468" i="3"/>
  <c r="Q467" i="3"/>
  <c r="D467" i="3"/>
  <c r="P466" i="3"/>
  <c r="P464" i="3"/>
  <c r="P458" i="3"/>
  <c r="O466" i="3"/>
  <c r="N466" i="3"/>
  <c r="M466" i="3"/>
  <c r="L466" i="3"/>
  <c r="L464" i="3"/>
  <c r="L458" i="3"/>
  <c r="K466" i="3"/>
  <c r="J466" i="3"/>
  <c r="I466" i="3"/>
  <c r="H466" i="3"/>
  <c r="G466" i="3"/>
  <c r="F466" i="3"/>
  <c r="E466" i="3"/>
  <c r="Q465" i="3"/>
  <c r="D465" i="3"/>
  <c r="D464" i="3" s="1"/>
  <c r="O464" i="3"/>
  <c r="O462" i="3" s="1"/>
  <c r="O461" i="3" s="1"/>
  <c r="N464" i="3"/>
  <c r="M464" i="3"/>
  <c r="K464" i="3"/>
  <c r="J464" i="3"/>
  <c r="J462" i="3" s="1"/>
  <c r="J461" i="3" s="1"/>
  <c r="J457" i="3" s="1"/>
  <c r="J456" i="3" s="1"/>
  <c r="I464" i="3"/>
  <c r="H464" i="3"/>
  <c r="E464" i="3"/>
  <c r="F464" i="3"/>
  <c r="G464" i="3"/>
  <c r="Q463" i="3"/>
  <c r="D463" i="3"/>
  <c r="Q460" i="3"/>
  <c r="R460" i="3" s="1"/>
  <c r="S460" i="3" s="1"/>
  <c r="Q459" i="3"/>
  <c r="D459" i="3"/>
  <c r="O458" i="3"/>
  <c r="N458" i="3"/>
  <c r="M458" i="3"/>
  <c r="K458" i="3"/>
  <c r="J458" i="3"/>
  <c r="I458" i="3"/>
  <c r="H458" i="3"/>
  <c r="G458" i="3"/>
  <c r="F458" i="3"/>
  <c r="E458" i="3"/>
  <c r="Q458" i="3" s="1"/>
  <c r="Q454" i="3"/>
  <c r="D454" i="3"/>
  <c r="Q453" i="3"/>
  <c r="D453" i="3"/>
  <c r="R453" i="3" s="1"/>
  <c r="Q452" i="3"/>
  <c r="D452" i="3"/>
  <c r="Q451" i="3"/>
  <c r="D451" i="3"/>
  <c r="S451" i="3" s="1"/>
  <c r="Q450" i="3"/>
  <c r="D450" i="3"/>
  <c r="Q449" i="3"/>
  <c r="D449" i="3"/>
  <c r="D448" i="3" s="1"/>
  <c r="D447" i="3" s="1"/>
  <c r="D446" i="3" s="1"/>
  <c r="P448" i="3"/>
  <c r="P447" i="3" s="1"/>
  <c r="P446" i="3" s="1"/>
  <c r="O448" i="3"/>
  <c r="O447" i="3" s="1"/>
  <c r="O446" i="3" s="1"/>
  <c r="N448" i="3"/>
  <c r="N447" i="3" s="1"/>
  <c r="N446" i="3" s="1"/>
  <c r="M448" i="3"/>
  <c r="M447" i="3" s="1"/>
  <c r="M446" i="3" s="1"/>
  <c r="L448" i="3"/>
  <c r="L447" i="3" s="1"/>
  <c r="L446" i="3" s="1"/>
  <c r="K448" i="3"/>
  <c r="K447" i="3" s="1"/>
  <c r="K446" i="3" s="1"/>
  <c r="J448" i="3"/>
  <c r="J447" i="3" s="1"/>
  <c r="J446" i="3" s="1"/>
  <c r="I448" i="3"/>
  <c r="I447" i="3" s="1"/>
  <c r="I446" i="3" s="1"/>
  <c r="H448" i="3"/>
  <c r="H447" i="3" s="1"/>
  <c r="H446" i="3" s="1"/>
  <c r="G448" i="3"/>
  <c r="F448" i="3"/>
  <c r="F447" i="3" s="1"/>
  <c r="E448" i="3"/>
  <c r="E447" i="3" s="1"/>
  <c r="E446" i="3" s="1"/>
  <c r="Q444" i="3"/>
  <c r="D444" i="3"/>
  <c r="Q443" i="3"/>
  <c r="D443" i="3"/>
  <c r="P442" i="3"/>
  <c r="P441" i="3" s="1"/>
  <c r="O442" i="3"/>
  <c r="O441" i="3" s="1"/>
  <c r="N442" i="3"/>
  <c r="N441" i="3" s="1"/>
  <c r="M442" i="3"/>
  <c r="M441" i="3" s="1"/>
  <c r="L442" i="3"/>
  <c r="L441" i="3" s="1"/>
  <c r="L429" i="3"/>
  <c r="L436" i="3"/>
  <c r="K442" i="3"/>
  <c r="K441" i="3" s="1"/>
  <c r="J442" i="3"/>
  <c r="J441" i="3" s="1"/>
  <c r="I442" i="3"/>
  <c r="I441" i="3" s="1"/>
  <c r="H442" i="3"/>
  <c r="H441" i="3" s="1"/>
  <c r="G442" i="3"/>
  <c r="F442" i="3"/>
  <c r="F441" i="3" s="1"/>
  <c r="E442" i="3"/>
  <c r="Q440" i="3"/>
  <c r="Q439" i="3"/>
  <c r="S439" i="3" s="1"/>
  <c r="D439" i="3"/>
  <c r="Q438" i="3"/>
  <c r="D438" i="3"/>
  <c r="Q437" i="3"/>
  <c r="D437" i="3"/>
  <c r="P436" i="3"/>
  <c r="O436" i="3"/>
  <c r="N436" i="3"/>
  <c r="M436" i="3"/>
  <c r="K436" i="3"/>
  <c r="J436" i="3"/>
  <c r="I436" i="3"/>
  <c r="I429" i="3"/>
  <c r="H436" i="3"/>
  <c r="G436" i="3"/>
  <c r="F436" i="3"/>
  <c r="E436" i="3"/>
  <c r="Q435" i="3"/>
  <c r="R435" i="3" s="1"/>
  <c r="S435" i="3" s="1"/>
  <c r="Q434" i="3"/>
  <c r="D434" i="3"/>
  <c r="Q433" i="3"/>
  <c r="D433" i="3"/>
  <c r="Q432" i="3"/>
  <c r="D432" i="3"/>
  <c r="S432" i="3" s="1"/>
  <c r="Q431" i="3"/>
  <c r="D431" i="3"/>
  <c r="Q430" i="3"/>
  <c r="D430" i="3"/>
  <c r="R430" i="3" s="1"/>
  <c r="P429" i="3"/>
  <c r="O429" i="3"/>
  <c r="N429" i="3"/>
  <c r="M429" i="3"/>
  <c r="M428" i="3" s="1"/>
  <c r="K429" i="3"/>
  <c r="J429" i="3"/>
  <c r="H429" i="3"/>
  <c r="G429" i="3"/>
  <c r="F429" i="3"/>
  <c r="E429" i="3"/>
  <c r="Q425" i="3"/>
  <c r="D425" i="3"/>
  <c r="Q424" i="3"/>
  <c r="D424" i="3"/>
  <c r="P423" i="3"/>
  <c r="O423" i="3"/>
  <c r="N423" i="3"/>
  <c r="N421" i="3"/>
  <c r="M423" i="3"/>
  <c r="L423" i="3"/>
  <c r="L420" i="3" s="1"/>
  <c r="K423" i="3"/>
  <c r="J423" i="3"/>
  <c r="J421" i="3"/>
  <c r="I423" i="3"/>
  <c r="H423" i="3"/>
  <c r="G423" i="3"/>
  <c r="F423" i="3"/>
  <c r="E423" i="3"/>
  <c r="Q423" i="3" s="1"/>
  <c r="Q422" i="3"/>
  <c r="D422" i="3"/>
  <c r="D421" i="3" s="1"/>
  <c r="P421" i="3"/>
  <c r="O421" i="3"/>
  <c r="O420" i="3" s="1"/>
  <c r="M421" i="3"/>
  <c r="L421" i="3"/>
  <c r="K421" i="3"/>
  <c r="I421" i="3"/>
  <c r="I420" i="3" s="1"/>
  <c r="H421" i="3"/>
  <c r="H420" i="3" s="1"/>
  <c r="G421" i="3"/>
  <c r="F421" i="3"/>
  <c r="E421" i="3"/>
  <c r="Q419" i="3"/>
  <c r="R419" i="3" s="1"/>
  <c r="S419" i="3" s="1"/>
  <c r="Q418" i="3"/>
  <c r="D418" i="3"/>
  <c r="Q417" i="3"/>
  <c r="S417" i="3" s="1"/>
  <c r="D417" i="3"/>
  <c r="Q416" i="3"/>
  <c r="D416" i="3"/>
  <c r="P415" i="3"/>
  <c r="P407" i="3" s="1"/>
  <c r="O415" i="3"/>
  <c r="N415" i="3"/>
  <c r="M415" i="3"/>
  <c r="L415" i="3"/>
  <c r="K415" i="3"/>
  <c r="J415" i="3"/>
  <c r="I415" i="3"/>
  <c r="H415" i="3"/>
  <c r="Q415" i="3" s="1"/>
  <c r="G415" i="3"/>
  <c r="F415" i="3"/>
  <c r="E415" i="3"/>
  <c r="Q414" i="3"/>
  <c r="R414" i="3" s="1"/>
  <c r="S414" i="3" s="1"/>
  <c r="Q413" i="3"/>
  <c r="D413" i="3"/>
  <c r="Q412" i="3"/>
  <c r="D412" i="3"/>
  <c r="Q411" i="3"/>
  <c r="D411" i="3"/>
  <c r="P410" i="3"/>
  <c r="O410" i="3"/>
  <c r="N410" i="3"/>
  <c r="M410" i="3"/>
  <c r="M386" i="3"/>
  <c r="M393" i="3"/>
  <c r="M397" i="3"/>
  <c r="M400" i="3"/>
  <c r="M404" i="3"/>
  <c r="L410" i="3"/>
  <c r="K410" i="3"/>
  <c r="K407" i="3" s="1"/>
  <c r="J410" i="3"/>
  <c r="I410" i="3"/>
  <c r="I407" i="3"/>
  <c r="H410" i="3"/>
  <c r="G410" i="3"/>
  <c r="F410" i="3"/>
  <c r="E410" i="3"/>
  <c r="E407" i="3" s="1"/>
  <c r="Q409" i="3"/>
  <c r="D409" i="3"/>
  <c r="Q408" i="3"/>
  <c r="D408" i="3"/>
  <c r="Q406" i="3"/>
  <c r="R406" i="3" s="1"/>
  <c r="S406" i="3" s="1"/>
  <c r="Q405" i="3"/>
  <c r="D405" i="3"/>
  <c r="D404" i="3" s="1"/>
  <c r="P404" i="3"/>
  <c r="O404" i="3"/>
  <c r="N404" i="3"/>
  <c r="L404" i="3"/>
  <c r="K404" i="3"/>
  <c r="J404" i="3"/>
  <c r="I404" i="3"/>
  <c r="H404" i="3"/>
  <c r="G404" i="3"/>
  <c r="F404" i="3"/>
  <c r="E404" i="3"/>
  <c r="Q403" i="3"/>
  <c r="R403" i="3" s="1"/>
  <c r="S403" i="3" s="1"/>
  <c r="Q402" i="3"/>
  <c r="S402" i="3" s="1"/>
  <c r="D402" i="3"/>
  <c r="Q401" i="3"/>
  <c r="D401" i="3"/>
  <c r="P400" i="3"/>
  <c r="O400" i="3"/>
  <c r="N400" i="3"/>
  <c r="L400" i="3"/>
  <c r="K400" i="3"/>
  <c r="J400" i="3"/>
  <c r="I400" i="3"/>
  <c r="H400" i="3"/>
  <c r="E400" i="3"/>
  <c r="Q400" i="3" s="1"/>
  <c r="F400" i="3"/>
  <c r="G400" i="3"/>
  <c r="Q399" i="3"/>
  <c r="R399" i="3" s="1"/>
  <c r="S399" i="3" s="1"/>
  <c r="Q398" i="3"/>
  <c r="R398" i="3" s="1"/>
  <c r="D398" i="3"/>
  <c r="D397" i="3" s="1"/>
  <c r="P397" i="3"/>
  <c r="O397" i="3"/>
  <c r="N397" i="3"/>
  <c r="L397" i="3"/>
  <c r="L386" i="3"/>
  <c r="L393" i="3"/>
  <c r="L407" i="3"/>
  <c r="K397" i="3"/>
  <c r="J397" i="3"/>
  <c r="I397" i="3"/>
  <c r="E397" i="3"/>
  <c r="F397" i="3"/>
  <c r="G397" i="3"/>
  <c r="H397" i="3"/>
  <c r="H386" i="3"/>
  <c r="H393" i="3"/>
  <c r="Q396" i="3"/>
  <c r="R396" i="3" s="1"/>
  <c r="S396" i="3" s="1"/>
  <c r="Q395" i="3"/>
  <c r="D395" i="3"/>
  <c r="Q394" i="3"/>
  <c r="D394" i="3"/>
  <c r="P393" i="3"/>
  <c r="O393" i="3"/>
  <c r="N393" i="3"/>
  <c r="K393" i="3"/>
  <c r="J393" i="3"/>
  <c r="I393" i="3"/>
  <c r="G393" i="3"/>
  <c r="F393" i="3"/>
  <c r="E393" i="3"/>
  <c r="Q392" i="3"/>
  <c r="R392" i="3" s="1"/>
  <c r="S392" i="3" s="1"/>
  <c r="Q391" i="3"/>
  <c r="D391" i="3"/>
  <c r="Q390" i="3"/>
  <c r="D390" i="3"/>
  <c r="Q389" i="3"/>
  <c r="D389" i="3"/>
  <c r="Q388" i="3"/>
  <c r="D388" i="3"/>
  <c r="Q387" i="3"/>
  <c r="D387" i="3"/>
  <c r="P386" i="3"/>
  <c r="O386" i="3"/>
  <c r="N386" i="3"/>
  <c r="K386" i="3"/>
  <c r="J386" i="3"/>
  <c r="I386" i="3"/>
  <c r="G386" i="3"/>
  <c r="F386" i="3"/>
  <c r="E386" i="3"/>
  <c r="Q384" i="3"/>
  <c r="R384" i="3" s="1"/>
  <c r="S384" i="3" s="1"/>
  <c r="Q383" i="3"/>
  <c r="D383" i="3"/>
  <c r="D382" i="3" s="1"/>
  <c r="P382" i="3"/>
  <c r="P373" i="3"/>
  <c r="P372" i="3" s="1"/>
  <c r="P371" i="3" s="1"/>
  <c r="O382" i="3"/>
  <c r="O373" i="3" s="1"/>
  <c r="O372" i="3" s="1"/>
  <c r="O371" i="3" s="1"/>
  <c r="N382" i="3"/>
  <c r="M382" i="3"/>
  <c r="M373" i="3" s="1"/>
  <c r="M372" i="3" s="1"/>
  <c r="M371" i="3" s="1"/>
  <c r="L382" i="3"/>
  <c r="L373" i="3" s="1"/>
  <c r="L372" i="3" s="1"/>
  <c r="L371" i="3" s="1"/>
  <c r="K382" i="3"/>
  <c r="K373" i="3" s="1"/>
  <c r="K372" i="3" s="1"/>
  <c r="K371" i="3" s="1"/>
  <c r="J382" i="3"/>
  <c r="J373" i="3"/>
  <c r="J372" i="3" s="1"/>
  <c r="J371" i="3" s="1"/>
  <c r="I382" i="3"/>
  <c r="H382" i="3"/>
  <c r="H373" i="3" s="1"/>
  <c r="H372" i="3" s="1"/>
  <c r="H371" i="3" s="1"/>
  <c r="G382" i="3"/>
  <c r="G373" i="3" s="1"/>
  <c r="G372" i="3" s="1"/>
  <c r="G371" i="3" s="1"/>
  <c r="F382" i="3"/>
  <c r="F373" i="3"/>
  <c r="E382" i="3"/>
  <c r="E373" i="3" s="1"/>
  <c r="E372" i="3" s="1"/>
  <c r="E371" i="3" s="1"/>
  <c r="Q381" i="3"/>
  <c r="R381" i="3" s="1"/>
  <c r="S381" i="3" s="1"/>
  <c r="Q380" i="3"/>
  <c r="D380" i="3"/>
  <c r="Q379" i="3"/>
  <c r="D379" i="3"/>
  <c r="Q378" i="3"/>
  <c r="D378" i="3"/>
  <c r="R378" i="3" s="1"/>
  <c r="Q377" i="3"/>
  <c r="D377" i="3"/>
  <c r="Q376" i="3"/>
  <c r="D376" i="3"/>
  <c r="S376" i="3" s="1"/>
  <c r="Q375" i="3"/>
  <c r="D375" i="3"/>
  <c r="Q374" i="3"/>
  <c r="D374" i="3"/>
  <c r="D373" i="3" s="1"/>
  <c r="D372" i="3" s="1"/>
  <c r="D371" i="3" s="1"/>
  <c r="Q370" i="3"/>
  <c r="R370" i="3" s="1"/>
  <c r="S370" i="3" s="1"/>
  <c r="Q369" i="3"/>
  <c r="D369" i="3"/>
  <c r="Q368" i="3"/>
  <c r="S368" i="3" s="1"/>
  <c r="D368" i="3"/>
  <c r="Q367" i="3"/>
  <c r="D367" i="3"/>
  <c r="Q366" i="3"/>
  <c r="D366" i="3"/>
  <c r="Q365" i="3"/>
  <c r="D365" i="3"/>
  <c r="Q364" i="3"/>
  <c r="D364" i="3"/>
  <c r="P363" i="3"/>
  <c r="P359" i="3" s="1"/>
  <c r="O363" i="3"/>
  <c r="O359" i="3" s="1"/>
  <c r="N363" i="3"/>
  <c r="N359" i="3" s="1"/>
  <c r="M363" i="3"/>
  <c r="M359" i="3" s="1"/>
  <c r="L363" i="3"/>
  <c r="L359" i="3" s="1"/>
  <c r="K363" i="3"/>
  <c r="K359" i="3" s="1"/>
  <c r="J363" i="3"/>
  <c r="J359" i="3" s="1"/>
  <c r="I363" i="3"/>
  <c r="I359" i="3" s="1"/>
  <c r="H363" i="3"/>
  <c r="H359" i="3"/>
  <c r="G363" i="3"/>
  <c r="F363" i="3"/>
  <c r="F359" i="3" s="1"/>
  <c r="E363" i="3"/>
  <c r="E359" i="3"/>
  <c r="Q362" i="3"/>
  <c r="S362" i="3" s="1"/>
  <c r="D362" i="3"/>
  <c r="Q361" i="3"/>
  <c r="D361" i="3"/>
  <c r="Q360" i="3"/>
  <c r="S360" i="3" s="1"/>
  <c r="D360" i="3"/>
  <c r="Q352" i="3"/>
  <c r="D352" i="3"/>
  <c r="Q351" i="3"/>
  <c r="R351" i="3" s="1"/>
  <c r="D351" i="3"/>
  <c r="Q350" i="3"/>
  <c r="D350" i="3"/>
  <c r="Q349" i="3"/>
  <c r="R349" i="3" s="1"/>
  <c r="D349" i="3"/>
  <c r="D348" i="3"/>
  <c r="E347" i="3"/>
  <c r="E346" i="3" s="1"/>
  <c r="F347" i="3"/>
  <c r="G347" i="3"/>
  <c r="H347" i="3"/>
  <c r="H346" i="3" s="1"/>
  <c r="I347" i="3"/>
  <c r="I346" i="3" s="1"/>
  <c r="J347" i="3"/>
  <c r="J346" i="3" s="1"/>
  <c r="K347" i="3"/>
  <c r="K346" i="3" s="1"/>
  <c r="L347" i="3"/>
  <c r="L346" i="3" s="1"/>
  <c r="M347" i="3"/>
  <c r="M346" i="3" s="1"/>
  <c r="N347" i="3"/>
  <c r="N346" i="3" s="1"/>
  <c r="O347" i="3"/>
  <c r="O346" i="3" s="1"/>
  <c r="P347" i="3"/>
  <c r="P346" i="3" s="1"/>
  <c r="Q348" i="3"/>
  <c r="Q344" i="3"/>
  <c r="R344" i="3" s="1"/>
  <c r="D344" i="3"/>
  <c r="Q343" i="3"/>
  <c r="D343" i="3"/>
  <c r="Q342" i="3"/>
  <c r="R342" i="3" s="1"/>
  <c r="D342" i="3"/>
  <c r="Q341" i="3"/>
  <c r="D341" i="3"/>
  <c r="Q340" i="3"/>
  <c r="R340" i="3" s="1"/>
  <c r="D340" i="3"/>
  <c r="P339" i="3"/>
  <c r="P338" i="3" s="1"/>
  <c r="O339" i="3"/>
  <c r="O338" i="3" s="1"/>
  <c r="N339" i="3"/>
  <c r="N338" i="3" s="1"/>
  <c r="M339" i="3"/>
  <c r="M338" i="3" s="1"/>
  <c r="L339" i="3"/>
  <c r="L338" i="3" s="1"/>
  <c r="K339" i="3"/>
  <c r="K338" i="3" s="1"/>
  <c r="J339" i="3"/>
  <c r="J338" i="3" s="1"/>
  <c r="I339" i="3"/>
  <c r="H339" i="3"/>
  <c r="H338" i="3" s="1"/>
  <c r="G339" i="3"/>
  <c r="G338" i="3" s="1"/>
  <c r="F339" i="3"/>
  <c r="E339" i="3"/>
  <c r="E338" i="3" s="1"/>
  <c r="Q336" i="3"/>
  <c r="D336" i="3"/>
  <c r="Q335" i="3"/>
  <c r="R335" i="3" s="1"/>
  <c r="D335" i="3"/>
  <c r="Q334" i="3"/>
  <c r="D334" i="3"/>
  <c r="Q333" i="3"/>
  <c r="R333" i="3" s="1"/>
  <c r="D333" i="3"/>
  <c r="D332" i="3"/>
  <c r="Q332" i="3"/>
  <c r="P331" i="3"/>
  <c r="P330" i="3" s="1"/>
  <c r="P281" i="3" s="1"/>
  <c r="O331" i="3"/>
  <c r="O330" i="3" s="1"/>
  <c r="N331" i="3"/>
  <c r="N330" i="3" s="1"/>
  <c r="M331" i="3"/>
  <c r="M330" i="3" s="1"/>
  <c r="L331" i="3"/>
  <c r="L330" i="3" s="1"/>
  <c r="L281" i="3" s="1"/>
  <c r="K331" i="3"/>
  <c r="K330" i="3"/>
  <c r="J331" i="3"/>
  <c r="J330" i="3" s="1"/>
  <c r="I331" i="3"/>
  <c r="I330" i="3" s="1"/>
  <c r="H331" i="3"/>
  <c r="H330" i="3" s="1"/>
  <c r="G331" i="3"/>
  <c r="F331" i="3"/>
  <c r="F330" i="3" s="1"/>
  <c r="E331" i="3"/>
  <c r="Q328" i="3"/>
  <c r="D328" i="3"/>
  <c r="Q327" i="3"/>
  <c r="D327" i="3"/>
  <c r="R327" i="3" s="1"/>
  <c r="Q326" i="3"/>
  <c r="D326" i="3"/>
  <c r="Q325" i="3"/>
  <c r="D325" i="3"/>
  <c r="Q324" i="3"/>
  <c r="D324" i="3"/>
  <c r="P323" i="3"/>
  <c r="P322" i="3" s="1"/>
  <c r="O323" i="3"/>
  <c r="O322" i="3" s="1"/>
  <c r="N323" i="3"/>
  <c r="N322" i="3" s="1"/>
  <c r="M323" i="3"/>
  <c r="M322" i="3" s="1"/>
  <c r="L323" i="3"/>
  <c r="L322" i="3" s="1"/>
  <c r="K323" i="3"/>
  <c r="K322" i="3" s="1"/>
  <c r="J323" i="3"/>
  <c r="J322" i="3" s="1"/>
  <c r="I323" i="3"/>
  <c r="H323" i="3"/>
  <c r="H322" i="3" s="1"/>
  <c r="G323" i="3"/>
  <c r="G322" i="3" s="1"/>
  <c r="F323" i="3"/>
  <c r="F322" i="3" s="1"/>
  <c r="E323" i="3"/>
  <c r="Q320" i="3"/>
  <c r="D320" i="3"/>
  <c r="R320" i="3" s="1"/>
  <c r="Q319" i="3"/>
  <c r="D319" i="3"/>
  <c r="Q318" i="3"/>
  <c r="D318" i="3"/>
  <c r="R318" i="3" s="1"/>
  <c r="Q317" i="3"/>
  <c r="D317" i="3"/>
  <c r="D316" i="3"/>
  <c r="Q316" i="3"/>
  <c r="P315" i="3"/>
  <c r="P314" i="3" s="1"/>
  <c r="O315" i="3"/>
  <c r="O314" i="3" s="1"/>
  <c r="N315" i="3"/>
  <c r="N314" i="3" s="1"/>
  <c r="M315" i="3"/>
  <c r="M314" i="3" s="1"/>
  <c r="L315" i="3"/>
  <c r="L314" i="3" s="1"/>
  <c r="K315" i="3"/>
  <c r="K314" i="3" s="1"/>
  <c r="J315" i="3"/>
  <c r="J314" i="3" s="1"/>
  <c r="I315" i="3"/>
  <c r="I314" i="3" s="1"/>
  <c r="H315" i="3"/>
  <c r="H314" i="3" s="1"/>
  <c r="G315" i="3"/>
  <c r="G314" i="3" s="1"/>
  <c r="F315" i="3"/>
  <c r="E315" i="3"/>
  <c r="E314" i="3" s="1"/>
  <c r="Q312" i="3"/>
  <c r="D312" i="3"/>
  <c r="Q311" i="3"/>
  <c r="D311" i="3"/>
  <c r="R311" i="3" s="1"/>
  <c r="Q310" i="3"/>
  <c r="D310" i="3"/>
  <c r="Q309" i="3"/>
  <c r="D309" i="3"/>
  <c r="Q308" i="3"/>
  <c r="D308" i="3"/>
  <c r="P307" i="3"/>
  <c r="P306" i="3" s="1"/>
  <c r="O307" i="3"/>
  <c r="O306" i="3" s="1"/>
  <c r="O281" i="3" s="1"/>
  <c r="N307" i="3"/>
  <c r="N306" i="3" s="1"/>
  <c r="M307" i="3"/>
  <c r="M306" i="3" s="1"/>
  <c r="L307" i="3"/>
  <c r="L306" i="3" s="1"/>
  <c r="K307" i="3"/>
  <c r="K306" i="3" s="1"/>
  <c r="J307" i="3"/>
  <c r="J306" i="3" s="1"/>
  <c r="I307" i="3"/>
  <c r="I306" i="3" s="1"/>
  <c r="H307" i="3"/>
  <c r="H306" i="3" s="1"/>
  <c r="G307" i="3"/>
  <c r="G306" i="3" s="1"/>
  <c r="F307" i="3"/>
  <c r="F306" i="3" s="1"/>
  <c r="E307" i="3"/>
  <c r="E306" i="3" s="1"/>
  <c r="Q304" i="3"/>
  <c r="D304" i="3"/>
  <c r="R304" i="3" s="1"/>
  <c r="Q303" i="3"/>
  <c r="D303" i="3"/>
  <c r="Q302" i="3"/>
  <c r="D302" i="3"/>
  <c r="Q301" i="3"/>
  <c r="D301" i="3"/>
  <c r="D300" i="3"/>
  <c r="Q300" i="3"/>
  <c r="P299" i="3"/>
  <c r="P298" i="3" s="1"/>
  <c r="O299" i="3"/>
  <c r="O298" i="3" s="1"/>
  <c r="N299" i="3"/>
  <c r="N298" i="3" s="1"/>
  <c r="M299" i="3"/>
  <c r="M298" i="3" s="1"/>
  <c r="M281" i="3" s="1"/>
  <c r="L299" i="3"/>
  <c r="L298" i="3" s="1"/>
  <c r="K299" i="3"/>
  <c r="K298" i="3" s="1"/>
  <c r="J299" i="3"/>
  <c r="J298" i="3" s="1"/>
  <c r="I299" i="3"/>
  <c r="I298" i="3" s="1"/>
  <c r="H299" i="3"/>
  <c r="G299" i="3"/>
  <c r="G298" i="3" s="1"/>
  <c r="F299" i="3"/>
  <c r="F298" i="3" s="1"/>
  <c r="E299" i="3"/>
  <c r="Q296" i="3"/>
  <c r="D296" i="3"/>
  <c r="Q295" i="3"/>
  <c r="D295" i="3"/>
  <c r="Q294" i="3"/>
  <c r="D294" i="3"/>
  <c r="Q293" i="3"/>
  <c r="D293" i="3"/>
  <c r="R293" i="3" s="1"/>
  <c r="Q292" i="3"/>
  <c r="D292" i="3"/>
  <c r="P291" i="3"/>
  <c r="O291" i="3"/>
  <c r="N291" i="3"/>
  <c r="M291" i="3"/>
  <c r="L291" i="3"/>
  <c r="K291" i="3"/>
  <c r="J291" i="3"/>
  <c r="I291" i="3"/>
  <c r="H291" i="3"/>
  <c r="G291" i="3"/>
  <c r="Q291" i="3" s="1"/>
  <c r="E291" i="3"/>
  <c r="F291" i="3"/>
  <c r="R290" i="3"/>
  <c r="Q289" i="3"/>
  <c r="D289" i="3"/>
  <c r="Q288" i="3"/>
  <c r="D288" i="3"/>
  <c r="Q287" i="3"/>
  <c r="R287" i="3" s="1"/>
  <c r="D287" i="3"/>
  <c r="P286" i="3"/>
  <c r="O286" i="3"/>
  <c r="O285" i="3" s="1"/>
  <c r="O284" i="3" s="1"/>
  <c r="O283" i="3" s="1"/>
  <c r="N286" i="3"/>
  <c r="N285" i="3" s="1"/>
  <c r="N284" i="3" s="1"/>
  <c r="N283" i="3" s="1"/>
  <c r="N281" i="3" s="1"/>
  <c r="M286" i="3"/>
  <c r="M285" i="3" s="1"/>
  <c r="M284" i="3" s="1"/>
  <c r="M283" i="3" s="1"/>
  <c r="L286" i="3"/>
  <c r="L285" i="3" s="1"/>
  <c r="L284" i="3" s="1"/>
  <c r="L283" i="3" s="1"/>
  <c r="K286" i="3"/>
  <c r="K285" i="3" s="1"/>
  <c r="K284" i="3" s="1"/>
  <c r="K283" i="3" s="1"/>
  <c r="J286" i="3"/>
  <c r="J285" i="3" s="1"/>
  <c r="J284" i="3" s="1"/>
  <c r="J283" i="3" s="1"/>
  <c r="J281" i="3" s="1"/>
  <c r="I286" i="3"/>
  <c r="I285" i="3" s="1"/>
  <c r="I284" i="3" s="1"/>
  <c r="I283" i="3" s="1"/>
  <c r="H286" i="3"/>
  <c r="H285" i="3" s="1"/>
  <c r="H284" i="3" s="1"/>
  <c r="H283" i="3" s="1"/>
  <c r="G286" i="3"/>
  <c r="G285" i="3" s="1"/>
  <c r="G284" i="3" s="1"/>
  <c r="G283" i="3" s="1"/>
  <c r="F286" i="3"/>
  <c r="F285" i="3" s="1"/>
  <c r="F284" i="3" s="1"/>
  <c r="F283" i="3" s="1"/>
  <c r="E286" i="3"/>
  <c r="E285" i="3" s="1"/>
  <c r="E284" i="3" s="1"/>
  <c r="P285" i="3"/>
  <c r="P284" i="3" s="1"/>
  <c r="P283" i="3" s="1"/>
  <c r="Q279" i="3"/>
  <c r="D279" i="3"/>
  <c r="R279" i="3" s="1"/>
  <c r="Q278" i="3"/>
  <c r="D278" i="3"/>
  <c r="Q277" i="3"/>
  <c r="D277" i="3"/>
  <c r="R277" i="3" s="1"/>
  <c r="Q276" i="3"/>
  <c r="D276" i="3"/>
  <c r="Q275" i="3"/>
  <c r="D275" i="3"/>
  <c r="P274" i="3"/>
  <c r="P273" i="3" s="1"/>
  <c r="O274" i="3"/>
  <c r="O273" i="3" s="1"/>
  <c r="N274" i="3"/>
  <c r="N273" i="3" s="1"/>
  <c r="M274" i="3"/>
  <c r="M273" i="3" s="1"/>
  <c r="L274" i="3"/>
  <c r="L273" i="3" s="1"/>
  <c r="K274" i="3"/>
  <c r="K273" i="3" s="1"/>
  <c r="J274" i="3"/>
  <c r="J273" i="3" s="1"/>
  <c r="I274" i="3"/>
  <c r="I273" i="3" s="1"/>
  <c r="H274" i="3"/>
  <c r="H273" i="3" s="1"/>
  <c r="G274" i="3"/>
  <c r="F274" i="3"/>
  <c r="F273" i="3" s="1"/>
  <c r="E274" i="3"/>
  <c r="Q271" i="3"/>
  <c r="D271" i="3"/>
  <c r="Q270" i="3"/>
  <c r="D270" i="3"/>
  <c r="R270" i="3" s="1"/>
  <c r="Q269" i="3"/>
  <c r="D269" i="3"/>
  <c r="Q268" i="3"/>
  <c r="D268" i="3"/>
  <c r="D266" i="3" s="1"/>
  <c r="D265" i="3" s="1"/>
  <c r="D267" i="3"/>
  <c r="Q267" i="3"/>
  <c r="P266" i="3"/>
  <c r="P265" i="3" s="1"/>
  <c r="O266" i="3"/>
  <c r="O265" i="3" s="1"/>
  <c r="N266" i="3"/>
  <c r="N265" i="3" s="1"/>
  <c r="M266" i="3"/>
  <c r="M265" i="3" s="1"/>
  <c r="L266" i="3"/>
  <c r="L265" i="3" s="1"/>
  <c r="K266" i="3"/>
  <c r="K265" i="3" s="1"/>
  <c r="J266" i="3"/>
  <c r="J265" i="3" s="1"/>
  <c r="I266" i="3"/>
  <c r="I265" i="3" s="1"/>
  <c r="H266" i="3"/>
  <c r="G266" i="3"/>
  <c r="F266" i="3"/>
  <c r="F265" i="3" s="1"/>
  <c r="E266" i="3"/>
  <c r="E265" i="3" s="1"/>
  <c r="Q263" i="3"/>
  <c r="D263" i="3"/>
  <c r="R263" i="3" s="1"/>
  <c r="Q262" i="3"/>
  <c r="D262" i="3"/>
  <c r="Q261" i="3"/>
  <c r="D261" i="3"/>
  <c r="R261" i="3" s="1"/>
  <c r="Q260" i="3"/>
  <c r="D260" i="3"/>
  <c r="Q259" i="3"/>
  <c r="D259" i="3"/>
  <c r="R259" i="3" s="1"/>
  <c r="P258" i="3"/>
  <c r="P257" i="3" s="1"/>
  <c r="O258" i="3"/>
  <c r="O257" i="3" s="1"/>
  <c r="N258" i="3"/>
  <c r="N257" i="3" s="1"/>
  <c r="M258" i="3"/>
  <c r="M257" i="3" s="1"/>
  <c r="L258" i="3"/>
  <c r="L257" i="3" s="1"/>
  <c r="K258" i="3"/>
  <c r="K257" i="3" s="1"/>
  <c r="J258" i="3"/>
  <c r="J257" i="3" s="1"/>
  <c r="I258" i="3"/>
  <c r="I257" i="3" s="1"/>
  <c r="H258" i="3"/>
  <c r="H257" i="3" s="1"/>
  <c r="G258" i="3"/>
  <c r="F258" i="3"/>
  <c r="F257" i="3" s="1"/>
  <c r="E258" i="3"/>
  <c r="Q255" i="3"/>
  <c r="D255" i="3"/>
  <c r="Q254" i="3"/>
  <c r="D254" i="3"/>
  <c r="R254" i="3" s="1"/>
  <c r="Q253" i="3"/>
  <c r="D253" i="3"/>
  <c r="P252" i="3"/>
  <c r="O252" i="3"/>
  <c r="N252" i="3"/>
  <c r="M252" i="3"/>
  <c r="L252" i="3"/>
  <c r="K252" i="3"/>
  <c r="J252" i="3"/>
  <c r="I252" i="3"/>
  <c r="H252" i="3"/>
  <c r="G252" i="3"/>
  <c r="Q252" i="3" s="1"/>
  <c r="E252" i="3"/>
  <c r="F252" i="3"/>
  <c r="Q251" i="3"/>
  <c r="D251" i="3"/>
  <c r="R251" i="3" s="1"/>
  <c r="S251" i="3" s="1"/>
  <c r="Q250" i="3"/>
  <c r="D250" i="3"/>
  <c r="Q249" i="3"/>
  <c r="D249" i="3"/>
  <c r="Q248" i="3"/>
  <c r="D248" i="3"/>
  <c r="Q247" i="3"/>
  <c r="D247" i="3"/>
  <c r="P246" i="3"/>
  <c r="O246" i="3"/>
  <c r="N246" i="3"/>
  <c r="M246" i="3"/>
  <c r="L246" i="3"/>
  <c r="K246" i="3"/>
  <c r="J246" i="3"/>
  <c r="I246" i="3"/>
  <c r="H246" i="3"/>
  <c r="G246" i="3"/>
  <c r="F246" i="3"/>
  <c r="E246" i="3"/>
  <c r="Q245" i="3"/>
  <c r="R245" i="3" s="1"/>
  <c r="S245" i="3" s="1"/>
  <c r="Q244" i="3"/>
  <c r="D244" i="3"/>
  <c r="D241" i="3"/>
  <c r="D240" i="3" s="1"/>
  <c r="P243" i="3"/>
  <c r="O243" i="3"/>
  <c r="O240" i="3"/>
  <c r="N243" i="3"/>
  <c r="M243" i="3"/>
  <c r="L243" i="3"/>
  <c r="K243" i="3"/>
  <c r="K240" i="3"/>
  <c r="K239" i="3" s="1"/>
  <c r="K238" i="3" s="1"/>
  <c r="J243" i="3"/>
  <c r="I243" i="3"/>
  <c r="H243" i="3"/>
  <c r="G243" i="3"/>
  <c r="Q243" i="3" s="1"/>
  <c r="E243" i="3"/>
  <c r="F243" i="3"/>
  <c r="F240" i="3"/>
  <c r="Q242" i="3"/>
  <c r="R242" i="3" s="1"/>
  <c r="S242" i="3" s="1"/>
  <c r="Q241" i="3"/>
  <c r="P240" i="3"/>
  <c r="N240" i="3"/>
  <c r="M240" i="3"/>
  <c r="M239" i="3" s="1"/>
  <c r="M238" i="3" s="1"/>
  <c r="L240" i="3"/>
  <c r="J240" i="3"/>
  <c r="I240" i="3"/>
  <c r="H240" i="3"/>
  <c r="H239" i="3" s="1"/>
  <c r="H238" i="3" s="1"/>
  <c r="H237" i="3" s="1"/>
  <c r="G240" i="3"/>
  <c r="E240" i="3"/>
  <c r="Q235" i="3"/>
  <c r="D235" i="3"/>
  <c r="Q234" i="3"/>
  <c r="D234" i="3"/>
  <c r="Q233" i="3"/>
  <c r="D233" i="3"/>
  <c r="Q232" i="3"/>
  <c r="D232" i="3"/>
  <c r="P231" i="3"/>
  <c r="O231" i="3"/>
  <c r="N231" i="3"/>
  <c r="M231" i="3"/>
  <c r="L231" i="3"/>
  <c r="K231" i="3"/>
  <c r="J231" i="3"/>
  <c r="I231" i="3"/>
  <c r="H231" i="3"/>
  <c r="E231" i="3"/>
  <c r="Q231" i="3" s="1"/>
  <c r="F231" i="3"/>
  <c r="G231" i="3"/>
  <c r="R230" i="3"/>
  <c r="S230" i="3" s="1"/>
  <c r="Q229" i="3"/>
  <c r="R229" i="3" s="1"/>
  <c r="D229" i="3"/>
  <c r="Q228" i="3"/>
  <c r="D228" i="3"/>
  <c r="Q227" i="3"/>
  <c r="D227" i="3"/>
  <c r="Q226" i="3"/>
  <c r="D226" i="3"/>
  <c r="Q225" i="3"/>
  <c r="R225" i="3" s="1"/>
  <c r="D225" i="3"/>
  <c r="P224" i="3"/>
  <c r="O224" i="3"/>
  <c r="N224" i="3"/>
  <c r="M224" i="3"/>
  <c r="L224" i="3"/>
  <c r="K224" i="3"/>
  <c r="J224" i="3"/>
  <c r="I224" i="3"/>
  <c r="H224" i="3"/>
  <c r="G224" i="3"/>
  <c r="F224" i="3"/>
  <c r="Q224" i="3" s="1"/>
  <c r="E224" i="3"/>
  <c r="R223" i="3"/>
  <c r="S223" i="3" s="1"/>
  <c r="Q222" i="3"/>
  <c r="D222" i="3"/>
  <c r="P221" i="3"/>
  <c r="O221" i="3"/>
  <c r="N221" i="3"/>
  <c r="M221" i="3"/>
  <c r="L221" i="3"/>
  <c r="K221" i="3"/>
  <c r="J221" i="3"/>
  <c r="I221" i="3"/>
  <c r="H221" i="3"/>
  <c r="G221" i="3"/>
  <c r="F221" i="3"/>
  <c r="E221" i="3"/>
  <c r="Q221" i="3" s="1"/>
  <c r="R220" i="3"/>
  <c r="S220" i="3" s="1"/>
  <c r="Q219" i="3"/>
  <c r="D219" i="3"/>
  <c r="D218" i="3"/>
  <c r="P218" i="3"/>
  <c r="P217" i="3" s="1"/>
  <c r="O218" i="3"/>
  <c r="O217" i="3" s="1"/>
  <c r="N218" i="3"/>
  <c r="N217" i="3" s="1"/>
  <c r="N216" i="3" s="1"/>
  <c r="M218" i="3"/>
  <c r="M217" i="3" s="1"/>
  <c r="L218" i="3"/>
  <c r="L217" i="3" s="1"/>
  <c r="K218" i="3"/>
  <c r="K217" i="3" s="1"/>
  <c r="J218" i="3"/>
  <c r="J217" i="3" s="1"/>
  <c r="J216" i="3" s="1"/>
  <c r="I218" i="3"/>
  <c r="I217" i="3" s="1"/>
  <c r="H218" i="3"/>
  <c r="H217" i="3" s="1"/>
  <c r="G218" i="3"/>
  <c r="G217" i="3" s="1"/>
  <c r="F218" i="3"/>
  <c r="F217" i="3" s="1"/>
  <c r="E218" i="3"/>
  <c r="Q213" i="3"/>
  <c r="D213" i="3"/>
  <c r="P212" i="3"/>
  <c r="O212" i="3"/>
  <c r="N212" i="3"/>
  <c r="M212" i="3"/>
  <c r="L212" i="3"/>
  <c r="K212" i="3"/>
  <c r="J212" i="3"/>
  <c r="I212" i="3"/>
  <c r="H212" i="3"/>
  <c r="E212" i="3"/>
  <c r="Q212" i="3" s="1"/>
  <c r="F212" i="3"/>
  <c r="G212" i="3"/>
  <c r="Q211" i="3"/>
  <c r="R211" i="3" s="1"/>
  <c r="S211" i="3" s="1"/>
  <c r="Q210" i="3"/>
  <c r="D210" i="3"/>
  <c r="Q209" i="3"/>
  <c r="D209" i="3"/>
  <c r="Q208" i="3"/>
  <c r="D208" i="3"/>
  <c r="Q207" i="3"/>
  <c r="D207" i="3"/>
  <c r="Q206" i="3"/>
  <c r="D206" i="3"/>
  <c r="P205" i="3"/>
  <c r="O205" i="3"/>
  <c r="N205" i="3"/>
  <c r="M205" i="3"/>
  <c r="L205" i="3"/>
  <c r="K205" i="3"/>
  <c r="J205" i="3"/>
  <c r="I205" i="3"/>
  <c r="H205" i="3"/>
  <c r="G205" i="3"/>
  <c r="F205" i="3"/>
  <c r="Q205" i="3" s="1"/>
  <c r="R205" i="3" s="1"/>
  <c r="E205" i="3"/>
  <c r="Q204" i="3"/>
  <c r="R204" i="3" s="1"/>
  <c r="S204" i="3" s="1"/>
  <c r="Q203" i="3"/>
  <c r="D203" i="3"/>
  <c r="D202" i="3" s="1"/>
  <c r="P202" i="3"/>
  <c r="O202" i="3"/>
  <c r="O200" i="3"/>
  <c r="N202" i="3"/>
  <c r="N199" i="3" s="1"/>
  <c r="N198" i="3" s="1"/>
  <c r="N197" i="3" s="1"/>
  <c r="M202" i="3"/>
  <c r="L202" i="3"/>
  <c r="K202" i="3"/>
  <c r="K200" i="3"/>
  <c r="K199" i="3" s="1"/>
  <c r="K198" i="3" s="1"/>
  <c r="K197" i="3" s="1"/>
  <c r="J202" i="3"/>
  <c r="I202" i="3"/>
  <c r="H202" i="3"/>
  <c r="G202" i="3"/>
  <c r="Q202" i="3" s="1"/>
  <c r="R202" i="3" s="1"/>
  <c r="E202" i="3"/>
  <c r="F202" i="3"/>
  <c r="Q201" i="3"/>
  <c r="D201" i="3"/>
  <c r="P200" i="3"/>
  <c r="P199" i="3" s="1"/>
  <c r="P198" i="3" s="1"/>
  <c r="N200" i="3"/>
  <c r="M200" i="3"/>
  <c r="L200" i="3"/>
  <c r="L199" i="3" s="1"/>
  <c r="L198" i="3" s="1"/>
  <c r="L197" i="3" s="1"/>
  <c r="J200" i="3"/>
  <c r="I200" i="3"/>
  <c r="I199" i="3" s="1"/>
  <c r="I198" i="3" s="1"/>
  <c r="H200" i="3"/>
  <c r="H199" i="3" s="1"/>
  <c r="H198" i="3" s="1"/>
  <c r="G200" i="3"/>
  <c r="G199" i="3" s="1"/>
  <c r="G198" i="3" s="1"/>
  <c r="G197" i="3" s="1"/>
  <c r="F200" i="3"/>
  <c r="E200" i="3"/>
  <c r="Q195" i="3"/>
  <c r="D195" i="3"/>
  <c r="Q194" i="3"/>
  <c r="D194" i="3"/>
  <c r="Q193" i="3"/>
  <c r="D193" i="3"/>
  <c r="Q192" i="3"/>
  <c r="D192" i="3"/>
  <c r="D191" i="3"/>
  <c r="Q191" i="3"/>
  <c r="P190" i="3"/>
  <c r="P182" i="3" s="1"/>
  <c r="O190" i="3"/>
  <c r="O182" i="3"/>
  <c r="N190" i="3"/>
  <c r="N182" i="3" s="1"/>
  <c r="M190" i="3"/>
  <c r="M182" i="3" s="1"/>
  <c r="L190" i="3"/>
  <c r="L182" i="3" s="1"/>
  <c r="K190" i="3"/>
  <c r="K182" i="3" s="1"/>
  <c r="J190" i="3"/>
  <c r="J182" i="3" s="1"/>
  <c r="I190" i="3"/>
  <c r="I182" i="3" s="1"/>
  <c r="H190" i="3"/>
  <c r="H182" i="3" s="1"/>
  <c r="G190" i="3"/>
  <c r="F190" i="3"/>
  <c r="F182" i="3" s="1"/>
  <c r="E190" i="3"/>
  <c r="E182" i="3" s="1"/>
  <c r="Q188" i="3"/>
  <c r="Q187" i="3"/>
  <c r="R187" i="3" s="1"/>
  <c r="P186" i="3"/>
  <c r="P185" i="3" s="1"/>
  <c r="P184" i="3" s="1"/>
  <c r="O186" i="3"/>
  <c r="O185" i="3" s="1"/>
  <c r="O184" i="3" s="1"/>
  <c r="N186" i="3"/>
  <c r="N185" i="3" s="1"/>
  <c r="N184" i="3" s="1"/>
  <c r="M186" i="3"/>
  <c r="M185" i="3" s="1"/>
  <c r="M184" i="3" s="1"/>
  <c r="L186" i="3"/>
  <c r="L185" i="3" s="1"/>
  <c r="L184" i="3" s="1"/>
  <c r="K186" i="3"/>
  <c r="K185" i="3" s="1"/>
  <c r="K184" i="3" s="1"/>
  <c r="J186" i="3"/>
  <c r="J185" i="3" s="1"/>
  <c r="J184" i="3" s="1"/>
  <c r="I186" i="3"/>
  <c r="I185" i="3" s="1"/>
  <c r="I184" i="3" s="1"/>
  <c r="H186" i="3"/>
  <c r="G186" i="3"/>
  <c r="G185" i="3" s="1"/>
  <c r="G184" i="3" s="1"/>
  <c r="F186" i="3"/>
  <c r="F185" i="3" s="1"/>
  <c r="E186" i="3"/>
  <c r="D186" i="3"/>
  <c r="D185" i="3" s="1"/>
  <c r="D184" i="3" s="1"/>
  <c r="Q180" i="3"/>
  <c r="D180" i="3"/>
  <c r="Q179" i="3"/>
  <c r="D179" i="3"/>
  <c r="R179" i="3" s="1"/>
  <c r="Q178" i="3"/>
  <c r="D178" i="3"/>
  <c r="Q177" i="3"/>
  <c r="D177" i="3"/>
  <c r="Q176" i="3"/>
  <c r="D176" i="3"/>
  <c r="E175" i="3"/>
  <c r="Q175" i="3" s="1"/>
  <c r="Q173" i="3"/>
  <c r="S172" i="3"/>
  <c r="S171" i="3" s="1"/>
  <c r="S170" i="3" s="1"/>
  <c r="S169" i="3" s="1"/>
  <c r="R172" i="3"/>
  <c r="R171" i="3" s="1"/>
  <c r="R170" i="3" s="1"/>
  <c r="P172" i="3"/>
  <c r="P171" i="3" s="1"/>
  <c r="P170" i="3" s="1"/>
  <c r="P169" i="3" s="1"/>
  <c r="O172" i="3"/>
  <c r="O171" i="3" s="1"/>
  <c r="O170" i="3" s="1"/>
  <c r="O169" i="3" s="1"/>
  <c r="N172" i="3"/>
  <c r="N171" i="3" s="1"/>
  <c r="N170" i="3" s="1"/>
  <c r="N169" i="3" s="1"/>
  <c r="M172" i="3"/>
  <c r="M171" i="3" s="1"/>
  <c r="M170" i="3" s="1"/>
  <c r="M169" i="3" s="1"/>
  <c r="L172" i="3"/>
  <c r="L171" i="3" s="1"/>
  <c r="L170" i="3" s="1"/>
  <c r="L169" i="3" s="1"/>
  <c r="K172" i="3"/>
  <c r="K171" i="3" s="1"/>
  <c r="K170" i="3" s="1"/>
  <c r="K169" i="3" s="1"/>
  <c r="J172" i="3"/>
  <c r="J171" i="3" s="1"/>
  <c r="J170" i="3" s="1"/>
  <c r="J169" i="3" s="1"/>
  <c r="I172" i="3"/>
  <c r="I171" i="3" s="1"/>
  <c r="I170" i="3" s="1"/>
  <c r="I169" i="3" s="1"/>
  <c r="H172" i="3"/>
  <c r="H171" i="3" s="1"/>
  <c r="H170" i="3" s="1"/>
  <c r="H169" i="3" s="1"/>
  <c r="G172" i="3"/>
  <c r="G171" i="3" s="1"/>
  <c r="G170" i="3" s="1"/>
  <c r="F172" i="3"/>
  <c r="F171" i="3" s="1"/>
  <c r="F170" i="3" s="1"/>
  <c r="F169" i="3" s="1"/>
  <c r="E172" i="3"/>
  <c r="E171" i="3" s="1"/>
  <c r="D172" i="3"/>
  <c r="D171" i="3" s="1"/>
  <c r="D170" i="3" s="1"/>
  <c r="Q167" i="3"/>
  <c r="R167" i="3" s="1"/>
  <c r="D167" i="3"/>
  <c r="Q166" i="3"/>
  <c r="D166" i="3"/>
  <c r="Q165" i="3"/>
  <c r="D165" i="3"/>
  <c r="Q164" i="3"/>
  <c r="D164" i="3"/>
  <c r="Q163" i="3"/>
  <c r="D163" i="3"/>
  <c r="D162" i="3"/>
  <c r="Q162" i="3"/>
  <c r="R162" i="3" s="1"/>
  <c r="P161" i="3"/>
  <c r="O161" i="3"/>
  <c r="O157" i="3"/>
  <c r="N161" i="3"/>
  <c r="M161" i="3"/>
  <c r="L161" i="3"/>
  <c r="K161" i="3"/>
  <c r="J161" i="3"/>
  <c r="I161" i="3"/>
  <c r="Q161" i="3" s="1"/>
  <c r="H161" i="3"/>
  <c r="H157" i="3"/>
  <c r="G161" i="3"/>
  <c r="G157" i="3"/>
  <c r="F161" i="3"/>
  <c r="E161" i="3"/>
  <c r="Q160" i="3"/>
  <c r="R160" i="3" s="1"/>
  <c r="S160" i="3" s="1"/>
  <c r="Q159" i="3"/>
  <c r="D159" i="3"/>
  <c r="Q158" i="3"/>
  <c r="D158" i="3"/>
  <c r="P157" i="3"/>
  <c r="N157" i="3"/>
  <c r="M157" i="3"/>
  <c r="M156" i="3" s="1"/>
  <c r="M155" i="3" s="1"/>
  <c r="L157" i="3"/>
  <c r="L156" i="3" s="1"/>
  <c r="L155" i="3" s="1"/>
  <c r="K157" i="3"/>
  <c r="K156" i="3" s="1"/>
  <c r="K155" i="3" s="1"/>
  <c r="J157" i="3"/>
  <c r="I157" i="3"/>
  <c r="I156" i="3" s="1"/>
  <c r="I155" i="3" s="1"/>
  <c r="F157" i="3"/>
  <c r="E157" i="3"/>
  <c r="Q152" i="3"/>
  <c r="D152" i="3"/>
  <c r="Q151" i="3"/>
  <c r="D151" i="3"/>
  <c r="R151" i="3" s="1"/>
  <c r="D150" i="3"/>
  <c r="Q150" i="3"/>
  <c r="Q149" i="3"/>
  <c r="D149" i="3"/>
  <c r="Q148" i="3"/>
  <c r="D148" i="3"/>
  <c r="P147" i="3"/>
  <c r="P146" i="3" s="1"/>
  <c r="O147" i="3"/>
  <c r="N147" i="3"/>
  <c r="N146" i="3" s="1"/>
  <c r="M147" i="3"/>
  <c r="M146" i="3" s="1"/>
  <c r="L147" i="3"/>
  <c r="L146" i="3" s="1"/>
  <c r="K147" i="3"/>
  <c r="K146" i="3" s="1"/>
  <c r="J147" i="3"/>
  <c r="J146" i="3" s="1"/>
  <c r="I147" i="3"/>
  <c r="I146" i="3"/>
  <c r="H147" i="3"/>
  <c r="H146" i="3" s="1"/>
  <c r="G147" i="3"/>
  <c r="F147" i="3"/>
  <c r="F146" i="3"/>
  <c r="E147" i="3"/>
  <c r="E146" i="3" s="1"/>
  <c r="Q144" i="3"/>
  <c r="D144" i="3"/>
  <c r="Q143" i="3"/>
  <c r="D143" i="3"/>
  <c r="Q142" i="3"/>
  <c r="D142" i="3"/>
  <c r="Q141" i="3"/>
  <c r="D141" i="3"/>
  <c r="Q140" i="3"/>
  <c r="D140" i="3"/>
  <c r="P139" i="3"/>
  <c r="O139" i="3"/>
  <c r="N139" i="3"/>
  <c r="M139" i="3"/>
  <c r="L139" i="3"/>
  <c r="K139" i="3"/>
  <c r="J139" i="3"/>
  <c r="I139" i="3"/>
  <c r="H139" i="3"/>
  <c r="G139" i="3"/>
  <c r="E139" i="3"/>
  <c r="F139" i="3"/>
  <c r="R138" i="3"/>
  <c r="S138" i="3" s="1"/>
  <c r="Q137" i="3"/>
  <c r="D137" i="3"/>
  <c r="Q136" i="3"/>
  <c r="D136" i="3"/>
  <c r="P135" i="3"/>
  <c r="P134" i="3" s="1"/>
  <c r="P131" i="3"/>
  <c r="O135" i="3"/>
  <c r="O134" i="3" s="1"/>
  <c r="O131" i="3"/>
  <c r="N135" i="3"/>
  <c r="N134" i="3" s="1"/>
  <c r="M135" i="3"/>
  <c r="M134" i="3" s="1"/>
  <c r="M131" i="3"/>
  <c r="L135" i="3"/>
  <c r="L131" i="3"/>
  <c r="K135" i="3"/>
  <c r="K134" i="3" s="1"/>
  <c r="K131" i="3"/>
  <c r="J135" i="3"/>
  <c r="J134" i="3" s="1"/>
  <c r="I135" i="3"/>
  <c r="I134" i="3" s="1"/>
  <c r="I131" i="3"/>
  <c r="H135" i="3"/>
  <c r="H134" i="3" s="1"/>
  <c r="H131" i="3"/>
  <c r="G135" i="3"/>
  <c r="G131" i="3"/>
  <c r="F135" i="3"/>
  <c r="F134" i="3" s="1"/>
  <c r="E135" i="3"/>
  <c r="E134" i="3" s="1"/>
  <c r="R133" i="3"/>
  <c r="S133" i="3" s="1"/>
  <c r="Q132" i="3"/>
  <c r="R132" i="3" s="1"/>
  <c r="D132" i="3"/>
  <c r="D131" i="3" s="1"/>
  <c r="N131" i="3"/>
  <c r="J131" i="3"/>
  <c r="F131" i="3"/>
  <c r="E131" i="3"/>
  <c r="Q127" i="3"/>
  <c r="D127" i="3"/>
  <c r="Q126" i="3"/>
  <c r="D126" i="3"/>
  <c r="Q125" i="3"/>
  <c r="D125" i="3"/>
  <c r="Q124" i="3"/>
  <c r="D124" i="3"/>
  <c r="Q123" i="3"/>
  <c r="D123" i="3"/>
  <c r="Q122" i="3"/>
  <c r="D122" i="3"/>
  <c r="P121" i="3"/>
  <c r="O121" i="3"/>
  <c r="N121" i="3"/>
  <c r="M121" i="3"/>
  <c r="L121" i="3"/>
  <c r="K121" i="3"/>
  <c r="J121" i="3"/>
  <c r="I121" i="3"/>
  <c r="H121" i="3"/>
  <c r="G121" i="3"/>
  <c r="F121" i="3"/>
  <c r="E121" i="3"/>
  <c r="Q120" i="3"/>
  <c r="R120" i="3" s="1"/>
  <c r="S120" i="3" s="1"/>
  <c r="Q119" i="3"/>
  <c r="D119" i="3"/>
  <c r="D118" i="3" s="1"/>
  <c r="P118" i="3"/>
  <c r="O118" i="3"/>
  <c r="N118" i="3"/>
  <c r="M118" i="3"/>
  <c r="L118" i="3"/>
  <c r="K118" i="3"/>
  <c r="J118" i="3"/>
  <c r="I118" i="3"/>
  <c r="I116" i="3" s="1"/>
  <c r="H118" i="3"/>
  <c r="G118" i="3"/>
  <c r="F118" i="3"/>
  <c r="E118" i="3"/>
  <c r="E116" i="3" s="1"/>
  <c r="Q114" i="3"/>
  <c r="D114" i="3"/>
  <c r="Q113" i="3"/>
  <c r="D113" i="3"/>
  <c r="Q112" i="3"/>
  <c r="D112" i="3"/>
  <c r="Q111" i="3"/>
  <c r="D111" i="3"/>
  <c r="Q110" i="3"/>
  <c r="D110" i="3"/>
  <c r="P109" i="3"/>
  <c r="P106" i="3"/>
  <c r="O109" i="3"/>
  <c r="N109" i="3"/>
  <c r="N106" i="3"/>
  <c r="M109" i="3"/>
  <c r="L109" i="3"/>
  <c r="K109" i="3"/>
  <c r="J109" i="3"/>
  <c r="J106" i="3"/>
  <c r="I109" i="3"/>
  <c r="H109" i="3"/>
  <c r="G109" i="3"/>
  <c r="F109" i="3"/>
  <c r="F106" i="3"/>
  <c r="E109" i="3"/>
  <c r="E104" i="3" s="1"/>
  <c r="R108" i="3"/>
  <c r="S108" i="3" s="1"/>
  <c r="Q107" i="3"/>
  <c r="D107" i="3"/>
  <c r="D106" i="3" s="1"/>
  <c r="O106" i="3"/>
  <c r="M106" i="3"/>
  <c r="L106" i="3"/>
  <c r="K106" i="3"/>
  <c r="I106" i="3"/>
  <c r="I104" i="3" s="1"/>
  <c r="H106" i="3"/>
  <c r="G106" i="3"/>
  <c r="E106" i="3"/>
  <c r="Q102" i="3"/>
  <c r="D102" i="3"/>
  <c r="Q101" i="3"/>
  <c r="R101" i="3" s="1"/>
  <c r="D101" i="3"/>
  <c r="Q100" i="3"/>
  <c r="D100" i="3"/>
  <c r="Q99" i="3"/>
  <c r="D99" i="3"/>
  <c r="Q98" i="3"/>
  <c r="R98" i="3" s="1"/>
  <c r="D98" i="3"/>
  <c r="P97" i="3"/>
  <c r="O97" i="3"/>
  <c r="N97" i="3"/>
  <c r="N91" i="3" s="1"/>
  <c r="M97" i="3"/>
  <c r="L97" i="3"/>
  <c r="K97" i="3"/>
  <c r="J97" i="3"/>
  <c r="I97" i="3"/>
  <c r="I93" i="3"/>
  <c r="H97" i="3"/>
  <c r="G97" i="3"/>
  <c r="G91" i="3" s="1"/>
  <c r="F97" i="3"/>
  <c r="E97" i="3"/>
  <c r="E93" i="3"/>
  <c r="R96" i="3"/>
  <c r="S96" i="3" s="1"/>
  <c r="Q95" i="3"/>
  <c r="D95" i="3"/>
  <c r="D94" i="3"/>
  <c r="Q94" i="3"/>
  <c r="P93" i="3"/>
  <c r="P91" i="3" s="1"/>
  <c r="O93" i="3"/>
  <c r="O91" i="3" s="1"/>
  <c r="N93" i="3"/>
  <c r="M93" i="3"/>
  <c r="L93" i="3"/>
  <c r="L91" i="3" s="1"/>
  <c r="K93" i="3"/>
  <c r="J93" i="3"/>
  <c r="H93" i="3"/>
  <c r="H91" i="3" s="1"/>
  <c r="G93" i="3"/>
  <c r="F93" i="3"/>
  <c r="Q89" i="3"/>
  <c r="D89" i="3"/>
  <c r="Q88" i="3"/>
  <c r="R88" i="3" s="1"/>
  <c r="D88" i="3"/>
  <c r="Q87" i="3"/>
  <c r="D87" i="3"/>
  <c r="Q86" i="3"/>
  <c r="D86" i="3"/>
  <c r="Q85" i="3"/>
  <c r="D85" i="3"/>
  <c r="P84" i="3"/>
  <c r="O84" i="3"/>
  <c r="O79" i="3"/>
  <c r="O78" i="3" s="1"/>
  <c r="N84" i="3"/>
  <c r="M84" i="3"/>
  <c r="L84" i="3"/>
  <c r="K84" i="3"/>
  <c r="K79" i="3"/>
  <c r="J84" i="3"/>
  <c r="I84" i="3"/>
  <c r="H84" i="3"/>
  <c r="G84" i="3"/>
  <c r="F84" i="3"/>
  <c r="E84" i="3"/>
  <c r="R83" i="3"/>
  <c r="S83" i="3" s="1"/>
  <c r="Q82" i="3"/>
  <c r="D82" i="3"/>
  <c r="R81" i="3"/>
  <c r="S81" i="3" s="1"/>
  <c r="Q80" i="3"/>
  <c r="D80" i="3"/>
  <c r="P79" i="3"/>
  <c r="P78" i="3" s="1"/>
  <c r="N79" i="3"/>
  <c r="M79" i="3"/>
  <c r="L79" i="3"/>
  <c r="L78" i="3" s="1"/>
  <c r="J79" i="3"/>
  <c r="I79" i="3"/>
  <c r="H79" i="3"/>
  <c r="H78" i="3" s="1"/>
  <c r="G79" i="3"/>
  <c r="F79" i="3"/>
  <c r="E79" i="3"/>
  <c r="Q76" i="3"/>
  <c r="D76" i="3"/>
  <c r="Q75" i="3"/>
  <c r="D75" i="3"/>
  <c r="Q74" i="3"/>
  <c r="D74" i="3"/>
  <c r="Q73" i="3"/>
  <c r="R73" i="3" s="1"/>
  <c r="D73" i="3"/>
  <c r="Q72" i="3"/>
  <c r="D72" i="3"/>
  <c r="Q71" i="3"/>
  <c r="D71" i="3"/>
  <c r="D70" i="3"/>
  <c r="Q70" i="3"/>
  <c r="P69" i="3"/>
  <c r="O69" i="3"/>
  <c r="O68" i="3" s="1"/>
  <c r="O67" i="3" s="1"/>
  <c r="O66" i="3" s="1"/>
  <c r="N69" i="3"/>
  <c r="N68" i="3" s="1"/>
  <c r="N67" i="3" s="1"/>
  <c r="N66" i="3" s="1"/>
  <c r="M69" i="3"/>
  <c r="M68" i="3" s="1"/>
  <c r="M67" i="3" s="1"/>
  <c r="M66" i="3" s="1"/>
  <c r="L69" i="3"/>
  <c r="L68" i="3" s="1"/>
  <c r="L67" i="3" s="1"/>
  <c r="L66" i="3" s="1"/>
  <c r="K69" i="3"/>
  <c r="K68" i="3" s="1"/>
  <c r="K67" i="3" s="1"/>
  <c r="K66" i="3" s="1"/>
  <c r="J69" i="3"/>
  <c r="J68" i="3" s="1"/>
  <c r="J67" i="3" s="1"/>
  <c r="J66" i="3" s="1"/>
  <c r="I69" i="3"/>
  <c r="I68" i="3" s="1"/>
  <c r="I67" i="3" s="1"/>
  <c r="I66" i="3" s="1"/>
  <c r="H69" i="3"/>
  <c r="H68" i="3" s="1"/>
  <c r="H67" i="3" s="1"/>
  <c r="H66" i="3" s="1"/>
  <c r="G69" i="3"/>
  <c r="G68" i="3" s="1"/>
  <c r="G67" i="3" s="1"/>
  <c r="G66" i="3" s="1"/>
  <c r="F69" i="3"/>
  <c r="F68" i="3" s="1"/>
  <c r="E69" i="3"/>
  <c r="E68" i="3" s="1"/>
  <c r="E67" i="3" s="1"/>
  <c r="E66" i="3" s="1"/>
  <c r="P68" i="3"/>
  <c r="P67" i="3" s="1"/>
  <c r="P66" i="3" s="1"/>
  <c r="Q64" i="3"/>
  <c r="D64" i="3"/>
  <c r="Q63" i="3"/>
  <c r="D63" i="3"/>
  <c r="Q62" i="3"/>
  <c r="D62" i="3"/>
  <c r="Q61" i="3"/>
  <c r="D61" i="3"/>
  <c r="D60" i="3"/>
  <c r="Q60" i="3"/>
  <c r="R60" i="3" s="1"/>
  <c r="P59" i="3"/>
  <c r="O59" i="3"/>
  <c r="N59" i="3"/>
  <c r="M59" i="3"/>
  <c r="L59" i="3"/>
  <c r="K59" i="3"/>
  <c r="J59" i="3"/>
  <c r="I59" i="3"/>
  <c r="H59" i="3"/>
  <c r="G59" i="3"/>
  <c r="F59" i="3"/>
  <c r="E59" i="3"/>
  <c r="R58" i="3"/>
  <c r="S58" i="3" s="1"/>
  <c r="Q57" i="3"/>
  <c r="D57" i="3"/>
  <c r="D56" i="3" s="1"/>
  <c r="D55" i="3" s="1"/>
  <c r="P56" i="3"/>
  <c r="P55" i="3" s="1"/>
  <c r="O56" i="3"/>
  <c r="O55" i="3" s="1"/>
  <c r="N56" i="3"/>
  <c r="N55" i="3" s="1"/>
  <c r="N54" i="3" s="1"/>
  <c r="M56" i="3"/>
  <c r="M55" i="3" s="1"/>
  <c r="L56" i="3"/>
  <c r="L55" i="3" s="1"/>
  <c r="L32" i="3"/>
  <c r="L35" i="3"/>
  <c r="L44" i="3"/>
  <c r="L47" i="3"/>
  <c r="K56" i="3"/>
  <c r="K55" i="3" s="1"/>
  <c r="J56" i="3"/>
  <c r="J55" i="3" s="1"/>
  <c r="I56" i="3"/>
  <c r="I55" i="3" s="1"/>
  <c r="H56" i="3"/>
  <c r="H55" i="3" s="1"/>
  <c r="H32" i="3"/>
  <c r="H35" i="3"/>
  <c r="H44" i="3"/>
  <c r="H47" i="3"/>
  <c r="G56" i="3"/>
  <c r="G55" i="3" s="1"/>
  <c r="F56" i="3"/>
  <c r="F55" i="3" s="1"/>
  <c r="E56" i="3"/>
  <c r="E55" i="3" s="1"/>
  <c r="Q52" i="3"/>
  <c r="D52" i="3"/>
  <c r="Q51" i="3"/>
  <c r="D51" i="3"/>
  <c r="Q50" i="3"/>
  <c r="D50" i="3"/>
  <c r="Q49" i="3"/>
  <c r="D49" i="3"/>
  <c r="Q48" i="3"/>
  <c r="R48" i="3" s="1"/>
  <c r="D48" i="3"/>
  <c r="P47" i="3"/>
  <c r="O47" i="3"/>
  <c r="N47" i="3"/>
  <c r="M47" i="3"/>
  <c r="K47" i="3"/>
  <c r="J47" i="3"/>
  <c r="I47" i="3"/>
  <c r="G47" i="3"/>
  <c r="F47" i="3"/>
  <c r="E47" i="3"/>
  <c r="R46" i="3"/>
  <c r="S46" i="3" s="1"/>
  <c r="Q45" i="3"/>
  <c r="D45" i="3"/>
  <c r="P44" i="3"/>
  <c r="O44" i="3"/>
  <c r="N44" i="3"/>
  <c r="M44" i="3"/>
  <c r="K44" i="3"/>
  <c r="J44" i="3"/>
  <c r="I44" i="3"/>
  <c r="E44" i="3"/>
  <c r="F44" i="3"/>
  <c r="G44" i="3"/>
  <c r="Q41" i="3"/>
  <c r="D41" i="3"/>
  <c r="Q40" i="3"/>
  <c r="D40" i="3"/>
  <c r="Q39" i="3"/>
  <c r="D39" i="3"/>
  <c r="Q38" i="3"/>
  <c r="D38" i="3"/>
  <c r="Q37" i="3"/>
  <c r="D37" i="3"/>
  <c r="Q36" i="3"/>
  <c r="D36" i="3"/>
  <c r="P35" i="3"/>
  <c r="O35" i="3"/>
  <c r="N35" i="3"/>
  <c r="M35" i="3"/>
  <c r="M32" i="3"/>
  <c r="K35" i="3"/>
  <c r="J35" i="3"/>
  <c r="I35" i="3"/>
  <c r="I32" i="3"/>
  <c r="G35" i="3"/>
  <c r="F35" i="3"/>
  <c r="E35" i="3"/>
  <c r="E31" i="3" s="1"/>
  <c r="R34" i="3"/>
  <c r="S34" i="3" s="1"/>
  <c r="Q33" i="3"/>
  <c r="D33" i="3"/>
  <c r="D32" i="3" s="1"/>
  <c r="P32" i="3"/>
  <c r="O32" i="3"/>
  <c r="N32" i="3"/>
  <c r="K32" i="3"/>
  <c r="J32" i="3"/>
  <c r="G32" i="3"/>
  <c r="F32" i="3"/>
  <c r="E32" i="3"/>
  <c r="Q27" i="3"/>
  <c r="D27" i="3"/>
  <c r="Q26" i="3"/>
  <c r="D26" i="3"/>
  <c r="Q25" i="3"/>
  <c r="D25" i="3"/>
  <c r="Q24" i="3"/>
  <c r="D24" i="3"/>
  <c r="Q23" i="3"/>
  <c r="R23" i="3" s="1"/>
  <c r="D23" i="3"/>
  <c r="Q22" i="3"/>
  <c r="D22" i="3"/>
  <c r="P21" i="3"/>
  <c r="O21" i="3"/>
  <c r="N21" i="3"/>
  <c r="M21" i="3"/>
  <c r="L21" i="3"/>
  <c r="K21" i="3"/>
  <c r="J21" i="3"/>
  <c r="I21" i="3"/>
  <c r="H21" i="3"/>
  <c r="E21" i="3"/>
  <c r="F21" i="3"/>
  <c r="G21" i="3"/>
  <c r="F12" i="3"/>
  <c r="F17" i="3"/>
  <c r="Q20" i="3"/>
  <c r="R20" i="3" s="1"/>
  <c r="Q19" i="3"/>
  <c r="D19" i="3"/>
  <c r="D18" i="3"/>
  <c r="Q18" i="3"/>
  <c r="P17" i="3"/>
  <c r="P12" i="3"/>
  <c r="O17" i="3"/>
  <c r="N17" i="3"/>
  <c r="M17" i="3"/>
  <c r="L17" i="3"/>
  <c r="L12" i="3"/>
  <c r="K17" i="3"/>
  <c r="J17" i="3"/>
  <c r="I17" i="3"/>
  <c r="I12" i="3"/>
  <c r="H17" i="3"/>
  <c r="E17" i="3"/>
  <c r="G17" i="3"/>
  <c r="R16" i="3"/>
  <c r="Q15" i="3"/>
  <c r="R15" i="3" s="1"/>
  <c r="D15" i="3"/>
  <c r="Q14" i="3"/>
  <c r="D14" i="3"/>
  <c r="D13" i="3"/>
  <c r="Q13" i="3"/>
  <c r="O12" i="3"/>
  <c r="N12" i="3"/>
  <c r="M12" i="3"/>
  <c r="K12" i="3"/>
  <c r="J12" i="3"/>
  <c r="H12" i="3"/>
  <c r="G12" i="3"/>
  <c r="E12" i="3"/>
  <c r="D777" i="2"/>
  <c r="D774" i="2"/>
  <c r="D773" i="2" s="1"/>
  <c r="D765" i="2"/>
  <c r="D763" i="2" s="1"/>
  <c r="D756" i="2"/>
  <c r="D754" i="2" s="1"/>
  <c r="D747" i="2"/>
  <c r="D745" i="2" s="1"/>
  <c r="D738" i="2"/>
  <c r="D736" i="2" s="1"/>
  <c r="D729" i="2"/>
  <c r="D727" i="2" s="1"/>
  <c r="D720" i="2"/>
  <c r="D718" i="2" s="1"/>
  <c r="D711" i="2"/>
  <c r="D709" i="2" s="1"/>
  <c r="D702" i="2"/>
  <c r="D699" i="2"/>
  <c r="D698" i="2" s="1"/>
  <c r="D689" i="2"/>
  <c r="D679" i="2"/>
  <c r="D668" i="2"/>
  <c r="D667" i="2" s="1"/>
  <c r="D656" i="2"/>
  <c r="D655" i="2" s="1"/>
  <c r="D649" i="2"/>
  <c r="D640" i="2"/>
  <c r="D634" i="2"/>
  <c r="D625" i="2"/>
  <c r="D612" i="2"/>
  <c r="D609" i="2"/>
  <c r="D608" i="2" s="1"/>
  <c r="D599" i="2"/>
  <c r="D598" i="2" s="1"/>
  <c r="D591" i="2"/>
  <c r="D590" i="2" s="1"/>
  <c r="D585" i="2"/>
  <c r="D581" i="2" s="1"/>
  <c r="D577" i="2"/>
  <c r="D574" i="2" s="1"/>
  <c r="D573" i="2" s="1"/>
  <c r="D569" i="2"/>
  <c r="D559" i="2"/>
  <c r="D543" i="2"/>
  <c r="D540" i="2" s="1"/>
  <c r="D518" i="2"/>
  <c r="D529" i="2"/>
  <c r="D506" i="2"/>
  <c r="D503" i="2"/>
  <c r="D495" i="2"/>
  <c r="D494" i="2" s="1"/>
  <c r="D491" i="2"/>
  <c r="D488" i="2"/>
  <c r="D487" i="2" s="1"/>
  <c r="D486" i="2" s="1"/>
  <c r="D485" i="2" s="1"/>
  <c r="D482" i="2"/>
  <c r="D479" i="2"/>
  <c r="D472" i="2"/>
  <c r="D466" i="2"/>
  <c r="D461" i="2"/>
  <c r="D459" i="2"/>
  <c r="D453" i="2"/>
  <c r="D443" i="2"/>
  <c r="D442" i="2" s="1"/>
  <c r="D441" i="2" s="1"/>
  <c r="D437" i="2"/>
  <c r="D436" i="2" s="1"/>
  <c r="F436" i="2" s="1"/>
  <c r="D431" i="2"/>
  <c r="D424" i="2"/>
  <c r="D418" i="2"/>
  <c r="D416" i="2"/>
  <c r="D410" i="2"/>
  <c r="D405" i="2"/>
  <c r="D399" i="2"/>
  <c r="D395" i="2"/>
  <c r="D392" i="2"/>
  <c r="D388" i="2"/>
  <c r="D381" i="2"/>
  <c r="F375" i="2"/>
  <c r="F374" i="2"/>
  <c r="F373" i="2"/>
  <c r="F372" i="2"/>
  <c r="F371" i="2"/>
  <c r="F370" i="2"/>
  <c r="F369" i="2"/>
  <c r="D368" i="2"/>
  <c r="D367" i="2" s="1"/>
  <c r="D366" i="2" s="1"/>
  <c r="D358" i="2"/>
  <c r="D354" i="2" s="1"/>
  <c r="D342" i="2"/>
  <c r="D341" i="2" s="1"/>
  <c r="D334" i="2"/>
  <c r="D333" i="2" s="1"/>
  <c r="D326" i="2"/>
  <c r="D325" i="2" s="1"/>
  <c r="D318" i="2"/>
  <c r="D317" i="2" s="1"/>
  <c r="D310" i="2"/>
  <c r="D309" i="2" s="1"/>
  <c r="D302" i="2"/>
  <c r="D301" i="2" s="1"/>
  <c r="D294" i="2"/>
  <c r="D293" i="2" s="1"/>
  <c r="D286" i="2"/>
  <c r="D281" i="2"/>
  <c r="D280" i="2" s="1"/>
  <c r="D279" i="2" s="1"/>
  <c r="D278" i="2" s="1"/>
  <c r="D269" i="2"/>
  <c r="D268" i="2" s="1"/>
  <c r="D261" i="2"/>
  <c r="D260" i="2" s="1"/>
  <c r="D253" i="2"/>
  <c r="D252" i="2" s="1"/>
  <c r="D247" i="2"/>
  <c r="D241" i="2"/>
  <c r="D238" i="2"/>
  <c r="D235" i="2"/>
  <c r="D226" i="2"/>
  <c r="D219" i="2"/>
  <c r="D216" i="2"/>
  <c r="D212" i="2"/>
  <c r="D207" i="2"/>
  <c r="D200" i="2"/>
  <c r="D197" i="2"/>
  <c r="D195" i="2"/>
  <c r="D185" i="2"/>
  <c r="D184" i="2" s="1"/>
  <c r="D177" i="2"/>
  <c r="D174" i="2"/>
  <c r="D173" i="2" s="1"/>
  <c r="D172" i="2" s="1"/>
  <c r="D163" i="2"/>
  <c r="D159" i="2"/>
  <c r="D158" i="2" s="1"/>
  <c r="D157" i="2" s="1"/>
  <c r="D149" i="2"/>
  <c r="D148" i="2" s="1"/>
  <c r="D141" i="2"/>
  <c r="D137" i="2"/>
  <c r="D136" i="2" s="1"/>
  <c r="D133" i="2"/>
  <c r="D123" i="2"/>
  <c r="D120" i="2"/>
  <c r="D111" i="2"/>
  <c r="D108" i="2"/>
  <c r="D99" i="2"/>
  <c r="D95" i="2"/>
  <c r="D86" i="2"/>
  <c r="D81" i="2"/>
  <c r="D71" i="2"/>
  <c r="D70" i="2" s="1"/>
  <c r="D69" i="2" s="1"/>
  <c r="D68" i="2" s="1"/>
  <c r="D61" i="2"/>
  <c r="D58" i="2"/>
  <c r="D57" i="2" s="1"/>
  <c r="D49" i="2"/>
  <c r="D46" i="2"/>
  <c r="D37" i="2"/>
  <c r="D34" i="2"/>
  <c r="D23" i="2"/>
  <c r="D19" i="2"/>
  <c r="D14" i="2"/>
  <c r="E35" i="1"/>
  <c r="B35" i="1"/>
  <c r="E34" i="1"/>
  <c r="E33" i="1"/>
  <c r="B33" i="1"/>
  <c r="E32" i="1"/>
  <c r="B32" i="1"/>
  <c r="B30" i="1"/>
  <c r="B28" i="1"/>
  <c r="B27" i="1"/>
  <c r="B26" i="1"/>
  <c r="E25" i="1"/>
  <c r="B24" i="1"/>
  <c r="B23" i="1"/>
  <c r="B22" i="1"/>
  <c r="B21" i="1"/>
  <c r="B19" i="1"/>
  <c r="B17" i="1"/>
  <c r="B14" i="1"/>
  <c r="E13" i="1"/>
  <c r="B13" i="1"/>
  <c r="B12" i="1"/>
  <c r="E11" i="1"/>
  <c r="B11" i="1"/>
  <c r="B9" i="1"/>
  <c r="B8" i="1"/>
  <c r="B7" i="1"/>
  <c r="B6" i="1"/>
  <c r="B5" i="1"/>
  <c r="E4" i="1"/>
  <c r="B4" i="1"/>
  <c r="E3" i="1"/>
  <c r="E2" i="1"/>
  <c r="T20" i="11"/>
  <c r="O206" i="30"/>
  <c r="V206" i="30" s="1"/>
  <c r="L361" i="30"/>
  <c r="Q361" i="30"/>
  <c r="L314" i="30"/>
  <c r="R314" i="30" s="1"/>
  <c r="L315" i="27"/>
  <c r="N391" i="23"/>
  <c r="N391" i="30"/>
  <c r="N392" i="27"/>
  <c r="L11" i="31"/>
  <c r="L13" i="28"/>
  <c r="N207" i="30"/>
  <c r="N208" i="27"/>
  <c r="N457" i="27"/>
  <c r="N456" i="27" s="1"/>
  <c r="N624" i="27" s="1"/>
  <c r="O214" i="30"/>
  <c r="N413" i="30"/>
  <c r="N407" i="30" s="1"/>
  <c r="N406" i="30" s="1"/>
  <c r="N580" i="30"/>
  <c r="N582" i="27"/>
  <c r="N392" i="30"/>
  <c r="O211" i="30"/>
  <c r="V211" i="30" s="1"/>
  <c r="L357" i="30"/>
  <c r="Q357" i="30" s="1"/>
  <c r="L358" i="27"/>
  <c r="L363" i="27"/>
  <c r="Q363" i="27" s="1"/>
  <c r="O368" i="27"/>
  <c r="O359" i="27"/>
  <c r="V359" i="27" s="1"/>
  <c r="N364" i="23"/>
  <c r="N364" i="30"/>
  <c r="N365" i="27"/>
  <c r="L369" i="30"/>
  <c r="Q369" i="30" s="1"/>
  <c r="N357" i="30"/>
  <c r="N361" i="30"/>
  <c r="N358" i="27"/>
  <c r="M10" i="31"/>
  <c r="M12" i="28"/>
  <c r="K11" i="24"/>
  <c r="M18" i="28"/>
  <c r="N452" i="30"/>
  <c r="N451" i="30" s="1"/>
  <c r="O451" i="30" s="1"/>
  <c r="V451" i="30" s="1"/>
  <c r="P670" i="3"/>
  <c r="N448" i="27"/>
  <c r="L457" i="27"/>
  <c r="R457" i="27" s="1"/>
  <c r="L462" i="30"/>
  <c r="L464" i="27"/>
  <c r="O435" i="27" s="1"/>
  <c r="N357" i="23"/>
  <c r="N361" i="23"/>
  <c r="O419" i="30"/>
  <c r="N446" i="27"/>
  <c r="L390" i="30"/>
  <c r="L211" i="30"/>
  <c r="L212" i="27"/>
  <c r="Q212" i="27" s="1"/>
  <c r="H638" i="3"/>
  <c r="H637" i="3" s="1"/>
  <c r="O437" i="4"/>
  <c r="N203" i="19"/>
  <c r="N207" i="23"/>
  <c r="N450" i="19"/>
  <c r="N448" i="19" s="1"/>
  <c r="O210" i="19"/>
  <c r="V210" i="19" s="1"/>
  <c r="L354" i="19"/>
  <c r="Q354" i="19" s="1"/>
  <c r="N566" i="19"/>
  <c r="O207" i="19"/>
  <c r="V207" i="19" s="1"/>
  <c r="O211" i="23"/>
  <c r="V211" i="23" s="1"/>
  <c r="L353" i="19"/>
  <c r="Q353" i="19" s="1"/>
  <c r="L357" i="23"/>
  <c r="Q357" i="23" s="1"/>
  <c r="L455" i="23"/>
  <c r="Q455" i="23" s="1"/>
  <c r="L450" i="19"/>
  <c r="Q450" i="19" s="1"/>
  <c r="L462" i="23"/>
  <c r="Q462" i="23" s="1"/>
  <c r="L207" i="19"/>
  <c r="L206" i="19" s="1"/>
  <c r="Q206" i="19" s="1"/>
  <c r="L211" i="23"/>
  <c r="Q211" i="23" s="1"/>
  <c r="N452" i="23"/>
  <c r="N451" i="23" s="1"/>
  <c r="O451" i="23" s="1"/>
  <c r="V451" i="23" s="1"/>
  <c r="L449" i="23"/>
  <c r="L361" i="23"/>
  <c r="Q361" i="23" s="1"/>
  <c r="L358" i="19"/>
  <c r="Q358" i="19" s="1"/>
  <c r="L310" i="19"/>
  <c r="Q310" i="19" s="1"/>
  <c r="L314" i="23"/>
  <c r="Q314" i="23" s="1"/>
  <c r="M10" i="20"/>
  <c r="M10" i="24"/>
  <c r="N356" i="19"/>
  <c r="N353" i="19"/>
  <c r="N360" i="19"/>
  <c r="J78" i="3"/>
  <c r="R450" i="3"/>
  <c r="J79" i="4"/>
  <c r="O428" i="3"/>
  <c r="S689" i="3"/>
  <c r="P701" i="3"/>
  <c r="L147" i="4"/>
  <c r="L146" i="4" s="1"/>
  <c r="M146" i="4" s="1"/>
  <c r="N702" i="4"/>
  <c r="G420" i="3"/>
  <c r="F522" i="3"/>
  <c r="N186" i="4"/>
  <c r="O689" i="4"/>
  <c r="N689" i="4"/>
  <c r="M596" i="4"/>
  <c r="L11" i="18"/>
  <c r="L11" i="20"/>
  <c r="N253" i="4"/>
  <c r="M334" i="4"/>
  <c r="K11" i="18"/>
  <c r="L495" i="4"/>
  <c r="L782" i="4"/>
  <c r="N423" i="19"/>
  <c r="N414" i="19" s="1"/>
  <c r="N413" i="19" s="1"/>
  <c r="M595" i="4"/>
  <c r="N382" i="19"/>
  <c r="N288" i="4"/>
  <c r="M496" i="4"/>
  <c r="O580" i="23" s="1"/>
  <c r="V580" i="23" s="1"/>
  <c r="M342" i="4"/>
  <c r="O364" i="30" s="1"/>
  <c r="V364" i="30" s="1"/>
  <c r="N439" i="4"/>
  <c r="E723" i="3"/>
  <c r="E741" i="3"/>
  <c r="S450" i="3"/>
  <c r="M116" i="3"/>
  <c r="S401" i="3"/>
  <c r="R401" i="3"/>
  <c r="S424" i="3"/>
  <c r="R440" i="3"/>
  <c r="S440" i="3" s="1"/>
  <c r="D466" i="3"/>
  <c r="R665" i="3"/>
  <c r="L238" i="4"/>
  <c r="L237" i="4" s="1"/>
  <c r="O450" i="4"/>
  <c r="N450" i="4"/>
  <c r="E660" i="3"/>
  <c r="O701" i="3"/>
  <c r="J648" i="4"/>
  <c r="S187" i="3"/>
  <c r="R454" i="3"/>
  <c r="R488" i="3"/>
  <c r="R600" i="3"/>
  <c r="R608" i="3"/>
  <c r="J119" i="4"/>
  <c r="O442" i="4"/>
  <c r="O693" i="4"/>
  <c r="N693" i="4"/>
  <c r="R14" i="5"/>
  <c r="M10" i="18"/>
  <c r="Q10" i="18" s="1"/>
  <c r="E499" i="3"/>
  <c r="E603" i="3"/>
  <c r="S677" i="3"/>
  <c r="D716" i="3"/>
  <c r="D714" i="3" s="1"/>
  <c r="L157" i="4"/>
  <c r="L362" i="4"/>
  <c r="L358" i="4" s="1"/>
  <c r="N540" i="4"/>
  <c r="N630" i="4"/>
  <c r="M10" i="11"/>
  <c r="S95" i="3"/>
  <c r="S290" i="3"/>
  <c r="S452" i="3"/>
  <c r="R710" i="3"/>
  <c r="R730" i="3"/>
  <c r="R736" i="3"/>
  <c r="D761" i="3"/>
  <c r="D759" i="3" s="1"/>
  <c r="N350" i="4"/>
  <c r="L385" i="4"/>
  <c r="M385" i="4" s="1"/>
  <c r="J396" i="4"/>
  <c r="N405" i="4"/>
  <c r="O405" i="4" s="1"/>
  <c r="O621" i="4"/>
  <c r="Q14" i="5"/>
  <c r="O202" i="16"/>
  <c r="V202" i="16" s="1"/>
  <c r="O203" i="5"/>
  <c r="T203" i="5" s="1"/>
  <c r="O210" i="16"/>
  <c r="V210" i="16" s="1"/>
  <c r="O211" i="5"/>
  <c r="O210" i="5" s="1"/>
  <c r="N30" i="11" s="1"/>
  <c r="O354" i="16"/>
  <c r="V354" i="16" s="1"/>
  <c r="O355" i="5"/>
  <c r="T355" i="5" s="1"/>
  <c r="O409" i="5"/>
  <c r="O207" i="16"/>
  <c r="V207" i="16" s="1"/>
  <c r="O208" i="5"/>
  <c r="T208" i="5" s="1"/>
  <c r="L11" i="11"/>
  <c r="R559" i="3"/>
  <c r="S559" i="3" s="1"/>
  <c r="O70" i="4"/>
  <c r="N140" i="4"/>
  <c r="N207" i="4"/>
  <c r="O429" i="4"/>
  <c r="N431" i="4"/>
  <c r="L599" i="4"/>
  <c r="M599" i="4" s="1"/>
  <c r="L616" i="4"/>
  <c r="M616" i="4" s="1"/>
  <c r="N784" i="4"/>
  <c r="O784" i="4" s="1"/>
  <c r="T26" i="11"/>
  <c r="L440" i="16"/>
  <c r="L615" i="16" s="1"/>
  <c r="L439" i="5"/>
  <c r="L446" i="16"/>
  <c r="R446" i="16" s="1"/>
  <c r="L445" i="5"/>
  <c r="R445" i="5" s="1"/>
  <c r="R260" i="3"/>
  <c r="R262" i="3"/>
  <c r="R546" i="3"/>
  <c r="R605" i="3"/>
  <c r="R687" i="3"/>
  <c r="R746" i="3"/>
  <c r="S15" i="3"/>
  <c r="R122" i="3"/>
  <c r="R551" i="3"/>
  <c r="R553" i="3"/>
  <c r="R709" i="3"/>
  <c r="R755" i="3"/>
  <c r="N437" i="16"/>
  <c r="N436" i="5"/>
  <c r="N203" i="16"/>
  <c r="N204" i="5"/>
  <c r="N628" i="4"/>
  <c r="S162" i="3"/>
  <c r="R720" i="3"/>
  <c r="R726" i="3"/>
  <c r="R738" i="3"/>
  <c r="N442" i="5"/>
  <c r="N441" i="5" s="1"/>
  <c r="O441" i="5" s="1"/>
  <c r="T441" i="5" s="1"/>
  <c r="S394" i="3"/>
  <c r="R452" i="3"/>
  <c r="R514" i="3"/>
  <c r="R649" i="3"/>
  <c r="D684" i="3"/>
  <c r="N355" i="16"/>
  <c r="N356" i="5"/>
  <c r="N353" i="16"/>
  <c r="N356" i="16"/>
  <c r="N358" i="16"/>
  <c r="N360" i="16"/>
  <c r="N358" i="5"/>
  <c r="L571" i="16"/>
  <c r="L568" i="5"/>
  <c r="L207" i="16"/>
  <c r="L206" i="16" s="1"/>
  <c r="Q206" i="16" s="1"/>
  <c r="L208" i="5"/>
  <c r="Q208" i="5" s="1"/>
  <c r="N354" i="5"/>
  <c r="N536" i="4"/>
  <c r="N787" i="4"/>
  <c r="L358" i="5"/>
  <c r="Q358" i="5" s="1"/>
  <c r="N359" i="5"/>
  <c r="N361" i="5"/>
  <c r="N425" i="5"/>
  <c r="N382" i="16"/>
  <c r="N383" i="5"/>
  <c r="N383" i="16"/>
  <c r="N384" i="5"/>
  <c r="L353" i="16"/>
  <c r="Q353" i="16" s="1"/>
  <c r="L354" i="5"/>
  <c r="J338" i="4"/>
  <c r="J337" i="4" s="1"/>
  <c r="N691" i="4"/>
  <c r="N453" i="16"/>
  <c r="N451" i="16" s="1"/>
  <c r="O451" i="16" s="1"/>
  <c r="V451" i="16" s="1"/>
  <c r="N452" i="5"/>
  <c r="N450" i="5" s="1"/>
  <c r="O450" i="5" s="1"/>
  <c r="T450" i="5" s="1"/>
  <c r="L360" i="16"/>
  <c r="Q360" i="16" s="1"/>
  <c r="N403" i="5"/>
  <c r="N399" i="5" s="1"/>
  <c r="L568" i="16"/>
  <c r="Q568" i="16" s="1"/>
  <c r="L381" i="16"/>
  <c r="Q381" i="16" s="1"/>
  <c r="L383" i="16"/>
  <c r="Q383" i="16" s="1"/>
  <c r="L384" i="5"/>
  <c r="Q384" i="5" s="1"/>
  <c r="N695" i="4"/>
  <c r="L453" i="16"/>
  <c r="L452" i="5"/>
  <c r="N571" i="16"/>
  <c r="J201" i="4"/>
  <c r="P16" i="4" s="1"/>
  <c r="J457" i="4"/>
  <c r="M789" i="4"/>
  <c r="O354" i="5" s="1"/>
  <c r="T354" i="5" s="1"/>
  <c r="L456" i="27"/>
  <c r="O421" i="19"/>
  <c r="Q448" i="19" s="1"/>
  <c r="O360" i="19"/>
  <c r="V360" i="19" s="1"/>
  <c r="O433" i="23"/>
  <c r="R460" i="23" s="1"/>
  <c r="Q485" i="5"/>
  <c r="Q354" i="5"/>
  <c r="O361" i="4"/>
  <c r="L439" i="16"/>
  <c r="M469" i="5"/>
  <c r="M431" i="5" s="1"/>
  <c r="M429" i="5" s="1"/>
  <c r="M428" i="5" s="1"/>
  <c r="R309" i="5"/>
  <c r="L60" i="31"/>
  <c r="L62" i="28"/>
  <c r="T42" i="11"/>
  <c r="P562" i="5"/>
  <c r="S454" i="3"/>
  <c r="J561" i="5"/>
  <c r="T57" i="11"/>
  <c r="T64" i="11"/>
  <c r="M457" i="4"/>
  <c r="N207" i="5"/>
  <c r="O207" i="5" s="1"/>
  <c r="M318" i="4"/>
  <c r="M27" i="4"/>
  <c r="N27" i="4" s="1"/>
  <c r="M176" i="4"/>
  <c r="M177" i="4"/>
  <c r="M751" i="4"/>
  <c r="M515" i="4"/>
  <c r="L139" i="4"/>
  <c r="M139" i="4" s="1"/>
  <c r="M159" i="4"/>
  <c r="O203" i="16" s="1"/>
  <c r="V203" i="16" s="1"/>
  <c r="L785" i="4"/>
  <c r="M785" i="4" s="1"/>
  <c r="M600" i="4"/>
  <c r="M412" i="4"/>
  <c r="M767" i="4"/>
  <c r="M26" i="4"/>
  <c r="M122" i="4"/>
  <c r="M123" i="4"/>
  <c r="M124" i="4"/>
  <c r="N124" i="4" s="1"/>
  <c r="M126" i="4"/>
  <c r="M127" i="4"/>
  <c r="M348" i="4"/>
  <c r="N348" i="4" s="1"/>
  <c r="M347" i="4"/>
  <c r="M62" i="4"/>
  <c r="N62" i="4" s="1"/>
  <c r="M36" i="4"/>
  <c r="N36" i="4" s="1"/>
  <c r="M340" i="4"/>
  <c r="N340" i="4" s="1"/>
  <c r="M100" i="4"/>
  <c r="M458" i="4"/>
  <c r="N458" i="4" s="1"/>
  <c r="M411" i="4"/>
  <c r="M765" i="4"/>
  <c r="M512" i="4"/>
  <c r="N512" i="4" s="1"/>
  <c r="M110" i="4"/>
  <c r="N110" i="4" s="1"/>
  <c r="M72" i="4"/>
  <c r="M769" i="4"/>
  <c r="M24" i="4"/>
  <c r="M39" i="4"/>
  <c r="M71" i="4"/>
  <c r="M87" i="4"/>
  <c r="N87" i="4" s="1"/>
  <c r="M141" i="4"/>
  <c r="M149" i="4"/>
  <c r="N149" i="4" s="1"/>
  <c r="M51" i="4"/>
  <c r="N51" i="4" s="1"/>
  <c r="M74" i="4"/>
  <c r="M132" i="4"/>
  <c r="N132" i="4" s="1"/>
  <c r="M150" i="4"/>
  <c r="M193" i="4"/>
  <c r="M41" i="4"/>
  <c r="M48" i="4"/>
  <c r="M85" i="4"/>
  <c r="N85" i="4" s="1"/>
  <c r="M151" i="4"/>
  <c r="N151" i="4" s="1"/>
  <c r="M19" i="4"/>
  <c r="M37" i="4"/>
  <c r="M49" i="4"/>
  <c r="M89" i="4"/>
  <c r="M191" i="4"/>
  <c r="N191" i="4" s="1"/>
  <c r="M208" i="4"/>
  <c r="M211" i="4"/>
  <c r="M226" i="4"/>
  <c r="N226" i="4" s="1"/>
  <c r="M231" i="4"/>
  <c r="N231" i="4" s="1"/>
  <c r="M249" i="4"/>
  <c r="M260" i="4"/>
  <c r="N260" i="4" s="1"/>
  <c r="M269" i="4"/>
  <c r="N269" i="4" s="1"/>
  <c r="M275" i="4"/>
  <c r="N275" i="4" s="1"/>
  <c r="M299" i="4"/>
  <c r="N299" i="4" s="1"/>
  <c r="M335" i="4"/>
  <c r="M368" i="4"/>
  <c r="N368" i="4" s="1"/>
  <c r="M377" i="4"/>
  <c r="N377" i="4" s="1"/>
  <c r="M504" i="4"/>
  <c r="M612" i="4"/>
  <c r="N638" i="4"/>
  <c r="M654" i="4"/>
  <c r="N654" i="4" s="1"/>
  <c r="M659" i="4"/>
  <c r="M666" i="4"/>
  <c r="N666" i="4" s="1"/>
  <c r="M721" i="4"/>
  <c r="M212" i="4"/>
  <c r="M232" i="4"/>
  <c r="M261" i="4"/>
  <c r="M276" i="4"/>
  <c r="M300" i="4"/>
  <c r="M307" i="4"/>
  <c r="N307" i="4" s="1"/>
  <c r="M327" i="4"/>
  <c r="N327" i="4" s="1"/>
  <c r="M379" i="4"/>
  <c r="O379" i="4" s="1"/>
  <c r="M407" i="4"/>
  <c r="M415" i="4"/>
  <c r="M448" i="4"/>
  <c r="N448" i="4" s="1"/>
  <c r="M466" i="4"/>
  <c r="N466" i="4" s="1"/>
  <c r="M501" i="4"/>
  <c r="N501" i="4" s="1"/>
  <c r="M590" i="4"/>
  <c r="M601" i="4"/>
  <c r="N601" i="4" s="1"/>
  <c r="M609" i="4"/>
  <c r="N609" i="4" s="1"/>
  <c r="N636" i="4"/>
  <c r="M700" i="4"/>
  <c r="N700" i="4" s="1"/>
  <c r="M205" i="4"/>
  <c r="N205" i="4" s="1"/>
  <c r="M233" i="4"/>
  <c r="N233" i="4" s="1"/>
  <c r="M246" i="4"/>
  <c r="N246" i="4" s="1"/>
  <c r="M258" i="4"/>
  <c r="N258" i="4" s="1"/>
  <c r="M267" i="4"/>
  <c r="N267" i="4" s="1"/>
  <c r="M291" i="4"/>
  <c r="M301" i="4"/>
  <c r="N301" i="4" s="1"/>
  <c r="M308" i="4"/>
  <c r="M316" i="4"/>
  <c r="M390" i="4"/>
  <c r="M408" i="4"/>
  <c r="M668" i="4"/>
  <c r="N668" i="4" s="1"/>
  <c r="M685" i="4"/>
  <c r="N685" i="4" s="1"/>
  <c r="M777" i="4"/>
  <c r="M206" i="4"/>
  <c r="M228" i="4"/>
  <c r="M247" i="4"/>
  <c r="M259" i="4"/>
  <c r="M274" i="4"/>
  <c r="M278" i="4"/>
  <c r="M286" i="4"/>
  <c r="O286" i="4" s="1"/>
  <c r="M303" i="4"/>
  <c r="N303" i="4" s="1"/>
  <c r="M309" i="4"/>
  <c r="N309" i="4" s="1"/>
  <c r="M333" i="4"/>
  <c r="N333" i="4" s="1"/>
  <c r="M364" i="4"/>
  <c r="M366" i="4"/>
  <c r="M367" i="4"/>
  <c r="M375" i="4"/>
  <c r="O375" i="4" s="1"/>
  <c r="M386" i="4"/>
  <c r="M387" i="4"/>
  <c r="O387" i="4" s="1"/>
  <c r="M421" i="4"/>
  <c r="M424" i="4"/>
  <c r="M452" i="4"/>
  <c r="M462" i="4"/>
  <c r="O462" i="4" s="1"/>
  <c r="M468" i="4"/>
  <c r="N468" i="4" s="1"/>
  <c r="M471" i="4"/>
  <c r="M473" i="4"/>
  <c r="M475" i="4"/>
  <c r="O475" i="4" s="1"/>
  <c r="M479" i="4"/>
  <c r="M503" i="4"/>
  <c r="M550" i="4"/>
  <c r="N550" i="4" s="1"/>
  <c r="M557" i="4"/>
  <c r="M604" i="4"/>
  <c r="M658" i="4"/>
  <c r="N45" i="5"/>
  <c r="M45" i="5"/>
  <c r="M76" i="4"/>
  <c r="O452" i="30" s="1"/>
  <c r="V452" i="30" s="1"/>
  <c r="M209" i="4"/>
  <c r="M284" i="7"/>
  <c r="N119" i="8"/>
  <c r="N1074" i="8"/>
  <c r="K1080" i="8"/>
  <c r="K1079" i="8" s="1"/>
  <c r="N1086" i="8"/>
  <c r="O446" i="30"/>
  <c r="P469" i="5"/>
  <c r="P410" i="5"/>
  <c r="L410" i="5"/>
  <c r="H11" i="13"/>
  <c r="H12" i="13" s="1"/>
  <c r="P213" i="5"/>
  <c r="H11" i="12"/>
  <c r="H12" i="12" s="1"/>
  <c r="T73" i="11"/>
  <c r="M644" i="5"/>
  <c r="L644" i="5"/>
  <c r="S688" i="39"/>
  <c r="W688" i="39" s="1"/>
  <c r="K56" i="20"/>
  <c r="P12" i="11"/>
  <c r="J59" i="4"/>
  <c r="P13" i="20"/>
  <c r="N11" i="11"/>
  <c r="J56" i="4"/>
  <c r="J55" i="4" s="1"/>
  <c r="L363" i="23"/>
  <c r="Q363" i="23" s="1"/>
  <c r="O370" i="27"/>
  <c r="O577" i="3"/>
  <c r="L45" i="20"/>
  <c r="N49" i="28"/>
  <c r="N48" i="11"/>
  <c r="N47" i="24"/>
  <c r="N48" i="18"/>
  <c r="T247" i="5"/>
  <c r="K54" i="31"/>
  <c r="K49" i="18"/>
  <c r="K56" i="18"/>
  <c r="O395" i="5"/>
  <c r="T395" i="5" s="1"/>
  <c r="G684" i="6"/>
  <c r="J290" i="7"/>
  <c r="J288" i="7" s="1"/>
  <c r="L400" i="7"/>
  <c r="K647" i="10"/>
  <c r="K645" i="10" s="1"/>
  <c r="M148" i="9"/>
  <c r="N148" i="9" s="1"/>
  <c r="O148" i="9" s="1"/>
  <c r="Q61" i="16"/>
  <c r="R61" i="16"/>
  <c r="R183" i="16"/>
  <c r="Q183" i="16"/>
  <c r="V172" i="39"/>
  <c r="AA172" i="39"/>
  <c r="AB172" i="39"/>
  <c r="W172" i="39"/>
  <c r="Y172" i="39" s="1"/>
  <c r="AF172" i="39"/>
  <c r="AG172" i="39" s="1"/>
  <c r="P224" i="39"/>
  <c r="Q225" i="39"/>
  <c r="R225" i="39"/>
  <c r="O362" i="27"/>
  <c r="V362" i="27" s="1"/>
  <c r="M576" i="4"/>
  <c r="M756" i="4"/>
  <c r="N756" i="4" s="1"/>
  <c r="O209" i="16"/>
  <c r="V209" i="16" s="1"/>
  <c r="N227" i="4"/>
  <c r="S57" i="3"/>
  <c r="E78" i="3"/>
  <c r="Q761" i="3"/>
  <c r="L381" i="4"/>
  <c r="P24" i="4"/>
  <c r="R219" i="3"/>
  <c r="L154" i="3"/>
  <c r="N112" i="4"/>
  <c r="H11" i="3"/>
  <c r="H10" i="3" s="1"/>
  <c r="D139" i="3"/>
  <c r="R680" i="3"/>
  <c r="R463" i="3"/>
  <c r="N451" i="27"/>
  <c r="O495" i="23"/>
  <c r="Q58" i="5"/>
  <c r="N47" i="31"/>
  <c r="R95" i="5"/>
  <c r="P94" i="5"/>
  <c r="Q99" i="5"/>
  <c r="R99" i="5"/>
  <c r="M44" i="20"/>
  <c r="Q44" i="20" s="1"/>
  <c r="L46" i="28"/>
  <c r="L45" i="18"/>
  <c r="L44" i="24"/>
  <c r="L45" i="24"/>
  <c r="N45" i="11"/>
  <c r="N44" i="24"/>
  <c r="N44" i="31"/>
  <c r="N45" i="18"/>
  <c r="K165" i="10"/>
  <c r="M547" i="9"/>
  <c r="K19" i="7"/>
  <c r="K17" i="7" s="1"/>
  <c r="K306" i="7"/>
  <c r="K305" i="7" s="1"/>
  <c r="J141" i="10"/>
  <c r="J139" i="10" s="1"/>
  <c r="L93" i="16"/>
  <c r="R236" i="5"/>
  <c r="Q236" i="5"/>
  <c r="P234" i="5"/>
  <c r="L45" i="31"/>
  <c r="L46" i="11"/>
  <c r="L47" i="28"/>
  <c r="L46" i="18"/>
  <c r="M47" i="18"/>
  <c r="M46" i="24"/>
  <c r="M47" i="20"/>
  <c r="Q47" i="20" s="1"/>
  <c r="R243" i="5"/>
  <c r="M46" i="31"/>
  <c r="Q243" i="5"/>
  <c r="P47" i="11" s="1"/>
  <c r="M47" i="11"/>
  <c r="Q47" i="11" s="1"/>
  <c r="K56" i="28"/>
  <c r="J372" i="5"/>
  <c r="K54" i="24"/>
  <c r="K57" i="24"/>
  <c r="K56" i="24" s="1"/>
  <c r="K60" i="20"/>
  <c r="K61" i="20"/>
  <c r="K57" i="31"/>
  <c r="K59" i="28"/>
  <c r="K60" i="11"/>
  <c r="K59" i="11" s="1"/>
  <c r="Q464" i="5"/>
  <c r="R464" i="5"/>
  <c r="L195" i="7"/>
  <c r="N196" i="7"/>
  <c r="O17" i="18"/>
  <c r="Q45" i="16"/>
  <c r="R45" i="16"/>
  <c r="R57" i="16"/>
  <c r="Q57" i="16"/>
  <c r="Q164" i="16"/>
  <c r="R164" i="16"/>
  <c r="P161" i="16"/>
  <c r="P149" i="39"/>
  <c r="W149" i="39" s="1"/>
  <c r="Y149" i="39" s="1"/>
  <c r="W196" i="39"/>
  <c r="Y196" i="39" s="1"/>
  <c r="AF196" i="39"/>
  <c r="V196" i="39"/>
  <c r="R196" i="39"/>
  <c r="T196" i="39" s="1"/>
  <c r="Q196" i="39"/>
  <c r="M774" i="4"/>
  <c r="N774" i="4"/>
  <c r="M147" i="4"/>
  <c r="M99" i="4"/>
  <c r="S45" i="3"/>
  <c r="R95" i="3"/>
  <c r="O485" i="5"/>
  <c r="O484" i="5" s="1"/>
  <c r="T484" i="5" s="1"/>
  <c r="D44" i="3"/>
  <c r="N382" i="4"/>
  <c r="G104" i="3"/>
  <c r="N156" i="3"/>
  <c r="N155" i="3" s="1"/>
  <c r="N562" i="4"/>
  <c r="L577" i="23"/>
  <c r="L576" i="23" s="1"/>
  <c r="N449" i="30"/>
  <c r="N448" i="30" s="1"/>
  <c r="O448" i="30" s="1"/>
  <c r="V448" i="30" s="1"/>
  <c r="L137" i="5"/>
  <c r="J398" i="5"/>
  <c r="Q393" i="5"/>
  <c r="R393" i="5"/>
  <c r="Q484" i="5"/>
  <c r="L470" i="5"/>
  <c r="L137" i="9"/>
  <c r="O765" i="7"/>
  <c r="L764" i="7"/>
  <c r="N790" i="7"/>
  <c r="K869" i="7"/>
  <c r="K863" i="7" s="1"/>
  <c r="K861" i="7" s="1"/>
  <c r="K859" i="7" s="1"/>
  <c r="M901" i="7"/>
  <c r="P188" i="8"/>
  <c r="O188" i="8"/>
  <c r="M649" i="8"/>
  <c r="N649" i="8" s="1"/>
  <c r="N650" i="8"/>
  <c r="N655" i="8"/>
  <c r="O655" i="8" s="1"/>
  <c r="L654" i="8"/>
  <c r="N654" i="8" s="1"/>
  <c r="N653" i="8" s="1"/>
  <c r="O653" i="8" s="1"/>
  <c r="N54" i="9"/>
  <c r="M51" i="9"/>
  <c r="M55" i="9"/>
  <c r="L62" i="9"/>
  <c r="L61" i="9" s="1"/>
  <c r="N782" i="9"/>
  <c r="O782" i="9" s="1"/>
  <c r="O831" i="9"/>
  <c r="M830" i="9"/>
  <c r="N833" i="9"/>
  <c r="K1008" i="9"/>
  <c r="K1006" i="9" s="1"/>
  <c r="K1005" i="9" s="1"/>
  <c r="L1027" i="9"/>
  <c r="N1027" i="9" s="1"/>
  <c r="O1027" i="9" s="1"/>
  <c r="K27" i="10"/>
  <c r="K24" i="10" s="1"/>
  <c r="L654" i="10"/>
  <c r="L653" i="10" s="1"/>
  <c r="N656" i="10"/>
  <c r="O656" i="10" s="1"/>
  <c r="K889" i="10"/>
  <c r="N1083" i="10"/>
  <c r="O1083" i="10" s="1"/>
  <c r="L1080" i="10"/>
  <c r="Q21" i="28"/>
  <c r="P21" i="28"/>
  <c r="T21" i="28" s="1"/>
  <c r="N47" i="28"/>
  <c r="N46" i="18"/>
  <c r="N46" i="20"/>
  <c r="N46" i="11"/>
  <c r="T240" i="5"/>
  <c r="N45" i="24"/>
  <c r="K58" i="31"/>
  <c r="K60" i="28"/>
  <c r="K61" i="18"/>
  <c r="N372" i="7"/>
  <c r="M370" i="7"/>
  <c r="Q117" i="16"/>
  <c r="R117" i="16"/>
  <c r="Q191" i="16"/>
  <c r="R191" i="16"/>
  <c r="M48" i="25"/>
  <c r="O48" i="25" s="1"/>
  <c r="P94" i="39"/>
  <c r="P93" i="39"/>
  <c r="O448" i="4"/>
  <c r="S444" i="3"/>
  <c r="S132" i="3"/>
  <c r="S676" i="3"/>
  <c r="R33" i="3"/>
  <c r="N57" i="4"/>
  <c r="Q725" i="3"/>
  <c r="O497" i="27"/>
  <c r="O369" i="30"/>
  <c r="K61" i="11"/>
  <c r="K60" i="18"/>
  <c r="N11" i="24"/>
  <c r="N11" i="31"/>
  <c r="N13" i="28"/>
  <c r="N11" i="18"/>
  <c r="K17" i="31"/>
  <c r="K16" i="31"/>
  <c r="K17" i="18"/>
  <c r="K16" i="18" s="1"/>
  <c r="K17" i="11"/>
  <c r="K16" i="11" s="1"/>
  <c r="Q184" i="5"/>
  <c r="R184" i="5"/>
  <c r="K62" i="18"/>
  <c r="K59" i="31"/>
  <c r="Q411" i="5"/>
  <c r="R411" i="5"/>
  <c r="E366" i="6"/>
  <c r="I512" i="6"/>
  <c r="I511" i="6" s="1"/>
  <c r="T472" i="5"/>
  <c r="O470" i="5"/>
  <c r="O469" i="5" s="1"/>
  <c r="T469" i="5" s="1"/>
  <c r="N156" i="7"/>
  <c r="L995" i="10"/>
  <c r="N995" i="10" s="1"/>
  <c r="O995" i="10" s="1"/>
  <c r="K958" i="8"/>
  <c r="O958" i="8" s="1"/>
  <c r="K165" i="8"/>
  <c r="K161" i="8" s="1"/>
  <c r="K159" i="8" s="1"/>
  <c r="K157" i="8" s="1"/>
  <c r="O466" i="8"/>
  <c r="N463" i="8"/>
  <c r="N468" i="8"/>
  <c r="M462" i="8"/>
  <c r="M457" i="8" s="1"/>
  <c r="O476" i="8"/>
  <c r="N473" i="8"/>
  <c r="M472" i="8"/>
  <c r="M471" i="8" s="1"/>
  <c r="M470" i="8" s="1"/>
  <c r="N478" i="8"/>
  <c r="O478" i="8" s="1"/>
  <c r="N485" i="8"/>
  <c r="M526" i="7"/>
  <c r="M525" i="7" s="1"/>
  <c r="P875" i="8"/>
  <c r="O875" i="8"/>
  <c r="M881" i="8"/>
  <c r="N882" i="8"/>
  <c r="O882" i="8" s="1"/>
  <c r="O890" i="8"/>
  <c r="L910" i="8"/>
  <c r="N911" i="8"/>
  <c r="P959" i="8"/>
  <c r="N253" i="9"/>
  <c r="O253" i="9" s="1"/>
  <c r="N266" i="9"/>
  <c r="O266" i="9" s="1"/>
  <c r="M454" i="9"/>
  <c r="N945" i="9"/>
  <c r="O945" i="9" s="1"/>
  <c r="M943" i="9"/>
  <c r="L257" i="10"/>
  <c r="L256" i="10" s="1"/>
  <c r="K270" i="10"/>
  <c r="K269" i="10" s="1"/>
  <c r="P487" i="10"/>
  <c r="O487" i="10"/>
  <c r="N486" i="10"/>
  <c r="L505" i="10"/>
  <c r="L504" i="10" s="1"/>
  <c r="N504" i="10" s="1"/>
  <c r="N506" i="10"/>
  <c r="N505" i="10" s="1"/>
  <c r="O505" i="10" s="1"/>
  <c r="L827" i="10"/>
  <c r="L822" i="10" s="1"/>
  <c r="L820" i="10" s="1"/>
  <c r="N831" i="10"/>
  <c r="P831" i="10" s="1"/>
  <c r="N887" i="10"/>
  <c r="M1056" i="10"/>
  <c r="N1057" i="10"/>
  <c r="O1057" i="10" s="1"/>
  <c r="Q12" i="11"/>
  <c r="O9" i="11"/>
  <c r="P432" i="16"/>
  <c r="O68" i="18" s="1"/>
  <c r="Q13" i="20"/>
  <c r="O9" i="20"/>
  <c r="M52" i="31"/>
  <c r="S52" i="31" s="1"/>
  <c r="M54" i="28"/>
  <c r="S54" i="28" s="1"/>
  <c r="Q373" i="23"/>
  <c r="M52" i="24"/>
  <c r="G347" i="6"/>
  <c r="L395" i="7"/>
  <c r="O444" i="7"/>
  <c r="N543" i="7"/>
  <c r="M542" i="7"/>
  <c r="M541" i="7" s="1"/>
  <c r="L95" i="8"/>
  <c r="L94" i="8" s="1"/>
  <c r="N138" i="9"/>
  <c r="N137" i="9" s="1"/>
  <c r="O137" i="9" s="1"/>
  <c r="N149" i="9"/>
  <c r="O149" i="9" s="1"/>
  <c r="N167" i="9"/>
  <c r="O167" i="9" s="1"/>
  <c r="L204" i="9"/>
  <c r="N205" i="9"/>
  <c r="K543" i="9"/>
  <c r="N917" i="9"/>
  <c r="O917" i="9" s="1"/>
  <c r="S34" i="11"/>
  <c r="Q34" i="11"/>
  <c r="O33" i="11"/>
  <c r="M33" i="11"/>
  <c r="S36" i="11"/>
  <c r="Q36" i="11"/>
  <c r="R303" i="19"/>
  <c r="Q303" i="19"/>
  <c r="R366" i="19"/>
  <c r="Q366" i="19"/>
  <c r="L364" i="19"/>
  <c r="N938" i="7"/>
  <c r="M932" i="7"/>
  <c r="M930" i="7" s="1"/>
  <c r="M929" i="7" s="1"/>
  <c r="O29" i="8"/>
  <c r="P33" i="8"/>
  <c r="O33" i="8"/>
  <c r="M45" i="8"/>
  <c r="N45" i="8" s="1"/>
  <c r="N46" i="8"/>
  <c r="O46" i="8" s="1"/>
  <c r="N265" i="8"/>
  <c r="O265" i="8" s="1"/>
  <c r="L326" i="8"/>
  <c r="L325" i="8" s="1"/>
  <c r="N353" i="8"/>
  <c r="O353" i="8" s="1"/>
  <c r="M351" i="8"/>
  <c r="N351" i="8" s="1"/>
  <c r="O351" i="8" s="1"/>
  <c r="L370" i="8"/>
  <c r="L369" i="8" s="1"/>
  <c r="L367" i="8" s="1"/>
  <c r="L378" i="8"/>
  <c r="P766" i="8"/>
  <c r="O766" i="8"/>
  <c r="N395" i="30"/>
  <c r="O395" i="30" s="1"/>
  <c r="V395" i="30" s="1"/>
  <c r="O401" i="30"/>
  <c r="V401" i="30" s="1"/>
  <c r="N494" i="9"/>
  <c r="M488" i="9"/>
  <c r="M486" i="9" s="1"/>
  <c r="L835" i="9"/>
  <c r="K842" i="9"/>
  <c r="N134" i="10"/>
  <c r="O134" i="10" s="1"/>
  <c r="N300" i="10"/>
  <c r="O300" i="10" s="1"/>
  <c r="M299" i="10"/>
  <c r="N299" i="10" s="1"/>
  <c r="K322" i="10"/>
  <c r="K318" i="10" s="1"/>
  <c r="K314" i="10" s="1"/>
  <c r="K332" i="10"/>
  <c r="K331" i="10" s="1"/>
  <c r="J343" i="10"/>
  <c r="J342" i="10" s="1"/>
  <c r="J340" i="10" s="1"/>
  <c r="J338" i="10" s="1"/>
  <c r="N667" i="10"/>
  <c r="K738" i="10"/>
  <c r="K736" i="10" s="1"/>
  <c r="L953" i="10"/>
  <c r="L952" i="10" s="1"/>
  <c r="L951" i="10" s="1"/>
  <c r="N976" i="10"/>
  <c r="M989" i="10"/>
  <c r="N990" i="10"/>
  <c r="O990" i="10" s="1"/>
  <c r="O1021" i="10"/>
  <c r="M1025" i="10"/>
  <c r="N1026" i="10"/>
  <c r="V372" i="16"/>
  <c r="O371" i="16"/>
  <c r="R644" i="16"/>
  <c r="L642" i="16"/>
  <c r="V94" i="19"/>
  <c r="O93" i="19"/>
  <c r="Q98" i="19"/>
  <c r="R98" i="19"/>
  <c r="L213" i="19"/>
  <c r="L212" i="19" s="1"/>
  <c r="Q214" i="19"/>
  <c r="M268" i="25"/>
  <c r="O268" i="25" s="1"/>
  <c r="L668" i="25"/>
  <c r="M669" i="25"/>
  <c r="M702" i="25"/>
  <c r="M720" i="25"/>
  <c r="O720" i="25" s="1"/>
  <c r="M144" i="8"/>
  <c r="M143" i="8" s="1"/>
  <c r="J665" i="8"/>
  <c r="J659" i="8" s="1"/>
  <c r="J658" i="8" s="1"/>
  <c r="N559" i="7"/>
  <c r="O559" i="7" s="1"/>
  <c r="L776" i="7"/>
  <c r="N776" i="7" s="1"/>
  <c r="N777" i="7"/>
  <c r="P777" i="7" s="1"/>
  <c r="L833" i="7"/>
  <c r="L832" i="7" s="1"/>
  <c r="J840" i="7"/>
  <c r="M105" i="8"/>
  <c r="M104" i="8" s="1"/>
  <c r="J141" i="8"/>
  <c r="J139" i="8" s="1"/>
  <c r="L204" i="8"/>
  <c r="L203" i="8" s="1"/>
  <c r="K257" i="8"/>
  <c r="O258" i="8"/>
  <c r="L401" i="27"/>
  <c r="R401" i="27" s="1"/>
  <c r="L400" i="23"/>
  <c r="Q400" i="23" s="1"/>
  <c r="O359" i="8"/>
  <c r="M763" i="8"/>
  <c r="N763" i="8" s="1"/>
  <c r="N764" i="8"/>
  <c r="K834" i="8"/>
  <c r="K833" i="8" s="1"/>
  <c r="L402" i="30"/>
  <c r="L393" i="16"/>
  <c r="L403" i="27"/>
  <c r="R403" i="27" s="1"/>
  <c r="L393" i="19"/>
  <c r="R393" i="19" s="1"/>
  <c r="J988" i="8"/>
  <c r="J986" i="8" s="1"/>
  <c r="J984" i="8" s="1"/>
  <c r="M1088" i="8"/>
  <c r="M1082" i="8" s="1"/>
  <c r="M1080" i="8" s="1"/>
  <c r="M1079" i="8" s="1"/>
  <c r="N1089" i="8"/>
  <c r="O1089" i="8" s="1"/>
  <c r="L45" i="9"/>
  <c r="N46" i="9"/>
  <c r="O46" i="9" s="1"/>
  <c r="M223" i="9"/>
  <c r="N223" i="9" s="1"/>
  <c r="O223" i="9" s="1"/>
  <c r="N224" i="9"/>
  <c r="N435" i="9"/>
  <c r="O526" i="9"/>
  <c r="P526" i="9"/>
  <c r="L859" i="9"/>
  <c r="L858" i="9" s="1"/>
  <c r="N861" i="9"/>
  <c r="O861" i="9" s="1"/>
  <c r="N873" i="9"/>
  <c r="L899" i="9"/>
  <c r="L898" i="9" s="1"/>
  <c r="N900" i="9"/>
  <c r="J906" i="9"/>
  <c r="J243" i="10"/>
  <c r="J234" i="10" s="1"/>
  <c r="J232" i="10" s="1"/>
  <c r="M572" i="10"/>
  <c r="N573" i="10"/>
  <c r="P573" i="10" s="1"/>
  <c r="J773" i="10"/>
  <c r="J770" i="10" s="1"/>
  <c r="J768" i="10" s="1"/>
  <c r="O642" i="16"/>
  <c r="P212" i="16"/>
  <c r="Q412" i="16"/>
  <c r="P411" i="16"/>
  <c r="R94" i="19"/>
  <c r="L93" i="19"/>
  <c r="L92" i="19" s="1"/>
  <c r="M225" i="19"/>
  <c r="Q300" i="19"/>
  <c r="P295" i="19"/>
  <c r="R78" i="23"/>
  <c r="O32" i="28"/>
  <c r="Q251" i="23"/>
  <c r="P250" i="23"/>
  <c r="O48" i="31"/>
  <c r="S48" i="31" s="1"/>
  <c r="R268" i="23"/>
  <c r="O50" i="28"/>
  <c r="Q291" i="23"/>
  <c r="R291" i="23"/>
  <c r="M98" i="25"/>
  <c r="O98" i="25" s="1"/>
  <c r="M171" i="25"/>
  <c r="L170" i="25"/>
  <c r="M170" i="25" s="1"/>
  <c r="M190" i="25"/>
  <c r="O190" i="25" s="1"/>
  <c r="R459" i="27"/>
  <c r="Q459" i="27"/>
  <c r="M232" i="29"/>
  <c r="O232" i="29" s="1"/>
  <c r="O631" i="29"/>
  <c r="P631" i="29" s="1"/>
  <c r="N630" i="29"/>
  <c r="N629" i="29" s="1"/>
  <c r="N597" i="7"/>
  <c r="N598" i="7"/>
  <c r="L618" i="7"/>
  <c r="N621" i="7"/>
  <c r="O621" i="7" s="1"/>
  <c r="N672" i="7"/>
  <c r="L749" i="7"/>
  <c r="L748" i="7" s="1"/>
  <c r="L742" i="7" s="1"/>
  <c r="N750" i="7"/>
  <c r="O750" i="7" s="1"/>
  <c r="J24" i="8"/>
  <c r="J15" i="8" s="1"/>
  <c r="J13" i="8" s="1"/>
  <c r="J110" i="8"/>
  <c r="J108" i="8" s="1"/>
  <c r="L412" i="8"/>
  <c r="L411" i="8" s="1"/>
  <c r="L409" i="8" s="1"/>
  <c r="K445" i="8"/>
  <c r="K439" i="8" s="1"/>
  <c r="O446" i="8"/>
  <c r="N450" i="8"/>
  <c r="N402" i="27"/>
  <c r="N392" i="19"/>
  <c r="N392" i="16"/>
  <c r="N401" i="23"/>
  <c r="N395" i="23" s="1"/>
  <c r="O395" i="23" s="1"/>
  <c r="V395" i="23" s="1"/>
  <c r="L901" i="8"/>
  <c r="N901" i="8" s="1"/>
  <c r="N902" i="8"/>
  <c r="L966" i="8"/>
  <c r="J588" i="9"/>
  <c r="J586" i="9" s="1"/>
  <c r="L603" i="9"/>
  <c r="L602" i="9" s="1"/>
  <c r="N794" i="9"/>
  <c r="O794" i="9" s="1"/>
  <c r="J15" i="10"/>
  <c r="J13" i="10" s="1"/>
  <c r="J407" i="10"/>
  <c r="J405" i="10" s="1"/>
  <c r="J533" i="10"/>
  <c r="J502" i="10" s="1"/>
  <c r="J500" i="10" s="1"/>
  <c r="M184" i="10"/>
  <c r="N185" i="10"/>
  <c r="L251" i="10"/>
  <c r="K929" i="10"/>
  <c r="Q14" i="11"/>
  <c r="L33" i="11"/>
  <c r="L32" i="11" s="1"/>
  <c r="I31" i="12" s="1"/>
  <c r="S40" i="11"/>
  <c r="K56" i="16"/>
  <c r="K54" i="16" s="1"/>
  <c r="V94" i="16"/>
  <c r="O93" i="16"/>
  <c r="O92" i="16" s="1"/>
  <c r="O56" i="16" s="1"/>
  <c r="V56" i="16" s="1"/>
  <c r="Q98" i="16"/>
  <c r="R98" i="16"/>
  <c r="V137" i="16"/>
  <c r="O136" i="16"/>
  <c r="V136" i="16" s="1"/>
  <c r="R214" i="16"/>
  <c r="L213" i="16"/>
  <c r="Q213" i="16" s="1"/>
  <c r="Q214" i="16"/>
  <c r="R303" i="16"/>
  <c r="Q303" i="16"/>
  <c r="R366" i="16"/>
  <c r="Q366" i="16"/>
  <c r="L364" i="16"/>
  <c r="R364" i="16" s="1"/>
  <c r="Q12" i="18"/>
  <c r="P12" i="18"/>
  <c r="Q45" i="19"/>
  <c r="R45" i="19"/>
  <c r="R57" i="19"/>
  <c r="Q57" i="19"/>
  <c r="Q61" i="19"/>
  <c r="R61" i="19"/>
  <c r="O371" i="19"/>
  <c r="V372" i="19"/>
  <c r="K429" i="19"/>
  <c r="K427" i="19" s="1"/>
  <c r="K425" i="19" s="1"/>
  <c r="Q462" i="19"/>
  <c r="R462" i="19"/>
  <c r="O468" i="19"/>
  <c r="O643" i="19"/>
  <c r="R643" i="19" s="1"/>
  <c r="R642" i="19" s="1"/>
  <c r="M33" i="20"/>
  <c r="M32" i="20" s="1"/>
  <c r="S37" i="20"/>
  <c r="Q37" i="20"/>
  <c r="Q39" i="20"/>
  <c r="P39" i="20"/>
  <c r="S39" i="20"/>
  <c r="Q41" i="20"/>
  <c r="P41" i="20"/>
  <c r="S41" i="20"/>
  <c r="L139" i="23"/>
  <c r="O19" i="28"/>
  <c r="O17" i="24"/>
  <c r="Q45" i="23"/>
  <c r="O17" i="31"/>
  <c r="R45" i="23"/>
  <c r="O19" i="31"/>
  <c r="R51" i="23"/>
  <c r="O19" i="24"/>
  <c r="Q19" i="24" s="1"/>
  <c r="V61" i="23"/>
  <c r="J553" i="7"/>
  <c r="J547" i="7" s="1"/>
  <c r="J546" i="7" s="1"/>
  <c r="N945" i="7"/>
  <c r="O945" i="7" s="1"/>
  <c r="N870" i="8"/>
  <c r="O870" i="8" s="1"/>
  <c r="L492" i="7"/>
  <c r="N493" i="7"/>
  <c r="P493" i="7" s="1"/>
  <c r="N505" i="7"/>
  <c r="N736" i="7"/>
  <c r="N816" i="7"/>
  <c r="O816" i="7" s="1"/>
  <c r="L398" i="27"/>
  <c r="R398" i="27" s="1"/>
  <c r="L388" i="19"/>
  <c r="R388" i="19" s="1"/>
  <c r="L397" i="23"/>
  <c r="Q397" i="23" s="1"/>
  <c r="L256" i="8"/>
  <c r="N256" i="8" s="1"/>
  <c r="N257" i="8"/>
  <c r="N691" i="8"/>
  <c r="O691" i="8" s="1"/>
  <c r="N779" i="8"/>
  <c r="J1033" i="8"/>
  <c r="J1031" i="8" s="1"/>
  <c r="J1030" i="8" s="1"/>
  <c r="L923" i="7"/>
  <c r="N328" i="9"/>
  <c r="O328" i="9" s="1"/>
  <c r="L326" i="9"/>
  <c r="O491" i="9"/>
  <c r="N489" i="9"/>
  <c r="M754" i="9"/>
  <c r="M753" i="9" s="1"/>
  <c r="O847" i="9"/>
  <c r="P847" i="9"/>
  <c r="L911" i="9"/>
  <c r="L906" i="9" s="1"/>
  <c r="N912" i="9"/>
  <c r="O912" i="9" s="1"/>
  <c r="N919" i="9"/>
  <c r="O919" i="9" s="1"/>
  <c r="L916" i="9"/>
  <c r="L95" i="10"/>
  <c r="L94" i="10" s="1"/>
  <c r="J216" i="10"/>
  <c r="M357" i="10"/>
  <c r="M356" i="10" s="1"/>
  <c r="N360" i="10"/>
  <c r="P360" i="10" s="1"/>
  <c r="M449" i="10"/>
  <c r="M448" i="10" s="1"/>
  <c r="N455" i="10"/>
  <c r="N449" i="10" s="1"/>
  <c r="N996" i="10"/>
  <c r="O996" i="10" s="1"/>
  <c r="M1037" i="10"/>
  <c r="M1036" i="10" s="1"/>
  <c r="N1038" i="10"/>
  <c r="O1038" i="10" s="1"/>
  <c r="L92" i="16"/>
  <c r="R94" i="16"/>
  <c r="Q94" i="16"/>
  <c r="O44" i="18"/>
  <c r="R226" i="16"/>
  <c r="Q300" i="16"/>
  <c r="P295" i="16"/>
  <c r="O52" i="18" s="1"/>
  <c r="R308" i="16"/>
  <c r="Q308" i="16"/>
  <c r="J432" i="16"/>
  <c r="J430" i="16" s="1"/>
  <c r="K432" i="16"/>
  <c r="K430" i="16" s="1"/>
  <c r="Q41" i="18"/>
  <c r="S41" i="18"/>
  <c r="P41" i="18"/>
  <c r="S35" i="18"/>
  <c r="O33" i="18"/>
  <c r="O32" i="18" s="1"/>
  <c r="S39" i="18"/>
  <c r="P39" i="18"/>
  <c r="V470" i="19"/>
  <c r="R308" i="19"/>
  <c r="R239" i="19"/>
  <c r="P13" i="18"/>
  <c r="Q13" i="18"/>
  <c r="Q51" i="23"/>
  <c r="P380" i="23"/>
  <c r="O56" i="28" s="1"/>
  <c r="S68" i="31"/>
  <c r="O67" i="31"/>
  <c r="R381" i="23"/>
  <c r="R380" i="23" s="1"/>
  <c r="M60" i="25"/>
  <c r="O60" i="25" s="1"/>
  <c r="M303" i="25"/>
  <c r="O303" i="25" s="1"/>
  <c r="L457" i="25"/>
  <c r="M457" i="25" s="1"/>
  <c r="M502" i="25"/>
  <c r="L500" i="25"/>
  <c r="M500" i="25" s="1"/>
  <c r="M761" i="25"/>
  <c r="O761" i="25" s="1"/>
  <c r="L760" i="25"/>
  <c r="M760" i="25" s="1"/>
  <c r="O760" i="25" s="1"/>
  <c r="H35" i="13"/>
  <c r="L29" i="13"/>
  <c r="Q53" i="16"/>
  <c r="V72" i="16"/>
  <c r="O28" i="18"/>
  <c r="O27" i="18" s="1"/>
  <c r="R137" i="19"/>
  <c r="Q72" i="19"/>
  <c r="R75" i="19"/>
  <c r="Q226" i="19"/>
  <c r="L12" i="19"/>
  <c r="R12" i="19" s="1"/>
  <c r="R13" i="19"/>
  <c r="P213" i="19"/>
  <c r="R230" i="23"/>
  <c r="L96" i="23"/>
  <c r="L95" i="23" s="1"/>
  <c r="L56" i="23" s="1"/>
  <c r="O29" i="31"/>
  <c r="O27" i="31" s="1"/>
  <c r="L238" i="25"/>
  <c r="L237" i="25" s="1"/>
  <c r="M19" i="25"/>
  <c r="P19" i="25" s="1"/>
  <c r="L17" i="25"/>
  <c r="M38" i="25"/>
  <c r="O38" i="25" s="1"/>
  <c r="M71" i="25"/>
  <c r="O71" i="25" s="1"/>
  <c r="M206" i="25"/>
  <c r="O206" i="25" s="1"/>
  <c r="M299" i="25"/>
  <c r="O299" i="25" s="1"/>
  <c r="M317" i="25"/>
  <c r="O317" i="25" s="1"/>
  <c r="M376" i="25"/>
  <c r="M480" i="25"/>
  <c r="L479" i="25"/>
  <c r="M479" i="25" s="1"/>
  <c r="M688" i="25"/>
  <c r="M800" i="25"/>
  <c r="O800" i="25" s="1"/>
  <c r="M830" i="25"/>
  <c r="O830" i="25" s="1"/>
  <c r="S13" i="23"/>
  <c r="S25" i="23"/>
  <c r="M134" i="29"/>
  <c r="P134" i="29" s="1"/>
  <c r="S69" i="39"/>
  <c r="L44" i="27"/>
  <c r="R45" i="27"/>
  <c r="P139" i="27"/>
  <c r="O25" i="28" s="1"/>
  <c r="R140" i="27"/>
  <c r="Q140" i="27"/>
  <c r="Q169" i="27"/>
  <c r="R169" i="27"/>
  <c r="R196" i="27"/>
  <c r="Q196" i="27"/>
  <c r="M110" i="29"/>
  <c r="O110" i="29" s="1"/>
  <c r="M206" i="29"/>
  <c r="O206" i="29" s="1"/>
  <c r="M401" i="29"/>
  <c r="M795" i="29"/>
  <c r="O795" i="29" s="1"/>
  <c r="O59" i="31"/>
  <c r="O30" i="24"/>
  <c r="P634" i="23"/>
  <c r="M15" i="25"/>
  <c r="P15" i="25" s="1"/>
  <c r="L12" i="25"/>
  <c r="M12" i="25" s="1"/>
  <c r="P12" i="25" s="1"/>
  <c r="P121" i="25"/>
  <c r="M176" i="25"/>
  <c r="M331" i="25"/>
  <c r="O331" i="25" s="1"/>
  <c r="M426" i="25"/>
  <c r="P426" i="25" s="1"/>
  <c r="M431" i="25"/>
  <c r="P431" i="25" s="1"/>
  <c r="M437" i="25"/>
  <c r="P437" i="25" s="1"/>
  <c r="L436" i="25"/>
  <c r="M436" i="25" s="1"/>
  <c r="P436" i="25" s="1"/>
  <c r="M792" i="25"/>
  <c r="O792" i="25" s="1"/>
  <c r="O59" i="28"/>
  <c r="O57" i="24"/>
  <c r="M215" i="29"/>
  <c r="J456" i="25"/>
  <c r="O457" i="25"/>
  <c r="P457" i="25" s="1"/>
  <c r="J523" i="25"/>
  <c r="O523" i="25" s="1"/>
  <c r="P523" i="25" s="1"/>
  <c r="O524" i="25"/>
  <c r="P524" i="25" s="1"/>
  <c r="M82" i="29"/>
  <c r="P82" i="29" s="1"/>
  <c r="L79" i="29"/>
  <c r="M79" i="29" s="1"/>
  <c r="P79" i="29" s="1"/>
  <c r="L217" i="30"/>
  <c r="R218" i="30"/>
  <c r="Q367" i="30"/>
  <c r="P366" i="30"/>
  <c r="R112" i="16"/>
  <c r="R72" i="16"/>
  <c r="P136" i="19"/>
  <c r="Q164" i="19"/>
  <c r="R457" i="23"/>
  <c r="P216" i="23"/>
  <c r="J165" i="23"/>
  <c r="O46" i="24"/>
  <c r="O48" i="28"/>
  <c r="Q48" i="28" s="1"/>
  <c r="O70" i="28"/>
  <c r="M80" i="25"/>
  <c r="P80" i="25" s="1"/>
  <c r="M165" i="25"/>
  <c r="O165" i="25" s="1"/>
  <c r="M185" i="25"/>
  <c r="L184" i="25"/>
  <c r="M184" i="25" s="1"/>
  <c r="M275" i="25"/>
  <c r="O275" i="25" s="1"/>
  <c r="M402" i="25"/>
  <c r="P402" i="25" s="1"/>
  <c r="M488" i="25"/>
  <c r="M494" i="25"/>
  <c r="L493" i="25"/>
  <c r="M493" i="25" s="1"/>
  <c r="M518" i="25"/>
  <c r="O518" i="25" s="1"/>
  <c r="M643" i="25"/>
  <c r="M673" i="25"/>
  <c r="M735" i="25"/>
  <c r="M784" i="25"/>
  <c r="O784" i="25" s="1"/>
  <c r="M818" i="25"/>
  <c r="O818" i="25" s="1"/>
  <c r="R238" i="27"/>
  <c r="Q238" i="27"/>
  <c r="O338" i="29"/>
  <c r="P338" i="29" s="1"/>
  <c r="P337" i="29" s="1"/>
  <c r="N337" i="29"/>
  <c r="V219" i="27"/>
  <c r="O218" i="27"/>
  <c r="Q240" i="27"/>
  <c r="R240" i="27"/>
  <c r="T71" i="39"/>
  <c r="AF71" i="39"/>
  <c r="AG71" i="39" s="1"/>
  <c r="V71" i="39"/>
  <c r="AB71" i="39"/>
  <c r="W71" i="39"/>
  <c r="Y71" i="39" s="1"/>
  <c r="M167" i="29"/>
  <c r="O167" i="29" s="1"/>
  <c r="O499" i="29"/>
  <c r="P499" i="29" s="1"/>
  <c r="O510" i="29"/>
  <c r="P510" i="29" s="1"/>
  <c r="J509" i="29"/>
  <c r="J508" i="29" s="1"/>
  <c r="M676" i="29"/>
  <c r="L673" i="29"/>
  <c r="M821" i="29"/>
  <c r="O821" i="29" s="1"/>
  <c r="P12" i="30"/>
  <c r="O10" i="31"/>
  <c r="R13" i="30"/>
  <c r="Q13" i="30"/>
  <c r="R57" i="30"/>
  <c r="Q57" i="30"/>
  <c r="N56" i="30"/>
  <c r="O218" i="23"/>
  <c r="V218" i="23" s="1"/>
  <c r="M25" i="25"/>
  <c r="M142" i="25"/>
  <c r="O142" i="25" s="1"/>
  <c r="M150" i="25"/>
  <c r="O150" i="25" s="1"/>
  <c r="N96" i="27"/>
  <c r="N95" i="27" s="1"/>
  <c r="N56" i="27" s="1"/>
  <c r="O656" i="27"/>
  <c r="R656" i="27" s="1"/>
  <c r="R655" i="27" s="1"/>
  <c r="O482" i="27"/>
  <c r="J215" i="29"/>
  <c r="O216" i="29"/>
  <c r="P216" i="29" s="1"/>
  <c r="O285" i="29"/>
  <c r="P285" i="29" s="1"/>
  <c r="N284" i="29"/>
  <c r="M447" i="29"/>
  <c r="L445" i="29"/>
  <c r="L444" i="29" s="1"/>
  <c r="M444" i="29" s="1"/>
  <c r="M469" i="29"/>
  <c r="L464" i="29"/>
  <c r="M464" i="29" s="1"/>
  <c r="L44" i="30"/>
  <c r="R45" i="30"/>
  <c r="R51" i="30"/>
  <c r="Q51" i="30"/>
  <c r="Q140" i="30"/>
  <c r="R140" i="30"/>
  <c r="O217" i="30"/>
  <c r="V218" i="30"/>
  <c r="R307" i="30"/>
  <c r="Q307" i="30"/>
  <c r="Q36" i="31"/>
  <c r="S36" i="31"/>
  <c r="S37" i="31"/>
  <c r="P37" i="31"/>
  <c r="Q573" i="27"/>
  <c r="P443" i="27"/>
  <c r="J29" i="29"/>
  <c r="N93" i="29"/>
  <c r="N91" i="29" s="1"/>
  <c r="Q113" i="29" s="1"/>
  <c r="O94" i="29"/>
  <c r="O375" i="29"/>
  <c r="P375" i="29" s="1"/>
  <c r="J370" i="29"/>
  <c r="O370" i="29" s="1"/>
  <c r="P370" i="29" s="1"/>
  <c r="N669" i="29"/>
  <c r="N668" i="29" s="1"/>
  <c r="O670" i="29"/>
  <c r="P670" i="29" s="1"/>
  <c r="V72" i="30"/>
  <c r="P216" i="30"/>
  <c r="R217" i="30"/>
  <c r="Q304" i="30"/>
  <c r="P299" i="30"/>
  <c r="P380" i="30"/>
  <c r="Q381" i="30"/>
  <c r="Q380" i="30" s="1"/>
  <c r="R381" i="30"/>
  <c r="R380" i="30" s="1"/>
  <c r="Q469" i="30"/>
  <c r="R469" i="30"/>
  <c r="P441" i="30"/>
  <c r="L32" i="31"/>
  <c r="L31" i="31"/>
  <c r="K32" i="31"/>
  <c r="K31" i="31" s="1"/>
  <c r="P35" i="31"/>
  <c r="S35" i="31"/>
  <c r="Q35" i="31"/>
  <c r="O32" i="31"/>
  <c r="O31" i="31" s="1"/>
  <c r="R13" i="27"/>
  <c r="L218" i="27"/>
  <c r="L217" i="27" s="1"/>
  <c r="Q219" i="27"/>
  <c r="V423" i="27"/>
  <c r="O422" i="27"/>
  <c r="V422" i="27" s="1"/>
  <c r="X70" i="39"/>
  <c r="AB70" i="39" s="1"/>
  <c r="AA71" i="39"/>
  <c r="O398" i="29"/>
  <c r="P398" i="29" s="1"/>
  <c r="Q398" i="29" s="1"/>
  <c r="J165" i="30"/>
  <c r="N165" i="30"/>
  <c r="P204" i="30"/>
  <c r="R246" i="30"/>
  <c r="Q246" i="30"/>
  <c r="R375" i="30"/>
  <c r="Q375" i="30"/>
  <c r="L373" i="30"/>
  <c r="K441" i="30"/>
  <c r="K439" i="30" s="1"/>
  <c r="Q12" i="31"/>
  <c r="P12" i="31"/>
  <c r="Q14" i="31"/>
  <c r="P14" i="31"/>
  <c r="P36" i="31"/>
  <c r="J215" i="25"/>
  <c r="J214" i="25" s="1"/>
  <c r="P300" i="27"/>
  <c r="L458" i="29"/>
  <c r="M458" i="29" s="1"/>
  <c r="R133" i="30"/>
  <c r="Q61" i="30"/>
  <c r="Q187" i="30"/>
  <c r="R97" i="30"/>
  <c r="O420" i="30"/>
  <c r="V420" i="30" s="1"/>
  <c r="Q120" i="30"/>
  <c r="R747" i="39"/>
  <c r="T747" i="39" s="1"/>
  <c r="Q747" i="39"/>
  <c r="O747" i="39"/>
  <c r="N745" i="39"/>
  <c r="R745" i="39" s="1"/>
  <c r="T745" i="39" s="1"/>
  <c r="S863" i="39"/>
  <c r="S861" i="39" s="1"/>
  <c r="S859" i="39" s="1"/>
  <c r="AF839" i="39"/>
  <c r="V839" i="39"/>
  <c r="AG839" i="39" s="1"/>
  <c r="W839" i="39"/>
  <c r="S452" i="39"/>
  <c r="R922" i="39"/>
  <c r="T922" i="39" s="1"/>
  <c r="Q922" i="39"/>
  <c r="O1032" i="39"/>
  <c r="P87" i="39"/>
  <c r="P79" i="39" s="1"/>
  <c r="O266" i="39"/>
  <c r="O738" i="39"/>
  <c r="Q738" i="39"/>
  <c r="N736" i="39"/>
  <c r="Q736" i="39" s="1"/>
  <c r="R738" i="39"/>
  <c r="T738" i="39" s="1"/>
  <c r="O952" i="39"/>
  <c r="Q952" i="39"/>
  <c r="R952" i="39"/>
  <c r="T952" i="39" s="1"/>
  <c r="O300" i="39"/>
  <c r="V599" i="39"/>
  <c r="P693" i="39"/>
  <c r="P81" i="39"/>
  <c r="V81" i="39" s="1"/>
  <c r="W83" i="39"/>
  <c r="V83" i="39"/>
  <c r="AF83" i="39"/>
  <c r="W537" i="39"/>
  <c r="Y537" i="39" s="1"/>
  <c r="AA537" i="39"/>
  <c r="AB537" i="39"/>
  <c r="AD23" i="39"/>
  <c r="AE23" i="39" s="1"/>
  <c r="R32" i="39"/>
  <c r="T32" i="39" s="1"/>
  <c r="N31" i="39"/>
  <c r="R31" i="39" s="1"/>
  <c r="T31" i="39" s="1"/>
  <c r="AG47" i="39"/>
  <c r="Q58" i="39"/>
  <c r="R58" i="39"/>
  <c r="T58" i="39" s="1"/>
  <c r="O58" i="39"/>
  <c r="Z67" i="39"/>
  <c r="Z66" i="39"/>
  <c r="Z93" i="39"/>
  <c r="R84" i="39"/>
  <c r="T84" i="39" s="1"/>
  <c r="Q84" i="39"/>
  <c r="AF84" i="39"/>
  <c r="AG84" i="39" s="1"/>
  <c r="W84" i="39"/>
  <c r="Y84" i="39" s="1"/>
  <c r="Y90" i="39"/>
  <c r="AA90" i="39"/>
  <c r="X89" i="39"/>
  <c r="AA89" i="39" s="1"/>
  <c r="P521" i="39"/>
  <c r="AA538" i="39"/>
  <c r="T538" i="39"/>
  <c r="AB538" i="39"/>
  <c r="AB90" i="39"/>
  <c r="N839" i="39"/>
  <c r="O840" i="39"/>
  <c r="AB98" i="39"/>
  <c r="AA98" i="39"/>
  <c r="S97" i="39"/>
  <c r="X58" i="39"/>
  <c r="AB58" i="39" s="1"/>
  <c r="Y59" i="39"/>
  <c r="AB59" i="39"/>
  <c r="O96" i="39"/>
  <c r="Q96" i="39"/>
  <c r="N95" i="39"/>
  <c r="Q95" i="39" s="1"/>
  <c r="R96" i="39"/>
  <c r="Z94" i="39"/>
  <c r="AA149" i="39"/>
  <c r="X148" i="39"/>
  <c r="X147" i="39" s="1"/>
  <c r="AB149" i="39"/>
  <c r="AG157" i="39"/>
  <c r="U396" i="39"/>
  <c r="U395" i="39" s="1"/>
  <c r="U393" i="39" s="1"/>
  <c r="U391" i="39" s="1"/>
  <c r="AG531" i="39"/>
  <c r="Q10" i="31"/>
  <c r="P10" i="31"/>
  <c r="M61" i="28"/>
  <c r="P61" i="28" s="1"/>
  <c r="R470" i="5"/>
  <c r="Q470" i="5"/>
  <c r="L469" i="5"/>
  <c r="P912" i="9"/>
  <c r="M23" i="18"/>
  <c r="P23" i="18" s="1"/>
  <c r="Q137" i="5"/>
  <c r="O45" i="11"/>
  <c r="R234" i="5"/>
  <c r="O45" i="20"/>
  <c r="O509" i="29"/>
  <c r="P509" i="29" s="1"/>
  <c r="Q364" i="19"/>
  <c r="R364" i="19"/>
  <c r="AA70" i="39"/>
  <c r="X69" i="39"/>
  <c r="X68" i="39" s="1"/>
  <c r="X66" i="39" s="1"/>
  <c r="O32" i="11"/>
  <c r="Q577" i="23"/>
  <c r="K58" i="28"/>
  <c r="P218" i="39"/>
  <c r="Y89" i="39"/>
  <c r="M447" i="10"/>
  <c r="M487" i="9"/>
  <c r="R95" i="39"/>
  <c r="N27" i="39"/>
  <c r="M668" i="25"/>
  <c r="O745" i="39"/>
  <c r="M445" i="29"/>
  <c r="O217" i="23"/>
  <c r="O216" i="23" s="1"/>
  <c r="V216" i="23" s="1"/>
  <c r="S70" i="28"/>
  <c r="Q70" i="28"/>
  <c r="O69" i="28"/>
  <c r="P212" i="19"/>
  <c r="O49" i="28"/>
  <c r="O47" i="31"/>
  <c r="R411" i="16"/>
  <c r="E520" i="6"/>
  <c r="P54" i="28"/>
  <c r="Q54" i="28"/>
  <c r="P506" i="10"/>
  <c r="O506" i="10"/>
  <c r="P882" i="8"/>
  <c r="N472" i="8"/>
  <c r="T485" i="5"/>
  <c r="P46" i="31"/>
  <c r="S47" i="18"/>
  <c r="Q47" i="18"/>
  <c r="N678" i="10"/>
  <c r="N684" i="10"/>
  <c r="P684" i="10" s="1"/>
  <c r="N688" i="10"/>
  <c r="N695" i="10"/>
  <c r="O695" i="10" s="1"/>
  <c r="N699" i="10"/>
  <c r="O699" i="10" s="1"/>
  <c r="N711" i="10"/>
  <c r="P711" i="10" s="1"/>
  <c r="N240" i="10"/>
  <c r="R597" i="6"/>
  <c r="R664" i="6"/>
  <c r="N355" i="10"/>
  <c r="N415" i="10"/>
  <c r="O415" i="10" s="1"/>
  <c r="AF81" i="39"/>
  <c r="AG81" i="39" s="1"/>
  <c r="L598" i="4"/>
  <c r="M598" i="4" s="1"/>
  <c r="Q464" i="27"/>
  <c r="N607" i="16"/>
  <c r="N436" i="16"/>
  <c r="O436" i="16" s="1"/>
  <c r="V436" i="16" s="1"/>
  <c r="Q390" i="30"/>
  <c r="R390" i="30"/>
  <c r="R288" i="3"/>
  <c r="S288" i="3"/>
  <c r="E322" i="3"/>
  <c r="R597" i="3"/>
  <c r="D617" i="3"/>
  <c r="R619" i="3"/>
  <c r="R625" i="3"/>
  <c r="S625" i="3"/>
  <c r="S642" i="3"/>
  <c r="R642" i="3"/>
  <c r="E638" i="3"/>
  <c r="E637" i="3" s="1"/>
  <c r="Q645" i="3"/>
  <c r="L206" i="30"/>
  <c r="L207" i="27"/>
  <c r="L202" i="19"/>
  <c r="N158" i="4"/>
  <c r="L203" i="5"/>
  <c r="Q203" i="5" s="1"/>
  <c r="L206" i="23"/>
  <c r="O158" i="4"/>
  <c r="N208" i="30"/>
  <c r="N205" i="30" s="1"/>
  <c r="N204" i="16"/>
  <c r="M185" i="4"/>
  <c r="O208" i="30" s="1"/>
  <c r="V208" i="30" s="1"/>
  <c r="O397" i="4"/>
  <c r="N397" i="4"/>
  <c r="M400" i="4"/>
  <c r="L491" i="4"/>
  <c r="L490" i="4" s="1"/>
  <c r="L489" i="4" s="1"/>
  <c r="M489" i="4" s="1"/>
  <c r="M492" i="4"/>
  <c r="L370" i="27"/>
  <c r="Q370" i="27" s="1"/>
  <c r="N574" i="4"/>
  <c r="L369" i="23"/>
  <c r="Q369" i="23" s="1"/>
  <c r="M711" i="4"/>
  <c r="L710" i="4"/>
  <c r="M710" i="4" s="1"/>
  <c r="N720" i="4"/>
  <c r="O353" i="16"/>
  <c r="V353" i="16" s="1"/>
  <c r="O353" i="19"/>
  <c r="V353" i="19" s="1"/>
  <c r="N789" i="4"/>
  <c r="N30" i="18"/>
  <c r="P10" i="11"/>
  <c r="Q10" i="11"/>
  <c r="N496" i="4"/>
  <c r="R276" i="3"/>
  <c r="R278" i="3"/>
  <c r="R301" i="3"/>
  <c r="R303" i="3"/>
  <c r="N407" i="4"/>
  <c r="R292" i="3"/>
  <c r="R294" i="3"/>
  <c r="R296" i="3"/>
  <c r="N361" i="27"/>
  <c r="L362" i="27"/>
  <c r="Q362" i="27" s="1"/>
  <c r="K17" i="20"/>
  <c r="K16" i="20" s="1"/>
  <c r="K17" i="24"/>
  <c r="K16" i="24" s="1"/>
  <c r="J45" i="5"/>
  <c r="K19" i="28"/>
  <c r="K18" i="28" s="1"/>
  <c r="N488" i="9"/>
  <c r="N487" i="9" s="1"/>
  <c r="R642" i="16"/>
  <c r="O203" i="19"/>
  <c r="V203" i="19" s="1"/>
  <c r="S19" i="3"/>
  <c r="N576" i="4"/>
  <c r="O576" i="4" s="1"/>
  <c r="O207" i="23"/>
  <c r="V207" i="23" s="1"/>
  <c r="O453" i="16"/>
  <c r="V453" i="16" s="1"/>
  <c r="O443" i="16"/>
  <c r="V443" i="16" s="1"/>
  <c r="N554" i="4"/>
  <c r="N193" i="4"/>
  <c r="N177" i="4"/>
  <c r="O209" i="19"/>
  <c r="V209" i="19" s="1"/>
  <c r="L357" i="16"/>
  <c r="Q357" i="16"/>
  <c r="R383" i="3"/>
  <c r="L357" i="19"/>
  <c r="Q357" i="19" s="1"/>
  <c r="N363" i="27"/>
  <c r="N360" i="30"/>
  <c r="F11" i="3"/>
  <c r="F10" i="3" s="1"/>
  <c r="L11" i="24"/>
  <c r="L48" i="28"/>
  <c r="L47" i="18"/>
  <c r="L47" i="11"/>
  <c r="L46" i="24"/>
  <c r="T243" i="5"/>
  <c r="N46" i="24"/>
  <c r="N46" i="31"/>
  <c r="N47" i="18"/>
  <c r="N47" i="11"/>
  <c r="N48" i="28"/>
  <c r="N47" i="20"/>
  <c r="M48" i="24"/>
  <c r="M50" i="28"/>
  <c r="M49" i="20"/>
  <c r="M49" i="11"/>
  <c r="L49" i="24"/>
  <c r="L49" i="31"/>
  <c r="L50" i="18"/>
  <c r="L50" i="11"/>
  <c r="L51" i="28"/>
  <c r="L50" i="20"/>
  <c r="M50" i="18"/>
  <c r="M49" i="24"/>
  <c r="M50" i="11"/>
  <c r="T35" i="31"/>
  <c r="O208" i="27"/>
  <c r="V208" i="27" s="1"/>
  <c r="O466" i="4"/>
  <c r="N424" i="4"/>
  <c r="N209" i="4"/>
  <c r="N557" i="4"/>
  <c r="N316" i="4"/>
  <c r="N515" i="4"/>
  <c r="M310" i="4"/>
  <c r="N357" i="5"/>
  <c r="O507" i="4"/>
  <c r="M325" i="4"/>
  <c r="N358" i="19"/>
  <c r="N360" i="23"/>
  <c r="N362" i="23"/>
  <c r="N362" i="30"/>
  <c r="D80" i="2"/>
  <c r="D106" i="2"/>
  <c r="J54" i="3"/>
  <c r="R57" i="3"/>
  <c r="D79" i="3"/>
  <c r="J91" i="3"/>
  <c r="R100" i="3"/>
  <c r="R102" i="3"/>
  <c r="I197" i="3"/>
  <c r="R379" i="3"/>
  <c r="G462" i="3"/>
  <c r="G461" i="3" s="1"/>
  <c r="O17" i="20"/>
  <c r="O17" i="11"/>
  <c r="N19" i="24"/>
  <c r="O19" i="20"/>
  <c r="N19" i="31"/>
  <c r="N19" i="20"/>
  <c r="N19" i="11"/>
  <c r="N21" i="28"/>
  <c r="R52" i="5"/>
  <c r="N19" i="18"/>
  <c r="Q52" i="5"/>
  <c r="P19" i="11" s="1"/>
  <c r="O19" i="11"/>
  <c r="Q288" i="5"/>
  <c r="S470" i="3"/>
  <c r="O612" i="3"/>
  <c r="O611" i="3" s="1"/>
  <c r="J638" i="3"/>
  <c r="J637" i="3" s="1"/>
  <c r="D673" i="3"/>
  <c r="D672" i="3" s="1"/>
  <c r="D670" i="3" s="1"/>
  <c r="R681" i="3"/>
  <c r="Q684" i="3"/>
  <c r="R684" i="3" s="1"/>
  <c r="M670" i="3"/>
  <c r="M668" i="3" s="1"/>
  <c r="Q694" i="3"/>
  <c r="R698" i="3"/>
  <c r="I777" i="3"/>
  <c r="M777" i="3"/>
  <c r="N142" i="4"/>
  <c r="N248" i="4"/>
  <c r="J322" i="4"/>
  <c r="J321" i="4" s="1"/>
  <c r="J414" i="4"/>
  <c r="J403" i="4"/>
  <c r="N530" i="4"/>
  <c r="N537" i="4"/>
  <c r="N539" i="4"/>
  <c r="N625" i="4"/>
  <c r="D402" i="2"/>
  <c r="M11" i="3"/>
  <c r="M10" i="3" s="1"/>
  <c r="E11" i="3"/>
  <c r="E10" i="3" s="1"/>
  <c r="R40" i="3"/>
  <c r="E91" i="3"/>
  <c r="R136" i="3"/>
  <c r="D205" i="3"/>
  <c r="R319" i="3"/>
  <c r="D347" i="3"/>
  <c r="D346" i="3" s="1"/>
  <c r="S405" i="3"/>
  <c r="R495" i="3"/>
  <c r="R565" i="3"/>
  <c r="S565" i="3" s="1"/>
  <c r="S584" i="3"/>
  <c r="P612" i="3"/>
  <c r="P611" i="3" s="1"/>
  <c r="S618" i="3"/>
  <c r="R622" i="3"/>
  <c r="R626" i="3"/>
  <c r="L638" i="3"/>
  <c r="L637" i="3" s="1"/>
  <c r="P638" i="3"/>
  <c r="P637" i="3" s="1"/>
  <c r="S649" i="3"/>
  <c r="R651" i="3"/>
  <c r="K670" i="3"/>
  <c r="K668" i="3" s="1"/>
  <c r="R717" i="3"/>
  <c r="R721" i="3"/>
  <c r="D734" i="3"/>
  <c r="D732" i="3" s="1"/>
  <c r="R747" i="3"/>
  <c r="R763" i="3"/>
  <c r="R765" i="3"/>
  <c r="R771" i="3"/>
  <c r="R773" i="3"/>
  <c r="N38" i="4"/>
  <c r="L204" i="4"/>
  <c r="M204" i="4" s="1"/>
  <c r="O382" i="4"/>
  <c r="L62" i="11"/>
  <c r="L59" i="11"/>
  <c r="L28" i="11"/>
  <c r="I9" i="12"/>
  <c r="R73" i="5"/>
  <c r="L62" i="18"/>
  <c r="K44" i="18"/>
  <c r="M48" i="18"/>
  <c r="K43" i="31"/>
  <c r="Q62" i="5"/>
  <c r="L94" i="5"/>
  <c r="R118" i="5"/>
  <c r="K137" i="5"/>
  <c r="Q179" i="5"/>
  <c r="Q301" i="5"/>
  <c r="F659" i="6"/>
  <c r="F657" i="6" s="1"/>
  <c r="R707" i="6"/>
  <c r="D633" i="2"/>
  <c r="D632" i="2" s="1"/>
  <c r="L11" i="3"/>
  <c r="L10" i="3" s="1"/>
  <c r="D21" i="3"/>
  <c r="H197" i="3"/>
  <c r="D400" i="3"/>
  <c r="J428" i="3"/>
  <c r="D436" i="3"/>
  <c r="Q590" i="3"/>
  <c r="H777" i="3"/>
  <c r="P777" i="3"/>
  <c r="L189" i="4"/>
  <c r="M189" i="4" s="1"/>
  <c r="N189" i="4" s="1"/>
  <c r="J265" i="4"/>
  <c r="J264" i="4" s="1"/>
  <c r="J285" i="4"/>
  <c r="J697" i="4"/>
  <c r="O44" i="11"/>
  <c r="K46" i="28"/>
  <c r="L30" i="31"/>
  <c r="L162" i="5"/>
  <c r="R265" i="5"/>
  <c r="P398" i="5"/>
  <c r="J278" i="7"/>
  <c r="J275" i="7" s="1"/>
  <c r="J273" i="7" s="1"/>
  <c r="O650" i="7"/>
  <c r="J681" i="7"/>
  <c r="N911" i="7"/>
  <c r="K20" i="8"/>
  <c r="K19" i="8" s="1"/>
  <c r="K17" i="8" s="1"/>
  <c r="N99" i="8"/>
  <c r="O99" i="8" s="1"/>
  <c r="N201" i="8"/>
  <c r="N282" i="8"/>
  <c r="N798" i="8"/>
  <c r="N800" i="8"/>
  <c r="P800" i="8" s="1"/>
  <c r="N802" i="8"/>
  <c r="N905" i="8"/>
  <c r="J909" i="8"/>
  <c r="J899" i="8" s="1"/>
  <c r="J898" i="8" s="1"/>
  <c r="O1029" i="8"/>
  <c r="J59" i="9"/>
  <c r="J57" i="9" s="1"/>
  <c r="J243" i="9"/>
  <c r="J234" i="9" s="1"/>
  <c r="J232" i="9" s="1"/>
  <c r="N543" i="9"/>
  <c r="J942" i="9"/>
  <c r="J940" i="9" s="1"/>
  <c r="J939" i="9" s="1"/>
  <c r="J971" i="9"/>
  <c r="J969" i="9" s="1"/>
  <c r="J968" i="9" s="1"/>
  <c r="K462" i="10"/>
  <c r="K472" i="10"/>
  <c r="K471" i="10" s="1"/>
  <c r="K470" i="10" s="1"/>
  <c r="L33" i="20"/>
  <c r="L32" i="20" s="1"/>
  <c r="P14" i="18"/>
  <c r="P548" i="25"/>
  <c r="O374" i="25"/>
  <c r="P374" i="25" s="1"/>
  <c r="J444" i="29"/>
  <c r="J443" i="29" s="1"/>
  <c r="J848" i="29" s="1"/>
  <c r="Q159" i="30"/>
  <c r="J426" i="30"/>
  <c r="J425" i="30" s="1"/>
  <c r="J405" i="30" s="1"/>
  <c r="R641" i="5"/>
  <c r="R133" i="6"/>
  <c r="S208" i="6"/>
  <c r="I311" i="6"/>
  <c r="J1016" i="10"/>
  <c r="O12" i="16"/>
  <c r="M93" i="19"/>
  <c r="M92" i="19" s="1"/>
  <c r="M56" i="19" s="1"/>
  <c r="Q178" i="19"/>
  <c r="P200" i="19"/>
  <c r="P36" i="20"/>
  <c r="N366" i="23"/>
  <c r="N12" i="27"/>
  <c r="Q25" i="27"/>
  <c r="Q45" i="27"/>
  <c r="Q72" i="27"/>
  <c r="L166" i="27"/>
  <c r="O405" i="29"/>
  <c r="P405" i="29" s="1"/>
  <c r="Q405" i="29" s="1"/>
  <c r="J726" i="7"/>
  <c r="J724" i="7" s="1"/>
  <c r="N52" i="8"/>
  <c r="O52" i="8" s="1"/>
  <c r="N455" i="8"/>
  <c r="N449" i="8" s="1"/>
  <c r="N448" i="8" s="1"/>
  <c r="J462" i="8"/>
  <c r="J458" i="8" s="1"/>
  <c r="J457" i="8" s="1"/>
  <c r="J472" i="8"/>
  <c r="J471" i="8" s="1"/>
  <c r="J470" i="8" s="1"/>
  <c r="O710" i="8"/>
  <c r="J790" i="8"/>
  <c r="J788" i="8" s="1"/>
  <c r="J901" i="8"/>
  <c r="J24" i="9"/>
  <c r="J15" i="9" s="1"/>
  <c r="J13" i="9" s="1"/>
  <c r="N178" i="9"/>
  <c r="O178" i="9" s="1"/>
  <c r="J298" i="9"/>
  <c r="J808" i="9"/>
  <c r="J915" i="9"/>
  <c r="J996" i="9"/>
  <c r="J994" i="9" s="1"/>
  <c r="J993" i="9" s="1"/>
  <c r="Q153" i="23"/>
  <c r="Q382" i="27"/>
  <c r="Q381" i="27" s="1"/>
  <c r="P33" i="31"/>
  <c r="P34" i="31"/>
  <c r="P782" i="8"/>
  <c r="J194" i="9"/>
  <c r="J192" i="9" s="1"/>
  <c r="J190" i="9" s="1"/>
  <c r="J1020" i="9"/>
  <c r="J1018" i="9" s="1"/>
  <c r="J1017" i="9" s="1"/>
  <c r="N578" i="10"/>
  <c r="K397" i="16"/>
  <c r="K417" i="16"/>
  <c r="K416" i="16" s="1"/>
  <c r="K396" i="16" s="1"/>
  <c r="P35" i="18"/>
  <c r="T35" i="18" s="1"/>
  <c r="Q75" i="19"/>
  <c r="R191" i="19"/>
  <c r="P599" i="19"/>
  <c r="P594" i="19" s="1"/>
  <c r="O216" i="25"/>
  <c r="P216" i="25" s="1"/>
  <c r="J443" i="25"/>
  <c r="J477" i="25"/>
  <c r="J476" i="25" s="1"/>
  <c r="J472" i="25" s="1"/>
  <c r="J471" i="25" s="1"/>
  <c r="J846" i="25" s="1"/>
  <c r="N728" i="25"/>
  <c r="N726" i="25" s="1"/>
  <c r="O408" i="25"/>
  <c r="N435" i="25"/>
  <c r="O404" i="25"/>
  <c r="O12" i="27"/>
  <c r="R57" i="27"/>
  <c r="Q78" i="27"/>
  <c r="P166" i="27"/>
  <c r="N166" i="27"/>
  <c r="J205" i="27"/>
  <c r="Q247" i="27"/>
  <c r="O445" i="29"/>
  <c r="P445" i="29" s="1"/>
  <c r="O702" i="29"/>
  <c r="P702" i="29" s="1"/>
  <c r="V431" i="39"/>
  <c r="R486" i="39"/>
  <c r="T486" i="39" s="1"/>
  <c r="AG817" i="39"/>
  <c r="O52" i="39"/>
  <c r="N51" i="39"/>
  <c r="AG117" i="39"/>
  <c r="AG156" i="39"/>
  <c r="AG158" i="39"/>
  <c r="AG164" i="39"/>
  <c r="AG698" i="39"/>
  <c r="AG725" i="39"/>
  <c r="AG747" i="39"/>
  <c r="P1036" i="39"/>
  <c r="W1037" i="39"/>
  <c r="Y1037" i="39" s="1"/>
  <c r="AG1052" i="39"/>
  <c r="AG604" i="39"/>
  <c r="AG30" i="39"/>
  <c r="AB200" i="39"/>
  <c r="V203" i="39"/>
  <c r="Q254" i="39"/>
  <c r="N253" i="39"/>
  <c r="O274" i="39"/>
  <c r="N273" i="39"/>
  <c r="Q289" i="39"/>
  <c r="R289" i="39"/>
  <c r="T289" i="39" s="1"/>
  <c r="AG358" i="39"/>
  <c r="S365" i="39"/>
  <c r="W401" i="39"/>
  <c r="Y401" i="39" s="1"/>
  <c r="AG432" i="39"/>
  <c r="X524" i="39"/>
  <c r="AA525" i="39"/>
  <c r="AG547" i="39"/>
  <c r="AG923" i="39"/>
  <c r="AA911" i="39"/>
  <c r="S521" i="39"/>
  <c r="Q937" i="39"/>
  <c r="S775" i="39"/>
  <c r="V89" i="39"/>
  <c r="AG649" i="39"/>
  <c r="U56" i="39"/>
  <c r="N40" i="39"/>
  <c r="P111" i="39"/>
  <c r="P237" i="39"/>
  <c r="Q238" i="39"/>
  <c r="R238" i="39"/>
  <c r="T238" i="39" s="1"/>
  <c r="W336" i="39"/>
  <c r="Y336" i="39" s="1"/>
  <c r="V336" i="39"/>
  <c r="AG349" i="39"/>
  <c r="O434" i="39"/>
  <c r="N433" i="39"/>
  <c r="V498" i="39"/>
  <c r="AG498" i="39" s="1"/>
  <c r="W498" i="39"/>
  <c r="AG578" i="39"/>
  <c r="AB620" i="39"/>
  <c r="AA620" i="39"/>
  <c r="Q811" i="39"/>
  <c r="R811" i="39"/>
  <c r="T811" i="39" s="1"/>
  <c r="AG885" i="39"/>
  <c r="R720" i="39"/>
  <c r="T720" i="39" s="1"/>
  <c r="N719" i="39"/>
  <c r="P816" i="39"/>
  <c r="W817" i="39"/>
  <c r="Y842" i="39"/>
  <c r="W841" i="39"/>
  <c r="Y841" i="39" s="1"/>
  <c r="Q1049" i="39"/>
  <c r="O1049" i="39"/>
  <c r="AG246" i="39"/>
  <c r="AG247" i="39"/>
  <c r="AG248" i="39"/>
  <c r="AG257" i="39"/>
  <c r="AG261" i="39"/>
  <c r="AG270" i="39"/>
  <c r="AA274" i="39"/>
  <c r="AG280" i="39"/>
  <c r="AG363" i="39"/>
  <c r="AG469" i="39"/>
  <c r="AG734" i="39"/>
  <c r="AG794" i="39"/>
  <c r="AG899" i="39"/>
  <c r="AG945" i="39"/>
  <c r="AG947" i="39"/>
  <c r="AG949" i="39"/>
  <c r="U1007" i="39"/>
  <c r="R840" i="39"/>
  <c r="T840" i="39" s="1"/>
  <c r="AG37" i="39"/>
  <c r="AG39" i="39"/>
  <c r="AG42" i="39"/>
  <c r="AA84" i="39"/>
  <c r="AG183" i="39"/>
  <c r="AG184" i="39"/>
  <c r="O208" i="39"/>
  <c r="AB208" i="39"/>
  <c r="X218" i="39"/>
  <c r="AA234" i="39"/>
  <c r="AG242" i="39"/>
  <c r="AG244" i="39"/>
  <c r="AG253" i="39"/>
  <c r="AG293" i="39"/>
  <c r="AG341" i="39"/>
  <c r="AG342" i="39"/>
  <c r="U474" i="39"/>
  <c r="U473" i="39" s="1"/>
  <c r="U471" i="39" s="1"/>
  <c r="AG642" i="39"/>
  <c r="AB668" i="39"/>
  <c r="AG683" i="39"/>
  <c r="AG689" i="39"/>
  <c r="AG691" i="39"/>
  <c r="AG723" i="39"/>
  <c r="T868" i="39"/>
  <c r="AG871" i="39"/>
  <c r="AG872" i="39"/>
  <c r="AG875" i="39"/>
  <c r="AG876" i="39"/>
  <c r="AG881" i="39"/>
  <c r="N358" i="10"/>
  <c r="N811" i="7"/>
  <c r="N930" i="10"/>
  <c r="O930" i="10" s="1"/>
  <c r="N885" i="7"/>
  <c r="F34" i="1" s="1"/>
  <c r="G34" i="1" s="1"/>
  <c r="L630" i="29"/>
  <c r="L629" i="29" s="1"/>
  <c r="M629" i="29" s="1"/>
  <c r="L495" i="7"/>
  <c r="N361" i="10"/>
  <c r="N555" i="10"/>
  <c r="P555" i="10" s="1"/>
  <c r="N557" i="10"/>
  <c r="N559" i="10"/>
  <c r="N934" i="10"/>
  <c r="O934" i="10" s="1"/>
  <c r="N700" i="7"/>
  <c r="N612" i="8"/>
  <c r="N398" i="9"/>
  <c r="M370" i="10"/>
  <c r="M369" i="10" s="1"/>
  <c r="M367" i="10" s="1"/>
  <c r="L157" i="25"/>
  <c r="L156" i="25" s="1"/>
  <c r="E318" i="6"/>
  <c r="N855" i="8"/>
  <c r="P855" i="8" s="1"/>
  <c r="N1049" i="8"/>
  <c r="N561" i="10"/>
  <c r="O777" i="7"/>
  <c r="O95" i="39"/>
  <c r="N911" i="9"/>
  <c r="L183" i="25"/>
  <c r="S48" i="28"/>
  <c r="M362" i="4"/>
  <c r="O132" i="4"/>
  <c r="O442" i="5"/>
  <c r="T442" i="5" s="1"/>
  <c r="R381" i="16"/>
  <c r="N565" i="19"/>
  <c r="O566" i="19"/>
  <c r="V566" i="19" s="1"/>
  <c r="N570" i="16"/>
  <c r="L210" i="23"/>
  <c r="Q210" i="23" s="1"/>
  <c r="O582" i="27"/>
  <c r="V582" i="27" s="1"/>
  <c r="N567" i="5"/>
  <c r="N32" i="28"/>
  <c r="S379" i="3"/>
  <c r="D457" i="2"/>
  <c r="D456" i="2" s="1"/>
  <c r="D502" i="2"/>
  <c r="S383" i="3"/>
  <c r="R387" i="3"/>
  <c r="R389" i="3"/>
  <c r="R394" i="3"/>
  <c r="E428" i="3"/>
  <c r="O215" i="27"/>
  <c r="O214" i="23"/>
  <c r="P48" i="28"/>
  <c r="O357" i="30"/>
  <c r="V357" i="30" s="1"/>
  <c r="O357" i="23"/>
  <c r="V357" i="23" s="1"/>
  <c r="N387" i="4"/>
  <c r="L207" i="5"/>
  <c r="Q460" i="23"/>
  <c r="R448" i="19"/>
  <c r="Q202" i="16"/>
  <c r="M495" i="4"/>
  <c r="O568" i="5"/>
  <c r="T568" i="5" s="1"/>
  <c r="O358" i="27"/>
  <c r="V358" i="27" s="1"/>
  <c r="N581" i="27"/>
  <c r="S18" i="3"/>
  <c r="S234" i="3"/>
  <c r="Q614" i="3"/>
  <c r="J104" i="3"/>
  <c r="O199" i="3"/>
  <c r="O198" i="3" s="1"/>
  <c r="R341" i="3"/>
  <c r="R348" i="3"/>
  <c r="R475" i="3"/>
  <c r="S475" i="3"/>
  <c r="N462" i="3"/>
  <c r="N461" i="3" s="1"/>
  <c r="I670" i="3"/>
  <c r="I668" i="3" s="1"/>
  <c r="D725" i="3"/>
  <c r="D723" i="3" s="1"/>
  <c r="R727" i="3"/>
  <c r="L449" i="30"/>
  <c r="L448" i="30" s="1"/>
  <c r="L437" i="19"/>
  <c r="O644" i="5"/>
  <c r="O468" i="4"/>
  <c r="O452" i="23"/>
  <c r="V452" i="23" s="1"/>
  <c r="O454" i="27"/>
  <c r="V454" i="27" s="1"/>
  <c r="T210" i="5"/>
  <c r="P10" i="18"/>
  <c r="O571" i="16"/>
  <c r="V571" i="16" s="1"/>
  <c r="O580" i="30"/>
  <c r="V580" i="30" s="1"/>
  <c r="Q457" i="27"/>
  <c r="N579" i="30"/>
  <c r="I43" i="3"/>
  <c r="N43" i="3"/>
  <c r="Q93" i="3"/>
  <c r="F91" i="3"/>
  <c r="K462" i="3"/>
  <c r="O207" i="27"/>
  <c r="V207" i="27" s="1"/>
  <c r="O202" i="19"/>
  <c r="V202" i="19" s="1"/>
  <c r="O206" i="23"/>
  <c r="V206" i="23" s="1"/>
  <c r="N119" i="4"/>
  <c r="Q95" i="5"/>
  <c r="T138" i="5"/>
  <c r="O137" i="5"/>
  <c r="N24" i="31"/>
  <c r="N24" i="20"/>
  <c r="N24" i="11"/>
  <c r="K30" i="28"/>
  <c r="K28" i="18"/>
  <c r="K28" i="20"/>
  <c r="O30" i="20"/>
  <c r="O30" i="11"/>
  <c r="N214" i="5"/>
  <c r="N213" i="5" s="1"/>
  <c r="O215" i="5"/>
  <c r="L43" i="31"/>
  <c r="L44" i="18"/>
  <c r="L45" i="28"/>
  <c r="L44" i="20"/>
  <c r="L44" i="11"/>
  <c r="M47" i="28"/>
  <c r="M45" i="31"/>
  <c r="M46" i="20"/>
  <c r="R240" i="5"/>
  <c r="O358" i="23"/>
  <c r="V358" i="23" s="1"/>
  <c r="N437" i="27"/>
  <c r="N428" i="27" s="1"/>
  <c r="N427" i="27" s="1"/>
  <c r="O358" i="30"/>
  <c r="V358" i="30" s="1"/>
  <c r="D45" i="2"/>
  <c r="O31" i="3"/>
  <c r="R37" i="3"/>
  <c r="R41" i="3"/>
  <c r="O43" i="3"/>
  <c r="R49" i="3"/>
  <c r="R51" i="3"/>
  <c r="O54" i="3"/>
  <c r="N78" i="3"/>
  <c r="H116" i="3"/>
  <c r="L116" i="3"/>
  <c r="P116" i="3"/>
  <c r="S137" i="3"/>
  <c r="F199" i="3"/>
  <c r="F198" i="3" s="1"/>
  <c r="F197" i="3" s="1"/>
  <c r="R250" i="3"/>
  <c r="S255" i="3"/>
  <c r="M407" i="3"/>
  <c r="J407" i="3"/>
  <c r="R418" i="3"/>
  <c r="K420" i="3"/>
  <c r="D500" i="3"/>
  <c r="D499" i="3" s="1"/>
  <c r="R601" i="3"/>
  <c r="Q617" i="3"/>
  <c r="I612" i="3"/>
  <c r="I611" i="3" s="1"/>
  <c r="M612" i="3"/>
  <c r="M611" i="3" s="1"/>
  <c r="R631" i="3"/>
  <c r="R633" i="3"/>
  <c r="G638" i="3"/>
  <c r="O638" i="3"/>
  <c r="O637" i="3" s="1"/>
  <c r="R656" i="3"/>
  <c r="R658" i="3"/>
  <c r="L670" i="3"/>
  <c r="L668" i="3" s="1"/>
  <c r="D782" i="3"/>
  <c r="J12" i="4"/>
  <c r="J147" i="4"/>
  <c r="N19" i="28"/>
  <c r="M17" i="20"/>
  <c r="M17" i="24"/>
  <c r="Q17" i="24" s="1"/>
  <c r="Q46" i="5"/>
  <c r="R46" i="5"/>
  <c r="M17" i="31"/>
  <c r="P156" i="5"/>
  <c r="O24" i="11" s="1"/>
  <c r="Q157" i="5"/>
  <c r="Q156" i="5" s="1"/>
  <c r="Q227" i="5"/>
  <c r="M44" i="11"/>
  <c r="M44" i="24"/>
  <c r="M44" i="31"/>
  <c r="M45" i="18"/>
  <c r="O56" i="20"/>
  <c r="Q373" i="5"/>
  <c r="R373" i="5"/>
  <c r="R372" i="5" s="1"/>
  <c r="P397" i="5"/>
  <c r="M61" i="18"/>
  <c r="M58" i="24"/>
  <c r="M61" i="20"/>
  <c r="N625" i="5"/>
  <c r="O354" i="19"/>
  <c r="V354" i="19" s="1"/>
  <c r="N435" i="30"/>
  <c r="N426" i="30" s="1"/>
  <c r="N425" i="30" s="1"/>
  <c r="D56" i="2"/>
  <c r="D211" i="2"/>
  <c r="D210" i="2" s="1"/>
  <c r="D234" i="2"/>
  <c r="D233" i="2" s="1"/>
  <c r="D232" i="2" s="1"/>
  <c r="D772" i="2"/>
  <c r="J11" i="3"/>
  <c r="J10" i="3" s="1"/>
  <c r="J31" i="3"/>
  <c r="J29" i="3" s="1"/>
  <c r="D35" i="3"/>
  <c r="G43" i="3"/>
  <c r="M43" i="3"/>
  <c r="R164" i="3"/>
  <c r="R166" i="3"/>
  <c r="R180" i="3"/>
  <c r="R207" i="3"/>
  <c r="R209" i="3"/>
  <c r="D217" i="3"/>
  <c r="D286" i="3"/>
  <c r="D285" i="3" s="1"/>
  <c r="D284" i="3" s="1"/>
  <c r="D283" i="3" s="1"/>
  <c r="R324" i="3"/>
  <c r="R328" i="3"/>
  <c r="R350" i="3"/>
  <c r="R352" i="3"/>
  <c r="R361" i="3"/>
  <c r="R409" i="3"/>
  <c r="N420" i="3"/>
  <c r="K428" i="3"/>
  <c r="P428" i="3"/>
  <c r="H577" i="3"/>
  <c r="R588" i="3"/>
  <c r="N577" i="3"/>
  <c r="J577" i="3"/>
  <c r="D590" i="3"/>
  <c r="R593" i="3"/>
  <c r="H612" i="3"/>
  <c r="H611" i="3" s="1"/>
  <c r="L612" i="3"/>
  <c r="L611" i="3" s="1"/>
  <c r="D630" i="3"/>
  <c r="N701" i="3"/>
  <c r="R708" i="3"/>
  <c r="L84" i="4"/>
  <c r="N98" i="4"/>
  <c r="J106" i="4"/>
  <c r="J104" i="4" s="1"/>
  <c r="L118" i="4"/>
  <c r="L116" i="4" s="1"/>
  <c r="L245" i="4"/>
  <c r="M245" i="4" s="1"/>
  <c r="N331" i="4"/>
  <c r="J549" i="4"/>
  <c r="J546" i="4" s="1"/>
  <c r="N715" i="4"/>
  <c r="J764" i="4"/>
  <c r="J762" i="4"/>
  <c r="O265" i="5"/>
  <c r="Q240" i="5"/>
  <c r="L45" i="5"/>
  <c r="T156" i="5"/>
  <c r="P247" i="5"/>
  <c r="O46" i="20"/>
  <c r="M45" i="24"/>
  <c r="M50" i="20"/>
  <c r="M49" i="31"/>
  <c r="M51" i="28"/>
  <c r="Q51" i="28" s="1"/>
  <c r="R405" i="5"/>
  <c r="K61" i="28"/>
  <c r="L577" i="3"/>
  <c r="Q759" i="3"/>
  <c r="J435" i="4"/>
  <c r="N442" i="4"/>
  <c r="T234" i="5"/>
  <c r="O46" i="11"/>
  <c r="M46" i="18"/>
  <c r="K28" i="24"/>
  <c r="K28" i="31"/>
  <c r="M49" i="28"/>
  <c r="M48" i="20"/>
  <c r="M47" i="24"/>
  <c r="M48" i="11"/>
  <c r="O50" i="20"/>
  <c r="O50" i="11"/>
  <c r="K54" i="18"/>
  <c r="K54" i="20"/>
  <c r="K54" i="11"/>
  <c r="N572" i="4"/>
  <c r="N621" i="4"/>
  <c r="N649" i="4"/>
  <c r="O651" i="4"/>
  <c r="N653" i="4"/>
  <c r="N655" i="4"/>
  <c r="N661" i="4"/>
  <c r="J755" i="4"/>
  <c r="J753" i="4" s="1"/>
  <c r="N94" i="5"/>
  <c r="N93" i="5" s="1"/>
  <c r="N57" i="5" s="1"/>
  <c r="Q113" i="5"/>
  <c r="M162" i="5"/>
  <c r="K162" i="5"/>
  <c r="Q192" i="5"/>
  <c r="M226" i="5"/>
  <c r="I10" i="12" s="1"/>
  <c r="S133" i="6"/>
  <c r="D236" i="6"/>
  <c r="N311" i="6"/>
  <c r="Q481" i="6"/>
  <c r="J117" i="7"/>
  <c r="J110" i="7" s="1"/>
  <c r="J108" i="7" s="1"/>
  <c r="P286" i="8"/>
  <c r="N312" i="27"/>
  <c r="N309" i="27" s="1"/>
  <c r="N522" i="7"/>
  <c r="J665" i="7"/>
  <c r="J663" i="7" s="1"/>
  <c r="J760" i="7"/>
  <c r="J849" i="7"/>
  <c r="J838" i="7" s="1"/>
  <c r="J836" i="7" s="1"/>
  <c r="J66" i="8"/>
  <c r="N102" i="8"/>
  <c r="O102" i="8" s="1"/>
  <c r="M439" i="8"/>
  <c r="M438" i="8"/>
  <c r="M436" i="8" s="1"/>
  <c r="L462" i="8"/>
  <c r="L457" i="8" s="1"/>
  <c r="N494" i="8"/>
  <c r="J1045" i="8"/>
  <c r="J1043" i="8" s="1"/>
  <c r="J1042" i="8" s="1"/>
  <c r="L1070" i="8"/>
  <c r="L1068" i="8" s="1"/>
  <c r="L1067" i="8" s="1"/>
  <c r="J82" i="9"/>
  <c r="N418" i="9"/>
  <c r="P418" i="9" s="1"/>
  <c r="J412" i="9"/>
  <c r="J411" i="9" s="1"/>
  <c r="J409" i="9" s="1"/>
  <c r="J501" i="9"/>
  <c r="J497" i="9" s="1"/>
  <c r="J496" i="9" s="1"/>
  <c r="L511" i="9"/>
  <c r="L510" i="9" s="1"/>
  <c r="L509" i="9" s="1"/>
  <c r="Q156" i="16"/>
  <c r="P155" i="16"/>
  <c r="O24" i="18" s="1"/>
  <c r="Q24" i="18" s="1"/>
  <c r="O214" i="16"/>
  <c r="N213" i="16"/>
  <c r="N212" i="16" s="1"/>
  <c r="O50" i="18"/>
  <c r="Q287" i="16"/>
  <c r="R287" i="16"/>
  <c r="P36" i="18"/>
  <c r="Q36" i="18"/>
  <c r="S36" i="18"/>
  <c r="V164" i="19"/>
  <c r="O161" i="19"/>
  <c r="V161" i="19" s="1"/>
  <c r="Q287" i="19"/>
  <c r="M171" i="29"/>
  <c r="L170" i="29"/>
  <c r="M170" i="29" s="1"/>
  <c r="J476" i="4"/>
  <c r="J728" i="4"/>
  <c r="J726" i="4" s="1"/>
  <c r="R158" i="6"/>
  <c r="H650" i="6"/>
  <c r="H644" i="6" s="1"/>
  <c r="L650" i="6"/>
  <c r="L644" i="6" s="1"/>
  <c r="P791" i="10"/>
  <c r="K906" i="9"/>
  <c r="O156" i="8"/>
  <c r="N539" i="7"/>
  <c r="F23" i="1" s="1"/>
  <c r="M357" i="8"/>
  <c r="M356" i="8" s="1"/>
  <c r="N356" i="8" s="1"/>
  <c r="J632" i="7"/>
  <c r="J629" i="7" s="1"/>
  <c r="J627" i="7" s="1"/>
  <c r="J161" i="8"/>
  <c r="J159" i="8" s="1"/>
  <c r="J157" i="8" s="1"/>
  <c r="J263" i="8"/>
  <c r="J262" i="8" s="1"/>
  <c r="J260" i="8" s="1"/>
  <c r="L428" i="8"/>
  <c r="L426" i="8" s="1"/>
  <c r="L424" i="8" s="1"/>
  <c r="J489" i="8"/>
  <c r="J483" i="8" s="1"/>
  <c r="J481" i="8" s="1"/>
  <c r="J533" i="8"/>
  <c r="N591" i="8"/>
  <c r="N601" i="8"/>
  <c r="O601" i="8" s="1"/>
  <c r="N677" i="8"/>
  <c r="N687" i="8"/>
  <c r="O687" i="8" s="1"/>
  <c r="N699" i="8"/>
  <c r="M704" i="8"/>
  <c r="N704" i="8" s="1"/>
  <c r="P704" i="8" s="1"/>
  <c r="N995" i="8"/>
  <c r="N1017" i="8"/>
  <c r="J216" i="9"/>
  <c r="O471" i="9"/>
  <c r="M467" i="9"/>
  <c r="M465" i="9" s="1"/>
  <c r="M463" i="9" s="1"/>
  <c r="L488" i="9"/>
  <c r="K511" i="9"/>
  <c r="K510" i="9" s="1"/>
  <c r="K509" i="9" s="1"/>
  <c r="N624" i="9"/>
  <c r="O624" i="9" s="1"/>
  <c r="M764" i="9"/>
  <c r="J850" i="9"/>
  <c r="J318" i="10"/>
  <c r="J462" i="10"/>
  <c r="J458" i="10" s="1"/>
  <c r="J457" i="10" s="1"/>
  <c r="J734" i="10"/>
  <c r="J732" i="10" s="1"/>
  <c r="Q40" i="11"/>
  <c r="R25" i="16"/>
  <c r="Q35" i="18"/>
  <c r="M29" i="13"/>
  <c r="Q25" i="19"/>
  <c r="N331" i="8"/>
  <c r="O459" i="8"/>
  <c r="J928" i="8"/>
  <c r="J926" i="8" s="1"/>
  <c r="J161" i="9"/>
  <c r="J159" i="9" s="1"/>
  <c r="J157" i="9" s="1"/>
  <c r="M501" i="9"/>
  <c r="M496" i="9" s="1"/>
  <c r="N496" i="9" s="1"/>
  <c r="Q109" i="16"/>
  <c r="R465" i="16"/>
  <c r="Q465" i="16"/>
  <c r="O471" i="16"/>
  <c r="O648" i="16"/>
  <c r="R648" i="16" s="1"/>
  <c r="R647" i="16" s="1"/>
  <c r="F555" i="6"/>
  <c r="P555" i="6"/>
  <c r="J24" i="7"/>
  <c r="J15" i="7" s="1"/>
  <c r="J13" i="7" s="1"/>
  <c r="J436" i="7"/>
  <c r="J430" i="7" s="1"/>
  <c r="J428" i="7" s="1"/>
  <c r="N780" i="7"/>
  <c r="J907" i="7"/>
  <c r="J905" i="7" s="1"/>
  <c r="J904" i="7" s="1"/>
  <c r="J944" i="7"/>
  <c r="J942" i="7" s="1"/>
  <c r="J941" i="7" s="1"/>
  <c r="N32" i="8"/>
  <c r="J59" i="8"/>
  <c r="J57" i="8" s="1"/>
  <c r="N229" i="8"/>
  <c r="K239" i="8"/>
  <c r="K238" i="8" s="1"/>
  <c r="K236" i="8" s="1"/>
  <c r="N267" i="8"/>
  <c r="O267" i="8" s="1"/>
  <c r="J278" i="8"/>
  <c r="J275" i="8" s="1"/>
  <c r="J273" i="8" s="1"/>
  <c r="N332" i="8"/>
  <c r="M370" i="8"/>
  <c r="N698" i="8"/>
  <c r="O698" i="8" s="1"/>
  <c r="O775" i="8"/>
  <c r="Q66" i="16"/>
  <c r="O411" i="16"/>
  <c r="V411" i="16" s="1"/>
  <c r="K550" i="9"/>
  <c r="K549" i="9" s="1"/>
  <c r="K547" i="9" s="1"/>
  <c r="N562" i="9"/>
  <c r="L567" i="9"/>
  <c r="N567" i="9" s="1"/>
  <c r="N569" i="9"/>
  <c r="P569" i="9" s="1"/>
  <c r="N573" i="9"/>
  <c r="O573" i="9" s="1"/>
  <c r="M595" i="9"/>
  <c r="M594" i="9" s="1"/>
  <c r="N614" i="9"/>
  <c r="N617" i="9"/>
  <c r="N627" i="9"/>
  <c r="N628" i="9"/>
  <c r="N639" i="9"/>
  <c r="N655" i="9"/>
  <c r="L679" i="9"/>
  <c r="L677" i="9" s="1"/>
  <c r="J774" i="9"/>
  <c r="J792" i="9"/>
  <c r="J790" i="9" s="1"/>
  <c r="N877" i="9"/>
  <c r="P877" i="9" s="1"/>
  <c r="N883" i="9"/>
  <c r="P883" i="9" s="1"/>
  <c r="N887" i="9"/>
  <c r="N973" i="9"/>
  <c r="O973" i="9" s="1"/>
  <c r="K971" i="9"/>
  <c r="K969" i="9" s="1"/>
  <c r="K968" i="9" s="1"/>
  <c r="L24" i="10"/>
  <c r="L15" i="10" s="1"/>
  <c r="L13" i="10" s="1"/>
  <c r="N121" i="10"/>
  <c r="O121" i="10" s="1"/>
  <c r="N130" i="10"/>
  <c r="J161" i="10"/>
  <c r="J159" i="10" s="1"/>
  <c r="J157" i="10" s="1"/>
  <c r="L552" i="10"/>
  <c r="N556" i="10"/>
  <c r="P556" i="10" s="1"/>
  <c r="K563" i="10"/>
  <c r="J790" i="10"/>
  <c r="J788" i="10" s="1"/>
  <c r="K7" i="12"/>
  <c r="J12" i="16"/>
  <c r="R628" i="16"/>
  <c r="Q112" i="19"/>
  <c r="R639" i="19"/>
  <c r="R421" i="23"/>
  <c r="Q421" i="23"/>
  <c r="Q187" i="23"/>
  <c r="O268" i="23"/>
  <c r="V268" i="23" s="1"/>
  <c r="M229" i="23"/>
  <c r="M648" i="23"/>
  <c r="R650" i="23"/>
  <c r="O653" i="23"/>
  <c r="Q72" i="23"/>
  <c r="N32" i="24"/>
  <c r="N31" i="24" s="1"/>
  <c r="L834" i="25"/>
  <c r="M834" i="25" s="1"/>
  <c r="L285" i="25"/>
  <c r="M285" i="25" s="1"/>
  <c r="O444" i="25"/>
  <c r="P444" i="25" s="1"/>
  <c r="N215" i="25"/>
  <c r="N214" i="25" s="1"/>
  <c r="O56" i="25"/>
  <c r="L415" i="25"/>
  <c r="M415" i="25" s="1"/>
  <c r="R417" i="27"/>
  <c r="Q429" i="27"/>
  <c r="Q251" i="27"/>
  <c r="P15" i="28"/>
  <c r="M34" i="28"/>
  <c r="M33" i="28" s="1"/>
  <c r="O500" i="29"/>
  <c r="P500" i="29" s="1"/>
  <c r="R78" i="27"/>
  <c r="R53" i="27"/>
  <c r="Q57" i="27"/>
  <c r="Q476" i="27"/>
  <c r="O833" i="25"/>
  <c r="O175" i="25"/>
  <c r="L12" i="27"/>
  <c r="S13" i="27"/>
  <c r="S25" i="27"/>
  <c r="Q183" i="27"/>
  <c r="R231" i="27"/>
  <c r="R244" i="27"/>
  <c r="P650" i="27"/>
  <c r="Q14" i="28"/>
  <c r="Q16" i="28"/>
  <c r="S37" i="28"/>
  <c r="T37" i="28" s="1"/>
  <c r="L34" i="28"/>
  <c r="L33" i="28" s="1"/>
  <c r="N34" i="28"/>
  <c r="N33" i="28" s="1"/>
  <c r="J130" i="29"/>
  <c r="J129" i="29" s="1"/>
  <c r="O157" i="29"/>
  <c r="O339" i="29"/>
  <c r="P339" i="29" s="1"/>
  <c r="O673" i="29"/>
  <c r="P673" i="29" s="1"/>
  <c r="C4" i="26"/>
  <c r="V482" i="30"/>
  <c r="S33" i="31"/>
  <c r="P159" i="30"/>
  <c r="M161" i="19"/>
  <c r="N33" i="20"/>
  <c r="N32" i="20" s="1"/>
  <c r="P37" i="20"/>
  <c r="T37" i="20" s="1"/>
  <c r="M166" i="27"/>
  <c r="O537" i="29"/>
  <c r="P549" i="29"/>
  <c r="Q427" i="30"/>
  <c r="N217" i="30"/>
  <c r="N216" i="30" s="1"/>
  <c r="M139" i="30"/>
  <c r="K567" i="9"/>
  <c r="N575" i="9"/>
  <c r="O575" i="9" s="1"/>
  <c r="N670" i="9"/>
  <c r="O670" i="9" s="1"/>
  <c r="N738" i="9"/>
  <c r="N740" i="9"/>
  <c r="N742" i="9"/>
  <c r="N744" i="9"/>
  <c r="J747" i="9"/>
  <c r="M768" i="9"/>
  <c r="N768" i="9" s="1"/>
  <c r="J763" i="9"/>
  <c r="J761" i="9" s="1"/>
  <c r="J759" i="9" s="1"/>
  <c r="J757" i="9" s="1"/>
  <c r="N800" i="9"/>
  <c r="N802" i="9"/>
  <c r="O802" i="9" s="1"/>
  <c r="N804" i="9"/>
  <c r="N806" i="9"/>
  <c r="O806" i="9" s="1"/>
  <c r="J842" i="9"/>
  <c r="N846" i="9"/>
  <c r="N862" i="9"/>
  <c r="N878" i="9"/>
  <c r="J806" i="10"/>
  <c r="R75" i="16"/>
  <c r="K136" i="16"/>
  <c r="M161" i="16"/>
  <c r="Q178" i="16"/>
  <c r="K200" i="16"/>
  <c r="Q14" i="18"/>
  <c r="J12" i="19"/>
  <c r="M12" i="19"/>
  <c r="R183" i="19"/>
  <c r="N623" i="19"/>
  <c r="R638" i="19"/>
  <c r="P35" i="20"/>
  <c r="V482" i="23"/>
  <c r="R97" i="23"/>
  <c r="O480" i="23"/>
  <c r="O30" i="28"/>
  <c r="Q115" i="23"/>
  <c r="Q159" i="23"/>
  <c r="N165" i="23"/>
  <c r="O285" i="25"/>
  <c r="P285" i="25" s="1"/>
  <c r="O384" i="25"/>
  <c r="P384" i="25" s="1"/>
  <c r="O486" i="25"/>
  <c r="P486" i="25" s="1"/>
  <c r="O157" i="25"/>
  <c r="R423" i="27"/>
  <c r="J535" i="25"/>
  <c r="O672" i="25"/>
  <c r="P672" i="25" s="1"/>
  <c r="M12" i="27"/>
  <c r="J96" i="27"/>
  <c r="J95" i="27" s="1"/>
  <c r="J56" i="27" s="1"/>
  <c r="M139" i="27"/>
  <c r="N139" i="27"/>
  <c r="O371" i="29"/>
  <c r="P371" i="29" s="1"/>
  <c r="O268" i="30"/>
  <c r="V268" i="30" s="1"/>
  <c r="Q101" i="30"/>
  <c r="R230" i="30"/>
  <c r="Q230" i="30"/>
  <c r="M229" i="30"/>
  <c r="P139" i="23"/>
  <c r="Q139" i="23" s="1"/>
  <c r="P39" i="24"/>
  <c r="N535" i="25"/>
  <c r="P96" i="30"/>
  <c r="Q97" i="30"/>
  <c r="Q495" i="30"/>
  <c r="L494" i="30"/>
  <c r="L165" i="30"/>
  <c r="K204" i="30"/>
  <c r="J204" i="30"/>
  <c r="P634" i="30"/>
  <c r="N389" i="29"/>
  <c r="P429" i="39"/>
  <c r="AB1042" i="39"/>
  <c r="X1040" i="39"/>
  <c r="AF1044" i="39"/>
  <c r="AA396" i="39"/>
  <c r="W1044" i="39"/>
  <c r="AB916" i="39"/>
  <c r="AA916" i="39"/>
  <c r="N893" i="39"/>
  <c r="N242" i="39"/>
  <c r="R246" i="39"/>
  <c r="T246" i="39" s="1"/>
  <c r="Q246" i="39"/>
  <c r="O617" i="39"/>
  <c r="R617" i="39"/>
  <c r="Q62" i="39"/>
  <c r="N61" i="39"/>
  <c r="R62" i="39"/>
  <c r="T62" i="39" s="1"/>
  <c r="O62" i="39"/>
  <c r="L56" i="30"/>
  <c r="M96" i="30"/>
  <c r="M95" i="30" s="1"/>
  <c r="L139" i="30"/>
  <c r="Q182" i="30"/>
  <c r="M165" i="30"/>
  <c r="S38" i="31"/>
  <c r="T38" i="31" s="1"/>
  <c r="S837" i="39"/>
  <c r="S835" i="39" s="1"/>
  <c r="AG1037" i="39"/>
  <c r="O1008" i="39"/>
  <c r="N1007" i="39"/>
  <c r="N1005" i="39" s="1"/>
  <c r="S891" i="39"/>
  <c r="S889" i="39" s="1"/>
  <c r="AG654" i="39"/>
  <c r="AA308" i="39"/>
  <c r="X304" i="39"/>
  <c r="N637" i="39"/>
  <c r="V612" i="39"/>
  <c r="W612" i="39"/>
  <c r="S611" i="39"/>
  <c r="X935" i="39"/>
  <c r="AA936" i="39"/>
  <c r="S395" i="39"/>
  <c r="P14" i="39"/>
  <c r="P12" i="39"/>
  <c r="R962" i="39"/>
  <c r="T962" i="39" s="1"/>
  <c r="N961" i="39"/>
  <c r="Q63" i="39"/>
  <c r="R63" i="39"/>
  <c r="T63" i="39" s="1"/>
  <c r="AB112" i="39"/>
  <c r="X111" i="39"/>
  <c r="AG154" i="39"/>
  <c r="AG161" i="39"/>
  <c r="AG165" i="39"/>
  <c r="P427" i="39"/>
  <c r="R602" i="39"/>
  <c r="T602" i="39" s="1"/>
  <c r="T599" i="39" s="1"/>
  <c r="Q602" i="39"/>
  <c r="V433" i="39"/>
  <c r="AA1036" i="39"/>
  <c r="Q840" i="39"/>
  <c r="AG762" i="39"/>
  <c r="AG539" i="39"/>
  <c r="V234" i="39"/>
  <c r="AG234" i="39" s="1"/>
  <c r="AA208" i="39"/>
  <c r="AG238" i="39"/>
  <c r="O63" i="39"/>
  <c r="AA332" i="39"/>
  <c r="V268" i="39"/>
  <c r="AB234" i="39"/>
  <c r="Q200" i="39"/>
  <c r="AB19" i="39"/>
  <c r="AF19" i="39"/>
  <c r="AG205" i="39"/>
  <c r="AF226" i="39"/>
  <c r="AG226" i="39" s="1"/>
  <c r="T226" i="39"/>
  <c r="AG245" i="39"/>
  <c r="Q259" i="39"/>
  <c r="N258" i="39"/>
  <c r="AG281" i="39"/>
  <c r="AG288" i="39"/>
  <c r="AG344" i="39"/>
  <c r="AG381" i="39"/>
  <c r="AG383" i="39"/>
  <c r="O937" i="39"/>
  <c r="AF433" i="39"/>
  <c r="S1032" i="39"/>
  <c r="N910" i="39"/>
  <c r="AG865" i="39"/>
  <c r="W497" i="39"/>
  <c r="AG525" i="39"/>
  <c r="AG459" i="39"/>
  <c r="AF336" i="39"/>
  <c r="AG336" i="39" s="1"/>
  <c r="AA336" i="39"/>
  <c r="R323" i="39"/>
  <c r="T323" i="39" s="1"/>
  <c r="P267" i="39"/>
  <c r="R220" i="39"/>
  <c r="T220" i="39" s="1"/>
  <c r="AG112" i="39"/>
  <c r="T234" i="39"/>
  <c r="Q332" i="39"/>
  <c r="U1005" i="39"/>
  <c r="U1003" i="39" s="1"/>
  <c r="O89" i="39"/>
  <c r="R89" i="39"/>
  <c r="T89" i="39" s="1"/>
  <c r="AA100" i="39"/>
  <c r="T100" i="39"/>
  <c r="AB100" i="39"/>
  <c r="N115" i="39"/>
  <c r="R116" i="39"/>
  <c r="T116" i="39" s="1"/>
  <c r="AG256" i="39"/>
  <c r="AG282" i="39"/>
  <c r="AG285" i="39"/>
  <c r="Q323" i="39"/>
  <c r="U365" i="39"/>
  <c r="U364" i="39" s="1"/>
  <c r="U362" i="39" s="1"/>
  <c r="U360" i="39" s="1"/>
  <c r="AG370" i="39"/>
  <c r="AG386" i="39"/>
  <c r="AG440" i="39"/>
  <c r="AG502" i="39"/>
  <c r="AG901" i="39"/>
  <c r="AG201" i="39"/>
  <c r="AG292" i="39"/>
  <c r="O459" i="39"/>
  <c r="N454" i="39"/>
  <c r="N453" i="39" s="1"/>
  <c r="AG712" i="39"/>
  <c r="AF848" i="39"/>
  <c r="AG848" i="39" s="1"/>
  <c r="AB848" i="39"/>
  <c r="P474" i="39"/>
  <c r="V478" i="39"/>
  <c r="AG478" i="39" s="1"/>
  <c r="Z1005" i="39"/>
  <c r="Z1003" i="39" s="1"/>
  <c r="U233" i="39"/>
  <c r="U231" i="39" s="1"/>
  <c r="U229" i="39" s="1"/>
  <c r="AG323" i="39"/>
  <c r="U454" i="39"/>
  <c r="U453" i="39" s="1"/>
  <c r="U452" i="39" s="1"/>
  <c r="AG480" i="39"/>
  <c r="AG676" i="39"/>
  <c r="AG677" i="39"/>
  <c r="AG737" i="39"/>
  <c r="AG748" i="39"/>
  <c r="AG491" i="39"/>
  <c r="Z911" i="39"/>
  <c r="Z910" i="39" s="1"/>
  <c r="Z908" i="39" s="1"/>
  <c r="Z906" i="39" s="1"/>
  <c r="E668" i="6"/>
  <c r="M395" i="7"/>
  <c r="M495" i="7"/>
  <c r="N512" i="7"/>
  <c r="O512" i="7" s="1"/>
  <c r="N586" i="7"/>
  <c r="O586" i="7" s="1"/>
  <c r="N590" i="7"/>
  <c r="L613" i="7"/>
  <c r="L611" i="7" s="1"/>
  <c r="K66" i="8"/>
  <c r="N86" i="8"/>
  <c r="O86" i="8" s="1"/>
  <c r="N633" i="8"/>
  <c r="K738" i="8"/>
  <c r="K736" i="8" s="1"/>
  <c r="N744" i="8"/>
  <c r="O744" i="8" s="1"/>
  <c r="L105" i="9"/>
  <c r="L104" i="9" s="1"/>
  <c r="L98" i="9" s="1"/>
  <c r="L93" i="9" s="1"/>
  <c r="L91" i="9" s="1"/>
  <c r="N978" i="8"/>
  <c r="O978" i="8" s="1"/>
  <c r="N208" i="9"/>
  <c r="O208" i="9" s="1"/>
  <c r="N923" i="9"/>
  <c r="P923" i="9" s="1"/>
  <c r="N955" i="10"/>
  <c r="N745" i="7"/>
  <c r="O745" i="7" s="1"/>
  <c r="N538" i="8"/>
  <c r="P538" i="8" s="1"/>
  <c r="K548" i="8"/>
  <c r="M574" i="8"/>
  <c r="M572" i="8" s="1"/>
  <c r="N618" i="8"/>
  <c r="P618" i="8" s="1"/>
  <c r="P650" i="9"/>
  <c r="P654" i="9"/>
  <c r="P650" i="6"/>
  <c r="P644" i="6" s="1"/>
  <c r="N166" i="7"/>
  <c r="O166" i="7" s="1"/>
  <c r="N947" i="8"/>
  <c r="N73" i="9"/>
  <c r="N201" i="9"/>
  <c r="K239" i="9"/>
  <c r="K238" i="9" s="1"/>
  <c r="K236" i="9" s="1"/>
  <c r="N282" i="9"/>
  <c r="M395" i="9"/>
  <c r="N415" i="9"/>
  <c r="P415" i="9" s="1"/>
  <c r="L420" i="9"/>
  <c r="N425" i="9"/>
  <c r="N428" i="9"/>
  <c r="N70" i="10"/>
  <c r="M748" i="7"/>
  <c r="R208" i="6"/>
  <c r="R207" i="6" s="1"/>
  <c r="I366" i="6"/>
  <c r="N302" i="7"/>
  <c r="N387" i="7"/>
  <c r="O387" i="7" s="1"/>
  <c r="M67" i="9"/>
  <c r="N397" i="9"/>
  <c r="O397" i="9" s="1"/>
  <c r="O654" i="9"/>
  <c r="N777" i="8"/>
  <c r="L571" i="9"/>
  <c r="N571" i="9" s="1"/>
  <c r="N80" i="9"/>
  <c r="N172" i="10"/>
  <c r="N171" i="10" s="1"/>
  <c r="N170" i="10" s="1"/>
  <c r="M1003" i="9"/>
  <c r="N286" i="9"/>
  <c r="O286" i="9" s="1"/>
  <c r="N636" i="7"/>
  <c r="N677" i="7"/>
  <c r="N699" i="7"/>
  <c r="N163" i="8"/>
  <c r="P230" i="8"/>
  <c r="N514" i="8"/>
  <c r="O514" i="8" s="1"/>
  <c r="N515" i="8"/>
  <c r="O515" i="8" s="1"/>
  <c r="N516" i="8"/>
  <c r="O516" i="8" s="1"/>
  <c r="N517" i="8"/>
  <c r="O517" i="8" s="1"/>
  <c r="N518" i="8"/>
  <c r="O518" i="8" s="1"/>
  <c r="N520" i="8"/>
  <c r="O520" i="8" s="1"/>
  <c r="N526" i="8"/>
  <c r="O526" i="8" s="1"/>
  <c r="N530" i="8"/>
  <c r="N537" i="8"/>
  <c r="P537" i="8" s="1"/>
  <c r="N582" i="8"/>
  <c r="N586" i="8"/>
  <c r="N593" i="8"/>
  <c r="N598" i="8"/>
  <c r="N610" i="8"/>
  <c r="N614" i="8"/>
  <c r="N616" i="8"/>
  <c r="P616" i="8" s="1"/>
  <c r="N623" i="8"/>
  <c r="N629" i="8"/>
  <c r="N672" i="8"/>
  <c r="N678" i="8"/>
  <c r="N684" i="8"/>
  <c r="L748" i="8"/>
  <c r="N748" i="8" s="1"/>
  <c r="O748" i="8" s="1"/>
  <c r="L1008" i="8"/>
  <c r="N121" i="9"/>
  <c r="O121" i="9" s="1"/>
  <c r="K318" i="9"/>
  <c r="N462" i="9"/>
  <c r="O485" i="9"/>
  <c r="M319" i="10"/>
  <c r="M318" i="10" s="1"/>
  <c r="M314" i="10" s="1"/>
  <c r="O435" i="10"/>
  <c r="N860" i="10"/>
  <c r="O860" i="10" s="1"/>
  <c r="N862" i="10"/>
  <c r="P862" i="10" s="1"/>
  <c r="M623" i="25"/>
  <c r="L751" i="29"/>
  <c r="M751" i="29" s="1"/>
  <c r="L431" i="29"/>
  <c r="M431" i="29" s="1"/>
  <c r="L437" i="29"/>
  <c r="R241" i="6"/>
  <c r="J14" i="6"/>
  <c r="O72" i="6"/>
  <c r="P366" i="6"/>
  <c r="P401" i="6"/>
  <c r="G469" i="6"/>
  <c r="F711" i="6"/>
  <c r="F709" i="6" s="1"/>
  <c r="L52" i="7"/>
  <c r="N52" i="7" s="1"/>
  <c r="O52" i="7" s="1"/>
  <c r="M114" i="8"/>
  <c r="M112" i="8" s="1"/>
  <c r="N329" i="7"/>
  <c r="O329" i="7" s="1"/>
  <c r="N419" i="7"/>
  <c r="O419" i="7" s="1"/>
  <c r="M1046" i="8"/>
  <c r="M1045" i="8" s="1"/>
  <c r="M1043" i="8" s="1"/>
  <c r="N154" i="9"/>
  <c r="O154" i="9" s="1"/>
  <c r="N643" i="8"/>
  <c r="N568" i="9"/>
  <c r="O568" i="9" s="1"/>
  <c r="N651" i="9"/>
  <c r="N154" i="8"/>
  <c r="O154" i="8" s="1"/>
  <c r="N892" i="8"/>
  <c r="N889" i="8" s="1"/>
  <c r="L27" i="9"/>
  <c r="N895" i="7"/>
  <c r="O895" i="7" s="1"/>
  <c r="O894" i="7" s="1"/>
  <c r="M639" i="7"/>
  <c r="M638" i="7" s="1"/>
  <c r="M883" i="7"/>
  <c r="N415" i="8"/>
  <c r="N632" i="8"/>
  <c r="P632" i="8" s="1"/>
  <c r="N750" i="8"/>
  <c r="N210" i="9"/>
  <c r="N335" i="9"/>
  <c r="L381" i="9"/>
  <c r="L442" i="9"/>
  <c r="N210" i="10"/>
  <c r="O210" i="10" s="1"/>
  <c r="L290" i="29"/>
  <c r="M290" i="29" s="1"/>
  <c r="L439" i="29"/>
  <c r="M439" i="29" s="1"/>
  <c r="H366" i="6"/>
  <c r="E650" i="6"/>
  <c r="E644" i="6" s="1"/>
  <c r="I650" i="6"/>
  <c r="M650" i="6"/>
  <c r="D650" i="6"/>
  <c r="D644" i="6" s="1"/>
  <c r="Q670" i="6"/>
  <c r="N145" i="9"/>
  <c r="O145" i="9" s="1"/>
  <c r="L199" i="8"/>
  <c r="L198" i="8" s="1"/>
  <c r="N816" i="9"/>
  <c r="N156" i="9"/>
  <c r="M279" i="9"/>
  <c r="M278" i="9" s="1"/>
  <c r="M275" i="9" s="1"/>
  <c r="M72" i="9"/>
  <c r="N296" i="8"/>
  <c r="N712" i="7"/>
  <c r="N735" i="7"/>
  <c r="O735" i="7" s="1"/>
  <c r="N739" i="7"/>
  <c r="O739" i="7" s="1"/>
  <c r="N166" i="8"/>
  <c r="O166" i="8" s="1"/>
  <c r="O336" i="8"/>
  <c r="N946" i="8"/>
  <c r="M27" i="9"/>
  <c r="N30" i="9"/>
  <c r="K181" i="9"/>
  <c r="K176" i="9" s="1"/>
  <c r="K174" i="9" s="1"/>
  <c r="N258" i="9"/>
  <c r="L278" i="9"/>
  <c r="L275" i="9" s="1"/>
  <c r="L273" i="9" s="1"/>
  <c r="N423" i="9"/>
  <c r="N445" i="9"/>
  <c r="O495" i="9"/>
  <c r="N629" i="9"/>
  <c r="N781" i="10"/>
  <c r="S61" i="28"/>
  <c r="O93" i="29"/>
  <c r="P94" i="29"/>
  <c r="V217" i="30"/>
  <c r="O216" i="30"/>
  <c r="V216" i="30" s="1"/>
  <c r="L216" i="30"/>
  <c r="Q217" i="30"/>
  <c r="J442" i="25"/>
  <c r="J847" i="25" s="1"/>
  <c r="O456" i="25"/>
  <c r="P456" i="25" s="1"/>
  <c r="S19" i="28"/>
  <c r="P19" i="28"/>
  <c r="Q19" i="28"/>
  <c r="O62" i="18"/>
  <c r="Q411" i="16"/>
  <c r="O468" i="8"/>
  <c r="R94" i="5"/>
  <c r="P93" i="5"/>
  <c r="P57" i="5" s="1"/>
  <c r="O434" i="19"/>
  <c r="O602" i="19" s="1"/>
  <c r="O448" i="27"/>
  <c r="O446" i="23"/>
  <c r="O436" i="5"/>
  <c r="O437" i="16"/>
  <c r="P571" i="16"/>
  <c r="Q571" i="16" s="1"/>
  <c r="P566" i="19"/>
  <c r="Q456" i="27"/>
  <c r="N435" i="5"/>
  <c r="O435" i="5" s="1"/>
  <c r="T435" i="5" s="1"/>
  <c r="N604" i="5"/>
  <c r="S69" i="28"/>
  <c r="Q69" i="28"/>
  <c r="R839" i="39"/>
  <c r="T839" i="39" s="1"/>
  <c r="Q67" i="31"/>
  <c r="S67" i="31"/>
  <c r="L212" i="16"/>
  <c r="R213" i="16"/>
  <c r="L653" i="8"/>
  <c r="L647" i="8" s="1"/>
  <c r="L645" i="8" s="1"/>
  <c r="L444" i="5"/>
  <c r="Q445" i="5"/>
  <c r="L612" i="5"/>
  <c r="Q439" i="5"/>
  <c r="R439" i="5"/>
  <c r="R612" i="5" s="1"/>
  <c r="L438" i="5"/>
  <c r="Q613" i="3"/>
  <c r="E612" i="3"/>
  <c r="M157" i="4"/>
  <c r="L156" i="4"/>
  <c r="N627" i="4"/>
  <c r="O627" i="4"/>
  <c r="K52" i="11"/>
  <c r="N471" i="8"/>
  <c r="M32" i="11"/>
  <c r="Q33" i="11"/>
  <c r="O613" i="30"/>
  <c r="V446" i="30"/>
  <c r="O366" i="4"/>
  <c r="N366" i="4"/>
  <c r="N667" i="29"/>
  <c r="V482" i="27"/>
  <c r="O481" i="27"/>
  <c r="V481" i="27" s="1"/>
  <c r="O902" i="8"/>
  <c r="P902" i="8"/>
  <c r="V93" i="19"/>
  <c r="O92" i="19"/>
  <c r="O486" i="10"/>
  <c r="P486" i="10"/>
  <c r="P47" i="18"/>
  <c r="P47" i="20"/>
  <c r="N623" i="27"/>
  <c r="N450" i="27"/>
  <c r="O450" i="27" s="1"/>
  <c r="V450" i="27" s="1"/>
  <c r="M381" i="4"/>
  <c r="O364" i="27"/>
  <c r="V364" i="27" s="1"/>
  <c r="O360" i="5"/>
  <c r="T360" i="5" s="1"/>
  <c r="O359" i="19"/>
  <c r="V359" i="19" s="1"/>
  <c r="O363" i="30"/>
  <c r="V363" i="30" s="1"/>
  <c r="O363" i="23"/>
  <c r="V363" i="23" s="1"/>
  <c r="O359" i="16"/>
  <c r="V359" i="16" s="1"/>
  <c r="J156" i="3"/>
  <c r="J155" i="3" s="1"/>
  <c r="J154" i="3"/>
  <c r="H298" i="3"/>
  <c r="H281" i="3" s="1"/>
  <c r="G330" i="3"/>
  <c r="S438" i="3"/>
  <c r="R438" i="3"/>
  <c r="E441" i="3"/>
  <c r="K499" i="3"/>
  <c r="G595" i="3"/>
  <c r="Q595" i="3" s="1"/>
  <c r="Q596" i="3"/>
  <c r="D779" i="3"/>
  <c r="D778" i="3" s="1"/>
  <c r="R780" i="3"/>
  <c r="M45" i="4"/>
  <c r="L44" i="4"/>
  <c r="J94" i="4"/>
  <c r="Q108" i="4"/>
  <c r="Q107" i="4" s="1"/>
  <c r="N108" i="4"/>
  <c r="P17" i="4"/>
  <c r="O218" i="4"/>
  <c r="N218" i="4"/>
  <c r="J216" i="4"/>
  <c r="L215" i="27"/>
  <c r="L214" i="23"/>
  <c r="L210" i="16"/>
  <c r="L211" i="5"/>
  <c r="L214" i="30"/>
  <c r="J242" i="4"/>
  <c r="O563" i="19"/>
  <c r="O577" i="30"/>
  <c r="O577" i="23"/>
  <c r="O568" i="16"/>
  <c r="R76" i="5"/>
  <c r="Q76" i="5"/>
  <c r="Q131" i="5"/>
  <c r="R131" i="5"/>
  <c r="L25" i="31"/>
  <c r="T184" i="5"/>
  <c r="O162" i="5"/>
  <c r="O28" i="20"/>
  <c r="O28" i="11"/>
  <c r="L31" i="28"/>
  <c r="L29" i="31"/>
  <c r="L29" i="20"/>
  <c r="L29" i="11"/>
  <c r="K30" i="11"/>
  <c r="K30" i="24"/>
  <c r="K30" i="18"/>
  <c r="K30" i="31"/>
  <c r="K30" i="20"/>
  <c r="T227" i="5"/>
  <c r="N43" i="24"/>
  <c r="N43" i="31"/>
  <c r="N44" i="18"/>
  <c r="K45" i="31"/>
  <c r="K46" i="18"/>
  <c r="K47" i="28"/>
  <c r="K46" i="20"/>
  <c r="K46" i="11"/>
  <c r="K46" i="24"/>
  <c r="K47" i="11"/>
  <c r="K46" i="31"/>
  <c r="K48" i="28"/>
  <c r="K47" i="18"/>
  <c r="K49" i="31"/>
  <c r="K50" i="18"/>
  <c r="K50" i="11"/>
  <c r="K51" i="28"/>
  <c r="K50" i="20"/>
  <c r="N49" i="31"/>
  <c r="N50" i="18"/>
  <c r="N50" i="11"/>
  <c r="T288" i="5"/>
  <c r="N51" i="28"/>
  <c r="N50" i="20"/>
  <c r="K51" i="31"/>
  <c r="K51" i="20"/>
  <c r="K53" i="28"/>
  <c r="K51" i="24"/>
  <c r="Q293" i="5"/>
  <c r="K51" i="11"/>
  <c r="P56" i="39"/>
  <c r="W57" i="39"/>
  <c r="P55" i="39"/>
  <c r="AF55" i="39" s="1"/>
  <c r="Q57" i="39"/>
  <c r="R57" i="39"/>
  <c r="R28" i="39"/>
  <c r="T28" i="39" s="1"/>
  <c r="O28" i="39"/>
  <c r="AG29" i="39"/>
  <c r="AG31" i="39"/>
  <c r="AG49" i="39"/>
  <c r="V58" i="39"/>
  <c r="W58" i="39"/>
  <c r="Y58" i="39" s="1"/>
  <c r="AF58" i="39"/>
  <c r="R172" i="39"/>
  <c r="T172" i="39" s="1"/>
  <c r="O172" i="39"/>
  <c r="Q172" i="39"/>
  <c r="N149" i="39"/>
  <c r="AG180" i="39"/>
  <c r="W193" i="39"/>
  <c r="Y193" i="39" s="1"/>
  <c r="V193" i="39"/>
  <c r="AF193" i="39"/>
  <c r="R193" i="39"/>
  <c r="T193" i="39" s="1"/>
  <c r="Q193" i="39"/>
  <c r="P273" i="39"/>
  <c r="R274" i="39"/>
  <c r="T274" i="39" s="1"/>
  <c r="W274" i="39"/>
  <c r="Y274" i="39" s="1"/>
  <c r="Q274" i="39"/>
  <c r="AF274" i="39"/>
  <c r="V274" i="39"/>
  <c r="AG283" i="39"/>
  <c r="AB318" i="39"/>
  <c r="AA318" i="39"/>
  <c r="S317" i="39"/>
  <c r="W318" i="39"/>
  <c r="Y318" i="39" s="1"/>
  <c r="V318" i="39"/>
  <c r="AF318" i="39"/>
  <c r="R353" i="39"/>
  <c r="T353" i="39" s="1"/>
  <c r="T352" i="39" s="1"/>
  <c r="AF353" i="39"/>
  <c r="Q353" i="39"/>
  <c r="V353" i="39"/>
  <c r="W353" i="39"/>
  <c r="Y353" i="39" s="1"/>
  <c r="Y352" i="39" s="1"/>
  <c r="P352" i="39"/>
  <c r="R374" i="39"/>
  <c r="T374" i="39" s="1"/>
  <c r="O374" i="39"/>
  <c r="N373" i="39"/>
  <c r="Q374" i="39"/>
  <c r="AG384" i="39"/>
  <c r="AG385" i="39"/>
  <c r="Q405" i="39"/>
  <c r="R405" i="39"/>
  <c r="T405" i="39" s="1"/>
  <c r="O405" i="39"/>
  <c r="AF415" i="39"/>
  <c r="W415" i="39"/>
  <c r="Y415" i="39" s="1"/>
  <c r="AB415" i="39"/>
  <c r="AA415" i="39"/>
  <c r="T415" i="39"/>
  <c r="V415" i="39"/>
  <c r="AG415" i="39" s="1"/>
  <c r="AG417" i="39"/>
  <c r="X442" i="39"/>
  <c r="AA443" i="39"/>
  <c r="AB443" i="39"/>
  <c r="AB475" i="39"/>
  <c r="AA475" i="39"/>
  <c r="AA507" i="39"/>
  <c r="AB507" i="39"/>
  <c r="AG576" i="39"/>
  <c r="AG658" i="39"/>
  <c r="AG659" i="39"/>
  <c r="O690" i="39"/>
  <c r="N686" i="39"/>
  <c r="Q690" i="39"/>
  <c r="R690" i="39"/>
  <c r="T690" i="39" s="1"/>
  <c r="V696" i="39"/>
  <c r="S695" i="39"/>
  <c r="W696" i="39"/>
  <c r="Y696" i="39" s="1"/>
  <c r="AF696" i="39"/>
  <c r="AB696" i="39"/>
  <c r="AA696" i="39"/>
  <c r="AG706" i="39"/>
  <c r="AG707" i="39"/>
  <c r="AG708" i="39"/>
  <c r="AG757" i="39"/>
  <c r="O762" i="39"/>
  <c r="Q762" i="39"/>
  <c r="R762" i="39"/>
  <c r="T762" i="39" s="1"/>
  <c r="N761" i="39"/>
  <c r="O761" i="39" s="1"/>
  <c r="R816" i="39"/>
  <c r="T816" i="39" s="1"/>
  <c r="N815" i="39"/>
  <c r="O816" i="39"/>
  <c r="Q816" i="39"/>
  <c r="AG832" i="39"/>
  <c r="P864" i="39"/>
  <c r="Q868" i="39"/>
  <c r="AF868" i="39"/>
  <c r="R868" i="39"/>
  <c r="AA874" i="39"/>
  <c r="X868" i="39"/>
  <c r="Y874" i="39"/>
  <c r="AB874" i="39"/>
  <c r="Y877" i="39"/>
  <c r="W868" i="39"/>
  <c r="P911" i="39"/>
  <c r="AF916" i="39"/>
  <c r="R916" i="39"/>
  <c r="T916" i="39"/>
  <c r="Q916" i="39"/>
  <c r="V916" i="39"/>
  <c r="W916" i="39"/>
  <c r="Y916" i="39"/>
  <c r="V868" i="39"/>
  <c r="AG920" i="39"/>
  <c r="P936" i="39"/>
  <c r="W944" i="39"/>
  <c r="Y944" i="39" s="1"/>
  <c r="AF944" i="39"/>
  <c r="Q944" i="39"/>
  <c r="R944" i="39"/>
  <c r="T944" i="39" s="1"/>
  <c r="V944" i="39"/>
  <c r="AG948" i="39"/>
  <c r="AG981" i="39"/>
  <c r="AG982" i="39"/>
  <c r="AG986" i="39"/>
  <c r="AG987" i="39"/>
  <c r="Q1066" i="39"/>
  <c r="R1066" i="39"/>
  <c r="T1066" i="39" s="1"/>
  <c r="O1066" i="39"/>
  <c r="N1065" i="39"/>
  <c r="N613" i="27"/>
  <c r="N444" i="27"/>
  <c r="J201" i="5"/>
  <c r="O49" i="20"/>
  <c r="O452" i="5"/>
  <c r="T452" i="5" s="1"/>
  <c r="P201" i="5"/>
  <c r="N113" i="4"/>
  <c r="Q358" i="27"/>
  <c r="S119" i="3"/>
  <c r="R591" i="3"/>
  <c r="L445" i="16"/>
  <c r="Q446" i="16"/>
  <c r="R440" i="16"/>
  <c r="R615" i="16" s="1"/>
  <c r="Q440" i="16"/>
  <c r="O405" i="5"/>
  <c r="T409" i="5"/>
  <c r="N30" i="24"/>
  <c r="N30" i="31"/>
  <c r="N44" i="11"/>
  <c r="Q779" i="3"/>
  <c r="N221" i="4"/>
  <c r="N44" i="20"/>
  <c r="L63" i="18"/>
  <c r="R584" i="3"/>
  <c r="O579" i="27"/>
  <c r="S82" i="3"/>
  <c r="R82" i="3"/>
  <c r="G78" i="3"/>
  <c r="Q84" i="3"/>
  <c r="M104" i="3"/>
  <c r="R241" i="3"/>
  <c r="G273" i="3"/>
  <c r="G346" i="3"/>
  <c r="D487" i="3"/>
  <c r="S488" i="3"/>
  <c r="F579" i="3"/>
  <c r="Q582" i="3"/>
  <c r="H714" i="3"/>
  <c r="Q714" i="3" s="1"/>
  <c r="R714" i="3" s="1"/>
  <c r="Q716" i="3"/>
  <c r="R716" i="3" s="1"/>
  <c r="H741" i="3"/>
  <c r="Q741" i="3" s="1"/>
  <c r="Q743" i="3"/>
  <c r="G750" i="3"/>
  <c r="Q750" i="3" s="1"/>
  <c r="Q752" i="3"/>
  <c r="Q778" i="3"/>
  <c r="L452" i="23"/>
  <c r="L443" i="16"/>
  <c r="L452" i="30"/>
  <c r="L442" i="5"/>
  <c r="L454" i="27"/>
  <c r="L455" i="30"/>
  <c r="L443" i="19"/>
  <c r="J199" i="4"/>
  <c r="N199" i="4" s="1"/>
  <c r="N200" i="4"/>
  <c r="O200" i="4"/>
  <c r="N444" i="23"/>
  <c r="L483" i="4"/>
  <c r="M483" i="4" s="1"/>
  <c r="N434" i="5"/>
  <c r="N444" i="30"/>
  <c r="O628" i="4"/>
  <c r="K51" i="18"/>
  <c r="L29" i="18"/>
  <c r="P51" i="28"/>
  <c r="S51" i="28"/>
  <c r="K49" i="24"/>
  <c r="L17" i="24"/>
  <c r="L16" i="24" s="1"/>
  <c r="L17" i="11"/>
  <c r="L16" i="11" s="1"/>
  <c r="L17" i="31"/>
  <c r="L16" i="31" s="1"/>
  <c r="L17" i="18"/>
  <c r="L16" i="18" s="1"/>
  <c r="L19" i="28"/>
  <c r="L18" i="28" s="1"/>
  <c r="K45" i="5"/>
  <c r="Q54" i="5"/>
  <c r="R54" i="5"/>
  <c r="N162" i="5"/>
  <c r="N56" i="5" s="1"/>
  <c r="O52" i="20"/>
  <c r="O52" i="11"/>
  <c r="P491" i="10"/>
  <c r="O491" i="10"/>
  <c r="N527" i="10"/>
  <c r="K541" i="10"/>
  <c r="N543" i="10"/>
  <c r="L541" i="10"/>
  <c r="N541" i="10" s="1"/>
  <c r="L545" i="10"/>
  <c r="N545" i="10" s="1"/>
  <c r="N546" i="10"/>
  <c r="P546" i="10" s="1"/>
  <c r="N549" i="10"/>
  <c r="L569" i="10"/>
  <c r="N569" i="10" s="1"/>
  <c r="N570" i="10"/>
  <c r="O580" i="10"/>
  <c r="P580" i="10"/>
  <c r="O584" i="10"/>
  <c r="P584" i="10"/>
  <c r="O588" i="10"/>
  <c r="P588" i="10"/>
  <c r="O592" i="10"/>
  <c r="P592" i="10"/>
  <c r="O596" i="10"/>
  <c r="P596" i="10"/>
  <c r="O600" i="10"/>
  <c r="P600" i="10"/>
  <c r="O604" i="10"/>
  <c r="P604" i="10"/>
  <c r="O608" i="10"/>
  <c r="P608" i="10"/>
  <c r="O612" i="10"/>
  <c r="P612" i="10"/>
  <c r="O616" i="10"/>
  <c r="P616" i="10"/>
  <c r="O620" i="10"/>
  <c r="P620" i="10"/>
  <c r="O624" i="10"/>
  <c r="P624" i="10"/>
  <c r="O628" i="10"/>
  <c r="P628" i="10"/>
  <c r="O632" i="10"/>
  <c r="P632" i="10"/>
  <c r="O636" i="10"/>
  <c r="P636" i="10"/>
  <c r="O640" i="10"/>
  <c r="P640" i="10"/>
  <c r="N672" i="10"/>
  <c r="N694" i="10"/>
  <c r="O694" i="10" s="1"/>
  <c r="O717" i="10"/>
  <c r="N716" i="10"/>
  <c r="O716" i="10" s="1"/>
  <c r="F156" i="3"/>
  <c r="F155" i="3" s="1"/>
  <c r="F154" i="3"/>
  <c r="K50" i="28"/>
  <c r="Q265" i="5"/>
  <c r="K49" i="11"/>
  <c r="K48" i="31"/>
  <c r="L54" i="20"/>
  <c r="N631" i="4"/>
  <c r="N659" i="4"/>
  <c r="M86" i="4"/>
  <c r="L223" i="4"/>
  <c r="M223" i="4" s="1"/>
  <c r="R314" i="23"/>
  <c r="J220" i="4"/>
  <c r="J446" i="4"/>
  <c r="J445" i="4" s="1"/>
  <c r="R405" i="3"/>
  <c r="O565" i="5"/>
  <c r="Q109" i="3"/>
  <c r="O23" i="20"/>
  <c r="R440" i="19"/>
  <c r="L439" i="19"/>
  <c r="N615" i="27"/>
  <c r="N447" i="27"/>
  <c r="O447" i="27" s="1"/>
  <c r="V447" i="27" s="1"/>
  <c r="L27" i="28"/>
  <c r="N45" i="28"/>
  <c r="E43" i="3"/>
  <c r="Q44" i="3"/>
  <c r="L134" i="3"/>
  <c r="L130" i="3" s="1"/>
  <c r="L129" i="3" s="1"/>
  <c r="G146" i="3"/>
  <c r="E185" i="3"/>
  <c r="R232" i="3"/>
  <c r="S232" i="3"/>
  <c r="H265" i="3"/>
  <c r="I338" i="3"/>
  <c r="P358" i="3"/>
  <c r="P356" i="3" s="1"/>
  <c r="P357" i="3"/>
  <c r="S367" i="3"/>
  <c r="R367" i="3"/>
  <c r="S375" i="3"/>
  <c r="R375" i="3"/>
  <c r="S377" i="3"/>
  <c r="R377" i="3"/>
  <c r="N373" i="3"/>
  <c r="N372" i="3" s="1"/>
  <c r="N371" i="3" s="1"/>
  <c r="S453" i="3"/>
  <c r="D458" i="3"/>
  <c r="R459" i="3"/>
  <c r="E462" i="3"/>
  <c r="E461" i="3" s="1"/>
  <c r="S468" i="3"/>
  <c r="R468" i="3"/>
  <c r="S473" i="3"/>
  <c r="R473" i="3"/>
  <c r="S478" i="3"/>
  <c r="R478" i="3"/>
  <c r="S480" i="3"/>
  <c r="R480" i="3"/>
  <c r="G483" i="3"/>
  <c r="G482" i="3" s="1"/>
  <c r="G457" i="3" s="1"/>
  <c r="G456" i="3" s="1"/>
  <c r="R485" i="3"/>
  <c r="S485" i="3"/>
  <c r="F483" i="3"/>
  <c r="F482" i="3" s="1"/>
  <c r="S509" i="3"/>
  <c r="R509" i="3"/>
  <c r="J603" i="3"/>
  <c r="Q603" i="3" s="1"/>
  <c r="Q604" i="3"/>
  <c r="E672" i="3"/>
  <c r="Q673" i="3"/>
  <c r="S685" i="3"/>
  <c r="R685" i="3"/>
  <c r="S691" i="3"/>
  <c r="R691" i="3"/>
  <c r="D704" i="3"/>
  <c r="D703" i="3" s="1"/>
  <c r="S705" i="3"/>
  <c r="R705" i="3"/>
  <c r="F703" i="3"/>
  <c r="Q704" i="3"/>
  <c r="E732" i="3"/>
  <c r="Q732" i="3" s="1"/>
  <c r="R732" i="3" s="1"/>
  <c r="Q734" i="3"/>
  <c r="R734" i="3" s="1"/>
  <c r="J21" i="4"/>
  <c r="J172" i="4"/>
  <c r="J171" i="4" s="1"/>
  <c r="J170" i="4" s="1"/>
  <c r="N173" i="4"/>
  <c r="N209" i="27"/>
  <c r="N206" i="27" s="1"/>
  <c r="N204" i="19"/>
  <c r="N201" i="19" s="1"/>
  <c r="N205" i="5"/>
  <c r="N202" i="5" s="1"/>
  <c r="N208" i="23"/>
  <c r="N205" i="23" s="1"/>
  <c r="L184" i="4"/>
  <c r="L358" i="30"/>
  <c r="L358" i="23"/>
  <c r="Q358" i="23" s="1"/>
  <c r="L354" i="16"/>
  <c r="N294" i="4"/>
  <c r="L359" i="27"/>
  <c r="Q359" i="27" s="1"/>
  <c r="L355" i="5"/>
  <c r="L298" i="4"/>
  <c r="N360" i="27"/>
  <c r="N359" i="23"/>
  <c r="N355" i="19"/>
  <c r="M302" i="4"/>
  <c r="N359" i="30"/>
  <c r="N357" i="16"/>
  <c r="N362" i="27"/>
  <c r="N357" i="19"/>
  <c r="M332" i="4"/>
  <c r="N332" i="4" s="1"/>
  <c r="L330" i="4"/>
  <c r="N359" i="16"/>
  <c r="N363" i="30"/>
  <c r="N316" i="30" s="1"/>
  <c r="N363" i="23"/>
  <c r="N359" i="19"/>
  <c r="N360" i="5"/>
  <c r="N313" i="5"/>
  <c r="N364" i="27"/>
  <c r="O363" i="4"/>
  <c r="O374" i="4"/>
  <c r="N374" i="4"/>
  <c r="O393" i="4"/>
  <c r="M410" i="4"/>
  <c r="L409" i="4"/>
  <c r="M409" i="4" s="1"/>
  <c r="J428" i="4"/>
  <c r="J427" i="4" s="1"/>
  <c r="L413" i="23"/>
  <c r="L407" i="23" s="1"/>
  <c r="M583" i="4"/>
  <c r="J585" i="4"/>
  <c r="N391" i="27"/>
  <c r="M594" i="4"/>
  <c r="N381" i="16"/>
  <c r="N380" i="16" s="1"/>
  <c r="N390" i="23"/>
  <c r="N382" i="5"/>
  <c r="N381" i="5" s="1"/>
  <c r="N390" i="30"/>
  <c r="N389" i="30" s="1"/>
  <c r="N381" i="19"/>
  <c r="N610" i="4"/>
  <c r="J782" i="4"/>
  <c r="N783" i="4"/>
  <c r="M790" i="4"/>
  <c r="L800" i="4"/>
  <c r="K10" i="11"/>
  <c r="M11" i="18"/>
  <c r="M11" i="24"/>
  <c r="M9" i="24" s="1"/>
  <c r="R67" i="5"/>
  <c r="K47" i="20"/>
  <c r="M25" i="18"/>
  <c r="M27" i="28"/>
  <c r="N49" i="24"/>
  <c r="K32" i="28"/>
  <c r="K439" i="10"/>
  <c r="K438" i="10" s="1"/>
  <c r="K436" i="10" s="1"/>
  <c r="Q410" i="3"/>
  <c r="G407" i="3"/>
  <c r="T41" i="20"/>
  <c r="T36" i="11"/>
  <c r="T34" i="11"/>
  <c r="P162" i="5"/>
  <c r="K201" i="5"/>
  <c r="R107" i="3"/>
  <c r="L54" i="11"/>
  <c r="N493" i="4"/>
  <c r="Q56" i="3"/>
  <c r="L746" i="4"/>
  <c r="M634" i="4"/>
  <c r="N634" i="4" s="1"/>
  <c r="N49" i="4"/>
  <c r="S590" i="3"/>
  <c r="S430" i="3"/>
  <c r="S361" i="3"/>
  <c r="N644" i="4"/>
  <c r="O119" i="4"/>
  <c r="M273" i="4"/>
  <c r="L272" i="4"/>
  <c r="M272" i="4" s="1"/>
  <c r="O108" i="4"/>
  <c r="J642" i="4"/>
  <c r="O204" i="16"/>
  <c r="V204" i="16" s="1"/>
  <c r="O205" i="5"/>
  <c r="T205" i="5" s="1"/>
  <c r="O204" i="19"/>
  <c r="V204" i="19" s="1"/>
  <c r="L210" i="19"/>
  <c r="L454" i="23"/>
  <c r="R455" i="23"/>
  <c r="P197" i="3"/>
  <c r="Q32" i="3"/>
  <c r="R158" i="3"/>
  <c r="D157" i="3"/>
  <c r="O154" i="3"/>
  <c r="O156" i="3"/>
  <c r="O155" i="3" s="1"/>
  <c r="Q172" i="3"/>
  <c r="R203" i="3"/>
  <c r="D224" i="3"/>
  <c r="R248" i="3"/>
  <c r="S253" i="3"/>
  <c r="D252" i="3"/>
  <c r="R253" i="3"/>
  <c r="G257" i="3"/>
  <c r="F407" i="3"/>
  <c r="R416" i="3"/>
  <c r="S416" i="3"/>
  <c r="S425" i="3"/>
  <c r="G507" i="3"/>
  <c r="O507" i="3"/>
  <c r="S620" i="3"/>
  <c r="R620" i="3"/>
  <c r="R624" i="3"/>
  <c r="S624" i="3"/>
  <c r="S628" i="3"/>
  <c r="R628" i="3"/>
  <c r="R641" i="3"/>
  <c r="S641" i="3"/>
  <c r="R647" i="3"/>
  <c r="S647" i="3"/>
  <c r="D645" i="3"/>
  <c r="H660" i="3"/>
  <c r="Q660" i="3" s="1"/>
  <c r="Q661" i="3"/>
  <c r="L55" i="4"/>
  <c r="M55" i="4" s="1"/>
  <c r="M56" i="4"/>
  <c r="O56" i="4" s="1"/>
  <c r="M131" i="4"/>
  <c r="N136" i="4"/>
  <c r="J135" i="4"/>
  <c r="O136" i="4"/>
  <c r="L208" i="27"/>
  <c r="J161" i="4"/>
  <c r="O162" i="4"/>
  <c r="M172" i="4"/>
  <c r="N172" i="4" s="1"/>
  <c r="L171" i="4"/>
  <c r="O287" i="4"/>
  <c r="L582" i="27"/>
  <c r="L580" i="23"/>
  <c r="J495" i="4"/>
  <c r="N508" i="4"/>
  <c r="O508" i="4"/>
  <c r="P19" i="4"/>
  <c r="N524" i="4"/>
  <c r="N542" i="4"/>
  <c r="J534" i="4"/>
  <c r="L368" i="23"/>
  <c r="L368" i="30"/>
  <c r="O677" i="4"/>
  <c r="N677" i="4"/>
  <c r="J676" i="4"/>
  <c r="O679" i="4"/>
  <c r="N679" i="4"/>
  <c r="N690" i="4"/>
  <c r="N711" i="4"/>
  <c r="N454" i="27"/>
  <c r="N453" i="27" s="1"/>
  <c r="O453" i="27" s="1"/>
  <c r="V453" i="27" s="1"/>
  <c r="N443" i="16"/>
  <c r="N442" i="16" s="1"/>
  <c r="O442" i="16" s="1"/>
  <c r="V442" i="16" s="1"/>
  <c r="N440" i="19"/>
  <c r="N439" i="19" s="1"/>
  <c r="O439" i="19" s="1"/>
  <c r="V439" i="19" s="1"/>
  <c r="L69" i="4"/>
  <c r="N434" i="19"/>
  <c r="N446" i="30"/>
  <c r="N446" i="23"/>
  <c r="N464" i="27"/>
  <c r="N462" i="27" s="1"/>
  <c r="O462" i="27" s="1"/>
  <c r="V462" i="27" s="1"/>
  <c r="N462" i="23"/>
  <c r="N460" i="23" s="1"/>
  <c r="O460" i="23" s="1"/>
  <c r="V460" i="23" s="1"/>
  <c r="N462" i="30"/>
  <c r="N460" i="30" s="1"/>
  <c r="O460" i="30" s="1"/>
  <c r="V460" i="30" s="1"/>
  <c r="L47" i="24"/>
  <c r="L48" i="18"/>
  <c r="L47" i="31"/>
  <c r="L48" i="20"/>
  <c r="L49" i="28"/>
  <c r="R192" i="5"/>
  <c r="O94" i="5"/>
  <c r="L29" i="24"/>
  <c r="P17" i="20"/>
  <c r="L112" i="7"/>
  <c r="R22" i="3"/>
  <c r="R24" i="3"/>
  <c r="R26" i="3"/>
  <c r="K43" i="3"/>
  <c r="P43" i="3"/>
  <c r="H43" i="3"/>
  <c r="K54" i="3"/>
  <c r="R75" i="3"/>
  <c r="Q79" i="3"/>
  <c r="S107" i="3"/>
  <c r="K130" i="3"/>
  <c r="K129" i="3" s="1"/>
  <c r="R141" i="3"/>
  <c r="R143" i="3"/>
  <c r="S158" i="3"/>
  <c r="H216" i="3"/>
  <c r="H215" i="3" s="1"/>
  <c r="Q246" i="3"/>
  <c r="R326" i="3"/>
  <c r="S411" i="3"/>
  <c r="J420" i="3"/>
  <c r="R783" i="3"/>
  <c r="R785" i="3"/>
  <c r="R787" i="3"/>
  <c r="N73" i="4"/>
  <c r="O436" i="4"/>
  <c r="P715" i="10"/>
  <c r="O715" i="10"/>
  <c r="O307" i="8"/>
  <c r="N306" i="8"/>
  <c r="N746" i="8"/>
  <c r="L743" i="8"/>
  <c r="O179" i="9"/>
  <c r="P179" i="9"/>
  <c r="M199" i="9"/>
  <c r="N199" i="9" s="1"/>
  <c r="N200" i="9"/>
  <c r="L207" i="9"/>
  <c r="M212" i="9"/>
  <c r="N213" i="9"/>
  <c r="O213" i="9" s="1"/>
  <c r="M219" i="9"/>
  <c r="N220" i="9"/>
  <c r="O220" i="9" s="1"/>
  <c r="N228" i="9"/>
  <c r="O228" i="9" s="1"/>
  <c r="M226" i="9"/>
  <c r="L248" i="9"/>
  <c r="L247" i="9" s="1"/>
  <c r="N249" i="9"/>
  <c r="O249" i="9" s="1"/>
  <c r="L295" i="9"/>
  <c r="L294" i="9" s="1"/>
  <c r="L292" i="9" s="1"/>
  <c r="N296" i="9"/>
  <c r="P296" i="9" s="1"/>
  <c r="N336" i="9"/>
  <c r="K344" i="9"/>
  <c r="K343" i="9" s="1"/>
  <c r="K342" i="9" s="1"/>
  <c r="M351" i="9"/>
  <c r="N352" i="9"/>
  <c r="O352" i="9" s="1"/>
  <c r="J340" i="9"/>
  <c r="J338" i="9" s="1"/>
  <c r="M386" i="9"/>
  <c r="N680" i="9"/>
  <c r="O680" i="9" s="1"/>
  <c r="M679" i="9"/>
  <c r="N679" i="9" s="1"/>
  <c r="L684" i="9"/>
  <c r="L683" i="9" s="1"/>
  <c r="M690" i="9"/>
  <c r="M689" i="9" s="1"/>
  <c r="N689" i="9" s="1"/>
  <c r="O689" i="9" s="1"/>
  <c r="N691" i="9"/>
  <c r="L715" i="9"/>
  <c r="N718" i="9"/>
  <c r="L721" i="9"/>
  <c r="L720" i="9" s="1"/>
  <c r="N722" i="9"/>
  <c r="N723" i="9"/>
  <c r="M721" i="9"/>
  <c r="M720" i="9" s="1"/>
  <c r="N736" i="9"/>
  <c r="O736" i="9" s="1"/>
  <c r="M748" i="9"/>
  <c r="N751" i="9"/>
  <c r="M781" i="9"/>
  <c r="N783" i="9"/>
  <c r="O844" i="9"/>
  <c r="P844" i="9"/>
  <c r="M851" i="9"/>
  <c r="N852" i="9"/>
  <c r="P852" i="9" s="1"/>
  <c r="N871" i="9"/>
  <c r="K881" i="9"/>
  <c r="L894" i="9"/>
  <c r="L893" i="9" s="1"/>
  <c r="L936" i="9"/>
  <c r="L935" i="9" s="1"/>
  <c r="N937" i="9"/>
  <c r="O937" i="9" s="1"/>
  <c r="M949" i="9"/>
  <c r="N967" i="9"/>
  <c r="O967" i="9" s="1"/>
  <c r="N979" i="9"/>
  <c r="O979" i="9" s="1"/>
  <c r="L1021" i="9"/>
  <c r="N1024" i="9"/>
  <c r="P21" i="10"/>
  <c r="K20" i="10"/>
  <c r="K19" i="10" s="1"/>
  <c r="O21" i="10"/>
  <c r="M25" i="10"/>
  <c r="P33" i="10"/>
  <c r="O33" i="10"/>
  <c r="M55" i="10"/>
  <c r="N56" i="10"/>
  <c r="O56" i="10" s="1"/>
  <c r="M62" i="10"/>
  <c r="N63" i="10"/>
  <c r="N68" i="10"/>
  <c r="M67" i="10"/>
  <c r="L72" i="10"/>
  <c r="N73" i="10"/>
  <c r="O73" i="10" s="1"/>
  <c r="M83" i="10"/>
  <c r="N86" i="10"/>
  <c r="L187" i="10"/>
  <c r="N188" i="10"/>
  <c r="O188" i="10" s="1"/>
  <c r="L195" i="10"/>
  <c r="N195" i="10" s="1"/>
  <c r="N196" i="10"/>
  <c r="M199" i="10"/>
  <c r="M204" i="10"/>
  <c r="M212" i="10"/>
  <c r="M219" i="10"/>
  <c r="M223" i="10"/>
  <c r="M248" i="10"/>
  <c r="N280" i="10"/>
  <c r="O280" i="10" s="1"/>
  <c r="N348" i="10"/>
  <c r="M347" i="10"/>
  <c r="L351" i="10"/>
  <c r="N354" i="10"/>
  <c r="O354" i="10" s="1"/>
  <c r="N383" i="10"/>
  <c r="L386" i="10"/>
  <c r="N388" i="10"/>
  <c r="O388" i="10" s="1"/>
  <c r="O386" i="10" s="1"/>
  <c r="K411" i="10"/>
  <c r="P412" i="10"/>
  <c r="N419" i="10"/>
  <c r="N422" i="10"/>
  <c r="O422" i="10" s="1"/>
  <c r="O431" i="10"/>
  <c r="N429" i="10"/>
  <c r="N485" i="10"/>
  <c r="L485" i="16"/>
  <c r="Q486" i="16"/>
  <c r="N416" i="5"/>
  <c r="N415" i="5" s="1"/>
  <c r="R759" i="3"/>
  <c r="F78" i="3"/>
  <c r="D276" i="2"/>
  <c r="D12" i="3"/>
  <c r="R38" i="3"/>
  <c r="D47" i="3"/>
  <c r="D43" i="3" s="1"/>
  <c r="G54" i="3"/>
  <c r="L31" i="3"/>
  <c r="Q106" i="3"/>
  <c r="R152" i="3"/>
  <c r="R208" i="3"/>
  <c r="L216" i="3"/>
  <c r="L215" i="3" s="1"/>
  <c r="L239" i="3"/>
  <c r="L238" i="3" s="1"/>
  <c r="L237" i="3" s="1"/>
  <c r="R244" i="3"/>
  <c r="D258" i="3"/>
  <c r="D257" i="3" s="1"/>
  <c r="D331" i="3"/>
  <c r="D330" i="3" s="1"/>
  <c r="D339" i="3"/>
  <c r="R444" i="3"/>
  <c r="P520" i="3"/>
  <c r="P518" i="3" s="1"/>
  <c r="R575" i="3"/>
  <c r="S575" i="3"/>
  <c r="N60" i="4"/>
  <c r="N101" i="4"/>
  <c r="N270" i="4"/>
  <c r="N553" i="4"/>
  <c r="N570" i="4"/>
  <c r="N738" i="4"/>
  <c r="N740" i="4"/>
  <c r="N17" i="20"/>
  <c r="N17" i="31"/>
  <c r="R62" i="5"/>
  <c r="L112" i="6"/>
  <c r="L111" i="6" s="1"/>
  <c r="R206" i="6"/>
  <c r="S206" i="6"/>
  <c r="J93" i="7"/>
  <c r="J91" i="7" s="1"/>
  <c r="N380" i="7"/>
  <c r="O380" i="7" s="1"/>
  <c r="M378" i="7"/>
  <c r="M377" i="7" s="1"/>
  <c r="P438" i="7"/>
  <c r="O438" i="7"/>
  <c r="N657" i="9"/>
  <c r="O657" i="9" s="1"/>
  <c r="N473" i="9"/>
  <c r="N467" i="9" s="1"/>
  <c r="N465" i="9" s="1"/>
  <c r="N766" i="7"/>
  <c r="O766" i="7" s="1"/>
  <c r="J194" i="8"/>
  <c r="N249" i="8"/>
  <c r="O249" i="8" s="1"/>
  <c r="L248" i="8"/>
  <c r="K251" i="8"/>
  <c r="N280" i="8"/>
  <c r="M279" i="8"/>
  <c r="M278" i="8" s="1"/>
  <c r="M275" i="8" s="1"/>
  <c r="M273" i="8" s="1"/>
  <c r="O49" i="18"/>
  <c r="Q264" i="16"/>
  <c r="R264" i="16"/>
  <c r="L205" i="5"/>
  <c r="N201" i="16"/>
  <c r="O396" i="4"/>
  <c r="P668" i="3"/>
  <c r="D171" i="2"/>
  <c r="D665" i="2"/>
  <c r="D663" i="2" s="1"/>
  <c r="K11" i="3"/>
  <c r="K10" i="3" s="1"/>
  <c r="J43" i="3"/>
  <c r="Q59" i="3"/>
  <c r="R126" i="3"/>
  <c r="Q131" i="3"/>
  <c r="S131" i="3" s="1"/>
  <c r="F130" i="3"/>
  <c r="F129" i="3" s="1"/>
  <c r="N130" i="3"/>
  <c r="N129" i="3"/>
  <c r="Q139" i="3"/>
  <c r="R139" i="3" s="1"/>
  <c r="P216" i="3"/>
  <c r="P215" i="3" s="1"/>
  <c r="D291" i="3"/>
  <c r="R571" i="3"/>
  <c r="S571" i="3" s="1"/>
  <c r="R735" i="3"/>
  <c r="R739" i="3"/>
  <c r="E777" i="3"/>
  <c r="N608" i="4"/>
  <c r="N742" i="4"/>
  <c r="N748" i="4"/>
  <c r="N758" i="4"/>
  <c r="R308" i="5"/>
  <c r="M17" i="11"/>
  <c r="N17" i="11"/>
  <c r="M17" i="18"/>
  <c r="N24" i="18"/>
  <c r="M49" i="18"/>
  <c r="L47" i="20"/>
  <c r="K44" i="20"/>
  <c r="L30" i="20"/>
  <c r="N17" i="18"/>
  <c r="N24" i="24"/>
  <c r="K43" i="24"/>
  <c r="N17" i="24"/>
  <c r="J57" i="5"/>
  <c r="M94" i="5"/>
  <c r="M93" i="5" s="1"/>
  <c r="M57" i="5" s="1"/>
  <c r="M56" i="5" s="1"/>
  <c r="M44" i="5" s="1"/>
  <c r="N62" i="7"/>
  <c r="O62" i="7" s="1"/>
  <c r="L319" i="9"/>
  <c r="N757" i="7"/>
  <c r="L989" i="10"/>
  <c r="N992" i="10"/>
  <c r="M1002" i="10"/>
  <c r="M1001" i="10" s="1"/>
  <c r="N1003" i="10"/>
  <c r="O1003" i="10" s="1"/>
  <c r="L1008" i="10"/>
  <c r="N1009" i="10"/>
  <c r="N1014" i="10"/>
  <c r="L1013" i="10"/>
  <c r="N1013" i="10" s="1"/>
  <c r="P1013" i="10" s="1"/>
  <c r="N1032" i="10"/>
  <c r="O1032" i="10" s="1"/>
  <c r="N1034" i="10"/>
  <c r="L1031" i="10"/>
  <c r="L1074" i="10"/>
  <c r="L1073" i="10" s="1"/>
  <c r="N1075" i="10"/>
  <c r="O1075" i="10" s="1"/>
  <c r="D668" i="6"/>
  <c r="D666" i="6" s="1"/>
  <c r="H668" i="6"/>
  <c r="H681" i="6"/>
  <c r="O716" i="9"/>
  <c r="M774" i="8"/>
  <c r="M773" i="8" s="1"/>
  <c r="M770" i="8" s="1"/>
  <c r="M768" i="8" s="1"/>
  <c r="N517" i="9"/>
  <c r="O517" i="9" s="1"/>
  <c r="N544" i="9"/>
  <c r="N992" i="8"/>
  <c r="P992" i="8" s="1"/>
  <c r="N952" i="7"/>
  <c r="O952" i="7" s="1"/>
  <c r="N579" i="10"/>
  <c r="J377" i="8"/>
  <c r="N398" i="8"/>
  <c r="O398" i="8" s="1"/>
  <c r="N1061" i="8"/>
  <c r="O1061" i="8" s="1"/>
  <c r="L14" i="12"/>
  <c r="L14" i="13"/>
  <c r="L37" i="13" s="1"/>
  <c r="M20" i="9"/>
  <c r="N21" i="9"/>
  <c r="M83" i="9"/>
  <c r="K155" i="9"/>
  <c r="P178" i="9"/>
  <c r="L239" i="9"/>
  <c r="L238" i="9" s="1"/>
  <c r="L236" i="9" s="1"/>
  <c r="N241" i="9"/>
  <c r="M239" i="9"/>
  <c r="M238" i="9" s="1"/>
  <c r="M294" i="9"/>
  <c r="J290" i="9"/>
  <c r="J288" i="9" s="1"/>
  <c r="M315" i="9"/>
  <c r="N315" i="9" s="1"/>
  <c r="O315" i="9" s="1"/>
  <c r="N316" i="9"/>
  <c r="O316" i="9" s="1"/>
  <c r="M630" i="29"/>
  <c r="M311" i="6"/>
  <c r="L286" i="7"/>
  <c r="P545" i="9"/>
  <c r="O119" i="9"/>
  <c r="O903" i="8"/>
  <c r="N729" i="8"/>
  <c r="O729" i="8" s="1"/>
  <c r="J932" i="7"/>
  <c r="J930" i="7" s="1"/>
  <c r="J929" i="7" s="1"/>
  <c r="O940" i="7"/>
  <c r="N964" i="7"/>
  <c r="O964" i="7" s="1"/>
  <c r="L963" i="7"/>
  <c r="M27" i="8"/>
  <c r="J325" i="8"/>
  <c r="O707" i="8"/>
  <c r="P707" i="8"/>
  <c r="N706" i="8"/>
  <c r="L813" i="8"/>
  <c r="N814" i="8"/>
  <c r="O835" i="8"/>
  <c r="M873" i="8"/>
  <c r="N874" i="8"/>
  <c r="O874" i="8" s="1"/>
  <c r="N1064" i="8"/>
  <c r="L49" i="9"/>
  <c r="N49" i="9" s="1"/>
  <c r="O49" i="9" s="1"/>
  <c r="N50" i="9"/>
  <c r="O50" i="9" s="1"/>
  <c r="N96" i="9"/>
  <c r="L564" i="9"/>
  <c r="N564" i="9" s="1"/>
  <c r="P564" i="9" s="1"/>
  <c r="N565" i="9"/>
  <c r="N580" i="9"/>
  <c r="O580" i="9" s="1"/>
  <c r="N613" i="9"/>
  <c r="P613" i="9" s="1"/>
  <c r="N56" i="19"/>
  <c r="Q109" i="19"/>
  <c r="D568" i="6"/>
  <c r="D574" i="6"/>
  <c r="O856" i="9"/>
  <c r="P942" i="8"/>
  <c r="O942" i="8"/>
  <c r="P782" i="10"/>
  <c r="M770" i="7"/>
  <c r="M769" i="7" s="1"/>
  <c r="N846" i="7"/>
  <c r="M845" i="7"/>
  <c r="O958" i="7"/>
  <c r="N957" i="7"/>
  <c r="O957" i="7" s="1"/>
  <c r="K105" i="8"/>
  <c r="K104" i="8" s="1"/>
  <c r="K98" i="8" s="1"/>
  <c r="L397" i="30"/>
  <c r="L388" i="16"/>
  <c r="L118" i="8"/>
  <c r="N492" i="8"/>
  <c r="O492" i="8" s="1"/>
  <c r="M605" i="8"/>
  <c r="N605" i="8" s="1"/>
  <c r="N606" i="8"/>
  <c r="N695" i="8"/>
  <c r="J734" i="8"/>
  <c r="J732" i="8" s="1"/>
  <c r="J757" i="8"/>
  <c r="J754" i="8" s="1"/>
  <c r="J752" i="8" s="1"/>
  <c r="P883" i="8"/>
  <c r="O883" i="8"/>
  <c r="L952" i="8"/>
  <c r="L951" i="8" s="1"/>
  <c r="L970" i="8"/>
  <c r="L965" i="8" s="1"/>
  <c r="N971" i="8"/>
  <c r="M1034" i="8"/>
  <c r="M1033" i="8" s="1"/>
  <c r="M1031" i="8" s="1"/>
  <c r="M1030" i="8" s="1"/>
  <c r="O503" i="9"/>
  <c r="N502" i="9"/>
  <c r="N501" i="9" s="1"/>
  <c r="O530" i="9"/>
  <c r="P530" i="9"/>
  <c r="L990" i="9"/>
  <c r="L989" i="9" s="1"/>
  <c r="M137" i="10"/>
  <c r="O412" i="10"/>
  <c r="N411" i="10"/>
  <c r="N409" i="10" s="1"/>
  <c r="O442" i="10"/>
  <c r="N440" i="10"/>
  <c r="K460" i="10"/>
  <c r="K459" i="10" s="1"/>
  <c r="P461" i="10"/>
  <c r="P460" i="10" s="1"/>
  <c r="O466" i="10"/>
  <c r="N463" i="10"/>
  <c r="N462" i="10" s="1"/>
  <c r="O476" i="10"/>
  <c r="N473" i="10"/>
  <c r="M524" i="10"/>
  <c r="N525" i="10"/>
  <c r="P525" i="10" s="1"/>
  <c r="M552" i="10"/>
  <c r="N553" i="10"/>
  <c r="O553" i="10" s="1"/>
  <c r="O559" i="10"/>
  <c r="P559" i="10"/>
  <c r="N565" i="10"/>
  <c r="O565" i="10" s="1"/>
  <c r="P587" i="10"/>
  <c r="O587" i="10"/>
  <c r="P591" i="10"/>
  <c r="O591" i="10"/>
  <c r="P595" i="10"/>
  <c r="O595" i="10"/>
  <c r="P607" i="10"/>
  <c r="O607" i="10"/>
  <c r="P611" i="10"/>
  <c r="O611" i="10"/>
  <c r="P615" i="10"/>
  <c r="O615" i="10"/>
  <c r="P627" i="10"/>
  <c r="O627" i="10"/>
  <c r="P631" i="10"/>
  <c r="O631" i="10"/>
  <c r="P635" i="10"/>
  <c r="O635" i="10"/>
  <c r="M642" i="10"/>
  <c r="N643" i="10"/>
  <c r="P643" i="10" s="1"/>
  <c r="J665" i="10"/>
  <c r="J659" i="10" s="1"/>
  <c r="J658" i="10" s="1"/>
  <c r="N777" i="10"/>
  <c r="O777" i="10" s="1"/>
  <c r="N1045" i="10"/>
  <c r="M1043" i="10"/>
  <c r="M1049" i="10"/>
  <c r="O1071" i="10"/>
  <c r="N1068" i="10"/>
  <c r="O1068" i="10" s="1"/>
  <c r="Q307" i="16"/>
  <c r="R307" i="16"/>
  <c r="L304" i="16"/>
  <c r="Q304" i="16" s="1"/>
  <c r="P371" i="16"/>
  <c r="Q372" i="16"/>
  <c r="Q371" i="16" s="1"/>
  <c r="P642" i="16"/>
  <c r="O647" i="16"/>
  <c r="Q53" i="19"/>
  <c r="R53" i="19"/>
  <c r="Q117" i="19"/>
  <c r="R117" i="19"/>
  <c r="M33" i="25"/>
  <c r="O33" i="25" s="1"/>
  <c r="L32" i="25"/>
  <c r="M741" i="25"/>
  <c r="L740" i="25"/>
  <c r="M625" i="5"/>
  <c r="O625" i="5" s="1"/>
  <c r="L625" i="5"/>
  <c r="P542" i="6"/>
  <c r="K551" i="6"/>
  <c r="O551" i="6"/>
  <c r="M555" i="6"/>
  <c r="G559" i="6"/>
  <c r="N63" i="7"/>
  <c r="F4" i="1" s="1"/>
  <c r="N70" i="7"/>
  <c r="N457" i="7"/>
  <c r="O457" i="7" s="1"/>
  <c r="N460" i="7"/>
  <c r="O460" i="7" s="1"/>
  <c r="N461" i="7"/>
  <c r="O461" i="7" s="1"/>
  <c r="N462" i="7"/>
  <c r="O462" i="7" s="1"/>
  <c r="N463" i="7"/>
  <c r="O463" i="7" s="1"/>
  <c r="N464" i="7"/>
  <c r="O464" i="7" s="1"/>
  <c r="N465" i="7"/>
  <c r="O465" i="7" s="1"/>
  <c r="N484" i="7"/>
  <c r="O484" i="7" s="1"/>
  <c r="K488" i="7"/>
  <c r="O507" i="9"/>
  <c r="O401" i="9"/>
  <c r="O496" i="8"/>
  <c r="N497" i="7"/>
  <c r="N614" i="7"/>
  <c r="N730" i="7"/>
  <c r="J754" i="7"/>
  <c r="J752" i="7" s="1"/>
  <c r="N794" i="7"/>
  <c r="J826" i="7"/>
  <c r="O847" i="7"/>
  <c r="P847" i="7"/>
  <c r="J863" i="7"/>
  <c r="J861" i="7" s="1"/>
  <c r="J859" i="7" s="1"/>
  <c r="M877" i="7"/>
  <c r="M876" i="7" s="1"/>
  <c r="J956" i="7"/>
  <c r="J954" i="7" s="1"/>
  <c r="J953" i="7" s="1"/>
  <c r="L147" i="8"/>
  <c r="L141" i="8" s="1"/>
  <c r="L139" i="8" s="1"/>
  <c r="O230" i="8"/>
  <c r="J243" i="8"/>
  <c r="J234" i="8" s="1"/>
  <c r="J232" i="8" s="1"/>
  <c r="P487" i="8"/>
  <c r="N486" i="8"/>
  <c r="M590" i="8"/>
  <c r="N597" i="8"/>
  <c r="P597" i="8" s="1"/>
  <c r="N920" i="8"/>
  <c r="O920" i="8" s="1"/>
  <c r="M918" i="8"/>
  <c r="M917" i="8" s="1"/>
  <c r="N917" i="8" s="1"/>
  <c r="N954" i="8"/>
  <c r="J951" i="8"/>
  <c r="J924" i="8" s="1"/>
  <c r="J922" i="8" s="1"/>
  <c r="L1082" i="8"/>
  <c r="L1080" i="8" s="1"/>
  <c r="L143" i="9"/>
  <c r="N163" i="9"/>
  <c r="P163" i="9" s="1"/>
  <c r="O481" i="9"/>
  <c r="N479" i="9"/>
  <c r="K735" i="9"/>
  <c r="K731" i="9" s="1"/>
  <c r="K729" i="9" s="1"/>
  <c r="N54" i="10"/>
  <c r="O54" i="10" s="1"/>
  <c r="M207" i="10"/>
  <c r="N230" i="10"/>
  <c r="M239" i="10"/>
  <c r="M238" i="10" s="1"/>
  <c r="M236" i="10" s="1"/>
  <c r="V410" i="19"/>
  <c r="O409" i="19"/>
  <c r="V409" i="19" s="1"/>
  <c r="L183" i="29"/>
  <c r="M183" i="29" s="1"/>
  <c r="M184" i="29"/>
  <c r="G304" i="6"/>
  <c r="K412" i="6"/>
  <c r="N499" i="6"/>
  <c r="P499" i="6"/>
  <c r="G503" i="6"/>
  <c r="G498" i="6" s="1"/>
  <c r="K503" i="6"/>
  <c r="K498" i="6" s="1"/>
  <c r="D512" i="6"/>
  <c r="D511" i="6" s="1"/>
  <c r="J591" i="6"/>
  <c r="J590" i="6" s="1"/>
  <c r="H601" i="6"/>
  <c r="H599" i="6" s="1"/>
  <c r="K668" i="6"/>
  <c r="D679" i="6"/>
  <c r="I681" i="6"/>
  <c r="M681" i="6"/>
  <c r="I684" i="6"/>
  <c r="M684" i="6"/>
  <c r="M319" i="7"/>
  <c r="M318" i="7" s="1"/>
  <c r="M314" i="7" s="1"/>
  <c r="O650" i="9"/>
  <c r="J776" i="7"/>
  <c r="N789" i="7"/>
  <c r="O789" i="7" s="1"/>
  <c r="M787" i="7"/>
  <c r="M171" i="8"/>
  <c r="M170" i="8" s="1"/>
  <c r="N172" i="8"/>
  <c r="J369" i="8"/>
  <c r="J367" i="8" s="1"/>
  <c r="J365" i="8" s="1"/>
  <c r="J363" i="8" s="1"/>
  <c r="N400" i="8"/>
  <c r="O400" i="8" s="1"/>
  <c r="J407" i="8"/>
  <c r="J405" i="8" s="1"/>
  <c r="J403" i="8" s="1"/>
  <c r="P765" i="8"/>
  <c r="N791" i="8"/>
  <c r="K918" i="8"/>
  <c r="K917" i="8" s="1"/>
  <c r="M929" i="8"/>
  <c r="N930" i="8"/>
  <c r="K940" i="8"/>
  <c r="L940" i="8"/>
  <c r="K995" i="8"/>
  <c r="K994" i="8" s="1"/>
  <c r="K988" i="8" s="1"/>
  <c r="K986" i="8" s="1"/>
  <c r="K984" i="8" s="1"/>
  <c r="O996" i="8"/>
  <c r="M1027" i="8"/>
  <c r="N1027" i="8" s="1"/>
  <c r="N1028" i="8"/>
  <c r="O1028" i="8"/>
  <c r="N360" i="9"/>
  <c r="O360" i="9" s="1"/>
  <c r="J377" i="9"/>
  <c r="N623" i="9"/>
  <c r="L793" i="9"/>
  <c r="L842" i="9"/>
  <c r="N842" i="9" s="1"/>
  <c r="O842" i="9" s="1"/>
  <c r="N843" i="9"/>
  <c r="R392" i="19"/>
  <c r="Q392" i="19"/>
  <c r="O45" i="31"/>
  <c r="O47" i="28"/>
  <c r="R243" i="23"/>
  <c r="Q243" i="23"/>
  <c r="O45" i="24"/>
  <c r="Q12" i="24"/>
  <c r="P12" i="24"/>
  <c r="Q13" i="24"/>
  <c r="P13" i="24"/>
  <c r="P14" i="24"/>
  <c r="Q14" i="24"/>
  <c r="S36" i="24"/>
  <c r="Q36" i="24"/>
  <c r="P40" i="24"/>
  <c r="T40" i="24" s="1"/>
  <c r="S40" i="24"/>
  <c r="Q40" i="24"/>
  <c r="Q57" i="23"/>
  <c r="R57" i="23"/>
  <c r="R61" i="23"/>
  <c r="Q61" i="23"/>
  <c r="R469" i="23"/>
  <c r="Q469" i="23"/>
  <c r="L217" i="23"/>
  <c r="R218" i="23"/>
  <c r="Q218" i="23"/>
  <c r="J369" i="10"/>
  <c r="J367" i="10" s="1"/>
  <c r="J365" i="10" s="1"/>
  <c r="J363" i="10" s="1"/>
  <c r="Q40" i="18"/>
  <c r="P40" i="18"/>
  <c r="S40" i="18"/>
  <c r="Q239" i="19"/>
  <c r="Q247" i="19"/>
  <c r="P246" i="19"/>
  <c r="Q246" i="19" s="1"/>
  <c r="Q451" i="19"/>
  <c r="R451" i="19"/>
  <c r="O18" i="25"/>
  <c r="N17" i="25"/>
  <c r="O17" i="25" s="1"/>
  <c r="O346" i="25"/>
  <c r="P346" i="25" s="1"/>
  <c r="N336" i="25"/>
  <c r="O336" i="25" s="1"/>
  <c r="N508" i="25"/>
  <c r="O509" i="25"/>
  <c r="P509" i="25" s="1"/>
  <c r="Q112" i="27"/>
  <c r="Q133" i="27"/>
  <c r="R133" i="27"/>
  <c r="R308" i="27"/>
  <c r="Q308" i="27"/>
  <c r="L309" i="27"/>
  <c r="Q309" i="27" s="1"/>
  <c r="R312" i="27"/>
  <c r="Q312" i="27"/>
  <c r="P57" i="29"/>
  <c r="O56" i="29"/>
  <c r="J239" i="29"/>
  <c r="O240" i="29"/>
  <c r="P240" i="29" s="1"/>
  <c r="L239" i="29"/>
  <c r="M243" i="29"/>
  <c r="M395" i="29"/>
  <c r="L394" i="29"/>
  <c r="J478" i="29"/>
  <c r="J477" i="29" s="1"/>
  <c r="J473" i="29" s="1"/>
  <c r="O482" i="29"/>
  <c r="P482" i="29" s="1"/>
  <c r="M484" i="29"/>
  <c r="M488" i="29"/>
  <c r="L487" i="29"/>
  <c r="M487" i="29" s="1"/>
  <c r="J669" i="29"/>
  <c r="Q21" i="29"/>
  <c r="M837" i="29"/>
  <c r="L836" i="29"/>
  <c r="L161" i="10"/>
  <c r="L159" i="10" s="1"/>
  <c r="L157" i="10" s="1"/>
  <c r="M181" i="8"/>
  <c r="N818" i="7"/>
  <c r="M890" i="7"/>
  <c r="K944" i="7"/>
  <c r="K942" i="7" s="1"/>
  <c r="K941" i="7" s="1"/>
  <c r="M956" i="7"/>
  <c r="M954" i="7" s="1"/>
  <c r="M953" i="7" s="1"/>
  <c r="N72" i="8"/>
  <c r="J176" i="8"/>
  <c r="J174" i="8" s="1"/>
  <c r="J343" i="8"/>
  <c r="J342" i="8" s="1"/>
  <c r="J340" i="8" s="1"/>
  <c r="J338" i="8" s="1"/>
  <c r="K472" i="8"/>
  <c r="O472" i="8" s="1"/>
  <c r="N780" i="8"/>
  <c r="N810" i="8"/>
  <c r="M834" i="8"/>
  <c r="M833" i="8" s="1"/>
  <c r="L852" i="8"/>
  <c r="N860" i="8"/>
  <c r="P860" i="8" s="1"/>
  <c r="N864" i="8"/>
  <c r="N865" i="8"/>
  <c r="O865" i="8" s="1"/>
  <c r="J974" i="8"/>
  <c r="N556" i="9"/>
  <c r="O556" i="9" s="1"/>
  <c r="J559" i="9"/>
  <c r="M560" i="9"/>
  <c r="L881" i="9"/>
  <c r="J325" i="10"/>
  <c r="J867" i="10"/>
  <c r="J847" i="10" s="1"/>
  <c r="J845" i="10" s="1"/>
  <c r="R130" i="16"/>
  <c r="Q130" i="16"/>
  <c r="N161" i="16"/>
  <c r="P200" i="16"/>
  <c r="J200" i="16"/>
  <c r="R392" i="16"/>
  <c r="Q392" i="16"/>
  <c r="Q406" i="16"/>
  <c r="Q39" i="18"/>
  <c r="J200" i="19"/>
  <c r="R214" i="19"/>
  <c r="O642" i="19"/>
  <c r="R311" i="23"/>
  <c r="Q311" i="23"/>
  <c r="L308" i="23"/>
  <c r="Q308" i="23" s="1"/>
  <c r="R474" i="23"/>
  <c r="Q474" i="23"/>
  <c r="P648" i="23"/>
  <c r="O32" i="24"/>
  <c r="O31" i="24" s="1"/>
  <c r="L211" i="25"/>
  <c r="M211" i="25" s="1"/>
  <c r="O211" i="25" s="1"/>
  <c r="M212" i="25"/>
  <c r="O212" i="25" s="1"/>
  <c r="P14" i="20"/>
  <c r="P159" i="23"/>
  <c r="Q39" i="24"/>
  <c r="S39" i="24"/>
  <c r="Q182" i="23"/>
  <c r="J204" i="23"/>
  <c r="P610" i="23"/>
  <c r="N12" i="23"/>
  <c r="L508" i="25"/>
  <c r="L223" i="25"/>
  <c r="M223" i="25" s="1"/>
  <c r="P408" i="25"/>
  <c r="L273" i="29"/>
  <c r="J93" i="25"/>
  <c r="J91" i="25" s="1"/>
  <c r="O94" i="25"/>
  <c r="N462" i="25"/>
  <c r="O463" i="25"/>
  <c r="P463" i="25" s="1"/>
  <c r="O481" i="25"/>
  <c r="P481" i="25" s="1"/>
  <c r="N477" i="25"/>
  <c r="M191" i="29"/>
  <c r="O191" i="29" s="1"/>
  <c r="L189" i="29"/>
  <c r="M189" i="29" s="1"/>
  <c r="M520" i="29"/>
  <c r="O520" i="29" s="1"/>
  <c r="P520" i="29" s="1"/>
  <c r="L517" i="29"/>
  <c r="M785" i="29"/>
  <c r="O785" i="29" s="1"/>
  <c r="L782" i="29"/>
  <c r="M782" i="29" s="1"/>
  <c r="O782" i="29" s="1"/>
  <c r="M801" i="29"/>
  <c r="O801" i="29" s="1"/>
  <c r="L800" i="29"/>
  <c r="M813" i="29"/>
  <c r="O813" i="29" s="1"/>
  <c r="L809" i="29"/>
  <c r="L807" i="29" s="1"/>
  <c r="M807" i="29" s="1"/>
  <c r="O807" i="29" s="1"/>
  <c r="V101" i="30"/>
  <c r="O96" i="30"/>
  <c r="V96" i="30" s="1"/>
  <c r="P165" i="30"/>
  <c r="R401" i="30"/>
  <c r="Q401" i="30"/>
  <c r="R474" i="30"/>
  <c r="Q474" i="30"/>
  <c r="P39" i="31"/>
  <c r="Q39" i="31"/>
  <c r="Q40" i="31"/>
  <c r="P40" i="31"/>
  <c r="S40" i="31"/>
  <c r="J98" i="9"/>
  <c r="J93" i="9" s="1"/>
  <c r="J91" i="9" s="1"/>
  <c r="J263" i="9"/>
  <c r="J262" i="9" s="1"/>
  <c r="J260" i="9" s="1"/>
  <c r="K370" i="9"/>
  <c r="K369" i="9" s="1"/>
  <c r="K367" i="9" s="1"/>
  <c r="K501" i="9"/>
  <c r="N574" i="9"/>
  <c r="N581" i="9"/>
  <c r="J826" i="9"/>
  <c r="J820" i="9" s="1"/>
  <c r="J818" i="9" s="1"/>
  <c r="J314" i="10"/>
  <c r="N384" i="10"/>
  <c r="N414" i="10"/>
  <c r="N434" i="10"/>
  <c r="O434" i="10" s="1"/>
  <c r="L574" i="10"/>
  <c r="L572" i="10" s="1"/>
  <c r="N572" i="10" s="1"/>
  <c r="O572" i="10" s="1"/>
  <c r="M780" i="10"/>
  <c r="M779" i="10" s="1"/>
  <c r="J965" i="10"/>
  <c r="P14" i="11"/>
  <c r="S37" i="11"/>
  <c r="T37" i="11" s="1"/>
  <c r="S41" i="11"/>
  <c r="T41" i="11" s="1"/>
  <c r="V473" i="16"/>
  <c r="R242" i="16"/>
  <c r="J35" i="13"/>
  <c r="K33" i="13"/>
  <c r="M225" i="16"/>
  <c r="J397" i="16"/>
  <c r="L33" i="18"/>
  <c r="L32" i="18" s="1"/>
  <c r="P233" i="19"/>
  <c r="Q51" i="19"/>
  <c r="Q12" i="19"/>
  <c r="R72" i="19"/>
  <c r="L623" i="19"/>
  <c r="P623" i="19"/>
  <c r="M637" i="19"/>
  <c r="P637" i="19"/>
  <c r="R115" i="23"/>
  <c r="Q246" i="23"/>
  <c r="M165" i="23"/>
  <c r="K426" i="23"/>
  <c r="K425" i="23" s="1"/>
  <c r="M634" i="23"/>
  <c r="L634" i="23"/>
  <c r="R634" i="23"/>
  <c r="N648" i="23"/>
  <c r="P35" i="24"/>
  <c r="L32" i="24"/>
  <c r="L31" i="24" s="1"/>
  <c r="L444" i="25"/>
  <c r="L443" i="25" s="1"/>
  <c r="M443" i="25" s="1"/>
  <c r="L568" i="25"/>
  <c r="M568" i="25" s="1"/>
  <c r="N218" i="27"/>
  <c r="N217" i="27" s="1"/>
  <c r="N171" i="25"/>
  <c r="N170" i="25" s="1"/>
  <c r="N169" i="25"/>
  <c r="O172" i="25"/>
  <c r="O171" i="25" s="1"/>
  <c r="O170" i="25" s="1"/>
  <c r="O169" i="25" s="1"/>
  <c r="O198" i="25"/>
  <c r="P199" i="25"/>
  <c r="O422" i="25"/>
  <c r="N421" i="25"/>
  <c r="N396" i="25" s="1"/>
  <c r="N43" i="25"/>
  <c r="O43" i="25" s="1"/>
  <c r="P43" i="25" s="1"/>
  <c r="O44" i="25"/>
  <c r="P44" i="25" s="1"/>
  <c r="R61" i="27"/>
  <c r="Q61" i="27"/>
  <c r="Q188" i="27"/>
  <c r="R188" i="27"/>
  <c r="P35" i="28"/>
  <c r="S35" i="28"/>
  <c r="S36" i="28"/>
  <c r="P36" i="28"/>
  <c r="P38" i="28"/>
  <c r="Q38" i="28"/>
  <c r="S38" i="28"/>
  <c r="S40" i="28"/>
  <c r="O34" i="28"/>
  <c r="P40" i="28"/>
  <c r="Q40" i="28"/>
  <c r="S42" i="28"/>
  <c r="P42" i="28"/>
  <c r="T42" i="28" s="1"/>
  <c r="M429" i="29"/>
  <c r="L426" i="29"/>
  <c r="M426" i="29" s="1"/>
  <c r="O431" i="29"/>
  <c r="P431" i="29" s="1"/>
  <c r="J422" i="29"/>
  <c r="M736" i="29"/>
  <c r="L730" i="29"/>
  <c r="M766" i="29"/>
  <c r="O766" i="29" s="1"/>
  <c r="L764" i="29"/>
  <c r="M764" i="29" s="1"/>
  <c r="O764" i="29" s="1"/>
  <c r="Q311" i="30"/>
  <c r="L308" i="30"/>
  <c r="Q308" i="30" s="1"/>
  <c r="R311" i="30"/>
  <c r="J983" i="9"/>
  <c r="J981" i="9" s="1"/>
  <c r="J980" i="9" s="1"/>
  <c r="M1020" i="9"/>
  <c r="M1018" i="9" s="1"/>
  <c r="J489" i="10"/>
  <c r="J483" i="10" s="1"/>
  <c r="J481" i="10" s="1"/>
  <c r="N529" i="10"/>
  <c r="O529" i="10" s="1"/>
  <c r="K32" i="13"/>
  <c r="J93" i="16"/>
  <c r="J92" i="16" s="1"/>
  <c r="J56" i="16" s="1"/>
  <c r="L628" i="16"/>
  <c r="P628" i="16"/>
  <c r="N33" i="18"/>
  <c r="N32" i="18" s="1"/>
  <c r="R112" i="19"/>
  <c r="L161" i="19"/>
  <c r="J429" i="19"/>
  <c r="J427" i="19" s="1"/>
  <c r="R623" i="19"/>
  <c r="O9" i="18"/>
  <c r="J96" i="23"/>
  <c r="J95" i="23" s="1"/>
  <c r="J56" i="23" s="1"/>
  <c r="J55" i="23" s="1"/>
  <c r="K165" i="23"/>
  <c r="P441" i="23"/>
  <c r="K32" i="24"/>
  <c r="K31" i="24" s="1"/>
  <c r="Q195" i="23"/>
  <c r="O701" i="25"/>
  <c r="P701" i="25" s="1"/>
  <c r="N693" i="25"/>
  <c r="N692" i="25" s="1"/>
  <c r="J421" i="25"/>
  <c r="O430" i="25"/>
  <c r="R376" i="27"/>
  <c r="Q376" i="27"/>
  <c r="L374" i="27"/>
  <c r="P381" i="27"/>
  <c r="P230" i="27" s="1"/>
  <c r="D9" i="26" s="1"/>
  <c r="E9" i="26" s="1"/>
  <c r="F9" i="26" s="1"/>
  <c r="R382" i="27"/>
  <c r="R381" i="27" s="1"/>
  <c r="M259" i="29"/>
  <c r="O259" i="29" s="1"/>
  <c r="L258" i="29"/>
  <c r="M309" i="29"/>
  <c r="O309" i="29" s="1"/>
  <c r="L306" i="29"/>
  <c r="M306" i="29" s="1"/>
  <c r="O306" i="29" s="1"/>
  <c r="J337" i="29"/>
  <c r="O337" i="29" s="1"/>
  <c r="O347" i="29"/>
  <c r="P347" i="29" s="1"/>
  <c r="M688" i="29"/>
  <c r="L686" i="29"/>
  <c r="M686" i="29" s="1"/>
  <c r="M719" i="29"/>
  <c r="O719" i="29" s="1"/>
  <c r="L718" i="29"/>
  <c r="L717" i="29" s="1"/>
  <c r="M717" i="29" s="1"/>
  <c r="O717" i="29" s="1"/>
  <c r="N729" i="29"/>
  <c r="O730" i="29"/>
  <c r="P730" i="29" s="1"/>
  <c r="V57" i="39"/>
  <c r="L56" i="27"/>
  <c r="Q159" i="27"/>
  <c r="J443" i="27"/>
  <c r="J441" i="27" s="1"/>
  <c r="M443" i="27"/>
  <c r="M441" i="27" s="1"/>
  <c r="M440" i="27" s="1"/>
  <c r="R61" i="30"/>
  <c r="R654" i="30"/>
  <c r="R653" i="30"/>
  <c r="L634" i="30"/>
  <c r="M634" i="30"/>
  <c r="S231" i="39"/>
  <c r="Q61" i="39"/>
  <c r="Y604" i="39"/>
  <c r="Q166" i="27"/>
  <c r="N130" i="29"/>
  <c r="N129" i="29" s="1"/>
  <c r="O834" i="29"/>
  <c r="J12" i="30"/>
  <c r="R72" i="30"/>
  <c r="Q112" i="30"/>
  <c r="R120" i="30"/>
  <c r="Q153" i="30"/>
  <c r="Q168" i="30"/>
  <c r="Q33" i="31"/>
  <c r="R61" i="39"/>
  <c r="T61" i="39" s="1"/>
  <c r="AA935" i="39"/>
  <c r="X760" i="39"/>
  <c r="J11" i="25"/>
  <c r="J10" i="25" s="1"/>
  <c r="J166" i="27"/>
  <c r="K205" i="27"/>
  <c r="P205" i="27"/>
  <c r="M636" i="27"/>
  <c r="N650" i="27"/>
  <c r="O650" i="27" s="1"/>
  <c r="R650" i="27" s="1"/>
  <c r="P107" i="29"/>
  <c r="M605" i="30"/>
  <c r="N648" i="30"/>
  <c r="S39" i="31"/>
  <c r="P1040" i="39"/>
  <c r="S931" i="39"/>
  <c r="Y95" i="39"/>
  <c r="X94" i="39"/>
  <c r="N1044" i="39"/>
  <c r="R1048" i="39"/>
  <c r="T1048" i="39" s="1"/>
  <c r="Q1048" i="39"/>
  <c r="Q810" i="39"/>
  <c r="O810" i="39"/>
  <c r="R810" i="39"/>
  <c r="T810" i="39" s="1"/>
  <c r="S56" i="39"/>
  <c r="S364" i="39"/>
  <c r="O18" i="39"/>
  <c r="N17" i="39"/>
  <c r="Q18" i="39"/>
  <c r="AB20" i="39"/>
  <c r="S18" i="39"/>
  <c r="Q23" i="39"/>
  <c r="R23" i="39"/>
  <c r="V24" i="39"/>
  <c r="AB24" i="39"/>
  <c r="S23" i="39"/>
  <c r="AA25" i="39"/>
  <c r="AB25" i="39"/>
  <c r="V25" i="39"/>
  <c r="T25" i="39"/>
  <c r="AF25" i="39"/>
  <c r="AG25" i="39" s="1"/>
  <c r="W25" i="39"/>
  <c r="Y25" i="39" s="1"/>
  <c r="AF57" i="39"/>
  <c r="Q830" i="39"/>
  <c r="R830" i="39"/>
  <c r="T830" i="39" s="1"/>
  <c r="Q103" i="39"/>
  <c r="O103" i="39"/>
  <c r="N102" i="39"/>
  <c r="R103" i="39"/>
  <c r="T103" i="39" s="1"/>
  <c r="AG78" i="39"/>
  <c r="O84" i="39"/>
  <c r="N83" i="39"/>
  <c r="X83" i="39"/>
  <c r="AB84" i="39"/>
  <c r="Q104" i="39"/>
  <c r="O104" i="39"/>
  <c r="N110" i="39"/>
  <c r="O110" i="39" s="1"/>
  <c r="O111" i="39"/>
  <c r="AA124" i="39"/>
  <c r="S123" i="39"/>
  <c r="AF124" i="39"/>
  <c r="AG124" i="39" s="1"/>
  <c r="W124" i="39"/>
  <c r="AG530" i="39"/>
  <c r="W593" i="39"/>
  <c r="AF593" i="39"/>
  <c r="AG593" i="39" s="1"/>
  <c r="AB593" i="39"/>
  <c r="O317" i="39"/>
  <c r="N316" i="39"/>
  <c r="AG75" i="39"/>
  <c r="T593" i="39"/>
  <c r="AG486" i="39"/>
  <c r="AG369" i="39"/>
  <c r="AG912" i="39"/>
  <c r="U775" i="39"/>
  <c r="U773" i="39" s="1"/>
  <c r="AG28" i="39"/>
  <c r="AG51" i="39"/>
  <c r="AG52" i="39"/>
  <c r="Z264" i="39"/>
  <c r="Z262" i="39" s="1"/>
  <c r="U17" i="39"/>
  <c r="U16" i="39" s="1"/>
  <c r="AG27" i="39"/>
  <c r="AG62" i="39"/>
  <c r="AG91" i="39"/>
  <c r="U94" i="39"/>
  <c r="AG895" i="39"/>
  <c r="Y475" i="39"/>
  <c r="AG74" i="39"/>
  <c r="Z218" i="39"/>
  <c r="Z213" i="39" s="1"/>
  <c r="Z211" i="39" s="1"/>
  <c r="AG235" i="39"/>
  <c r="AG290" i="39"/>
  <c r="AG426" i="39"/>
  <c r="AG510" i="39"/>
  <c r="Z521" i="39"/>
  <c r="AG558" i="39"/>
  <c r="U149" i="39"/>
  <c r="U148" i="39" s="1"/>
  <c r="U147" i="39" s="1"/>
  <c r="U121" i="39" s="1"/>
  <c r="U119" i="39" s="1"/>
  <c r="AG202" i="39"/>
  <c r="AG574" i="39"/>
  <c r="AG736" i="39"/>
  <c r="AG746" i="39"/>
  <c r="U218" i="39"/>
  <c r="U213" i="39" s="1"/>
  <c r="U211" i="39" s="1"/>
  <c r="AG516" i="39"/>
  <c r="Q212" i="16"/>
  <c r="R212" i="16"/>
  <c r="O448" i="19"/>
  <c r="N405" i="30"/>
  <c r="O405" i="30" s="1"/>
  <c r="V405" i="30" s="1"/>
  <c r="F402" i="2"/>
  <c r="H520" i="3"/>
  <c r="H518" i="3" s="1"/>
  <c r="T37" i="31"/>
  <c r="K357" i="3"/>
  <c r="K358" i="3"/>
  <c r="K356" i="3" s="1"/>
  <c r="K461" i="3"/>
  <c r="F578" i="3"/>
  <c r="Q578" i="3" s="1"/>
  <c r="Q579" i="3"/>
  <c r="T39" i="18"/>
  <c r="M237" i="4"/>
  <c r="L236" i="4"/>
  <c r="M236" i="4" s="1"/>
  <c r="D31" i="3"/>
  <c r="R32" i="3"/>
  <c r="M358" i="3"/>
  <c r="M356" i="3" s="1"/>
  <c r="M357" i="3"/>
  <c r="E491" i="3"/>
  <c r="E490" i="3" s="1"/>
  <c r="N396" i="4"/>
  <c r="G281" i="3"/>
  <c r="L385" i="3"/>
  <c r="R413" i="3"/>
  <c r="S413" i="3" s="1"/>
  <c r="F520" i="3"/>
  <c r="F518" i="3" s="1"/>
  <c r="K520" i="3"/>
  <c r="K518" i="3" s="1"/>
  <c r="K59" i="20"/>
  <c r="V434" i="19"/>
  <c r="N651" i="4"/>
  <c r="N475" i="4"/>
  <c r="N286" i="4"/>
  <c r="K52" i="24"/>
  <c r="L52" i="20"/>
  <c r="L54" i="28"/>
  <c r="D607" i="2"/>
  <c r="D606" i="2" s="1"/>
  <c r="P11" i="3"/>
  <c r="R19" i="3"/>
  <c r="Q35" i="3"/>
  <c r="R35" i="3" s="1"/>
  <c r="R45" i="3"/>
  <c r="R50" i="3"/>
  <c r="R62" i="3"/>
  <c r="D84" i="3"/>
  <c r="D78" i="3" s="1"/>
  <c r="R87" i="3"/>
  <c r="D93" i="3"/>
  <c r="Q121" i="3"/>
  <c r="R124" i="3"/>
  <c r="S136" i="3"/>
  <c r="R233" i="3"/>
  <c r="K281" i="3"/>
  <c r="K52" i="20"/>
  <c r="L52" i="18"/>
  <c r="L52" i="31"/>
  <c r="P130" i="3"/>
  <c r="P129" i="3" s="1"/>
  <c r="R295" i="3"/>
  <c r="R317" i="3"/>
  <c r="Q386" i="3"/>
  <c r="R424" i="3"/>
  <c r="L428" i="3"/>
  <c r="S463" i="3"/>
  <c r="O520" i="3"/>
  <c r="O518" i="3" s="1"/>
  <c r="N462" i="4"/>
  <c r="K52" i="18"/>
  <c r="K54" i="28"/>
  <c r="L52" i="11"/>
  <c r="D33" i="2"/>
  <c r="D31" i="2" s="1"/>
  <c r="D132" i="2"/>
  <c r="D131" i="2" s="1"/>
  <c r="D194" i="2"/>
  <c r="D193" i="2" s="1"/>
  <c r="D192" i="2" s="1"/>
  <c r="D415" i="2"/>
  <c r="D380" i="2" s="1"/>
  <c r="D478" i="2"/>
  <c r="D477" i="2" s="1"/>
  <c r="D452" i="2" s="1"/>
  <c r="D451" i="2" s="1"/>
  <c r="D696" i="2"/>
  <c r="Q12" i="3"/>
  <c r="Q47" i="3"/>
  <c r="R47" i="3" s="1"/>
  <c r="D69" i="3"/>
  <c r="I91" i="3"/>
  <c r="R110" i="3"/>
  <c r="R112" i="3"/>
  <c r="I130" i="3"/>
  <c r="I129" i="3" s="1"/>
  <c r="O130" i="3"/>
  <c r="O129" i="3" s="1"/>
  <c r="M483" i="3"/>
  <c r="M482" i="3" s="1"/>
  <c r="O107" i="4"/>
  <c r="L230" i="4"/>
  <c r="K57" i="5"/>
  <c r="J431" i="5"/>
  <c r="J429" i="5" s="1"/>
  <c r="G83" i="6"/>
  <c r="G82" i="6" s="1"/>
  <c r="I318" i="6"/>
  <c r="E530" i="6"/>
  <c r="F542" i="6"/>
  <c r="Q622" i="6"/>
  <c r="S622" i="6" s="1"/>
  <c r="N957" i="8"/>
  <c r="S680" i="3"/>
  <c r="Q782" i="3"/>
  <c r="R782" i="3" s="1"/>
  <c r="J223" i="4"/>
  <c r="N292" i="4"/>
  <c r="M623" i="4"/>
  <c r="L719" i="4"/>
  <c r="J773" i="4"/>
  <c r="J771" i="4" s="1"/>
  <c r="Q417" i="5"/>
  <c r="K431" i="5"/>
  <c r="K429" i="5" s="1"/>
  <c r="K428" i="5" s="1"/>
  <c r="L83" i="6"/>
  <c r="L82" i="6" s="1"/>
  <c r="G366" i="6"/>
  <c r="I433" i="6"/>
  <c r="I429" i="6" s="1"/>
  <c r="G512" i="6"/>
  <c r="G511" i="6" s="1"/>
  <c r="L542" i="6"/>
  <c r="Q545" i="6"/>
  <c r="P583" i="6"/>
  <c r="Q640" i="6"/>
  <c r="S640" i="6" s="1"/>
  <c r="N463" i="9"/>
  <c r="J1019" i="8"/>
  <c r="J1070" i="8"/>
  <c r="J1068" i="8" s="1"/>
  <c r="J1067" i="8" s="1"/>
  <c r="D582" i="3"/>
  <c r="D586" i="3"/>
  <c r="L593" i="4"/>
  <c r="L27" i="11"/>
  <c r="R58" i="5"/>
  <c r="L347" i="6"/>
  <c r="L345" i="6" s="1"/>
  <c r="P347" i="6"/>
  <c r="P345" i="6" s="1"/>
  <c r="J455" i="6"/>
  <c r="E591" i="6"/>
  <c r="E590" i="6" s="1"/>
  <c r="H626" i="6"/>
  <c r="J701" i="3"/>
  <c r="J17" i="4"/>
  <c r="O17" i="4" s="1"/>
  <c r="O57" i="4"/>
  <c r="N730" i="4"/>
  <c r="N732" i="4"/>
  <c r="N750" i="4"/>
  <c r="Q110" i="5"/>
  <c r="J162" i="5"/>
  <c r="J365" i="7"/>
  <c r="J363" i="7" s="1"/>
  <c r="J260" i="6"/>
  <c r="J259" i="6" s="1"/>
  <c r="J257" i="6" s="1"/>
  <c r="G412" i="6"/>
  <c r="N574" i="6"/>
  <c r="L637" i="6"/>
  <c r="N454" i="7"/>
  <c r="L488" i="7"/>
  <c r="J59" i="10"/>
  <c r="J57" i="10" s="1"/>
  <c r="K840" i="7"/>
  <c r="O124" i="8"/>
  <c r="J222" i="8"/>
  <c r="L680" i="8"/>
  <c r="K420" i="9"/>
  <c r="N616" i="9"/>
  <c r="P616" i="9" s="1"/>
  <c r="N642" i="9"/>
  <c r="O642" i="9" s="1"/>
  <c r="J698" i="9"/>
  <c r="J695" i="9" s="1"/>
  <c r="J693" i="9" s="1"/>
  <c r="M1008" i="9"/>
  <c r="M1006" i="9" s="1"/>
  <c r="M1005" i="9" s="1"/>
  <c r="K129" i="10"/>
  <c r="K127" i="10" s="1"/>
  <c r="K125" i="10" s="1"/>
  <c r="J263" i="10"/>
  <c r="J262" i="10" s="1"/>
  <c r="J260" i="10" s="1"/>
  <c r="P13" i="11"/>
  <c r="Q13" i="11"/>
  <c r="M7" i="12"/>
  <c r="L7" i="12"/>
  <c r="L12" i="16"/>
  <c r="R12" i="16" s="1"/>
  <c r="R418" i="16"/>
  <c r="Q418" i="16"/>
  <c r="M33" i="18"/>
  <c r="Q34" i="18"/>
  <c r="S34" i="18"/>
  <c r="T34" i="18" s="1"/>
  <c r="S38" i="18"/>
  <c r="P38" i="18"/>
  <c r="P37" i="18"/>
  <c r="S37" i="18"/>
  <c r="Q66" i="19"/>
  <c r="R66" i="19"/>
  <c r="O214" i="19"/>
  <c r="N213" i="19"/>
  <c r="N212" i="19" s="1"/>
  <c r="Q242" i="19"/>
  <c r="R242" i="19"/>
  <c r="Q264" i="19"/>
  <c r="R264" i="19"/>
  <c r="Q483" i="19"/>
  <c r="L482" i="19"/>
  <c r="R101" i="23"/>
  <c r="Q101" i="23"/>
  <c r="P96" i="23"/>
  <c r="K204" i="23"/>
  <c r="L216" i="23"/>
  <c r="L380" i="23"/>
  <c r="Q381" i="23"/>
  <c r="Q380" i="23" s="1"/>
  <c r="M32" i="24"/>
  <c r="Q34" i="24"/>
  <c r="P34" i="24"/>
  <c r="S34" i="24"/>
  <c r="L201" i="25"/>
  <c r="M201" i="25" s="1"/>
  <c r="O201" i="25" s="1"/>
  <c r="M202" i="25"/>
  <c r="O202" i="25" s="1"/>
  <c r="P406" i="23"/>
  <c r="R415" i="23"/>
  <c r="O58" i="24"/>
  <c r="Q4" i="27"/>
  <c r="O62" i="28"/>
  <c r="D14" i="26"/>
  <c r="E14" i="26" s="1"/>
  <c r="F14" i="26" s="1"/>
  <c r="J343" i="7"/>
  <c r="J342" i="7" s="1"/>
  <c r="J340" i="7" s="1"/>
  <c r="J338" i="7" s="1"/>
  <c r="N432" i="7"/>
  <c r="K568" i="7"/>
  <c r="N575" i="7"/>
  <c r="J648" i="7"/>
  <c r="J645" i="7" s="1"/>
  <c r="J643" i="7" s="1"/>
  <c r="N666" i="7"/>
  <c r="J708" i="7"/>
  <c r="J803" i="7"/>
  <c r="J801" i="7" s="1"/>
  <c r="J799" i="7" s="1"/>
  <c r="J797" i="7" s="1"/>
  <c r="J98" i="8"/>
  <c r="J93" i="8" s="1"/>
  <c r="J91" i="8" s="1"/>
  <c r="P258" i="8"/>
  <c r="N305" i="8"/>
  <c r="N357" i="8"/>
  <c r="N414" i="8"/>
  <c r="N418" i="8"/>
  <c r="N421" i="8"/>
  <c r="O421" i="8" s="1"/>
  <c r="K462" i="8"/>
  <c r="M507" i="8"/>
  <c r="M506" i="8" s="1"/>
  <c r="M505" i="8" s="1"/>
  <c r="M504" i="8" s="1"/>
  <c r="K541" i="8"/>
  <c r="L611" i="8"/>
  <c r="N621" i="8"/>
  <c r="N622" i="8"/>
  <c r="O622" i="8" s="1"/>
  <c r="L636" i="8"/>
  <c r="L635" i="8" s="1"/>
  <c r="L994" i="8"/>
  <c r="L988" i="8" s="1"/>
  <c r="L986" i="8" s="1"/>
  <c r="L984" i="8" s="1"/>
  <c r="L1002" i="8"/>
  <c r="J1082" i="8"/>
  <c r="J1080" i="8" s="1"/>
  <c r="J1079" i="8" s="1"/>
  <c r="K20" i="9"/>
  <c r="K19" i="9" s="1"/>
  <c r="K222" i="9"/>
  <c r="J325" i="9"/>
  <c r="N358" i="9"/>
  <c r="M478" i="9"/>
  <c r="M477" i="9" s="1"/>
  <c r="M475" i="9" s="1"/>
  <c r="N524" i="9"/>
  <c r="N615" i="9"/>
  <c r="J203" i="10"/>
  <c r="L462" i="10"/>
  <c r="L457" i="10" s="1"/>
  <c r="N457" i="10" s="1"/>
  <c r="J472" i="10"/>
  <c r="J471" i="10" s="1"/>
  <c r="J470" i="10" s="1"/>
  <c r="L472" i="10"/>
  <c r="L471" i="10" s="1"/>
  <c r="L470" i="10" s="1"/>
  <c r="N564" i="10"/>
  <c r="O564" i="10" s="1"/>
  <c r="N703" i="10"/>
  <c r="N765" i="10"/>
  <c r="N33" i="11"/>
  <c r="N32" i="11" s="1"/>
  <c r="Q235" i="16"/>
  <c r="P233" i="16"/>
  <c r="R235" i="16"/>
  <c r="L371" i="16"/>
  <c r="R372" i="16"/>
  <c r="R371" i="16" s="1"/>
  <c r="P564" i="16"/>
  <c r="O72" i="18"/>
  <c r="P467" i="19"/>
  <c r="P429" i="19" s="1"/>
  <c r="Q34" i="20"/>
  <c r="P34" i="20"/>
  <c r="O33" i="20"/>
  <c r="S34" i="20"/>
  <c r="V187" i="23"/>
  <c r="O165" i="23"/>
  <c r="V165" i="23" s="1"/>
  <c r="J441" i="23"/>
  <c r="J439" i="23" s="1"/>
  <c r="P605" i="23"/>
  <c r="V153" i="23"/>
  <c r="O139" i="23"/>
  <c r="V139" i="23" s="1"/>
  <c r="M653" i="25"/>
  <c r="O653" i="25" s="1"/>
  <c r="L651" i="25"/>
  <c r="M711" i="25"/>
  <c r="L710" i="25"/>
  <c r="M710" i="25" s="1"/>
  <c r="Q120" i="23"/>
  <c r="R120" i="23"/>
  <c r="P165" i="23"/>
  <c r="R168" i="23"/>
  <c r="Q168" i="23"/>
  <c r="O477" i="25"/>
  <c r="P477" i="25" s="1"/>
  <c r="N672" i="6"/>
  <c r="Q704" i="6"/>
  <c r="R704" i="6" s="1"/>
  <c r="H711" i="6"/>
  <c r="H709" i="6" s="1"/>
  <c r="N29" i="7"/>
  <c r="J66" i="7"/>
  <c r="J59" i="7" s="1"/>
  <c r="J57" i="7" s="1"/>
  <c r="K129" i="7"/>
  <c r="K127" i="7" s="1"/>
  <c r="K125" i="7" s="1"/>
  <c r="K239" i="7"/>
  <c r="K238" i="7" s="1"/>
  <c r="K236" i="7" s="1"/>
  <c r="J243" i="7"/>
  <c r="J234" i="7" s="1"/>
  <c r="J232" i="7" s="1"/>
  <c r="J326" i="7"/>
  <c r="J312" i="7" s="1"/>
  <c r="J310" i="7" s="1"/>
  <c r="N384" i="7"/>
  <c r="L867" i="8"/>
  <c r="N561" i="7"/>
  <c r="N569" i="7"/>
  <c r="N571" i="7"/>
  <c r="K849" i="7"/>
  <c r="N130" i="8"/>
  <c r="O130" i="8" s="1"/>
  <c r="J314" i="8"/>
  <c r="J312" i="8" s="1"/>
  <c r="J310" i="8" s="1"/>
  <c r="N354" i="8"/>
  <c r="N355" i="8"/>
  <c r="O355" i="8" s="1"/>
  <c r="M611" i="8"/>
  <c r="M609" i="8" s="1"/>
  <c r="K742" i="8"/>
  <c r="J773" i="8"/>
  <c r="J770" i="8" s="1"/>
  <c r="J768" i="8" s="1"/>
  <c r="J806" i="8"/>
  <c r="J786" i="8" s="1"/>
  <c r="J784" i="8" s="1"/>
  <c r="J822" i="8"/>
  <c r="J820" i="8" s="1"/>
  <c r="N970" i="8"/>
  <c r="K199" i="9"/>
  <c r="L432" i="9"/>
  <c r="N434" i="9"/>
  <c r="O434" i="9" s="1"/>
  <c r="J431" i="9"/>
  <c r="N552" i="9"/>
  <c r="O552" i="9" s="1"/>
  <c r="L705" i="9"/>
  <c r="N705" i="9" s="1"/>
  <c r="N707" i="9"/>
  <c r="N908" i="9"/>
  <c r="O908" i="9" s="1"/>
  <c r="J194" i="10"/>
  <c r="J278" i="10"/>
  <c r="J275" i="10" s="1"/>
  <c r="J273" i="10" s="1"/>
  <c r="J1067" i="10"/>
  <c r="J1065" i="10" s="1"/>
  <c r="J1064" i="10" s="1"/>
  <c r="Q72" i="16"/>
  <c r="O61" i="18"/>
  <c r="R406" i="16"/>
  <c r="P397" i="16"/>
  <c r="P161" i="19"/>
  <c r="R164" i="19"/>
  <c r="R372" i="19"/>
  <c r="R371" i="19" s="1"/>
  <c r="Q372" i="19"/>
  <c r="Q371" i="19" s="1"/>
  <c r="Q457" i="19"/>
  <c r="R457" i="19"/>
  <c r="P12" i="20"/>
  <c r="Q12" i="20"/>
  <c r="O68" i="24"/>
  <c r="P573" i="23"/>
  <c r="R649" i="23"/>
  <c r="L648" i="23"/>
  <c r="S33" i="24"/>
  <c r="Q33" i="24"/>
  <c r="P33" i="24"/>
  <c r="O11" i="24"/>
  <c r="R25" i="23"/>
  <c r="O11" i="31"/>
  <c r="Q25" i="23"/>
  <c r="L290" i="25"/>
  <c r="M291" i="25"/>
  <c r="L668" i="6"/>
  <c r="O668" i="6"/>
  <c r="N873" i="8"/>
  <c r="O873" i="8" s="1"/>
  <c r="N520" i="7"/>
  <c r="O520" i="7" s="1"/>
  <c r="N604" i="7"/>
  <c r="O604" i="7" s="1"/>
  <c r="J876" i="7"/>
  <c r="J874" i="7" s="1"/>
  <c r="J873" i="7" s="1"/>
  <c r="J893" i="7"/>
  <c r="K412" i="8"/>
  <c r="N525" i="8"/>
  <c r="O525" i="8" s="1"/>
  <c r="L524" i="8"/>
  <c r="L523" i="8" s="1"/>
  <c r="L522" i="8" s="1"/>
  <c r="N529" i="8"/>
  <c r="N542" i="8"/>
  <c r="O542" i="8" s="1"/>
  <c r="N543" i="8"/>
  <c r="O543" i="8" s="1"/>
  <c r="L548" i="8"/>
  <c r="N550" i="8"/>
  <c r="O550" i="8" s="1"/>
  <c r="N554" i="8"/>
  <c r="O554" i="8" s="1"/>
  <c r="N553" i="8"/>
  <c r="O553" i="8" s="1"/>
  <c r="N559" i="8"/>
  <c r="O559" i="8" s="1"/>
  <c r="N560" i="8"/>
  <c r="P560" i="8" s="1"/>
  <c r="L563" i="8"/>
  <c r="M563" i="8"/>
  <c r="N573" i="8"/>
  <c r="N697" i="8"/>
  <c r="O697" i="8" s="1"/>
  <c r="L773" i="8"/>
  <c r="L770" i="8" s="1"/>
  <c r="J833" i="8"/>
  <c r="L890" i="7"/>
  <c r="N1025" i="8"/>
  <c r="O1025" i="8" s="1"/>
  <c r="N1060" i="8"/>
  <c r="O1060" i="8" s="1"/>
  <c r="J1058" i="8"/>
  <c r="J1056" i="8" s="1"/>
  <c r="J1055" i="8" s="1"/>
  <c r="J77" i="9"/>
  <c r="J75" i="9" s="1"/>
  <c r="N872" i="9"/>
  <c r="J82" i="10"/>
  <c r="J77" i="10" s="1"/>
  <c r="J75" i="10" s="1"/>
  <c r="J98" i="10"/>
  <c r="J93" i="10" s="1"/>
  <c r="J91" i="10" s="1"/>
  <c r="J298" i="10"/>
  <c r="J290" i="10" s="1"/>
  <c r="J288" i="10" s="1"/>
  <c r="K377" i="10"/>
  <c r="N698" i="10"/>
  <c r="O698" i="10" s="1"/>
  <c r="N729" i="10"/>
  <c r="O729" i="10" s="1"/>
  <c r="S35" i="11"/>
  <c r="T35" i="11" s="1"/>
  <c r="Q35" i="11"/>
  <c r="Q12" i="16"/>
  <c r="R460" i="16"/>
  <c r="Q460" i="16"/>
  <c r="K56" i="19"/>
  <c r="N161" i="19"/>
  <c r="R307" i="19"/>
  <c r="L304" i="19"/>
  <c r="Q304" i="19" s="1"/>
  <c r="Q307" i="19"/>
  <c r="Q404" i="19"/>
  <c r="R404" i="19"/>
  <c r="L409" i="19"/>
  <c r="Q410" i="19"/>
  <c r="R410" i="19"/>
  <c r="O43" i="24"/>
  <c r="O43" i="31"/>
  <c r="O45" i="28"/>
  <c r="R239" i="23"/>
  <c r="P237" i="23"/>
  <c r="Q375" i="23"/>
  <c r="R375" i="23"/>
  <c r="M139" i="23"/>
  <c r="M439" i="25"/>
  <c r="P439" i="25" s="1"/>
  <c r="L438" i="25"/>
  <c r="L435" i="25" s="1"/>
  <c r="M435" i="25" s="1"/>
  <c r="N837" i="10"/>
  <c r="L918" i="10"/>
  <c r="L917" i="10" s="1"/>
  <c r="N946" i="10"/>
  <c r="O946" i="10" s="1"/>
  <c r="J1055" i="10"/>
  <c r="J1053" i="10" s="1"/>
  <c r="J1052" i="10" s="1"/>
  <c r="J161" i="16"/>
  <c r="N628" i="16"/>
  <c r="M628" i="16"/>
  <c r="O136" i="19"/>
  <c r="Q137" i="19"/>
  <c r="J397" i="19"/>
  <c r="K33" i="20"/>
  <c r="K32" i="20" s="1"/>
  <c r="P204" i="23"/>
  <c r="R140" i="23"/>
  <c r="O28" i="24"/>
  <c r="N96" i="23"/>
  <c r="N95" i="23" s="1"/>
  <c r="N56" i="23" s="1"/>
  <c r="K441" i="23"/>
  <c r="K439" i="23" s="1"/>
  <c r="K438" i="23" s="1"/>
  <c r="S37" i="24"/>
  <c r="S38" i="24"/>
  <c r="L131" i="25"/>
  <c r="M131" i="25" s="1"/>
  <c r="P131" i="25" s="1"/>
  <c r="M96" i="25"/>
  <c r="L147" i="25"/>
  <c r="M451" i="25"/>
  <c r="O53" i="28"/>
  <c r="N154" i="29"/>
  <c r="O155" i="29"/>
  <c r="J885" i="10"/>
  <c r="J879" i="10" s="1"/>
  <c r="J877" i="10" s="1"/>
  <c r="N905" i="10"/>
  <c r="Q37" i="11"/>
  <c r="Q41" i="11"/>
  <c r="K31" i="13"/>
  <c r="K12" i="16"/>
  <c r="Q155" i="16"/>
  <c r="K161" i="16"/>
  <c r="K55" i="16" s="1"/>
  <c r="K43" i="16" s="1"/>
  <c r="P599" i="16"/>
  <c r="J161" i="19"/>
  <c r="Q183" i="19"/>
  <c r="M623" i="19"/>
  <c r="O623" i="19" s="1"/>
  <c r="N637" i="19"/>
  <c r="O637" i="19" s="1"/>
  <c r="O96" i="23"/>
  <c r="K56" i="23"/>
  <c r="L165" i="23"/>
  <c r="L55" i="23" s="1"/>
  <c r="Q230" i="23"/>
  <c r="K406" i="23"/>
  <c r="J406" i="23"/>
  <c r="P36" i="24"/>
  <c r="T36" i="24" s="1"/>
  <c r="N12" i="25"/>
  <c r="J1042" i="10"/>
  <c r="J1040" i="10" s="1"/>
  <c r="J1039" i="10" s="1"/>
  <c r="K7" i="13"/>
  <c r="N12" i="16"/>
  <c r="Q226" i="16"/>
  <c r="M599" i="16"/>
  <c r="K33" i="18"/>
  <c r="K32" i="18" s="1"/>
  <c r="O12" i="19"/>
  <c r="M594" i="19"/>
  <c r="L637" i="19"/>
  <c r="J426" i="23"/>
  <c r="J425" i="23" s="1"/>
  <c r="J405" i="23" s="1"/>
  <c r="M605" i="23"/>
  <c r="N634" i="23"/>
  <c r="O634" i="23" s="1"/>
  <c r="O421" i="25"/>
  <c r="O548" i="25"/>
  <c r="M56" i="27"/>
  <c r="M55" i="27" s="1"/>
  <c r="M43" i="27" s="1"/>
  <c r="L139" i="27"/>
  <c r="R153" i="27"/>
  <c r="Q153" i="27"/>
  <c r="O416" i="29"/>
  <c r="P416" i="29" s="1"/>
  <c r="M452" i="29"/>
  <c r="O60" i="31"/>
  <c r="J130" i="25"/>
  <c r="J129" i="25" s="1"/>
  <c r="J369" i="25"/>
  <c r="J368" i="25" s="1"/>
  <c r="J367" i="25" s="1"/>
  <c r="O630" i="25"/>
  <c r="P630" i="25" s="1"/>
  <c r="K12" i="27"/>
  <c r="M230" i="27"/>
  <c r="P636" i="27"/>
  <c r="N636" i="27"/>
  <c r="O636" i="27" s="1"/>
  <c r="R636" i="27"/>
  <c r="L636" i="27"/>
  <c r="O418" i="25"/>
  <c r="O397" i="25"/>
  <c r="Q115" i="27"/>
  <c r="O655" i="27"/>
  <c r="Q35" i="28"/>
  <c r="O765" i="39"/>
  <c r="O633" i="25"/>
  <c r="P633" i="25" s="1"/>
  <c r="K166" i="27"/>
  <c r="K428" i="27"/>
  <c r="K427" i="27" s="1"/>
  <c r="K407" i="27" s="1"/>
  <c r="O175" i="29"/>
  <c r="L315" i="29"/>
  <c r="L323" i="29"/>
  <c r="N463" i="29"/>
  <c r="N478" i="29"/>
  <c r="K12" i="30"/>
  <c r="J96" i="30"/>
  <c r="J95" i="30" s="1"/>
  <c r="J56" i="30" s="1"/>
  <c r="J55" i="30" s="1"/>
  <c r="J43" i="30" s="1"/>
  <c r="R101" i="30"/>
  <c r="M441" i="30"/>
  <c r="M439" i="30" s="1"/>
  <c r="M438" i="30" s="1"/>
  <c r="R649" i="30"/>
  <c r="M648" i="30"/>
  <c r="O648" i="30" s="1"/>
  <c r="Q34" i="31"/>
  <c r="N32" i="31"/>
  <c r="N31" i="31" s="1"/>
  <c r="AB272" i="39"/>
  <c r="T57" i="39"/>
  <c r="R302" i="39"/>
  <c r="S302" i="39" s="1"/>
  <c r="Q302" i="39"/>
  <c r="K56" i="30"/>
  <c r="Q96" i="30"/>
  <c r="P648" i="30"/>
  <c r="Z55" i="39"/>
  <c r="Z56" i="39"/>
  <c r="S298" i="39"/>
  <c r="Q25" i="30"/>
  <c r="Q12" i="30" s="1"/>
  <c r="M12" i="30"/>
  <c r="Q72" i="30"/>
  <c r="N366" i="30"/>
  <c r="J441" i="30"/>
  <c r="J439" i="30" s="1"/>
  <c r="L648" i="30"/>
  <c r="M32" i="31"/>
  <c r="P38" i="31"/>
  <c r="V55" i="39"/>
  <c r="AG55" i="39" s="1"/>
  <c r="L55" i="30"/>
  <c r="S25" i="30"/>
  <c r="K139" i="30"/>
  <c r="R168" i="30"/>
  <c r="K165" i="30"/>
  <c r="N634" i="30"/>
  <c r="O634" i="30" s="1"/>
  <c r="O653" i="30"/>
  <c r="Y1044" i="39"/>
  <c r="AG155" i="39"/>
  <c r="AG189" i="39"/>
  <c r="Z149" i="39"/>
  <c r="Z148" i="39" s="1"/>
  <c r="Z147" i="39" s="1"/>
  <c r="Z121" i="39" s="1"/>
  <c r="Z119" i="39" s="1"/>
  <c r="AG243" i="39"/>
  <c r="U427" i="39"/>
  <c r="AB609" i="39"/>
  <c r="S606" i="39"/>
  <c r="AG726" i="39"/>
  <c r="AG784" i="39"/>
  <c r="Q115" i="39"/>
  <c r="U109" i="39"/>
  <c r="U107" i="39" s="1"/>
  <c r="Z109" i="39"/>
  <c r="Z107" i="39" s="1"/>
  <c r="AG163" i="39"/>
  <c r="AG166" i="39"/>
  <c r="AG181" i="39"/>
  <c r="AG652" i="39"/>
  <c r="AG797" i="39"/>
  <c r="AG608" i="39"/>
  <c r="T24" i="39"/>
  <c r="AG151" i="39"/>
  <c r="AG159" i="39"/>
  <c r="Z233" i="39"/>
  <c r="Z231" i="39" s="1"/>
  <c r="Z229" i="39" s="1"/>
  <c r="AG254" i="39"/>
  <c r="AG255" i="39"/>
  <c r="AG380" i="39"/>
  <c r="Z427" i="39"/>
  <c r="AG61" i="39"/>
  <c r="AG63" i="39"/>
  <c r="AG153" i="39"/>
  <c r="AG173" i="39"/>
  <c r="W366" i="39"/>
  <c r="AG552" i="39"/>
  <c r="AG756" i="39"/>
  <c r="AG759" i="39"/>
  <c r="AG799" i="39"/>
  <c r="AG927" i="39"/>
  <c r="AG952" i="39"/>
  <c r="U695" i="39"/>
  <c r="U694" i="39" s="1"/>
  <c r="U693" i="39" s="1"/>
  <c r="N396" i="27"/>
  <c r="O402" i="27"/>
  <c r="V402" i="27" s="1"/>
  <c r="P428" i="9"/>
  <c r="O428" i="9"/>
  <c r="M835" i="9"/>
  <c r="N836" i="9"/>
  <c r="K256" i="10"/>
  <c r="K243" i="10" s="1"/>
  <c r="K1061" i="10"/>
  <c r="L198" i="29"/>
  <c r="L197" i="29" s="1"/>
  <c r="M201" i="29"/>
  <c r="O201" i="29" s="1"/>
  <c r="P413" i="9"/>
  <c r="K590" i="9"/>
  <c r="O652" i="9"/>
  <c r="P652" i="9"/>
  <c r="O84" i="10"/>
  <c r="O113" i="25"/>
  <c r="N953" i="10"/>
  <c r="O953" i="10" s="1"/>
  <c r="N204" i="9"/>
  <c r="O204" i="9" s="1"/>
  <c r="N492" i="7"/>
  <c r="O492" i="7" s="1"/>
  <c r="N639" i="8"/>
  <c r="P1017" i="8"/>
  <c r="O1017" i="8"/>
  <c r="P427" i="9"/>
  <c r="O427" i="9"/>
  <c r="O686" i="9"/>
  <c r="O767" i="7"/>
  <c r="N143" i="8"/>
  <c r="K394" i="8"/>
  <c r="K392" i="8" s="1"/>
  <c r="K390" i="8" s="1"/>
  <c r="O692" i="8"/>
  <c r="M503" i="25"/>
  <c r="N245" i="7"/>
  <c r="O245" i="7" s="1"/>
  <c r="N455" i="7"/>
  <c r="O455" i="7" s="1"/>
  <c r="Q638" i="6"/>
  <c r="O855" i="8"/>
  <c r="K53" i="6"/>
  <c r="J112" i="6"/>
  <c r="J111" i="6" s="1"/>
  <c r="Q132" i="6"/>
  <c r="R132" i="6" s="1"/>
  <c r="M170" i="6"/>
  <c r="M169" i="6" s="1"/>
  <c r="O318" i="6"/>
  <c r="O568" i="6"/>
  <c r="K583" i="6"/>
  <c r="I601" i="6"/>
  <c r="I599" i="6" s="1"/>
  <c r="J681" i="6"/>
  <c r="P681" i="6"/>
  <c r="P679" i="6" s="1"/>
  <c r="E702" i="6"/>
  <c r="E700" i="6" s="1"/>
  <c r="I702" i="6"/>
  <c r="I700" i="6" s="1"/>
  <c r="N115" i="7"/>
  <c r="N163" i="7"/>
  <c r="M490" i="7"/>
  <c r="M633" i="7"/>
  <c r="N761" i="8"/>
  <c r="O761" i="8" s="1"/>
  <c r="M118" i="9"/>
  <c r="M117" i="9" s="1"/>
  <c r="M110" i="9" s="1"/>
  <c r="M108" i="9" s="1"/>
  <c r="M132" i="9"/>
  <c r="M595" i="8"/>
  <c r="N30" i="8"/>
  <c r="N172" i="9"/>
  <c r="N171" i="9" s="1"/>
  <c r="N170" i="9" s="1"/>
  <c r="N934" i="8"/>
  <c r="P934" i="8" s="1"/>
  <c r="O401" i="8"/>
  <c r="N245" i="8"/>
  <c r="N375" i="9"/>
  <c r="O375" i="9" s="1"/>
  <c r="N683" i="8"/>
  <c r="P683" i="8" s="1"/>
  <c r="N772" i="9"/>
  <c r="O772" i="9" s="1"/>
  <c r="M689" i="7"/>
  <c r="M688" i="7" s="1"/>
  <c r="N688" i="7" s="1"/>
  <c r="N311" i="30"/>
  <c r="N308" i="30" s="1"/>
  <c r="N602" i="7"/>
  <c r="N619" i="7"/>
  <c r="O619" i="7" s="1"/>
  <c r="N673" i="7"/>
  <c r="N674" i="7"/>
  <c r="O674" i="7" s="1"/>
  <c r="L698" i="7"/>
  <c r="K770" i="7"/>
  <c r="K769" i="7" s="1"/>
  <c r="K760" i="7" s="1"/>
  <c r="K754" i="7" s="1"/>
  <c r="K752" i="7" s="1"/>
  <c r="N817" i="7"/>
  <c r="P817" i="7" s="1"/>
  <c r="N821" i="7"/>
  <c r="P821" i="7" s="1"/>
  <c r="K939" i="7"/>
  <c r="K222" i="8"/>
  <c r="N241" i="8"/>
  <c r="P241" i="8" s="1"/>
  <c r="N302" i="8"/>
  <c r="O302" i="8" s="1"/>
  <c r="N345" i="8"/>
  <c r="N388" i="8"/>
  <c r="N386" i="8" s="1"/>
  <c r="L490" i="8"/>
  <c r="L507" i="8"/>
  <c r="N509" i="8"/>
  <c r="O509" i="8" s="1"/>
  <c r="N527" i="8"/>
  <c r="O527" i="8" s="1"/>
  <c r="N539" i="8"/>
  <c r="P539" i="8" s="1"/>
  <c r="N549" i="8"/>
  <c r="O549" i="8" s="1"/>
  <c r="N576" i="8"/>
  <c r="P576" i="8" s="1"/>
  <c r="N583" i="8"/>
  <c r="P583" i="8" s="1"/>
  <c r="N686" i="8"/>
  <c r="P686" i="8" s="1"/>
  <c r="N799" i="8"/>
  <c r="O799" i="8" s="1"/>
  <c r="N801" i="8"/>
  <c r="M852" i="8"/>
  <c r="N955" i="8"/>
  <c r="N1005" i="8"/>
  <c r="O1005" i="8" s="1"/>
  <c r="N130" i="9"/>
  <c r="N196" i="9"/>
  <c r="O196" i="9" s="1"/>
  <c r="M207" i="9"/>
  <c r="N437" i="9"/>
  <c r="O437" i="9" s="1"/>
  <c r="N551" i="9"/>
  <c r="P551" i="9" s="1"/>
  <c r="N795" i="9"/>
  <c r="O795" i="9" s="1"/>
  <c r="N797" i="9"/>
  <c r="O797" i="9" s="1"/>
  <c r="L799" i="9"/>
  <c r="L921" i="9"/>
  <c r="L239" i="10"/>
  <c r="L238" i="10" s="1"/>
  <c r="L236" i="10" s="1"/>
  <c r="N241" i="10"/>
  <c r="P241" i="10" s="1"/>
  <c r="N371" i="10"/>
  <c r="O371" i="10" s="1"/>
  <c r="N413" i="10"/>
  <c r="P413" i="10" s="1"/>
  <c r="N558" i="10"/>
  <c r="P558" i="10" s="1"/>
  <c r="N709" i="10"/>
  <c r="P709" i="10" s="1"/>
  <c r="N713" i="10"/>
  <c r="P713" i="10" s="1"/>
  <c r="N766" i="10"/>
  <c r="O766" i="10" s="1"/>
  <c r="L780" i="10"/>
  <c r="L779" i="10" s="1"/>
  <c r="K823" i="10"/>
  <c r="K858" i="10"/>
  <c r="K988" i="10"/>
  <c r="K986" i="10" s="1"/>
  <c r="K984" i="10" s="1"/>
  <c r="O1063" i="10"/>
  <c r="L411" i="25"/>
  <c r="M411" i="25" s="1"/>
  <c r="P411" i="25" s="1"/>
  <c r="L494" i="29"/>
  <c r="M494" i="29" s="1"/>
  <c r="L266" i="29"/>
  <c r="L265" i="29" s="1"/>
  <c r="M265" i="29" s="1"/>
  <c r="O265" i="29" s="1"/>
  <c r="L93" i="29"/>
  <c r="L91" i="29" s="1"/>
  <c r="M324" i="29"/>
  <c r="O324" i="29" s="1"/>
  <c r="M124" i="29"/>
  <c r="O124" i="29" s="1"/>
  <c r="L528" i="29"/>
  <c r="M528" i="29" s="1"/>
  <c r="O528" i="29" s="1"/>
  <c r="M96" i="29"/>
  <c r="O494" i="9"/>
  <c r="Q509" i="6"/>
  <c r="R509" i="6" s="1"/>
  <c r="F568" i="6"/>
  <c r="S518" i="6"/>
  <c r="N267" i="7"/>
  <c r="O267" i="7" s="1"/>
  <c r="M95" i="6"/>
  <c r="N347" i="6"/>
  <c r="N345" i="6" s="1"/>
  <c r="K445" i="6"/>
  <c r="N224" i="8"/>
  <c r="O224" i="8" s="1"/>
  <c r="N546" i="8"/>
  <c r="P546" i="8" s="1"/>
  <c r="P638" i="8"/>
  <c r="M83" i="8"/>
  <c r="L516" i="7"/>
  <c r="N567" i="8"/>
  <c r="P567" i="8" s="1"/>
  <c r="N589" i="8"/>
  <c r="M552" i="8"/>
  <c r="N685" i="7"/>
  <c r="L655" i="7"/>
  <c r="L654" i="7" s="1"/>
  <c r="N244" i="8"/>
  <c r="P244" i="8" s="1"/>
  <c r="N307" i="19"/>
  <c r="N304" i="19" s="1"/>
  <c r="M541" i="8"/>
  <c r="N541" i="8" s="1"/>
  <c r="L270" i="8"/>
  <c r="L269" i="8" s="1"/>
  <c r="L263" i="8" s="1"/>
  <c r="L262" i="8" s="1"/>
  <c r="L260" i="8" s="1"/>
  <c r="M1022" i="8"/>
  <c r="N1018" i="8"/>
  <c r="O1018" i="8" s="1"/>
  <c r="N853" i="8"/>
  <c r="O853" i="8" s="1"/>
  <c r="L1016" i="8"/>
  <c r="N1016" i="8" s="1"/>
  <c r="N311" i="23"/>
  <c r="N308" i="23" s="1"/>
  <c r="L454" i="9"/>
  <c r="O640" i="9"/>
  <c r="K852" i="10"/>
  <c r="K851" i="10" s="1"/>
  <c r="K918" i="10"/>
  <c r="K917" i="10" s="1"/>
  <c r="K909" i="10" s="1"/>
  <c r="K899" i="10" s="1"/>
  <c r="K898" i="10" s="1"/>
  <c r="L596" i="25"/>
  <c r="L593" i="25" s="1"/>
  <c r="L59" i="29"/>
  <c r="M59" i="29" s="1"/>
  <c r="O59" i="29" s="1"/>
  <c r="M316" i="29"/>
  <c r="O316" i="29" s="1"/>
  <c r="L147" i="29"/>
  <c r="L146" i="29" s="1"/>
  <c r="M146" i="29" s="1"/>
  <c r="O146" i="29" s="1"/>
  <c r="L480" i="29"/>
  <c r="L331" i="29"/>
  <c r="L330" i="29" s="1"/>
  <c r="M330" i="29" s="1"/>
  <c r="O330" i="29" s="1"/>
  <c r="P330" i="29" s="1"/>
  <c r="L412" i="29"/>
  <c r="M412" i="29" s="1"/>
  <c r="L175" i="29"/>
  <c r="L169" i="29" s="1"/>
  <c r="L1045" i="8"/>
  <c r="L1043" i="8" s="1"/>
  <c r="L1042" i="8" s="1"/>
  <c r="P387" i="7"/>
  <c r="R518" i="6"/>
  <c r="N168" i="7"/>
  <c r="O168" i="7" s="1"/>
  <c r="N135" i="7"/>
  <c r="O135" i="7" s="1"/>
  <c r="J192" i="6"/>
  <c r="N149" i="7"/>
  <c r="O149" i="7" s="1"/>
  <c r="P854" i="10"/>
  <c r="H18" i="6"/>
  <c r="L18" i="6"/>
  <c r="P18" i="6"/>
  <c r="P75" i="6"/>
  <c r="O83" i="6"/>
  <c r="O82" i="6" s="1"/>
  <c r="H112" i="6"/>
  <c r="H111" i="6" s="1"/>
  <c r="D229" i="6"/>
  <c r="D228" i="6" s="1"/>
  <c r="J244" i="6"/>
  <c r="J243" i="6" s="1"/>
  <c r="M318" i="6"/>
  <c r="K512" i="6"/>
  <c r="K511" i="6" s="1"/>
  <c r="J542" i="6"/>
  <c r="H559" i="6"/>
  <c r="M568" i="6"/>
  <c r="L583" i="6"/>
  <c r="M615" i="6"/>
  <c r="M614" i="6" s="1"/>
  <c r="J637" i="6"/>
  <c r="I637" i="6"/>
  <c r="D637" i="6"/>
  <c r="G659" i="6"/>
  <c r="G657" i="6" s="1"/>
  <c r="K659" i="6"/>
  <c r="K657" i="6" s="1"/>
  <c r="F693" i="6"/>
  <c r="F691" i="6" s="1"/>
  <c r="L51" i="8"/>
  <c r="L48" i="8" s="1"/>
  <c r="L40" i="8" s="1"/>
  <c r="L38" i="8" s="1"/>
  <c r="K115" i="7"/>
  <c r="N209" i="7"/>
  <c r="O209" i="7" s="1"/>
  <c r="N466" i="7"/>
  <c r="O466" i="7" s="1"/>
  <c r="N651" i="8"/>
  <c r="O651" i="8" s="1"/>
  <c r="M412" i="8"/>
  <c r="N412" i="8" s="1"/>
  <c r="M347" i="8"/>
  <c r="N347" i="8" s="1"/>
  <c r="P347" i="8" s="1"/>
  <c r="M226" i="8"/>
  <c r="N226" i="8" s="1"/>
  <c r="O226" i="8" s="1"/>
  <c r="N717" i="7"/>
  <c r="N652" i="7"/>
  <c r="N976" i="8"/>
  <c r="N588" i="8"/>
  <c r="O588" i="8" s="1"/>
  <c r="N253" i="8"/>
  <c r="O253" i="8" s="1"/>
  <c r="M524" i="8"/>
  <c r="M523" i="8" s="1"/>
  <c r="M522" i="8" s="1"/>
  <c r="O919" i="8"/>
  <c r="N1021" i="8"/>
  <c r="N1020" i="8" s="1"/>
  <c r="N307" i="16"/>
  <c r="N304" i="16" s="1"/>
  <c r="M693" i="8"/>
  <c r="M690" i="8" s="1"/>
  <c r="K24" i="8"/>
  <c r="K780" i="8"/>
  <c r="P780" i="8" s="1"/>
  <c r="N496" i="7"/>
  <c r="O496" i="7" s="1"/>
  <c r="N506" i="7"/>
  <c r="N565" i="7"/>
  <c r="P565" i="7" s="1"/>
  <c r="N589" i="7"/>
  <c r="O589" i="7" s="1"/>
  <c r="K698" i="7"/>
  <c r="K697" i="7" s="1"/>
  <c r="K695" i="7" s="1"/>
  <c r="N806" i="7"/>
  <c r="P806" i="7" s="1"/>
  <c r="N810" i="7"/>
  <c r="N813" i="7"/>
  <c r="O813" i="7" s="1"/>
  <c r="O73" i="8"/>
  <c r="L187" i="8"/>
  <c r="N187" i="8" s="1"/>
  <c r="P187" i="8" s="1"/>
  <c r="N200" i="8"/>
  <c r="N315" i="8"/>
  <c r="O315" i="8" s="1"/>
  <c r="N581" i="8"/>
  <c r="O581" i="8" s="1"/>
  <c r="N585" i="8"/>
  <c r="K590" i="8"/>
  <c r="K609" i="8"/>
  <c r="N615" i="8"/>
  <c r="P615" i="8" s="1"/>
  <c r="N674" i="8"/>
  <c r="P674" i="8" s="1"/>
  <c r="K823" i="8"/>
  <c r="N932" i="8"/>
  <c r="O932" i="8" s="1"/>
  <c r="N935" i="8"/>
  <c r="N936" i="8"/>
  <c r="P936" i="8" s="1"/>
  <c r="N949" i="8"/>
  <c r="P949" i="8" s="1"/>
  <c r="N421" i="9"/>
  <c r="P421" i="9" s="1"/>
  <c r="N553" i="9"/>
  <c r="O553" i="9" s="1"/>
  <c r="O555" i="9"/>
  <c r="L621" i="9"/>
  <c r="N630" i="9"/>
  <c r="N635" i="9"/>
  <c r="O635" i="9" s="1"/>
  <c r="K634" i="9"/>
  <c r="K631" i="9" s="1"/>
  <c r="K747" i="9"/>
  <c r="N896" i="9"/>
  <c r="P896" i="9" s="1"/>
  <c r="N168" i="10"/>
  <c r="O168" i="10" s="1"/>
  <c r="L199" i="10"/>
  <c r="L198" i="10" s="1"/>
  <c r="L207" i="10"/>
  <c r="N398" i="10"/>
  <c r="N673" i="10"/>
  <c r="N677" i="10"/>
  <c r="O677" i="10" s="1"/>
  <c r="N682" i="10"/>
  <c r="P682" i="10" s="1"/>
  <c r="N687" i="10"/>
  <c r="O687" i="10" s="1"/>
  <c r="N935" i="10"/>
  <c r="O935" i="10" s="1"/>
  <c r="N944" i="10"/>
  <c r="P944" i="10" s="1"/>
  <c r="N945" i="10"/>
  <c r="L763" i="25"/>
  <c r="M763" i="25" s="1"/>
  <c r="O763" i="25" s="1"/>
  <c r="L257" i="25"/>
  <c r="M257" i="25" s="1"/>
  <c r="O257" i="25" s="1"/>
  <c r="L527" i="25"/>
  <c r="L481" i="25"/>
  <c r="M481" i="25" s="1"/>
  <c r="M504" i="25"/>
  <c r="L306" i="25"/>
  <c r="M306" i="25" s="1"/>
  <c r="O306" i="25" s="1"/>
  <c r="L35" i="29"/>
  <c r="M35" i="29" s="1"/>
  <c r="O35" i="29" s="1"/>
  <c r="L351" i="29"/>
  <c r="M351" i="29" s="1"/>
  <c r="O351" i="29" s="1"/>
  <c r="L131" i="29"/>
  <c r="M131" i="29" s="1"/>
  <c r="P131" i="29" s="1"/>
  <c r="L416" i="29"/>
  <c r="M416" i="29" s="1"/>
  <c r="O162" i="6"/>
  <c r="O161" i="6" s="1"/>
  <c r="K625" i="8"/>
  <c r="K437" i="30"/>
  <c r="K438" i="30"/>
  <c r="N54" i="20"/>
  <c r="N54" i="18"/>
  <c r="N54" i="11"/>
  <c r="T365" i="5"/>
  <c r="N200" i="16"/>
  <c r="O201" i="16"/>
  <c r="E283" i="3"/>
  <c r="D572" i="2"/>
  <c r="S12" i="3"/>
  <c r="R12" i="3"/>
  <c r="F67" i="3"/>
  <c r="Q68" i="3"/>
  <c r="K216" i="3"/>
  <c r="Q285" i="3"/>
  <c r="D352" i="2"/>
  <c r="D353" i="2"/>
  <c r="D351" i="2" s="1"/>
  <c r="F441" i="2"/>
  <c r="F54" i="3"/>
  <c r="Q55" i="3"/>
  <c r="F184" i="3"/>
  <c r="L358" i="3"/>
  <c r="L356" i="3" s="1"/>
  <c r="L357" i="3"/>
  <c r="I385" i="3"/>
  <c r="N490" i="3"/>
  <c r="N29" i="20"/>
  <c r="N29" i="24"/>
  <c r="N29" i="11"/>
  <c r="N29" i="18"/>
  <c r="T207" i="5"/>
  <c r="N31" i="28"/>
  <c r="N29" i="31"/>
  <c r="E130" i="3"/>
  <c r="H130" i="3"/>
  <c r="H129" i="3" s="1"/>
  <c r="E170" i="3"/>
  <c r="Q171" i="3"/>
  <c r="E357" i="3"/>
  <c r="E358" i="3"/>
  <c r="H358" i="3"/>
  <c r="H356" i="3" s="1"/>
  <c r="H357" i="3"/>
  <c r="L357" i="4"/>
  <c r="M358" i="4"/>
  <c r="L356" i="4"/>
  <c r="M356" i="4" s="1"/>
  <c r="D515" i="2"/>
  <c r="D513" i="2" s="1"/>
  <c r="R79" i="3"/>
  <c r="S79" i="3"/>
  <c r="R131" i="3"/>
  <c r="Q306" i="3"/>
  <c r="D338" i="3"/>
  <c r="F358" i="3"/>
  <c r="F356" i="3" s="1"/>
  <c r="F357" i="3"/>
  <c r="F446" i="3"/>
  <c r="D156" i="2"/>
  <c r="O63" i="11"/>
  <c r="O63" i="20"/>
  <c r="N76" i="4"/>
  <c r="Q586" i="3"/>
  <c r="I152" i="6"/>
  <c r="K542" i="6"/>
  <c r="O542" i="6"/>
  <c r="H583" i="6"/>
  <c r="N668" i="6"/>
  <c r="K24" i="7"/>
  <c r="K15" i="7" s="1"/>
  <c r="K13" i="7" s="1"/>
  <c r="P678" i="8"/>
  <c r="M925" i="7"/>
  <c r="L391" i="19"/>
  <c r="Q391" i="19" s="1"/>
  <c r="L400" i="30"/>
  <c r="L391" i="16"/>
  <c r="R391" i="16" s="1"/>
  <c r="O361" i="8"/>
  <c r="P361" i="8"/>
  <c r="N397" i="8"/>
  <c r="M395" i="8"/>
  <c r="M394" i="8" s="1"/>
  <c r="M392" i="8" s="1"/>
  <c r="L114" i="10"/>
  <c r="L112" i="10" s="1"/>
  <c r="N112" i="10" s="1"/>
  <c r="N115" i="10"/>
  <c r="P115" i="10" s="1"/>
  <c r="N166" i="10"/>
  <c r="O166" i="10" s="1"/>
  <c r="M165" i="10"/>
  <c r="M161" i="10" s="1"/>
  <c r="K207" i="10"/>
  <c r="O883" i="10"/>
  <c r="P883" i="10"/>
  <c r="M918" i="10"/>
  <c r="M917" i="10" s="1"/>
  <c r="N920" i="10"/>
  <c r="N941" i="10"/>
  <c r="P941" i="10" s="1"/>
  <c r="L940" i="10"/>
  <c r="N942" i="10"/>
  <c r="P942" i="10" s="1"/>
  <c r="M940" i="10"/>
  <c r="E162" i="6"/>
  <c r="E161" i="6" s="1"/>
  <c r="R564" i="6"/>
  <c r="D559" i="6"/>
  <c r="M530" i="7"/>
  <c r="N531" i="7"/>
  <c r="P531" i="7" s="1"/>
  <c r="N579" i="7"/>
  <c r="O579" i="7" s="1"/>
  <c r="P731" i="7"/>
  <c r="N762" i="7"/>
  <c r="N761" i="7" s="1"/>
  <c r="L761" i="7"/>
  <c r="K902" i="7"/>
  <c r="K901" i="7" s="1"/>
  <c r="K893" i="7" s="1"/>
  <c r="K248" i="8"/>
  <c r="K247" i="8" s="1"/>
  <c r="P249" i="8"/>
  <c r="M1076" i="8"/>
  <c r="N1076" i="8" s="1"/>
  <c r="O1076" i="8" s="1"/>
  <c r="N1077" i="8"/>
  <c r="O1077" i="8" s="1"/>
  <c r="L32" i="9"/>
  <c r="N33" i="9"/>
  <c r="O33" i="9" s="1"/>
  <c r="K295" i="9"/>
  <c r="K294" i="9" s="1"/>
  <c r="N300" i="9"/>
  <c r="O300" i="9" s="1"/>
  <c r="M299" i="9"/>
  <c r="L306" i="9"/>
  <c r="L305" i="9" s="1"/>
  <c r="N308" i="9"/>
  <c r="O308" i="9" s="1"/>
  <c r="N323" i="9"/>
  <c r="L322" i="9"/>
  <c r="N322" i="9" s="1"/>
  <c r="O322" i="9" s="1"/>
  <c r="K357" i="9"/>
  <c r="K356" i="9" s="1"/>
  <c r="L370" i="9"/>
  <c r="L369" i="9" s="1"/>
  <c r="L367" i="9" s="1"/>
  <c r="N372" i="9"/>
  <c r="P372" i="9" s="1"/>
  <c r="L460" i="9"/>
  <c r="N461" i="9"/>
  <c r="R461" i="9" s="1"/>
  <c r="K499" i="9"/>
  <c r="K498" i="9" s="1"/>
  <c r="O498" i="9" s="1"/>
  <c r="P500" i="9"/>
  <c r="P499" i="9" s="1"/>
  <c r="O500" i="9"/>
  <c r="O499" i="9" s="1"/>
  <c r="O513" i="9"/>
  <c r="N512" i="9"/>
  <c r="N509" i="9"/>
  <c r="P509" i="9" s="1"/>
  <c r="R304" i="5"/>
  <c r="D49" i="6"/>
  <c r="Q129" i="6"/>
  <c r="R129" i="6" s="1"/>
  <c r="Q381" i="6"/>
  <c r="Q462" i="6"/>
  <c r="R462" i="6" s="1"/>
  <c r="F521" i="6"/>
  <c r="F520" i="6" s="1"/>
  <c r="N542" i="6"/>
  <c r="N591" i="6"/>
  <c r="N590" i="6" s="1"/>
  <c r="D626" i="6"/>
  <c r="M270" i="7"/>
  <c r="M269" i="7" s="1"/>
  <c r="N271" i="7"/>
  <c r="O700" i="7"/>
  <c r="O905" i="8"/>
  <c r="P905" i="8"/>
  <c r="N153" i="8"/>
  <c r="O153" i="8" s="1"/>
  <c r="M151" i="8"/>
  <c r="L165" i="8"/>
  <c r="L161" i="8" s="1"/>
  <c r="L159" i="8" s="1"/>
  <c r="N168" i="8"/>
  <c r="O168" i="8" s="1"/>
  <c r="O442" i="8"/>
  <c r="N440" i="8"/>
  <c r="N795" i="8"/>
  <c r="P795" i="8" s="1"/>
  <c r="M794" i="8"/>
  <c r="M790" i="8" s="1"/>
  <c r="M788" i="8" s="1"/>
  <c r="N809" i="8"/>
  <c r="O809" i="8" s="1"/>
  <c r="M807" i="8"/>
  <c r="N807" i="8" s="1"/>
  <c r="P807" i="8" s="1"/>
  <c r="L827" i="8"/>
  <c r="L822" i="8" s="1"/>
  <c r="L820" i="8" s="1"/>
  <c r="N831" i="8"/>
  <c r="L214" i="5"/>
  <c r="K64" i="6"/>
  <c r="J139" i="6"/>
  <c r="J135" i="6" s="1"/>
  <c r="P530" i="6"/>
  <c r="M637" i="6"/>
  <c r="O431" i="8"/>
  <c r="N429" i="8"/>
  <c r="Q51" i="16"/>
  <c r="R51" i="16"/>
  <c r="P31" i="6"/>
  <c r="J38" i="6"/>
  <c r="E152" i="6"/>
  <c r="M218" i="6"/>
  <c r="E244" i="6"/>
  <c r="E243" i="6" s="1"/>
  <c r="K455" i="6"/>
  <c r="I521" i="6"/>
  <c r="I520" i="6" s="1"/>
  <c r="M574" i="6"/>
  <c r="F591" i="6"/>
  <c r="F590" i="6" s="1"/>
  <c r="Q596" i="6"/>
  <c r="R596" i="6" s="1"/>
  <c r="M672" i="6"/>
  <c r="O693" i="6"/>
  <c r="O691" i="6" s="1"/>
  <c r="N154" i="7"/>
  <c r="N187" i="7"/>
  <c r="N361" i="7"/>
  <c r="O361" i="7" s="1"/>
  <c r="N456" i="7"/>
  <c r="O456" i="7" s="1"/>
  <c r="N467" i="7"/>
  <c r="O467" i="7" s="1"/>
  <c r="N316" i="8"/>
  <c r="K525" i="7"/>
  <c r="L702" i="7"/>
  <c r="N706" i="7"/>
  <c r="O706" i="7" s="1"/>
  <c r="J784" i="7"/>
  <c r="J774" i="7" s="1"/>
  <c r="J773" i="7" s="1"/>
  <c r="N26" i="8"/>
  <c r="O26" i="8" s="1"/>
  <c r="M25" i="8"/>
  <c r="N220" i="8"/>
  <c r="O220" i="8" s="1"/>
  <c r="M219" i="8"/>
  <c r="L239" i="8"/>
  <c r="L238" i="8" s="1"/>
  <c r="L236" i="8" s="1"/>
  <c r="N236" i="8" s="1"/>
  <c r="N240" i="8"/>
  <c r="O240" i="8" s="1"/>
  <c r="N420" i="8"/>
  <c r="O420" i="8" s="1"/>
  <c r="M417" i="8"/>
  <c r="M1051" i="8"/>
  <c r="N1052" i="8"/>
  <c r="M1070" i="8"/>
  <c r="M1068" i="8" s="1"/>
  <c r="M799" i="9"/>
  <c r="N801" i="9"/>
  <c r="P801" i="9" s="1"/>
  <c r="L822" i="9"/>
  <c r="N823" i="9"/>
  <c r="N38" i="6"/>
  <c r="K162" i="6"/>
  <c r="K161" i="6" s="1"/>
  <c r="I244" i="6"/>
  <c r="I243" i="6" s="1"/>
  <c r="L277" i="6"/>
  <c r="Q458" i="6"/>
  <c r="V458" i="6" s="1"/>
  <c r="R491" i="6"/>
  <c r="J568" i="6"/>
  <c r="K601" i="6"/>
  <c r="K599" i="6" s="1"/>
  <c r="E681" i="6"/>
  <c r="H693" i="6"/>
  <c r="H691" i="6" s="1"/>
  <c r="N119" i="7"/>
  <c r="M299" i="7"/>
  <c r="N299" i="7" s="1"/>
  <c r="N382" i="7"/>
  <c r="O382" i="7" s="1"/>
  <c r="N483" i="7"/>
  <c r="P483" i="7" s="1"/>
  <c r="M447" i="8"/>
  <c r="M448" i="8"/>
  <c r="N560" i="7"/>
  <c r="N615" i="7"/>
  <c r="O615" i="7" s="1"/>
  <c r="M613" i="7"/>
  <c r="M611" i="7" s="1"/>
  <c r="M617" i="7"/>
  <c r="N624" i="7"/>
  <c r="O624" i="7" s="1"/>
  <c r="L623" i="7"/>
  <c r="N623" i="7" s="1"/>
  <c r="O623" i="7" s="1"/>
  <c r="K727" i="7"/>
  <c r="E28" i="1" s="1"/>
  <c r="N922" i="7"/>
  <c r="M920" i="7"/>
  <c r="J919" i="7"/>
  <c r="J917" i="7" s="1"/>
  <c r="J916" i="7" s="1"/>
  <c r="L933" i="7"/>
  <c r="L932" i="7" s="1"/>
  <c r="N936" i="7"/>
  <c r="O936" i="7" s="1"/>
  <c r="K956" i="7"/>
  <c r="J82" i="8"/>
  <c r="J77" i="8" s="1"/>
  <c r="J75" i="8" s="1"/>
  <c r="K285" i="8"/>
  <c r="O286" i="8"/>
  <c r="N675" i="8"/>
  <c r="P675" i="8" s="1"/>
  <c r="M670" i="8"/>
  <c r="O717" i="8"/>
  <c r="N716" i="8"/>
  <c r="O716" i="8" s="1"/>
  <c r="N671" i="10"/>
  <c r="P671" i="10" s="1"/>
  <c r="M670" i="10"/>
  <c r="L1056" i="10"/>
  <c r="N1056" i="10" s="1"/>
  <c r="O1056" i="10" s="1"/>
  <c r="N1059" i="10"/>
  <c r="O1059" i="10" s="1"/>
  <c r="G64" i="6"/>
  <c r="J75" i="6"/>
  <c r="J71" i="6" s="1"/>
  <c r="K83" i="6"/>
  <c r="K82" i="6" s="1"/>
  <c r="O148" i="6"/>
  <c r="O147" i="6" s="1"/>
  <c r="M152" i="6"/>
  <c r="R167" i="6"/>
  <c r="K200" i="6"/>
  <c r="S207" i="6"/>
  <c r="G244" i="6"/>
  <c r="G243" i="6" s="1"/>
  <c r="J265" i="6"/>
  <c r="J387" i="6"/>
  <c r="J385" i="6" s="1"/>
  <c r="Q552" i="6"/>
  <c r="R552" i="6" s="1"/>
  <c r="J555" i="6"/>
  <c r="G568" i="6"/>
  <c r="N615" i="6"/>
  <c r="N614" i="6" s="1"/>
  <c r="N502" i="7"/>
  <c r="O502" i="7" s="1"/>
  <c r="M499" i="7"/>
  <c r="L714" i="7"/>
  <c r="L708" i="7" s="1"/>
  <c r="N715" i="7"/>
  <c r="N714" i="7" s="1"/>
  <c r="J742" i="7"/>
  <c r="J722" i="7" s="1"/>
  <c r="J720" i="7" s="1"/>
  <c r="N910" i="7"/>
  <c r="O910" i="7" s="1"/>
  <c r="M908" i="7"/>
  <c r="L184" i="8"/>
  <c r="N185" i="8"/>
  <c r="O185" i="8" s="1"/>
  <c r="O184" i="8" s="1"/>
  <c r="J298" i="8"/>
  <c r="J290" i="8" s="1"/>
  <c r="J288" i="8" s="1"/>
  <c r="L417" i="8"/>
  <c r="N419" i="8"/>
  <c r="O419" i="8" s="1"/>
  <c r="K455" i="8"/>
  <c r="O455" i="8" s="1"/>
  <c r="O456" i="8"/>
  <c r="L535" i="9"/>
  <c r="N537" i="9"/>
  <c r="P537" i="9" s="1"/>
  <c r="N638" i="9"/>
  <c r="L634" i="9"/>
  <c r="L631" i="9" s="1"/>
  <c r="O307" i="10"/>
  <c r="L326" i="10"/>
  <c r="N328" i="10"/>
  <c r="O328" i="10" s="1"/>
  <c r="N513" i="7"/>
  <c r="O513" i="7" s="1"/>
  <c r="K521" i="7"/>
  <c r="K519" i="7" s="1"/>
  <c r="K581" i="7"/>
  <c r="K578" i="7" s="1"/>
  <c r="N601" i="7"/>
  <c r="O601" i="7" s="1"/>
  <c r="N682" i="7"/>
  <c r="L681" i="7"/>
  <c r="L727" i="7"/>
  <c r="N744" i="7"/>
  <c r="O744" i="7" s="1"/>
  <c r="N809" i="7"/>
  <c r="P809" i="7" s="1"/>
  <c r="N820" i="7"/>
  <c r="P820" i="7" s="1"/>
  <c r="N853" i="7"/>
  <c r="O853" i="7" s="1"/>
  <c r="N891" i="7"/>
  <c r="O891" i="7" s="1"/>
  <c r="N135" i="8"/>
  <c r="O135" i="8" s="1"/>
  <c r="N323" i="8"/>
  <c r="O323" i="8" s="1"/>
  <c r="M534" i="8"/>
  <c r="L534" i="8"/>
  <c r="N599" i="8"/>
  <c r="P599" i="8" s="1"/>
  <c r="J647" i="8"/>
  <c r="J645" i="8" s="1"/>
  <c r="K794" i="8"/>
  <c r="K790" i="8" s="1"/>
  <c r="K788" i="8" s="1"/>
  <c r="J885" i="8"/>
  <c r="J879" i="8" s="1"/>
  <c r="J877" i="8" s="1"/>
  <c r="J965" i="8"/>
  <c r="N433" i="9"/>
  <c r="O433" i="9" s="1"/>
  <c r="J541" i="9"/>
  <c r="J539" i="9" s="1"/>
  <c r="K578" i="9"/>
  <c r="K577" i="9" s="1"/>
  <c r="N178" i="10"/>
  <c r="N208" i="10"/>
  <c r="O208" i="10" s="1"/>
  <c r="J974" i="10"/>
  <c r="K33" i="11"/>
  <c r="K32" i="11" s="1"/>
  <c r="H31" i="12" s="1"/>
  <c r="T37" i="18"/>
  <c r="M56" i="16"/>
  <c r="M55" i="16" s="1"/>
  <c r="M43" i="16" s="1"/>
  <c r="O436" i="9"/>
  <c r="K558" i="7"/>
  <c r="L581" i="7"/>
  <c r="L578" i="7" s="1"/>
  <c r="L350" i="8"/>
  <c r="L394" i="8"/>
  <c r="L392" i="8" s="1"/>
  <c r="L390" i="8" s="1"/>
  <c r="K524" i="8"/>
  <c r="K523" i="8" s="1"/>
  <c r="K522" i="8" s="1"/>
  <c r="P633" i="8"/>
  <c r="K670" i="8"/>
  <c r="N986" i="9"/>
  <c r="O986" i="9" s="1"/>
  <c r="M984" i="9"/>
  <c r="K1016" i="10"/>
  <c r="K1011" i="10" s="1"/>
  <c r="K1010" i="10" s="1"/>
  <c r="R233" i="16"/>
  <c r="I34" i="13"/>
  <c r="I35" i="13" s="1"/>
  <c r="K30" i="13"/>
  <c r="R136" i="16"/>
  <c r="Q136" i="16"/>
  <c r="N564" i="7"/>
  <c r="O564" i="7" s="1"/>
  <c r="N574" i="7"/>
  <c r="O574" i="7" s="1"/>
  <c r="N716" i="7"/>
  <c r="O716" i="7" s="1"/>
  <c r="N740" i="7"/>
  <c r="O740" i="7" s="1"/>
  <c r="N830" i="7"/>
  <c r="P830" i="7" s="1"/>
  <c r="L926" i="7"/>
  <c r="L925" i="7" s="1"/>
  <c r="M944" i="7"/>
  <c r="M942" i="7" s="1"/>
  <c r="M941" i="7" s="1"/>
  <c r="N53" i="8"/>
  <c r="O53" i="8" s="1"/>
  <c r="O72" i="8"/>
  <c r="N145" i="8"/>
  <c r="O145" i="8" s="1"/>
  <c r="K483" i="8"/>
  <c r="J502" i="8"/>
  <c r="J500" i="8" s="1"/>
  <c r="J867" i="8"/>
  <c r="J847" i="8" s="1"/>
  <c r="J845" i="8" s="1"/>
  <c r="N945" i="8"/>
  <c r="O945" i="8" s="1"/>
  <c r="N254" i="9"/>
  <c r="P254" i="9" s="1"/>
  <c r="J278" i="9"/>
  <c r="J275" i="9" s="1"/>
  <c r="J273" i="9" s="1"/>
  <c r="K332" i="9"/>
  <c r="N649" i="9"/>
  <c r="J731" i="9"/>
  <c r="J729" i="9" s="1"/>
  <c r="J727" i="9" s="1"/>
  <c r="J725" i="9" s="1"/>
  <c r="K98" i="10"/>
  <c r="K93" i="10" s="1"/>
  <c r="K91" i="10" s="1"/>
  <c r="J988" i="10"/>
  <c r="J986" i="10" s="1"/>
  <c r="J984" i="10" s="1"/>
  <c r="J1001" i="10"/>
  <c r="J999" i="10" s="1"/>
  <c r="J998" i="10" s="1"/>
  <c r="J1079" i="10"/>
  <c r="J1077" i="10" s="1"/>
  <c r="J1076" i="10" s="1"/>
  <c r="S39" i="11"/>
  <c r="T39" i="11" s="1"/>
  <c r="Q39" i="11"/>
  <c r="N508" i="8"/>
  <c r="O508" i="8" s="1"/>
  <c r="K507" i="8"/>
  <c r="N512" i="8"/>
  <c r="O512" i="8" s="1"/>
  <c r="N513" i="8"/>
  <c r="O513" i="8" s="1"/>
  <c r="N545" i="8"/>
  <c r="O545" i="8" s="1"/>
  <c r="N561" i="8"/>
  <c r="O561" i="8" s="1"/>
  <c r="K572" i="8"/>
  <c r="N607" i="8"/>
  <c r="N613" i="8"/>
  <c r="O613" i="8" s="1"/>
  <c r="N630" i="8"/>
  <c r="P630" i="8" s="1"/>
  <c r="L670" i="8"/>
  <c r="N841" i="8"/>
  <c r="O841" i="8" s="1"/>
  <c r="N892" i="7"/>
  <c r="F35" i="1" s="1"/>
  <c r="G35" i="1" s="1"/>
  <c r="N321" i="9"/>
  <c r="O321" i="9" s="1"/>
  <c r="L764" i="9"/>
  <c r="L763" i="9" s="1"/>
  <c r="L761" i="9" s="1"/>
  <c r="K799" i="9"/>
  <c r="N874" i="9"/>
  <c r="O874" i="9" s="1"/>
  <c r="N382" i="10"/>
  <c r="O382" i="10" s="1"/>
  <c r="N420" i="10"/>
  <c r="O420" i="10" s="1"/>
  <c r="N674" i="10"/>
  <c r="P674" i="10" s="1"/>
  <c r="N702" i="10"/>
  <c r="N712" i="10"/>
  <c r="N797" i="10"/>
  <c r="O797" i="10" s="1"/>
  <c r="N801" i="10"/>
  <c r="P246" i="16"/>
  <c r="R13" i="16"/>
  <c r="M134" i="25"/>
  <c r="P134" i="25" s="1"/>
  <c r="K929" i="8"/>
  <c r="K928" i="8" s="1"/>
  <c r="K926" i="8" s="1"/>
  <c r="N182" i="9"/>
  <c r="O182" i="9" s="1"/>
  <c r="L257" i="9"/>
  <c r="O359" i="9"/>
  <c r="N371" i="9"/>
  <c r="P371" i="9" s="1"/>
  <c r="L416" i="9"/>
  <c r="L412" i="9" s="1"/>
  <c r="L411" i="9" s="1"/>
  <c r="L409" i="9" s="1"/>
  <c r="N620" i="9"/>
  <c r="N796" i="9"/>
  <c r="P796" i="9" s="1"/>
  <c r="N182" i="10"/>
  <c r="O182" i="10" s="1"/>
  <c r="N526" i="10"/>
  <c r="N701" i="10"/>
  <c r="O701" i="10" s="1"/>
  <c r="N714" i="10"/>
  <c r="O714" i="10" s="1"/>
  <c r="L867" i="10"/>
  <c r="N943" i="10"/>
  <c r="P943" i="10" s="1"/>
  <c r="V276" i="16"/>
  <c r="R137" i="16"/>
  <c r="O161" i="16"/>
  <c r="O55" i="16" s="1"/>
  <c r="R165" i="23"/>
  <c r="Q165" i="23"/>
  <c r="R420" i="23"/>
  <c r="Q420" i="23"/>
  <c r="O59" i="24"/>
  <c r="K511" i="8"/>
  <c r="N519" i="8"/>
  <c r="O519" i="8" s="1"/>
  <c r="K563" i="8"/>
  <c r="N566" i="8"/>
  <c r="P566" i="8" s="1"/>
  <c r="N628" i="8"/>
  <c r="O628" i="8" s="1"/>
  <c r="N688" i="8"/>
  <c r="O688" i="8" s="1"/>
  <c r="N803" i="8"/>
  <c r="P803" i="8" s="1"/>
  <c r="N861" i="8"/>
  <c r="O861" i="8" s="1"/>
  <c r="N1010" i="8"/>
  <c r="O1010" i="8" s="1"/>
  <c r="N1035" i="8"/>
  <c r="N135" i="9"/>
  <c r="O135" i="9" s="1"/>
  <c r="L332" i="9"/>
  <c r="L331" i="9" s="1"/>
  <c r="N354" i="9"/>
  <c r="O354" i="9" s="1"/>
  <c r="O474" i="9"/>
  <c r="N619" i="9"/>
  <c r="N626" i="9"/>
  <c r="O626" i="9" s="1"/>
  <c r="O811" i="9"/>
  <c r="N888" i="9"/>
  <c r="O888" i="9" s="1"/>
  <c r="L972" i="9"/>
  <c r="L332" i="10"/>
  <c r="L331" i="10" s="1"/>
  <c r="N336" i="10"/>
  <c r="P336" i="10" s="1"/>
  <c r="N530" i="10"/>
  <c r="O530" i="10" s="1"/>
  <c r="N554" i="10"/>
  <c r="O554" i="10" s="1"/>
  <c r="N560" i="10"/>
  <c r="P560" i="10" s="1"/>
  <c r="Q137" i="16"/>
  <c r="Q494" i="23"/>
  <c r="L480" i="23"/>
  <c r="P407" i="27"/>
  <c r="D13" i="26"/>
  <c r="Q422" i="27"/>
  <c r="R422" i="27"/>
  <c r="J29" i="25"/>
  <c r="J154" i="25"/>
  <c r="O154" i="25" s="1"/>
  <c r="O155" i="25"/>
  <c r="P12" i="27"/>
  <c r="O12" i="28"/>
  <c r="Q13" i="27"/>
  <c r="Q12" i="27" s="1"/>
  <c r="V97" i="27"/>
  <c r="O96" i="27"/>
  <c r="R101" i="27"/>
  <c r="Q101" i="27"/>
  <c r="M286" i="29"/>
  <c r="L285" i="29"/>
  <c r="M303" i="29"/>
  <c r="O303" i="29" s="1"/>
  <c r="L298" i="29"/>
  <c r="L297" i="29" s="1"/>
  <c r="M297" i="29" s="1"/>
  <c r="O297" i="29" s="1"/>
  <c r="P297" i="29" s="1"/>
  <c r="L854" i="29"/>
  <c r="L855" i="29" s="1"/>
  <c r="L44" i="25"/>
  <c r="O58" i="31"/>
  <c r="J238" i="25"/>
  <c r="O239" i="25"/>
  <c r="P239" i="25" s="1"/>
  <c r="N641" i="25"/>
  <c r="O645" i="25"/>
  <c r="P645" i="25" s="1"/>
  <c r="J568" i="25"/>
  <c r="O581" i="25"/>
  <c r="O411" i="25"/>
  <c r="O436" i="25"/>
  <c r="J435" i="25"/>
  <c r="N283" i="25"/>
  <c r="O284" i="25"/>
  <c r="P284" i="25" s="1"/>
  <c r="Q269" i="27"/>
  <c r="R269" i="27"/>
  <c r="R292" i="27"/>
  <c r="Q292" i="27"/>
  <c r="K443" i="27"/>
  <c r="K441" i="27" s="1"/>
  <c r="K440" i="27" s="1"/>
  <c r="Q497" i="27"/>
  <c r="L496" i="27"/>
  <c r="M76" i="29"/>
  <c r="O76" i="29" s="1"/>
  <c r="L69" i="29"/>
  <c r="M69" i="29" s="1"/>
  <c r="L21" i="25"/>
  <c r="M21" i="25" s="1"/>
  <c r="L139" i="25"/>
  <c r="M139" i="25" s="1"/>
  <c r="L238" i="29"/>
  <c r="M238" i="29" s="1"/>
  <c r="M237" i="29" s="1"/>
  <c r="M239" i="29"/>
  <c r="Q113" i="25"/>
  <c r="J728" i="25"/>
  <c r="O740" i="25"/>
  <c r="P740" i="25" s="1"/>
  <c r="N369" i="25"/>
  <c r="O370" i="25"/>
  <c r="P370" i="25" s="1"/>
  <c r="N382" i="25"/>
  <c r="O382" i="25" s="1"/>
  <c r="P382" i="25" s="1"/>
  <c r="O383" i="25"/>
  <c r="P383" i="25" s="1"/>
  <c r="Q471" i="27"/>
  <c r="R471" i="27"/>
  <c r="Q14" i="29"/>
  <c r="Q12" i="29"/>
  <c r="Q13" i="29" s="1"/>
  <c r="J11" i="29"/>
  <c r="M25" i="29"/>
  <c r="L21" i="29"/>
  <c r="M21" i="29" s="1"/>
  <c r="N43" i="29"/>
  <c r="O44" i="29"/>
  <c r="P44" i="29" s="1"/>
  <c r="N422" i="29"/>
  <c r="N397" i="29" s="1"/>
  <c r="O426" i="29"/>
  <c r="P426" i="29" s="1"/>
  <c r="N444" i="29"/>
  <c r="O444" i="29" s="1"/>
  <c r="P444" i="29" s="1"/>
  <c r="O452" i="29"/>
  <c r="P452" i="29" s="1"/>
  <c r="M502" i="29"/>
  <c r="L501" i="29"/>
  <c r="M501" i="29" s="1"/>
  <c r="Q20" i="29"/>
  <c r="J630" i="29"/>
  <c r="J694" i="29"/>
  <c r="Q22" i="29"/>
  <c r="Q23" i="29" s="1"/>
  <c r="M777" i="29"/>
  <c r="O777" i="29" s="1"/>
  <c r="L773" i="29"/>
  <c r="L771" i="29" s="1"/>
  <c r="M771" i="29" s="1"/>
  <c r="O771" i="29" s="1"/>
  <c r="L55" i="25"/>
  <c r="O60" i="28"/>
  <c r="M836" i="29"/>
  <c r="L835" i="29"/>
  <c r="N29" i="25"/>
  <c r="N498" i="25"/>
  <c r="O498" i="25" s="1"/>
  <c r="P498" i="25" s="1"/>
  <c r="O499" i="25"/>
  <c r="P499" i="25" s="1"/>
  <c r="V169" i="27"/>
  <c r="O166" i="27"/>
  <c r="V166" i="27" s="1"/>
  <c r="M142" i="29"/>
  <c r="O142" i="29" s="1"/>
  <c r="L139" i="29"/>
  <c r="M139" i="29" s="1"/>
  <c r="K56" i="27"/>
  <c r="M607" i="27"/>
  <c r="R115" i="30"/>
  <c r="Q115" i="30"/>
  <c r="R153" i="30"/>
  <c r="P139" i="30"/>
  <c r="Q195" i="30"/>
  <c r="R195" i="30"/>
  <c r="Q243" i="30"/>
  <c r="R243" i="30"/>
  <c r="S13" i="30"/>
  <c r="R78" i="30"/>
  <c r="Q78" i="30"/>
  <c r="K34" i="28"/>
  <c r="K33" i="28" s="1"/>
  <c r="T33" i="31"/>
  <c r="M56" i="30"/>
  <c r="M55" i="30" s="1"/>
  <c r="M43" i="30" s="1"/>
  <c r="R268" i="30"/>
  <c r="Q268" i="30"/>
  <c r="R291" i="30"/>
  <c r="Q312" i="30"/>
  <c r="S34" i="31"/>
  <c r="T34" i="31" s="1"/>
  <c r="Q38" i="31"/>
  <c r="Y94" i="39"/>
  <c r="Q102" i="39"/>
  <c r="X391" i="39"/>
  <c r="S1040" i="39"/>
  <c r="AA1040" i="39" s="1"/>
  <c r="AF1042" i="39"/>
  <c r="V853" i="39"/>
  <c r="P852" i="39"/>
  <c r="AF853" i="39"/>
  <c r="O497" i="39"/>
  <c r="R242" i="39"/>
  <c r="T242" i="39" s="1"/>
  <c r="Q242" i="39"/>
  <c r="N471" i="39"/>
  <c r="AA395" i="39"/>
  <c r="R566" i="39"/>
  <c r="T566" i="39" s="1"/>
  <c r="Q566" i="39"/>
  <c r="Q147" i="30"/>
  <c r="V381" i="30"/>
  <c r="P406" i="30"/>
  <c r="O165" i="30"/>
  <c r="V165" i="30" s="1"/>
  <c r="O139" i="30"/>
  <c r="AA272" i="39"/>
  <c r="AG58" i="39"/>
  <c r="AA1032" i="39"/>
  <c r="AG777" i="39"/>
  <c r="Q415" i="30"/>
  <c r="AB1064" i="39"/>
  <c r="X1063" i="39"/>
  <c r="AA1064" i="39"/>
  <c r="AF618" i="39"/>
  <c r="AG618" i="39" s="1"/>
  <c r="S617" i="39"/>
  <c r="X893" i="39"/>
  <c r="AB894" i="39"/>
  <c r="P758" i="39"/>
  <c r="O1048" i="39"/>
  <c r="N775" i="39"/>
  <c r="N773" i="39" s="1"/>
  <c r="X1007" i="39"/>
  <c r="O815" i="39"/>
  <c r="O894" i="39"/>
  <c r="R273" i="39"/>
  <c r="T273" i="39" s="1"/>
  <c r="Q273" i="39"/>
  <c r="U66" i="39"/>
  <c r="U44" i="39" s="1"/>
  <c r="U67" i="39"/>
  <c r="AA24" i="39"/>
  <c r="AF90" i="39"/>
  <c r="AG90" i="39" s="1"/>
  <c r="AG418" i="39"/>
  <c r="AA807" i="39"/>
  <c r="AA828" i="39"/>
  <c r="Y828" i="39"/>
  <c r="AA790" i="39"/>
  <c r="N457" i="29"/>
  <c r="O457" i="29" s="1"/>
  <c r="P457" i="29" s="1"/>
  <c r="N537" i="29"/>
  <c r="P537" i="29" s="1"/>
  <c r="AA646" i="39"/>
  <c r="X635" i="39"/>
  <c r="X634" i="39" s="1"/>
  <c r="K256" i="8"/>
  <c r="O256" i="8" s="1"/>
  <c r="P413" i="8"/>
  <c r="O413" i="8"/>
  <c r="E211" i="6"/>
  <c r="L129" i="7"/>
  <c r="L127" i="7" s="1"/>
  <c r="L125" i="7" s="1"/>
  <c r="D244" i="6"/>
  <c r="D243" i="6" s="1"/>
  <c r="L161" i="7"/>
  <c r="L159" i="7" s="1"/>
  <c r="L157" i="7" s="1"/>
  <c r="K98" i="7"/>
  <c r="L1034" i="8"/>
  <c r="K117" i="9"/>
  <c r="K110" i="9" s="1"/>
  <c r="K108" i="9" s="1"/>
  <c r="L161" i="9"/>
  <c r="L159" i="9" s="1"/>
  <c r="L157" i="9" s="1"/>
  <c r="K473" i="9"/>
  <c r="K467" i="9" s="1"/>
  <c r="P467" i="9" s="1"/>
  <c r="M32" i="10"/>
  <c r="M23" i="25"/>
  <c r="O684" i="10"/>
  <c r="AG274" i="39"/>
  <c r="AG193" i="39"/>
  <c r="X213" i="39"/>
  <c r="P233" i="39"/>
  <c r="W237" i="39"/>
  <c r="AF237" i="39"/>
  <c r="O356" i="16"/>
  <c r="O360" i="30"/>
  <c r="V360" i="30" s="1"/>
  <c r="O357" i="5"/>
  <c r="T357" i="5"/>
  <c r="O361" i="27"/>
  <c r="V361" i="27" s="1"/>
  <c r="O356" i="19"/>
  <c r="O360" i="23"/>
  <c r="V360" i="23" s="1"/>
  <c r="Q50" i="28"/>
  <c r="S50" i="28"/>
  <c r="P50" i="28"/>
  <c r="M491" i="4"/>
  <c r="Q206" i="30"/>
  <c r="R206" i="30"/>
  <c r="Q462" i="27"/>
  <c r="R462" i="27"/>
  <c r="T61" i="28"/>
  <c r="Q50" i="20"/>
  <c r="V816" i="39"/>
  <c r="W816" i="39"/>
  <c r="P815" i="39"/>
  <c r="R815" i="39" s="1"/>
  <c r="T815" i="39" s="1"/>
  <c r="AF816" i="39"/>
  <c r="N431" i="39"/>
  <c r="P110" i="39"/>
  <c r="V521" i="39"/>
  <c r="AF521" i="39"/>
  <c r="W521" i="39"/>
  <c r="AA524" i="39"/>
  <c r="M25" i="31"/>
  <c r="M25" i="20"/>
  <c r="M25" i="24"/>
  <c r="M25" i="11"/>
  <c r="L93" i="5"/>
  <c r="Q94" i="5"/>
  <c r="P50" i="11"/>
  <c r="P50" i="20"/>
  <c r="P50" i="18"/>
  <c r="O362" i="30"/>
  <c r="V362" i="30" s="1"/>
  <c r="O358" i="16"/>
  <c r="V358" i="16" s="1"/>
  <c r="N325" i="4"/>
  <c r="O359" i="5"/>
  <c r="T359" i="5" s="1"/>
  <c r="O358" i="19"/>
  <c r="V358" i="19" s="1"/>
  <c r="O363" i="27"/>
  <c r="V363" i="27" s="1"/>
  <c r="O362" i="23"/>
  <c r="V362" i="23" s="1"/>
  <c r="S684" i="3"/>
  <c r="O205" i="30"/>
  <c r="N204" i="30"/>
  <c r="Q719" i="39"/>
  <c r="R719" i="39"/>
  <c r="T719" i="39" s="1"/>
  <c r="O719" i="39"/>
  <c r="N718" i="39"/>
  <c r="O40" i="39"/>
  <c r="N39" i="39"/>
  <c r="R39" i="39" s="1"/>
  <c r="T39" i="39" s="1"/>
  <c r="R40" i="39"/>
  <c r="T40" i="39" s="1"/>
  <c r="S773" i="39"/>
  <c r="V237" i="39"/>
  <c r="O802" i="8"/>
  <c r="P802" i="8"/>
  <c r="S19" i="11"/>
  <c r="Q19" i="11"/>
  <c r="Q202" i="19"/>
  <c r="R202" i="19"/>
  <c r="AG353" i="39"/>
  <c r="S17" i="24"/>
  <c r="Q253" i="39"/>
  <c r="R253" i="39"/>
  <c r="T253" i="39" s="1"/>
  <c r="O253" i="39"/>
  <c r="P1032" i="39"/>
  <c r="AF1032" i="39" s="1"/>
  <c r="Q1036" i="39"/>
  <c r="W1036" i="39"/>
  <c r="Y1036" i="39" s="1"/>
  <c r="O51" i="39"/>
  <c r="N49" i="39"/>
  <c r="L25" i="28"/>
  <c r="L23" i="31"/>
  <c r="L23" i="11"/>
  <c r="L23" i="18"/>
  <c r="L23" i="24"/>
  <c r="L23" i="20"/>
  <c r="Q19" i="20"/>
  <c r="N400" i="4"/>
  <c r="O400" i="4"/>
  <c r="Q206" i="23"/>
  <c r="R206" i="23"/>
  <c r="R207" i="27"/>
  <c r="Q207" i="27"/>
  <c r="N599" i="4"/>
  <c r="O555" i="10"/>
  <c r="M157" i="25"/>
  <c r="T36" i="28"/>
  <c r="N295" i="9"/>
  <c r="T19" i="28"/>
  <c r="P508" i="7"/>
  <c r="O910" i="39"/>
  <c r="N908" i="39"/>
  <c r="O637" i="39"/>
  <c r="O1007" i="39"/>
  <c r="L480" i="30"/>
  <c r="Q494" i="30"/>
  <c r="P535" i="25"/>
  <c r="O535" i="25"/>
  <c r="N534" i="25"/>
  <c r="P157" i="25"/>
  <c r="P156" i="25" s="1"/>
  <c r="P155" i="25" s="1"/>
  <c r="P154" i="25" s="1"/>
  <c r="O156" i="25"/>
  <c r="O804" i="9"/>
  <c r="P804" i="9"/>
  <c r="P743" i="9"/>
  <c r="O704" i="8"/>
  <c r="L486" i="9"/>
  <c r="N486" i="9" s="1"/>
  <c r="L487" i="9"/>
  <c r="Q50" i="18"/>
  <c r="S50" i="18"/>
  <c r="T50" i="18" s="1"/>
  <c r="M84" i="4"/>
  <c r="O214" i="27"/>
  <c r="V214" i="27" s="1"/>
  <c r="V215" i="27"/>
  <c r="J192" i="10"/>
  <c r="J190" i="10" s="1"/>
  <c r="J312" i="10"/>
  <c r="J310" i="10" s="1"/>
  <c r="T40" i="31"/>
  <c r="R779" i="3"/>
  <c r="Q267" i="39"/>
  <c r="P266" i="39"/>
  <c r="R267" i="39"/>
  <c r="O846" i="9"/>
  <c r="P846" i="9"/>
  <c r="P741" i="9"/>
  <c r="O741" i="9"/>
  <c r="P617" i="9"/>
  <c r="O617" i="9"/>
  <c r="Q50" i="11"/>
  <c r="S50" i="11"/>
  <c r="Q46" i="18"/>
  <c r="S46" i="18"/>
  <c r="Q372" i="5"/>
  <c r="P56" i="11"/>
  <c r="P56" i="18"/>
  <c r="P56" i="20"/>
  <c r="O214" i="5"/>
  <c r="T215" i="5"/>
  <c r="R115" i="39"/>
  <c r="O115" i="39"/>
  <c r="O893" i="39"/>
  <c r="N891" i="39"/>
  <c r="AF429" i="39"/>
  <c r="W429" i="39"/>
  <c r="V429" i="39"/>
  <c r="O23" i="24"/>
  <c r="R139" i="23"/>
  <c r="O55" i="25"/>
  <c r="P56" i="25"/>
  <c r="O569" i="8"/>
  <c r="V214" i="16"/>
  <c r="O213" i="16"/>
  <c r="S481" i="6"/>
  <c r="R481" i="6"/>
  <c r="S46" i="11"/>
  <c r="Q46" i="11"/>
  <c r="P46" i="11"/>
  <c r="P46" i="18"/>
  <c r="T46" i="18" s="1"/>
  <c r="P46" i="20"/>
  <c r="M16" i="24"/>
  <c r="P17" i="24"/>
  <c r="T17" i="24" s="1"/>
  <c r="J9" i="13"/>
  <c r="K9" i="13" s="1"/>
  <c r="L9" i="13" s="1"/>
  <c r="J9" i="12"/>
  <c r="K9" i="12" s="1"/>
  <c r="R437" i="19"/>
  <c r="R610" i="19" s="1"/>
  <c r="Q437" i="19"/>
  <c r="L436" i="19"/>
  <c r="R436" i="19" s="1"/>
  <c r="L610" i="19"/>
  <c r="Q207" i="5"/>
  <c r="M31" i="28"/>
  <c r="M29" i="11"/>
  <c r="Q29" i="11" s="1"/>
  <c r="M29" i="31"/>
  <c r="M29" i="18"/>
  <c r="M29" i="20"/>
  <c r="M29" i="24"/>
  <c r="T48" i="28"/>
  <c r="M183" i="25"/>
  <c r="O454" i="39"/>
  <c r="Q258" i="39"/>
  <c r="N257" i="39"/>
  <c r="R258" i="39"/>
  <c r="T258" i="39" s="1"/>
  <c r="O258" i="39"/>
  <c r="X933" i="39"/>
  <c r="AB935" i="39"/>
  <c r="O242" i="39"/>
  <c r="R96" i="30"/>
  <c r="P95" i="30"/>
  <c r="O215" i="25"/>
  <c r="O567" i="9"/>
  <c r="P567" i="9"/>
  <c r="O522" i="7"/>
  <c r="P522" i="7"/>
  <c r="Q49" i="31"/>
  <c r="O48" i="20"/>
  <c r="S48" i="20" s="1"/>
  <c r="P44" i="20"/>
  <c r="P44" i="18"/>
  <c r="P44" i="11"/>
  <c r="M16" i="31"/>
  <c r="S17" i="31"/>
  <c r="G637" i="3"/>
  <c r="N23" i="24"/>
  <c r="N23" i="18"/>
  <c r="N23" i="11"/>
  <c r="N23" i="31"/>
  <c r="N23" i="20"/>
  <c r="T137" i="5"/>
  <c r="N25" i="28"/>
  <c r="Q449" i="30"/>
  <c r="L621" i="30"/>
  <c r="O581" i="27"/>
  <c r="V581" i="27" s="1"/>
  <c r="O579" i="23"/>
  <c r="V579" i="23" s="1"/>
  <c r="O567" i="5"/>
  <c r="T567" i="5" s="1"/>
  <c r="O579" i="30"/>
  <c r="V579" i="30" s="1"/>
  <c r="O565" i="19"/>
  <c r="V565" i="19" s="1"/>
  <c r="O570" i="16"/>
  <c r="V570" i="16" s="1"/>
  <c r="V214" i="23"/>
  <c r="O213" i="23"/>
  <c r="V213" i="23" s="1"/>
  <c r="P911" i="9"/>
  <c r="O911" i="9"/>
  <c r="P49" i="28"/>
  <c r="O923" i="9"/>
  <c r="P551" i="7"/>
  <c r="O551" i="7"/>
  <c r="P862" i="8"/>
  <c r="O862" i="8"/>
  <c r="O629" i="8"/>
  <c r="P629" i="8"/>
  <c r="P593" i="8"/>
  <c r="O593" i="8"/>
  <c r="P735" i="7"/>
  <c r="P445" i="9"/>
  <c r="O445" i="9"/>
  <c r="P258" i="9"/>
  <c r="O258" i="9"/>
  <c r="O335" i="9"/>
  <c r="P335" i="9"/>
  <c r="O424" i="9"/>
  <c r="P424" i="9"/>
  <c r="O537" i="8"/>
  <c r="N748" i="7"/>
  <c r="O748" i="7" s="1"/>
  <c r="O156" i="9"/>
  <c r="P610" i="8"/>
  <c r="O610" i="8"/>
  <c r="P677" i="7"/>
  <c r="O254" i="7"/>
  <c r="P781" i="10"/>
  <c r="O781" i="10"/>
  <c r="N780" i="10"/>
  <c r="P946" i="8"/>
  <c r="O946" i="8"/>
  <c r="O679" i="8"/>
  <c r="P679" i="8"/>
  <c r="P937" i="8"/>
  <c r="O937" i="8"/>
  <c r="O582" i="8"/>
  <c r="P582" i="8"/>
  <c r="O172" i="10"/>
  <c r="K356" i="10"/>
  <c r="K350" i="10" s="1"/>
  <c r="O80" i="9"/>
  <c r="P80" i="9"/>
  <c r="N79" i="9"/>
  <c r="P625" i="9"/>
  <c r="O625" i="9"/>
  <c r="O938" i="8"/>
  <c r="P938" i="8"/>
  <c r="O699" i="7"/>
  <c r="P699" i="7"/>
  <c r="O316" i="39"/>
  <c r="Y593" i="39"/>
  <c r="V18" i="39"/>
  <c r="W18" i="39"/>
  <c r="Y18" i="39" s="1"/>
  <c r="AF18" i="39"/>
  <c r="AA18" i="39"/>
  <c r="AB18" i="39"/>
  <c r="X758" i="39"/>
  <c r="Y758" i="39" s="1"/>
  <c r="P34" i="28"/>
  <c r="R233" i="19"/>
  <c r="Q233" i="19"/>
  <c r="P225" i="19"/>
  <c r="L33" i="13"/>
  <c r="M33" i="13"/>
  <c r="O95" i="30"/>
  <c r="P56" i="29"/>
  <c r="O55" i="29"/>
  <c r="M523" i="10"/>
  <c r="L812" i="8"/>
  <c r="N813" i="8"/>
  <c r="P316" i="9"/>
  <c r="N756" i="7"/>
  <c r="M16" i="18"/>
  <c r="S17" i="18"/>
  <c r="Q17" i="18"/>
  <c r="P17" i="18"/>
  <c r="Q485" i="16"/>
  <c r="L471" i="16"/>
  <c r="P201" i="10"/>
  <c r="N781" i="9"/>
  <c r="N780" i="9" s="1"/>
  <c r="M780" i="9"/>
  <c r="O723" i="9"/>
  <c r="P723" i="9"/>
  <c r="O209" i="9"/>
  <c r="T94" i="5"/>
  <c r="O93" i="5"/>
  <c r="T93" i="5" s="1"/>
  <c r="N613" i="30"/>
  <c r="N445" i="30"/>
  <c r="O445" i="30" s="1"/>
  <c r="V445" i="30" s="1"/>
  <c r="L565" i="19"/>
  <c r="L570" i="16"/>
  <c r="L579" i="23"/>
  <c r="L567" i="5"/>
  <c r="N495" i="4"/>
  <c r="L579" i="30"/>
  <c r="L581" i="27"/>
  <c r="Q210" i="19"/>
  <c r="R210" i="19"/>
  <c r="L209" i="19"/>
  <c r="R56" i="3"/>
  <c r="S56" i="3"/>
  <c r="N583" i="4"/>
  <c r="O583" i="4"/>
  <c r="L329" i="4"/>
  <c r="M329" i="4" s="1"/>
  <c r="M330" i="4"/>
  <c r="N312" i="19"/>
  <c r="Q354" i="16"/>
  <c r="E670" i="3"/>
  <c r="Q672" i="3"/>
  <c r="Q439" i="19"/>
  <c r="R439" i="19"/>
  <c r="O543" i="10"/>
  <c r="P543" i="10"/>
  <c r="Q452" i="30"/>
  <c r="L451" i="30"/>
  <c r="R452" i="30"/>
  <c r="T405" i="5"/>
  <c r="N60" i="28"/>
  <c r="N58" i="24"/>
  <c r="Q445" i="16"/>
  <c r="L616" i="16"/>
  <c r="R445" i="16"/>
  <c r="R616" i="16" s="1"/>
  <c r="O444" i="27"/>
  <c r="N443" i="27"/>
  <c r="N441" i="27" s="1"/>
  <c r="N440" i="27" s="1"/>
  <c r="AG916" i="39"/>
  <c r="AF352" i="39"/>
  <c r="V352" i="39"/>
  <c r="W352" i="39"/>
  <c r="P331" i="39"/>
  <c r="R352" i="39"/>
  <c r="Q352" i="39"/>
  <c r="V577" i="30"/>
  <c r="O576" i="30"/>
  <c r="Q214" i="30"/>
  <c r="R214" i="30"/>
  <c r="L213" i="30"/>
  <c r="R215" i="27"/>
  <c r="Q215" i="27"/>
  <c r="L214" i="27"/>
  <c r="Q214" i="27" s="1"/>
  <c r="J31" i="12"/>
  <c r="K31" i="12" s="1"/>
  <c r="Q32" i="11"/>
  <c r="S32" i="11"/>
  <c r="T32" i="11" s="1"/>
  <c r="M156" i="4"/>
  <c r="L155" i="4"/>
  <c r="M155" i="4" s="1"/>
  <c r="O102" i="39"/>
  <c r="R102" i="39"/>
  <c r="T102" i="39" s="1"/>
  <c r="N93" i="39"/>
  <c r="N94" i="39"/>
  <c r="M32" i="13"/>
  <c r="L32" i="13"/>
  <c r="J668" i="29"/>
  <c r="O669" i="29"/>
  <c r="P669" i="29" s="1"/>
  <c r="O508" i="25"/>
  <c r="P508" i="25" s="1"/>
  <c r="N507" i="25"/>
  <c r="O230" i="10"/>
  <c r="P971" i="8"/>
  <c r="O971" i="8"/>
  <c r="O606" i="8"/>
  <c r="P606" i="8"/>
  <c r="P706" i="8"/>
  <c r="O706" i="8"/>
  <c r="O1014" i="10"/>
  <c r="P62" i="7"/>
  <c r="O196" i="10"/>
  <c r="P196" i="10"/>
  <c r="O26" i="10"/>
  <c r="N25" i="10"/>
  <c r="O25" i="10" s="1"/>
  <c r="M198" i="9"/>
  <c r="N198" i="9" s="1"/>
  <c r="L366" i="30"/>
  <c r="Q368" i="30"/>
  <c r="O131" i="4"/>
  <c r="N131" i="4"/>
  <c r="N56" i="4"/>
  <c r="O391" i="27"/>
  <c r="V391" i="27" s="1"/>
  <c r="O382" i="5"/>
  <c r="N594" i="4"/>
  <c r="O390" i="23"/>
  <c r="O381" i="19"/>
  <c r="V381" i="19" s="1"/>
  <c r="O390" i="30"/>
  <c r="O381" i="16"/>
  <c r="O403" i="4"/>
  <c r="N403" i="4"/>
  <c r="Q355" i="5"/>
  <c r="N205" i="27"/>
  <c r="O206" i="27"/>
  <c r="S487" i="3"/>
  <c r="R487" i="3"/>
  <c r="R448" i="30"/>
  <c r="Q448" i="30"/>
  <c r="P49" i="20"/>
  <c r="P49" i="18"/>
  <c r="P49" i="11"/>
  <c r="N442" i="23"/>
  <c r="N611" i="23"/>
  <c r="J198" i="4"/>
  <c r="O199" i="4"/>
  <c r="R443" i="16"/>
  <c r="L442" i="16"/>
  <c r="Q443" i="16"/>
  <c r="S49" i="20"/>
  <c r="Q49" i="20"/>
  <c r="P935" i="39"/>
  <c r="W936" i="39"/>
  <c r="Y936" i="39" s="1"/>
  <c r="AF936" i="39"/>
  <c r="V936" i="39"/>
  <c r="AG868" i="39"/>
  <c r="Q373" i="39"/>
  <c r="O373" i="39"/>
  <c r="N372" i="39"/>
  <c r="R373" i="39"/>
  <c r="T373" i="39" s="1"/>
  <c r="AA317" i="39"/>
  <c r="AB317" i="39"/>
  <c r="S316" i="39"/>
  <c r="N148" i="39"/>
  <c r="N147" i="39" s="1"/>
  <c r="O147" i="39" s="1"/>
  <c r="O149" i="39"/>
  <c r="O27" i="11"/>
  <c r="V563" i="19"/>
  <c r="O562" i="19"/>
  <c r="J238" i="4"/>
  <c r="O242" i="4"/>
  <c r="P18" i="4"/>
  <c r="N242" i="4"/>
  <c r="R211" i="5"/>
  <c r="L210" i="5"/>
  <c r="Q211" i="5"/>
  <c r="N216" i="4"/>
  <c r="J215" i="4"/>
  <c r="O216" i="4"/>
  <c r="R149" i="39"/>
  <c r="T149" i="39" s="1"/>
  <c r="Q149" i="39"/>
  <c r="R438" i="5"/>
  <c r="Q438" i="5"/>
  <c r="V446" i="23"/>
  <c r="O613" i="23"/>
  <c r="O91" i="29"/>
  <c r="P93" i="29"/>
  <c r="P91" i="29" s="1"/>
  <c r="N109" i="39"/>
  <c r="X93" i="39"/>
  <c r="N727" i="29"/>
  <c r="P198" i="25"/>
  <c r="O197" i="25"/>
  <c r="P197" i="25" s="1"/>
  <c r="M444" i="25"/>
  <c r="M508" i="25"/>
  <c r="L507" i="25"/>
  <c r="M507" i="25" s="1"/>
  <c r="N560" i="9"/>
  <c r="M559" i="9"/>
  <c r="M541" i="9" s="1"/>
  <c r="M539" i="9" s="1"/>
  <c r="K471" i="8"/>
  <c r="O471" i="8" s="1"/>
  <c r="P472" i="8"/>
  <c r="L385" i="29"/>
  <c r="L384" i="29" s="1"/>
  <c r="M394" i="29"/>
  <c r="Q45" i="31"/>
  <c r="P45" i="31"/>
  <c r="S45" i="31"/>
  <c r="P843" i="9"/>
  <c r="O843" i="9"/>
  <c r="O794" i="7"/>
  <c r="P794" i="7"/>
  <c r="P793" i="7" s="1"/>
  <c r="N845" i="7"/>
  <c r="O21" i="9"/>
  <c r="P21" i="9"/>
  <c r="O579" i="10"/>
  <c r="P579" i="10"/>
  <c r="P544" i="9"/>
  <c r="O544" i="9"/>
  <c r="K24" i="28"/>
  <c r="K22" i="20"/>
  <c r="K22" i="11"/>
  <c r="K22" i="24"/>
  <c r="K22" i="18"/>
  <c r="K22" i="31"/>
  <c r="M16" i="11"/>
  <c r="Q17" i="11"/>
  <c r="P17" i="11"/>
  <c r="S17" i="11"/>
  <c r="Q205" i="5"/>
  <c r="N428" i="10"/>
  <c r="M218" i="10"/>
  <c r="O68" i="10"/>
  <c r="P871" i="9"/>
  <c r="O871" i="9"/>
  <c r="N748" i="9"/>
  <c r="P748" i="9" s="1"/>
  <c r="N690" i="9"/>
  <c r="O690" i="9" s="1"/>
  <c r="P680" i="9"/>
  <c r="N433" i="19"/>
  <c r="O433" i="19" s="1"/>
  <c r="V433" i="19" s="1"/>
  <c r="N602" i="19"/>
  <c r="J675" i="4"/>
  <c r="Q368" i="23"/>
  <c r="L366" i="23"/>
  <c r="R208" i="27"/>
  <c r="Q208" i="27"/>
  <c r="J134" i="4"/>
  <c r="S645" i="3"/>
  <c r="R645" i="3"/>
  <c r="D638" i="3"/>
  <c r="D156" i="3"/>
  <c r="D155" i="3" s="1"/>
  <c r="O642" i="4"/>
  <c r="N642" i="4"/>
  <c r="J641" i="4"/>
  <c r="R162" i="5"/>
  <c r="O25" i="20"/>
  <c r="Q162" i="5"/>
  <c r="O25" i="11"/>
  <c r="Q11" i="18"/>
  <c r="M9" i="18"/>
  <c r="Q9" i="18" s="1"/>
  <c r="P11" i="18"/>
  <c r="P9" i="18" s="1"/>
  <c r="J582" i="4"/>
  <c r="J581" i="4" s="1"/>
  <c r="O410" i="4"/>
  <c r="N410" i="4"/>
  <c r="N317" i="27"/>
  <c r="Q358" i="30"/>
  <c r="S704" i="3"/>
  <c r="R704" i="3"/>
  <c r="S44" i="3"/>
  <c r="R44" i="3"/>
  <c r="T565" i="5"/>
  <c r="O564" i="5"/>
  <c r="O570" i="10"/>
  <c r="P570" i="10"/>
  <c r="Q24" i="11"/>
  <c r="P24" i="11"/>
  <c r="S24" i="11"/>
  <c r="Q443" i="19"/>
  <c r="Q454" i="27"/>
  <c r="L453" i="27"/>
  <c r="R454" i="27"/>
  <c r="Q452" i="23"/>
  <c r="R452" i="23"/>
  <c r="L451" i="23"/>
  <c r="Q451" i="23" s="1"/>
  <c r="AB868" i="39"/>
  <c r="AA868" i="39"/>
  <c r="X864" i="39"/>
  <c r="Y868" i="39"/>
  <c r="AB695" i="39"/>
  <c r="AA695" i="39"/>
  <c r="W695" i="39"/>
  <c r="Y695" i="39" s="1"/>
  <c r="S694" i="39"/>
  <c r="AF695" i="39"/>
  <c r="V695" i="39"/>
  <c r="O686" i="39"/>
  <c r="N685" i="39"/>
  <c r="X441" i="39"/>
  <c r="AG318" i="39"/>
  <c r="P272" i="39"/>
  <c r="AF273" i="39"/>
  <c r="V273" i="39"/>
  <c r="W273" i="39"/>
  <c r="Y273" i="39" s="1"/>
  <c r="O27" i="20"/>
  <c r="O567" i="16"/>
  <c r="O566" i="16" s="1"/>
  <c r="V568" i="16"/>
  <c r="L209" i="16"/>
  <c r="R210" i="16"/>
  <c r="Q210" i="16"/>
  <c r="M44" i="4"/>
  <c r="O381" i="4"/>
  <c r="N381" i="4"/>
  <c r="V92" i="19"/>
  <c r="O56" i="19"/>
  <c r="P842" i="9"/>
  <c r="L613" i="5"/>
  <c r="Q444" i="5"/>
  <c r="R444" i="5"/>
  <c r="R613" i="5" s="1"/>
  <c r="O654" i="8"/>
  <c r="V437" i="16"/>
  <c r="O607" i="16"/>
  <c r="O615" i="27"/>
  <c r="V448" i="27"/>
  <c r="Q216" i="30"/>
  <c r="R216" i="30"/>
  <c r="M584" i="27"/>
  <c r="T34" i="24"/>
  <c r="AF123" i="39"/>
  <c r="AG123" i="39" s="1"/>
  <c r="W123" i="39"/>
  <c r="S122" i="39"/>
  <c r="O83" i="39"/>
  <c r="N81" i="39"/>
  <c r="R83" i="39"/>
  <c r="T83" i="39" s="1"/>
  <c r="Q83" i="39"/>
  <c r="S17" i="39"/>
  <c r="AF23" i="39"/>
  <c r="T23" i="39"/>
  <c r="W23" i="39"/>
  <c r="Y23" i="39" s="1"/>
  <c r="V23" i="39"/>
  <c r="AG23" i="39" s="1"/>
  <c r="AA23" i="39"/>
  <c r="AB23" i="39"/>
  <c r="Q17" i="39"/>
  <c r="R17" i="39"/>
  <c r="N16" i="39"/>
  <c r="O17" i="39"/>
  <c r="S362" i="39"/>
  <c r="V56" i="39"/>
  <c r="W56" i="39"/>
  <c r="AF56" i="39"/>
  <c r="Q1044" i="39"/>
  <c r="R1044" i="39"/>
  <c r="T1044" i="39" s="1"/>
  <c r="O1044" i="39"/>
  <c r="M718" i="29"/>
  <c r="O718" i="29" s="1"/>
  <c r="R374" i="27"/>
  <c r="Q374" i="27"/>
  <c r="Q165" i="30"/>
  <c r="R165" i="30"/>
  <c r="N461" i="25"/>
  <c r="O462" i="25"/>
  <c r="P462" i="25" s="1"/>
  <c r="J238" i="29"/>
  <c r="Q217" i="23"/>
  <c r="R217" i="23"/>
  <c r="O791" i="8"/>
  <c r="P791" i="8"/>
  <c r="N171" i="8"/>
  <c r="O172" i="8"/>
  <c r="O163" i="9"/>
  <c r="P486" i="8"/>
  <c r="O486" i="8"/>
  <c r="O564" i="9"/>
  <c r="P553" i="10"/>
  <c r="O411" i="10"/>
  <c r="O501" i="9"/>
  <c r="P846" i="7"/>
  <c r="O846" i="7"/>
  <c r="O84" i="9"/>
  <c r="L1007" i="10"/>
  <c r="N1008" i="10"/>
  <c r="O280" i="8"/>
  <c r="N347" i="10"/>
  <c r="M343" i="10"/>
  <c r="M342" i="10" s="1"/>
  <c r="M965" i="9"/>
  <c r="M350" i="9"/>
  <c r="J385" i="3"/>
  <c r="N613" i="23"/>
  <c r="N445" i="23"/>
  <c r="O445" i="23" s="1"/>
  <c r="V445" i="23" s="1"/>
  <c r="M69" i="4"/>
  <c r="L68" i="4"/>
  <c r="J521" i="4"/>
  <c r="N534" i="4"/>
  <c r="M171" i="4"/>
  <c r="L170" i="4"/>
  <c r="O55" i="4"/>
  <c r="N55" i="4"/>
  <c r="R508" i="3"/>
  <c r="S508" i="3"/>
  <c r="R454" i="23"/>
  <c r="R622" i="23" s="1"/>
  <c r="L622" i="23"/>
  <c r="Q454" i="23"/>
  <c r="L744" i="4"/>
  <c r="M744" i="4" s="1"/>
  <c r="N744" i="4" s="1"/>
  <c r="M746" i="4"/>
  <c r="N746" i="4" s="1"/>
  <c r="J606" i="4"/>
  <c r="Q413" i="23"/>
  <c r="O360" i="27"/>
  <c r="O355" i="19"/>
  <c r="V355" i="19" s="1"/>
  <c r="O356" i="5"/>
  <c r="N302" i="4"/>
  <c r="O359" i="30"/>
  <c r="V359" i="30" s="1"/>
  <c r="O359" i="23"/>
  <c r="O355" i="16"/>
  <c r="M298" i="4"/>
  <c r="N298" i="4" s="1"/>
  <c r="L297" i="4"/>
  <c r="O202" i="5"/>
  <c r="T202" i="5" s="1"/>
  <c r="N201" i="5"/>
  <c r="N44" i="5" s="1"/>
  <c r="F701" i="3"/>
  <c r="Q703" i="3"/>
  <c r="R673" i="3"/>
  <c r="S673" i="3"/>
  <c r="P541" i="10"/>
  <c r="N432" i="5"/>
  <c r="N431" i="5" s="1"/>
  <c r="N429" i="5" s="1"/>
  <c r="N428" i="5" s="1"/>
  <c r="N602" i="5"/>
  <c r="R455" i="30"/>
  <c r="L454" i="30"/>
  <c r="Q455" i="30"/>
  <c r="L441" i="5"/>
  <c r="Q441" i="5" s="1"/>
  <c r="R442" i="5"/>
  <c r="Q442" i="5"/>
  <c r="V579" i="27"/>
  <c r="O578" i="27"/>
  <c r="O22" i="20"/>
  <c r="P56" i="5"/>
  <c r="O22" i="11"/>
  <c r="R1065" i="39"/>
  <c r="T1065" i="39" s="1"/>
  <c r="AF864" i="39"/>
  <c r="V864" i="39"/>
  <c r="P863" i="39"/>
  <c r="W864" i="39"/>
  <c r="O51" i="18"/>
  <c r="O51" i="20"/>
  <c r="O51" i="11"/>
  <c r="N25" i="24"/>
  <c r="N25" i="11"/>
  <c r="N25" i="31"/>
  <c r="N25" i="18"/>
  <c r="N27" i="28"/>
  <c r="N25" i="20"/>
  <c r="T162" i="5"/>
  <c r="V577" i="23"/>
  <c r="O576" i="23"/>
  <c r="L213" i="23"/>
  <c r="R214" i="23"/>
  <c r="Q214" i="23"/>
  <c r="O45" i="4"/>
  <c r="N45" i="4"/>
  <c r="N787" i="7"/>
  <c r="E611" i="3"/>
  <c r="N448" i="10"/>
  <c r="T436" i="5"/>
  <c r="O604" i="5"/>
  <c r="Q61" i="18"/>
  <c r="O59" i="18"/>
  <c r="S61" i="18"/>
  <c r="L468" i="19"/>
  <c r="Q482" i="19"/>
  <c r="M32" i="18"/>
  <c r="S33" i="18"/>
  <c r="P33" i="18"/>
  <c r="Q33" i="18"/>
  <c r="AA606" i="39"/>
  <c r="AB606" i="39"/>
  <c r="S598" i="39"/>
  <c r="J437" i="30"/>
  <c r="J438" i="30"/>
  <c r="M10" i="27"/>
  <c r="M8" i="27" s="1"/>
  <c r="M31" i="13"/>
  <c r="L31" i="13"/>
  <c r="K54" i="19"/>
  <c r="P542" i="8"/>
  <c r="O9" i="31"/>
  <c r="T38" i="18"/>
  <c r="L589" i="4"/>
  <c r="M593" i="4"/>
  <c r="N994" i="8"/>
  <c r="L717" i="4"/>
  <c r="M717" i="4" s="1"/>
  <c r="N717" i="4" s="1"/>
  <c r="M719" i="4"/>
  <c r="N719" i="4" s="1"/>
  <c r="J67" i="4"/>
  <c r="P10" i="3"/>
  <c r="F577" i="3"/>
  <c r="L55" i="27"/>
  <c r="Q139" i="27"/>
  <c r="R139" i="27"/>
  <c r="K54" i="23"/>
  <c r="P11" i="24"/>
  <c r="Q11" i="24"/>
  <c r="O67" i="24"/>
  <c r="Q68" i="24"/>
  <c r="S68" i="24"/>
  <c r="J438" i="23"/>
  <c r="J437" i="23"/>
  <c r="D68" i="3"/>
  <c r="D67" i="3" s="1"/>
  <c r="K54" i="30"/>
  <c r="K55" i="30"/>
  <c r="K43" i="30" s="1"/>
  <c r="K10" i="30" s="1"/>
  <c r="N462" i="29"/>
  <c r="O462" i="29" s="1"/>
  <c r="P462" i="29" s="1"/>
  <c r="O463" i="29"/>
  <c r="P463" i="29" s="1"/>
  <c r="O95" i="23"/>
  <c r="V96" i="23"/>
  <c r="V136" i="19"/>
  <c r="O837" i="10"/>
  <c r="P837" i="10"/>
  <c r="Q237" i="23"/>
  <c r="O44" i="24"/>
  <c r="R237" i="23"/>
  <c r="O44" i="31"/>
  <c r="O46" i="28"/>
  <c r="Q409" i="19"/>
  <c r="R409" i="19"/>
  <c r="P396" i="16"/>
  <c r="K198" i="9"/>
  <c r="K194" i="9" s="1"/>
  <c r="O27" i="28"/>
  <c r="O25" i="24"/>
  <c r="O25" i="31"/>
  <c r="P666" i="7"/>
  <c r="O666" i="7"/>
  <c r="P58" i="24"/>
  <c r="Q58" i="24"/>
  <c r="S58" i="24"/>
  <c r="O56" i="24"/>
  <c r="O55" i="24" s="1"/>
  <c r="Q216" i="23"/>
  <c r="R216" i="23"/>
  <c r="K458" i="8"/>
  <c r="R640" i="6"/>
  <c r="K64" i="24"/>
  <c r="K62" i="24" s="1"/>
  <c r="K61" i="24" s="1"/>
  <c r="K68" i="20"/>
  <c r="K66" i="20" s="1"/>
  <c r="K65" i="20" s="1"/>
  <c r="K68" i="18"/>
  <c r="K66" i="18"/>
  <c r="K65" i="18" s="1"/>
  <c r="K66" i="28"/>
  <c r="K64" i="28" s="1"/>
  <c r="K63" i="28" s="1"/>
  <c r="J428" i="5"/>
  <c r="K68" i="11"/>
  <c r="K66" i="11" s="1"/>
  <c r="K65" i="11" s="1"/>
  <c r="H34" i="12" s="1"/>
  <c r="J427" i="5"/>
  <c r="K64" i="31"/>
  <c r="K62" i="31" s="1"/>
  <c r="K61" i="31" s="1"/>
  <c r="R84" i="3"/>
  <c r="S33" i="20"/>
  <c r="S301" i="39"/>
  <c r="AF302" i="39"/>
  <c r="V302" i="39"/>
  <c r="W302" i="39"/>
  <c r="X302" i="39" s="1"/>
  <c r="T302" i="39"/>
  <c r="U302" i="39" s="1"/>
  <c r="U301" i="39" s="1"/>
  <c r="U300" i="39" s="1"/>
  <c r="O905" i="10"/>
  <c r="P905" i="10"/>
  <c r="Q161" i="19"/>
  <c r="R161" i="19"/>
  <c r="P405" i="23"/>
  <c r="P95" i="23"/>
  <c r="R96" i="23"/>
  <c r="Q96" i="23"/>
  <c r="L68" i="20"/>
  <c r="L66" i="20" s="1"/>
  <c r="L65" i="20" s="1"/>
  <c r="L68" i="11"/>
  <c r="L66" i="11" s="1"/>
  <c r="L65" i="11" s="1"/>
  <c r="K427" i="5"/>
  <c r="L64" i="24"/>
  <c r="L62" i="24" s="1"/>
  <c r="L61" i="24" s="1"/>
  <c r="L66" i="28"/>
  <c r="L64" i="28" s="1"/>
  <c r="L63" i="28" s="1"/>
  <c r="L64" i="31"/>
  <c r="L62" i="31" s="1"/>
  <c r="L61" i="31" s="1"/>
  <c r="L68" i="18"/>
  <c r="L66" i="18" s="1"/>
  <c r="L65" i="18" s="1"/>
  <c r="V448" i="19"/>
  <c r="M31" i="31"/>
  <c r="S32" i="31"/>
  <c r="Q32" i="31"/>
  <c r="P32" i="31"/>
  <c r="S296" i="39"/>
  <c r="M7" i="13"/>
  <c r="L7" i="13"/>
  <c r="J55" i="16"/>
  <c r="J43" i="16" s="1"/>
  <c r="J10" i="16" s="1"/>
  <c r="K437" i="23"/>
  <c r="P559" i="8"/>
  <c r="M290" i="25"/>
  <c r="T33" i="24"/>
  <c r="O524" i="9"/>
  <c r="P524" i="9"/>
  <c r="O432" i="7"/>
  <c r="P432" i="7"/>
  <c r="P32" i="24"/>
  <c r="Q32" i="24"/>
  <c r="S32" i="24"/>
  <c r="M31" i="24"/>
  <c r="O213" i="19"/>
  <c r="O212" i="19" s="1"/>
  <c r="V214" i="19"/>
  <c r="J214" i="8"/>
  <c r="J216" i="8"/>
  <c r="K25" i="11"/>
  <c r="K21" i="11" s="1"/>
  <c r="K25" i="24"/>
  <c r="J56" i="5"/>
  <c r="J44" i="5" s="1"/>
  <c r="K25" i="20"/>
  <c r="K25" i="31"/>
  <c r="K21" i="31" s="1"/>
  <c r="K27" i="28"/>
  <c r="K25" i="18"/>
  <c r="P14" i="4"/>
  <c r="J11" i="4"/>
  <c r="N17" i="4"/>
  <c r="D579" i="3"/>
  <c r="D578" i="3" s="1"/>
  <c r="S582" i="3"/>
  <c r="R582" i="3"/>
  <c r="O623" i="4"/>
  <c r="N623" i="4"/>
  <c r="K55" i="5"/>
  <c r="L22" i="24"/>
  <c r="L22" i="18"/>
  <c r="K56" i="5"/>
  <c r="K44" i="5" s="1"/>
  <c r="L22" i="31"/>
  <c r="L22" i="11"/>
  <c r="L24" i="28"/>
  <c r="L23" i="28" s="1"/>
  <c r="L22" i="20"/>
  <c r="M230" i="4"/>
  <c r="N230" i="4" s="1"/>
  <c r="O421" i="9"/>
  <c r="O551" i="9"/>
  <c r="O934" i="8"/>
  <c r="N490" i="7"/>
  <c r="O490" i="7" s="1"/>
  <c r="P687" i="10"/>
  <c r="K822" i="8"/>
  <c r="K820" i="8" s="1"/>
  <c r="P675" i="7"/>
  <c r="O675" i="7"/>
  <c r="E7" i="1"/>
  <c r="O709" i="10"/>
  <c r="O539" i="8"/>
  <c r="L130" i="29"/>
  <c r="M130" i="29" s="1"/>
  <c r="P130" i="29" s="1"/>
  <c r="P976" i="8"/>
  <c r="O241" i="8"/>
  <c r="F7" i="1"/>
  <c r="O320" i="7"/>
  <c r="L350" i="29"/>
  <c r="M350" i="29" s="1"/>
  <c r="O350" i="29" s="1"/>
  <c r="P350" i="29" s="1"/>
  <c r="O896" i="9"/>
  <c r="M266" i="29"/>
  <c r="O266" i="29" s="1"/>
  <c r="O576" i="8"/>
  <c r="N27" i="8"/>
  <c r="P27" i="8" s="1"/>
  <c r="O639" i="8"/>
  <c r="P639" i="8"/>
  <c r="P492" i="7"/>
  <c r="O396" i="27"/>
  <c r="V396" i="27" s="1"/>
  <c r="M582" i="30"/>
  <c r="M10" i="30"/>
  <c r="M8" i="30" s="1"/>
  <c r="X1005" i="39"/>
  <c r="AB893" i="39"/>
  <c r="X891" i="39"/>
  <c r="AA893" i="39"/>
  <c r="AF617" i="39"/>
  <c r="AG617" i="39" s="1"/>
  <c r="S597" i="39"/>
  <c r="AG853" i="39"/>
  <c r="O23" i="31"/>
  <c r="R139" i="30"/>
  <c r="Q139" i="30"/>
  <c r="N476" i="25"/>
  <c r="J693" i="29"/>
  <c r="L482" i="27"/>
  <c r="R482" i="27" s="1"/>
  <c r="Q496" i="27"/>
  <c r="N282" i="25"/>
  <c r="N280" i="25" s="1"/>
  <c r="O280" i="25" s="1"/>
  <c r="O283" i="25"/>
  <c r="P12" i="28"/>
  <c r="Q12" i="28"/>
  <c r="D11" i="26"/>
  <c r="E11" i="26" s="1"/>
  <c r="F11" i="26" s="1"/>
  <c r="E13" i="26"/>
  <c r="F13" i="26" s="1"/>
  <c r="O336" i="10"/>
  <c r="P561" i="8"/>
  <c r="O254" i="9"/>
  <c r="K481" i="8"/>
  <c r="P891" i="7"/>
  <c r="L1055" i="10"/>
  <c r="K954" i="7"/>
  <c r="K953" i="7" s="1"/>
  <c r="O531" i="7"/>
  <c r="K237" i="3"/>
  <c r="Q284" i="3"/>
  <c r="O775" i="39"/>
  <c r="AA1063" i="39"/>
  <c r="AB1063" i="39"/>
  <c r="P405" i="30"/>
  <c r="O471" i="39"/>
  <c r="AF852" i="39"/>
  <c r="W852" i="39"/>
  <c r="V852" i="39"/>
  <c r="P837" i="39"/>
  <c r="AB1040" i="39"/>
  <c r="O29" i="25"/>
  <c r="P29" i="25" s="1"/>
  <c r="J629" i="29"/>
  <c r="O630" i="29"/>
  <c r="P630" i="29" s="1"/>
  <c r="O422" i="29"/>
  <c r="P422" i="29" s="1"/>
  <c r="O43" i="29"/>
  <c r="P43" i="29" s="1"/>
  <c r="N29" i="29"/>
  <c r="O29" i="29" s="1"/>
  <c r="P29" i="29" s="1"/>
  <c r="J10" i="29"/>
  <c r="O641" i="25"/>
  <c r="P641" i="25" s="1"/>
  <c r="M285" i="29"/>
  <c r="L284" i="29"/>
  <c r="M284" i="29" s="1"/>
  <c r="O95" i="27"/>
  <c r="V95" i="27" s="1"/>
  <c r="V96" i="27"/>
  <c r="R12" i="27"/>
  <c r="D6" i="26"/>
  <c r="O560" i="10"/>
  <c r="V161" i="16"/>
  <c r="K34" i="13"/>
  <c r="L30" i="13"/>
  <c r="M30" i="13"/>
  <c r="P178" i="10"/>
  <c r="O178" i="10"/>
  <c r="O922" i="7"/>
  <c r="N1051" i="8"/>
  <c r="P706" i="7"/>
  <c r="O154" i="7"/>
  <c r="M806" i="8"/>
  <c r="P271" i="7"/>
  <c r="M357" i="4"/>
  <c r="L355" i="4"/>
  <c r="E356" i="3"/>
  <c r="E169" i="3"/>
  <c r="S55" i="3"/>
  <c r="R55" i="3"/>
  <c r="S68" i="3"/>
  <c r="R68" i="3"/>
  <c r="Q283" i="3"/>
  <c r="O200" i="16"/>
  <c r="V200" i="16" s="1"/>
  <c r="V201" i="16"/>
  <c r="K54" i="27"/>
  <c r="M835" i="29"/>
  <c r="O58" i="28"/>
  <c r="N368" i="25"/>
  <c r="O369" i="25"/>
  <c r="P369" i="25" s="1"/>
  <c r="K439" i="27"/>
  <c r="J566" i="25"/>
  <c r="O568" i="25"/>
  <c r="O56" i="31"/>
  <c r="P58" i="31"/>
  <c r="Q58" i="31"/>
  <c r="S58" i="31"/>
  <c r="R480" i="23"/>
  <c r="P554" i="10"/>
  <c r="O712" i="10"/>
  <c r="K331" i="9"/>
  <c r="O285" i="8"/>
  <c r="E679" i="6"/>
  <c r="O316" i="8"/>
  <c r="P316" i="8"/>
  <c r="L213" i="5"/>
  <c r="R213" i="5" s="1"/>
  <c r="R214" i="5"/>
  <c r="Q214" i="5"/>
  <c r="O509" i="9"/>
  <c r="N32" i="9"/>
  <c r="F66" i="3"/>
  <c r="Q66" i="3" s="1"/>
  <c r="Q67" i="3"/>
  <c r="V139" i="30"/>
  <c r="M55" i="25"/>
  <c r="L237" i="29"/>
  <c r="J237" i="25"/>
  <c r="O238" i="25"/>
  <c r="P238" i="25" s="1"/>
  <c r="M44" i="25"/>
  <c r="O803" i="8"/>
  <c r="O566" i="8"/>
  <c r="P714" i="10"/>
  <c r="O371" i="9"/>
  <c r="Q246" i="16"/>
  <c r="O48" i="18"/>
  <c r="S48" i="18" s="1"/>
  <c r="M573" i="16"/>
  <c r="O809" i="7"/>
  <c r="O823" i="9"/>
  <c r="P823" i="9"/>
  <c r="N822" i="9"/>
  <c r="N1068" i="8"/>
  <c r="M1067" i="8"/>
  <c r="N1067" i="8" s="1"/>
  <c r="M218" i="8"/>
  <c r="N218" i="8" s="1"/>
  <c r="N219" i="8"/>
  <c r="P323" i="9"/>
  <c r="O323" i="9"/>
  <c r="S586" i="3"/>
  <c r="R586" i="3"/>
  <c r="E129" i="3"/>
  <c r="S285" i="3"/>
  <c r="R285" i="3"/>
  <c r="K215" i="3"/>
  <c r="T46" i="11"/>
  <c r="Q718" i="39"/>
  <c r="O718" i="39"/>
  <c r="N716" i="39"/>
  <c r="R718" i="39"/>
  <c r="T718" i="39" s="1"/>
  <c r="V205" i="30"/>
  <c r="W110" i="39"/>
  <c r="V110" i="39"/>
  <c r="P109" i="39"/>
  <c r="N429" i="39"/>
  <c r="O429" i="39" s="1"/>
  <c r="Q431" i="39"/>
  <c r="X211" i="39"/>
  <c r="M490" i="4"/>
  <c r="P231" i="39"/>
  <c r="V233" i="39"/>
  <c r="AF233" i="39"/>
  <c r="W233" i="39"/>
  <c r="O39" i="39"/>
  <c r="AG237" i="39"/>
  <c r="T49" i="20"/>
  <c r="N47" i="39"/>
  <c r="O49" i="39"/>
  <c r="Q1032" i="39"/>
  <c r="V1032" i="39"/>
  <c r="W1032" i="39"/>
  <c r="Y1032" i="39" s="1"/>
  <c r="R1032" i="39"/>
  <c r="T1032" i="39" s="1"/>
  <c r="AF815" i="39"/>
  <c r="V815" i="39"/>
  <c r="W815" i="39"/>
  <c r="Q815" i="39"/>
  <c r="M156" i="25"/>
  <c r="L155" i="25"/>
  <c r="M155" i="25" s="1"/>
  <c r="X931" i="39"/>
  <c r="AA933" i="39"/>
  <c r="AB933" i="39"/>
  <c r="Q257" i="39"/>
  <c r="R257" i="39"/>
  <c r="T257" i="39" s="1"/>
  <c r="N252" i="39"/>
  <c r="R252" i="39" s="1"/>
  <c r="T252" i="39" s="1"/>
  <c r="O257" i="39"/>
  <c r="P29" i="20"/>
  <c r="Q29" i="20"/>
  <c r="S29" i="20"/>
  <c r="T29" i="20" s="1"/>
  <c r="M9" i="13"/>
  <c r="T45" i="31"/>
  <c r="P56" i="30"/>
  <c r="Q95" i="30"/>
  <c r="R95" i="30"/>
  <c r="P29" i="18"/>
  <c r="Q29" i="18"/>
  <c r="S29" i="18"/>
  <c r="N889" i="39"/>
  <c r="O889" i="39" s="1"/>
  <c r="O891" i="39"/>
  <c r="L479" i="30"/>
  <c r="Q480" i="30"/>
  <c r="R480" i="30"/>
  <c r="N906" i="39"/>
  <c r="O906" i="39" s="1"/>
  <c r="O908" i="39"/>
  <c r="AG56" i="39"/>
  <c r="Q29" i="31"/>
  <c r="O212" i="16"/>
  <c r="V212" i="16" s="1"/>
  <c r="V213" i="16"/>
  <c r="O54" i="25"/>
  <c r="P54" i="25" s="1"/>
  <c r="P55" i="25"/>
  <c r="R266" i="39"/>
  <c r="Q266" i="39"/>
  <c r="T24" i="11"/>
  <c r="P215" i="25"/>
  <c r="O214" i="25"/>
  <c r="P214" i="25" s="1"/>
  <c r="O453" i="39"/>
  <c r="N452" i="39"/>
  <c r="P29" i="11"/>
  <c r="M9" i="12"/>
  <c r="L9" i="12"/>
  <c r="O1005" i="39"/>
  <c r="N1003" i="39"/>
  <c r="N30" i="28"/>
  <c r="N29" i="28" s="1"/>
  <c r="N28" i="18"/>
  <c r="N27" i="18" s="1"/>
  <c r="N28" i="11"/>
  <c r="N27" i="11" s="1"/>
  <c r="N28" i="31"/>
  <c r="N27" i="31" s="1"/>
  <c r="V359" i="23"/>
  <c r="AF17" i="39"/>
  <c r="W17" i="39"/>
  <c r="V17" i="39"/>
  <c r="S16" i="39"/>
  <c r="T17" i="39"/>
  <c r="W122" i="39"/>
  <c r="W272" i="39"/>
  <c r="Y272" i="39" s="1"/>
  <c r="AF272" i="39"/>
  <c r="X439" i="39"/>
  <c r="W694" i="39"/>
  <c r="Y694" i="39" s="1"/>
  <c r="S693" i="39"/>
  <c r="AB694" i="39"/>
  <c r="S25" i="11"/>
  <c r="R366" i="23"/>
  <c r="N426" i="10"/>
  <c r="O426" i="10" s="1"/>
  <c r="O428" i="10"/>
  <c r="P428" i="10"/>
  <c r="N107" i="39"/>
  <c r="O109" i="39"/>
  <c r="J214" i="4"/>
  <c r="J237" i="4"/>
  <c r="O237" i="4" s="1"/>
  <c r="V390" i="23"/>
  <c r="L470" i="16"/>
  <c r="Q471" i="16"/>
  <c r="R471" i="16"/>
  <c r="L983" i="9"/>
  <c r="L981" i="9" s="1"/>
  <c r="L980" i="9" s="1"/>
  <c r="P55" i="29"/>
  <c r="O54" i="29"/>
  <c r="P54" i="29" s="1"/>
  <c r="O56" i="30"/>
  <c r="V95" i="30"/>
  <c r="T32" i="31"/>
  <c r="Q213" i="23"/>
  <c r="R213" i="23"/>
  <c r="S51" i="11"/>
  <c r="T51" i="11" s="1"/>
  <c r="P861" i="39"/>
  <c r="W863" i="39"/>
  <c r="AF863" i="39"/>
  <c r="V863" i="39"/>
  <c r="O432" i="5"/>
  <c r="L801" i="4"/>
  <c r="M297" i="4"/>
  <c r="N297" i="4" s="1"/>
  <c r="O297" i="4" s="1"/>
  <c r="J237" i="29"/>
  <c r="AB864" i="39"/>
  <c r="L506" i="25"/>
  <c r="M506" i="25" s="1"/>
  <c r="O196" i="25"/>
  <c r="P196" i="25" s="1"/>
  <c r="O43" i="20"/>
  <c r="J197" i="4"/>
  <c r="V381" i="16"/>
  <c r="N506" i="25"/>
  <c r="O506" i="25" s="1"/>
  <c r="P506" i="25" s="1"/>
  <c r="O507" i="25"/>
  <c r="P507" i="25" s="1"/>
  <c r="M522" i="10"/>
  <c r="T33" i="18"/>
  <c r="O575" i="23"/>
  <c r="O574" i="23" s="1"/>
  <c r="V574" i="23" s="1"/>
  <c r="V576" i="23"/>
  <c r="V578" i="27"/>
  <c r="O577" i="27"/>
  <c r="Q454" i="30"/>
  <c r="R454" i="30"/>
  <c r="R622" i="30" s="1"/>
  <c r="L622" i="30"/>
  <c r="L406" i="23"/>
  <c r="Q407" i="23"/>
  <c r="R407" i="23"/>
  <c r="O461" i="25"/>
  <c r="P461" i="25" s="1"/>
  <c r="S360" i="39"/>
  <c r="O81" i="39"/>
  <c r="Q81" i="39"/>
  <c r="R81" i="39"/>
  <c r="T81" i="39" s="1"/>
  <c r="AG273" i="39"/>
  <c r="Q25" i="20"/>
  <c r="P25" i="20"/>
  <c r="S25" i="20"/>
  <c r="Y93" i="39"/>
  <c r="O148" i="39"/>
  <c r="P933" i="39"/>
  <c r="W933" i="39" s="1"/>
  <c r="Y933" i="39" s="1"/>
  <c r="W935" i="39"/>
  <c r="Y935" i="39" s="1"/>
  <c r="V935" i="39"/>
  <c r="AF935" i="39"/>
  <c r="T382" i="5"/>
  <c r="Q213" i="30"/>
  <c r="R213" i="30"/>
  <c r="P579" i="23"/>
  <c r="P567" i="5"/>
  <c r="Q567" i="5" s="1"/>
  <c r="P570" i="16"/>
  <c r="Q570" i="16" s="1"/>
  <c r="P565" i="19"/>
  <c r="Q565" i="19" s="1"/>
  <c r="P579" i="30"/>
  <c r="P581" i="27"/>
  <c r="O57" i="5"/>
  <c r="V355" i="16"/>
  <c r="T356" i="5"/>
  <c r="M170" i="4"/>
  <c r="O16" i="39"/>
  <c r="R16" i="39"/>
  <c r="Q16" i="39"/>
  <c r="N12" i="39"/>
  <c r="N14" i="39"/>
  <c r="O44" i="4"/>
  <c r="N44" i="4"/>
  <c r="Q209" i="16"/>
  <c r="R209" i="16"/>
  <c r="AG695" i="39"/>
  <c r="R451" i="23"/>
  <c r="O563" i="5"/>
  <c r="T564" i="5"/>
  <c r="P845" i="7"/>
  <c r="O845" i="7"/>
  <c r="N725" i="29"/>
  <c r="O725" i="29" s="1"/>
  <c r="P725" i="29" s="1"/>
  <c r="O727" i="29"/>
  <c r="P727" i="29" s="1"/>
  <c r="M32" i="28"/>
  <c r="S32" i="28" s="1"/>
  <c r="R210" i="5"/>
  <c r="M30" i="31"/>
  <c r="M30" i="18"/>
  <c r="Q210" i="5"/>
  <c r="M30" i="11"/>
  <c r="M30" i="24"/>
  <c r="M30" i="20"/>
  <c r="S314" i="39"/>
  <c r="AA314" i="39" s="1"/>
  <c r="AA316" i="39"/>
  <c r="AB316" i="39"/>
  <c r="O372" i="39"/>
  <c r="Q372" i="39"/>
  <c r="R372" i="39"/>
  <c r="T372" i="39" s="1"/>
  <c r="O442" i="23"/>
  <c r="N441" i="23"/>
  <c r="N439" i="23" s="1"/>
  <c r="N438" i="23" s="1"/>
  <c r="V206" i="27"/>
  <c r="O205" i="27"/>
  <c r="V205" i="27" s="1"/>
  <c r="O94" i="39"/>
  <c r="Q94" i="39"/>
  <c r="R94" i="39"/>
  <c r="R214" i="27"/>
  <c r="E668" i="3"/>
  <c r="T17" i="18"/>
  <c r="O756" i="7"/>
  <c r="P756" i="7"/>
  <c r="J10" i="4"/>
  <c r="P31" i="24"/>
  <c r="T301" i="39"/>
  <c r="W301" i="39"/>
  <c r="Y301" i="39" s="1"/>
  <c r="AF301" i="39"/>
  <c r="V301" i="39"/>
  <c r="S300" i="39"/>
  <c r="S25" i="24"/>
  <c r="P25" i="24"/>
  <c r="Q25" i="24"/>
  <c r="M589" i="4"/>
  <c r="AB598" i="39"/>
  <c r="AA598" i="39"/>
  <c r="L467" i="19"/>
  <c r="Q467" i="19" s="1"/>
  <c r="R468" i="19"/>
  <c r="Q468" i="19"/>
  <c r="T32" i="24"/>
  <c r="Y302" i="39"/>
  <c r="Z302" i="39" s="1"/>
  <c r="Z301" i="39" s="1"/>
  <c r="Z300" i="39" s="1"/>
  <c r="X301" i="39"/>
  <c r="Q27" i="28"/>
  <c r="S27" i="28"/>
  <c r="P27" i="28"/>
  <c r="Q44" i="24"/>
  <c r="Q67" i="24"/>
  <c r="S67" i="24"/>
  <c r="S579" i="3"/>
  <c r="O58" i="18"/>
  <c r="E35" i="21" s="1"/>
  <c r="Q25" i="31"/>
  <c r="Q31" i="31"/>
  <c r="S31" i="31"/>
  <c r="T31" i="31" s="1"/>
  <c r="P31" i="31"/>
  <c r="P458" i="8"/>
  <c r="Q44" i="31"/>
  <c r="V95" i="23"/>
  <c r="O56" i="23"/>
  <c r="J66" i="4"/>
  <c r="O994" i="8"/>
  <c r="R579" i="3"/>
  <c r="P32" i="18"/>
  <c r="Q32" i="18"/>
  <c r="S32" i="18"/>
  <c r="O347" i="8"/>
  <c r="O237" i="25"/>
  <c r="P237" i="25" s="1"/>
  <c r="P236" i="25" s="1"/>
  <c r="J236" i="25"/>
  <c r="L31" i="12"/>
  <c r="L34" i="13"/>
  <c r="L35" i="13" s="1"/>
  <c r="M34" i="13"/>
  <c r="K35" i="13"/>
  <c r="Q482" i="27"/>
  <c r="O57" i="28"/>
  <c r="R284" i="3"/>
  <c r="S284" i="3"/>
  <c r="O282" i="25"/>
  <c r="P282" i="25" s="1"/>
  <c r="P280" i="25" s="1"/>
  <c r="P283" i="25"/>
  <c r="Q477" i="25"/>
  <c r="N472" i="25"/>
  <c r="O476" i="25"/>
  <c r="P476" i="25" s="1"/>
  <c r="AB891" i="39"/>
  <c r="AA891" i="39"/>
  <c r="X889" i="39"/>
  <c r="O55" i="31"/>
  <c r="R283" i="3"/>
  <c r="S283" i="3"/>
  <c r="E6" i="26"/>
  <c r="F6" i="26" s="1"/>
  <c r="L283" i="29"/>
  <c r="M283" i="29" s="1"/>
  <c r="V837" i="39"/>
  <c r="AF837" i="39"/>
  <c r="W837" i="39"/>
  <c r="P835" i="39"/>
  <c r="V835" i="39" s="1"/>
  <c r="AG852" i="39"/>
  <c r="T58" i="31"/>
  <c r="M355" i="4"/>
  <c r="O773" i="39"/>
  <c r="X1003" i="39"/>
  <c r="P229" i="39"/>
  <c r="V231" i="39"/>
  <c r="AF231" i="39"/>
  <c r="W231" i="39"/>
  <c r="P107" i="39"/>
  <c r="R716" i="39"/>
  <c r="T716" i="39" s="1"/>
  <c r="Q429" i="39"/>
  <c r="O452" i="39"/>
  <c r="AA931" i="39"/>
  <c r="AB931" i="39"/>
  <c r="O22" i="31"/>
  <c r="O1003" i="39"/>
  <c r="T27" i="28"/>
  <c r="R479" i="30"/>
  <c r="Q479" i="30"/>
  <c r="O252" i="39"/>
  <c r="N250" i="39"/>
  <c r="O250" i="39" s="1"/>
  <c r="Q252" i="39"/>
  <c r="P32" i="28"/>
  <c r="Q30" i="20"/>
  <c r="S30" i="20"/>
  <c r="P30" i="20"/>
  <c r="Q30" i="18"/>
  <c r="P30" i="18"/>
  <c r="S30" i="18"/>
  <c r="O562" i="5"/>
  <c r="T563" i="5"/>
  <c r="R406" i="23"/>
  <c r="Q406" i="23"/>
  <c r="J196" i="4"/>
  <c r="V56" i="30"/>
  <c r="O55" i="30"/>
  <c r="R470" i="16"/>
  <c r="Q470" i="16"/>
  <c r="N237" i="4"/>
  <c r="X437" i="39"/>
  <c r="P30" i="24"/>
  <c r="S30" i="24"/>
  <c r="Q30" i="24"/>
  <c r="S30" i="31"/>
  <c r="T30" i="31" s="1"/>
  <c r="P30" i="31"/>
  <c r="Q30" i="31"/>
  <c r="Q14" i="39"/>
  <c r="R14" i="39"/>
  <c r="O14" i="39"/>
  <c r="V442" i="23"/>
  <c r="O576" i="27"/>
  <c r="V576" i="27" s="1"/>
  <c r="V577" i="27"/>
  <c r="V575" i="23"/>
  <c r="Q12" i="39"/>
  <c r="R12" i="39"/>
  <c r="O12" i="39"/>
  <c r="N22" i="31"/>
  <c r="N21" i="31" s="1"/>
  <c r="AG935" i="39"/>
  <c r="AF933" i="39"/>
  <c r="P426" i="10"/>
  <c r="V693" i="39"/>
  <c r="W693" i="39"/>
  <c r="Y693" i="39" s="1"/>
  <c r="AB693" i="39"/>
  <c r="AF693" i="39"/>
  <c r="AA693" i="39"/>
  <c r="S12" i="39"/>
  <c r="V16" i="39"/>
  <c r="AB301" i="39"/>
  <c r="X300" i="39"/>
  <c r="AA300" i="39" s="1"/>
  <c r="AA301" i="39"/>
  <c r="O55" i="23"/>
  <c r="V56" i="23"/>
  <c r="T32" i="18"/>
  <c r="V212" i="19"/>
  <c r="AF835" i="39"/>
  <c r="AA889" i="39"/>
  <c r="AB889" i="39"/>
  <c r="O472" i="25"/>
  <c r="P472" i="25" s="1"/>
  <c r="N471" i="25"/>
  <c r="N846" i="25" s="1"/>
  <c r="O236" i="25"/>
  <c r="T562" i="5"/>
  <c r="N72" i="18"/>
  <c r="N71" i="18" s="1"/>
  <c r="V55" i="30"/>
  <c r="T12" i="39"/>
  <c r="AF12" i="39"/>
  <c r="W12" i="39"/>
  <c r="V12" i="39"/>
  <c r="T30" i="24"/>
  <c r="T30" i="18"/>
  <c r="V55" i="23"/>
  <c r="AB300" i="39"/>
  <c r="Q16" i="6" l="1"/>
  <c r="V16" i="6" s="1"/>
  <c r="K27" i="6"/>
  <c r="Q35" i="6"/>
  <c r="R35" i="6" s="1"/>
  <c r="G75" i="6"/>
  <c r="G71" i="6" s="1"/>
  <c r="Q79" i="6"/>
  <c r="R79" i="6" s="1"/>
  <c r="Q85" i="6"/>
  <c r="R85" i="6" s="1"/>
  <c r="Q86" i="6"/>
  <c r="R86" i="6" s="1"/>
  <c r="Q88" i="6"/>
  <c r="R88" i="6" s="1"/>
  <c r="P95" i="6"/>
  <c r="P91" i="6" s="1"/>
  <c r="O128" i="6"/>
  <c r="L128" i="6"/>
  <c r="J128" i="6"/>
  <c r="G128" i="6"/>
  <c r="F128" i="6"/>
  <c r="Q140" i="6"/>
  <c r="R140" i="6" s="1"/>
  <c r="L139" i="6"/>
  <c r="L135" i="6" s="1"/>
  <c r="G139" i="6"/>
  <c r="K139" i="6"/>
  <c r="E139" i="6"/>
  <c r="M139" i="6"/>
  <c r="G152" i="6"/>
  <c r="Q155" i="6"/>
  <c r="R155" i="6" s="1"/>
  <c r="Q166" i="6"/>
  <c r="R166" i="6" s="1"/>
  <c r="F192" i="6"/>
  <c r="G260" i="6"/>
  <c r="G259" i="6" s="1"/>
  <c r="G257" i="6" s="1"/>
  <c r="K260" i="6"/>
  <c r="K259" i="6" s="1"/>
  <c r="M277" i="6"/>
  <c r="P277" i="6"/>
  <c r="O281" i="6"/>
  <c r="N281" i="6"/>
  <c r="Q284" i="6"/>
  <c r="S284" i="6" s="1"/>
  <c r="I281" i="6"/>
  <c r="M281" i="6"/>
  <c r="D281" i="6"/>
  <c r="Q286" i="6"/>
  <c r="R286" i="6" s="1"/>
  <c r="Q287" i="6"/>
  <c r="Q289" i="6"/>
  <c r="J281" i="6"/>
  <c r="Q290" i="6"/>
  <c r="R290" i="6" s="1"/>
  <c r="Q296" i="6"/>
  <c r="S296" i="6" s="1"/>
  <c r="L294" i="6"/>
  <c r="L293" i="6" s="1"/>
  <c r="L292" i="6" s="1"/>
  <c r="O294" i="6"/>
  <c r="O293" i="6" s="1"/>
  <c r="O292" i="6" s="1"/>
  <c r="Q299" i="6"/>
  <c r="Q305" i="6"/>
  <c r="S305" i="6" s="1"/>
  <c r="O304" i="6"/>
  <c r="Q306" i="6"/>
  <c r="R306" i="6" s="1"/>
  <c r="N304" i="6"/>
  <c r="I304" i="6"/>
  <c r="L311" i="6"/>
  <c r="Q319" i="6"/>
  <c r="Q320" i="6"/>
  <c r="S320" i="6" s="1"/>
  <c r="P318" i="6"/>
  <c r="D322" i="6"/>
  <c r="F333" i="6"/>
  <c r="K333" i="6"/>
  <c r="I333" i="6"/>
  <c r="M333" i="6"/>
  <c r="L333" i="6"/>
  <c r="D337" i="6"/>
  <c r="I345" i="6"/>
  <c r="Q357" i="6"/>
  <c r="Q359" i="6"/>
  <c r="R359" i="6" s="1"/>
  <c r="L366" i="6"/>
  <c r="K366" i="6"/>
  <c r="Q370" i="6"/>
  <c r="M371" i="6"/>
  <c r="H371" i="6"/>
  <c r="J371" i="6"/>
  <c r="Q376" i="6"/>
  <c r="R376" i="6" s="1"/>
  <c r="Q377" i="6"/>
  <c r="Q384" i="6"/>
  <c r="R384" i="6" s="1"/>
  <c r="G385" i="6"/>
  <c r="I387" i="6"/>
  <c r="I385" i="6" s="1"/>
  <c r="M387" i="6"/>
  <c r="P387" i="6"/>
  <c r="P385" i="6" s="1"/>
  <c r="H387" i="6"/>
  <c r="L387" i="6"/>
  <c r="L385" i="6" s="1"/>
  <c r="Q392" i="6"/>
  <c r="Q395" i="6"/>
  <c r="R395" i="6" s="1"/>
  <c r="Q400" i="6"/>
  <c r="K401" i="6"/>
  <c r="J401" i="6"/>
  <c r="Q406" i="6"/>
  <c r="H411" i="6"/>
  <c r="P411" i="6"/>
  <c r="Q423" i="6"/>
  <c r="R423" i="6" s="1"/>
  <c r="Q425" i="6"/>
  <c r="R425" i="6" s="1"/>
  <c r="P433" i="6"/>
  <c r="H433" i="6"/>
  <c r="Q446" i="6"/>
  <c r="R446" i="6" s="1"/>
  <c r="Q448" i="6"/>
  <c r="P445" i="6"/>
  <c r="Q449" i="6"/>
  <c r="N445" i="6"/>
  <c r="Q457" i="6"/>
  <c r="R457" i="6" s="1"/>
  <c r="G455" i="6"/>
  <c r="I469" i="6"/>
  <c r="M469" i="6"/>
  <c r="J469" i="6"/>
  <c r="F469" i="6"/>
  <c r="Q477" i="6"/>
  <c r="R477" i="6" s="1"/>
  <c r="Q479" i="6"/>
  <c r="O499" i="6"/>
  <c r="M499" i="6"/>
  <c r="J503" i="6"/>
  <c r="O503" i="6"/>
  <c r="H503" i="6"/>
  <c r="H498" i="6" s="1"/>
  <c r="L503" i="6"/>
  <c r="Q506" i="6"/>
  <c r="R506" i="6" s="1"/>
  <c r="Q507" i="6"/>
  <c r="Q508" i="6"/>
  <c r="I503" i="6"/>
  <c r="I498" i="6" s="1"/>
  <c r="M503" i="6"/>
  <c r="N503" i="6"/>
  <c r="P503" i="6"/>
  <c r="Q514" i="6"/>
  <c r="R514" i="6" s="1"/>
  <c r="Q515" i="6"/>
  <c r="R515" i="6" s="1"/>
  <c r="L757" i="8"/>
  <c r="L754" i="8" s="1"/>
  <c r="L752" i="8" s="1"/>
  <c r="Q523" i="6"/>
  <c r="R523" i="6" s="1"/>
  <c r="Q524" i="6"/>
  <c r="R524" i="6" s="1"/>
  <c r="D521" i="6"/>
  <c r="D520" i="6" s="1"/>
  <c r="Q531" i="6"/>
  <c r="R531" i="6" s="1"/>
  <c r="K530" i="6"/>
  <c r="L530" i="6"/>
  <c r="D530" i="6"/>
  <c r="N530" i="6"/>
  <c r="Q534" i="6"/>
  <c r="S534" i="6" s="1"/>
  <c r="I530" i="6"/>
  <c r="J530" i="6"/>
  <c r="M530" i="6"/>
  <c r="O530" i="6"/>
  <c r="Q535" i="6"/>
  <c r="V535" i="6" s="1"/>
  <c r="Q536" i="6"/>
  <c r="R536" i="6" s="1"/>
  <c r="Q537" i="6"/>
  <c r="Q538" i="6"/>
  <c r="V538" i="6" s="1"/>
  <c r="Q539" i="6"/>
  <c r="S539" i="6" s="1"/>
  <c r="Q540" i="6"/>
  <c r="Q543" i="6"/>
  <c r="R543" i="6" s="1"/>
  <c r="M542" i="6"/>
  <c r="Q546" i="6"/>
  <c r="L555" i="6"/>
  <c r="D555" i="6"/>
  <c r="Q557" i="6"/>
  <c r="Q561" i="6"/>
  <c r="R561" i="6" s="1"/>
  <c r="Q562" i="6"/>
  <c r="R562" i="6" s="1"/>
  <c r="I568" i="6"/>
  <c r="P568" i="6"/>
  <c r="Q570" i="6"/>
  <c r="N568" i="6"/>
  <c r="E568" i="6"/>
  <c r="Q572" i="6"/>
  <c r="K568" i="6"/>
  <c r="L568" i="6"/>
  <c r="J574" i="6"/>
  <c r="Q577" i="6"/>
  <c r="R577" i="6" s="1"/>
  <c r="P574" i="6"/>
  <c r="Q578" i="6"/>
  <c r="H574" i="6"/>
  <c r="L574" i="6"/>
  <c r="Q579" i="6"/>
  <c r="K574" i="6"/>
  <c r="O574" i="6"/>
  <c r="Q581" i="6"/>
  <c r="R581" i="6" s="1"/>
  <c r="I574" i="6"/>
  <c r="I583" i="6"/>
  <c r="O583" i="6"/>
  <c r="G583" i="6"/>
  <c r="J583" i="6"/>
  <c r="N583" i="6"/>
  <c r="Q587" i="6"/>
  <c r="R587" i="6" s="1"/>
  <c r="Q593" i="6"/>
  <c r="Q594" i="6"/>
  <c r="R594" i="6" s="1"/>
  <c r="Q595" i="6"/>
  <c r="R595" i="6" s="1"/>
  <c r="I591" i="6"/>
  <c r="I590" i="6" s="1"/>
  <c r="Q603" i="6"/>
  <c r="R603" i="6" s="1"/>
  <c r="Q604" i="6"/>
  <c r="R604" i="6" s="1"/>
  <c r="Q605" i="6"/>
  <c r="R605" i="6" s="1"/>
  <c r="Q607" i="6"/>
  <c r="R607" i="6" s="1"/>
  <c r="D615" i="6"/>
  <c r="D614" i="6" s="1"/>
  <c r="H615" i="6"/>
  <c r="H614" i="6" s="1"/>
  <c r="L615" i="6"/>
  <c r="L614" i="6" s="1"/>
  <c r="G615" i="6"/>
  <c r="G614" i="6" s="1"/>
  <c r="K615" i="6"/>
  <c r="K614" i="6" s="1"/>
  <c r="Q618" i="6"/>
  <c r="P615" i="6"/>
  <c r="P614" i="6" s="1"/>
  <c r="J615" i="6"/>
  <c r="J614" i="6" s="1"/>
  <c r="Q620" i="6"/>
  <c r="I615" i="6"/>
  <c r="I614" i="6" s="1"/>
  <c r="O615" i="6"/>
  <c r="O614" i="6" s="1"/>
  <c r="N626" i="6"/>
  <c r="Q628" i="6"/>
  <c r="K626" i="6"/>
  <c r="M626" i="6"/>
  <c r="E626" i="6"/>
  <c r="J626" i="6"/>
  <c r="O626" i="6"/>
  <c r="Q631" i="6"/>
  <c r="I626" i="6"/>
  <c r="Q633" i="6"/>
  <c r="L626" i="6"/>
  <c r="P626" i="6"/>
  <c r="Q639" i="6"/>
  <c r="R639" i="6" s="1"/>
  <c r="Q641" i="6"/>
  <c r="K650" i="6"/>
  <c r="O650" i="6"/>
  <c r="Q652" i="6"/>
  <c r="R652" i="6" s="1"/>
  <c r="Q653" i="6"/>
  <c r="R653" i="6" s="1"/>
  <c r="Q661" i="6"/>
  <c r="R661" i="6" s="1"/>
  <c r="J668" i="6"/>
  <c r="K672" i="6"/>
  <c r="O672" i="6"/>
  <c r="Q674" i="6"/>
  <c r="R674" i="6" s="1"/>
  <c r="Q676" i="6"/>
  <c r="R676" i="6" s="1"/>
  <c r="Q682" i="6"/>
  <c r="V682" i="6" s="1"/>
  <c r="L681" i="6"/>
  <c r="Q683" i="6"/>
  <c r="R683" i="6" s="1"/>
  <c r="H684" i="6"/>
  <c r="H679" i="6" s="1"/>
  <c r="L684" i="6"/>
  <c r="J684" i="6"/>
  <c r="N684" i="6"/>
  <c r="N679" i="6" s="1"/>
  <c r="Q695" i="6"/>
  <c r="Q696" i="6"/>
  <c r="S696" i="6" s="1"/>
  <c r="Q705" i="6"/>
  <c r="Q706" i="6"/>
  <c r="R706" i="6" s="1"/>
  <c r="Q713" i="6"/>
  <c r="R713" i="6" s="1"/>
  <c r="Q714" i="6"/>
  <c r="L20" i="7"/>
  <c r="L19" i="7" s="1"/>
  <c r="L17" i="7" s="1"/>
  <c r="N30" i="7"/>
  <c r="O30" i="7" s="1"/>
  <c r="L207" i="7"/>
  <c r="O240" i="7"/>
  <c r="P254" i="7"/>
  <c r="O330" i="7"/>
  <c r="K333" i="7"/>
  <c r="K332" i="7" s="1"/>
  <c r="K326" i="7" s="1"/>
  <c r="N344" i="7"/>
  <c r="K412" i="7"/>
  <c r="E21" i="1" s="1"/>
  <c r="M412" i="7"/>
  <c r="N420" i="7"/>
  <c r="O420" i="7" s="1"/>
  <c r="M418" i="7"/>
  <c r="M417" i="7" s="1"/>
  <c r="N474" i="7"/>
  <c r="N482" i="7"/>
  <c r="P482" i="7" s="1"/>
  <c r="K481" i="7"/>
  <c r="K495" i="7"/>
  <c r="N500" i="7"/>
  <c r="N503" i="7"/>
  <c r="P504" i="7"/>
  <c r="K499" i="7"/>
  <c r="N507" i="7"/>
  <c r="O508" i="7"/>
  <c r="M510" i="7"/>
  <c r="K510" i="7"/>
  <c r="L521" i="7"/>
  <c r="L519" i="7" s="1"/>
  <c r="N527" i="7"/>
  <c r="N562" i="7"/>
  <c r="P562" i="7" s="1"/>
  <c r="N566" i="7"/>
  <c r="P567" i="7"/>
  <c r="N570" i="7"/>
  <c r="O570" i="7" s="1"/>
  <c r="N572" i="7"/>
  <c r="O572" i="7" s="1"/>
  <c r="N576" i="7"/>
  <c r="P577" i="7"/>
  <c r="M581" i="7"/>
  <c r="M578" i="7" s="1"/>
  <c r="N587" i="7"/>
  <c r="O587" i="7" s="1"/>
  <c r="N591" i="7"/>
  <c r="K594" i="7"/>
  <c r="K592" i="7" s="1"/>
  <c r="N599" i="7"/>
  <c r="N603" i="7"/>
  <c r="O625" i="7"/>
  <c r="K639" i="7"/>
  <c r="K638" i="7" s="1"/>
  <c r="O657" i="7"/>
  <c r="M669" i="7"/>
  <c r="M665" i="7" s="1"/>
  <c r="M663" i="7" s="1"/>
  <c r="K669" i="7"/>
  <c r="L669" i="7"/>
  <c r="L665" i="7" s="1"/>
  <c r="L663" i="7" s="1"/>
  <c r="N678" i="7"/>
  <c r="K681" i="7"/>
  <c r="O731" i="7"/>
  <c r="K733" i="7"/>
  <c r="E29" i="1" s="1"/>
  <c r="N737" i="7"/>
  <c r="K742" i="7"/>
  <c r="K793" i="7"/>
  <c r="K792" i="7" s="1"/>
  <c r="L793" i="7"/>
  <c r="L792" i="7" s="1"/>
  <c r="K804" i="7"/>
  <c r="N812" i="7"/>
  <c r="L815" i="7"/>
  <c r="K815" i="7"/>
  <c r="E31" i="1" s="1"/>
  <c r="N819" i="7"/>
  <c r="M815" i="7"/>
  <c r="N372" i="8"/>
  <c r="N618" i="9"/>
  <c r="K705" i="9"/>
  <c r="K704" i="9" s="1"/>
  <c r="K698" i="9" s="1"/>
  <c r="K695" i="9" s="1"/>
  <c r="K693" i="9" s="1"/>
  <c r="N708" i="10"/>
  <c r="M827" i="7"/>
  <c r="L877" i="7"/>
  <c r="L876" i="7" s="1"/>
  <c r="L883" i="7"/>
  <c r="L882" i="7" s="1"/>
  <c r="N909" i="7"/>
  <c r="O909" i="7" s="1"/>
  <c r="M51" i="8"/>
  <c r="N55" i="8"/>
  <c r="O55" i="8" s="1"/>
  <c r="O70" i="8"/>
  <c r="N115" i="8"/>
  <c r="L129" i="8"/>
  <c r="L127" i="8" s="1"/>
  <c r="L125" i="8" s="1"/>
  <c r="K181" i="8"/>
  <c r="K176" i="8" s="1"/>
  <c r="K174" i="8" s="1"/>
  <c r="K203" i="8"/>
  <c r="P254" i="8"/>
  <c r="P271" i="8"/>
  <c r="O329" i="8"/>
  <c r="K332" i="8"/>
  <c r="K357" i="8"/>
  <c r="K356" i="8" s="1"/>
  <c r="K534" i="8"/>
  <c r="K552" i="8"/>
  <c r="L552" i="8"/>
  <c r="K595" i="8"/>
  <c r="L595" i="8"/>
  <c r="N595" i="8" s="1"/>
  <c r="O603" i="8"/>
  <c r="K635" i="8"/>
  <c r="O676" i="8"/>
  <c r="K680" i="8"/>
  <c r="K693" i="8"/>
  <c r="K690" i="8" s="1"/>
  <c r="O701" i="8"/>
  <c r="L794" i="8"/>
  <c r="L790" i="8" s="1"/>
  <c r="L788" i="8" s="1"/>
  <c r="N854" i="8"/>
  <c r="P854" i="8" s="1"/>
  <c r="K858" i="8"/>
  <c r="O915" i="8"/>
  <c r="O1037" i="8"/>
  <c r="N86" i="9"/>
  <c r="O86" i="9" s="1"/>
  <c r="N94" i="9"/>
  <c r="O230" i="9"/>
  <c r="O329" i="9"/>
  <c r="O355" i="9"/>
  <c r="L357" i="9"/>
  <c r="L356" i="9" s="1"/>
  <c r="M378" i="9"/>
  <c r="O382" i="9"/>
  <c r="P414" i="9"/>
  <c r="K416" i="9"/>
  <c r="M432" i="9"/>
  <c r="K432" i="9"/>
  <c r="K611" i="9"/>
  <c r="K610" i="9" s="1"/>
  <c r="L611" i="9"/>
  <c r="K621" i="9"/>
  <c r="M621" i="9"/>
  <c r="M634" i="9"/>
  <c r="M631" i="9" s="1"/>
  <c r="O641" i="9"/>
  <c r="K683" i="9"/>
  <c r="O702" i="9"/>
  <c r="K764" i="9"/>
  <c r="K774" i="9"/>
  <c r="M793" i="9"/>
  <c r="N793" i="9" s="1"/>
  <c r="O793" i="9" s="1"/>
  <c r="N803" i="9"/>
  <c r="K859" i="9"/>
  <c r="K858" i="9" s="1"/>
  <c r="K850" i="9" s="1"/>
  <c r="L870" i="9"/>
  <c r="L869" i="9" s="1"/>
  <c r="L867" i="9" s="1"/>
  <c r="M870" i="9"/>
  <c r="K870" i="9"/>
  <c r="N875" i="9"/>
  <c r="P875" i="9" s="1"/>
  <c r="N974" i="9"/>
  <c r="O974" i="9" s="1"/>
  <c r="N102" i="10"/>
  <c r="O102" i="10" s="1"/>
  <c r="O201" i="10"/>
  <c r="N249" i="10"/>
  <c r="M251" i="10"/>
  <c r="O282" i="10"/>
  <c r="K370" i="10"/>
  <c r="K369" i="10" s="1"/>
  <c r="K367" i="10" s="1"/>
  <c r="L381" i="10"/>
  <c r="K418" i="10"/>
  <c r="K417" i="10" s="1"/>
  <c r="L418" i="10"/>
  <c r="L417" i="10" s="1"/>
  <c r="L407" i="10" s="1"/>
  <c r="L405" i="10" s="1"/>
  <c r="M418" i="10"/>
  <c r="M417" i="10" s="1"/>
  <c r="M407" i="10" s="1"/>
  <c r="M405" i="10" s="1"/>
  <c r="K524" i="10"/>
  <c r="K523" i="10" s="1"/>
  <c r="K522" i="10" s="1"/>
  <c r="K670" i="10"/>
  <c r="L670" i="10"/>
  <c r="K680" i="10"/>
  <c r="L680" i="10"/>
  <c r="M693" i="10"/>
  <c r="K693" i="10"/>
  <c r="K690" i="10" s="1"/>
  <c r="K706" i="10"/>
  <c r="K704" i="10" s="1"/>
  <c r="L706" i="10"/>
  <c r="L704" i="10" s="1"/>
  <c r="O782" i="10"/>
  <c r="N796" i="10"/>
  <c r="M852" i="10"/>
  <c r="M747" i="9"/>
  <c r="M794" i="10"/>
  <c r="M790" i="10" s="1"/>
  <c r="M788" i="10" s="1"/>
  <c r="D567" i="6"/>
  <c r="O541" i="10"/>
  <c r="M763" i="9"/>
  <c r="M761" i="9" s="1"/>
  <c r="L68" i="29"/>
  <c r="M68" i="29" s="1"/>
  <c r="P613" i="8"/>
  <c r="P375" i="9"/>
  <c r="P677" i="10"/>
  <c r="O713" i="10"/>
  <c r="P188" i="10"/>
  <c r="P736" i="9"/>
  <c r="P249" i="9"/>
  <c r="N894" i="7"/>
  <c r="O862" i="10"/>
  <c r="N285" i="9"/>
  <c r="P361" i="7"/>
  <c r="P626" i="9"/>
  <c r="O115" i="10"/>
  <c r="O892" i="7"/>
  <c r="P371" i="10"/>
  <c r="O172" i="9"/>
  <c r="P437" i="9"/>
  <c r="P526" i="8"/>
  <c r="O556" i="10"/>
  <c r="P934" i="10"/>
  <c r="O538" i="8"/>
  <c r="L499" i="25"/>
  <c r="D311" i="6"/>
  <c r="P311" i="6"/>
  <c r="N333" i="6"/>
  <c r="N926" i="7"/>
  <c r="O926" i="7" s="1"/>
  <c r="L617" i="7"/>
  <c r="N617" i="7" s="1"/>
  <c r="P874" i="9"/>
  <c r="O483" i="7"/>
  <c r="P861" i="8"/>
  <c r="O599" i="8"/>
  <c r="O821" i="7"/>
  <c r="N207" i="9"/>
  <c r="O207" i="9" s="1"/>
  <c r="P739" i="7"/>
  <c r="O632" i="8"/>
  <c r="P930" i="10"/>
  <c r="N1080" i="10"/>
  <c r="O1080" i="10" s="1"/>
  <c r="S299" i="6"/>
  <c r="P498" i="6"/>
  <c r="P550" i="6"/>
  <c r="P549" i="6" s="1"/>
  <c r="N764" i="7"/>
  <c r="O764" i="7" s="1"/>
  <c r="L874" i="7"/>
  <c r="L873" i="7" s="1"/>
  <c r="N740" i="8"/>
  <c r="P740" i="8" s="1"/>
  <c r="N876" i="9"/>
  <c r="P876" i="9" s="1"/>
  <c r="M881" i="9"/>
  <c r="M869" i="9" s="1"/>
  <c r="N885" i="9"/>
  <c r="N987" i="9"/>
  <c r="O987" i="9" s="1"/>
  <c r="M1031" i="10"/>
  <c r="M1030" i="10" s="1"/>
  <c r="M1028" i="10" s="1"/>
  <c r="M1027" i="10" s="1"/>
  <c r="L118" i="29"/>
  <c r="L116" i="29" s="1"/>
  <c r="N884" i="9"/>
  <c r="P884" i="9" s="1"/>
  <c r="M433" i="6"/>
  <c r="R289" i="6"/>
  <c r="S289" i="6"/>
  <c r="V448" i="6"/>
  <c r="R448" i="6"/>
  <c r="S448" i="6"/>
  <c r="O629" i="9"/>
  <c r="P629" i="9"/>
  <c r="P688" i="10"/>
  <c r="O688" i="10"/>
  <c r="Q126" i="6"/>
  <c r="G211" i="6"/>
  <c r="G294" i="6"/>
  <c r="G293" i="6" s="1"/>
  <c r="G292" i="6" s="1"/>
  <c r="Q298" i="6"/>
  <c r="O311" i="6"/>
  <c r="S319" i="6"/>
  <c r="D333" i="6"/>
  <c r="E412" i="6"/>
  <c r="E411" i="6" s="1"/>
  <c r="Q413" i="6"/>
  <c r="R413" i="6" s="1"/>
  <c r="P429" i="6"/>
  <c r="E469" i="6"/>
  <c r="Q470" i="6"/>
  <c r="I465" i="6"/>
  <c r="M465" i="6"/>
  <c r="D485" i="6"/>
  <c r="S487" i="6"/>
  <c r="R487" i="6"/>
  <c r="F499" i="6"/>
  <c r="Q500" i="6"/>
  <c r="E503" i="6"/>
  <c r="E498" i="6" s="1"/>
  <c r="Q504" i="6"/>
  <c r="R504" i="6" s="1"/>
  <c r="F503" i="6"/>
  <c r="Q513" i="6"/>
  <c r="R513" i="6" s="1"/>
  <c r="H512" i="6"/>
  <c r="H511" i="6" s="1"/>
  <c r="Q544" i="6"/>
  <c r="R544" i="6" s="1"/>
  <c r="G542" i="6"/>
  <c r="Q553" i="6"/>
  <c r="V553" i="6" s="1"/>
  <c r="F551" i="6"/>
  <c r="S557" i="6"/>
  <c r="H568" i="6"/>
  <c r="Q571" i="6"/>
  <c r="Q575" i="6"/>
  <c r="G574" i="6"/>
  <c r="E574" i="6"/>
  <c r="E567" i="6" s="1"/>
  <c r="Q576" i="6"/>
  <c r="R576" i="6" s="1"/>
  <c r="V579" i="6"/>
  <c r="R579" i="6"/>
  <c r="F574" i="6"/>
  <c r="Q580" i="6"/>
  <c r="V580" i="6" s="1"/>
  <c r="Q592" i="6"/>
  <c r="G591" i="6"/>
  <c r="G590" i="6" s="1"/>
  <c r="S620" i="6"/>
  <c r="G626" i="6"/>
  <c r="Q627" i="6"/>
  <c r="G650" i="6"/>
  <c r="Q651" i="6"/>
  <c r="F650" i="6"/>
  <c r="F644" i="6" s="1"/>
  <c r="Q654" i="6"/>
  <c r="R654" i="6" s="1"/>
  <c r="F668" i="6"/>
  <c r="Q669" i="6"/>
  <c r="N1074" i="10"/>
  <c r="O1074" i="10" s="1"/>
  <c r="M258" i="29"/>
  <c r="O258" i="29" s="1"/>
  <c r="L257" i="29"/>
  <c r="M257" i="29" s="1"/>
  <c r="O257" i="29" s="1"/>
  <c r="Q397" i="30"/>
  <c r="R397" i="30"/>
  <c r="R296" i="6"/>
  <c r="L13" i="6"/>
  <c r="S670" i="6"/>
  <c r="R670" i="6"/>
  <c r="P210" i="9"/>
  <c r="O210" i="9"/>
  <c r="M72" i="7"/>
  <c r="N72" i="7" s="1"/>
  <c r="O72" i="7" s="1"/>
  <c r="N73" i="7"/>
  <c r="O73" i="7" s="1"/>
  <c r="L223" i="7"/>
  <c r="N224" i="7"/>
  <c r="O224" i="7" s="1"/>
  <c r="P842" i="8"/>
  <c r="O842" i="8"/>
  <c r="M733" i="7"/>
  <c r="N734" i="7"/>
  <c r="O734" i="7" s="1"/>
  <c r="M743" i="7"/>
  <c r="N743" i="7" s="1"/>
  <c r="O743" i="7" s="1"/>
  <c r="N746" i="7"/>
  <c r="O746" i="7" s="1"/>
  <c r="L770" i="7"/>
  <c r="L769" i="7" s="1"/>
  <c r="N771" i="7"/>
  <c r="O771" i="7" s="1"/>
  <c r="L828" i="7"/>
  <c r="N829" i="7"/>
  <c r="P829" i="7" s="1"/>
  <c r="L864" i="7"/>
  <c r="N867" i="7"/>
  <c r="N68" i="8"/>
  <c r="M67" i="8"/>
  <c r="M66" i="8" s="1"/>
  <c r="M59" i="8" s="1"/>
  <c r="M57" i="8" s="1"/>
  <c r="N149" i="8"/>
  <c r="O149" i="8" s="1"/>
  <c r="M148" i="8"/>
  <c r="N148" i="8" s="1"/>
  <c r="O148" i="8" s="1"/>
  <c r="P360" i="8"/>
  <c r="O360" i="8"/>
  <c r="L590" i="8"/>
  <c r="N592" i="8"/>
  <c r="L666" i="8"/>
  <c r="N667" i="8"/>
  <c r="N745" i="8"/>
  <c r="O745" i="8" s="1"/>
  <c r="M743" i="8"/>
  <c r="M742" i="8" s="1"/>
  <c r="N760" i="8"/>
  <c r="O760" i="8" s="1"/>
  <c r="M758" i="8"/>
  <c r="M757" i="8" s="1"/>
  <c r="M754" i="8" s="1"/>
  <c r="N933" i="8"/>
  <c r="L929" i="8"/>
  <c r="K981" i="8"/>
  <c r="O981" i="8" s="1"/>
  <c r="P982" i="8"/>
  <c r="M1008" i="8"/>
  <c r="M1007" i="8" s="1"/>
  <c r="N1009" i="8"/>
  <c r="O1009" i="8" s="1"/>
  <c r="M1059" i="8"/>
  <c r="N1062" i="8"/>
  <c r="O1062" i="8" s="1"/>
  <c r="N90" i="9"/>
  <c r="O90" i="9" s="1"/>
  <c r="M89" i="9"/>
  <c r="M88" i="9" s="1"/>
  <c r="N106" i="9"/>
  <c r="M105" i="9"/>
  <c r="M104" i="9" s="1"/>
  <c r="L114" i="9"/>
  <c r="N115" i="9"/>
  <c r="M151" i="9"/>
  <c r="N153" i="9"/>
  <c r="M184" i="9"/>
  <c r="N185" i="9"/>
  <c r="L244" i="9"/>
  <c r="N245" i="9"/>
  <c r="N252" i="9"/>
  <c r="O252" i="9" s="1"/>
  <c r="M251" i="9"/>
  <c r="L264" i="9"/>
  <c r="N267" i="9"/>
  <c r="O267" i="9" s="1"/>
  <c r="L270" i="9"/>
  <c r="L269" i="9" s="1"/>
  <c r="N271" i="9"/>
  <c r="N327" i="9"/>
  <c r="O327" i="9" s="1"/>
  <c r="M326" i="9"/>
  <c r="N333" i="9"/>
  <c r="M332" i="9"/>
  <c r="M331" i="9" s="1"/>
  <c r="L386" i="9"/>
  <c r="N388" i="9"/>
  <c r="N422" i="9"/>
  <c r="P422" i="9" s="1"/>
  <c r="M420" i="9"/>
  <c r="N420" i="9" s="1"/>
  <c r="P420" i="9" s="1"/>
  <c r="P429" i="9"/>
  <c r="O429" i="9"/>
  <c r="N579" i="9"/>
  <c r="O579" i="9" s="1"/>
  <c r="L578" i="9"/>
  <c r="N648" i="9"/>
  <c r="L647" i="9"/>
  <c r="L645" i="9" s="1"/>
  <c r="N737" i="9"/>
  <c r="M735" i="9"/>
  <c r="M731" i="9" s="1"/>
  <c r="M729" i="9" s="1"/>
  <c r="N776" i="9"/>
  <c r="O776" i="9" s="1"/>
  <c r="M775" i="9"/>
  <c r="M827" i="9"/>
  <c r="N828" i="9"/>
  <c r="N870" i="9"/>
  <c r="M893" i="9"/>
  <c r="N895" i="9"/>
  <c r="L949" i="9"/>
  <c r="L948" i="9" s="1"/>
  <c r="N950" i="9"/>
  <c r="O950" i="9" s="1"/>
  <c r="N975" i="9"/>
  <c r="O975" i="9" s="1"/>
  <c r="M972" i="9"/>
  <c r="M971" i="9" s="1"/>
  <c r="M969" i="9" s="1"/>
  <c r="M968" i="9" s="1"/>
  <c r="M990" i="9"/>
  <c r="N991" i="9"/>
  <c r="O991" i="9" s="1"/>
  <c r="N22" i="10"/>
  <c r="M20" i="10"/>
  <c r="L49" i="10"/>
  <c r="N50" i="10"/>
  <c r="O50" i="10" s="1"/>
  <c r="L89" i="10"/>
  <c r="L88" i="10" s="1"/>
  <c r="N90" i="10"/>
  <c r="O90" i="10" s="1"/>
  <c r="N106" i="10"/>
  <c r="L105" i="10"/>
  <c r="L104" i="10" s="1"/>
  <c r="L137" i="10"/>
  <c r="N138" i="10"/>
  <c r="O138" i="10" s="1"/>
  <c r="M148" i="10"/>
  <c r="N148" i="10" s="1"/>
  <c r="O148" i="10" s="1"/>
  <c r="N149" i="10"/>
  <c r="O149" i="10" s="1"/>
  <c r="L151" i="10"/>
  <c r="N154" i="10"/>
  <c r="L155" i="10"/>
  <c r="N156" i="10"/>
  <c r="P156" i="10" s="1"/>
  <c r="L204" i="10"/>
  <c r="N204" i="10" s="1"/>
  <c r="O204" i="10" s="1"/>
  <c r="N205" i="10"/>
  <c r="O205" i="10" s="1"/>
  <c r="L212" i="10"/>
  <c r="N213" i="10"/>
  <c r="O213" i="10" s="1"/>
  <c r="L219" i="10"/>
  <c r="N220" i="10"/>
  <c r="O220" i="10" s="1"/>
  <c r="L223" i="10"/>
  <c r="N224" i="10"/>
  <c r="O224" i="10" s="1"/>
  <c r="N266" i="10"/>
  <c r="O266" i="10" s="1"/>
  <c r="M264" i="10"/>
  <c r="L285" i="10"/>
  <c r="L284" i="10" s="1"/>
  <c r="L278" i="10" s="1"/>
  <c r="L275" i="10" s="1"/>
  <c r="N286" i="10"/>
  <c r="N359" i="10"/>
  <c r="L357" i="10"/>
  <c r="L356" i="10" s="1"/>
  <c r="N418" i="10"/>
  <c r="M496" i="10"/>
  <c r="N498" i="10"/>
  <c r="N528" i="10"/>
  <c r="L524" i="10"/>
  <c r="P531" i="10"/>
  <c r="O531" i="10"/>
  <c r="N550" i="10"/>
  <c r="P550" i="10" s="1"/>
  <c r="L548" i="10"/>
  <c r="N548" i="10" s="1"/>
  <c r="N651" i="10"/>
  <c r="M650" i="10"/>
  <c r="M649" i="10" s="1"/>
  <c r="N683" i="10"/>
  <c r="M680" i="10"/>
  <c r="M690" i="10"/>
  <c r="N697" i="10"/>
  <c r="O697" i="10" s="1"/>
  <c r="L693" i="10"/>
  <c r="L690" i="10" s="1"/>
  <c r="N808" i="10"/>
  <c r="O808" i="10" s="1"/>
  <c r="M807" i="10"/>
  <c r="L1049" i="10"/>
  <c r="L1048" i="10" s="1"/>
  <c r="L1042" i="10" s="1"/>
  <c r="L1040" i="10" s="1"/>
  <c r="L1039" i="10" s="1"/>
  <c r="N1050" i="10"/>
  <c r="O1050" i="10" s="1"/>
  <c r="M49" i="25"/>
  <c r="O49" i="25" s="1"/>
  <c r="L47" i="25"/>
  <c r="L84" i="25"/>
  <c r="M84" i="25" s="1"/>
  <c r="M86" i="25"/>
  <c r="O86" i="25" s="1"/>
  <c r="M166" i="25"/>
  <c r="O166" i="25" s="1"/>
  <c r="L161" i="25"/>
  <c r="M161" i="25" s="1"/>
  <c r="M178" i="25"/>
  <c r="L175" i="25"/>
  <c r="M249" i="25"/>
  <c r="O249" i="25" s="1"/>
  <c r="L245" i="25"/>
  <c r="M245" i="25" s="1"/>
  <c r="O245" i="25" s="1"/>
  <c r="L358" i="25"/>
  <c r="M359" i="25"/>
  <c r="O359" i="25" s="1"/>
  <c r="O358" i="25" s="1"/>
  <c r="O357" i="25" s="1"/>
  <c r="M793" i="25"/>
  <c r="O793" i="25" s="1"/>
  <c r="L790" i="25"/>
  <c r="L788" i="25" s="1"/>
  <c r="M788" i="25" s="1"/>
  <c r="O788" i="25" s="1"/>
  <c r="L838" i="25"/>
  <c r="M842" i="25"/>
  <c r="O842" i="25" s="1"/>
  <c r="M50" i="29"/>
  <c r="O50" i="29" s="1"/>
  <c r="L47" i="29"/>
  <c r="L223" i="29"/>
  <c r="M223" i="29" s="1"/>
  <c r="M226" i="29"/>
  <c r="O226" i="29" s="1"/>
  <c r="M483" i="29"/>
  <c r="L482" i="29"/>
  <c r="M482" i="29" s="1"/>
  <c r="M649" i="29"/>
  <c r="L646" i="29"/>
  <c r="M828" i="29"/>
  <c r="O828" i="29" s="1"/>
  <c r="L827" i="29"/>
  <c r="M841" i="29"/>
  <c r="O841" i="29" s="1"/>
  <c r="L839" i="29"/>
  <c r="M839" i="29" s="1"/>
  <c r="O839" i="29" s="1"/>
  <c r="M24" i="8"/>
  <c r="N582" i="7"/>
  <c r="O582" i="7" s="1"/>
  <c r="F681" i="6"/>
  <c r="N523" i="7"/>
  <c r="O523" i="7" s="1"/>
  <c r="M550" i="7"/>
  <c r="M549" i="7" s="1"/>
  <c r="N86" i="7"/>
  <c r="O86" i="7" s="1"/>
  <c r="N786" i="7"/>
  <c r="O602" i="7"/>
  <c r="O688" i="7"/>
  <c r="O30" i="8"/>
  <c r="M488" i="7"/>
  <c r="N488" i="7" s="1"/>
  <c r="O561" i="7"/>
  <c r="L641" i="7"/>
  <c r="N761" i="9"/>
  <c r="O299" i="7"/>
  <c r="L760" i="7"/>
  <c r="L754" i="7" s="1"/>
  <c r="L752" i="7" s="1"/>
  <c r="L203" i="10"/>
  <c r="K655" i="7"/>
  <c r="K654" i="7" s="1"/>
  <c r="P506" i="7"/>
  <c r="N425" i="7"/>
  <c r="N124" i="7"/>
  <c r="O124" i="7" s="1"/>
  <c r="L733" i="7"/>
  <c r="N899" i="7"/>
  <c r="O899" i="7" s="1"/>
  <c r="L908" i="7"/>
  <c r="N205" i="7"/>
  <c r="O205" i="7" s="1"/>
  <c r="N21" i="8"/>
  <c r="P21" i="8" s="1"/>
  <c r="M558" i="7"/>
  <c r="Q712" i="6"/>
  <c r="R712" i="6" s="1"/>
  <c r="K613" i="7"/>
  <c r="K611" i="7" s="1"/>
  <c r="K609" i="7" s="1"/>
  <c r="K607" i="7" s="1"/>
  <c r="O555" i="8"/>
  <c r="P947" i="8"/>
  <c r="N253" i="7"/>
  <c r="O253" i="7" s="1"/>
  <c r="N649" i="7"/>
  <c r="G681" i="6"/>
  <c r="G679" i="6" s="1"/>
  <c r="N345" i="7"/>
  <c r="M91" i="6"/>
  <c r="M649" i="7"/>
  <c r="M648" i="7" s="1"/>
  <c r="M645" i="7" s="1"/>
  <c r="M643" i="7" s="1"/>
  <c r="N56" i="8"/>
  <c r="O56" i="8" s="1"/>
  <c r="N348" i="8"/>
  <c r="N884" i="7"/>
  <c r="F33" i="1" s="1"/>
  <c r="G33" i="1" s="1"/>
  <c r="M27" i="7"/>
  <c r="P781" i="8"/>
  <c r="O810" i="8"/>
  <c r="O818" i="7"/>
  <c r="O695" i="8"/>
  <c r="O1013" i="10"/>
  <c r="O691" i="9"/>
  <c r="O750" i="8"/>
  <c r="M132" i="8"/>
  <c r="M129" i="8" s="1"/>
  <c r="M127" i="8" s="1"/>
  <c r="L742" i="10"/>
  <c r="L734" i="10" s="1"/>
  <c r="L732" i="10" s="1"/>
  <c r="L858" i="10"/>
  <c r="N919" i="10"/>
  <c r="P930" i="8"/>
  <c r="P230" i="10"/>
  <c r="P1014" i="10"/>
  <c r="O336" i="9"/>
  <c r="J31" i="6"/>
  <c r="N31" i="6"/>
  <c r="O103" i="6"/>
  <c r="O102" i="6" s="1"/>
  <c r="K103" i="6"/>
  <c r="K102" i="6" s="1"/>
  <c r="D124" i="6"/>
  <c r="M124" i="6"/>
  <c r="M193" i="6"/>
  <c r="I236" i="6"/>
  <c r="M236" i="6"/>
  <c r="M429" i="6"/>
  <c r="K780" i="10"/>
  <c r="K779" i="10" s="1"/>
  <c r="N798" i="10"/>
  <c r="N802" i="10"/>
  <c r="O70" i="7"/>
  <c r="N1049" i="10"/>
  <c r="O1049" i="10" s="1"/>
  <c r="O1009" i="10"/>
  <c r="O992" i="10"/>
  <c r="O751" i="9"/>
  <c r="O549" i="10"/>
  <c r="P156" i="7"/>
  <c r="E218" i="6"/>
  <c r="E210" i="6" s="1"/>
  <c r="Q220" i="6"/>
  <c r="R220" i="6" s="1"/>
  <c r="H429" i="6"/>
  <c r="Q452" i="6"/>
  <c r="G445" i="6"/>
  <c r="E465" i="6"/>
  <c r="J465" i="6"/>
  <c r="F465" i="6"/>
  <c r="R489" i="6"/>
  <c r="S489" i="6"/>
  <c r="R493" i="6"/>
  <c r="S493" i="6"/>
  <c r="J498" i="6"/>
  <c r="H530" i="6"/>
  <c r="Q533" i="6"/>
  <c r="Q569" i="6"/>
  <c r="K567" i="6"/>
  <c r="Q584" i="6"/>
  <c r="R584" i="6" s="1"/>
  <c r="E583" i="6"/>
  <c r="V631" i="6"/>
  <c r="R631" i="6"/>
  <c r="G644" i="6"/>
  <c r="G672" i="6"/>
  <c r="Q673" i="6"/>
  <c r="R673" i="6" s="1"/>
  <c r="N80" i="7"/>
  <c r="O80" i="7" s="1"/>
  <c r="M79" i="7"/>
  <c r="M78" i="7" s="1"/>
  <c r="N78" i="7" s="1"/>
  <c r="K144" i="7"/>
  <c r="K143" i="7" s="1"/>
  <c r="E8" i="1"/>
  <c r="N228" i="7"/>
  <c r="O228" i="7" s="1"/>
  <c r="M226" i="7"/>
  <c r="N266" i="7"/>
  <c r="M264" i="7"/>
  <c r="L323" i="7"/>
  <c r="N324" i="7"/>
  <c r="N445" i="7"/>
  <c r="L443" i="7"/>
  <c r="P491" i="8"/>
  <c r="O491" i="8"/>
  <c r="N514" i="7"/>
  <c r="L510" i="7"/>
  <c r="M516" i="7"/>
  <c r="N517" i="7"/>
  <c r="N25" i="8"/>
  <c r="O25" i="8" s="1"/>
  <c r="P196" i="9"/>
  <c r="L305" i="25"/>
  <c r="M305" i="25" s="1"/>
  <c r="O305" i="25" s="1"/>
  <c r="P305" i="25" s="1"/>
  <c r="P651" i="8"/>
  <c r="O565" i="7"/>
  <c r="L567" i="6"/>
  <c r="P592" i="8"/>
  <c r="O592" i="8"/>
  <c r="N370" i="9"/>
  <c r="O715" i="7"/>
  <c r="O714" i="7" s="1"/>
  <c r="O307" i="19"/>
  <c r="O304" i="19" s="1"/>
  <c r="V304" i="19" s="1"/>
  <c r="O567" i="8"/>
  <c r="P245" i="7"/>
  <c r="N137" i="10"/>
  <c r="O137" i="10" s="1"/>
  <c r="O525" i="10"/>
  <c r="M1048" i="10"/>
  <c r="N989" i="10"/>
  <c r="O989" i="10" s="1"/>
  <c r="N666" i="6"/>
  <c r="D227" i="6"/>
  <c r="K726" i="7"/>
  <c r="K724" i="7" s="1"/>
  <c r="K722" i="7" s="1"/>
  <c r="K720" i="7" s="1"/>
  <c r="O388" i="8"/>
  <c r="O386" i="8" s="1"/>
  <c r="O817" i="7"/>
  <c r="P992" i="10"/>
  <c r="O597" i="8"/>
  <c r="K529" i="6"/>
  <c r="O474" i="7"/>
  <c r="P474" i="7"/>
  <c r="M727" i="7"/>
  <c r="N727" i="7" s="1"/>
  <c r="N729" i="7"/>
  <c r="O729" i="7" s="1"/>
  <c r="N796" i="7"/>
  <c r="O796" i="7" s="1"/>
  <c r="M793" i="7"/>
  <c r="M792" i="7" s="1"/>
  <c r="N792" i="7" s="1"/>
  <c r="K119" i="7"/>
  <c r="K114" i="8"/>
  <c r="K112" i="8" s="1"/>
  <c r="M212" i="8"/>
  <c r="N212" i="8" s="1"/>
  <c r="O212" i="8" s="1"/>
  <c r="N213" i="8"/>
  <c r="O213" i="8" s="1"/>
  <c r="N301" i="8"/>
  <c r="O301" i="8" s="1"/>
  <c r="M299" i="8"/>
  <c r="N320" i="8"/>
  <c r="N319" i="8" s="1"/>
  <c r="L319" i="8"/>
  <c r="L318" i="8" s="1"/>
  <c r="L314" i="8" s="1"/>
  <c r="N327" i="8"/>
  <c r="O327" i="8" s="1"/>
  <c r="M326" i="8"/>
  <c r="M325" i="8" s="1"/>
  <c r="L321" i="7"/>
  <c r="N337" i="8"/>
  <c r="L738" i="8"/>
  <c r="L736" i="8" s="1"/>
  <c r="N739" i="8"/>
  <c r="N808" i="8"/>
  <c r="O808" i="8" s="1"/>
  <c r="M683" i="7"/>
  <c r="N683" i="7" s="1"/>
  <c r="O683" i="7" s="1"/>
  <c r="L834" i="8"/>
  <c r="N837" i="8"/>
  <c r="O837" i="8" s="1"/>
  <c r="M858" i="8"/>
  <c r="M851" i="8" s="1"/>
  <c r="M849" i="8" s="1"/>
  <c r="N859" i="8"/>
  <c r="P863" i="8"/>
  <c r="O863" i="8"/>
  <c r="L886" i="8"/>
  <c r="N887" i="8"/>
  <c r="M940" i="8"/>
  <c r="N941" i="8"/>
  <c r="N1041" i="8"/>
  <c r="O1041" i="8" s="1"/>
  <c r="L1040" i="8"/>
  <c r="N1040" i="8" s="1"/>
  <c r="N188" i="9"/>
  <c r="M187" i="9"/>
  <c r="L226" i="9"/>
  <c r="L222" i="9" s="1"/>
  <c r="L216" i="9" s="1"/>
  <c r="L214" i="9" s="1"/>
  <c r="N229" i="9"/>
  <c r="O229" i="9" s="1"/>
  <c r="M343" i="9"/>
  <c r="M342" i="9" s="1"/>
  <c r="M340" i="9" s="1"/>
  <c r="M338" i="9" s="1"/>
  <c r="P419" i="9"/>
  <c r="M529" i="9"/>
  <c r="M528" i="9" s="1"/>
  <c r="M522" i="9" s="1"/>
  <c r="M520" i="9" s="1"/>
  <c r="N533" i="9"/>
  <c r="N597" i="9"/>
  <c r="L595" i="9"/>
  <c r="N608" i="9"/>
  <c r="O608" i="9" s="1"/>
  <c r="O607" i="9" s="1"/>
  <c r="M607" i="9"/>
  <c r="N612" i="9"/>
  <c r="P612" i="9" s="1"/>
  <c r="M611" i="9"/>
  <c r="M610" i="9" s="1"/>
  <c r="N685" i="9"/>
  <c r="O685" i="9" s="1"/>
  <c r="M684" i="9"/>
  <c r="M683" i="9" s="1"/>
  <c r="N700" i="9"/>
  <c r="O700" i="9" s="1"/>
  <c r="M699" i="9"/>
  <c r="N717" i="9"/>
  <c r="O717" i="9" s="1"/>
  <c r="M715" i="9"/>
  <c r="L754" i="9"/>
  <c r="L753" i="9" s="1"/>
  <c r="L747" i="9" s="1"/>
  <c r="N747" i="9" s="1"/>
  <c r="N755" i="9"/>
  <c r="M859" i="9"/>
  <c r="M858" i="9" s="1"/>
  <c r="N858" i="9" s="1"/>
  <c r="O858" i="9" s="1"/>
  <c r="N860" i="9"/>
  <c r="O860" i="9" s="1"/>
  <c r="L930" i="9"/>
  <c r="L929" i="9" s="1"/>
  <c r="L927" i="9" s="1"/>
  <c r="L925" i="9" s="1"/>
  <c r="N933" i="9"/>
  <c r="N962" i="9"/>
  <c r="O962" i="9" s="1"/>
  <c r="M960" i="9"/>
  <c r="M957" i="9" s="1"/>
  <c r="M952" i="9" s="1"/>
  <c r="M951" i="9" s="1"/>
  <c r="N52" i="10"/>
  <c r="O52" i="10" s="1"/>
  <c r="M51" i="10"/>
  <c r="M95" i="10"/>
  <c r="M94" i="10" s="1"/>
  <c r="N96" i="10"/>
  <c r="P96" i="10" s="1"/>
  <c r="N396" i="10"/>
  <c r="O396" i="10" s="1"/>
  <c r="M395" i="10"/>
  <c r="N655" i="10"/>
  <c r="O655" i="10" s="1"/>
  <c r="M654" i="10"/>
  <c r="M653" i="10" s="1"/>
  <c r="M706" i="10"/>
  <c r="M704" i="10" s="1"/>
  <c r="N710" i="10"/>
  <c r="N740" i="10"/>
  <c r="O740" i="10" s="1"/>
  <c r="M738" i="10"/>
  <c r="M61" i="25"/>
  <c r="O61" i="25" s="1"/>
  <c r="L59" i="25"/>
  <c r="M59" i="25" s="1"/>
  <c r="O59" i="25" s="1"/>
  <c r="M74" i="25"/>
  <c r="O74" i="25" s="1"/>
  <c r="L69" i="25"/>
  <c r="M99" i="25"/>
  <c r="O99" i="25" s="1"/>
  <c r="L93" i="25"/>
  <c r="L91" i="25" s="1"/>
  <c r="M191" i="25"/>
  <c r="O191" i="25" s="1"/>
  <c r="L189" i="25"/>
  <c r="M189" i="25" s="1"/>
  <c r="M205" i="25"/>
  <c r="O205" i="25" s="1"/>
  <c r="L204" i="25"/>
  <c r="M204" i="25" s="1"/>
  <c r="O204" i="25" s="1"/>
  <c r="M267" i="25"/>
  <c r="O267" i="25" s="1"/>
  <c r="L265" i="25"/>
  <c r="M315" i="25"/>
  <c r="O315" i="25" s="1"/>
  <c r="L314" i="25"/>
  <c r="M326" i="25"/>
  <c r="O326" i="25" s="1"/>
  <c r="L322" i="25"/>
  <c r="M333" i="25"/>
  <c r="O333" i="25" s="1"/>
  <c r="L330" i="25"/>
  <c r="M330" i="25" s="1"/>
  <c r="O330" i="25" s="1"/>
  <c r="M401" i="25"/>
  <c r="L397" i="25"/>
  <c r="M397" i="25" s="1"/>
  <c r="P397" i="25" s="1"/>
  <c r="M428" i="25"/>
  <c r="L425" i="25"/>
  <c r="M425" i="25" s="1"/>
  <c r="P425" i="25" s="1"/>
  <c r="M433" i="25"/>
  <c r="L430" i="25"/>
  <c r="M430" i="25" s="1"/>
  <c r="P430" i="25" s="1"/>
  <c r="L645" i="25"/>
  <c r="M646" i="25"/>
  <c r="M660" i="25"/>
  <c r="O660" i="25" s="1"/>
  <c r="L659" i="25"/>
  <c r="L658" i="25" s="1"/>
  <c r="M658" i="25" s="1"/>
  <c r="M677" i="25"/>
  <c r="L672" i="25"/>
  <c r="M707" i="25"/>
  <c r="L701" i="25"/>
  <c r="L693" i="25" s="1"/>
  <c r="M693" i="25" s="1"/>
  <c r="M737" i="25"/>
  <c r="L729" i="25"/>
  <c r="M729" i="25" s="1"/>
  <c r="M751" i="25"/>
  <c r="L750" i="25"/>
  <c r="M750" i="25" s="1"/>
  <c r="M773" i="25"/>
  <c r="O773" i="25" s="1"/>
  <c r="L772" i="25"/>
  <c r="L770" i="25" s="1"/>
  <c r="M770" i="25" s="1"/>
  <c r="O770" i="25" s="1"/>
  <c r="M785" i="25"/>
  <c r="O785" i="25" s="1"/>
  <c r="L781" i="25"/>
  <c r="M781" i="25" s="1"/>
  <c r="O781" i="25" s="1"/>
  <c r="M801" i="25"/>
  <c r="O801" i="25" s="1"/>
  <c r="L799" i="25"/>
  <c r="M809" i="25"/>
  <c r="O809" i="25" s="1"/>
  <c r="L808" i="25"/>
  <c r="M813" i="25"/>
  <c r="O813" i="25" s="1"/>
  <c r="L853" i="25"/>
  <c r="L854" i="25" s="1"/>
  <c r="M821" i="25"/>
  <c r="O821" i="25" s="1"/>
  <c r="L817" i="25"/>
  <c r="M207" i="29"/>
  <c r="O207" i="29" s="1"/>
  <c r="L204" i="29"/>
  <c r="M204" i="29" s="1"/>
  <c r="O204" i="29" s="1"/>
  <c r="M247" i="29"/>
  <c r="O247" i="29" s="1"/>
  <c r="L246" i="29"/>
  <c r="M246" i="29" s="1"/>
  <c r="O246" i="29" s="1"/>
  <c r="M362" i="29"/>
  <c r="O362" i="29" s="1"/>
  <c r="L359" i="29"/>
  <c r="M359" i="29" s="1"/>
  <c r="M598" i="29"/>
  <c r="L597" i="29"/>
  <c r="M664" i="29"/>
  <c r="L660" i="29"/>
  <c r="M792" i="29"/>
  <c r="O792" i="29" s="1"/>
  <c r="L791" i="29"/>
  <c r="M820" i="29"/>
  <c r="O820" i="29" s="1"/>
  <c r="L818" i="29"/>
  <c r="N880" i="7"/>
  <c r="O880" i="7" s="1"/>
  <c r="O571" i="7"/>
  <c r="P575" i="7"/>
  <c r="P528" i="8"/>
  <c r="M764" i="7"/>
  <c r="M24" i="9"/>
  <c r="O415" i="8"/>
  <c r="N345" i="9"/>
  <c r="M989" i="8"/>
  <c r="M988" i="8" s="1"/>
  <c r="M986" i="8" s="1"/>
  <c r="M984" i="8" s="1"/>
  <c r="O777" i="8"/>
  <c r="L858" i="8"/>
  <c r="O911" i="7"/>
  <c r="N61" i="9"/>
  <c r="P61" i="9" s="1"/>
  <c r="N555" i="7"/>
  <c r="M632" i="7"/>
  <c r="M629" i="7" s="1"/>
  <c r="M627" i="7" s="1"/>
  <c r="O163" i="7"/>
  <c r="L568" i="7"/>
  <c r="P657" i="7"/>
  <c r="L693" i="8"/>
  <c r="L690" i="8" s="1"/>
  <c r="M490" i="8"/>
  <c r="M489" i="8" s="1"/>
  <c r="M483" i="8" s="1"/>
  <c r="M481" i="8" s="1"/>
  <c r="N121" i="8"/>
  <c r="O121" i="8" s="1"/>
  <c r="N640" i="8"/>
  <c r="N348" i="9"/>
  <c r="P348" i="9" s="1"/>
  <c r="O462" i="9"/>
  <c r="O633" i="8"/>
  <c r="O742" i="9"/>
  <c r="P575" i="9"/>
  <c r="O887" i="9"/>
  <c r="P415" i="10"/>
  <c r="P736" i="7"/>
  <c r="N205" i="8"/>
  <c r="N967" i="8"/>
  <c r="O967" i="8" s="1"/>
  <c r="N855" i="10"/>
  <c r="O855" i="10" s="1"/>
  <c r="M110" i="8"/>
  <c r="M108" i="8" s="1"/>
  <c r="O678" i="8"/>
  <c r="O73" i="9"/>
  <c r="P614" i="9"/>
  <c r="O355" i="10"/>
  <c r="O240" i="10"/>
  <c r="P185" i="10"/>
  <c r="P900" i="9"/>
  <c r="O651" i="9"/>
  <c r="K314" i="9"/>
  <c r="O571" i="9"/>
  <c r="O302" i="7"/>
  <c r="N67" i="10"/>
  <c r="O67" i="10" s="1"/>
  <c r="O282" i="9"/>
  <c r="P628" i="9"/>
  <c r="O699" i="8"/>
  <c r="M175" i="25"/>
  <c r="M181" i="10"/>
  <c r="M176" i="10" s="1"/>
  <c r="M174" i="10" s="1"/>
  <c r="R174" i="10" s="1"/>
  <c r="O372" i="7"/>
  <c r="O887" i="10"/>
  <c r="N886" i="10"/>
  <c r="R319" i="6"/>
  <c r="O187" i="8"/>
  <c r="O685" i="7"/>
  <c r="P685" i="7"/>
  <c r="L489" i="8"/>
  <c r="L483" i="8" s="1"/>
  <c r="P678" i="7"/>
  <c r="O678" i="7"/>
  <c r="L994" i="10"/>
  <c r="P887" i="10"/>
  <c r="P527" i="10"/>
  <c r="O527" i="10"/>
  <c r="P576" i="10"/>
  <c r="O576" i="10"/>
  <c r="O530" i="8"/>
  <c r="P530" i="8"/>
  <c r="O627" i="9"/>
  <c r="P627" i="9"/>
  <c r="S592" i="6"/>
  <c r="R592" i="6"/>
  <c r="P873" i="9"/>
  <c r="O873" i="9"/>
  <c r="N666" i="10"/>
  <c r="O667" i="10"/>
  <c r="O666" i="10" s="1"/>
  <c r="E50" i="6"/>
  <c r="Q51" i="6"/>
  <c r="E95" i="6"/>
  <c r="E91" i="6" s="1"/>
  <c r="Q96" i="6"/>
  <c r="Q98" i="6"/>
  <c r="H95" i="6"/>
  <c r="H91" i="6" s="1"/>
  <c r="H103" i="6"/>
  <c r="H102" i="6" s="1"/>
  <c r="Q104" i="6"/>
  <c r="Q131" i="6"/>
  <c r="R131" i="6" s="1"/>
  <c r="G136" i="6"/>
  <c r="G135" i="6" s="1"/>
  <c r="Q137" i="6"/>
  <c r="R137" i="6" s="1"/>
  <c r="K135" i="6"/>
  <c r="R144" i="6"/>
  <c r="D139" i="6"/>
  <c r="F170" i="6"/>
  <c r="F169" i="6" s="1"/>
  <c r="Q171" i="6"/>
  <c r="R171" i="6" s="1"/>
  <c r="G178" i="6"/>
  <c r="G177" i="6" s="1"/>
  <c r="Q179" i="6"/>
  <c r="V179" i="6" s="1"/>
  <c r="K177" i="6"/>
  <c r="E193" i="6"/>
  <c r="Q194" i="6"/>
  <c r="R194" i="6" s="1"/>
  <c r="Q268" i="6"/>
  <c r="R268" i="6" s="1"/>
  <c r="G265" i="6"/>
  <c r="G255" i="6" s="1"/>
  <c r="G253" i="6" s="1"/>
  <c r="R287" i="6"/>
  <c r="R299" i="6"/>
  <c r="F351" i="6"/>
  <c r="Q352" i="6"/>
  <c r="R352" i="6" s="1"/>
  <c r="R351" i="6" s="1"/>
  <c r="S377" i="6"/>
  <c r="M385" i="6"/>
  <c r="R406" i="6"/>
  <c r="S406" i="6"/>
  <c r="V319" i="6"/>
  <c r="P688" i="8"/>
  <c r="P553" i="9"/>
  <c r="P797" i="9"/>
  <c r="O686" i="8"/>
  <c r="N689" i="7"/>
  <c r="O241" i="10"/>
  <c r="N238" i="10"/>
  <c r="O70" i="10"/>
  <c r="P423" i="7"/>
  <c r="O423" i="7"/>
  <c r="S540" i="6"/>
  <c r="R540" i="6"/>
  <c r="N769" i="7"/>
  <c r="M760" i="7"/>
  <c r="M754" i="7" s="1"/>
  <c r="P241" i="9"/>
  <c r="O241" i="9"/>
  <c r="N248" i="8"/>
  <c r="L247" i="8"/>
  <c r="N247" i="8" s="1"/>
  <c r="P388" i="10"/>
  <c r="P386" i="10" s="1"/>
  <c r="P377" i="10" s="1"/>
  <c r="N386" i="10"/>
  <c r="M198" i="10"/>
  <c r="N199" i="10"/>
  <c r="P63" i="10"/>
  <c r="O63" i="10"/>
  <c r="O722" i="9"/>
  <c r="P722" i="9"/>
  <c r="L378" i="9"/>
  <c r="N381" i="9"/>
  <c r="N378" i="9" s="1"/>
  <c r="O378" i="9" s="1"/>
  <c r="O955" i="10"/>
  <c r="P955" i="10"/>
  <c r="M480" i="29"/>
  <c r="P163" i="7"/>
  <c r="P681" i="8"/>
  <c r="O681" i="8"/>
  <c r="P738" i="7"/>
  <c r="O738" i="7"/>
  <c r="N72" i="9"/>
  <c r="O72" i="9" s="1"/>
  <c r="M66" i="9"/>
  <c r="M59" i="9" s="1"/>
  <c r="M57" i="9" s="1"/>
  <c r="O816" i="9"/>
  <c r="P816" i="9"/>
  <c r="O612" i="6"/>
  <c r="N498" i="6"/>
  <c r="N590" i="8"/>
  <c r="O736" i="7"/>
  <c r="M431" i="9"/>
  <c r="O295" i="9"/>
  <c r="N612" i="6"/>
  <c r="N610" i="6" s="1"/>
  <c r="M103" i="6"/>
  <c r="M102" i="6" s="1"/>
  <c r="L124" i="6"/>
  <c r="L120" i="6" s="1"/>
  <c r="P229" i="6"/>
  <c r="O265" i="6"/>
  <c r="F277" i="6"/>
  <c r="J277" i="6"/>
  <c r="J276" i="6" s="1"/>
  <c r="J275" i="6" s="1"/>
  <c r="O420" i="9"/>
  <c r="M567" i="6"/>
  <c r="M566" i="6" s="1"/>
  <c r="K411" i="6"/>
  <c r="N749" i="7"/>
  <c r="O749" i="7" s="1"/>
  <c r="G31" i="6"/>
  <c r="G27" i="6" s="1"/>
  <c r="M31" i="6"/>
  <c r="M27" i="6" s="1"/>
  <c r="L75" i="6"/>
  <c r="G95" i="6"/>
  <c r="F95" i="6"/>
  <c r="P128" i="6"/>
  <c r="K128" i="6"/>
  <c r="H128" i="6"/>
  <c r="I139" i="6"/>
  <c r="F139" i="6"/>
  <c r="H152" i="6"/>
  <c r="P152" i="6"/>
  <c r="Q164" i="6"/>
  <c r="R164" i="6" s="1"/>
  <c r="M211" i="6"/>
  <c r="Q222" i="6"/>
  <c r="D218" i="6"/>
  <c r="E236" i="6"/>
  <c r="D260" i="6"/>
  <c r="D259" i="6" s="1"/>
  <c r="D257" i="6" s="1"/>
  <c r="D255" i="6" s="1"/>
  <c r="D253" i="6" s="1"/>
  <c r="I260" i="6"/>
  <c r="I259" i="6" s="1"/>
  <c r="I257" i="6" s="1"/>
  <c r="K265" i="6"/>
  <c r="I265" i="6"/>
  <c r="D277" i="6"/>
  <c r="O277" i="6"/>
  <c r="O276" i="6" s="1"/>
  <c r="O275" i="6" s="1"/>
  <c r="L281" i="6"/>
  <c r="K281" i="6"/>
  <c r="N294" i="6"/>
  <c r="N293" i="6" s="1"/>
  <c r="N292" i="6" s="1"/>
  <c r="J294" i="6"/>
  <c r="P294" i="6"/>
  <c r="P293" i="6" s="1"/>
  <c r="P292" i="6" s="1"/>
  <c r="Q301" i="6"/>
  <c r="H304" i="6"/>
  <c r="J304" i="6"/>
  <c r="Q307" i="6"/>
  <c r="R307" i="6" s="1"/>
  <c r="M304" i="6"/>
  <c r="D304" i="6"/>
  <c r="N441" i="7"/>
  <c r="P441" i="7" s="1"/>
  <c r="N475" i="7"/>
  <c r="L499" i="7"/>
  <c r="N499" i="7" s="1"/>
  <c r="P499" i="7" s="1"/>
  <c r="N501" i="7"/>
  <c r="P507" i="7"/>
  <c r="N511" i="7"/>
  <c r="O511" i="7" s="1"/>
  <c r="L558" i="7"/>
  <c r="N558" i="7" s="1"/>
  <c r="M568" i="7"/>
  <c r="M557" i="7" s="1"/>
  <c r="M594" i="7"/>
  <c r="M592" i="7" s="1"/>
  <c r="L594" i="7"/>
  <c r="L592" i="7" s="1"/>
  <c r="N179" i="8"/>
  <c r="O179" i="8" s="1"/>
  <c r="N536" i="8"/>
  <c r="M548" i="8"/>
  <c r="M533" i="8" s="1"/>
  <c r="N565" i="8"/>
  <c r="O565" i="8" s="1"/>
  <c r="N596" i="8"/>
  <c r="N608" i="8"/>
  <c r="N617" i="8"/>
  <c r="P617" i="8" s="1"/>
  <c r="L625" i="8"/>
  <c r="N631" i="8"/>
  <c r="M952" i="8"/>
  <c r="M951" i="8" s="1"/>
  <c r="N951" i="8" s="1"/>
  <c r="N955" i="9"/>
  <c r="P955" i="9" s="1"/>
  <c r="N320" i="10"/>
  <c r="O320" i="10" s="1"/>
  <c r="N1022" i="10"/>
  <c r="O1022" i="10" s="1"/>
  <c r="N1033" i="10"/>
  <c r="O1033" i="10" s="1"/>
  <c r="L350" i="25"/>
  <c r="E311" i="6"/>
  <c r="L401" i="6"/>
  <c r="N401" i="6"/>
  <c r="F530" i="6"/>
  <c r="G668" i="6"/>
  <c r="L304" i="6"/>
  <c r="K304" i="6"/>
  <c r="Q313" i="6"/>
  <c r="V313" i="6" s="1"/>
  <c r="J318" i="6"/>
  <c r="N318" i="6"/>
  <c r="Q334" i="6"/>
  <c r="R334" i="6" s="1"/>
  <c r="Q335" i="6"/>
  <c r="R335" i="6" s="1"/>
  <c r="J333" i="6"/>
  <c r="O333" i="6"/>
  <c r="Q336" i="6"/>
  <c r="Q349" i="6"/>
  <c r="R349" i="6" s="1"/>
  <c r="J347" i="6"/>
  <c r="J345" i="6" s="1"/>
  <c r="M347" i="6"/>
  <c r="M345" i="6" s="1"/>
  <c r="Q356" i="6"/>
  <c r="R356" i="6" s="1"/>
  <c r="Q358" i="6"/>
  <c r="R358" i="6" s="1"/>
  <c r="Q361" i="6"/>
  <c r="S361" i="6" s="1"/>
  <c r="Q369" i="6"/>
  <c r="J366" i="6"/>
  <c r="N366" i="6"/>
  <c r="M366" i="6"/>
  <c r="D371" i="6"/>
  <c r="F371" i="6"/>
  <c r="K371" i="6"/>
  <c r="Q374" i="6"/>
  <c r="N371" i="6"/>
  <c r="L371" i="6"/>
  <c r="P371" i="6"/>
  <c r="Q383" i="6"/>
  <c r="R383" i="6" s="1"/>
  <c r="Q386" i="6"/>
  <c r="F387" i="6"/>
  <c r="F385" i="6" s="1"/>
  <c r="Q389" i="6"/>
  <c r="K387" i="6"/>
  <c r="K385" i="6" s="1"/>
  <c r="Q390" i="6"/>
  <c r="R390" i="6" s="1"/>
  <c r="Q391" i="6"/>
  <c r="Q393" i="6"/>
  <c r="R393" i="6" s="1"/>
  <c r="Q394" i="6"/>
  <c r="Q399" i="6"/>
  <c r="R399" i="6" s="1"/>
  <c r="Q403" i="6"/>
  <c r="O401" i="6"/>
  <c r="Q404" i="6"/>
  <c r="R404" i="6" s="1"/>
  <c r="Q405" i="6"/>
  <c r="Q407" i="6"/>
  <c r="R407" i="6" s="1"/>
  <c r="Q408" i="6"/>
  <c r="R408" i="6" s="1"/>
  <c r="Q414" i="6"/>
  <c r="O412" i="6"/>
  <c r="O411" i="6" s="1"/>
  <c r="Q418" i="6"/>
  <c r="R418" i="6" s="1"/>
  <c r="Q424" i="6"/>
  <c r="R424" i="6" s="1"/>
  <c r="J433" i="6"/>
  <c r="N433" i="6"/>
  <c r="N429" i="6" s="1"/>
  <c r="F433" i="6"/>
  <c r="Q437" i="6"/>
  <c r="L445" i="6"/>
  <c r="F445" i="6"/>
  <c r="O445" i="6"/>
  <c r="I445" i="6"/>
  <c r="Q450" i="6"/>
  <c r="Q451" i="6"/>
  <c r="D445" i="6"/>
  <c r="Q454" i="6"/>
  <c r="R454" i="6" s="1"/>
  <c r="D455" i="6"/>
  <c r="H455" i="6"/>
  <c r="L455" i="6"/>
  <c r="O455" i="6"/>
  <c r="N455" i="6"/>
  <c r="Q460" i="6"/>
  <c r="S460" i="6" s="1"/>
  <c r="I455" i="6"/>
  <c r="M455" i="6"/>
  <c r="P455" i="6"/>
  <c r="P444" i="6" s="1"/>
  <c r="Q463" i="6"/>
  <c r="Q464" i="6"/>
  <c r="L469" i="6"/>
  <c r="L465" i="6" s="1"/>
  <c r="P469" i="6"/>
  <c r="Q471" i="6"/>
  <c r="R471" i="6" s="1"/>
  <c r="K469" i="6"/>
  <c r="Q472" i="6"/>
  <c r="R472" i="6" s="1"/>
  <c r="Q473" i="6"/>
  <c r="R473" i="6" s="1"/>
  <c r="Q474" i="6"/>
  <c r="R474" i="6" s="1"/>
  <c r="N469" i="6"/>
  <c r="N465" i="6" s="1"/>
  <c r="Q475" i="6"/>
  <c r="R475" i="6" s="1"/>
  <c r="D469" i="6"/>
  <c r="Q478" i="6"/>
  <c r="L499" i="6"/>
  <c r="L551" i="6"/>
  <c r="H551" i="6"/>
  <c r="N414" i="7"/>
  <c r="O414" i="7" s="1"/>
  <c r="P586" i="8"/>
  <c r="O586" i="8"/>
  <c r="O163" i="8"/>
  <c r="P163" i="8"/>
  <c r="V557" i="6"/>
  <c r="P530" i="10"/>
  <c r="P323" i="8"/>
  <c r="R391" i="19"/>
  <c r="O285" i="9"/>
  <c r="R458" i="6"/>
  <c r="S287" i="6"/>
  <c r="P388" i="8"/>
  <c r="P386" i="8" s="1"/>
  <c r="P377" i="8" s="1"/>
  <c r="P795" i="9"/>
  <c r="P674" i="7"/>
  <c r="O558" i="10"/>
  <c r="S179" i="6"/>
  <c r="P550" i="8"/>
  <c r="N721" i="9"/>
  <c r="P721" i="9" s="1"/>
  <c r="P860" i="10"/>
  <c r="K559" i="9"/>
  <c r="K541" i="9" s="1"/>
  <c r="K539" i="9" s="1"/>
  <c r="M276" i="6"/>
  <c r="M275" i="6" s="1"/>
  <c r="O244" i="7"/>
  <c r="O711" i="10"/>
  <c r="P361" i="10"/>
  <c r="O361" i="10"/>
  <c r="O819" i="7"/>
  <c r="P819" i="7"/>
  <c r="P529" i="8"/>
  <c r="O529" i="8"/>
  <c r="O614" i="8"/>
  <c r="P614" i="8"/>
  <c r="O636" i="7"/>
  <c r="R636" i="7"/>
  <c r="N984" i="9"/>
  <c r="O984" i="9" s="1"/>
  <c r="S458" i="6"/>
  <c r="S457" i="6"/>
  <c r="O806" i="7"/>
  <c r="O615" i="8"/>
  <c r="L256" i="25"/>
  <c r="M256" i="25" s="1"/>
  <c r="O256" i="25" s="1"/>
  <c r="L704" i="9"/>
  <c r="M677" i="9"/>
  <c r="N677" i="9" s="1"/>
  <c r="L181" i="8"/>
  <c r="N443" i="7"/>
  <c r="O443" i="7" s="1"/>
  <c r="P445" i="7"/>
  <c r="O740" i="9"/>
  <c r="P740" i="9"/>
  <c r="V552" i="6"/>
  <c r="K411" i="7"/>
  <c r="K409" i="7" s="1"/>
  <c r="K407" i="7" s="1"/>
  <c r="K405" i="7" s="1"/>
  <c r="K403" i="7" s="1"/>
  <c r="M331" i="29"/>
  <c r="O331" i="29" s="1"/>
  <c r="N524" i="8"/>
  <c r="P524" i="8" s="1"/>
  <c r="P935" i="10"/>
  <c r="R622" i="6"/>
  <c r="O414" i="9"/>
  <c r="O672" i="10"/>
  <c r="P672" i="10"/>
  <c r="L833" i="25"/>
  <c r="M833" i="25" s="1"/>
  <c r="M838" i="25"/>
  <c r="O838" i="25" s="1"/>
  <c r="Q393" i="16"/>
  <c r="R393" i="16"/>
  <c r="Q392" i="5"/>
  <c r="R392" i="5"/>
  <c r="D18" i="6"/>
  <c r="R23" i="6"/>
  <c r="F28" i="6"/>
  <c r="Q29" i="6"/>
  <c r="J27" i="6"/>
  <c r="Q36" i="6"/>
  <c r="R36" i="6" s="1"/>
  <c r="H31" i="6"/>
  <c r="H27" i="6" s="1"/>
  <c r="F61" i="6"/>
  <c r="Q62" i="6"/>
  <c r="H83" i="6"/>
  <c r="H82" i="6" s="1"/>
  <c r="Q84" i="6"/>
  <c r="G121" i="6"/>
  <c r="Q122" i="6"/>
  <c r="F311" i="6"/>
  <c r="Q312" i="6"/>
  <c r="F347" i="6"/>
  <c r="F345" i="6" s="1"/>
  <c r="Q348" i="6"/>
  <c r="R348" i="6" s="1"/>
  <c r="S369" i="6"/>
  <c r="H401" i="6"/>
  <c r="Q402" i="6"/>
  <c r="G415" i="6"/>
  <c r="G411" i="6" s="1"/>
  <c r="Q416" i="6"/>
  <c r="F430" i="6"/>
  <c r="Q430" i="6" s="1"/>
  <c r="Q431" i="6"/>
  <c r="J429" i="6"/>
  <c r="H445" i="6"/>
  <c r="Q453" i="6"/>
  <c r="Q461" i="6"/>
  <c r="E455" i="6"/>
  <c r="Q468" i="6"/>
  <c r="R468" i="6" s="1"/>
  <c r="G465" i="6"/>
  <c r="P465" i="6"/>
  <c r="K465" i="6"/>
  <c r="D465" i="6"/>
  <c r="H469" i="6"/>
  <c r="H465" i="6" s="1"/>
  <c r="Q476" i="6"/>
  <c r="R476" i="6" s="1"/>
  <c r="O567" i="6"/>
  <c r="O566" i="6" s="1"/>
  <c r="I227" i="6"/>
  <c r="N984" i="8"/>
  <c r="L422" i="29"/>
  <c r="M422" i="29" s="1"/>
  <c r="O31" i="6"/>
  <c r="O27" i="6" s="1"/>
  <c r="H64" i="6"/>
  <c r="H60" i="6" s="1"/>
  <c r="L318" i="6"/>
  <c r="Q362" i="6"/>
  <c r="R362" i="6" s="1"/>
  <c r="D542" i="6"/>
  <c r="D529" i="6" s="1"/>
  <c r="M20" i="8"/>
  <c r="M19" i="8" s="1"/>
  <c r="N627" i="8"/>
  <c r="O627" i="8" s="1"/>
  <c r="N963" i="9"/>
  <c r="O963" i="9" s="1"/>
  <c r="K239" i="10"/>
  <c r="K238" i="10" s="1"/>
  <c r="N253" i="10"/>
  <c r="N954" i="10"/>
  <c r="N952" i="10" s="1"/>
  <c r="O952" i="10" s="1"/>
  <c r="L230" i="25"/>
  <c r="M230" i="25" s="1"/>
  <c r="O230" i="25" s="1"/>
  <c r="N161" i="10"/>
  <c r="N552" i="8"/>
  <c r="P552" i="8" s="1"/>
  <c r="I411" i="6"/>
  <c r="P567" i="6"/>
  <c r="M445" i="6"/>
  <c r="J672" i="6"/>
  <c r="J666" i="6" s="1"/>
  <c r="L147" i="7"/>
  <c r="L181" i="7"/>
  <c r="L357" i="7"/>
  <c r="L356" i="7" s="1"/>
  <c r="N477" i="7"/>
  <c r="K708" i="7"/>
  <c r="K693" i="7" s="1"/>
  <c r="K691" i="7" s="1"/>
  <c r="K298" i="9"/>
  <c r="N596" i="9"/>
  <c r="N196" i="8"/>
  <c r="N967" i="10"/>
  <c r="O967" i="10" s="1"/>
  <c r="O717" i="7"/>
  <c r="P717" i="7"/>
  <c r="O955" i="8"/>
  <c r="P955" i="8"/>
  <c r="O823" i="8"/>
  <c r="P823" i="8"/>
  <c r="S391" i="6"/>
  <c r="R391" i="6"/>
  <c r="O500" i="7"/>
  <c r="P500" i="7"/>
  <c r="O348" i="8"/>
  <c r="P348" i="8"/>
  <c r="P414" i="8"/>
  <c r="O414" i="8"/>
  <c r="J412" i="6"/>
  <c r="N223" i="7"/>
  <c r="O223" i="7" s="1"/>
  <c r="N415" i="7"/>
  <c r="I95" i="6"/>
  <c r="O824" i="7"/>
  <c r="P824" i="7"/>
  <c r="N266" i="8"/>
  <c r="M264" i="8"/>
  <c r="M263" i="8" s="1"/>
  <c r="M262" i="8" s="1"/>
  <c r="M260" i="8" s="1"/>
  <c r="N260" i="8" s="1"/>
  <c r="N440" i="9"/>
  <c r="N439" i="9" s="1"/>
  <c r="L439" i="9"/>
  <c r="L431" i="9" s="1"/>
  <c r="N431" i="9" s="1"/>
  <c r="N766" i="9"/>
  <c r="N879" i="9"/>
  <c r="M37" i="25"/>
  <c r="O37" i="25" s="1"/>
  <c r="L35" i="25"/>
  <c r="M274" i="25"/>
  <c r="O274" i="25" s="1"/>
  <c r="L273" i="25"/>
  <c r="M301" i="25"/>
  <c r="O301" i="25" s="1"/>
  <c r="L298" i="25"/>
  <c r="M298" i="25" s="1"/>
  <c r="O298" i="25" s="1"/>
  <c r="M487" i="25"/>
  <c r="L486" i="25"/>
  <c r="M517" i="25"/>
  <c r="O517" i="25" s="1"/>
  <c r="L516" i="25"/>
  <c r="M516" i="25" s="1"/>
  <c r="O516" i="25" s="1"/>
  <c r="M686" i="25"/>
  <c r="L685" i="25"/>
  <c r="M685" i="25" s="1"/>
  <c r="M719" i="25"/>
  <c r="O719" i="25" s="1"/>
  <c r="L717" i="25"/>
  <c r="L716" i="25" s="1"/>
  <c r="M716" i="25" s="1"/>
  <c r="O716" i="25" s="1"/>
  <c r="M829" i="25"/>
  <c r="O829" i="25" s="1"/>
  <c r="L826" i="25"/>
  <c r="M826" i="25" s="1"/>
  <c r="O826" i="25" s="1"/>
  <c r="N852" i="8"/>
  <c r="O115" i="7"/>
  <c r="S407" i="6"/>
  <c r="P619" i="8"/>
  <c r="K550" i="6"/>
  <c r="P230" i="9"/>
  <c r="P739" i="9"/>
  <c r="O686" i="10"/>
  <c r="N144" i="8"/>
  <c r="O144" i="8" s="1"/>
  <c r="M841" i="7"/>
  <c r="M840" i="7" s="1"/>
  <c r="N842" i="7"/>
  <c r="O205" i="8"/>
  <c r="L526" i="7"/>
  <c r="L525" i="7" s="1"/>
  <c r="N587" i="8"/>
  <c r="P587" i="8" s="1"/>
  <c r="N265" i="9"/>
  <c r="M264" i="9"/>
  <c r="M263" i="9" s="1"/>
  <c r="M262" i="9" s="1"/>
  <c r="M260" i="9" s="1"/>
  <c r="N956" i="9"/>
  <c r="O956" i="9" s="1"/>
  <c r="L954" i="9"/>
  <c r="N954" i="9" s="1"/>
  <c r="O954" i="9" s="1"/>
  <c r="N152" i="10"/>
  <c r="O152" i="10" s="1"/>
  <c r="M151" i="10"/>
  <c r="L344" i="10"/>
  <c r="L343" i="10" s="1"/>
  <c r="L342" i="10" s="1"/>
  <c r="N342" i="10" s="1"/>
  <c r="N345" i="10"/>
  <c r="O345" i="10" s="1"/>
  <c r="K455" i="10"/>
  <c r="O456" i="10"/>
  <c r="M82" i="25"/>
  <c r="P82" i="25" s="1"/>
  <c r="L79" i="25"/>
  <c r="M79" i="25" s="1"/>
  <c r="P79" i="25" s="1"/>
  <c r="L374" i="25"/>
  <c r="P715" i="7"/>
  <c r="P714" i="7" s="1"/>
  <c r="M210" i="6"/>
  <c r="N151" i="8"/>
  <c r="N522" i="8"/>
  <c r="R522" i="8" s="1"/>
  <c r="P520" i="7"/>
  <c r="M550" i="6"/>
  <c r="O419" i="9"/>
  <c r="P887" i="9"/>
  <c r="R80" i="6"/>
  <c r="N704" i="10"/>
  <c r="P704" i="10" s="1"/>
  <c r="G666" i="6"/>
  <c r="I567" i="6"/>
  <c r="R400" i="23"/>
  <c r="P372" i="7"/>
  <c r="L1026" i="9"/>
  <c r="N1026" i="9" s="1"/>
  <c r="O1026" i="9" s="1"/>
  <c r="Q522" i="6"/>
  <c r="R522" i="6" s="1"/>
  <c r="D711" i="6"/>
  <c r="D709" i="6" s="1"/>
  <c r="E10" i="1"/>
  <c r="N50" i="7"/>
  <c r="O50" i="7" s="1"/>
  <c r="O196" i="8"/>
  <c r="P196" i="8"/>
  <c r="O672" i="7"/>
  <c r="O597" i="7"/>
  <c r="O224" i="9"/>
  <c r="M298" i="10"/>
  <c r="O205" i="9"/>
  <c r="G193" i="6"/>
  <c r="F218" i="6"/>
  <c r="F672" i="6"/>
  <c r="H672" i="6"/>
  <c r="H666" i="6" s="1"/>
  <c r="K684" i="6"/>
  <c r="K679" i="6" s="1"/>
  <c r="L66" i="7"/>
  <c r="L59" i="7" s="1"/>
  <c r="L57" i="7" s="1"/>
  <c r="N258" i="7"/>
  <c r="N315" i="7"/>
  <c r="M118" i="10"/>
  <c r="L195" i="8"/>
  <c r="N229" i="10"/>
  <c r="O229" i="10" s="1"/>
  <c r="N810" i="9"/>
  <c r="O810" i="9" s="1"/>
  <c r="N267" i="10"/>
  <c r="N494" i="10"/>
  <c r="E31" i="6"/>
  <c r="E27" i="6" s="1"/>
  <c r="H53" i="6"/>
  <c r="H49" i="6" s="1"/>
  <c r="F53" i="6"/>
  <c r="F49" i="6" s="1"/>
  <c r="F64" i="6"/>
  <c r="F124" i="6"/>
  <c r="M192" i="6"/>
  <c r="F260" i="6"/>
  <c r="F259" i="6" s="1"/>
  <c r="F257" i="6" s="1"/>
  <c r="Q269" i="6"/>
  <c r="R269" i="6" s="1"/>
  <c r="F281" i="6"/>
  <c r="F304" i="6"/>
  <c r="J311" i="6"/>
  <c r="F318" i="6"/>
  <c r="D318" i="6"/>
  <c r="G333" i="6"/>
  <c r="Q346" i="6"/>
  <c r="R346" i="6" s="1"/>
  <c r="K347" i="6"/>
  <c r="K345" i="6" s="1"/>
  <c r="O347" i="6"/>
  <c r="O345" i="6" s="1"/>
  <c r="Q360" i="6"/>
  <c r="Q375" i="6"/>
  <c r="S375" i="6" s="1"/>
  <c r="E387" i="6"/>
  <c r="E385" i="6" s="1"/>
  <c r="M401" i="6"/>
  <c r="M355" i="6" s="1"/>
  <c r="M354" i="6" s="1"/>
  <c r="Q409" i="6"/>
  <c r="R409" i="6" s="1"/>
  <c r="F412" i="6"/>
  <c r="F411" i="6" s="1"/>
  <c r="L412" i="6"/>
  <c r="L411" i="6" s="1"/>
  <c r="J445" i="6"/>
  <c r="J444" i="6" s="1"/>
  <c r="J442" i="6" s="1"/>
  <c r="J440" i="6" s="1"/>
  <c r="F455" i="6"/>
  <c r="Q459" i="6"/>
  <c r="S459" i="6" s="1"/>
  <c r="E542" i="6"/>
  <c r="E529" i="6" s="1"/>
  <c r="I542" i="6"/>
  <c r="Q547" i="6"/>
  <c r="Q560" i="6"/>
  <c r="Q563" i="6"/>
  <c r="F615" i="6"/>
  <c r="F614" i="6" s="1"/>
  <c r="Q619" i="6"/>
  <c r="Q623" i="6"/>
  <c r="Q630" i="6"/>
  <c r="V630" i="6" s="1"/>
  <c r="F626" i="6"/>
  <c r="Q660" i="6"/>
  <c r="Q662" i="6"/>
  <c r="E672" i="6"/>
  <c r="E666" i="6" s="1"/>
  <c r="I672" i="6"/>
  <c r="Q694" i="6"/>
  <c r="R694" i="6" s="1"/>
  <c r="O54" i="8"/>
  <c r="O51" i="8" s="1"/>
  <c r="N182" i="7"/>
  <c r="O182" i="7" s="1"/>
  <c r="N337" i="7"/>
  <c r="O337" i="7" s="1"/>
  <c r="M343" i="7"/>
  <c r="M342" i="7" s="1"/>
  <c r="N398" i="7"/>
  <c r="M471" i="7"/>
  <c r="N485" i="7"/>
  <c r="P501" i="7"/>
  <c r="O501" i="7"/>
  <c r="O115" i="8"/>
  <c r="P115" i="8"/>
  <c r="S123" i="8"/>
  <c r="O320" i="8"/>
  <c r="P536" i="8"/>
  <c r="O536" i="8"/>
  <c r="L17" i="8"/>
  <c r="P797" i="8"/>
  <c r="P729" i="7"/>
  <c r="L542" i="7"/>
  <c r="N542" i="7" s="1"/>
  <c r="N544" i="7"/>
  <c r="O544" i="7" s="1"/>
  <c r="N711" i="7"/>
  <c r="O711" i="7" s="1"/>
  <c r="M709" i="7"/>
  <c r="M708" i="7" s="1"/>
  <c r="N708" i="7" s="1"/>
  <c r="M804" i="7"/>
  <c r="M803" i="7" s="1"/>
  <c r="N805" i="7"/>
  <c r="L804" i="7"/>
  <c r="N808" i="7"/>
  <c r="M833" i="7"/>
  <c r="M832" i="7" s="1"/>
  <c r="N832" i="7" s="1"/>
  <c r="O832" i="7" s="1"/>
  <c r="N834" i="7"/>
  <c r="O834" i="7" s="1"/>
  <c r="M89" i="8"/>
  <c r="M88" i="8" s="1"/>
  <c r="N90" i="8"/>
  <c r="O90" i="8" s="1"/>
  <c r="L105" i="8"/>
  <c r="L104" i="8" s="1"/>
  <c r="L98" i="8" s="1"/>
  <c r="N106" i="8"/>
  <c r="N304" i="5"/>
  <c r="N303" i="19"/>
  <c r="N303" i="16"/>
  <c r="N307" i="23"/>
  <c r="N208" i="8"/>
  <c r="M207" i="8"/>
  <c r="N307" i="30"/>
  <c r="N252" i="8"/>
  <c r="M251" i="8"/>
  <c r="M243" i="8" s="1"/>
  <c r="M234" i="8" s="1"/>
  <c r="M232" i="8" s="1"/>
  <c r="N270" i="8"/>
  <c r="N269" i="8" s="1"/>
  <c r="O271" i="8"/>
  <c r="K306" i="8"/>
  <c r="O308" i="8"/>
  <c r="P308" i="8"/>
  <c r="O333" i="8"/>
  <c r="P333" i="8"/>
  <c r="N381" i="8"/>
  <c r="O381" i="8" s="1"/>
  <c r="M378" i="8"/>
  <c r="M377" i="8" s="1"/>
  <c r="P627" i="8"/>
  <c r="N682" i="8"/>
  <c r="O682" i="8" s="1"/>
  <c r="M680" i="8"/>
  <c r="M669" i="8" s="1"/>
  <c r="M665" i="8" s="1"/>
  <c r="M659" i="8" s="1"/>
  <c r="M658" i="8" s="1"/>
  <c r="L403" i="30"/>
  <c r="L395" i="5"/>
  <c r="K764" i="8"/>
  <c r="O764" i="8" s="1"/>
  <c r="L394" i="19"/>
  <c r="M868" i="8"/>
  <c r="N868" i="8" s="1"/>
  <c r="O868" i="8" s="1"/>
  <c r="N871" i="8"/>
  <c r="O871" i="8" s="1"/>
  <c r="N913" i="8"/>
  <c r="O913" i="8" s="1"/>
  <c r="M912" i="8"/>
  <c r="M909" i="8" s="1"/>
  <c r="M899" i="8" s="1"/>
  <c r="M898" i="8" s="1"/>
  <c r="N977" i="8"/>
  <c r="M975" i="8"/>
  <c r="M974" i="8" s="1"/>
  <c r="L55" i="9"/>
  <c r="L48" i="9" s="1"/>
  <c r="N56" i="9"/>
  <c r="O56" i="9" s="1"/>
  <c r="N166" i="9"/>
  <c r="O166" i="9" s="1"/>
  <c r="M165" i="9"/>
  <c r="P337" i="9"/>
  <c r="O337" i="9"/>
  <c r="M603" i="9"/>
  <c r="M602" i="9" s="1"/>
  <c r="N604" i="9"/>
  <c r="P653" i="9"/>
  <c r="O653" i="9"/>
  <c r="N918" i="9"/>
  <c r="M916" i="9"/>
  <c r="L943" i="9"/>
  <c r="L942" i="9" s="1"/>
  <c r="L940" i="9" s="1"/>
  <c r="L939" i="9" s="1"/>
  <c r="N946" i="9"/>
  <c r="O946" i="9" s="1"/>
  <c r="L958" i="9"/>
  <c r="N959" i="9"/>
  <c r="L45" i="10"/>
  <c r="N46" i="10"/>
  <c r="O46" i="10" s="1"/>
  <c r="N133" i="10"/>
  <c r="M132" i="10"/>
  <c r="M129" i="10" s="1"/>
  <c r="M127" i="10" s="1"/>
  <c r="M257" i="10"/>
  <c r="M256" i="10" s="1"/>
  <c r="N258" i="10"/>
  <c r="O258" i="10" s="1"/>
  <c r="L315" i="10"/>
  <c r="N315" i="10" s="1"/>
  <c r="O315" i="10" s="1"/>
  <c r="N316" i="10"/>
  <c r="O316" i="10" s="1"/>
  <c r="K344" i="10"/>
  <c r="P345" i="10"/>
  <c r="N353" i="10"/>
  <c r="O353" i="10" s="1"/>
  <c r="M351" i="10"/>
  <c r="N351" i="10" s="1"/>
  <c r="O351" i="10" s="1"/>
  <c r="M749" i="10"/>
  <c r="N750" i="10"/>
  <c r="O750" i="10" s="1"/>
  <c r="L912" i="10"/>
  <c r="L909" i="10" s="1"/>
  <c r="L899" i="10" s="1"/>
  <c r="L898" i="10" s="1"/>
  <c r="N915" i="10"/>
  <c r="O915" i="10" s="1"/>
  <c r="N977" i="10"/>
  <c r="O977" i="10" s="1"/>
  <c r="M975" i="10"/>
  <c r="M974" i="10" s="1"/>
  <c r="M963" i="10" s="1"/>
  <c r="M961" i="10" s="1"/>
  <c r="M89" i="29"/>
  <c r="O89" i="29" s="1"/>
  <c r="L84" i="29"/>
  <c r="M111" i="29"/>
  <c r="O111" i="29" s="1"/>
  <c r="L106" i="29"/>
  <c r="L104" i="29" s="1"/>
  <c r="M159" i="29"/>
  <c r="L157" i="29"/>
  <c r="M165" i="29"/>
  <c r="O165" i="29" s="1"/>
  <c r="L161" i="29"/>
  <c r="M161" i="29" s="1"/>
  <c r="M212" i="29"/>
  <c r="O212" i="29" s="1"/>
  <c r="L211" i="29"/>
  <c r="M211" i="29" s="1"/>
  <c r="O211" i="29" s="1"/>
  <c r="M233" i="29"/>
  <c r="O233" i="29" s="1"/>
  <c r="L230" i="29"/>
  <c r="M400" i="29"/>
  <c r="L398" i="29"/>
  <c r="M398" i="29" s="1"/>
  <c r="M505" i="29"/>
  <c r="L504" i="29"/>
  <c r="M706" i="29"/>
  <c r="P706" i="29" s="1"/>
  <c r="L702" i="29"/>
  <c r="M702" i="29" s="1"/>
  <c r="E433" i="6"/>
  <c r="E429" i="6" s="1"/>
  <c r="Q434" i="6"/>
  <c r="R434" i="6" s="1"/>
  <c r="E615" i="6"/>
  <c r="E614" i="6" s="1"/>
  <c r="E612" i="6" s="1"/>
  <c r="Q617" i="6"/>
  <c r="K79" i="7"/>
  <c r="K78" i="7" s="1"/>
  <c r="P78" i="7" s="1"/>
  <c r="E5" i="1"/>
  <c r="L114" i="8"/>
  <c r="L178" i="7"/>
  <c r="N179" i="7"/>
  <c r="P179" i="7" s="1"/>
  <c r="N185" i="7"/>
  <c r="M184" i="7"/>
  <c r="M181" i="7" s="1"/>
  <c r="M176" i="7" s="1"/>
  <c r="M174" i="7" s="1"/>
  <c r="L226" i="7"/>
  <c r="L222" i="7" s="1"/>
  <c r="N229" i="7"/>
  <c r="O229" i="7" s="1"/>
  <c r="N249" i="7"/>
  <c r="M248" i="7"/>
  <c r="K315" i="7"/>
  <c r="O315" i="7" s="1"/>
  <c r="E14" i="1"/>
  <c r="L351" i="7"/>
  <c r="N354" i="7"/>
  <c r="N358" i="7"/>
  <c r="M357" i="7"/>
  <c r="M356" i="7" s="1"/>
  <c r="L370" i="7"/>
  <c r="N371" i="7"/>
  <c r="O371" i="7" s="1"/>
  <c r="M374" i="7"/>
  <c r="N375" i="7"/>
  <c r="P375" i="7" s="1"/>
  <c r="N401" i="7"/>
  <c r="O401" i="7" s="1"/>
  <c r="M400" i="7"/>
  <c r="M394" i="7" s="1"/>
  <c r="M392" i="7" s="1"/>
  <c r="P414" i="7"/>
  <c r="N459" i="7"/>
  <c r="O459" i="7" s="1"/>
  <c r="L458" i="7"/>
  <c r="N523" i="8"/>
  <c r="O523" i="8" s="1"/>
  <c r="O705" i="9"/>
  <c r="P207" i="9"/>
  <c r="N165" i="10"/>
  <c r="O165" i="10" s="1"/>
  <c r="S359" i="6"/>
  <c r="N764" i="9"/>
  <c r="O764" i="9" s="1"/>
  <c r="S536" i="6"/>
  <c r="O372" i="9"/>
  <c r="P601" i="7"/>
  <c r="O942" i="10"/>
  <c r="O830" i="7"/>
  <c r="P797" i="10"/>
  <c r="R534" i="6"/>
  <c r="P185" i="8"/>
  <c r="P574" i="7"/>
  <c r="O674" i="10"/>
  <c r="P30" i="8"/>
  <c r="P766" i="10"/>
  <c r="L524" i="29"/>
  <c r="M524" i="29" s="1"/>
  <c r="O307" i="16"/>
  <c r="M198" i="29"/>
  <c r="S533" i="6"/>
  <c r="P115" i="7"/>
  <c r="O583" i="8"/>
  <c r="O413" i="10"/>
  <c r="P772" i="9"/>
  <c r="O244" i="8"/>
  <c r="M411" i="8"/>
  <c r="M409" i="8" s="1"/>
  <c r="M407" i="8" s="1"/>
  <c r="M405" i="8" s="1"/>
  <c r="M403" i="8" s="1"/>
  <c r="P523" i="7"/>
  <c r="P813" i="7"/>
  <c r="O949" i="8"/>
  <c r="O546" i="8"/>
  <c r="O652" i="7"/>
  <c r="P932" i="8"/>
  <c r="P908" i="9"/>
  <c r="P553" i="8"/>
  <c r="P554" i="8"/>
  <c r="P525" i="8"/>
  <c r="M774" i="9"/>
  <c r="O930" i="8"/>
  <c r="K612" i="6"/>
  <c r="K610" i="6" s="1"/>
  <c r="O296" i="9"/>
  <c r="P286" i="9"/>
  <c r="O529" i="6"/>
  <c r="O883" i="9"/>
  <c r="O21" i="8"/>
  <c r="M529" i="6"/>
  <c r="P30" i="7"/>
  <c r="N835" i="9"/>
  <c r="P603" i="8"/>
  <c r="O577" i="7"/>
  <c r="S676" i="6"/>
  <c r="P597" i="7"/>
  <c r="P570" i="7"/>
  <c r="O677" i="7"/>
  <c r="L594" i="29"/>
  <c r="N22" i="8"/>
  <c r="O22" i="8" s="1"/>
  <c r="L728" i="25"/>
  <c r="N923" i="7"/>
  <c r="O923" i="7" s="1"/>
  <c r="L920" i="7"/>
  <c r="M738" i="8"/>
  <c r="M736" i="8" s="1"/>
  <c r="N96" i="8"/>
  <c r="N63" i="9"/>
  <c r="O63" i="9" s="1"/>
  <c r="N795" i="7"/>
  <c r="G103" i="6"/>
  <c r="G102" i="6" s="1"/>
  <c r="N245" i="10"/>
  <c r="O245" i="10" s="1"/>
  <c r="L67" i="29"/>
  <c r="O146" i="6"/>
  <c r="S576" i="6"/>
  <c r="P762" i="7"/>
  <c r="P628" i="8"/>
  <c r="P33" i="9"/>
  <c r="K449" i="8"/>
  <c r="P545" i="8"/>
  <c r="P295" i="9"/>
  <c r="V534" i="6"/>
  <c r="F36" i="1"/>
  <c r="M147" i="29"/>
  <c r="O147" i="29" s="1"/>
  <c r="N51" i="8"/>
  <c r="O616" i="9"/>
  <c r="P572" i="10"/>
  <c r="L198" i="25"/>
  <c r="N1034" i="8"/>
  <c r="O1034" i="8" s="1"/>
  <c r="K506" i="8"/>
  <c r="K505" i="8" s="1"/>
  <c r="K504" i="8" s="1"/>
  <c r="N670" i="10"/>
  <c r="O504" i="7"/>
  <c r="N510" i="7"/>
  <c r="O562" i="7"/>
  <c r="P676" i="8"/>
  <c r="P818" i="7"/>
  <c r="N432" i="9"/>
  <c r="P432" i="9" s="1"/>
  <c r="P357" i="8"/>
  <c r="Q542" i="6"/>
  <c r="N552" i="10"/>
  <c r="P46" i="9"/>
  <c r="O885" i="7"/>
  <c r="N754" i="9"/>
  <c r="P855" i="10"/>
  <c r="P559" i="7"/>
  <c r="O392" i="16"/>
  <c r="V392" i="16" s="1"/>
  <c r="N386" i="16"/>
  <c r="O386" i="16" s="1"/>
  <c r="V386" i="16" s="1"/>
  <c r="P335" i="8"/>
  <c r="N308" i="27"/>
  <c r="N857" i="7"/>
  <c r="O119" i="8"/>
  <c r="Q368" i="6"/>
  <c r="S368" i="6" s="1"/>
  <c r="N302" i="9"/>
  <c r="O302" i="9" s="1"/>
  <c r="N636" i="9"/>
  <c r="O636" i="9" s="1"/>
  <c r="O884" i="9"/>
  <c r="N296" i="10"/>
  <c r="N335" i="10"/>
  <c r="O335" i="10" s="1"/>
  <c r="L764" i="10"/>
  <c r="L763" i="10" s="1"/>
  <c r="N936" i="10"/>
  <c r="P936" i="10" s="1"/>
  <c r="N370" i="8"/>
  <c r="O1049" i="8"/>
  <c r="O299" i="10"/>
  <c r="O1026" i="10"/>
  <c r="P372" i="8"/>
  <c r="O475" i="7"/>
  <c r="P911" i="8"/>
  <c r="N62" i="9"/>
  <c r="O878" i="9"/>
  <c r="O639" i="9"/>
  <c r="O332" i="8"/>
  <c r="O229" i="8"/>
  <c r="P700" i="7"/>
  <c r="O282" i="8"/>
  <c r="N602" i="9"/>
  <c r="O435" i="9"/>
  <c r="O790" i="7"/>
  <c r="N295" i="10"/>
  <c r="M110" i="25"/>
  <c r="L106" i="25"/>
  <c r="L104" i="25" s="1"/>
  <c r="M122" i="25"/>
  <c r="O122" i="25" s="1"/>
  <c r="L118" i="25"/>
  <c r="L116" i="25" s="1"/>
  <c r="L393" i="25"/>
  <c r="L384" i="25" s="1"/>
  <c r="M394" i="25"/>
  <c r="L550" i="9"/>
  <c r="L549" i="9" s="1"/>
  <c r="O543" i="7"/>
  <c r="M294" i="10"/>
  <c r="N296" i="7"/>
  <c r="N295" i="8"/>
  <c r="N208" i="7"/>
  <c r="O208" i="7" s="1"/>
  <c r="O854" i="10"/>
  <c r="O333" i="10"/>
  <c r="N383" i="9"/>
  <c r="N685" i="10"/>
  <c r="N696" i="10"/>
  <c r="N746" i="10"/>
  <c r="M764" i="10"/>
  <c r="P802" i="10"/>
  <c r="K806" i="10"/>
  <c r="N55" i="9"/>
  <c r="O55" i="9" s="1"/>
  <c r="L129" i="9"/>
  <c r="L127" i="9" s="1"/>
  <c r="L125" i="9" s="1"/>
  <c r="K95" i="6"/>
  <c r="O95" i="6"/>
  <c r="O91" i="6" s="1"/>
  <c r="H139" i="6"/>
  <c r="H135" i="6" s="1"/>
  <c r="D200" i="6"/>
  <c r="O229" i="6"/>
  <c r="M229" i="6"/>
  <c r="M228" i="6" s="1"/>
  <c r="M227" i="6" s="1"/>
  <c r="P228" i="6"/>
  <c r="K318" i="6"/>
  <c r="N584" i="9"/>
  <c r="N308" i="10"/>
  <c r="N306" i="10" s="1"/>
  <c r="O306" i="10" s="1"/>
  <c r="N375" i="10"/>
  <c r="N761" i="10"/>
  <c r="O761" i="10" s="1"/>
  <c r="N556" i="8"/>
  <c r="X817" i="39"/>
  <c r="N72" i="11"/>
  <c r="N71" i="11" s="1"/>
  <c r="N72" i="20"/>
  <c r="N71" i="20" s="1"/>
  <c r="Q250" i="39"/>
  <c r="W835" i="39"/>
  <c r="V933" i="39"/>
  <c r="N170" i="4"/>
  <c r="Q213" i="5"/>
  <c r="N68" i="31"/>
  <c r="N67" i="31" s="1"/>
  <c r="N70" i="28"/>
  <c r="N69" i="28" s="1"/>
  <c r="P931" i="39"/>
  <c r="O566" i="25"/>
  <c r="J534" i="25"/>
  <c r="N367" i="25"/>
  <c r="O368" i="25"/>
  <c r="P368" i="25" s="1"/>
  <c r="AG835" i="39"/>
  <c r="AG933" i="39"/>
  <c r="N68" i="24"/>
  <c r="N67" i="24" s="1"/>
  <c r="N477" i="29"/>
  <c r="O478" i="29"/>
  <c r="P478" i="29" s="1"/>
  <c r="M800" i="29"/>
  <c r="O800" i="29" s="1"/>
  <c r="L798" i="29"/>
  <c r="M798" i="29" s="1"/>
  <c r="O798" i="29" s="1"/>
  <c r="L516" i="29"/>
  <c r="M516" i="29" s="1"/>
  <c r="O516" i="29" s="1"/>
  <c r="P516" i="29" s="1"/>
  <c r="M517" i="29"/>
  <c r="O517" i="29" s="1"/>
  <c r="P517" i="29" s="1"/>
  <c r="P94" i="25"/>
  <c r="O93" i="25"/>
  <c r="O26" i="28"/>
  <c r="O24" i="31"/>
  <c r="O21" i="31" s="1"/>
  <c r="O200" i="9"/>
  <c r="P200" i="9"/>
  <c r="P49" i="31"/>
  <c r="T49" i="31" s="1"/>
  <c r="S49" i="31"/>
  <c r="Q247" i="5"/>
  <c r="O48" i="11"/>
  <c r="N50" i="28"/>
  <c r="N49" i="11"/>
  <c r="J146" i="4"/>
  <c r="N146" i="4" s="1"/>
  <c r="N147" i="4"/>
  <c r="S617" i="3"/>
  <c r="R617" i="3"/>
  <c r="G134" i="3"/>
  <c r="Q135" i="3"/>
  <c r="O146" i="3"/>
  <c r="Q147" i="3"/>
  <c r="E156" i="3"/>
  <c r="E155" i="3" s="1"/>
  <c r="Q157" i="3"/>
  <c r="G154" i="3"/>
  <c r="G156" i="3"/>
  <c r="G155" i="3" s="1"/>
  <c r="D175" i="3"/>
  <c r="R177" i="3"/>
  <c r="H185" i="3"/>
  <c r="H184" i="3" s="1"/>
  <c r="Q186" i="3"/>
  <c r="S201" i="3"/>
  <c r="D200" i="3"/>
  <c r="D199" i="3" s="1"/>
  <c r="D198" i="3" s="1"/>
  <c r="R201" i="3"/>
  <c r="E217" i="3"/>
  <c r="Q218" i="3"/>
  <c r="R218" i="3" s="1"/>
  <c r="S221" i="3"/>
  <c r="D221" i="3"/>
  <c r="D216" i="3" s="1"/>
  <c r="D215" i="3" s="1"/>
  <c r="S222" i="3"/>
  <c r="S233" i="3"/>
  <c r="D231" i="3"/>
  <c r="R231" i="3" s="1"/>
  <c r="R247" i="3"/>
  <c r="D246" i="3"/>
  <c r="R252" i="3"/>
  <c r="S252" i="3"/>
  <c r="E257" i="3"/>
  <c r="Q258" i="3"/>
  <c r="R258" i="3" s="1"/>
  <c r="G265" i="3"/>
  <c r="Q265" i="3" s="1"/>
  <c r="Q266" i="3"/>
  <c r="R266" i="3" s="1"/>
  <c r="E273" i="3"/>
  <c r="Q273" i="3" s="1"/>
  <c r="Q274" i="3"/>
  <c r="R275" i="3"/>
  <c r="D274" i="3"/>
  <c r="D273" i="3" s="1"/>
  <c r="S289" i="3"/>
  <c r="R289" i="3"/>
  <c r="R291" i="3"/>
  <c r="E298" i="3"/>
  <c r="Q299" i="3"/>
  <c r="R325" i="3"/>
  <c r="D323" i="3"/>
  <c r="D322" i="3" s="1"/>
  <c r="E330" i="3"/>
  <c r="Q330" i="3" s="1"/>
  <c r="Q331" i="3"/>
  <c r="R331" i="3" s="1"/>
  <c r="F338" i="3"/>
  <c r="Q338" i="3" s="1"/>
  <c r="Q339" i="3"/>
  <c r="R339" i="3" s="1"/>
  <c r="F346" i="3"/>
  <c r="Q346" i="3" s="1"/>
  <c r="R346" i="3" s="1"/>
  <c r="Q347" i="3"/>
  <c r="R347" i="3" s="1"/>
  <c r="G359" i="3"/>
  <c r="Q359" i="3" s="1"/>
  <c r="Q363" i="3"/>
  <c r="J357" i="3"/>
  <c r="J358" i="3"/>
  <c r="J356" i="3" s="1"/>
  <c r="N358" i="3"/>
  <c r="N356" i="3" s="1"/>
  <c r="N357" i="3"/>
  <c r="R364" i="3"/>
  <c r="S364" i="3"/>
  <c r="R366" i="3"/>
  <c r="S366" i="3"/>
  <c r="S380" i="3"/>
  <c r="R380" i="3"/>
  <c r="F372" i="3"/>
  <c r="F371" i="3" s="1"/>
  <c r="I373" i="3"/>
  <c r="I372" i="3" s="1"/>
  <c r="I371" i="3" s="1"/>
  <c r="Q382" i="3"/>
  <c r="E385" i="3"/>
  <c r="E355" i="3" s="1"/>
  <c r="E354" i="3" s="1"/>
  <c r="S400" i="3"/>
  <c r="R400" i="3"/>
  <c r="G385" i="3"/>
  <c r="Q404" i="3"/>
  <c r="E420" i="3"/>
  <c r="Q421" i="3"/>
  <c r="R425" i="3"/>
  <c r="D423" i="3"/>
  <c r="G428" i="3"/>
  <c r="Q429" i="3"/>
  <c r="R434" i="3"/>
  <c r="S434" i="3"/>
  <c r="F428" i="3"/>
  <c r="Q436" i="3"/>
  <c r="R437" i="3"/>
  <c r="S437" i="3"/>
  <c r="G441" i="3"/>
  <c r="Q441" i="3" s="1"/>
  <c r="Q442" i="3"/>
  <c r="S443" i="3"/>
  <c r="D442" i="3"/>
  <c r="D441" i="3" s="1"/>
  <c r="R443" i="3"/>
  <c r="N457" i="3"/>
  <c r="N456" i="3" s="1"/>
  <c r="F462" i="3"/>
  <c r="F461" i="3" s="1"/>
  <c r="Q464" i="3"/>
  <c r="S472" i="3"/>
  <c r="R472" i="3"/>
  <c r="R474" i="3"/>
  <c r="S474" i="3"/>
  <c r="Q484" i="3"/>
  <c r="E483" i="3"/>
  <c r="E482" i="3" s="1"/>
  <c r="E457" i="3" s="1"/>
  <c r="E456" i="3" s="1"/>
  <c r="E427" i="3" s="1"/>
  <c r="F492" i="3"/>
  <c r="Q493" i="3"/>
  <c r="H499" i="3"/>
  <c r="Q500" i="3"/>
  <c r="R500" i="3" s="1"/>
  <c r="L522" i="3"/>
  <c r="L520" i="3"/>
  <c r="L518" i="3" s="1"/>
  <c r="E522" i="3"/>
  <c r="Q534" i="3"/>
  <c r="R534" i="3" s="1"/>
  <c r="E520" i="3"/>
  <c r="E518" i="3" s="1"/>
  <c r="I522" i="3"/>
  <c r="Q523" i="3"/>
  <c r="R523" i="3" s="1"/>
  <c r="M15" i="4"/>
  <c r="L12" i="4"/>
  <c r="O18" i="4"/>
  <c r="N18" i="4"/>
  <c r="L32" i="4"/>
  <c r="M32" i="4" s="1"/>
  <c r="N32" i="4" s="1"/>
  <c r="M33" i="4"/>
  <c r="M61" i="4"/>
  <c r="N61" i="4" s="1"/>
  <c r="L59" i="4"/>
  <c r="N80" i="4"/>
  <c r="O80" i="4"/>
  <c r="N120" i="4"/>
  <c r="M118" i="4"/>
  <c r="M116" i="4" s="1"/>
  <c r="O116" i="4" s="1"/>
  <c r="O120" i="4"/>
  <c r="L446" i="23"/>
  <c r="L445" i="23" s="1"/>
  <c r="L437" i="16"/>
  <c r="L607" i="16" s="1"/>
  <c r="L434" i="19"/>
  <c r="L436" i="5"/>
  <c r="L448" i="27"/>
  <c r="L446" i="30"/>
  <c r="N127" i="4"/>
  <c r="L134" i="4"/>
  <c r="M135" i="4"/>
  <c r="N135" i="4" s="1"/>
  <c r="L203" i="16"/>
  <c r="L204" i="5"/>
  <c r="O159" i="4"/>
  <c r="L207" i="23"/>
  <c r="L207" i="30"/>
  <c r="J157" i="4"/>
  <c r="L203" i="19"/>
  <c r="F136" i="27"/>
  <c r="F133" i="19"/>
  <c r="F136" i="23"/>
  <c r="F133" i="16"/>
  <c r="F134" i="5"/>
  <c r="F136" i="30"/>
  <c r="N178" i="4"/>
  <c r="M175" i="4"/>
  <c r="M169" i="4" s="1"/>
  <c r="L204" i="19"/>
  <c r="Q204" i="19" s="1"/>
  <c r="N185" i="4"/>
  <c r="L208" i="23"/>
  <c r="Q208" i="23" s="1"/>
  <c r="L209" i="27"/>
  <c r="M220" i="4"/>
  <c r="L215" i="4"/>
  <c r="O240" i="4"/>
  <c r="N240" i="4"/>
  <c r="O243" i="4"/>
  <c r="N243" i="4"/>
  <c r="J251" i="4"/>
  <c r="N251" i="4" s="1"/>
  <c r="N252" i="4"/>
  <c r="M266" i="4"/>
  <c r="N266" i="4" s="1"/>
  <c r="L265" i="4"/>
  <c r="L356" i="19"/>
  <c r="Q356" i="19" s="1"/>
  <c r="L357" i="5"/>
  <c r="Q357" i="5" s="1"/>
  <c r="L361" i="27"/>
  <c r="Q361" i="27" s="1"/>
  <c r="N310" i="4"/>
  <c r="L363" i="30"/>
  <c r="Q363" i="30" s="1"/>
  <c r="L359" i="19"/>
  <c r="Q359" i="19" s="1"/>
  <c r="L359" i="16"/>
  <c r="Q359" i="16" s="1"/>
  <c r="L360" i="5"/>
  <c r="Q360" i="5" s="1"/>
  <c r="N334" i="4"/>
  <c r="L364" i="27"/>
  <c r="Q364" i="27" s="1"/>
  <c r="J362" i="4"/>
  <c r="N363" i="4"/>
  <c r="O373" i="4"/>
  <c r="J372" i="4"/>
  <c r="J371" i="4" s="1"/>
  <c r="J370" i="4" s="1"/>
  <c r="M376" i="4"/>
  <c r="L372" i="4"/>
  <c r="J392" i="4"/>
  <c r="O392" i="4" s="1"/>
  <c r="N393" i="4"/>
  <c r="N315" i="27"/>
  <c r="N313" i="27" s="1"/>
  <c r="L414" i="4"/>
  <c r="J420" i="4"/>
  <c r="O420" i="4" s="1"/>
  <c r="O421" i="4"/>
  <c r="L402" i="19"/>
  <c r="L404" i="16"/>
  <c r="L403" i="5"/>
  <c r="Q403" i="5" s="1"/>
  <c r="L413" i="30"/>
  <c r="L415" i="27"/>
  <c r="O433" i="4"/>
  <c r="N433" i="4"/>
  <c r="O451" i="4"/>
  <c r="N451" i="4"/>
  <c r="L423" i="19"/>
  <c r="L435" i="23"/>
  <c r="L426" i="16"/>
  <c r="L417" i="16" s="1"/>
  <c r="L435" i="30"/>
  <c r="L437" i="27"/>
  <c r="L425" i="5"/>
  <c r="L463" i="4"/>
  <c r="M463" i="4" s="1"/>
  <c r="M464" i="4"/>
  <c r="O464" i="4" s="1"/>
  <c r="M467" i="4"/>
  <c r="L465" i="4"/>
  <c r="M465" i="4" s="1"/>
  <c r="O469" i="4"/>
  <c r="N469" i="4"/>
  <c r="M472" i="4"/>
  <c r="O472" i="4" s="1"/>
  <c r="L470" i="4"/>
  <c r="M470" i="4" s="1"/>
  <c r="N477" i="4"/>
  <c r="O477" i="4"/>
  <c r="N484" i="4"/>
  <c r="O484" i="4"/>
  <c r="L486" i="4"/>
  <c r="M487" i="4"/>
  <c r="N494" i="4"/>
  <c r="J492" i="4"/>
  <c r="L499" i="4"/>
  <c r="M500" i="4"/>
  <c r="N500" i="4" s="1"/>
  <c r="J519" i="4"/>
  <c r="J517" i="4" s="1"/>
  <c r="J566" i="4"/>
  <c r="N566" i="4" s="1"/>
  <c r="N567" i="4"/>
  <c r="O368" i="30"/>
  <c r="O369" i="27"/>
  <c r="O368" i="23"/>
  <c r="L577" i="4"/>
  <c r="M577" i="4" s="1"/>
  <c r="N577" i="4" s="1"/>
  <c r="M578" i="4"/>
  <c r="N578" i="4" s="1"/>
  <c r="O578" i="4" s="1"/>
  <c r="O586" i="4"/>
  <c r="N586" i="4"/>
  <c r="L391" i="30"/>
  <c r="Q391" i="30" s="1"/>
  <c r="L392" i="27"/>
  <c r="Q392" i="27" s="1"/>
  <c r="L382" i="19"/>
  <c r="Q382" i="19" s="1"/>
  <c r="L382" i="16"/>
  <c r="L383" i="5"/>
  <c r="L391" i="23"/>
  <c r="Q391" i="23" s="1"/>
  <c r="J593" i="4"/>
  <c r="O593" i="4" s="1"/>
  <c r="O622" i="4"/>
  <c r="N622" i="4"/>
  <c r="O626" i="4"/>
  <c r="N626" i="4"/>
  <c r="J620" i="4"/>
  <c r="M624" i="4"/>
  <c r="N624" i="4" s="1"/>
  <c r="L620" i="4"/>
  <c r="M635" i="4"/>
  <c r="N635" i="4" s="1"/>
  <c r="L633" i="4"/>
  <c r="M633" i="4" s="1"/>
  <c r="N645" i="4"/>
  <c r="O645" i="4"/>
  <c r="O650" i="4"/>
  <c r="N650" i="4"/>
  <c r="M652" i="4"/>
  <c r="L648" i="4"/>
  <c r="N712" i="4"/>
  <c r="J710" i="4"/>
  <c r="M739" i="4"/>
  <c r="N739" i="4" s="1"/>
  <c r="L737" i="4"/>
  <c r="M757" i="4"/>
  <c r="N757" i="4" s="1"/>
  <c r="L755" i="4"/>
  <c r="L47" i="4"/>
  <c r="M52" i="4"/>
  <c r="N52" i="4" s="1"/>
  <c r="M102" i="4"/>
  <c r="N102" i="4" s="1"/>
  <c r="L93" i="4"/>
  <c r="L91" i="4" s="1"/>
  <c r="M311" i="4"/>
  <c r="N311" i="4" s="1"/>
  <c r="L306" i="4"/>
  <c r="M766" i="4"/>
  <c r="N766" i="4" s="1"/>
  <c r="L764" i="4"/>
  <c r="M775" i="4"/>
  <c r="L773" i="4"/>
  <c r="J785" i="4"/>
  <c r="N785" i="4" s="1"/>
  <c r="N786" i="4"/>
  <c r="K10" i="31"/>
  <c r="K10" i="18"/>
  <c r="K9" i="18" s="1"/>
  <c r="K12" i="28"/>
  <c r="K10" i="20"/>
  <c r="J13" i="5"/>
  <c r="J11" i="5" s="1"/>
  <c r="M11" i="11"/>
  <c r="R26" i="5"/>
  <c r="M11" i="20"/>
  <c r="M13" i="28"/>
  <c r="M11" i="28" s="1"/>
  <c r="Q26" i="5"/>
  <c r="Q13" i="5" s="1"/>
  <c r="N593" i="4"/>
  <c r="J355" i="3"/>
  <c r="J354" i="3" s="1"/>
  <c r="O24" i="24"/>
  <c r="P24" i="24" s="1"/>
  <c r="S34" i="28"/>
  <c r="Q34" i="28"/>
  <c r="O33" i="28"/>
  <c r="O154" i="10"/>
  <c r="N151" i="10"/>
  <c r="O151" i="10" s="1"/>
  <c r="S464" i="6"/>
  <c r="R464" i="6"/>
  <c r="S403" i="6"/>
  <c r="R403" i="6"/>
  <c r="R401" i="6" s="1"/>
  <c r="R394" i="6"/>
  <c r="S394" i="6"/>
  <c r="P757" i="7"/>
  <c r="O757" i="7"/>
  <c r="O135" i="4"/>
  <c r="L25" i="18"/>
  <c r="L21" i="18" s="1"/>
  <c r="L25" i="20"/>
  <c r="L25" i="24"/>
  <c r="L21" i="24" s="1"/>
  <c r="L25" i="11"/>
  <c r="O398" i="9"/>
  <c r="N395" i="9"/>
  <c r="O811" i="7"/>
  <c r="P811" i="7"/>
  <c r="Q433" i="39"/>
  <c r="R433" i="39"/>
  <c r="T433" i="39" s="1"/>
  <c r="O433" i="39"/>
  <c r="R111" i="39"/>
  <c r="T111" i="39" s="1"/>
  <c r="V111" i="39"/>
  <c r="AF111" i="39"/>
  <c r="AG111" i="39" s="1"/>
  <c r="W111" i="39"/>
  <c r="Q111" i="39"/>
  <c r="AB524" i="39"/>
  <c r="X521" i="39"/>
  <c r="O726" i="25"/>
  <c r="P726" i="25" s="1"/>
  <c r="N724" i="25"/>
  <c r="O724" i="25" s="1"/>
  <c r="P724" i="25" s="1"/>
  <c r="O543" i="9"/>
  <c r="P543" i="9"/>
  <c r="O798" i="8"/>
  <c r="P798" i="8"/>
  <c r="S682" i="6"/>
  <c r="R682" i="6"/>
  <c r="O678" i="10"/>
  <c r="P678" i="10"/>
  <c r="P47" i="31"/>
  <c r="S47" i="31"/>
  <c r="L175" i="4"/>
  <c r="L169" i="4" s="1"/>
  <c r="M782" i="4"/>
  <c r="L781" i="4"/>
  <c r="O404" i="4"/>
  <c r="O383" i="16"/>
  <c r="V383" i="16" s="1"/>
  <c r="O392" i="30"/>
  <c r="V392" i="30" s="1"/>
  <c r="O393" i="27"/>
  <c r="V393" i="27" s="1"/>
  <c r="N596" i="4"/>
  <c r="O384" i="5"/>
  <c r="T384" i="5" s="1"/>
  <c r="O392" i="23"/>
  <c r="V392" i="23" s="1"/>
  <c r="V213" i="19"/>
  <c r="N28" i="24"/>
  <c r="N27" i="24" s="1"/>
  <c r="N28" i="20"/>
  <c r="R441" i="5"/>
  <c r="AG815" i="39"/>
  <c r="L21" i="20"/>
  <c r="N300" i="27"/>
  <c r="N230" i="27" s="1"/>
  <c r="AG936" i="39"/>
  <c r="O45" i="18"/>
  <c r="Q233" i="16"/>
  <c r="R578" i="6"/>
  <c r="V578" i="6"/>
  <c r="N223" i="4"/>
  <c r="S106" i="3"/>
  <c r="R106" i="3"/>
  <c r="Q307" i="3"/>
  <c r="E184" i="3"/>
  <c r="Q184" i="3" s="1"/>
  <c r="Q185" i="3"/>
  <c r="N61" i="18"/>
  <c r="N58" i="31"/>
  <c r="N61" i="20"/>
  <c r="N61" i="11"/>
  <c r="S287" i="3"/>
  <c r="S19" i="20"/>
  <c r="P19" i="20"/>
  <c r="O201" i="5"/>
  <c r="T201" i="5" s="1"/>
  <c r="O435" i="25"/>
  <c r="J396" i="25"/>
  <c r="J366" i="25" s="1"/>
  <c r="J365" i="25" s="1"/>
  <c r="R93" i="3"/>
  <c r="S93" i="3"/>
  <c r="S47" i="28"/>
  <c r="T47" i="28" s="1"/>
  <c r="Q47" i="28"/>
  <c r="P47" i="28"/>
  <c r="O730" i="7"/>
  <c r="P730" i="7"/>
  <c r="Q286" i="3"/>
  <c r="P473" i="39"/>
  <c r="R474" i="39"/>
  <c r="Q474" i="39"/>
  <c r="AA111" i="39"/>
  <c r="X110" i="39"/>
  <c r="AB111" i="39"/>
  <c r="Y111" i="39"/>
  <c r="O961" i="39"/>
  <c r="N959" i="39"/>
  <c r="AB395" i="39"/>
  <c r="S393" i="39"/>
  <c r="N56" i="39"/>
  <c r="O61" i="39"/>
  <c r="N55" i="39"/>
  <c r="P157" i="29"/>
  <c r="P156" i="29" s="1"/>
  <c r="P155" i="29" s="1"/>
  <c r="P154" i="29" s="1"/>
  <c r="O156" i="29"/>
  <c r="O130" i="10"/>
  <c r="N129" i="10"/>
  <c r="O655" i="9"/>
  <c r="P655" i="9"/>
  <c r="O562" i="9"/>
  <c r="P562" i="9"/>
  <c r="P608" i="8"/>
  <c r="O608" i="8"/>
  <c r="O580" i="8"/>
  <c r="P580" i="8"/>
  <c r="K154" i="3"/>
  <c r="M401" i="4"/>
  <c r="N300" i="4"/>
  <c r="N212" i="4"/>
  <c r="T19" i="11"/>
  <c r="G567" i="6"/>
  <c r="G566" i="6" s="1"/>
  <c r="I444" i="6"/>
  <c r="N790" i="4"/>
  <c r="J54" i="4"/>
  <c r="N452" i="4"/>
  <c r="O452" i="4"/>
  <c r="N386" i="4"/>
  <c r="J963" i="8"/>
  <c r="J961" i="8" s="1"/>
  <c r="J10" i="30"/>
  <c r="K10" i="16"/>
  <c r="L529" i="6"/>
  <c r="K44" i="28"/>
  <c r="J43" i="23"/>
  <c r="J10" i="23" s="1"/>
  <c r="Q257" i="3"/>
  <c r="R224" i="3"/>
  <c r="Q146" i="3"/>
  <c r="N86" i="4"/>
  <c r="AG696" i="39"/>
  <c r="O215" i="29"/>
  <c r="J214" i="29"/>
  <c r="M322" i="25"/>
  <c r="O322" i="25" s="1"/>
  <c r="L321" i="25"/>
  <c r="M321" i="25" s="1"/>
  <c r="O321" i="25" s="1"/>
  <c r="P321" i="25" s="1"/>
  <c r="M23" i="24"/>
  <c r="M23" i="31"/>
  <c r="M23" i="20"/>
  <c r="R137" i="5"/>
  <c r="M25" i="28"/>
  <c r="M23" i="11"/>
  <c r="N604" i="4"/>
  <c r="N71" i="4"/>
  <c r="AG521" i="39"/>
  <c r="O728" i="25"/>
  <c r="P728" i="25" s="1"/>
  <c r="O648" i="23"/>
  <c r="N782" i="4"/>
  <c r="F457" i="3"/>
  <c r="F456" i="3" s="1"/>
  <c r="O62" i="11"/>
  <c r="O62" i="20"/>
  <c r="N504" i="4"/>
  <c r="N249" i="4"/>
  <c r="N208" i="4"/>
  <c r="N37" i="4"/>
  <c r="L624" i="27"/>
  <c r="R456" i="27"/>
  <c r="R624" i="27" s="1"/>
  <c r="N291" i="4"/>
  <c r="N48" i="4"/>
  <c r="N39" i="4"/>
  <c r="D770" i="3"/>
  <c r="D768" i="3" s="1"/>
  <c r="R772" i="3"/>
  <c r="N14" i="4"/>
  <c r="O14" i="4"/>
  <c r="R113" i="5"/>
  <c r="Q165" i="5"/>
  <c r="R165" i="5"/>
  <c r="L30" i="28"/>
  <c r="L28" i="20"/>
  <c r="L27" i="20" s="1"/>
  <c r="K29" i="11"/>
  <c r="M43" i="24"/>
  <c r="P43" i="24" s="1"/>
  <c r="M43" i="31"/>
  <c r="Q43" i="31" s="1"/>
  <c r="K49" i="20"/>
  <c r="K48" i="24"/>
  <c r="P372" i="5"/>
  <c r="P226" i="5" s="1"/>
  <c r="O56" i="11"/>
  <c r="Q56" i="11" s="1"/>
  <c r="O61" i="20"/>
  <c r="S61" i="20" s="1"/>
  <c r="O61" i="11"/>
  <c r="O59" i="11" s="1"/>
  <c r="K59" i="24"/>
  <c r="K62" i="20"/>
  <c r="L60" i="24"/>
  <c r="L63" i="20"/>
  <c r="L63" i="11"/>
  <c r="L58" i="11" s="1"/>
  <c r="I33" i="12" s="1"/>
  <c r="K27" i="11"/>
  <c r="K15" i="11" s="1"/>
  <c r="H30" i="12" s="1"/>
  <c r="L27" i="31"/>
  <c r="J661" i="7"/>
  <c r="J659" i="7" s="1"/>
  <c r="K385" i="3"/>
  <c r="O29" i="3"/>
  <c r="N30" i="20"/>
  <c r="O467" i="19"/>
  <c r="V467" i="19" s="1"/>
  <c r="V468" i="19"/>
  <c r="O954" i="10"/>
  <c r="T54" i="28"/>
  <c r="Q405" i="5"/>
  <c r="O367" i="4"/>
  <c r="N278" i="4"/>
  <c r="N612" i="4"/>
  <c r="N41" i="4"/>
  <c r="N411" i="4"/>
  <c r="O411" i="4" s="1"/>
  <c r="L29" i="28"/>
  <c r="L17" i="28" s="1"/>
  <c r="Q499" i="3"/>
  <c r="R499" i="3" s="1"/>
  <c r="O197" i="3"/>
  <c r="X88" i="39"/>
  <c r="X87" i="39" s="1"/>
  <c r="T40" i="11"/>
  <c r="O708" i="10"/>
  <c r="P708" i="10"/>
  <c r="M265" i="25"/>
  <c r="O265" i="25" s="1"/>
  <c r="L264" i="25"/>
  <c r="M264" i="25" s="1"/>
  <c r="O264" i="25" s="1"/>
  <c r="K62" i="11"/>
  <c r="L28" i="31"/>
  <c r="L28" i="18"/>
  <c r="L27" i="18" s="1"/>
  <c r="N123" i="4"/>
  <c r="O357" i="16"/>
  <c r="V357" i="16" s="1"/>
  <c r="O357" i="19"/>
  <c r="V357" i="19" s="1"/>
  <c r="L448" i="23"/>
  <c r="L621" i="23"/>
  <c r="O842" i="7"/>
  <c r="P750" i="7"/>
  <c r="M169" i="25"/>
  <c r="O424" i="4"/>
  <c r="N206" i="4"/>
  <c r="N276" i="4"/>
  <c r="N141" i="4"/>
  <c r="N24" i="4"/>
  <c r="N99" i="4"/>
  <c r="N658" i="4"/>
  <c r="O479" i="4"/>
  <c r="N421" i="4"/>
  <c r="N259" i="4"/>
  <c r="N408" i="4"/>
  <c r="N590" i="4"/>
  <c r="N150" i="4"/>
  <c r="N100" i="4"/>
  <c r="N347" i="4"/>
  <c r="N26" i="4"/>
  <c r="N600" i="4"/>
  <c r="N176" i="4"/>
  <c r="N457" i="4"/>
  <c r="R14" i="3"/>
  <c r="I11" i="3"/>
  <c r="O11" i="3"/>
  <c r="O10" i="3" s="1"/>
  <c r="S70" i="3"/>
  <c r="R72" i="3"/>
  <c r="K78" i="3"/>
  <c r="R85" i="3"/>
  <c r="N595" i="4"/>
  <c r="M54" i="3"/>
  <c r="K104" i="3"/>
  <c r="S219" i="3"/>
  <c r="R226" i="3"/>
  <c r="E239" i="3"/>
  <c r="E238" i="3" s="1"/>
  <c r="E237" i="3" s="1"/>
  <c r="J239" i="3"/>
  <c r="J238" i="3" s="1"/>
  <c r="J237" i="3" s="1"/>
  <c r="P239" i="3"/>
  <c r="P238" i="3" s="1"/>
  <c r="P237" i="3" s="1"/>
  <c r="D299" i="3"/>
  <c r="D298" i="3" s="1"/>
  <c r="N522" i="3"/>
  <c r="R555" i="3"/>
  <c r="O522" i="3"/>
  <c r="R745" i="3"/>
  <c r="N163" i="4"/>
  <c r="N513" i="4"/>
  <c r="N547" i="4"/>
  <c r="Q37" i="18"/>
  <c r="Q617" i="39"/>
  <c r="AG195" i="39"/>
  <c r="AG278" i="39"/>
  <c r="AG333" i="39"/>
  <c r="Z396" i="39"/>
  <c r="Z395" i="39" s="1"/>
  <c r="Z393" i="39" s="1"/>
  <c r="Z391" i="39" s="1"/>
  <c r="AG791" i="39"/>
  <c r="AF840" i="39"/>
  <c r="T841" i="39"/>
  <c r="U840" i="39"/>
  <c r="U839" i="39" s="1"/>
  <c r="U837" i="39" s="1"/>
  <c r="U835" i="39" s="1"/>
  <c r="Z837" i="39"/>
  <c r="Z835" i="39" s="1"/>
  <c r="AG855" i="39"/>
  <c r="U936" i="39"/>
  <c r="U935" i="39" s="1"/>
  <c r="U933" i="39" s="1"/>
  <c r="U931" i="39" s="1"/>
  <c r="AG950" i="39"/>
  <c r="AG953" i="39"/>
  <c r="AG1017" i="39"/>
  <c r="AG1022" i="39"/>
  <c r="D13" i="2"/>
  <c r="D12" i="2" s="1"/>
  <c r="M78" i="3"/>
  <c r="D135" i="3"/>
  <c r="D134" i="3" s="1"/>
  <c r="D130" i="3" s="1"/>
  <c r="D129" i="3" s="1"/>
  <c r="G239" i="3"/>
  <c r="G238" i="3" s="1"/>
  <c r="R554" i="3"/>
  <c r="R556" i="3"/>
  <c r="R558" i="3"/>
  <c r="R583" i="3"/>
  <c r="D743" i="3"/>
  <c r="D741" i="3" s="1"/>
  <c r="R741" i="3" s="1"/>
  <c r="N394" i="4"/>
  <c r="J399" i="4"/>
  <c r="O438" i="4"/>
  <c r="J470" i="4"/>
  <c r="J483" i="4"/>
  <c r="N529" i="4"/>
  <c r="N531" i="4"/>
  <c r="N575" i="4"/>
  <c r="F31" i="6"/>
  <c r="E53" i="6"/>
  <c r="I53" i="6"/>
  <c r="M53" i="6"/>
  <c r="M49" i="6" s="1"/>
  <c r="G162" i="6"/>
  <c r="G161" i="6" s="1"/>
  <c r="K236" i="6"/>
  <c r="K227" i="6" s="1"/>
  <c r="O236" i="6"/>
  <c r="L265" i="6"/>
  <c r="L255" i="6" s="1"/>
  <c r="L253" i="6" s="1"/>
  <c r="N803" i="10"/>
  <c r="N825" i="10"/>
  <c r="O825" i="10" s="1"/>
  <c r="N865" i="10"/>
  <c r="O865" i="10" s="1"/>
  <c r="M216" i="29"/>
  <c r="N239" i="29"/>
  <c r="O419" i="29"/>
  <c r="P419" i="29" s="1"/>
  <c r="J536" i="29"/>
  <c r="J535" i="29" s="1"/>
  <c r="Q291" i="30"/>
  <c r="O116" i="39"/>
  <c r="Z534" i="39"/>
  <c r="Z485" i="39" s="1"/>
  <c r="Z450" i="39" s="1"/>
  <c r="X534" i="39"/>
  <c r="T539" i="39"/>
  <c r="AG613" i="39"/>
  <c r="AG679" i="39"/>
  <c r="AG819" i="39"/>
  <c r="AG822" i="39"/>
  <c r="AG828" i="39"/>
  <c r="AG914" i="39"/>
  <c r="AG918" i="39"/>
  <c r="N93" i="16"/>
  <c r="N92" i="16" s="1"/>
  <c r="N56" i="16" s="1"/>
  <c r="N55" i="16" s="1"/>
  <c r="N443" i="25"/>
  <c r="O549" i="29"/>
  <c r="Y367" i="39"/>
  <c r="AG377" i="39"/>
  <c r="AG490" i="39"/>
  <c r="AG801" i="39"/>
  <c r="AG1034" i="39"/>
  <c r="N239" i="3"/>
  <c r="N238" i="3" s="1"/>
  <c r="R309" i="3"/>
  <c r="F612" i="3"/>
  <c r="F611" i="3" s="1"/>
  <c r="R655" i="3"/>
  <c r="S686" i="3"/>
  <c r="R688" i="3"/>
  <c r="S690" i="3"/>
  <c r="R692" i="3"/>
  <c r="N187" i="4"/>
  <c r="J141" i="7"/>
  <c r="J139" i="7" s="1"/>
  <c r="M319" i="9"/>
  <c r="M318" i="9" s="1"/>
  <c r="M314" i="9" s="1"/>
  <c r="J417" i="16"/>
  <c r="J416" i="16" s="1"/>
  <c r="J396" i="16" s="1"/>
  <c r="J629" i="25"/>
  <c r="J628" i="25" s="1"/>
  <c r="Q231" i="27"/>
  <c r="R247" i="27"/>
  <c r="Q36" i="28"/>
  <c r="Q42" i="28"/>
  <c r="J154" i="29"/>
  <c r="O154" i="29" s="1"/>
  <c r="O494" i="29"/>
  <c r="P494" i="29" s="1"/>
  <c r="AF431" i="39"/>
  <c r="AG431" i="39" s="1"/>
  <c r="AG522" i="39"/>
  <c r="T525" i="39"/>
  <c r="AB525" i="39"/>
  <c r="AG526" i="39"/>
  <c r="U534" i="39"/>
  <c r="R537" i="39"/>
  <c r="T537" i="39" s="1"/>
  <c r="AG544" i="39"/>
  <c r="AG546" i="39"/>
  <c r="U638" i="39"/>
  <c r="U637" i="39" s="1"/>
  <c r="U633" i="39" s="1"/>
  <c r="U632" i="39" s="1"/>
  <c r="AG662" i="39"/>
  <c r="AG667" i="39"/>
  <c r="AG681" i="39"/>
  <c r="R687" i="39"/>
  <c r="P686" i="39"/>
  <c r="AG857" i="39"/>
  <c r="AG860" i="39"/>
  <c r="AA865" i="39"/>
  <c r="AG874" i="39"/>
  <c r="Y876" i="39"/>
  <c r="AG878" i="39"/>
  <c r="AG995" i="39"/>
  <c r="O563" i="29"/>
  <c r="Y646" i="39"/>
  <c r="Y807" i="39"/>
  <c r="P563" i="29"/>
  <c r="J567" i="6"/>
  <c r="J566" i="6" s="1"/>
  <c r="N417" i="8"/>
  <c r="O417" i="8" s="1"/>
  <c r="P622" i="8"/>
  <c r="N563" i="8"/>
  <c r="O563" i="8" s="1"/>
  <c r="T30" i="20"/>
  <c r="T25" i="24"/>
  <c r="AG352" i="39"/>
  <c r="D612" i="6"/>
  <c r="D610" i="6" s="1"/>
  <c r="M257" i="4"/>
  <c r="N257" i="4" s="1"/>
  <c r="L256" i="4"/>
  <c r="M256" i="4" s="1"/>
  <c r="O624" i="8"/>
  <c r="P624" i="8"/>
  <c r="J781" i="4"/>
  <c r="J780" i="4" s="1"/>
  <c r="N312" i="16"/>
  <c r="O24" i="20"/>
  <c r="R590" i="3"/>
  <c r="N697" i="4"/>
  <c r="R203" i="5"/>
  <c r="N375" i="4"/>
  <c r="J369" i="29"/>
  <c r="Q61" i="28"/>
  <c r="P23" i="11"/>
  <c r="P860" i="9"/>
  <c r="P859" i="9" s="1"/>
  <c r="O440" i="9"/>
  <c r="Q745" i="39"/>
  <c r="Q393" i="19"/>
  <c r="AB89" i="39"/>
  <c r="S44" i="20"/>
  <c r="T44" i="20" s="1"/>
  <c r="R437" i="16"/>
  <c r="R607" i="16" s="1"/>
  <c r="O736" i="39"/>
  <c r="K29" i="20"/>
  <c r="K29" i="31"/>
  <c r="K27" i="31" s="1"/>
  <c r="K15" i="31" s="1"/>
  <c r="Q138" i="5"/>
  <c r="Q234" i="5"/>
  <c r="M45" i="28"/>
  <c r="O383" i="19"/>
  <c r="V383" i="19" s="1"/>
  <c r="O45" i="5"/>
  <c r="N721" i="4"/>
  <c r="L607" i="4"/>
  <c r="Q452" i="5"/>
  <c r="O423" i="5"/>
  <c r="O360" i="16"/>
  <c r="V360" i="16" s="1"/>
  <c r="N342" i="4"/>
  <c r="Q449" i="23"/>
  <c r="R449" i="23"/>
  <c r="R621" i="23" s="1"/>
  <c r="D493" i="3"/>
  <c r="R494" i="3"/>
  <c r="R580" i="3"/>
  <c r="S580" i="3"/>
  <c r="R609" i="3"/>
  <c r="L50" i="28"/>
  <c r="L49" i="18"/>
  <c r="L49" i="11"/>
  <c r="AG944" i="39"/>
  <c r="I10" i="13"/>
  <c r="O208" i="23"/>
  <c r="V208" i="23" s="1"/>
  <c r="O209" i="27"/>
  <c r="V209" i="27" s="1"/>
  <c r="S19" i="24"/>
  <c r="J904" i="9"/>
  <c r="J902" i="9" s="1"/>
  <c r="X67" i="39"/>
  <c r="V93" i="16"/>
  <c r="N743" i="39"/>
  <c r="N1088" i="8"/>
  <c r="O1088" i="8" s="1"/>
  <c r="R736" i="39"/>
  <c r="T736" i="39" s="1"/>
  <c r="N734" i="39"/>
  <c r="Q734" i="39" s="1"/>
  <c r="K31" i="28"/>
  <c r="K29" i="28" s="1"/>
  <c r="K29" i="24"/>
  <c r="K27" i="24" s="1"/>
  <c r="S47" i="11"/>
  <c r="R227" i="5"/>
  <c r="M699" i="4"/>
  <c r="N699" i="4" s="1"/>
  <c r="N751" i="4"/>
  <c r="K10" i="24"/>
  <c r="K9" i="24" s="1"/>
  <c r="Q315" i="27"/>
  <c r="R315" i="27"/>
  <c r="R467" i="3"/>
  <c r="S467" i="3"/>
  <c r="R469" i="3"/>
  <c r="S469" i="3"/>
  <c r="R476" i="3"/>
  <c r="S476" i="3"/>
  <c r="N359" i="4"/>
  <c r="O359" i="4"/>
  <c r="L311" i="5"/>
  <c r="L310" i="16"/>
  <c r="N580" i="23"/>
  <c r="N568" i="5"/>
  <c r="L521" i="4"/>
  <c r="M521" i="4" s="1"/>
  <c r="N521" i="4" s="1"/>
  <c r="M522" i="4"/>
  <c r="N522" i="4" s="1"/>
  <c r="N393" i="27"/>
  <c r="N392" i="23"/>
  <c r="N389" i="23" s="1"/>
  <c r="N383" i="19"/>
  <c r="N380" i="19" s="1"/>
  <c r="O213" i="30"/>
  <c r="V214" i="30"/>
  <c r="M708" i="4"/>
  <c r="N708" i="4" s="1"/>
  <c r="L707" i="4"/>
  <c r="M11" i="31"/>
  <c r="L13" i="5"/>
  <c r="R13" i="5" s="1"/>
  <c r="N390" i="27"/>
  <c r="N316" i="23"/>
  <c r="T36" i="18"/>
  <c r="S50" i="20"/>
  <c r="T50" i="20" s="1"/>
  <c r="P19" i="24"/>
  <c r="V92" i="16"/>
  <c r="N579" i="23"/>
  <c r="V217" i="23"/>
  <c r="T470" i="5"/>
  <c r="Q437" i="16"/>
  <c r="L169" i="25"/>
  <c r="K29" i="18"/>
  <c r="K27" i="18" s="1"/>
  <c r="L28" i="24"/>
  <c r="L27" i="24" s="1"/>
  <c r="L15" i="24" s="1"/>
  <c r="M44" i="18"/>
  <c r="M262" i="4"/>
  <c r="N262" i="4" s="1"/>
  <c r="L322" i="4"/>
  <c r="S675" i="3"/>
  <c r="H156" i="3"/>
  <c r="H155" i="3" s="1"/>
  <c r="H154" i="3"/>
  <c r="L362" i="30"/>
  <c r="Q362" i="30" s="1"/>
  <c r="L359" i="5"/>
  <c r="Q359" i="5" s="1"/>
  <c r="L362" i="23"/>
  <c r="Q362" i="23" s="1"/>
  <c r="L358" i="16"/>
  <c r="Q358" i="16" s="1"/>
  <c r="O643" i="4"/>
  <c r="N643" i="4"/>
  <c r="R367" i="5"/>
  <c r="L365" i="5"/>
  <c r="Q367" i="5"/>
  <c r="N398" i="5"/>
  <c r="N397" i="5" s="1"/>
  <c r="O397" i="5" s="1"/>
  <c r="T397" i="5" s="1"/>
  <c r="D423" i="2"/>
  <c r="D422" i="2" s="1"/>
  <c r="O104" i="3"/>
  <c r="R114" i="3"/>
  <c r="R163" i="3"/>
  <c r="R176" i="3"/>
  <c r="R178" i="3"/>
  <c r="R402" i="3"/>
  <c r="M577" i="3"/>
  <c r="D661" i="3"/>
  <c r="D660" i="3" s="1"/>
  <c r="R660" i="3" s="1"/>
  <c r="R686" i="3"/>
  <c r="R690" i="3"/>
  <c r="R695" i="3"/>
  <c r="R729" i="3"/>
  <c r="R737" i="3"/>
  <c r="N254" i="4"/>
  <c r="J273" i="4"/>
  <c r="J272" i="4" s="1"/>
  <c r="N272" i="4" s="1"/>
  <c r="N295" i="4"/>
  <c r="J330" i="4"/>
  <c r="J329" i="4" s="1"/>
  <c r="N329" i="4" s="1"/>
  <c r="O329" i="4" s="1"/>
  <c r="N417" i="4"/>
  <c r="N429" i="4"/>
  <c r="O431" i="4"/>
  <c r="L549" i="4"/>
  <c r="N559" i="4"/>
  <c r="N591" i="4"/>
  <c r="N603" i="4"/>
  <c r="D14" i="6"/>
  <c r="Q19" i="6"/>
  <c r="Q44" i="6"/>
  <c r="R44" i="6" s="1"/>
  <c r="Q54" i="6"/>
  <c r="R54" i="6" s="1"/>
  <c r="Q65" i="6"/>
  <c r="R65" i="6" s="1"/>
  <c r="M64" i="6"/>
  <c r="M60" i="6" s="1"/>
  <c r="L64" i="6"/>
  <c r="L60" i="6" s="1"/>
  <c r="P64" i="6"/>
  <c r="P60" i="6" s="1"/>
  <c r="I64" i="6"/>
  <c r="O64" i="6"/>
  <c r="O60" i="6" s="1"/>
  <c r="Q69" i="6"/>
  <c r="R69" i="6" s="1"/>
  <c r="Q73" i="6"/>
  <c r="R73" i="6" s="1"/>
  <c r="Q87" i="6"/>
  <c r="R87" i="6" s="1"/>
  <c r="K91" i="6"/>
  <c r="Q97" i="6"/>
  <c r="J95" i="6"/>
  <c r="J91" i="6" s="1"/>
  <c r="N103" i="6"/>
  <c r="N102" i="6" s="1"/>
  <c r="J103" i="6"/>
  <c r="J102" i="6" s="1"/>
  <c r="Q114" i="6"/>
  <c r="R114" i="6" s="1"/>
  <c r="Q125" i="6"/>
  <c r="J124" i="6"/>
  <c r="J120" i="6" s="1"/>
  <c r="P124" i="6"/>
  <c r="P120" i="6" s="1"/>
  <c r="N128" i="6"/>
  <c r="O139" i="6"/>
  <c r="O135" i="6" s="1"/>
  <c r="Q153" i="6"/>
  <c r="Q154" i="6"/>
  <c r="R154" i="6" s="1"/>
  <c r="Q185" i="6"/>
  <c r="L193" i="6"/>
  <c r="L192" i="6" s="1"/>
  <c r="Q221" i="6"/>
  <c r="R221" i="6" s="1"/>
  <c r="Q230" i="6"/>
  <c r="R230" i="6" s="1"/>
  <c r="O228" i="6"/>
  <c r="O227" i="6" s="1"/>
  <c r="Q231" i="6"/>
  <c r="L236" i="6"/>
  <c r="P236" i="6"/>
  <c r="Q239" i="6"/>
  <c r="R239" i="6" s="1"/>
  <c r="Q240" i="6"/>
  <c r="R240" i="6" s="1"/>
  <c r="Q245" i="6"/>
  <c r="R245" i="6" s="1"/>
  <c r="Q246" i="6"/>
  <c r="R246" i="6" s="1"/>
  <c r="Q247" i="6"/>
  <c r="R247" i="6" s="1"/>
  <c r="Q248" i="6"/>
  <c r="R248" i="6" s="1"/>
  <c r="R249" i="6"/>
  <c r="Q261" i="6"/>
  <c r="S261" i="6" s="1"/>
  <c r="Q262" i="6"/>
  <c r="S262" i="6" s="1"/>
  <c r="Q263" i="6"/>
  <c r="O260" i="6"/>
  <c r="O259" i="6" s="1"/>
  <c r="O257" i="6" s="1"/>
  <c r="O255" i="6" s="1"/>
  <c r="O253" i="6" s="1"/>
  <c r="Q267" i="6"/>
  <c r="R267" i="6" s="1"/>
  <c r="M265" i="6"/>
  <c r="P265" i="6"/>
  <c r="P255" i="6" s="1"/>
  <c r="P253" i="6" s="1"/>
  <c r="Q279" i="6"/>
  <c r="V279" i="6" s="1"/>
  <c r="N277" i="6"/>
  <c r="K277" i="6"/>
  <c r="K276" i="6" s="1"/>
  <c r="K275" i="6" s="1"/>
  <c r="G281" i="6"/>
  <c r="Q285" i="6"/>
  <c r="P281" i="6"/>
  <c r="P276" i="6" s="1"/>
  <c r="P275" i="6" s="1"/>
  <c r="Q288" i="6"/>
  <c r="E294" i="6"/>
  <c r="E293" i="6" s="1"/>
  <c r="E292" i="6" s="1"/>
  <c r="F294" i="6"/>
  <c r="F293" i="6" s="1"/>
  <c r="F292" i="6" s="1"/>
  <c r="I294" i="6"/>
  <c r="I293" i="6" s="1"/>
  <c r="I292" i="6" s="1"/>
  <c r="D294" i="6"/>
  <c r="D293" i="6" s="1"/>
  <c r="D292" i="6" s="1"/>
  <c r="H294" i="6"/>
  <c r="H293" i="6" s="1"/>
  <c r="H292" i="6" s="1"/>
  <c r="K294" i="6"/>
  <c r="K293" i="6" s="1"/>
  <c r="K292" i="6" s="1"/>
  <c r="M294" i="6"/>
  <c r="M293" i="6" s="1"/>
  <c r="M292" i="6" s="1"/>
  <c r="Q300" i="6"/>
  <c r="S300" i="6" s="1"/>
  <c r="P304" i="6"/>
  <c r="Q309" i="6"/>
  <c r="S309" i="6" s="1"/>
  <c r="N102" i="7"/>
  <c r="N148" i="7"/>
  <c r="O148" i="7" s="1"/>
  <c r="P156" i="8"/>
  <c r="K776" i="7"/>
  <c r="P776" i="7" s="1"/>
  <c r="K901" i="8"/>
  <c r="J369" i="9"/>
  <c r="J367" i="9" s="1"/>
  <c r="J365" i="9" s="1"/>
  <c r="J363" i="9" s="1"/>
  <c r="N443" i="9"/>
  <c r="N882" i="9"/>
  <c r="P882" i="9" s="1"/>
  <c r="N890" i="9"/>
  <c r="N124" i="10"/>
  <c r="O124" i="10" s="1"/>
  <c r="N135" i="10"/>
  <c r="O135" i="10" s="1"/>
  <c r="N423" i="10"/>
  <c r="O423" i="10" s="1"/>
  <c r="N542" i="10"/>
  <c r="O919" i="10"/>
  <c r="M172" i="25"/>
  <c r="Q235" i="19"/>
  <c r="R235" i="19"/>
  <c r="V381" i="23"/>
  <c r="O380" i="23"/>
  <c r="V421" i="23"/>
  <c r="O420" i="23"/>
  <c r="V420" i="23" s="1"/>
  <c r="P31" i="3"/>
  <c r="R63" i="3"/>
  <c r="Q97" i="3"/>
  <c r="F116" i="3"/>
  <c r="Q200" i="3"/>
  <c r="R200" i="3" s="1"/>
  <c r="R206" i="3"/>
  <c r="R210" i="3"/>
  <c r="R234" i="3"/>
  <c r="G237" i="3"/>
  <c r="R269" i="3"/>
  <c r="R271" i="3"/>
  <c r="R395" i="3"/>
  <c r="S583" i="3"/>
  <c r="G612" i="3"/>
  <c r="K612" i="3"/>
  <c r="K611" i="3" s="1"/>
  <c r="R643" i="3"/>
  <c r="Q707" i="3"/>
  <c r="K701" i="3"/>
  <c r="R775" i="3"/>
  <c r="G777" i="3"/>
  <c r="K777" i="3"/>
  <c r="O777" i="3"/>
  <c r="R784" i="3"/>
  <c r="R786" i="3"/>
  <c r="N13" i="4"/>
  <c r="O15" i="4"/>
  <c r="N25" i="4"/>
  <c r="N40" i="4"/>
  <c r="N339" i="4"/>
  <c r="N660" i="4"/>
  <c r="O694" i="4"/>
  <c r="N714" i="4"/>
  <c r="N722" i="4"/>
  <c r="N731" i="4"/>
  <c r="N741" i="4"/>
  <c r="N749" i="4"/>
  <c r="N64" i="4"/>
  <c r="N319" i="4"/>
  <c r="J664" i="4"/>
  <c r="J663" i="4" s="1"/>
  <c r="N733" i="4"/>
  <c r="N775" i="4"/>
  <c r="N788" i="4"/>
  <c r="N241" i="7"/>
  <c r="N239" i="7" s="1"/>
  <c r="O138" i="8"/>
  <c r="N123" i="8"/>
  <c r="N671" i="8"/>
  <c r="P671" i="8" s="1"/>
  <c r="O921" i="8"/>
  <c r="O918" i="8" s="1"/>
  <c r="O982" i="8"/>
  <c r="K1070" i="8"/>
  <c r="K1068" i="8" s="1"/>
  <c r="K66" i="9"/>
  <c r="K59" i="9" s="1"/>
  <c r="K57" i="9" s="1"/>
  <c r="N1009" i="9"/>
  <c r="O1009" i="9" s="1"/>
  <c r="O10" i="24"/>
  <c r="Q13" i="23"/>
  <c r="Q12" i="23" s="1"/>
  <c r="R147" i="27"/>
  <c r="N668" i="25"/>
  <c r="O669" i="25"/>
  <c r="P669" i="25" s="1"/>
  <c r="P70" i="25"/>
  <c r="O69" i="25"/>
  <c r="M15" i="29"/>
  <c r="L12" i="29"/>
  <c r="M12" i="29" s="1"/>
  <c r="N392" i="4"/>
  <c r="D522" i="3"/>
  <c r="R36" i="3"/>
  <c r="Q118" i="3"/>
  <c r="R222" i="3"/>
  <c r="R227" i="3"/>
  <c r="R501" i="3"/>
  <c r="R505" i="3"/>
  <c r="R525" i="3"/>
  <c r="R527" i="3"/>
  <c r="R536" i="3"/>
  <c r="R568" i="3"/>
  <c r="S568" i="3" s="1"/>
  <c r="E577" i="3"/>
  <c r="R635" i="3"/>
  <c r="R689" i="3"/>
  <c r="D694" i="3"/>
  <c r="R694" i="3" s="1"/>
  <c r="R762" i="3"/>
  <c r="R764" i="3"/>
  <c r="R766" i="3"/>
  <c r="L346" i="4"/>
  <c r="N349" i="4"/>
  <c r="O360" i="4"/>
  <c r="O365" i="4"/>
  <c r="N373" i="4"/>
  <c r="N420" i="4"/>
  <c r="O449" i="4"/>
  <c r="N527" i="4"/>
  <c r="N564" i="4"/>
  <c r="N611" i="4"/>
  <c r="O631" i="4"/>
  <c r="J633" i="4"/>
  <c r="N633" i="4" s="1"/>
  <c r="N637" i="4"/>
  <c r="L239" i="7"/>
  <c r="L238" i="7" s="1"/>
  <c r="L236" i="7" s="1"/>
  <c r="L257" i="7"/>
  <c r="L256" i="7" s="1"/>
  <c r="L243" i="7" s="1"/>
  <c r="K852" i="8"/>
  <c r="J528" i="9"/>
  <c r="J522" i="9" s="1"/>
  <c r="J520" i="9" s="1"/>
  <c r="P218" i="27"/>
  <c r="Q218" i="27" s="1"/>
  <c r="R219" i="27"/>
  <c r="V382" i="27"/>
  <c r="O381" i="27"/>
  <c r="AG185" i="39"/>
  <c r="AG186" i="39"/>
  <c r="AG190" i="39"/>
  <c r="AG192" i="39"/>
  <c r="AA193" i="39"/>
  <c r="AB193" i="39"/>
  <c r="N219" i="39"/>
  <c r="O220" i="39"/>
  <c r="Q220" i="39"/>
  <c r="O238" i="39"/>
  <c r="N237" i="39"/>
  <c r="X237" i="39"/>
  <c r="Y237" i="39" s="1"/>
  <c r="AB238" i="39"/>
  <c r="M510" i="39"/>
  <c r="O510" i="39" s="1"/>
  <c r="O511" i="39"/>
  <c r="AG926" i="39"/>
  <c r="AF937" i="39"/>
  <c r="W937" i="39"/>
  <c r="Y937" i="39" s="1"/>
  <c r="M12" i="16"/>
  <c r="M10" i="16" s="1"/>
  <c r="M8" i="16" s="1"/>
  <c r="Q97" i="23"/>
  <c r="P96" i="27"/>
  <c r="O464" i="29"/>
  <c r="P464" i="29" s="1"/>
  <c r="Q66" i="30"/>
  <c r="Q56" i="30" s="1"/>
  <c r="O480" i="30"/>
  <c r="P13" i="31"/>
  <c r="AA1065" i="39"/>
  <c r="P769" i="39"/>
  <c r="V537" i="39"/>
  <c r="AA1066" i="39"/>
  <c r="V937" i="39"/>
  <c r="R854" i="39"/>
  <c r="T854" i="39" s="1"/>
  <c r="N853" i="39"/>
  <c r="V690" i="39"/>
  <c r="AG690" i="39" s="1"/>
  <c r="O687" i="39"/>
  <c r="AF647" i="39"/>
  <c r="Q607" i="39"/>
  <c r="AF609" i="39"/>
  <c r="AG609" i="39" s="1"/>
  <c r="AF607" i="39"/>
  <c r="Q629" i="39"/>
  <c r="W607" i="39"/>
  <c r="Y607" i="39" s="1"/>
  <c r="Q525" i="39"/>
  <c r="N529" i="39"/>
  <c r="AG40" i="39"/>
  <c r="N88" i="39"/>
  <c r="Q89" i="39"/>
  <c r="AG103" i="39"/>
  <c r="W112" i="39"/>
  <c r="Y112" i="39" s="1"/>
  <c r="R112" i="39"/>
  <c r="T112" i="39" s="1"/>
  <c r="AG152" i="39"/>
  <c r="AG160" i="39"/>
  <c r="AG162" i="39"/>
  <c r="AG167" i="39"/>
  <c r="O561" i="39"/>
  <c r="Q561" i="39"/>
  <c r="N560" i="39"/>
  <c r="AG568" i="39"/>
  <c r="O588" i="39"/>
  <c r="Q588" i="39"/>
  <c r="N587" i="39"/>
  <c r="R588" i="39"/>
  <c r="T588" i="39" s="1"/>
  <c r="AG592" i="39"/>
  <c r="AG902" i="39"/>
  <c r="AF1045" i="39"/>
  <c r="V1045" i="39"/>
  <c r="K895" i="10"/>
  <c r="K894" i="10" s="1"/>
  <c r="K885" i="10" s="1"/>
  <c r="K879" i="10" s="1"/>
  <c r="K877" i="10" s="1"/>
  <c r="J909" i="10"/>
  <c r="J899" i="10" s="1"/>
  <c r="J898" i="10" s="1"/>
  <c r="N931" i="10"/>
  <c r="P931" i="10" s="1"/>
  <c r="L161" i="16"/>
  <c r="Q161" i="16" s="1"/>
  <c r="P93" i="19"/>
  <c r="K200" i="19"/>
  <c r="R226" i="19"/>
  <c r="N629" i="25"/>
  <c r="O338" i="25"/>
  <c r="P338" i="25" s="1"/>
  <c r="O493" i="25"/>
  <c r="P493" i="25" s="1"/>
  <c r="O729" i="25"/>
  <c r="P729" i="25" s="1"/>
  <c r="O425" i="25"/>
  <c r="R25" i="27"/>
  <c r="P612" i="27"/>
  <c r="P607" i="27" s="1"/>
  <c r="R652" i="27"/>
  <c r="N694" i="29"/>
  <c r="N693" i="29" s="1"/>
  <c r="O693" i="29" s="1"/>
  <c r="P693" i="29" s="1"/>
  <c r="Q251" i="30"/>
  <c r="AF524" i="39"/>
  <c r="AG524" i="39" s="1"/>
  <c r="AB1044" i="39"/>
  <c r="AB1065" i="39"/>
  <c r="AB369" i="39"/>
  <c r="R979" i="39"/>
  <c r="T979" i="39" s="1"/>
  <c r="AB599" i="39"/>
  <c r="W770" i="39"/>
  <c r="Y770" i="39" s="1"/>
  <c r="Q854" i="39"/>
  <c r="V647" i="39"/>
  <c r="N628" i="39"/>
  <c r="N597" i="39" s="1"/>
  <c r="O597" i="39" s="1"/>
  <c r="W602" i="39"/>
  <c r="AA238" i="39"/>
  <c r="R243" i="39"/>
  <c r="T243" i="39" s="1"/>
  <c r="Q243" i="39"/>
  <c r="S267" i="39"/>
  <c r="AA268" i="39"/>
  <c r="AB268" i="39"/>
  <c r="O340" i="39"/>
  <c r="Q340" i="39"/>
  <c r="AB353" i="39"/>
  <c r="AA353" i="39"/>
  <c r="X352" i="39"/>
  <c r="AB352" i="39" s="1"/>
  <c r="R369" i="39"/>
  <c r="T369" i="39" s="1"/>
  <c r="Q369" i="39"/>
  <c r="W369" i="39"/>
  <c r="Y369" i="39" s="1"/>
  <c r="AG388" i="39"/>
  <c r="AG389" i="39"/>
  <c r="AG404" i="39"/>
  <c r="Q410" i="39"/>
  <c r="R410" i="39"/>
  <c r="T410" i="39" s="1"/>
  <c r="N408" i="39"/>
  <c r="N404" i="39" s="1"/>
  <c r="O410" i="39"/>
  <c r="AG421" i="39"/>
  <c r="AG424" i="39"/>
  <c r="N442" i="39"/>
  <c r="R443" i="39"/>
  <c r="Q443" i="39"/>
  <c r="AG451" i="39"/>
  <c r="AF456" i="39"/>
  <c r="R456" i="39"/>
  <c r="T456" i="39" s="1"/>
  <c r="P455" i="39"/>
  <c r="V456" i="39"/>
  <c r="AG456" i="39" s="1"/>
  <c r="W478" i="39"/>
  <c r="S474" i="39"/>
  <c r="T474" i="39" s="1"/>
  <c r="W500" i="39"/>
  <c r="AF500" i="39"/>
  <c r="AG500" i="39" s="1"/>
  <c r="V500" i="39"/>
  <c r="AG501" i="39"/>
  <c r="AG713" i="39"/>
  <c r="AG738" i="39"/>
  <c r="AG740" i="39"/>
  <c r="AG741" i="39"/>
  <c r="AG751" i="39"/>
  <c r="S761" i="39"/>
  <c r="AB762" i="39"/>
  <c r="W762" i="39"/>
  <c r="Y762" i="39" s="1"/>
  <c r="AG764" i="39"/>
  <c r="AG1000" i="39"/>
  <c r="AF1009" i="39"/>
  <c r="V1009" i="39"/>
  <c r="AG1014" i="39"/>
  <c r="O1020" i="39"/>
  <c r="Q1020" i="39"/>
  <c r="R1020" i="39"/>
  <c r="AF1033" i="39"/>
  <c r="AG1033" i="39" s="1"/>
  <c r="W1033" i="39"/>
  <c r="Y1033" i="39" s="1"/>
  <c r="J414" i="19"/>
  <c r="J413" i="19" s="1"/>
  <c r="J396" i="19" s="1"/>
  <c r="P12" i="23"/>
  <c r="R12" i="23" s="1"/>
  <c r="K139" i="27"/>
  <c r="K55" i="27" s="1"/>
  <c r="K43" i="27" s="1"/>
  <c r="K10" i="27" s="1"/>
  <c r="K8" i="27" s="1"/>
  <c r="O741" i="29"/>
  <c r="P741" i="29" s="1"/>
  <c r="V840" i="39"/>
  <c r="AG840" i="39" s="1"/>
  <c r="R937" i="39"/>
  <c r="T937" i="39" s="1"/>
  <c r="AF841" i="39"/>
  <c r="AG854" i="39"/>
  <c r="W524" i="39"/>
  <c r="Y524" i="39" s="1"/>
  <c r="Y238" i="39"/>
  <c r="AG520" i="39"/>
  <c r="O525" i="39"/>
  <c r="N524" i="39"/>
  <c r="O524" i="39" s="1"/>
  <c r="AG532" i="39"/>
  <c r="Q537" i="39"/>
  <c r="P534" i="39"/>
  <c r="P485" i="39" s="1"/>
  <c r="AG548" i="39"/>
  <c r="AG550" i="39"/>
  <c r="AG551" i="39"/>
  <c r="P599" i="39"/>
  <c r="AF602" i="39"/>
  <c r="AG602" i="39" s="1"/>
  <c r="V607" i="39"/>
  <c r="P606" i="39"/>
  <c r="R654" i="39"/>
  <c r="T654" i="39" s="1"/>
  <c r="W654" i="39"/>
  <c r="Y654" i="39" s="1"/>
  <c r="Q654" i="39"/>
  <c r="AG673" i="39"/>
  <c r="N695" i="39"/>
  <c r="R696" i="39"/>
  <c r="T696" i="39" s="1"/>
  <c r="AG697" i="39"/>
  <c r="N864" i="39"/>
  <c r="R865" i="39"/>
  <c r="T865" i="39" s="1"/>
  <c r="AG880" i="39"/>
  <c r="Q885" i="39"/>
  <c r="N884" i="39"/>
  <c r="O885" i="39"/>
  <c r="P894" i="39"/>
  <c r="W895" i="39"/>
  <c r="Y895" i="39" s="1"/>
  <c r="AG960" i="39"/>
  <c r="AG963" i="39"/>
  <c r="AG965" i="39"/>
  <c r="AG972" i="39"/>
  <c r="AG974" i="39"/>
  <c r="Q980" i="39"/>
  <c r="R980" i="39"/>
  <c r="T980" i="39" s="1"/>
  <c r="AA237" i="39"/>
  <c r="AG227" i="39"/>
  <c r="Y478" i="39"/>
  <c r="AG287" i="39"/>
  <c r="AG291" i="39"/>
  <c r="AG359" i="39"/>
  <c r="AG573" i="39"/>
  <c r="Z638" i="39"/>
  <c r="Z637" i="39" s="1"/>
  <c r="AG789" i="39"/>
  <c r="AG796" i="39"/>
  <c r="Y1066" i="39"/>
  <c r="AG250" i="39"/>
  <c r="AF268" i="39"/>
  <c r="AG268" i="39" s="1"/>
  <c r="AB486" i="39"/>
  <c r="AG487" i="39"/>
  <c r="AF497" i="39"/>
  <c r="V594" i="39"/>
  <c r="AG601" i="39"/>
  <c r="AG1049" i="39"/>
  <c r="P236" i="8"/>
  <c r="O236" i="8"/>
  <c r="R571" i="6"/>
  <c r="V571" i="6"/>
  <c r="P879" i="9"/>
  <c r="O879" i="9"/>
  <c r="O738" i="9"/>
  <c r="P738" i="9"/>
  <c r="O676" i="10"/>
  <c r="P676" i="10"/>
  <c r="O596" i="8"/>
  <c r="P596" i="8"/>
  <c r="N24" i="8"/>
  <c r="P24" i="8" s="1"/>
  <c r="P498" i="9"/>
  <c r="S446" i="6"/>
  <c r="F24" i="1"/>
  <c r="G24" i="1" s="1"/>
  <c r="S552" i="6"/>
  <c r="V536" i="6"/>
  <c r="N114" i="10"/>
  <c r="P114" i="10" s="1"/>
  <c r="O795" i="8"/>
  <c r="P419" i="8"/>
  <c r="S155" i="6"/>
  <c r="N184" i="8"/>
  <c r="P184" i="8" s="1"/>
  <c r="O630" i="8"/>
  <c r="P888" i="9"/>
  <c r="V457" i="6"/>
  <c r="O506" i="7"/>
  <c r="O892" i="8"/>
  <c r="P802" i="9"/>
  <c r="S571" i="6"/>
  <c r="O415" i="9"/>
  <c r="P494" i="8"/>
  <c r="O494" i="8"/>
  <c r="O201" i="8"/>
  <c r="P201" i="8"/>
  <c r="M222" i="7"/>
  <c r="N226" i="7"/>
  <c r="O226" i="7" s="1"/>
  <c r="P840" i="8"/>
  <c r="P839" i="8" s="1"/>
  <c r="O840" i="8"/>
  <c r="O839" i="8" s="1"/>
  <c r="M21" i="7"/>
  <c r="Q15" i="6"/>
  <c r="E39" i="6"/>
  <c r="E38" i="6" s="1"/>
  <c r="Q40" i="6"/>
  <c r="R40" i="6" s="1"/>
  <c r="Q130" i="6"/>
  <c r="R130" i="6" s="1"/>
  <c r="E197" i="6"/>
  <c r="E192" i="6" s="1"/>
  <c r="Q198" i="6"/>
  <c r="S198" i="6" s="1"/>
  <c r="F212" i="6"/>
  <c r="F211" i="6" s="1"/>
  <c r="Q213" i="6"/>
  <c r="H215" i="6"/>
  <c r="H211" i="6" s="1"/>
  <c r="Q216" i="6"/>
  <c r="V230" i="6"/>
  <c r="H236" i="6"/>
  <c r="Q237" i="6"/>
  <c r="R237" i="6" s="1"/>
  <c r="Q238" i="6"/>
  <c r="R238" i="6" s="1"/>
  <c r="G236" i="6"/>
  <c r="V261" i="6"/>
  <c r="R261" i="6"/>
  <c r="E281" i="6"/>
  <c r="E276" i="6" s="1"/>
  <c r="E275" i="6" s="1"/>
  <c r="Q282" i="6"/>
  <c r="S282" i="6" s="1"/>
  <c r="P490" i="7"/>
  <c r="P780" i="10"/>
  <c r="O473" i="9"/>
  <c r="K497" i="9"/>
  <c r="K496" i="9" s="1"/>
  <c r="V446" i="6"/>
  <c r="P615" i="7"/>
  <c r="O675" i="8"/>
  <c r="V576" i="6"/>
  <c r="R284" i="6"/>
  <c r="P502" i="7"/>
  <c r="R377" i="6"/>
  <c r="O674" i="8"/>
  <c r="P588" i="8"/>
  <c r="L59" i="9"/>
  <c r="L57" i="9" s="1"/>
  <c r="P853" i="8"/>
  <c r="R179" i="6"/>
  <c r="P946" i="10"/>
  <c r="L130" i="25"/>
  <c r="O829" i="7"/>
  <c r="O613" i="9"/>
  <c r="O643" i="10"/>
  <c r="N770" i="7"/>
  <c r="O770" i="7" s="1"/>
  <c r="D276" i="6"/>
  <c r="D275" i="6" s="1"/>
  <c r="P210" i="10"/>
  <c r="P672" i="8"/>
  <c r="O672" i="8"/>
  <c r="P557" i="10"/>
  <c r="O557" i="10"/>
  <c r="M358" i="25"/>
  <c r="L357" i="25"/>
  <c r="M357" i="25" s="1"/>
  <c r="M273" i="25"/>
  <c r="O273" i="25" s="1"/>
  <c r="L272" i="25"/>
  <c r="M272" i="25" s="1"/>
  <c r="O272" i="25" s="1"/>
  <c r="L68" i="25"/>
  <c r="L67" i="25" s="1"/>
  <c r="M69" i="25"/>
  <c r="L840" i="7"/>
  <c r="N840" i="7" s="1"/>
  <c r="O604" i="9"/>
  <c r="P604" i="9"/>
  <c r="O361" i="9"/>
  <c r="P361" i="9"/>
  <c r="O594" i="8"/>
  <c r="P594" i="8"/>
  <c r="P188" i="9"/>
  <c r="O188" i="9"/>
  <c r="Q402" i="30"/>
  <c r="R402" i="30"/>
  <c r="V619" i="6"/>
  <c r="S619" i="6"/>
  <c r="R619" i="6"/>
  <c r="O671" i="10"/>
  <c r="S286" i="6"/>
  <c r="N262" i="8"/>
  <c r="O1021" i="8"/>
  <c r="O1020" i="8" s="1"/>
  <c r="M438" i="25"/>
  <c r="P438" i="25" s="1"/>
  <c r="P571" i="7"/>
  <c r="O944" i="10"/>
  <c r="J529" i="6"/>
  <c r="P415" i="8"/>
  <c r="P336" i="9"/>
  <c r="P591" i="8"/>
  <c r="O591" i="8"/>
  <c r="O561" i="10"/>
  <c r="P561" i="10"/>
  <c r="L915" i="9"/>
  <c r="L904" i="9" s="1"/>
  <c r="L902" i="9" s="1"/>
  <c r="O71" i="6"/>
  <c r="N192" i="6"/>
  <c r="N188" i="6" s="1"/>
  <c r="M147" i="9"/>
  <c r="M394" i="9"/>
  <c r="M392" i="9" s="1"/>
  <c r="M390" i="9" s="1"/>
  <c r="G124" i="6"/>
  <c r="N148" i="6"/>
  <c r="N147" i="6" s="1"/>
  <c r="N146" i="6" s="1"/>
  <c r="Q182" i="6"/>
  <c r="Q266" i="6"/>
  <c r="R266" i="6" s="1"/>
  <c r="H277" i="6"/>
  <c r="Q280" i="6"/>
  <c r="R280" i="6" s="1"/>
  <c r="Q295" i="6"/>
  <c r="R295" i="6" s="1"/>
  <c r="Q297" i="6"/>
  <c r="S297" i="6" s="1"/>
  <c r="Q367" i="6"/>
  <c r="E371" i="6"/>
  <c r="N387" i="6"/>
  <c r="N385" i="6" s="1"/>
  <c r="Q685" i="6"/>
  <c r="R685" i="6" s="1"/>
  <c r="N336" i="7"/>
  <c r="P336" i="7" s="1"/>
  <c r="K98" i="9"/>
  <c r="K93" i="9" s="1"/>
  <c r="K91" i="9" s="1"/>
  <c r="N417" i="9"/>
  <c r="O417" i="9" s="1"/>
  <c r="N455" i="9"/>
  <c r="L381" i="7"/>
  <c r="N381" i="7" s="1"/>
  <c r="N850" i="7"/>
  <c r="O612" i="9"/>
  <c r="D135" i="6"/>
  <c r="M93" i="25"/>
  <c r="M91" i="25" s="1"/>
  <c r="S655" i="6"/>
  <c r="N355" i="7"/>
  <c r="O355" i="7" s="1"/>
  <c r="N383" i="7"/>
  <c r="L412" i="7"/>
  <c r="L411" i="7" s="1"/>
  <c r="L409" i="7" s="1"/>
  <c r="K892" i="9"/>
  <c r="O535" i="8"/>
  <c r="N575" i="8"/>
  <c r="M827" i="8"/>
  <c r="M822" i="8" s="1"/>
  <c r="M820" i="8" s="1"/>
  <c r="N643" i="9"/>
  <c r="N200" i="10"/>
  <c r="AG837" i="39"/>
  <c r="O508" i="29"/>
  <c r="P508" i="29" s="1"/>
  <c r="J507" i="29"/>
  <c r="O507" i="29" s="1"/>
  <c r="P507" i="29" s="1"/>
  <c r="P901" i="8"/>
  <c r="O901" i="8"/>
  <c r="AG693" i="39"/>
  <c r="AG301" i="39"/>
  <c r="T32" i="28"/>
  <c r="T58" i="24"/>
  <c r="R637" i="19"/>
  <c r="O628" i="16"/>
  <c r="P435" i="25"/>
  <c r="J55" i="27"/>
  <c r="J43" i="27" s="1"/>
  <c r="J10" i="27" s="1"/>
  <c r="N390" i="4"/>
  <c r="O390" i="4"/>
  <c r="N318" i="4"/>
  <c r="O361" i="23"/>
  <c r="O361" i="30"/>
  <c r="O358" i="5"/>
  <c r="R80" i="3"/>
  <c r="S80" i="3"/>
  <c r="R94" i="3"/>
  <c r="S94" i="3"/>
  <c r="M23" i="4"/>
  <c r="N23" i="4" s="1"/>
  <c r="L21" i="4"/>
  <c r="M665" i="4"/>
  <c r="L664" i="4"/>
  <c r="O683" i="4"/>
  <c r="N683" i="4"/>
  <c r="N692" i="4"/>
  <c r="O692" i="4"/>
  <c r="N439" i="5"/>
  <c r="N440" i="16"/>
  <c r="N449" i="23"/>
  <c r="N437" i="19"/>
  <c r="N610" i="19" s="1"/>
  <c r="N455" i="23"/>
  <c r="N454" i="23" s="1"/>
  <c r="N622" i="23" s="1"/>
  <c r="M194" i="4"/>
  <c r="N445" i="5"/>
  <c r="N444" i="5" s="1"/>
  <c r="N613" i="5" s="1"/>
  <c r="N455" i="30"/>
  <c r="N454" i="30" s="1"/>
  <c r="N622" i="30" s="1"/>
  <c r="N443" i="19"/>
  <c r="N442" i="19" s="1"/>
  <c r="N611" i="19" s="1"/>
  <c r="L12" i="28"/>
  <c r="L11" i="28" s="1"/>
  <c r="L10" i="24"/>
  <c r="L9" i="24" s="1"/>
  <c r="L10" i="31"/>
  <c r="L9" i="31" s="1"/>
  <c r="L10" i="20"/>
  <c r="L10" i="18"/>
  <c r="N10" i="31"/>
  <c r="N9" i="31" s="1"/>
  <c r="N10" i="20"/>
  <c r="N9" i="20" s="1"/>
  <c r="N12" i="28"/>
  <c r="N11" i="28" s="1"/>
  <c r="G233" i="6"/>
  <c r="Q233" i="6" s="1"/>
  <c r="Q234" i="6"/>
  <c r="S488" i="6"/>
  <c r="R488" i="6"/>
  <c r="R490" i="6"/>
  <c r="S490" i="6"/>
  <c r="N43" i="16"/>
  <c r="J472" i="29"/>
  <c r="R257" i="3"/>
  <c r="R246" i="3"/>
  <c r="N607" i="27"/>
  <c r="O607" i="27" s="1"/>
  <c r="AG433" i="39"/>
  <c r="S23" i="18"/>
  <c r="T23" i="18" s="1"/>
  <c r="O47" i="24"/>
  <c r="P47" i="24" s="1"/>
  <c r="Q364" i="16"/>
  <c r="O54" i="31"/>
  <c r="O31" i="39"/>
  <c r="L1039" i="8"/>
  <c r="N1039" i="8" s="1"/>
  <c r="L436" i="16"/>
  <c r="N621" i="30"/>
  <c r="T36" i="31"/>
  <c r="N462" i="8"/>
  <c r="O462" i="8" s="1"/>
  <c r="N767" i="4"/>
  <c r="O13" i="5"/>
  <c r="N10" i="24"/>
  <c r="N9" i="24" s="1"/>
  <c r="L54" i="3"/>
  <c r="G182" i="3"/>
  <c r="Q182" i="3" s="1"/>
  <c r="Q190" i="3"/>
  <c r="J215" i="3"/>
  <c r="G447" i="3"/>
  <c r="Q448" i="3"/>
  <c r="L364" i="30"/>
  <c r="Q364" i="30" s="1"/>
  <c r="L365" i="27"/>
  <c r="Q365" i="27" s="1"/>
  <c r="L360" i="19"/>
  <c r="L361" i="5"/>
  <c r="Q361" i="5" s="1"/>
  <c r="L364" i="23"/>
  <c r="Q364" i="23" s="1"/>
  <c r="L345" i="4"/>
  <c r="M345" i="4" s="1"/>
  <c r="M346" i="4"/>
  <c r="L441" i="4"/>
  <c r="M443" i="4"/>
  <c r="L446" i="4"/>
  <c r="N435" i="23"/>
  <c r="N426" i="23" s="1"/>
  <c r="N425" i="23" s="1"/>
  <c r="M453" i="4"/>
  <c r="N426" i="16"/>
  <c r="N417" i="16" s="1"/>
  <c r="N416" i="16" s="1"/>
  <c r="N629" i="4"/>
  <c r="T38" i="28"/>
  <c r="S49" i="18"/>
  <c r="S200" i="3"/>
  <c r="T47" i="31"/>
  <c r="N657" i="4"/>
  <c r="S44" i="11"/>
  <c r="T44" i="11" s="1"/>
  <c r="R458" i="3"/>
  <c r="O734" i="39"/>
  <c r="Q23" i="18"/>
  <c r="T47" i="18"/>
  <c r="N881" i="8"/>
  <c r="Q250" i="23"/>
  <c r="M238" i="25"/>
  <c r="S47" i="20"/>
  <c r="T47" i="20" s="1"/>
  <c r="AA58" i="39"/>
  <c r="R761" i="3"/>
  <c r="L728" i="4"/>
  <c r="M114" i="4"/>
  <c r="N769" i="4"/>
  <c r="R426" i="16"/>
  <c r="K13" i="5"/>
  <c r="K11" i="5" s="1"/>
  <c r="N10" i="11"/>
  <c r="N9" i="11" s="1"/>
  <c r="N15" i="4"/>
  <c r="N10" i="18"/>
  <c r="N9" i="18" s="1"/>
  <c r="R188" i="3"/>
  <c r="S188" i="3"/>
  <c r="F314" i="3"/>
  <c r="Q315" i="3"/>
  <c r="S422" i="3"/>
  <c r="R422" i="3"/>
  <c r="D614" i="3"/>
  <c r="R615" i="3"/>
  <c r="N638" i="3"/>
  <c r="N637" i="3" s="1"/>
  <c r="S678" i="3"/>
  <c r="R678" i="3"/>
  <c r="M202" i="4"/>
  <c r="N202" i="4" s="1"/>
  <c r="L201" i="4"/>
  <c r="L359" i="30"/>
  <c r="L359" i="23"/>
  <c r="L360" i="27"/>
  <c r="L355" i="16"/>
  <c r="L356" i="5"/>
  <c r="L360" i="23"/>
  <c r="Q360" i="23" s="1"/>
  <c r="L360" i="30"/>
  <c r="Q360" i="30" s="1"/>
  <c r="L356" i="16"/>
  <c r="Q356" i="16" s="1"/>
  <c r="L422" i="4"/>
  <c r="M423" i="4"/>
  <c r="N423" i="4" s="1"/>
  <c r="N415" i="27"/>
  <c r="N409" i="27" s="1"/>
  <c r="N408" i="27" s="1"/>
  <c r="N407" i="27" s="1"/>
  <c r="O407" i="27" s="1"/>
  <c r="V407" i="27" s="1"/>
  <c r="M432" i="4"/>
  <c r="N413" i="23"/>
  <c r="N407" i="23" s="1"/>
  <c r="N406" i="23" s="1"/>
  <c r="N402" i="19"/>
  <c r="N398" i="19" s="1"/>
  <c r="N397" i="19" s="1"/>
  <c r="N396" i="19" s="1"/>
  <c r="O396" i="19" s="1"/>
  <c r="V396" i="19" s="1"/>
  <c r="N404" i="16"/>
  <c r="N398" i="16" s="1"/>
  <c r="N397" i="16" s="1"/>
  <c r="N396" i="16" s="1"/>
  <c r="O396" i="16" s="1"/>
  <c r="V396" i="16" s="1"/>
  <c r="L428" i="4"/>
  <c r="N437" i="4"/>
  <c r="M435" i="4"/>
  <c r="M485" i="4"/>
  <c r="N432" i="19"/>
  <c r="N435" i="16"/>
  <c r="L579" i="27"/>
  <c r="L563" i="19"/>
  <c r="Q563" i="19" s="1"/>
  <c r="L577" i="30"/>
  <c r="L565" i="5"/>
  <c r="L580" i="30"/>
  <c r="L566" i="19"/>
  <c r="Q566" i="19" s="1"/>
  <c r="L546" i="4"/>
  <c r="O495" i="30"/>
  <c r="V495" i="30" s="1"/>
  <c r="O483" i="19"/>
  <c r="O486" i="16"/>
  <c r="O367" i="23"/>
  <c r="O367" i="30"/>
  <c r="O366" i="30" s="1"/>
  <c r="O369" i="23"/>
  <c r="L391" i="27"/>
  <c r="L382" i="5"/>
  <c r="L390" i="23"/>
  <c r="L381" i="19"/>
  <c r="L392" i="30"/>
  <c r="L383" i="19"/>
  <c r="Q383" i="19" s="1"/>
  <c r="L393" i="27"/>
  <c r="Q393" i="27" s="1"/>
  <c r="L392" i="23"/>
  <c r="Q392" i="23" s="1"/>
  <c r="L49" i="20"/>
  <c r="L48" i="24"/>
  <c r="L48" i="31"/>
  <c r="T40" i="28"/>
  <c r="T40" i="18"/>
  <c r="P651" i="9"/>
  <c r="N20" i="8"/>
  <c r="O20" i="8" s="1"/>
  <c r="J840" i="9"/>
  <c r="J839" i="9" s="1"/>
  <c r="Q46" i="20"/>
  <c r="K27" i="20"/>
  <c r="L329" i="25"/>
  <c r="M329" i="25" s="1"/>
  <c r="O329" i="25" s="1"/>
  <c r="P329" i="25" s="1"/>
  <c r="O54" i="24"/>
  <c r="T47" i="11"/>
  <c r="X57" i="39"/>
  <c r="Q69" i="3"/>
  <c r="N777" i="4"/>
  <c r="Q453" i="16"/>
  <c r="O424" i="16"/>
  <c r="N446" i="16"/>
  <c r="N445" i="16" s="1"/>
  <c r="N616" i="16" s="1"/>
  <c r="L10" i="11"/>
  <c r="L9" i="11" s="1"/>
  <c r="O364" i="23"/>
  <c r="V364" i="23" s="1"/>
  <c r="O365" i="27"/>
  <c r="O361" i="5"/>
  <c r="T361" i="5" s="1"/>
  <c r="D548" i="3"/>
  <c r="D545" i="3" s="1"/>
  <c r="D520" i="3" s="1"/>
  <c r="D518" i="3" s="1"/>
  <c r="R550" i="3"/>
  <c r="L94" i="4"/>
  <c r="M94" i="4" s="1"/>
  <c r="O94" i="4" s="1"/>
  <c r="M96" i="4"/>
  <c r="L106" i="4"/>
  <c r="L104" i="4" s="1"/>
  <c r="O467" i="4"/>
  <c r="J465" i="4"/>
  <c r="N467" i="4"/>
  <c r="M478" i="4"/>
  <c r="L476" i="4"/>
  <c r="M453" i="7"/>
  <c r="M452" i="7" s="1"/>
  <c r="M451" i="7" s="1"/>
  <c r="M428" i="8"/>
  <c r="M426" i="8" s="1"/>
  <c r="M424" i="8" s="1"/>
  <c r="N424" i="8" s="1"/>
  <c r="N434" i="8"/>
  <c r="O434" i="8" s="1"/>
  <c r="S39" i="28"/>
  <c r="P39" i="28"/>
  <c r="Q41" i="28"/>
  <c r="S41" i="28"/>
  <c r="O13" i="29"/>
  <c r="P13" i="29" s="1"/>
  <c r="N12" i="29"/>
  <c r="O198" i="29"/>
  <c r="P199" i="29"/>
  <c r="Q18" i="29"/>
  <c r="O243" i="29"/>
  <c r="P243" i="29" s="1"/>
  <c r="AA19" i="39"/>
  <c r="W19" i="39"/>
  <c r="Y19" i="39" s="1"/>
  <c r="V19" i="39"/>
  <c r="AG19" i="39" s="1"/>
  <c r="AG53" i="39"/>
  <c r="AG105" i="39"/>
  <c r="S115" i="39"/>
  <c r="S109" i="39" s="1"/>
  <c r="W116" i="39"/>
  <c r="Y116" i="39" s="1"/>
  <c r="AA200" i="39"/>
  <c r="AF200" i="39"/>
  <c r="V200" i="39"/>
  <c r="W200" i="39"/>
  <c r="Y200" i="39" s="1"/>
  <c r="Q203" i="39"/>
  <c r="AF203" i="39"/>
  <c r="AG203" i="39" s="1"/>
  <c r="R203" i="39"/>
  <c r="T203" i="39" s="1"/>
  <c r="AG204" i="39"/>
  <c r="AG206" i="39"/>
  <c r="AF208" i="39"/>
  <c r="V208" i="39"/>
  <c r="W208" i="39"/>
  <c r="Y208" i="39" s="1"/>
  <c r="Q215" i="39"/>
  <c r="P214" i="39"/>
  <c r="V215" i="39"/>
  <c r="W215" i="39"/>
  <c r="Y215" i="39" s="1"/>
  <c r="AG216" i="39"/>
  <c r="S219" i="39"/>
  <c r="W220" i="39"/>
  <c r="Y220" i="39" s="1"/>
  <c r="AB220" i="39"/>
  <c r="AA220" i="39"/>
  <c r="N224" i="39"/>
  <c r="O225" i="39"/>
  <c r="AG279" i="39"/>
  <c r="AG295" i="39"/>
  <c r="AG299" i="39"/>
  <c r="P308" i="39"/>
  <c r="R308" i="39" s="1"/>
  <c r="T308" i="39" s="1"/>
  <c r="V309" i="39"/>
  <c r="W309" i="39"/>
  <c r="Y309" i="39" s="1"/>
  <c r="Q309" i="39"/>
  <c r="R309" i="39"/>
  <c r="T309" i="39" s="1"/>
  <c r="AF309" i="39"/>
  <c r="AG310" i="39"/>
  <c r="R318" i="39"/>
  <c r="T318" i="39" s="1"/>
  <c r="P317" i="39"/>
  <c r="Q318" i="39"/>
  <c r="AG319" i="39"/>
  <c r="N322" i="39"/>
  <c r="O323" i="39"/>
  <c r="AF332" i="39"/>
  <c r="V332" i="39"/>
  <c r="T332" i="39"/>
  <c r="AF338" i="39"/>
  <c r="AG338" i="39" s="1"/>
  <c r="S335" i="39"/>
  <c r="V340" i="39"/>
  <c r="V335" i="39" s="1"/>
  <c r="AB340" i="39"/>
  <c r="W340" i="39"/>
  <c r="Y340" i="39" s="1"/>
  <c r="AF340" i="39"/>
  <c r="AA340" i="39"/>
  <c r="Q345" i="39"/>
  <c r="N344" i="39"/>
  <c r="R345" i="39"/>
  <c r="T345" i="39" s="1"/>
  <c r="O345" i="39"/>
  <c r="O357" i="39"/>
  <c r="N356" i="39"/>
  <c r="R357" i="39"/>
  <c r="T357" i="39" s="1"/>
  <c r="Q357" i="39"/>
  <c r="O366" i="39"/>
  <c r="N365" i="39"/>
  <c r="P365" i="39"/>
  <c r="AF366" i="39"/>
  <c r="R366" i="39"/>
  <c r="T366" i="39" s="1"/>
  <c r="V366" i="39"/>
  <c r="AG366" i="39" s="1"/>
  <c r="Q366" i="39"/>
  <c r="AF401" i="39"/>
  <c r="AG401" i="39" s="1"/>
  <c r="Q401" i="39"/>
  <c r="R401" i="39"/>
  <c r="T401" i="39" s="1"/>
  <c r="Q434" i="39"/>
  <c r="R434" i="39"/>
  <c r="T434" i="39" s="1"/>
  <c r="AA434" i="39"/>
  <c r="X433" i="39"/>
  <c r="AG435" i="39"/>
  <c r="AF443" i="39"/>
  <c r="W443" i="39"/>
  <c r="Y443" i="39" s="1"/>
  <c r="V443" i="39"/>
  <c r="S442" i="39"/>
  <c r="AG444" i="39"/>
  <c r="AG445" i="39"/>
  <c r="AG446" i="39"/>
  <c r="L803" i="7"/>
  <c r="L801" i="7" s="1"/>
  <c r="N472" i="4"/>
  <c r="N464" i="4"/>
  <c r="N247" i="4"/>
  <c r="N261" i="4"/>
  <c r="N72" i="4"/>
  <c r="N765" i="4"/>
  <c r="N412" i="4"/>
  <c r="O412" i="4" s="1"/>
  <c r="O391" i="23"/>
  <c r="O391" i="30"/>
  <c r="V391" i="30" s="1"/>
  <c r="L416" i="5"/>
  <c r="L415" i="5" s="1"/>
  <c r="R25" i="3"/>
  <c r="L43" i="3"/>
  <c r="L29" i="3" s="1"/>
  <c r="P54" i="3"/>
  <c r="P29" i="3" s="1"/>
  <c r="E54" i="3"/>
  <c r="E29" i="3" s="1"/>
  <c r="R111" i="3"/>
  <c r="R113" i="3"/>
  <c r="R140" i="3"/>
  <c r="R148" i="3"/>
  <c r="R193" i="3"/>
  <c r="R228" i="3"/>
  <c r="Q393" i="3"/>
  <c r="O407" i="3"/>
  <c r="O385" i="3" s="1"/>
  <c r="L483" i="3"/>
  <c r="L482" i="3" s="1"/>
  <c r="M507" i="3"/>
  <c r="N612" i="3"/>
  <c r="N611" i="3" s="1"/>
  <c r="S615" i="3"/>
  <c r="D654" i="3"/>
  <c r="D637" i="3" s="1"/>
  <c r="R662" i="3"/>
  <c r="R664" i="3"/>
  <c r="G670" i="3"/>
  <c r="G668" i="3" s="1"/>
  <c r="O670" i="3"/>
  <c r="O668" i="3" s="1"/>
  <c r="N179" i="4"/>
  <c r="N175" i="4" s="1"/>
  <c r="N169" i="4" s="1"/>
  <c r="N474" i="4"/>
  <c r="N544" i="4"/>
  <c r="N698" i="4"/>
  <c r="L59" i="31"/>
  <c r="L62" i="20"/>
  <c r="N138" i="7"/>
  <c r="P245" i="10"/>
  <c r="M374" i="8"/>
  <c r="N375" i="8"/>
  <c r="N503" i="4"/>
  <c r="N463" i="4"/>
  <c r="N274" i="4"/>
  <c r="N228" i="4"/>
  <c r="N308" i="4"/>
  <c r="N379" i="4"/>
  <c r="N232" i="4"/>
  <c r="N335" i="4"/>
  <c r="N211" i="4"/>
  <c r="N89" i="4"/>
  <c r="N74" i="4"/>
  <c r="N33" i="4"/>
  <c r="N126" i="4"/>
  <c r="N122" i="4"/>
  <c r="I31" i="3"/>
  <c r="R52" i="3"/>
  <c r="R192" i="3"/>
  <c r="F216" i="3"/>
  <c r="F215" i="3" s="1"/>
  <c r="I239" i="3"/>
  <c r="I238" i="3" s="1"/>
  <c r="I237" i="3" s="1"/>
  <c r="S241" i="3"/>
  <c r="R360" i="3"/>
  <c r="R362" i="3"/>
  <c r="R408" i="3"/>
  <c r="H428" i="3"/>
  <c r="R502" i="3"/>
  <c r="E507" i="3"/>
  <c r="F507" i="3"/>
  <c r="P507" i="3"/>
  <c r="R640" i="3"/>
  <c r="Q654" i="3"/>
  <c r="R679" i="3"/>
  <c r="R728" i="3"/>
  <c r="N777" i="3"/>
  <c r="N88" i="4"/>
  <c r="J422" i="4"/>
  <c r="J419" i="4" s="1"/>
  <c r="K372" i="5"/>
  <c r="L57" i="31"/>
  <c r="L60" i="18"/>
  <c r="L59" i="18" s="1"/>
  <c r="L58" i="18" s="1"/>
  <c r="L58" i="31"/>
  <c r="L60" i="28"/>
  <c r="L347" i="7"/>
  <c r="L343" i="7" s="1"/>
  <c r="L342" i="7" s="1"/>
  <c r="N342" i="7" s="1"/>
  <c r="N348" i="7"/>
  <c r="N662" i="10"/>
  <c r="O662" i="10" s="1"/>
  <c r="M661" i="10"/>
  <c r="N661" i="10" s="1"/>
  <c r="P661" i="10" s="1"/>
  <c r="M216" i="25"/>
  <c r="L215" i="25"/>
  <c r="D517" i="2"/>
  <c r="R18" i="3"/>
  <c r="F31" i="3"/>
  <c r="N31" i="3"/>
  <c r="N29" i="3" s="1"/>
  <c r="H54" i="3"/>
  <c r="F104" i="3"/>
  <c r="N215" i="3"/>
  <c r="L462" i="3"/>
  <c r="L461" i="3" s="1"/>
  <c r="R676" i="3"/>
  <c r="R697" i="3"/>
  <c r="I701" i="3"/>
  <c r="Q701" i="3" s="1"/>
  <c r="N107" i="4"/>
  <c r="N532" i="4"/>
  <c r="L56" i="28"/>
  <c r="L44" i="28" s="1"/>
  <c r="L54" i="24"/>
  <c r="L54" i="31"/>
  <c r="L56" i="18"/>
  <c r="L43" i="18" s="1"/>
  <c r="L95" i="7"/>
  <c r="L94" i="7" s="1"/>
  <c r="N96" i="7"/>
  <c r="O758" i="7"/>
  <c r="P758" i="7"/>
  <c r="N26" i="9"/>
  <c r="L25" i="9"/>
  <c r="L24" i="9" s="1"/>
  <c r="L15" i="9" s="1"/>
  <c r="L13" i="9" s="1"/>
  <c r="K583" i="9"/>
  <c r="O583" i="9" s="1"/>
  <c r="P584" i="9"/>
  <c r="P618" i="9"/>
  <c r="O618" i="9"/>
  <c r="N29" i="10"/>
  <c r="M27" i="10"/>
  <c r="M24" i="10" s="1"/>
  <c r="L144" i="10"/>
  <c r="L143" i="10" s="1"/>
  <c r="N145" i="10"/>
  <c r="O145" i="10" s="1"/>
  <c r="N228" i="10"/>
  <c r="O228" i="10" s="1"/>
  <c r="M226" i="10"/>
  <c r="M222" i="10" s="1"/>
  <c r="M216" i="10" s="1"/>
  <c r="L400" i="10"/>
  <c r="N401" i="10"/>
  <c r="O401" i="10" s="1"/>
  <c r="N446" i="10"/>
  <c r="O446" i="10" s="1"/>
  <c r="L445" i="10"/>
  <c r="L447" i="10"/>
  <c r="N447" i="10" s="1"/>
  <c r="L448" i="10"/>
  <c r="N566" i="10"/>
  <c r="P566" i="10" s="1"/>
  <c r="L563" i="10"/>
  <c r="L533" i="10" s="1"/>
  <c r="O585" i="10"/>
  <c r="P585" i="10"/>
  <c r="O593" i="10"/>
  <c r="P593" i="10"/>
  <c r="O597" i="10"/>
  <c r="P597" i="10"/>
  <c r="O601" i="10"/>
  <c r="P601" i="10"/>
  <c r="O605" i="10"/>
  <c r="P605" i="10"/>
  <c r="O609" i="10"/>
  <c r="P609" i="10"/>
  <c r="O613" i="10"/>
  <c r="P613" i="10"/>
  <c r="O617" i="10"/>
  <c r="P617" i="10"/>
  <c r="O621" i="10"/>
  <c r="P621" i="10"/>
  <c r="O633" i="10"/>
  <c r="P633" i="10"/>
  <c r="O637" i="10"/>
  <c r="P637" i="10"/>
  <c r="N776" i="10"/>
  <c r="O776" i="10" s="1"/>
  <c r="M774" i="10"/>
  <c r="M773" i="10" s="1"/>
  <c r="M770" i="10" s="1"/>
  <c r="P798" i="10"/>
  <c r="O798" i="10"/>
  <c r="L813" i="10"/>
  <c r="N813" i="10" s="1"/>
  <c r="N814" i="10"/>
  <c r="M823" i="10"/>
  <c r="N823" i="10" s="1"/>
  <c r="N824" i="10"/>
  <c r="N836" i="10"/>
  <c r="M834" i="10"/>
  <c r="M874" i="10"/>
  <c r="N875" i="10"/>
  <c r="N882" i="10"/>
  <c r="M881" i="10"/>
  <c r="M901" i="10"/>
  <c r="N901" i="10" s="1"/>
  <c r="N902" i="10"/>
  <c r="O972" i="10"/>
  <c r="P972" i="10"/>
  <c r="L975" i="10"/>
  <c r="L974" i="10" s="1"/>
  <c r="N978" i="10"/>
  <c r="N975" i="10" s="1"/>
  <c r="O975" i="10" s="1"/>
  <c r="R402" i="27"/>
  <c r="Q402" i="27"/>
  <c r="AB530" i="39"/>
  <c r="AA530" i="39"/>
  <c r="O535" i="39"/>
  <c r="N534" i="39"/>
  <c r="O534" i="39" s="1"/>
  <c r="AA536" i="39"/>
  <c r="V536" i="39"/>
  <c r="S535" i="39"/>
  <c r="W536" i="39"/>
  <c r="Y536" i="39" s="1"/>
  <c r="T536" i="39"/>
  <c r="AG542" i="39"/>
  <c r="Q612" i="39"/>
  <c r="R612" i="39"/>
  <c r="T612" i="39" s="1"/>
  <c r="P611" i="39"/>
  <c r="P638" i="39"/>
  <c r="R668" i="39"/>
  <c r="T668" i="39" s="1"/>
  <c r="Q668" i="39"/>
  <c r="W668" i="39"/>
  <c r="Y668" i="39" s="1"/>
  <c r="AF668" i="39"/>
  <c r="V668" i="39"/>
  <c r="AG669" i="39"/>
  <c r="AG670" i="39"/>
  <c r="AF790" i="39"/>
  <c r="R790" i="39"/>
  <c r="T790" i="39" s="1"/>
  <c r="W790" i="39"/>
  <c r="Y790" i="39" s="1"/>
  <c r="Q790" i="39"/>
  <c r="V790" i="39"/>
  <c r="AG792" i="39"/>
  <c r="AG793" i="39"/>
  <c r="AG886" i="39"/>
  <c r="AG887" i="39"/>
  <c r="S1008" i="39"/>
  <c r="AA1008" i="39" s="1"/>
  <c r="W1020" i="39"/>
  <c r="Y1020" i="39" s="1"/>
  <c r="AB1020" i="39"/>
  <c r="V1020" i="39"/>
  <c r="AF1020" i="39"/>
  <c r="AA1020" i="39"/>
  <c r="AG1023" i="39"/>
  <c r="AG1024" i="39"/>
  <c r="Q1054" i="39"/>
  <c r="O1054" i="39"/>
  <c r="N1053" i="39"/>
  <c r="R1054" i="39"/>
  <c r="T1054" i="39" s="1"/>
  <c r="N639" i="5"/>
  <c r="N200" i="7"/>
  <c r="O200" i="7" s="1"/>
  <c r="J449" i="7"/>
  <c r="N478" i="7"/>
  <c r="N486" i="7"/>
  <c r="O486" i="7" s="1"/>
  <c r="N489" i="7"/>
  <c r="K1065" i="8"/>
  <c r="O1066" i="8"/>
  <c r="L123" i="9"/>
  <c r="N123" i="9" s="1"/>
  <c r="O123" i="9" s="1"/>
  <c r="N124" i="9"/>
  <c r="O124" i="9" s="1"/>
  <c r="L591" i="9"/>
  <c r="N592" i="9"/>
  <c r="P592" i="9" s="1"/>
  <c r="N998" i="9"/>
  <c r="O998" i="9" s="1"/>
  <c r="M997" i="9"/>
  <c r="N997" i="9" s="1"/>
  <c r="O997" i="9" s="1"/>
  <c r="L82" i="10"/>
  <c r="L77" i="10" s="1"/>
  <c r="L75" i="10" s="1"/>
  <c r="N163" i="10"/>
  <c r="N421" i="10"/>
  <c r="O421" i="10" s="1"/>
  <c r="M534" i="10"/>
  <c r="N534" i="10" s="1"/>
  <c r="O590" i="10"/>
  <c r="P590" i="10"/>
  <c r="O606" i="10"/>
  <c r="P606" i="10"/>
  <c r="N707" i="10"/>
  <c r="N706" i="10" s="1"/>
  <c r="J93" i="19"/>
  <c r="J92" i="19" s="1"/>
  <c r="J56" i="19" s="1"/>
  <c r="J55" i="19" s="1"/>
  <c r="J43" i="19" s="1"/>
  <c r="J10" i="19" s="1"/>
  <c r="Q156" i="19"/>
  <c r="Q155" i="19" s="1"/>
  <c r="P155" i="19"/>
  <c r="Q14" i="20"/>
  <c r="O48" i="24"/>
  <c r="Q268" i="23"/>
  <c r="Q463" i="23"/>
  <c r="R463" i="23"/>
  <c r="S35" i="24"/>
  <c r="T35" i="24" s="1"/>
  <c r="Q14" i="25"/>
  <c r="P418" i="25"/>
  <c r="P69" i="29"/>
  <c r="O68" i="29"/>
  <c r="Q66" i="27"/>
  <c r="R66" i="27"/>
  <c r="M510" i="29"/>
  <c r="L509" i="29"/>
  <c r="M712" i="29"/>
  <c r="L711" i="29"/>
  <c r="M711" i="29" s="1"/>
  <c r="O408" i="39"/>
  <c r="R408" i="39"/>
  <c r="T408" i="39" s="1"/>
  <c r="Q535" i="39"/>
  <c r="O296" i="7"/>
  <c r="O482" i="7"/>
  <c r="S144" i="6"/>
  <c r="D429" i="6"/>
  <c r="S527" i="6"/>
  <c r="J263" i="7"/>
  <c r="J262" i="7" s="1"/>
  <c r="J260" i="7" s="1"/>
  <c r="L327" i="7"/>
  <c r="M333" i="7"/>
  <c r="M332" i="7" s="1"/>
  <c r="N413" i="7"/>
  <c r="O413" i="7" s="1"/>
  <c r="O584" i="9"/>
  <c r="L439" i="8"/>
  <c r="L438" i="8" s="1"/>
  <c r="L436" i="8" s="1"/>
  <c r="N436" i="8" s="1"/>
  <c r="L449" i="8"/>
  <c r="P461" i="8"/>
  <c r="P460" i="8" s="1"/>
  <c r="N531" i="8"/>
  <c r="N557" i="8"/>
  <c r="O575" i="8"/>
  <c r="N694" i="8"/>
  <c r="O694" i="8" s="1"/>
  <c r="O714" i="8"/>
  <c r="P714" i="8"/>
  <c r="N943" i="8"/>
  <c r="M965" i="8"/>
  <c r="N372" i="10"/>
  <c r="N1087" i="10"/>
  <c r="O1087" i="10" s="1"/>
  <c r="L1086" i="10"/>
  <c r="Q191" i="19"/>
  <c r="P397" i="19"/>
  <c r="P396" i="19" s="1"/>
  <c r="Q36" i="20"/>
  <c r="S36" i="20"/>
  <c r="T36" i="20" s="1"/>
  <c r="P40" i="20"/>
  <c r="S40" i="20"/>
  <c r="T40" i="20" s="1"/>
  <c r="O31" i="28"/>
  <c r="O29" i="24"/>
  <c r="S29" i="24" s="1"/>
  <c r="M464" i="25"/>
  <c r="L463" i="25"/>
  <c r="M625" i="25"/>
  <c r="L624" i="25"/>
  <c r="M624" i="25" s="1"/>
  <c r="J118" i="25"/>
  <c r="J116" i="25" s="1"/>
  <c r="J667" i="25"/>
  <c r="R120" i="27"/>
  <c r="L420" i="30"/>
  <c r="Q421" i="30"/>
  <c r="AF536" i="39"/>
  <c r="AG536" i="39" s="1"/>
  <c r="O354" i="7"/>
  <c r="K222" i="7"/>
  <c r="N323" i="7"/>
  <c r="P323" i="7" s="1"/>
  <c r="N359" i="7"/>
  <c r="O359" i="7" s="1"/>
  <c r="K370" i="7"/>
  <c r="E19" i="1" s="1"/>
  <c r="K436" i="7"/>
  <c r="K430" i="7" s="1"/>
  <c r="K428" i="7" s="1"/>
  <c r="N472" i="7"/>
  <c r="N473" i="7"/>
  <c r="N476" i="7"/>
  <c r="J480" i="7"/>
  <c r="N871" i="7"/>
  <c r="O871" i="7" s="1"/>
  <c r="L870" i="7"/>
  <c r="L894" i="8"/>
  <c r="N895" i="8"/>
  <c r="O895" i="8" s="1"/>
  <c r="N913" i="10"/>
  <c r="M912" i="10"/>
  <c r="M909" i="10" s="1"/>
  <c r="O19" i="18"/>
  <c r="R53" i="16"/>
  <c r="M96" i="23"/>
  <c r="M95" i="23" s="1"/>
  <c r="M56" i="23" s="1"/>
  <c r="M55" i="23" s="1"/>
  <c r="M43" i="23" s="1"/>
  <c r="R401" i="23"/>
  <c r="Q401" i="23"/>
  <c r="O107" i="25"/>
  <c r="P107" i="25" s="1"/>
  <c r="P108" i="25"/>
  <c r="L55" i="29"/>
  <c r="M55" i="29" s="1"/>
  <c r="M56" i="29"/>
  <c r="O172" i="29"/>
  <c r="O171" i="29" s="1"/>
  <c r="O170" i="29" s="1"/>
  <c r="O169" i="29" s="1"/>
  <c r="N169" i="29"/>
  <c r="Q53" i="30"/>
  <c r="R53" i="30"/>
  <c r="R651" i="27"/>
  <c r="R187" i="30"/>
  <c r="AG1029" i="39"/>
  <c r="Y530" i="39"/>
  <c r="O468" i="10"/>
  <c r="P30" i="10"/>
  <c r="N347" i="9"/>
  <c r="O347" i="9" s="1"/>
  <c r="M199" i="8"/>
  <c r="J203" i="8"/>
  <c r="J192" i="8" s="1"/>
  <c r="J190" i="8" s="1"/>
  <c r="L472" i="8"/>
  <c r="L471" i="8" s="1"/>
  <c r="L470" i="8" s="1"/>
  <c r="N470" i="8" s="1"/>
  <c r="L833" i="8"/>
  <c r="N833" i="8" s="1"/>
  <c r="P833" i="8" s="1"/>
  <c r="O1003" i="8"/>
  <c r="S38" i="11"/>
  <c r="T38" i="11" s="1"/>
  <c r="Q239" i="16"/>
  <c r="P93" i="16"/>
  <c r="R246" i="23"/>
  <c r="O13" i="28"/>
  <c r="R195" i="23"/>
  <c r="R654" i="23"/>
  <c r="R653" i="23" s="1"/>
  <c r="P200" i="25"/>
  <c r="J729" i="29"/>
  <c r="O729" i="29" s="1"/>
  <c r="P729" i="29" s="1"/>
  <c r="P200" i="29"/>
  <c r="N17" i="29"/>
  <c r="O17" i="29" s="1"/>
  <c r="P17" i="29" s="1"/>
  <c r="P41" i="28"/>
  <c r="P237" i="30"/>
  <c r="R237" i="30" s="1"/>
  <c r="R634" i="30"/>
  <c r="Q13" i="31"/>
  <c r="T340" i="39"/>
  <c r="T335" i="39" s="1"/>
  <c r="J318" i="9"/>
  <c r="J314" i="9" s="1"/>
  <c r="J312" i="9" s="1"/>
  <c r="J310" i="9" s="1"/>
  <c r="J714" i="9"/>
  <c r="J711" i="9" s="1"/>
  <c r="J709" i="9" s="1"/>
  <c r="L735" i="9"/>
  <c r="N765" i="9"/>
  <c r="O765" i="9" s="1"/>
  <c r="L774" i="9"/>
  <c r="K808" i="9"/>
  <c r="N886" i="9"/>
  <c r="P886" i="9" s="1"/>
  <c r="K199" i="10"/>
  <c r="O461" i="10"/>
  <c r="O460" i="10" s="1"/>
  <c r="N567" i="10"/>
  <c r="N675" i="10"/>
  <c r="N679" i="10"/>
  <c r="P679" i="10" s="1"/>
  <c r="N681" i="10"/>
  <c r="N689" i="10"/>
  <c r="O689" i="10" s="1"/>
  <c r="N700" i="10"/>
  <c r="O700" i="10" s="1"/>
  <c r="N856" i="10"/>
  <c r="M858" i="10"/>
  <c r="M851" i="10" s="1"/>
  <c r="N932" i="10"/>
  <c r="O932" i="10" s="1"/>
  <c r="M441" i="23"/>
  <c r="M439" i="23" s="1"/>
  <c r="M438" i="23" s="1"/>
  <c r="P37" i="24"/>
  <c r="T37" i="24" s="1"/>
  <c r="Q239" i="30"/>
  <c r="P610" i="30"/>
  <c r="P605" i="30" s="1"/>
  <c r="O384" i="39"/>
  <c r="Q384" i="39"/>
  <c r="N378" i="39"/>
  <c r="R384" i="39"/>
  <c r="T384" i="39" s="1"/>
  <c r="R75" i="39"/>
  <c r="T75" i="39" s="1"/>
  <c r="N74" i="39"/>
  <c r="Q999" i="39"/>
  <c r="R999" i="39"/>
  <c r="T999" i="39" s="1"/>
  <c r="O999" i="39"/>
  <c r="N995" i="39"/>
  <c r="AF612" i="39"/>
  <c r="AG612" i="39" s="1"/>
  <c r="Y434" i="39"/>
  <c r="V638" i="39"/>
  <c r="AG537" i="39"/>
  <c r="AG174" i="39"/>
  <c r="AG177" i="39"/>
  <c r="AG178" i="39"/>
  <c r="AG240" i="39"/>
  <c r="AG259" i="39"/>
  <c r="AG269" i="39"/>
  <c r="AG390" i="39"/>
  <c r="P396" i="39"/>
  <c r="V396" i="39" s="1"/>
  <c r="R397" i="39"/>
  <c r="T397" i="39" s="1"/>
  <c r="AF397" i="39"/>
  <c r="AG397" i="39" s="1"/>
  <c r="R478" i="39"/>
  <c r="T478" i="39" s="1"/>
  <c r="O478" i="39"/>
  <c r="W493" i="39"/>
  <c r="AF493" i="39"/>
  <c r="AG493" i="39" s="1"/>
  <c r="AG594" i="39"/>
  <c r="AG595" i="39"/>
  <c r="W771" i="39"/>
  <c r="Y771" i="39" s="1"/>
  <c r="V771" i="39"/>
  <c r="Q771" i="39"/>
  <c r="W777" i="39"/>
  <c r="P776" i="39"/>
  <c r="Q1000" i="39"/>
  <c r="O1000" i="39"/>
  <c r="O458" i="29"/>
  <c r="P458" i="29" s="1"/>
  <c r="X123" i="39"/>
  <c r="AB124" i="39"/>
  <c r="AG187" i="39"/>
  <c r="AG188" i="39"/>
  <c r="AG191" i="39"/>
  <c r="AG194" i="39"/>
  <c r="AB203" i="39"/>
  <c r="W203" i="39"/>
  <c r="Y203" i="39" s="1"/>
  <c r="Q277" i="39"/>
  <c r="R277" i="39"/>
  <c r="T277" i="39" s="1"/>
  <c r="N280" i="39"/>
  <c r="R281" i="39"/>
  <c r="T281" i="39" s="1"/>
  <c r="AG305" i="39"/>
  <c r="AG306" i="39"/>
  <c r="AG321" i="39"/>
  <c r="Q336" i="39"/>
  <c r="N335" i="39"/>
  <c r="AG348" i="39"/>
  <c r="AG356" i="39"/>
  <c r="X366" i="39"/>
  <c r="AA367" i="39"/>
  <c r="AG419" i="39"/>
  <c r="AG420" i="39"/>
  <c r="AG422" i="39"/>
  <c r="AG423" i="39"/>
  <c r="AG468" i="39"/>
  <c r="AF476" i="39"/>
  <c r="V476" i="39"/>
  <c r="N730" i="39"/>
  <c r="Q731" i="39"/>
  <c r="Q831" i="39"/>
  <c r="O831" i="39"/>
  <c r="O865" i="39"/>
  <c r="Q865" i="39"/>
  <c r="AG959" i="39"/>
  <c r="AG971" i="39"/>
  <c r="AG973" i="39"/>
  <c r="AG996" i="39"/>
  <c r="N564" i="39"/>
  <c r="N936" i="39"/>
  <c r="V1042" i="39"/>
  <c r="AG1042" i="39" s="1"/>
  <c r="T336" i="39"/>
  <c r="T443" i="39"/>
  <c r="Q308" i="39"/>
  <c r="AA203" i="39"/>
  <c r="Q112" i="39"/>
  <c r="AA196" i="39"/>
  <c r="AB116" i="39"/>
  <c r="AB367" i="39"/>
  <c r="O41" i="39"/>
  <c r="R41" i="39"/>
  <c r="T41" i="39" s="1"/>
  <c r="AG48" i="39"/>
  <c r="AG72" i="39"/>
  <c r="Q76" i="39"/>
  <c r="R76" i="39"/>
  <c r="T76" i="39" s="1"/>
  <c r="AG169" i="39"/>
  <c r="AG170" i="39"/>
  <c r="S225" i="39"/>
  <c r="W226" i="39"/>
  <c r="Y226" i="39" s="1"/>
  <c r="AB226" i="39"/>
  <c r="U264" i="39"/>
  <c r="U262" i="39" s="1"/>
  <c r="AG559" i="39"/>
  <c r="O912" i="39"/>
  <c r="Q912" i="39"/>
  <c r="Q927" i="39"/>
  <c r="O927" i="39"/>
  <c r="AF89" i="39"/>
  <c r="AG89" i="39" s="1"/>
  <c r="Y500" i="39"/>
  <c r="AG41" i="39"/>
  <c r="AG43" i="39"/>
  <c r="AA59" i="39"/>
  <c r="AG582" i="39"/>
  <c r="U599" i="39"/>
  <c r="U598" i="39" s="1"/>
  <c r="U597" i="39" s="1"/>
  <c r="AG890" i="39"/>
  <c r="Z936" i="39"/>
  <c r="Z935" i="39" s="1"/>
  <c r="Z933" i="39" s="1"/>
  <c r="Z931" i="39" s="1"/>
  <c r="T1020" i="39"/>
  <c r="AG35" i="39"/>
  <c r="T59" i="39"/>
  <c r="AA226" i="39"/>
  <c r="U521" i="39"/>
  <c r="U485" i="39" s="1"/>
  <c r="U450" i="39" s="1"/>
  <c r="X840" i="39"/>
  <c r="X686" i="39"/>
  <c r="X685" i="39" s="1"/>
  <c r="Y289" i="39"/>
  <c r="O392" i="29"/>
  <c r="P392" i="29" s="1"/>
  <c r="AA289" i="39"/>
  <c r="AB691" i="39"/>
  <c r="N385" i="29"/>
  <c r="AA691" i="39"/>
  <c r="O565" i="29"/>
  <c r="X619" i="39"/>
  <c r="X618" i="39" s="1"/>
  <c r="AA626" i="39"/>
  <c r="X474" i="39"/>
  <c r="X473" i="39" s="1"/>
  <c r="X613" i="39"/>
  <c r="Y613" i="39" s="1"/>
  <c r="AB481" i="39"/>
  <c r="AB290" i="39"/>
  <c r="O459" i="29"/>
  <c r="P459" i="29" s="1"/>
  <c r="AB289" i="39"/>
  <c r="V688" i="39"/>
  <c r="AB802" i="39"/>
  <c r="Y691" i="39"/>
  <c r="AA290" i="39"/>
  <c r="Y290" i="39"/>
  <c r="AA478" i="39"/>
  <c r="Y802" i="39"/>
  <c r="T688" i="39"/>
  <c r="N646" i="29"/>
  <c r="O646" i="29" s="1"/>
  <c r="P646" i="29" s="1"/>
  <c r="X498" i="39"/>
  <c r="Y817" i="39"/>
  <c r="AA481" i="39"/>
  <c r="N536" i="29"/>
  <c r="Y494" i="39"/>
  <c r="N443" i="29"/>
  <c r="N848" i="29" s="1"/>
  <c r="AB690" i="39"/>
  <c r="X638" i="39"/>
  <c r="AA638" i="39" s="1"/>
  <c r="X855" i="39"/>
  <c r="AA493" i="39"/>
  <c r="Y688" i="39"/>
  <c r="AB494" i="39"/>
  <c r="AA690" i="39"/>
  <c r="X612" i="39"/>
  <c r="X611" i="39" s="1"/>
  <c r="X808" i="39"/>
  <c r="AA808" i="39" s="1"/>
  <c r="AB493" i="39"/>
  <c r="Y690" i="39"/>
  <c r="Y481" i="39"/>
  <c r="O389" i="29"/>
  <c r="P389" i="29" s="1"/>
  <c r="AB688" i="39"/>
  <c r="AA494" i="39"/>
  <c r="O385" i="29"/>
  <c r="P385" i="29" s="1"/>
  <c r="N384" i="29"/>
  <c r="X777" i="39"/>
  <c r="AB474" i="39"/>
  <c r="S687" i="39"/>
  <c r="AF688" i="39"/>
  <c r="AB478" i="39"/>
  <c r="P561" i="29"/>
  <c r="AA688" i="39"/>
  <c r="AB614" i="39"/>
  <c r="M194" i="10"/>
  <c r="N198" i="10"/>
  <c r="K350" i="8"/>
  <c r="P356" i="8"/>
  <c r="O356" i="8"/>
  <c r="R182" i="6"/>
  <c r="M197" i="29"/>
  <c r="P556" i="9"/>
  <c r="L305" i="29"/>
  <c r="M305" i="29" s="1"/>
  <c r="O305" i="29" s="1"/>
  <c r="P305" i="29" s="1"/>
  <c r="N574" i="10"/>
  <c r="P810" i="8"/>
  <c r="R538" i="6"/>
  <c r="V622" i="6"/>
  <c r="R460" i="6"/>
  <c r="F444" i="6"/>
  <c r="O618" i="8"/>
  <c r="P687" i="8"/>
  <c r="N95" i="10"/>
  <c r="O95" i="10" s="1"/>
  <c r="L824" i="25"/>
  <c r="M824" i="25" s="1"/>
  <c r="O824" i="25" s="1"/>
  <c r="M772" i="25"/>
  <c r="O772" i="25" s="1"/>
  <c r="N204" i="8"/>
  <c r="O204" i="8" s="1"/>
  <c r="O185" i="7"/>
  <c r="O184" i="7" s="1"/>
  <c r="F265" i="6"/>
  <c r="F255" i="6" s="1"/>
  <c r="F253" i="6" s="1"/>
  <c r="N32" i="10"/>
  <c r="AB458" i="39"/>
  <c r="O796" i="9"/>
  <c r="R305" i="6"/>
  <c r="P581" i="8"/>
  <c r="L276" i="6"/>
  <c r="L275" i="6" s="1"/>
  <c r="P484" i="7"/>
  <c r="O560" i="8"/>
  <c r="S578" i="6"/>
  <c r="V460" i="6"/>
  <c r="S631" i="6"/>
  <c r="P740" i="10"/>
  <c r="I666" i="6"/>
  <c r="P816" i="7"/>
  <c r="O96" i="10"/>
  <c r="O138" i="9"/>
  <c r="L78" i="25"/>
  <c r="M78" i="25" s="1"/>
  <c r="N328" i="7"/>
  <c r="M327" i="7"/>
  <c r="N335" i="7"/>
  <c r="L333" i="7"/>
  <c r="L332" i="7" s="1"/>
  <c r="L326" i="7" s="1"/>
  <c r="N353" i="7"/>
  <c r="O353" i="7" s="1"/>
  <c r="M351" i="7"/>
  <c r="N388" i="7"/>
  <c r="L386" i="7"/>
  <c r="O859" i="10"/>
  <c r="P859" i="10"/>
  <c r="S486" i="6"/>
  <c r="R486" i="6"/>
  <c r="S492" i="6"/>
  <c r="R492" i="6"/>
  <c r="S494" i="6"/>
  <c r="R494" i="6"/>
  <c r="L32" i="7"/>
  <c r="N32" i="7" s="1"/>
  <c r="O32" i="7" s="1"/>
  <c r="N33" i="7"/>
  <c r="L55" i="7"/>
  <c r="N55" i="7" s="1"/>
  <c r="O55" i="7" s="1"/>
  <c r="N56" i="7"/>
  <c r="O56" i="7" s="1"/>
  <c r="N84" i="7"/>
  <c r="M83" i="7"/>
  <c r="M82" i="7" s="1"/>
  <c r="M77" i="7" s="1"/>
  <c r="L89" i="7"/>
  <c r="N90" i="7"/>
  <c r="O90" i="7" s="1"/>
  <c r="L144" i="7"/>
  <c r="N145" i="7"/>
  <c r="O145" i="7" s="1"/>
  <c r="M171" i="7"/>
  <c r="M170" i="7" s="1"/>
  <c r="M161" i="7" s="1"/>
  <c r="N172" i="7"/>
  <c r="L219" i="7"/>
  <c r="N220" i="7"/>
  <c r="O220" i="7" s="1"/>
  <c r="K538" i="7"/>
  <c r="K537" i="7" s="1"/>
  <c r="K535" i="7" s="1"/>
  <c r="K533" i="7" s="1"/>
  <c r="E23" i="1"/>
  <c r="G23" i="1" s="1"/>
  <c r="K890" i="7"/>
  <c r="E36" i="1"/>
  <c r="N897" i="7"/>
  <c r="M896" i="7"/>
  <c r="M893" i="7" s="1"/>
  <c r="M888" i="7" s="1"/>
  <c r="M887" i="7" s="1"/>
  <c r="L902" i="7"/>
  <c r="N902" i="7" s="1"/>
  <c r="O902" i="7" s="1"/>
  <c r="N903" i="7"/>
  <c r="O903" i="7" s="1"/>
  <c r="O886" i="9"/>
  <c r="L282" i="29"/>
  <c r="M282" i="29" s="1"/>
  <c r="P564" i="7"/>
  <c r="L792" i="9"/>
  <c r="L790" i="9" s="1"/>
  <c r="O860" i="8"/>
  <c r="S538" i="6"/>
  <c r="O507" i="7"/>
  <c r="N881" i="9"/>
  <c r="L779" i="25"/>
  <c r="M779" i="25" s="1"/>
  <c r="O779" i="25" s="1"/>
  <c r="N276" i="6"/>
  <c r="N275" i="6" s="1"/>
  <c r="O995" i="8"/>
  <c r="O587" i="8"/>
  <c r="O740" i="8"/>
  <c r="G345" i="6"/>
  <c r="P575" i="10"/>
  <c r="O575" i="10"/>
  <c r="N982" i="10"/>
  <c r="N868" i="10"/>
  <c r="O868" i="10" s="1"/>
  <c r="N837" i="9"/>
  <c r="O837" i="9" s="1"/>
  <c r="N670" i="7"/>
  <c r="N676" i="7"/>
  <c r="P676" i="7" s="1"/>
  <c r="L849" i="7"/>
  <c r="N879" i="7"/>
  <c r="N805" i="9"/>
  <c r="N799" i="9" s="1"/>
  <c r="L489" i="10"/>
  <c r="L483" i="10" s="1"/>
  <c r="L481" i="10" s="1"/>
  <c r="N800" i="10"/>
  <c r="P800" i="10" s="1"/>
  <c r="N1005" i="10"/>
  <c r="M475" i="29"/>
  <c r="O196" i="7"/>
  <c r="O850" i="7"/>
  <c r="N22" i="7"/>
  <c r="F2" i="1" s="1"/>
  <c r="G2" i="1" s="1"/>
  <c r="D345" i="6"/>
  <c r="D412" i="6"/>
  <c r="D411" i="6" s="1"/>
  <c r="Q602" i="6"/>
  <c r="R602" i="6" s="1"/>
  <c r="R642" i="6"/>
  <c r="M668" i="6"/>
  <c r="M666" i="6" s="1"/>
  <c r="N54" i="7"/>
  <c r="O54" i="7" s="1"/>
  <c r="N61" i="7"/>
  <c r="N118" i="7"/>
  <c r="O118" i="7" s="1"/>
  <c r="N130" i="7"/>
  <c r="N178" i="7"/>
  <c r="K471" i="7"/>
  <c r="K470" i="7" s="1"/>
  <c r="K469" i="7" s="1"/>
  <c r="L471" i="7"/>
  <c r="L470" i="7" s="1"/>
  <c r="L481" i="7"/>
  <c r="M481" i="7"/>
  <c r="M930" i="9"/>
  <c r="M889" i="10"/>
  <c r="M885" i="10" s="1"/>
  <c r="M879" i="10" s="1"/>
  <c r="M877" i="10" s="1"/>
  <c r="N871" i="10"/>
  <c r="O871" i="10" s="1"/>
  <c r="M123" i="10"/>
  <c r="N554" i="9"/>
  <c r="N1018" i="10"/>
  <c r="O182" i="8"/>
  <c r="N230" i="7"/>
  <c r="O230" i="7" s="1"/>
  <c r="N604" i="8"/>
  <c r="N673" i="8"/>
  <c r="L633" i="25"/>
  <c r="L652" i="29"/>
  <c r="L513" i="29"/>
  <c r="M513" i="29" s="1"/>
  <c r="L17" i="29"/>
  <c r="G38" i="6"/>
  <c r="K38" i="6"/>
  <c r="O38" i="6"/>
  <c r="Q42" i="6"/>
  <c r="Q43" i="6"/>
  <c r="R43" i="6" s="1"/>
  <c r="Q45" i="6"/>
  <c r="R45" i="6" s="1"/>
  <c r="G53" i="6"/>
  <c r="G49" i="6" s="1"/>
  <c r="L95" i="6"/>
  <c r="L91" i="6" s="1"/>
  <c r="L27" i="7"/>
  <c r="L24" i="7" s="1"/>
  <c r="L15" i="7" s="1"/>
  <c r="L13" i="7" s="1"/>
  <c r="K66" i="7"/>
  <c r="K59" i="7" s="1"/>
  <c r="K57" i="7" s="1"/>
  <c r="L105" i="7"/>
  <c r="L104" i="7" s="1"/>
  <c r="L98" i="7" s="1"/>
  <c r="M251" i="7"/>
  <c r="K357" i="7"/>
  <c r="K356" i="7" s="1"/>
  <c r="K350" i="7" s="1"/>
  <c r="N360" i="7"/>
  <c r="O360" i="7" s="1"/>
  <c r="O596" i="9"/>
  <c r="N706" i="9"/>
  <c r="M1019" i="10"/>
  <c r="N640" i="7"/>
  <c r="N294" i="8"/>
  <c r="N22" i="9"/>
  <c r="N637" i="9"/>
  <c r="K647" i="9"/>
  <c r="K645" i="9" s="1"/>
  <c r="M647" i="9"/>
  <c r="M645" i="9" s="1"/>
  <c r="M606" i="9" s="1"/>
  <c r="N681" i="9"/>
  <c r="N321" i="10"/>
  <c r="N323" i="10"/>
  <c r="O323" i="10" s="1"/>
  <c r="M332" i="10"/>
  <c r="M331" i="10" s="1"/>
  <c r="N334" i="10"/>
  <c r="N739" i="10"/>
  <c r="L375" i="29"/>
  <c r="L32" i="29"/>
  <c r="O565" i="16"/>
  <c r="V565" i="16" s="1"/>
  <c r="V566" i="16"/>
  <c r="P970" i="8"/>
  <c r="O970" i="8"/>
  <c r="O503" i="7"/>
  <c r="P503" i="7"/>
  <c r="O29" i="7"/>
  <c r="N27" i="7"/>
  <c r="O32" i="20"/>
  <c r="Q33" i="20"/>
  <c r="P33" i="20"/>
  <c r="T33" i="20" s="1"/>
  <c r="S72" i="18"/>
  <c r="Q72" i="18"/>
  <c r="P615" i="9"/>
  <c r="O615" i="9"/>
  <c r="L762" i="4"/>
  <c r="M762" i="4" s="1"/>
  <c r="N762" i="4" s="1"/>
  <c r="M764" i="4"/>
  <c r="N764" i="4" s="1"/>
  <c r="V628" i="6"/>
  <c r="S628" i="6"/>
  <c r="R628" i="6"/>
  <c r="S535" i="6"/>
  <c r="R535" i="6"/>
  <c r="W1040" i="39"/>
  <c r="Y1040" i="39" s="1"/>
  <c r="AF1040" i="39"/>
  <c r="S229" i="39"/>
  <c r="J440" i="27"/>
  <c r="J439" i="27"/>
  <c r="Q45" i="24"/>
  <c r="S45" i="24"/>
  <c r="O1065" i="39"/>
  <c r="N1064" i="39"/>
  <c r="Q1065" i="39"/>
  <c r="W911" i="39"/>
  <c r="Y911" i="39" s="1"/>
  <c r="V911" i="39"/>
  <c r="R911" i="39"/>
  <c r="T911" i="39" s="1"/>
  <c r="P910" i="39"/>
  <c r="N760" i="39"/>
  <c r="R761" i="39"/>
  <c r="T761" i="39" s="1"/>
  <c r="Q761" i="39"/>
  <c r="AA304" i="39"/>
  <c r="X298" i="39"/>
  <c r="O471" i="25"/>
  <c r="P471" i="25" s="1"/>
  <c r="AB314" i="39"/>
  <c r="O499" i="7"/>
  <c r="L481" i="27"/>
  <c r="AG17" i="39"/>
  <c r="S29" i="11"/>
  <c r="T29" i="11" s="1"/>
  <c r="Q29" i="24"/>
  <c r="T29" i="18"/>
  <c r="N37" i="39"/>
  <c r="Q911" i="39"/>
  <c r="AF911" i="39"/>
  <c r="AG911" i="39" s="1"/>
  <c r="P200" i="8"/>
  <c r="O200" i="8"/>
  <c r="O312" i="27"/>
  <c r="O311" i="30"/>
  <c r="O308" i="30" s="1"/>
  <c r="V308" i="30" s="1"/>
  <c r="O311" i="23"/>
  <c r="O308" i="5"/>
  <c r="S301" i="6"/>
  <c r="R301" i="6"/>
  <c r="L852" i="25"/>
  <c r="M596" i="25"/>
  <c r="N11" i="25"/>
  <c r="O12" i="25"/>
  <c r="M147" i="25"/>
  <c r="O147" i="25" s="1"/>
  <c r="L146" i="25"/>
  <c r="M146" i="25" s="1"/>
  <c r="O146" i="25" s="1"/>
  <c r="S43" i="31"/>
  <c r="T43" i="31" s="1"/>
  <c r="P43" i="31"/>
  <c r="S24" i="24"/>
  <c r="T24" i="24" s="1"/>
  <c r="Q24" i="24"/>
  <c r="P485" i="10"/>
  <c r="O485" i="10"/>
  <c r="K409" i="10"/>
  <c r="P409" i="10" s="1"/>
  <c r="P411" i="10"/>
  <c r="M203" i="10"/>
  <c r="N212" i="10"/>
  <c r="O212" i="10" s="1"/>
  <c r="L181" i="10"/>
  <c r="L176" i="10" s="1"/>
  <c r="N187" i="10"/>
  <c r="M61" i="10"/>
  <c r="N61" i="10" s="1"/>
  <c r="N62" i="10"/>
  <c r="P62" i="10" s="1"/>
  <c r="O1024" i="9"/>
  <c r="N1021" i="9"/>
  <c r="O1021" i="9" s="1"/>
  <c r="P878" i="9"/>
  <c r="N611" i="30"/>
  <c r="N442" i="30"/>
  <c r="L442" i="19"/>
  <c r="R442" i="19" s="1"/>
  <c r="R611" i="19" s="1"/>
  <c r="R443" i="19"/>
  <c r="R467" i="19"/>
  <c r="S312" i="39"/>
  <c r="N121" i="39"/>
  <c r="Q32" i="28"/>
  <c r="O56" i="27"/>
  <c r="V567" i="16"/>
  <c r="AG863" i="39"/>
  <c r="Q436" i="19"/>
  <c r="V1040" i="39"/>
  <c r="P45" i="24"/>
  <c r="AB304" i="39"/>
  <c r="Q480" i="23"/>
  <c r="L479" i="23"/>
  <c r="P526" i="10"/>
  <c r="O526" i="10"/>
  <c r="Y83" i="39"/>
  <c r="X81" i="39"/>
  <c r="AB83" i="39"/>
  <c r="AA83" i="39"/>
  <c r="O864" i="8"/>
  <c r="P864" i="8"/>
  <c r="AG231" i="39"/>
  <c r="E12" i="1"/>
  <c r="R361" i="6"/>
  <c r="O71" i="18"/>
  <c r="AA288" i="39"/>
  <c r="AB288" i="39"/>
  <c r="Y288" i="39"/>
  <c r="X287" i="39"/>
  <c r="AA287" i="39" s="1"/>
  <c r="N535" i="9"/>
  <c r="P535" i="9" s="1"/>
  <c r="O537" i="9"/>
  <c r="N270" i="7"/>
  <c r="P270" i="7" s="1"/>
  <c r="O271" i="7"/>
  <c r="O56" i="18"/>
  <c r="O43" i="18" s="1"/>
  <c r="P225" i="16"/>
  <c r="S404" i="3"/>
  <c r="R404" i="3"/>
  <c r="L183" i="4"/>
  <c r="M184" i="4"/>
  <c r="O201" i="19"/>
  <c r="N200" i="19"/>
  <c r="V480" i="23"/>
  <c r="O479" i="23"/>
  <c r="P800" i="9"/>
  <c r="O800" i="9"/>
  <c r="O744" i="9"/>
  <c r="P744" i="9"/>
  <c r="P780" i="7"/>
  <c r="O780" i="7"/>
  <c r="S537" i="6"/>
  <c r="V537" i="6"/>
  <c r="R537" i="6"/>
  <c r="S360" i="6"/>
  <c r="R360" i="6"/>
  <c r="O470" i="16"/>
  <c r="V471" i="16"/>
  <c r="P677" i="8"/>
  <c r="O677" i="8"/>
  <c r="Q49" i="24"/>
  <c r="P49" i="24"/>
  <c r="S49" i="24"/>
  <c r="P48" i="24"/>
  <c r="S48" i="24"/>
  <c r="Q48" i="24"/>
  <c r="R415" i="5"/>
  <c r="Q415" i="5"/>
  <c r="M60" i="31"/>
  <c r="M63" i="11"/>
  <c r="M63" i="20"/>
  <c r="M62" i="28"/>
  <c r="L21" i="11"/>
  <c r="L15" i="11" s="1"/>
  <c r="K21" i="18"/>
  <c r="J640" i="4"/>
  <c r="L21" i="31"/>
  <c r="L15" i="31" s="1"/>
  <c r="T50" i="28"/>
  <c r="P543" i="8"/>
  <c r="R543" i="8"/>
  <c r="M740" i="25"/>
  <c r="N204" i="23"/>
  <c r="O205" i="23"/>
  <c r="R961" i="39"/>
  <c r="T961" i="39" s="1"/>
  <c r="Q961" i="39"/>
  <c r="O32" i="8"/>
  <c r="P32" i="8"/>
  <c r="S436" i="3"/>
  <c r="R436" i="3"/>
  <c r="R1036" i="39"/>
  <c r="T1036" i="39" s="1"/>
  <c r="V1036" i="39"/>
  <c r="AF1036" i="39"/>
  <c r="J848" i="25"/>
  <c r="S47" i="24"/>
  <c r="K23" i="28"/>
  <c r="K17" i="28" s="1"/>
  <c r="AG429" i="39"/>
  <c r="T50" i="11"/>
  <c r="T19" i="20"/>
  <c r="R648" i="30"/>
  <c r="L650" i="25"/>
  <c r="M650" i="25" s="1"/>
  <c r="M651" i="25"/>
  <c r="N815" i="7"/>
  <c r="S393" i="6"/>
  <c r="S442" i="3"/>
  <c r="R442" i="3"/>
  <c r="O423" i="9"/>
  <c r="P423" i="9"/>
  <c r="S572" i="6"/>
  <c r="V572" i="6"/>
  <c r="P737" i="7"/>
  <c r="O737" i="7"/>
  <c r="P737" i="9"/>
  <c r="O737" i="9"/>
  <c r="O648" i="9"/>
  <c r="P648" i="9"/>
  <c r="O578" i="10"/>
  <c r="P578" i="10"/>
  <c r="P580" i="30"/>
  <c r="Q580" i="30" s="1"/>
  <c r="P580" i="23"/>
  <c r="Q580" i="23" s="1"/>
  <c r="P568" i="5"/>
  <c r="Q568" i="5" s="1"/>
  <c r="P582" i="27"/>
  <c r="Q582" i="27" s="1"/>
  <c r="V218" i="27"/>
  <c r="O217" i="27"/>
  <c r="V217" i="27" s="1"/>
  <c r="L667" i="25"/>
  <c r="M672" i="25"/>
  <c r="L236" i="25"/>
  <c r="M237" i="25"/>
  <c r="M236" i="25" s="1"/>
  <c r="T17" i="11"/>
  <c r="K21" i="20"/>
  <c r="K15" i="20" s="1"/>
  <c r="O418" i="8"/>
  <c r="P418" i="8"/>
  <c r="P345" i="9"/>
  <c r="O345" i="9"/>
  <c r="O623" i="8"/>
  <c r="P623" i="8"/>
  <c r="P425" i="9"/>
  <c r="O425" i="9"/>
  <c r="O201" i="9"/>
  <c r="P201" i="9"/>
  <c r="J786" i="10"/>
  <c r="J784" i="10" s="1"/>
  <c r="T265" i="5"/>
  <c r="N48" i="31"/>
  <c r="N48" i="24"/>
  <c r="N49" i="18"/>
  <c r="N49" i="20"/>
  <c r="Q17" i="31"/>
  <c r="P17" i="31"/>
  <c r="T17" i="31" s="1"/>
  <c r="S17" i="20"/>
  <c r="T17" i="20" s="1"/>
  <c r="M16" i="20"/>
  <c r="Q17" i="20"/>
  <c r="O273" i="39"/>
  <c r="J427" i="3"/>
  <c r="R660" i="6"/>
  <c r="R27" i="39"/>
  <c r="T27" i="39" s="1"/>
  <c r="O27" i="39"/>
  <c r="N251" i="9"/>
  <c r="P251" i="9" s="1"/>
  <c r="J963" i="10"/>
  <c r="J961" i="10" s="1"/>
  <c r="N534" i="8"/>
  <c r="P566" i="6"/>
  <c r="N511" i="9"/>
  <c r="R330" i="3"/>
  <c r="S330" i="3" s="1"/>
  <c r="M203" i="9"/>
  <c r="J612" i="6"/>
  <c r="J610" i="6" s="1"/>
  <c r="Z44" i="39"/>
  <c r="N55" i="23"/>
  <c r="N43" i="23" s="1"/>
  <c r="N55" i="19"/>
  <c r="R648" i="23"/>
  <c r="K734" i="8"/>
  <c r="K732" i="8" s="1"/>
  <c r="K412" i="9"/>
  <c r="K411" i="9" s="1"/>
  <c r="K409" i="9" s="1"/>
  <c r="R423" i="3"/>
  <c r="L43" i="20"/>
  <c r="K355" i="3"/>
  <c r="K354" i="3" s="1"/>
  <c r="T39" i="24"/>
  <c r="F550" i="6"/>
  <c r="F549" i="6" s="1"/>
  <c r="M498" i="6"/>
  <c r="M377" i="9"/>
  <c r="R449" i="30"/>
  <c r="R621" i="30" s="1"/>
  <c r="L669" i="10"/>
  <c r="L665" i="10" s="1"/>
  <c r="L659" i="10" s="1"/>
  <c r="N332" i="9"/>
  <c r="P332" i="9" s="1"/>
  <c r="J788" i="9"/>
  <c r="J786" i="9" s="1"/>
  <c r="P505" i="10"/>
  <c r="Q373" i="30"/>
  <c r="R373" i="30"/>
  <c r="M919" i="7"/>
  <c r="M917" i="7" s="1"/>
  <c r="N529" i="6"/>
  <c r="R338" i="3"/>
  <c r="S338" i="3" s="1"/>
  <c r="R265" i="3"/>
  <c r="Q371" i="3"/>
  <c r="L610" i="9"/>
  <c r="J679" i="6"/>
  <c r="K198" i="7"/>
  <c r="K194" i="7" s="1"/>
  <c r="N890" i="7"/>
  <c r="T34" i="20"/>
  <c r="AG57" i="39"/>
  <c r="T39" i="31"/>
  <c r="T35" i="28"/>
  <c r="O462" i="10"/>
  <c r="O254" i="8"/>
  <c r="O422" i="9"/>
  <c r="T51" i="28"/>
  <c r="L358" i="29"/>
  <c r="M358" i="29" s="1"/>
  <c r="O689" i="8"/>
  <c r="Q49" i="18"/>
  <c r="L742" i="8"/>
  <c r="L734" i="8" s="1"/>
  <c r="L732" i="8" s="1"/>
  <c r="M51" i="18"/>
  <c r="M51" i="20"/>
  <c r="S51" i="20" s="1"/>
  <c r="T51" i="20" s="1"/>
  <c r="N46" i="7"/>
  <c r="L45" i="7"/>
  <c r="N69" i="7"/>
  <c r="O69" i="7" s="1"/>
  <c r="M67" i="7"/>
  <c r="M66" i="7" s="1"/>
  <c r="M59" i="7" s="1"/>
  <c r="N106" i="7"/>
  <c r="M105" i="7"/>
  <c r="M104" i="7" s="1"/>
  <c r="O434" i="7"/>
  <c r="P434" i="7"/>
  <c r="N433" i="7"/>
  <c r="P433" i="7" s="1"/>
  <c r="M1061" i="10"/>
  <c r="N1061" i="10" s="1"/>
  <c r="N1062" i="10"/>
  <c r="O1062" i="10" s="1"/>
  <c r="J609" i="7"/>
  <c r="J607" i="7" s="1"/>
  <c r="N662" i="8"/>
  <c r="M661" i="8"/>
  <c r="N661" i="8" s="1"/>
  <c r="P708" i="8"/>
  <c r="O708" i="8"/>
  <c r="P712" i="8"/>
  <c r="O712" i="8"/>
  <c r="O715" i="8"/>
  <c r="P715" i="8"/>
  <c r="N55" i="27"/>
  <c r="N43" i="27" s="1"/>
  <c r="L394" i="7"/>
  <c r="L392" i="7" s="1"/>
  <c r="N159" i="4"/>
  <c r="L567" i="16"/>
  <c r="O367" i="27"/>
  <c r="Q207" i="16"/>
  <c r="Q207" i="19"/>
  <c r="M154" i="3"/>
  <c r="M237" i="3"/>
  <c r="R39" i="3"/>
  <c r="H104" i="3"/>
  <c r="R137" i="3"/>
  <c r="R142" i="3"/>
  <c r="R144" i="3"/>
  <c r="O293" i="5"/>
  <c r="T293" i="5" s="1"/>
  <c r="M25" i="7"/>
  <c r="M24" i="7" s="1"/>
  <c r="N26" i="7"/>
  <c r="L279" i="7"/>
  <c r="N282" i="7"/>
  <c r="O282" i="7" s="1"/>
  <c r="L418" i="7"/>
  <c r="L417" i="7" s="1"/>
  <c r="N421" i="7"/>
  <c r="M343" i="8"/>
  <c r="M342" i="8" s="1"/>
  <c r="K377" i="8"/>
  <c r="P229" i="30"/>
  <c r="S25" i="28"/>
  <c r="O207" i="30"/>
  <c r="V207" i="30" s="1"/>
  <c r="L211" i="27"/>
  <c r="O58" i="11"/>
  <c r="O443" i="19"/>
  <c r="M238" i="4"/>
  <c r="O457" i="27"/>
  <c r="I154" i="3"/>
  <c r="Q770" i="3"/>
  <c r="R770" i="3" s="1"/>
  <c r="R70" i="3"/>
  <c r="O212" i="27"/>
  <c r="V212" i="27" s="1"/>
  <c r="I10" i="3"/>
  <c r="M31" i="3"/>
  <c r="M29" i="3" s="1"/>
  <c r="R64" i="3"/>
  <c r="R74" i="3"/>
  <c r="R76" i="3"/>
  <c r="R89" i="3"/>
  <c r="L104" i="3"/>
  <c r="R119" i="3"/>
  <c r="J116" i="3"/>
  <c r="R194" i="3"/>
  <c r="G216" i="3"/>
  <c r="R431" i="3"/>
  <c r="D604" i="3"/>
  <c r="D603" i="3" s="1"/>
  <c r="R603" i="3" s="1"/>
  <c r="N667" i="4"/>
  <c r="L59" i="28"/>
  <c r="L58" i="28" s="1"/>
  <c r="L60" i="20"/>
  <c r="L59" i="20" s="1"/>
  <c r="K398" i="5"/>
  <c r="K397" i="5" s="1"/>
  <c r="L57" i="24"/>
  <c r="L56" i="24" s="1"/>
  <c r="AG83" i="39"/>
  <c r="L11" i="25"/>
  <c r="T41" i="18"/>
  <c r="T39" i="20"/>
  <c r="AG196" i="39"/>
  <c r="R310" i="19"/>
  <c r="N378" i="4"/>
  <c r="O455" i="23"/>
  <c r="Q314" i="30"/>
  <c r="O455" i="30"/>
  <c r="O494" i="30"/>
  <c r="V494" i="30" s="1"/>
  <c r="L9" i="18"/>
  <c r="L9" i="20"/>
  <c r="S14" i="3"/>
  <c r="I78" i="3"/>
  <c r="Q78" i="3" s="1"/>
  <c r="R78" i="3" s="1"/>
  <c r="K91" i="3"/>
  <c r="D97" i="3"/>
  <c r="P104" i="3"/>
  <c r="G116" i="3"/>
  <c r="R125" i="3"/>
  <c r="R127" i="3"/>
  <c r="R149" i="3"/>
  <c r="R369" i="3"/>
  <c r="R417" i="3"/>
  <c r="K44" i="24"/>
  <c r="K42" i="24" s="1"/>
  <c r="K45" i="18"/>
  <c r="K43" i="18" s="1"/>
  <c r="N56" i="18"/>
  <c r="N56" i="28"/>
  <c r="N56" i="11"/>
  <c r="T373" i="5"/>
  <c r="O372" i="5"/>
  <c r="N201" i="7"/>
  <c r="O201" i="7" s="1"/>
  <c r="M199" i="7"/>
  <c r="M198" i="7" s="1"/>
  <c r="M207" i="7"/>
  <c r="M203" i="7" s="1"/>
  <c r="N210" i="7"/>
  <c r="L5" i="30"/>
  <c r="L5" i="23"/>
  <c r="L5" i="16"/>
  <c r="L5" i="5"/>
  <c r="L5" i="27"/>
  <c r="L5" i="19"/>
  <c r="L61" i="8"/>
  <c r="N62" i="8"/>
  <c r="I216" i="3"/>
  <c r="I215" i="3" s="1"/>
  <c r="O216" i="3"/>
  <c r="O215" i="3" s="1"/>
  <c r="S244" i="3"/>
  <c r="S254" i="3"/>
  <c r="R267" i="3"/>
  <c r="S398" i="3"/>
  <c r="R412" i="3"/>
  <c r="S412" i="3" s="1"/>
  <c r="H483" i="3"/>
  <c r="H482" i="3" s="1"/>
  <c r="R549" i="3"/>
  <c r="R562" i="3"/>
  <c r="R599" i="3"/>
  <c r="R652" i="3"/>
  <c r="H670" i="3"/>
  <c r="Q768" i="3"/>
  <c r="R768" i="3" s="1"/>
  <c r="F777" i="3"/>
  <c r="J777" i="3"/>
  <c r="L35" i="4"/>
  <c r="N95" i="4"/>
  <c r="O137" i="4"/>
  <c r="N277" i="4"/>
  <c r="N526" i="4"/>
  <c r="N665" i="4"/>
  <c r="N678" i="4"/>
  <c r="O680" i="4"/>
  <c r="N713" i="4"/>
  <c r="N669" i="4"/>
  <c r="R138" i="5"/>
  <c r="Q73" i="5"/>
  <c r="Q118" i="5"/>
  <c r="R288" i="5"/>
  <c r="J416" i="5"/>
  <c r="J415" i="5" s="1"/>
  <c r="D27" i="6"/>
  <c r="I75" i="6"/>
  <c r="I71" i="6" s="1"/>
  <c r="E260" i="6"/>
  <c r="H260" i="6"/>
  <c r="H259" i="6" s="1"/>
  <c r="H257" i="6" s="1"/>
  <c r="H255" i="6" s="1"/>
  <c r="H253" i="6" s="1"/>
  <c r="E265" i="6"/>
  <c r="Q278" i="6"/>
  <c r="R278" i="6" s="1"/>
  <c r="Q283" i="6"/>
  <c r="R283" i="6" s="1"/>
  <c r="H281" i="6"/>
  <c r="E304" i="6"/>
  <c r="Q308" i="6"/>
  <c r="R308" i="6" s="1"/>
  <c r="Q338" i="6"/>
  <c r="R338" i="6" s="1"/>
  <c r="Q422" i="6"/>
  <c r="Q466" i="6"/>
  <c r="R466" i="6" s="1"/>
  <c r="Q467" i="6"/>
  <c r="R467" i="6" s="1"/>
  <c r="G530" i="6"/>
  <c r="G529" i="6" s="1"/>
  <c r="Q532" i="6"/>
  <c r="R532" i="6" s="1"/>
  <c r="G551" i="6"/>
  <c r="G550" i="6" s="1"/>
  <c r="G549" i="6" s="1"/>
  <c r="H555" i="6"/>
  <c r="H550" i="6" s="1"/>
  <c r="H549" i="6" s="1"/>
  <c r="E555" i="6"/>
  <c r="I555" i="6"/>
  <c r="M51" i="7"/>
  <c r="N99" i="7"/>
  <c r="O99" i="7" s="1"/>
  <c r="J203" i="7"/>
  <c r="J222" i="7"/>
  <c r="M279" i="7"/>
  <c r="M278" i="7" s="1"/>
  <c r="M275" i="7" s="1"/>
  <c r="P575" i="8"/>
  <c r="N584" i="7"/>
  <c r="O584" i="7" s="1"/>
  <c r="J697" i="7"/>
  <c r="J695" i="7" s="1"/>
  <c r="J693" i="7" s="1"/>
  <c r="J691" i="7" s="1"/>
  <c r="O927" i="7"/>
  <c r="O137" i="8"/>
  <c r="N210" i="8"/>
  <c r="O210" i="8" s="1"/>
  <c r="L298" i="8"/>
  <c r="L290" i="8" s="1"/>
  <c r="L288" i="8" s="1"/>
  <c r="P334" i="8"/>
  <c r="P336" i="8"/>
  <c r="N510" i="8"/>
  <c r="O510" i="8" s="1"/>
  <c r="P535" i="8"/>
  <c r="N558" i="8"/>
  <c r="N564" i="8"/>
  <c r="O564" i="8" s="1"/>
  <c r="L574" i="8"/>
  <c r="L572" i="8" s="1"/>
  <c r="N572" i="8" s="1"/>
  <c r="N584" i="8"/>
  <c r="P584" i="8" s="1"/>
  <c r="N620" i="8"/>
  <c r="N637" i="8"/>
  <c r="N685" i="8"/>
  <c r="O685" i="8" s="1"/>
  <c r="N703" i="8"/>
  <c r="D393" i="3"/>
  <c r="N428" i="3"/>
  <c r="N427" i="3" s="1"/>
  <c r="D477" i="3"/>
  <c r="G611" i="3"/>
  <c r="M117" i="7"/>
  <c r="R625" i="5"/>
  <c r="D60" i="6"/>
  <c r="P148" i="6"/>
  <c r="P147" i="6" s="1"/>
  <c r="P146" i="6" s="1"/>
  <c r="Q687" i="6"/>
  <c r="J194" i="7"/>
  <c r="J192" i="7" s="1"/>
  <c r="J190" i="7" s="1"/>
  <c r="M239" i="7"/>
  <c r="M238" i="7" s="1"/>
  <c r="K114" i="7"/>
  <c r="K112" i="7" s="1"/>
  <c r="R195" i="3"/>
  <c r="M216" i="3"/>
  <c r="M215" i="3" s="1"/>
  <c r="R268" i="3"/>
  <c r="R302" i="3"/>
  <c r="R310" i="3"/>
  <c r="R312" i="3"/>
  <c r="H407" i="3"/>
  <c r="N407" i="3"/>
  <c r="N385" i="3" s="1"/>
  <c r="N355" i="3" s="1"/>
  <c r="N354" i="3" s="1"/>
  <c r="R411" i="3"/>
  <c r="S418" i="3"/>
  <c r="I462" i="3"/>
  <c r="I461" i="3" s="1"/>
  <c r="I457" i="3" s="1"/>
  <c r="I456" i="3" s="1"/>
  <c r="R470" i="3"/>
  <c r="O483" i="3"/>
  <c r="O482" i="3" s="1"/>
  <c r="O457" i="3" s="1"/>
  <c r="O456" i="3" s="1"/>
  <c r="O427" i="3" s="1"/>
  <c r="R503" i="3"/>
  <c r="K507" i="3"/>
  <c r="R513" i="3"/>
  <c r="R515" i="3"/>
  <c r="R543" i="3"/>
  <c r="J520" i="3"/>
  <c r="J518" i="3" s="1"/>
  <c r="R573" i="3"/>
  <c r="S573" i="3" s="1"/>
  <c r="R587" i="3"/>
  <c r="R589" i="3"/>
  <c r="R606" i="3"/>
  <c r="R621" i="3"/>
  <c r="K637" i="3"/>
  <c r="J670" i="3"/>
  <c r="J668" i="3" s="1"/>
  <c r="N670" i="3"/>
  <c r="N668" i="3" s="1"/>
  <c r="R711" i="3"/>
  <c r="R718" i="3"/>
  <c r="L777" i="3"/>
  <c r="J314" i="4"/>
  <c r="J313" i="4" s="1"/>
  <c r="O494" i="4"/>
  <c r="N502" i="4"/>
  <c r="N568" i="4"/>
  <c r="S56" i="11"/>
  <c r="T56" i="11" s="1"/>
  <c r="K453" i="7"/>
  <c r="P601" i="5"/>
  <c r="M639" i="5"/>
  <c r="O639" i="5" s="1"/>
  <c r="I14" i="6"/>
  <c r="I13" i="6" s="1"/>
  <c r="M14" i="6"/>
  <c r="M13" i="6" s="1"/>
  <c r="F75" i="6"/>
  <c r="F71" i="6" s="1"/>
  <c r="R100" i="6"/>
  <c r="E103" i="6"/>
  <c r="E102" i="6" s="1"/>
  <c r="I103" i="6"/>
  <c r="I102" i="6" s="1"/>
  <c r="I124" i="6"/>
  <c r="N124" i="6"/>
  <c r="N120" i="6" s="1"/>
  <c r="D551" i="6"/>
  <c r="D550" i="6" s="1"/>
  <c r="D549" i="6" s="1"/>
  <c r="Q585" i="6"/>
  <c r="F601" i="6"/>
  <c r="F599" i="6" s="1"/>
  <c r="J601" i="6"/>
  <c r="J599" i="6" s="1"/>
  <c r="E601" i="6"/>
  <c r="E599" i="6" s="1"/>
  <c r="Q616" i="6"/>
  <c r="R621" i="6"/>
  <c r="P672" i="6"/>
  <c r="J693" i="6"/>
  <c r="J691" i="6" s="1"/>
  <c r="R698" i="6"/>
  <c r="K181" i="7"/>
  <c r="K176" i="7" s="1"/>
  <c r="K174" i="7" s="1"/>
  <c r="N595" i="7"/>
  <c r="O595" i="7" s="1"/>
  <c r="N596" i="7"/>
  <c r="N600" i="7"/>
  <c r="N728" i="7"/>
  <c r="P728" i="7" s="1"/>
  <c r="N807" i="7"/>
  <c r="O382" i="8"/>
  <c r="O782" i="8"/>
  <c r="P796" i="8"/>
  <c r="N704" i="9"/>
  <c r="L731" i="9"/>
  <c r="L729" i="9" s="1"/>
  <c r="K793" i="9"/>
  <c r="K904" i="9"/>
  <c r="K902" i="9" s="1"/>
  <c r="J647" i="10"/>
  <c r="J645" i="10" s="1"/>
  <c r="R153" i="23"/>
  <c r="P38" i="24"/>
  <c r="T38" i="24" s="1"/>
  <c r="M12" i="23"/>
  <c r="J428" i="27"/>
  <c r="J427" i="27" s="1"/>
  <c r="J407" i="27" s="1"/>
  <c r="J8" i="27" s="1"/>
  <c r="J436" i="29"/>
  <c r="J397" i="29" s="1"/>
  <c r="N139" i="30"/>
  <c r="N55" i="30" s="1"/>
  <c r="N43" i="30" s="1"/>
  <c r="R650" i="30"/>
  <c r="N931" i="8"/>
  <c r="K24" i="9"/>
  <c r="J929" i="9"/>
  <c r="J927" i="9" s="1"/>
  <c r="J925" i="9" s="1"/>
  <c r="N478" i="10"/>
  <c r="O478" i="10" s="1"/>
  <c r="O870" i="10"/>
  <c r="K965" i="10"/>
  <c r="Q75" i="16"/>
  <c r="Q94" i="19"/>
  <c r="K161" i="19"/>
  <c r="K55" i="19" s="1"/>
  <c r="K43" i="19" s="1"/>
  <c r="K10" i="19" s="1"/>
  <c r="K414" i="19"/>
  <c r="K413" i="19" s="1"/>
  <c r="K396" i="19" s="1"/>
  <c r="P38" i="20"/>
  <c r="T38" i="20" s="1"/>
  <c r="J627" i="25"/>
  <c r="X910" i="39"/>
  <c r="AB911" i="39"/>
  <c r="L181" i="9"/>
  <c r="L176" i="9" s="1"/>
  <c r="L174" i="9" s="1"/>
  <c r="K1042" i="10"/>
  <c r="K1040" i="10" s="1"/>
  <c r="K1039" i="10" s="1"/>
  <c r="S35" i="20"/>
  <c r="T35" i="20" s="1"/>
  <c r="P299" i="23"/>
  <c r="J693" i="25"/>
  <c r="N825" i="8"/>
  <c r="O825" i="8" s="1"/>
  <c r="N856" i="8"/>
  <c r="P856" i="8" s="1"/>
  <c r="K885" i="8"/>
  <c r="K879" i="8" s="1"/>
  <c r="K877" i="8" s="1"/>
  <c r="L698" i="9"/>
  <c r="L695" i="9" s="1"/>
  <c r="L693" i="9" s="1"/>
  <c r="J1008" i="9"/>
  <c r="J1006" i="9" s="1"/>
  <c r="J1005" i="9" s="1"/>
  <c r="M98" i="10"/>
  <c r="M93" i="10" s="1"/>
  <c r="N302" i="10"/>
  <c r="O302" i="10" s="1"/>
  <c r="M326" i="10"/>
  <c r="P337" i="10"/>
  <c r="M378" i="10"/>
  <c r="M377" i="10" s="1"/>
  <c r="L428" i="10"/>
  <c r="L426" i="10" s="1"/>
  <c r="L424" i="10" s="1"/>
  <c r="N424" i="10" s="1"/>
  <c r="N795" i="10"/>
  <c r="O795" i="10" s="1"/>
  <c r="K794" i="10"/>
  <c r="K790" i="10" s="1"/>
  <c r="K788" i="10" s="1"/>
  <c r="N799" i="10"/>
  <c r="O799" i="10" s="1"/>
  <c r="J833" i="10"/>
  <c r="J818" i="10" s="1"/>
  <c r="J816" i="10" s="1"/>
  <c r="L852" i="10"/>
  <c r="L851" i="10" s="1"/>
  <c r="L849" i="10" s="1"/>
  <c r="L847" i="10" s="1"/>
  <c r="N861" i="10"/>
  <c r="N863" i="10"/>
  <c r="N864" i="10"/>
  <c r="O864" i="10" s="1"/>
  <c r="N921" i="10"/>
  <c r="O921" i="10" s="1"/>
  <c r="M929" i="10"/>
  <c r="L929" i="10"/>
  <c r="L928" i="10" s="1"/>
  <c r="L926" i="10" s="1"/>
  <c r="L924" i="10" s="1"/>
  <c r="N937" i="10"/>
  <c r="N938" i="10"/>
  <c r="O938" i="10" s="1"/>
  <c r="K940" i="10"/>
  <c r="K928" i="10" s="1"/>
  <c r="K926" i="10" s="1"/>
  <c r="N947" i="10"/>
  <c r="N949" i="10"/>
  <c r="M952" i="10"/>
  <c r="M951" i="10" s="1"/>
  <c r="N951" i="10" s="1"/>
  <c r="N959" i="10"/>
  <c r="P959" i="10" s="1"/>
  <c r="Q112" i="23"/>
  <c r="K139" i="23"/>
  <c r="K55" i="23" s="1"/>
  <c r="K43" i="23" s="1"/>
  <c r="K10" i="23" s="1"/>
  <c r="K426" i="30"/>
  <c r="K425" i="30" s="1"/>
  <c r="K405" i="30" s="1"/>
  <c r="K8" i="30" s="1"/>
  <c r="V529" i="39"/>
  <c r="AB529" i="39"/>
  <c r="P300" i="39"/>
  <c r="N68" i="39"/>
  <c r="O75" i="39"/>
  <c r="AA593" i="39"/>
  <c r="AA504" i="39"/>
  <c r="N975" i="39"/>
  <c r="AF335" i="39"/>
  <c r="AG335" i="39" s="1"/>
  <c r="V497" i="39"/>
  <c r="AA1042" i="39"/>
  <c r="AG937" i="39"/>
  <c r="AG699" i="39"/>
  <c r="Q568" i="39"/>
  <c r="Q524" i="39"/>
  <c r="AB335" i="39"/>
  <c r="AG309" i="39"/>
  <c r="R215" i="39"/>
  <c r="T215" i="39" s="1"/>
  <c r="V116" i="39"/>
  <c r="AF116" i="39"/>
  <c r="AG1009" i="39"/>
  <c r="R293" i="39"/>
  <c r="T293" i="39" s="1"/>
  <c r="AB309" i="39"/>
  <c r="O281" i="39"/>
  <c r="O293" i="39"/>
  <c r="V220" i="39"/>
  <c r="N292" i="39"/>
  <c r="Q408" i="39"/>
  <c r="S767" i="39"/>
  <c r="N1052" i="39"/>
  <c r="V1044" i="39"/>
  <c r="AG1044" i="39" s="1"/>
  <c r="W1042" i="39"/>
  <c r="Y1042" i="39" s="1"/>
  <c r="S637" i="39"/>
  <c r="W335" i="39"/>
  <c r="Y335" i="39" s="1"/>
  <c r="Y331" i="39" s="1"/>
  <c r="AG771" i="39"/>
  <c r="AG988" i="39"/>
  <c r="AG104" i="39"/>
  <c r="AF529" i="39"/>
  <c r="AG529" i="39" s="1"/>
  <c r="AA225" i="39"/>
  <c r="O568" i="39"/>
  <c r="Q953" i="39"/>
  <c r="AG770" i="39"/>
  <c r="R524" i="39"/>
  <c r="T524" i="39" s="1"/>
  <c r="N521" i="39"/>
  <c r="AG434" i="39"/>
  <c r="P70" i="39"/>
  <c r="AF220" i="39"/>
  <c r="R18" i="39"/>
  <c r="T18" i="39" s="1"/>
  <c r="AG50" i="39"/>
  <c r="AG102" i="39"/>
  <c r="AG489" i="39"/>
  <c r="X17" i="39"/>
  <c r="AG150" i="39"/>
  <c r="AG176" i="39"/>
  <c r="AG714" i="39"/>
  <c r="AG824" i="39"/>
  <c r="AG1043" i="39"/>
  <c r="AG171" i="39"/>
  <c r="Z335" i="39"/>
  <c r="Z331" i="39" s="1"/>
  <c r="Z329" i="39" s="1"/>
  <c r="Z327" i="39" s="1"/>
  <c r="AG660" i="39"/>
  <c r="V841" i="39"/>
  <c r="AG841" i="39" s="1"/>
  <c r="Z17" i="39"/>
  <c r="Z16" i="39" s="1"/>
  <c r="AG32" i="39"/>
  <c r="AG77" i="39"/>
  <c r="AG575" i="39"/>
  <c r="M48" i="7"/>
  <c r="M40" i="7" s="1"/>
  <c r="M38" i="7" s="1"/>
  <c r="O584" i="8"/>
  <c r="Q402" i="23"/>
  <c r="R402" i="23"/>
  <c r="O890" i="9"/>
  <c r="P890" i="9"/>
  <c r="N907" i="9"/>
  <c r="M906" i="9"/>
  <c r="N906" i="9" s="1"/>
  <c r="O566" i="10"/>
  <c r="O675" i="10"/>
  <c r="P675" i="10"/>
  <c r="O412" i="8"/>
  <c r="N411" i="8"/>
  <c r="N409" i="8" s="1"/>
  <c r="R677" i="6"/>
  <c r="Q672" i="6"/>
  <c r="S687" i="6"/>
  <c r="R687" i="6"/>
  <c r="D657" i="6"/>
  <c r="K1039" i="8"/>
  <c r="K1033" i="8" s="1"/>
  <c r="K1031" i="8" s="1"/>
  <c r="K1030" i="8" s="1"/>
  <c r="O1040" i="8"/>
  <c r="O1048" i="8"/>
  <c r="N1046" i="8"/>
  <c r="N1045" i="8" s="1"/>
  <c r="P417" i="9"/>
  <c r="O455" i="9"/>
  <c r="N454" i="9"/>
  <c r="O454" i="9" s="1"/>
  <c r="O622" i="9"/>
  <c r="P622" i="9"/>
  <c r="P967" i="10"/>
  <c r="O171" i="8"/>
  <c r="N170" i="8"/>
  <c r="O170" i="8" s="1"/>
  <c r="P781" i="9"/>
  <c r="P780" i="9" s="1"/>
  <c r="O781" i="9"/>
  <c r="O780" i="9" s="1"/>
  <c r="L806" i="8"/>
  <c r="L786" i="8" s="1"/>
  <c r="L784" i="8" s="1"/>
  <c r="N812" i="8"/>
  <c r="S542" i="6"/>
  <c r="R542" i="6"/>
  <c r="O79" i="9"/>
  <c r="P79" i="9"/>
  <c r="P201" i="7"/>
  <c r="P360" i="7"/>
  <c r="O556" i="8"/>
  <c r="P556" i="8"/>
  <c r="O800" i="10"/>
  <c r="O810" i="10"/>
  <c r="P810" i="10"/>
  <c r="N827" i="10"/>
  <c r="O827" i="10" s="1"/>
  <c r="O861" i="10"/>
  <c r="P861" i="10"/>
  <c r="P938" i="10"/>
  <c r="O959" i="10"/>
  <c r="N958" i="10"/>
  <c r="P958" i="10" s="1"/>
  <c r="M298" i="29"/>
  <c r="O298" i="29" s="1"/>
  <c r="P32" i="9"/>
  <c r="P712" i="10"/>
  <c r="O1035" i="8"/>
  <c r="O943" i="10"/>
  <c r="N59" i="9"/>
  <c r="L54" i="29"/>
  <c r="M54" i="29" s="1"/>
  <c r="K792" i="9"/>
  <c r="K790" i="9" s="1"/>
  <c r="K788" i="9" s="1"/>
  <c r="K786" i="9" s="1"/>
  <c r="H612" i="6"/>
  <c r="H610" i="6" s="1"/>
  <c r="F679" i="6"/>
  <c r="M1019" i="8"/>
  <c r="M1014" i="8" s="1"/>
  <c r="M1013" i="8" s="1"/>
  <c r="N507" i="8"/>
  <c r="S553" i="6"/>
  <c r="O445" i="7"/>
  <c r="O63" i="7"/>
  <c r="S395" i="6"/>
  <c r="O884" i="7"/>
  <c r="R696" i="6"/>
  <c r="N894" i="9"/>
  <c r="O894" i="9" s="1"/>
  <c r="O498" i="6"/>
  <c r="F529" i="6"/>
  <c r="M784" i="7"/>
  <c r="M774" i="7" s="1"/>
  <c r="M773" i="7" s="1"/>
  <c r="O656" i="9"/>
  <c r="P539" i="7"/>
  <c r="O876" i="9"/>
  <c r="O712" i="7"/>
  <c r="M714" i="9"/>
  <c r="M711" i="9" s="1"/>
  <c r="M709" i="9" s="1"/>
  <c r="M17" i="25"/>
  <c r="P17" i="25" s="1"/>
  <c r="P601" i="8"/>
  <c r="O418" i="9"/>
  <c r="P334" i="9"/>
  <c r="P22" i="8"/>
  <c r="O857" i="7"/>
  <c r="L463" i="29"/>
  <c r="P682" i="8"/>
  <c r="O493" i="7"/>
  <c r="R397" i="23"/>
  <c r="Q388" i="19"/>
  <c r="R297" i="6"/>
  <c r="P958" i="8"/>
  <c r="O372" i="8"/>
  <c r="O976" i="10"/>
  <c r="M701" i="25"/>
  <c r="P794" i="9"/>
  <c r="N899" i="9"/>
  <c r="N654" i="10"/>
  <c r="O654" i="10" s="1"/>
  <c r="O573" i="10"/>
  <c r="L377" i="8"/>
  <c r="L365" i="8" s="1"/>
  <c r="F583" i="6"/>
  <c r="H337" i="6"/>
  <c r="Q648" i="6"/>
  <c r="Q76" i="6"/>
  <c r="R76" i="6" s="1"/>
  <c r="S621" i="6"/>
  <c r="R394" i="5"/>
  <c r="Q703" i="6"/>
  <c r="R703" i="6" s="1"/>
  <c r="N334" i="7"/>
  <c r="P334" i="7" s="1"/>
  <c r="N308" i="5"/>
  <c r="N305" i="5" s="1"/>
  <c r="M132" i="7"/>
  <c r="M129" i="7" s="1"/>
  <c r="M127" i="7" s="1"/>
  <c r="N213" i="7"/>
  <c r="O213" i="7" s="1"/>
  <c r="L833" i="10"/>
  <c r="L818" i="10" s="1"/>
  <c r="L816" i="10" s="1"/>
  <c r="N121" i="7"/>
  <c r="O121" i="7" s="1"/>
  <c r="M151" i="7"/>
  <c r="M147" i="7" s="1"/>
  <c r="N316" i="7"/>
  <c r="P316" i="7" s="1"/>
  <c r="O854" i="8"/>
  <c r="P919" i="10"/>
  <c r="P918" i="10" s="1"/>
  <c r="I211" i="6"/>
  <c r="I210" i="6" s="1"/>
  <c r="H542" i="6"/>
  <c r="H529" i="6" s="1"/>
  <c r="E551" i="6"/>
  <c r="E559" i="6"/>
  <c r="I559" i="6"/>
  <c r="H591" i="6"/>
  <c r="H590" i="6" s="1"/>
  <c r="L591" i="6"/>
  <c r="L322" i="10"/>
  <c r="N322" i="10" s="1"/>
  <c r="N1000" i="9"/>
  <c r="O1000" i="9" s="1"/>
  <c r="N812" i="9"/>
  <c r="O812" i="9" s="1"/>
  <c r="O557" i="9"/>
  <c r="N824" i="8"/>
  <c r="P932" i="10"/>
  <c r="N842" i="10"/>
  <c r="O337" i="10"/>
  <c r="N271" i="10"/>
  <c r="O592" i="9"/>
  <c r="K1019" i="8"/>
  <c r="K1014" i="8" s="1"/>
  <c r="M636" i="8"/>
  <c r="M635" i="8" s="1"/>
  <c r="N635" i="8" s="1"/>
  <c r="P635" i="8" s="1"/>
  <c r="N853" i="10"/>
  <c r="L484" i="9"/>
  <c r="N933" i="10"/>
  <c r="L403" i="23"/>
  <c r="L405" i="27"/>
  <c r="L396" i="27" s="1"/>
  <c r="Q396" i="27" s="1"/>
  <c r="K278" i="9"/>
  <c r="K275" i="9" s="1"/>
  <c r="K273" i="9" s="1"/>
  <c r="O119" i="7"/>
  <c r="I612" i="6"/>
  <c r="I610" i="6" s="1"/>
  <c r="N698" i="7"/>
  <c r="K1055" i="10"/>
  <c r="K1053" i="10" s="1"/>
  <c r="K1052" i="10" s="1"/>
  <c r="M549" i="6"/>
  <c r="N910" i="8"/>
  <c r="P46" i="8"/>
  <c r="N607" i="9"/>
  <c r="O900" i="9"/>
  <c r="N187" i="9"/>
  <c r="P187" i="9" s="1"/>
  <c r="D177" i="6"/>
  <c r="Q624" i="6"/>
  <c r="R624" i="6" s="1"/>
  <c r="Q629" i="6"/>
  <c r="Q632" i="6"/>
  <c r="V632" i="6" s="1"/>
  <c r="P668" i="6"/>
  <c r="L672" i="6"/>
  <c r="L666" i="6" s="1"/>
  <c r="N280" i="7"/>
  <c r="N896" i="10"/>
  <c r="O896" i="10" s="1"/>
  <c r="L319" i="10"/>
  <c r="N1046" i="10"/>
  <c r="O1046" i="10" s="1"/>
  <c r="N911" i="10"/>
  <c r="L794" i="10"/>
  <c r="L790" i="10" s="1"/>
  <c r="L788" i="10" s="1"/>
  <c r="N788" i="10" s="1"/>
  <c r="P788" i="10" s="1"/>
  <c r="O978" i="10"/>
  <c r="O802" i="10"/>
  <c r="L1015" i="9"/>
  <c r="N778" i="9"/>
  <c r="M758" i="10"/>
  <c r="M864" i="7"/>
  <c r="M863" i="7" s="1"/>
  <c r="M861" i="7" s="1"/>
  <c r="M859" i="7" s="1"/>
  <c r="N102" i="9"/>
  <c r="O102" i="9" s="1"/>
  <c r="N400" i="9"/>
  <c r="O400" i="9" s="1"/>
  <c r="K929" i="9"/>
  <c r="K927" i="9" s="1"/>
  <c r="K925" i="9" s="1"/>
  <c r="K489" i="10"/>
  <c r="K483" i="10" s="1"/>
  <c r="L966" i="10"/>
  <c r="N966" i="10" s="1"/>
  <c r="O966" i="10" s="1"/>
  <c r="L473" i="25"/>
  <c r="M473" i="25" s="1"/>
  <c r="M626" i="29"/>
  <c r="L761" i="29"/>
  <c r="L907" i="7"/>
  <c r="L905" i="7" s="1"/>
  <c r="L904" i="7" s="1"/>
  <c r="M129" i="9"/>
  <c r="M127" i="9" s="1"/>
  <c r="M867" i="8"/>
  <c r="N949" i="9"/>
  <c r="O949" i="9" s="1"/>
  <c r="M698" i="9"/>
  <c r="M695" i="9" s="1"/>
  <c r="M693" i="9" s="1"/>
  <c r="N699" i="9"/>
  <c r="Q121" i="6"/>
  <c r="F188" i="6"/>
  <c r="N132" i="9"/>
  <c r="O132" i="9" s="1"/>
  <c r="M773" i="29"/>
  <c r="O773" i="29" s="1"/>
  <c r="N933" i="7"/>
  <c r="O933" i="7" s="1"/>
  <c r="P527" i="8"/>
  <c r="K606" i="9"/>
  <c r="S290" i="6"/>
  <c r="M612" i="6"/>
  <c r="M610" i="6" s="1"/>
  <c r="N279" i="10"/>
  <c r="P63" i="7"/>
  <c r="M948" i="9"/>
  <c r="V452" i="6"/>
  <c r="O567" i="7"/>
  <c r="L851" i="8"/>
  <c r="L849" i="8" s="1"/>
  <c r="N929" i="8"/>
  <c r="P929" i="8" s="1"/>
  <c r="I679" i="6"/>
  <c r="N918" i="8"/>
  <c r="O539" i="7"/>
  <c r="O800" i="8"/>
  <c r="P712" i="7"/>
  <c r="O875" i="9"/>
  <c r="N356" i="10"/>
  <c r="P356" i="10" s="1"/>
  <c r="K763" i="9"/>
  <c r="K761" i="9" s="1"/>
  <c r="O179" i="7"/>
  <c r="N852" i="10"/>
  <c r="P852" i="10" s="1"/>
  <c r="O156" i="7"/>
  <c r="P967" i="8"/>
  <c r="P440" i="9"/>
  <c r="K957" i="8"/>
  <c r="K951" i="8" s="1"/>
  <c r="N257" i="10"/>
  <c r="M659" i="25"/>
  <c r="P179" i="8"/>
  <c r="O292" i="8"/>
  <c r="N966" i="8"/>
  <c r="P966" i="8" s="1"/>
  <c r="M988" i="10"/>
  <c r="M986" i="10" s="1"/>
  <c r="M984" i="10" s="1"/>
  <c r="Q365" i="6"/>
  <c r="Q93" i="6"/>
  <c r="N95" i="7"/>
  <c r="L199" i="7"/>
  <c r="E6" i="1"/>
  <c r="L387" i="5"/>
  <c r="M55" i="11" s="1"/>
  <c r="S55" i="11" s="1"/>
  <c r="N308" i="7"/>
  <c r="P308" i="7" s="1"/>
  <c r="N188" i="7"/>
  <c r="O102" i="7"/>
  <c r="Q74" i="6"/>
  <c r="H75" i="6"/>
  <c r="H71" i="6" s="1"/>
  <c r="Q77" i="6"/>
  <c r="R77" i="6" s="1"/>
  <c r="E75" i="6"/>
  <c r="E71" i="6" s="1"/>
  <c r="G277" i="6"/>
  <c r="O555" i="6"/>
  <c r="O550" i="6" s="1"/>
  <c r="L559" i="6"/>
  <c r="M490" i="10"/>
  <c r="N490" i="10" s="1"/>
  <c r="M853" i="9"/>
  <c r="M850" i="9" s="1"/>
  <c r="M840" i="9" s="1"/>
  <c r="M839" i="9" s="1"/>
  <c r="N1053" i="8"/>
  <c r="O1053" i="8" s="1"/>
  <c r="M889" i="8"/>
  <c r="M885" i="8" s="1"/>
  <c r="M879" i="8" s="1"/>
  <c r="N570" i="8"/>
  <c r="K773" i="10"/>
  <c r="K770" i="10" s="1"/>
  <c r="K768" i="10" s="1"/>
  <c r="M743" i="10"/>
  <c r="N663" i="10"/>
  <c r="N80" i="10"/>
  <c r="O597" i="9"/>
  <c r="M416" i="9"/>
  <c r="N168" i="9"/>
  <c r="O168" i="9" s="1"/>
  <c r="L394" i="16"/>
  <c r="L386" i="16" s="1"/>
  <c r="Q386" i="16" s="1"/>
  <c r="M49" i="8"/>
  <c r="N49" i="8" s="1"/>
  <c r="O49" i="8" s="1"/>
  <c r="N892" i="10"/>
  <c r="O892" i="10" s="1"/>
  <c r="O796" i="8"/>
  <c r="N671" i="7"/>
  <c r="L222" i="8"/>
  <c r="L216" i="8" s="1"/>
  <c r="L214" i="8" s="1"/>
  <c r="N55" i="10"/>
  <c r="O55" i="10" s="1"/>
  <c r="O51" i="10" s="1"/>
  <c r="M202" i="29"/>
  <c r="O202" i="29" s="1"/>
  <c r="O932" i="9"/>
  <c r="N930" i="9"/>
  <c r="O930" i="9" s="1"/>
  <c r="K957" i="10"/>
  <c r="P590" i="8"/>
  <c r="O590" i="8"/>
  <c r="O134" i="7"/>
  <c r="N132" i="7"/>
  <c r="O132" i="7" s="1"/>
  <c r="O120" i="6"/>
  <c r="M535" i="7"/>
  <c r="M533" i="7" s="1"/>
  <c r="L152" i="6"/>
  <c r="L146" i="6" s="1"/>
  <c r="I371" i="6"/>
  <c r="Q556" i="6"/>
  <c r="M697" i="7"/>
  <c r="M695" i="7" s="1"/>
  <c r="O50" i="8"/>
  <c r="K161" i="9"/>
  <c r="K159" i="9" s="1"/>
  <c r="K157" i="9" s="1"/>
  <c r="M216" i="7"/>
  <c r="M214" i="7" s="1"/>
  <c r="L784" i="7"/>
  <c r="L774" i="7" s="1"/>
  <c r="L773" i="7" s="1"/>
  <c r="Q456" i="6"/>
  <c r="V456" i="6" s="1"/>
  <c r="O469" i="6"/>
  <c r="Q635" i="6"/>
  <c r="N650" i="6"/>
  <c r="N644" i="6" s="1"/>
  <c r="M679" i="6"/>
  <c r="N736" i="8"/>
  <c r="Q46" i="6"/>
  <c r="R46" i="6" s="1"/>
  <c r="I170" i="6"/>
  <c r="I169" i="6" s="1"/>
  <c r="M601" i="6"/>
  <c r="M599" i="6" s="1"/>
  <c r="L48" i="10"/>
  <c r="K216" i="7"/>
  <c r="K214" i="7" s="1"/>
  <c r="N212" i="7"/>
  <c r="N95" i="6"/>
  <c r="Q99" i="6"/>
  <c r="S564" i="6"/>
  <c r="O684" i="6"/>
  <c r="O679" i="6" s="1"/>
  <c r="I693" i="6"/>
  <c r="I691" i="6" s="1"/>
  <c r="L394" i="9"/>
  <c r="L392" i="9" s="1"/>
  <c r="L390" i="9" s="1"/>
  <c r="K181" i="10"/>
  <c r="K176" i="10" s="1"/>
  <c r="K174" i="10" s="1"/>
  <c r="Y458" i="39"/>
  <c r="X456" i="39"/>
  <c r="X455" i="39" s="1"/>
  <c r="P264" i="39"/>
  <c r="V272" i="39"/>
  <c r="AG272" i="39" s="1"/>
  <c r="V694" i="39"/>
  <c r="AF694" i="39"/>
  <c r="AA694" i="39"/>
  <c r="L611" i="19"/>
  <c r="Q442" i="19"/>
  <c r="V390" i="30"/>
  <c r="O389" i="30"/>
  <c r="V389" i="30" s="1"/>
  <c r="P29" i="31"/>
  <c r="S29" i="31"/>
  <c r="T29" i="31" s="1"/>
  <c r="T214" i="5"/>
  <c r="O213" i="5"/>
  <c r="T213" i="5" s="1"/>
  <c r="V356" i="16"/>
  <c r="O312" i="16"/>
  <c r="V312" i="16" s="1"/>
  <c r="S78" i="3"/>
  <c r="S24" i="18"/>
  <c r="P24" i="18"/>
  <c r="L1001" i="10"/>
  <c r="L999" i="10" s="1"/>
  <c r="L998" i="10" s="1"/>
  <c r="N1007" i="10"/>
  <c r="O1007" i="10" s="1"/>
  <c r="V356" i="19"/>
  <c r="O312" i="19"/>
  <c r="V312" i="19" s="1"/>
  <c r="U12" i="39"/>
  <c r="U14" i="39"/>
  <c r="N399" i="4"/>
  <c r="O399" i="4"/>
  <c r="T25" i="20"/>
  <c r="O69" i="4"/>
  <c r="N69" i="4"/>
  <c r="O21" i="11"/>
  <c r="P25" i="11"/>
  <c r="T25" i="11" s="1"/>
  <c r="Q25" i="11"/>
  <c r="R442" i="16"/>
  <c r="Q442" i="16"/>
  <c r="Q93" i="5"/>
  <c r="Q57" i="5" s="1"/>
  <c r="L57" i="5"/>
  <c r="R93" i="5"/>
  <c r="R110" i="39"/>
  <c r="T110" i="39" s="1"/>
  <c r="Q110" i="39"/>
  <c r="AF110" i="39"/>
  <c r="AG110" i="39" s="1"/>
  <c r="R431" i="39"/>
  <c r="T431" i="39" s="1"/>
  <c r="O431" i="39"/>
  <c r="F380" i="2"/>
  <c r="D350" i="2"/>
  <c r="O214" i="29"/>
  <c r="P215" i="29"/>
  <c r="AG233" i="39"/>
  <c r="N417" i="10"/>
  <c r="N407" i="10" s="1"/>
  <c r="K21" i="24"/>
  <c r="T34" i="28"/>
  <c r="AG816" i="39"/>
  <c r="J36" i="8"/>
  <c r="I276" i="6"/>
  <c r="I275" i="6" s="1"/>
  <c r="O396" i="25"/>
  <c r="T47" i="24"/>
  <c r="S46" i="20"/>
  <c r="T46" i="20" s="1"/>
  <c r="Q44" i="11"/>
  <c r="S49" i="28"/>
  <c r="T49" i="28" s="1"/>
  <c r="O463" i="4"/>
  <c r="O204" i="5"/>
  <c r="T204" i="5" s="1"/>
  <c r="L450" i="27"/>
  <c r="R451" i="27"/>
  <c r="R623" i="27" s="1"/>
  <c r="L623" i="27"/>
  <c r="Q451" i="27"/>
  <c r="Q579" i="30"/>
  <c r="G7" i="1"/>
  <c r="AG302" i="39"/>
  <c r="AG864" i="39"/>
  <c r="N171" i="4"/>
  <c r="Q581" i="27"/>
  <c r="Q579" i="23"/>
  <c r="AG18" i="39"/>
  <c r="J8" i="30"/>
  <c r="J407" i="9"/>
  <c r="J405" i="9" s="1"/>
  <c r="J403" i="9" s="1"/>
  <c r="K405" i="23"/>
  <c r="L773" i="10"/>
  <c r="L770" i="10" s="1"/>
  <c r="L768" i="10" s="1"/>
  <c r="K56" i="31"/>
  <c r="O440" i="19"/>
  <c r="V440" i="19" s="1"/>
  <c r="M31" i="12"/>
  <c r="L325" i="10"/>
  <c r="O247" i="8"/>
  <c r="K444" i="6"/>
  <c r="K838" i="7"/>
  <c r="K836" i="7" s="1"/>
  <c r="P595" i="8"/>
  <c r="N457" i="8"/>
  <c r="P257" i="8"/>
  <c r="R725" i="3"/>
  <c r="K59" i="18"/>
  <c r="J8" i="23"/>
  <c r="J818" i="8"/>
  <c r="J816" i="8" s="1"/>
  <c r="M579" i="8"/>
  <c r="M578" i="8" s="1"/>
  <c r="O666" i="6"/>
  <c r="M55" i="19"/>
  <c r="M43" i="19" s="1"/>
  <c r="P214" i="29"/>
  <c r="S33" i="11"/>
  <c r="T33" i="11" s="1"/>
  <c r="O239" i="4"/>
  <c r="N239" i="4"/>
  <c r="L284" i="4"/>
  <c r="M285" i="4"/>
  <c r="Q426" i="16"/>
  <c r="L399" i="5"/>
  <c r="O437" i="27"/>
  <c r="O366" i="23"/>
  <c r="D118" i="2"/>
  <c r="Q17" i="3"/>
  <c r="N11" i="3"/>
  <c r="N10" i="3" s="1"/>
  <c r="D109" i="3"/>
  <c r="O116" i="3"/>
  <c r="M130" i="3"/>
  <c r="M129" i="3" s="1"/>
  <c r="E154" i="3"/>
  <c r="N154" i="3"/>
  <c r="J199" i="3"/>
  <c r="J198" i="3" s="1"/>
  <c r="J197" i="3" s="1"/>
  <c r="D315" i="3"/>
  <c r="D314" i="3" s="1"/>
  <c r="F420" i="3"/>
  <c r="F385" i="3" s="1"/>
  <c r="F355" i="3" s="1"/>
  <c r="F354" i="3" s="1"/>
  <c r="M420" i="3"/>
  <c r="M385" i="3" s="1"/>
  <c r="M355" i="3" s="1"/>
  <c r="M354" i="3" s="1"/>
  <c r="P462" i="3"/>
  <c r="P461" i="3" s="1"/>
  <c r="M462" i="3"/>
  <c r="M461" i="3" s="1"/>
  <c r="M457" i="3" s="1"/>
  <c r="M456" i="3" s="1"/>
  <c r="M427" i="3" s="1"/>
  <c r="R479" i="3"/>
  <c r="R557" i="3"/>
  <c r="K577" i="3"/>
  <c r="R592" i="3"/>
  <c r="R618" i="3"/>
  <c r="R657" i="3"/>
  <c r="R663" i="3"/>
  <c r="O855" i="9"/>
  <c r="N853" i="9"/>
  <c r="O853" i="9" s="1"/>
  <c r="G11" i="3"/>
  <c r="R27" i="3"/>
  <c r="G31" i="3"/>
  <c r="G29" i="3" s="1"/>
  <c r="I54" i="3"/>
  <c r="R86" i="3"/>
  <c r="M91" i="3"/>
  <c r="R99" i="3"/>
  <c r="J130" i="3"/>
  <c r="R255" i="3"/>
  <c r="R332" i="3"/>
  <c r="R334" i="3"/>
  <c r="R336" i="3"/>
  <c r="R390" i="3"/>
  <c r="I428" i="3"/>
  <c r="R439" i="3"/>
  <c r="K483" i="3"/>
  <c r="M522" i="3"/>
  <c r="M638" i="3"/>
  <c r="M637" i="3" s="1"/>
  <c r="R646" i="3"/>
  <c r="R650" i="3"/>
  <c r="S687" i="3"/>
  <c r="J139" i="4"/>
  <c r="N139" i="4" s="1"/>
  <c r="R225" i="6"/>
  <c r="S225" i="6"/>
  <c r="F43" i="3"/>
  <c r="N104" i="3"/>
  <c r="N116" i="3"/>
  <c r="E199" i="3"/>
  <c r="M199" i="3"/>
  <c r="M198" i="3" s="1"/>
  <c r="M197" i="3" s="1"/>
  <c r="S235" i="3"/>
  <c r="O239" i="3"/>
  <c r="O238" i="3" s="1"/>
  <c r="O237" i="3" s="1"/>
  <c r="D243" i="3"/>
  <c r="R249" i="3"/>
  <c r="R300" i="3"/>
  <c r="D307" i="3"/>
  <c r="D306" i="3" s="1"/>
  <c r="R306" i="3" s="1"/>
  <c r="S306" i="3" s="1"/>
  <c r="R316" i="3"/>
  <c r="R451" i="3"/>
  <c r="S495" i="3"/>
  <c r="I507" i="3"/>
  <c r="Q507" i="3" s="1"/>
  <c r="G577" i="3"/>
  <c r="Q723" i="3"/>
  <c r="R723" i="3" s="1"/>
  <c r="R757" i="3"/>
  <c r="J84" i="4"/>
  <c r="J78" i="4" s="1"/>
  <c r="J29" i="4" s="1"/>
  <c r="J204" i="4"/>
  <c r="N204" i="4" s="1"/>
  <c r="J245" i="4"/>
  <c r="J236" i="4" s="1"/>
  <c r="J499" i="4"/>
  <c r="J510" i="4"/>
  <c r="J506" i="4" s="1"/>
  <c r="J687" i="4"/>
  <c r="N970" i="10"/>
  <c r="L965" i="10"/>
  <c r="N965" i="10" s="1"/>
  <c r="T211" i="5"/>
  <c r="D17" i="3"/>
  <c r="D11" i="3" s="1"/>
  <c r="D10" i="3" s="1"/>
  <c r="Q21" i="3"/>
  <c r="R21" i="3" s="1"/>
  <c r="K31" i="3"/>
  <c r="K29" i="3" s="1"/>
  <c r="D161" i="3"/>
  <c r="R343" i="3"/>
  <c r="R368" i="3"/>
  <c r="R376" i="3"/>
  <c r="D415" i="3"/>
  <c r="P457" i="3"/>
  <c r="P456" i="3" s="1"/>
  <c r="P427" i="3" s="1"/>
  <c r="D471" i="3"/>
  <c r="R471" i="3" s="1"/>
  <c r="R528" i="3"/>
  <c r="R535" i="3"/>
  <c r="R569" i="3"/>
  <c r="S569" i="3" s="1"/>
  <c r="K522" i="3"/>
  <c r="S623" i="3"/>
  <c r="R627" i="3"/>
  <c r="R632" i="3"/>
  <c r="R634" i="3"/>
  <c r="S674" i="3"/>
  <c r="J175" i="4"/>
  <c r="J169" i="4" s="1"/>
  <c r="O410" i="5"/>
  <c r="T411" i="5"/>
  <c r="N129" i="7"/>
  <c r="O129" i="7" s="1"/>
  <c r="O130" i="7"/>
  <c r="N535" i="4"/>
  <c r="O681" i="4"/>
  <c r="J737" i="4"/>
  <c r="J735" i="4" s="1"/>
  <c r="N13" i="5"/>
  <c r="R447" i="5"/>
  <c r="S608" i="6"/>
  <c r="R655" i="6"/>
  <c r="M596" i="5"/>
  <c r="P639" i="5"/>
  <c r="I31" i="6"/>
  <c r="I38" i="6"/>
  <c r="J53" i="6"/>
  <c r="P193" i="6"/>
  <c r="O211" i="6"/>
  <c r="F229" i="6"/>
  <c r="F228" i="6" s="1"/>
  <c r="F227" i="6" s="1"/>
  <c r="N559" i="6"/>
  <c r="N583" i="7"/>
  <c r="O583" i="7" s="1"/>
  <c r="K129" i="8"/>
  <c r="K127" i="8" s="1"/>
  <c r="K125" i="8" s="1"/>
  <c r="N445" i="8"/>
  <c r="O445" i="8" s="1"/>
  <c r="L974" i="8"/>
  <c r="L963" i="8" s="1"/>
  <c r="J951" i="10"/>
  <c r="J924" i="10" s="1"/>
  <c r="J922" i="10" s="1"/>
  <c r="L314" i="4"/>
  <c r="F666" i="6"/>
  <c r="R608" i="6"/>
  <c r="F14" i="6"/>
  <c r="N14" i="6"/>
  <c r="N13" i="6" s="1"/>
  <c r="J64" i="6"/>
  <c r="J60" i="6" s="1"/>
  <c r="S100" i="6"/>
  <c r="Q105" i="6"/>
  <c r="R105" i="6" s="1"/>
  <c r="G148" i="6"/>
  <c r="G147" i="6" s="1"/>
  <c r="G146" i="6" s="1"/>
  <c r="Q156" i="6"/>
  <c r="R156" i="6" s="1"/>
  <c r="F162" i="6"/>
  <c r="F161" i="6" s="1"/>
  <c r="J162" i="6"/>
  <c r="J161" i="6" s="1"/>
  <c r="N170" i="6"/>
  <c r="N169" i="6" s="1"/>
  <c r="M177" i="6"/>
  <c r="Q201" i="6"/>
  <c r="R201" i="6" s="1"/>
  <c r="G318" i="6"/>
  <c r="L711" i="6"/>
  <c r="L709" i="6" s="1"/>
  <c r="K867" i="8"/>
  <c r="L343" i="9"/>
  <c r="L342" i="9" s="1"/>
  <c r="K377" i="9"/>
  <c r="K365" i="9" s="1"/>
  <c r="K363" i="9" s="1"/>
  <c r="J869" i="9"/>
  <c r="J867" i="9" s="1"/>
  <c r="N642" i="10"/>
  <c r="O642" i="10" s="1"/>
  <c r="N49" i="7"/>
  <c r="O49" i="7" s="1"/>
  <c r="J110" i="9"/>
  <c r="J108" i="9" s="1"/>
  <c r="J36" i="9" s="1"/>
  <c r="K907" i="7"/>
  <c r="K905" i="7" s="1"/>
  <c r="K904" i="7" s="1"/>
  <c r="K965" i="8"/>
  <c r="L147" i="9"/>
  <c r="K1020" i="9"/>
  <c r="K1018" i="9" s="1"/>
  <c r="K1017" i="9" s="1"/>
  <c r="K66" i="10"/>
  <c r="K59" i="10" s="1"/>
  <c r="K57" i="10" s="1"/>
  <c r="J117" i="10"/>
  <c r="J110" i="10" s="1"/>
  <c r="J108" i="10" s="1"/>
  <c r="J36" i="10" s="1"/>
  <c r="K1079" i="10"/>
  <c r="K1077" i="10" s="1"/>
  <c r="K1076" i="10" s="1"/>
  <c r="J346" i="4"/>
  <c r="J345" i="4" s="1"/>
  <c r="N345" i="4" s="1"/>
  <c r="N449" i="4"/>
  <c r="N507" i="4"/>
  <c r="N523" i="4"/>
  <c r="N525" i="4"/>
  <c r="N541" i="4"/>
  <c r="N543" i="4"/>
  <c r="N552" i="4"/>
  <c r="O644" i="4"/>
  <c r="M688" i="4"/>
  <c r="E170" i="6"/>
  <c r="E169" i="6" s="1"/>
  <c r="K211" i="6"/>
  <c r="K210" i="6" s="1"/>
  <c r="R224" i="6"/>
  <c r="D385" i="6"/>
  <c r="Q396" i="6"/>
  <c r="Q398" i="6"/>
  <c r="O637" i="6"/>
  <c r="O610" i="6" s="1"/>
  <c r="K377" i="7"/>
  <c r="J535" i="7"/>
  <c r="J533" i="7" s="1"/>
  <c r="O123" i="8"/>
  <c r="L278" i="8"/>
  <c r="L275" i="8" s="1"/>
  <c r="N275" i="8" s="1"/>
  <c r="N29" i="9"/>
  <c r="O29" i="9" s="1"/>
  <c r="O359" i="10"/>
  <c r="L370" i="10"/>
  <c r="R66" i="23"/>
  <c r="R53" i="23"/>
  <c r="Q312" i="23"/>
  <c r="Q35" i="24"/>
  <c r="M135" i="25"/>
  <c r="P135" i="25" s="1"/>
  <c r="Q237" i="30"/>
  <c r="L12" i="30"/>
  <c r="R12" i="30" s="1"/>
  <c r="O486" i="39"/>
  <c r="Q486" i="39"/>
  <c r="O395" i="39"/>
  <c r="Q78" i="23"/>
  <c r="R187" i="23"/>
  <c r="R72" i="27"/>
  <c r="Q423" i="27"/>
  <c r="O487" i="29"/>
  <c r="P487" i="29" s="1"/>
  <c r="Q45" i="30"/>
  <c r="R415" i="30"/>
  <c r="R133" i="23"/>
  <c r="O12" i="23"/>
  <c r="Q1008" i="39"/>
  <c r="P1007" i="39"/>
  <c r="W1008" i="39"/>
  <c r="Y1008" i="39" s="1"/>
  <c r="R1008" i="39"/>
  <c r="T1008" i="39" s="1"/>
  <c r="R628" i="39"/>
  <c r="T628" i="39" s="1"/>
  <c r="Q628" i="39"/>
  <c r="O628" i="39"/>
  <c r="R497" i="39"/>
  <c r="T497" i="39" s="1"/>
  <c r="Q497" i="39"/>
  <c r="AA352" i="39"/>
  <c r="X331" i="39"/>
  <c r="Q415" i="23"/>
  <c r="Q15" i="28"/>
  <c r="O12" i="30"/>
  <c r="R335" i="39"/>
  <c r="P767" i="39"/>
  <c r="AF619" i="39"/>
  <c r="AG619" i="39" s="1"/>
  <c r="O739" i="39"/>
  <c r="S88" i="39"/>
  <c r="AA1044" i="39"/>
  <c r="AA769" i="39"/>
  <c r="Q116" i="39"/>
  <c r="AF100" i="39"/>
  <c r="AG100" i="39" s="1"/>
  <c r="AA116" i="39"/>
  <c r="AG33" i="39"/>
  <c r="AG294" i="39"/>
  <c r="U331" i="39"/>
  <c r="U329" i="39" s="1"/>
  <c r="U327" i="39" s="1"/>
  <c r="AF776" i="39"/>
  <c r="N304" i="39"/>
  <c r="Q281" i="39"/>
  <c r="AG275" i="39"/>
  <c r="Z686" i="39"/>
  <c r="Z685" i="39" s="1"/>
  <c r="Z633" i="39" s="1"/>
  <c r="Z632" i="39" s="1"/>
  <c r="AF215" i="39"/>
  <c r="T19" i="39"/>
  <c r="AG303" i="39"/>
  <c r="Z599" i="39"/>
  <c r="Z598" i="39" s="1"/>
  <c r="Z597" i="39" s="1"/>
  <c r="R200" i="39"/>
  <c r="T200" i="39" s="1"/>
  <c r="AG307" i="39"/>
  <c r="AG663" i="39"/>
  <c r="S148" i="39"/>
  <c r="R208" i="39"/>
  <c r="T208" i="39" s="1"/>
  <c r="AG239" i="39"/>
  <c r="AG265" i="39"/>
  <c r="AG577" i="39"/>
  <c r="AG644" i="39"/>
  <c r="AG919" i="39"/>
  <c r="AG719" i="39"/>
  <c r="AG376" i="39"/>
  <c r="P112" i="10"/>
  <c r="O112" i="10"/>
  <c r="P870" i="9"/>
  <c r="O870" i="9"/>
  <c r="O673" i="10"/>
  <c r="P673" i="10"/>
  <c r="R695" i="6"/>
  <c r="Q693" i="6"/>
  <c r="P621" i="8"/>
  <c r="O621" i="8"/>
  <c r="V618" i="6"/>
  <c r="S618" i="6"/>
  <c r="O414" i="10"/>
  <c r="P414" i="10"/>
  <c r="P581" i="9"/>
  <c r="O581" i="9"/>
  <c r="O623" i="9"/>
  <c r="P623" i="9"/>
  <c r="R633" i="6"/>
  <c r="V633" i="6"/>
  <c r="S633" i="6"/>
  <c r="N94" i="8"/>
  <c r="L93" i="8"/>
  <c r="L91" i="8" s="1"/>
  <c r="O535" i="9"/>
  <c r="O171" i="9"/>
  <c r="R557" i="6"/>
  <c r="P248" i="8"/>
  <c r="S462" i="6"/>
  <c r="E146" i="6"/>
  <c r="N319" i="9"/>
  <c r="N318" i="9" s="1"/>
  <c r="O318" i="9" s="1"/>
  <c r="O461" i="9"/>
  <c r="O460" i="9" s="1"/>
  <c r="O936" i="8"/>
  <c r="R553" i="6"/>
  <c r="P552" i="9"/>
  <c r="O248" i="8"/>
  <c r="P751" i="9"/>
  <c r="M161" i="8"/>
  <c r="N165" i="8"/>
  <c r="O165" i="8" s="1"/>
  <c r="O576" i="7"/>
  <c r="P576" i="7"/>
  <c r="V577" i="6"/>
  <c r="S577" i="6"/>
  <c r="S562" i="6"/>
  <c r="P96" i="9"/>
  <c r="N95" i="9"/>
  <c r="O96" i="9"/>
  <c r="N963" i="7"/>
  <c r="O963" i="7" s="1"/>
  <c r="L962" i="7"/>
  <c r="N294" i="9"/>
  <c r="M292" i="9"/>
  <c r="N292" i="9" s="1"/>
  <c r="O240" i="9"/>
  <c r="P240" i="9"/>
  <c r="N239" i="9"/>
  <c r="P239" i="9" s="1"/>
  <c r="N20" i="9"/>
  <c r="M19" i="9"/>
  <c r="V454" i="6"/>
  <c r="S454" i="6"/>
  <c r="O1034" i="10"/>
  <c r="N1031" i="10"/>
  <c r="O1031" i="10" s="1"/>
  <c r="P895" i="9"/>
  <c r="O895" i="9"/>
  <c r="O807" i="8"/>
  <c r="P322" i="9"/>
  <c r="L1053" i="10"/>
  <c r="K325" i="9"/>
  <c r="K312" i="9" s="1"/>
  <c r="K310" i="9" s="1"/>
  <c r="P247" i="8"/>
  <c r="O748" i="9"/>
  <c r="Q391" i="16"/>
  <c r="O941" i="10"/>
  <c r="N132" i="8"/>
  <c r="O132" i="8" s="1"/>
  <c r="O762" i="7"/>
  <c r="O820" i="7"/>
  <c r="V462" i="6"/>
  <c r="N460" i="9"/>
  <c r="S390" i="6"/>
  <c r="O595" i="8"/>
  <c r="O357" i="8"/>
  <c r="N51" i="10"/>
  <c r="R618" i="6"/>
  <c r="P801" i="8"/>
  <c r="O801" i="8"/>
  <c r="R545" i="6"/>
  <c r="S545" i="6"/>
  <c r="N118" i="8"/>
  <c r="L117" i="8"/>
  <c r="N117" i="8" s="1"/>
  <c r="O117" i="8" s="1"/>
  <c r="O348" i="10"/>
  <c r="P348" i="10"/>
  <c r="M687" i="7"/>
  <c r="M681" i="7" s="1"/>
  <c r="P688" i="7"/>
  <c r="V307" i="19"/>
  <c r="M385" i="29"/>
  <c r="N720" i="9"/>
  <c r="P529" i="10"/>
  <c r="M315" i="29"/>
  <c r="O315" i="29" s="1"/>
  <c r="L314" i="29"/>
  <c r="M314" i="29" s="1"/>
  <c r="O314" i="29" s="1"/>
  <c r="P314" i="29" s="1"/>
  <c r="P569" i="7"/>
  <c r="O569" i="7"/>
  <c r="N567" i="6"/>
  <c r="N566" i="6" s="1"/>
  <c r="N743" i="8"/>
  <c r="O743" i="8" s="1"/>
  <c r="O746" i="8"/>
  <c r="V575" i="6"/>
  <c r="R575" i="6"/>
  <c r="S575" i="6"/>
  <c r="N908" i="7"/>
  <c r="O908" i="7" s="1"/>
  <c r="F276" i="6"/>
  <c r="F275" i="6" s="1"/>
  <c r="M48" i="9"/>
  <c r="J355" i="6"/>
  <c r="I566" i="6"/>
  <c r="O510" i="7"/>
  <c r="L726" i="7"/>
  <c r="L724" i="7" s="1"/>
  <c r="L722" i="7" s="1"/>
  <c r="L720" i="7" s="1"/>
  <c r="O575" i="7"/>
  <c r="P561" i="7"/>
  <c r="G444" i="6"/>
  <c r="S712" i="7"/>
  <c r="N940" i="8"/>
  <c r="L407" i="8"/>
  <c r="L405" i="8" s="1"/>
  <c r="N738" i="8"/>
  <c r="P738" i="8" s="1"/>
  <c r="M647" i="8"/>
  <c r="N647" i="8" s="1"/>
  <c r="J146" i="6"/>
  <c r="O387" i="9"/>
  <c r="P387" i="9"/>
  <c r="S387" i="9"/>
  <c r="F120" i="6"/>
  <c r="M263" i="7"/>
  <c r="M262" i="7" s="1"/>
  <c r="M260" i="7" s="1"/>
  <c r="O355" i="6"/>
  <c r="O354" i="6" s="1"/>
  <c r="L928" i="8"/>
  <c r="M82" i="9"/>
  <c r="M77" i="9" s="1"/>
  <c r="M75" i="9" s="1"/>
  <c r="L318" i="9"/>
  <c r="L314" i="9" s="1"/>
  <c r="K13" i="6"/>
  <c r="P344" i="9"/>
  <c r="N495" i="7"/>
  <c r="M726" i="7"/>
  <c r="H14" i="6"/>
  <c r="H13" i="6" s="1"/>
  <c r="P14" i="6"/>
  <c r="P13" i="6" s="1"/>
  <c r="H146" i="6"/>
  <c r="P27" i="6"/>
  <c r="M553" i="7"/>
  <c r="M547" i="7" s="1"/>
  <c r="K480" i="7"/>
  <c r="K15" i="8"/>
  <c r="K13" i="8" s="1"/>
  <c r="L444" i="6"/>
  <c r="K566" i="6"/>
  <c r="O704" i="10"/>
  <c r="M194" i="7"/>
  <c r="Q20" i="6"/>
  <c r="R20" i="6" s="1"/>
  <c r="Q21" i="6"/>
  <c r="R21" i="6" s="1"/>
  <c r="Q22" i="6"/>
  <c r="R22" i="6" s="1"/>
  <c r="M38" i="6"/>
  <c r="Q55" i="6"/>
  <c r="R55" i="6" s="1"/>
  <c r="N53" i="6"/>
  <c r="Q56" i="6"/>
  <c r="R56" i="6" s="1"/>
  <c r="Q57" i="6"/>
  <c r="R57" i="6" s="1"/>
  <c r="Q58" i="6"/>
  <c r="R58" i="6" s="1"/>
  <c r="I135" i="6"/>
  <c r="K170" i="6"/>
  <c r="K169" i="6" s="1"/>
  <c r="J170" i="6"/>
  <c r="J169" i="6" s="1"/>
  <c r="J188" i="6"/>
  <c r="J228" i="6"/>
  <c r="J227" i="6" s="1"/>
  <c r="G311" i="6"/>
  <c r="G303" i="6" s="1"/>
  <c r="L1019" i="8"/>
  <c r="N374" i="9"/>
  <c r="P374" i="9" s="1"/>
  <c r="J49" i="6"/>
  <c r="D112" i="6"/>
  <c r="D111" i="6" s="1"/>
  <c r="E124" i="6"/>
  <c r="M128" i="6"/>
  <c r="M120" i="6" s="1"/>
  <c r="I128" i="6"/>
  <c r="E128" i="6"/>
  <c r="P333" i="6"/>
  <c r="Q388" i="6"/>
  <c r="R388" i="6" s="1"/>
  <c r="N573" i="7"/>
  <c r="K263" i="8"/>
  <c r="K262" i="8" s="1"/>
  <c r="K260" i="8" s="1"/>
  <c r="O656" i="8"/>
  <c r="K806" i="8"/>
  <c r="K786" i="8" s="1"/>
  <c r="K784" i="8" s="1"/>
  <c r="N70" i="9"/>
  <c r="O70" i="9" s="1"/>
  <c r="N809" i="9"/>
  <c r="O809" i="9" s="1"/>
  <c r="K147" i="10"/>
  <c r="K141" i="10" s="1"/>
  <c r="K139" i="10" s="1"/>
  <c r="K742" i="10"/>
  <c r="K734" i="10" s="1"/>
  <c r="P49" i="6"/>
  <c r="K75" i="6"/>
  <c r="K71" i="6" s="1"/>
  <c r="M75" i="6"/>
  <c r="Q157" i="6"/>
  <c r="R157" i="6" s="1"/>
  <c r="H193" i="6"/>
  <c r="H192" i="6" s="1"/>
  <c r="H188" i="6" s="1"/>
  <c r="O193" i="6"/>
  <c r="O192" i="6" s="1"/>
  <c r="O188" i="6" s="1"/>
  <c r="G693" i="6"/>
  <c r="G691" i="6" s="1"/>
  <c r="M711" i="6"/>
  <c r="M709" i="6" s="1"/>
  <c r="K161" i="7"/>
  <c r="K159" i="7" s="1"/>
  <c r="K157" i="7" s="1"/>
  <c r="K203" i="7"/>
  <c r="L24" i="8"/>
  <c r="L15" i="8" s="1"/>
  <c r="L13" i="8" s="1"/>
  <c r="N351" i="9"/>
  <c r="O351" i="9" s="1"/>
  <c r="M147" i="10"/>
  <c r="Q33" i="6"/>
  <c r="R33" i="6" s="1"/>
  <c r="Q34" i="6"/>
  <c r="L31" i="6"/>
  <c r="L27" i="6" s="1"/>
  <c r="Q66" i="6"/>
  <c r="R66" i="6" s="1"/>
  <c r="Q67" i="6"/>
  <c r="Q68" i="6"/>
  <c r="R68" i="6" s="1"/>
  <c r="E64" i="6"/>
  <c r="E60" i="6" s="1"/>
  <c r="P139" i="6"/>
  <c r="Q141" i="6"/>
  <c r="R141" i="6" s="1"/>
  <c r="N139" i="6"/>
  <c r="N135" i="6" s="1"/>
  <c r="Q149" i="6"/>
  <c r="S149" i="6" s="1"/>
  <c r="F177" i="6"/>
  <c r="E181" i="6"/>
  <c r="E177" i="6" s="1"/>
  <c r="N211" i="6"/>
  <c r="J551" i="6"/>
  <c r="J550" i="6" s="1"/>
  <c r="J549" i="6" s="1"/>
  <c r="Q606" i="6"/>
  <c r="N585" i="7"/>
  <c r="O585" i="7" s="1"/>
  <c r="M176" i="8"/>
  <c r="N299" i="9"/>
  <c r="O299" i="9" s="1"/>
  <c r="O1004" i="9"/>
  <c r="S370" i="9"/>
  <c r="P370" i="9"/>
  <c r="P488" i="7"/>
  <c r="O488" i="7"/>
  <c r="P670" i="10"/>
  <c r="P285" i="8"/>
  <c r="K284" i="8"/>
  <c r="O831" i="8"/>
  <c r="P831" i="8"/>
  <c r="N940" i="10"/>
  <c r="M928" i="10"/>
  <c r="Q400" i="30"/>
  <c r="P589" i="8"/>
  <c r="O589" i="8"/>
  <c r="P563" i="7"/>
  <c r="O563" i="7"/>
  <c r="Q637" i="6"/>
  <c r="S637" i="6" s="1"/>
  <c r="R638" i="6"/>
  <c r="O527" i="7"/>
  <c r="P527" i="7"/>
  <c r="M32" i="25"/>
  <c r="O32" i="25" s="1"/>
  <c r="P783" i="9"/>
  <c r="O783" i="9"/>
  <c r="O643" i="8"/>
  <c r="P643" i="8"/>
  <c r="O337" i="8"/>
  <c r="P337" i="8"/>
  <c r="M1002" i="9"/>
  <c r="N1003" i="9"/>
  <c r="O1003" i="9" s="1"/>
  <c r="N920" i="7"/>
  <c r="O920" i="7" s="1"/>
  <c r="N53" i="7"/>
  <c r="O53" i="7" s="1"/>
  <c r="L51" i="7"/>
  <c r="N344" i="8"/>
  <c r="L343" i="8"/>
  <c r="L342" i="8" s="1"/>
  <c r="L340" i="8" s="1"/>
  <c r="L338" i="8" s="1"/>
  <c r="O617" i="7"/>
  <c r="P617" i="7"/>
  <c r="O78" i="7"/>
  <c r="N794" i="8"/>
  <c r="K557" i="7"/>
  <c r="K553" i="7" s="1"/>
  <c r="K547" i="7" s="1"/>
  <c r="K546" i="7" s="1"/>
  <c r="P513" i="7"/>
  <c r="R400" i="30"/>
  <c r="S40" i="6"/>
  <c r="L1014" i="8"/>
  <c r="M384" i="29"/>
  <c r="L383" i="29"/>
  <c r="M383" i="29" s="1"/>
  <c r="O546" i="10"/>
  <c r="P679" i="9"/>
  <c r="O679" i="9"/>
  <c r="S381" i="9"/>
  <c r="O381" i="9"/>
  <c r="P127" i="10"/>
  <c r="P125" i="10"/>
  <c r="P607" i="8"/>
  <c r="O607" i="8"/>
  <c r="R392" i="6"/>
  <c r="S392" i="6"/>
  <c r="H385" i="6"/>
  <c r="H355" i="6" s="1"/>
  <c r="H354" i="6" s="1"/>
  <c r="N444" i="6"/>
  <c r="N442" i="6" s="1"/>
  <c r="N440" i="6" s="1"/>
  <c r="O976" i="8"/>
  <c r="O545" i="10"/>
  <c r="P545" i="10"/>
  <c r="S405" i="6"/>
  <c r="R405" i="6"/>
  <c r="S313" i="6"/>
  <c r="R313" i="6"/>
  <c r="K192" i="6"/>
  <c r="K188" i="6" s="1"/>
  <c r="O1045" i="10"/>
  <c r="O836" i="9"/>
  <c r="O872" i="9"/>
  <c r="P872" i="9"/>
  <c r="O573" i="8"/>
  <c r="P573" i="8"/>
  <c r="N548" i="8"/>
  <c r="K411" i="8"/>
  <c r="P412" i="8"/>
  <c r="O344" i="7"/>
  <c r="F17" i="1"/>
  <c r="P707" i="9"/>
  <c r="O707" i="9"/>
  <c r="N350" i="8"/>
  <c r="O354" i="8"/>
  <c r="L609" i="8"/>
  <c r="N609" i="8" s="1"/>
  <c r="N611" i="8"/>
  <c r="S16" i="6"/>
  <c r="R16" i="6"/>
  <c r="M730" i="29"/>
  <c r="L729" i="29"/>
  <c r="O574" i="9"/>
  <c r="P574" i="9"/>
  <c r="O626" i="8"/>
  <c r="P626" i="8"/>
  <c r="P867" i="7"/>
  <c r="O867" i="7"/>
  <c r="N864" i="7"/>
  <c r="P954" i="8"/>
  <c r="O954" i="8"/>
  <c r="P443" i="7"/>
  <c r="O953" i="8"/>
  <c r="N952" i="8"/>
  <c r="O952" i="8" s="1"/>
  <c r="O814" i="8"/>
  <c r="P814" i="8"/>
  <c r="L285" i="7"/>
  <c r="L284" i="7" s="1"/>
  <c r="N286" i="7"/>
  <c r="N285" i="7" s="1"/>
  <c r="N989" i="8"/>
  <c r="O992" i="8"/>
  <c r="O86" i="10"/>
  <c r="N83" i="10"/>
  <c r="O83" i="10" s="1"/>
  <c r="N72" i="10"/>
  <c r="L66" i="10"/>
  <c r="L59" i="10" s="1"/>
  <c r="L57" i="10" s="1"/>
  <c r="P22" i="10"/>
  <c r="O22" i="10"/>
  <c r="L977" i="9"/>
  <c r="N978" i="9"/>
  <c r="O978" i="9" s="1"/>
  <c r="K869" i="9"/>
  <c r="K867" i="9" s="1"/>
  <c r="N219" i="9"/>
  <c r="O219" i="9" s="1"/>
  <c r="M218" i="9"/>
  <c r="N218" i="9" s="1"/>
  <c r="O218" i="9" s="1"/>
  <c r="O115" i="9"/>
  <c r="P115" i="9"/>
  <c r="O550" i="10"/>
  <c r="L98" i="10"/>
  <c r="N104" i="10"/>
  <c r="O104" i="10" s="1"/>
  <c r="L436" i="29"/>
  <c r="M437" i="29"/>
  <c r="O598" i="8"/>
  <c r="P598" i="8"/>
  <c r="K533" i="8"/>
  <c r="O45" i="8"/>
  <c r="P45" i="8"/>
  <c r="N112" i="7"/>
  <c r="N322" i="8"/>
  <c r="M318" i="8"/>
  <c r="M914" i="7"/>
  <c r="N915" i="7"/>
  <c r="O915" i="7" s="1"/>
  <c r="O776" i="8"/>
  <c r="N774" i="8"/>
  <c r="N773" i="8" s="1"/>
  <c r="O114" i="25"/>
  <c r="P761" i="7"/>
  <c r="O761" i="7"/>
  <c r="O787" i="7"/>
  <c r="P813" i="8"/>
  <c r="O813" i="8"/>
  <c r="AB457" i="39"/>
  <c r="O649" i="9"/>
  <c r="N647" i="9"/>
  <c r="P682" i="7"/>
  <c r="O682" i="7"/>
  <c r="N670" i="8"/>
  <c r="O560" i="7"/>
  <c r="P560" i="7"/>
  <c r="O397" i="8"/>
  <c r="N395" i="8"/>
  <c r="N394" i="8" s="1"/>
  <c r="F135" i="6"/>
  <c r="K938" i="7"/>
  <c r="O939" i="7"/>
  <c r="P673" i="7"/>
  <c r="O683" i="8"/>
  <c r="M499" i="25"/>
  <c r="L498" i="25"/>
  <c r="M273" i="29"/>
  <c r="O273" i="29" s="1"/>
  <c r="L272" i="29"/>
  <c r="M272" i="29" s="1"/>
  <c r="O272" i="29" s="1"/>
  <c r="O497" i="7"/>
  <c r="P497" i="7"/>
  <c r="V569" i="6"/>
  <c r="S569" i="6"/>
  <c r="R569" i="6"/>
  <c r="M88" i="10"/>
  <c r="N88" i="10" s="1"/>
  <c r="O88" i="10" s="1"/>
  <c r="N89" i="10"/>
  <c r="O89" i="10" s="1"/>
  <c r="O1020" i="10"/>
  <c r="N1019" i="10"/>
  <c r="O1019" i="10" s="1"/>
  <c r="N760" i="7"/>
  <c r="M159" i="10"/>
  <c r="AA457" i="39"/>
  <c r="AB459" i="39"/>
  <c r="P945" i="8"/>
  <c r="O920" i="10"/>
  <c r="P602" i="7"/>
  <c r="P799" i="8"/>
  <c r="N550" i="7"/>
  <c r="L780" i="29"/>
  <c r="M780" i="29" s="1"/>
  <c r="O780" i="29" s="1"/>
  <c r="O619" i="9"/>
  <c r="P619" i="9"/>
  <c r="F498" i="6"/>
  <c r="Q503" i="6"/>
  <c r="O801" i="9"/>
  <c r="P240" i="8"/>
  <c r="N239" i="8"/>
  <c r="L697" i="7"/>
  <c r="L695" i="7" s="1"/>
  <c r="L693" i="7" s="1"/>
  <c r="N702" i="7"/>
  <c r="O187" i="7"/>
  <c r="P187" i="7"/>
  <c r="S580" i="6"/>
  <c r="R580" i="6"/>
  <c r="P308" i="9"/>
  <c r="N306" i="9"/>
  <c r="L182" i="29"/>
  <c r="M527" i="25"/>
  <c r="O527" i="25" s="1"/>
  <c r="L523" i="25"/>
  <c r="M523" i="25" s="1"/>
  <c r="O945" i="10"/>
  <c r="P945" i="10"/>
  <c r="O682" i="10"/>
  <c r="O398" i="10"/>
  <c r="N395" i="10"/>
  <c r="O630" i="9"/>
  <c r="P630" i="9"/>
  <c r="O935" i="8"/>
  <c r="P935" i="8"/>
  <c r="O585" i="8"/>
  <c r="P585" i="8"/>
  <c r="O810" i="7"/>
  <c r="P810" i="7"/>
  <c r="K648" i="7"/>
  <c r="K645" i="7" s="1"/>
  <c r="K643" i="7" s="1"/>
  <c r="K779" i="8"/>
  <c r="K773" i="8" s="1"/>
  <c r="O780" i="8"/>
  <c r="P345" i="7"/>
  <c r="O345" i="7"/>
  <c r="R651" i="6"/>
  <c r="Q650" i="6"/>
  <c r="S357" i="6"/>
  <c r="R357" i="6"/>
  <c r="O130" i="9"/>
  <c r="N129" i="9"/>
  <c r="O835" i="9"/>
  <c r="M323" i="29"/>
  <c r="O323" i="29" s="1"/>
  <c r="L322" i="29"/>
  <c r="N893" i="9"/>
  <c r="O893" i="9" s="1"/>
  <c r="S579" i="6"/>
  <c r="Q574" i="6"/>
  <c r="R539" i="6"/>
  <c r="V539" i="6"/>
  <c r="S450" i="6"/>
  <c r="V450" i="6"/>
  <c r="R450" i="6"/>
  <c r="R437" i="6"/>
  <c r="Q433" i="6"/>
  <c r="Q366" i="6"/>
  <c r="P498" i="10"/>
  <c r="N496" i="10"/>
  <c r="O498" i="10"/>
  <c r="N155" i="10"/>
  <c r="O156" i="10"/>
  <c r="O616" i="8"/>
  <c r="R388" i="16"/>
  <c r="Q388" i="16"/>
  <c r="P565" i="9"/>
  <c r="O565" i="9"/>
  <c r="P419" i="10"/>
  <c r="O419" i="10"/>
  <c r="M247" i="10"/>
  <c r="N248" i="10"/>
  <c r="O718" i="9"/>
  <c r="N715" i="9"/>
  <c r="O687" i="9"/>
  <c r="N684" i="9"/>
  <c r="O684" i="9" s="1"/>
  <c r="M325" i="9"/>
  <c r="N226" i="9"/>
  <c r="O226" i="9" s="1"/>
  <c r="M222" i="9"/>
  <c r="N222" i="9" s="1"/>
  <c r="P222" i="9" s="1"/>
  <c r="N733" i="7"/>
  <c r="P734" i="7"/>
  <c r="P296" i="8"/>
  <c r="O296" i="8"/>
  <c r="P156" i="9"/>
  <c r="N155" i="9"/>
  <c r="P684" i="8"/>
  <c r="O684" i="8"/>
  <c r="P240" i="7"/>
  <c r="S449" i="6"/>
  <c r="R449" i="6"/>
  <c r="V449" i="6"/>
  <c r="H120" i="6"/>
  <c r="K438" i="8"/>
  <c r="O189" i="25"/>
  <c r="M182" i="25"/>
  <c r="P32" i="7"/>
  <c r="O22" i="7"/>
  <c r="D192" i="6"/>
  <c r="N957" i="10"/>
  <c r="L757" i="10"/>
  <c r="L754" i="10" s="1"/>
  <c r="L752" i="10" s="1"/>
  <c r="P528" i="7"/>
  <c r="O528" i="7"/>
  <c r="O634" i="7"/>
  <c r="N633" i="7"/>
  <c r="N855" i="7"/>
  <c r="M849" i="7"/>
  <c r="L950" i="7"/>
  <c r="N951" i="7"/>
  <c r="O951" i="7" s="1"/>
  <c r="O85" i="8"/>
  <c r="N83" i="8"/>
  <c r="O83" i="8" s="1"/>
  <c r="P78" i="8"/>
  <c r="O78" i="8"/>
  <c r="P426" i="9"/>
  <c r="O426" i="9"/>
  <c r="K431" i="9"/>
  <c r="P345" i="8"/>
  <c r="O345" i="8"/>
  <c r="R312" i="6"/>
  <c r="P614" i="7"/>
  <c r="F25" i="1"/>
  <c r="G25" i="1" s="1"/>
  <c r="H567" i="6"/>
  <c r="H566" i="6" s="1"/>
  <c r="Q568" i="6"/>
  <c r="O68" i="8"/>
  <c r="N67" i="8"/>
  <c r="N851" i="9"/>
  <c r="O852" i="9"/>
  <c r="M882" i="7"/>
  <c r="N882" i="7" s="1"/>
  <c r="O882" i="7" s="1"/>
  <c r="N883" i="7"/>
  <c r="O883" i="7" s="1"/>
  <c r="L1007" i="8"/>
  <c r="N1008" i="8"/>
  <c r="O1008" i="8" s="1"/>
  <c r="M989" i="9"/>
  <c r="N990" i="9"/>
  <c r="O990" i="9" s="1"/>
  <c r="O370" i="9"/>
  <c r="O670" i="10"/>
  <c r="L129" i="29"/>
  <c r="M129" i="29" s="1"/>
  <c r="P129" i="29" s="1"/>
  <c r="N405" i="10"/>
  <c r="M403" i="10"/>
  <c r="P256" i="8"/>
  <c r="Y459" i="39"/>
  <c r="P417" i="8"/>
  <c r="P433" i="9"/>
  <c r="M669" i="10"/>
  <c r="M665" i="10" s="1"/>
  <c r="P649" i="9"/>
  <c r="J293" i="6"/>
  <c r="J292" i="6" s="1"/>
  <c r="O673" i="7"/>
  <c r="M809" i="29"/>
  <c r="O809" i="29" s="1"/>
  <c r="O614" i="7"/>
  <c r="N326" i="8"/>
  <c r="O326" i="8" s="1"/>
  <c r="P580" i="9"/>
  <c r="O620" i="9"/>
  <c r="P620" i="9"/>
  <c r="L256" i="9"/>
  <c r="N257" i="9"/>
  <c r="O257" i="9" s="1"/>
  <c r="O801" i="10"/>
  <c r="P801" i="10"/>
  <c r="O638" i="9"/>
  <c r="F91" i="6"/>
  <c r="R104" i="6"/>
  <c r="V104" i="6"/>
  <c r="K822" i="10"/>
  <c r="K820" i="10" s="1"/>
  <c r="P245" i="8"/>
  <c r="O245" i="8"/>
  <c r="O1046" i="8"/>
  <c r="M411" i="7"/>
  <c r="M409" i="7" s="1"/>
  <c r="M407" i="7" s="1"/>
  <c r="N129" i="8"/>
  <c r="S714" i="6"/>
  <c r="Q711" i="6"/>
  <c r="R714" i="6"/>
  <c r="R705" i="6"/>
  <c r="S705" i="6"/>
  <c r="Q702" i="6"/>
  <c r="Q700" i="6" s="1"/>
  <c r="P765" i="10"/>
  <c r="O765" i="10"/>
  <c r="P454" i="7"/>
  <c r="O454" i="7"/>
  <c r="H444" i="6"/>
  <c r="H442" i="6" s="1"/>
  <c r="H440" i="6" s="1"/>
  <c r="S531" i="6"/>
  <c r="V531" i="6"/>
  <c r="P360" i="9"/>
  <c r="N357" i="9"/>
  <c r="K666" i="6"/>
  <c r="S370" i="6"/>
  <c r="R370" i="6"/>
  <c r="R369" i="6" s="1"/>
  <c r="V320" i="6"/>
  <c r="R320" i="6"/>
  <c r="M734" i="8"/>
  <c r="M732" i="8" s="1"/>
  <c r="N732" i="8" s="1"/>
  <c r="N742" i="8"/>
  <c r="R572" i="6"/>
  <c r="O30" i="9"/>
  <c r="P30" i="9"/>
  <c r="P941" i="8"/>
  <c r="O941" i="8"/>
  <c r="R149" i="6"/>
  <c r="V149" i="6"/>
  <c r="P322" i="10"/>
  <c r="M174" i="8"/>
  <c r="K996" i="9"/>
  <c r="K994" i="9" s="1"/>
  <c r="K993" i="9" s="1"/>
  <c r="M143" i="10"/>
  <c r="L218" i="10"/>
  <c r="N218" i="10" s="1"/>
  <c r="O218" i="10" s="1"/>
  <c r="N219" i="10"/>
  <c r="O219" i="10" s="1"/>
  <c r="N549" i="7"/>
  <c r="O549" i="7" s="1"/>
  <c r="N279" i="8"/>
  <c r="N922" i="9"/>
  <c r="O257" i="8"/>
  <c r="L669" i="8"/>
  <c r="L665" i="8" s="1"/>
  <c r="L659" i="8" s="1"/>
  <c r="L658" i="8" s="1"/>
  <c r="L498" i="6"/>
  <c r="M792" i="9"/>
  <c r="O877" i="9"/>
  <c r="O947" i="8"/>
  <c r="L298" i="9"/>
  <c r="L290" i="9" s="1"/>
  <c r="L288" i="9" s="1"/>
  <c r="I529" i="6"/>
  <c r="F11" i="1"/>
  <c r="N79" i="7"/>
  <c r="O859" i="8"/>
  <c r="L154" i="25"/>
  <c r="M154" i="25" s="1"/>
  <c r="M303" i="6"/>
  <c r="Q150" i="6"/>
  <c r="Q195" i="6"/>
  <c r="P240" i="10"/>
  <c r="M66" i="10"/>
  <c r="L675" i="9"/>
  <c r="L673" i="9" s="1"/>
  <c r="M181" i="9"/>
  <c r="K533" i="10"/>
  <c r="K502" i="10" s="1"/>
  <c r="K500" i="10" s="1"/>
  <c r="Q398" i="27"/>
  <c r="S175" i="6"/>
  <c r="L284" i="25"/>
  <c r="P80" i="7"/>
  <c r="M350" i="8"/>
  <c r="S118" i="6"/>
  <c r="F10" i="1"/>
  <c r="G10" i="1" s="1"/>
  <c r="O185" i="10"/>
  <c r="O184" i="10" s="1"/>
  <c r="Q78" i="6"/>
  <c r="R78" i="6" s="1"/>
  <c r="P72" i="6"/>
  <c r="P71" i="6" s="1"/>
  <c r="K117" i="10"/>
  <c r="K110" i="10" s="1"/>
  <c r="K108" i="10" s="1"/>
  <c r="N178" i="8"/>
  <c r="N195" i="7"/>
  <c r="O195" i="7" s="1"/>
  <c r="N839" i="8"/>
  <c r="N387" i="5"/>
  <c r="O387" i="5" s="1"/>
  <c r="R175" i="6"/>
  <c r="G14" i="6"/>
  <c r="G13" i="6" s="1"/>
  <c r="F18" i="6"/>
  <c r="J18" i="6"/>
  <c r="I91" i="6"/>
  <c r="D152" i="6"/>
  <c r="D146" i="6" s="1"/>
  <c r="O244" i="6"/>
  <c r="O243" i="6" s="1"/>
  <c r="G355" i="6"/>
  <c r="G354" i="6" s="1"/>
  <c r="K983" i="9"/>
  <c r="K981" i="9" s="1"/>
  <c r="K980" i="9" s="1"/>
  <c r="N94" i="10"/>
  <c r="O94" i="10" s="1"/>
  <c r="L511" i="8"/>
  <c r="L506" i="8" s="1"/>
  <c r="K942" i="9"/>
  <c r="K940" i="9" s="1"/>
  <c r="K939" i="9" s="1"/>
  <c r="N78" i="10"/>
  <c r="K222" i="10"/>
  <c r="K216" i="10" s="1"/>
  <c r="K214" i="10" s="1"/>
  <c r="K1001" i="10"/>
  <c r="K999" i="10" s="1"/>
  <c r="K998" i="10" s="1"/>
  <c r="O359" i="29"/>
  <c r="O358" i="29" s="1"/>
  <c r="O27" i="8"/>
  <c r="N621" i="9"/>
  <c r="N613" i="7"/>
  <c r="N239" i="10"/>
  <c r="L692" i="25"/>
  <c r="M692" i="25" s="1"/>
  <c r="D566" i="6"/>
  <c r="N251" i="7"/>
  <c r="L182" i="25"/>
  <c r="P624" i="9"/>
  <c r="O614" i="9"/>
  <c r="L194" i="10"/>
  <c r="M82" i="8"/>
  <c r="M77" i="8" s="1"/>
  <c r="M75" i="8" s="1"/>
  <c r="N1002" i="8"/>
  <c r="O1002" i="8" s="1"/>
  <c r="P837" i="8"/>
  <c r="O628" i="9"/>
  <c r="O344" i="9"/>
  <c r="R456" i="6"/>
  <c r="L456" i="25"/>
  <c r="F5" i="1"/>
  <c r="G5" i="1" s="1"/>
  <c r="R389" i="5"/>
  <c r="P196" i="7"/>
  <c r="K632" i="7"/>
  <c r="K629" i="7" s="1"/>
  <c r="K627" i="7" s="1"/>
  <c r="N64" i="6"/>
  <c r="N60" i="6" s="1"/>
  <c r="Q32" i="6"/>
  <c r="R32" i="6" s="1"/>
  <c r="F146" i="6"/>
  <c r="O569" i="9"/>
  <c r="N834" i="8"/>
  <c r="O834" i="8" s="1"/>
  <c r="P572" i="7"/>
  <c r="Q113" i="6"/>
  <c r="L892" i="9"/>
  <c r="P742" i="9"/>
  <c r="Q190" i="6"/>
  <c r="K194" i="8"/>
  <c r="O889" i="8"/>
  <c r="P944" i="8"/>
  <c r="F38" i="6"/>
  <c r="P46" i="10"/>
  <c r="M369" i="9"/>
  <c r="N369" i="9" s="1"/>
  <c r="L421" i="25"/>
  <c r="E14" i="6"/>
  <c r="P672" i="7"/>
  <c r="P954" i="9"/>
  <c r="N155" i="7"/>
  <c r="O155" i="7" s="1"/>
  <c r="O911" i="8"/>
  <c r="P258" i="10"/>
  <c r="Q401" i="27"/>
  <c r="O401" i="23"/>
  <c r="V401" i="23" s="1"/>
  <c r="L457" i="29"/>
  <c r="M457" i="29" s="1"/>
  <c r="M44" i="8"/>
  <c r="M790" i="25"/>
  <c r="O790" i="25" s="1"/>
  <c r="V280" i="6"/>
  <c r="P475" i="7"/>
  <c r="L850" i="9"/>
  <c r="L840" i="9" s="1"/>
  <c r="O644" i="6"/>
  <c r="S186" i="6"/>
  <c r="N255" i="6"/>
  <c r="N253" i="6" s="1"/>
  <c r="L49" i="6"/>
  <c r="Q61" i="6"/>
  <c r="I60" i="6"/>
  <c r="Q92" i="6"/>
  <c r="R92" i="6" s="1"/>
  <c r="Q136" i="6"/>
  <c r="R136" i="6" s="1"/>
  <c r="M146" i="6"/>
  <c r="O170" i="6"/>
  <c r="O169" i="6" s="1"/>
  <c r="J181" i="6"/>
  <c r="J177" i="6" s="1"/>
  <c r="P211" i="6"/>
  <c r="P210" i="6" s="1"/>
  <c r="L244" i="6"/>
  <c r="L243" i="6" s="1"/>
  <c r="D303" i="6"/>
  <c r="O303" i="6"/>
  <c r="P355" i="6"/>
  <c r="P354" i="6" s="1"/>
  <c r="J411" i="6"/>
  <c r="J354" i="6" s="1"/>
  <c r="G421" i="6"/>
  <c r="G420" i="6" s="1"/>
  <c r="K644" i="6"/>
  <c r="N822" i="7"/>
  <c r="K110" i="8"/>
  <c r="K108" i="8" s="1"/>
  <c r="N642" i="8"/>
  <c r="O642" i="8" s="1"/>
  <c r="K147" i="9"/>
  <c r="K141" i="9" s="1"/>
  <c r="K139" i="9" s="1"/>
  <c r="N529" i="9"/>
  <c r="N528" i="9" s="1"/>
  <c r="M915" i="9"/>
  <c r="L129" i="10"/>
  <c r="L127" i="10" s="1"/>
  <c r="L125" i="10" s="1"/>
  <c r="N209" i="10"/>
  <c r="K243" i="8"/>
  <c r="N238" i="8"/>
  <c r="O649" i="7"/>
  <c r="N972" i="9"/>
  <c r="O972" i="9" s="1"/>
  <c r="M928" i="8"/>
  <c r="L325" i="9"/>
  <c r="L312" i="9" s="1"/>
  <c r="L310" i="9" s="1"/>
  <c r="K669" i="8"/>
  <c r="K665" i="8" s="1"/>
  <c r="K659" i="8" s="1"/>
  <c r="K658" i="8" s="1"/>
  <c r="P612" i="6"/>
  <c r="P610" i="6" s="1"/>
  <c r="G612" i="6"/>
  <c r="G610" i="6" s="1"/>
  <c r="P529" i="6"/>
  <c r="M147" i="8"/>
  <c r="N530" i="7"/>
  <c r="O530" i="7" s="1"/>
  <c r="O552" i="8"/>
  <c r="N516" i="7"/>
  <c r="F567" i="6"/>
  <c r="Q389" i="5"/>
  <c r="F442" i="6"/>
  <c r="F440" i="6" s="1"/>
  <c r="L550" i="6"/>
  <c r="O348" i="9"/>
  <c r="K909" i="8"/>
  <c r="K899" i="8" s="1"/>
  <c r="G4" i="1"/>
  <c r="F103" i="6"/>
  <c r="F102" i="6" s="1"/>
  <c r="M278" i="10"/>
  <c r="M275" i="10" s="1"/>
  <c r="M273" i="10" s="1"/>
  <c r="N735" i="9"/>
  <c r="N114" i="7"/>
  <c r="N625" i="8"/>
  <c r="P442" i="6"/>
  <c r="P440" i="6" s="1"/>
  <c r="O831" i="10"/>
  <c r="N184" i="10"/>
  <c r="P184" i="10" s="1"/>
  <c r="Q403" i="27"/>
  <c r="L759" i="25"/>
  <c r="S280" i="6"/>
  <c r="L661" i="7"/>
  <c r="L659" i="7" s="1"/>
  <c r="O322" i="10"/>
  <c r="R186" i="6"/>
  <c r="P230" i="7"/>
  <c r="I49" i="6"/>
  <c r="E83" i="6"/>
  <c r="E112" i="6"/>
  <c r="E111" i="6" s="1"/>
  <c r="P177" i="6"/>
  <c r="G200" i="6"/>
  <c r="H218" i="6"/>
  <c r="I644" i="6"/>
  <c r="K117" i="7"/>
  <c r="O212" i="7"/>
  <c r="N374" i="7"/>
  <c r="P374" i="7" s="1"/>
  <c r="K826" i="7"/>
  <c r="K365" i="8"/>
  <c r="K363" i="8" s="1"/>
  <c r="K1045" i="8"/>
  <c r="K1043" i="8" s="1"/>
  <c r="K1042" i="8" s="1"/>
  <c r="K203" i="9"/>
  <c r="K192" i="9" s="1"/>
  <c r="K190" i="9" s="1"/>
  <c r="K82" i="10"/>
  <c r="K77" i="10" s="1"/>
  <c r="K75" i="10" s="1"/>
  <c r="M175" i="29"/>
  <c r="M169" i="29" s="1"/>
  <c r="L369" i="7"/>
  <c r="L367" i="7" s="1"/>
  <c r="O1061" i="10"/>
  <c r="K60" i="6"/>
  <c r="D211" i="6"/>
  <c r="D210" i="6" s="1"/>
  <c r="L211" i="6"/>
  <c r="H229" i="6"/>
  <c r="H228" i="6" s="1"/>
  <c r="K311" i="6"/>
  <c r="L303" i="6"/>
  <c r="F512" i="6"/>
  <c r="F511" i="6" s="1"/>
  <c r="K243" i="7"/>
  <c r="M436" i="7"/>
  <c r="M430" i="7" s="1"/>
  <c r="M428" i="7" s="1"/>
  <c r="N371" i="8"/>
  <c r="O371" i="8" s="1"/>
  <c r="K1001" i="8"/>
  <c r="K999" i="8" s="1"/>
  <c r="K998" i="8" s="1"/>
  <c r="L203" i="9"/>
  <c r="L192" i="9" s="1"/>
  <c r="L190" i="9" s="1"/>
  <c r="K216" i="9"/>
  <c r="K214" i="9" s="1"/>
  <c r="L263" i="9"/>
  <c r="L262" i="9" s="1"/>
  <c r="L260" i="9" s="1"/>
  <c r="M826" i="9"/>
  <c r="M820" i="9" s="1"/>
  <c r="M818" i="9" s="1"/>
  <c r="L826" i="9"/>
  <c r="L820" i="9" s="1"/>
  <c r="N244" i="10"/>
  <c r="K1030" i="10"/>
  <c r="K1028" i="10" s="1"/>
  <c r="K1027" i="10" s="1"/>
  <c r="M752" i="7"/>
  <c r="N752" i="7" s="1"/>
  <c r="N754" i="7"/>
  <c r="N788" i="8"/>
  <c r="M786" i="8"/>
  <c r="I442" i="6"/>
  <c r="I440" i="6" s="1"/>
  <c r="P541" i="8"/>
  <c r="O541" i="8"/>
  <c r="L273" i="10"/>
  <c r="L350" i="7"/>
  <c r="N356" i="7"/>
  <c r="O61" i="7"/>
  <c r="P61" i="7"/>
  <c r="N21" i="7"/>
  <c r="M20" i="7"/>
  <c r="Q212" i="6"/>
  <c r="Q364" i="6"/>
  <c r="N94" i="7"/>
  <c r="K147" i="7"/>
  <c r="K141" i="7" s="1"/>
  <c r="K139" i="7" s="1"/>
  <c r="N204" i="7"/>
  <c r="L260" i="7"/>
  <c r="N260" i="7" s="1"/>
  <c r="N262" i="7"/>
  <c r="N305" i="7"/>
  <c r="P305" i="7" s="1"/>
  <c r="M298" i="7"/>
  <c r="E16" i="1"/>
  <c r="K318" i="7"/>
  <c r="K314" i="7" s="1"/>
  <c r="K312" i="7" s="1"/>
  <c r="K310" i="7" s="1"/>
  <c r="P832" i="7"/>
  <c r="K236" i="10"/>
  <c r="K234" i="10" s="1"/>
  <c r="K232" i="10" s="1"/>
  <c r="P238" i="10"/>
  <c r="O620" i="7"/>
  <c r="N618" i="7"/>
  <c r="O618" i="7" s="1"/>
  <c r="K94" i="8"/>
  <c r="P262" i="8"/>
  <c r="O262" i="8"/>
  <c r="O380" i="8"/>
  <c r="N378" i="8"/>
  <c r="O378" i="8" s="1"/>
  <c r="N526" i="7"/>
  <c r="O602" i="8"/>
  <c r="P602" i="8"/>
  <c r="O1016" i="8"/>
  <c r="L88" i="9"/>
  <c r="L82" i="9" s="1"/>
  <c r="L77" i="9" s="1"/>
  <c r="N89" i="9"/>
  <c r="O89" i="9" s="1"/>
  <c r="N305" i="9"/>
  <c r="M298" i="9"/>
  <c r="M290" i="9" s="1"/>
  <c r="M288" i="9" s="1"/>
  <c r="K478" i="9"/>
  <c r="K487" i="9"/>
  <c r="P488" i="9"/>
  <c r="O488" i="9"/>
  <c r="L814" i="9"/>
  <c r="N815" i="9"/>
  <c r="O815" i="9" s="1"/>
  <c r="N943" i="9"/>
  <c r="O943" i="9" s="1"/>
  <c r="O944" i="9"/>
  <c r="N49" i="10"/>
  <c r="O49" i="10" s="1"/>
  <c r="M48" i="10"/>
  <c r="L117" i="10"/>
  <c r="L110" i="10" s="1"/>
  <c r="N123" i="10"/>
  <c r="O123" i="10" s="1"/>
  <c r="O195" i="10"/>
  <c r="P195" i="10"/>
  <c r="K203" i="10"/>
  <c r="S387" i="10"/>
  <c r="O387" i="10"/>
  <c r="P387" i="10"/>
  <c r="O760" i="10"/>
  <c r="M839" i="10"/>
  <c r="N840" i="10"/>
  <c r="O124" i="25"/>
  <c r="P459" i="10"/>
  <c r="K458" i="10"/>
  <c r="O459" i="10"/>
  <c r="L390" i="7"/>
  <c r="N127" i="7"/>
  <c r="O127" i="7" s="1"/>
  <c r="M125" i="7"/>
  <c r="N125" i="7" s="1"/>
  <c r="O125" i="7" s="1"/>
  <c r="O49" i="6"/>
  <c r="I192" i="6"/>
  <c r="M259" i="6"/>
  <c r="M257" i="6" s="1"/>
  <c r="N123" i="7"/>
  <c r="O123" i="7" s="1"/>
  <c r="L117" i="7"/>
  <c r="L110" i="7" s="1"/>
  <c r="L108" i="7" s="1"/>
  <c r="N151" i="7"/>
  <c r="O151" i="7" s="1"/>
  <c r="O152" i="7"/>
  <c r="O266" i="7"/>
  <c r="N264" i="7"/>
  <c r="M294" i="7"/>
  <c r="N295" i="7"/>
  <c r="N655" i="7"/>
  <c r="P656" i="7"/>
  <c r="O656" i="7"/>
  <c r="K919" i="7"/>
  <c r="K917" i="7" s="1"/>
  <c r="K916" i="7" s="1"/>
  <c r="K61" i="8"/>
  <c r="O62" i="8"/>
  <c r="P62" i="8"/>
  <c r="L88" i="8"/>
  <c r="N89" i="8"/>
  <c r="O89" i="8" s="1"/>
  <c r="K218" i="8"/>
  <c r="O219" i="8"/>
  <c r="N223" i="8"/>
  <c r="O223" i="8" s="1"/>
  <c r="M222" i="8"/>
  <c r="K343" i="8"/>
  <c r="P371" i="8"/>
  <c r="O1023" i="8"/>
  <c r="N1022" i="8"/>
  <c r="O1022" i="8" s="1"/>
  <c r="M143" i="9"/>
  <c r="M141" i="9" s="1"/>
  <c r="N144" i="9"/>
  <c r="L141" i="9"/>
  <c r="L139" i="9" s="1"/>
  <c r="M194" i="9"/>
  <c r="N195" i="9"/>
  <c r="M247" i="9"/>
  <c r="M243" i="9" s="1"/>
  <c r="N248" i="9"/>
  <c r="K594" i="9"/>
  <c r="K588" i="9" s="1"/>
  <c r="K586" i="9" s="1"/>
  <c r="N936" i="9"/>
  <c r="O936" i="9" s="1"/>
  <c r="M935" i="9"/>
  <c r="N118" i="10"/>
  <c r="O118" i="10" s="1"/>
  <c r="O119" i="10"/>
  <c r="O244" i="10"/>
  <c r="P244" i="10"/>
  <c r="O112" i="29"/>
  <c r="O106" i="29" s="1"/>
  <c r="M106" i="29"/>
  <c r="M104" i="29" s="1"/>
  <c r="P984" i="8"/>
  <c r="O984" i="8"/>
  <c r="N392" i="8"/>
  <c r="M390" i="8"/>
  <c r="N390" i="8" s="1"/>
  <c r="O189" i="29"/>
  <c r="M182" i="29"/>
  <c r="M273" i="9"/>
  <c r="N273" i="9" s="1"/>
  <c r="N275" i="9"/>
  <c r="L350" i="9"/>
  <c r="N356" i="9"/>
  <c r="O356" i="9" s="1"/>
  <c r="M125" i="8"/>
  <c r="N125" i="8" s="1"/>
  <c r="N127" i="8"/>
  <c r="M98" i="7"/>
  <c r="N104" i="7"/>
  <c r="O104" i="7" s="1"/>
  <c r="Q50" i="6"/>
  <c r="Q215" i="6"/>
  <c r="J211" i="6"/>
  <c r="J210" i="6" s="1"/>
  <c r="Q351" i="6"/>
  <c r="K88" i="7"/>
  <c r="K94" i="7"/>
  <c r="K93" i="7" s="1"/>
  <c r="K91" i="7" s="1"/>
  <c r="E17" i="1"/>
  <c r="K343" i="7"/>
  <c r="P344" i="7"/>
  <c r="L957" i="9"/>
  <c r="N965" i="9"/>
  <c r="P94" i="10"/>
  <c r="L537" i="7"/>
  <c r="N538" i="7"/>
  <c r="N828" i="7"/>
  <c r="L827" i="7"/>
  <c r="L826" i="7" s="1"/>
  <c r="K147" i="8"/>
  <c r="P155" i="8"/>
  <c r="O155" i="8"/>
  <c r="K649" i="8"/>
  <c r="P650" i="8"/>
  <c r="O68" i="9"/>
  <c r="N78" i="9"/>
  <c r="K82" i="9"/>
  <c r="K77" i="9" s="1"/>
  <c r="K75" i="9" s="1"/>
  <c r="O251" i="9"/>
  <c r="K965" i="9"/>
  <c r="K957" i="9" s="1"/>
  <c r="K952" i="9" s="1"/>
  <c r="K951" i="9" s="1"/>
  <c r="O966" i="9"/>
  <c r="K170" i="10"/>
  <c r="K161" i="10" s="1"/>
  <c r="O171" i="10"/>
  <c r="K305" i="10"/>
  <c r="K298" i="10" s="1"/>
  <c r="K290" i="10" s="1"/>
  <c r="K288" i="10" s="1"/>
  <c r="K343" i="10"/>
  <c r="K342" i="10" s="1"/>
  <c r="K340" i="10" s="1"/>
  <c r="K338" i="10" s="1"/>
  <c r="P347" i="10"/>
  <c r="O347" i="10"/>
  <c r="L649" i="10"/>
  <c r="N650" i="10"/>
  <c r="K873" i="10"/>
  <c r="O957" i="10"/>
  <c r="K980" i="10"/>
  <c r="L1036" i="10"/>
  <c r="N1037" i="10"/>
  <c r="O1037" i="10" s="1"/>
  <c r="O100" i="29"/>
  <c r="M93" i="29"/>
  <c r="M91" i="29" s="1"/>
  <c r="L157" i="8"/>
  <c r="L919" i="7"/>
  <c r="L917" i="7" s="1"/>
  <c r="L916" i="7" s="1"/>
  <c r="N925" i="7"/>
  <c r="M916" i="7"/>
  <c r="L566" i="6"/>
  <c r="L648" i="7"/>
  <c r="L645" i="7" s="1"/>
  <c r="N654" i="7"/>
  <c r="P654" i="7" s="1"/>
  <c r="L768" i="8"/>
  <c r="N768" i="8" s="1"/>
  <c r="N770" i="8"/>
  <c r="K17" i="9"/>
  <c r="N104" i="8"/>
  <c r="O104" i="8" s="1"/>
  <c r="M98" i="8"/>
  <c r="K784" i="7"/>
  <c r="O792" i="7"/>
  <c r="F16" i="1"/>
  <c r="O323" i="7"/>
  <c r="Q28" i="6"/>
  <c r="F27" i="6"/>
  <c r="S92" i="6"/>
  <c r="Q197" i="6"/>
  <c r="G192" i="6"/>
  <c r="L355" i="6"/>
  <c r="J520" i="6"/>
  <c r="O590" i="6"/>
  <c r="N144" i="7"/>
  <c r="L143" i="7"/>
  <c r="N165" i="7"/>
  <c r="O165" i="7" s="1"/>
  <c r="N219" i="7"/>
  <c r="O219" i="7" s="1"/>
  <c r="L218" i="7"/>
  <c r="N218" i="7" s="1"/>
  <c r="O218" i="7" s="1"/>
  <c r="K269" i="7"/>
  <c r="L436" i="7"/>
  <c r="L430" i="7" s="1"/>
  <c r="L428" i="7" s="1"/>
  <c r="N437" i="7"/>
  <c r="M808" i="9"/>
  <c r="K82" i="8"/>
  <c r="K77" i="8" s="1"/>
  <c r="K75" i="8" s="1"/>
  <c r="K143" i="8"/>
  <c r="P144" i="8"/>
  <c r="O322" i="8"/>
  <c r="P322" i="8"/>
  <c r="K318" i="8"/>
  <c r="O387" i="8"/>
  <c r="P387" i="8"/>
  <c r="O605" i="8"/>
  <c r="K579" i="8"/>
  <c r="K578" i="8" s="1"/>
  <c r="P605" i="8"/>
  <c r="O759" i="8"/>
  <c r="N758" i="8"/>
  <c r="O914" i="8"/>
  <c r="N912" i="8"/>
  <c r="O120" i="9"/>
  <c r="N118" i="9"/>
  <c r="O118" i="9" s="1"/>
  <c r="L117" i="9"/>
  <c r="K256" i="9"/>
  <c r="K243" i="9" s="1"/>
  <c r="K234" i="9" s="1"/>
  <c r="K232" i="9" s="1"/>
  <c r="P257" i="9"/>
  <c r="K263" i="9"/>
  <c r="K262" i="9" s="1"/>
  <c r="K260" i="9" s="1"/>
  <c r="O280" i="9"/>
  <c r="N279" i="9"/>
  <c r="K602" i="9"/>
  <c r="L44" i="10"/>
  <c r="N45" i="10"/>
  <c r="N223" i="10"/>
  <c r="O223" i="10" s="1"/>
  <c r="L222" i="10"/>
  <c r="K284" i="10"/>
  <c r="K278" i="10" s="1"/>
  <c r="N305" i="10"/>
  <c r="L298" i="10"/>
  <c r="L290" i="10" s="1"/>
  <c r="K833" i="10"/>
  <c r="O891" i="10"/>
  <c r="L894" i="10"/>
  <c r="N895" i="10"/>
  <c r="O122" i="29"/>
  <c r="O118" i="29" s="1"/>
  <c r="M118" i="29"/>
  <c r="M116" i="29" s="1"/>
  <c r="O238" i="10"/>
  <c r="O118" i="8"/>
  <c r="G60" i="6"/>
  <c r="O1052" i="8"/>
  <c r="N303" i="6"/>
  <c r="N779" i="10"/>
  <c r="O1027" i="8"/>
  <c r="K727" i="9"/>
  <c r="K725" i="9" s="1"/>
  <c r="O917" i="8"/>
  <c r="O769" i="7"/>
  <c r="K355" i="6"/>
  <c r="K354" i="6" s="1"/>
  <c r="N212" i="9"/>
  <c r="M826" i="7"/>
  <c r="N898" i="9"/>
  <c r="K325" i="10"/>
  <c r="O650" i="8"/>
  <c r="Q178" i="6"/>
  <c r="H170" i="6"/>
  <c r="I181" i="6"/>
  <c r="I177" i="6" s="1"/>
  <c r="E200" i="6"/>
  <c r="E188" i="6" s="1"/>
  <c r="M200" i="6"/>
  <c r="M188" i="6" s="1"/>
  <c r="N244" i="9"/>
  <c r="K874" i="7"/>
  <c r="K873" i="7" s="1"/>
  <c r="O170" i="9"/>
  <c r="O1051" i="8"/>
  <c r="N57" i="9"/>
  <c r="M759" i="9"/>
  <c r="L606" i="9"/>
  <c r="L600" i="9" s="1"/>
  <c r="L71" i="6"/>
  <c r="P1016" i="8"/>
  <c r="L612" i="6"/>
  <c r="L610" i="6" s="1"/>
  <c r="N663" i="7"/>
  <c r="N27" i="6"/>
  <c r="M644" i="6"/>
  <c r="M394" i="10"/>
  <c r="M392" i="10" s="1"/>
  <c r="N326" i="9"/>
  <c r="O326" i="9" s="1"/>
  <c r="N804" i="7"/>
  <c r="D95" i="6"/>
  <c r="O112" i="6"/>
  <c r="O111" i="6" s="1"/>
  <c r="K148" i="6"/>
  <c r="K147" i="6" s="1"/>
  <c r="K146" i="6" s="1"/>
  <c r="N181" i="6"/>
  <c r="N177" i="6" s="1"/>
  <c r="N218" i="6"/>
  <c r="E229" i="6"/>
  <c r="G229" i="6"/>
  <c r="N229" i="6"/>
  <c r="N228" i="6" s="1"/>
  <c r="N227" i="6" s="1"/>
  <c r="E345" i="6"/>
  <c r="Q415" i="6"/>
  <c r="R527" i="6"/>
  <c r="K559" i="6"/>
  <c r="K549" i="6" s="1"/>
  <c r="O559" i="6"/>
  <c r="L601" i="6"/>
  <c r="L599" i="6" s="1"/>
  <c r="P601" i="6"/>
  <c r="P599" i="6" s="1"/>
  <c r="N374" i="10"/>
  <c r="N588" i="7"/>
  <c r="O334" i="8"/>
  <c r="L609" i="7"/>
  <c r="L607" i="7" s="1"/>
  <c r="L528" i="9"/>
  <c r="L522" i="9" s="1"/>
  <c r="E135" i="6"/>
  <c r="D120" i="6"/>
  <c r="K365" i="10"/>
  <c r="K363" i="10" s="1"/>
  <c r="J255" i="6"/>
  <c r="J253" i="6" s="1"/>
  <c r="G91" i="6"/>
  <c r="L228" i="6"/>
  <c r="L714" i="9"/>
  <c r="L711" i="9" s="1"/>
  <c r="L709" i="9" s="1"/>
  <c r="K124" i="6"/>
  <c r="I148" i="6"/>
  <c r="M162" i="6"/>
  <c r="M161" i="6" s="1"/>
  <c r="L200" i="6"/>
  <c r="L188" i="6" s="1"/>
  <c r="L218" i="6"/>
  <c r="G218" i="6"/>
  <c r="G210" i="6" s="1"/>
  <c r="H347" i="6"/>
  <c r="F401" i="6"/>
  <c r="L433" i="6"/>
  <c r="L429" i="6" s="1"/>
  <c r="R483" i="6"/>
  <c r="Q505" i="6"/>
  <c r="R505" i="6" s="1"/>
  <c r="M512" i="6"/>
  <c r="M511" i="6" s="1"/>
  <c r="K521" i="6"/>
  <c r="K520" i="6" s="1"/>
  <c r="N551" i="6"/>
  <c r="E637" i="6"/>
  <c r="L1016" i="10"/>
  <c r="L1011" i="10" s="1"/>
  <c r="L1010" i="10" s="1"/>
  <c r="M521" i="7"/>
  <c r="M519" i="7" s="1"/>
  <c r="N329" i="10"/>
  <c r="O151" i="8"/>
  <c r="O1008" i="10"/>
  <c r="M135" i="6"/>
  <c r="N71" i="6"/>
  <c r="K49" i="6"/>
  <c r="L203" i="7"/>
  <c r="L350" i="10"/>
  <c r="M263" i="10"/>
  <c r="M262" i="10" s="1"/>
  <c r="M260" i="10" s="1"/>
  <c r="N260" i="10" s="1"/>
  <c r="M892" i="9"/>
  <c r="K675" i="9"/>
  <c r="K673" i="9" s="1"/>
  <c r="L909" i="8"/>
  <c r="L899" i="8" s="1"/>
  <c r="L898" i="8" s="1"/>
  <c r="N898" i="8" s="1"/>
  <c r="K244" i="6"/>
  <c r="D401" i="6"/>
  <c r="D355" i="6" s="1"/>
  <c r="E445" i="6"/>
  <c r="E444" i="6" s="1"/>
  <c r="E442" i="6" s="1"/>
  <c r="E440" i="6" s="1"/>
  <c r="S30" i="11"/>
  <c r="P30" i="11"/>
  <c r="N22" i="18"/>
  <c r="N21" i="18" s="1"/>
  <c r="N24" i="28"/>
  <c r="N23" i="28" s="1"/>
  <c r="N22" i="20"/>
  <c r="N21" i="20" s="1"/>
  <c r="N22" i="11"/>
  <c r="N21" i="11" s="1"/>
  <c r="T432" i="5"/>
  <c r="O431" i="5"/>
  <c r="N683" i="9"/>
  <c r="M675" i="9"/>
  <c r="M546" i="7"/>
  <c r="O822" i="9"/>
  <c r="P822" i="9"/>
  <c r="R479" i="23"/>
  <c r="Q479" i="23"/>
  <c r="L481" i="8"/>
  <c r="N483" i="8"/>
  <c r="K457" i="8"/>
  <c r="O458" i="8"/>
  <c r="S44" i="31"/>
  <c r="P44" i="31"/>
  <c r="N1073" i="10"/>
  <c r="L1067" i="10"/>
  <c r="L1065" i="10" s="1"/>
  <c r="Q109" i="39"/>
  <c r="R109" i="39"/>
  <c r="O561" i="19"/>
  <c r="V562" i="19"/>
  <c r="Q366" i="30"/>
  <c r="R366" i="30"/>
  <c r="P286" i="7"/>
  <c r="N325" i="8"/>
  <c r="AG1032" i="39"/>
  <c r="L930" i="7"/>
  <c r="N932" i="7"/>
  <c r="N917" i="10"/>
  <c r="L355" i="3"/>
  <c r="L354" i="3" s="1"/>
  <c r="K257" i="6"/>
  <c r="N236" i="10"/>
  <c r="N470" i="10"/>
  <c r="J425" i="19"/>
  <c r="J426" i="19"/>
  <c r="N876" i="7"/>
  <c r="N1001" i="10"/>
  <c r="M999" i="10"/>
  <c r="I8" i="12"/>
  <c r="I11" i="12" s="1"/>
  <c r="I12" i="12" s="1"/>
  <c r="M570" i="5"/>
  <c r="M11" i="5"/>
  <c r="M9" i="5" s="1"/>
  <c r="I8" i="13"/>
  <c r="I11" i="13" s="1"/>
  <c r="I12" i="13" s="1"/>
  <c r="K17" i="10"/>
  <c r="M727" i="9"/>
  <c r="N104" i="9"/>
  <c r="O104" i="9" s="1"/>
  <c r="M98" i="9"/>
  <c r="G169" i="3"/>
  <c r="Q170" i="3"/>
  <c r="R703" i="3"/>
  <c r="S703" i="3"/>
  <c r="AG12" i="39"/>
  <c r="N22" i="24"/>
  <c r="N21" i="24" s="1"/>
  <c r="O443" i="29"/>
  <c r="P443" i="29" s="1"/>
  <c r="AF16" i="39"/>
  <c r="AG16" i="39" s="1"/>
  <c r="T16" i="39"/>
  <c r="W16" i="39"/>
  <c r="S14" i="39"/>
  <c r="O467" i="9"/>
  <c r="K465" i="9"/>
  <c r="O32" i="9"/>
  <c r="M1042" i="8"/>
  <c r="N1042" i="8" s="1"/>
  <c r="N1043" i="8"/>
  <c r="O629" i="29"/>
  <c r="P629" i="29" s="1"/>
  <c r="J628" i="29"/>
  <c r="K292" i="9"/>
  <c r="R637" i="6"/>
  <c r="D577" i="3"/>
  <c r="S578" i="3"/>
  <c r="R578" i="3"/>
  <c r="Q31" i="24"/>
  <c r="S31" i="24"/>
  <c r="T31" i="24" s="1"/>
  <c r="I34" i="12"/>
  <c r="P56" i="23"/>
  <c r="R95" i="23"/>
  <c r="Q95" i="23"/>
  <c r="AB302" i="39"/>
  <c r="AA302" i="39"/>
  <c r="D66" i="3"/>
  <c r="S66" i="3" s="1"/>
  <c r="S67" i="3"/>
  <c r="R67" i="3"/>
  <c r="V56" i="19"/>
  <c r="O55" i="19"/>
  <c r="J130" i="4"/>
  <c r="M51" i="31"/>
  <c r="M51" i="24"/>
  <c r="Q366" i="23"/>
  <c r="M53" i="28"/>
  <c r="T49" i="18"/>
  <c r="M926" i="8"/>
  <c r="O668" i="29"/>
  <c r="P668" i="29" s="1"/>
  <c r="J667" i="29"/>
  <c r="O667" i="29" s="1"/>
  <c r="P667" i="29" s="1"/>
  <c r="V444" i="27"/>
  <c r="O443" i="27"/>
  <c r="O91" i="25"/>
  <c r="P93" i="25"/>
  <c r="P91" i="25" s="1"/>
  <c r="P251" i="7"/>
  <c r="O251" i="7"/>
  <c r="T57" i="5"/>
  <c r="O56" i="5"/>
  <c r="Q30" i="11"/>
  <c r="P198" i="9"/>
  <c r="O198" i="9"/>
  <c r="O47" i="39"/>
  <c r="N45" i="39"/>
  <c r="N763" i="9"/>
  <c r="P764" i="9"/>
  <c r="K350" i="9"/>
  <c r="V55" i="16"/>
  <c r="O43" i="16"/>
  <c r="O938" i="7"/>
  <c r="K932" i="7"/>
  <c r="K930" i="7" s="1"/>
  <c r="K929" i="7" s="1"/>
  <c r="K818" i="8"/>
  <c r="K816" i="8" s="1"/>
  <c r="I30" i="12"/>
  <c r="S51" i="18"/>
  <c r="T51" i="18" s="1"/>
  <c r="X863" i="39"/>
  <c r="Y864" i="39"/>
  <c r="AA864" i="39"/>
  <c r="Q453" i="27"/>
  <c r="R453" i="27"/>
  <c r="O560" i="9"/>
  <c r="P560" i="9"/>
  <c r="Q93" i="39"/>
  <c r="O93" i="39"/>
  <c r="R93" i="39"/>
  <c r="V576" i="30"/>
  <c r="O575" i="30"/>
  <c r="P329" i="39"/>
  <c r="Q451" i="30"/>
  <c r="R451" i="30"/>
  <c r="R672" i="3"/>
  <c r="S672" i="3"/>
  <c r="AF861" i="39"/>
  <c r="P859" i="39"/>
  <c r="W861" i="39"/>
  <c r="V861" i="39"/>
  <c r="Q107" i="39"/>
  <c r="O107" i="39"/>
  <c r="R107" i="39"/>
  <c r="P55" i="30"/>
  <c r="R56" i="30"/>
  <c r="N714" i="39"/>
  <c r="O716" i="39"/>
  <c r="Q716" i="39"/>
  <c r="K481" i="10"/>
  <c r="R66" i="3"/>
  <c r="M609" i="7"/>
  <c r="N611" i="7"/>
  <c r="M57" i="7"/>
  <c r="N57" i="7" s="1"/>
  <c r="M593" i="25"/>
  <c r="L566" i="25"/>
  <c r="O689" i="7"/>
  <c r="P689" i="7"/>
  <c r="K849" i="10"/>
  <c r="L129" i="25"/>
  <c r="M129" i="25" s="1"/>
  <c r="P129" i="25" s="1"/>
  <c r="M130" i="25"/>
  <c r="P130" i="25" s="1"/>
  <c r="S25" i="31"/>
  <c r="P25" i="31"/>
  <c r="S702" i="6"/>
  <c r="S44" i="24"/>
  <c r="P44" i="24"/>
  <c r="J8" i="13"/>
  <c r="J8" i="12"/>
  <c r="V360" i="27"/>
  <c r="L67" i="4"/>
  <c r="M68" i="4"/>
  <c r="P851" i="9"/>
  <c r="AF122" i="39"/>
  <c r="AG122" i="39" s="1"/>
  <c r="O685" i="39"/>
  <c r="N633" i="39"/>
  <c r="K470" i="8"/>
  <c r="P471" i="8"/>
  <c r="P199" i="9"/>
  <c r="O199" i="9"/>
  <c r="O239" i="9"/>
  <c r="R209" i="19"/>
  <c r="Q209" i="19"/>
  <c r="P569" i="10"/>
  <c r="O569" i="10"/>
  <c r="L312" i="8"/>
  <c r="L310" i="8" s="1"/>
  <c r="M1017" i="9"/>
  <c r="N754" i="8"/>
  <c r="M752" i="8"/>
  <c r="N752" i="8" s="1"/>
  <c r="M647" i="10"/>
  <c r="R382" i="6"/>
  <c r="R381" i="6" s="1"/>
  <c r="R380" i="6" s="1"/>
  <c r="R379" i="6" s="1"/>
  <c r="R378" i="6" s="1"/>
  <c r="D777" i="3"/>
  <c r="R778" i="3"/>
  <c r="Q372" i="3"/>
  <c r="L1079" i="8"/>
  <c r="N1079" i="8" s="1"/>
  <c r="N1080" i="8"/>
  <c r="N238" i="9"/>
  <c r="M236" i="9"/>
  <c r="N181" i="10"/>
  <c r="O768" i="9"/>
  <c r="P768" i="9"/>
  <c r="M594" i="29"/>
  <c r="L567" i="29"/>
  <c r="X79" i="39"/>
  <c r="R445" i="23"/>
  <c r="Q445" i="23"/>
  <c r="J429" i="16"/>
  <c r="J428" i="16"/>
  <c r="K426" i="19"/>
  <c r="N386" i="19"/>
  <c r="O386" i="19" s="1"/>
  <c r="V386" i="19" s="1"/>
  <c r="O392" i="19"/>
  <c r="V392" i="19" s="1"/>
  <c r="L56" i="19"/>
  <c r="L55" i="19" s="1"/>
  <c r="N958" i="9"/>
  <c r="O959" i="9"/>
  <c r="O958" i="9" s="1"/>
  <c r="N45" i="9"/>
  <c r="L44" i="9"/>
  <c r="N299" i="8"/>
  <c r="M298" i="8"/>
  <c r="M290" i="8" s="1"/>
  <c r="M1001" i="8"/>
  <c r="K263" i="10"/>
  <c r="P485" i="8"/>
  <c r="O485" i="8"/>
  <c r="Q61" i="20"/>
  <c r="O59" i="20"/>
  <c r="N370" i="7"/>
  <c r="M369" i="7"/>
  <c r="N51" i="9"/>
  <c r="O54" i="9"/>
  <c r="AF149" i="39"/>
  <c r="V149" i="39"/>
  <c r="P148" i="39"/>
  <c r="Q446" i="23"/>
  <c r="R446" i="23"/>
  <c r="R613" i="23" s="1"/>
  <c r="L613" i="23"/>
  <c r="Q49" i="11"/>
  <c r="S49" i="11"/>
  <c r="T49" i="11" s="1"/>
  <c r="P431" i="5"/>
  <c r="R469" i="5"/>
  <c r="Q469" i="5"/>
  <c r="N1083" i="8"/>
  <c r="O1086" i="8"/>
  <c r="O364" i="4"/>
  <c r="N364" i="4"/>
  <c r="M57" i="24"/>
  <c r="N385" i="4"/>
  <c r="O385" i="4"/>
  <c r="O428" i="27"/>
  <c r="V437" i="27"/>
  <c r="L414" i="19"/>
  <c r="Q423" i="19"/>
  <c r="R423" i="19"/>
  <c r="O218" i="6"/>
  <c r="Q219" i="6"/>
  <c r="R219" i="6" s="1"/>
  <c r="K315" i="6"/>
  <c r="Q315" i="6" s="1"/>
  <c r="Q316" i="6"/>
  <c r="I322" i="6"/>
  <c r="Q323" i="6"/>
  <c r="R323" i="6" s="1"/>
  <c r="E342" i="6"/>
  <c r="Q343" i="6"/>
  <c r="O600" i="8"/>
  <c r="P600" i="8"/>
  <c r="AB97" i="39"/>
  <c r="AA97" i="39"/>
  <c r="O839" i="39"/>
  <c r="Q839" i="39"/>
  <c r="M673" i="29"/>
  <c r="L668" i="29"/>
  <c r="N357" i="10"/>
  <c r="O360" i="10"/>
  <c r="P755" i="9"/>
  <c r="O755" i="9"/>
  <c r="J403" i="10"/>
  <c r="Q48" i="31"/>
  <c r="P48" i="31"/>
  <c r="T48" i="31" s="1"/>
  <c r="N833" i="7"/>
  <c r="N256" i="10"/>
  <c r="L243" i="10"/>
  <c r="R576" i="23"/>
  <c r="L575" i="23"/>
  <c r="Q576" i="23"/>
  <c r="L519" i="4"/>
  <c r="M546" i="4"/>
  <c r="N546" i="4" s="1"/>
  <c r="Q46" i="24"/>
  <c r="S46" i="24"/>
  <c r="P46" i="24"/>
  <c r="N53" i="31"/>
  <c r="M62" i="11"/>
  <c r="M62" i="20"/>
  <c r="M59" i="24"/>
  <c r="M59" i="31"/>
  <c r="M62" i="18"/>
  <c r="Q410" i="5"/>
  <c r="R410" i="5"/>
  <c r="O462" i="23"/>
  <c r="V462" i="23" s="1"/>
  <c r="O464" i="27"/>
  <c r="V464" i="27" s="1"/>
  <c r="O450" i="19"/>
  <c r="V450" i="19" s="1"/>
  <c r="O462" i="30"/>
  <c r="V462" i="30" s="1"/>
  <c r="O473" i="4"/>
  <c r="N473" i="4"/>
  <c r="L208" i="30"/>
  <c r="L204" i="16"/>
  <c r="J184" i="4"/>
  <c r="J183" i="4" s="1"/>
  <c r="D59" i="3"/>
  <c r="R61" i="3"/>
  <c r="R123" i="3"/>
  <c r="D121" i="3"/>
  <c r="D116" i="3" s="1"/>
  <c r="R365" i="3"/>
  <c r="S365" i="3"/>
  <c r="D363" i="3"/>
  <c r="S391" i="3"/>
  <c r="R391" i="3"/>
  <c r="D429" i="3"/>
  <c r="R432" i="3"/>
  <c r="S465" i="3"/>
  <c r="R465" i="3"/>
  <c r="H462" i="3"/>
  <c r="Q466" i="3"/>
  <c r="M545" i="3"/>
  <c r="Q548" i="3"/>
  <c r="R548" i="3" s="1"/>
  <c r="R598" i="3"/>
  <c r="D596" i="3"/>
  <c r="Q639" i="3"/>
  <c r="F638" i="3"/>
  <c r="O324" i="7"/>
  <c r="P324" i="7"/>
  <c r="O612" i="8"/>
  <c r="P612" i="8"/>
  <c r="W365" i="39"/>
  <c r="R166" i="27"/>
  <c r="P803" i="9"/>
  <c r="O803" i="9"/>
  <c r="P95" i="10"/>
  <c r="Q743" i="39"/>
  <c r="O743" i="39"/>
  <c r="N283" i="29"/>
  <c r="O284" i="29"/>
  <c r="P284" i="29" s="1"/>
  <c r="L806" i="25"/>
  <c r="M808" i="25"/>
  <c r="O808" i="25" s="1"/>
  <c r="AA69" i="39"/>
  <c r="AB69" i="39"/>
  <c r="S68" i="39"/>
  <c r="L797" i="25"/>
  <c r="M797" i="25" s="1"/>
  <c r="O797" i="25" s="1"/>
  <c r="M799" i="25"/>
  <c r="O799" i="25" s="1"/>
  <c r="L56" i="16"/>
  <c r="L55" i="16" s="1"/>
  <c r="N251" i="10"/>
  <c r="O253" i="10"/>
  <c r="M1024" i="10"/>
  <c r="N1025" i="10"/>
  <c r="O1025" i="10" s="1"/>
  <c r="K840" i="9"/>
  <c r="M588" i="9"/>
  <c r="Q52" i="31"/>
  <c r="P52" i="31"/>
  <c r="T52" i="31" s="1"/>
  <c r="P504" i="10"/>
  <c r="O504" i="10"/>
  <c r="V497" i="27"/>
  <c r="O496" i="27"/>
  <c r="V496" i="27" s="1"/>
  <c r="N458" i="7"/>
  <c r="O458" i="7" s="1"/>
  <c r="L453" i="7"/>
  <c r="P258" i="7"/>
  <c r="O258" i="7"/>
  <c r="N256" i="4"/>
  <c r="Q46" i="31"/>
  <c r="S46" i="31"/>
  <c r="T46" i="31" s="1"/>
  <c r="V495" i="23"/>
  <c r="O494" i="23"/>
  <c r="V494" i="23" s="1"/>
  <c r="L726" i="4"/>
  <c r="M728" i="4"/>
  <c r="N728" i="4" s="1"/>
  <c r="N1071" i="8"/>
  <c r="O1074" i="8"/>
  <c r="O443" i="4"/>
  <c r="N443" i="4"/>
  <c r="R439" i="16"/>
  <c r="Q439" i="16"/>
  <c r="M21" i="4"/>
  <c r="N21" i="4" s="1"/>
  <c r="Q416" i="5"/>
  <c r="R416" i="5"/>
  <c r="N859" i="9"/>
  <c r="O862" i="9"/>
  <c r="O859" i="9" s="1"/>
  <c r="J284" i="4"/>
  <c r="O285" i="4"/>
  <c r="N285" i="4"/>
  <c r="Q212" i="19"/>
  <c r="R212" i="19"/>
  <c r="S96" i="39"/>
  <c r="L816" i="29"/>
  <c r="M818" i="29"/>
  <c r="O818" i="29" s="1"/>
  <c r="R136" i="19"/>
  <c r="Q136" i="19"/>
  <c r="O51" i="31"/>
  <c r="Q25" i="28"/>
  <c r="P25" i="28"/>
  <c r="T25" i="28" s="1"/>
  <c r="Q213" i="19"/>
  <c r="R213" i="19"/>
  <c r="K428" i="16"/>
  <c r="K429" i="16"/>
  <c r="K8" i="16" s="1"/>
  <c r="P505" i="7"/>
  <c r="O505" i="7"/>
  <c r="Q19" i="31"/>
  <c r="S19" i="31"/>
  <c r="P19" i="31"/>
  <c r="O598" i="7"/>
  <c r="P598" i="7"/>
  <c r="P270" i="8"/>
  <c r="S52" i="24"/>
  <c r="P52" i="24"/>
  <c r="Q52" i="24"/>
  <c r="O833" i="9"/>
  <c r="N830" i="9"/>
  <c r="O830" i="9" s="1"/>
  <c r="L381" i="5"/>
  <c r="Q383" i="5"/>
  <c r="O25" i="18"/>
  <c r="R161" i="16"/>
  <c r="P45" i="20"/>
  <c r="P45" i="18"/>
  <c r="P45" i="11"/>
  <c r="K298" i="7"/>
  <c r="O334" i="7"/>
  <c r="O478" i="4"/>
  <c r="N478" i="4"/>
  <c r="O471" i="4"/>
  <c r="N471" i="4"/>
  <c r="O415" i="4"/>
  <c r="N415" i="4"/>
  <c r="N19" i="4"/>
  <c r="O19" i="4"/>
  <c r="O72" i="20"/>
  <c r="P561" i="5"/>
  <c r="O72" i="11"/>
  <c r="V419" i="30"/>
  <c r="O415" i="30"/>
  <c r="D190" i="3"/>
  <c r="D182" i="3" s="1"/>
  <c r="R182" i="3" s="1"/>
  <c r="R191" i="3"/>
  <c r="D212" i="3"/>
  <c r="R213" i="3"/>
  <c r="S213" i="3"/>
  <c r="F239" i="3"/>
  <c r="Q240" i="3"/>
  <c r="I322" i="3"/>
  <c r="Q323" i="3"/>
  <c r="R323" i="3" s="1"/>
  <c r="O383" i="5"/>
  <c r="O382" i="19"/>
  <c r="O382" i="16"/>
  <c r="O392" i="27"/>
  <c r="Q10" i="20"/>
  <c r="P10" i="20"/>
  <c r="Q390" i="23"/>
  <c r="L210" i="30"/>
  <c r="Q210" i="30" s="1"/>
  <c r="Q211" i="30"/>
  <c r="Q462" i="30"/>
  <c r="O433" i="30"/>
  <c r="D410" i="3"/>
  <c r="J409" i="4"/>
  <c r="J406" i="4" s="1"/>
  <c r="H31" i="3"/>
  <c r="R71" i="3"/>
  <c r="D147" i="3"/>
  <c r="D146" i="3" s="1"/>
  <c r="R146" i="3" s="1"/>
  <c r="R150" i="3"/>
  <c r="P156" i="3"/>
  <c r="P154" i="3"/>
  <c r="S159" i="3"/>
  <c r="R159" i="3"/>
  <c r="R165" i="3"/>
  <c r="R235" i="3"/>
  <c r="R308" i="3"/>
  <c r="I357" i="3"/>
  <c r="I358" i="3"/>
  <c r="I356" i="3" s="1"/>
  <c r="I355" i="3" s="1"/>
  <c r="I354" i="3" s="1"/>
  <c r="S388" i="3"/>
  <c r="R388" i="3"/>
  <c r="D386" i="3"/>
  <c r="Q397" i="3"/>
  <c r="Q564" i="3"/>
  <c r="R564" i="3" s="1"/>
  <c r="I577" i="3"/>
  <c r="L510" i="4"/>
  <c r="M511" i="4"/>
  <c r="N511" i="4" s="1"/>
  <c r="L369" i="27"/>
  <c r="N573" i="4"/>
  <c r="J617" i="4"/>
  <c r="O618" i="4"/>
  <c r="N618" i="4"/>
  <c r="O652" i="4"/>
  <c r="N652" i="4"/>
  <c r="O423" i="4"/>
  <c r="R13" i="3"/>
  <c r="S13" i="3"/>
  <c r="G357" i="3"/>
  <c r="G358" i="3"/>
  <c r="S449" i="3"/>
  <c r="R449" i="3"/>
  <c r="R486" i="3"/>
  <c r="D484" i="3"/>
  <c r="I520" i="3"/>
  <c r="J612" i="3"/>
  <c r="R648" i="3"/>
  <c r="S648" i="3"/>
  <c r="M341" i="4"/>
  <c r="N341" i="4" s="1"/>
  <c r="L338" i="4"/>
  <c r="N310" i="16"/>
  <c r="N308" i="16" s="1"/>
  <c r="N295" i="16" s="1"/>
  <c r="N314" i="23"/>
  <c r="N312" i="23" s="1"/>
  <c r="N299" i="23" s="1"/>
  <c r="N314" i="30"/>
  <c r="N312" i="30" s="1"/>
  <c r="N299" i="30" s="1"/>
  <c r="N229" i="30" s="1"/>
  <c r="N310" i="19"/>
  <c r="N308" i="19" s="1"/>
  <c r="N295" i="19" s="1"/>
  <c r="M416" i="4"/>
  <c r="N311" i="5"/>
  <c r="N309" i="5" s="1"/>
  <c r="N296" i="5" s="1"/>
  <c r="O408" i="19"/>
  <c r="O419" i="23"/>
  <c r="O421" i="27"/>
  <c r="O410" i="16"/>
  <c r="O447" i="4"/>
  <c r="L444" i="30"/>
  <c r="L432" i="19"/>
  <c r="L444" i="23"/>
  <c r="L435" i="16"/>
  <c r="L446" i="27"/>
  <c r="L434" i="5"/>
  <c r="D93" i="2"/>
  <c r="K116" i="3"/>
  <c r="N237" i="3"/>
  <c r="O357" i="3"/>
  <c r="O358" i="3"/>
  <c r="O356" i="3" s="1"/>
  <c r="O355" i="3" s="1"/>
  <c r="O354" i="3" s="1"/>
  <c r="S374" i="3"/>
  <c r="R374" i="3"/>
  <c r="P420" i="3"/>
  <c r="R433" i="3"/>
  <c r="S433" i="3" s="1"/>
  <c r="D752" i="3"/>
  <c r="D750" i="3" s="1"/>
  <c r="R750" i="3" s="1"/>
  <c r="R753" i="3"/>
  <c r="M82" i="4"/>
  <c r="L79" i="4"/>
  <c r="M165" i="4"/>
  <c r="N165" i="4" s="1"/>
  <c r="L161" i="4"/>
  <c r="M684" i="4"/>
  <c r="N684" i="4" s="1"/>
  <c r="L676" i="4"/>
  <c r="K11" i="31"/>
  <c r="K9" i="31" s="1"/>
  <c r="K11" i="20"/>
  <c r="K9" i="20" s="1"/>
  <c r="K13" i="28"/>
  <c r="K11" i="28" s="1"/>
  <c r="K10" i="28" s="1"/>
  <c r="K11" i="11"/>
  <c r="K9" i="11" s="1"/>
  <c r="N46" i="28"/>
  <c r="N45" i="20"/>
  <c r="L48" i="11"/>
  <c r="R566" i="3"/>
  <c r="S566" i="3" s="1"/>
  <c r="R607" i="3"/>
  <c r="D707" i="3"/>
  <c r="R707" i="3" s="1"/>
  <c r="R712" i="3"/>
  <c r="M587" i="4"/>
  <c r="L585" i="4"/>
  <c r="Q215" i="5"/>
  <c r="R215" i="5"/>
  <c r="M46" i="28"/>
  <c r="M45" i="11"/>
  <c r="M45" i="20"/>
  <c r="M54" i="24"/>
  <c r="L372" i="5"/>
  <c r="M54" i="31"/>
  <c r="M56" i="18"/>
  <c r="M56" i="28"/>
  <c r="M56" i="20"/>
  <c r="Q459" i="5"/>
  <c r="R459" i="5"/>
  <c r="I200" i="6"/>
  <c r="Q511" i="3"/>
  <c r="R532" i="3"/>
  <c r="R537" i="3"/>
  <c r="Q630" i="3"/>
  <c r="R630" i="3" s="1"/>
  <c r="R666" i="3"/>
  <c r="K44" i="31"/>
  <c r="K42" i="31" s="1"/>
  <c r="K45" i="20"/>
  <c r="K43" i="20" s="1"/>
  <c r="K45" i="11"/>
  <c r="K43" i="11" s="1"/>
  <c r="H32" i="12" s="1"/>
  <c r="L61" i="28"/>
  <c r="L57" i="28" s="1"/>
  <c r="L59" i="24"/>
  <c r="L55" i="24" s="1"/>
  <c r="R453" i="5"/>
  <c r="Q453" i="5"/>
  <c r="P596" i="5"/>
  <c r="D511" i="3"/>
  <c r="D507" i="3" s="1"/>
  <c r="I638" i="3"/>
  <c r="I637" i="3" s="1"/>
  <c r="O13" i="4"/>
  <c r="M60" i="28"/>
  <c r="M61" i="11"/>
  <c r="Q61" i="11" s="1"/>
  <c r="L639" i="5"/>
  <c r="R640" i="5"/>
  <c r="Q447" i="6"/>
  <c r="J82" i="7"/>
  <c r="J77" i="7" s="1"/>
  <c r="J75" i="7" s="1"/>
  <c r="J36" i="7" s="1"/>
  <c r="K421" i="6"/>
  <c r="M421" i="6"/>
  <c r="M420" i="6" s="1"/>
  <c r="O421" i="6"/>
  <c r="O420" i="6" s="1"/>
  <c r="Q501" i="6"/>
  <c r="O512" i="6"/>
  <c r="K693" i="6"/>
  <c r="K691" i="6" s="1"/>
  <c r="L298" i="7"/>
  <c r="L290" i="7" s="1"/>
  <c r="O778" i="7"/>
  <c r="N80" i="8"/>
  <c r="N63" i="8"/>
  <c r="J892" i="9"/>
  <c r="J865" i="9" s="1"/>
  <c r="J863" i="9" s="1"/>
  <c r="O971" i="10"/>
  <c r="M1079" i="10"/>
  <c r="M1077" i="10" s="1"/>
  <c r="H31" i="31"/>
  <c r="R25" i="30"/>
  <c r="AB936" i="39"/>
  <c r="T90" i="39"/>
  <c r="Q397" i="39"/>
  <c r="AB434" i="39"/>
  <c r="AG1056" i="39"/>
  <c r="AG807" i="39"/>
  <c r="AA937" i="39"/>
  <c r="N53" i="24" l="1"/>
  <c r="N55" i="11"/>
  <c r="K799" i="7"/>
  <c r="K797" i="7" s="1"/>
  <c r="L865" i="9"/>
  <c r="L863" i="9" s="1"/>
  <c r="S278" i="6"/>
  <c r="L378" i="10"/>
  <c r="L377" i="10" s="1"/>
  <c r="N381" i="10"/>
  <c r="O249" i="10"/>
  <c r="P249" i="10"/>
  <c r="R570" i="6"/>
  <c r="S570" i="6"/>
  <c r="V570" i="6"/>
  <c r="N55" i="18"/>
  <c r="N226" i="5"/>
  <c r="N11" i="5" s="1"/>
  <c r="N9" i="5" s="1"/>
  <c r="T387" i="5"/>
  <c r="O286" i="7"/>
  <c r="K818" i="10"/>
  <c r="K816" i="10" s="1"/>
  <c r="N55" i="20"/>
  <c r="M367" i="9"/>
  <c r="M365" i="9" s="1"/>
  <c r="N27" i="9"/>
  <c r="P27" i="9" s="1"/>
  <c r="O728" i="7"/>
  <c r="V278" i="6"/>
  <c r="P793" i="9"/>
  <c r="N83" i="9"/>
  <c r="O83" i="9" s="1"/>
  <c r="E26" i="1"/>
  <c r="K665" i="7"/>
  <c r="K663" i="7" s="1"/>
  <c r="K661" i="7" s="1"/>
  <c r="K659" i="7" s="1"/>
  <c r="P566" i="7"/>
  <c r="O566" i="7"/>
  <c r="L679" i="6"/>
  <c r="R620" i="6"/>
  <c r="V620" i="6"/>
  <c r="M645" i="8"/>
  <c r="N645" i="8" s="1"/>
  <c r="N55" i="28"/>
  <c r="P595" i="7"/>
  <c r="N82" i="10"/>
  <c r="O82" i="10" s="1"/>
  <c r="P318" i="9"/>
  <c r="O856" i="8"/>
  <c r="O796" i="10"/>
  <c r="P796" i="10"/>
  <c r="P812" i="7"/>
  <c r="O812" i="7"/>
  <c r="P603" i="7"/>
  <c r="O603" i="7"/>
  <c r="P705" i="9"/>
  <c r="N147" i="9"/>
  <c r="N764" i="10"/>
  <c r="N592" i="7"/>
  <c r="O592" i="7" s="1"/>
  <c r="I255" i="6"/>
  <c r="I253" i="6" s="1"/>
  <c r="K669" i="10"/>
  <c r="K665" i="10" s="1"/>
  <c r="K659" i="10" s="1"/>
  <c r="K658" i="10" s="1"/>
  <c r="O94" i="9"/>
  <c r="P94" i="9"/>
  <c r="K331" i="8"/>
  <c r="P332" i="8"/>
  <c r="E30" i="1"/>
  <c r="K803" i="7"/>
  <c r="K801" i="7" s="1"/>
  <c r="O599" i="7"/>
  <c r="P599" i="7"/>
  <c r="P592" i="7"/>
  <c r="G17" i="1"/>
  <c r="O62" i="10"/>
  <c r="P966" i="10"/>
  <c r="O375" i="7"/>
  <c r="N407" i="8"/>
  <c r="M192" i="10"/>
  <c r="M190" i="10" s="1"/>
  <c r="P308" i="10"/>
  <c r="G120" i="6"/>
  <c r="N986" i="8"/>
  <c r="O61" i="9"/>
  <c r="P954" i="10"/>
  <c r="M203" i="8"/>
  <c r="F60" i="6"/>
  <c r="S399" i="6"/>
  <c r="L243" i="8"/>
  <c r="L234" i="8" s="1"/>
  <c r="L210" i="6"/>
  <c r="L11" i="6" s="1"/>
  <c r="L9" i="6" s="1"/>
  <c r="P195" i="7"/>
  <c r="O27" i="9"/>
  <c r="L273" i="8"/>
  <c r="N273" i="8" s="1"/>
  <c r="N194" i="10"/>
  <c r="P417" i="10"/>
  <c r="N806" i="8"/>
  <c r="R368" i="6"/>
  <c r="R366" i="6" s="1"/>
  <c r="P337" i="7"/>
  <c r="P864" i="10"/>
  <c r="P323" i="10"/>
  <c r="O441" i="7"/>
  <c r="O617" i="8"/>
  <c r="Q681" i="6"/>
  <c r="M444" i="6"/>
  <c r="M442" i="6" s="1"/>
  <c r="M440" i="6" s="1"/>
  <c r="L478" i="29"/>
  <c r="K980" i="8"/>
  <c r="N247" i="9"/>
  <c r="V311" i="30"/>
  <c r="P155" i="7"/>
  <c r="O417" i="10"/>
  <c r="O24" i="8"/>
  <c r="Q371" i="6"/>
  <c r="O936" i="10"/>
  <c r="O679" i="10"/>
  <c r="P765" i="9"/>
  <c r="M325" i="10"/>
  <c r="M312" i="10" s="1"/>
  <c r="M310" i="10" s="1"/>
  <c r="Q304" i="6"/>
  <c r="R304" i="6" s="1"/>
  <c r="O671" i="8"/>
  <c r="N355" i="6"/>
  <c r="N354" i="6" s="1"/>
  <c r="Q181" i="6"/>
  <c r="R181" i="6" s="1"/>
  <c r="N841" i="7"/>
  <c r="O841" i="7" s="1"/>
  <c r="L515" i="25"/>
  <c r="M515" i="25" s="1"/>
  <c r="O515" i="25" s="1"/>
  <c r="E49" i="6"/>
  <c r="N709" i="7"/>
  <c r="O709" i="7" s="1"/>
  <c r="R375" i="6"/>
  <c r="L377" i="9"/>
  <c r="P981" i="8"/>
  <c r="M742" i="7"/>
  <c r="N742" i="7" s="1"/>
  <c r="AA474" i="39"/>
  <c r="N284" i="9"/>
  <c r="P285" i="9"/>
  <c r="L147" i="10"/>
  <c r="N147" i="10" s="1"/>
  <c r="O147" i="10" s="1"/>
  <c r="M867" i="9"/>
  <c r="N867" i="9" s="1"/>
  <c r="P867" i="9" s="1"/>
  <c r="N869" i="9"/>
  <c r="O747" i="9"/>
  <c r="P747" i="9"/>
  <c r="N481" i="7"/>
  <c r="E355" i="6"/>
  <c r="F303" i="6"/>
  <c r="N753" i="9"/>
  <c r="M326" i="7"/>
  <c r="O1039" i="8"/>
  <c r="O444" i="6"/>
  <c r="L727" i="9"/>
  <c r="L725" i="9" s="1"/>
  <c r="L176" i="7"/>
  <c r="L174" i="7" s="1"/>
  <c r="E566" i="6"/>
  <c r="O885" i="9"/>
  <c r="P885" i="9"/>
  <c r="P572" i="8"/>
  <c r="O572" i="8"/>
  <c r="O727" i="7"/>
  <c r="F28" i="1"/>
  <c r="G28" i="1" s="1"/>
  <c r="P727" i="7"/>
  <c r="N332" i="7"/>
  <c r="P371" i="7"/>
  <c r="P63" i="9"/>
  <c r="S388" i="6"/>
  <c r="O51" i="9"/>
  <c r="O270" i="8"/>
  <c r="L579" i="8"/>
  <c r="N579" i="8" s="1"/>
  <c r="N210" i="6"/>
  <c r="O374" i="9"/>
  <c r="N344" i="10"/>
  <c r="P306" i="10"/>
  <c r="O118" i="25"/>
  <c r="L812" i="10"/>
  <c r="L806" i="10" s="1"/>
  <c r="R309" i="6"/>
  <c r="P319" i="9"/>
  <c r="P22" i="7"/>
  <c r="O524" i="8"/>
  <c r="V198" i="6"/>
  <c r="O409" i="10"/>
  <c r="N574" i="8"/>
  <c r="O574" i="8" s="1"/>
  <c r="P335" i="10"/>
  <c r="P486" i="7"/>
  <c r="M763" i="10"/>
  <c r="N763" i="10" s="1"/>
  <c r="P763" i="10" s="1"/>
  <c r="O336" i="7"/>
  <c r="O522" i="8"/>
  <c r="M827" i="29"/>
  <c r="O827" i="29" s="1"/>
  <c r="L825" i="29"/>
  <c r="M825" i="29" s="1"/>
  <c r="O825" i="29" s="1"/>
  <c r="M47" i="29"/>
  <c r="O47" i="29" s="1"/>
  <c r="L43" i="29"/>
  <c r="M43" i="29" s="1"/>
  <c r="M47" i="25"/>
  <c r="O47" i="25" s="1"/>
  <c r="L43" i="25"/>
  <c r="M43" i="25" s="1"/>
  <c r="M806" i="10"/>
  <c r="M786" i="10" s="1"/>
  <c r="M784" i="10" s="1"/>
  <c r="N807" i="10"/>
  <c r="O333" i="9"/>
  <c r="O332" i="9" s="1"/>
  <c r="P333" i="9"/>
  <c r="N114" i="9"/>
  <c r="L112" i="9"/>
  <c r="N112" i="9" s="1"/>
  <c r="O933" i="8"/>
  <c r="P933" i="8"/>
  <c r="O780" i="10"/>
  <c r="N641" i="7"/>
  <c r="L639" i="7"/>
  <c r="P651" i="10"/>
  <c r="O651" i="10"/>
  <c r="P286" i="10"/>
  <c r="O286" i="10"/>
  <c r="N285" i="10"/>
  <c r="N386" i="9"/>
  <c r="O388" i="9"/>
  <c r="O386" i="9" s="1"/>
  <c r="P388" i="9"/>
  <c r="P386" i="9" s="1"/>
  <c r="P377" i="9" s="1"/>
  <c r="O245" i="9"/>
  <c r="P245" i="9"/>
  <c r="N151" i="9"/>
  <c r="O151" i="9" s="1"/>
  <c r="O153" i="9"/>
  <c r="N666" i="8"/>
  <c r="O667" i="8"/>
  <c r="O666" i="8" s="1"/>
  <c r="L834" i="29"/>
  <c r="M834" i="29" s="1"/>
  <c r="R627" i="6"/>
  <c r="V627" i="6"/>
  <c r="S627" i="6"/>
  <c r="V126" i="6"/>
  <c r="R126" i="6"/>
  <c r="S126" i="6"/>
  <c r="F429" i="6"/>
  <c r="O833" i="8"/>
  <c r="M216" i="9"/>
  <c r="N729" i="9"/>
  <c r="O729" i="9" s="1"/>
  <c r="L227" i="6"/>
  <c r="L354" i="6"/>
  <c r="N827" i="8"/>
  <c r="N511" i="8"/>
  <c r="P511" i="8" s="1"/>
  <c r="N273" i="10"/>
  <c r="P662" i="10"/>
  <c r="M273" i="6"/>
  <c r="M272" i="6" s="1"/>
  <c r="N67" i="7"/>
  <c r="O67" i="7" s="1"/>
  <c r="Q281" i="6"/>
  <c r="L533" i="8"/>
  <c r="N533" i="8" s="1"/>
  <c r="K407" i="10"/>
  <c r="O407" i="10" s="1"/>
  <c r="N550" i="9"/>
  <c r="P550" i="9" s="1"/>
  <c r="N331" i="9"/>
  <c r="O331" i="9" s="1"/>
  <c r="O308" i="10"/>
  <c r="K763" i="8"/>
  <c r="O763" i="8" s="1"/>
  <c r="S279" i="6"/>
  <c r="S230" i="6"/>
  <c r="O955" i="9"/>
  <c r="J303" i="6"/>
  <c r="J273" i="6" s="1"/>
  <c r="J272" i="6" s="1"/>
  <c r="J251" i="6" s="1"/>
  <c r="P425" i="7"/>
  <c r="O425" i="7"/>
  <c r="M646" i="29"/>
  <c r="L642" i="29"/>
  <c r="P548" i="10"/>
  <c r="O548" i="10"/>
  <c r="L523" i="10"/>
  <c r="N524" i="10"/>
  <c r="P418" i="10"/>
  <c r="O418" i="10"/>
  <c r="N105" i="10"/>
  <c r="O106" i="10"/>
  <c r="O105" i="10" s="1"/>
  <c r="O106" i="9"/>
  <c r="O105" i="9" s="1"/>
  <c r="N105" i="9"/>
  <c r="M1058" i="8"/>
  <c r="N1059" i="8"/>
  <c r="O1059" i="8" s="1"/>
  <c r="V470" i="6"/>
  <c r="R470" i="6"/>
  <c r="R298" i="6"/>
  <c r="S298" i="6"/>
  <c r="Q293" i="6"/>
  <c r="S293" i="6" s="1"/>
  <c r="M118" i="25"/>
  <c r="M116" i="25" s="1"/>
  <c r="Q411" i="6"/>
  <c r="N412" i="7"/>
  <c r="O412" i="7" s="1"/>
  <c r="O319" i="9"/>
  <c r="P523" i="8"/>
  <c r="R198" i="6"/>
  <c r="L442" i="6"/>
  <c r="L440" i="6" s="1"/>
  <c r="P522" i="8"/>
  <c r="L818" i="8"/>
  <c r="L816" i="8" s="1"/>
  <c r="L407" i="7"/>
  <c r="L405" i="7" s="1"/>
  <c r="P764" i="8"/>
  <c r="D13" i="6"/>
  <c r="N400" i="7"/>
  <c r="O400" i="7" s="1"/>
  <c r="N960" i="9"/>
  <c r="O960" i="9" s="1"/>
  <c r="O786" i="7"/>
  <c r="N785" i="7"/>
  <c r="P786" i="7"/>
  <c r="O683" i="10"/>
  <c r="P683" i="10"/>
  <c r="O528" i="10"/>
  <c r="P528" i="10"/>
  <c r="M19" i="10"/>
  <c r="N20" i="10"/>
  <c r="N827" i="9"/>
  <c r="N826" i="9" s="1"/>
  <c r="O828" i="9"/>
  <c r="P828" i="9"/>
  <c r="L577" i="9"/>
  <c r="N578" i="9"/>
  <c r="O271" i="9"/>
  <c r="N270" i="9"/>
  <c r="P271" i="9"/>
  <c r="O185" i="9"/>
  <c r="O184" i="9" s="1"/>
  <c r="P185" i="9"/>
  <c r="N184" i="9"/>
  <c r="P184" i="9" s="1"/>
  <c r="R669" i="6"/>
  <c r="S669" i="6"/>
  <c r="S500" i="6"/>
  <c r="V500" i="6"/>
  <c r="R500" i="6"/>
  <c r="R485" i="6"/>
  <c r="S485" i="6"/>
  <c r="L319" i="7"/>
  <c r="L318" i="7" s="1"/>
  <c r="L314" i="7" s="1"/>
  <c r="N314" i="7" s="1"/>
  <c r="P314" i="7" s="1"/>
  <c r="N321" i="7"/>
  <c r="O517" i="7"/>
  <c r="P517" i="7"/>
  <c r="N849" i="8"/>
  <c r="M660" i="29"/>
  <c r="L659" i="29"/>
  <c r="M659" i="29" s="1"/>
  <c r="M314" i="25"/>
  <c r="O314" i="25" s="1"/>
  <c r="L313" i="25"/>
  <c r="M313" i="25" s="1"/>
  <c r="O313" i="25" s="1"/>
  <c r="P313" i="25" s="1"/>
  <c r="O710" i="10"/>
  <c r="P710" i="10"/>
  <c r="O933" i="9"/>
  <c r="P933" i="9"/>
  <c r="L594" i="9"/>
  <c r="N595" i="9"/>
  <c r="P739" i="8"/>
  <c r="O739" i="8"/>
  <c r="N1048" i="10"/>
  <c r="O1048" i="10" s="1"/>
  <c r="M1042" i="10"/>
  <c r="M1040" i="10" s="1"/>
  <c r="L54" i="25"/>
  <c r="M54" i="25" s="1"/>
  <c r="N490" i="8"/>
  <c r="N489" i="8" s="1"/>
  <c r="L641" i="25"/>
  <c r="M641" i="25" s="1"/>
  <c r="M645" i="25"/>
  <c r="R452" i="6"/>
  <c r="S452" i="6"/>
  <c r="N611" i="9"/>
  <c r="M847" i="8"/>
  <c r="M845" i="8" s="1"/>
  <c r="P640" i="8"/>
  <c r="O640" i="8"/>
  <c r="O555" i="7"/>
  <c r="O554" i="7" s="1"/>
  <c r="N554" i="7"/>
  <c r="L789" i="29"/>
  <c r="M789" i="29" s="1"/>
  <c r="O789" i="29" s="1"/>
  <c r="M791" i="29"/>
  <c r="O791" i="29" s="1"/>
  <c r="M597" i="29"/>
  <c r="L853" i="29"/>
  <c r="M817" i="25"/>
  <c r="O817" i="25" s="1"/>
  <c r="L815" i="25"/>
  <c r="M815" i="25" s="1"/>
  <c r="O815" i="25" s="1"/>
  <c r="M736" i="10"/>
  <c r="N736" i="10" s="1"/>
  <c r="N738" i="10"/>
  <c r="P533" i="9"/>
  <c r="O533" i="9"/>
  <c r="O887" i="8"/>
  <c r="N886" i="8"/>
  <c r="P887" i="8"/>
  <c r="P859" i="8"/>
  <c r="N858" i="8"/>
  <c r="O514" i="7"/>
  <c r="P514" i="7"/>
  <c r="V533" i="6"/>
  <c r="R533" i="6"/>
  <c r="P558" i="7"/>
  <c r="O558" i="7"/>
  <c r="N127" i="10"/>
  <c r="O127" i="10" s="1"/>
  <c r="N357" i="7"/>
  <c r="N350" i="7" s="1"/>
  <c r="P350" i="7" s="1"/>
  <c r="N222" i="7"/>
  <c r="S389" i="6"/>
  <c r="R389" i="6"/>
  <c r="M350" i="25"/>
  <c r="O350" i="25" s="1"/>
  <c r="L349" i="25"/>
  <c r="M349" i="25" s="1"/>
  <c r="O349" i="25" s="1"/>
  <c r="P349" i="25" s="1"/>
  <c r="R222" i="6"/>
  <c r="S222" i="6"/>
  <c r="R51" i="6"/>
  <c r="S51" i="6"/>
  <c r="N405" i="8"/>
  <c r="N390" i="9"/>
  <c r="O390" i="9" s="1"/>
  <c r="P303" i="6"/>
  <c r="P273" i="6" s="1"/>
  <c r="P272" i="6" s="1"/>
  <c r="P251" i="6" s="1"/>
  <c r="D444" i="6"/>
  <c r="D442" i="6" s="1"/>
  <c r="D440" i="6" s="1"/>
  <c r="S336" i="6"/>
  <c r="R336" i="6"/>
  <c r="L557" i="7"/>
  <c r="L553" i="7" s="1"/>
  <c r="L547" i="7" s="1"/>
  <c r="L546" i="7" s="1"/>
  <c r="N546" i="7" s="1"/>
  <c r="O546" i="7" s="1"/>
  <c r="Q265" i="6"/>
  <c r="R265" i="6" s="1"/>
  <c r="K786" i="10"/>
  <c r="K784" i="10" s="1"/>
  <c r="R463" i="6"/>
  <c r="V463" i="6"/>
  <c r="S463" i="6"/>
  <c r="V451" i="6"/>
  <c r="S451" i="6"/>
  <c r="R451" i="6"/>
  <c r="R386" i="6"/>
  <c r="S386" i="6"/>
  <c r="P631" i="8"/>
  <c r="O631" i="8"/>
  <c r="O886" i="10"/>
  <c r="P886" i="10"/>
  <c r="P951" i="8"/>
  <c r="P227" i="6"/>
  <c r="S414" i="6"/>
  <c r="R414" i="6"/>
  <c r="R412" i="6" s="1"/>
  <c r="R411" i="6" s="1"/>
  <c r="R410" i="6" s="1"/>
  <c r="R374" i="6"/>
  <c r="R372" i="6" s="1"/>
  <c r="R371" i="6" s="1"/>
  <c r="S374" i="6"/>
  <c r="L988" i="10"/>
  <c r="L986" i="10" s="1"/>
  <c r="N994" i="10"/>
  <c r="O490" i="8"/>
  <c r="S265" i="6"/>
  <c r="O977" i="8"/>
  <c r="N975" i="8"/>
  <c r="O975" i="8" s="1"/>
  <c r="O398" i="7"/>
  <c r="N395" i="7"/>
  <c r="N394" i="7" s="1"/>
  <c r="P394" i="7" s="1"/>
  <c r="N264" i="10"/>
  <c r="O264" i="10" s="1"/>
  <c r="O267" i="10"/>
  <c r="N392" i="9"/>
  <c r="M874" i="7"/>
  <c r="N812" i="10"/>
  <c r="L340" i="7"/>
  <c r="L338" i="7" s="1"/>
  <c r="N338" i="7" s="1"/>
  <c r="N693" i="8"/>
  <c r="N347" i="7"/>
  <c r="N144" i="10"/>
  <c r="S73" i="6"/>
  <c r="V262" i="6"/>
  <c r="O929" i="8"/>
  <c r="Q318" i="6"/>
  <c r="R318" i="6" s="1"/>
  <c r="M822" i="10"/>
  <c r="M820" i="10" s="1"/>
  <c r="N820" i="10" s="1"/>
  <c r="P820" i="10" s="1"/>
  <c r="L44" i="7"/>
  <c r="N45" i="7"/>
  <c r="P534" i="8"/>
  <c r="O534" i="8"/>
  <c r="L694" i="29"/>
  <c r="P316" i="10"/>
  <c r="O1005" i="10"/>
  <c r="N1002" i="10"/>
  <c r="O1002" i="10" s="1"/>
  <c r="N603" i="9"/>
  <c r="P129" i="10"/>
  <c r="O129" i="10"/>
  <c r="O295" i="10"/>
  <c r="P295" i="10"/>
  <c r="M350" i="10"/>
  <c r="M340" i="10" s="1"/>
  <c r="M338" i="10" s="1"/>
  <c r="O133" i="10"/>
  <c r="N132" i="10"/>
  <c r="O132" i="10" s="1"/>
  <c r="M17" i="8"/>
  <c r="M15" i="8" s="1"/>
  <c r="M13" i="8" s="1"/>
  <c r="N19" i="8"/>
  <c r="V453" i="6"/>
  <c r="R453" i="6"/>
  <c r="S453" i="6"/>
  <c r="V312" i="6"/>
  <c r="S312" i="6"/>
  <c r="R84" i="6"/>
  <c r="V84" i="6"/>
  <c r="N965" i="8"/>
  <c r="M963" i="8"/>
  <c r="M961" i="8" s="1"/>
  <c r="P706" i="10"/>
  <c r="O706" i="10"/>
  <c r="O110" i="25"/>
  <c r="M106" i="25"/>
  <c r="M104" i="25" s="1"/>
  <c r="M157" i="29"/>
  <c r="L156" i="29"/>
  <c r="L154" i="29"/>
  <c r="M154" i="29" s="1"/>
  <c r="R403" i="30"/>
  <c r="Q403" i="30"/>
  <c r="O252" i="8"/>
  <c r="N251" i="8"/>
  <c r="P805" i="7"/>
  <c r="O805" i="7"/>
  <c r="R681" i="6"/>
  <c r="S681" i="6"/>
  <c r="M717" i="25"/>
  <c r="O717" i="25" s="1"/>
  <c r="M125" i="10"/>
  <c r="N125" i="10" s="1"/>
  <c r="O125" i="10" s="1"/>
  <c r="P125" i="7"/>
  <c r="G16" i="1"/>
  <c r="O966" i="8"/>
  <c r="L297" i="25"/>
  <c r="M297" i="25" s="1"/>
  <c r="O297" i="25" s="1"/>
  <c r="P297" i="25" s="1"/>
  <c r="N1020" i="9"/>
  <c r="O1020" i="9" s="1"/>
  <c r="E610" i="6"/>
  <c r="M393" i="25"/>
  <c r="O356" i="10"/>
  <c r="N67" i="9"/>
  <c r="N66" i="9" s="1"/>
  <c r="N758" i="10"/>
  <c r="F20" i="1"/>
  <c r="G20" i="1" s="1"/>
  <c r="Q412" i="6"/>
  <c r="V459" i="6"/>
  <c r="R262" i="6"/>
  <c r="O106" i="25"/>
  <c r="M55" i="18"/>
  <c r="S55" i="18" s="1"/>
  <c r="L395" i="30"/>
  <c r="O432" i="9"/>
  <c r="N867" i="8"/>
  <c r="H333" i="6"/>
  <c r="Q333" i="6" s="1"/>
  <c r="R333" i="6" s="1"/>
  <c r="Q337" i="6"/>
  <c r="R337" i="6" s="1"/>
  <c r="F31" i="1"/>
  <c r="G31" i="1" s="1"/>
  <c r="O815" i="7"/>
  <c r="P815" i="7"/>
  <c r="N332" i="10"/>
  <c r="O334" i="10"/>
  <c r="O332" i="10" s="1"/>
  <c r="P334" i="10"/>
  <c r="O681" i="9"/>
  <c r="P681" i="9"/>
  <c r="O22" i="9"/>
  <c r="P22" i="9"/>
  <c r="P825" i="10"/>
  <c r="R459" i="6"/>
  <c r="P347" i="9"/>
  <c r="N343" i="9"/>
  <c r="O497" i="9"/>
  <c r="P497" i="9"/>
  <c r="R300" i="6"/>
  <c r="L66" i="29"/>
  <c r="M66" i="29" s="1"/>
  <c r="M67" i="29"/>
  <c r="S431" i="6"/>
  <c r="R431" i="6"/>
  <c r="V431" i="6"/>
  <c r="N989" i="9"/>
  <c r="O989" i="9" s="1"/>
  <c r="M983" i="9"/>
  <c r="M981" i="9" s="1"/>
  <c r="M980" i="9" s="1"/>
  <c r="N980" i="9" s="1"/>
  <c r="O906" i="9"/>
  <c r="P906" i="9"/>
  <c r="O33" i="7"/>
  <c r="P33" i="7"/>
  <c r="K1064" i="8"/>
  <c r="O1065" i="8"/>
  <c r="O696" i="10"/>
  <c r="N693" i="10"/>
  <c r="O693" i="10" s="1"/>
  <c r="O296" i="10"/>
  <c r="P296" i="10"/>
  <c r="O918" i="9"/>
  <c r="N916" i="9"/>
  <c r="O916" i="9" s="1"/>
  <c r="R662" i="6"/>
  <c r="Q659" i="6"/>
  <c r="R659" i="6" s="1"/>
  <c r="S662" i="6"/>
  <c r="R560" i="6"/>
  <c r="Q559" i="6"/>
  <c r="M374" i="25"/>
  <c r="L370" i="25"/>
  <c r="L369" i="25" s="1"/>
  <c r="L367" i="25" s="1"/>
  <c r="M35" i="25"/>
  <c r="O35" i="25" s="1"/>
  <c r="L31" i="25"/>
  <c r="M31" i="25" s="1"/>
  <c r="N181" i="8"/>
  <c r="L176" i="8"/>
  <c r="N225" i="16"/>
  <c r="M255" i="6"/>
  <c r="M253" i="6" s="1"/>
  <c r="P834" i="7"/>
  <c r="P356" i="9"/>
  <c r="N143" i="9"/>
  <c r="O895" i="10"/>
  <c r="Q311" i="6"/>
  <c r="Q387" i="6"/>
  <c r="Q152" i="6"/>
  <c r="S152" i="6" s="1"/>
  <c r="O676" i="7"/>
  <c r="P413" i="7"/>
  <c r="N680" i="8"/>
  <c r="N669" i="8" s="1"/>
  <c r="P669" i="8" s="1"/>
  <c r="P685" i="8"/>
  <c r="P210" i="8"/>
  <c r="N207" i="8"/>
  <c r="S422" i="6"/>
  <c r="R422" i="6"/>
  <c r="M600" i="9"/>
  <c r="M599" i="9" s="1"/>
  <c r="P706" i="9"/>
  <c r="O706" i="9"/>
  <c r="L1020" i="9"/>
  <c r="L1018" i="9" s="1"/>
  <c r="L1017" i="9" s="1"/>
  <c r="N1017" i="9" s="1"/>
  <c r="S295" i="6"/>
  <c r="L541" i="7"/>
  <c r="L535" i="7" s="1"/>
  <c r="L234" i="7"/>
  <c r="L232" i="7" s="1"/>
  <c r="N442" i="9"/>
  <c r="O442" i="9" s="1"/>
  <c r="O443" i="9"/>
  <c r="R231" i="6"/>
  <c r="V231" i="6"/>
  <c r="O721" i="9"/>
  <c r="M728" i="25"/>
  <c r="L726" i="25"/>
  <c r="L724" i="25" s="1"/>
  <c r="M724" i="25" s="1"/>
  <c r="M470" i="7"/>
  <c r="M469" i="7" s="1"/>
  <c r="N471" i="7"/>
  <c r="Q626" i="6"/>
  <c r="R626" i="6" s="1"/>
  <c r="S563" i="6"/>
  <c r="R563" i="6"/>
  <c r="O494" i="10"/>
  <c r="P494" i="10"/>
  <c r="N195" i="8"/>
  <c r="L194" i="8"/>
  <c r="L192" i="8" s="1"/>
  <c r="L190" i="8" s="1"/>
  <c r="O415" i="7"/>
  <c r="P415" i="7"/>
  <c r="D188" i="6"/>
  <c r="K442" i="6"/>
  <c r="K440" i="6" s="1"/>
  <c r="L93" i="7"/>
  <c r="L91" i="7" s="1"/>
  <c r="N59" i="7"/>
  <c r="O59" i="7" s="1"/>
  <c r="P477" i="7"/>
  <c r="O477" i="7"/>
  <c r="S430" i="6"/>
  <c r="R430" i="6"/>
  <c r="R122" i="6"/>
  <c r="S122" i="6"/>
  <c r="R62" i="6"/>
  <c r="S62" i="6"/>
  <c r="N51" i="7"/>
  <c r="G442" i="6"/>
  <c r="G440" i="6" s="1"/>
  <c r="M117" i="10"/>
  <c r="L838" i="7"/>
  <c r="L836" i="7" s="1"/>
  <c r="G36" i="1"/>
  <c r="O852" i="8"/>
  <c r="V461" i="6"/>
  <c r="S461" i="6"/>
  <c r="R461" i="6"/>
  <c r="R416" i="6"/>
  <c r="R415" i="6" s="1"/>
  <c r="S416" i="6"/>
  <c r="R29" i="6"/>
  <c r="S29" i="6"/>
  <c r="S547" i="6"/>
  <c r="R547" i="6"/>
  <c r="O485" i="7"/>
  <c r="P485" i="7"/>
  <c r="F612" i="6"/>
  <c r="F610" i="6" s="1"/>
  <c r="K449" i="10"/>
  <c r="O455" i="10"/>
  <c r="O265" i="9"/>
  <c r="N264" i="9"/>
  <c r="P842" i="7"/>
  <c r="F32" i="1"/>
  <c r="G32" i="1" s="1"/>
  <c r="P439" i="9"/>
  <c r="O439" i="9"/>
  <c r="R630" i="6"/>
  <c r="S630" i="6"/>
  <c r="M486" i="25"/>
  <c r="L477" i="25"/>
  <c r="V623" i="6"/>
  <c r="R623" i="6"/>
  <c r="S623" i="6"/>
  <c r="P766" i="9"/>
  <c r="O766" i="9"/>
  <c r="N264" i="8"/>
  <c r="O266" i="8"/>
  <c r="M390" i="7"/>
  <c r="N390" i="7" s="1"/>
  <c r="N392" i="7"/>
  <c r="O392" i="7" s="1"/>
  <c r="N294" i="10"/>
  <c r="M292" i="10"/>
  <c r="O62" i="9"/>
  <c r="P62" i="9"/>
  <c r="P370" i="8"/>
  <c r="O370" i="8"/>
  <c r="O795" i="7"/>
  <c r="O793" i="7" s="1"/>
  <c r="N793" i="7"/>
  <c r="O249" i="7"/>
  <c r="P249" i="7"/>
  <c r="N184" i="7"/>
  <c r="P184" i="7" s="1"/>
  <c r="P185" i="7"/>
  <c r="Q394" i="19"/>
  <c r="L386" i="19"/>
  <c r="Q386" i="19" s="1"/>
  <c r="R394" i="19"/>
  <c r="L196" i="29"/>
  <c r="M196" i="29" s="1"/>
  <c r="O375" i="10"/>
  <c r="P375" i="10"/>
  <c r="P685" i="10"/>
  <c r="O685" i="10"/>
  <c r="O754" i="9"/>
  <c r="P754" i="9"/>
  <c r="M504" i="29"/>
  <c r="L500" i="29"/>
  <c r="M230" i="29"/>
  <c r="O230" i="29" s="1"/>
  <c r="L214" i="29"/>
  <c r="M214" i="29" s="1"/>
  <c r="O808" i="7"/>
  <c r="P808" i="7"/>
  <c r="O295" i="8"/>
  <c r="P295" i="8"/>
  <c r="P857" i="7"/>
  <c r="N856" i="7"/>
  <c r="O552" i="10"/>
  <c r="P552" i="10"/>
  <c r="O449" i="8"/>
  <c r="K448" i="8"/>
  <c r="P449" i="8"/>
  <c r="N95" i="8"/>
  <c r="O96" i="8"/>
  <c r="P96" i="8"/>
  <c r="O304" i="16"/>
  <c r="V304" i="16" s="1"/>
  <c r="V307" i="16"/>
  <c r="R617" i="6"/>
  <c r="S617" i="6"/>
  <c r="V617" i="6"/>
  <c r="N749" i="10"/>
  <c r="O749" i="10" s="1"/>
  <c r="M748" i="10"/>
  <c r="N748" i="10" s="1"/>
  <c r="O748" i="10" s="1"/>
  <c r="N165" i="9"/>
  <c r="O165" i="9" s="1"/>
  <c r="M161" i="9"/>
  <c r="Q395" i="5"/>
  <c r="R395" i="5"/>
  <c r="O304" i="5"/>
  <c r="T304" i="5" s="1"/>
  <c r="O208" i="8"/>
  <c r="O303" i="19"/>
  <c r="V303" i="19" s="1"/>
  <c r="O307" i="30"/>
  <c r="V307" i="30" s="1"/>
  <c r="O307" i="23"/>
  <c r="V307" i="23" s="1"/>
  <c r="O308" i="27"/>
  <c r="V308" i="27" s="1"/>
  <c r="O303" i="16"/>
  <c r="V303" i="16" s="1"/>
  <c r="N743" i="10"/>
  <c r="O743" i="10" s="1"/>
  <c r="O746" i="10"/>
  <c r="F13" i="1"/>
  <c r="G13" i="1" s="1"/>
  <c r="P296" i="7"/>
  <c r="L197" i="25"/>
  <c r="M198" i="25"/>
  <c r="M247" i="7"/>
  <c r="N247" i="7" s="1"/>
  <c r="N248" i="7"/>
  <c r="L112" i="8"/>
  <c r="N112" i="8" s="1"/>
  <c r="N114" i="8"/>
  <c r="M84" i="29"/>
  <c r="L78" i="29"/>
  <c r="M78" i="29" s="1"/>
  <c r="K305" i="8"/>
  <c r="P306" i="8"/>
  <c r="O306" i="8"/>
  <c r="O106" i="8"/>
  <c r="O105" i="8" s="1"/>
  <c r="N105" i="8"/>
  <c r="P319" i="8"/>
  <c r="O319" i="8"/>
  <c r="AA817" i="39"/>
  <c r="AB817" i="39"/>
  <c r="X816" i="39"/>
  <c r="L15" i="18"/>
  <c r="R184" i="3"/>
  <c r="S184" i="3"/>
  <c r="N260" i="9"/>
  <c r="AG476" i="39"/>
  <c r="AG1020" i="39"/>
  <c r="AG497" i="39"/>
  <c r="AG647" i="39"/>
  <c r="Q292" i="6"/>
  <c r="O694" i="29"/>
  <c r="P694" i="29" s="1"/>
  <c r="Q23" i="24"/>
  <c r="S23" i="24"/>
  <c r="N401" i="4"/>
  <c r="O401" i="4"/>
  <c r="O55" i="39"/>
  <c r="Q55" i="39"/>
  <c r="R55" i="39"/>
  <c r="T55" i="39" s="1"/>
  <c r="R185" i="3"/>
  <c r="S185" i="3"/>
  <c r="L15" i="20"/>
  <c r="N27" i="20"/>
  <c r="L753" i="4"/>
  <c r="M753" i="4" s="1"/>
  <c r="N753" i="4" s="1"/>
  <c r="M755" i="4"/>
  <c r="N755" i="4" s="1"/>
  <c r="J704" i="4"/>
  <c r="N710" i="4"/>
  <c r="Q382" i="16"/>
  <c r="L380" i="16"/>
  <c r="R437" i="27"/>
  <c r="Q437" i="27"/>
  <c r="L428" i="27"/>
  <c r="L398" i="16"/>
  <c r="Q404" i="16"/>
  <c r="M414" i="4"/>
  <c r="L406" i="4"/>
  <c r="M406" i="4" s="1"/>
  <c r="N406" i="4" s="1"/>
  <c r="L371" i="4"/>
  <c r="M372" i="4"/>
  <c r="J156" i="4"/>
  <c r="J154" i="4"/>
  <c r="O157" i="4"/>
  <c r="N157" i="4"/>
  <c r="Q204" i="5"/>
  <c r="R204" i="5"/>
  <c r="L202" i="5"/>
  <c r="L604" i="5"/>
  <c r="R436" i="5"/>
  <c r="R604" i="5" s="1"/>
  <c r="Q436" i="5"/>
  <c r="L435" i="5"/>
  <c r="S421" i="3"/>
  <c r="R421" i="3"/>
  <c r="Q298" i="3"/>
  <c r="R298" i="3" s="1"/>
  <c r="S298" i="3" s="1"/>
  <c r="E281" i="3"/>
  <c r="R221" i="3"/>
  <c r="P48" i="20"/>
  <c r="T48" i="20" s="1"/>
  <c r="P48" i="11"/>
  <c r="P48" i="18"/>
  <c r="T48" i="18" s="1"/>
  <c r="N473" i="29"/>
  <c r="O477" i="29"/>
  <c r="P477" i="29" s="1"/>
  <c r="J8" i="16"/>
  <c r="N773" i="7"/>
  <c r="L42" i="31"/>
  <c r="P61" i="11"/>
  <c r="P61" i="20"/>
  <c r="T61" i="20" s="1"/>
  <c r="P61" i="18"/>
  <c r="T61" i="18" s="1"/>
  <c r="P23" i="24"/>
  <c r="O959" i="39"/>
  <c r="N957" i="39"/>
  <c r="R959" i="39"/>
  <c r="T959" i="39" s="1"/>
  <c r="Q959" i="39"/>
  <c r="X109" i="39"/>
  <c r="X107" i="39" s="1"/>
  <c r="AB110" i="39"/>
  <c r="AA110" i="39"/>
  <c r="P471" i="39"/>
  <c r="Q473" i="39"/>
  <c r="R473" i="39"/>
  <c r="S45" i="18"/>
  <c r="Q45" i="18"/>
  <c r="Y110" i="39"/>
  <c r="AA521" i="39"/>
  <c r="Y521" i="39"/>
  <c r="AB521" i="39"/>
  <c r="Q11" i="11"/>
  <c r="P11" i="11"/>
  <c r="P9" i="11" s="1"/>
  <c r="M9" i="11"/>
  <c r="Q9" i="11" s="1"/>
  <c r="J589" i="4"/>
  <c r="O487" i="4"/>
  <c r="N487" i="4"/>
  <c r="Q435" i="30"/>
  <c r="L426" i="30"/>
  <c r="R435" i="30"/>
  <c r="Q415" i="27"/>
  <c r="L409" i="27"/>
  <c r="L398" i="19"/>
  <c r="Q402" i="19"/>
  <c r="N376" i="4"/>
  <c r="O376" i="4"/>
  <c r="N362" i="4"/>
  <c r="O362" i="4"/>
  <c r="J358" i="4"/>
  <c r="M265" i="4"/>
  <c r="N265" i="4" s="1"/>
  <c r="L264" i="4"/>
  <c r="M264" i="4" s="1"/>
  <c r="N264" i="4" s="1"/>
  <c r="M215" i="4"/>
  <c r="L214" i="4"/>
  <c r="M214" i="4" s="1"/>
  <c r="Q207" i="30"/>
  <c r="R207" i="30"/>
  <c r="R203" i="16"/>
  <c r="Q203" i="16"/>
  <c r="R446" i="30"/>
  <c r="R613" i="30" s="1"/>
  <c r="L445" i="30"/>
  <c r="Q446" i="30"/>
  <c r="L613" i="30"/>
  <c r="L602" i="19"/>
  <c r="L433" i="19"/>
  <c r="R434" i="19"/>
  <c r="R602" i="19" s="1"/>
  <c r="Q434" i="19"/>
  <c r="M59" i="4"/>
  <c r="N59" i="4" s="1"/>
  <c r="L54" i="4"/>
  <c r="M54" i="4" s="1"/>
  <c r="R441" i="3"/>
  <c r="S441" i="3"/>
  <c r="Q373" i="3"/>
  <c r="R157" i="3"/>
  <c r="S157" i="3"/>
  <c r="R135" i="3"/>
  <c r="S135" i="3"/>
  <c r="N366" i="25"/>
  <c r="O367" i="25"/>
  <c r="P367" i="25" s="1"/>
  <c r="S231" i="3"/>
  <c r="K15" i="18"/>
  <c r="Q236" i="6"/>
  <c r="S236" i="6" s="1"/>
  <c r="D668" i="3"/>
  <c r="P685" i="39"/>
  <c r="R686" i="39"/>
  <c r="Q686" i="39"/>
  <c r="S43" i="24"/>
  <c r="T43" i="24" s="1"/>
  <c r="Q43" i="24"/>
  <c r="Q23" i="20"/>
  <c r="P23" i="20"/>
  <c r="S23" i="20"/>
  <c r="T23" i="20" s="1"/>
  <c r="O56" i="39"/>
  <c r="Q56" i="39"/>
  <c r="R56" i="39"/>
  <c r="T56" i="39" s="1"/>
  <c r="S286" i="3"/>
  <c r="R286" i="3"/>
  <c r="M781" i="4"/>
  <c r="L780" i="4"/>
  <c r="M780" i="4" s="1"/>
  <c r="N780" i="4" s="1"/>
  <c r="S33" i="28"/>
  <c r="Q33" i="28"/>
  <c r="P33" i="28"/>
  <c r="M773" i="4"/>
  <c r="N773" i="4" s="1"/>
  <c r="L771" i="4"/>
  <c r="M771" i="4" s="1"/>
  <c r="N771" i="4" s="1"/>
  <c r="M306" i="4"/>
  <c r="N306" i="4" s="1"/>
  <c r="L305" i="4"/>
  <c r="M305" i="4" s="1"/>
  <c r="N305" i="4" s="1"/>
  <c r="O305" i="4" s="1"/>
  <c r="M737" i="4"/>
  <c r="L735" i="4"/>
  <c r="M735" i="4" s="1"/>
  <c r="N735" i="4" s="1"/>
  <c r="L641" i="4"/>
  <c r="M648" i="4"/>
  <c r="M620" i="4"/>
  <c r="L615" i="4"/>
  <c r="M499" i="4"/>
  <c r="L498" i="4"/>
  <c r="M498" i="4" s="1"/>
  <c r="M486" i="4"/>
  <c r="L482" i="4"/>
  <c r="Q417" i="16"/>
  <c r="L416" i="16"/>
  <c r="R417" i="16"/>
  <c r="Q413" i="30"/>
  <c r="L407" i="30"/>
  <c r="N220" i="4"/>
  <c r="O220" i="4"/>
  <c r="L205" i="23"/>
  <c r="Q207" i="23"/>
  <c r="R207" i="23"/>
  <c r="S464" i="3"/>
  <c r="R464" i="3"/>
  <c r="D420" i="3"/>
  <c r="S423" i="3"/>
  <c r="R274" i="3"/>
  <c r="D169" i="3"/>
  <c r="R175" i="3"/>
  <c r="R169" i="3" s="1"/>
  <c r="G130" i="3"/>
  <c r="G129" i="3" s="1"/>
  <c r="Q134" i="3"/>
  <c r="Q24" i="31"/>
  <c r="P24" i="31"/>
  <c r="S24" i="31"/>
  <c r="T24" i="31" s="1"/>
  <c r="P534" i="25"/>
  <c r="O534" i="25"/>
  <c r="V931" i="39"/>
  <c r="W931" i="39"/>
  <c r="Y931" i="39" s="1"/>
  <c r="AF931" i="39"/>
  <c r="AG931" i="39" s="1"/>
  <c r="L71" i="28"/>
  <c r="T45" i="18"/>
  <c r="Z448" i="39"/>
  <c r="U448" i="39"/>
  <c r="L10" i="28"/>
  <c r="N118" i="4"/>
  <c r="N116" i="4" s="1"/>
  <c r="L457" i="3"/>
  <c r="L456" i="3" s="1"/>
  <c r="L427" i="3" s="1"/>
  <c r="L789" i="3" s="1"/>
  <c r="O443" i="25"/>
  <c r="P443" i="25" s="1"/>
  <c r="P442" i="25" s="1"/>
  <c r="N442" i="25"/>
  <c r="N847" i="25" s="1"/>
  <c r="N238" i="29"/>
  <c r="O239" i="29"/>
  <c r="P239" i="29" s="1"/>
  <c r="P803" i="10"/>
  <c r="O803" i="10"/>
  <c r="J482" i="4"/>
  <c r="J481" i="4" s="1"/>
  <c r="O483" i="4"/>
  <c r="N483" i="4"/>
  <c r="P430" i="5"/>
  <c r="P428" i="19"/>
  <c r="P442" i="27"/>
  <c r="P431" i="16"/>
  <c r="P440" i="30"/>
  <c r="P440" i="23"/>
  <c r="Q448" i="23"/>
  <c r="R448" i="23"/>
  <c r="S23" i="11"/>
  <c r="T23" i="11" s="1"/>
  <c r="Q23" i="11"/>
  <c r="P23" i="31"/>
  <c r="Q23" i="31"/>
  <c r="S23" i="31"/>
  <c r="R743" i="3"/>
  <c r="AA393" i="39"/>
  <c r="S391" i="39"/>
  <c r="AB393" i="39"/>
  <c r="Q11" i="20"/>
  <c r="P11" i="20"/>
  <c r="P9" i="20" s="1"/>
  <c r="M9" i="20"/>
  <c r="Q9" i="20" s="1"/>
  <c r="M47" i="4"/>
  <c r="N47" i="4" s="1"/>
  <c r="L43" i="4"/>
  <c r="M43" i="4" s="1"/>
  <c r="J491" i="4"/>
  <c r="O492" i="4"/>
  <c r="N492" i="4"/>
  <c r="O470" i="4"/>
  <c r="N470" i="4"/>
  <c r="Q425" i="5"/>
  <c r="R425" i="5"/>
  <c r="L426" i="23"/>
  <c r="R435" i="23"/>
  <c r="Q435" i="23"/>
  <c r="Q209" i="27"/>
  <c r="L206" i="27"/>
  <c r="Q203" i="19"/>
  <c r="L201" i="19"/>
  <c r="R203" i="19"/>
  <c r="M134" i="4"/>
  <c r="L130" i="4"/>
  <c r="R448" i="27"/>
  <c r="R615" i="27" s="1"/>
  <c r="Q448" i="27"/>
  <c r="L615" i="27"/>
  <c r="L447" i="27"/>
  <c r="M12" i="4"/>
  <c r="L11" i="4"/>
  <c r="F491" i="3"/>
  <c r="Q492" i="3"/>
  <c r="S382" i="3"/>
  <c r="R382" i="3"/>
  <c r="R299" i="3"/>
  <c r="R273" i="3"/>
  <c r="E216" i="3"/>
  <c r="E215" i="3" s="1"/>
  <c r="Q217" i="3"/>
  <c r="R186" i="3"/>
  <c r="S186" i="3"/>
  <c r="S48" i="11"/>
  <c r="T48" i="11" s="1"/>
  <c r="O43" i="11"/>
  <c r="Q26" i="28"/>
  <c r="P26" i="28"/>
  <c r="S26" i="28"/>
  <c r="Y287" i="39"/>
  <c r="N584" i="27"/>
  <c r="N10" i="27"/>
  <c r="N8" i="27" s="1"/>
  <c r="O61" i="10"/>
  <c r="P61" i="10"/>
  <c r="N378" i="7"/>
  <c r="O378" i="7" s="1"/>
  <c r="O381" i="7"/>
  <c r="L66" i="25"/>
  <c r="M66" i="25" s="1"/>
  <c r="M67" i="25"/>
  <c r="R884" i="39"/>
  <c r="T884" i="39" s="1"/>
  <c r="Q884" i="39"/>
  <c r="N880" i="39"/>
  <c r="O884" i="39"/>
  <c r="Q560" i="39"/>
  <c r="N558" i="39"/>
  <c r="R560" i="39"/>
  <c r="T560" i="39" s="1"/>
  <c r="O560" i="39"/>
  <c r="Q769" i="39"/>
  <c r="W769" i="39"/>
  <c r="Y769" i="39" s="1"/>
  <c r="AF769" i="39"/>
  <c r="V769" i="39"/>
  <c r="O219" i="39"/>
  <c r="R219" i="39"/>
  <c r="Q219" i="39"/>
  <c r="P241" i="7"/>
  <c r="O241" i="7"/>
  <c r="P50" i="23"/>
  <c r="P50" i="30"/>
  <c r="P50" i="16"/>
  <c r="P50" i="27"/>
  <c r="P51" i="5"/>
  <c r="P50" i="19"/>
  <c r="L43" i="11"/>
  <c r="I32" i="12" s="1"/>
  <c r="Q577" i="3"/>
  <c r="L562" i="19"/>
  <c r="N774" i="7"/>
  <c r="L192" i="10"/>
  <c r="L847" i="8"/>
  <c r="N889" i="10"/>
  <c r="O889" i="10" s="1"/>
  <c r="Q385" i="6"/>
  <c r="Q39" i="6"/>
  <c r="M833" i="10"/>
  <c r="N833" i="10" s="1"/>
  <c r="H227" i="6"/>
  <c r="P574" i="8"/>
  <c r="V309" i="6"/>
  <c r="M659" i="10"/>
  <c r="M658" i="10" s="1"/>
  <c r="P20" i="8"/>
  <c r="Q294" i="6"/>
  <c r="Q31" i="6"/>
  <c r="R31" i="6" s="1"/>
  <c r="O958" i="10"/>
  <c r="O931" i="10"/>
  <c r="P689" i="10"/>
  <c r="O882" i="9"/>
  <c r="N226" i="10"/>
  <c r="O226" i="10" s="1"/>
  <c r="N642" i="29"/>
  <c r="O642" i="29" s="1"/>
  <c r="P642" i="29" s="1"/>
  <c r="AG200" i="39"/>
  <c r="N605" i="30"/>
  <c r="O605" i="30" s="1"/>
  <c r="R279" i="6"/>
  <c r="S473" i="39"/>
  <c r="AB473" i="39" s="1"/>
  <c r="AF474" i="39"/>
  <c r="W474" i="39"/>
  <c r="Y474" i="39" s="1"/>
  <c r="V474" i="39"/>
  <c r="O529" i="39"/>
  <c r="Q529" i="39"/>
  <c r="R529" i="39"/>
  <c r="T529" i="39" s="1"/>
  <c r="AG607" i="39"/>
  <c r="O68" i="25"/>
  <c r="P69" i="25"/>
  <c r="S263" i="6"/>
  <c r="R263" i="6"/>
  <c r="V263" i="6"/>
  <c r="S125" i="6"/>
  <c r="V125" i="6"/>
  <c r="R125" i="6"/>
  <c r="R19" i="6"/>
  <c r="S19" i="6"/>
  <c r="Q44" i="18"/>
  <c r="S44" i="18"/>
  <c r="T44" i="18" s="1"/>
  <c r="Q310" i="16"/>
  <c r="R310" i="16"/>
  <c r="J368" i="29"/>
  <c r="O368" i="29" s="1"/>
  <c r="P368" i="29" s="1"/>
  <c r="O369" i="29"/>
  <c r="P369" i="29" s="1"/>
  <c r="P24" i="20"/>
  <c r="S24" i="20"/>
  <c r="Q24" i="20"/>
  <c r="K851" i="8"/>
  <c r="K849" i="8" s="1"/>
  <c r="K847" i="8" s="1"/>
  <c r="K845" i="8" s="1"/>
  <c r="N781" i="4"/>
  <c r="O25" i="6"/>
  <c r="N863" i="39"/>
  <c r="O864" i="39"/>
  <c r="Q864" i="39"/>
  <c r="R864" i="39"/>
  <c r="T864" i="39" s="1"/>
  <c r="Q606" i="39"/>
  <c r="R606" i="39"/>
  <c r="T606" i="39" s="1"/>
  <c r="W606" i="39"/>
  <c r="Y606" i="39" s="1"/>
  <c r="AF606" i="39"/>
  <c r="AG606" i="39" s="1"/>
  <c r="V606" i="39"/>
  <c r="Q455" i="39"/>
  <c r="AF455" i="39"/>
  <c r="R455" i="39"/>
  <c r="T455" i="39" s="1"/>
  <c r="P454" i="39"/>
  <c r="V455" i="39"/>
  <c r="W455" i="39"/>
  <c r="R587" i="39"/>
  <c r="T587" i="39" s="1"/>
  <c r="Q587" i="39"/>
  <c r="N583" i="39"/>
  <c r="O587" i="39"/>
  <c r="N233" i="39"/>
  <c r="O237" i="39"/>
  <c r="R237" i="39"/>
  <c r="T237" i="39" s="1"/>
  <c r="Q237" i="39"/>
  <c r="S285" i="6"/>
  <c r="R285" i="6"/>
  <c r="R153" i="6"/>
  <c r="S153" i="6"/>
  <c r="Q154" i="3"/>
  <c r="N333" i="7"/>
  <c r="P333" i="7" s="1"/>
  <c r="N181" i="7"/>
  <c r="J8" i="19"/>
  <c r="N222" i="10"/>
  <c r="P222" i="10" s="1"/>
  <c r="F25" i="6"/>
  <c r="N262" i="9"/>
  <c r="O661" i="10"/>
  <c r="O394" i="7"/>
  <c r="P827" i="10"/>
  <c r="M340" i="8"/>
  <c r="O114" i="10"/>
  <c r="O918" i="10"/>
  <c r="N1019" i="8"/>
  <c r="M68" i="25"/>
  <c r="N563" i="10"/>
  <c r="O563" i="10" s="1"/>
  <c r="K15" i="24"/>
  <c r="K8" i="24" s="1"/>
  <c r="N314" i="9"/>
  <c r="H25" i="6"/>
  <c r="N918" i="10"/>
  <c r="P795" i="10"/>
  <c r="Q534" i="39"/>
  <c r="M10" i="23"/>
  <c r="M8" i="23" s="1"/>
  <c r="M533" i="10"/>
  <c r="R97" i="3"/>
  <c r="N43" i="19"/>
  <c r="R534" i="39"/>
  <c r="T331" i="39"/>
  <c r="AG668" i="39"/>
  <c r="AG443" i="39"/>
  <c r="N428" i="8"/>
  <c r="O428" i="8" s="1"/>
  <c r="O776" i="7"/>
  <c r="S231" i="6"/>
  <c r="V894" i="39"/>
  <c r="P893" i="39"/>
  <c r="W894" i="39"/>
  <c r="Y894" i="39" s="1"/>
  <c r="AF894" i="39"/>
  <c r="AG894" i="39" s="1"/>
  <c r="Q894" i="39"/>
  <c r="R894" i="39"/>
  <c r="T894" i="39" s="1"/>
  <c r="R442" i="39"/>
  <c r="T442" i="39" s="1"/>
  <c r="Q442" i="39"/>
  <c r="O442" i="39"/>
  <c r="N441" i="39"/>
  <c r="O404" i="39"/>
  <c r="R404" i="39"/>
  <c r="T404" i="39" s="1"/>
  <c r="N393" i="39"/>
  <c r="Q404" i="39"/>
  <c r="S266" i="39"/>
  <c r="AB267" i="39"/>
  <c r="AA267" i="39"/>
  <c r="W267" i="39"/>
  <c r="Y267" i="39" s="1"/>
  <c r="V267" i="39"/>
  <c r="AF267" i="39"/>
  <c r="AG267" i="39" s="1"/>
  <c r="Y602" i="39"/>
  <c r="W599" i="39"/>
  <c r="Y599" i="39" s="1"/>
  <c r="P92" i="19"/>
  <c r="Q93" i="19"/>
  <c r="R93" i="19"/>
  <c r="R96" i="27"/>
  <c r="P95" i="27"/>
  <c r="Q96" i="27"/>
  <c r="P217" i="27"/>
  <c r="R218" i="27"/>
  <c r="K1067" i="8"/>
  <c r="P1068" i="8"/>
  <c r="O1068" i="8"/>
  <c r="R288" i="6"/>
  <c r="S288" i="6"/>
  <c r="R185" i="6"/>
  <c r="S185" i="6"/>
  <c r="M549" i="4"/>
  <c r="N549" i="4" s="1"/>
  <c r="L799" i="4"/>
  <c r="M54" i="18"/>
  <c r="R365" i="5"/>
  <c r="M54" i="11"/>
  <c r="M54" i="20"/>
  <c r="Q365" i="5"/>
  <c r="M322" i="4"/>
  <c r="N322" i="4" s="1"/>
  <c r="L321" i="4"/>
  <c r="M321" i="4" s="1"/>
  <c r="N321" i="4" s="1"/>
  <c r="O321" i="4" s="1"/>
  <c r="Q11" i="31"/>
  <c r="P11" i="31"/>
  <c r="P9" i="31" s="1"/>
  <c r="V213" i="30"/>
  <c r="O204" i="30"/>
  <c r="Q311" i="5"/>
  <c r="R311" i="5"/>
  <c r="M9" i="31"/>
  <c r="Q9" i="31" s="1"/>
  <c r="T19" i="24"/>
  <c r="L606" i="4"/>
  <c r="M606" i="4" s="1"/>
  <c r="N606" i="4" s="1"/>
  <c r="M607" i="4"/>
  <c r="N607" i="4" s="1"/>
  <c r="P45" i="28"/>
  <c r="Q45" i="28"/>
  <c r="S45" i="28"/>
  <c r="N256" i="7"/>
  <c r="R661" i="3"/>
  <c r="T267" i="39"/>
  <c r="N330" i="4"/>
  <c r="N667" i="25"/>
  <c r="N666" i="25" s="1"/>
  <c r="O668" i="25"/>
  <c r="P668" i="25" s="1"/>
  <c r="Q450" i="5"/>
  <c r="R450" i="5"/>
  <c r="P852" i="8"/>
  <c r="N229" i="23"/>
  <c r="N10" i="23" s="1"/>
  <c r="N8" i="23" s="1"/>
  <c r="N436" i="19"/>
  <c r="O436" i="19" s="1"/>
  <c r="V436" i="19" s="1"/>
  <c r="P549" i="7"/>
  <c r="O222" i="9"/>
  <c r="Q124" i="6"/>
  <c r="R124" i="6" s="1"/>
  <c r="K369" i="7"/>
  <c r="K367" i="7" s="1"/>
  <c r="K365" i="7" s="1"/>
  <c r="K363" i="7" s="1"/>
  <c r="L273" i="6"/>
  <c r="L272" i="6" s="1"/>
  <c r="L251" i="6" s="1"/>
  <c r="Q111" i="6"/>
  <c r="N645" i="9"/>
  <c r="N417" i="7"/>
  <c r="O417" i="7" s="1"/>
  <c r="M59" i="10"/>
  <c r="N59" i="10" s="1"/>
  <c r="AG215" i="39"/>
  <c r="R769" i="39"/>
  <c r="T769" i="39" s="1"/>
  <c r="Q522" i="3"/>
  <c r="R522" i="3" s="1"/>
  <c r="D349" i="2"/>
  <c r="F349" i="2" s="1"/>
  <c r="Q277" i="6"/>
  <c r="E550" i="6"/>
  <c r="E549" i="6" s="1"/>
  <c r="L378" i="7"/>
  <c r="L377" i="7" s="1"/>
  <c r="N377" i="7" s="1"/>
  <c r="O377" i="7" s="1"/>
  <c r="AG220" i="39"/>
  <c r="H276" i="6"/>
  <c r="L8" i="20"/>
  <c r="T49" i="24"/>
  <c r="R654" i="3"/>
  <c r="AG340" i="39"/>
  <c r="AG332" i="39"/>
  <c r="N405" i="23"/>
  <c r="O405" i="23" s="1"/>
  <c r="V405" i="23" s="1"/>
  <c r="O695" i="39"/>
  <c r="N694" i="39"/>
  <c r="R695" i="39"/>
  <c r="T695" i="39" s="1"/>
  <c r="Q695" i="39"/>
  <c r="R599" i="39"/>
  <c r="Q599" i="39"/>
  <c r="P598" i="39"/>
  <c r="AF599" i="39"/>
  <c r="AG599" i="39" s="1"/>
  <c r="AF761" i="39"/>
  <c r="AG761" i="39" s="1"/>
  <c r="W761" i="39"/>
  <c r="Y761" i="39" s="1"/>
  <c r="S760" i="39"/>
  <c r="V761" i="39"/>
  <c r="AB761" i="39"/>
  <c r="AA761" i="39"/>
  <c r="N628" i="25"/>
  <c r="O629" i="25"/>
  <c r="P629" i="25" s="1"/>
  <c r="AG1045" i="39"/>
  <c r="R88" i="39"/>
  <c r="O88" i="39"/>
  <c r="Q88" i="39"/>
  <c r="N87" i="39"/>
  <c r="O853" i="39"/>
  <c r="Q853" i="39"/>
  <c r="N852" i="39"/>
  <c r="R853" i="39"/>
  <c r="T853" i="39" s="1"/>
  <c r="V480" i="30"/>
  <c r="O479" i="30"/>
  <c r="V479" i="30" s="1"/>
  <c r="X233" i="39"/>
  <c r="AB237" i="39"/>
  <c r="R118" i="3"/>
  <c r="S118" i="3"/>
  <c r="P10" i="24"/>
  <c r="P9" i="24" s="1"/>
  <c r="Q10" i="24"/>
  <c r="O9" i="24"/>
  <c r="Q9" i="24" s="1"/>
  <c r="P542" i="10"/>
  <c r="O542" i="10"/>
  <c r="M707" i="4"/>
  <c r="N707" i="4" s="1"/>
  <c r="L706" i="4"/>
  <c r="N273" i="4"/>
  <c r="D492" i="3"/>
  <c r="S493" i="3"/>
  <c r="R493" i="3"/>
  <c r="N257" i="7"/>
  <c r="O21" i="20"/>
  <c r="P7" i="33"/>
  <c r="M661" i="7"/>
  <c r="N681" i="7"/>
  <c r="P681" i="7" s="1"/>
  <c r="L961" i="8"/>
  <c r="N961" i="8" s="1"/>
  <c r="O840" i="7"/>
  <c r="P840" i="7"/>
  <c r="M141" i="7"/>
  <c r="M139" i="7" s="1"/>
  <c r="N147" i="7"/>
  <c r="O147" i="7" s="1"/>
  <c r="L216" i="10"/>
  <c r="L214" i="10" s="1"/>
  <c r="O774" i="8"/>
  <c r="O788" i="10"/>
  <c r="M82" i="10"/>
  <c r="M77" i="10" s="1"/>
  <c r="O738" i="8"/>
  <c r="N695" i="9"/>
  <c r="N687" i="7"/>
  <c r="P687" i="7" s="1"/>
  <c r="O350" i="8"/>
  <c r="N306" i="7"/>
  <c r="M502" i="8"/>
  <c r="M500" i="8" s="1"/>
  <c r="N394" i="9"/>
  <c r="N693" i="9"/>
  <c r="R15" i="6"/>
  <c r="S15" i="6"/>
  <c r="V15" i="6"/>
  <c r="P431" i="9"/>
  <c r="O431" i="9"/>
  <c r="O187" i="9"/>
  <c r="R702" i="6"/>
  <c r="L110" i="8"/>
  <c r="N110" i="8" s="1"/>
  <c r="L25" i="6"/>
  <c r="N734" i="8"/>
  <c r="O734" i="8" s="1"/>
  <c r="O374" i="7"/>
  <c r="R632" i="6"/>
  <c r="O308" i="7"/>
  <c r="O273" i="6"/>
  <c r="O272" i="6" s="1"/>
  <c r="O251" i="6" s="1"/>
  <c r="S632" i="6"/>
  <c r="P869" i="9"/>
  <c r="I27" i="6"/>
  <c r="Q27" i="6" s="1"/>
  <c r="O635" i="8"/>
  <c r="V282" i="6"/>
  <c r="R282" i="6"/>
  <c r="V216" i="6"/>
  <c r="R216" i="6"/>
  <c r="S216" i="6"/>
  <c r="J25" i="6"/>
  <c r="N225" i="19"/>
  <c r="N10" i="19" s="1"/>
  <c r="N342" i="8"/>
  <c r="K192" i="7"/>
  <c r="K190" i="7" s="1"/>
  <c r="L216" i="7"/>
  <c r="N216" i="7" s="1"/>
  <c r="N275" i="10"/>
  <c r="M312" i="9"/>
  <c r="K36" i="10"/>
  <c r="K407" i="9"/>
  <c r="K405" i="9" s="1"/>
  <c r="O542" i="7"/>
  <c r="N541" i="7"/>
  <c r="O541" i="7" s="1"/>
  <c r="P825" i="8"/>
  <c r="P200" i="10"/>
  <c r="O200" i="10"/>
  <c r="V213" i="6"/>
  <c r="S213" i="6"/>
  <c r="R213" i="6"/>
  <c r="N851" i="10"/>
  <c r="M849" i="10"/>
  <c r="R281" i="6"/>
  <c r="V281" i="6"/>
  <c r="S281" i="6"/>
  <c r="P666" i="6"/>
  <c r="Q666" i="6" s="1"/>
  <c r="Q668" i="6"/>
  <c r="V616" i="6"/>
  <c r="Q615" i="6"/>
  <c r="Q614" i="6" s="1"/>
  <c r="S616" i="6"/>
  <c r="P637" i="8"/>
  <c r="O637" i="8"/>
  <c r="S60" i="31"/>
  <c r="P60" i="31"/>
  <c r="P481" i="7"/>
  <c r="O481" i="7"/>
  <c r="N669" i="7"/>
  <c r="F26" i="1" s="1"/>
  <c r="G26" i="1" s="1"/>
  <c r="P881" i="9"/>
  <c r="O881" i="9"/>
  <c r="K888" i="7"/>
  <c r="O890" i="7"/>
  <c r="P890" i="7"/>
  <c r="N351" i="7"/>
  <c r="O351" i="7" s="1"/>
  <c r="M350" i="7"/>
  <c r="M340" i="7" s="1"/>
  <c r="M338" i="7" s="1"/>
  <c r="O32" i="10"/>
  <c r="P32" i="10"/>
  <c r="S181" i="6"/>
  <c r="X497" i="39"/>
  <c r="Y498" i="39"/>
  <c r="AB498" i="39"/>
  <c r="AA498" i="39"/>
  <c r="N272" i="39"/>
  <c r="Q280" i="39"/>
  <c r="O280" i="39"/>
  <c r="R280" i="39"/>
  <c r="T280" i="39" s="1"/>
  <c r="O489" i="7"/>
  <c r="P489" i="7"/>
  <c r="M768" i="10"/>
  <c r="N768" i="10" s="1"/>
  <c r="N770" i="10"/>
  <c r="S233" i="6"/>
  <c r="R233" i="6"/>
  <c r="L658" i="10"/>
  <c r="N658" i="10" s="1"/>
  <c r="N326" i="7"/>
  <c r="M312" i="7"/>
  <c r="M40" i="9"/>
  <c r="M38" i="9" s="1"/>
  <c r="N48" i="9"/>
  <c r="O48" i="9" s="1"/>
  <c r="O433" i="7"/>
  <c r="F355" i="6"/>
  <c r="F354" i="6" s="1"/>
  <c r="Q401" i="6"/>
  <c r="L48" i="7"/>
  <c r="N48" i="7" s="1"/>
  <c r="O48" i="7" s="1"/>
  <c r="O260" i="9"/>
  <c r="P260" i="9"/>
  <c r="N256" i="9"/>
  <c r="P256" i="9" s="1"/>
  <c r="L243" i="9"/>
  <c r="L234" i="9" s="1"/>
  <c r="L232" i="9" s="1"/>
  <c r="L901" i="7"/>
  <c r="N343" i="8"/>
  <c r="O344" i="8"/>
  <c r="P344" i="8"/>
  <c r="M60" i="18"/>
  <c r="M60" i="11"/>
  <c r="M60" i="20"/>
  <c r="L398" i="5"/>
  <c r="Q60" i="31"/>
  <c r="Q95" i="6"/>
  <c r="N91" i="6"/>
  <c r="Q91" i="6" s="1"/>
  <c r="O95" i="7"/>
  <c r="P95" i="7"/>
  <c r="F14" i="1"/>
  <c r="G14" i="1" s="1"/>
  <c r="O316" i="7"/>
  <c r="N470" i="7"/>
  <c r="L469" i="7"/>
  <c r="N469" i="7" s="1"/>
  <c r="R616" i="6"/>
  <c r="P949" i="10"/>
  <c r="O949" i="10"/>
  <c r="P937" i="10"/>
  <c r="O937" i="10"/>
  <c r="O931" i="8"/>
  <c r="P931" i="8"/>
  <c r="N269" i="7"/>
  <c r="O270" i="7"/>
  <c r="O305" i="5"/>
  <c r="T305" i="5" s="1"/>
  <c r="T308" i="5"/>
  <c r="P251" i="8"/>
  <c r="O251" i="8"/>
  <c r="N383" i="29"/>
  <c r="N367" i="29" s="1"/>
  <c r="O384" i="29"/>
  <c r="P384" i="29" s="1"/>
  <c r="O681" i="10"/>
  <c r="N680" i="10"/>
  <c r="N669" i="10" s="1"/>
  <c r="P669" i="10" s="1"/>
  <c r="P681" i="10"/>
  <c r="L759" i="9"/>
  <c r="L757" i="9" s="1"/>
  <c r="N774" i="9"/>
  <c r="M198" i="8"/>
  <c r="N199" i="8"/>
  <c r="O473" i="7"/>
  <c r="P473" i="7"/>
  <c r="P31" i="28"/>
  <c r="Q31" i="28"/>
  <c r="S31" i="28"/>
  <c r="O29" i="28"/>
  <c r="O557" i="8"/>
  <c r="P557" i="8"/>
  <c r="O322" i="39"/>
  <c r="R322" i="39"/>
  <c r="T322" i="39" s="1"/>
  <c r="Q322" i="39"/>
  <c r="N321" i="39"/>
  <c r="O224" i="39"/>
  <c r="N218" i="39"/>
  <c r="R224" i="39"/>
  <c r="Q224" i="39"/>
  <c r="W219" i="39"/>
  <c r="Y219" i="39" s="1"/>
  <c r="AB219" i="39"/>
  <c r="T219" i="39"/>
  <c r="AA219" i="39"/>
  <c r="V219" i="39"/>
  <c r="AF219" i="39"/>
  <c r="AF214" i="39"/>
  <c r="W214" i="39"/>
  <c r="Y214" i="39" s="1"/>
  <c r="V214" i="39"/>
  <c r="Q214" i="39"/>
  <c r="P213" i="39"/>
  <c r="R214" i="39"/>
  <c r="T214" i="39" s="1"/>
  <c r="S107" i="39"/>
  <c r="AF109" i="39"/>
  <c r="AB109" i="39"/>
  <c r="W109" i="39"/>
  <c r="Y109" i="39" s="1"/>
  <c r="AA109" i="39"/>
  <c r="V109" i="39"/>
  <c r="N11" i="29"/>
  <c r="O12" i="29"/>
  <c r="P12" i="29" s="1"/>
  <c r="J461" i="4"/>
  <c r="J460" i="4" s="1"/>
  <c r="J456" i="4" s="1"/>
  <c r="J455" i="4" s="1"/>
  <c r="N465" i="4"/>
  <c r="O465" i="4"/>
  <c r="V365" i="27"/>
  <c r="O317" i="27"/>
  <c r="V317" i="27" s="1"/>
  <c r="M446" i="4"/>
  <c r="L445" i="4"/>
  <c r="M445" i="4" s="1"/>
  <c r="Q360" i="19"/>
  <c r="L312" i="19"/>
  <c r="R448" i="3"/>
  <c r="S448" i="3"/>
  <c r="F566" i="6"/>
  <c r="Q567" i="6"/>
  <c r="N8" i="3"/>
  <c r="O898" i="9"/>
  <c r="P898" i="9"/>
  <c r="S61" i="6"/>
  <c r="R61" i="6"/>
  <c r="J13" i="6"/>
  <c r="Q18" i="6"/>
  <c r="S18" i="6" s="1"/>
  <c r="P350" i="8"/>
  <c r="O794" i="8"/>
  <c r="N790" i="8"/>
  <c r="P794" i="8"/>
  <c r="M53" i="24"/>
  <c r="M55" i="28"/>
  <c r="S55" i="28" s="1"/>
  <c r="Q387" i="5"/>
  <c r="P55" i="18" s="1"/>
  <c r="M55" i="20"/>
  <c r="S55" i="20" s="1"/>
  <c r="M53" i="31"/>
  <c r="O59" i="9"/>
  <c r="P59" i="9"/>
  <c r="P739" i="10"/>
  <c r="O739" i="10"/>
  <c r="O321" i="10"/>
  <c r="N319" i="10"/>
  <c r="N318" i="10" s="1"/>
  <c r="O637" i="9"/>
  <c r="N634" i="9"/>
  <c r="O634" i="9" s="1"/>
  <c r="X617" i="39"/>
  <c r="Y618" i="39"/>
  <c r="O96" i="7"/>
  <c r="P96" i="7"/>
  <c r="F6" i="1"/>
  <c r="G6" i="1" s="1"/>
  <c r="M215" i="25"/>
  <c r="L214" i="25"/>
  <c r="M214" i="25" s="1"/>
  <c r="O348" i="7"/>
  <c r="P348" i="7"/>
  <c r="M369" i="8"/>
  <c r="N374" i="8"/>
  <c r="S393" i="3"/>
  <c r="R393" i="3"/>
  <c r="N94" i="4"/>
  <c r="R391" i="27"/>
  <c r="L390" i="27"/>
  <c r="Q391" i="27"/>
  <c r="O482" i="19"/>
  <c r="V482" i="19" s="1"/>
  <c r="V483" i="19"/>
  <c r="N600" i="19"/>
  <c r="N594" i="19" s="1"/>
  <c r="O594" i="19" s="1"/>
  <c r="N430" i="19"/>
  <c r="M428" i="4"/>
  <c r="L427" i="4"/>
  <c r="M427" i="4" s="1"/>
  <c r="O403" i="5"/>
  <c r="O413" i="30"/>
  <c r="N432" i="4"/>
  <c r="O432" i="4" s="1"/>
  <c r="O404" i="16"/>
  <c r="O413" i="23"/>
  <c r="O402" i="19"/>
  <c r="O415" i="27"/>
  <c r="Q356" i="5"/>
  <c r="L313" i="5"/>
  <c r="Q359" i="30"/>
  <c r="L316" i="30"/>
  <c r="D613" i="3"/>
  <c r="S614" i="3"/>
  <c r="R614" i="3"/>
  <c r="Q314" i="3"/>
  <c r="R314" i="3" s="1"/>
  <c r="S314" i="3" s="1"/>
  <c r="F281" i="3"/>
  <c r="M405" i="7"/>
  <c r="M403" i="7" s="1"/>
  <c r="N407" i="7"/>
  <c r="L647" i="10"/>
  <c r="L645" i="10" s="1"/>
  <c r="N649" i="10"/>
  <c r="P649" i="10" s="1"/>
  <c r="N653" i="10"/>
  <c r="O653" i="10" s="1"/>
  <c r="O851" i="9"/>
  <c r="N850" i="9"/>
  <c r="P850" i="9" s="1"/>
  <c r="N977" i="9"/>
  <c r="O977" i="9" s="1"/>
  <c r="L971" i="9"/>
  <c r="N971" i="9" s="1"/>
  <c r="P495" i="7"/>
  <c r="O495" i="7"/>
  <c r="P507" i="8"/>
  <c r="O507" i="8"/>
  <c r="P200" i="7"/>
  <c r="Q555" i="6"/>
  <c r="I550" i="6"/>
  <c r="I549" i="6" s="1"/>
  <c r="Q530" i="6"/>
  <c r="V532" i="6"/>
  <c r="S532" i="6"/>
  <c r="N535" i="29"/>
  <c r="O535" i="29" s="1"/>
  <c r="P535" i="29" s="1"/>
  <c r="O536" i="29"/>
  <c r="P536" i="29" s="1"/>
  <c r="Q776" i="39"/>
  <c r="R776" i="39"/>
  <c r="T776" i="39" s="1"/>
  <c r="V776" i="39"/>
  <c r="AG776" i="39" s="1"/>
  <c r="P775" i="39"/>
  <c r="W776" i="39"/>
  <c r="Y493" i="39"/>
  <c r="Q1053" i="39"/>
  <c r="R1053" i="39"/>
  <c r="T1053" i="39" s="1"/>
  <c r="O1053" i="39"/>
  <c r="R611" i="39"/>
  <c r="T611" i="39" s="1"/>
  <c r="W611" i="39"/>
  <c r="Y611" i="39" s="1"/>
  <c r="Q611" i="39"/>
  <c r="V611" i="39"/>
  <c r="AF611" i="39"/>
  <c r="P597" i="39"/>
  <c r="P901" i="10"/>
  <c r="O901" i="10"/>
  <c r="N874" i="10"/>
  <c r="O874" i="10" s="1"/>
  <c r="M873" i="10"/>
  <c r="O823" i="10"/>
  <c r="P823" i="10"/>
  <c r="N822" i="10"/>
  <c r="L394" i="10"/>
  <c r="L392" i="10" s="1"/>
  <c r="L390" i="10" s="1"/>
  <c r="N400" i="10"/>
  <c r="O400" i="10" s="1"/>
  <c r="X55" i="39"/>
  <c r="X56" i="39"/>
  <c r="AA57" i="39"/>
  <c r="AB57" i="39"/>
  <c r="Y57" i="39"/>
  <c r="N426" i="8"/>
  <c r="P428" i="8"/>
  <c r="J11" i="10"/>
  <c r="T107" i="39"/>
  <c r="T109" i="39"/>
  <c r="G228" i="6"/>
  <c r="G227" i="6" s="1"/>
  <c r="K110" i="7"/>
  <c r="K108" i="7" s="1"/>
  <c r="L549" i="6"/>
  <c r="F13" i="6"/>
  <c r="Q104" i="3"/>
  <c r="Q91" i="3"/>
  <c r="Q679" i="6"/>
  <c r="S679" i="6" s="1"/>
  <c r="N594" i="7"/>
  <c r="Q102" i="6"/>
  <c r="R102" i="6" s="1"/>
  <c r="M192" i="7"/>
  <c r="M190" i="7" s="1"/>
  <c r="K9" i="5"/>
  <c r="L8" i="31"/>
  <c r="T48" i="24"/>
  <c r="AB225" i="39"/>
  <c r="S224" i="39"/>
  <c r="S218" i="39" s="1"/>
  <c r="V225" i="39"/>
  <c r="AF225" i="39"/>
  <c r="W225" i="39"/>
  <c r="Y225" i="39" s="1"/>
  <c r="O936" i="39"/>
  <c r="N935" i="39"/>
  <c r="R936" i="39"/>
  <c r="T936" i="39" s="1"/>
  <c r="Q936" i="39"/>
  <c r="P395" i="39"/>
  <c r="Q396" i="39"/>
  <c r="R396" i="39"/>
  <c r="T396" i="39" s="1"/>
  <c r="AF396" i="39"/>
  <c r="AG396" i="39" s="1"/>
  <c r="W396" i="39"/>
  <c r="Y396" i="39" s="1"/>
  <c r="P856" i="10"/>
  <c r="O856" i="10"/>
  <c r="K198" i="10"/>
  <c r="O199" i="10"/>
  <c r="P92" i="16"/>
  <c r="R93" i="16"/>
  <c r="S19" i="18"/>
  <c r="Q19" i="18"/>
  <c r="P19" i="18"/>
  <c r="L885" i="8"/>
  <c r="L879" i="8" s="1"/>
  <c r="L877" i="8" s="1"/>
  <c r="N894" i="8"/>
  <c r="P472" i="7"/>
  <c r="O472" i="7"/>
  <c r="J666" i="25"/>
  <c r="O666" i="25" s="1"/>
  <c r="P666" i="25" s="1"/>
  <c r="O667" i="25"/>
  <c r="P667" i="25" s="1"/>
  <c r="M463" i="25"/>
  <c r="L462" i="25"/>
  <c r="O372" i="10"/>
  <c r="P372" i="10"/>
  <c r="O531" i="8"/>
  <c r="P531" i="8"/>
  <c r="M509" i="29"/>
  <c r="L508" i="29"/>
  <c r="P68" i="29"/>
  <c r="O67" i="29"/>
  <c r="O814" i="10"/>
  <c r="P814" i="10"/>
  <c r="N445" i="10"/>
  <c r="L439" i="10"/>
  <c r="L438" i="10" s="1"/>
  <c r="L436" i="10" s="1"/>
  <c r="O26" i="9"/>
  <c r="N25" i="9"/>
  <c r="V391" i="23"/>
  <c r="O389" i="23"/>
  <c r="V389" i="23" s="1"/>
  <c r="Q93" i="16"/>
  <c r="T39" i="28"/>
  <c r="M476" i="4"/>
  <c r="L461" i="4"/>
  <c r="R451" i="16"/>
  <c r="Q451" i="16"/>
  <c r="T225" i="39"/>
  <c r="Q381" i="19"/>
  <c r="R381" i="19"/>
  <c r="L380" i="19"/>
  <c r="L578" i="27"/>
  <c r="Q579" i="27"/>
  <c r="O435" i="16"/>
  <c r="O446" i="27"/>
  <c r="O444" i="23"/>
  <c r="O432" i="19"/>
  <c r="O434" i="5"/>
  <c r="N485" i="4"/>
  <c r="O444" i="30"/>
  <c r="Q355" i="16"/>
  <c r="L312" i="16"/>
  <c r="N114" i="4"/>
  <c r="N106" i="4" s="1"/>
  <c r="N104" i="4" s="1"/>
  <c r="O451" i="27"/>
  <c r="O437" i="19"/>
  <c r="O449" i="23"/>
  <c r="O439" i="5"/>
  <c r="O449" i="30"/>
  <c r="O440" i="16"/>
  <c r="M106" i="4"/>
  <c r="M104" i="4" s="1"/>
  <c r="O104" i="4" s="1"/>
  <c r="N774" i="10"/>
  <c r="O774" i="10" s="1"/>
  <c r="G446" i="3"/>
  <c r="Q447" i="3"/>
  <c r="R436" i="16"/>
  <c r="Q436" i="16"/>
  <c r="J847" i="29"/>
  <c r="J849" i="29" s="1"/>
  <c r="O445" i="5"/>
  <c r="O446" i="16"/>
  <c r="N194" i="4"/>
  <c r="N448" i="23"/>
  <c r="O448" i="23" s="1"/>
  <c r="V448" i="23" s="1"/>
  <c r="N621" i="23"/>
  <c r="N605" i="23" s="1"/>
  <c r="O605" i="23" s="1"/>
  <c r="L663" i="4"/>
  <c r="M663" i="4" s="1"/>
  <c r="N663" i="4" s="1"/>
  <c r="M664" i="4"/>
  <c r="N664" i="4" s="1"/>
  <c r="T358" i="5"/>
  <c r="O313" i="5"/>
  <c r="T313" i="5" s="1"/>
  <c r="Q56" i="23"/>
  <c r="Q60" i="6"/>
  <c r="V60" i="6" s="1"/>
  <c r="K502" i="8"/>
  <c r="K500" i="8" s="1"/>
  <c r="K36" i="9"/>
  <c r="O127" i="8"/>
  <c r="O1019" i="8"/>
  <c r="L8" i="18"/>
  <c r="K8" i="23"/>
  <c r="L58" i="20"/>
  <c r="Q564" i="39"/>
  <c r="R564" i="39"/>
  <c r="T564" i="39" s="1"/>
  <c r="O564" i="39"/>
  <c r="Q730" i="39"/>
  <c r="R730" i="39"/>
  <c r="T730" i="39" s="1"/>
  <c r="O730" i="39"/>
  <c r="N726" i="39"/>
  <c r="O335" i="39"/>
  <c r="O331" i="39" s="1"/>
  <c r="N331" i="39"/>
  <c r="X122" i="39"/>
  <c r="AB123" i="39"/>
  <c r="AA123" i="39"/>
  <c r="N377" i="39"/>
  <c r="Q378" i="39"/>
  <c r="R378" i="39"/>
  <c r="T378" i="39" s="1"/>
  <c r="O378" i="39"/>
  <c r="N870" i="7"/>
  <c r="O870" i="7" s="1"/>
  <c r="L869" i="7"/>
  <c r="P707" i="10"/>
  <c r="O707" i="10"/>
  <c r="O163" i="10"/>
  <c r="P163" i="10"/>
  <c r="P478" i="7"/>
  <c r="O478" i="7"/>
  <c r="S1007" i="39"/>
  <c r="AB1008" i="39"/>
  <c r="V1008" i="39"/>
  <c r="AF1008" i="39"/>
  <c r="S534" i="39"/>
  <c r="T535" i="39"/>
  <c r="W535" i="39"/>
  <c r="Y535" i="39" s="1"/>
  <c r="AA535" i="39"/>
  <c r="AF535" i="39"/>
  <c r="V535" i="39"/>
  <c r="AG535" i="39" s="1"/>
  <c r="O882" i="10"/>
  <c r="P882" i="10"/>
  <c r="N881" i="10"/>
  <c r="O836" i="10"/>
  <c r="N834" i="10"/>
  <c r="O834" i="10" s="1"/>
  <c r="L56" i="31"/>
  <c r="L55" i="31" s="1"/>
  <c r="L69" i="31" s="1"/>
  <c r="AF442" i="39"/>
  <c r="W442" i="39"/>
  <c r="Y442" i="39" s="1"/>
  <c r="V442" i="39"/>
  <c r="S441" i="39"/>
  <c r="AB442" i="39"/>
  <c r="AA442" i="39"/>
  <c r="P364" i="39"/>
  <c r="R365" i="39"/>
  <c r="T365" i="39" s="1"/>
  <c r="Q365" i="39"/>
  <c r="AF365" i="39"/>
  <c r="V365" i="39"/>
  <c r="S331" i="39"/>
  <c r="AA335" i="39"/>
  <c r="T41" i="28"/>
  <c r="S69" i="3"/>
  <c r="R69" i="3"/>
  <c r="L42" i="24"/>
  <c r="L8" i="24" s="1"/>
  <c r="R390" i="23"/>
  <c r="L389" i="23"/>
  <c r="Q565" i="5"/>
  <c r="L564" i="5"/>
  <c r="O435" i="4"/>
  <c r="N435" i="4"/>
  <c r="Q360" i="27"/>
  <c r="L317" i="27"/>
  <c r="L198" i="4"/>
  <c r="M201" i="4"/>
  <c r="N201" i="4" s="1"/>
  <c r="P881" i="8"/>
  <c r="O881" i="8"/>
  <c r="O425" i="5"/>
  <c r="O453" i="4"/>
  <c r="O435" i="23"/>
  <c r="O426" i="16"/>
  <c r="O435" i="30"/>
  <c r="N453" i="4"/>
  <c r="O423" i="19"/>
  <c r="N615" i="16"/>
  <c r="N439" i="16"/>
  <c r="O439" i="16" s="1"/>
  <c r="V439" i="16" s="1"/>
  <c r="V361" i="30"/>
  <c r="O316" i="30"/>
  <c r="V316" i="30" s="1"/>
  <c r="L1033" i="8"/>
  <c r="P199" i="10"/>
  <c r="K8" i="19"/>
  <c r="M899" i="10"/>
  <c r="N98" i="7"/>
  <c r="O98" i="7" s="1"/>
  <c r="O125" i="8"/>
  <c r="O147" i="9"/>
  <c r="L963" i="10"/>
  <c r="N963" i="10" s="1"/>
  <c r="AG116" i="39"/>
  <c r="Q777" i="3"/>
  <c r="X839" i="39"/>
  <c r="AA840" i="39"/>
  <c r="Y840" i="39"/>
  <c r="AB840" i="39"/>
  <c r="AA366" i="39"/>
  <c r="AB366" i="39"/>
  <c r="X365" i="39"/>
  <c r="Y366" i="39"/>
  <c r="Q335" i="39"/>
  <c r="R995" i="39"/>
  <c r="T995" i="39" s="1"/>
  <c r="O995" i="39"/>
  <c r="Q995" i="39"/>
  <c r="N986" i="39"/>
  <c r="O74" i="39"/>
  <c r="R74" i="39"/>
  <c r="T74" i="39" s="1"/>
  <c r="Q74" i="39"/>
  <c r="O567" i="10"/>
  <c r="P567" i="10"/>
  <c r="Q13" i="28"/>
  <c r="P13" i="28"/>
  <c r="P11" i="28" s="1"/>
  <c r="O11" i="28"/>
  <c r="Q11" i="28" s="1"/>
  <c r="M582" i="23"/>
  <c r="O913" i="10"/>
  <c r="N912" i="10"/>
  <c r="O912" i="10" s="1"/>
  <c r="O476" i="7"/>
  <c r="P476" i="7"/>
  <c r="R420" i="30"/>
  <c r="Q420" i="30"/>
  <c r="O27" i="24"/>
  <c r="P29" i="24"/>
  <c r="T29" i="24" s="1"/>
  <c r="N1086" i="10"/>
  <c r="O1086" i="10" s="1"/>
  <c r="L1085" i="10"/>
  <c r="O943" i="8"/>
  <c r="P943" i="8"/>
  <c r="L448" i="8"/>
  <c r="L447" i="8"/>
  <c r="N447" i="8" s="1"/>
  <c r="P534" i="10"/>
  <c r="O534" i="10"/>
  <c r="L590" i="9"/>
  <c r="N591" i="9"/>
  <c r="AG790" i="39"/>
  <c r="P637" i="39"/>
  <c r="W638" i="39"/>
  <c r="Q638" i="39"/>
  <c r="R638" i="39"/>
  <c r="T638" i="39" s="1"/>
  <c r="AF638" i="39"/>
  <c r="AG638" i="39" s="1"/>
  <c r="O902" i="10"/>
  <c r="P902" i="10"/>
  <c r="P875" i="10"/>
  <c r="O875" i="10"/>
  <c r="P824" i="10"/>
  <c r="O824" i="10"/>
  <c r="O29" i="10"/>
  <c r="N27" i="10"/>
  <c r="O375" i="8"/>
  <c r="P375" i="8"/>
  <c r="N137" i="7"/>
  <c r="O137" i="7" s="1"/>
  <c r="O138" i="7"/>
  <c r="M63" i="18"/>
  <c r="M60" i="24"/>
  <c r="AA433" i="39"/>
  <c r="X431" i="39"/>
  <c r="AB433" i="39"/>
  <c r="Y433" i="39"/>
  <c r="N364" i="39"/>
  <c r="O365" i="39"/>
  <c r="Q356" i="39"/>
  <c r="R356" i="39"/>
  <c r="T356" i="39" s="1"/>
  <c r="N355" i="39"/>
  <c r="O356" i="39"/>
  <c r="Q344" i="39"/>
  <c r="O344" i="39"/>
  <c r="R344" i="39"/>
  <c r="T344" i="39" s="1"/>
  <c r="R317" i="39"/>
  <c r="T317" i="39" s="1"/>
  <c r="Q317" i="39"/>
  <c r="P316" i="39"/>
  <c r="AF317" i="39"/>
  <c r="W317" i="39"/>
  <c r="Y317" i="39" s="1"/>
  <c r="V317" i="39"/>
  <c r="V308" i="39"/>
  <c r="W308" i="39"/>
  <c r="Y308" i="39" s="1"/>
  <c r="AF308" i="39"/>
  <c r="P304" i="39"/>
  <c r="AG208" i="39"/>
  <c r="V115" i="39"/>
  <c r="AF115" i="39"/>
  <c r="AB115" i="39"/>
  <c r="W115" i="39"/>
  <c r="Y115" i="39" s="1"/>
  <c r="AA115" i="39"/>
  <c r="O197" i="29"/>
  <c r="P198" i="29"/>
  <c r="P424" i="8"/>
  <c r="O424" i="8"/>
  <c r="O96" i="4"/>
  <c r="N96" i="4"/>
  <c r="N93" i="4" s="1"/>
  <c r="N91" i="4" s="1"/>
  <c r="M93" i="4"/>
  <c r="M91" i="4" s="1"/>
  <c r="O91" i="4" s="1"/>
  <c r="Q392" i="30"/>
  <c r="L389" i="30"/>
  <c r="Q382" i="5"/>
  <c r="R382" i="5"/>
  <c r="V486" i="16"/>
  <c r="O485" i="16"/>
  <c r="V485" i="16" s="1"/>
  <c r="L576" i="30"/>
  <c r="Q577" i="30"/>
  <c r="N433" i="16"/>
  <c r="N605" i="16"/>
  <c r="N599" i="16" s="1"/>
  <c r="O599" i="16" s="1"/>
  <c r="M422" i="4"/>
  <c r="L419" i="4"/>
  <c r="Q359" i="23"/>
  <c r="L316" i="23"/>
  <c r="L440" i="4"/>
  <c r="M440" i="4" s="1"/>
  <c r="M441" i="4"/>
  <c r="S234" i="6"/>
  <c r="R234" i="6"/>
  <c r="N438" i="5"/>
  <c r="O438" i="5" s="1"/>
  <c r="T438" i="5" s="1"/>
  <c r="N612" i="5"/>
  <c r="N596" i="5" s="1"/>
  <c r="O596" i="5" s="1"/>
  <c r="V361" i="23"/>
  <c r="O316" i="23"/>
  <c r="V316" i="23" s="1"/>
  <c r="T115" i="39"/>
  <c r="AA612" i="39"/>
  <c r="Y612" i="39"/>
  <c r="AB612" i="39"/>
  <c r="AG688" i="39"/>
  <c r="Y619" i="39"/>
  <c r="AB618" i="39"/>
  <c r="X597" i="39"/>
  <c r="AB597" i="39" s="1"/>
  <c r="AB619" i="39"/>
  <c r="AA619" i="39"/>
  <c r="AA618" i="39"/>
  <c r="AA617" i="39"/>
  <c r="AA613" i="39"/>
  <c r="AB613" i="39"/>
  <c r="P8" i="33"/>
  <c r="Q8" i="33" s="1"/>
  <c r="Y808" i="39"/>
  <c r="AB808" i="39"/>
  <c r="AA855" i="39"/>
  <c r="Y855" i="39"/>
  <c r="X854" i="39"/>
  <c r="AB855" i="39"/>
  <c r="AA611" i="39"/>
  <c r="AB611" i="39"/>
  <c r="Y638" i="39"/>
  <c r="X637" i="39"/>
  <c r="AA637" i="39" s="1"/>
  <c r="AB638" i="39"/>
  <c r="X471" i="39"/>
  <c r="AA473" i="39"/>
  <c r="N628" i="29"/>
  <c r="O628" i="29" s="1"/>
  <c r="P628" i="29" s="1"/>
  <c r="X776" i="39"/>
  <c r="AA777" i="39"/>
  <c r="Y777" i="39"/>
  <c r="AB777" i="39"/>
  <c r="S686" i="39"/>
  <c r="W687" i="39"/>
  <c r="Y687" i="39" s="1"/>
  <c r="T687" i="39"/>
  <c r="V687" i="39"/>
  <c r="AA687" i="39"/>
  <c r="AB687" i="39"/>
  <c r="AF687" i="39"/>
  <c r="S60" i="6"/>
  <c r="K159" i="10"/>
  <c r="O161" i="10"/>
  <c r="P98" i="7"/>
  <c r="K216" i="8"/>
  <c r="K214" i="8" s="1"/>
  <c r="O218" i="8"/>
  <c r="K457" i="10"/>
  <c r="O458" i="10"/>
  <c r="P458" i="10"/>
  <c r="L818" i="9"/>
  <c r="N818" i="9" s="1"/>
  <c r="N820" i="9"/>
  <c r="O965" i="8"/>
  <c r="P965" i="8"/>
  <c r="P294" i="9"/>
  <c r="O294" i="9"/>
  <c r="K759" i="9"/>
  <c r="K757" i="9" s="1"/>
  <c r="P761" i="9"/>
  <c r="R679" i="6"/>
  <c r="P734" i="8"/>
  <c r="L808" i="9"/>
  <c r="L788" i="9" s="1"/>
  <c r="L786" i="9" s="1"/>
  <c r="N814" i="9"/>
  <c r="O814" i="9" s="1"/>
  <c r="E13" i="6"/>
  <c r="Q13" i="6" s="1"/>
  <c r="Q14" i="6"/>
  <c r="S14" i="6" s="1"/>
  <c r="P106" i="25"/>
  <c r="P104" i="25" s="1"/>
  <c r="O104" i="25"/>
  <c r="O72" i="10"/>
  <c r="N66" i="10"/>
  <c r="M71" i="6"/>
  <c r="M25" i="6" s="1"/>
  <c r="M718" i="6" s="1"/>
  <c r="Q75" i="6"/>
  <c r="R75" i="6" s="1"/>
  <c r="Q128" i="6"/>
  <c r="I120" i="6"/>
  <c r="N49" i="6"/>
  <c r="Q49" i="6" s="1"/>
  <c r="Q53" i="6"/>
  <c r="S53" i="6" s="1"/>
  <c r="L926" i="8"/>
  <c r="L924" i="8" s="1"/>
  <c r="L922" i="8" s="1"/>
  <c r="N928" i="8"/>
  <c r="S294" i="6"/>
  <c r="R294" i="6"/>
  <c r="M214" i="10"/>
  <c r="N214" i="10" s="1"/>
  <c r="N216" i="10"/>
  <c r="P957" i="10"/>
  <c r="K951" i="10"/>
  <c r="R74" i="6"/>
  <c r="Q72" i="6"/>
  <c r="L590" i="6"/>
  <c r="Q591" i="6"/>
  <c r="S591" i="6" s="1"/>
  <c r="N894" i="10"/>
  <c r="O894" i="10" s="1"/>
  <c r="L885" i="10"/>
  <c r="L879" i="10" s="1"/>
  <c r="N1036" i="10"/>
  <c r="O1036" i="10" s="1"/>
  <c r="L1030" i="10"/>
  <c r="L1028" i="10" s="1"/>
  <c r="K924" i="8"/>
  <c r="K922" i="8" s="1"/>
  <c r="O951" i="8"/>
  <c r="K234" i="8"/>
  <c r="K232" i="8" s="1"/>
  <c r="O529" i="9"/>
  <c r="P529" i="9"/>
  <c r="O78" i="10"/>
  <c r="P78" i="10"/>
  <c r="O51" i="7"/>
  <c r="P135" i="6"/>
  <c r="Q135" i="6" s="1"/>
  <c r="Q139" i="6"/>
  <c r="S139" i="6" s="1"/>
  <c r="R67" i="6"/>
  <c r="Q64" i="6"/>
  <c r="N370" i="10"/>
  <c r="S370" i="10" s="1"/>
  <c r="L369" i="10"/>
  <c r="N342" i="9"/>
  <c r="O342" i="9" s="1"/>
  <c r="L340" i="9"/>
  <c r="P192" i="6"/>
  <c r="P188" i="6" s="1"/>
  <c r="Q193" i="6"/>
  <c r="P127" i="7"/>
  <c r="P129" i="7"/>
  <c r="O699" i="9"/>
  <c r="N698" i="9"/>
  <c r="O698" i="9" s="1"/>
  <c r="S318" i="6"/>
  <c r="P693" i="9"/>
  <c r="O693" i="9"/>
  <c r="S694" i="9"/>
  <c r="S304" i="6"/>
  <c r="M693" i="7"/>
  <c r="M691" i="7" s="1"/>
  <c r="N695" i="7"/>
  <c r="P695" i="7" s="1"/>
  <c r="O279" i="10"/>
  <c r="R121" i="6"/>
  <c r="S121" i="6"/>
  <c r="P947" i="10"/>
  <c r="O947" i="10"/>
  <c r="O863" i="10"/>
  <c r="P863" i="10"/>
  <c r="P799" i="10"/>
  <c r="N794" i="10"/>
  <c r="N377" i="10"/>
  <c r="O377" i="10" s="1"/>
  <c r="M365" i="10"/>
  <c r="M363" i="10" s="1"/>
  <c r="P704" i="9"/>
  <c r="O704" i="9"/>
  <c r="N238" i="7"/>
  <c r="O238" i="7" s="1"/>
  <c r="M236" i="7"/>
  <c r="M110" i="7"/>
  <c r="N110" i="7" s="1"/>
  <c r="N117" i="7"/>
  <c r="O117" i="7" s="1"/>
  <c r="P620" i="8"/>
  <c r="O620" i="8"/>
  <c r="P558" i="8"/>
  <c r="O558" i="8"/>
  <c r="M273" i="7"/>
  <c r="S283" i="6"/>
  <c r="V283" i="6"/>
  <c r="E259" i="6"/>
  <c r="Q260" i="6"/>
  <c r="R260" i="6" s="1"/>
  <c r="M11" i="25"/>
  <c r="P11" i="25" s="1"/>
  <c r="L10" i="25"/>
  <c r="M10" i="25" s="1"/>
  <c r="D354" i="6"/>
  <c r="D273" i="6" s="1"/>
  <c r="D272" i="6" s="1"/>
  <c r="D251" i="6" s="1"/>
  <c r="Q161" i="6"/>
  <c r="S161" i="6" s="1"/>
  <c r="K600" i="9"/>
  <c r="K599" i="9" s="1"/>
  <c r="H210" i="6"/>
  <c r="L278" i="7"/>
  <c r="L275" i="7" s="1"/>
  <c r="L273" i="7" s="1"/>
  <c r="L627" i="25"/>
  <c r="M627" i="25" s="1"/>
  <c r="M633" i="25"/>
  <c r="L629" i="25"/>
  <c r="P670" i="7"/>
  <c r="O670" i="7"/>
  <c r="O982" i="10"/>
  <c r="P982" i="10"/>
  <c r="N981" i="10"/>
  <c r="O172" i="7"/>
  <c r="N171" i="7"/>
  <c r="N386" i="7"/>
  <c r="O388" i="7"/>
  <c r="O386" i="7" s="1"/>
  <c r="P388" i="7"/>
  <c r="P386" i="7" s="1"/>
  <c r="P377" i="7" s="1"/>
  <c r="P335" i="7"/>
  <c r="O335" i="7"/>
  <c r="O333" i="7" s="1"/>
  <c r="L368" i="25"/>
  <c r="M368" i="25" s="1"/>
  <c r="L340" i="10"/>
  <c r="L338" i="10" s="1"/>
  <c r="N338" i="10" s="1"/>
  <c r="N709" i="9"/>
  <c r="O709" i="9" s="1"/>
  <c r="M904" i="9"/>
  <c r="O549" i="6"/>
  <c r="M32" i="29"/>
  <c r="O32" i="29" s="1"/>
  <c r="L31" i="29"/>
  <c r="M31" i="29" s="1"/>
  <c r="O31" i="29" s="1"/>
  <c r="P294" i="8"/>
  <c r="O294" i="8"/>
  <c r="S42" i="6"/>
  <c r="R42" i="6"/>
  <c r="M17" i="29"/>
  <c r="L11" i="29"/>
  <c r="O879" i="7"/>
  <c r="N877" i="7"/>
  <c r="O877" i="7" s="1"/>
  <c r="L88" i="7"/>
  <c r="N89" i="7"/>
  <c r="O89" i="7" s="1"/>
  <c r="P574" i="10"/>
  <c r="O574" i="10"/>
  <c r="L371" i="29"/>
  <c r="M375" i="29"/>
  <c r="P640" i="7"/>
  <c r="O640" i="7"/>
  <c r="P673" i="8"/>
  <c r="O673" i="8"/>
  <c r="O1018" i="10"/>
  <c r="O1017" i="10" s="1"/>
  <c r="N1017" i="10"/>
  <c r="F8" i="1"/>
  <c r="G8" i="1" s="1"/>
  <c r="P145" i="7"/>
  <c r="O328" i="7"/>
  <c r="N327" i="7"/>
  <c r="O327" i="7" s="1"/>
  <c r="L318" i="10"/>
  <c r="L314" i="10" s="1"/>
  <c r="N314" i="10" s="1"/>
  <c r="P314" i="10" s="1"/>
  <c r="N929" i="10"/>
  <c r="N858" i="10"/>
  <c r="P858" i="10" s="1"/>
  <c r="M652" i="29"/>
  <c r="L651" i="29"/>
  <c r="M651" i="29" s="1"/>
  <c r="O604" i="8"/>
  <c r="P604" i="8"/>
  <c r="O554" i="9"/>
  <c r="P554" i="9"/>
  <c r="O178" i="7"/>
  <c r="P178" i="7"/>
  <c r="O805" i="9"/>
  <c r="P805" i="9"/>
  <c r="O897" i="7"/>
  <c r="N896" i="7"/>
  <c r="O896" i="7" s="1"/>
  <c r="N83" i="7"/>
  <c r="O84" i="7"/>
  <c r="O181" i="8"/>
  <c r="P181" i="8"/>
  <c r="J367" i="29"/>
  <c r="J366" i="29" s="1"/>
  <c r="O397" i="29"/>
  <c r="P397" i="29" s="1"/>
  <c r="Q397" i="29" s="1"/>
  <c r="L7" i="20"/>
  <c r="L74" i="20"/>
  <c r="R639" i="5"/>
  <c r="O8" i="3"/>
  <c r="J11" i="8"/>
  <c r="P331" i="9"/>
  <c r="Z12" i="39"/>
  <c r="Z14" i="39"/>
  <c r="J692" i="25"/>
  <c r="O692" i="25" s="1"/>
  <c r="P692" i="25" s="1"/>
  <c r="O693" i="25"/>
  <c r="P693" i="25" s="1"/>
  <c r="S477" i="3"/>
  <c r="R477" i="3"/>
  <c r="K63" i="18"/>
  <c r="K60" i="24"/>
  <c r="K55" i="24" s="1"/>
  <c r="K62" i="28"/>
  <c r="K57" i="28" s="1"/>
  <c r="K9" i="28" s="1"/>
  <c r="K63" i="20"/>
  <c r="K58" i="20" s="1"/>
  <c r="K63" i="11"/>
  <c r="K58" i="11" s="1"/>
  <c r="H33" i="12" s="1"/>
  <c r="K60" i="31"/>
  <c r="K55" i="31" s="1"/>
  <c r="L59" i="8"/>
  <c r="N61" i="8"/>
  <c r="P61" i="8" s="1"/>
  <c r="O454" i="30"/>
  <c r="V455" i="30"/>
  <c r="G215" i="3"/>
  <c r="Q215" i="3" s="1"/>
  <c r="Q216" i="3"/>
  <c r="N105" i="7"/>
  <c r="O106" i="7"/>
  <c r="O105" i="7" s="1"/>
  <c r="O46" i="7"/>
  <c r="P46" i="7"/>
  <c r="S659" i="6"/>
  <c r="Q657" i="6"/>
  <c r="R657" i="6" s="1"/>
  <c r="R604" i="3"/>
  <c r="N803" i="7"/>
  <c r="M801" i="7"/>
  <c r="N801" i="7" s="1"/>
  <c r="Q63" i="11"/>
  <c r="S63" i="11"/>
  <c r="V479" i="23"/>
  <c r="O441" i="23"/>
  <c r="O200" i="19"/>
  <c r="V200" i="19" s="1"/>
  <c r="V201" i="19"/>
  <c r="O11" i="25"/>
  <c r="O10" i="25" s="1"/>
  <c r="P10" i="25" s="1"/>
  <c r="N10" i="25"/>
  <c r="V312" i="27"/>
  <c r="O309" i="27"/>
  <c r="V309" i="27" s="1"/>
  <c r="AB298" i="39"/>
  <c r="X296" i="39"/>
  <c r="AA298" i="39"/>
  <c r="Q760" i="39"/>
  <c r="N758" i="39"/>
  <c r="O760" i="39"/>
  <c r="R760" i="39"/>
  <c r="T760" i="39" s="1"/>
  <c r="T45" i="24"/>
  <c r="U1069" i="39"/>
  <c r="T60" i="31"/>
  <c r="AG694" i="39"/>
  <c r="I355" i="6"/>
  <c r="I354" i="6" s="1"/>
  <c r="R292" i="39"/>
  <c r="T292" i="39" s="1"/>
  <c r="N288" i="39"/>
  <c r="O292" i="39"/>
  <c r="Q292" i="39"/>
  <c r="N67" i="39"/>
  <c r="O67" i="39" s="1"/>
  <c r="O68" i="39"/>
  <c r="N66" i="39"/>
  <c r="O66" i="39" s="1"/>
  <c r="O50" i="24"/>
  <c r="O42" i="24" s="1"/>
  <c r="O52" i="28"/>
  <c r="O44" i="28" s="1"/>
  <c r="O50" i="31"/>
  <c r="O436" i="29"/>
  <c r="O600" i="7"/>
  <c r="P600" i="7"/>
  <c r="R585" i="6"/>
  <c r="Q583" i="6"/>
  <c r="K452" i="7"/>
  <c r="K451" i="7" s="1"/>
  <c r="K449" i="7" s="1"/>
  <c r="K447" i="7" s="1"/>
  <c r="E22" i="1"/>
  <c r="O210" i="7"/>
  <c r="P210" i="7"/>
  <c r="N207" i="7"/>
  <c r="N238" i="4"/>
  <c r="O238" i="4"/>
  <c r="Q211" i="27"/>
  <c r="L205" i="27"/>
  <c r="M1055" i="10"/>
  <c r="N472" i="10"/>
  <c r="O204" i="23"/>
  <c r="V205" i="23"/>
  <c r="V470" i="16"/>
  <c r="X285" i="39"/>
  <c r="AB287" i="39"/>
  <c r="Y81" i="39"/>
  <c r="AA81" i="39"/>
  <c r="AA312" i="39"/>
  <c r="AB312" i="39"/>
  <c r="O187" i="10"/>
  <c r="P187" i="10"/>
  <c r="Q481" i="27"/>
  <c r="R481" i="27"/>
  <c r="W910" i="39"/>
  <c r="Y910" i="39" s="1"/>
  <c r="P908" i="39"/>
  <c r="Q910" i="39"/>
  <c r="R910" i="39"/>
  <c r="T910" i="39" s="1"/>
  <c r="V910" i="39"/>
  <c r="AF910" i="39"/>
  <c r="W229" i="39"/>
  <c r="AF229" i="39"/>
  <c r="V229" i="39"/>
  <c r="D91" i="3"/>
  <c r="K58" i="18"/>
  <c r="O1052" i="39"/>
  <c r="R1052" i="39"/>
  <c r="T1052" i="39" s="1"/>
  <c r="Q1052" i="39"/>
  <c r="N1042" i="39"/>
  <c r="Q300" i="39"/>
  <c r="R300" i="39"/>
  <c r="T300" i="39" s="1"/>
  <c r="W300" i="39"/>
  <c r="Y300" i="39" s="1"/>
  <c r="AF300" i="39"/>
  <c r="V300" i="39"/>
  <c r="M502" i="10"/>
  <c r="M500" i="10" s="1"/>
  <c r="N533" i="10"/>
  <c r="P533" i="10" s="1"/>
  <c r="O596" i="7"/>
  <c r="P596" i="7"/>
  <c r="H385" i="3"/>
  <c r="H355" i="3" s="1"/>
  <c r="H354" i="3" s="1"/>
  <c r="Q407" i="3"/>
  <c r="L31" i="4"/>
  <c r="M31" i="4" s="1"/>
  <c r="N31" i="4" s="1"/>
  <c r="M35" i="4"/>
  <c r="N35" i="4" s="1"/>
  <c r="H668" i="3"/>
  <c r="Q668" i="3" s="1"/>
  <c r="Q670" i="3"/>
  <c r="V455" i="23"/>
  <c r="O454" i="23"/>
  <c r="V443" i="19"/>
  <c r="O442" i="19"/>
  <c r="O409" i="27"/>
  <c r="V409" i="27" s="1"/>
  <c r="V415" i="27"/>
  <c r="O661" i="8"/>
  <c r="P661" i="8"/>
  <c r="S371" i="3"/>
  <c r="R371" i="3"/>
  <c r="O511" i="9"/>
  <c r="N510" i="9"/>
  <c r="P511" i="9"/>
  <c r="K8" i="18"/>
  <c r="P62" i="28"/>
  <c r="S62" i="28"/>
  <c r="Q62" i="28"/>
  <c r="P63" i="11"/>
  <c r="P63" i="20"/>
  <c r="M694" i="29"/>
  <c r="L693" i="29"/>
  <c r="M693" i="29" s="1"/>
  <c r="L182" i="4"/>
  <c r="M183" i="4"/>
  <c r="M182" i="4" s="1"/>
  <c r="N182" i="4" s="1"/>
  <c r="S71" i="18"/>
  <c r="Q71" i="18"/>
  <c r="N441" i="30"/>
  <c r="N439" i="30" s="1"/>
  <c r="N438" i="30" s="1"/>
  <c r="O442" i="30"/>
  <c r="O308" i="23"/>
  <c r="V308" i="23" s="1"/>
  <c r="V311" i="23"/>
  <c r="R37" i="39"/>
  <c r="T37" i="39" s="1"/>
  <c r="O37" i="39"/>
  <c r="Q1064" i="39"/>
  <c r="R1064" i="39"/>
  <c r="T1064" i="39" s="1"/>
  <c r="O1064" i="39"/>
  <c r="P32" i="20"/>
  <c r="Q32" i="20"/>
  <c r="S32" i="20"/>
  <c r="H35" i="12"/>
  <c r="R777" i="3"/>
  <c r="Z10" i="39"/>
  <c r="X16" i="39"/>
  <c r="Y17" i="39"/>
  <c r="AB17" i="39"/>
  <c r="AA17" i="39"/>
  <c r="P69" i="39"/>
  <c r="R70" i="39"/>
  <c r="T70" i="39" s="1"/>
  <c r="Q70" i="39"/>
  <c r="V70" i="39"/>
  <c r="W70" i="39"/>
  <c r="Y70" i="39" s="1"/>
  <c r="O521" i="39"/>
  <c r="Q521" i="39"/>
  <c r="R521" i="39"/>
  <c r="T521" i="39" s="1"/>
  <c r="N485" i="39"/>
  <c r="V637" i="39"/>
  <c r="AF637" i="39"/>
  <c r="W637" i="39"/>
  <c r="S765" i="39"/>
  <c r="AB767" i="39"/>
  <c r="AA767" i="39"/>
  <c r="Q975" i="39"/>
  <c r="N969" i="39"/>
  <c r="R975" i="39"/>
  <c r="T975" i="39" s="1"/>
  <c r="O975" i="39"/>
  <c r="O424" i="10"/>
  <c r="P424" i="10"/>
  <c r="AA910" i="39"/>
  <c r="X908" i="39"/>
  <c r="AB910" i="39"/>
  <c r="AF70" i="39"/>
  <c r="P807" i="7"/>
  <c r="O807" i="7"/>
  <c r="J214" i="7"/>
  <c r="J11" i="7" s="1"/>
  <c r="J216" i="7"/>
  <c r="O398" i="19"/>
  <c r="V398" i="19" s="1"/>
  <c r="V402" i="19"/>
  <c r="O407" i="23"/>
  <c r="V407" i="23" s="1"/>
  <c r="V413" i="23"/>
  <c r="V457" i="27"/>
  <c r="O456" i="27"/>
  <c r="O421" i="7"/>
  <c r="N418" i="7"/>
  <c r="O418" i="7" s="1"/>
  <c r="O26" i="7"/>
  <c r="N25" i="7"/>
  <c r="Q567" i="16"/>
  <c r="R567" i="16"/>
  <c r="L566" i="16"/>
  <c r="P662" i="8"/>
  <c r="O662" i="8"/>
  <c r="J397" i="5"/>
  <c r="J9" i="5" s="1"/>
  <c r="P229" i="23"/>
  <c r="O272" i="39"/>
  <c r="N264" i="39"/>
  <c r="M667" i="25"/>
  <c r="L666" i="25"/>
  <c r="M666" i="25" s="1"/>
  <c r="AG1036" i="39"/>
  <c r="Q63" i="20"/>
  <c r="S63" i="20"/>
  <c r="V56" i="27"/>
  <c r="O55" i="27"/>
  <c r="N119" i="39"/>
  <c r="O119" i="39" s="1"/>
  <c r="O121" i="39"/>
  <c r="AG1040" i="39"/>
  <c r="P27" i="7"/>
  <c r="O27" i="7"/>
  <c r="O663" i="10"/>
  <c r="P663" i="10"/>
  <c r="N199" i="7"/>
  <c r="L198" i="7"/>
  <c r="N948" i="9"/>
  <c r="O948" i="9" s="1"/>
  <c r="M942" i="9"/>
  <c r="M125" i="9"/>
  <c r="N125" i="9" s="1"/>
  <c r="O125" i="9" s="1"/>
  <c r="N127" i="9"/>
  <c r="O127" i="9" s="1"/>
  <c r="R403" i="23"/>
  <c r="Q403" i="23"/>
  <c r="L478" i="9"/>
  <c r="L477" i="9" s="1"/>
  <c r="L475" i="9" s="1"/>
  <c r="N475" i="9" s="1"/>
  <c r="N484" i="9"/>
  <c r="O842" i="10"/>
  <c r="P842" i="10"/>
  <c r="O899" i="9"/>
  <c r="P899" i="9"/>
  <c r="L462" i="29"/>
  <c r="M462" i="29" s="1"/>
  <c r="M463" i="29"/>
  <c r="O471" i="7"/>
  <c r="P471" i="7"/>
  <c r="L547" i="9"/>
  <c r="N549" i="9"/>
  <c r="P907" i="9"/>
  <c r="O907" i="9"/>
  <c r="M412" i="9"/>
  <c r="M411" i="9" s="1"/>
  <c r="M409" i="9" s="1"/>
  <c r="M407" i="9" s="1"/>
  <c r="M405" i="9" s="1"/>
  <c r="M403" i="9" s="1"/>
  <c r="N416" i="9"/>
  <c r="O570" i="8"/>
  <c r="P570" i="8"/>
  <c r="P490" i="10"/>
  <c r="O490" i="10"/>
  <c r="V93" i="6"/>
  <c r="S93" i="6"/>
  <c r="R93" i="6"/>
  <c r="O257" i="10"/>
  <c r="P257" i="10"/>
  <c r="P778" i="9"/>
  <c r="O778" i="9"/>
  <c r="N775" i="9"/>
  <c r="O775" i="9" s="1"/>
  <c r="G276" i="6"/>
  <c r="G275" i="6" s="1"/>
  <c r="G273" i="6" s="1"/>
  <c r="G272" i="6" s="1"/>
  <c r="G251" i="6" s="1"/>
  <c r="M48" i="8"/>
  <c r="N48" i="8" s="1"/>
  <c r="O48" i="8" s="1"/>
  <c r="O698" i="7"/>
  <c r="P698" i="7"/>
  <c r="P933" i="10"/>
  <c r="O933" i="10"/>
  <c r="O853" i="10"/>
  <c r="P853" i="10"/>
  <c r="S648" i="6"/>
  <c r="R648" i="6"/>
  <c r="Q647" i="6"/>
  <c r="V648" i="6"/>
  <c r="N1043" i="10"/>
  <c r="O852" i="10"/>
  <c r="O761" i="9"/>
  <c r="O764" i="10"/>
  <c r="P764" i="10"/>
  <c r="O671" i="7"/>
  <c r="P671" i="7"/>
  <c r="M877" i="8"/>
  <c r="O188" i="7"/>
  <c r="P188" i="7"/>
  <c r="R365" i="6"/>
  <c r="R364" i="6" s="1"/>
  <c r="R363" i="6" s="1"/>
  <c r="S365" i="6"/>
  <c r="P957" i="8"/>
  <c r="O957" i="8"/>
  <c r="L1014" i="9"/>
  <c r="N1015" i="9"/>
  <c r="O1015" i="9" s="1"/>
  <c r="N910" i="10"/>
  <c r="O911" i="10"/>
  <c r="P911" i="10"/>
  <c r="O280" i="7"/>
  <c r="N279" i="7"/>
  <c r="O279" i="7" s="1"/>
  <c r="V629" i="6"/>
  <c r="S629" i="6"/>
  <c r="R629" i="6"/>
  <c r="O910" i="8"/>
  <c r="P910" i="8"/>
  <c r="O271" i="10"/>
  <c r="N270" i="10"/>
  <c r="P271" i="10"/>
  <c r="N636" i="8"/>
  <c r="N851" i="8"/>
  <c r="O319" i="10"/>
  <c r="P319" i="10"/>
  <c r="P812" i="8"/>
  <c r="O812" i="8"/>
  <c r="R672" i="6"/>
  <c r="S672" i="6"/>
  <c r="R394" i="16"/>
  <c r="Q394" i="16"/>
  <c r="O80" i="10"/>
  <c r="P80" i="10"/>
  <c r="N79" i="10"/>
  <c r="M489" i="10"/>
  <c r="M483" i="10" s="1"/>
  <c r="L760" i="29"/>
  <c r="M761" i="29"/>
  <c r="O761" i="29" s="1"/>
  <c r="O357" i="7"/>
  <c r="O350" i="7" s="1"/>
  <c r="R405" i="27"/>
  <c r="Q405" i="27"/>
  <c r="O824" i="8"/>
  <c r="P824" i="8"/>
  <c r="O550" i="9"/>
  <c r="L395" i="23"/>
  <c r="R99" i="6"/>
  <c r="S99" i="6"/>
  <c r="S456" i="6"/>
  <c r="Q455" i="6"/>
  <c r="Q684" i="6"/>
  <c r="R635" i="6"/>
  <c r="S635" i="6"/>
  <c r="V556" i="6"/>
  <c r="S556" i="6"/>
  <c r="R556" i="6"/>
  <c r="P736" i="8"/>
  <c r="O736" i="8"/>
  <c r="Q469" i="6"/>
  <c r="R469" i="6" s="1"/>
  <c r="O465" i="6"/>
  <c r="P9" i="33"/>
  <c r="Q9" i="33" s="1"/>
  <c r="AB456" i="39"/>
  <c r="Y456" i="39"/>
  <c r="AA456" i="39"/>
  <c r="L961" i="10"/>
  <c r="N961" i="10" s="1"/>
  <c r="J1091" i="8"/>
  <c r="J9" i="8"/>
  <c r="J11" i="9"/>
  <c r="T46" i="24"/>
  <c r="J384" i="4"/>
  <c r="AG861" i="39"/>
  <c r="N59" i="24"/>
  <c r="N62" i="20"/>
  <c r="N61" i="28"/>
  <c r="N62" i="11"/>
  <c r="N62" i="18"/>
  <c r="N59" i="31"/>
  <c r="T410" i="5"/>
  <c r="O687" i="4"/>
  <c r="J673" i="4"/>
  <c r="J671" i="4" s="1"/>
  <c r="N687" i="4"/>
  <c r="P22" i="4"/>
  <c r="P23" i="4" s="1"/>
  <c r="K482" i="3"/>
  <c r="Q483" i="3"/>
  <c r="J129" i="3"/>
  <c r="Q129" i="3" s="1"/>
  <c r="Q130" i="3"/>
  <c r="I29" i="3"/>
  <c r="Q54" i="3"/>
  <c r="N346" i="4"/>
  <c r="R450" i="27"/>
  <c r="Q450" i="27"/>
  <c r="K7" i="24"/>
  <c r="K69" i="24"/>
  <c r="R57" i="5"/>
  <c r="M24" i="28"/>
  <c r="M23" i="28" s="1"/>
  <c r="M22" i="20"/>
  <c r="M22" i="11"/>
  <c r="M22" i="18"/>
  <c r="M22" i="24"/>
  <c r="M21" i="24" s="1"/>
  <c r="M22" i="31"/>
  <c r="L56" i="5"/>
  <c r="N737" i="4"/>
  <c r="T19" i="31"/>
  <c r="N409" i="4"/>
  <c r="S147" i="39"/>
  <c r="AB148" i="39"/>
  <c r="R767" i="39"/>
  <c r="T767" i="39" s="1"/>
  <c r="W767" i="39"/>
  <c r="Y767" i="39" s="1"/>
  <c r="P765" i="39"/>
  <c r="V767" i="39"/>
  <c r="Q767" i="39"/>
  <c r="AF767" i="39"/>
  <c r="X329" i="39"/>
  <c r="AA331" i="39"/>
  <c r="AB331" i="39"/>
  <c r="S415" i="3"/>
  <c r="R415" i="3"/>
  <c r="S161" i="3"/>
  <c r="R161" i="3"/>
  <c r="D154" i="3"/>
  <c r="O236" i="4"/>
  <c r="N236" i="4"/>
  <c r="Q43" i="3"/>
  <c r="F29" i="3"/>
  <c r="S17" i="3"/>
  <c r="R17" i="3"/>
  <c r="M57" i="31"/>
  <c r="Q399" i="5"/>
  <c r="M59" i="28"/>
  <c r="R399" i="5"/>
  <c r="R315" i="3"/>
  <c r="O867" i="8"/>
  <c r="P867" i="8"/>
  <c r="D281" i="3"/>
  <c r="AA148" i="39"/>
  <c r="Q357" i="3"/>
  <c r="O409" i="4"/>
  <c r="T25" i="31"/>
  <c r="S87" i="39"/>
  <c r="AA88" i="39"/>
  <c r="AF88" i="39"/>
  <c r="V88" i="39"/>
  <c r="AB88" i="39"/>
  <c r="W88" i="39"/>
  <c r="Y88" i="39" s="1"/>
  <c r="W1007" i="39"/>
  <c r="Y1007" i="39" s="1"/>
  <c r="Q1007" i="39"/>
  <c r="R1007" i="39"/>
  <c r="T1007" i="39" s="1"/>
  <c r="AF1007" i="39"/>
  <c r="P1005" i="39"/>
  <c r="S398" i="6"/>
  <c r="R398" i="6"/>
  <c r="R397" i="6" s="1"/>
  <c r="R387" i="6" s="1"/>
  <c r="R385" i="6" s="1"/>
  <c r="P965" i="10"/>
  <c r="O965" i="10"/>
  <c r="L313" i="4"/>
  <c r="M313" i="4" s="1"/>
  <c r="N313" i="4" s="1"/>
  <c r="O313" i="4" s="1"/>
  <c r="M314" i="4"/>
  <c r="N314" i="4" s="1"/>
  <c r="J498" i="4"/>
  <c r="N498" i="4" s="1"/>
  <c r="N499" i="4"/>
  <c r="S243" i="3"/>
  <c r="D239" i="3"/>
  <c r="D238" i="3" s="1"/>
  <c r="D237" i="3" s="1"/>
  <c r="E198" i="3"/>
  <c r="Q199" i="3"/>
  <c r="I427" i="3"/>
  <c r="Q428" i="3"/>
  <c r="S91" i="3"/>
  <c r="R91" i="3"/>
  <c r="L283" i="4"/>
  <c r="M284" i="4"/>
  <c r="M568" i="19"/>
  <c r="M10" i="19"/>
  <c r="M8" i="19" s="1"/>
  <c r="T88" i="39"/>
  <c r="N245" i="4"/>
  <c r="N84" i="4"/>
  <c r="U10" i="39"/>
  <c r="U9" i="39" s="1"/>
  <c r="T24" i="18"/>
  <c r="Q264" i="39"/>
  <c r="P262" i="39"/>
  <c r="R264" i="39"/>
  <c r="K8" i="31"/>
  <c r="O406" i="4"/>
  <c r="L9" i="28"/>
  <c r="R304" i="39"/>
  <c r="T304" i="39" s="1"/>
  <c r="O304" i="39"/>
  <c r="N298" i="39"/>
  <c r="Q304" i="39"/>
  <c r="R396" i="6"/>
  <c r="S396" i="6"/>
  <c r="N688" i="4"/>
  <c r="O688" i="4"/>
  <c r="D462" i="3"/>
  <c r="D461" i="3" s="1"/>
  <c r="S471" i="3"/>
  <c r="P970" i="10"/>
  <c r="O970" i="10"/>
  <c r="G10" i="3"/>
  <c r="Q10" i="3" s="1"/>
  <c r="Q11" i="3"/>
  <c r="D104" i="3"/>
  <c r="R104" i="3" s="1"/>
  <c r="R109" i="3"/>
  <c r="R307" i="3"/>
  <c r="N439" i="8"/>
  <c r="R243" i="3"/>
  <c r="O426" i="8"/>
  <c r="P426" i="8"/>
  <c r="F273" i="6"/>
  <c r="F272" i="6" s="1"/>
  <c r="F251" i="6" s="1"/>
  <c r="E120" i="6"/>
  <c r="L1052" i="10"/>
  <c r="N19" i="9"/>
  <c r="M17" i="9"/>
  <c r="M15" i="9" s="1"/>
  <c r="M13" i="9" s="1"/>
  <c r="R693" i="6"/>
  <c r="S693" i="6"/>
  <c r="Q691" i="6"/>
  <c r="P573" i="7"/>
  <c r="O573" i="7"/>
  <c r="N568" i="7"/>
  <c r="P940" i="8"/>
  <c r="O940" i="8"/>
  <c r="O677" i="9"/>
  <c r="P677" i="9"/>
  <c r="P20" i="9"/>
  <c r="O20" i="9"/>
  <c r="S559" i="6"/>
  <c r="R559" i="6"/>
  <c r="M159" i="8"/>
  <c r="N161" i="8"/>
  <c r="O161" i="8" s="1"/>
  <c r="M724" i="7"/>
  <c r="N726" i="7"/>
  <c r="O806" i="8"/>
  <c r="P806" i="8"/>
  <c r="R668" i="6"/>
  <c r="S668" i="6"/>
  <c r="P95" i="9"/>
  <c r="O95" i="9"/>
  <c r="P720" i="9"/>
  <c r="O720" i="9"/>
  <c r="L407" i="9"/>
  <c r="L405" i="9" s="1"/>
  <c r="N234" i="8"/>
  <c r="L232" i="8"/>
  <c r="N232" i="8" s="1"/>
  <c r="L956" i="7"/>
  <c r="L954" i="7" s="1"/>
  <c r="N962" i="7"/>
  <c r="R533" i="8"/>
  <c r="P533" i="8"/>
  <c r="O533" i="8"/>
  <c r="M57" i="10"/>
  <c r="N57" i="10" s="1"/>
  <c r="L75" i="9"/>
  <c r="N75" i="9" s="1"/>
  <c r="N77" i="9"/>
  <c r="P77" i="9" s="1"/>
  <c r="P25" i="6"/>
  <c r="Q71" i="6"/>
  <c r="V71" i="6" s="1"/>
  <c r="R311" i="6"/>
  <c r="S311" i="6"/>
  <c r="O669" i="10"/>
  <c r="Q218" i="6"/>
  <c r="R218" i="6" s="1"/>
  <c r="N262" i="10"/>
  <c r="P709" i="9"/>
  <c r="N892" i="9"/>
  <c r="O892" i="9" s="1"/>
  <c r="N917" i="7"/>
  <c r="P917" i="7" s="1"/>
  <c r="M759" i="25"/>
  <c r="O759" i="25" s="1"/>
  <c r="L757" i="25"/>
  <c r="M757" i="25" s="1"/>
  <c r="O757" i="25" s="1"/>
  <c r="O625" i="8"/>
  <c r="P625" i="8"/>
  <c r="P822" i="7"/>
  <c r="O822" i="7"/>
  <c r="Q189" i="6"/>
  <c r="R190" i="6"/>
  <c r="R189" i="6" s="1"/>
  <c r="V190" i="6"/>
  <c r="S190" i="6"/>
  <c r="S189" i="6" s="1"/>
  <c r="O613" i="7"/>
  <c r="P613" i="7"/>
  <c r="M284" i="25"/>
  <c r="L283" i="25"/>
  <c r="M176" i="9"/>
  <c r="N181" i="9"/>
  <c r="O922" i="9"/>
  <c r="N921" i="9"/>
  <c r="P922" i="9"/>
  <c r="O144" i="10"/>
  <c r="P144" i="10"/>
  <c r="P1045" i="8"/>
  <c r="O1045" i="8"/>
  <c r="O67" i="8"/>
  <c r="N66" i="8"/>
  <c r="O633" i="7"/>
  <c r="K436" i="8"/>
  <c r="O248" i="10"/>
  <c r="P248" i="10"/>
  <c r="P496" i="10"/>
  <c r="O496" i="10"/>
  <c r="N489" i="10"/>
  <c r="P779" i="8"/>
  <c r="O779" i="8"/>
  <c r="P496" i="9"/>
  <c r="O496" i="9"/>
  <c r="N159" i="10"/>
  <c r="O159" i="10" s="1"/>
  <c r="M157" i="10"/>
  <c r="N157" i="10" s="1"/>
  <c r="P394" i="8"/>
  <c r="O394" i="8"/>
  <c r="X454" i="39"/>
  <c r="Y455" i="39"/>
  <c r="AB455" i="39"/>
  <c r="AA455" i="39"/>
  <c r="P698" i="9"/>
  <c r="P55" i="20"/>
  <c r="T55" i="20" s="1"/>
  <c r="K865" i="9"/>
  <c r="K863" i="9" s="1"/>
  <c r="O989" i="8"/>
  <c r="N988" i="8"/>
  <c r="O611" i="8"/>
  <c r="P611" i="8"/>
  <c r="K234" i="7"/>
  <c r="K232" i="7" s="1"/>
  <c r="M996" i="9"/>
  <c r="N1002" i="9"/>
  <c r="O1002" i="9" s="1"/>
  <c r="Q395" i="30"/>
  <c r="K120" i="6"/>
  <c r="N88" i="9"/>
  <c r="E82" i="6"/>
  <c r="Q82" i="6" s="1"/>
  <c r="R82" i="6" s="1"/>
  <c r="Q83" i="6"/>
  <c r="R83" i="6" s="1"/>
  <c r="O516" i="7"/>
  <c r="P516" i="7"/>
  <c r="N147" i="8"/>
  <c r="O147" i="8" s="1"/>
  <c r="M141" i="8"/>
  <c r="O693" i="8"/>
  <c r="N690" i="8"/>
  <c r="O690" i="8" s="1"/>
  <c r="O209" i="10"/>
  <c r="N207" i="10"/>
  <c r="N840" i="9"/>
  <c r="P840" i="9" s="1"/>
  <c r="L839" i="9"/>
  <c r="N839" i="9" s="1"/>
  <c r="K192" i="8"/>
  <c r="K190" i="8" s="1"/>
  <c r="M456" i="25"/>
  <c r="N610" i="9"/>
  <c r="O621" i="9"/>
  <c r="P621" i="9"/>
  <c r="O178" i="8"/>
  <c r="P178" i="8"/>
  <c r="O79" i="7"/>
  <c r="P79" i="7"/>
  <c r="O343" i="9"/>
  <c r="P343" i="9"/>
  <c r="N143" i="10"/>
  <c r="M141" i="10"/>
  <c r="P127" i="8"/>
  <c r="P125" i="8"/>
  <c r="O129" i="8"/>
  <c r="P129" i="8"/>
  <c r="L944" i="7"/>
  <c r="L942" i="7" s="1"/>
  <c r="N950" i="7"/>
  <c r="R72" i="6"/>
  <c r="S72" i="6"/>
  <c r="N714" i="9"/>
  <c r="O715" i="9"/>
  <c r="N247" i="10"/>
  <c r="M243" i="10"/>
  <c r="M234" i="10" s="1"/>
  <c r="M232" i="10" s="1"/>
  <c r="O680" i="10"/>
  <c r="N697" i="7"/>
  <c r="O702" i="7"/>
  <c r="P702" i="7"/>
  <c r="F27" i="1"/>
  <c r="G27" i="1" s="1"/>
  <c r="S555" i="6"/>
  <c r="R555" i="6"/>
  <c r="L969" i="9"/>
  <c r="Q103" i="6"/>
  <c r="R103" i="6" s="1"/>
  <c r="N98" i="10"/>
  <c r="L93" i="10"/>
  <c r="L91" i="10" s="1"/>
  <c r="K409" i="8"/>
  <c r="P411" i="8"/>
  <c r="O411" i="8"/>
  <c r="M251" i="6"/>
  <c r="O114" i="7"/>
  <c r="P114" i="7"/>
  <c r="O645" i="9"/>
  <c r="P645" i="9"/>
  <c r="P417" i="7"/>
  <c r="O238" i="8"/>
  <c r="P238" i="8"/>
  <c r="N44" i="8"/>
  <c r="M42" i="8"/>
  <c r="M421" i="25"/>
  <c r="P421" i="25" s="1"/>
  <c r="L396" i="25"/>
  <c r="M396" i="25" s="1"/>
  <c r="P396" i="25" s="1"/>
  <c r="O222" i="7"/>
  <c r="P222" i="7"/>
  <c r="O239" i="10"/>
  <c r="P239" i="10"/>
  <c r="R150" i="6"/>
  <c r="S150" i="6"/>
  <c r="V150" i="6"/>
  <c r="N343" i="7"/>
  <c r="O343" i="7" s="1"/>
  <c r="O347" i="7"/>
  <c r="P347" i="7"/>
  <c r="F18" i="1"/>
  <c r="G18" i="1" s="1"/>
  <c r="N792" i="9"/>
  <c r="M790" i="9"/>
  <c r="N790" i="9" s="1"/>
  <c r="O742" i="8"/>
  <c r="P742" i="8"/>
  <c r="P357" i="9"/>
  <c r="O357" i="9"/>
  <c r="O350" i="9" s="1"/>
  <c r="N350" i="9"/>
  <c r="P350" i="9" s="1"/>
  <c r="P412" i="7"/>
  <c r="O794" i="10"/>
  <c r="P794" i="10"/>
  <c r="N790" i="10"/>
  <c r="P774" i="9"/>
  <c r="O774" i="9"/>
  <c r="R568" i="6"/>
  <c r="S568" i="6"/>
  <c r="N849" i="7"/>
  <c r="M838" i="7"/>
  <c r="S75" i="6"/>
  <c r="O155" i="9"/>
  <c r="P155" i="9"/>
  <c r="N325" i="9"/>
  <c r="O155" i="10"/>
  <c r="P155" i="10"/>
  <c r="R64" i="6"/>
  <c r="S64" i="6"/>
  <c r="S574" i="6"/>
  <c r="R574" i="6"/>
  <c r="M322" i="29"/>
  <c r="O322" i="29" s="1"/>
  <c r="P322" i="29" s="1"/>
  <c r="L280" i="29"/>
  <c r="M280" i="29" s="1"/>
  <c r="O799" i="9"/>
  <c r="P799" i="9"/>
  <c r="P550" i="7"/>
  <c r="O550" i="7"/>
  <c r="M75" i="7"/>
  <c r="M498" i="25"/>
  <c r="O647" i="9"/>
  <c r="P647" i="9"/>
  <c r="N914" i="7"/>
  <c r="O914" i="7" s="1"/>
  <c r="M913" i="7"/>
  <c r="P53" i="31"/>
  <c r="S53" i="31"/>
  <c r="L727" i="29"/>
  <c r="M729" i="29"/>
  <c r="L1013" i="8"/>
  <c r="N1013" i="8" s="1"/>
  <c r="N1014" i="8"/>
  <c r="M926" i="10"/>
  <c r="N928" i="10"/>
  <c r="K278" i="8"/>
  <c r="K275" i="8" s="1"/>
  <c r="P275" i="8" s="1"/>
  <c r="P284" i="8"/>
  <c r="O284" i="8"/>
  <c r="O869" i="9"/>
  <c r="N731" i="9"/>
  <c r="P735" i="9"/>
  <c r="O735" i="9"/>
  <c r="V113" i="6"/>
  <c r="R113" i="6"/>
  <c r="O45" i="7"/>
  <c r="P45" i="7"/>
  <c r="O822" i="10"/>
  <c r="P822" i="10"/>
  <c r="O279" i="8"/>
  <c r="N278" i="8"/>
  <c r="P318" i="10"/>
  <c r="O318" i="10"/>
  <c r="S337" i="6"/>
  <c r="Q709" i="6"/>
  <c r="R711" i="6"/>
  <c r="S711" i="6"/>
  <c r="N631" i="9"/>
  <c r="O631" i="9" s="1"/>
  <c r="N1007" i="8"/>
  <c r="O1007" i="8" s="1"/>
  <c r="L1001" i="8"/>
  <c r="L999" i="8" s="1"/>
  <c r="L998" i="8" s="1"/>
  <c r="O855" i="7"/>
  <c r="P855" i="7"/>
  <c r="P239" i="7"/>
  <c r="O239" i="7"/>
  <c r="F12" i="1"/>
  <c r="G12" i="1" s="1"/>
  <c r="R744" i="7"/>
  <c r="P733" i="7"/>
  <c r="O733" i="7"/>
  <c r="F29" i="1"/>
  <c r="G29" i="1" s="1"/>
  <c r="R433" i="6"/>
  <c r="Q429" i="6"/>
  <c r="P129" i="9"/>
  <c r="P127" i="9"/>
  <c r="P125" i="9"/>
  <c r="O129" i="9"/>
  <c r="S650" i="6"/>
  <c r="R650" i="6"/>
  <c r="O306" i="9"/>
  <c r="P306" i="9"/>
  <c r="P239" i="8"/>
  <c r="O239" i="8"/>
  <c r="R503" i="6"/>
  <c r="S503" i="6"/>
  <c r="P760" i="7"/>
  <c r="O760" i="7"/>
  <c r="O670" i="8"/>
  <c r="P670" i="8"/>
  <c r="M314" i="8"/>
  <c r="N318" i="8"/>
  <c r="O318" i="8" s="1"/>
  <c r="P112" i="7"/>
  <c r="O112" i="7"/>
  <c r="M436" i="29"/>
  <c r="L397" i="29"/>
  <c r="M397" i="29" s="1"/>
  <c r="O864" i="7"/>
  <c r="P548" i="8"/>
  <c r="O548" i="8"/>
  <c r="P940" i="10"/>
  <c r="O940" i="10"/>
  <c r="R161" i="6"/>
  <c r="K275" i="10"/>
  <c r="K273" i="10" s="1"/>
  <c r="N377" i="8"/>
  <c r="O377" i="8" s="1"/>
  <c r="M75" i="10"/>
  <c r="N75" i="10" s="1"/>
  <c r="N77" i="10"/>
  <c r="K25" i="6"/>
  <c r="O244" i="9"/>
  <c r="P244" i="9"/>
  <c r="H169" i="6"/>
  <c r="Q169" i="6" s="1"/>
  <c r="Q170" i="6"/>
  <c r="H275" i="6"/>
  <c r="N521" i="7"/>
  <c r="O247" i="9"/>
  <c r="P247" i="9"/>
  <c r="L845" i="8"/>
  <c r="N773" i="10"/>
  <c r="O779" i="10"/>
  <c r="P779" i="10"/>
  <c r="O305" i="10"/>
  <c r="P305" i="10"/>
  <c r="N298" i="10"/>
  <c r="N117" i="9"/>
  <c r="O117" i="9" s="1"/>
  <c r="L110" i="9"/>
  <c r="N909" i="8"/>
  <c r="O912" i="8"/>
  <c r="N436" i="7"/>
  <c r="P437" i="7"/>
  <c r="O437" i="7"/>
  <c r="K263" i="7"/>
  <c r="K262" i="7" s="1"/>
  <c r="K260" i="7" s="1"/>
  <c r="P260" i="7" s="1"/>
  <c r="P269" i="7"/>
  <c r="O269" i="7"/>
  <c r="O144" i="7"/>
  <c r="P144" i="7"/>
  <c r="S197" i="6"/>
  <c r="R197" i="6"/>
  <c r="G25" i="6"/>
  <c r="N98" i="8"/>
  <c r="M93" i="8"/>
  <c r="Q566" i="6"/>
  <c r="R567" i="6"/>
  <c r="S567" i="6"/>
  <c r="K867" i="10"/>
  <c r="O78" i="9"/>
  <c r="P78" i="9"/>
  <c r="N822" i="8"/>
  <c r="P827" i="8"/>
  <c r="O827" i="8"/>
  <c r="N827" i="7"/>
  <c r="O827" i="7" s="1"/>
  <c r="O828" i="7"/>
  <c r="K342" i="7"/>
  <c r="O951" i="10"/>
  <c r="O390" i="8"/>
  <c r="P390" i="8"/>
  <c r="M929" i="9"/>
  <c r="M927" i="9" s="1"/>
  <c r="N935" i="9"/>
  <c r="P195" i="9"/>
  <c r="O195" i="9"/>
  <c r="O594" i="7"/>
  <c r="P594" i="7"/>
  <c r="M292" i="7"/>
  <c r="N294" i="7"/>
  <c r="Q38" i="6"/>
  <c r="P392" i="7"/>
  <c r="L786" i="10"/>
  <c r="N806" i="10"/>
  <c r="L108" i="10"/>
  <c r="O260" i="7"/>
  <c r="K82" i="7"/>
  <c r="K77" i="7" s="1"/>
  <c r="O21" i="7"/>
  <c r="P21" i="7"/>
  <c r="F3" i="1"/>
  <c r="G3" i="1" s="1"/>
  <c r="I2" i="1" s="1"/>
  <c r="K243" i="6"/>
  <c r="Q244" i="6"/>
  <c r="P342" i="9"/>
  <c r="H345" i="6"/>
  <c r="Q345" i="6" s="1"/>
  <c r="R345" i="6" s="1"/>
  <c r="Q347" i="6"/>
  <c r="R347" i="6" s="1"/>
  <c r="O104" i="29"/>
  <c r="P106" i="29"/>
  <c r="P104" i="29" s="1"/>
  <c r="P708" i="7"/>
  <c r="O708" i="7"/>
  <c r="O588" i="7"/>
  <c r="N581" i="7"/>
  <c r="P804" i="7"/>
  <c r="F30" i="1"/>
  <c r="G30" i="1" s="1"/>
  <c r="O804" i="7"/>
  <c r="N392" i="10"/>
  <c r="M390" i="10"/>
  <c r="N390" i="10" s="1"/>
  <c r="O57" i="9"/>
  <c r="P57" i="9"/>
  <c r="O342" i="10"/>
  <c r="P342" i="10"/>
  <c r="N273" i="6"/>
  <c r="N272" i="6" s="1"/>
  <c r="N251" i="6" s="1"/>
  <c r="O116" i="29"/>
  <c r="P116" i="29" s="1"/>
  <c r="P118" i="29"/>
  <c r="P528" i="9"/>
  <c r="O528" i="9"/>
  <c r="K314" i="8"/>
  <c r="K141" i="8"/>
  <c r="O143" i="8"/>
  <c r="P143" i="8"/>
  <c r="M159" i="7"/>
  <c r="N161" i="7"/>
  <c r="O161" i="7" s="1"/>
  <c r="R591" i="6"/>
  <c r="O654" i="7"/>
  <c r="N648" i="7"/>
  <c r="O650" i="10"/>
  <c r="P650" i="10"/>
  <c r="M818" i="8"/>
  <c r="N820" i="8"/>
  <c r="K647" i="8"/>
  <c r="K645" i="8" s="1"/>
  <c r="O645" i="8" s="1"/>
  <c r="P649" i="8"/>
  <c r="O649" i="8"/>
  <c r="O538" i="7"/>
  <c r="P538" i="7"/>
  <c r="O965" i="9"/>
  <c r="Q162" i="6"/>
  <c r="R14" i="6"/>
  <c r="P470" i="7"/>
  <c r="O470" i="7"/>
  <c r="P392" i="8"/>
  <c r="O392" i="8"/>
  <c r="N659" i="8"/>
  <c r="M192" i="9"/>
  <c r="N194" i="9"/>
  <c r="N430" i="7"/>
  <c r="P264" i="7"/>
  <c r="O264" i="7"/>
  <c r="N263" i="7"/>
  <c r="S260" i="6"/>
  <c r="N839" i="10"/>
  <c r="O840" i="10"/>
  <c r="O839" i="10" s="1"/>
  <c r="P840" i="10"/>
  <c r="P839" i="10" s="1"/>
  <c r="M40" i="10"/>
  <c r="N48" i="10"/>
  <c r="O48" i="10" s="1"/>
  <c r="K486" i="9"/>
  <c r="O487" i="9"/>
  <c r="P487" i="9"/>
  <c r="P305" i="9"/>
  <c r="O305" i="9"/>
  <c r="N298" i="9"/>
  <c r="K1013" i="8"/>
  <c r="O1014" i="8"/>
  <c r="P1014" i="8"/>
  <c r="Q601" i="6"/>
  <c r="Q112" i="6"/>
  <c r="R112" i="6" s="1"/>
  <c r="M784" i="8"/>
  <c r="N784" i="8" s="1"/>
  <c r="N786" i="8"/>
  <c r="P770" i="10"/>
  <c r="O770" i="10"/>
  <c r="M91" i="10"/>
  <c r="O329" i="10"/>
  <c r="N326" i="10"/>
  <c r="O326" i="10" s="1"/>
  <c r="N550" i="6"/>
  <c r="N549" i="6" s="1"/>
  <c r="Q551" i="6"/>
  <c r="I147" i="6"/>
  <c r="Q148" i="6"/>
  <c r="N522" i="9"/>
  <c r="L520" i="9"/>
  <c r="O374" i="10"/>
  <c r="P374" i="10"/>
  <c r="E228" i="6"/>
  <c r="Q229" i="6"/>
  <c r="N600" i="9"/>
  <c r="L599" i="9"/>
  <c r="N599" i="9" s="1"/>
  <c r="S178" i="6"/>
  <c r="Q177" i="6"/>
  <c r="R178" i="6"/>
  <c r="K732" i="10"/>
  <c r="L214" i="7"/>
  <c r="N214" i="7" s="1"/>
  <c r="K312" i="10"/>
  <c r="K310" i="10" s="1"/>
  <c r="L383" i="25"/>
  <c r="M384" i="25"/>
  <c r="O344" i="10"/>
  <c r="P344" i="10"/>
  <c r="N343" i="10"/>
  <c r="O45" i="10"/>
  <c r="P45" i="10"/>
  <c r="N757" i="8"/>
  <c r="O758" i="8"/>
  <c r="K887" i="7"/>
  <c r="S28" i="6"/>
  <c r="R28" i="6"/>
  <c r="K15" i="9"/>
  <c r="K13" i="9" s="1"/>
  <c r="L643" i="7"/>
  <c r="N643" i="7" s="1"/>
  <c r="O643" i="7" s="1"/>
  <c r="N645" i="7"/>
  <c r="N916" i="7"/>
  <c r="K157" i="10"/>
  <c r="O773" i="8"/>
  <c r="K770" i="8"/>
  <c r="K768" i="8" s="1"/>
  <c r="O768" i="8" s="1"/>
  <c r="P773" i="8"/>
  <c r="N537" i="7"/>
  <c r="L952" i="9"/>
  <c r="N957" i="9"/>
  <c r="O957" i="9" s="1"/>
  <c r="S50" i="6"/>
  <c r="R50" i="6"/>
  <c r="P275" i="9"/>
  <c r="O275" i="9"/>
  <c r="N658" i="8"/>
  <c r="P248" i="9"/>
  <c r="O248" i="9"/>
  <c r="O144" i="9"/>
  <c r="P144" i="9"/>
  <c r="N222" i="8"/>
  <c r="M216" i="8"/>
  <c r="K59" i="8"/>
  <c r="R53" i="6"/>
  <c r="P407" i="7"/>
  <c r="O407" i="7"/>
  <c r="O262" i="9"/>
  <c r="P262" i="9"/>
  <c r="O369" i="9"/>
  <c r="P369" i="9"/>
  <c r="O116" i="25"/>
  <c r="P116" i="25" s="1"/>
  <c r="P118" i="25"/>
  <c r="O758" i="10"/>
  <c r="N757" i="10"/>
  <c r="N525" i="7"/>
  <c r="L480" i="7"/>
  <c r="O260" i="8"/>
  <c r="P260" i="8"/>
  <c r="O305" i="7"/>
  <c r="N298" i="7"/>
  <c r="O204" i="7"/>
  <c r="N203" i="7"/>
  <c r="M93" i="7"/>
  <c r="F210" i="6"/>
  <c r="Q211" i="6"/>
  <c r="O356" i="7"/>
  <c r="P356" i="7"/>
  <c r="O788" i="8"/>
  <c r="P788" i="8"/>
  <c r="O754" i="7"/>
  <c r="P754" i="7"/>
  <c r="M11" i="6"/>
  <c r="M9" i="6" s="1"/>
  <c r="K303" i="6"/>
  <c r="K273" i="6" s="1"/>
  <c r="K272" i="6" s="1"/>
  <c r="P892" i="9"/>
  <c r="N519" i="7"/>
  <c r="M480" i="7"/>
  <c r="V124" i="6"/>
  <c r="L922" i="10"/>
  <c r="O216" i="10"/>
  <c r="P216" i="10"/>
  <c r="S95" i="6"/>
  <c r="R95" i="6"/>
  <c r="D91" i="6"/>
  <c r="D25" i="6" s="1"/>
  <c r="D11" i="6" s="1"/>
  <c r="D9" i="6" s="1"/>
  <c r="O273" i="10"/>
  <c r="P273" i="10"/>
  <c r="M757" i="9"/>
  <c r="N757" i="9" s="1"/>
  <c r="N759" i="9"/>
  <c r="N899" i="8"/>
  <c r="O899" i="8" s="1"/>
  <c r="O212" i="9"/>
  <c r="N203" i="9"/>
  <c r="N711" i="9"/>
  <c r="L288" i="10"/>
  <c r="L42" i="10"/>
  <c r="N44" i="10"/>
  <c r="P602" i="9"/>
  <c r="O602" i="9"/>
  <c r="O279" i="9"/>
  <c r="N278" i="9"/>
  <c r="L141" i="7"/>
  <c r="N143" i="7"/>
  <c r="Q521" i="6"/>
  <c r="Q192" i="6"/>
  <c r="G188" i="6"/>
  <c r="P812" i="10"/>
  <c r="O812" i="10"/>
  <c r="K774" i="7"/>
  <c r="K773" i="7" s="1"/>
  <c r="N919" i="7"/>
  <c r="O925" i="7"/>
  <c r="K974" i="10"/>
  <c r="K963" i="10" s="1"/>
  <c r="K961" i="10" s="1"/>
  <c r="L505" i="8"/>
  <c r="L504" i="8" s="1"/>
  <c r="N504" i="8" s="1"/>
  <c r="N506" i="8"/>
  <c r="N826" i="7"/>
  <c r="L799" i="7"/>
  <c r="L797" i="7" s="1"/>
  <c r="S215" i="6"/>
  <c r="R215" i="6"/>
  <c r="N236" i="7"/>
  <c r="P273" i="9"/>
  <c r="O273" i="9"/>
  <c r="N141" i="9"/>
  <c r="M139" i="9"/>
  <c r="N139" i="9" s="1"/>
  <c r="K342" i="8"/>
  <c r="K340" i="8" s="1"/>
  <c r="K338" i="8" s="1"/>
  <c r="O343" i="8"/>
  <c r="P343" i="8"/>
  <c r="N88" i="8"/>
  <c r="L82" i="8"/>
  <c r="L77" i="8" s="1"/>
  <c r="P655" i="7"/>
  <c r="O655" i="7"/>
  <c r="P295" i="7"/>
  <c r="O295" i="7"/>
  <c r="R39" i="6"/>
  <c r="S39" i="6"/>
  <c r="L403" i="7"/>
  <c r="N367" i="9"/>
  <c r="O813" i="10"/>
  <c r="P813" i="10"/>
  <c r="K477" i="9"/>
  <c r="P526" i="7"/>
  <c r="O526" i="7"/>
  <c r="P94" i="8"/>
  <c r="O94" i="8"/>
  <c r="O262" i="7"/>
  <c r="P262" i="7"/>
  <c r="P94" i="7"/>
  <c r="O94" i="7"/>
  <c r="E354" i="6"/>
  <c r="Q354" i="6" s="1"/>
  <c r="S354" i="6" s="1"/>
  <c r="Q355" i="6"/>
  <c r="R212" i="6"/>
  <c r="S212" i="6"/>
  <c r="M19" i="7"/>
  <c r="N20" i="7"/>
  <c r="K93" i="8"/>
  <c r="K91" i="8" s="1"/>
  <c r="O170" i="10"/>
  <c r="J9" i="9"/>
  <c r="J1029" i="9"/>
  <c r="L288" i="7"/>
  <c r="S507" i="3"/>
  <c r="R507" i="3"/>
  <c r="S577" i="3"/>
  <c r="R577" i="3"/>
  <c r="O63" i="8"/>
  <c r="P63" i="8"/>
  <c r="Q56" i="28"/>
  <c r="P56" i="28"/>
  <c r="S56" i="28"/>
  <c r="D407" i="3"/>
  <c r="R410" i="3"/>
  <c r="S410" i="3"/>
  <c r="V382" i="19"/>
  <c r="O380" i="19"/>
  <c r="V380" i="19" s="1"/>
  <c r="O283" i="29"/>
  <c r="N282" i="29"/>
  <c r="Q59" i="24"/>
  <c r="S59" i="24"/>
  <c r="P59" i="24"/>
  <c r="M668" i="29"/>
  <c r="L667" i="29"/>
  <c r="M667" i="29" s="1"/>
  <c r="P1080" i="8"/>
  <c r="O1080" i="8"/>
  <c r="O649" i="10"/>
  <c r="O752" i="7"/>
  <c r="P752" i="7"/>
  <c r="M566" i="25"/>
  <c r="L534" i="25"/>
  <c r="M534" i="25" s="1"/>
  <c r="V55" i="19"/>
  <c r="O43" i="19"/>
  <c r="N288" i="9"/>
  <c r="M725" i="9"/>
  <c r="Z1069" i="39"/>
  <c r="Z9" i="39"/>
  <c r="P236" i="10"/>
  <c r="O236" i="10"/>
  <c r="O917" i="10"/>
  <c r="O457" i="8"/>
  <c r="P457" i="8"/>
  <c r="M1076" i="10"/>
  <c r="N79" i="8"/>
  <c r="P80" i="8"/>
  <c r="O80" i="8"/>
  <c r="Q56" i="18"/>
  <c r="S56" i="18"/>
  <c r="T56" i="18" s="1"/>
  <c r="S45" i="20"/>
  <c r="T45" i="20" s="1"/>
  <c r="Q45" i="20"/>
  <c r="L675" i="4"/>
  <c r="M676" i="4"/>
  <c r="S212" i="3"/>
  <c r="R212" i="3"/>
  <c r="P269" i="8"/>
  <c r="O269" i="8"/>
  <c r="N263" i="8"/>
  <c r="P51" i="31"/>
  <c r="S51" i="31"/>
  <c r="S95" i="39"/>
  <c r="V96" i="39"/>
  <c r="AA96" i="39"/>
  <c r="AF96" i="39"/>
  <c r="AB96" i="39"/>
  <c r="T96" i="39"/>
  <c r="N453" i="7"/>
  <c r="L452" i="7"/>
  <c r="L451" i="7" s="1"/>
  <c r="M520" i="3"/>
  <c r="M518" i="3" s="1"/>
  <c r="Q545" i="3"/>
  <c r="R545" i="3" s="1"/>
  <c r="D359" i="3"/>
  <c r="S363" i="3"/>
  <c r="R363" i="3"/>
  <c r="Q575" i="23"/>
  <c r="R575" i="23"/>
  <c r="L574" i="23"/>
  <c r="P256" i="10"/>
  <c r="O256" i="10"/>
  <c r="Q414" i="19"/>
  <c r="L413" i="19"/>
  <c r="R414" i="19"/>
  <c r="AG149" i="39"/>
  <c r="F19" i="1"/>
  <c r="P370" i="7"/>
  <c r="O370" i="7"/>
  <c r="O633" i="39"/>
  <c r="S700" i="6"/>
  <c r="R700" i="6"/>
  <c r="P763" i="9"/>
  <c r="O763" i="9"/>
  <c r="O441" i="27"/>
  <c r="V443" i="27"/>
  <c r="D701" i="3"/>
  <c r="O77" i="9"/>
  <c r="P54" i="24"/>
  <c r="Q54" i="24"/>
  <c r="L442" i="23"/>
  <c r="L611" i="23"/>
  <c r="L605" i="23" s="1"/>
  <c r="R605" i="23" s="1"/>
  <c r="Q444" i="23"/>
  <c r="O406" i="16"/>
  <c r="V410" i="16"/>
  <c r="J611" i="3"/>
  <c r="Q612" i="3"/>
  <c r="Q562" i="19"/>
  <c r="R562" i="19"/>
  <c r="L561" i="19"/>
  <c r="V415" i="30"/>
  <c r="K839" i="9"/>
  <c r="O840" i="9"/>
  <c r="S66" i="39"/>
  <c r="AB68" i="39"/>
  <c r="AA68" i="39"/>
  <c r="S67" i="39"/>
  <c r="D428" i="3"/>
  <c r="R429" i="3"/>
  <c r="S429" i="3"/>
  <c r="S60" i="11"/>
  <c r="Q60" i="11"/>
  <c r="M59" i="11"/>
  <c r="M999" i="8"/>
  <c r="R147" i="3"/>
  <c r="V575" i="30"/>
  <c r="O574" i="30"/>
  <c r="V574" i="30" s="1"/>
  <c r="S53" i="28"/>
  <c r="P53" i="28"/>
  <c r="V14" i="39"/>
  <c r="T14" i="39"/>
  <c r="W14" i="39"/>
  <c r="AF14" i="39"/>
  <c r="O932" i="7"/>
  <c r="P932" i="7"/>
  <c r="P683" i="9"/>
  <c r="O683" i="9"/>
  <c r="J10" i="13"/>
  <c r="K10" i="13" s="1"/>
  <c r="N570" i="5"/>
  <c r="J10" i="12"/>
  <c r="K10" i="12" s="1"/>
  <c r="Q460" i="30"/>
  <c r="R460" i="30"/>
  <c r="T383" i="5"/>
  <c r="O381" i="5"/>
  <c r="K290" i="7"/>
  <c r="K288" i="7" s="1"/>
  <c r="P298" i="7"/>
  <c r="O298" i="7"/>
  <c r="P332" i="7"/>
  <c r="O332" i="7"/>
  <c r="M586" i="9"/>
  <c r="O647" i="8"/>
  <c r="S639" i="3"/>
  <c r="R639" i="3"/>
  <c r="S62" i="20"/>
  <c r="Q62" i="20"/>
  <c r="M288" i="8"/>
  <c r="N288" i="8" s="1"/>
  <c r="N290" i="8"/>
  <c r="K8" i="20"/>
  <c r="O1079" i="8"/>
  <c r="P1079" i="8"/>
  <c r="M645" i="10"/>
  <c r="O470" i="8"/>
  <c r="P470" i="8"/>
  <c r="P611" i="7"/>
  <c r="O611" i="7"/>
  <c r="L8" i="11"/>
  <c r="N216" i="9"/>
  <c r="M214" i="9"/>
  <c r="N214" i="9" s="1"/>
  <c r="N290" i="9"/>
  <c r="P609" i="8"/>
  <c r="O609" i="8"/>
  <c r="T44" i="31"/>
  <c r="O511" i="6"/>
  <c r="Q512" i="6"/>
  <c r="K420" i="6"/>
  <c r="Q421" i="6"/>
  <c r="S447" i="6"/>
  <c r="V447" i="6"/>
  <c r="R447" i="6"/>
  <c r="Q445" i="6"/>
  <c r="M58" i="28"/>
  <c r="S60" i="28"/>
  <c r="P60" i="28"/>
  <c r="Q60" i="28"/>
  <c r="P54" i="31"/>
  <c r="Q54" i="31"/>
  <c r="Q45" i="11"/>
  <c r="S45" i="11"/>
  <c r="T45" i="11" s="1"/>
  <c r="M585" i="4"/>
  <c r="L582" i="4"/>
  <c r="L580" i="4"/>
  <c r="M580" i="4" s="1"/>
  <c r="O82" i="4"/>
  <c r="N82" i="4"/>
  <c r="Q446" i="27"/>
  <c r="L613" i="27"/>
  <c r="L607" i="27" s="1"/>
  <c r="R607" i="27" s="1"/>
  <c r="L444" i="27"/>
  <c r="L611" i="30"/>
  <c r="L605" i="30" s="1"/>
  <c r="R605" i="30" s="1"/>
  <c r="L442" i="30"/>
  <c r="Q444" i="30"/>
  <c r="V419" i="23"/>
  <c r="O415" i="23"/>
  <c r="O311" i="5"/>
  <c r="N416" i="4"/>
  <c r="O314" i="23"/>
  <c r="O310" i="16"/>
  <c r="O314" i="30"/>
  <c r="O310" i="19"/>
  <c r="O315" i="27"/>
  <c r="N10" i="16"/>
  <c r="D483" i="3"/>
  <c r="S484" i="3"/>
  <c r="R484" i="3"/>
  <c r="R397" i="3"/>
  <c r="S397" i="3"/>
  <c r="P155" i="3"/>
  <c r="Q155" i="3" s="1"/>
  <c r="Q156" i="3"/>
  <c r="Q31" i="3"/>
  <c r="H29" i="3"/>
  <c r="V392" i="27"/>
  <c r="O390" i="27"/>
  <c r="V390" i="27" s="1"/>
  <c r="F238" i="3"/>
  <c r="Q239" i="3"/>
  <c r="O71" i="11"/>
  <c r="S72" i="11"/>
  <c r="Q72" i="11"/>
  <c r="R190" i="3"/>
  <c r="T52" i="24"/>
  <c r="M816" i="29"/>
  <c r="M1016" i="10"/>
  <c r="N1024" i="10"/>
  <c r="O1024" i="10" s="1"/>
  <c r="M806" i="25"/>
  <c r="S54" i="24"/>
  <c r="D595" i="3"/>
  <c r="R595" i="3" s="1"/>
  <c r="R596" i="3"/>
  <c r="R466" i="3"/>
  <c r="S466" i="3"/>
  <c r="O789" i="3"/>
  <c r="Q204" i="16"/>
  <c r="L201" i="16"/>
  <c r="S62" i="18"/>
  <c r="Q62" i="18"/>
  <c r="S62" i="11"/>
  <c r="Q62" i="11"/>
  <c r="J1088" i="10"/>
  <c r="J9" i="10"/>
  <c r="P392" i="9"/>
  <c r="O392" i="9"/>
  <c r="S343" i="6"/>
  <c r="R343" i="6"/>
  <c r="R316" i="6"/>
  <c r="V316" i="6"/>
  <c r="S316" i="6"/>
  <c r="Q57" i="24"/>
  <c r="P57" i="24"/>
  <c r="M56" i="24"/>
  <c r="S57" i="24"/>
  <c r="O68" i="20"/>
  <c r="O68" i="11"/>
  <c r="P429" i="5"/>
  <c r="O58" i="20"/>
  <c r="K262" i="10"/>
  <c r="K260" i="10" s="1"/>
  <c r="O260" i="10" s="1"/>
  <c r="O299" i="8"/>
  <c r="N298" i="8"/>
  <c r="S54" i="31"/>
  <c r="L535" i="29"/>
  <c r="M535" i="29" s="1"/>
  <c r="M567" i="29"/>
  <c r="N176" i="10"/>
  <c r="L174" i="10"/>
  <c r="M310" i="7"/>
  <c r="R752" i="3"/>
  <c r="O210" i="6"/>
  <c r="O68" i="4"/>
  <c r="N68" i="4"/>
  <c r="P57" i="7"/>
  <c r="O57" i="7"/>
  <c r="N609" i="7"/>
  <c r="M607" i="7"/>
  <c r="N607" i="7" s="1"/>
  <c r="R71" i="6"/>
  <c r="S71" i="6"/>
  <c r="Q714" i="39"/>
  <c r="O714" i="39"/>
  <c r="I35" i="12"/>
  <c r="K340" i="9"/>
  <c r="K338" i="9" s="1"/>
  <c r="P928" i="8"/>
  <c r="O928" i="8"/>
  <c r="S51" i="24"/>
  <c r="P51" i="24"/>
  <c r="O292" i="9"/>
  <c r="P292" i="9"/>
  <c r="K290" i="9"/>
  <c r="K288" i="9" s="1"/>
  <c r="J8" i="29"/>
  <c r="P1043" i="8"/>
  <c r="O1043" i="8"/>
  <c r="N98" i="9"/>
  <c r="M93" i="9"/>
  <c r="R10" i="3"/>
  <c r="S10" i="3"/>
  <c r="P1001" i="10"/>
  <c r="O1001" i="10"/>
  <c r="M873" i="7"/>
  <c r="N873" i="7" s="1"/>
  <c r="N874" i="7"/>
  <c r="R293" i="6"/>
  <c r="L8" i="3"/>
  <c r="M310" i="9"/>
  <c r="N312" i="9"/>
  <c r="O1073" i="10"/>
  <c r="N1067" i="10"/>
  <c r="O42" i="31"/>
  <c r="N340" i="8"/>
  <c r="M338" i="8"/>
  <c r="N338" i="8" s="1"/>
  <c r="M659" i="7"/>
  <c r="N659" i="7" s="1"/>
  <c r="N661" i="7"/>
  <c r="I188" i="6"/>
  <c r="Q200" i="6"/>
  <c r="K8" i="11"/>
  <c r="N582" i="30"/>
  <c r="N10" i="30"/>
  <c r="N8" i="30" s="1"/>
  <c r="M338" i="4"/>
  <c r="N338" i="4" s="1"/>
  <c r="L337" i="4"/>
  <c r="M337" i="4" s="1"/>
  <c r="N337" i="4" s="1"/>
  <c r="O337" i="4" s="1"/>
  <c r="I281" i="3"/>
  <c r="Q281" i="3" s="1"/>
  <c r="Q322" i="3"/>
  <c r="R322" i="3" s="1"/>
  <c r="S322" i="3" s="1"/>
  <c r="O71" i="20"/>
  <c r="S72" i="20"/>
  <c r="Q72" i="20"/>
  <c r="J283" i="4"/>
  <c r="J282" i="4" s="1"/>
  <c r="J280" i="4" s="1"/>
  <c r="N284" i="4"/>
  <c r="O284" i="4"/>
  <c r="O1071" i="8"/>
  <c r="N1070" i="8"/>
  <c r="P251" i="10"/>
  <c r="O251" i="10"/>
  <c r="F637" i="3"/>
  <c r="Q638" i="3"/>
  <c r="M367" i="7"/>
  <c r="N369" i="7"/>
  <c r="P45" i="9"/>
  <c r="O45" i="9"/>
  <c r="M234" i="9"/>
  <c r="N236" i="9"/>
  <c r="R121" i="3"/>
  <c r="R372" i="3"/>
  <c r="S372" i="3"/>
  <c r="Q55" i="30"/>
  <c r="R55" i="30"/>
  <c r="P327" i="39"/>
  <c r="J129" i="4"/>
  <c r="O24" i="28"/>
  <c r="O22" i="24"/>
  <c r="P55" i="23"/>
  <c r="R56" i="23"/>
  <c r="R111" i="6"/>
  <c r="S111" i="6"/>
  <c r="L845" i="10"/>
  <c r="P470" i="10"/>
  <c r="O470" i="10"/>
  <c r="O31" i="25"/>
  <c r="L78" i="4"/>
  <c r="M78" i="4" s="1"/>
  <c r="M79" i="4"/>
  <c r="Q116" i="3"/>
  <c r="L432" i="5"/>
  <c r="L602" i="5"/>
  <c r="L596" i="5" s="1"/>
  <c r="Q434" i="5"/>
  <c r="Q432" i="19"/>
  <c r="L430" i="19"/>
  <c r="L600" i="19"/>
  <c r="L594" i="19" s="1"/>
  <c r="V421" i="27"/>
  <c r="O417" i="27"/>
  <c r="I518" i="3"/>
  <c r="Q520" i="3"/>
  <c r="R520" i="3" s="1"/>
  <c r="Q369" i="27"/>
  <c r="L367" i="27"/>
  <c r="S154" i="3"/>
  <c r="R154" i="3"/>
  <c r="S240" i="3"/>
  <c r="R240" i="3"/>
  <c r="M53" i="20"/>
  <c r="M53" i="11"/>
  <c r="M53" i="18"/>
  <c r="Q381" i="5"/>
  <c r="R381" i="5"/>
  <c r="P181" i="7"/>
  <c r="O181" i="7"/>
  <c r="P62" i="18"/>
  <c r="P62" i="20"/>
  <c r="P62" i="11"/>
  <c r="Q322" i="6"/>
  <c r="I303" i="6"/>
  <c r="I273" i="6" s="1"/>
  <c r="I272" i="6" s="1"/>
  <c r="S60" i="18"/>
  <c r="Q60" i="18"/>
  <c r="M59" i="18"/>
  <c r="O238" i="9"/>
  <c r="P238" i="9"/>
  <c r="Y863" i="39"/>
  <c r="X861" i="39"/>
  <c r="AA863" i="39"/>
  <c r="AB863" i="39"/>
  <c r="T56" i="5"/>
  <c r="O44" i="5"/>
  <c r="N999" i="10"/>
  <c r="M998" i="10"/>
  <c r="N998" i="10" s="1"/>
  <c r="P876" i="7"/>
  <c r="O876" i="7"/>
  <c r="D197" i="3"/>
  <c r="L234" i="10"/>
  <c r="N930" i="7"/>
  <c r="L929" i="7"/>
  <c r="N929" i="7" s="1"/>
  <c r="N284" i="7"/>
  <c r="O285" i="7"/>
  <c r="P285" i="7"/>
  <c r="O314" i="9"/>
  <c r="P314" i="9"/>
  <c r="O560" i="19"/>
  <c r="V560" i="19" s="1"/>
  <c r="V561" i="19"/>
  <c r="L1064" i="10"/>
  <c r="N1064" i="10" s="1"/>
  <c r="N1065" i="10"/>
  <c r="S635" i="39"/>
  <c r="S501" i="6"/>
  <c r="V501" i="6"/>
  <c r="R501" i="6"/>
  <c r="Q499" i="6"/>
  <c r="R511" i="3"/>
  <c r="Q56" i="20"/>
  <c r="S56" i="20"/>
  <c r="T56" i="20" s="1"/>
  <c r="P46" i="28"/>
  <c r="S46" i="28"/>
  <c r="Q46" i="28"/>
  <c r="N587" i="4"/>
  <c r="O587" i="4"/>
  <c r="M161" i="4"/>
  <c r="L154" i="4"/>
  <c r="M154" i="4" s="1"/>
  <c r="P385" i="3"/>
  <c r="Q420" i="3"/>
  <c r="L605" i="16"/>
  <c r="L599" i="16" s="1"/>
  <c r="R599" i="16" s="1"/>
  <c r="Q435" i="16"/>
  <c r="L433" i="16"/>
  <c r="V408" i="19"/>
  <c r="O404" i="19"/>
  <c r="G356" i="3"/>
  <c r="Q358" i="3"/>
  <c r="J616" i="4"/>
  <c r="N617" i="4"/>
  <c r="P21" i="4"/>
  <c r="O617" i="4"/>
  <c r="P12" i="4"/>
  <c r="P13" i="4" s="1"/>
  <c r="L506" i="4"/>
  <c r="M506" i="4" s="1"/>
  <c r="M510" i="4"/>
  <c r="N510" i="4" s="1"/>
  <c r="R386" i="3"/>
  <c r="S386" i="3"/>
  <c r="D385" i="3"/>
  <c r="V382" i="16"/>
  <c r="O380" i="16"/>
  <c r="V380" i="16" s="1"/>
  <c r="Q25" i="18"/>
  <c r="P25" i="18"/>
  <c r="S25" i="18"/>
  <c r="S61" i="11"/>
  <c r="T61" i="11" s="1"/>
  <c r="M726" i="4"/>
  <c r="L363" i="8"/>
  <c r="N174" i="7"/>
  <c r="H461" i="3"/>
  <c r="Q462" i="3"/>
  <c r="R59" i="3"/>
  <c r="D54" i="3"/>
  <c r="Q208" i="30"/>
  <c r="L205" i="30"/>
  <c r="Q59" i="31"/>
  <c r="P59" i="31"/>
  <c r="S59" i="31"/>
  <c r="M519" i="4"/>
  <c r="N519" i="4" s="1"/>
  <c r="L517" i="4"/>
  <c r="M517" i="4" s="1"/>
  <c r="N517" i="4" s="1"/>
  <c r="N176" i="7"/>
  <c r="O833" i="7"/>
  <c r="P833" i="7"/>
  <c r="O357" i="10"/>
  <c r="O350" i="10" s="1"/>
  <c r="P357" i="10"/>
  <c r="N350" i="10"/>
  <c r="P350" i="10" s="1"/>
  <c r="Q342" i="6"/>
  <c r="E303" i="6"/>
  <c r="S315" i="6"/>
  <c r="R315" i="6"/>
  <c r="O427" i="27"/>
  <c r="V427" i="27" s="1"/>
  <c r="V428" i="27"/>
  <c r="R398" i="5"/>
  <c r="L397" i="5"/>
  <c r="Q398" i="5"/>
  <c r="S60" i="20"/>
  <c r="Q60" i="20"/>
  <c r="M59" i="20"/>
  <c r="M58" i="20" s="1"/>
  <c r="D6" i="21" s="1"/>
  <c r="N1082" i="8"/>
  <c r="O1083" i="8"/>
  <c r="R148" i="39"/>
  <c r="T148" i="39" s="1"/>
  <c r="AF148" i="39"/>
  <c r="V148" i="39"/>
  <c r="P147" i="39"/>
  <c r="Q148" i="39"/>
  <c r="W148" i="39"/>
  <c r="Y148" i="39" s="1"/>
  <c r="L42" i="9"/>
  <c r="N44" i="9"/>
  <c r="X44" i="39"/>
  <c r="P181" i="10"/>
  <c r="O181" i="10"/>
  <c r="O314" i="7"/>
  <c r="N789" i="3"/>
  <c r="L66" i="4"/>
  <c r="M67" i="4"/>
  <c r="J11" i="12"/>
  <c r="J12" i="12" s="1"/>
  <c r="T44" i="24"/>
  <c r="O383" i="29"/>
  <c r="P383" i="29" s="1"/>
  <c r="AF859" i="39"/>
  <c r="W859" i="39"/>
  <c r="V859" i="39"/>
  <c r="K898" i="8"/>
  <c r="D784" i="2"/>
  <c r="O790" i="8"/>
  <c r="P790" i="8"/>
  <c r="O45" i="39"/>
  <c r="M924" i="8"/>
  <c r="K71" i="28"/>
  <c r="O1042" i="8"/>
  <c r="P1042" i="8"/>
  <c r="O465" i="9"/>
  <c r="P465" i="9"/>
  <c r="K463" i="9"/>
  <c r="Q169" i="3"/>
  <c r="K15" i="10"/>
  <c r="R129" i="3"/>
  <c r="S129" i="3"/>
  <c r="O732" i="8"/>
  <c r="P732" i="8"/>
  <c r="R292" i="6"/>
  <c r="S292" i="6"/>
  <c r="K255" i="6"/>
  <c r="N899" i="10"/>
  <c r="M898" i="10"/>
  <c r="N898" i="10" s="1"/>
  <c r="L691" i="7"/>
  <c r="N184" i="4"/>
  <c r="O342" i="8"/>
  <c r="P342" i="8"/>
  <c r="N481" i="8"/>
  <c r="O483" i="8"/>
  <c r="P483" i="8"/>
  <c r="M673" i="9"/>
  <c r="N675" i="9"/>
  <c r="N68" i="11"/>
  <c r="N68" i="20"/>
  <c r="O429" i="5"/>
  <c r="T431" i="5"/>
  <c r="T30" i="11"/>
  <c r="Q7" i="33" l="1"/>
  <c r="V49" i="6"/>
  <c r="R49" i="6"/>
  <c r="S49" i="6"/>
  <c r="R27" i="6"/>
  <c r="V27" i="6"/>
  <c r="M865" i="9"/>
  <c r="S381" i="10"/>
  <c r="N378" i="10"/>
  <c r="O378" i="10" s="1"/>
  <c r="O381" i="10"/>
  <c r="N725" i="9"/>
  <c r="Q590" i="6"/>
  <c r="R139" i="6"/>
  <c r="O867" i="9"/>
  <c r="P55" i="11"/>
  <c r="T55" i="11" s="1"/>
  <c r="N981" i="9"/>
  <c r="R60" i="6"/>
  <c r="N1018" i="9"/>
  <c r="P841" i="7"/>
  <c r="P390" i="9"/>
  <c r="Q210" i="6"/>
  <c r="O67" i="9"/>
  <c r="N1030" i="10"/>
  <c r="O695" i="7"/>
  <c r="L578" i="8"/>
  <c r="S218" i="6"/>
  <c r="N1001" i="8"/>
  <c r="N727" i="9"/>
  <c r="P1020" i="9"/>
  <c r="O961" i="10"/>
  <c r="O61" i="8"/>
  <c r="O234" i="8"/>
  <c r="N665" i="7"/>
  <c r="O533" i="10"/>
  <c r="O687" i="7"/>
  <c r="P680" i="10"/>
  <c r="Q120" i="6"/>
  <c r="V120" i="6" s="1"/>
  <c r="M726" i="25"/>
  <c r="P59" i="7"/>
  <c r="N690" i="10"/>
  <c r="R152" i="6"/>
  <c r="K405" i="10"/>
  <c r="P264" i="10"/>
  <c r="P763" i="8"/>
  <c r="P663" i="7"/>
  <c r="O663" i="7"/>
  <c r="M108" i="7"/>
  <c r="N108" i="7" s="1"/>
  <c r="P234" i="8"/>
  <c r="N915" i="9"/>
  <c r="I25" i="6"/>
  <c r="N877" i="8"/>
  <c r="P877" i="8" s="1"/>
  <c r="N325" i="10"/>
  <c r="P490" i="8"/>
  <c r="N243" i="8"/>
  <c r="P331" i="8"/>
  <c r="K325" i="8"/>
  <c r="O331" i="8"/>
  <c r="L365" i="9"/>
  <c r="L363" i="9" s="1"/>
  <c r="N377" i="9"/>
  <c r="O377" i="9" s="1"/>
  <c r="K974" i="8"/>
  <c r="K963" i="8" s="1"/>
  <c r="K961" i="8" s="1"/>
  <c r="O961" i="8" s="1"/>
  <c r="O980" i="8"/>
  <c r="P980" i="8"/>
  <c r="O986" i="8"/>
  <c r="P986" i="8"/>
  <c r="O742" i="7"/>
  <c r="P742" i="7"/>
  <c r="L477" i="29"/>
  <c r="M477" i="29" s="1"/>
  <c r="M478" i="29"/>
  <c r="L141" i="10"/>
  <c r="L139" i="10" s="1"/>
  <c r="R236" i="6"/>
  <c r="O284" i="9"/>
  <c r="P284" i="9"/>
  <c r="P773" i="7"/>
  <c r="P849" i="8"/>
  <c r="N340" i="7"/>
  <c r="G718" i="6"/>
  <c r="M29" i="25"/>
  <c r="O753" i="9"/>
  <c r="P753" i="9"/>
  <c r="S666" i="6"/>
  <c r="R666" i="6"/>
  <c r="S135" i="6"/>
  <c r="R135" i="6"/>
  <c r="P390" i="7"/>
  <c r="O390" i="7"/>
  <c r="O1017" i="9"/>
  <c r="P1017" i="9"/>
  <c r="O20" i="10"/>
  <c r="P20" i="10"/>
  <c r="N284" i="10"/>
  <c r="P285" i="10"/>
  <c r="O285" i="10"/>
  <c r="N926" i="8"/>
  <c r="O681" i="7"/>
  <c r="P729" i="9"/>
  <c r="N665" i="8"/>
  <c r="O314" i="10"/>
  <c r="O877" i="8"/>
  <c r="H303" i="6"/>
  <c r="H273" i="6" s="1"/>
  <c r="H272" i="6" s="1"/>
  <c r="E25" i="6"/>
  <c r="N847" i="8"/>
  <c r="N974" i="8"/>
  <c r="P974" i="8" s="1"/>
  <c r="F21" i="1"/>
  <c r="G21" i="1" s="1"/>
  <c r="N66" i="7"/>
  <c r="M369" i="25"/>
  <c r="N983" i="9"/>
  <c r="P983" i="9" s="1"/>
  <c r="O849" i="8"/>
  <c r="P370" i="10"/>
  <c r="P407" i="10"/>
  <c r="K757" i="8"/>
  <c r="K754" i="8" s="1"/>
  <c r="O763" i="10"/>
  <c r="N269" i="9"/>
  <c r="P270" i="9"/>
  <c r="O270" i="9"/>
  <c r="M17" i="10"/>
  <c r="M15" i="10" s="1"/>
  <c r="M13" i="10" s="1"/>
  <c r="N19" i="10"/>
  <c r="N1058" i="8"/>
  <c r="M1056" i="8"/>
  <c r="L522" i="10"/>
  <c r="N523" i="10"/>
  <c r="M757" i="10"/>
  <c r="M754" i="10" s="1"/>
  <c r="L638" i="7"/>
  <c r="N639" i="7"/>
  <c r="L559" i="9"/>
  <c r="N559" i="9" s="1"/>
  <c r="N577" i="9"/>
  <c r="O524" i="10"/>
  <c r="P524" i="10"/>
  <c r="P643" i="7"/>
  <c r="N547" i="7"/>
  <c r="O669" i="8"/>
  <c r="P238" i="7"/>
  <c r="O511" i="8"/>
  <c r="N845" i="8"/>
  <c r="S626" i="6"/>
  <c r="N411" i="7"/>
  <c r="P411" i="7" s="1"/>
  <c r="T55" i="18"/>
  <c r="O370" i="10"/>
  <c r="P357" i="7"/>
  <c r="L365" i="7"/>
  <c r="L363" i="7" s="1"/>
  <c r="N25" i="6"/>
  <c r="N243" i="9"/>
  <c r="L29" i="25"/>
  <c r="N963" i="8"/>
  <c r="O820" i="10"/>
  <c r="P641" i="7"/>
  <c r="O641" i="7"/>
  <c r="O112" i="9"/>
  <c r="P112" i="9"/>
  <c r="O807" i="10"/>
  <c r="P807" i="10"/>
  <c r="M642" i="29"/>
  <c r="L628" i="29"/>
  <c r="M628" i="29" s="1"/>
  <c r="N691" i="7"/>
  <c r="N693" i="7"/>
  <c r="O693" i="7" s="1"/>
  <c r="N885" i="10"/>
  <c r="M818" i="10"/>
  <c r="P718" i="6"/>
  <c r="N879" i="8"/>
  <c r="O879" i="8" s="1"/>
  <c r="M370" i="25"/>
  <c r="L312" i="7"/>
  <c r="P578" i="9"/>
  <c r="O578" i="9"/>
  <c r="P827" i="9"/>
  <c r="O827" i="9"/>
  <c r="O785" i="7"/>
  <c r="P785" i="7"/>
  <c r="N784" i="7"/>
  <c r="P114" i="9"/>
  <c r="O114" i="9"/>
  <c r="P858" i="8"/>
  <c r="O858" i="8"/>
  <c r="O736" i="10"/>
  <c r="P736" i="10"/>
  <c r="P611" i="9"/>
  <c r="O611" i="9"/>
  <c r="P489" i="8"/>
  <c r="O489" i="8"/>
  <c r="M1039" i="10"/>
  <c r="N1039" i="10" s="1"/>
  <c r="N1040" i="10"/>
  <c r="N594" i="9"/>
  <c r="O594" i="9" s="1"/>
  <c r="O595" i="9"/>
  <c r="O321" i="7"/>
  <c r="N319" i="7"/>
  <c r="P886" i="8"/>
  <c r="O886" i="8"/>
  <c r="O738" i="10"/>
  <c r="P738" i="10"/>
  <c r="O994" i="10"/>
  <c r="N988" i="10"/>
  <c r="N986" i="10"/>
  <c r="L984" i="10"/>
  <c r="N984" i="10" s="1"/>
  <c r="O207" i="8"/>
  <c r="P207" i="8"/>
  <c r="N203" i="8"/>
  <c r="O1064" i="8"/>
  <c r="K1058" i="8"/>
  <c r="P195" i="8"/>
  <c r="O195" i="8"/>
  <c r="O143" i="9"/>
  <c r="P143" i="9"/>
  <c r="O19" i="8"/>
  <c r="N17" i="8"/>
  <c r="P19" i="8"/>
  <c r="M110" i="10"/>
  <c r="N117" i="10"/>
  <c r="O117" i="10" s="1"/>
  <c r="O680" i="8"/>
  <c r="P680" i="8"/>
  <c r="L174" i="8"/>
  <c r="N174" i="8" s="1"/>
  <c r="N176" i="8"/>
  <c r="P332" i="10"/>
  <c r="N331" i="10"/>
  <c r="M156" i="29"/>
  <c r="L155" i="29"/>
  <c r="M155" i="29" s="1"/>
  <c r="P603" i="9"/>
  <c r="O603" i="9"/>
  <c r="N44" i="7"/>
  <c r="L42" i="7"/>
  <c r="L850" i="29"/>
  <c r="L851" i="29" s="1"/>
  <c r="L856" i="29" s="1"/>
  <c r="O773" i="7"/>
  <c r="M29" i="29"/>
  <c r="M243" i="7"/>
  <c r="N243" i="7" s="1"/>
  <c r="O243" i="7" s="1"/>
  <c r="M742" i="10"/>
  <c r="N742" i="10" s="1"/>
  <c r="P264" i="8"/>
  <c r="O264" i="8"/>
  <c r="P449" i="10"/>
  <c r="O449" i="10"/>
  <c r="K448" i="10"/>
  <c r="P963" i="10"/>
  <c r="F11" i="6"/>
  <c r="F9" i="6" s="1"/>
  <c r="M477" i="25"/>
  <c r="L476" i="25"/>
  <c r="O264" i="9"/>
  <c r="P264" i="9"/>
  <c r="N263" i="9"/>
  <c r="O338" i="10"/>
  <c r="P338" i="10"/>
  <c r="O658" i="10"/>
  <c r="P658" i="10"/>
  <c r="N909" i="10"/>
  <c r="P909" i="10" s="1"/>
  <c r="R18" i="6"/>
  <c r="P11" i="6"/>
  <c r="P9" i="6" s="1"/>
  <c r="S124" i="6"/>
  <c r="F718" i="6"/>
  <c r="P159" i="10"/>
  <c r="O256" i="9"/>
  <c r="Q276" i="6"/>
  <c r="R276" i="6" s="1"/>
  <c r="R120" i="6"/>
  <c r="O669" i="7"/>
  <c r="J718" i="6"/>
  <c r="R615" i="6"/>
  <c r="O222" i="10"/>
  <c r="O247" i="7"/>
  <c r="P247" i="7"/>
  <c r="O294" i="10"/>
  <c r="P294" i="10"/>
  <c r="O448" i="8"/>
  <c r="K447" i="8"/>
  <c r="P448" i="8"/>
  <c r="L499" i="29"/>
  <c r="M500" i="29"/>
  <c r="N292" i="10"/>
  <c r="M290" i="10"/>
  <c r="S27" i="6"/>
  <c r="L108" i="8"/>
  <c r="N108" i="8" s="1"/>
  <c r="O963" i="10"/>
  <c r="P961" i="10"/>
  <c r="P899" i="8"/>
  <c r="O850" i="9"/>
  <c r="P645" i="8"/>
  <c r="N647" i="10"/>
  <c r="O647" i="10" s="1"/>
  <c r="P546" i="7"/>
  <c r="P774" i="7"/>
  <c r="S102" i="6"/>
  <c r="N405" i="7"/>
  <c r="O405" i="7" s="1"/>
  <c r="N93" i="10"/>
  <c r="P93" i="10" s="1"/>
  <c r="O917" i="7"/>
  <c r="L718" i="6"/>
  <c r="Q275" i="6"/>
  <c r="S120" i="6"/>
  <c r="P669" i="7"/>
  <c r="N340" i="10"/>
  <c r="P55" i="28"/>
  <c r="T55" i="28" s="1"/>
  <c r="S615" i="6"/>
  <c r="Q25" i="6"/>
  <c r="V25" i="6" s="1"/>
  <c r="N582" i="23"/>
  <c r="P114" i="8"/>
  <c r="O114" i="8"/>
  <c r="O95" i="8"/>
  <c r="P95" i="8"/>
  <c r="O248" i="7"/>
  <c r="P248" i="7"/>
  <c r="O856" i="7"/>
  <c r="P856" i="7"/>
  <c r="G11" i="6"/>
  <c r="G9" i="6" s="1"/>
  <c r="L849" i="25"/>
  <c r="L850" i="25" s="1"/>
  <c r="L855" i="25" s="1"/>
  <c r="J11" i="6"/>
  <c r="J9" i="6" s="1"/>
  <c r="N645" i="10"/>
  <c r="P647" i="8"/>
  <c r="N403" i="7"/>
  <c r="P403" i="7" s="1"/>
  <c r="N808" i="9"/>
  <c r="O808" i="9" s="1"/>
  <c r="N91" i="10"/>
  <c r="P91" i="10" s="1"/>
  <c r="L29" i="29"/>
  <c r="N659" i="10"/>
  <c r="K298" i="8"/>
  <c r="K290" i="8" s="1"/>
  <c r="K288" i="8" s="1"/>
  <c r="O288" i="8" s="1"/>
  <c r="P305" i="8"/>
  <c r="O305" i="8"/>
  <c r="O112" i="8"/>
  <c r="P112" i="8"/>
  <c r="L196" i="25"/>
  <c r="M196" i="25" s="1"/>
  <c r="M197" i="25"/>
  <c r="M159" i="9"/>
  <c r="N161" i="9"/>
  <c r="O161" i="9" s="1"/>
  <c r="AA816" i="39"/>
  <c r="AB816" i="39"/>
  <c r="X815" i="39"/>
  <c r="Y816" i="39"/>
  <c r="X775" i="39"/>
  <c r="O774" i="7"/>
  <c r="O770" i="8"/>
  <c r="AG214" i="39"/>
  <c r="T24" i="20"/>
  <c r="AG769" i="39"/>
  <c r="R217" i="3"/>
  <c r="S217" i="3"/>
  <c r="M11" i="4"/>
  <c r="L10" i="4"/>
  <c r="M10" i="4" s="1"/>
  <c r="P439" i="23"/>
  <c r="Q440" i="23"/>
  <c r="P427" i="19"/>
  <c r="P426" i="19" s="1"/>
  <c r="Q428" i="19"/>
  <c r="N237" i="29"/>
  <c r="O237" i="29" s="1"/>
  <c r="O238" i="29"/>
  <c r="P238" i="29" s="1"/>
  <c r="P237" i="29" s="1"/>
  <c r="R205" i="23"/>
  <c r="Q205" i="23"/>
  <c r="Q204" i="23" s="1"/>
  <c r="L204" i="23"/>
  <c r="L481" i="4"/>
  <c r="M481" i="4" s="1"/>
  <c r="M482" i="4"/>
  <c r="L614" i="4"/>
  <c r="M614" i="4" s="1"/>
  <c r="M615" i="4"/>
  <c r="T33" i="28"/>
  <c r="N215" i="4"/>
  <c r="O215" i="4"/>
  <c r="R428" i="27"/>
  <c r="Q428" i="27"/>
  <c r="L427" i="27"/>
  <c r="R354" i="6"/>
  <c r="P770" i="8"/>
  <c r="J8" i="25"/>
  <c r="AG308" i="39"/>
  <c r="T26" i="28"/>
  <c r="N12" i="4"/>
  <c r="O12" i="4"/>
  <c r="Q201" i="19"/>
  <c r="Q200" i="19" s="1"/>
  <c r="L200" i="19"/>
  <c r="R201" i="19"/>
  <c r="T23" i="31"/>
  <c r="P439" i="30"/>
  <c r="P438" i="30" s="1"/>
  <c r="Q440" i="30"/>
  <c r="N67" i="11"/>
  <c r="N66" i="11" s="1"/>
  <c r="N65" i="11" s="1"/>
  <c r="N67" i="20"/>
  <c r="N66" i="20" s="1"/>
  <c r="N65" i="20" s="1"/>
  <c r="N63" i="31"/>
  <c r="Q430" i="5"/>
  <c r="N63" i="24"/>
  <c r="N65" i="28"/>
  <c r="N67" i="18"/>
  <c r="N486" i="4"/>
  <c r="O486" i="4"/>
  <c r="O620" i="4"/>
  <c r="N620" i="4"/>
  <c r="Q685" i="39"/>
  <c r="R685" i="39"/>
  <c r="N365" i="25"/>
  <c r="O365" i="25" s="1"/>
  <c r="P365" i="25" s="1"/>
  <c r="O366" i="25"/>
  <c r="P366" i="25" s="1"/>
  <c r="N54" i="4"/>
  <c r="O54" i="4"/>
  <c r="R433" i="19"/>
  <c r="Q433" i="19"/>
  <c r="Q445" i="30"/>
  <c r="R445" i="30"/>
  <c r="L397" i="19"/>
  <c r="Q398" i="19"/>
  <c r="R398" i="19"/>
  <c r="R426" i="30"/>
  <c r="L425" i="30"/>
  <c r="Q426" i="30"/>
  <c r="O589" i="4"/>
  <c r="N589" i="4"/>
  <c r="J580" i="4"/>
  <c r="Q471" i="39"/>
  <c r="R471" i="39"/>
  <c r="J155" i="4"/>
  <c r="N156" i="4"/>
  <c r="O156" i="4"/>
  <c r="N414" i="4"/>
  <c r="O414" i="4"/>
  <c r="Q447" i="27"/>
  <c r="R447" i="27"/>
  <c r="L129" i="4"/>
  <c r="M129" i="4" s="1"/>
  <c r="M130" i="4"/>
  <c r="J490" i="4"/>
  <c r="O491" i="4"/>
  <c r="N491" i="4"/>
  <c r="AA391" i="39"/>
  <c r="AB391" i="39"/>
  <c r="O65" i="28"/>
  <c r="Q431" i="16"/>
  <c r="O63" i="31"/>
  <c r="O67" i="18"/>
  <c r="P430" i="16"/>
  <c r="P429" i="16" s="1"/>
  <c r="O63" i="24"/>
  <c r="Q416" i="16"/>
  <c r="R416" i="16"/>
  <c r="N648" i="4"/>
  <c r="O648" i="4"/>
  <c r="R373" i="3"/>
  <c r="S373" i="3"/>
  <c r="Q409" i="27"/>
  <c r="L408" i="27"/>
  <c r="R409" i="27"/>
  <c r="N472" i="29"/>
  <c r="O473" i="29"/>
  <c r="P473" i="29" s="1"/>
  <c r="O372" i="4"/>
  <c r="N372" i="4"/>
  <c r="AG365" i="39"/>
  <c r="F490" i="3"/>
  <c r="Q491" i="3"/>
  <c r="N134" i="4"/>
  <c r="O134" i="4"/>
  <c r="Q206" i="27"/>
  <c r="Q205" i="27" s="1"/>
  <c r="R206" i="27"/>
  <c r="Q426" i="23"/>
  <c r="L425" i="23"/>
  <c r="R426" i="23"/>
  <c r="N43" i="4"/>
  <c r="O43" i="4"/>
  <c r="Q442" i="27"/>
  <c r="P441" i="27"/>
  <c r="S134" i="3"/>
  <c r="R134" i="3"/>
  <c r="L406" i="30"/>
  <c r="Q407" i="30"/>
  <c r="R407" i="30"/>
  <c r="M641" i="4"/>
  <c r="L640" i="4"/>
  <c r="M640" i="4" s="1"/>
  <c r="O214" i="4"/>
  <c r="N214" i="4"/>
  <c r="J357" i="4"/>
  <c r="J356" i="4"/>
  <c r="N358" i="4"/>
  <c r="O358" i="4"/>
  <c r="O957" i="39"/>
  <c r="Q957" i="39"/>
  <c r="R957" i="39"/>
  <c r="T957" i="39" s="1"/>
  <c r="Q435" i="5"/>
  <c r="R435" i="5"/>
  <c r="M28" i="24"/>
  <c r="M28" i="31"/>
  <c r="R202" i="5"/>
  <c r="M28" i="18"/>
  <c r="M28" i="11"/>
  <c r="L201" i="5"/>
  <c r="R201" i="5" s="1"/>
  <c r="M28" i="20"/>
  <c r="Q202" i="5"/>
  <c r="Q201" i="5" s="1"/>
  <c r="M30" i="28"/>
  <c r="L370" i="4"/>
  <c r="M370" i="4" s="1"/>
  <c r="M371" i="4"/>
  <c r="R398" i="16"/>
  <c r="L397" i="16"/>
  <c r="Q398" i="16"/>
  <c r="Q380" i="16"/>
  <c r="R380" i="16"/>
  <c r="T23" i="24"/>
  <c r="O768" i="10"/>
  <c r="P768" i="10"/>
  <c r="K7" i="31"/>
  <c r="K69" i="31"/>
  <c r="P214" i="10"/>
  <c r="O214" i="10"/>
  <c r="T57" i="24"/>
  <c r="O858" i="10"/>
  <c r="AG317" i="39"/>
  <c r="X231" i="39"/>
  <c r="AB233" i="39"/>
  <c r="AA233" i="39"/>
  <c r="Y233" i="39"/>
  <c r="O852" i="39"/>
  <c r="N837" i="39"/>
  <c r="R852" i="39"/>
  <c r="T852" i="39" s="1"/>
  <c r="Q852" i="39"/>
  <c r="V204" i="30"/>
  <c r="O43" i="30"/>
  <c r="S54" i="11"/>
  <c r="Q54" i="11"/>
  <c r="R441" i="39"/>
  <c r="N439" i="39"/>
  <c r="Q441" i="39"/>
  <c r="O441" i="39"/>
  <c r="AF893" i="39"/>
  <c r="P891" i="39"/>
  <c r="V893" i="39"/>
  <c r="R893" i="39"/>
  <c r="T893" i="39" s="1"/>
  <c r="W893" i="39"/>
  <c r="Y893" i="39" s="1"/>
  <c r="Q893" i="39"/>
  <c r="O233" i="39"/>
  <c r="N231" i="39"/>
  <c r="Q233" i="39"/>
  <c r="R233" i="39"/>
  <c r="T233" i="39" s="1"/>
  <c r="Q50" i="27"/>
  <c r="P44" i="27"/>
  <c r="N556" i="39"/>
  <c r="R558" i="39"/>
  <c r="T558" i="39" s="1"/>
  <c r="O558" i="39"/>
  <c r="Q558" i="39"/>
  <c r="X633" i="39"/>
  <c r="X632" i="39" s="1"/>
  <c r="AG611" i="39"/>
  <c r="AG219" i="39"/>
  <c r="O628" i="25"/>
  <c r="P628" i="25" s="1"/>
  <c r="N627" i="25"/>
  <c r="O627" i="25" s="1"/>
  <c r="P627" i="25" s="1"/>
  <c r="V760" i="39"/>
  <c r="AF760" i="39"/>
  <c r="AG760" i="39" s="1"/>
  <c r="AA760" i="39"/>
  <c r="W760" i="39"/>
  <c r="Y760" i="39" s="1"/>
  <c r="AB760" i="39"/>
  <c r="S758" i="39"/>
  <c r="AF598" i="39"/>
  <c r="Q598" i="39"/>
  <c r="R598" i="39"/>
  <c r="T598" i="39" s="1"/>
  <c r="W598" i="39"/>
  <c r="Y598" i="39" s="1"/>
  <c r="V598" i="39"/>
  <c r="T45" i="28"/>
  <c r="D8" i="26"/>
  <c r="E8" i="26" s="1"/>
  <c r="F8" i="26" s="1"/>
  <c r="R217" i="27"/>
  <c r="Q217" i="27"/>
  <c r="O393" i="39"/>
  <c r="N391" i="39"/>
  <c r="O391" i="39" s="1"/>
  <c r="AG455" i="39"/>
  <c r="AG474" i="39"/>
  <c r="P44" i="16"/>
  <c r="O18" i="18"/>
  <c r="Q50" i="16"/>
  <c r="L403" i="8"/>
  <c r="N403" i="8" s="1"/>
  <c r="D491" i="3"/>
  <c r="S492" i="3"/>
  <c r="R492" i="3"/>
  <c r="M706" i="4"/>
  <c r="N706" i="4" s="1"/>
  <c r="L704" i="4"/>
  <c r="M704" i="4" s="1"/>
  <c r="N704" i="4" s="1"/>
  <c r="Q694" i="39"/>
  <c r="R694" i="39"/>
  <c r="T694" i="39" s="1"/>
  <c r="O694" i="39"/>
  <c r="N693" i="39"/>
  <c r="P256" i="7"/>
  <c r="O256" i="7"/>
  <c r="P54" i="11"/>
  <c r="T54" i="11" s="1"/>
  <c r="P54" i="18"/>
  <c r="P54" i="20"/>
  <c r="Q54" i="18"/>
  <c r="S54" i="18"/>
  <c r="D10" i="2"/>
  <c r="D8" i="2" s="1"/>
  <c r="Q583" i="39"/>
  <c r="O583" i="39"/>
  <c r="N574" i="39"/>
  <c r="R583" i="39"/>
  <c r="T583" i="39" s="1"/>
  <c r="P68" i="25"/>
  <c r="O67" i="25"/>
  <c r="S471" i="39"/>
  <c r="V473" i="39"/>
  <c r="W473" i="39"/>
  <c r="Y473" i="39" s="1"/>
  <c r="AF473" i="39"/>
  <c r="T473" i="39"/>
  <c r="P44" i="19"/>
  <c r="Q50" i="19"/>
  <c r="Q50" i="30"/>
  <c r="P44" i="30"/>
  <c r="P257" i="7"/>
  <c r="O257" i="7"/>
  <c r="O87" i="39"/>
  <c r="N79" i="39"/>
  <c r="Q87" i="39"/>
  <c r="R87" i="39"/>
  <c r="S277" i="6"/>
  <c r="R277" i="6"/>
  <c r="Q54" i="20"/>
  <c r="S54" i="20"/>
  <c r="T54" i="20" s="1"/>
  <c r="O1067" i="8"/>
  <c r="P1067" i="8"/>
  <c r="P56" i="27"/>
  <c r="R95" i="27"/>
  <c r="Q95" i="27"/>
  <c r="Q56" i="27" s="1"/>
  <c r="P56" i="19"/>
  <c r="R92" i="19"/>
  <c r="Q92" i="19"/>
  <c r="Q56" i="19" s="1"/>
  <c r="S264" i="39"/>
  <c r="AB266" i="39"/>
  <c r="AA266" i="39"/>
  <c r="W266" i="39"/>
  <c r="Y266" i="39" s="1"/>
  <c r="V266" i="39"/>
  <c r="AF266" i="39"/>
  <c r="AG266" i="39" s="1"/>
  <c r="T266" i="39"/>
  <c r="P453" i="39"/>
  <c r="AF454" i="39"/>
  <c r="W454" i="39"/>
  <c r="Q454" i="39"/>
  <c r="V454" i="39"/>
  <c r="R454" i="39"/>
  <c r="T454" i="39" s="1"/>
  <c r="O863" i="39"/>
  <c r="R863" i="39"/>
  <c r="T863" i="39" s="1"/>
  <c r="Q863" i="39"/>
  <c r="N861" i="39"/>
  <c r="N192" i="10"/>
  <c r="L190" i="10"/>
  <c r="N190" i="10" s="1"/>
  <c r="N20" i="28"/>
  <c r="N18" i="28" s="1"/>
  <c r="N17" i="28" s="1"/>
  <c r="P45" i="5"/>
  <c r="N18" i="11"/>
  <c r="N16" i="11" s="1"/>
  <c r="N15" i="11" s="1"/>
  <c r="N18" i="31"/>
  <c r="N16" i="31" s="1"/>
  <c r="N15" i="31" s="1"/>
  <c r="N18" i="18"/>
  <c r="N16" i="18" s="1"/>
  <c r="N15" i="18" s="1"/>
  <c r="O18" i="11"/>
  <c r="N18" i="24"/>
  <c r="N16" i="24" s="1"/>
  <c r="N15" i="24" s="1"/>
  <c r="Q51" i="5"/>
  <c r="P18" i="11" s="1"/>
  <c r="O18" i="20"/>
  <c r="N18" i="20"/>
  <c r="N16" i="20" s="1"/>
  <c r="N15" i="20" s="1"/>
  <c r="O20" i="28"/>
  <c r="P44" i="23"/>
  <c r="O18" i="31"/>
  <c r="O18" i="24"/>
  <c r="Q50" i="23"/>
  <c r="Q880" i="39"/>
  <c r="R880" i="39"/>
  <c r="T880" i="39" s="1"/>
  <c r="O880" i="39"/>
  <c r="P394" i="9"/>
  <c r="O394" i="9"/>
  <c r="O695" i="9"/>
  <c r="P695" i="9"/>
  <c r="N394" i="10"/>
  <c r="O394" i="10" s="1"/>
  <c r="O306" i="7"/>
  <c r="P306" i="7"/>
  <c r="L7" i="24"/>
  <c r="L69" i="24"/>
  <c r="S213" i="39"/>
  <c r="AF218" i="39"/>
  <c r="V218" i="39"/>
  <c r="W218" i="39"/>
  <c r="Y218" i="39" s="1"/>
  <c r="AB218" i="39"/>
  <c r="AA218" i="39"/>
  <c r="T51" i="31"/>
  <c r="N441" i="4"/>
  <c r="O441" i="4"/>
  <c r="M419" i="4"/>
  <c r="L384" i="4"/>
  <c r="O196" i="29"/>
  <c r="P196" i="29" s="1"/>
  <c r="P197" i="29"/>
  <c r="AG115" i="39"/>
  <c r="AB431" i="39"/>
  <c r="X429" i="39"/>
  <c r="AA431" i="39"/>
  <c r="Y431" i="39"/>
  <c r="O27" i="10"/>
  <c r="P27" i="10"/>
  <c r="N24" i="10"/>
  <c r="Q637" i="39"/>
  <c r="R637" i="39"/>
  <c r="T637" i="39" s="1"/>
  <c r="P633" i="39"/>
  <c r="AB365" i="39"/>
  <c r="X364" i="39"/>
  <c r="AA365" i="39"/>
  <c r="V423" i="19"/>
  <c r="O414" i="19"/>
  <c r="O426" i="23"/>
  <c r="V435" i="23"/>
  <c r="Q317" i="27"/>
  <c r="R317" i="27"/>
  <c r="L300" i="27"/>
  <c r="R389" i="23"/>
  <c r="Q389" i="23"/>
  <c r="P362" i="39"/>
  <c r="W364" i="39"/>
  <c r="R364" i="39"/>
  <c r="T364" i="39" s="1"/>
  <c r="V364" i="39"/>
  <c r="Q364" i="39"/>
  <c r="AF364" i="39"/>
  <c r="Q726" i="39"/>
  <c r="R726" i="39"/>
  <c r="T726" i="39" s="1"/>
  <c r="N725" i="39"/>
  <c r="O726" i="39"/>
  <c r="L7" i="18"/>
  <c r="L74" i="18"/>
  <c r="V446" i="16"/>
  <c r="O445" i="16"/>
  <c r="Q446" i="3"/>
  <c r="G427" i="3"/>
  <c r="O615" i="16"/>
  <c r="V440" i="16"/>
  <c r="O610" i="19"/>
  <c r="V437" i="19"/>
  <c r="V432" i="19"/>
  <c r="O600" i="19"/>
  <c r="M461" i="4"/>
  <c r="L460" i="4"/>
  <c r="N436" i="10"/>
  <c r="L403" i="10"/>
  <c r="N403" i="10" s="1"/>
  <c r="O66" i="29"/>
  <c r="P67" i="29"/>
  <c r="P66" i="29" s="1"/>
  <c r="M462" i="25"/>
  <c r="L461" i="25"/>
  <c r="M461" i="25" s="1"/>
  <c r="AG225" i="39"/>
  <c r="AA56" i="39"/>
  <c r="AB56" i="39"/>
  <c r="Y56" i="39"/>
  <c r="R530" i="6"/>
  <c r="S530" i="6"/>
  <c r="Q529" i="6"/>
  <c r="Q316" i="30"/>
  <c r="R316" i="30"/>
  <c r="L299" i="30"/>
  <c r="N428" i="4"/>
  <c r="O428" i="4"/>
  <c r="P374" i="8"/>
  <c r="O374" i="8"/>
  <c r="Y617" i="39"/>
  <c r="AB617" i="39"/>
  <c r="O446" i="4"/>
  <c r="N446" i="4"/>
  <c r="AG109" i="39"/>
  <c r="M194" i="8"/>
  <c r="N198" i="8"/>
  <c r="P326" i="7"/>
  <c r="O326" i="7"/>
  <c r="R594" i="19"/>
  <c r="R596" i="5"/>
  <c r="N440" i="4"/>
  <c r="O440" i="4"/>
  <c r="N422" i="4"/>
  <c r="O422" i="4"/>
  <c r="Q576" i="30"/>
  <c r="R576" i="30"/>
  <c r="L575" i="30"/>
  <c r="O355" i="39"/>
  <c r="R355" i="39"/>
  <c r="T355" i="39" s="1"/>
  <c r="Q355" i="39"/>
  <c r="N362" i="39"/>
  <c r="O364" i="39"/>
  <c r="L863" i="7"/>
  <c r="L861" i="7" s="1"/>
  <c r="N869" i="7"/>
  <c r="AA122" i="39"/>
  <c r="X121" i="39"/>
  <c r="X119" i="39" s="1"/>
  <c r="AB122" i="39"/>
  <c r="O444" i="5"/>
  <c r="T445" i="5"/>
  <c r="O621" i="30"/>
  <c r="V449" i="30"/>
  <c r="O623" i="27"/>
  <c r="V451" i="27"/>
  <c r="V444" i="30"/>
  <c r="O611" i="30"/>
  <c r="O611" i="23"/>
  <c r="V444" i="23"/>
  <c r="R578" i="27"/>
  <c r="Q578" i="27"/>
  <c r="L577" i="27"/>
  <c r="N476" i="4"/>
  <c r="O476" i="4"/>
  <c r="N439" i="10"/>
  <c r="O445" i="10"/>
  <c r="Q92" i="16"/>
  <c r="Q56" i="16" s="1"/>
  <c r="P56" i="16"/>
  <c r="R92" i="16"/>
  <c r="N933" i="39"/>
  <c r="O935" i="39"/>
  <c r="Q935" i="39"/>
  <c r="R935" i="39"/>
  <c r="T935" i="39" s="1"/>
  <c r="L7" i="31"/>
  <c r="Y55" i="39"/>
  <c r="AA55" i="39"/>
  <c r="AB55" i="39"/>
  <c r="V413" i="30"/>
  <c r="O407" i="30"/>
  <c r="O430" i="19"/>
  <c r="N429" i="19"/>
  <c r="N427" i="19" s="1"/>
  <c r="N426" i="19" s="1"/>
  <c r="N568" i="19" s="1"/>
  <c r="M367" i="8"/>
  <c r="N369" i="8"/>
  <c r="R312" i="19"/>
  <c r="Q312" i="19"/>
  <c r="L295" i="19"/>
  <c r="W107" i="39"/>
  <c r="Y107" i="39" s="1"/>
  <c r="V107" i="39"/>
  <c r="AF107" i="39"/>
  <c r="AG107" i="39" s="1"/>
  <c r="AB107" i="39"/>
  <c r="AA107" i="39"/>
  <c r="O218" i="39"/>
  <c r="N213" i="39"/>
  <c r="R218" i="39"/>
  <c r="T218" i="39" s="1"/>
  <c r="Q218" i="39"/>
  <c r="P469" i="7"/>
  <c r="O469" i="7"/>
  <c r="AA497" i="39"/>
  <c r="AB497" i="39"/>
  <c r="X485" i="39"/>
  <c r="Y497" i="39"/>
  <c r="K74" i="18"/>
  <c r="L299" i="23"/>
  <c r="R316" i="23"/>
  <c r="Q316" i="23"/>
  <c r="Q389" i="30"/>
  <c r="R389" i="30"/>
  <c r="P314" i="39"/>
  <c r="W316" i="39"/>
  <c r="Y316" i="39" s="1"/>
  <c r="V316" i="39"/>
  <c r="Q316" i="39"/>
  <c r="R316" i="39"/>
  <c r="T316" i="39" s="1"/>
  <c r="AF316" i="39"/>
  <c r="Q60" i="24"/>
  <c r="P60" i="24"/>
  <c r="S60" i="24"/>
  <c r="P591" i="9"/>
  <c r="O591" i="9"/>
  <c r="R986" i="39"/>
  <c r="T986" i="39" s="1"/>
  <c r="Q986" i="39"/>
  <c r="O986" i="39"/>
  <c r="N984" i="39"/>
  <c r="AA839" i="39"/>
  <c r="AB839" i="39"/>
  <c r="Y839" i="39"/>
  <c r="V435" i="30"/>
  <c r="O426" i="30"/>
  <c r="Q564" i="5"/>
  <c r="R564" i="5"/>
  <c r="L563" i="5"/>
  <c r="AG442" i="39"/>
  <c r="O881" i="10"/>
  <c r="P881" i="10"/>
  <c r="AF534" i="39"/>
  <c r="W534" i="39"/>
  <c r="T534" i="39"/>
  <c r="T485" i="39" s="1"/>
  <c r="AA534" i="39"/>
  <c r="AB534" i="39"/>
  <c r="S485" i="39"/>
  <c r="V534" i="39"/>
  <c r="AA1007" i="39"/>
  <c r="AB1007" i="39"/>
  <c r="S1005" i="39"/>
  <c r="V1007" i="39"/>
  <c r="AG1007" i="39" s="1"/>
  <c r="Q377" i="39"/>
  <c r="O377" i="39"/>
  <c r="R331" i="39"/>
  <c r="N329" i="39"/>
  <c r="Q331" i="39"/>
  <c r="O612" i="5"/>
  <c r="T439" i="5"/>
  <c r="V446" i="27"/>
  <c r="O613" i="27"/>
  <c r="R380" i="19"/>
  <c r="Q380" i="19"/>
  <c r="O25" i="9"/>
  <c r="N24" i="9"/>
  <c r="M508" i="29"/>
  <c r="L507" i="29"/>
  <c r="O894" i="8"/>
  <c r="N885" i="8"/>
  <c r="P393" i="39"/>
  <c r="Q395" i="39"/>
  <c r="W395" i="39"/>
  <c r="Y395" i="39" s="1"/>
  <c r="AF395" i="39"/>
  <c r="V395" i="39"/>
  <c r="R395" i="39"/>
  <c r="T395" i="39" s="1"/>
  <c r="T224" i="39"/>
  <c r="AF224" i="39"/>
  <c r="W224" i="39"/>
  <c r="Y224" i="39" s="1"/>
  <c r="V224" i="39"/>
  <c r="AA224" i="39"/>
  <c r="AB224" i="39"/>
  <c r="Y365" i="39"/>
  <c r="Q313" i="5"/>
  <c r="R313" i="5"/>
  <c r="L296" i="5"/>
  <c r="O399" i="5"/>
  <c r="T403" i="5"/>
  <c r="R390" i="27"/>
  <c r="Q390" i="27"/>
  <c r="T31" i="28"/>
  <c r="L893" i="7"/>
  <c r="N901" i="7"/>
  <c r="O901" i="7" s="1"/>
  <c r="N849" i="10"/>
  <c r="O433" i="16"/>
  <c r="N432" i="16"/>
  <c r="N430" i="16" s="1"/>
  <c r="N429" i="16" s="1"/>
  <c r="N573" i="16" s="1"/>
  <c r="V304" i="39"/>
  <c r="W304" i="39"/>
  <c r="Y304" i="39" s="1"/>
  <c r="P298" i="39"/>
  <c r="AF304" i="39"/>
  <c r="AG304" i="39" s="1"/>
  <c r="Q63" i="18"/>
  <c r="P63" i="18"/>
  <c r="S63" i="18"/>
  <c r="L588" i="9"/>
  <c r="N590" i="9"/>
  <c r="N1085" i="10"/>
  <c r="L1079" i="10"/>
  <c r="L1077" i="10" s="1"/>
  <c r="L1031" i="8"/>
  <c r="N1033" i="8"/>
  <c r="V426" i="16"/>
  <c r="O417" i="16"/>
  <c r="O416" i="5"/>
  <c r="T425" i="5"/>
  <c r="M198" i="4"/>
  <c r="L197" i="4"/>
  <c r="S329" i="39"/>
  <c r="V331" i="39"/>
  <c r="W331" i="39"/>
  <c r="AF331" i="39"/>
  <c r="AF441" i="39"/>
  <c r="AG441" i="39" s="1"/>
  <c r="S439" i="39"/>
  <c r="V441" i="39"/>
  <c r="W441" i="39"/>
  <c r="Y441" i="39" s="1"/>
  <c r="AB441" i="39"/>
  <c r="T441" i="39"/>
  <c r="AA441" i="39"/>
  <c r="AG1008" i="39"/>
  <c r="R447" i="3"/>
  <c r="S447" i="3"/>
  <c r="V449" i="23"/>
  <c r="O621" i="23"/>
  <c r="R312" i="16"/>
  <c r="Q312" i="16"/>
  <c r="L295" i="16"/>
  <c r="O602" i="5"/>
  <c r="T434" i="5"/>
  <c r="O605" i="16"/>
  <c r="V435" i="16"/>
  <c r="T19" i="18"/>
  <c r="K194" i="10"/>
  <c r="O198" i="10"/>
  <c r="P198" i="10"/>
  <c r="N873" i="10"/>
  <c r="O873" i="10" s="1"/>
  <c r="M867" i="10"/>
  <c r="N867" i="10" s="1"/>
  <c r="Q597" i="39"/>
  <c r="W597" i="39"/>
  <c r="Y597" i="39" s="1"/>
  <c r="V597" i="39"/>
  <c r="AF597" i="39"/>
  <c r="R597" i="39"/>
  <c r="T597" i="39" s="1"/>
  <c r="Q775" i="39"/>
  <c r="P773" i="39"/>
  <c r="AF775" i="39"/>
  <c r="V775" i="39"/>
  <c r="W775" i="39"/>
  <c r="R775" i="39"/>
  <c r="T775" i="39" s="1"/>
  <c r="D612" i="3"/>
  <c r="D611" i="3" s="1"/>
  <c r="R613" i="3"/>
  <c r="S613" i="3"/>
  <c r="O398" i="16"/>
  <c r="V398" i="16" s="1"/>
  <c r="V404" i="16"/>
  <c r="O427" i="4"/>
  <c r="N427" i="4"/>
  <c r="S53" i="24"/>
  <c r="P53" i="24"/>
  <c r="O445" i="4"/>
  <c r="N445" i="4"/>
  <c r="N10" i="29"/>
  <c r="O11" i="29"/>
  <c r="P211" i="39"/>
  <c r="Q213" i="39"/>
  <c r="O321" i="39"/>
  <c r="Q321" i="39"/>
  <c r="R321" i="39"/>
  <c r="T321" i="39" s="1"/>
  <c r="N314" i="39"/>
  <c r="O199" i="8"/>
  <c r="P199" i="8"/>
  <c r="Q272" i="39"/>
  <c r="R272" i="39"/>
  <c r="T272" i="39" s="1"/>
  <c r="P851" i="10"/>
  <c r="O851" i="10"/>
  <c r="AA597" i="39"/>
  <c r="AB637" i="39"/>
  <c r="AA471" i="39"/>
  <c r="AB471" i="39"/>
  <c r="X853" i="39"/>
  <c r="AB854" i="39"/>
  <c r="AA854" i="39"/>
  <c r="Y854" i="39"/>
  <c r="AG687" i="39"/>
  <c r="AB776" i="39"/>
  <c r="AA776" i="39"/>
  <c r="W686" i="39"/>
  <c r="Y686" i="39" s="1"/>
  <c r="T686" i="39"/>
  <c r="V686" i="39"/>
  <c r="S685" i="39"/>
  <c r="AF686" i="39"/>
  <c r="AB686" i="39"/>
  <c r="AA686" i="39"/>
  <c r="Y776" i="39"/>
  <c r="O83" i="7"/>
  <c r="E257" i="6"/>
  <c r="Q259" i="6"/>
  <c r="N275" i="7"/>
  <c r="L338" i="9"/>
  <c r="N338" i="9" s="1"/>
  <c r="N340" i="9"/>
  <c r="P340" i="9" s="1"/>
  <c r="L877" i="10"/>
  <c r="N877" i="10" s="1"/>
  <c r="N879" i="10"/>
  <c r="M11" i="29"/>
  <c r="L10" i="29"/>
  <c r="M10" i="29" s="1"/>
  <c r="P981" i="10"/>
  <c r="O981" i="10"/>
  <c r="N980" i="10"/>
  <c r="L312" i="10"/>
  <c r="O818" i="9"/>
  <c r="P818" i="9"/>
  <c r="P66" i="10"/>
  <c r="O66" i="10"/>
  <c r="O820" i="9"/>
  <c r="P820" i="9"/>
  <c r="O457" i="10"/>
  <c r="P457" i="10"/>
  <c r="P929" i="10"/>
  <c r="O929" i="10"/>
  <c r="M371" i="29"/>
  <c r="L370" i="29"/>
  <c r="L369" i="29"/>
  <c r="M369" i="29" s="1"/>
  <c r="L82" i="7"/>
  <c r="L77" i="7" s="1"/>
  <c r="N88" i="7"/>
  <c r="O88" i="7" s="1"/>
  <c r="N904" i="9"/>
  <c r="M902" i="9"/>
  <c r="N902" i="9" s="1"/>
  <c r="M629" i="25"/>
  <c r="L628" i="25"/>
  <c r="M628" i="25" s="1"/>
  <c r="V193" i="6"/>
  <c r="R193" i="6"/>
  <c r="S193" i="6"/>
  <c r="L367" i="10"/>
  <c r="N369" i="10"/>
  <c r="P951" i="10"/>
  <c r="K924" i="10"/>
  <c r="K922" i="10" s="1"/>
  <c r="S128" i="6"/>
  <c r="R128" i="6"/>
  <c r="O171" i="7"/>
  <c r="N170" i="7"/>
  <c r="O170" i="7" s="1"/>
  <c r="N273" i="7"/>
  <c r="J9" i="7"/>
  <c r="J965" i="7"/>
  <c r="AG88" i="39"/>
  <c r="AG637" i="39"/>
  <c r="AA16" i="39"/>
  <c r="X12" i="39"/>
  <c r="X14" i="39"/>
  <c r="AB16" i="39"/>
  <c r="T32" i="20"/>
  <c r="T62" i="28"/>
  <c r="P510" i="9"/>
  <c r="O510" i="9"/>
  <c r="AG300" i="39"/>
  <c r="O1042" i="39"/>
  <c r="Q1042" i="39"/>
  <c r="R1042" i="39"/>
  <c r="T1042" i="39" s="1"/>
  <c r="N1040" i="39"/>
  <c r="AG229" i="39"/>
  <c r="AG910" i="39"/>
  <c r="AF908" i="39"/>
  <c r="V908" i="39"/>
  <c r="P906" i="39"/>
  <c r="Q908" i="39"/>
  <c r="W908" i="39"/>
  <c r="Y908" i="39" s="1"/>
  <c r="R908" i="39"/>
  <c r="T908" i="39" s="1"/>
  <c r="V204" i="23"/>
  <c r="O43" i="23"/>
  <c r="S583" i="6"/>
  <c r="R583" i="6"/>
  <c r="M799" i="7"/>
  <c r="M797" i="7" s="1"/>
  <c r="N9" i="25"/>
  <c r="N8" i="25"/>
  <c r="O8" i="25" s="1"/>
  <c r="P803" i="7"/>
  <c r="O803" i="7"/>
  <c r="S216" i="3"/>
  <c r="R216" i="3"/>
  <c r="O264" i="39"/>
  <c r="N262" i="39"/>
  <c r="O262" i="39" s="1"/>
  <c r="O25" i="7"/>
  <c r="N24" i="7"/>
  <c r="V456" i="27"/>
  <c r="O624" i="27"/>
  <c r="AB908" i="39"/>
  <c r="X906" i="39"/>
  <c r="AA908" i="39"/>
  <c r="Q485" i="39"/>
  <c r="O485" i="39"/>
  <c r="N450" i="39"/>
  <c r="R485" i="39"/>
  <c r="R69" i="39"/>
  <c r="T69" i="39" s="1"/>
  <c r="Q69" i="39"/>
  <c r="P68" i="39"/>
  <c r="V69" i="39"/>
  <c r="AF69" i="39"/>
  <c r="W69" i="39"/>
  <c r="Y69" i="39" s="1"/>
  <c r="T63" i="20"/>
  <c r="O611" i="19"/>
  <c r="V442" i="19"/>
  <c r="R670" i="3"/>
  <c r="S670" i="3"/>
  <c r="N183" i="4"/>
  <c r="P472" i="10"/>
  <c r="O472" i="10"/>
  <c r="N471" i="10"/>
  <c r="O288" i="39"/>
  <c r="R288" i="39"/>
  <c r="T288" i="39" s="1"/>
  <c r="Q288" i="39"/>
  <c r="N287" i="39"/>
  <c r="Y16" i="39"/>
  <c r="T63" i="11"/>
  <c r="S215" i="3"/>
  <c r="R215" i="3"/>
  <c r="L57" i="8"/>
  <c r="N57" i="8" s="1"/>
  <c r="N59" i="8"/>
  <c r="S657" i="6"/>
  <c r="AG96" i="39"/>
  <c r="O43" i="27"/>
  <c r="V55" i="27"/>
  <c r="Q566" i="16"/>
  <c r="L565" i="16"/>
  <c r="R566" i="16"/>
  <c r="Y637" i="39"/>
  <c r="AG70" i="39"/>
  <c r="O441" i="30"/>
  <c r="V442" i="30"/>
  <c r="K7" i="18"/>
  <c r="S668" i="3"/>
  <c r="R668" i="3"/>
  <c r="AA285" i="39"/>
  <c r="Y285" i="39"/>
  <c r="M1053" i="10"/>
  <c r="N1055" i="10"/>
  <c r="Y296" i="39"/>
  <c r="AA296" i="39"/>
  <c r="AG14" i="39"/>
  <c r="N967" i="39"/>
  <c r="R969" i="39"/>
  <c r="T969" i="39" s="1"/>
  <c r="Q969" i="39"/>
  <c r="O969" i="39"/>
  <c r="AA765" i="39"/>
  <c r="AB765" i="39"/>
  <c r="O622" i="23"/>
  <c r="V454" i="23"/>
  <c r="R205" i="27"/>
  <c r="L43" i="27"/>
  <c r="P207" i="7"/>
  <c r="O207" i="7"/>
  <c r="AA775" i="39"/>
  <c r="Y775" i="39"/>
  <c r="AB775" i="39"/>
  <c r="X773" i="39"/>
  <c r="Q758" i="39"/>
  <c r="R758" i="39"/>
  <c r="T758" i="39" s="1"/>
  <c r="O758" i="39"/>
  <c r="O439" i="23"/>
  <c r="V441" i="23"/>
  <c r="O801" i="7"/>
  <c r="P801" i="7"/>
  <c r="O622" i="30"/>
  <c r="V454" i="30"/>
  <c r="J849" i="25"/>
  <c r="J850" i="25" s="1"/>
  <c r="J9" i="25" s="1"/>
  <c r="J845" i="25"/>
  <c r="P8" i="25"/>
  <c r="N483" i="10"/>
  <c r="M481" i="10"/>
  <c r="P910" i="10"/>
  <c r="O910" i="10"/>
  <c r="Q646" i="6"/>
  <c r="S647" i="6"/>
  <c r="R647" i="6"/>
  <c r="N478" i="9"/>
  <c r="O484" i="9"/>
  <c r="N198" i="7"/>
  <c r="L194" i="7"/>
  <c r="P79" i="10"/>
  <c r="O79" i="10"/>
  <c r="N269" i="10"/>
  <c r="P270" i="10"/>
  <c r="O270" i="10"/>
  <c r="P879" i="8"/>
  <c r="P549" i="9"/>
  <c r="O549" i="9"/>
  <c r="P199" i="7"/>
  <c r="O199" i="7"/>
  <c r="F9" i="1"/>
  <c r="G9" i="1" s="1"/>
  <c r="Q395" i="23"/>
  <c r="L229" i="23"/>
  <c r="O851" i="8"/>
  <c r="P851" i="8"/>
  <c r="N1014" i="9"/>
  <c r="L1008" i="9"/>
  <c r="L1006" i="9" s="1"/>
  <c r="O1043" i="10"/>
  <c r="N1042" i="10"/>
  <c r="N547" i="9"/>
  <c r="L541" i="9"/>
  <c r="M940" i="9"/>
  <c r="N942" i="9"/>
  <c r="M760" i="29"/>
  <c r="O760" i="29" s="1"/>
  <c r="L758" i="29"/>
  <c r="M758" i="29" s="1"/>
  <c r="O758" i="29" s="1"/>
  <c r="P636" i="8"/>
  <c r="O636" i="8"/>
  <c r="P416" i="9"/>
  <c r="N412" i="9"/>
  <c r="O416" i="9"/>
  <c r="S455" i="6"/>
  <c r="R455" i="6"/>
  <c r="O442" i="6"/>
  <c r="O440" i="6" s="1"/>
  <c r="Q440" i="6" s="1"/>
  <c r="S440" i="6" s="1"/>
  <c r="Q465" i="6"/>
  <c r="R465" i="6" s="1"/>
  <c r="S684" i="6"/>
  <c r="R684" i="6"/>
  <c r="O298" i="39"/>
  <c r="Q298" i="39"/>
  <c r="N296" i="39"/>
  <c r="R298" i="39"/>
  <c r="T298" i="39" s="1"/>
  <c r="L282" i="4"/>
  <c r="M282" i="4" s="1"/>
  <c r="M283" i="4"/>
  <c r="Q1005" i="39"/>
  <c r="P1003" i="39"/>
  <c r="AF1005" i="39"/>
  <c r="V1005" i="39"/>
  <c r="R1005" i="39"/>
  <c r="T1005" i="39" s="1"/>
  <c r="W1005" i="39"/>
  <c r="Y1005" i="39" s="1"/>
  <c r="M21" i="18"/>
  <c r="P439" i="8"/>
  <c r="N438" i="8"/>
  <c r="O439" i="8"/>
  <c r="R11" i="3"/>
  <c r="S11" i="3"/>
  <c r="R199" i="3"/>
  <c r="S199" i="3"/>
  <c r="S59" i="28"/>
  <c r="Q59" i="28"/>
  <c r="P59" i="28"/>
  <c r="AA329" i="39"/>
  <c r="X327" i="39"/>
  <c r="AB329" i="39"/>
  <c r="R765" i="39"/>
  <c r="T765" i="39" s="1"/>
  <c r="AF765" i="39"/>
  <c r="Q765" i="39"/>
  <c r="V765" i="39"/>
  <c r="W765" i="39"/>
  <c r="Y765" i="39" s="1"/>
  <c r="S121" i="39"/>
  <c r="AB147" i="39"/>
  <c r="AA147" i="39"/>
  <c r="R56" i="5"/>
  <c r="L44" i="5"/>
  <c r="Q56" i="5"/>
  <c r="Q22" i="11"/>
  <c r="P22" i="11"/>
  <c r="T22" i="11" s="1"/>
  <c r="M21" i="11"/>
  <c r="Q482" i="3"/>
  <c r="K457" i="3"/>
  <c r="K456" i="3" s="1"/>
  <c r="K427" i="3" s="1"/>
  <c r="E197" i="3"/>
  <c r="Q198" i="3"/>
  <c r="S79" i="39"/>
  <c r="V87" i="39"/>
  <c r="AA87" i="39"/>
  <c r="AF87" i="39"/>
  <c r="AB87" i="39"/>
  <c r="W87" i="39"/>
  <c r="Y87" i="39" s="1"/>
  <c r="P60" i="11"/>
  <c r="P59" i="11" s="1"/>
  <c r="P60" i="20"/>
  <c r="P59" i="20" s="1"/>
  <c r="P60" i="18"/>
  <c r="P59" i="18" s="1"/>
  <c r="AG767" i="39"/>
  <c r="P22" i="31"/>
  <c r="T22" i="31" s="1"/>
  <c r="M21" i="31"/>
  <c r="Q22" i="31"/>
  <c r="Q22" i="20"/>
  <c r="P22" i="20"/>
  <c r="T22" i="20" s="1"/>
  <c r="M21" i="20"/>
  <c r="R130" i="3"/>
  <c r="S130" i="3"/>
  <c r="S104" i="3"/>
  <c r="T87" i="39"/>
  <c r="T60" i="11"/>
  <c r="R262" i="39"/>
  <c r="Q262" i="39"/>
  <c r="M56" i="31"/>
  <c r="P57" i="31"/>
  <c r="Q57" i="31"/>
  <c r="S57" i="31"/>
  <c r="R43" i="3"/>
  <c r="S43" i="3"/>
  <c r="N243" i="10"/>
  <c r="P726" i="7"/>
  <c r="O726" i="7"/>
  <c r="M157" i="8"/>
  <c r="N157" i="8" s="1"/>
  <c r="N159" i="8"/>
  <c r="N557" i="7"/>
  <c r="O568" i="7"/>
  <c r="P568" i="7"/>
  <c r="O962" i="7"/>
  <c r="N956" i="7"/>
  <c r="L403" i="9"/>
  <c r="N403" i="9" s="1"/>
  <c r="N405" i="9"/>
  <c r="R614" i="6"/>
  <c r="Q612" i="6"/>
  <c r="S614" i="6"/>
  <c r="N724" i="7"/>
  <c r="M722" i="7"/>
  <c r="S691" i="6"/>
  <c r="R691" i="6"/>
  <c r="N17" i="9"/>
  <c r="O19" i="9"/>
  <c r="P19" i="9"/>
  <c r="M788" i="9"/>
  <c r="L953" i="7"/>
  <c r="N953" i="7" s="1"/>
  <c r="N954" i="7"/>
  <c r="O232" i="8"/>
  <c r="P232" i="8"/>
  <c r="O275" i="10"/>
  <c r="P318" i="8"/>
  <c r="O278" i="8"/>
  <c r="P278" i="8"/>
  <c r="P928" i="10"/>
  <c r="O928" i="10"/>
  <c r="O974" i="8"/>
  <c r="T53" i="31"/>
  <c r="M836" i="7"/>
  <c r="N836" i="7" s="1"/>
  <c r="N838" i="7"/>
  <c r="O790" i="10"/>
  <c r="P790" i="10"/>
  <c r="O411" i="7"/>
  <c r="P790" i="9"/>
  <c r="O790" i="9"/>
  <c r="P44" i="8"/>
  <c r="O44" i="8"/>
  <c r="K407" i="8"/>
  <c r="P409" i="8"/>
  <c r="O409" i="8"/>
  <c r="O697" i="7"/>
  <c r="P697" i="7"/>
  <c r="P247" i="10"/>
  <c r="O247" i="10"/>
  <c r="P143" i="10"/>
  <c r="O143" i="10"/>
  <c r="O207" i="10"/>
  <c r="P207" i="10"/>
  <c r="N203" i="10"/>
  <c r="M139" i="8"/>
  <c r="N139" i="8" s="1"/>
  <c r="N141" i="8"/>
  <c r="P141" i="8" s="1"/>
  <c r="O988" i="8"/>
  <c r="P988" i="8"/>
  <c r="P436" i="8"/>
  <c r="O436" i="8"/>
  <c r="P921" i="9"/>
  <c r="O921" i="9"/>
  <c r="P181" i="9"/>
  <c r="O181" i="9"/>
  <c r="P57" i="10"/>
  <c r="O57" i="10"/>
  <c r="P665" i="7"/>
  <c r="O665" i="7"/>
  <c r="N926" i="10"/>
  <c r="M924" i="10"/>
  <c r="P849" i="7"/>
  <c r="O849" i="7"/>
  <c r="P792" i="9"/>
  <c r="O792" i="9"/>
  <c r="N969" i="9"/>
  <c r="L968" i="9"/>
  <c r="N968" i="9" s="1"/>
  <c r="O950" i="7"/>
  <c r="N944" i="7"/>
  <c r="O915" i="9"/>
  <c r="P915" i="9"/>
  <c r="N996" i="9"/>
  <c r="M994" i="9"/>
  <c r="N176" i="9"/>
  <c r="M174" i="9"/>
  <c r="S13" i="6"/>
  <c r="R13" i="6"/>
  <c r="N11" i="6"/>
  <c r="N9" i="6" s="1"/>
  <c r="P343" i="7"/>
  <c r="M312" i="8"/>
  <c r="N314" i="8"/>
  <c r="O731" i="9"/>
  <c r="P731" i="9"/>
  <c r="M907" i="7"/>
  <c r="N913" i="7"/>
  <c r="O913" i="7" s="1"/>
  <c r="M367" i="25"/>
  <c r="L848" i="25"/>
  <c r="P98" i="10"/>
  <c r="O98" i="10"/>
  <c r="O971" i="9"/>
  <c r="P971" i="9"/>
  <c r="P714" i="9"/>
  <c r="O714" i="9"/>
  <c r="L941" i="7"/>
  <c r="N941" i="7" s="1"/>
  <c r="N942" i="7"/>
  <c r="O489" i="10"/>
  <c r="P489" i="10"/>
  <c r="P981" i="9"/>
  <c r="O981" i="9"/>
  <c r="M283" i="25"/>
  <c r="L282" i="25"/>
  <c r="P275" i="10"/>
  <c r="O742" i="10"/>
  <c r="P742" i="10"/>
  <c r="R429" i="6"/>
  <c r="S429" i="6"/>
  <c r="R709" i="6"/>
  <c r="S709" i="6"/>
  <c r="K273" i="8"/>
  <c r="O275" i="8"/>
  <c r="M727" i="29"/>
  <c r="L725" i="29"/>
  <c r="M725" i="29" s="1"/>
  <c r="O325" i="9"/>
  <c r="P325" i="9"/>
  <c r="O66" i="7"/>
  <c r="P66" i="7"/>
  <c r="N42" i="8"/>
  <c r="M40" i="8"/>
  <c r="O983" i="9"/>
  <c r="M139" i="10"/>
  <c r="N139" i="10" s="1"/>
  <c r="N141" i="10"/>
  <c r="P610" i="9"/>
  <c r="N606" i="9"/>
  <c r="O610" i="9"/>
  <c r="N82" i="9"/>
  <c r="O82" i="9" s="1"/>
  <c r="O88" i="9"/>
  <c r="X453" i="39"/>
  <c r="AA454" i="39"/>
  <c r="Y454" i="39"/>
  <c r="AB454" i="39"/>
  <c r="AD14" i="39"/>
  <c r="P66" i="8"/>
  <c r="O66" i="8"/>
  <c r="P980" i="9"/>
  <c r="O980" i="9"/>
  <c r="O59" i="10"/>
  <c r="P59" i="10"/>
  <c r="O20" i="7"/>
  <c r="P20" i="7"/>
  <c r="R355" i="6"/>
  <c r="S355" i="6"/>
  <c r="O403" i="7"/>
  <c r="O88" i="8"/>
  <c r="N82" i="8"/>
  <c r="O82" i="8" s="1"/>
  <c r="P139" i="9"/>
  <c r="O139" i="9"/>
  <c r="O108" i="7"/>
  <c r="P108" i="7"/>
  <c r="R504" i="8"/>
  <c r="O504" i="8"/>
  <c r="P504" i="8"/>
  <c r="O919" i="7"/>
  <c r="P919" i="7"/>
  <c r="R521" i="6"/>
  <c r="S521" i="6"/>
  <c r="Q520" i="6"/>
  <c r="P203" i="9"/>
  <c r="O203" i="9"/>
  <c r="O757" i="9"/>
  <c r="P757" i="9"/>
  <c r="M449" i="7"/>
  <c r="M447" i="7" s="1"/>
  <c r="N480" i="7"/>
  <c r="R211" i="6"/>
  <c r="S211" i="6"/>
  <c r="N216" i="8"/>
  <c r="M214" i="8"/>
  <c r="N214" i="8" s="1"/>
  <c r="P658" i="8"/>
  <c r="O658" i="8"/>
  <c r="L951" i="9"/>
  <c r="N951" i="9" s="1"/>
  <c r="N952" i="9"/>
  <c r="P157" i="10"/>
  <c r="O157" i="10"/>
  <c r="P645" i="7"/>
  <c r="O645" i="7"/>
  <c r="S229" i="6"/>
  <c r="R229" i="6"/>
  <c r="P522" i="9"/>
  <c r="O522" i="9"/>
  <c r="N520" i="9"/>
  <c r="O1013" i="8"/>
  <c r="P1013" i="8"/>
  <c r="M38" i="10"/>
  <c r="P263" i="7"/>
  <c r="O263" i="7"/>
  <c r="P194" i="9"/>
  <c r="O194" i="9"/>
  <c r="P820" i="8"/>
  <c r="O820" i="8"/>
  <c r="L1027" i="10"/>
  <c r="N1027" i="10" s="1"/>
  <c r="N1028" i="10"/>
  <c r="O390" i="10"/>
  <c r="P390" i="10"/>
  <c r="P294" i="7"/>
  <c r="O294" i="7"/>
  <c r="P768" i="8"/>
  <c r="P773" i="10"/>
  <c r="O773" i="10"/>
  <c r="R170" i="6"/>
  <c r="S170" i="6"/>
  <c r="P75" i="10"/>
  <c r="O75" i="10"/>
  <c r="N19" i="7"/>
  <c r="M17" i="7"/>
  <c r="M15" i="7" s="1"/>
  <c r="M13" i="7" s="1"/>
  <c r="P367" i="9"/>
  <c r="O367" i="9"/>
  <c r="P141" i="9"/>
  <c r="O141" i="9"/>
  <c r="O236" i="7"/>
  <c r="P236" i="7"/>
  <c r="O143" i="7"/>
  <c r="P143" i="7"/>
  <c r="P278" i="9"/>
  <c r="O278" i="9"/>
  <c r="P44" i="10"/>
  <c r="O44" i="10"/>
  <c r="P885" i="10"/>
  <c r="O885" i="10"/>
  <c r="R91" i="6"/>
  <c r="P519" i="7"/>
  <c r="O519" i="7"/>
  <c r="O833" i="10"/>
  <c r="P833" i="10"/>
  <c r="P222" i="8"/>
  <c r="O222" i="8"/>
  <c r="O537" i="7"/>
  <c r="P537" i="7"/>
  <c r="P66" i="9"/>
  <c r="O66" i="9"/>
  <c r="O216" i="7"/>
  <c r="P216" i="7"/>
  <c r="E227" i="6"/>
  <c r="Q228" i="6"/>
  <c r="R148" i="6"/>
  <c r="S148" i="6"/>
  <c r="O298" i="9"/>
  <c r="P298" i="9"/>
  <c r="N192" i="9"/>
  <c r="M190" i="9"/>
  <c r="N190" i="9" s="1"/>
  <c r="R162" i="6"/>
  <c r="S162" i="6"/>
  <c r="M816" i="8"/>
  <c r="N816" i="8" s="1"/>
  <c r="N818" i="8"/>
  <c r="O648" i="7"/>
  <c r="P648" i="7"/>
  <c r="M157" i="7"/>
  <c r="N157" i="7" s="1"/>
  <c r="N159" i="7"/>
  <c r="N799" i="7"/>
  <c r="P392" i="10"/>
  <c r="O392" i="10"/>
  <c r="O581" i="7"/>
  <c r="N578" i="7"/>
  <c r="M290" i="7"/>
  <c r="N292" i="7"/>
  <c r="O822" i="8"/>
  <c r="P822" i="8"/>
  <c r="M91" i="8"/>
  <c r="N93" i="8"/>
  <c r="O909" i="8"/>
  <c r="P909" i="8"/>
  <c r="O847" i="8"/>
  <c r="P847" i="8"/>
  <c r="O521" i="7"/>
  <c r="P521" i="7"/>
  <c r="S169" i="6"/>
  <c r="R169" i="6"/>
  <c r="D718" i="6"/>
  <c r="D1053" i="6" s="1"/>
  <c r="M363" i="9"/>
  <c r="N363" i="9" s="1"/>
  <c r="N365" i="9"/>
  <c r="O826" i="7"/>
  <c r="P826" i="7"/>
  <c r="L139" i="7"/>
  <c r="N139" i="7" s="1"/>
  <c r="N141" i="7"/>
  <c r="L40" i="10"/>
  <c r="L38" i="10" s="1"/>
  <c r="L36" i="10" s="1"/>
  <c r="N42" i="10"/>
  <c r="S91" i="6"/>
  <c r="M91" i="7"/>
  <c r="N93" i="7"/>
  <c r="O525" i="7"/>
  <c r="P525" i="7"/>
  <c r="N818" i="10"/>
  <c r="M816" i="10"/>
  <c r="N816" i="10" s="1"/>
  <c r="K57" i="8"/>
  <c r="O59" i="8"/>
  <c r="P59" i="8"/>
  <c r="L533" i="7"/>
  <c r="N533" i="7" s="1"/>
  <c r="N535" i="7"/>
  <c r="O757" i="8"/>
  <c r="P214" i="7"/>
  <c r="O214" i="7"/>
  <c r="O599" i="9"/>
  <c r="P599" i="9"/>
  <c r="Q147" i="6"/>
  <c r="I146" i="6"/>
  <c r="Q146" i="6" s="1"/>
  <c r="O91" i="10"/>
  <c r="P786" i="8"/>
  <c r="O786" i="8"/>
  <c r="P486" i="9"/>
  <c r="O486" i="9"/>
  <c r="P659" i="8"/>
  <c r="O659" i="8"/>
  <c r="K139" i="8"/>
  <c r="O141" i="8"/>
  <c r="N797" i="7"/>
  <c r="S244" i="6"/>
  <c r="Q243" i="6"/>
  <c r="R244" i="6"/>
  <c r="K75" i="7"/>
  <c r="O806" i="10"/>
  <c r="P806" i="10"/>
  <c r="N929" i="9"/>
  <c r="O935" i="9"/>
  <c r="P867" i="10"/>
  <c r="O867" i="10"/>
  <c r="S566" i="6"/>
  <c r="R566" i="6"/>
  <c r="P98" i="8"/>
  <c r="O98" i="8"/>
  <c r="L108" i="9"/>
  <c r="N108" i="9" s="1"/>
  <c r="N110" i="9"/>
  <c r="O298" i="10"/>
  <c r="P298" i="10"/>
  <c r="P845" i="8"/>
  <c r="O845" i="8"/>
  <c r="S276" i="6"/>
  <c r="N718" i="6"/>
  <c r="K475" i="9"/>
  <c r="K11" i="9" s="1"/>
  <c r="L75" i="8"/>
  <c r="N75" i="8" s="1"/>
  <c r="O75" i="8" s="1"/>
  <c r="N77" i="8"/>
  <c r="P110" i="7"/>
  <c r="O110" i="7"/>
  <c r="N505" i="8"/>
  <c r="O506" i="8"/>
  <c r="P506" i="8"/>
  <c r="S192" i="6"/>
  <c r="V192" i="6"/>
  <c r="R192" i="6"/>
  <c r="O711" i="9"/>
  <c r="P711" i="9"/>
  <c r="O759" i="9"/>
  <c r="P759" i="9"/>
  <c r="O203" i="7"/>
  <c r="P203" i="7"/>
  <c r="P808" i="9"/>
  <c r="P757" i="10"/>
  <c r="O757" i="10"/>
  <c r="O916" i="7"/>
  <c r="P916" i="7"/>
  <c r="P343" i="10"/>
  <c r="O343" i="10"/>
  <c r="M383" i="25"/>
  <c r="L382" i="25"/>
  <c r="R177" i="6"/>
  <c r="S177" i="6"/>
  <c r="P600" i="9"/>
  <c r="O600" i="9"/>
  <c r="R551" i="6"/>
  <c r="S551" i="6"/>
  <c r="Q550" i="6"/>
  <c r="O784" i="8"/>
  <c r="P784" i="8"/>
  <c r="S601" i="6"/>
  <c r="Q599" i="6"/>
  <c r="R601" i="6"/>
  <c r="O430" i="7"/>
  <c r="N428" i="7"/>
  <c r="P430" i="7"/>
  <c r="R590" i="6"/>
  <c r="S590" i="6"/>
  <c r="P1030" i="10"/>
  <c r="O1030" i="10"/>
  <c r="L784" i="10"/>
  <c r="N784" i="10" s="1"/>
  <c r="N786" i="10"/>
  <c r="R38" i="6"/>
  <c r="S38" i="6"/>
  <c r="V38" i="6"/>
  <c r="M925" i="9"/>
  <c r="N925" i="9" s="1"/>
  <c r="N927" i="9"/>
  <c r="O342" i="7"/>
  <c r="K340" i="7"/>
  <c r="P342" i="7"/>
  <c r="P436" i="7"/>
  <c r="O436" i="7"/>
  <c r="O77" i="10"/>
  <c r="P77" i="10"/>
  <c r="K847" i="10"/>
  <c r="K845" i="10" s="1"/>
  <c r="O44" i="9"/>
  <c r="P44" i="9"/>
  <c r="E273" i="6"/>
  <c r="D29" i="3"/>
  <c r="R54" i="3"/>
  <c r="S54" i="3"/>
  <c r="O616" i="4"/>
  <c r="N616" i="4"/>
  <c r="J615" i="4"/>
  <c r="O154" i="4"/>
  <c r="N154" i="4"/>
  <c r="S53" i="11"/>
  <c r="Q53" i="11"/>
  <c r="N79" i="4"/>
  <c r="O79" i="4"/>
  <c r="N367" i="7"/>
  <c r="M365" i="7"/>
  <c r="L502" i="8"/>
  <c r="N578" i="8"/>
  <c r="P428" i="5"/>
  <c r="R210" i="6"/>
  <c r="S210" i="6"/>
  <c r="N10" i="4"/>
  <c r="O10" i="4"/>
  <c r="V314" i="23"/>
  <c r="O312" i="23"/>
  <c r="P58" i="28"/>
  <c r="S58" i="28"/>
  <c r="M57" i="28"/>
  <c r="Q58" i="28"/>
  <c r="P216" i="9"/>
  <c r="O216" i="9"/>
  <c r="K7" i="20"/>
  <c r="K74" i="20"/>
  <c r="J789" i="3"/>
  <c r="Q611" i="3"/>
  <c r="J8" i="3"/>
  <c r="V441" i="27"/>
  <c r="O440" i="27"/>
  <c r="V440" i="27" s="1"/>
  <c r="M789" i="3"/>
  <c r="M8" i="3"/>
  <c r="O676" i="4"/>
  <c r="N676" i="4"/>
  <c r="N280" i="29"/>
  <c r="O280" i="29" s="1"/>
  <c r="V404" i="19"/>
  <c r="O397" i="19"/>
  <c r="V397" i="19" s="1"/>
  <c r="N161" i="4"/>
  <c r="O161" i="4"/>
  <c r="R499" i="6"/>
  <c r="Q498" i="6"/>
  <c r="S499" i="6"/>
  <c r="S634" i="39"/>
  <c r="AF635" i="39"/>
  <c r="V635" i="39"/>
  <c r="AA635" i="39"/>
  <c r="P929" i="7"/>
  <c r="O929" i="7"/>
  <c r="P999" i="10"/>
  <c r="O999" i="10"/>
  <c r="K8" i="12"/>
  <c r="K8" i="13"/>
  <c r="S53" i="20"/>
  <c r="Q53" i="20"/>
  <c r="Q518" i="3"/>
  <c r="R518" i="3" s="1"/>
  <c r="Q430" i="19"/>
  <c r="R430" i="19"/>
  <c r="L429" i="19"/>
  <c r="Q432" i="5"/>
  <c r="R432" i="5"/>
  <c r="L431" i="5"/>
  <c r="O78" i="4"/>
  <c r="N78" i="4"/>
  <c r="Q55" i="23"/>
  <c r="R55" i="23"/>
  <c r="P43" i="23"/>
  <c r="S281" i="3"/>
  <c r="R281" i="3"/>
  <c r="S200" i="6"/>
  <c r="Q188" i="6"/>
  <c r="R200" i="6"/>
  <c r="P661" i="7"/>
  <c r="O661" i="7"/>
  <c r="O1067" i="10"/>
  <c r="P1067" i="10"/>
  <c r="O312" i="9"/>
  <c r="P312" i="9"/>
  <c r="O98" i="9"/>
  <c r="P98" i="9"/>
  <c r="T51" i="24"/>
  <c r="P607" i="7"/>
  <c r="O607" i="7"/>
  <c r="P260" i="10"/>
  <c r="E6" i="21"/>
  <c r="Q58" i="20"/>
  <c r="P58" i="20"/>
  <c r="S58" i="20"/>
  <c r="Q56" i="24"/>
  <c r="S56" i="24"/>
  <c r="M55" i="24"/>
  <c r="P56" i="24"/>
  <c r="T62" i="18"/>
  <c r="O806" i="25"/>
  <c r="S71" i="11"/>
  <c r="Q71" i="11"/>
  <c r="D482" i="3"/>
  <c r="S483" i="3"/>
  <c r="R483" i="3"/>
  <c r="V310" i="19"/>
  <c r="O308" i="19"/>
  <c r="R444" i="27"/>
  <c r="Q444" i="27"/>
  <c r="L443" i="27"/>
  <c r="O580" i="4"/>
  <c r="N580" i="4"/>
  <c r="S445" i="6"/>
  <c r="R445" i="6"/>
  <c r="Q444" i="6"/>
  <c r="Q420" i="6"/>
  <c r="R421" i="6"/>
  <c r="S421" i="6"/>
  <c r="L7" i="11"/>
  <c r="L74" i="11"/>
  <c r="O645" i="10"/>
  <c r="P645" i="10"/>
  <c r="P262" i="10"/>
  <c r="P1001" i="8"/>
  <c r="O1001" i="8"/>
  <c r="AB67" i="39"/>
  <c r="AA67" i="39"/>
  <c r="R701" i="3"/>
  <c r="S701" i="3"/>
  <c r="N451" i="7"/>
  <c r="L449" i="7"/>
  <c r="L673" i="4"/>
  <c r="M675" i="4"/>
  <c r="O79" i="8"/>
  <c r="P79" i="8"/>
  <c r="O288" i="9"/>
  <c r="P288" i="9"/>
  <c r="P283" i="29"/>
  <c r="O282" i="29"/>
  <c r="P282" i="29" s="1"/>
  <c r="P280" i="29" s="1"/>
  <c r="O691" i="7"/>
  <c r="P691" i="7"/>
  <c r="L232" i="10"/>
  <c r="N232" i="10" s="1"/>
  <c r="N234" i="10"/>
  <c r="P998" i="10"/>
  <c r="O998" i="10"/>
  <c r="Q637" i="3"/>
  <c r="K7" i="11"/>
  <c r="K74" i="11"/>
  <c r="P873" i="7"/>
  <c r="R873" i="7"/>
  <c r="O873" i="7"/>
  <c r="M91" i="9"/>
  <c r="N93" i="9"/>
  <c r="M1011" i="10"/>
  <c r="N1016" i="10"/>
  <c r="O1016" i="10" s="1"/>
  <c r="R155" i="3"/>
  <c r="S155" i="3"/>
  <c r="V315" i="27"/>
  <c r="O313" i="27"/>
  <c r="O406" i="23"/>
  <c r="V406" i="23" s="1"/>
  <c r="V415" i="23"/>
  <c r="P647" i="10"/>
  <c r="V406" i="16"/>
  <c r="O397" i="16"/>
  <c r="V397" i="16" s="1"/>
  <c r="G19" i="1"/>
  <c r="V95" i="39"/>
  <c r="AA95" i="39"/>
  <c r="S94" i="39"/>
  <c r="AB95" i="39"/>
  <c r="T95" i="39"/>
  <c r="AF95" i="39"/>
  <c r="O727" i="9"/>
  <c r="P727" i="9"/>
  <c r="O367" i="29"/>
  <c r="P367" i="29" s="1"/>
  <c r="N366" i="29"/>
  <c r="O366" i="29" s="1"/>
  <c r="P366" i="29" s="1"/>
  <c r="O67" i="4"/>
  <c r="N67" i="4"/>
  <c r="AC44" i="39"/>
  <c r="N42" i="9"/>
  <c r="L40" i="9"/>
  <c r="O675" i="9"/>
  <c r="P675" i="9"/>
  <c r="O463" i="9"/>
  <c r="P463" i="9"/>
  <c r="AG859" i="39"/>
  <c r="M66" i="4"/>
  <c r="L29" i="4"/>
  <c r="AG148" i="39"/>
  <c r="R397" i="5"/>
  <c r="Q397" i="5"/>
  <c r="R205" i="30"/>
  <c r="L204" i="30"/>
  <c r="Q205" i="30"/>
  <c r="Q204" i="30" s="1"/>
  <c r="S462" i="3"/>
  <c r="R462" i="3"/>
  <c r="P174" i="7"/>
  <c r="O174" i="7"/>
  <c r="N726" i="4"/>
  <c r="G355" i="3"/>
  <c r="Q356" i="3"/>
  <c r="S420" i="3"/>
  <c r="R420" i="3"/>
  <c r="O1065" i="10"/>
  <c r="P1065" i="10"/>
  <c r="O284" i="7"/>
  <c r="N278" i="7"/>
  <c r="P284" i="7"/>
  <c r="P930" i="7"/>
  <c r="O930" i="7"/>
  <c r="I251" i="6"/>
  <c r="P53" i="18"/>
  <c r="P53" i="20"/>
  <c r="P53" i="11"/>
  <c r="Q367" i="27"/>
  <c r="R367" i="27"/>
  <c r="L230" i="27"/>
  <c r="V417" i="27"/>
  <c r="O408" i="27"/>
  <c r="V408" i="27" s="1"/>
  <c r="Q22" i="24"/>
  <c r="P22" i="24"/>
  <c r="T22" i="24" s="1"/>
  <c r="O21" i="24"/>
  <c r="S71" i="20"/>
  <c r="Q71" i="20"/>
  <c r="P659" i="7"/>
  <c r="O659" i="7"/>
  <c r="P75" i="9"/>
  <c r="O75" i="9"/>
  <c r="P338" i="8"/>
  <c r="O338" i="8"/>
  <c r="R310" i="9"/>
  <c r="N310" i="9"/>
  <c r="P826" i="9"/>
  <c r="O826" i="9"/>
  <c r="S25" i="6"/>
  <c r="P609" i="7"/>
  <c r="O609" i="7"/>
  <c r="N174" i="10"/>
  <c r="S59" i="20"/>
  <c r="T59" i="20" s="1"/>
  <c r="Q201" i="16"/>
  <c r="Q200" i="16" s="1"/>
  <c r="R201" i="16"/>
  <c r="L200" i="16"/>
  <c r="O816" i="29"/>
  <c r="R239" i="3"/>
  <c r="S239" i="3"/>
  <c r="Q29" i="3"/>
  <c r="R31" i="3"/>
  <c r="V314" i="30"/>
  <c r="O312" i="30"/>
  <c r="M582" i="4"/>
  <c r="L581" i="4"/>
  <c r="M581" i="4" s="1"/>
  <c r="P290" i="9"/>
  <c r="O290" i="9"/>
  <c r="P288" i="8"/>
  <c r="T62" i="20"/>
  <c r="N53" i="18"/>
  <c r="T381" i="5"/>
  <c r="N53" i="11"/>
  <c r="N53" i="20"/>
  <c r="M10" i="12"/>
  <c r="L10" i="12"/>
  <c r="T53" i="28"/>
  <c r="M998" i="8"/>
  <c r="N998" i="8" s="1"/>
  <c r="N999" i="8"/>
  <c r="P839" i="9"/>
  <c r="O839" i="9"/>
  <c r="P665" i="8"/>
  <c r="O665" i="8"/>
  <c r="L280" i="4"/>
  <c r="M280" i="4" s="1"/>
  <c r="D357" i="3"/>
  <c r="R359" i="3"/>
  <c r="S359" i="3"/>
  <c r="D358" i="3"/>
  <c r="D356" i="3" s="1"/>
  <c r="D355" i="3" s="1"/>
  <c r="D354" i="3" s="1"/>
  <c r="N452" i="7"/>
  <c r="F22" i="1"/>
  <c r="G22" i="1" s="1"/>
  <c r="O453" i="7"/>
  <c r="P453" i="7"/>
  <c r="T59" i="24"/>
  <c r="S407" i="3"/>
  <c r="R407" i="3"/>
  <c r="I789" i="3"/>
  <c r="O481" i="8"/>
  <c r="P481" i="8"/>
  <c r="K13" i="10"/>
  <c r="N924" i="8"/>
  <c r="M922" i="8"/>
  <c r="N922" i="8" s="1"/>
  <c r="V147" i="39"/>
  <c r="P121" i="39"/>
  <c r="AF147" i="39"/>
  <c r="W147" i="39"/>
  <c r="Y147" i="39" s="1"/>
  <c r="Q147" i="39"/>
  <c r="R147" i="39"/>
  <c r="T147" i="39" s="1"/>
  <c r="O129" i="4"/>
  <c r="N129" i="4"/>
  <c r="M232" i="9"/>
  <c r="N232" i="9" s="1"/>
  <c r="N234" i="9"/>
  <c r="J846" i="29"/>
  <c r="J850" i="29"/>
  <c r="J851" i="29" s="1"/>
  <c r="J9" i="29" s="1"/>
  <c r="P110" i="8"/>
  <c r="O110" i="8"/>
  <c r="O718" i="6"/>
  <c r="O262" i="10"/>
  <c r="L10" i="13"/>
  <c r="M10" i="13"/>
  <c r="R561" i="19"/>
  <c r="Q561" i="19"/>
  <c r="L560" i="19"/>
  <c r="P693" i="7"/>
  <c r="P1082" i="8"/>
  <c r="O1082" i="8"/>
  <c r="S342" i="6"/>
  <c r="R342" i="6"/>
  <c r="O898" i="10"/>
  <c r="P898" i="10"/>
  <c r="O428" i="5"/>
  <c r="T428" i="5" s="1"/>
  <c r="T429" i="5"/>
  <c r="R684" i="9"/>
  <c r="N673" i="9"/>
  <c r="O899" i="10"/>
  <c r="P899" i="10"/>
  <c r="K253" i="6"/>
  <c r="P926" i="8"/>
  <c r="O926" i="8"/>
  <c r="O898" i="8"/>
  <c r="P898" i="8"/>
  <c r="P176" i="7"/>
  <c r="O176" i="7"/>
  <c r="T59" i="31"/>
  <c r="H457" i="3"/>
  <c r="Q461" i="3"/>
  <c r="T25" i="18"/>
  <c r="O506" i="4"/>
  <c r="N506" i="4"/>
  <c r="Q433" i="16"/>
  <c r="L432" i="16"/>
  <c r="R433" i="16"/>
  <c r="Q385" i="3"/>
  <c r="P355" i="3"/>
  <c r="P354" i="3" s="1"/>
  <c r="T46" i="28"/>
  <c r="P1064" i="10"/>
  <c r="O1064" i="10"/>
  <c r="AA861" i="39"/>
  <c r="Y861" i="39"/>
  <c r="X859" i="39"/>
  <c r="AB861" i="39"/>
  <c r="M58" i="18"/>
  <c r="Q59" i="18"/>
  <c r="S59" i="18"/>
  <c r="T59" i="18" s="1"/>
  <c r="R322" i="6"/>
  <c r="S322" i="6"/>
  <c r="S53" i="18"/>
  <c r="T53" i="18" s="1"/>
  <c r="Q53" i="18"/>
  <c r="R116" i="3"/>
  <c r="S116" i="3"/>
  <c r="Q24" i="28"/>
  <c r="P24" i="28"/>
  <c r="T24" i="28" s="1"/>
  <c r="O23" i="28"/>
  <c r="P236" i="9"/>
  <c r="O236" i="9"/>
  <c r="P369" i="7"/>
  <c r="O369" i="7"/>
  <c r="S638" i="3"/>
  <c r="R638" i="3"/>
  <c r="O1070" i="8"/>
  <c r="P1070" i="8"/>
  <c r="I8" i="3"/>
  <c r="O547" i="7"/>
  <c r="P547" i="7"/>
  <c r="P340" i="8"/>
  <c r="O340" i="8"/>
  <c r="O579" i="8"/>
  <c r="P579" i="8"/>
  <c r="O874" i="7"/>
  <c r="P874" i="7"/>
  <c r="P176" i="10"/>
  <c r="O176" i="10"/>
  <c r="Q59" i="20"/>
  <c r="T62" i="11"/>
  <c r="F237" i="3"/>
  <c r="Q238" i="3"/>
  <c r="S156" i="3"/>
  <c r="R156" i="3"/>
  <c r="O308" i="16"/>
  <c r="V310" i="16"/>
  <c r="T311" i="5"/>
  <c r="O309" i="5"/>
  <c r="Q442" i="30"/>
  <c r="R442" i="30"/>
  <c r="L441" i="30"/>
  <c r="N585" i="4"/>
  <c r="O585" i="4"/>
  <c r="T60" i="28"/>
  <c r="S512" i="6"/>
  <c r="R512" i="6"/>
  <c r="Q511" i="6"/>
  <c r="P214" i="9"/>
  <c r="O214" i="9"/>
  <c r="Q59" i="11"/>
  <c r="S59" i="11"/>
  <c r="T59" i="11" s="1"/>
  <c r="M58" i="11"/>
  <c r="S428" i="3"/>
  <c r="R428" i="3"/>
  <c r="AA66" i="39"/>
  <c r="AB66" i="39"/>
  <c r="R612" i="3"/>
  <c r="S612" i="3"/>
  <c r="R442" i="23"/>
  <c r="Q442" i="23"/>
  <c r="L441" i="23"/>
  <c r="R413" i="19"/>
  <c r="Q413" i="19"/>
  <c r="L396" i="19"/>
  <c r="Q574" i="23"/>
  <c r="L573" i="23"/>
  <c r="R574" i="23"/>
  <c r="O282" i="4"/>
  <c r="N282" i="4"/>
  <c r="P263" i="8"/>
  <c r="O263" i="8"/>
  <c r="O909" i="10"/>
  <c r="R725" i="9"/>
  <c r="O725" i="9"/>
  <c r="P725" i="9"/>
  <c r="J11" i="13"/>
  <c r="J12" i="13" s="1"/>
  <c r="O325" i="8" l="1"/>
  <c r="P325" i="8"/>
  <c r="P325" i="10"/>
  <c r="O325" i="10"/>
  <c r="K312" i="8"/>
  <c r="K310" i="8" s="1"/>
  <c r="O690" i="10"/>
  <c r="N665" i="10"/>
  <c r="P243" i="8"/>
  <c r="O243" i="8"/>
  <c r="N865" i="9"/>
  <c r="M863" i="9"/>
  <c r="N863" i="9" s="1"/>
  <c r="O405" i="10"/>
  <c r="P405" i="10"/>
  <c r="P1018" i="9"/>
  <c r="O1018" i="9"/>
  <c r="M734" i="10"/>
  <c r="P961" i="8"/>
  <c r="O639" i="7"/>
  <c r="P639" i="7"/>
  <c r="N522" i="10"/>
  <c r="L502" i="10"/>
  <c r="O298" i="8"/>
  <c r="N638" i="7"/>
  <c r="L632" i="7"/>
  <c r="L629" i="7" s="1"/>
  <c r="M1055" i="8"/>
  <c r="N1055" i="8" s="1"/>
  <c r="N1056" i="8"/>
  <c r="K752" i="8"/>
  <c r="P754" i="8"/>
  <c r="O754" i="8"/>
  <c r="P284" i="10"/>
  <c r="N278" i="10"/>
  <c r="O284" i="10"/>
  <c r="R25" i="6"/>
  <c r="P405" i="7"/>
  <c r="N409" i="7"/>
  <c r="K403" i="9"/>
  <c r="P290" i="8"/>
  <c r="P298" i="8"/>
  <c r="L310" i="7"/>
  <c r="N310" i="7" s="1"/>
  <c r="N312" i="7"/>
  <c r="O243" i="9"/>
  <c r="P243" i="9"/>
  <c r="O577" i="9"/>
  <c r="P577" i="9"/>
  <c r="M752" i="10"/>
  <c r="N752" i="10" s="1"/>
  <c r="N754" i="10"/>
  <c r="O963" i="8"/>
  <c r="P963" i="8"/>
  <c r="O290" i="8"/>
  <c r="R440" i="6"/>
  <c r="Q303" i="6"/>
  <c r="P757" i="8"/>
  <c r="M234" i="7"/>
  <c r="P243" i="7"/>
  <c r="P784" i="7"/>
  <c r="O784" i="7"/>
  <c r="P559" i="9"/>
  <c r="O559" i="9"/>
  <c r="P523" i="10"/>
  <c r="O523" i="10"/>
  <c r="N17" i="10"/>
  <c r="O19" i="10"/>
  <c r="P19" i="10"/>
  <c r="O269" i="9"/>
  <c r="P269" i="9"/>
  <c r="F15" i="1"/>
  <c r="G15" i="1" s="1"/>
  <c r="N318" i="7"/>
  <c r="O319" i="7"/>
  <c r="P319" i="7"/>
  <c r="P1040" i="10"/>
  <c r="O1040" i="10"/>
  <c r="P1039" i="10"/>
  <c r="O1039" i="10"/>
  <c r="P984" i="10"/>
  <c r="O984" i="10"/>
  <c r="P986" i="10"/>
  <c r="O986" i="10"/>
  <c r="O988" i="10"/>
  <c r="P988" i="10"/>
  <c r="O331" i="10"/>
  <c r="P331" i="10"/>
  <c r="T53" i="24"/>
  <c r="O17" i="8"/>
  <c r="P17" i="8"/>
  <c r="N15" i="8"/>
  <c r="P203" i="8"/>
  <c r="O203" i="8"/>
  <c r="N42" i="7"/>
  <c r="L40" i="7"/>
  <c r="P176" i="8"/>
  <c r="O176" i="8"/>
  <c r="O44" i="7"/>
  <c r="P44" i="7"/>
  <c r="R174" i="8"/>
  <c r="O174" i="8"/>
  <c r="P174" i="8"/>
  <c r="M108" i="10"/>
  <c r="N108" i="10" s="1"/>
  <c r="P108" i="10" s="1"/>
  <c r="N110" i="10"/>
  <c r="K1056" i="8"/>
  <c r="P1058" i="8"/>
  <c r="O1058" i="8"/>
  <c r="M476" i="25"/>
  <c r="L472" i="25"/>
  <c r="P448" i="10"/>
  <c r="K447" i="10"/>
  <c r="O448" i="10"/>
  <c r="P263" i="9"/>
  <c r="O263" i="9"/>
  <c r="O340" i="10"/>
  <c r="P340" i="10"/>
  <c r="R275" i="6"/>
  <c r="S275" i="6"/>
  <c r="M499" i="29"/>
  <c r="L473" i="29"/>
  <c r="O93" i="10"/>
  <c r="M157" i="9"/>
  <c r="N157" i="9" s="1"/>
  <c r="N159" i="9"/>
  <c r="P659" i="10"/>
  <c r="O659" i="10"/>
  <c r="M288" i="10"/>
  <c r="N288" i="10" s="1"/>
  <c r="N290" i="10"/>
  <c r="P394" i="10"/>
  <c r="P292" i="10"/>
  <c r="O292" i="10"/>
  <c r="O447" i="8"/>
  <c r="P447" i="8"/>
  <c r="AA815" i="39"/>
  <c r="AB815" i="39"/>
  <c r="Y815" i="39"/>
  <c r="Q397" i="16"/>
  <c r="L396" i="16"/>
  <c r="R397" i="16"/>
  <c r="Q30" i="28"/>
  <c r="M29" i="28"/>
  <c r="P30" i="28"/>
  <c r="S30" i="28"/>
  <c r="T30" i="28" s="1"/>
  <c r="P28" i="11"/>
  <c r="Q28" i="11"/>
  <c r="S28" i="11"/>
  <c r="M27" i="11"/>
  <c r="P28" i="24"/>
  <c r="Q28" i="24"/>
  <c r="M27" i="24"/>
  <c r="S28" i="24"/>
  <c r="T28" i="24" s="1"/>
  <c r="N356" i="4"/>
  <c r="O356" i="4"/>
  <c r="O640" i="4"/>
  <c r="N640" i="4"/>
  <c r="R406" i="30"/>
  <c r="Q406" i="30"/>
  <c r="L405" i="30"/>
  <c r="R425" i="23"/>
  <c r="Q425" i="23"/>
  <c r="L405" i="23"/>
  <c r="N847" i="29"/>
  <c r="O472" i="29"/>
  <c r="P472" i="29" s="1"/>
  <c r="O155" i="4"/>
  <c r="N155" i="4"/>
  <c r="R425" i="30"/>
  <c r="Q425" i="30"/>
  <c r="R397" i="19"/>
  <c r="Q397" i="19"/>
  <c r="R204" i="23"/>
  <c r="L43" i="23"/>
  <c r="O66" i="28"/>
  <c r="P438" i="23"/>
  <c r="O64" i="24"/>
  <c r="O64" i="31"/>
  <c r="T63" i="18"/>
  <c r="P28" i="18"/>
  <c r="Q28" i="18"/>
  <c r="S28" i="18"/>
  <c r="M27" i="18"/>
  <c r="J355" i="4"/>
  <c r="N357" i="4"/>
  <c r="P10" i="4"/>
  <c r="P11" i="4" s="1"/>
  <c r="O357" i="4"/>
  <c r="N641" i="4"/>
  <c r="O641" i="4"/>
  <c r="S65" i="28"/>
  <c r="T65" i="28" s="1"/>
  <c r="O64" i="28"/>
  <c r="O63" i="28" s="1"/>
  <c r="AG364" i="39"/>
  <c r="O371" i="4"/>
  <c r="N371" i="4"/>
  <c r="P28" i="20"/>
  <c r="Q28" i="20"/>
  <c r="M27" i="20"/>
  <c r="S28" i="20"/>
  <c r="S67" i="18"/>
  <c r="T67" i="18" s="1"/>
  <c r="O66" i="18"/>
  <c r="O65" i="18" s="1"/>
  <c r="E36" i="21" s="1"/>
  <c r="J489" i="4"/>
  <c r="O490" i="4"/>
  <c r="N490" i="4"/>
  <c r="R427" i="27"/>
  <c r="Q427" i="27"/>
  <c r="O482" i="4"/>
  <c r="N482" i="4"/>
  <c r="N11" i="4"/>
  <c r="O11" i="4"/>
  <c r="N370" i="4"/>
  <c r="O370" i="4"/>
  <c r="S28" i="31"/>
  <c r="P28" i="31"/>
  <c r="M27" i="31"/>
  <c r="Q28" i="31"/>
  <c r="P440" i="27"/>
  <c r="D17" i="26"/>
  <c r="Q490" i="3"/>
  <c r="F427" i="3"/>
  <c r="Q408" i="27"/>
  <c r="L407" i="27"/>
  <c r="R408" i="27"/>
  <c r="O62" i="24"/>
  <c r="O61" i="24" s="1"/>
  <c r="S63" i="24"/>
  <c r="T63" i="24" s="1"/>
  <c r="O62" i="31"/>
  <c r="O61" i="31" s="1"/>
  <c r="S63" i="31"/>
  <c r="T63" i="31" s="1"/>
  <c r="O130" i="4"/>
  <c r="N130" i="4"/>
  <c r="O67" i="11"/>
  <c r="O67" i="20"/>
  <c r="R200" i="19"/>
  <c r="L43" i="19"/>
  <c r="N481" i="4"/>
  <c r="O481" i="4"/>
  <c r="AG1005" i="39"/>
  <c r="P18" i="31"/>
  <c r="S18" i="31"/>
  <c r="O16" i="31"/>
  <c r="S18" i="11"/>
  <c r="T18" i="11" s="1"/>
  <c r="O16" i="11"/>
  <c r="R56" i="19"/>
  <c r="P55" i="19"/>
  <c r="Q79" i="39"/>
  <c r="R79" i="39"/>
  <c r="O79" i="39"/>
  <c r="N44" i="39"/>
  <c r="O44" i="39" s="1"/>
  <c r="R44" i="19"/>
  <c r="Q44" i="19"/>
  <c r="T54" i="18"/>
  <c r="O693" i="39"/>
  <c r="Q693" i="39"/>
  <c r="R693" i="39"/>
  <c r="T693" i="39" s="1"/>
  <c r="N632" i="39"/>
  <c r="D490" i="3"/>
  <c r="S491" i="3"/>
  <c r="R491" i="3"/>
  <c r="AA758" i="39"/>
  <c r="V758" i="39"/>
  <c r="AG758" i="39" s="1"/>
  <c r="AF758" i="39"/>
  <c r="AF891" i="39"/>
  <c r="Q891" i="39"/>
  <c r="V891" i="39"/>
  <c r="P889" i="39"/>
  <c r="W891" i="39"/>
  <c r="Y891" i="39" s="1"/>
  <c r="R891" i="39"/>
  <c r="T891" i="39" s="1"/>
  <c r="Q439" i="39"/>
  <c r="O439" i="39"/>
  <c r="N437" i="39"/>
  <c r="R439" i="39"/>
  <c r="Q837" i="39"/>
  <c r="N835" i="39"/>
  <c r="R837" i="39"/>
  <c r="T837" i="39" s="1"/>
  <c r="O837" i="39"/>
  <c r="AG765" i="39"/>
  <c r="AG218" i="39"/>
  <c r="S18" i="20"/>
  <c r="P18" i="20"/>
  <c r="O16" i="20"/>
  <c r="Q45" i="5"/>
  <c r="R45" i="5"/>
  <c r="P44" i="5"/>
  <c r="P11" i="5" s="1"/>
  <c r="R861" i="39"/>
  <c r="T861" i="39" s="1"/>
  <c r="O861" i="39"/>
  <c r="N859" i="39"/>
  <c r="Q861" i="39"/>
  <c r="AG454" i="39"/>
  <c r="AA264" i="39"/>
  <c r="S262" i="39"/>
  <c r="AB264" i="39"/>
  <c r="V264" i="39"/>
  <c r="AF264" i="39"/>
  <c r="W264" i="39"/>
  <c r="Y264" i="39" s="1"/>
  <c r="Q44" i="30"/>
  <c r="R44" i="30"/>
  <c r="P43" i="30"/>
  <c r="P10" i="30" s="1"/>
  <c r="W471" i="39"/>
  <c r="Y471" i="39" s="1"/>
  <c r="V471" i="39"/>
  <c r="AF471" i="39"/>
  <c r="T471" i="39"/>
  <c r="R574" i="39"/>
  <c r="T574" i="39" s="1"/>
  <c r="Q574" i="39"/>
  <c r="N572" i="39"/>
  <c r="O574" i="39"/>
  <c r="P18" i="18"/>
  <c r="S18" i="18"/>
  <c r="O16" i="18"/>
  <c r="X229" i="39"/>
  <c r="Y231" i="39"/>
  <c r="AA231" i="39"/>
  <c r="AB231" i="39"/>
  <c r="AG316" i="39"/>
  <c r="R44" i="23"/>
  <c r="Q44" i="23"/>
  <c r="AF453" i="39"/>
  <c r="P452" i="39"/>
  <c r="V453" i="39"/>
  <c r="AG453" i="39" s="1"/>
  <c r="R453" i="39"/>
  <c r="T453" i="39" s="1"/>
  <c r="W453" i="39"/>
  <c r="Q453" i="39"/>
  <c r="AG473" i="39"/>
  <c r="O66" i="25"/>
  <c r="P67" i="25"/>
  <c r="P66" i="25" s="1"/>
  <c r="T264" i="39"/>
  <c r="Q44" i="16"/>
  <c r="R44" i="16"/>
  <c r="Q44" i="27"/>
  <c r="R44" i="27"/>
  <c r="N229" i="39"/>
  <c r="O231" i="39"/>
  <c r="R231" i="39"/>
  <c r="T231" i="39" s="1"/>
  <c r="Q231" i="39"/>
  <c r="T262" i="39"/>
  <c r="P18" i="24"/>
  <c r="S18" i="24"/>
  <c r="T18" i="24" s="1"/>
  <c r="O16" i="24"/>
  <c r="P20" i="28"/>
  <c r="S20" i="28"/>
  <c r="T20" i="28" s="1"/>
  <c r="O18" i="28"/>
  <c r="R56" i="27"/>
  <c r="P55" i="27"/>
  <c r="AG598" i="39"/>
  <c r="O556" i="39"/>
  <c r="R556" i="39"/>
  <c r="T556" i="39" s="1"/>
  <c r="Q556" i="39"/>
  <c r="AG893" i="39"/>
  <c r="O340" i="9"/>
  <c r="AG95" i="39"/>
  <c r="W773" i="39"/>
  <c r="Q773" i="39"/>
  <c r="AF773" i="39"/>
  <c r="R773" i="39"/>
  <c r="T773" i="39" s="1"/>
  <c r="V773" i="39"/>
  <c r="W439" i="39"/>
  <c r="Y439" i="39" s="1"/>
  <c r="V439" i="39"/>
  <c r="AF439" i="39"/>
  <c r="S437" i="39"/>
  <c r="T439" i="39"/>
  <c r="AA439" i="39"/>
  <c r="AB439" i="39"/>
  <c r="O1033" i="8"/>
  <c r="P1033" i="8"/>
  <c r="P590" i="9"/>
  <c r="O590" i="9"/>
  <c r="M847" i="10"/>
  <c r="T399" i="5"/>
  <c r="N57" i="31"/>
  <c r="N56" i="31" s="1"/>
  <c r="N59" i="28"/>
  <c r="N58" i="28" s="1"/>
  <c r="O398" i="5"/>
  <c r="T398" i="5" s="1"/>
  <c r="N60" i="18"/>
  <c r="N59" i="18" s="1"/>
  <c r="N60" i="11"/>
  <c r="N59" i="11" s="1"/>
  <c r="N60" i="20"/>
  <c r="N59" i="20" s="1"/>
  <c r="N57" i="24"/>
  <c r="N56" i="24" s="1"/>
  <c r="Q563" i="5"/>
  <c r="L562" i="5"/>
  <c r="R563" i="5"/>
  <c r="M50" i="31"/>
  <c r="R299" i="23"/>
  <c r="M52" i="28"/>
  <c r="M50" i="24"/>
  <c r="Q299" i="23"/>
  <c r="R213" i="39"/>
  <c r="T213" i="39" s="1"/>
  <c r="O213" i="39"/>
  <c r="N211" i="39"/>
  <c r="N438" i="10"/>
  <c r="P439" i="10"/>
  <c r="O439" i="10"/>
  <c r="L859" i="7"/>
  <c r="N859" i="7" s="1"/>
  <c r="N861" i="7"/>
  <c r="V445" i="16"/>
  <c r="O616" i="16"/>
  <c r="R300" i="27"/>
  <c r="Q300" i="27"/>
  <c r="O425" i="23"/>
  <c r="V425" i="23" s="1"/>
  <c r="V426" i="23"/>
  <c r="X362" i="39"/>
  <c r="AA364" i="39"/>
  <c r="Y364" i="39"/>
  <c r="AB364" i="39"/>
  <c r="N419" i="4"/>
  <c r="O419" i="4"/>
  <c r="AG147" i="39"/>
  <c r="T57" i="31"/>
  <c r="T60" i="20"/>
  <c r="O314" i="39"/>
  <c r="N312" i="39"/>
  <c r="O312" i="39" s="1"/>
  <c r="L225" i="16"/>
  <c r="R295" i="16"/>
  <c r="Q295" i="16"/>
  <c r="S327" i="39"/>
  <c r="V329" i="39"/>
  <c r="W329" i="39"/>
  <c r="Y329" i="39" s="1"/>
  <c r="AF329" i="39"/>
  <c r="O415" i="5"/>
  <c r="T416" i="5"/>
  <c r="L1030" i="8"/>
  <c r="N1030" i="8" s="1"/>
  <c r="N1031" i="8"/>
  <c r="L586" i="9"/>
  <c r="N586" i="9" s="1"/>
  <c r="N588" i="9"/>
  <c r="M52" i="18"/>
  <c r="Q296" i="5"/>
  <c r="M52" i="20"/>
  <c r="L226" i="5"/>
  <c r="R296" i="5"/>
  <c r="M52" i="11"/>
  <c r="M507" i="29"/>
  <c r="V426" i="30"/>
  <c r="O425" i="30"/>
  <c r="V425" i="30" s="1"/>
  <c r="N8" i="16"/>
  <c r="AA485" i="39"/>
  <c r="AB485" i="39"/>
  <c r="V430" i="19"/>
  <c r="O429" i="19"/>
  <c r="O22" i="18"/>
  <c r="P55" i="16"/>
  <c r="R56" i="16"/>
  <c r="R299" i="30"/>
  <c r="Q299" i="30"/>
  <c r="L229" i="30"/>
  <c r="O436" i="10"/>
  <c r="P436" i="10"/>
  <c r="O725" i="39"/>
  <c r="N723" i="39"/>
  <c r="Q725" i="39"/>
  <c r="R725" i="39"/>
  <c r="T725" i="39" s="1"/>
  <c r="P360" i="39"/>
  <c r="V362" i="39"/>
  <c r="AF362" i="39"/>
  <c r="W362" i="39"/>
  <c r="Y362" i="39" s="1"/>
  <c r="Q362" i="39"/>
  <c r="R362" i="39"/>
  <c r="T362" i="39" s="1"/>
  <c r="O413" i="19"/>
  <c r="V413" i="19" s="1"/>
  <c r="V414" i="19"/>
  <c r="N15" i="10"/>
  <c r="P24" i="10"/>
  <c r="O24" i="10"/>
  <c r="V213" i="39"/>
  <c r="W213" i="39"/>
  <c r="Y213" i="39" s="1"/>
  <c r="S211" i="39"/>
  <c r="AF213" i="39"/>
  <c r="AA213" i="39"/>
  <c r="AB213" i="39"/>
  <c r="R211" i="39"/>
  <c r="AG331" i="39"/>
  <c r="L196" i="4"/>
  <c r="M196" i="4" s="1"/>
  <c r="M197" i="4"/>
  <c r="O416" i="16"/>
  <c r="V416" i="16" s="1"/>
  <c r="V417" i="16"/>
  <c r="L1076" i="10"/>
  <c r="N1076" i="10" s="1"/>
  <c r="N1077" i="10"/>
  <c r="W298" i="39"/>
  <c r="Y298" i="39" s="1"/>
  <c r="P296" i="39"/>
  <c r="AF298" i="39"/>
  <c r="AG298" i="39" s="1"/>
  <c r="V298" i="39"/>
  <c r="V433" i="16"/>
  <c r="O432" i="16"/>
  <c r="L888" i="7"/>
  <c r="N893" i="7"/>
  <c r="O893" i="7" s="1"/>
  <c r="P391" i="39"/>
  <c r="W393" i="39"/>
  <c r="Y393" i="39" s="1"/>
  <c r="R393" i="39"/>
  <c r="T393" i="39" s="1"/>
  <c r="AF393" i="39"/>
  <c r="V393" i="39"/>
  <c r="Q393" i="39"/>
  <c r="N327" i="39"/>
  <c r="O329" i="39"/>
  <c r="R329" i="39"/>
  <c r="T329" i="39" s="1"/>
  <c r="Q329" i="39"/>
  <c r="AG534" i="39"/>
  <c r="V485" i="39"/>
  <c r="O984" i="39"/>
  <c r="Q984" i="39"/>
  <c r="P369" i="8"/>
  <c r="O369" i="8"/>
  <c r="V407" i="30"/>
  <c r="O406" i="30"/>
  <c r="V406" i="30" s="1"/>
  <c r="O362" i="39"/>
  <c r="N360" i="39"/>
  <c r="O360" i="39" s="1"/>
  <c r="Q575" i="30"/>
  <c r="R575" i="30"/>
  <c r="L574" i="30"/>
  <c r="O198" i="8"/>
  <c r="P198" i="8"/>
  <c r="R529" i="6"/>
  <c r="S529" i="6"/>
  <c r="M460" i="4"/>
  <c r="L456" i="4"/>
  <c r="R633" i="39"/>
  <c r="P632" i="39"/>
  <c r="Q633" i="39"/>
  <c r="AB429" i="39"/>
  <c r="AA429" i="39"/>
  <c r="X427" i="39"/>
  <c r="Y429" i="39"/>
  <c r="T56" i="24"/>
  <c r="T58" i="28"/>
  <c r="AG69" i="39"/>
  <c r="O10" i="29"/>
  <c r="P10" i="29" s="1"/>
  <c r="P11" i="29"/>
  <c r="AG775" i="39"/>
  <c r="AG597" i="39"/>
  <c r="P194" i="10"/>
  <c r="K192" i="10"/>
  <c r="O194" i="10"/>
  <c r="N198" i="4"/>
  <c r="O198" i="4"/>
  <c r="O1085" i="10"/>
  <c r="N1079" i="10"/>
  <c r="P849" i="10"/>
  <c r="O849" i="10"/>
  <c r="AG224" i="39"/>
  <c r="AG395" i="39"/>
  <c r="O885" i="8"/>
  <c r="P885" i="8"/>
  <c r="P24" i="9"/>
  <c r="O24" i="9"/>
  <c r="AB1005" i="39"/>
  <c r="S1003" i="39"/>
  <c r="AA1005" i="39"/>
  <c r="AF485" i="39"/>
  <c r="S450" i="39"/>
  <c r="Y534" i="39"/>
  <c r="W485" i="39"/>
  <c r="Y485" i="39" s="1"/>
  <c r="T60" i="24"/>
  <c r="P312" i="39"/>
  <c r="Q314" i="39"/>
  <c r="W314" i="39"/>
  <c r="Y314" i="39" s="1"/>
  <c r="R314" i="39"/>
  <c r="T314" i="39" s="1"/>
  <c r="AF314" i="39"/>
  <c r="V314" i="39"/>
  <c r="N8" i="19"/>
  <c r="Q295" i="19"/>
  <c r="R295" i="19"/>
  <c r="L225" i="19"/>
  <c r="N367" i="8"/>
  <c r="M365" i="8"/>
  <c r="N931" i="39"/>
  <c r="R933" i="39"/>
  <c r="T933" i="39" s="1"/>
  <c r="O933" i="39"/>
  <c r="Q933" i="39"/>
  <c r="L576" i="27"/>
  <c r="R577" i="27"/>
  <c r="Q577" i="27"/>
  <c r="T444" i="5"/>
  <c r="O613" i="5"/>
  <c r="O869" i="7"/>
  <c r="N863" i="7"/>
  <c r="M192" i="8"/>
  <c r="N194" i="8"/>
  <c r="N461" i="4"/>
  <c r="O461" i="4"/>
  <c r="S446" i="3"/>
  <c r="R446" i="3"/>
  <c r="M384" i="4"/>
  <c r="L354" i="4"/>
  <c r="L796" i="4"/>
  <c r="L797" i="4" s="1"/>
  <c r="L802" i="4" s="1"/>
  <c r="AG686" i="39"/>
  <c r="AB853" i="39"/>
  <c r="AA853" i="39"/>
  <c r="X852" i="39"/>
  <c r="Y853" i="39"/>
  <c r="W685" i="39"/>
  <c r="AF685" i="39"/>
  <c r="V685" i="39"/>
  <c r="T685" i="39"/>
  <c r="T633" i="39" s="1"/>
  <c r="AA685" i="39"/>
  <c r="AB685" i="39"/>
  <c r="O11" i="6"/>
  <c r="O9" i="6" s="1"/>
  <c r="O273" i="7"/>
  <c r="P273" i="7"/>
  <c r="N367" i="10"/>
  <c r="L365" i="10"/>
  <c r="N974" i="10"/>
  <c r="P980" i="10"/>
  <c r="O980" i="10"/>
  <c r="E255" i="6"/>
  <c r="Q257" i="6"/>
  <c r="L75" i="7"/>
  <c r="N75" i="7" s="1"/>
  <c r="P75" i="7" s="1"/>
  <c r="N77" i="7"/>
  <c r="O338" i="9"/>
  <c r="P338" i="9"/>
  <c r="N82" i="7"/>
  <c r="O82" i="7" s="1"/>
  <c r="O902" i="9"/>
  <c r="P902" i="9"/>
  <c r="P879" i="10"/>
  <c r="O879" i="10"/>
  <c r="O275" i="7"/>
  <c r="P275" i="7"/>
  <c r="P369" i="10"/>
  <c r="O369" i="10"/>
  <c r="P904" i="9"/>
  <c r="O904" i="9"/>
  <c r="M370" i="29"/>
  <c r="L368" i="29"/>
  <c r="N312" i="10"/>
  <c r="L310" i="10"/>
  <c r="N310" i="10" s="1"/>
  <c r="O877" i="10"/>
  <c r="P877" i="10"/>
  <c r="S259" i="6"/>
  <c r="R259" i="6"/>
  <c r="O967" i="39"/>
  <c r="Q967" i="39"/>
  <c r="O1055" i="10"/>
  <c r="P1055" i="10"/>
  <c r="V441" i="30"/>
  <c r="O439" i="30"/>
  <c r="P66" i="39"/>
  <c r="P67" i="39"/>
  <c r="R68" i="39"/>
  <c r="T68" i="39" s="1"/>
  <c r="Q68" i="39"/>
  <c r="AF68" i="39"/>
  <c r="W68" i="39"/>
  <c r="Y68" i="39" s="1"/>
  <c r="V68" i="39"/>
  <c r="O450" i="39"/>
  <c r="AA906" i="39"/>
  <c r="AB906" i="39"/>
  <c r="P24" i="7"/>
  <c r="O24" i="7"/>
  <c r="Q906" i="39"/>
  <c r="R906" i="39"/>
  <c r="T906" i="39" s="1"/>
  <c r="V906" i="39"/>
  <c r="W906" i="39"/>
  <c r="Y906" i="39" s="1"/>
  <c r="AF906" i="39"/>
  <c r="AA14" i="39"/>
  <c r="AB14" i="39"/>
  <c r="Y14" i="39"/>
  <c r="O438" i="23"/>
  <c r="V438" i="23" s="1"/>
  <c r="V439" i="23"/>
  <c r="AA773" i="39"/>
  <c r="Y773" i="39"/>
  <c r="AB773" i="39"/>
  <c r="M1052" i="10"/>
  <c r="N1052" i="10" s="1"/>
  <c r="N1053" i="10"/>
  <c r="R565" i="16"/>
  <c r="Q565" i="16"/>
  <c r="L564" i="16"/>
  <c r="R1040" i="39"/>
  <c r="T1040" i="39" s="1"/>
  <c r="Q1040" i="39"/>
  <c r="O1040" i="39"/>
  <c r="AB12" i="39"/>
  <c r="Y12" i="39"/>
  <c r="AA12" i="39"/>
  <c r="T59" i="28"/>
  <c r="N848" i="25"/>
  <c r="O9" i="25"/>
  <c r="AG908" i="39"/>
  <c r="R287" i="39"/>
  <c r="T287" i="39" s="1"/>
  <c r="O287" i="39"/>
  <c r="Q287" i="39"/>
  <c r="N285" i="39"/>
  <c r="O471" i="10"/>
  <c r="P471" i="10"/>
  <c r="M939" i="9"/>
  <c r="N939" i="9" s="1"/>
  <c r="N940" i="9"/>
  <c r="P269" i="10"/>
  <c r="N263" i="10"/>
  <c r="O269" i="10"/>
  <c r="L192" i="7"/>
  <c r="N194" i="7"/>
  <c r="L539" i="9"/>
  <c r="N539" i="9" s="1"/>
  <c r="N541" i="9"/>
  <c r="N1006" i="9"/>
  <c r="L1005" i="9"/>
  <c r="N1005" i="9" s="1"/>
  <c r="Q229" i="23"/>
  <c r="R229" i="23"/>
  <c r="L10" i="23"/>
  <c r="O198" i="7"/>
  <c r="P198" i="7"/>
  <c r="P412" i="9"/>
  <c r="O412" i="9"/>
  <c r="N411" i="9"/>
  <c r="O547" i="9"/>
  <c r="P547" i="9"/>
  <c r="O1014" i="9"/>
  <c r="N1008" i="9"/>
  <c r="S646" i="6"/>
  <c r="R646" i="6"/>
  <c r="Q644" i="6"/>
  <c r="N481" i="10"/>
  <c r="P483" i="10"/>
  <c r="O483" i="10"/>
  <c r="P942" i="9"/>
  <c r="O942" i="9"/>
  <c r="O1042" i="10"/>
  <c r="P1042" i="10"/>
  <c r="N477" i="9"/>
  <c r="O478" i="9"/>
  <c r="P478" i="9"/>
  <c r="Q21" i="20"/>
  <c r="S21" i="20"/>
  <c r="P21" i="20"/>
  <c r="M15" i="20"/>
  <c r="Q21" i="31"/>
  <c r="P21" i="31"/>
  <c r="S21" i="31"/>
  <c r="M15" i="31"/>
  <c r="Q197" i="3"/>
  <c r="E789" i="3"/>
  <c r="E8" i="3"/>
  <c r="K789" i="3"/>
  <c r="K8" i="3"/>
  <c r="O283" i="4"/>
  <c r="N283" i="4"/>
  <c r="Q296" i="39"/>
  <c r="R296" i="39"/>
  <c r="T296" i="39" s="1"/>
  <c r="O296" i="39"/>
  <c r="Q56" i="31"/>
  <c r="P56" i="31"/>
  <c r="M55" i="31"/>
  <c r="S56" i="31"/>
  <c r="AA327" i="39"/>
  <c r="AB327" i="39"/>
  <c r="P438" i="8"/>
  <c r="O438" i="8"/>
  <c r="T79" i="39"/>
  <c r="W79" i="39"/>
  <c r="Y79" i="39" s="1"/>
  <c r="AF79" i="39"/>
  <c r="V79" i="39"/>
  <c r="AA79" i="39"/>
  <c r="AB79" i="39"/>
  <c r="M15" i="11"/>
  <c r="P21" i="11"/>
  <c r="Q21" i="11"/>
  <c r="S21" i="11"/>
  <c r="Q44" i="5"/>
  <c r="R44" i="5"/>
  <c r="S119" i="39"/>
  <c r="AA121" i="39"/>
  <c r="AB121" i="39"/>
  <c r="Q1003" i="39"/>
  <c r="V1003" i="39"/>
  <c r="AF1003" i="39"/>
  <c r="W1003" i="39"/>
  <c r="Y1003" i="39" s="1"/>
  <c r="R1003" i="39"/>
  <c r="T1003" i="39" s="1"/>
  <c r="S358" i="3"/>
  <c r="T53" i="11"/>
  <c r="AG87" i="39"/>
  <c r="R198" i="3"/>
  <c r="S198" i="3"/>
  <c r="T60" i="18"/>
  <c r="M786" i="9"/>
  <c r="N786" i="9" s="1"/>
  <c r="N788" i="9"/>
  <c r="Q610" i="6"/>
  <c r="R612" i="6"/>
  <c r="S612" i="6"/>
  <c r="O956" i="7"/>
  <c r="P956" i="7"/>
  <c r="O557" i="7"/>
  <c r="P557" i="7"/>
  <c r="O954" i="7"/>
  <c r="P954" i="7"/>
  <c r="M720" i="7"/>
  <c r="N720" i="7" s="1"/>
  <c r="N722" i="7"/>
  <c r="P159" i="8"/>
  <c r="O159" i="8"/>
  <c r="P243" i="10"/>
  <c r="O243" i="10"/>
  <c r="O953" i="7"/>
  <c r="P953" i="7"/>
  <c r="O17" i="9"/>
  <c r="P17" i="9"/>
  <c r="N15" i="9"/>
  <c r="O724" i="7"/>
  <c r="P724" i="7"/>
  <c r="O405" i="9"/>
  <c r="P405" i="9"/>
  <c r="O157" i="8"/>
  <c r="P157" i="8"/>
  <c r="R157" i="8"/>
  <c r="L36" i="8"/>
  <c r="P606" i="9"/>
  <c r="O606" i="9"/>
  <c r="O969" i="9"/>
  <c r="P969" i="9"/>
  <c r="P203" i="10"/>
  <c r="O203" i="10"/>
  <c r="N40" i="8"/>
  <c r="M38" i="8"/>
  <c r="N38" i="8" s="1"/>
  <c r="M905" i="7"/>
  <c r="N907" i="7"/>
  <c r="H251" i="6"/>
  <c r="H718" i="6"/>
  <c r="H11" i="6"/>
  <c r="H9" i="6" s="1"/>
  <c r="N174" i="9"/>
  <c r="R174" i="9"/>
  <c r="M993" i="9"/>
  <c r="N993" i="9" s="1"/>
  <c r="N994" i="9"/>
  <c r="O944" i="7"/>
  <c r="P944" i="7"/>
  <c r="M922" i="10"/>
  <c r="N922" i="10" s="1"/>
  <c r="N924" i="10"/>
  <c r="P838" i="7"/>
  <c r="O838" i="7"/>
  <c r="P75" i="8"/>
  <c r="AC14" i="39"/>
  <c r="AA453" i="39"/>
  <c r="X452" i="39"/>
  <c r="Y453" i="39"/>
  <c r="AB453" i="39"/>
  <c r="O141" i="10"/>
  <c r="P141" i="10"/>
  <c r="P42" i="8"/>
  <c r="O42" i="8"/>
  <c r="P273" i="8"/>
  <c r="O273" i="8"/>
  <c r="M282" i="25"/>
  <c r="L280" i="25"/>
  <c r="M280" i="25" s="1"/>
  <c r="O942" i="7"/>
  <c r="P942" i="7"/>
  <c r="P314" i="8"/>
  <c r="O314" i="8"/>
  <c r="O176" i="9"/>
  <c r="P176" i="9"/>
  <c r="P996" i="9"/>
  <c r="O996" i="9"/>
  <c r="O926" i="10"/>
  <c r="P926" i="10"/>
  <c r="P409" i="7"/>
  <c r="O409" i="7"/>
  <c r="O836" i="7"/>
  <c r="P836" i="7"/>
  <c r="O139" i="10"/>
  <c r="P139" i="10"/>
  <c r="P941" i="7"/>
  <c r="O941" i="7"/>
  <c r="M310" i="8"/>
  <c r="N310" i="8" s="1"/>
  <c r="N312" i="8"/>
  <c r="P968" i="9"/>
  <c r="O968" i="9"/>
  <c r="K405" i="8"/>
  <c r="O407" i="8"/>
  <c r="P407" i="8"/>
  <c r="O77" i="8"/>
  <c r="P77" i="8"/>
  <c r="R146" i="6"/>
  <c r="S146" i="6"/>
  <c r="P535" i="7"/>
  <c r="O535" i="7"/>
  <c r="O57" i="8"/>
  <c r="K36" i="8"/>
  <c r="P57" i="8"/>
  <c r="P141" i="7"/>
  <c r="O141" i="7"/>
  <c r="P365" i="9"/>
  <c r="O365" i="9"/>
  <c r="P93" i="8"/>
  <c r="O93" i="8"/>
  <c r="O108" i="10"/>
  <c r="P799" i="7"/>
  <c r="O799" i="7"/>
  <c r="Q227" i="6"/>
  <c r="R228" i="6"/>
  <c r="S228" i="6"/>
  <c r="R520" i="6"/>
  <c r="S520" i="6"/>
  <c r="K36" i="7"/>
  <c r="O927" i="9"/>
  <c r="P927" i="9"/>
  <c r="O505" i="8"/>
  <c r="P505" i="8"/>
  <c r="P139" i="8"/>
  <c r="O139" i="8"/>
  <c r="R147" i="6"/>
  <c r="S147" i="6"/>
  <c r="O533" i="7"/>
  <c r="P533" i="7"/>
  <c r="P816" i="10"/>
  <c r="O816" i="10"/>
  <c r="O93" i="7"/>
  <c r="P93" i="7"/>
  <c r="O139" i="7"/>
  <c r="P139" i="7"/>
  <c r="R363" i="9"/>
  <c r="P363" i="9"/>
  <c r="O363" i="9"/>
  <c r="N91" i="8"/>
  <c r="O159" i="7"/>
  <c r="P159" i="7"/>
  <c r="O818" i="8"/>
  <c r="P818" i="8"/>
  <c r="O190" i="9"/>
  <c r="P190" i="9"/>
  <c r="O480" i="7"/>
  <c r="P480" i="7"/>
  <c r="I11" i="6"/>
  <c r="I9" i="6" s="1"/>
  <c r="O925" i="9"/>
  <c r="P925" i="9"/>
  <c r="P786" i="10"/>
  <c r="O786" i="10"/>
  <c r="R599" i="6"/>
  <c r="S599" i="6"/>
  <c r="P475" i="9"/>
  <c r="O475" i="9"/>
  <c r="P110" i="9"/>
  <c r="O110" i="9"/>
  <c r="P797" i="7"/>
  <c r="O797" i="7"/>
  <c r="P818" i="10"/>
  <c r="O818" i="10"/>
  <c r="N91" i="7"/>
  <c r="M36" i="7"/>
  <c r="P42" i="10"/>
  <c r="O42" i="10"/>
  <c r="P292" i="7"/>
  <c r="O292" i="7"/>
  <c r="O578" i="7"/>
  <c r="N553" i="7"/>
  <c r="P157" i="7"/>
  <c r="O157" i="7"/>
  <c r="O816" i="8"/>
  <c r="P816" i="8"/>
  <c r="R816" i="8"/>
  <c r="P192" i="9"/>
  <c r="O192" i="9"/>
  <c r="P19" i="7"/>
  <c r="O19" i="7"/>
  <c r="N17" i="7"/>
  <c r="P1028" i="10"/>
  <c r="O1028" i="10"/>
  <c r="N40" i="10"/>
  <c r="P520" i="9"/>
  <c r="O520" i="9"/>
  <c r="P952" i="9"/>
  <c r="O952" i="9"/>
  <c r="P214" i="8"/>
  <c r="O214" i="8"/>
  <c r="R243" i="6"/>
  <c r="S243" i="6"/>
  <c r="I718" i="6"/>
  <c r="P340" i="7"/>
  <c r="K338" i="7"/>
  <c r="O340" i="7"/>
  <c r="R784" i="10"/>
  <c r="O784" i="10"/>
  <c r="P784" i="10"/>
  <c r="P428" i="7"/>
  <c r="O428" i="7"/>
  <c r="S550" i="6"/>
  <c r="R550" i="6"/>
  <c r="Q549" i="6"/>
  <c r="M382" i="25"/>
  <c r="L366" i="25"/>
  <c r="O108" i="9"/>
  <c r="P108" i="9"/>
  <c r="O929" i="9"/>
  <c r="P929" i="9"/>
  <c r="M288" i="7"/>
  <c r="N288" i="7" s="1"/>
  <c r="N290" i="7"/>
  <c r="O1027" i="10"/>
  <c r="P1027" i="10"/>
  <c r="N38" i="10"/>
  <c r="P951" i="9"/>
  <c r="O951" i="9"/>
  <c r="R951" i="9"/>
  <c r="P216" i="8"/>
  <c r="O216" i="8"/>
  <c r="R396" i="19"/>
  <c r="Q396" i="19"/>
  <c r="S238" i="3"/>
  <c r="R238" i="3"/>
  <c r="R230" i="27"/>
  <c r="Q230" i="27"/>
  <c r="L10" i="27"/>
  <c r="P93" i="9"/>
  <c r="O93" i="9"/>
  <c r="R420" i="6"/>
  <c r="S420" i="6"/>
  <c r="S57" i="28"/>
  <c r="Q57" i="28"/>
  <c r="P57" i="28"/>
  <c r="P367" i="7"/>
  <c r="O367" i="7"/>
  <c r="Q58" i="11"/>
  <c r="J33" i="12"/>
  <c r="K33" i="12" s="1"/>
  <c r="S58" i="11"/>
  <c r="P58" i="11"/>
  <c r="S511" i="6"/>
  <c r="R511" i="6"/>
  <c r="V308" i="16"/>
  <c r="O295" i="16"/>
  <c r="Q237" i="3"/>
  <c r="F8" i="3"/>
  <c r="O108" i="8"/>
  <c r="P108" i="8"/>
  <c r="D35" i="21"/>
  <c r="P58" i="18"/>
  <c r="S58" i="18"/>
  <c r="Q58" i="18"/>
  <c r="H456" i="3"/>
  <c r="Q457" i="3"/>
  <c r="K251" i="6"/>
  <c r="K11" i="6"/>
  <c r="K9" i="6" s="1"/>
  <c r="P924" i="8"/>
  <c r="O924" i="8"/>
  <c r="S29" i="3"/>
  <c r="R29" i="3"/>
  <c r="P310" i="9"/>
  <c r="O310" i="9"/>
  <c r="S21" i="24"/>
  <c r="P21" i="24"/>
  <c r="O15" i="24"/>
  <c r="Q21" i="24"/>
  <c r="P278" i="7"/>
  <c r="O278" i="7"/>
  <c r="S356" i="3"/>
  <c r="R356" i="3"/>
  <c r="O42" i="9"/>
  <c r="P42" i="9"/>
  <c r="N91" i="9"/>
  <c r="M36" i="9"/>
  <c r="P234" i="10"/>
  <c r="O234" i="10"/>
  <c r="N675" i="4"/>
  <c r="O675" i="4"/>
  <c r="S444" i="6"/>
  <c r="Q442" i="6"/>
  <c r="R444" i="6"/>
  <c r="V308" i="19"/>
  <c r="O295" i="19"/>
  <c r="D457" i="3"/>
  <c r="D456" i="3" s="1"/>
  <c r="D427" i="3" s="1"/>
  <c r="R482" i="3"/>
  <c r="S482" i="3"/>
  <c r="K9" i="9"/>
  <c r="K1029" i="9"/>
  <c r="L8" i="13"/>
  <c r="M8" i="13"/>
  <c r="K11" i="13"/>
  <c r="S498" i="6"/>
  <c r="R498" i="6"/>
  <c r="N8" i="29"/>
  <c r="O578" i="8"/>
  <c r="P578" i="8"/>
  <c r="R578" i="8"/>
  <c r="S303" i="6"/>
  <c r="R303" i="6"/>
  <c r="S385" i="3"/>
  <c r="R385" i="3"/>
  <c r="S461" i="3"/>
  <c r="R461" i="3"/>
  <c r="R573" i="23"/>
  <c r="Q573" i="23"/>
  <c r="T309" i="5"/>
  <c r="O296" i="5"/>
  <c r="Q23" i="28"/>
  <c r="O17" i="28"/>
  <c r="P23" i="28"/>
  <c r="S23" i="28"/>
  <c r="T23" i="28" s="1"/>
  <c r="Q432" i="16"/>
  <c r="L430" i="16"/>
  <c r="R432" i="16"/>
  <c r="P673" i="9"/>
  <c r="O673" i="9"/>
  <c r="R560" i="19"/>
  <c r="L559" i="19"/>
  <c r="Q560" i="19"/>
  <c r="P234" i="9"/>
  <c r="O234" i="9"/>
  <c r="P119" i="39"/>
  <c r="Q121" i="39"/>
  <c r="R121" i="39"/>
  <c r="T121" i="39" s="1"/>
  <c r="V121" i="39"/>
  <c r="AF121" i="39"/>
  <c r="W121" i="39"/>
  <c r="Y121" i="39" s="1"/>
  <c r="O452" i="7"/>
  <c r="P452" i="7"/>
  <c r="S357" i="3"/>
  <c r="R357" i="3"/>
  <c r="O999" i="8"/>
  <c r="P999" i="8"/>
  <c r="O581" i="4"/>
  <c r="N581" i="4"/>
  <c r="O299" i="30"/>
  <c r="V312" i="30"/>
  <c r="G354" i="3"/>
  <c r="Q355" i="3"/>
  <c r="R204" i="30"/>
  <c r="L43" i="30"/>
  <c r="F37" i="1"/>
  <c r="P232" i="10"/>
  <c r="O232" i="10"/>
  <c r="M673" i="4"/>
  <c r="L671" i="4"/>
  <c r="L795" i="4"/>
  <c r="L441" i="27"/>
  <c r="Q443" i="27"/>
  <c r="R443" i="27"/>
  <c r="T58" i="20"/>
  <c r="M8" i="12"/>
  <c r="L8" i="12"/>
  <c r="K11" i="12"/>
  <c r="N9" i="29"/>
  <c r="L500" i="8"/>
  <c r="N500" i="8" s="1"/>
  <c r="N502" i="8"/>
  <c r="E272" i="6"/>
  <c r="Q273" i="6"/>
  <c r="P922" i="8"/>
  <c r="O922" i="8"/>
  <c r="N40" i="9"/>
  <c r="L38" i="9"/>
  <c r="S637" i="3"/>
  <c r="R637" i="3"/>
  <c r="O451" i="7"/>
  <c r="P451" i="7"/>
  <c r="L429" i="5"/>
  <c r="R431" i="5"/>
  <c r="Q431" i="5"/>
  <c r="T53" i="20"/>
  <c r="V634" i="39"/>
  <c r="AA634" i="39"/>
  <c r="AF634" i="39"/>
  <c r="S633" i="39"/>
  <c r="R441" i="23"/>
  <c r="L439" i="23"/>
  <c r="Q441" i="23"/>
  <c r="R441" i="30"/>
  <c r="Q441" i="30"/>
  <c r="L439" i="30"/>
  <c r="AC859" i="39"/>
  <c r="AB859" i="39"/>
  <c r="Y859" i="39"/>
  <c r="AA859" i="39"/>
  <c r="P789" i="3"/>
  <c r="P8" i="3"/>
  <c r="P232" i="9"/>
  <c r="O232" i="9"/>
  <c r="N280" i="4"/>
  <c r="O280" i="4"/>
  <c r="P998" i="8"/>
  <c r="O998" i="8"/>
  <c r="N582" i="4"/>
  <c r="O582" i="4"/>
  <c r="R200" i="16"/>
  <c r="L43" i="16"/>
  <c r="P174" i="10"/>
  <c r="O174" i="10"/>
  <c r="P8" i="30"/>
  <c r="S10" i="30"/>
  <c r="T10" i="30" s="1"/>
  <c r="M29" i="4"/>
  <c r="O66" i="4"/>
  <c r="N66" i="4"/>
  <c r="P403" i="9"/>
  <c r="O403" i="9"/>
  <c r="S93" i="39"/>
  <c r="V94" i="39"/>
  <c r="AF94" i="39"/>
  <c r="AA94" i="39"/>
  <c r="T94" i="39"/>
  <c r="AB94" i="39"/>
  <c r="V313" i="27"/>
  <c r="O300" i="27"/>
  <c r="N1011" i="10"/>
  <c r="M1010" i="10"/>
  <c r="F789" i="3"/>
  <c r="L447" i="7"/>
  <c r="N449" i="7"/>
  <c r="Q55" i="24"/>
  <c r="P55" i="24"/>
  <c r="S55" i="24"/>
  <c r="R188" i="6"/>
  <c r="S188" i="6"/>
  <c r="P10" i="23"/>
  <c r="R43" i="23"/>
  <c r="Q43" i="23"/>
  <c r="R429" i="19"/>
  <c r="Q429" i="19"/>
  <c r="L427" i="19"/>
  <c r="AG635" i="39"/>
  <c r="R358" i="3"/>
  <c r="S611" i="3"/>
  <c r="R611" i="3"/>
  <c r="V312" i="23"/>
  <c r="O299" i="23"/>
  <c r="P9" i="5"/>
  <c r="M363" i="7"/>
  <c r="N365" i="7"/>
  <c r="J614" i="4"/>
  <c r="N615" i="4"/>
  <c r="O615" i="4"/>
  <c r="K718" i="6"/>
  <c r="O865" i="9" l="1"/>
  <c r="P865" i="9"/>
  <c r="P665" i="10"/>
  <c r="O665" i="10"/>
  <c r="O863" i="9"/>
  <c r="P863" i="9"/>
  <c r="M732" i="10"/>
  <c r="N734" i="10"/>
  <c r="P312" i="7"/>
  <c r="O312" i="7"/>
  <c r="L627" i="7"/>
  <c r="N627" i="7" s="1"/>
  <c r="N629" i="7"/>
  <c r="O522" i="10"/>
  <c r="P522" i="10"/>
  <c r="P17" i="10"/>
  <c r="O17" i="10"/>
  <c r="M232" i="7"/>
  <c r="N232" i="7" s="1"/>
  <c r="N234" i="7"/>
  <c r="N502" i="10"/>
  <c r="L500" i="10"/>
  <c r="N500" i="10" s="1"/>
  <c r="M36" i="10"/>
  <c r="N36" i="10" s="1"/>
  <c r="O36" i="10" s="1"/>
  <c r="R310" i="7"/>
  <c r="P310" i="7"/>
  <c r="O310" i="7"/>
  <c r="P278" i="10"/>
  <c r="O278" i="10"/>
  <c r="O752" i="8"/>
  <c r="P752" i="8"/>
  <c r="P638" i="7"/>
  <c r="O638" i="7"/>
  <c r="N632" i="7"/>
  <c r="P752" i="10"/>
  <c r="O752" i="10"/>
  <c r="S753" i="10"/>
  <c r="Q10" i="23"/>
  <c r="O75" i="7"/>
  <c r="O754" i="10"/>
  <c r="P754" i="10"/>
  <c r="P318" i="7"/>
  <c r="O318" i="7"/>
  <c r="K1055" i="8"/>
  <c r="O1056" i="8"/>
  <c r="P1056" i="8"/>
  <c r="P110" i="10"/>
  <c r="O110" i="10"/>
  <c r="L38" i="7"/>
  <c r="N38" i="7" s="1"/>
  <c r="N40" i="7"/>
  <c r="P15" i="8"/>
  <c r="N13" i="8"/>
  <c r="O15" i="8"/>
  <c r="O42" i="7"/>
  <c r="P42" i="7"/>
  <c r="P447" i="10"/>
  <c r="K403" i="10"/>
  <c r="O447" i="10"/>
  <c r="M472" i="25"/>
  <c r="L471" i="25"/>
  <c r="P288" i="10"/>
  <c r="O288" i="10"/>
  <c r="M36" i="8"/>
  <c r="M473" i="29"/>
  <c r="L472" i="29"/>
  <c r="O157" i="9"/>
  <c r="P157" i="9"/>
  <c r="P290" i="10"/>
  <c r="O290" i="10"/>
  <c r="O159" i="9"/>
  <c r="P159" i="9"/>
  <c r="T28" i="31"/>
  <c r="AG471" i="39"/>
  <c r="J354" i="4"/>
  <c r="J353" i="4" s="1"/>
  <c r="N355" i="4"/>
  <c r="O355" i="4"/>
  <c r="S27" i="11"/>
  <c r="T27" i="11" s="1"/>
  <c r="P27" i="11"/>
  <c r="Q27" i="11"/>
  <c r="S67" i="20"/>
  <c r="T67" i="20" s="1"/>
  <c r="O66" i="20"/>
  <c r="O65" i="20" s="1"/>
  <c r="P27" i="31"/>
  <c r="Q27" i="31"/>
  <c r="S27" i="31"/>
  <c r="T27" i="31" s="1"/>
  <c r="T28" i="20"/>
  <c r="Q27" i="18"/>
  <c r="P27" i="18"/>
  <c r="S27" i="18"/>
  <c r="T27" i="18" s="1"/>
  <c r="R405" i="30"/>
  <c r="Q405" i="30"/>
  <c r="M15" i="24"/>
  <c r="Q27" i="24"/>
  <c r="S27" i="24"/>
  <c r="T27" i="24" s="1"/>
  <c r="P27" i="24"/>
  <c r="T28" i="11"/>
  <c r="R396" i="16"/>
  <c r="Q396" i="16"/>
  <c r="T21" i="31"/>
  <c r="S67" i="11"/>
  <c r="T67" i="11" s="1"/>
  <c r="O66" i="11"/>
  <c r="O65" i="11" s="1"/>
  <c r="Q407" i="27"/>
  <c r="R407" i="27"/>
  <c r="D16" i="26"/>
  <c r="E16" i="26" s="1"/>
  <c r="F16" i="26" s="1"/>
  <c r="E17" i="26"/>
  <c r="F17" i="26" s="1"/>
  <c r="N489" i="4"/>
  <c r="O489" i="4"/>
  <c r="J426" i="4"/>
  <c r="Q27" i="20"/>
  <c r="S27" i="20"/>
  <c r="T27" i="20" s="1"/>
  <c r="P27" i="20"/>
  <c r="T28" i="18"/>
  <c r="M15" i="18"/>
  <c r="Q405" i="23"/>
  <c r="R405" i="23"/>
  <c r="P29" i="28"/>
  <c r="S29" i="28"/>
  <c r="T29" i="28" s="1"/>
  <c r="Q29" i="28"/>
  <c r="M17" i="28"/>
  <c r="AG213" i="39"/>
  <c r="AG362" i="39"/>
  <c r="P16" i="18"/>
  <c r="Q16" i="18"/>
  <c r="S16" i="18"/>
  <c r="O572" i="39"/>
  <c r="R572" i="39"/>
  <c r="T572" i="39" s="1"/>
  <c r="Q572" i="39"/>
  <c r="Q16" i="20"/>
  <c r="O15" i="20"/>
  <c r="O8" i="20" s="1"/>
  <c r="E5" i="21" s="1"/>
  <c r="S16" i="20"/>
  <c r="T16" i="20" s="1"/>
  <c r="P16" i="20"/>
  <c r="S490" i="3"/>
  <c r="R490" i="3"/>
  <c r="P43" i="19"/>
  <c r="R55" i="19"/>
  <c r="Q55" i="19"/>
  <c r="O15" i="31"/>
  <c r="P16" i="31"/>
  <c r="P15" i="31" s="1"/>
  <c r="S16" i="31"/>
  <c r="Q16" i="31"/>
  <c r="O7" i="20"/>
  <c r="Q55" i="27"/>
  <c r="R55" i="27"/>
  <c r="Q229" i="39"/>
  <c r="O229" i="39"/>
  <c r="R229" i="39"/>
  <c r="T229" i="39" s="1"/>
  <c r="T18" i="18"/>
  <c r="N448" i="39"/>
  <c r="O448" i="39" s="1"/>
  <c r="O632" i="39"/>
  <c r="S16" i="24"/>
  <c r="Q16" i="24"/>
  <c r="P16" i="24"/>
  <c r="P43" i="27"/>
  <c r="AB262" i="39"/>
  <c r="AA262" i="39"/>
  <c r="W262" i="39"/>
  <c r="Y262" i="39" s="1"/>
  <c r="V262" i="39"/>
  <c r="AF262" i="39"/>
  <c r="O859" i="39"/>
  <c r="R859" i="39"/>
  <c r="T859" i="39" s="1"/>
  <c r="Q859" i="39"/>
  <c r="T18" i="20"/>
  <c r="Q437" i="39"/>
  <c r="R437" i="39"/>
  <c r="O437" i="39"/>
  <c r="AG891" i="39"/>
  <c r="P16" i="11"/>
  <c r="P15" i="11" s="1"/>
  <c r="S16" i="11"/>
  <c r="T16" i="11" s="1"/>
  <c r="Q16" i="11"/>
  <c r="O15" i="11"/>
  <c r="O8" i="11" s="1"/>
  <c r="T18" i="31"/>
  <c r="P15" i="24"/>
  <c r="Q18" i="28"/>
  <c r="P18" i="28"/>
  <c r="P17" i="28" s="1"/>
  <c r="S18" i="28"/>
  <c r="P450" i="39"/>
  <c r="V452" i="39"/>
  <c r="Q452" i="39"/>
  <c r="W452" i="39"/>
  <c r="AF452" i="39"/>
  <c r="AG452" i="39" s="1"/>
  <c r="R452" i="39"/>
  <c r="T452" i="39" s="1"/>
  <c r="AB229" i="39"/>
  <c r="AA229" i="39"/>
  <c r="Y229" i="39"/>
  <c r="AG264" i="39"/>
  <c r="O835" i="39"/>
  <c r="Q835" i="39"/>
  <c r="R835" i="39"/>
  <c r="T835" i="39" s="1"/>
  <c r="V889" i="39"/>
  <c r="AF889" i="39"/>
  <c r="W889" i="39"/>
  <c r="Y889" i="39" s="1"/>
  <c r="R889" i="39"/>
  <c r="T889" i="39" s="1"/>
  <c r="Q889" i="39"/>
  <c r="O194" i="8"/>
  <c r="P194" i="8"/>
  <c r="Q225" i="19"/>
  <c r="R225" i="19"/>
  <c r="L10" i="19"/>
  <c r="P448" i="39"/>
  <c r="Q632" i="39"/>
  <c r="R632" i="39"/>
  <c r="R574" i="30"/>
  <c r="L573" i="30"/>
  <c r="Q574" i="30"/>
  <c r="R391" i="39"/>
  <c r="T391" i="39" s="1"/>
  <c r="W391" i="39"/>
  <c r="Y391" i="39" s="1"/>
  <c r="AF391" i="39"/>
  <c r="Q391" i="39"/>
  <c r="V391" i="39"/>
  <c r="N68" i="18"/>
  <c r="N66" i="18" s="1"/>
  <c r="N65" i="18" s="1"/>
  <c r="V432" i="16"/>
  <c r="N66" i="28"/>
  <c r="N64" i="28" s="1"/>
  <c r="N63" i="28" s="1"/>
  <c r="O430" i="16"/>
  <c r="N64" i="31"/>
  <c r="N62" i="31" s="1"/>
  <c r="N61" i="31" s="1"/>
  <c r="N64" i="24"/>
  <c r="N62" i="24" s="1"/>
  <c r="N61" i="24" s="1"/>
  <c r="AF296" i="39"/>
  <c r="V296" i="39"/>
  <c r="W211" i="39"/>
  <c r="Y211" i="39" s="1"/>
  <c r="AB211" i="39"/>
  <c r="AF211" i="39"/>
  <c r="V211" i="39"/>
  <c r="AA211" i="39"/>
  <c r="O723" i="39"/>
  <c r="Q723" i="39"/>
  <c r="N427" i="39"/>
  <c r="R229" i="30"/>
  <c r="Q229" i="30"/>
  <c r="S52" i="20"/>
  <c r="Q52" i="20"/>
  <c r="M43" i="20"/>
  <c r="M8" i="20" s="1"/>
  <c r="P586" i="9"/>
  <c r="O586" i="9"/>
  <c r="T415" i="5"/>
  <c r="N60" i="31"/>
  <c r="N55" i="31" s="1"/>
  <c r="N63" i="11"/>
  <c r="N58" i="11" s="1"/>
  <c r="N63" i="18"/>
  <c r="N60" i="24"/>
  <c r="N63" i="20"/>
  <c r="N62" i="28"/>
  <c r="AF327" i="39"/>
  <c r="AG327" i="39" s="1"/>
  <c r="W327" i="39"/>
  <c r="Y327" i="39" s="1"/>
  <c r="V327" i="39"/>
  <c r="AG773" i="39"/>
  <c r="T56" i="31"/>
  <c r="M354" i="4"/>
  <c r="L353" i="4"/>
  <c r="M353" i="4" s="1"/>
  <c r="M190" i="8"/>
  <c r="N190" i="8" s="1"/>
  <c r="N192" i="8"/>
  <c r="R576" i="27"/>
  <c r="L575" i="27"/>
  <c r="Q576" i="27"/>
  <c r="O931" i="39"/>
  <c r="Q931" i="39"/>
  <c r="R931" i="39"/>
  <c r="T931" i="39" s="1"/>
  <c r="AG314" i="39"/>
  <c r="R312" i="39"/>
  <c r="T312" i="39" s="1"/>
  <c r="Q312" i="39"/>
  <c r="W312" i="39"/>
  <c r="Y312" i="39" s="1"/>
  <c r="V312" i="39"/>
  <c r="AF312" i="39"/>
  <c r="AG485" i="39"/>
  <c r="AG393" i="39"/>
  <c r="T211" i="39"/>
  <c r="N13" i="10"/>
  <c r="O15" i="10"/>
  <c r="P15" i="10"/>
  <c r="V360" i="39"/>
  <c r="AF360" i="39"/>
  <c r="R360" i="39"/>
  <c r="T360" i="39" s="1"/>
  <c r="Q360" i="39"/>
  <c r="W360" i="39"/>
  <c r="Q55" i="16"/>
  <c r="R55" i="16"/>
  <c r="P43" i="16"/>
  <c r="P10" i="16" s="1"/>
  <c r="P8" i="16" s="1"/>
  <c r="M43" i="11"/>
  <c r="Q52" i="11"/>
  <c r="S52" i="11"/>
  <c r="P52" i="18"/>
  <c r="P52" i="20"/>
  <c r="P52" i="11"/>
  <c r="O1031" i="8"/>
  <c r="P1031" i="8"/>
  <c r="AG329" i="39"/>
  <c r="P861" i="7"/>
  <c r="O861" i="7"/>
  <c r="O438" i="10"/>
  <c r="P438" i="10"/>
  <c r="P50" i="31"/>
  <c r="T54" i="31" s="1"/>
  <c r="M42" i="31"/>
  <c r="Q50" i="31"/>
  <c r="N55" i="24"/>
  <c r="N58" i="18"/>
  <c r="AG68" i="39"/>
  <c r="N384" i="4"/>
  <c r="O384" i="4"/>
  <c r="M363" i="8"/>
  <c r="N363" i="8" s="1"/>
  <c r="N365" i="8"/>
  <c r="AB1003" i="39"/>
  <c r="AA1003" i="39"/>
  <c r="P1079" i="10"/>
  <c r="O1079" i="10"/>
  <c r="L455" i="4"/>
  <c r="M456" i="4"/>
  <c r="O327" i="39"/>
  <c r="Q327" i="39"/>
  <c r="R327" i="39"/>
  <c r="T327" i="39" s="1"/>
  <c r="L887" i="7"/>
  <c r="N887" i="7" s="1"/>
  <c r="N888" i="7"/>
  <c r="O1077" i="10"/>
  <c r="P1077" i="10"/>
  <c r="N197" i="4"/>
  <c r="O197" i="4"/>
  <c r="O21" i="18"/>
  <c r="P22" i="18"/>
  <c r="T22" i="18" s="1"/>
  <c r="Q22" i="18"/>
  <c r="Q52" i="18"/>
  <c r="S52" i="18"/>
  <c r="T52" i="18" s="1"/>
  <c r="M43" i="18"/>
  <c r="P1030" i="8"/>
  <c r="O1030" i="8"/>
  <c r="X360" i="39"/>
  <c r="AA362" i="39"/>
  <c r="AB362" i="39"/>
  <c r="O859" i="7"/>
  <c r="P859" i="7"/>
  <c r="Q211" i="39"/>
  <c r="O211" i="39"/>
  <c r="M42" i="24"/>
  <c r="Q50" i="24"/>
  <c r="P50" i="24"/>
  <c r="T54" i="24" s="1"/>
  <c r="M845" i="10"/>
  <c r="N845" i="10" s="1"/>
  <c r="N847" i="10"/>
  <c r="S427" i="39"/>
  <c r="AB427" i="39" s="1"/>
  <c r="W437" i="39"/>
  <c r="Y437" i="39" s="1"/>
  <c r="AA437" i="39"/>
  <c r="AB437" i="39"/>
  <c r="AF437" i="39"/>
  <c r="T437" i="39"/>
  <c r="V437" i="39"/>
  <c r="M8" i="31"/>
  <c r="O863" i="7"/>
  <c r="P863" i="7"/>
  <c r="P367" i="8"/>
  <c r="O367" i="8"/>
  <c r="W450" i="39"/>
  <c r="V450" i="39"/>
  <c r="AF450" i="39"/>
  <c r="K190" i="10"/>
  <c r="O192" i="10"/>
  <c r="P192" i="10"/>
  <c r="O460" i="4"/>
  <c r="N460" i="4"/>
  <c r="O1076" i="10"/>
  <c r="P1076" i="10"/>
  <c r="O196" i="4"/>
  <c r="N196" i="4"/>
  <c r="V429" i="19"/>
  <c r="O427" i="19"/>
  <c r="R226" i="5"/>
  <c r="Q226" i="5"/>
  <c r="Q11" i="5" s="1"/>
  <c r="L11" i="5"/>
  <c r="R11" i="5" s="1"/>
  <c r="O588" i="9"/>
  <c r="P588" i="9"/>
  <c r="Q225" i="16"/>
  <c r="R225" i="16"/>
  <c r="P52" i="28"/>
  <c r="T56" i="28" s="1"/>
  <c r="M44" i="28"/>
  <c r="Q52" i="28"/>
  <c r="Q562" i="5"/>
  <c r="R562" i="5"/>
  <c r="L561" i="5"/>
  <c r="N58" i="20"/>
  <c r="N57" i="28"/>
  <c r="AG439" i="39"/>
  <c r="V633" i="39"/>
  <c r="AA852" i="39"/>
  <c r="Y852" i="39"/>
  <c r="AB852" i="39"/>
  <c r="X837" i="39"/>
  <c r="Y685" i="39"/>
  <c r="W633" i="39"/>
  <c r="Y633" i="39" s="1"/>
  <c r="AG685" i="39"/>
  <c r="L849" i="29"/>
  <c r="L367" i="29"/>
  <c r="M368" i="29"/>
  <c r="S257" i="6"/>
  <c r="R257" i="6"/>
  <c r="O974" i="10"/>
  <c r="P974" i="10"/>
  <c r="P310" i="10"/>
  <c r="O310" i="10"/>
  <c r="E253" i="6"/>
  <c r="Q255" i="6"/>
  <c r="L363" i="10"/>
  <c r="N365" i="10"/>
  <c r="O312" i="10"/>
  <c r="P312" i="10"/>
  <c r="O77" i="7"/>
  <c r="P77" i="7"/>
  <c r="O367" i="10"/>
  <c r="P367" i="10"/>
  <c r="O285" i="39"/>
  <c r="Q285" i="39"/>
  <c r="N10" i="39"/>
  <c r="P1053" i="10"/>
  <c r="O1053" i="10"/>
  <c r="P44" i="39"/>
  <c r="R44" i="39" s="1"/>
  <c r="Q66" i="39"/>
  <c r="Q44" i="39" s="1"/>
  <c r="R66" i="39"/>
  <c r="T66" i="39" s="1"/>
  <c r="V66" i="39"/>
  <c r="W66" i="39"/>
  <c r="AF66" i="39"/>
  <c r="O438" i="30"/>
  <c r="V438" i="30" s="1"/>
  <c r="V439" i="30"/>
  <c r="R564" i="16"/>
  <c r="Q564" i="16"/>
  <c r="P1052" i="10"/>
  <c r="O1052" i="10"/>
  <c r="AG906" i="39"/>
  <c r="AG121" i="39"/>
  <c r="T57" i="28"/>
  <c r="T21" i="11"/>
  <c r="R67" i="39"/>
  <c r="T67" i="39" s="1"/>
  <c r="Q67" i="39"/>
  <c r="V67" i="39"/>
  <c r="W67" i="39"/>
  <c r="Y67" i="39" s="1"/>
  <c r="AF67" i="39"/>
  <c r="O477" i="9"/>
  <c r="P477" i="9"/>
  <c r="S644" i="6"/>
  <c r="R644" i="6"/>
  <c r="O1006" i="9"/>
  <c r="P1006" i="9"/>
  <c r="L190" i="7"/>
  <c r="N190" i="7" s="1"/>
  <c r="N192" i="7"/>
  <c r="O940" i="9"/>
  <c r="P940" i="9"/>
  <c r="P541" i="9"/>
  <c r="O541" i="9"/>
  <c r="O939" i="9"/>
  <c r="P939" i="9"/>
  <c r="P539" i="9"/>
  <c r="O539" i="9"/>
  <c r="R539" i="9"/>
  <c r="O263" i="10"/>
  <c r="P263" i="10"/>
  <c r="O481" i="10"/>
  <c r="P481" i="10"/>
  <c r="P1008" i="9"/>
  <c r="O1008" i="9"/>
  <c r="P411" i="9"/>
  <c r="N409" i="9"/>
  <c r="O411" i="9"/>
  <c r="O1005" i="9"/>
  <c r="P1005" i="9"/>
  <c r="O194" i="7"/>
  <c r="P194" i="7"/>
  <c r="K11" i="8"/>
  <c r="AG634" i="39"/>
  <c r="S197" i="3"/>
  <c r="R197" i="3"/>
  <c r="T21" i="20"/>
  <c r="P15" i="20"/>
  <c r="J30" i="12"/>
  <c r="K30" i="12" s="1"/>
  <c r="Q15" i="11"/>
  <c r="S15" i="11"/>
  <c r="AG79" i="39"/>
  <c r="AG1003" i="39"/>
  <c r="AA119" i="39"/>
  <c r="AB119" i="39"/>
  <c r="S55" i="31"/>
  <c r="Q55" i="31"/>
  <c r="P55" i="31"/>
  <c r="M8" i="11"/>
  <c r="S15" i="20"/>
  <c r="Q15" i="20"/>
  <c r="R610" i="6"/>
  <c r="S610" i="6"/>
  <c r="P15" i="9"/>
  <c r="O15" i="9"/>
  <c r="N13" i="9"/>
  <c r="P722" i="7"/>
  <c r="O722" i="7"/>
  <c r="P788" i="9"/>
  <c r="O788" i="9"/>
  <c r="P720" i="7"/>
  <c r="O720" i="7"/>
  <c r="O786" i="9"/>
  <c r="P786" i="9"/>
  <c r="Y452" i="39"/>
  <c r="AB452" i="39"/>
  <c r="AA452" i="39"/>
  <c r="AC450" i="39"/>
  <c r="X450" i="39"/>
  <c r="O994" i="9"/>
  <c r="P994" i="9"/>
  <c r="N905" i="7"/>
  <c r="M904" i="7"/>
  <c r="N904" i="7" s="1"/>
  <c r="P993" i="9"/>
  <c r="O993" i="9"/>
  <c r="O38" i="8"/>
  <c r="P38" i="8"/>
  <c r="K11" i="7"/>
  <c r="P312" i="8"/>
  <c r="O312" i="8"/>
  <c r="AC18" i="39"/>
  <c r="AC16" i="39"/>
  <c r="O924" i="10"/>
  <c r="P924" i="10"/>
  <c r="P40" i="8"/>
  <c r="O40" i="8"/>
  <c r="O405" i="8"/>
  <c r="K403" i="8"/>
  <c r="P405" i="8"/>
  <c r="O310" i="8"/>
  <c r="P310" i="8"/>
  <c r="R310" i="8"/>
  <c r="O922" i="10"/>
  <c r="P922" i="10"/>
  <c r="O174" i="9"/>
  <c r="P174" i="9"/>
  <c r="P907" i="7"/>
  <c r="O907" i="7"/>
  <c r="N36" i="8"/>
  <c r="N11" i="8" s="1"/>
  <c r="N1091" i="8" s="1"/>
  <c r="P36" i="10"/>
  <c r="P38" i="10"/>
  <c r="O38" i="10"/>
  <c r="P290" i="7"/>
  <c r="O290" i="7"/>
  <c r="O40" i="10"/>
  <c r="P40" i="10"/>
  <c r="O553" i="7"/>
  <c r="P553" i="7"/>
  <c r="O91" i="8"/>
  <c r="P91" i="8"/>
  <c r="R91" i="8"/>
  <c r="O17" i="7"/>
  <c r="P17" i="7"/>
  <c r="N15" i="7"/>
  <c r="P288" i="7"/>
  <c r="O288" i="7"/>
  <c r="S549" i="6"/>
  <c r="R549" i="6"/>
  <c r="O38" i="7"/>
  <c r="P38" i="7"/>
  <c r="M366" i="25"/>
  <c r="L365" i="25"/>
  <c r="O338" i="7"/>
  <c r="P338" i="7"/>
  <c r="P91" i="7"/>
  <c r="O91" i="7"/>
  <c r="S227" i="6"/>
  <c r="R227" i="6"/>
  <c r="N1010" i="10"/>
  <c r="M11" i="10"/>
  <c r="V300" i="27"/>
  <c r="O230" i="27"/>
  <c r="L10" i="30"/>
  <c r="R43" i="30"/>
  <c r="Q43" i="30"/>
  <c r="Q10" i="30" s="1"/>
  <c r="Q430" i="16"/>
  <c r="Q429" i="16" s="1"/>
  <c r="L429" i="16"/>
  <c r="R429" i="16" s="1"/>
  <c r="R430" i="16"/>
  <c r="L33" i="12"/>
  <c r="M33" i="12"/>
  <c r="N614" i="4"/>
  <c r="J792" i="4"/>
  <c r="O614" i="4"/>
  <c r="J8" i="4"/>
  <c r="P8" i="23"/>
  <c r="N849" i="25"/>
  <c r="R10" i="23"/>
  <c r="T55" i="24"/>
  <c r="N447" i="7"/>
  <c r="P1011" i="10"/>
  <c r="O1011" i="10"/>
  <c r="AG94" i="39"/>
  <c r="O29" i="4"/>
  <c r="N29" i="4"/>
  <c r="R439" i="23"/>
  <c r="Q439" i="23"/>
  <c r="Q438" i="23" s="1"/>
  <c r="L438" i="23"/>
  <c r="P68" i="20"/>
  <c r="P66" i="20" s="1"/>
  <c r="P68" i="11"/>
  <c r="P66" i="11" s="1"/>
  <c r="P40" i="9"/>
  <c r="O40" i="9"/>
  <c r="R273" i="6"/>
  <c r="S273" i="6"/>
  <c r="O9" i="29"/>
  <c r="P9" i="29" s="1"/>
  <c r="N849" i="29"/>
  <c r="N850" i="29" s="1"/>
  <c r="O74" i="11"/>
  <c r="O7" i="11"/>
  <c r="P66" i="28"/>
  <c r="P64" i="28" s="1"/>
  <c r="P68" i="18"/>
  <c r="P66" i="18" s="1"/>
  <c r="P64" i="24"/>
  <c r="P62" i="24" s="1"/>
  <c r="P64" i="31"/>
  <c r="P62" i="31" s="1"/>
  <c r="N52" i="24"/>
  <c r="N42" i="24" s="1"/>
  <c r="N8" i="24" s="1"/>
  <c r="N52" i="31"/>
  <c r="N42" i="31" s="1"/>
  <c r="N8" i="31" s="1"/>
  <c r="O226" i="5"/>
  <c r="N54" i="28"/>
  <c r="N44" i="28" s="1"/>
  <c r="N10" i="28" s="1"/>
  <c r="N52" i="11"/>
  <c r="N43" i="11" s="1"/>
  <c r="N8" i="11" s="1"/>
  <c r="N52" i="20"/>
  <c r="N43" i="20" s="1"/>
  <c r="N8" i="20" s="1"/>
  <c r="T296" i="5"/>
  <c r="N52" i="18"/>
  <c r="N43" i="18" s="1"/>
  <c r="N8" i="18" s="1"/>
  <c r="M11" i="9"/>
  <c r="Q15" i="24"/>
  <c r="S15" i="24"/>
  <c r="T15" i="24" s="1"/>
  <c r="O8" i="24"/>
  <c r="S237" i="3"/>
  <c r="R237" i="3"/>
  <c r="M30" i="12"/>
  <c r="L30" i="12"/>
  <c r="R500" i="8"/>
  <c r="P500" i="8"/>
  <c r="O500" i="8"/>
  <c r="R559" i="19"/>
  <c r="Q559" i="19"/>
  <c r="Q17" i="28"/>
  <c r="O10" i="28"/>
  <c r="S17" i="28"/>
  <c r="P365" i="7"/>
  <c r="O365" i="7"/>
  <c r="R355" i="3"/>
  <c r="S355" i="3"/>
  <c r="L11" i="8"/>
  <c r="O8" i="29"/>
  <c r="P8" i="29" s="1"/>
  <c r="N846" i="29"/>
  <c r="O846" i="29" s="1"/>
  <c r="P846" i="29" s="1"/>
  <c r="M11" i="13"/>
  <c r="L11" i="13"/>
  <c r="L12" i="13" s="1"/>
  <c r="K12" i="13"/>
  <c r="D789" i="3"/>
  <c r="D8" i="3"/>
  <c r="R442" i="6"/>
  <c r="S442" i="6"/>
  <c r="P91" i="9"/>
  <c r="O91" i="9"/>
  <c r="S457" i="3"/>
  <c r="R457" i="3"/>
  <c r="O225" i="16"/>
  <c r="V295" i="16"/>
  <c r="R427" i="19"/>
  <c r="L426" i="19"/>
  <c r="Q427" i="19"/>
  <c r="Q426" i="19" s="1"/>
  <c r="P449" i="7"/>
  <c r="O449" i="7"/>
  <c r="L438" i="30"/>
  <c r="R438" i="30" s="1"/>
  <c r="Q439" i="30"/>
  <c r="R439" i="30"/>
  <c r="S632" i="39"/>
  <c r="AF633" i="39"/>
  <c r="AB633" i="39"/>
  <c r="AA633" i="39"/>
  <c r="N38" i="9"/>
  <c r="L36" i="9"/>
  <c r="L11" i="9" s="1"/>
  <c r="W119" i="39"/>
  <c r="Y119" i="39" s="1"/>
  <c r="P10" i="39"/>
  <c r="R119" i="39"/>
  <c r="T119" i="39" s="1"/>
  <c r="AF119" i="39"/>
  <c r="Q119" i="39"/>
  <c r="V119" i="39"/>
  <c r="AC121" i="39" s="1"/>
  <c r="E7" i="21"/>
  <c r="O74" i="20"/>
  <c r="O229" i="23"/>
  <c r="V299" i="23"/>
  <c r="L10" i="16"/>
  <c r="L573" i="16"/>
  <c r="L575" i="16" s="1"/>
  <c r="R43" i="16"/>
  <c r="Q43" i="16"/>
  <c r="Q10" i="16" s="1"/>
  <c r="Q8" i="16" s="1"/>
  <c r="E251" i="6"/>
  <c r="Q251" i="6" s="1"/>
  <c r="Q272" i="6"/>
  <c r="E718" i="6"/>
  <c r="Q718" i="6" s="1"/>
  <c r="E11" i="6"/>
  <c r="L440" i="27"/>
  <c r="Q441" i="27"/>
  <c r="R441" i="27"/>
  <c r="M671" i="4"/>
  <c r="N363" i="7"/>
  <c r="M11" i="7"/>
  <c r="Q8" i="23"/>
  <c r="AF93" i="39"/>
  <c r="V93" i="39"/>
  <c r="V44" i="39" s="1"/>
  <c r="AA93" i="39"/>
  <c r="AB93" i="39"/>
  <c r="T93" i="39"/>
  <c r="T44" i="39" s="1"/>
  <c r="S44" i="39"/>
  <c r="M68" i="18"/>
  <c r="M68" i="11"/>
  <c r="M68" i="20"/>
  <c r="M66" i="28"/>
  <c r="L428" i="5"/>
  <c r="M64" i="31"/>
  <c r="M64" i="24"/>
  <c r="Q429" i="5"/>
  <c r="R429" i="5"/>
  <c r="O502" i="8"/>
  <c r="P502" i="8"/>
  <c r="L11" i="12"/>
  <c r="K12" i="12"/>
  <c r="M11" i="12"/>
  <c r="O673" i="4"/>
  <c r="N673" i="4"/>
  <c r="Q354" i="3"/>
  <c r="G789" i="3"/>
  <c r="G8" i="3"/>
  <c r="O229" i="30"/>
  <c r="V299" i="30"/>
  <c r="O225" i="19"/>
  <c r="V295" i="19"/>
  <c r="T21" i="24"/>
  <c r="H427" i="3"/>
  <c r="Q456" i="3"/>
  <c r="T58" i="18"/>
  <c r="T58" i="11"/>
  <c r="L8" i="27"/>
  <c r="L36" i="7" l="1"/>
  <c r="N36" i="7" s="1"/>
  <c r="P734" i="10"/>
  <c r="O734" i="10"/>
  <c r="N732" i="10"/>
  <c r="R743" i="10"/>
  <c r="O500" i="10"/>
  <c r="P500" i="10"/>
  <c r="P632" i="7"/>
  <c r="O632" i="7"/>
  <c r="O502" i="10"/>
  <c r="P502" i="10"/>
  <c r="O627" i="7"/>
  <c r="P627" i="7"/>
  <c r="O629" i="7"/>
  <c r="P629" i="7"/>
  <c r="P234" i="7"/>
  <c r="O234" i="7"/>
  <c r="P232" i="7"/>
  <c r="O232" i="7"/>
  <c r="P40" i="7"/>
  <c r="O40" i="7"/>
  <c r="O13" i="8"/>
  <c r="P13" i="8"/>
  <c r="P1055" i="8"/>
  <c r="O1055" i="8"/>
  <c r="P403" i="10"/>
  <c r="O403" i="10"/>
  <c r="M471" i="25"/>
  <c r="M442" i="25" s="1"/>
  <c r="O442" i="25" s="1"/>
  <c r="L442" i="25"/>
  <c r="M472" i="29"/>
  <c r="M443" i="29" s="1"/>
  <c r="L443" i="29"/>
  <c r="L11" i="7"/>
  <c r="L9" i="7" s="1"/>
  <c r="M11" i="8"/>
  <c r="AG633" i="39"/>
  <c r="D7" i="26"/>
  <c r="Q43" i="27"/>
  <c r="Q10" i="27" s="1"/>
  <c r="P10" i="27"/>
  <c r="R43" i="27"/>
  <c r="P10" i="19"/>
  <c r="P8" i="19" s="1"/>
  <c r="R43" i="19"/>
  <c r="Q43" i="19"/>
  <c r="T17" i="28"/>
  <c r="R10" i="19"/>
  <c r="Q450" i="39"/>
  <c r="R450" i="39"/>
  <c r="T450" i="39" s="1"/>
  <c r="O8" i="31"/>
  <c r="Q15" i="31"/>
  <c r="T15" i="20"/>
  <c r="T15" i="11"/>
  <c r="AG360" i="39"/>
  <c r="AG312" i="39"/>
  <c r="T18" i="28"/>
  <c r="T16" i="18"/>
  <c r="AG437" i="39"/>
  <c r="Q10" i="19"/>
  <c r="Q8" i="19" s="1"/>
  <c r="AG889" i="39"/>
  <c r="AG262" i="39"/>
  <c r="T16" i="24"/>
  <c r="T16" i="31"/>
  <c r="S15" i="31"/>
  <c r="T15" i="31" s="1"/>
  <c r="AG67" i="39"/>
  <c r="O426" i="19"/>
  <c r="V426" i="19" s="1"/>
  <c r="V427" i="19"/>
  <c r="O190" i="10"/>
  <c r="P190" i="10"/>
  <c r="K11" i="10"/>
  <c r="P8" i="31"/>
  <c r="Q8" i="31"/>
  <c r="S8" i="31"/>
  <c r="P845" i="10"/>
  <c r="O845" i="10"/>
  <c r="M8" i="24"/>
  <c r="S8" i="24" s="1"/>
  <c r="P42" i="24"/>
  <c r="Q42" i="24"/>
  <c r="S42" i="24"/>
  <c r="T42" i="24" s="1"/>
  <c r="O888" i="7"/>
  <c r="P888" i="7"/>
  <c r="O363" i="8"/>
  <c r="P363" i="8"/>
  <c r="S42" i="31"/>
  <c r="P42" i="31"/>
  <c r="Q42" i="31"/>
  <c r="T52" i="11"/>
  <c r="Q575" i="27"/>
  <c r="R575" i="27"/>
  <c r="O353" i="4"/>
  <c r="N353" i="4"/>
  <c r="P43" i="20"/>
  <c r="S43" i="20"/>
  <c r="Q43" i="20"/>
  <c r="AG391" i="39"/>
  <c r="R573" i="30"/>
  <c r="Q573" i="30"/>
  <c r="Q448" i="39"/>
  <c r="R448" i="39"/>
  <c r="Q440" i="27"/>
  <c r="Q8" i="27" s="1"/>
  <c r="Q438" i="30"/>
  <c r="P68" i="31"/>
  <c r="P72" i="11"/>
  <c r="P72" i="20"/>
  <c r="P70" i="28"/>
  <c r="P68" i="24"/>
  <c r="P72" i="18"/>
  <c r="AG450" i="39"/>
  <c r="O887" i="7"/>
  <c r="P887" i="7"/>
  <c r="O456" i="4"/>
  <c r="N456" i="4"/>
  <c r="O13" i="10"/>
  <c r="P13" i="10"/>
  <c r="O354" i="4"/>
  <c r="N354" i="4"/>
  <c r="R427" i="39"/>
  <c r="T427" i="39" s="1"/>
  <c r="Q427" i="39"/>
  <c r="O427" i="39"/>
  <c r="T55" i="31"/>
  <c r="V427" i="39"/>
  <c r="W427" i="39"/>
  <c r="Y427" i="39" s="1"/>
  <c r="AF427" i="39"/>
  <c r="Q43" i="18"/>
  <c r="S43" i="18"/>
  <c r="M8" i="18"/>
  <c r="D34" i="21" s="1"/>
  <c r="P43" i="18"/>
  <c r="L426" i="4"/>
  <c r="M455" i="4"/>
  <c r="J32" i="12"/>
  <c r="K32" i="12" s="1"/>
  <c r="P43" i="11"/>
  <c r="Q43" i="11"/>
  <c r="S43" i="11"/>
  <c r="Y360" i="39"/>
  <c r="O192" i="8"/>
  <c r="P192" i="8"/>
  <c r="T52" i="20"/>
  <c r="AG211" i="39"/>
  <c r="AG296" i="39"/>
  <c r="O429" i="16"/>
  <c r="V429" i="16" s="1"/>
  <c r="V430" i="16"/>
  <c r="Q561" i="5"/>
  <c r="Q428" i="5" s="1"/>
  <c r="Q9" i="5" s="1"/>
  <c r="R561" i="5"/>
  <c r="M10" i="28"/>
  <c r="Q10" i="28" s="1"/>
  <c r="Q44" i="28"/>
  <c r="P44" i="28"/>
  <c r="S44" i="28"/>
  <c r="O847" i="10"/>
  <c r="P847" i="10"/>
  <c r="AA360" i="39"/>
  <c r="AB360" i="39"/>
  <c r="P21" i="18"/>
  <c r="P15" i="18" s="1"/>
  <c r="Q21" i="18"/>
  <c r="S21" i="18"/>
  <c r="O15" i="18"/>
  <c r="P365" i="8"/>
  <c r="O365" i="8"/>
  <c r="R190" i="8"/>
  <c r="P190" i="8"/>
  <c r="O190" i="8"/>
  <c r="AA427" i="39"/>
  <c r="AB837" i="39"/>
  <c r="AA837" i="39"/>
  <c r="X835" i="39"/>
  <c r="Y837" i="39"/>
  <c r="N363" i="10"/>
  <c r="L11" i="10"/>
  <c r="R255" i="6"/>
  <c r="Q253" i="6"/>
  <c r="S255" i="6"/>
  <c r="M367" i="29"/>
  <c r="L366" i="29"/>
  <c r="O365" i="10"/>
  <c r="P365" i="10"/>
  <c r="N1069" i="39"/>
  <c r="O1069" i="39" s="1"/>
  <c r="O10" i="39"/>
  <c r="O9" i="39" s="1"/>
  <c r="N9" i="39"/>
  <c r="AG66" i="39"/>
  <c r="W44" i="39"/>
  <c r="Y44" i="39" s="1"/>
  <c r="Y66" i="39"/>
  <c r="O192" i="7"/>
  <c r="P192" i="7"/>
  <c r="P190" i="7"/>
  <c r="O190" i="7"/>
  <c r="P409" i="9"/>
  <c r="N407" i="9"/>
  <c r="O409" i="9"/>
  <c r="K9" i="8"/>
  <c r="K1091" i="8"/>
  <c r="P1091" i="8" s="1"/>
  <c r="Q8" i="30"/>
  <c r="S8" i="11"/>
  <c r="P8" i="11"/>
  <c r="Q8" i="11"/>
  <c r="S8" i="20"/>
  <c r="Q8" i="20"/>
  <c r="D5" i="21"/>
  <c r="P8" i="20"/>
  <c r="P11" i="8"/>
  <c r="P13" i="9"/>
  <c r="O13" i="9"/>
  <c r="O403" i="8"/>
  <c r="P403" i="8"/>
  <c r="P905" i="7"/>
  <c r="O905" i="7"/>
  <c r="K965" i="7"/>
  <c r="K9" i="7"/>
  <c r="P904" i="7"/>
  <c r="O904" i="7"/>
  <c r="AB450" i="39"/>
  <c r="X448" i="39"/>
  <c r="AA450" i="39"/>
  <c r="Y450" i="39"/>
  <c r="M365" i="25"/>
  <c r="M845" i="25" s="1"/>
  <c r="L845" i="25"/>
  <c r="O36" i="8"/>
  <c r="O11" i="8"/>
  <c r="R36" i="8"/>
  <c r="O36" i="7"/>
  <c r="P36" i="7"/>
  <c r="P36" i="8"/>
  <c r="O15" i="7"/>
  <c r="N13" i="7"/>
  <c r="P15" i="7"/>
  <c r="H789" i="3"/>
  <c r="H8" i="3"/>
  <c r="Q8" i="3" s="1"/>
  <c r="S718" i="6"/>
  <c r="R718" i="6"/>
  <c r="AF632" i="39"/>
  <c r="S448" i="39"/>
  <c r="S10" i="39" s="1"/>
  <c r="T632" i="39"/>
  <c r="V632" i="39"/>
  <c r="AB632" i="39"/>
  <c r="W632" i="39"/>
  <c r="Y632" i="39" s="1"/>
  <c r="AA632" i="39"/>
  <c r="M1029" i="9"/>
  <c r="M9" i="9"/>
  <c r="R438" i="23"/>
  <c r="L582" i="23"/>
  <c r="L8" i="23"/>
  <c r="R8" i="23" s="1"/>
  <c r="M9" i="10"/>
  <c r="M1088" i="10"/>
  <c r="R354" i="3"/>
  <c r="S354" i="3"/>
  <c r="M62" i="24"/>
  <c r="Q64" i="24"/>
  <c r="S64" i="24"/>
  <c r="T64" i="24" s="1"/>
  <c r="M66" i="20"/>
  <c r="Q68" i="20"/>
  <c r="S68" i="20"/>
  <c r="T68" i="20" s="1"/>
  <c r="S272" i="6"/>
  <c r="R272" i="6"/>
  <c r="W229" i="23"/>
  <c r="V229" i="23"/>
  <c r="O582" i="23"/>
  <c r="O10" i="23"/>
  <c r="O8" i="23" s="1"/>
  <c r="AG119" i="39"/>
  <c r="V225" i="16"/>
  <c r="W225" i="16"/>
  <c r="O10" i="16"/>
  <c r="O8" i="16" s="1"/>
  <c r="R11" i="8"/>
  <c r="L1091" i="8"/>
  <c r="L9" i="8"/>
  <c r="O7" i="24"/>
  <c r="O69" i="24"/>
  <c r="N36" i="9"/>
  <c r="N7" i="20"/>
  <c r="N74" i="20"/>
  <c r="T226" i="5"/>
  <c r="O570" i="5"/>
  <c r="U226" i="5"/>
  <c r="O11" i="5"/>
  <c r="O9" i="5" s="1"/>
  <c r="R1010" i="10"/>
  <c r="O1010" i="10"/>
  <c r="P1010" i="10"/>
  <c r="N11" i="10"/>
  <c r="V225" i="19"/>
  <c r="O568" i="19"/>
  <c r="W225" i="19"/>
  <c r="O10" i="19"/>
  <c r="O8" i="19" s="1"/>
  <c r="P38" i="9"/>
  <c r="O38" i="9"/>
  <c r="O9" i="28"/>
  <c r="O71" i="28"/>
  <c r="O10" i="30"/>
  <c r="O8" i="30" s="1"/>
  <c r="V229" i="30"/>
  <c r="W229" i="30"/>
  <c r="O582" i="30"/>
  <c r="M62" i="31"/>
  <c r="S64" i="31"/>
  <c r="T64" i="31" s="1"/>
  <c r="Q64" i="31"/>
  <c r="M66" i="11"/>
  <c r="S68" i="11"/>
  <c r="T68" i="11" s="1"/>
  <c r="Q68" i="11"/>
  <c r="AF44" i="39"/>
  <c r="AG44" i="39" s="1"/>
  <c r="AA44" i="39"/>
  <c r="AA45" i="39" s="1"/>
  <c r="AB44" i="39"/>
  <c r="AB45" i="39" s="1"/>
  <c r="R440" i="27"/>
  <c r="L584" i="27"/>
  <c r="S251" i="6"/>
  <c r="R251" i="6"/>
  <c r="O1091" i="8"/>
  <c r="D7" i="3"/>
  <c r="N7" i="11"/>
  <c r="N74" i="11"/>
  <c r="N7" i="31"/>
  <c r="N69" i="31"/>
  <c r="L965" i="7"/>
  <c r="R11" i="7"/>
  <c r="L4" i="7"/>
  <c r="L8" i="30"/>
  <c r="R8" i="30" s="1"/>
  <c r="S4" i="30"/>
  <c r="T4" i="30" s="1"/>
  <c r="R10" i="30"/>
  <c r="V230" i="27"/>
  <c r="O584" i="27"/>
  <c r="W230" i="27"/>
  <c r="O10" i="27"/>
  <c r="O8" i="27" s="1"/>
  <c r="V8" i="27" s="1"/>
  <c r="M64" i="28"/>
  <c r="Q66" i="28"/>
  <c r="S66" i="28"/>
  <c r="T66" i="28" s="1"/>
  <c r="P363" i="7"/>
  <c r="O363" i="7"/>
  <c r="L8" i="16"/>
  <c r="R8" i="16" s="1"/>
  <c r="R10" i="16"/>
  <c r="Q427" i="3"/>
  <c r="R456" i="3"/>
  <c r="S456" i="3"/>
  <c r="L570" i="5"/>
  <c r="L572" i="5" s="1"/>
  <c r="L9" i="5"/>
  <c r="R9" i="5" s="1"/>
  <c r="R428" i="5"/>
  <c r="Q68" i="18"/>
  <c r="S68" i="18"/>
  <c r="T68" i="18" s="1"/>
  <c r="M66" i="18"/>
  <c r="AG93" i="39"/>
  <c r="M965" i="7"/>
  <c r="M9" i="7"/>
  <c r="N671" i="4"/>
  <c r="O671" i="4"/>
  <c r="E9" i="6"/>
  <c r="Q9" i="6" s="1"/>
  <c r="Q11" i="6"/>
  <c r="P9" i="39"/>
  <c r="Q10" i="39"/>
  <c r="P1069" i="39"/>
  <c r="R10" i="39"/>
  <c r="L9" i="9"/>
  <c r="L1029" i="9"/>
  <c r="R426" i="19"/>
  <c r="L568" i="19"/>
  <c r="L570" i="19" s="1"/>
  <c r="L8" i="19"/>
  <c r="R8" i="19" s="1"/>
  <c r="N7" i="18"/>
  <c r="N74" i="18"/>
  <c r="N9" i="28"/>
  <c r="N71" i="28"/>
  <c r="N7" i="24"/>
  <c r="N69" i="24"/>
  <c r="O447" i="7"/>
  <c r="S447" i="7"/>
  <c r="P447" i="7"/>
  <c r="L582" i="30"/>
  <c r="P732" i="10" l="1"/>
  <c r="O732" i="10"/>
  <c r="Q8" i="24"/>
  <c r="P8" i="24"/>
  <c r="M1091" i="8"/>
  <c r="M9" i="8"/>
  <c r="N9" i="8" s="1"/>
  <c r="P10" i="28"/>
  <c r="N11" i="7"/>
  <c r="P11" i="7" s="1"/>
  <c r="S10" i="28"/>
  <c r="S11" i="7"/>
  <c r="S11" i="8"/>
  <c r="AG427" i="39"/>
  <c r="R10" i="27"/>
  <c r="P8" i="27"/>
  <c r="R8" i="27" s="1"/>
  <c r="E7" i="26"/>
  <c r="F7" i="26" s="1"/>
  <c r="D5" i="26"/>
  <c r="T21" i="18"/>
  <c r="T43" i="20"/>
  <c r="O7" i="31"/>
  <c r="O69" i="31"/>
  <c r="T42" i="31"/>
  <c r="T44" i="28"/>
  <c r="O8" i="18"/>
  <c r="S15" i="18"/>
  <c r="T15" i="18" s="1"/>
  <c r="Q15" i="18"/>
  <c r="L792" i="4"/>
  <c r="L8" i="4"/>
  <c r="P69" i="28"/>
  <c r="T69" i="28" s="1"/>
  <c r="T70" i="28"/>
  <c r="P71" i="20"/>
  <c r="T71" i="20" s="1"/>
  <c r="T72" i="20"/>
  <c r="K1088" i="10"/>
  <c r="K9" i="10"/>
  <c r="O573" i="16"/>
  <c r="M32" i="12"/>
  <c r="L32" i="12"/>
  <c r="P71" i="18"/>
  <c r="T71" i="18" s="1"/>
  <c r="T72" i="18"/>
  <c r="P71" i="11"/>
  <c r="T71" i="11" s="1"/>
  <c r="T72" i="11"/>
  <c r="T8" i="31"/>
  <c r="T43" i="11"/>
  <c r="N455" i="4"/>
  <c r="O455" i="4"/>
  <c r="M426" i="4"/>
  <c r="T43" i="18"/>
  <c r="P67" i="24"/>
  <c r="T67" i="24" s="1"/>
  <c r="T68" i="24"/>
  <c r="T68" i="31"/>
  <c r="P67" i="31"/>
  <c r="T67" i="31" s="1"/>
  <c r="Y835" i="39"/>
  <c r="AA835" i="39"/>
  <c r="AB835" i="39"/>
  <c r="S253" i="6"/>
  <c r="R253" i="6"/>
  <c r="M366" i="29"/>
  <c r="M846" i="29" s="1"/>
  <c r="L846" i="29"/>
  <c r="L1088" i="10"/>
  <c r="L9" i="10"/>
  <c r="N9" i="10" s="1"/>
  <c r="P363" i="10"/>
  <c r="O363" i="10"/>
  <c r="R363" i="10"/>
  <c r="T8" i="20"/>
  <c r="O407" i="9"/>
  <c r="P407" i="9"/>
  <c r="T8" i="11"/>
  <c r="AG632" i="39"/>
  <c r="V8" i="23"/>
  <c r="X1069" i="39"/>
  <c r="AC1069" i="39" s="1"/>
  <c r="X10" i="39"/>
  <c r="AB10" i="39" s="1"/>
  <c r="K4" i="8"/>
  <c r="K4" i="7"/>
  <c r="J7" i="4"/>
  <c r="O845" i="25"/>
  <c r="P845" i="25"/>
  <c r="P13" i="7"/>
  <c r="O13" i="7"/>
  <c r="R8" i="3"/>
  <c r="S8" i="3"/>
  <c r="P582" i="23"/>
  <c r="V582" i="23"/>
  <c r="M65" i="18"/>
  <c r="Q66" i="18"/>
  <c r="S66" i="18"/>
  <c r="T66" i="18" s="1"/>
  <c r="R427" i="3"/>
  <c r="S427" i="3"/>
  <c r="Q789" i="3"/>
  <c r="M63" i="28"/>
  <c r="Q64" i="28"/>
  <c r="S64" i="28"/>
  <c r="T64" i="28" s="1"/>
  <c r="P568" i="19"/>
  <c r="V568" i="19"/>
  <c r="T570" i="5"/>
  <c r="P570" i="5"/>
  <c r="P36" i="9"/>
  <c r="O36" i="9"/>
  <c r="N11" i="9"/>
  <c r="V8" i="16"/>
  <c r="S62" i="24"/>
  <c r="T62" i="24" s="1"/>
  <c r="M61" i="24"/>
  <c r="Q62" i="24"/>
  <c r="N9" i="9"/>
  <c r="AF448" i="39"/>
  <c r="W448" i="39"/>
  <c r="V448" i="39"/>
  <c r="T448" i="39"/>
  <c r="S1069" i="39"/>
  <c r="AA448" i="39"/>
  <c r="AB448" i="39"/>
  <c r="N9" i="7"/>
  <c r="S8" i="7"/>
  <c r="S11" i="6"/>
  <c r="R11" i="6"/>
  <c r="T11" i="7"/>
  <c r="S9" i="39"/>
  <c r="S62" i="31"/>
  <c r="T62" i="31" s="1"/>
  <c r="M61" i="31"/>
  <c r="Q62" i="31"/>
  <c r="V8" i="30"/>
  <c r="M65" i="20"/>
  <c r="S66" i="20"/>
  <c r="T66" i="20" s="1"/>
  <c r="Q66" i="20"/>
  <c r="P584" i="27"/>
  <c r="V584" i="27"/>
  <c r="R1069" i="39"/>
  <c r="Q1069" i="39"/>
  <c r="S9" i="6"/>
  <c r="R9" i="6"/>
  <c r="M65" i="11"/>
  <c r="Q66" i="11"/>
  <c r="S66" i="11"/>
  <c r="T66" i="11" s="1"/>
  <c r="P582" i="30"/>
  <c r="V582" i="30"/>
  <c r="V8" i="19"/>
  <c r="N1088" i="10"/>
  <c r="O11" i="10"/>
  <c r="P11" i="10"/>
  <c r="T9" i="5"/>
  <c r="T8" i="24"/>
  <c r="P573" i="16"/>
  <c r="V573" i="16"/>
  <c r="R7" i="8" l="1"/>
  <c r="P9" i="8"/>
  <c r="O9" i="8"/>
  <c r="T10" i="28"/>
  <c r="T11" i="8"/>
  <c r="O11" i="7"/>
  <c r="N965" i="7"/>
  <c r="O965" i="7" s="1"/>
  <c r="D4" i="26"/>
  <c r="E4" i="26" s="1"/>
  <c r="F4" i="26" s="1"/>
  <c r="E5" i="26"/>
  <c r="F5" i="26" s="1"/>
  <c r="O426" i="4"/>
  <c r="N426" i="4"/>
  <c r="M792" i="4"/>
  <c r="M8" i="4"/>
  <c r="L7" i="4"/>
  <c r="E7" i="3"/>
  <c r="O74" i="18"/>
  <c r="O7" i="18"/>
  <c r="S8" i="18"/>
  <c r="Q8" i="18"/>
  <c r="P8" i="18"/>
  <c r="E34" i="21"/>
  <c r="P9" i="10"/>
  <c r="O9" i="10"/>
  <c r="X9" i="39"/>
  <c r="AG448" i="39"/>
  <c r="AA10" i="39"/>
  <c r="AA9" i="39" s="1"/>
  <c r="R582" i="30"/>
  <c r="Q582" i="30"/>
  <c r="M69" i="31"/>
  <c r="Q61" i="31"/>
  <c r="S61" i="31"/>
  <c r="P61" i="31"/>
  <c r="M7" i="31"/>
  <c r="W1069" i="39"/>
  <c r="Y1069" i="39" s="1"/>
  <c r="Y448" i="39"/>
  <c r="W10" i="39"/>
  <c r="Y10" i="39" s="1"/>
  <c r="Y9" i="39" s="1"/>
  <c r="Q568" i="19"/>
  <c r="R568" i="19"/>
  <c r="M71" i="28"/>
  <c r="P63" i="28"/>
  <c r="Q63" i="28"/>
  <c r="S63" i="28"/>
  <c r="M9" i="28"/>
  <c r="M74" i="20"/>
  <c r="D7" i="21"/>
  <c r="M7" i="20"/>
  <c r="Q65" i="20"/>
  <c r="S65" i="20"/>
  <c r="T65" i="20" s="1"/>
  <c r="P65" i="20"/>
  <c r="AF1069" i="39"/>
  <c r="AB1069" i="39"/>
  <c r="AA1069" i="39"/>
  <c r="Q570" i="5"/>
  <c r="R570" i="5"/>
  <c r="S789" i="3"/>
  <c r="R789" i="3"/>
  <c r="Q573" i="16"/>
  <c r="R573" i="16"/>
  <c r="Q584" i="27"/>
  <c r="R584" i="27"/>
  <c r="P965" i="7"/>
  <c r="P9" i="7"/>
  <c r="O9" i="7"/>
  <c r="R8" i="7"/>
  <c r="T1069" i="39"/>
  <c r="T10" i="39"/>
  <c r="T9" i="39" s="1"/>
  <c r="P9" i="9"/>
  <c r="O9" i="9"/>
  <c r="O11" i="9"/>
  <c r="P11" i="9"/>
  <c r="N1029" i="9"/>
  <c r="Q65" i="18"/>
  <c r="S65" i="18"/>
  <c r="D36" i="21"/>
  <c r="M74" i="18"/>
  <c r="P65" i="18"/>
  <c r="M7" i="18"/>
  <c r="P1088" i="10"/>
  <c r="O1088" i="10"/>
  <c r="J34" i="12"/>
  <c r="M74" i="11"/>
  <c r="M7" i="11"/>
  <c r="P65" i="11"/>
  <c r="S65" i="11"/>
  <c r="Q65" i="11"/>
  <c r="V1069" i="39"/>
  <c r="V10" i="39"/>
  <c r="V9" i="39" s="1"/>
  <c r="M69" i="24"/>
  <c r="S61" i="24"/>
  <c r="P61" i="24"/>
  <c r="Q61" i="24"/>
  <c r="M7" i="24"/>
  <c r="R582" i="23"/>
  <c r="Q582" i="23"/>
  <c r="T8" i="18" l="1"/>
  <c r="O792" i="4"/>
  <c r="N792" i="4"/>
  <c r="M7" i="4"/>
  <c r="N8" i="4"/>
  <c r="N7" i="4" s="1"/>
  <c r="O8" i="4"/>
  <c r="T61" i="24"/>
  <c r="T65" i="18"/>
  <c r="P74" i="11"/>
  <c r="P7" i="11"/>
  <c r="Q7" i="18"/>
  <c r="S7" i="18"/>
  <c r="Q7" i="20"/>
  <c r="S7" i="20"/>
  <c r="T63" i="28"/>
  <c r="P69" i="24"/>
  <c r="P7" i="24"/>
  <c r="Q7" i="11"/>
  <c r="S7" i="11"/>
  <c r="P74" i="18"/>
  <c r="P7" i="18"/>
  <c r="AG1069" i="39"/>
  <c r="P74" i="20"/>
  <c r="P7" i="20"/>
  <c r="S7" i="31"/>
  <c r="Q7" i="31"/>
  <c r="S69" i="31"/>
  <c r="Q69" i="31"/>
  <c r="S74" i="11"/>
  <c r="T74" i="11" s="1"/>
  <c r="Q74" i="11"/>
  <c r="S74" i="18"/>
  <c r="Q74" i="18"/>
  <c r="P1029" i="9"/>
  <c r="O1029" i="9"/>
  <c r="Q74" i="20"/>
  <c r="S74" i="20"/>
  <c r="P71" i="28"/>
  <c r="P9" i="28"/>
  <c r="P69" i="31"/>
  <c r="P7" i="31"/>
  <c r="S7" i="24"/>
  <c r="T7" i="24" s="1"/>
  <c r="Q7" i="24"/>
  <c r="Q69" i="24"/>
  <c r="S69" i="24"/>
  <c r="T65" i="11"/>
  <c r="K34" i="12"/>
  <c r="J35" i="12"/>
  <c r="S9" i="28"/>
  <c r="Q9" i="28"/>
  <c r="Q71" i="28"/>
  <c r="S71" i="28"/>
  <c r="T61" i="31"/>
  <c r="T71" i="28" l="1"/>
  <c r="T7" i="11"/>
  <c r="T74" i="20"/>
  <c r="T9" i="28"/>
  <c r="T69" i="24"/>
  <c r="T74" i="18"/>
  <c r="L34" i="12"/>
  <c r="M34" i="12"/>
  <c r="K35" i="12"/>
  <c r="T7" i="31"/>
  <c r="T7" i="18"/>
  <c r="T69" i="31"/>
  <c r="T7" i="20"/>
  <c r="L35" i="12" l="1"/>
  <c r="M35" i="12"/>
</calcChain>
</file>

<file path=xl/comments1.xml><?xml version="1.0" encoding="utf-8"?>
<comments xmlns="http://schemas.openxmlformats.org/spreadsheetml/2006/main">
  <authors>
    <author>ADMIN</author>
  </authors>
  <commentList>
    <comment ref="F10" authorId="0">
      <text/>
    </comment>
    <comment ref="H10" authorId="0">
      <text>
        <r>
          <rPr>
            <b/>
            <sz val="12"/>
            <rFont val="Tahoma"/>
            <family val="2"/>
          </rPr>
          <t xml:space="preserve">INI YANG SIDE TANYAKAN SAMA PAK FAJAR MAS,, ADA SELISIH DI REIMBURST, MANA YANG BENAR???,, KARENA MENYEBABKAN SELISIH TARGET 9 MILYAR LEBIH.
</t>
        </r>
        <r>
          <rPr>
            <b/>
            <sz val="12"/>
            <rFont val="Tahoma"/>
            <family val="2"/>
          </rPr>
          <t xml:space="preserve">
</t>
        </r>
        <r>
          <rPr>
            <b/>
            <sz val="12"/>
            <rFont val="Tahoma"/>
            <family val="2"/>
          </rPr>
          <t xml:space="preserve">DAN BESOK PAGI SIDE UDAH BISA PAKE FORM INI MAS,, TAPI DENGAN CATATAN SEMUA BELUM SEMPURNA,,,, OKAY MAS…..
</t>
        </r>
        <r>
          <rPr>
            <b/>
            <sz val="12"/>
            <rFont val="Tahoma"/>
            <family val="2"/>
          </rPr>
          <t xml:space="preserve">
</t>
        </r>
        <r>
          <rPr>
            <b/>
            <sz val="12"/>
            <rFont val="Tahoma"/>
            <family val="2"/>
          </rPr>
          <t>SEPERTI YANG SAYA BILANG KEMAREN MAS,, HEHEHEHE...</t>
        </r>
      </text>
    </comment>
  </commentList>
</comments>
</file>

<file path=xl/comments10.xml><?xml version="1.0" encoding="utf-8"?>
<comments xmlns="http://schemas.openxmlformats.org/spreadsheetml/2006/main">
  <authors>
    <author>Retribusi</author>
  </authors>
  <commentList>
    <comment ref="T40" authorId="0">
      <text>
        <r>
          <rPr>
            <b/>
            <sz val="9"/>
            <rFont val="Tahoma"/>
            <family val="2"/>
          </rPr>
          <t>angka yang ada di rekap dari SKPD</t>
        </r>
      </text>
    </comment>
    <comment ref="T51" authorId="0">
      <text>
        <r>
          <rPr>
            <b/>
            <sz val="9"/>
            <rFont val="Tahoma"/>
            <family val="2"/>
          </rPr>
          <t>angka yang ada di rekap dari SKPD</t>
        </r>
      </text>
    </comment>
    <comment ref="T62" authorId="0">
      <text>
        <r>
          <rPr>
            <b/>
            <sz val="9"/>
            <rFont val="Tahoma"/>
            <family val="2"/>
          </rPr>
          <t>angka yang ada di rekap dari SKPD</t>
        </r>
      </text>
    </comment>
    <comment ref="T73" authorId="0">
      <text>
        <r>
          <rPr>
            <b/>
            <sz val="9"/>
            <rFont val="Tahoma"/>
            <family val="2"/>
          </rPr>
          <t>angka yang ada di rekap dari SKPD</t>
        </r>
      </text>
    </comment>
  </commentList>
</comments>
</file>

<file path=xl/comments11.xml><?xml version="1.0" encoding="utf-8"?>
<comments xmlns="http://schemas.openxmlformats.org/spreadsheetml/2006/main">
  <authors>
    <author>Retribusi</author>
  </authors>
  <commentList>
    <comment ref="K63" authorId="0">
      <text>
        <r>
          <rPr>
            <b/>
            <sz val="9"/>
            <rFont val="Tahoma"/>
            <family val="2"/>
          </rPr>
          <t>angka sesuai STS</t>
        </r>
      </text>
    </comment>
  </commentList>
</comments>
</file>

<file path=xl/comments12.xml><?xml version="1.0" encoding="utf-8"?>
<comments xmlns="http://schemas.openxmlformats.org/spreadsheetml/2006/main">
  <authors>
    <author>Retribusi</author>
  </authors>
  <commentList>
    <comment ref="K63" authorId="0">
      <text>
        <r>
          <rPr>
            <b/>
            <sz val="9"/>
            <rFont val="Tahoma"/>
            <family val="2"/>
          </rPr>
          <t>angka sesuai STS</t>
        </r>
      </text>
    </comment>
  </commentList>
</comments>
</file>

<file path=xl/comments13.xml><?xml version="1.0" encoding="utf-8"?>
<comments xmlns="http://schemas.openxmlformats.org/spreadsheetml/2006/main">
  <authors>
    <author>Retribusi</author>
  </authors>
  <commentList>
    <comment ref="K63" authorId="0">
      <text>
        <r>
          <rPr>
            <b/>
            <sz val="9"/>
            <rFont val="Tahoma"/>
            <family val="2"/>
          </rPr>
          <t>angka sesuai STS</t>
        </r>
      </text>
    </comment>
  </commentList>
</comments>
</file>

<file path=xl/comments14.xml><?xml version="1.0" encoding="utf-8"?>
<comments xmlns="http://schemas.openxmlformats.org/spreadsheetml/2006/main">
  <authors>
    <author>Retribusi</author>
  </authors>
  <commentList>
    <comment ref="K63" authorId="0">
      <text>
        <r>
          <rPr>
            <b/>
            <sz val="9"/>
            <rFont val="Tahoma"/>
            <family val="2"/>
          </rPr>
          <t>angka sesuai STS</t>
        </r>
      </text>
    </comment>
  </commentList>
</comments>
</file>

<file path=xl/comments15.xml><?xml version="1.0" encoding="utf-8"?>
<comments xmlns="http://schemas.openxmlformats.org/spreadsheetml/2006/main">
  <authors>
    <author>ismail - [2010]</author>
    <author>ADMIN</author>
  </authors>
  <commentList>
    <comment ref="J213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K213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L248" authorId="1">
      <text>
        <r>
          <rPr>
            <b/>
            <sz val="16"/>
            <rFont val="Tahoma"/>
            <family val="2"/>
          </rPr>
          <t>KALO ADA TAMBAHAN SKPD YANG SETOR DENDA KETERLAMBATAN TINGGAL TAMBAH DAN INSERT ROW.</t>
        </r>
      </text>
    </comment>
    <comment ref="L296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P296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L314" authorId="1">
      <text>
        <r>
          <rPr>
            <b/>
            <sz val="16"/>
            <rFont val="Tahoma"/>
            <family val="2"/>
          </rPr>
          <t>KALO ADA TAMBAHAN SKPD YANG SETOR LHP TINGGAL TAMBAH DAN UNHIDE ROW.</t>
        </r>
      </text>
    </comment>
  </commentList>
</comments>
</file>

<file path=xl/comments16.xml><?xml version="1.0" encoding="utf-8"?>
<comments xmlns="http://schemas.openxmlformats.org/spreadsheetml/2006/main">
  <authors>
    <author>DIPENDA PROV. NTB</author>
  </authors>
  <commentList>
    <comment ref="M524" authorId="0">
      <text>
        <r>
          <rPr>
            <b/>
            <sz val="8"/>
            <color indexed="81"/>
            <rFont val="Tahoma"/>
            <family val="2"/>
          </rPr>
          <t>LHP dari Diskanlut</t>
        </r>
        <r>
          <rPr>
            <sz val="8"/>
            <color indexed="81"/>
            <rFont val="Tahoma"/>
            <family val="2"/>
          </rPr>
          <t xml:space="preserve">
sebesar 137.390.000</t>
        </r>
      </text>
    </comment>
  </commentList>
</comments>
</file>

<file path=xl/comments2.xml><?xml version="1.0" encoding="utf-8"?>
<comments xmlns="http://schemas.openxmlformats.org/spreadsheetml/2006/main">
  <authors>
    <author>ADMIN</author>
  </authors>
  <commentList>
    <comment ref="L186" authorId="0">
      <text>
        <r>
          <rPr>
            <b/>
            <sz val="9"/>
            <rFont val="Tahoma"/>
            <family val="2"/>
          </rPr>
          <t xml:space="preserve">ADMIN:
</t>
        </r>
        <r>
          <rPr>
            <b/>
            <sz val="9"/>
            <rFont val="Tahoma"/>
            <family val="2"/>
          </rPr>
          <t>ret.surat ijin usaha perikanan</t>
        </r>
      </text>
    </comment>
    <comment ref="L456" authorId="0">
      <text>
        <r>
          <rPr>
            <b/>
            <sz val="9"/>
            <rFont val="Tahoma"/>
            <family val="2"/>
          </rPr>
          <t>ADMIN:</t>
        </r>
        <r>
          <rPr>
            <sz val="9"/>
            <rFont val="Tahoma"/>
            <family val="2"/>
          </rPr>
          <t xml:space="preserve">
</t>
        </r>
        <r>
          <rPr>
            <sz val="9"/>
            <rFont val="Tahoma"/>
            <family val="2"/>
          </rPr>
          <t xml:space="preserve">rumus ulang belum masuk
</t>
        </r>
      </text>
    </comment>
    <comment ref="L459" authorId="0">
      <text>
        <r>
          <rPr>
            <b/>
            <sz val="9"/>
            <rFont val="Tahoma"/>
            <family val="2"/>
          </rPr>
          <t>ADMIN:</t>
        </r>
        <r>
          <rPr>
            <sz val="9"/>
            <rFont val="Tahoma"/>
            <family val="2"/>
          </rPr>
          <t xml:space="preserve">
</t>
        </r>
        <r>
          <rPr>
            <sz val="9"/>
            <rFont val="Tahoma"/>
            <family val="2"/>
          </rPr>
          <t xml:space="preserve">cek bulan lalu ada data masuk coy…
</t>
        </r>
      </text>
    </comment>
    <comment ref="L837" authorId="0">
      <text>
        <r>
          <rPr>
            <b/>
            <sz val="9"/>
            <rFont val="Tahoma"/>
            <family val="2"/>
          </rPr>
          <t>ADMIN:</t>
        </r>
        <r>
          <rPr>
            <sz val="9"/>
            <rFont val="Tahoma"/>
            <family val="2"/>
          </rPr>
          <t xml:space="preserve">
</t>
        </r>
        <r>
          <rPr>
            <sz val="9"/>
            <rFont val="Tahoma"/>
            <family val="2"/>
          </rPr>
          <t xml:space="preserve">insert penerimaan bln februari di maret sebesar 6.875.000
</t>
        </r>
      </text>
    </comment>
  </commentList>
</comments>
</file>

<file path=xl/comments3.xml><?xml version="1.0" encoding="utf-8"?>
<comments xmlns="http://schemas.openxmlformats.org/spreadsheetml/2006/main">
  <authors>
    <author>ismail - [2010]</author>
    <author>ADMIN</author>
  </authors>
  <commentList>
    <comment ref="J216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K216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L251" authorId="1">
      <text>
        <r>
          <rPr>
            <b/>
            <sz val="16"/>
            <rFont val="Tahoma"/>
            <family val="2"/>
          </rPr>
          <t>KALO ADA TAMBAHAN SKPD YANG SETOR DENDA KETERLAMBATAN TINGGAL TAMBAH DAN INSERT ROW.</t>
        </r>
      </text>
    </comment>
    <comment ref="L299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P299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L317" authorId="1">
      <text>
        <r>
          <rPr>
            <b/>
            <sz val="16"/>
            <rFont val="Tahoma"/>
            <family val="2"/>
          </rPr>
          <t>KALO ADA TAMBAHAN SKPD YANG SETOR LHP TINGGAL TAMBAH DAN UNHIDE ROW.</t>
        </r>
      </text>
    </comment>
  </commentList>
</comments>
</file>

<file path=xl/comments4.xml><?xml version="1.0" encoding="utf-8"?>
<comments xmlns="http://schemas.openxmlformats.org/spreadsheetml/2006/main">
  <authors>
    <author>ismail - [2010]</author>
    <author>ADMIN</author>
  </authors>
  <commentList>
    <comment ref="J217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K217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L252" authorId="1">
      <text>
        <r>
          <rPr>
            <b/>
            <sz val="16"/>
            <rFont val="Tahoma"/>
            <family val="2"/>
          </rPr>
          <t>KALO ADA TAMBAHAN SKPD YANG SETOR DENDA KETERLAMBATAN TINGGAL TAMBAH DAN INSERT ROW.</t>
        </r>
      </text>
    </comment>
    <comment ref="L300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P300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L318" authorId="1">
      <text>
        <r>
          <rPr>
            <b/>
            <sz val="16"/>
            <rFont val="Tahoma"/>
            <family val="2"/>
          </rPr>
          <t>KALO ADA TAMBAHAN SKPD YANG SETOR LHP TINGGAL TAMBAH DAN UNHIDE ROW.</t>
        </r>
      </text>
    </comment>
  </commentList>
</comments>
</file>

<file path=xl/comments5.xml><?xml version="1.0" encoding="utf-8"?>
<comments xmlns="http://schemas.openxmlformats.org/spreadsheetml/2006/main">
  <authors>
    <author>ismail - [2010]</author>
    <author>ADMIN</author>
  </authors>
  <commentList>
    <comment ref="J216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K216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L251" authorId="1">
      <text>
        <r>
          <rPr>
            <b/>
            <sz val="16"/>
            <rFont val="Tahoma"/>
            <family val="2"/>
          </rPr>
          <t>KALO ADA TAMBAHAN SKPD YANG SETOR DENDA KETERLAMBATAN TINGGAL TAMBAH DAN INSERT ROW.</t>
        </r>
      </text>
    </comment>
    <comment ref="L299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P299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L317" authorId="1">
      <text>
        <r>
          <rPr>
            <b/>
            <sz val="16"/>
            <rFont val="Tahoma"/>
            <family val="2"/>
          </rPr>
          <t>KALO ADA TAMBAHAN SKPD YANG SETOR LHP TINGGAL TAMBAH DAN UNHIDE ROW.</t>
        </r>
      </text>
    </comment>
  </commentList>
</comments>
</file>

<file path=xl/comments6.xml><?xml version="1.0" encoding="utf-8"?>
<comments xmlns="http://schemas.openxmlformats.org/spreadsheetml/2006/main">
  <authors>
    <author>ADMIN</author>
  </authors>
  <commentList>
    <comment ref="L186" authorId="0">
      <text>
        <r>
          <rPr>
            <b/>
            <sz val="9"/>
            <rFont val="Tahoma"/>
            <family val="2"/>
          </rPr>
          <t xml:space="preserve">ADMIN:
</t>
        </r>
        <r>
          <rPr>
            <b/>
            <sz val="9"/>
            <rFont val="Tahoma"/>
            <family val="2"/>
          </rPr>
          <t>ret.surat ijin usaha perikanan</t>
        </r>
      </text>
    </comment>
    <comment ref="L439" authorId="0">
      <text>
        <r>
          <rPr>
            <b/>
            <sz val="9"/>
            <rFont val="Tahoma"/>
            <family val="2"/>
          </rPr>
          <t>ADMIN:</t>
        </r>
        <r>
          <rPr>
            <sz val="9"/>
            <rFont val="Tahoma"/>
            <family val="2"/>
          </rPr>
          <t xml:space="preserve">
</t>
        </r>
        <r>
          <rPr>
            <sz val="9"/>
            <rFont val="Tahoma"/>
            <family val="2"/>
          </rPr>
          <t xml:space="preserve">rumus ulang belum masuk
</t>
        </r>
      </text>
    </comment>
    <comment ref="L442" authorId="0">
      <text>
        <r>
          <rPr>
            <b/>
            <sz val="9"/>
            <rFont val="Tahoma"/>
            <family val="2"/>
          </rPr>
          <t>ADMIN:</t>
        </r>
        <r>
          <rPr>
            <sz val="9"/>
            <rFont val="Tahoma"/>
            <family val="2"/>
          </rPr>
          <t xml:space="preserve">
</t>
        </r>
        <r>
          <rPr>
            <sz val="9"/>
            <rFont val="Tahoma"/>
            <family val="2"/>
          </rPr>
          <t xml:space="preserve">cek bulan lalu ada data masuk coy…
</t>
        </r>
      </text>
    </comment>
    <comment ref="L783" authorId="0">
      <text>
        <r>
          <rPr>
            <b/>
            <sz val="9"/>
            <rFont val="Tahoma"/>
            <family val="2"/>
          </rPr>
          <t>ADMIN:</t>
        </r>
        <r>
          <rPr>
            <sz val="9"/>
            <rFont val="Tahoma"/>
            <family val="2"/>
          </rPr>
          <t xml:space="preserve">
</t>
        </r>
        <r>
          <rPr>
            <sz val="9"/>
            <rFont val="Tahoma"/>
            <family val="2"/>
          </rPr>
          <t xml:space="preserve">insert penerimaan bln februari di maret sebesar 6.875.000
</t>
        </r>
      </text>
    </comment>
  </commentList>
</comments>
</file>

<file path=xl/comments7.xml><?xml version="1.0" encoding="utf-8"?>
<comments xmlns="http://schemas.openxmlformats.org/spreadsheetml/2006/main">
  <authors>
    <author>ADMIN</author>
  </authors>
  <commentList>
    <comment ref="L186" authorId="0">
      <text>
        <r>
          <rPr>
            <b/>
            <sz val="9"/>
            <rFont val="Tahoma"/>
            <family val="2"/>
          </rPr>
          <t xml:space="preserve">ADMIN:
</t>
        </r>
        <r>
          <rPr>
            <b/>
            <sz val="9"/>
            <rFont val="Tahoma"/>
            <family val="2"/>
          </rPr>
          <t>ret.surat ijin usaha perikanan</t>
        </r>
      </text>
    </comment>
    <comment ref="L455" authorId="0">
      <text>
        <r>
          <rPr>
            <b/>
            <sz val="9"/>
            <rFont val="Tahoma"/>
            <family val="2"/>
          </rPr>
          <t>ADMIN:</t>
        </r>
        <r>
          <rPr>
            <sz val="9"/>
            <rFont val="Tahoma"/>
            <family val="2"/>
          </rPr>
          <t xml:space="preserve">
</t>
        </r>
        <r>
          <rPr>
            <sz val="9"/>
            <rFont val="Tahoma"/>
            <family val="2"/>
          </rPr>
          <t xml:space="preserve">rumus ulang belum masuk
</t>
        </r>
      </text>
    </comment>
    <comment ref="L458" authorId="0">
      <text>
        <r>
          <rPr>
            <b/>
            <sz val="9"/>
            <rFont val="Tahoma"/>
            <family val="2"/>
          </rPr>
          <t>ADMIN:</t>
        </r>
        <r>
          <rPr>
            <sz val="9"/>
            <rFont val="Tahoma"/>
            <family val="2"/>
          </rPr>
          <t xml:space="preserve">
</t>
        </r>
        <r>
          <rPr>
            <sz val="9"/>
            <rFont val="Tahoma"/>
            <family val="2"/>
          </rPr>
          <t xml:space="preserve">cek bulan lalu ada data masuk coy…
</t>
        </r>
      </text>
    </comment>
    <comment ref="L836" authorId="0">
      <text>
        <r>
          <rPr>
            <b/>
            <sz val="9"/>
            <rFont val="Tahoma"/>
            <family val="2"/>
          </rPr>
          <t>ADMIN:</t>
        </r>
        <r>
          <rPr>
            <sz val="9"/>
            <rFont val="Tahoma"/>
            <family val="2"/>
          </rPr>
          <t xml:space="preserve">
</t>
        </r>
        <r>
          <rPr>
            <sz val="9"/>
            <rFont val="Tahoma"/>
            <family val="2"/>
          </rPr>
          <t xml:space="preserve">insert penerimaan bln februari di maret sebesar 6.875.000
</t>
        </r>
      </text>
    </comment>
  </commentList>
</comments>
</file>

<file path=xl/comments8.xml><?xml version="1.0" encoding="utf-8"?>
<comments xmlns="http://schemas.openxmlformats.org/spreadsheetml/2006/main">
  <authors>
    <author>ismail - [2010]</author>
    <author>ADMIN</author>
  </authors>
  <commentList>
    <comment ref="J212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K212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L247" authorId="1">
      <text>
        <r>
          <rPr>
            <b/>
            <sz val="16"/>
            <rFont val="Tahoma"/>
            <family val="2"/>
          </rPr>
          <t>KALO ADA TAMBAHAN SKPD YANG SETOR DENDA KETERLAMBATAN TINGGAL TAMBAH DAN INSERT ROW.</t>
        </r>
      </text>
    </comment>
    <comment ref="L295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P295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L313" authorId="1">
      <text>
        <r>
          <rPr>
            <b/>
            <sz val="16"/>
            <rFont val="Tahoma"/>
            <family val="2"/>
          </rPr>
          <t>KALO ADA TAMBAHAN SKPD YANG SETOR LHP TINGGAL TAMBAH DAN UNHIDE ROW.</t>
        </r>
      </text>
    </comment>
  </commentList>
</comments>
</file>

<file path=xl/comments9.xml><?xml version="1.0" encoding="utf-8"?>
<comments xmlns="http://schemas.openxmlformats.org/spreadsheetml/2006/main">
  <authors>
    <author>ismail - [2010]</author>
    <author>ADMIN</author>
  </authors>
  <commentList>
    <comment ref="J212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K212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L247" authorId="1">
      <text>
        <r>
          <rPr>
            <b/>
            <sz val="16"/>
            <rFont val="Tahoma"/>
            <family val="2"/>
          </rPr>
          <t>KALO ADA TAMBAHAN SKPD YANG SETOR DENDA KETERLAMBATAN TINGGAL TAMBAH DAN INSERT ROW.</t>
        </r>
      </text>
    </comment>
    <comment ref="L295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P295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L313" authorId="1">
      <text>
        <r>
          <rPr>
            <b/>
            <sz val="16"/>
            <rFont val="Tahoma"/>
            <family val="2"/>
          </rPr>
          <t>KALO ADA TAMBAHAN SKPD YANG SETOR LHP TINGGAL TAMBAH DAN UNHIDE ROW.</t>
        </r>
      </text>
    </comment>
  </commentList>
</comments>
</file>

<file path=xl/sharedStrings.xml><?xml version="1.0" encoding="utf-8"?>
<sst xmlns="http://schemas.openxmlformats.org/spreadsheetml/2006/main" count="25967" uniqueCount="1527">
  <si>
    <t>NO.</t>
  </si>
  <si>
    <t>NAMA SKPD</t>
  </si>
  <si>
    <t>JENIS RETRIBUSI</t>
  </si>
  <si>
    <t>DASAR HUKUM</t>
  </si>
  <si>
    <t>TARGET</t>
  </si>
  <si>
    <t>REALISASI</t>
  </si>
  <si>
    <t>%</t>
  </si>
  <si>
    <t>KETERANGAN</t>
  </si>
  <si>
    <t xml:space="preserve">- Pemakaian Kekayaan Daerah </t>
  </si>
  <si>
    <t>Perda. No.3 Th 2011</t>
  </si>
  <si>
    <t>- Mencapai Target Karena Promosi ke Pemerintah dan Masyarakat dan pengamanan kebersihan, ketertiban lingkungan.</t>
  </si>
  <si>
    <t>- Penginapan (BPKBM)</t>
  </si>
  <si>
    <t xml:space="preserve">- Mencapai Target </t>
  </si>
  <si>
    <t>- Pelayanan Kesehatan</t>
  </si>
  <si>
    <t>Perda. No.9 Th 2013</t>
  </si>
  <si>
    <t>- Mencapai target karena kunjungan pasien yg meningkat dan penigkatan alat kedokteran.</t>
  </si>
  <si>
    <t>- Mencapai target karena bertambahnya tenaga ahli dan kunjungan pasien yg meningkat.</t>
  </si>
  <si>
    <t xml:space="preserve">- tidak tercapai karena </t>
  </si>
  <si>
    <t>- Penginapan</t>
  </si>
  <si>
    <t>- Meningkatnya fasilitas sarana dan prasarana.</t>
  </si>
  <si>
    <t>- Mencapai target karena adanya inovasi dalam pengobatan mata.</t>
  </si>
  <si>
    <t>- belum mencapai karena banyak alat berat yg rusak berat dan persaingan penyewaan dg swasta, khusus utk uji lab. Sudah mencapai karena bertambahnya pelanggan.</t>
  </si>
  <si>
    <t>- Cetak Peta</t>
  </si>
  <si>
    <t>- belum mencapai karena belum adanya permintaan cetak peta.</t>
  </si>
  <si>
    <t>- tidak ada realisasi karena persaingan dengan pihak swasta.</t>
  </si>
  <si>
    <t>- Ijin Trayek</t>
  </si>
  <si>
    <t>Perda. No.4 Th 2011</t>
  </si>
  <si>
    <t>- belum tercapai karena berkurangnya angkutan umum dan meningkatnya kend. Pribadi.</t>
  </si>
  <si>
    <t>- belum ada payung hukum.</t>
  </si>
  <si>
    <t>- Perpanjangan IMTA</t>
  </si>
  <si>
    <t>Perda. No.10 Th 2013</t>
  </si>
  <si>
    <t>- tercapai banyaknya Perusahaan yg membutuhkan tenaga kerja asing.</t>
  </si>
  <si>
    <t>- tidak tercapai karena pengelolaan di alihkan ke Biro Umum</t>
  </si>
  <si>
    <t>- tercapai.</t>
  </si>
  <si>
    <t>- tidak tercapai karena pemakaian gedung lebih sering dipakai untuk kegiatan kedinasan skpd.</t>
  </si>
  <si>
    <t>- Tercapai</t>
  </si>
  <si>
    <t>- tercapai utk karcis museum karena sering mengadakan event, utk aula taman budaya tidak tercapai karena pelajar mendapat rekomendasi Sekda.</t>
  </si>
  <si>
    <t>- tidak ada realisasi karena sedang diadakan rehab wisma.</t>
  </si>
  <si>
    <t>- tidak tercapai secara keseluruhan karena lebih banyak dipakai utk kegiatan kedinasan, rendahnya tarif penyewaan dan masih adanya renovasi gedung.</t>
  </si>
  <si>
    <t>- tidak tercapai karena kurangnya monitoring thd obyek retribusi dan pembayaran sewa rumah dinas masih manual.</t>
  </si>
  <si>
    <t>- tidak tercapai karena berlakunya standar biaya perjalanan dinas PNS real cost dan dihapusnya makan minum tamu oleh Bappeda.</t>
  </si>
  <si>
    <t>- tercapai karena</t>
  </si>
  <si>
    <t>- Penjualan Produksi Usaha Daerah</t>
  </si>
  <si>
    <t>- belum tercapai karena belum saatnya musim tanam yg akan terjadi pada oktober s.d. Desember.</t>
  </si>
  <si>
    <t>- tidak tercapai karena proses sertifikasi benih dilaksanakan pd Nopember 2016.</t>
  </si>
  <si>
    <t>- tidak tercapai karena kurangnya sosialisasi kepada masyarakat.</t>
  </si>
  <si>
    <t>- Pelayanan Tera/Tera Ulang</t>
  </si>
  <si>
    <t>Perda. No.2 Th 2013</t>
  </si>
  <si>
    <t>- Ijin Usaha Perikanan</t>
  </si>
  <si>
    <t>Perda. No.1 Th 2010</t>
  </si>
  <si>
    <t>-</t>
  </si>
  <si>
    <t>- tercapai karena meningkatnya fasilitas sarana dan prasarana yg memadai.</t>
  </si>
  <si>
    <t>LAPORAN SKPD LINGKUP PEMERINTAH PROVINSI NUSA TENGGARA BARAT</t>
  </si>
  <si>
    <t>MENURUT JENIS RETRIBUSI DAERAH</t>
  </si>
  <si>
    <t xml:space="preserve">DATA TARGET RETRIBUSI, DANA PERIMBANGAN DAN PENDAPATAN LAINNYA </t>
  </si>
  <si>
    <t>NO</t>
  </si>
  <si>
    <t>URAIAN</t>
  </si>
  <si>
    <t>TARGET MURNI</t>
  </si>
  <si>
    <t>1</t>
  </si>
  <si>
    <t>PENERIMAAN PEMBIAYAAN</t>
  </si>
  <si>
    <t>TOTAL PENDAPATAN DAERAH</t>
  </si>
  <si>
    <t>1.</t>
  </si>
  <si>
    <t>DINAS PENDIDIKAN DAN KEBUDAYAAN</t>
  </si>
  <si>
    <t>RETRIBUSI JASA USAHA</t>
  </si>
  <si>
    <t>Retribusi Pemakaian Kekayaan Daerah</t>
  </si>
  <si>
    <t>Aula BPKBM</t>
  </si>
  <si>
    <t>Aula Taman Budaya (Eks Dinas Pariwisata)</t>
  </si>
  <si>
    <t>Museum (Eks Dinas Pariwisata)</t>
  </si>
  <si>
    <t>Retribusi Tempat Penginapan/Pesanggrahan/villa</t>
  </si>
  <si>
    <t>Wisma Seruni</t>
  </si>
  <si>
    <t>Penginapan Taman Budaya (Eks Dinas Pariwisata)</t>
  </si>
  <si>
    <t>LAIN-LAIN PAD YANG SAH</t>
  </si>
  <si>
    <t>Denda Keterlambatan Atas Pekerjaan</t>
  </si>
  <si>
    <t>Pend. dr Pengembalian kelebihan Pemb. Gaji &amp; Tunjangan</t>
  </si>
  <si>
    <t>Pend. dr Pengembalian kelebihan Pemb. Perjalanan Dinas</t>
  </si>
  <si>
    <t>Pendapatan dari Pengembalian LHP</t>
  </si>
  <si>
    <t>SP III</t>
  </si>
  <si>
    <t>Lain-lain (Dikpora)</t>
  </si>
  <si>
    <t>2.</t>
  </si>
  <si>
    <t xml:space="preserve">DINAS KESEHATAN </t>
  </si>
  <si>
    <t>Penjualan Hsl. Kebun RS.Sepolong</t>
  </si>
  <si>
    <t>Lain-lain (Dinas Kesehatan)</t>
  </si>
  <si>
    <t>BALAI KESEHATAN MATA MATARAM</t>
  </si>
  <si>
    <t>RETRIBUSI JASA UMUM</t>
  </si>
  <si>
    <t>Retribusi Pelayanan Kesehatan</t>
  </si>
  <si>
    <t>Lain-lain</t>
  </si>
  <si>
    <t xml:space="preserve">BALAI LABORATORIUM KESEHATAN </t>
  </si>
  <si>
    <t>- Balai Laboratorium Pulau Lombok</t>
  </si>
  <si>
    <t>AKPER SELONG</t>
  </si>
  <si>
    <t>Pendapatan BLUD</t>
  </si>
  <si>
    <t>Pendapatan BLUD Akper Selong</t>
  </si>
  <si>
    <t>Piutang SPP Mahasiswa</t>
  </si>
  <si>
    <t>BALAI PENGEMBANGAN TENAGA KESEHATAN MTR  (B A P E L K E S)</t>
  </si>
  <si>
    <t>Pemakaian Kekayaan Daerah (Aula/Kelas)</t>
  </si>
  <si>
    <t>Retribusi Tempat Penginapan/Pesanggrahan/ Villa</t>
  </si>
  <si>
    <t>RUMAH SAKIT UMUM H.L MANAMBAI ABDUL KADIR</t>
  </si>
  <si>
    <t>PENDAPATAN BLUD</t>
  </si>
  <si>
    <t>Pendapatan BLUD Rumah Sakit Daerah</t>
  </si>
  <si>
    <t>Balai Laboratorium Pulau Sumbawa (Eks UPT Dikes)</t>
  </si>
  <si>
    <t>RUMAH SAKIT UMUM PROVINSI</t>
  </si>
  <si>
    <t>3.</t>
  </si>
  <si>
    <t>RUMAH SAKIT JIWA MUTIARA SUKMA</t>
  </si>
  <si>
    <t>Pendapatan BLUD Rumah Sakit Jiwa</t>
  </si>
  <si>
    <t>Piutang Jamkesmas, Bansos dan BPJS</t>
  </si>
  <si>
    <t>4.</t>
  </si>
  <si>
    <t>DINAS PEKERJAAN UMUM DAN TATA RUANG</t>
  </si>
  <si>
    <t>RETRIBUSI DAERAH</t>
  </si>
  <si>
    <t>Retribusi Jasa Umum</t>
  </si>
  <si>
    <t>Retribusi Penggantian Biaya Cetak Peta</t>
  </si>
  <si>
    <t>Retribusi Jasa Usaha</t>
  </si>
  <si>
    <t>Retribusi Penggunaan Alat Berat</t>
  </si>
  <si>
    <t>Retribusi Laboratorium</t>
  </si>
  <si>
    <t>5.</t>
  </si>
  <si>
    <t>BADAN PERENCANAAN PEMBANGUNAN PENELITIAN DAN PD</t>
  </si>
  <si>
    <t>6.</t>
  </si>
  <si>
    <t>DINAS PERHUBUNGAN</t>
  </si>
  <si>
    <t>Retribusi Perijinan Tertentu</t>
  </si>
  <si>
    <t>Retribusi Izin Trayek</t>
  </si>
  <si>
    <t>Mobil Bus Umum</t>
  </si>
  <si>
    <t>Mobil Penumpang Taxi</t>
  </si>
  <si>
    <t xml:space="preserve">Pendapatan Denda Retribusi Perizinan Tertentu </t>
  </si>
  <si>
    <t>7.</t>
  </si>
  <si>
    <t>DINAS LINGKUNGAN HIDUP DAN KEHUTANAN</t>
  </si>
  <si>
    <t>- TEMPAT WISATA DAN OLAH RAGA</t>
  </si>
  <si>
    <t>8.</t>
  </si>
  <si>
    <t>DINAS PENANAMAN MODAL DAN PTSP</t>
  </si>
  <si>
    <t>9.</t>
  </si>
  <si>
    <t xml:space="preserve">DINAS SOSIAL </t>
  </si>
  <si>
    <t>- Sewa Aula Panti Sosial Petirahan Anak Putra Utama</t>
  </si>
  <si>
    <t>- Wisma tamu PSTW Meci Angi Bima</t>
  </si>
  <si>
    <t>Lain-lain Pendapatan Daerah yang Sah</t>
  </si>
  <si>
    <t>SP III/Iuran Kesos</t>
  </si>
  <si>
    <t>10.</t>
  </si>
  <si>
    <t>DINAS TENAGA KERJA DAN TRANSMIGRASI</t>
  </si>
  <si>
    <r>
      <rPr>
        <sz val="10"/>
        <rFont val="Arial"/>
        <family val="2"/>
      </rPr>
      <t xml:space="preserve">Hyperkes </t>
    </r>
    <r>
      <rPr>
        <i/>
        <u/>
        <sz val="10"/>
        <rFont val="Arial"/>
        <family val="2"/>
      </rPr>
      <t>(pemakaian kekayaan daerah)</t>
    </r>
  </si>
  <si>
    <r>
      <rPr>
        <sz val="10"/>
        <rFont val="Calibri"/>
        <family val="2"/>
      </rPr>
      <t xml:space="preserve">Sewa Mess BLK dan Balai Trans </t>
    </r>
    <r>
      <rPr>
        <i/>
        <u/>
        <sz val="10"/>
        <rFont val="Calibri"/>
        <family val="2"/>
      </rPr>
      <t>(penginapan)</t>
    </r>
  </si>
  <si>
    <t>Pelayanan Perpanjangan IMTA</t>
  </si>
  <si>
    <t>Jasa Pengiriman TKI</t>
  </si>
  <si>
    <t>Hibah Pihak Ketiga</t>
  </si>
  <si>
    <t>Lain-lain Pendapatan yang sah (BLK)</t>
  </si>
  <si>
    <t>Jasa Pelayanan TKI</t>
  </si>
  <si>
    <t>11.</t>
  </si>
  <si>
    <t xml:space="preserve">DINAS KOPERASI DAN UKM </t>
  </si>
  <si>
    <t>Sewa Gedung Balatkop</t>
  </si>
  <si>
    <t>Diklat Koperasi</t>
  </si>
  <si>
    <t>Hibah Pihak III</t>
  </si>
  <si>
    <t>Jasa Pelayanan Koperasi</t>
  </si>
  <si>
    <t>Dana Pembangunan Daerah Kerja</t>
  </si>
  <si>
    <t>12.</t>
  </si>
  <si>
    <t>DINAS PEMBERDAYAAN MASYARAKAT, PEMDES, DUKCAPIL</t>
  </si>
  <si>
    <t>13.</t>
  </si>
  <si>
    <t xml:space="preserve">DINAS PARIWISATA       </t>
  </si>
  <si>
    <t>14.</t>
  </si>
  <si>
    <t>BADAN KESATUAN BANGSA DAN POLITIK DALAM NEGERI</t>
  </si>
  <si>
    <t>15.</t>
  </si>
  <si>
    <t xml:space="preserve">SEKRETARIS DAERAH </t>
  </si>
  <si>
    <t>a.</t>
  </si>
  <si>
    <t>BIRO UMUM</t>
  </si>
  <si>
    <t xml:space="preserve">Sewa Pemakaian Graha Bhakti Praja  </t>
  </si>
  <si>
    <t>Sewa Pemakaian Sangkareang</t>
  </si>
  <si>
    <t>Sewa Pemakaian VIP Bandara</t>
  </si>
  <si>
    <t>b.</t>
  </si>
  <si>
    <t>BIRO PEMERINTAHAN</t>
  </si>
  <si>
    <t>c.</t>
  </si>
  <si>
    <t>BIRO KESEJAHTERAAN RAKYAT</t>
  </si>
  <si>
    <t>d.</t>
  </si>
  <si>
    <t>BIRO ADMINISTRASI PENGENDALIAN PEMBANGUNAN &amp; LPBJP</t>
  </si>
  <si>
    <t>e</t>
  </si>
  <si>
    <t>BIRO ORGANISASI</t>
  </si>
  <si>
    <t>Penerimaan kembali dana LUEP (SP III)</t>
  </si>
  <si>
    <t>f</t>
  </si>
  <si>
    <t>BIRO PEREKONOMIAN</t>
  </si>
  <si>
    <t>g</t>
  </si>
  <si>
    <t>BIRO HUMAS DAN PROTOKOL</t>
  </si>
  <si>
    <t>16.</t>
  </si>
  <si>
    <t xml:space="preserve">SEKRETARIAT DPRD    </t>
  </si>
  <si>
    <t>17.</t>
  </si>
  <si>
    <t>BADAN PENGELOLAAN KEUANGAN DAN ASET DAERAH (BPKAD)</t>
  </si>
  <si>
    <t>selisih ada di reimburst</t>
  </si>
  <si>
    <t>&lt;&lt;&gt;&gt;</t>
  </si>
  <si>
    <t>PENDAPATAN ASLI DAERAH</t>
  </si>
  <si>
    <t>RETRIBUSI PEMAKAIAN KEKAYAAN DAERAH</t>
  </si>
  <si>
    <t>Sewa Tanah Bangunan</t>
  </si>
  <si>
    <t>- Sewa Tanah</t>
  </si>
  <si>
    <t>- Sewa Tanah dan Bangunan</t>
  </si>
  <si>
    <t>Sewa Rumah Dinas</t>
  </si>
  <si>
    <t>Kerjasama Pemanfaatan Aset</t>
  </si>
  <si>
    <t>- Kerjasama dengan PT. GTI (gili terawangan)</t>
  </si>
  <si>
    <t>- Kerjasama dengan PT. GEIC (lapangan golf narmada)</t>
  </si>
  <si>
    <t>- Kerjasama dg PT. Rajawali Adi Senggigi (pasar seni senggigi)</t>
  </si>
  <si>
    <t>- Kerjasama dg PT. Anasia Nusantara Tangkong (gili tangkong)</t>
  </si>
  <si>
    <t>- Penerimaan Pengalihan HGB diatas HPL</t>
  </si>
  <si>
    <t>SEWA LAHAN PERKEBUNAN (eks lahan Disbun)</t>
  </si>
  <si>
    <t>HASIL PENGELOLAAN KEKAYAAN DAERAH YANG DIPISAHKAN</t>
  </si>
  <si>
    <t>Bag. Laba atas penyertaan modal pd Perusahaan Milik Daerah/BUMD</t>
  </si>
  <si>
    <t>Perusahaan Daerah/BUMD</t>
  </si>
  <si>
    <t>PD. BPR NTB</t>
  </si>
  <si>
    <t>Bank NTB/Deviden</t>
  </si>
  <si>
    <t>PT. Gerbang NTB Emas</t>
  </si>
  <si>
    <t>PT. Daerah Mandiri Bersaing (DMB)</t>
  </si>
  <si>
    <t>Deviden PT. Suara Nusa Media Pratama</t>
  </si>
  <si>
    <t>PT. Jam Krida</t>
  </si>
  <si>
    <t>PT. Bangun Askrida</t>
  </si>
  <si>
    <t>Bagian Laba dari Investasi</t>
  </si>
  <si>
    <t>Bagian Laba dari investasi proyek pembangunan apron dan taxiway</t>
  </si>
  <si>
    <t>&gt;&gt;</t>
  </si>
  <si>
    <t xml:space="preserve">Hasil Penjualan Aset Daerah Yang Tidak Dipisahkan </t>
  </si>
  <si>
    <t>Pelepasan Hak Atas Tanah</t>
  </si>
  <si>
    <t>Penjualan Peralatan/Perlengkapan Kantor Tdk Terpakai</t>
  </si>
  <si>
    <t>Penjualan Mesin/Alat Berat Tidak Terpakai</t>
  </si>
  <si>
    <t>Penjualan Rumah Jabatan/Rumah Dinas</t>
  </si>
  <si>
    <t>Penjualan Bahan-Bahan Bekas bangunan</t>
  </si>
  <si>
    <t>Jasa Giro</t>
  </si>
  <si>
    <t>Jasa Giro Kas Daerah</t>
  </si>
  <si>
    <t>Jasa Giro Pemegang Kas</t>
  </si>
  <si>
    <t>Pendapatan Bunga</t>
  </si>
  <si>
    <t>Rekening Deposito pada Bank NTB</t>
  </si>
  <si>
    <t>Tuntutan Ganti Rugi</t>
  </si>
  <si>
    <t>Kerugian Uang Daerah</t>
  </si>
  <si>
    <t>Kerugian Barang Daerah</t>
  </si>
  <si>
    <t>Pendapatan Denda Retribusi</t>
  </si>
  <si>
    <t>Pendapatan Denda Retribusi Jasa Usaha</t>
  </si>
  <si>
    <t>Pendapatan dari Pengembalian</t>
  </si>
  <si>
    <t>Biro Keuangan</t>
  </si>
  <si>
    <t>Dinas Koperasi dan UKM</t>
  </si>
  <si>
    <t>RSU Provinsi</t>
  </si>
  <si>
    <r>
      <rPr>
        <sz val="10"/>
        <rFont val="Calibri"/>
        <family val="2"/>
      </rPr>
      <t xml:space="preserve">Pendapatan dari Pengembalian </t>
    </r>
    <r>
      <rPr>
        <b/>
        <sz val="10"/>
        <rFont val="Calibri"/>
        <family val="2"/>
      </rPr>
      <t>REIMBURST</t>
    </r>
  </si>
  <si>
    <t>- Reimburst Prem Indie Fase II</t>
  </si>
  <si>
    <t>- Insentif Prem Indi Fase I</t>
  </si>
  <si>
    <t>- Kekurangan Fase I</t>
  </si>
  <si>
    <t>Pendapatan dari Angsuran/Cicilan Penjualan</t>
  </si>
  <si>
    <t>Angsuran/Cicilan Penjualan Rumah</t>
  </si>
  <si>
    <t>Angsuran/cicilan penjualan Rumdis Golongan III</t>
  </si>
  <si>
    <t>Angsuran/Cicilan Penjualan Kendaraan</t>
  </si>
  <si>
    <t>Kendaraan Dinas Roda 2</t>
  </si>
  <si>
    <t>Kendaraan Dinas Roda 4</t>
  </si>
  <si>
    <t>DANA PERIMBANGAN</t>
  </si>
  <si>
    <t>4.2.1.</t>
  </si>
  <si>
    <t>DANA BAGI HASIL PAJAK/BAGI HASIL BUKAN PAJAK</t>
  </si>
  <si>
    <t>Bagi Hasil Pajak</t>
  </si>
  <si>
    <t>Bagi Hasil Pajak Bumi dan Bangunan</t>
  </si>
  <si>
    <t>Bagi Hasil dari Bea Perolehan Hak Atas Tanah dan Bangunan</t>
  </si>
  <si>
    <t>Bagi Hasil dari Pajak Penghasilan (PPh) Pasal 25 dan Pasal 29</t>
  </si>
  <si>
    <t>wajb pajak orang pribadi dalam negeri dan PPh Pasal 21</t>
  </si>
  <si>
    <t>Bagi Hasil Cukai Tembakau</t>
  </si>
  <si>
    <t>Bagi Hasil Bukan Pajak/Sumber Daya Alam</t>
  </si>
  <si>
    <t>Bagi Hasil dari Iuran Hak Pengusahaan Hutan</t>
  </si>
  <si>
    <t>Bagi Hasil dari Iuran Tetap (Land-Rent)</t>
  </si>
  <si>
    <t>Bagi Hasil dari Iuran Eksplorasi dan Iuran Eksploitasi (Royalty)</t>
  </si>
  <si>
    <t>4.2.2</t>
  </si>
  <si>
    <t>DANA ALOKASI UMUM</t>
  </si>
  <si>
    <t>Dana Alokai Umum</t>
  </si>
  <si>
    <t>DAU Murni</t>
  </si>
  <si>
    <t>Penambahan DAU Akibat Penundaan</t>
  </si>
  <si>
    <t>4.2.3</t>
  </si>
  <si>
    <t>DANA ALOKASI KHUSUS</t>
  </si>
  <si>
    <t>Dana Alokasi Khusus</t>
  </si>
  <si>
    <t>DAK Murni Non Fisik</t>
  </si>
  <si>
    <t>- BOS</t>
  </si>
  <si>
    <t>- Tunjangan Profesi Guru</t>
  </si>
  <si>
    <t>- Tambahan Penghasilan</t>
  </si>
  <si>
    <t>- Koperasi UKM</t>
  </si>
  <si>
    <t>- Dinas Sosial Kependudukan</t>
  </si>
  <si>
    <t>DAK Fisik</t>
  </si>
  <si>
    <t>4.3.1</t>
  </si>
  <si>
    <t>LAIN-LAIN PENDAPATAN DAERAH YANG SAH</t>
  </si>
  <si>
    <t>PENDAPATAN HIBAH</t>
  </si>
  <si>
    <t>Pendapatan Hibah dari Pemerintah</t>
  </si>
  <si>
    <t>Pemerintah</t>
  </si>
  <si>
    <t>Pendapatan Hibah dari Badan/Lembaga/Organisasi Swasta</t>
  </si>
  <si>
    <t xml:space="preserve">Badan/Lembaga/Organisasi Swasta </t>
  </si>
  <si>
    <t>Dinas Sosial Kependudukan &amp; Capil</t>
  </si>
  <si>
    <t>Sumbangan Pihak III/Iuran Kesos</t>
  </si>
  <si>
    <t>Dinas Tenaga Kerja dan Transmigrasi</t>
  </si>
  <si>
    <t>Lain-lain (Jasa Pengiriman TKI)</t>
  </si>
  <si>
    <t>Lain-lain Pendapatan yang Sah (BLK)</t>
  </si>
  <si>
    <t>- Hibah Pihak Ketiga</t>
  </si>
  <si>
    <t>- JasaPelayan Koperasi</t>
  </si>
  <si>
    <t>- Dana Pembangunan Daerah Kerja</t>
  </si>
  <si>
    <t>Dinas Pariwisata</t>
  </si>
  <si>
    <t>Badan Pemberdayaan Perempuan dan KB</t>
  </si>
  <si>
    <t>Badan Pengelolaan Pendapatan Daerah (BAPPENDA)</t>
  </si>
  <si>
    <t>- Hibah PT. Jasa Raharja</t>
  </si>
  <si>
    <t>- Hibah Pihak Ketiga (Kontribusi Dealer)</t>
  </si>
  <si>
    <t>Dinas Perkebunan</t>
  </si>
  <si>
    <t>Pendapatan Hibah dari Kelompok Masyarakat/Perorangan</t>
  </si>
  <si>
    <t>Kelompok Masyarakat/Perorangan</t>
  </si>
  <si>
    <t>Badan Perpustakaan Daerah</t>
  </si>
  <si>
    <t>- Denda Buku</t>
  </si>
  <si>
    <t>- Lain-lain</t>
  </si>
  <si>
    <t>- Islamic Center</t>
  </si>
  <si>
    <t>4.3.4</t>
  </si>
  <si>
    <t>DANA PENYESUAIAN DAN OTONOMI KHUSUS</t>
  </si>
  <si>
    <t>Dana Penyesuaian</t>
  </si>
  <si>
    <t>Dana Penyesuaian BOS</t>
  </si>
  <si>
    <t>Dana Penyesuaian (BOS,DID,DTP)</t>
  </si>
  <si>
    <t>- Dana Tambahan Penghasilan Guru PNSD</t>
  </si>
  <si>
    <t>- Dana Insentif Daerah</t>
  </si>
  <si>
    <t>Dana Penyesuaian (DP) III</t>
  </si>
  <si>
    <t>- Dana BOS</t>
  </si>
  <si>
    <t>18.</t>
  </si>
  <si>
    <t>SATUAN POLISI PAMONG PRAJA</t>
  </si>
  <si>
    <t>19.</t>
  </si>
  <si>
    <t xml:space="preserve">BADAN PENGHUBUNG PROVINSI NTB  </t>
  </si>
  <si>
    <t>Retribusi Tempat Penginapan/Pesanggrahan/Villa</t>
  </si>
  <si>
    <t>20.</t>
  </si>
  <si>
    <t xml:space="preserve"> BADAN PENGELOLAAN PENDAPATAN DAERAH (BAPPENDA)</t>
  </si>
  <si>
    <t>Pendapatan Denda Pajak</t>
  </si>
  <si>
    <t>&gt;</t>
  </si>
  <si>
    <t>Denda PKB</t>
  </si>
  <si>
    <t>Samsat Mataram</t>
  </si>
  <si>
    <t>Samsat Praya</t>
  </si>
  <si>
    <t>Samsat Selong</t>
  </si>
  <si>
    <t>Samsat Sumbawa</t>
  </si>
  <si>
    <t>Samsat Bima</t>
  </si>
  <si>
    <t>Samsat Dompu</t>
  </si>
  <si>
    <t>Samsat Lombok Barat</t>
  </si>
  <si>
    <t>Samsat Sumbawa Barat</t>
  </si>
  <si>
    <t>Samsat Kab.Lombok Utara</t>
  </si>
  <si>
    <t>Denda BBNKB</t>
  </si>
  <si>
    <t>Dipenda Prov. NTB</t>
  </si>
  <si>
    <t>Lain-lain Penerimaan</t>
  </si>
  <si>
    <t>Lain-lain (Jasa Raharja)</t>
  </si>
  <si>
    <t>SP III (Dealer)</t>
  </si>
  <si>
    <t>Denda Keterlambatan</t>
  </si>
  <si>
    <t>21.</t>
  </si>
  <si>
    <t>BADAN PENGEMBANGAN SUMBERDAYA MANUSIA (Eks BKD &amp; Diklat)</t>
  </si>
  <si>
    <t>- Sewa Aula BIKD</t>
  </si>
  <si>
    <t xml:space="preserve">- Sewa Kelas </t>
  </si>
  <si>
    <t>Pendapatan dari Penyelenggaraan Pendidikan</t>
  </si>
  <si>
    <t>- Diklat PIM III dan IV</t>
  </si>
  <si>
    <t>- Diklat Prajabatan</t>
  </si>
  <si>
    <t>- Diklat Pembentukan Arsiparis Ahli Kab/Kota</t>
  </si>
  <si>
    <t>22.</t>
  </si>
  <si>
    <t>DINAS KETAHANAN PANGAN</t>
  </si>
  <si>
    <t>23.</t>
  </si>
  <si>
    <t>DINAS PERPUSTAKAAN DAN KEARSIPAN</t>
  </si>
  <si>
    <t>Denda Buku (hibah perorangan)</t>
  </si>
  <si>
    <t>SP III (HIBAH PIHAK KE III)</t>
  </si>
  <si>
    <t>24.</t>
  </si>
  <si>
    <t xml:space="preserve">DINAS PERTANIAN DAN PERKEBUNAN    </t>
  </si>
  <si>
    <t>- Sewa Gedung Balai Diklat Pertanian</t>
  </si>
  <si>
    <t>RETRIBUSI PENJUALAN PRODUKSI USAHA DAERAH</t>
  </si>
  <si>
    <t>UPB Peninjauan</t>
  </si>
  <si>
    <t>UPB Puyung</t>
  </si>
  <si>
    <t>UPB Uthan</t>
  </si>
  <si>
    <t>BKUT Kotaraja</t>
  </si>
  <si>
    <t>UPB Kesik</t>
  </si>
  <si>
    <t>UPB Sedau</t>
  </si>
  <si>
    <t>UPB Santong</t>
  </si>
  <si>
    <t>Kebun Timbanuh</t>
  </si>
  <si>
    <t>Kerjasama dengan penangkar</t>
  </si>
  <si>
    <t>Hasil Kebun (SPPN Mataram)</t>
  </si>
  <si>
    <t>Lain-lain (Sertifikasi Benih)</t>
  </si>
  <si>
    <t>Lain-lain Penerimaan yang Syah (BPSB, TPH )</t>
  </si>
  <si>
    <t>25.</t>
  </si>
  <si>
    <t>DINAS PETERNAKAN DAN KESEHATAN HEWAN</t>
  </si>
  <si>
    <t>Uji Lab. Keswan</t>
  </si>
  <si>
    <t>Poskeswan Swadaya dan RSH Gunungsari/banyumulek</t>
  </si>
  <si>
    <t>Holding Ground Lembar</t>
  </si>
  <si>
    <t>RPH Banyumulek</t>
  </si>
  <si>
    <t>Retribusi Penjualan Produksi Usaha Daerah</t>
  </si>
  <si>
    <t>Penj. Sapi fetening</t>
  </si>
  <si>
    <t>Inseminasi buatan BLPKH Banyumulek</t>
  </si>
  <si>
    <t>Penj. HMT BPTHMT Serading Sumbawa</t>
  </si>
  <si>
    <t>Penj.Ternak tdk layak bibit Serading</t>
  </si>
  <si>
    <t xml:space="preserve">Penj. Susu &amp; Sapi perah non produktif BIB </t>
  </si>
  <si>
    <t>Penj. Ayam Pedaging BIB Banyumulek</t>
  </si>
  <si>
    <t>Penj. Daging RPH Banyumulek</t>
  </si>
  <si>
    <t>Sisa Tagihan Bunga Dana Bergulir Tenak Sapi</t>
  </si>
  <si>
    <t>26.</t>
  </si>
  <si>
    <t xml:space="preserve">DINAS ENERGI DAN SUMBERDAYA MINERAL   </t>
  </si>
  <si>
    <t>27.</t>
  </si>
  <si>
    <t>DINAS KELAUTAN DAN PERIKANAN</t>
  </si>
  <si>
    <t xml:space="preserve">Retribusi Jasa Usaha </t>
  </si>
  <si>
    <t>KPP Labuan Lombok</t>
  </si>
  <si>
    <t>BPPI Tanjung Luar</t>
  </si>
  <si>
    <t>BLPMHP Mataram</t>
  </si>
  <si>
    <t>PPI Tanjung Luar</t>
  </si>
  <si>
    <t>PPI Sape Bima</t>
  </si>
  <si>
    <t>Balai Pembibitan Benih Perikanan Pantai (BPBPP)Sekotong</t>
  </si>
  <si>
    <t>PPI Teluk Santong Sumbawa</t>
  </si>
  <si>
    <t>BPPI Labuan Lalar</t>
  </si>
  <si>
    <t>BBI Air Payau Meninting</t>
  </si>
  <si>
    <t>BPBIAT Aikmel</t>
  </si>
  <si>
    <t>BBI Batu kumbung</t>
  </si>
  <si>
    <t>BBI Lingsar</t>
  </si>
  <si>
    <t>Matua</t>
  </si>
  <si>
    <t>BBI Rade Bima</t>
  </si>
  <si>
    <t>BBI Taliwang</t>
  </si>
  <si>
    <t>BPBPP Sekotong</t>
  </si>
  <si>
    <t>Retribusi Izin Usaha Perikanan</t>
  </si>
  <si>
    <t>28.</t>
  </si>
  <si>
    <t>DINAS PERDAGANGAN</t>
  </si>
  <si>
    <t>Retribusi Pelayanan Tera/Tera Ulang(UTTP)</t>
  </si>
  <si>
    <t>????, tidak ada di target</t>
  </si>
  <si>
    <t>29.</t>
  </si>
  <si>
    <t>DINAS PERINDUSTRIAN</t>
  </si>
  <si>
    <t>30.</t>
  </si>
  <si>
    <t>INSPEKTORAT PROVINSI NTB</t>
  </si>
  <si>
    <t>31.</t>
  </si>
  <si>
    <t>DINAS KOMUNIKASI , INFORMATIKA DAN STATISTIK</t>
  </si>
  <si>
    <t>32.</t>
  </si>
  <si>
    <t>DINAS PERUMAHAN DAN PERMUKIMAN</t>
  </si>
  <si>
    <t>33</t>
  </si>
  <si>
    <t>BADAN KEPEGAWAIAN DAERAH</t>
  </si>
  <si>
    <t>34</t>
  </si>
  <si>
    <t>BADAN PENANGGULANGAN BENCANA</t>
  </si>
  <si>
    <t>35</t>
  </si>
  <si>
    <t>DINAS PEMBERDAYAAN PEREMPUAN, PERLINDUNGAN ANAK DAN PP</t>
  </si>
  <si>
    <t>36</t>
  </si>
  <si>
    <t>DINAS PEMUDA DAN OLAH RAGA</t>
  </si>
  <si>
    <t>Retribusi Daerah</t>
  </si>
  <si>
    <t>Retribusi Tempat Olah raga dan Wisata</t>
  </si>
  <si>
    <t xml:space="preserve">J U M L A H   T O T A L   .  .  .  .  .  .  .  .  .  .  . </t>
  </si>
  <si>
    <t>DATA TARGET RETRIBUSI, DANA PERIMBANGAN DAN PENDAPATAN LAINNYA TAHUN 2017</t>
  </si>
  <si>
    <t>TARGET MURNI 2017</t>
  </si>
  <si>
    <t>JANUARI</t>
  </si>
  <si>
    <t>PEBRUARI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</si>
  <si>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</si>
  <si>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</si>
  <si>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</si>
  <si>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</si>
  <si>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</si>
  <si>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</si>
  <si>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</si>
  <si>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</si>
  <si>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NOPEMBER</t>
  </si>
  <si>
    <t>DESEMBER</t>
  </si>
  <si>
    <t>SAMPAI DENGAN BULAN INI</t>
  </si>
  <si>
    <t>LEBIH KURANG</t>
  </si>
  <si>
    <t>REALISASI RETRIBUSI, DANA PERIMBANGAN DAN PENDAPATAN LAINNYA BULAN MARET TAHUN 2017</t>
  </si>
  <si>
    <t>BULAN LALU</t>
  </si>
  <si>
    <t>BULAN INI</t>
  </si>
  <si>
    <t>S.D. BULAN INI</t>
  </si>
  <si>
    <t>KODE REKENING</t>
  </si>
  <si>
    <t>KEKAYAAN</t>
  </si>
  <si>
    <t>01</t>
  </si>
  <si>
    <t>02</t>
  </si>
  <si>
    <t>PENGINAPAN</t>
  </si>
  <si>
    <t>03</t>
  </si>
  <si>
    <t>06</t>
  </si>
  <si>
    <t>PRODUKSI</t>
  </si>
  <si>
    <t>4</t>
  </si>
  <si>
    <t>10</t>
  </si>
  <si>
    <t>04</t>
  </si>
  <si>
    <t>PELKES</t>
  </si>
  <si>
    <t>15</t>
  </si>
  <si>
    <t>08</t>
  </si>
  <si>
    <t>16</t>
  </si>
  <si>
    <t>ANGKA RSUD</t>
  </si>
  <si>
    <t>05</t>
  </si>
  <si>
    <t>Retribusi Tempat Wisata dan Olahraga</t>
  </si>
  <si>
    <t>DINAS PENANAMAN MODAL DAN PT SATU PINTU</t>
  </si>
  <si>
    <t>Surat Ijin Usaha Perikanan</t>
  </si>
  <si>
    <t>Mobil Penumpang Taxi/Bus Umum</t>
  </si>
  <si>
    <t>07</t>
  </si>
  <si>
    <t>3</t>
  </si>
  <si>
    <t>BPKAD</t>
  </si>
  <si>
    <t>13</t>
  </si>
  <si>
    <t>2</t>
  </si>
  <si>
    <t>PSDH</t>
  </si>
  <si>
    <t>BPKAD PROV. NTB</t>
  </si>
  <si>
    <t>DINAS PERTANIAN DAN PERKEBUNAN</t>
  </si>
  <si>
    <t>BADAN PENGELOLAAN PENDAPATAN DAERAH (BAPPENDA)</t>
  </si>
  <si>
    <t>Samsat Kota Bima</t>
  </si>
  <si>
    <t>Samsat Kab. Bima</t>
  </si>
  <si>
    <t>- Sewa Tempat penginapan BKD</t>
  </si>
  <si>
    <t>- Sewa Aula BKD</t>
  </si>
  <si>
    <t>Ret</t>
  </si>
  <si>
    <t>LLPAD</t>
  </si>
  <si>
    <t>LHP</t>
  </si>
  <si>
    <t>lain-lain</t>
  </si>
  <si>
    <t>PERKOMPONEN</t>
  </si>
  <si>
    <t>TARGET 2016</t>
  </si>
  <si>
    <t>REALISASI 2016</t>
  </si>
  <si>
    <t>Rencana Target</t>
  </si>
  <si>
    <t>Bertambah/ Berkurang</t>
  </si>
  <si>
    <t>Ket</t>
  </si>
  <si>
    <t>S.D. BULAN LALU</t>
  </si>
  <si>
    <t>S.D. Triwulan I</t>
  </si>
  <si>
    <t>Perubahan 2017</t>
  </si>
  <si>
    <t>5</t>
  </si>
  <si>
    <t>6</t>
  </si>
  <si>
    <t>7</t>
  </si>
  <si>
    <t>8</t>
  </si>
  <si>
    <t>9</t>
  </si>
  <si>
    <t>BALAI LAB. KESEHATAN PULAU LOMBOK</t>
  </si>
  <si>
    <t>Retribusi Pelayanan Tera/Tera Ulang (DINAS PERDAGANGAN)</t>
  </si>
  <si>
    <t xml:space="preserve">Retribusi Biaya Cetak Peta </t>
  </si>
  <si>
    <t>Dinas PU</t>
  </si>
  <si>
    <t>DINAS PEKERJAAN UMUM &amp; TATA RUANG</t>
  </si>
  <si>
    <t>Ret.Penggunaan Alat Berat</t>
  </si>
  <si>
    <t>Ret. Pengujian Laboratorium</t>
  </si>
  <si>
    <t>DINAS SOSIAL KEPENDUDUKAN &amp; CATATAN SIPIL</t>
  </si>
  <si>
    <t>Sewa Aula PSBR Karya Putra</t>
  </si>
  <si>
    <t xml:space="preserve">DINAS KOPERASI &amp; UKM </t>
  </si>
  <si>
    <t>DINAS PARIWISATA</t>
  </si>
  <si>
    <t>Sewa Aula Taman Budaya</t>
  </si>
  <si>
    <t xml:space="preserve">Museum </t>
  </si>
  <si>
    <t>Penginapan Taman Budaya</t>
  </si>
  <si>
    <t>SEWA AULA RINJANI</t>
  </si>
  <si>
    <t>SEWA KELAS</t>
  </si>
  <si>
    <t xml:space="preserve">Graha Bhakti Praja  </t>
  </si>
  <si>
    <t>Sangkareang</t>
  </si>
  <si>
    <t>VIP Bandara</t>
  </si>
  <si>
    <t>Sewa Tanah</t>
  </si>
  <si>
    <t>Kerjasama Pemamfaatan Asset</t>
  </si>
  <si>
    <t>Kerjasama dengan PT. GTI (gili terawangan)</t>
  </si>
  <si>
    <t>Kerjasama dengan PT. GEIC (lapangan golf narmada)</t>
  </si>
  <si>
    <t>Kerjasama dg PT. Rajawali Adi Senggigi (pasar seni senggigi)</t>
  </si>
  <si>
    <t>Kerjasama dg PT. Anasia Nusantara Tangkong (gili tangkong)</t>
  </si>
  <si>
    <t>Penerimaan Pengalihan HGB diatas PHL</t>
  </si>
  <si>
    <t>Lab. Hepatika</t>
  </si>
  <si>
    <t>Kimia Farma</t>
  </si>
  <si>
    <t>Sewa Tower (Eks. Perindag.)</t>
  </si>
  <si>
    <t>BPKAD (biro keuangan setda prov. Ntb)</t>
  </si>
  <si>
    <t>PEMAKAIAN KEKAYAAN DAERAH</t>
  </si>
  <si>
    <t>SEWA TANAH BANGUNAN</t>
  </si>
  <si>
    <t>- SEWA TANAH</t>
  </si>
  <si>
    <t>- SEWA TANAH &amp; BANGUNAN</t>
  </si>
  <si>
    <t>- SEWA RUMAH DINAS</t>
  </si>
  <si>
    <t>KERJASAMA PEMAMFAATAN ASSET</t>
  </si>
  <si>
    <t xml:space="preserve">DINAS PERKEBUNAN      </t>
  </si>
  <si>
    <t>Sewa Tanah Perkebunan</t>
  </si>
  <si>
    <t>Sewa Tanah Eks PTP</t>
  </si>
  <si>
    <t>Poskeswan Swadaya dan RSH Gunungsari</t>
  </si>
  <si>
    <t>Holding Ground</t>
  </si>
  <si>
    <t xml:space="preserve">DINAS PERIKANAN DAN KELAUTAN    </t>
  </si>
  <si>
    <t xml:space="preserve">DINAS TENAGA KERJA DAN  TRANSMIGRASI     </t>
  </si>
  <si>
    <t>HYPERKES</t>
  </si>
  <si>
    <t>BPTK MATARAM</t>
  </si>
  <si>
    <t>Kelas</t>
  </si>
  <si>
    <t>Ret.Tempat Penginapan (Sewa Mess BLK)</t>
  </si>
  <si>
    <t xml:space="preserve">DINAS PENDIDIKAN DAN KEBUDAYAAN   </t>
  </si>
  <si>
    <t>KANTOR PENGHUBUNG PROV. NTB</t>
  </si>
  <si>
    <t>Balai Diklat Pertanian</t>
  </si>
  <si>
    <t>DINAS KESEHATAN</t>
  </si>
  <si>
    <t>Penjualan Hsl.Kebun RS.Sepolong (dialihkan ke Biro umum)</t>
  </si>
  <si>
    <t xml:space="preserve">PEMAKAIAN KEKAYAAN DAERAH </t>
  </si>
  <si>
    <t>Bunga Cengkeh</t>
  </si>
  <si>
    <t>Bibit Kelapa Dalam</t>
  </si>
  <si>
    <t>Penjualan kelapa hibrida</t>
  </si>
  <si>
    <t>Sertifikasi Benih</t>
  </si>
  <si>
    <t>DINAS PETERNAKAN DAN KESWAN</t>
  </si>
  <si>
    <t xml:space="preserve">Retribusi Perijinan Tertentu </t>
  </si>
  <si>
    <r>
      <rPr>
        <sz val="10"/>
        <rFont val="Calibri"/>
        <family val="2"/>
      </rPr>
      <t xml:space="preserve">Mobil Bus Umum </t>
    </r>
    <r>
      <rPr>
        <i/>
        <sz val="10"/>
        <color rgb="FFFF0000"/>
        <rFont val="Calibri"/>
        <family val="2"/>
      </rPr>
      <t>(dinas perhubungan)</t>
    </r>
  </si>
  <si>
    <r>
      <rPr>
        <sz val="10"/>
        <rFont val="Calibri"/>
        <family val="2"/>
      </rPr>
      <t xml:space="preserve">Mobil Penumpang Taxi </t>
    </r>
    <r>
      <rPr>
        <i/>
        <sz val="10"/>
        <color rgb="FFFF0000"/>
        <rFont val="Calibri"/>
        <family val="2"/>
      </rPr>
      <t>(dinas perhubungan)</t>
    </r>
  </si>
  <si>
    <r>
      <rPr>
        <sz val="10"/>
        <rFont val="Calibri"/>
        <family val="2"/>
      </rPr>
      <t xml:space="preserve">Mobil Penumpang Taxi </t>
    </r>
    <r>
      <rPr>
        <i/>
        <sz val="10"/>
        <color rgb="FFFF0000"/>
        <rFont val="Calibri"/>
        <family val="2"/>
      </rPr>
      <t>(bkpm dan pt)</t>
    </r>
  </si>
  <si>
    <r>
      <rPr>
        <sz val="10"/>
        <rFont val="Calibri"/>
        <family val="2"/>
      </rPr>
      <t xml:space="preserve">Izin Usaha Perikanan </t>
    </r>
    <r>
      <rPr>
        <i/>
        <sz val="10"/>
        <color rgb="FFFF0000"/>
        <rFont val="Calibri"/>
        <family val="2"/>
      </rPr>
      <t>(dislutkan)</t>
    </r>
  </si>
  <si>
    <t>Retribusi Ijin Mempekerjakan Tenaga Asing</t>
  </si>
  <si>
    <r>
      <rPr>
        <sz val="10"/>
        <rFont val="Calibri"/>
        <family val="2"/>
      </rPr>
      <t xml:space="preserve">IMTA </t>
    </r>
    <r>
      <rPr>
        <i/>
        <sz val="10"/>
        <color rgb="FFFF0000"/>
        <rFont val="Calibri"/>
        <family val="2"/>
      </rPr>
      <t>(dinas tenaga kerja)</t>
    </r>
  </si>
  <si>
    <t>HSL PENGELOLAAN KEKAYAAN DRH YG DIPISAHKAN</t>
  </si>
  <si>
    <t>Bagian Laba atas penyertaan modal pada Perusda/BUMD</t>
  </si>
  <si>
    <t xml:space="preserve">Perusahaan Daerah </t>
  </si>
  <si>
    <t>Bagian Laba dari Investasi proyek pembangunan apron dan taxiway</t>
  </si>
  <si>
    <t>.</t>
  </si>
  <si>
    <t>Denda Keterlambatan Pekerjaan</t>
  </si>
  <si>
    <t>Dinas Pekerjaan Umum dan Tata Ruang</t>
  </si>
  <si>
    <t>Dinas Pendidikan dan Kebudayaan</t>
  </si>
  <si>
    <r>
      <rPr>
        <sz val="10"/>
        <rFont val="Calibri"/>
        <family val="2"/>
      </rPr>
      <t xml:space="preserve">Denda Retribusi Jasa Usaha </t>
    </r>
    <r>
      <rPr>
        <b/>
        <i/>
        <sz val="10"/>
        <color rgb="FFFF0000"/>
        <rFont val="Calibri"/>
        <family val="2"/>
      </rPr>
      <t>(BPKAD)</t>
    </r>
    <r>
      <rPr>
        <sz val="10"/>
        <rFont val="Calibri"/>
        <family val="2"/>
      </rPr>
      <t xml:space="preserve"> </t>
    </r>
  </si>
  <si>
    <t>Pendapatan Denda Retribusi Perizinan tertentu</t>
  </si>
  <si>
    <r>
      <rPr>
        <sz val="10"/>
        <rFont val="Calibri"/>
        <family val="2"/>
      </rPr>
      <t>Denda Bid. Perhubungan</t>
    </r>
    <r>
      <rPr>
        <b/>
        <i/>
        <sz val="10"/>
        <color rgb="FFFF0000"/>
        <rFont val="Calibri"/>
        <family val="2"/>
      </rPr>
      <t xml:space="preserve"> (Dinas Perhubungan)</t>
    </r>
  </si>
  <si>
    <t>12</t>
  </si>
  <si>
    <t>Pendapatan Hasil Eksekusi atas Jaminan</t>
  </si>
  <si>
    <t>RUMAH SAKIT UMUM PROVINSI NTB</t>
  </si>
  <si>
    <t>PENDAPATAN DARI PENGAMBALIAN</t>
  </si>
  <si>
    <t>Pend. dari pengemb. kelebihan pemb. Asuransi Kesehatan</t>
  </si>
  <si>
    <t>Sekretariat DPRD</t>
  </si>
  <si>
    <t>Pend. dari pengemb. kelebihan pembayaran gaji &amp; Tunjangan</t>
  </si>
  <si>
    <t>Biro Umum</t>
  </si>
  <si>
    <t>Dinas Pekerjaan Umum</t>
  </si>
  <si>
    <t>Pend. dari pengemb. kelebihan pembayaran perjalan Dinas</t>
  </si>
  <si>
    <t>DINAS HUBKOMINFO</t>
  </si>
  <si>
    <t>Pendapatan dari Pengembalian REIMBURST</t>
  </si>
  <si>
    <t>Badan Pemberdayaan dan PEMDES</t>
  </si>
  <si>
    <t>Dinas Kebudayaan &amp; Pariwisata</t>
  </si>
  <si>
    <t>Dinas Pendapatan Daerah</t>
  </si>
  <si>
    <t>Badan Kepegawaian Daerah</t>
  </si>
  <si>
    <t>Badan Kesatuan Bangsa dan PDN</t>
  </si>
  <si>
    <t>Satuan Polisi Pamong Praja</t>
  </si>
  <si>
    <t>Biro Umum Setda Prov. NTB</t>
  </si>
  <si>
    <t>Biro Keuangan Setda  Prov. NTB</t>
  </si>
  <si>
    <t>Rumah Sakit Jiwa Prov. NTB</t>
  </si>
  <si>
    <t>Rumah Sakit UMUM Prov. NTB</t>
  </si>
  <si>
    <t>SEKRETARIAT KORPRI</t>
  </si>
  <si>
    <t>Baperpusda dan Arsip</t>
  </si>
  <si>
    <t>Dipertani dan Hultikultura</t>
  </si>
  <si>
    <t>Dinas Pertenakan &amp; Keswan</t>
  </si>
  <si>
    <t>Dinas Kehutanan</t>
  </si>
  <si>
    <t>Dinas Pertamben</t>
  </si>
  <si>
    <t>Dinas Perikanan dan Kelautan</t>
  </si>
  <si>
    <t>Dinas Perindag</t>
  </si>
  <si>
    <t>Badan Penanaman Modal</t>
  </si>
  <si>
    <t>BPTK Mataram</t>
  </si>
  <si>
    <t>Balabkes Pulau Sumbawa</t>
  </si>
  <si>
    <t>Sekretariat Bakorluh</t>
  </si>
  <si>
    <t>BAPPEDA PROV. NTB</t>
  </si>
  <si>
    <t>BKMM MATARAM</t>
  </si>
  <si>
    <t>KPID NTB</t>
  </si>
  <si>
    <t>Sekretariat DPRD Prov.NTB</t>
  </si>
  <si>
    <t>Angsuran/Cicilan Penjualan Kendaraan:</t>
  </si>
  <si>
    <t>RUMAH SAKIT UMUM PROV. NTB</t>
  </si>
  <si>
    <t>RUMAH SAKIT MUTIARA SUKMA (RSJM)</t>
  </si>
  <si>
    <t>BALAI LABKES SUMBAWA (eks. UPTD DIKES)</t>
  </si>
  <si>
    <t>LAIN-LAIN PENERIMAAN</t>
  </si>
  <si>
    <t>Lain-lain BLH dan Kehutanan</t>
  </si>
  <si>
    <t>Sekretariat Dewan</t>
  </si>
  <si>
    <t>Dinas pertanian dan perkebunan</t>
  </si>
  <si>
    <t>Dinas Kelautan dan Perikanan</t>
  </si>
  <si>
    <t>-Bidang Akreditasi Rumah Sakit</t>
  </si>
  <si>
    <t>- Bidang Peningkatan Kapasitas Ketenagakerjaan</t>
  </si>
  <si>
    <t>LAIN - LAIN PENDAPATAN DAERAH YANG SAH</t>
  </si>
  <si>
    <t xml:space="preserve">Pendapatan Hibah </t>
  </si>
  <si>
    <t>Badan Perpustakaan Daerah dan Arsip</t>
  </si>
  <si>
    <t>Denda Buku</t>
  </si>
  <si>
    <t>RSJM (Mataram)</t>
  </si>
  <si>
    <t>RSUM Provinsi NTB</t>
  </si>
  <si>
    <t>AKADEMI KEPERAWATAN (AKPER)</t>
  </si>
  <si>
    <t>BADAN PENANAMAN MODAL TERPADU</t>
  </si>
  <si>
    <t>Dinas Perhubungan</t>
  </si>
  <si>
    <t>Dinas Sosial Kependudukan dan Catatan Sipil</t>
  </si>
  <si>
    <t>Iuran Kesos</t>
  </si>
  <si>
    <t>BPKAD PROV.NTB</t>
  </si>
  <si>
    <t xml:space="preserve">Lain-lain </t>
  </si>
  <si>
    <t xml:space="preserve">Dinas Pendapatan Daerah </t>
  </si>
  <si>
    <t>Lain-Lain Penerimaan</t>
  </si>
  <si>
    <t xml:space="preserve">Jasa Raharja </t>
  </si>
  <si>
    <t>SP III (Kontribusi Dealer)</t>
  </si>
  <si>
    <t>Penerimaan lain-lain</t>
  </si>
  <si>
    <t>Dinas Pertanian Dan Perkebunan</t>
  </si>
  <si>
    <t>Hibah</t>
  </si>
  <si>
    <t>Lain-Lain</t>
  </si>
  <si>
    <t>Dinas Peternakan dan Keswan</t>
  </si>
  <si>
    <t>Badan Ketahanan Pangan</t>
  </si>
  <si>
    <t xml:space="preserve">Dana LUEP </t>
  </si>
  <si>
    <t xml:space="preserve">DINAS KESEHATAN PROV. NTB </t>
  </si>
  <si>
    <t>Biro Administrasi Kesra</t>
  </si>
  <si>
    <t>Biro Administrasi Kesejahteraan Pembangunan</t>
  </si>
  <si>
    <t>Biro Administrasi Perekonomian</t>
  </si>
  <si>
    <t>Dana Pembinaan BPR</t>
  </si>
  <si>
    <t>Badan Pemberdayaan Masy. &amp; Pemdes</t>
  </si>
  <si>
    <t>Badan</t>
  </si>
  <si>
    <t>Badan Pemberdayaan Perempuan &amp; KB</t>
  </si>
  <si>
    <t>DINAS DIKPORA</t>
  </si>
  <si>
    <t>Balai Labkes Pulau Lombok</t>
  </si>
  <si>
    <t>Rumah Sakit</t>
  </si>
  <si>
    <t>Balai Labkes Pulau Sumbawa</t>
  </si>
  <si>
    <t>Balai Kesehatan Mata Mataram</t>
  </si>
  <si>
    <t>Bapelkes (BPTK)</t>
  </si>
  <si>
    <t>Kantor Penghubung</t>
  </si>
  <si>
    <t>Inspektorat</t>
  </si>
  <si>
    <t>Dana Penyesuaian dan Otonomi Khusus</t>
  </si>
  <si>
    <t>BOS Satuan Pendidikan Dasar</t>
  </si>
  <si>
    <t>Dana Penyesuaian (DP) II</t>
  </si>
  <si>
    <t>Dana Tambahan Penghasilan guru PNSD</t>
  </si>
  <si>
    <t>Dana Insentif Daerah</t>
  </si>
  <si>
    <t>Dana BOS</t>
  </si>
  <si>
    <t>Catatan :</t>
  </si>
  <si>
    <t>Laporan realisasi ini dibuat berdasarkan tanggal B.IX</t>
  </si>
  <si>
    <t>Mengetahui :</t>
  </si>
  <si>
    <t>Mataram,    Maret  2017</t>
  </si>
  <si>
    <t xml:space="preserve">yang disampaikan BPD Pusat &amp; Cabang se-NTB serta </t>
  </si>
  <si>
    <t>Kepala Bidang Retribusi, Dana Perimbangan &amp; PLL</t>
  </si>
  <si>
    <t xml:space="preserve">bukti-bukti setoran dari Dinas/Instansi Pengelola PAD </t>
  </si>
  <si>
    <t>Target</t>
  </si>
  <si>
    <t>Realisasi</t>
  </si>
  <si>
    <t>SUMBANGAN PIHAK KETIGA</t>
  </si>
  <si>
    <t>Disnakaer (Hibah Pihak III)</t>
  </si>
  <si>
    <t>Dinas Koperasi dan UMKM (SPIII)</t>
  </si>
  <si>
    <t>Badan Ketahanan Pangan Daerah (Hibah Pihak III)</t>
  </si>
  <si>
    <t>Dikpora</t>
  </si>
  <si>
    <t>Bapelkes</t>
  </si>
  <si>
    <t>RSJ Mataram</t>
  </si>
  <si>
    <t>Bappeda</t>
  </si>
  <si>
    <t>Dinas Perhubungan dan Komunikasi</t>
  </si>
  <si>
    <t>Disbudpar Prov. NTB</t>
  </si>
  <si>
    <t>RSUP PROVINSI</t>
  </si>
  <si>
    <t>BADAN PENGEMBANGAN SUMBERDAYA MANUSIA (Eks BKD &amp; Diklat) DAN DIKLAT</t>
  </si>
  <si>
    <t>DINAS KESEHATAN PROV. NTB (BARU)</t>
  </si>
  <si>
    <t>Dinas Peternakan</t>
  </si>
  <si>
    <t>Dinas Pertambangan dan Energi</t>
  </si>
  <si>
    <t xml:space="preserve">DINAS PERTANIAN </t>
  </si>
  <si>
    <t>PENERIMAAN LAIN-LAIN</t>
  </si>
  <si>
    <t>Disnakaer (Jasa Pelayanan TKI)</t>
  </si>
  <si>
    <t>Disnakaer (HYPERKES)</t>
  </si>
  <si>
    <t>Dinas Peternakan (Sisa Tagihan Bunga Dana Bergulir Tenak Sapi)</t>
  </si>
  <si>
    <t>Badan Ketahanan Pangan Daerah (dana LUEP)</t>
  </si>
  <si>
    <r>
      <rPr>
        <sz val="11"/>
        <rFont val="Calibri"/>
        <family val="2"/>
      </rPr>
      <t xml:space="preserve">Dinas Kelautan dan Perikanan </t>
    </r>
    <r>
      <rPr>
        <i/>
        <u/>
        <sz val="11"/>
        <color rgb="FFFF0000"/>
        <rFont val="Calibri"/>
        <family val="2"/>
      </rPr>
      <t>(Piutang Bunga Dana Bergulir Pengembangan Rumput Laut)</t>
    </r>
  </si>
  <si>
    <t>Dinas Perindustrian dan Perdagangan</t>
  </si>
  <si>
    <t>Balabkes Pulau LOMBOK</t>
  </si>
  <si>
    <t>Rumah Sakit Rujukan</t>
  </si>
  <si>
    <t>Biro Keuangan (lain-lain)</t>
  </si>
  <si>
    <t>Balai Kesehatan Mata Masyarakat (BKMM)</t>
  </si>
  <si>
    <t>keluar dulu 21 juli 2016</t>
  </si>
  <si>
    <t>PENDAPATAN PELAYANAN KESEHATAN BLUD</t>
  </si>
  <si>
    <t>Rumah Sakit Umum</t>
  </si>
  <si>
    <t>Rumah Sakit Jiwa</t>
  </si>
  <si>
    <t>PENDAPATAN KONTRIBUSI DEALER</t>
  </si>
  <si>
    <t>Dinas Pendapatan Daerah Prov. NTB</t>
  </si>
  <si>
    <t xml:space="preserve"> </t>
  </si>
  <si>
    <t>LAPORAN REALISASI PENERIMAAN PER-DINAS RETRIBUSI DAERAH, DANA PERIMBANGAN DAN PENDAPATAN LAIN-LAIN TAHUN 2017</t>
  </si>
  <si>
    <t xml:space="preserve">MARET </t>
  </si>
  <si>
    <t>SISA</t>
  </si>
  <si>
    <t>KET.</t>
  </si>
  <si>
    <t>URUT</t>
  </si>
  <si>
    <t>TAHUN 2017</t>
  </si>
  <si>
    <t>DINAS PENDIDIKAN PEMUDA DAN OLAH RAGA</t>
  </si>
  <si>
    <t>WISMA SERUNI</t>
  </si>
  <si>
    <t>UPTD. BPKBM</t>
  </si>
  <si>
    <t>DENDA KETERLAMBATAN</t>
  </si>
  <si>
    <t>PENGEMBALIAN GAJI &amp; TUNJANGAN</t>
  </si>
  <si>
    <t>PENGEMBALIAN PERJALANAN DINAS</t>
  </si>
  <si>
    <t>PENGEMBALIAN LHP</t>
  </si>
  <si>
    <t>HIBAH PIHAK III</t>
  </si>
  <si>
    <t>april nihil</t>
  </si>
  <si>
    <t>PENJUALAN SEPOLONG</t>
  </si>
  <si>
    <t>BALABKES PULAU LOMBOK</t>
  </si>
  <si>
    <t>RETRIBUSI PELAYANAN KESEHATAN</t>
  </si>
  <si>
    <t>BALABKES PULAU SUMBAWA</t>
  </si>
  <si>
    <t>RSUD SUMBAWA</t>
  </si>
  <si>
    <t>RETRIBUSI PENGINAPAN/PESANGGARAHAN/VILLA</t>
  </si>
  <si>
    <t>AKADEMI PERAWAT PEMPROV. NTB</t>
  </si>
  <si>
    <t>BLUD AKPER SELONG</t>
  </si>
  <si>
    <t xml:space="preserve">BALAI KESEHATAN MATA MATARAM   </t>
  </si>
  <si>
    <t>RUMAH SAKIT JIWA PROVINSI</t>
  </si>
  <si>
    <t>DINAS PEKERJAAN UMUM</t>
  </si>
  <si>
    <t>CETAK PETA</t>
  </si>
  <si>
    <t>ALAT BERAT</t>
  </si>
  <si>
    <t>PENGUJIAN LABORATORIUM</t>
  </si>
  <si>
    <t>BADAN PERENC. PEMBANGUNAN DAERAH</t>
  </si>
  <si>
    <t>PENGGANTIAN BIAYA CETAK PETA</t>
  </si>
  <si>
    <t>DINAS PERHUB. KOMUNIKASI &amp; INFORMATIKA</t>
  </si>
  <si>
    <t>RETRIBUSI PERIJINAN TERTENTU</t>
  </si>
  <si>
    <t>MOBIL BUS UMUM</t>
  </si>
  <si>
    <t>MOBIL PENUMPANG TAXI</t>
  </si>
  <si>
    <t>DENDA RETRIBUSI PERIJINAN TERTENTU</t>
  </si>
  <si>
    <t>BADAN LINGKUNGAN HIDUP DAN PENELITIAN</t>
  </si>
  <si>
    <t>BADAN PEMBERDAYAAN PEREMPUAN DAN KB</t>
  </si>
  <si>
    <t>DINAS SOSIAL KEPENDUDUKAN &amp; CATPIL</t>
  </si>
  <si>
    <t>SEWA AULA PSBR</t>
  </si>
  <si>
    <t>PERPANJANGAN IMTA</t>
  </si>
  <si>
    <t>SEWA RUMAH DINAS DLL</t>
  </si>
  <si>
    <t>TEMPAT PENGINAPAN</t>
  </si>
  <si>
    <t>LAIN-LAIN</t>
  </si>
  <si>
    <t>LAIN-LAIN (BLK)</t>
  </si>
  <si>
    <t>SUMBANGAN PERIJINAN TKI/JASA PELAYANAN TKI</t>
  </si>
  <si>
    <t>Tunggakan Bunga Dana Bergulir (PJTKI)</t>
  </si>
  <si>
    <t>SEWA GEDUNG BALATKOP</t>
  </si>
  <si>
    <t>DIKLAT KOPERASI</t>
  </si>
  <si>
    <t>DENDA KETERLAMBATAN BID. KOPERASI</t>
  </si>
  <si>
    <t>JASA PELAYANAN KOPERASI</t>
  </si>
  <si>
    <t>DANA PEMBANGUNAN DAERAH KERJA (PDK)</t>
  </si>
  <si>
    <t xml:space="preserve">DINAS KEBUDAYAAN &amp; PARIWISATA       </t>
  </si>
  <si>
    <t>Museum</t>
  </si>
  <si>
    <t>GRAHA BAKTI PRAJA</t>
  </si>
  <si>
    <t>SANGKAREANG</t>
  </si>
  <si>
    <t>VIP BANDARA</t>
  </si>
  <si>
    <t>- KERJASAMA dgn PT. GTI (TERAWANGAN) dan LAIN-LAIN</t>
  </si>
  <si>
    <t>- KERJASAMA dgn PT. GEIC (lapangan golf narmada)</t>
  </si>
  <si>
    <t>- KERJASAMA dgn PT. RAJAWALI ADI SENGGIGI</t>
  </si>
  <si>
    <t>- KERJASAMA dgn PT. ANASIA NUSANTARA TANGONG</t>
  </si>
  <si>
    <t>- PENGALIHAN HGB DIATAS HPL</t>
  </si>
  <si>
    <t>- LAB. HEPATIKA</t>
  </si>
  <si>
    <t>- KIMIA FARMA</t>
  </si>
  <si>
    <t>- WISMA GIRI PUTRI</t>
  </si>
  <si>
    <t>SEWA LAHAN EKS. DISBUN</t>
  </si>
  <si>
    <t>Bag. Laba atas penyertaan modal pd Perush. Milik Drh/BUMD</t>
  </si>
  <si>
    <t>PD. BPR LKP</t>
  </si>
  <si>
    <t>PT. Gerbang Mas NTB (GNE)</t>
  </si>
  <si>
    <t>PT. Asuransi Bangun Askrida</t>
  </si>
  <si>
    <t>Denda Keterlambatan Pembayaran Lelang Rumah Dinas</t>
  </si>
  <si>
    <t>Denda Keterlambatan Pembayaran Lelang Tanah</t>
  </si>
  <si>
    <t>Denda Keterlambatan Pembayaran Lelang Kendaraan R2</t>
  </si>
  <si>
    <t>Denda Keterlambatan Pembayaran Lelang Kendaraan R4</t>
  </si>
  <si>
    <t>Denda Sewa Rumah Dinas</t>
  </si>
  <si>
    <t>Denda Sewa Tanah dan Bangunan</t>
  </si>
  <si>
    <t>Denda Sewa Tanah</t>
  </si>
  <si>
    <t>Denda Penerimaan Pengalihan HGB diatas HPL</t>
  </si>
  <si>
    <r>
      <rPr>
        <sz val="10"/>
        <rFont val="Calibri"/>
        <family val="2"/>
      </rPr>
      <t xml:space="preserve">Pendapatan dari Pengembalian LHP </t>
    </r>
    <r>
      <rPr>
        <b/>
        <i/>
        <sz val="10"/>
        <rFont val="Calibri"/>
        <family val="2"/>
      </rPr>
      <t>(kumpulan SKPD)</t>
    </r>
  </si>
  <si>
    <t>ANGSURAN/CICILAN PENJUALAN RUMAH</t>
  </si>
  <si>
    <t>ANGSURAN/CICILAN PENJUALAN KENDARAAN</t>
  </si>
  <si>
    <t>- Kendaraan Dinas Roda 2</t>
  </si>
  <si>
    <t>- Kendaraan Dinas Roda 4</t>
  </si>
  <si>
    <r>
      <rPr>
        <sz val="10"/>
        <rFont val="Calibri"/>
        <family val="2"/>
      </rPr>
      <t xml:space="preserve">LAIN-LAIN </t>
    </r>
    <r>
      <rPr>
        <i/>
        <sz val="10"/>
        <rFont val="Calibri"/>
        <family val="2"/>
      </rPr>
      <t>(termasuk kontribusi tembakau)</t>
    </r>
  </si>
  <si>
    <t xml:space="preserve">Pendapatan Hibah dari Badan/Lembaga/Organisasi Swasta </t>
  </si>
  <si>
    <t xml:space="preserve">1. DINAS DIKPORA </t>
  </si>
  <si>
    <t>2. BADAN PERPUSTAKAAN DAN ARSIP DAERAH</t>
  </si>
  <si>
    <t>3. BALAI PENGEMBANGAN TENAGA KESEHATAN</t>
  </si>
  <si>
    <t>4. RSJ MATARAM (MUTIRA SUKMA)</t>
  </si>
  <si>
    <t>5. DINAS PU</t>
  </si>
  <si>
    <t>6. BAPPEDA</t>
  </si>
  <si>
    <t>7. DINAS PERHUBUNGAN</t>
  </si>
  <si>
    <t>8. BIRO KEUANGAN (BPKAD Prov. NTB)</t>
  </si>
  <si>
    <t>9. DINAS SOSIAL,KEPENDUDUKAN &amp; CAPIL</t>
  </si>
  <si>
    <t>SP III / Iuran Kesos</t>
  </si>
  <si>
    <t>10. DINAS TENAGA KERJA  DAN TRANSMIGRASI</t>
  </si>
  <si>
    <t xml:space="preserve">Lain-lain ( Jasa Pengiriman TKI ) </t>
  </si>
  <si>
    <t>Lain-lain pendapatan yg syah (BLK)</t>
  </si>
  <si>
    <t xml:space="preserve">11. DINAS KOPERASI &amp; UKM </t>
  </si>
  <si>
    <t>12. DINAS BUDAYA DAN PARIWISATA</t>
  </si>
  <si>
    <t>13. BADAN PEMBERDAYAAN PEREMPUAN DAN KB</t>
  </si>
  <si>
    <t>14. BIRO ADMINISTRASI PEMERINTAHAN</t>
  </si>
  <si>
    <t>15. BIRO ADMINISTRASI KESRA</t>
  </si>
  <si>
    <t>16. BIRO ADMINISTRASI PEMBANGUNAN</t>
  </si>
  <si>
    <t>17. BIRO EKONOMI</t>
  </si>
  <si>
    <t>18. SAT POL PP</t>
  </si>
  <si>
    <t>19. SEKRETARIAT DPRD</t>
  </si>
  <si>
    <t>20. DINAS PENDAPATAN DAERAH</t>
  </si>
  <si>
    <t>Hibah PT. Jasa Raharja</t>
  </si>
  <si>
    <t>Hibah Pihak III (Kontribusi Dealer)</t>
  </si>
  <si>
    <t>21. BIRO KEUANGAN (BPKAD)</t>
  </si>
  <si>
    <t>21. BKMM</t>
  </si>
  <si>
    <t xml:space="preserve">22. DINAS PERKEBUNAN      </t>
  </si>
  <si>
    <t>23. DINAS PETERNAKAN</t>
  </si>
  <si>
    <t>24. BADAN KETAHANAN PANGAN</t>
  </si>
  <si>
    <t>Penerimaan kembali dana LUEP</t>
  </si>
  <si>
    <t>Hibah dari pihak ketiga</t>
  </si>
  <si>
    <t xml:space="preserve">25. DINAS KEHUTANAN       </t>
  </si>
  <si>
    <t>26. Dinas Pertambangan</t>
  </si>
  <si>
    <t xml:space="preserve">27. DINAS PERIKANAN DAN KELAUTAN    </t>
  </si>
  <si>
    <t xml:space="preserve">28. DINAS PERINDUSTRIAN DAN PERDAGANGAN     </t>
  </si>
  <si>
    <t>29. INSPEKTORAT</t>
  </si>
  <si>
    <t>30. BIRO UMUM</t>
  </si>
  <si>
    <t>1. BADAN PERPUSTAKAAN DAERAH</t>
  </si>
  <si>
    <t>2. BIRO KEUANGAN</t>
  </si>
  <si>
    <t>Islamic Center</t>
  </si>
  <si>
    <t>PENERIMAAN BIRO KEUANGAN (SKPKD)</t>
  </si>
  <si>
    <t xml:space="preserve">KANTOR PENGHUBUNG PROVINSI NTB  </t>
  </si>
  <si>
    <t>PENGINAPAN/PESANGGRAHAN/VILLA</t>
  </si>
  <si>
    <t xml:space="preserve"> DINAS PENDAPATAN DAERAH</t>
  </si>
  <si>
    <t>PPDRD Mataram</t>
  </si>
  <si>
    <t>PPDRD Praya</t>
  </si>
  <si>
    <t>PPDRD Selong</t>
  </si>
  <si>
    <t>PPDRD Sumbawa</t>
  </si>
  <si>
    <t>PPDRD Bima</t>
  </si>
  <si>
    <t>PPDRD Dompu</t>
  </si>
  <si>
    <t>PPDRD Gerung</t>
  </si>
  <si>
    <t>PPDRD KSB</t>
  </si>
  <si>
    <t>PPDRD TANJUNG</t>
  </si>
  <si>
    <t>DENDA KETERLAMBATAN PEKERJAAN</t>
  </si>
  <si>
    <t>PENGEMBALIAN KELEBIHAN GAJI &amp; TUNJANGAN</t>
  </si>
  <si>
    <t>PENGEMBALIAN KELEBIHAN PERJALANAN DINAS</t>
  </si>
  <si>
    <t>PENDAPATAN DARI PENGEMBALIAN LHP</t>
  </si>
  <si>
    <t>DISPENDA PROV. NTB</t>
  </si>
  <si>
    <t>JASA RAHARJA</t>
  </si>
  <si>
    <t>19</t>
  </si>
  <si>
    <t>RETRIBUSI PENGINAPAN</t>
  </si>
  <si>
    <t>KONTRIBUSI PENYELENGGARAAN DIKLAT</t>
  </si>
  <si>
    <t>20</t>
  </si>
  <si>
    <t>BADAN KETAHANAN PANGAN DAERAH</t>
  </si>
  <si>
    <t>PENERIMAAN KEMBALI LUEB(SP III)</t>
  </si>
  <si>
    <t>21</t>
  </si>
  <si>
    <t>BADAN PERPUSTAKAAN DAERAH DAN ARSIP</t>
  </si>
  <si>
    <r>
      <rPr>
        <sz val="10"/>
        <rFont val="Calibri"/>
        <family val="2"/>
      </rPr>
      <t xml:space="preserve">DENDA BUKU </t>
    </r>
    <r>
      <rPr>
        <i/>
        <sz val="10"/>
        <rFont val="Calibri"/>
        <family val="2"/>
      </rPr>
      <t>(hibah perorangan)</t>
    </r>
  </si>
  <si>
    <t>HIBAH PIHAK KE III</t>
  </si>
  <si>
    <t>22</t>
  </si>
  <si>
    <t xml:space="preserve">DINAS PERTANIAN DAN HORTIKULTURA     </t>
  </si>
  <si>
    <t>UPB PENINJAUAN</t>
  </si>
  <si>
    <t>UPB PUYUNG</t>
  </si>
  <si>
    <t>UPB UTHAN</t>
  </si>
  <si>
    <t>BKUT KOTARAJA</t>
  </si>
  <si>
    <t>UPB KESIK</t>
  </si>
  <si>
    <t>UPB SEDAU</t>
  </si>
  <si>
    <t>UPB SANTONG</t>
  </si>
  <si>
    <t>KEBUN TIMBANUH</t>
  </si>
  <si>
    <t>KERJASAMA PENANGKAR</t>
  </si>
  <si>
    <t>23</t>
  </si>
  <si>
    <t>SEWA TANAH PERKEBUNAN</t>
  </si>
  <si>
    <t>SEWA TANAH EKS. PTP PUYUNG</t>
  </si>
  <si>
    <t>BUNGA CENGKEH</t>
  </si>
  <si>
    <t>SERTIFIKASI BENIH (BPTP PUYUNG)</t>
  </si>
  <si>
    <r>
      <rPr>
        <sz val="10"/>
        <rFont val="Calibri"/>
        <family val="2"/>
      </rPr>
      <t xml:space="preserve">HIBAH PIHAK III </t>
    </r>
    <r>
      <rPr>
        <i/>
        <sz val="10"/>
        <rFont val="Calibri"/>
        <family val="2"/>
      </rPr>
      <t>(kontribusi tembakau)</t>
    </r>
  </si>
  <si>
    <t>24</t>
  </si>
  <si>
    <t>UJI LAB KESWAN</t>
  </si>
  <si>
    <t>POSKESWAN DAN RSH Gn. SARI/BANYUMULEK</t>
  </si>
  <si>
    <t>HOLDING GROUND LEMBAR</t>
  </si>
  <si>
    <t>RPH BANYUMULEK</t>
  </si>
  <si>
    <t>PENJ. SAPI FETENING</t>
  </si>
  <si>
    <t>INSEMINASI BUATAN BANYUMULEK</t>
  </si>
  <si>
    <t>PENJ. HMT BPTHMT SERADING</t>
  </si>
  <si>
    <t>PENJ. TERNAK TDK LAYAK BIBIT SERADING</t>
  </si>
  <si>
    <t>PENJ. SUSU DAN SAPI NON PRODUKTIF</t>
  </si>
  <si>
    <t>PENJ. AYAM PEDAGING BANYUMULEK</t>
  </si>
  <si>
    <t>PENJ. DAGING RPH BANYUMULEK</t>
  </si>
  <si>
    <t xml:space="preserve">HIBAH PIHAK III </t>
  </si>
  <si>
    <t>25</t>
  </si>
  <si>
    <t xml:space="preserve">DINAS KEHUTANAN       </t>
  </si>
  <si>
    <t>26</t>
  </si>
  <si>
    <t xml:space="preserve">DINAS PERTAMBANGAN &amp; ENERGI   </t>
  </si>
  <si>
    <t>TUNGGAKAN PAJAK ABT</t>
  </si>
  <si>
    <t>TUNGGAKAN PAJAK AP</t>
  </si>
  <si>
    <t>27</t>
  </si>
  <si>
    <t>KPP LAB. LOMBOK</t>
  </si>
  <si>
    <t>BPPI TANJUNG LUAR</t>
  </si>
  <si>
    <t>BLPMHP MATARAM</t>
  </si>
  <si>
    <t>PPI TANJUNG LUAR</t>
  </si>
  <si>
    <t>PPI SAPE BIMA</t>
  </si>
  <si>
    <t>BPBPP SEKOTONG</t>
  </si>
  <si>
    <t>PPI TELUK SALEH</t>
  </si>
  <si>
    <t>BPPI LAB. LALAR</t>
  </si>
  <si>
    <t>BBI PAYAU MENINTING</t>
  </si>
  <si>
    <t>BPBIAT AIKMEL</t>
  </si>
  <si>
    <t>BBI BATU KUMBUNG</t>
  </si>
  <si>
    <t>BBI LINGSAR</t>
  </si>
  <si>
    <t>BBI MATUA DOMPU</t>
  </si>
  <si>
    <t>BBI RADE BIMA</t>
  </si>
  <si>
    <t>BBI TALIWANG</t>
  </si>
  <si>
    <t>BPPP SEKOTONG</t>
  </si>
  <si>
    <t>RETRIBUSI IJIN USAHA PERIKANAN</t>
  </si>
  <si>
    <t>28</t>
  </si>
  <si>
    <t xml:space="preserve">DINAS PERINDUSTRIAN DAN PERDAGANGAN     </t>
  </si>
  <si>
    <t>RETRIBUSI PELAYANAN TERA/TERA ULANG</t>
  </si>
  <si>
    <t>29</t>
  </si>
  <si>
    <t>BADAN PEMBERDAYAAN MASYARAKAT DAN PEMDES</t>
  </si>
  <si>
    <t>30</t>
  </si>
  <si>
    <t>BADAN PENANAMAN MODAL</t>
  </si>
  <si>
    <t>SETORAN  SIUP</t>
  </si>
  <si>
    <t>IJIN TRAYEK</t>
  </si>
  <si>
    <t>31</t>
  </si>
  <si>
    <t>SEKRETARIAT BAKORLUH</t>
  </si>
  <si>
    <r>
      <rPr>
        <sz val="11"/>
        <rFont val="Calibri"/>
        <family val="2"/>
      </rPr>
      <t xml:space="preserve">BALAI DIKLAT PERTANIAN </t>
    </r>
    <r>
      <rPr>
        <i/>
        <sz val="11"/>
        <rFont val="Calibri"/>
        <family val="2"/>
      </rPr>
      <t>(penginapan)</t>
    </r>
  </si>
  <si>
    <t>32</t>
  </si>
  <si>
    <t>KOMISI PENYIARAN INDONESIA DAERAH NTB</t>
  </si>
  <si>
    <t>BAKESBANGPOLDAGRI</t>
  </si>
  <si>
    <t xml:space="preserve">G R A N D   T O T A L   .  .  .  .  .  .  .  .  .  .  . </t>
  </si>
  <si>
    <t>Mataram,         Desember  2014</t>
  </si>
  <si>
    <t>Kepala Dinas Pendapatan Daerah</t>
  </si>
  <si>
    <t>Kepala Bidang Retribusi &amp; PLL</t>
  </si>
  <si>
    <t>Provinsi Nusa Tenggara Barat,</t>
  </si>
  <si>
    <t>Dra. Hj. Putu Selly Andayani, M.Si</t>
  </si>
  <si>
    <t>Moh. Ikhwan, SH. MM</t>
  </si>
  <si>
    <t>NIP. 19610915199303 2 011</t>
  </si>
  <si>
    <t>NIP.196612311993031166</t>
  </si>
  <si>
    <t>LAPORAN   :</t>
  </si>
  <si>
    <t>REALISASI PENERIMAAN PER-DINAS RETRIBUSI DAERAH, DANA PERIMBANGAN DAN PENDAPATAN LAIN-LAIN</t>
  </si>
  <si>
    <t>BAGIAN BULAN JANUARI 2017</t>
  </si>
  <si>
    <t>No.</t>
  </si>
  <si>
    <t>KODE REK.</t>
  </si>
  <si>
    <t>Target Murni 2012</t>
  </si>
  <si>
    <t>TARGET 2017</t>
  </si>
  <si>
    <t xml:space="preserve">SISA </t>
  </si>
  <si>
    <t>Urut</t>
  </si>
  <si>
    <t>Selisih s.d. Bulan ini</t>
  </si>
  <si>
    <t>Selisih Bulan ini</t>
  </si>
  <si>
    <t>bulan lalu</t>
  </si>
  <si>
    <t>bulan ini</t>
  </si>
  <si>
    <t>s.d. Bulan ini</t>
  </si>
  <si>
    <t>14</t>
  </si>
  <si>
    <t>Penjualan Hsl. Kebun RS. Sepolong</t>
  </si>
  <si>
    <t>BALAI LABORATORIUM KESEHATAN P. LOMBOK</t>
  </si>
  <si>
    <t>Retribusi Leges</t>
  </si>
  <si>
    <t>BALAI LAB. KESEHATAN PULAU SUMBAWA</t>
  </si>
  <si>
    <t>RUMAH SAKIT RUJUKAN PROVINSI</t>
  </si>
  <si>
    <t>Piutang Jamkesmas, Bansos, dan BPJS</t>
  </si>
  <si>
    <t>BALAI PENGEMBANGAN TENAGA KESEHATAN MTR</t>
  </si>
  <si>
    <t>Pendapatan BLUD AKPER Selong</t>
  </si>
  <si>
    <t>Pendapatan Pelayanan BLUD</t>
  </si>
  <si>
    <t>Hasil Eksekusi Atas Jaminan atas Pengadaan Barang/Jasa</t>
  </si>
  <si>
    <t>Pendapatan Pengembalian</t>
  </si>
  <si>
    <t>Pengembalian LHP</t>
  </si>
  <si>
    <t>Ret.Penggantian Biaya Cetak Peta</t>
  </si>
  <si>
    <t>Retribusi Sewa Penggunaan Alat Berat</t>
  </si>
  <si>
    <t>Retribusi Pengujian Laboratorium</t>
  </si>
  <si>
    <t>Lain-lain :</t>
  </si>
  <si>
    <t>Pend. dr Pengembalian kelebihan LHP</t>
  </si>
  <si>
    <t xml:space="preserve">Pendapatan Denda Keterlambatan Pekerjaan </t>
  </si>
  <si>
    <t>Keterlambatan Bid. Perhubungan</t>
  </si>
  <si>
    <t>Lain-lain/Denda</t>
  </si>
  <si>
    <t>11</t>
  </si>
  <si>
    <t>Sewa Aula PSBR Karya Putra dan Putra Utama</t>
  </si>
  <si>
    <t>Retribusi Perpanjangan IMTA</t>
  </si>
  <si>
    <t>Ret.Tmpt Penginapan (Sewa Mess BLK)</t>
  </si>
  <si>
    <t>Lain-lain Pendapatan yang Syah (BLK)</t>
  </si>
  <si>
    <t>Jasa Pelayanan TKI (Pendirian dll)</t>
  </si>
  <si>
    <t>Denda Keterlambatan Bid. Koperasi &amp; UKM</t>
  </si>
  <si>
    <t>Tagihan Bunga Dana Bergulir Koperasi</t>
  </si>
  <si>
    <t>Jasa Pelayanan Koperasi (bunga)</t>
  </si>
  <si>
    <t>17</t>
  </si>
  <si>
    <t>Disbudpar</t>
  </si>
  <si>
    <t>Taman Budaya</t>
  </si>
  <si>
    <t>Penderimaan Lain-lain</t>
  </si>
  <si>
    <t>Disbudpar (lain-lain)</t>
  </si>
  <si>
    <t>Pend. dr Pengembalian kelebihan Pemb. Asuransi Kesehatan</t>
  </si>
  <si>
    <t>0</t>
  </si>
  <si>
    <t>BADAN PENGELOLAAN KEUANGAN DAERAH (BPKAD)</t>
  </si>
  <si>
    <t>Pemakaian Kekayaan Daerah</t>
  </si>
  <si>
    <t>HASIL PENGELOLAAN KEKAYAAN DAERAH YANG TIDAK DIPISAHKAN</t>
  </si>
  <si>
    <t>BPR LKP</t>
  </si>
  <si>
    <t>Hasil Penjualan Aset Daerah yg Tidak Dipisahkan</t>
  </si>
  <si>
    <t>Pengembalian/Denda Retribusi/Cicilan Penjualan</t>
  </si>
  <si>
    <t>PENERIMAAN LAIN-LAIIN</t>
  </si>
  <si>
    <t>ISLAMIC CENTER</t>
  </si>
  <si>
    <t>HIBAH</t>
  </si>
  <si>
    <t>BIRO KEUANGAN SEBAGAI SKPKD</t>
  </si>
  <si>
    <r>
      <rPr>
        <sz val="10"/>
        <rFont val="Calibri"/>
        <family val="2"/>
      </rPr>
      <t>Lain-lain Penerimaan (Biro Keu.</t>
    </r>
    <r>
      <rPr>
        <sz val="8"/>
        <rFont val="Calibri"/>
        <family val="2"/>
      </rPr>
      <t xml:space="preserve"> SKPKD</t>
    </r>
    <r>
      <rPr>
        <sz val="10"/>
        <rFont val="Calibri"/>
        <family val="2"/>
      </rPr>
      <t>)</t>
    </r>
  </si>
  <si>
    <t>Kontribusi Jasa Raharja</t>
  </si>
  <si>
    <t>Jasa Raharja</t>
  </si>
  <si>
    <t>Kontribusi Diklat</t>
  </si>
  <si>
    <t>Penerimaan kembali dana LUEB (SP III)</t>
  </si>
  <si>
    <t>Bibit Kelapa Dalam (dialihkan ke biro umum)</t>
  </si>
  <si>
    <t>Penjualan Kelapa Hibrida (dialihkan ke biro umum)</t>
  </si>
  <si>
    <t>Lain-lain (sertifkasi benih)</t>
  </si>
  <si>
    <t xml:space="preserve">DENDA KETERLAMBATAN </t>
  </si>
  <si>
    <t xml:space="preserve">Kontribusi Pengusaha Tembakau </t>
  </si>
  <si>
    <t>Poskeswan Swadaya dan RSH HununHsari/banyumulek</t>
  </si>
  <si>
    <t>Penj. Sapi Fetening</t>
  </si>
  <si>
    <t>Inseminasi buatan BLPKH/BIB Banyumulek</t>
  </si>
  <si>
    <t>Pendapatan DENDA KETERLAMBATAN</t>
  </si>
  <si>
    <t>Sisa Tagihan Bunga Dana Bergulir Ternak Sapi</t>
  </si>
  <si>
    <t>Retribusi Leges/lain-lain</t>
  </si>
  <si>
    <t>Retribusi Biaya Cetak Peta</t>
  </si>
  <si>
    <t>Tunggakan Pajak ABT</t>
  </si>
  <si>
    <t>Tunggakan Pajak AP</t>
  </si>
  <si>
    <t>Lain-lain Dinas Kelautan dan Perikanan</t>
  </si>
  <si>
    <t>BBI Matua Dompu</t>
  </si>
  <si>
    <t>Piutang Bunga Dana Bergulir Pengembangan Rumput Laut</t>
  </si>
  <si>
    <t>00</t>
  </si>
  <si>
    <t>Pendapatan Denda Keterlambatan Pekerjaan</t>
  </si>
  <si>
    <r>
      <rPr>
        <sz val="10"/>
        <rFont val="Calibri"/>
        <family val="2"/>
      </rPr>
      <t xml:space="preserve">Sewa Tower </t>
    </r>
    <r>
      <rPr>
        <sz val="10"/>
        <color indexed="10"/>
        <rFont val="Calibri"/>
        <family val="2"/>
      </rPr>
      <t>(aset pindah ke biro umum)</t>
    </r>
  </si>
  <si>
    <t>Tunggakan Dana Bergulir</t>
  </si>
  <si>
    <t xml:space="preserve">LAIN-LAIN </t>
  </si>
  <si>
    <t>Surat Ijin Usaha Perikanan (dislutkan)</t>
  </si>
  <si>
    <t>Retribusi Ijin Trayek</t>
  </si>
  <si>
    <t>BALAI DIKLAT PERTANIAN (penginapan)</t>
  </si>
  <si>
    <t>Denda keterlambatan atas pekerjaan</t>
  </si>
  <si>
    <t>BPBD (BENCANA)</t>
  </si>
  <si>
    <t>37</t>
  </si>
  <si>
    <t>Sekretariat KORPRI</t>
  </si>
  <si>
    <t>Mataram,        Desember  2016</t>
  </si>
  <si>
    <t>Drs. H. Muksin, MM</t>
  </si>
  <si>
    <t>NIP.19590215 198503 1 018</t>
  </si>
  <si>
    <t>NIP.196712311996031023</t>
  </si>
  <si>
    <t>REALISASI PENERIMAAN PER-DINAS RETRIBUSI DAERAH DAN PENDAPATAN LAIN-LAIN</t>
  </si>
  <si>
    <t>Selisih dengan perbulan</t>
  </si>
  <si>
    <t xml:space="preserve">Retribusi Sewa Penggunaan Alat Berat dan </t>
  </si>
  <si>
    <t>Lain-lain Hyperkes</t>
  </si>
  <si>
    <t>BIRO ADMINISTRASI KESEJAHTERAAN RAKYAT</t>
  </si>
  <si>
    <t>BIRO ADM. KESEJAHTERAAN PEMBANGUNAN</t>
  </si>
  <si>
    <t>e.</t>
  </si>
  <si>
    <t>BIRO KERJASAMA</t>
  </si>
  <si>
    <t xml:space="preserve">Bandara Internasional Lombok </t>
  </si>
  <si>
    <t>f.</t>
  </si>
  <si>
    <t>3. BALAI PENGEMBANGAN TENAGA KESEHATAN (BPTK)</t>
  </si>
  <si>
    <t>8. BIRO KEUANGAN (BPKAD Pov. NTB)</t>
  </si>
  <si>
    <t>14. RUMAH SAKIT RUJUKAN (MANAMBAI)</t>
  </si>
  <si>
    <t>DINAS PERTAMBANGAN</t>
  </si>
  <si>
    <t>SP III (SPPKB)</t>
  </si>
  <si>
    <t>Dipenda Induk</t>
  </si>
  <si>
    <t>Korpri</t>
  </si>
  <si>
    <t>KPU</t>
  </si>
  <si>
    <t>BAGIAN BULAN DESEMBER 2015</t>
  </si>
  <si>
    <t>TARGET PERUBAHAN 2015</t>
  </si>
  <si>
    <t>Hyperkes</t>
  </si>
  <si>
    <t>KERJASAMA dgn PT. GTI (TERAWANGAN) dan LAIN-LAIN</t>
  </si>
  <si>
    <t>Penerimaan Pengalihan HGB diatas HPL</t>
  </si>
  <si>
    <t>Wisma Giri Putri (Manna Management)</t>
  </si>
  <si>
    <t>Sewa lahan Perkebunan (eks lahan Disbun)</t>
  </si>
  <si>
    <t>Penjualan Peralatan/perlengkapan kantor tdk terpakai</t>
  </si>
  <si>
    <t>Penjualan Kendaraan Dinas Roda 2 (dua)</t>
  </si>
  <si>
    <t>Penjualan Kendaraan Dinas Roda 4 (empat)</t>
  </si>
  <si>
    <t>Penjualan Bahan-bahan Bekas Bangunan</t>
  </si>
  <si>
    <t xml:space="preserve">Tunggakan Sewa Rumah Dinas </t>
  </si>
  <si>
    <t>Tunggakan Sewa Tanah Sawah/Kebun/Pekarangan</t>
  </si>
  <si>
    <t>Tunggakan Penjualan Rumah</t>
  </si>
  <si>
    <t>Tunggakan Penjualan Kendaraan Roda-2</t>
  </si>
  <si>
    <t>Tunggakan Penjualan Kendaraan Roda-4</t>
  </si>
  <si>
    <t>Tunggakan Penjualan Tanah</t>
  </si>
  <si>
    <t>Tunggakan LHP BPK, Inspektorat</t>
  </si>
  <si>
    <t>BIRO KEUANGAN SEBAGAI SKPD</t>
  </si>
  <si>
    <t>Denda Retribusi</t>
  </si>
  <si>
    <t>Angsuran/Cicilan Penjualan</t>
  </si>
  <si>
    <t>Dana Pembinaan BPR LKP</t>
  </si>
  <si>
    <t>Hibah dari Klp Masyarakat ( I C )</t>
  </si>
  <si>
    <t>SELISIH DENDA</t>
  </si>
  <si>
    <t>Mataram,        Januari  2016</t>
  </si>
  <si>
    <t>12. DINAS PARIWISATA</t>
  </si>
  <si>
    <t>TAHUN ANGGARAN 2017</t>
  </si>
  <si>
    <t>REALISASI SD TRI I</t>
  </si>
  <si>
    <t>Bertambah/Berkurang</t>
  </si>
  <si>
    <t>JENIS PENERIMAAN</t>
  </si>
  <si>
    <t xml:space="preserve">TOTAL PENDAPATAN </t>
  </si>
  <si>
    <t>*</t>
  </si>
  <si>
    <t>Pelayanan Kesehatan</t>
  </si>
  <si>
    <t>Retribusi Tera Ulang</t>
  </si>
  <si>
    <t>Tempat Penginapan/Pesanggrahan/villa dan Asrama</t>
  </si>
  <si>
    <t>Retribusi Tempat Rekreasi dan Olah Raga</t>
  </si>
  <si>
    <t>Penjualan Hasil Produksi Daerah</t>
  </si>
  <si>
    <t>Izin Trayek</t>
  </si>
  <si>
    <t>Izin Usaha Perikanan (BPM-PT)</t>
  </si>
  <si>
    <t>HASIL PENGELOLAAN KEKAYAAN YANG SAH</t>
  </si>
  <si>
    <t>Bagi Hasil Perusda/BUMD</t>
  </si>
  <si>
    <t>BPR NTB</t>
  </si>
  <si>
    <t>PT. JAM KRIDA</t>
  </si>
  <si>
    <t>Hasil Penjualan Aset Daerah Yg Tdk Dipisahkan</t>
  </si>
  <si>
    <t>Pendapatan Bunga Deposito</t>
  </si>
  <si>
    <t>Tuntutan Ganti Rugi (TPTGR)</t>
  </si>
  <si>
    <t>Denda Atas Keterlambatan Pekerjaan</t>
  </si>
  <si>
    <t>Denda Pajak</t>
  </si>
  <si>
    <t>Pendapatan dari Penyelenggaraan Pendidikan (BKD &amp; DIKLAT)</t>
  </si>
  <si>
    <t xml:space="preserve">Lain-lain Penerimaan </t>
  </si>
  <si>
    <t>Pendapatan Pelkes BLUD</t>
  </si>
  <si>
    <t>Dana Bagi Hasil Pajak/Bukan Pajak</t>
  </si>
  <si>
    <t>Dana Bagi Hasil Pajak</t>
  </si>
  <si>
    <t>Dana Bagi HasilBukan Pajak</t>
  </si>
  <si>
    <t>Dana Alokasi Umum</t>
  </si>
  <si>
    <t>Pendapatan Hibah</t>
  </si>
  <si>
    <t>Pendapatan Hibah dari Badan/</t>
  </si>
  <si>
    <t>Lembaga/Organisasi Swasta</t>
  </si>
  <si>
    <t>Jumlah Pendapatan Daerah …………</t>
  </si>
  <si>
    <t>REALISASI PENERIMAAN RETRIBUSI DAN PENDAPATAN LAINNYA</t>
  </si>
  <si>
    <t>Sementara</t>
  </si>
  <si>
    <t>Kode Rekening</t>
  </si>
  <si>
    <t>Uraian Jenis Penerimaan</t>
  </si>
  <si>
    <t>Target Tahun 2012</t>
  </si>
  <si>
    <t>R e a l i s a s i</t>
  </si>
  <si>
    <t>Sisa Lebih Kurang</t>
  </si>
  <si>
    <t xml:space="preserve">S.d. Bulan lalu </t>
  </si>
  <si>
    <t>Bulan ini</t>
  </si>
  <si>
    <t>S.d. Bulan ini</t>
  </si>
  <si>
    <t>Penerimaan Pembiayaan</t>
  </si>
  <si>
    <t xml:space="preserve">Bagi Hasil Perusda </t>
  </si>
  <si>
    <t>Lain-lain PAD yang Sah</t>
  </si>
  <si>
    <t>Jumlah PAD (1+2+3)  …</t>
  </si>
  <si>
    <t>Mengetahui:</t>
  </si>
  <si>
    <t>Drs. Lalu Suparman</t>
  </si>
  <si>
    <t>NIP. 195710021985031008</t>
  </si>
  <si>
    <t>REALISASI PENERIMAAN RETRIBUSI, DANA PERIMBANGAN DAN PENDAPATAN LAINNYA</t>
  </si>
  <si>
    <t>SISA LEBIH KURANG</t>
  </si>
  <si>
    <t>Catatan sementara:</t>
  </si>
  <si>
    <t xml:space="preserve">- </t>
  </si>
  <si>
    <t>Pendapatan baru dari Pendapatan Hasil Eksekusi Atas jaminan</t>
  </si>
  <si>
    <t>Pada SIMDA tidak ada pendapatan dari BLUD AKPER.</t>
  </si>
  <si>
    <t>Pendapatan Biro umum dan Biro Keuangan sudah ada pembagian, tapi</t>
  </si>
  <si>
    <r>
      <rPr>
        <sz val="11"/>
        <rFont val="Calibri"/>
        <family val="2"/>
      </rPr>
      <t>angkanya belum fix. (</t>
    </r>
    <r>
      <rPr>
        <i/>
        <sz val="11"/>
        <color rgb="FFFF0000"/>
        <rFont val="Calibri"/>
        <family val="2"/>
      </rPr>
      <t>SPJ keuangan biro umum dan keuangan belum terbit</t>
    </r>
    <r>
      <rPr>
        <sz val="11"/>
        <rFont val="Calibri"/>
        <family val="2"/>
      </rPr>
      <t>)</t>
    </r>
  </si>
  <si>
    <t>Masih adanya selisih dengan SIMDA pada:</t>
  </si>
  <si>
    <t>Penjualan Produksi Usaha Daerah</t>
  </si>
  <si>
    <t>Pendapatan dari Pengambalian</t>
  </si>
  <si>
    <t>Lain - Lain PAD yang sah</t>
  </si>
  <si>
    <t>Klaim askes bulan januari (bkmm) di SIMDA masuk lain-lain.</t>
  </si>
  <si>
    <t>VERSI SIMDA</t>
  </si>
  <si>
    <t>PAJAK DAERAH</t>
  </si>
  <si>
    <t>Pajak Kendaraan Bermotor</t>
  </si>
  <si>
    <t>UPTB UPPD Mataram</t>
  </si>
  <si>
    <t>UPTB UPPD Gerung</t>
  </si>
  <si>
    <t>UPTB UPPD Praya</t>
  </si>
  <si>
    <t>UPTB UPPD Tanjung</t>
  </si>
  <si>
    <t>UPTB UPPD Selong</t>
  </si>
  <si>
    <t>UPTB UPPD Taliwang</t>
  </si>
  <si>
    <t>UPTB UPPD Sumbawa Besar</t>
  </si>
  <si>
    <t>UPTB UPPD Dompu</t>
  </si>
  <si>
    <t>UPTB UPPD Panda Bima</t>
  </si>
  <si>
    <t>UPTB UPPD Raba Bima</t>
  </si>
  <si>
    <t>Bea Balik Nama Kendaraan Bermotor</t>
  </si>
  <si>
    <t>Pajak Bahan Bakar Kendaraan Bermotor</t>
  </si>
  <si>
    <t>x</t>
  </si>
  <si>
    <t>Pajak Air Permukaan</t>
  </si>
  <si>
    <t>Pajak Rokok</t>
  </si>
  <si>
    <t>BALAI LAB. KESEHATAN PULAU SUMBAWA (SUDAH JADI BLUD)</t>
  </si>
  <si>
    <t>RUMAH SAKIT RUJUKAN PROV.NTB (SUDAH JADI BLUD)</t>
  </si>
  <si>
    <t>DISHUBKOMINFO</t>
  </si>
  <si>
    <t>RUMAH SAKIT JIWA (MUTIARA SUKMA)</t>
  </si>
  <si>
    <t>RUMAH SAKIT RUJUKAN (RSUD P. SUMBAWA)</t>
  </si>
  <si>
    <t>DIKPORA</t>
  </si>
  <si>
    <t>DINAS PERKEBUNAN</t>
  </si>
  <si>
    <t>BKD DAN DIKLAT</t>
  </si>
  <si>
    <t>DINAS KEHUTANAN</t>
  </si>
  <si>
    <t>DINAS PERTANIAN</t>
  </si>
  <si>
    <t>DINAS PENDAPATAN DAERAH NTB</t>
  </si>
  <si>
    <t>Dinas Dikpora</t>
  </si>
  <si>
    <t>Dinas Kesehatan</t>
  </si>
  <si>
    <t>RUMAH SAKIT RUJUKAN (RSUD PULAU SUMBAWA)</t>
  </si>
  <si>
    <t>BPBD</t>
  </si>
  <si>
    <t>KANTOR PENGHUBUNG (JAKARTA)</t>
  </si>
  <si>
    <t>Akper Selong</t>
  </si>
  <si>
    <t>Dinas Perhub Komimfo</t>
  </si>
  <si>
    <t>Dinas Sosial Kependudukan &amp; Catpil</t>
  </si>
  <si>
    <t>Badan Lingkungan Hidup &amp; Penelitian</t>
  </si>
  <si>
    <t>Badan Ketahanan Pangan Daerah</t>
  </si>
  <si>
    <t>Retribusi Tempat Olahraga dan Wisata</t>
  </si>
  <si>
    <r>
      <t xml:space="preserve">Retribusi Perpanjangan IMTA </t>
    </r>
    <r>
      <rPr>
        <i/>
        <sz val="10"/>
        <color rgb="FF0000FF"/>
        <rFont val="Calibri"/>
        <family val="2"/>
      </rPr>
      <t>(pindah)</t>
    </r>
  </si>
  <si>
    <r>
      <t xml:space="preserve">KONTRIBUSI DIKLAT </t>
    </r>
    <r>
      <rPr>
        <b/>
        <i/>
        <sz val="12"/>
        <color rgb="FFFF0000"/>
        <rFont val="Calibri"/>
        <family val="2"/>
      </rPr>
      <t>(BPSDM EKS. BKD &amp; DIKLAT)</t>
    </r>
  </si>
  <si>
    <t>Rencana Perubahan Target Tahun 2017</t>
  </si>
  <si>
    <t>Opsi 1</t>
  </si>
  <si>
    <t xml:space="preserve">REKAPITULASI RENCANA PERUBAHAN TARGET </t>
  </si>
  <si>
    <t>A.</t>
  </si>
  <si>
    <t>B.</t>
  </si>
  <si>
    <t>X</t>
  </si>
  <si>
    <t>opsi 1</t>
  </si>
  <si>
    <t>BAKORLUH</t>
  </si>
  <si>
    <t>Sewa Kelas/Aula</t>
  </si>
  <si>
    <t>Islamic center</t>
  </si>
  <si>
    <t xml:space="preserve">Dinas Pertanian </t>
  </si>
  <si>
    <t>Dinas Pertambangan</t>
  </si>
  <si>
    <t>Opsi 2</t>
  </si>
  <si>
    <t>Target Murni 2018</t>
  </si>
  <si>
    <t>opsi 2</t>
  </si>
  <si>
    <t>Target Perubahan 2017</t>
  </si>
  <si>
    <t>Target Murni 2017</t>
  </si>
  <si>
    <t>TARGET PERUBAHAN PENDAPATAN TAHUN 2017 OPSI-1</t>
  </si>
  <si>
    <t>TARGET PERUBAHAN PENDAPATAN TAHUN 2017 OPSI-2</t>
  </si>
  <si>
    <t>Badan Penanggulangan Bencana Daerah (BPBD)</t>
  </si>
  <si>
    <t>bantuan bencana alam</t>
  </si>
  <si>
    <t>Biaya Pemungutan</t>
  </si>
  <si>
    <t>Bagian Daerah</t>
  </si>
  <si>
    <t>Aula BPKBM (Dikmen dan PKPLK)</t>
  </si>
  <si>
    <t>Uji Lab. Keswan dan poskeswan swadaya, RSH Gunungsari</t>
  </si>
  <si>
    <t>sewa aula tambora</t>
  </si>
  <si>
    <t>sewa ruang rapat tambora</t>
  </si>
  <si>
    <t>sewa ruang CAT</t>
  </si>
  <si>
    <t>Wisma Tambora</t>
  </si>
  <si>
    <t>Wisma Praja</t>
  </si>
  <si>
    <t>BALAI LABKES SUMBAWA (masuk ke RS Manambai)</t>
  </si>
  <si>
    <t>Kepala Badan Pengelolaan Pendapatan Daerah</t>
  </si>
  <si>
    <t>Ir. H. Iswandi, M.Si</t>
  </si>
  <si>
    <t>NIP. 19651231 199403 1 153</t>
  </si>
  <si>
    <t>Mataram,         Mei  2017</t>
  </si>
  <si>
    <r>
      <rPr>
        <sz val="10"/>
        <rFont val="Arial"/>
        <family val="2"/>
      </rPr>
      <t xml:space="preserve">Hyperkes </t>
    </r>
    <r>
      <rPr>
        <i/>
        <u/>
        <sz val="10"/>
        <rFont val="Arial"/>
        <family val="2"/>
      </rPr>
      <t>(pemakaian kekayaan daerah)</t>
    </r>
  </si>
  <si>
    <r>
      <rPr>
        <sz val="10"/>
        <rFont val="Calibri"/>
        <family val="2"/>
      </rPr>
      <t xml:space="preserve">Sewa Mess BLK dan Balai Trans </t>
    </r>
    <r>
      <rPr>
        <i/>
        <u/>
        <sz val="10"/>
        <rFont val="Calibri"/>
        <family val="2"/>
      </rPr>
      <t>(penginapan)</t>
    </r>
  </si>
  <si>
    <r>
      <rPr>
        <sz val="10"/>
        <rFont val="Calibri"/>
        <family val="2"/>
      </rPr>
      <t xml:space="preserve">Pendapatan dari Pengembalian </t>
    </r>
    <r>
      <rPr>
        <b/>
        <sz val="10"/>
        <rFont val="Calibri"/>
        <family val="2"/>
      </rPr>
      <t>REIMBURST</t>
    </r>
  </si>
  <si>
    <t>TARGET PERUBAHAN 2017</t>
  </si>
  <si>
    <t>- Sewa Aula Rinjani</t>
  </si>
  <si>
    <t>- Sewa Aula Tambora</t>
  </si>
  <si>
    <t>- Sewa Kelas</t>
  </si>
  <si>
    <t>- Sewa Ruang Rapat Tambora</t>
  </si>
  <si>
    <t>- Sewa Ruang CAT</t>
  </si>
  <si>
    <t>- Wisma Tambora</t>
  </si>
  <si>
    <t>- Wisma Praja</t>
  </si>
  <si>
    <t>Perusahaan Daerah</t>
  </si>
  <si>
    <t>Bagian Laba Atas Penyertaan Modal Pada Perusahaan Milik Daerah/BUMD</t>
  </si>
  <si>
    <t>BANK NTB</t>
  </si>
  <si>
    <t>PT. GERBANG NTB EMAS</t>
  </si>
  <si>
    <t>PT. DAERAH MANDIRI BERSAING (DMD)</t>
  </si>
  <si>
    <t>DEVIDEN PT.SUARA NUSA MEDIA PRATAMA</t>
  </si>
  <si>
    <t>PT. BANGUN ASKRIDA</t>
  </si>
  <si>
    <t>BAGIAN LABA DARI INVESTASI</t>
  </si>
  <si>
    <t>Proyek pembangunan apron dan taxy way</t>
  </si>
  <si>
    <t>Uji Lab. Keswan dan Pokeswan Swadaya dan RSH Gunung</t>
  </si>
  <si>
    <r>
      <t xml:space="preserve">Denda Retribusi Jasa Usaha </t>
    </r>
    <r>
      <rPr>
        <b/>
        <i/>
        <sz val="10"/>
        <color rgb="FFFF0000"/>
        <rFont val="Calibri"/>
        <family val="2"/>
      </rPr>
      <t>(BPKAD)</t>
    </r>
    <r>
      <rPr>
        <sz val="10"/>
        <color rgb="FFFF0000"/>
        <rFont val="Calibri"/>
        <family val="2"/>
      </rPr>
      <t xml:space="preserve"> </t>
    </r>
  </si>
  <si>
    <t>Retribusi Tempat Olah Raga dan Wisata</t>
  </si>
  <si>
    <t xml:space="preserve">PENDAPATAN </t>
  </si>
  <si>
    <t>- Pendapatan Hibah dari Pemerintah</t>
  </si>
  <si>
    <t>- Pendapatan Hibah dari Badan/ Lembaga/Organisasi</t>
  </si>
  <si>
    <t xml:space="preserve">  Swasta</t>
  </si>
  <si>
    <t>- Diklat PIM III dan IV BPSDM</t>
  </si>
  <si>
    <t>Pendapatan dari penyelenggaraan pendidikan</t>
  </si>
  <si>
    <t>Pendapatan dari pengembalian</t>
  </si>
  <si>
    <t>Usulan Perubahan Target Tahun Anggaran 2016 per-Dinas</t>
  </si>
  <si>
    <t>Denda Buku (hibah perorangan) ada di BPKAD</t>
  </si>
  <si>
    <t>Lain-lain Pendapatan Daerah yang Sah (ada di BPKAD)</t>
  </si>
  <si>
    <t>HASIL PENGELOLAAN KEKAYAAN DAERAH YANG DIPISAHKAN (tercatat di BPKAD)</t>
  </si>
  <si>
    <t>Lain-lain Penerimaan yang Syah (BPSB, TPH ) tercatat di BPKAD</t>
  </si>
  <si>
    <t>Badan Penangulangan Bencana Daerah (Bantuan Bencana Alam)</t>
  </si>
  <si>
    <t>Denda keterlambatan atas pekerjaan (dinas Pekerjaan Umum dan Tata Ruang)</t>
  </si>
  <si>
    <r>
      <t xml:space="preserve">Denda Retribusi Jasa Usaha </t>
    </r>
    <r>
      <rPr>
        <b/>
        <i/>
        <sz val="10"/>
        <color theme="1"/>
        <rFont val="Calibri"/>
        <family val="2"/>
      </rPr>
      <t>(BPKAD)</t>
    </r>
    <r>
      <rPr>
        <sz val="10"/>
        <color theme="1"/>
        <rFont val="Calibri"/>
        <family val="2"/>
      </rPr>
      <t xml:space="preserve"> </t>
    </r>
  </si>
  <si>
    <r>
      <t>Denda Bid. Perhubungan</t>
    </r>
    <r>
      <rPr>
        <b/>
        <i/>
        <sz val="10"/>
        <color theme="1"/>
        <rFont val="Calibri"/>
        <family val="2"/>
      </rPr>
      <t xml:space="preserve"> (Dinas Perhubungan)</t>
    </r>
  </si>
  <si>
    <r>
      <t xml:space="preserve">KONTRIBUSI DIKLAT </t>
    </r>
    <r>
      <rPr>
        <b/>
        <i/>
        <sz val="12"/>
        <color theme="1"/>
        <rFont val="Calibri"/>
        <family val="2"/>
      </rPr>
      <t>(BPSDM EKS. BKD &amp; DIKLAT)</t>
    </r>
  </si>
  <si>
    <t>No</t>
  </si>
  <si>
    <t>Uraian</t>
  </si>
  <si>
    <t>Realisasi 2016</t>
  </si>
  <si>
    <t>Renc. Target Perubahan 2017</t>
  </si>
  <si>
    <t>% Pertumbuhan</t>
  </si>
  <si>
    <t>% Pertumbuhan RPJMD</t>
  </si>
  <si>
    <t>Pertumbuhan Target Perubahan Tahun 2017</t>
  </si>
  <si>
    <t>Mataram,         Juni  2017</t>
  </si>
  <si>
    <t>Draft KUA PPAS</t>
  </si>
  <si>
    <r>
      <t xml:space="preserve">Denda Retribusi Jasa Usaha </t>
    </r>
    <r>
      <rPr>
        <b/>
        <i/>
        <sz val="10"/>
        <rFont val="Calibri"/>
        <family val="2"/>
      </rPr>
      <t>(BPKAD)</t>
    </r>
    <r>
      <rPr>
        <sz val="10"/>
        <rFont val="Calibri"/>
        <family val="2"/>
      </rPr>
      <t xml:space="preserve"> </t>
    </r>
  </si>
  <si>
    <t>Mataram,         Juli  2017</t>
  </si>
  <si>
    <t>AKPER KESEHATAN</t>
  </si>
  <si>
    <t>KODE REK</t>
  </si>
  <si>
    <t>Usulan Perubahan Target Tahun Anggaran 2017 per-Dinas</t>
  </si>
  <si>
    <t>Leges</t>
  </si>
  <si>
    <t>Yankes</t>
  </si>
  <si>
    <t>Jasa Umum</t>
  </si>
  <si>
    <t>NIP. 19590215 198503 1 018</t>
  </si>
  <si>
    <t>Abd. Azis, Bc.Kn</t>
  </si>
  <si>
    <t>Sekretaris</t>
  </si>
  <si>
    <t>Provinsi Nusa Tenggara Barat</t>
  </si>
  <si>
    <t>PLT. Kepala Dinas Pendapatan Daerah</t>
  </si>
  <si>
    <t>Mataram, 26  Oktober  2015</t>
  </si>
  <si>
    <t>G R A N D     T O T A L</t>
  </si>
  <si>
    <t>Sewa Tower</t>
  </si>
  <si>
    <t>Retribusi Pelayanan Tera/Tera Ulang</t>
  </si>
  <si>
    <t>Pendapatan dari pengembalian LHP</t>
  </si>
  <si>
    <t>Retribusi Perizinan Tertentu</t>
  </si>
  <si>
    <t>Balai Pembibitan Benih Perikanan Pantai Sekotong</t>
  </si>
  <si>
    <t>BPPI Labuhan Lalar</t>
  </si>
  <si>
    <t>BPLMHP Mataram</t>
  </si>
  <si>
    <t>Komisi Pengadaan Barang/Jasa</t>
  </si>
  <si>
    <t>Komisi, Potongan dan Keuntungan Selisih Nilai Tukar Rupiah</t>
  </si>
  <si>
    <t>Pajak Pengamb. &amp; Pemanfaatan Air bawah tanah</t>
  </si>
  <si>
    <t>Pajak Air Bawah Tanah</t>
  </si>
  <si>
    <t>Pajak Pengamb &amp; Pemanfaatan Air Permukaan</t>
  </si>
  <si>
    <t xml:space="preserve">DINAS ENERGI DAN SUMBERDAYA MINERAL( EKS DINAS PERTAMBANGAN &amp; ENERGI)   </t>
  </si>
  <si>
    <t>DINAS KEHUTANAN (HILANG GABUNG DENGAN DINAS LINGKUNGAN HIDUP DAN KEHUTANAN)</t>
  </si>
  <si>
    <t>Penjualan Ayam Pedaging pada BIB</t>
  </si>
  <si>
    <t>Penj. Susu &amp; Sapi perah Non Produktif BIB</t>
  </si>
  <si>
    <t>Penjualan Sapi Tidak Layak Bibit BPT-HMT Serading</t>
  </si>
  <si>
    <t>Penj. HMT BPT-HMT Serading</t>
  </si>
  <si>
    <t>Inseminasi buatan (IB) BIB</t>
  </si>
  <si>
    <t>Poskeswan Swadaya dan RSH Banyumulek</t>
  </si>
  <si>
    <t>(Kontribusi Pengusaha Tembakau)</t>
  </si>
  <si>
    <t>Sumbangan Pihak Ketiga</t>
  </si>
  <si>
    <t xml:space="preserve">MASUK KE DINAS PERTANIAN DAN PERKEBUNAN (DINAS PERKEBUNAN)      </t>
  </si>
  <si>
    <t>Sewa Gedung Balai Diklat Pertanian</t>
  </si>
  <si>
    <t>Retribusi Tempat Penginapan/Pesanggarahan/Villa</t>
  </si>
  <si>
    <t>MASUK KE DINAS PERTANIAN DAN PERKEBUNAN (BAKORLUH)</t>
  </si>
  <si>
    <t>Lain-lain Penerimaan yang Syah (BPSB, TPH, SP III)</t>
  </si>
  <si>
    <t>Hasil Kebun pertanian (SPPN Mataram)</t>
  </si>
  <si>
    <t>Diklat Pembentukan Arsiparis Ahli Kab./Kota</t>
  </si>
  <si>
    <t>Diklat Prajabatan</t>
  </si>
  <si>
    <t>Diklat PIM III dan IV</t>
  </si>
  <si>
    <t>BADAN PENGEMBANGAN SUMBERDAYA MANUSIA (EKS PECAHAN BKD DAN DIKLAT)</t>
  </si>
  <si>
    <t>Samsat Lombok Utara</t>
  </si>
  <si>
    <t>Samsat Gerung</t>
  </si>
  <si>
    <t xml:space="preserve">Retribusi Pemakaian Kekayaan Daerah </t>
  </si>
  <si>
    <t>Solar</t>
  </si>
  <si>
    <t>Pertamax</t>
  </si>
  <si>
    <t>Premium</t>
  </si>
  <si>
    <t>Ambulance (U)</t>
  </si>
  <si>
    <t>Ambulance (TU)</t>
  </si>
  <si>
    <t>Kendaraan Khusus</t>
  </si>
  <si>
    <t>E    Sepeda Motor</t>
  </si>
  <si>
    <t>09</t>
  </si>
  <si>
    <t>C-2 Truck, Pick Up (Umum)</t>
  </si>
  <si>
    <t>C-1 Truck, Pick Up (Pribadi)</t>
  </si>
  <si>
    <t>B-2 Bus, Micro Bus (Umum)</t>
  </si>
  <si>
    <t>B-1 Bus, Micro Bus (Pribadi)</t>
  </si>
  <si>
    <t>A-2 Sedan, Jeep, Station Wagon (Umum)</t>
  </si>
  <si>
    <t>A-1 Sedan, Jeep, Station Wagon (Pribadi)</t>
  </si>
  <si>
    <t>Alat Berat dan Alat Besar</t>
  </si>
  <si>
    <t>E   Sepeda Motor</t>
  </si>
  <si>
    <t>BADAN PENGELOLAAN PENDAPATAN DAERAH</t>
  </si>
  <si>
    <t xml:space="preserve">BADAN PENGHUBUNG PROVINSI    </t>
  </si>
  <si>
    <t>Bidang ….</t>
  </si>
  <si>
    <t>xx</t>
  </si>
  <si>
    <t>INSPEKTORAT</t>
  </si>
  <si>
    <t>dan tunjangan</t>
  </si>
  <si>
    <t xml:space="preserve">Pendapatan dari pengembalian kelebihan pembayaran gaji </t>
  </si>
  <si>
    <t xml:space="preserve">SEKRETARIAT DPR    </t>
  </si>
  <si>
    <t>POLISI PAMONG PRAJA</t>
  </si>
  <si>
    <t>l.</t>
  </si>
  <si>
    <t>Bandara Internasional Lombok</t>
  </si>
  <si>
    <t>k.</t>
  </si>
  <si>
    <t>j.</t>
  </si>
  <si>
    <t>Dana Penyesuaian (BOS, DID, DTP)</t>
  </si>
  <si>
    <t>BADAN PERPUSTAKAAN DAERAH</t>
  </si>
  <si>
    <t xml:space="preserve">DINAS PERIDUSTRIAN DAN PERDAGANGAN     </t>
  </si>
  <si>
    <t>BADAN KETAHANAN PANGAN</t>
  </si>
  <si>
    <t>DINAS PETERNAKAN</t>
  </si>
  <si>
    <t>BKMM</t>
  </si>
  <si>
    <t>Hibah Pihak III (kontribusi dealer)</t>
  </si>
  <si>
    <t>Satpol PP</t>
  </si>
  <si>
    <t>Biro Ekonomi</t>
  </si>
  <si>
    <t>Biro Administrasi Pembangunan</t>
  </si>
  <si>
    <t>Biro Administrasi Pemerintahan</t>
  </si>
  <si>
    <t>DINAS TENAGA KERJA  DAN TRANSMIGRASI</t>
  </si>
  <si>
    <t>DINAS SOSIAL,KEPENDUDUKAN &amp; CAPIL</t>
  </si>
  <si>
    <t>Kimpraswil</t>
  </si>
  <si>
    <t xml:space="preserve">RSJ MATARAM  </t>
  </si>
  <si>
    <t>Bapelkes/Balai Pengembangan Tenaga Kesehatan</t>
  </si>
  <si>
    <t>Badan/Lembaga/Organisasi Swasta</t>
  </si>
  <si>
    <t>Dana Kontijensi</t>
  </si>
  <si>
    <t>DANA KONTIJENSI</t>
  </si>
  <si>
    <t xml:space="preserve">DAK FISIK </t>
  </si>
  <si>
    <t>Bagi Hasil dari Iuran Tetap (Land-rent)</t>
  </si>
  <si>
    <t>wajib pajak orang Pribadi dalam negeri dan PPh Pasal 21</t>
  </si>
  <si>
    <t>Bagi Hasil dari Pajak Bumi Dan Bangunan</t>
  </si>
  <si>
    <t>Dana Bagi Hasil Pajak/Bagi Hasil Bukan Pajak</t>
  </si>
  <si>
    <t xml:space="preserve">BIRO ADMINISTRASI PEREKONOMIAN </t>
  </si>
  <si>
    <t>h.</t>
  </si>
  <si>
    <t>BIRO A DMINISTRASI PEMBANGUNAN</t>
  </si>
  <si>
    <t>BIRO ADMINISTRASI KESRA</t>
  </si>
  <si>
    <t>BIRO HUKUM</t>
  </si>
  <si>
    <t>Lain-lain (Penjualan bekas-bekas bahan bangunan)</t>
  </si>
  <si>
    <t>Angsuran/Cicilan Penjualan Kendaraan :</t>
  </si>
  <si>
    <t>Angsuran / Cicilan Penjualan Rumah Dinas Gol. III</t>
  </si>
  <si>
    <t>Kekurangan Fase I</t>
  </si>
  <si>
    <t>Insentif Prem Indi Fase I</t>
  </si>
  <si>
    <t>Reimburst Prem Indie Fase II</t>
  </si>
  <si>
    <t>Pendapatan dari Pengembalian Reimburst</t>
  </si>
  <si>
    <t>gaji dan Tunjangan</t>
  </si>
  <si>
    <t xml:space="preserve">Pendapatan dari pengembalian kelebihan pembayaran </t>
  </si>
  <si>
    <t>Penjualan Rumah Jabatan /rumah dinas</t>
  </si>
  <si>
    <t>Penjualan Mesin/alat-alat berat tidak terpakai</t>
  </si>
  <si>
    <t>Bank NTB</t>
  </si>
  <si>
    <t>Bagian Laba atas penyertaan modal pada Perus. Milik Daerah/BUMD</t>
  </si>
  <si>
    <t>DIPISAHKAN</t>
  </si>
  <si>
    <t xml:space="preserve">HASIL PENGELOLAAN KEKAYAAN DAERAH YANG </t>
  </si>
  <si>
    <t>- Penerimaan Pengalihan HGB diatas PHL</t>
  </si>
  <si>
    <t xml:space="preserve">  Tangkong (Gili Tangkong)</t>
  </si>
  <si>
    <t xml:space="preserve">- Kerjasama dengan PT. Anasia Nusantara </t>
  </si>
  <si>
    <t xml:space="preserve">  Senggigi (Pasar Seni Senggigi)</t>
  </si>
  <si>
    <t xml:space="preserve">- Kerjasama dengan PT. Rajawali Adi </t>
  </si>
  <si>
    <t xml:space="preserve">  Golong Narmada)</t>
  </si>
  <si>
    <t xml:space="preserve">- Kerjasama dengan PT. GEIC (Lapangan Golf </t>
  </si>
  <si>
    <t>- Kerjasama dengan PT. GTI (Gili Trawangan)</t>
  </si>
  <si>
    <t>Kerjasama Pemanfaatan Asset</t>
  </si>
  <si>
    <t>BADAN PENGELOLA KEUANGAN DAN ASET DAERAH</t>
  </si>
  <si>
    <t>Sewa Pemakaian Gedung VIP Bandara</t>
  </si>
  <si>
    <t>Sewa Pemakaian Gedung Sangkareang</t>
  </si>
  <si>
    <t>Sewa Pemakaian Gedung Graha Bhakti Praja</t>
  </si>
  <si>
    <t>BIRO ADMINISTRASI PEMERINTAHAN</t>
  </si>
  <si>
    <t xml:space="preserve">SEKRETARIAT DAERAH </t>
  </si>
  <si>
    <t>Musium</t>
  </si>
  <si>
    <t>Penginapan taman Budaya</t>
  </si>
  <si>
    <t>Pendapatan Dari Pengembalian LHP</t>
  </si>
  <si>
    <t>Pendapatan Dari Pengembalian</t>
  </si>
  <si>
    <t>BADAN PENANAMAN MODAL PEMBANGUNAN DAERAH</t>
  </si>
  <si>
    <t>Retribusi Pelayanan Perpanjangan IMTA</t>
  </si>
  <si>
    <t xml:space="preserve">SP III </t>
  </si>
  <si>
    <t>Lain-lain ( Jasa Pengiriman TKI )</t>
  </si>
  <si>
    <t>Balai Trans</t>
  </si>
  <si>
    <t xml:space="preserve">Ret.Tmpt Penginapan (Sewa Mess BLK) dan </t>
  </si>
  <si>
    <t>Sewa Aula Panti Sosial Petirahan Anak Putra Utama</t>
  </si>
  <si>
    <t>DINAS SOSIAL</t>
  </si>
  <si>
    <t xml:space="preserve">Tunggakan Bunga Dana Bergulir </t>
  </si>
  <si>
    <t>Retribusi Perizinan Usaha Perikanan</t>
  </si>
  <si>
    <t>DINAS PENANAMAN MODAL DAN PT</t>
  </si>
  <si>
    <t xml:space="preserve">BAPPEDA </t>
  </si>
  <si>
    <t>Ret.Laboratorium</t>
  </si>
  <si>
    <t>BLUD</t>
  </si>
  <si>
    <t>Retribusi Pelayanan kesehatan</t>
  </si>
  <si>
    <t>Pendapatan Jasa Lain-lain</t>
  </si>
  <si>
    <t>Surplus/Saldo Pendapatan BLUD Tahun 2014</t>
  </si>
  <si>
    <t>Bunga Bank</t>
  </si>
  <si>
    <t>Pendapatan Lain-lain</t>
  </si>
  <si>
    <t>Parkir</t>
  </si>
  <si>
    <t>Sewa Ruangan/Aula/Lahan</t>
  </si>
  <si>
    <t>Pendapatan Pemakaian Kekayaan Daerah</t>
  </si>
  <si>
    <t>Kerjasama MOU</t>
  </si>
  <si>
    <t>Jamkesmas/Bansos</t>
  </si>
  <si>
    <t>BPJS Kesehatan</t>
  </si>
  <si>
    <t>Pendapatan Dengan Jaminan</t>
  </si>
  <si>
    <t>Administrasi Karcis</t>
  </si>
  <si>
    <t>Diklat</t>
  </si>
  <si>
    <t>Pendapatan langsung Non Instalasi</t>
  </si>
  <si>
    <t>Medico Legal</t>
  </si>
  <si>
    <t>Instalasi Rekam Medis</t>
  </si>
  <si>
    <t>Pelayanan Kebidanan dan Ginekologi</t>
  </si>
  <si>
    <t>Diagnostik Khusus</t>
  </si>
  <si>
    <t>Diagnostik Elektro Medik</t>
  </si>
  <si>
    <t>MCU/KIR</t>
  </si>
  <si>
    <t>Ambulance</t>
  </si>
  <si>
    <t>Hemodealisa</t>
  </si>
  <si>
    <t>Bank Darah</t>
  </si>
  <si>
    <t>Instalasi Gizi</t>
  </si>
  <si>
    <t>Instalasi Farmasi</t>
  </si>
  <si>
    <t>Instalasi Forensik/Pemulasaran Jenasah</t>
  </si>
  <si>
    <t>Instalasi Rehabilitasi Medik</t>
  </si>
  <si>
    <t>Instalasi Radiologi</t>
  </si>
  <si>
    <t>Instalasi Laboratorium</t>
  </si>
  <si>
    <t>Instalasi Bedah Sentral</t>
  </si>
  <si>
    <t>Instalasi Rawat Inasp Intensif</t>
  </si>
  <si>
    <t>Instalasi Rawat Inap</t>
  </si>
  <si>
    <t>Instalasi Rawat Jalan</t>
  </si>
  <si>
    <t>Instalasi Rawat Darurat</t>
  </si>
  <si>
    <t>Pendapatan langsung instalasi</t>
  </si>
  <si>
    <t>Sisa Thn Lalu/Saldo Kas</t>
  </si>
  <si>
    <t>Pelayanan TKI</t>
  </si>
  <si>
    <t>Pasien Tdk Mampu</t>
  </si>
  <si>
    <t>Sewa Aula</t>
  </si>
  <si>
    <t>Surat Keterangan Kelahiran</t>
  </si>
  <si>
    <t>Pengujian Kesehatan Umum</t>
  </si>
  <si>
    <t>Perawatan Jenazah</t>
  </si>
  <si>
    <t>Rekam Medis</t>
  </si>
  <si>
    <t>Tindakan Medik dan Terapi/Tidakan Rehab Medik</t>
  </si>
  <si>
    <t>Diagnostik/Elektromedik</t>
  </si>
  <si>
    <t>Radiologi</t>
  </si>
  <si>
    <t>Laboratorium</t>
  </si>
  <si>
    <t>PHB/Askes</t>
  </si>
  <si>
    <t>Obat-obatan/Parmasi</t>
  </si>
  <si>
    <t>Rawat inap umum</t>
  </si>
  <si>
    <t>Tindakan/Operasi</t>
  </si>
  <si>
    <t>Adminstrasi/Karcis</t>
  </si>
  <si>
    <t>Total saja</t>
  </si>
  <si>
    <t xml:space="preserve">RSU MATARAM </t>
  </si>
  <si>
    <t>RUMAH SAKIT UMUM H.L MANAMBAI ABDUL KADIR (RUJUKAN SUMBAWA)</t>
  </si>
  <si>
    <t>Aula / KLS</t>
  </si>
  <si>
    <t>rincian belum</t>
  </si>
  <si>
    <t>Retribusi Pelayanan Pendidikan</t>
  </si>
  <si>
    <t>Balai Laboratorium Pulau Sumbawa (Gabung dgn RSU Manambai)</t>
  </si>
  <si>
    <t>Balai Laboratorium Pulau Lombok</t>
  </si>
  <si>
    <t xml:space="preserve">BALAI LAB. KESEHATAN </t>
  </si>
  <si>
    <t>Penjualan Hsl.Kebun RS.Sepolong</t>
  </si>
  <si>
    <t>Ditanyakan</t>
  </si>
  <si>
    <t>DINAS PERPUSTAKAAN DAN ARSIP DAERAH</t>
  </si>
  <si>
    <t>J</t>
  </si>
  <si>
    <t>Tahun 2016</t>
  </si>
  <si>
    <t>Tahun 2015</t>
  </si>
  <si>
    <t>% Kenaikan</t>
  </si>
  <si>
    <t>Target Murni</t>
  </si>
  <si>
    <t>Target Perubahan</t>
  </si>
  <si>
    <t xml:space="preserve"> Tahun 2017</t>
  </si>
  <si>
    <t>6=5/3x100</t>
  </si>
  <si>
    <t>Denda keterlambatan atas pekerjaan (Dinas PUPR)</t>
  </si>
  <si>
    <t xml:space="preserve">DINAS PERTANIAN DAN PERKEBUNAN      </t>
  </si>
  <si>
    <t>DINAS KEPENDUDUKAN DAN PENCATATAN SIPIL)</t>
  </si>
  <si>
    <t>sewa aula rinjani</t>
  </si>
  <si>
    <t>sewa kelas</t>
  </si>
  <si>
    <t>Uji Lab. Keswan, Poskeswan dan RSH Gunungsari</t>
  </si>
  <si>
    <t>DINAS KOMINFOTIK</t>
  </si>
  <si>
    <t>DINAS PERUMAHAN DAN PEMUKIMAN</t>
  </si>
  <si>
    <t>DINAS PEMBERDAYAAN PEREMPUAN, PA DAN PP</t>
  </si>
  <si>
    <t>DINAS PEMUDA DAN OLAHRAGA</t>
  </si>
  <si>
    <t>PER-KOMPONEN</t>
  </si>
  <si>
    <t>TARGET PENDAPATAN DAERAH PROVINSI NTB</t>
  </si>
  <si>
    <t>BAPELKES / BALAI PENGEMB. TENAGA KES. MTR</t>
  </si>
  <si>
    <t xml:space="preserve">BAKESBANGPOLDAGRI    </t>
  </si>
  <si>
    <t>18</t>
  </si>
  <si>
    <t xml:space="preserve">DINAS KELAUTAN  DAN PERIKANAN  </t>
  </si>
  <si>
    <t>6=5-4</t>
  </si>
  <si>
    <t>7=6/4x100</t>
  </si>
  <si>
    <t>Retribusi Tempat Olahraga</t>
  </si>
  <si>
    <t>Retribusi Pemakaian kekayaan daerah (jasa Wisata</t>
  </si>
  <si>
    <t>BERUBAH</t>
  </si>
  <si>
    <t xml:space="preserve">Realisasi </t>
  </si>
  <si>
    <t>Kurang</t>
  </si>
  <si>
    <t>Lebih/</t>
  </si>
  <si>
    <t>Dana Bagi Hasil Bukan Pajak</t>
  </si>
  <si>
    <t xml:space="preserve">Target </t>
  </si>
  <si>
    <t>01 Jan - 30 Sept 2018</t>
  </si>
  <si>
    <t>Selisih Real</t>
  </si>
  <si>
    <t>2019 - 2018</t>
  </si>
  <si>
    <t>9=8/7x100</t>
  </si>
  <si>
    <t>01 Jan - 31 Desember 19</t>
  </si>
  <si>
    <t xml:space="preserve">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</si>
</sst>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/mm/yyyy;@"/>
    <numFmt numFmtId="165" formatCode="_(* #,##0.00_);_(* \(#,##0.00\);_(* \-??_);_(@_)"/>
    <numFmt numFmtId="166" formatCode="00000"/>
    <numFmt numFmtId="167" formatCode="0_);\(0\)"/>
    <numFmt numFmtId="168" formatCode="_(* #,##0_);_(* \(#,##0\);_(* \-_);_(@_)"/>
    <numFmt numFmtId="169" formatCode="hh:mm:ss;@"/>
    <numFmt numFmtId="170" formatCode="_(* #,##0.00_);_(* \(#,##0.00\);_(* &quot;-&quot;_);_(@_)"/>
    <numFmt numFmtId="171" formatCode="[$-F800]dddd\,\ mmmm\ dd\,\ yyyy"/>
    <numFmt numFmtId="172" formatCode="_-* #,##0.00_-;\-* #,##0.00_-;_-* \-??_-;_-@_-"/>
    <numFmt numFmtId="173" formatCode="_-* #,##0_-;\-* #,##0_-;_-* \-_-;_-@_-"/>
    <numFmt numFmtId="174" formatCode="_([$Rp-421]* #,##0.00_);_([$Rp-421]* \(#,##0.00\);_([$Rp-421]* \-??_);_(@_)"/>
    <numFmt numFmtId="175" formatCode="_-* #,##0.00_-;\-* #,##0.00_-;_-* \-_-;_-@_-"/>
    <numFmt numFmtId="176" formatCode="_(* #,##0_);_(* \(#,##0\);_(* \-??_);_(@_)"/>
    <numFmt numFmtId="177" formatCode="_(* #,##0.00_);_(* \(#,##0.00\);_(* \-_);_(@_)"/>
    <numFmt numFmtId="178" formatCode="_([$Rp-421]* #,##0.00_);_([$Rp-421]* \(#,##0.00\);_([$Rp-421]* &quot;-&quot;??_);_(@_)"/>
    <numFmt numFmtId="179" formatCode="_(* #,##0_);_(* \(#,##0\);_(* &quot;-&quot;??_);_(@_)"/>
    <numFmt numFmtId="180" formatCode="_(* #,##0_);_(* \(#,##0\);_(* &quot;-&quot;???_);_(@_)"/>
  </numFmts>
  <fonts count="290">
    <font>
      <sz val="10"/>
      <name val="Arial"/>
      <charset val="134"/>
    </font>
    <font>
      <b/>
      <sz val="8"/>
      <name val="Arial"/>
      <family val="2"/>
    </font>
    <font>
      <b/>
      <sz val="12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b/>
      <i/>
      <sz val="11"/>
      <name val="Times New Roman"/>
      <family val="1"/>
    </font>
    <font>
      <b/>
      <sz val="11"/>
      <color indexed="8"/>
      <name val="Times New Roman"/>
      <family val="1"/>
    </font>
    <font>
      <sz val="11"/>
      <name val="Arial"/>
      <family val="2"/>
    </font>
    <font>
      <sz val="12"/>
      <name val="Arial"/>
      <family val="2"/>
    </font>
    <font>
      <sz val="12"/>
      <name val="Times New Roman"/>
      <family val="1"/>
    </font>
    <font>
      <sz val="10"/>
      <name val="Times New Roman"/>
      <family val="1"/>
    </font>
    <font>
      <b/>
      <u/>
      <sz val="10"/>
      <name val="Times New Roman"/>
      <family val="1"/>
    </font>
    <font>
      <sz val="8"/>
      <color indexed="57"/>
      <name val="Times New Roman"/>
      <family val="1"/>
    </font>
    <font>
      <b/>
      <sz val="8"/>
      <color indexed="10"/>
      <name val="Arial"/>
      <family val="2"/>
    </font>
    <font>
      <sz val="12"/>
      <color indexed="57"/>
      <name val="Calibri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u/>
      <sz val="11"/>
      <name val="Calibri"/>
      <family val="2"/>
      <scheme val="minor"/>
    </font>
    <font>
      <sz val="11"/>
      <color indexed="57"/>
      <name val="Calibri"/>
      <family val="2"/>
      <scheme val="minor"/>
    </font>
    <font>
      <b/>
      <sz val="11"/>
      <color indexed="10"/>
      <name val="Calibri"/>
      <family val="2"/>
      <scheme val="minor"/>
    </font>
    <font>
      <sz val="10"/>
      <name val="Calibri"/>
      <family val="2"/>
    </font>
    <font>
      <b/>
      <sz val="10"/>
      <name val="Calibri"/>
      <family val="2"/>
    </font>
    <font>
      <b/>
      <u/>
      <sz val="10"/>
      <name val="Calibri"/>
      <family val="2"/>
    </font>
    <font>
      <sz val="10"/>
      <color rgb="FFFFFF00"/>
      <name val="Calibri"/>
      <family val="2"/>
    </font>
    <font>
      <sz val="4"/>
      <name val="Calibri"/>
      <family val="2"/>
    </font>
    <font>
      <b/>
      <sz val="14"/>
      <name val="Calibri"/>
      <family val="2"/>
    </font>
    <font>
      <b/>
      <sz val="11"/>
      <name val="Calibri"/>
      <family val="2"/>
    </font>
    <font>
      <b/>
      <sz val="11"/>
      <color indexed="8"/>
      <name val="Calibri"/>
      <family val="2"/>
    </font>
    <font>
      <sz val="11"/>
      <name val="Calibri"/>
      <family val="2"/>
    </font>
    <font>
      <b/>
      <sz val="8"/>
      <name val="Calibri"/>
      <family val="2"/>
    </font>
    <font>
      <sz val="8"/>
      <name val="Calibri"/>
      <family val="2"/>
    </font>
    <font>
      <b/>
      <sz val="8"/>
      <color rgb="FFFFFF00"/>
      <name val="Calibri"/>
      <family val="2"/>
    </font>
    <font>
      <sz val="8"/>
      <color rgb="FFFFFF00"/>
      <name val="Calibri"/>
      <family val="2"/>
    </font>
    <font>
      <u val="singleAccounting"/>
      <sz val="10"/>
      <name val="Calibri"/>
      <family val="2"/>
    </font>
    <font>
      <b/>
      <sz val="10"/>
      <color rgb="FFFFFF00"/>
      <name val="Calibri"/>
      <family val="2"/>
    </font>
    <font>
      <sz val="6"/>
      <color indexed="57"/>
      <name val="Calibri"/>
      <family val="2"/>
    </font>
    <font>
      <sz val="11"/>
      <color indexed="8"/>
      <name val="Calibri"/>
      <family val="2"/>
    </font>
    <font>
      <b/>
      <sz val="11"/>
      <color indexed="58"/>
      <name val="Calibri"/>
      <family val="2"/>
    </font>
    <font>
      <b/>
      <sz val="9"/>
      <name val="Calibri"/>
      <family val="2"/>
    </font>
    <font>
      <b/>
      <sz val="10"/>
      <color rgb="FFFFFF00"/>
      <name val="Calibri"/>
      <family val="2"/>
      <scheme val="minor"/>
    </font>
    <font>
      <sz val="8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</font>
    <font>
      <sz val="10"/>
      <color rgb="FFFF0000"/>
      <name val="Calibri"/>
      <family val="2"/>
    </font>
    <font>
      <b/>
      <sz val="10"/>
      <color rgb="FFFF0000"/>
      <name val="Calibri"/>
      <family val="2"/>
    </font>
    <font>
      <sz val="10"/>
      <color theme="3" tint="0.79995117038483843"/>
      <name val="Calibri"/>
      <family val="2"/>
    </font>
    <font>
      <sz val="10"/>
      <color indexed="12"/>
      <name val="Calibri"/>
      <family val="2"/>
    </font>
    <font>
      <u/>
      <sz val="10"/>
      <name val="Calibri"/>
      <family val="2"/>
    </font>
    <font>
      <sz val="10"/>
      <color indexed="10"/>
      <name val="Calibri"/>
      <family val="2"/>
    </font>
    <font>
      <sz val="10"/>
      <color indexed="63"/>
      <name val="Calibri"/>
      <family val="2"/>
    </font>
    <font>
      <b/>
      <sz val="10"/>
      <color indexed="63"/>
      <name val="Calibri"/>
      <family val="2"/>
    </font>
    <font>
      <sz val="9"/>
      <name val="Calibri"/>
      <family val="2"/>
    </font>
    <font>
      <b/>
      <sz val="10"/>
      <color indexed="12"/>
      <name val="Calibri"/>
      <family val="2"/>
    </font>
    <font>
      <b/>
      <sz val="8"/>
      <color indexed="12"/>
      <name val="Calibri"/>
      <family val="2"/>
    </font>
    <font>
      <sz val="9"/>
      <color indexed="57"/>
      <name val="Calibri"/>
      <family val="2"/>
    </font>
    <font>
      <sz val="10"/>
      <color indexed="9"/>
      <name val="Calibri"/>
      <family val="2"/>
    </font>
    <font>
      <b/>
      <sz val="12"/>
      <color rgb="FFFF0000"/>
      <name val="Calibri"/>
      <family val="2"/>
    </font>
    <font>
      <b/>
      <sz val="10"/>
      <color indexed="10"/>
      <name val="Calibri"/>
      <family val="2"/>
    </font>
    <font>
      <b/>
      <u val="singleAccounting"/>
      <sz val="10"/>
      <name val="Calibri"/>
      <family val="2"/>
    </font>
    <font>
      <b/>
      <sz val="10"/>
      <color theme="9" tint="-0.499984740745262"/>
      <name val="Calibri"/>
      <family val="2"/>
    </font>
    <font>
      <sz val="8"/>
      <color indexed="10"/>
      <name val="Calibri"/>
      <family val="2"/>
    </font>
    <font>
      <sz val="10"/>
      <color indexed="8"/>
      <name val="Calibri"/>
      <family val="2"/>
    </font>
    <font>
      <u/>
      <sz val="8"/>
      <name val="Calibri"/>
      <family val="2"/>
    </font>
    <font>
      <i/>
      <sz val="10"/>
      <name val="Calibri"/>
      <family val="2"/>
    </font>
    <font>
      <i/>
      <sz val="10"/>
      <color rgb="FFFF0000"/>
      <name val="Calibri"/>
      <family val="2"/>
    </font>
    <font>
      <b/>
      <u val="singleAccounting"/>
      <sz val="8"/>
      <name val="Calibri"/>
      <family val="2"/>
    </font>
    <font>
      <i/>
      <sz val="9"/>
      <name val="Calibri"/>
      <family val="2"/>
    </font>
    <font>
      <sz val="10"/>
      <name val="Calibri"/>
      <family val="2"/>
      <scheme val="minor"/>
    </font>
    <font>
      <sz val="10"/>
      <name val="Arial Narrow"/>
      <family val="2"/>
    </font>
    <font>
      <i/>
      <sz val="10"/>
      <name val="Calibri"/>
      <family val="2"/>
      <scheme val="minor"/>
    </font>
    <font>
      <b/>
      <u/>
      <sz val="8"/>
      <name val="Calibri"/>
      <family val="2"/>
    </font>
    <font>
      <b/>
      <u/>
      <sz val="11"/>
      <name val="Calibri"/>
      <family val="2"/>
    </font>
    <font>
      <u/>
      <sz val="11"/>
      <name val="Calibri"/>
      <family val="2"/>
    </font>
    <font>
      <sz val="10"/>
      <color indexed="52"/>
      <name val="Calibri"/>
      <family val="2"/>
    </font>
    <font>
      <b/>
      <sz val="10"/>
      <color indexed="52"/>
      <name val="Calibri"/>
      <family val="2"/>
    </font>
    <font>
      <u val="singleAccounting"/>
      <sz val="8"/>
      <name val="Calibri"/>
      <family val="2"/>
    </font>
    <font>
      <b/>
      <i/>
      <sz val="10"/>
      <name val="Calibri"/>
      <family val="2"/>
    </font>
    <font>
      <sz val="12"/>
      <name val="Calibri"/>
      <family val="2"/>
    </font>
    <font>
      <sz val="10"/>
      <color theme="0"/>
      <name val="Calibri"/>
      <family val="2"/>
    </font>
    <font>
      <b/>
      <u/>
      <sz val="10"/>
      <color theme="0"/>
      <name val="Calibri"/>
      <family val="2"/>
    </font>
    <font>
      <b/>
      <sz val="13"/>
      <name val="Calibri"/>
      <family val="2"/>
    </font>
    <font>
      <b/>
      <u/>
      <sz val="12"/>
      <color rgb="FFFF0000"/>
      <name val="Calibri"/>
      <family val="2"/>
    </font>
    <font>
      <sz val="10"/>
      <color rgb="FFFF0000"/>
      <name val="Calibri"/>
      <family val="2"/>
      <scheme val="minor"/>
    </font>
    <font>
      <b/>
      <u val="singleAccounting"/>
      <sz val="10"/>
      <name val="Calibri"/>
      <family val="2"/>
      <scheme val="minor"/>
    </font>
    <font>
      <sz val="9"/>
      <color indexed="14"/>
      <name val="Calibri"/>
      <family val="2"/>
    </font>
    <font>
      <sz val="10"/>
      <color indexed="10"/>
      <name val="Calibri"/>
      <family val="2"/>
      <scheme val="minor"/>
    </font>
    <font>
      <sz val="10"/>
      <color indexed="14"/>
      <name val="Calibri"/>
      <family val="2"/>
    </font>
    <font>
      <sz val="9"/>
      <color indexed="10"/>
      <name val="Calibri"/>
      <family val="2"/>
    </font>
    <font>
      <b/>
      <sz val="18"/>
      <name val="Calibri"/>
      <family val="2"/>
    </font>
    <font>
      <b/>
      <i/>
      <sz val="11"/>
      <name val="Calibri"/>
      <family val="2"/>
    </font>
    <font>
      <b/>
      <sz val="11"/>
      <color indexed="11"/>
      <name val="Calibri"/>
      <family val="2"/>
    </font>
    <font>
      <b/>
      <sz val="12"/>
      <color indexed="10"/>
      <name val="Calibri"/>
      <family val="2"/>
    </font>
    <font>
      <b/>
      <sz val="10"/>
      <color theme="1"/>
      <name val="Calibri"/>
      <family val="2"/>
    </font>
    <font>
      <b/>
      <sz val="10"/>
      <color theme="0"/>
      <name val="Calibri"/>
      <family val="2"/>
    </font>
    <font>
      <sz val="10"/>
      <color rgb="FFFFFFFF"/>
      <name val="Calibri"/>
      <family val="2"/>
    </font>
    <font>
      <b/>
      <sz val="10"/>
      <color theme="3" tint="0.39994506668294322"/>
      <name val="Calibri"/>
      <family val="2"/>
    </font>
    <font>
      <i/>
      <sz val="11"/>
      <name val="Calibri"/>
      <family val="2"/>
      <scheme val="minor"/>
    </font>
    <font>
      <sz val="14"/>
      <name val="Calibri"/>
      <family val="2"/>
    </font>
    <font>
      <b/>
      <sz val="12"/>
      <color indexed="60"/>
      <name val="Calibri"/>
      <family val="2"/>
    </font>
    <font>
      <b/>
      <sz val="12"/>
      <color indexed="14"/>
      <name val="Calibri"/>
      <family val="2"/>
    </font>
    <font>
      <u val="singleAccounting"/>
      <sz val="10"/>
      <name val="Calibri"/>
      <family val="2"/>
      <scheme val="minor"/>
    </font>
    <font>
      <sz val="9"/>
      <color theme="0"/>
      <name val="Calibri"/>
      <family val="2"/>
    </font>
    <font>
      <b/>
      <sz val="12"/>
      <color theme="1"/>
      <name val="Calibri"/>
      <family val="2"/>
    </font>
    <font>
      <b/>
      <sz val="11"/>
      <color indexed="14"/>
      <name val="Calibri"/>
      <family val="2"/>
    </font>
    <font>
      <sz val="11"/>
      <color indexed="14"/>
      <name val="Calibri"/>
      <family val="2"/>
    </font>
    <font>
      <sz val="9"/>
      <color rgb="FFFF0000"/>
      <name val="Calibri"/>
      <family val="2"/>
    </font>
    <font>
      <sz val="14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8"/>
      <color indexed="12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sz val="9"/>
      <name val="Arial"/>
      <family val="2"/>
    </font>
    <font>
      <b/>
      <i/>
      <sz val="10"/>
      <name val="Arial"/>
      <family val="2"/>
    </font>
    <font>
      <b/>
      <sz val="9"/>
      <color rgb="FFFF0000"/>
      <name val="Arial"/>
      <family val="2"/>
    </font>
    <font>
      <b/>
      <u/>
      <sz val="10"/>
      <name val="Calibri"/>
      <family val="2"/>
      <scheme val="minor"/>
    </font>
    <font>
      <u/>
      <sz val="10"/>
      <name val="Calibri"/>
      <family val="2"/>
      <scheme val="minor"/>
    </font>
    <font>
      <b/>
      <i/>
      <sz val="10"/>
      <color indexed="10"/>
      <name val="Calibri"/>
      <family val="2"/>
    </font>
    <font>
      <b/>
      <sz val="20"/>
      <name val="Calibri"/>
      <family val="2"/>
    </font>
    <font>
      <b/>
      <sz val="18"/>
      <name val="Calibri"/>
      <family val="2"/>
      <scheme val="minor"/>
    </font>
    <font>
      <b/>
      <sz val="10"/>
      <color indexed="12"/>
      <name val="Calibri"/>
      <family val="2"/>
      <scheme val="minor"/>
    </font>
    <font>
      <i/>
      <sz val="11"/>
      <name val="Calibri"/>
      <family val="2"/>
    </font>
    <font>
      <b/>
      <i/>
      <sz val="10"/>
      <color rgb="FFFF0000"/>
      <name val="Calibri"/>
      <family val="2"/>
    </font>
    <font>
      <i/>
      <u/>
      <sz val="11"/>
      <color rgb="FFFF0000"/>
      <name val="Calibri"/>
      <family val="2"/>
    </font>
    <font>
      <i/>
      <u/>
      <sz val="10"/>
      <name val="Arial"/>
      <family val="2"/>
    </font>
    <font>
      <i/>
      <u/>
      <sz val="10"/>
      <name val="Calibri"/>
      <family val="2"/>
    </font>
    <font>
      <sz val="10"/>
      <name val="Arial"/>
      <family val="2"/>
    </font>
    <font>
      <i/>
      <sz val="11"/>
      <color rgb="FFFF0000"/>
      <name val="Calibri"/>
      <family val="2"/>
    </font>
    <font>
      <b/>
      <sz val="12"/>
      <name val="Tahoma"/>
      <family val="2"/>
    </font>
    <font>
      <b/>
      <sz val="9"/>
      <name val="Tahoma"/>
      <family val="2"/>
    </font>
    <font>
      <sz val="9"/>
      <name val="Tahoma"/>
      <family val="2"/>
    </font>
    <font>
      <b/>
      <sz val="16"/>
      <name val="Tahoma"/>
      <family val="2"/>
    </font>
    <font>
      <b/>
      <sz val="11"/>
      <color theme="1"/>
      <name val="Calibri"/>
      <family val="2"/>
    </font>
    <font>
      <sz val="10"/>
      <color theme="1"/>
      <name val="Calibri"/>
      <family val="2"/>
    </font>
    <font>
      <sz val="10"/>
      <color theme="1"/>
      <name val="Arial"/>
      <family val="2"/>
    </font>
    <font>
      <b/>
      <sz val="10"/>
      <name val="Calibri"/>
      <family val="2"/>
    </font>
    <font>
      <sz val="10"/>
      <name val="Calibri"/>
      <family val="2"/>
    </font>
    <font>
      <sz val="10"/>
      <name val="Arial"/>
      <family val="2"/>
    </font>
    <font>
      <i/>
      <sz val="10"/>
      <color rgb="FFFF0000"/>
      <name val="Calibri"/>
      <family val="2"/>
    </font>
    <font>
      <sz val="10"/>
      <color rgb="FFFF0000"/>
      <name val="Calibri"/>
      <family val="2"/>
    </font>
    <font>
      <sz val="10"/>
      <color theme="0"/>
      <name val="Calibri"/>
      <family val="2"/>
    </font>
    <font>
      <b/>
      <u val="singleAccounting"/>
      <sz val="10"/>
      <color theme="0"/>
      <name val="Calibri"/>
      <family val="2"/>
    </font>
    <font>
      <u/>
      <sz val="10"/>
      <color theme="0"/>
      <name val="Calibri"/>
      <family val="2"/>
    </font>
    <font>
      <b/>
      <sz val="8"/>
      <name val="Calibri"/>
      <family val="2"/>
    </font>
    <font>
      <b/>
      <sz val="10"/>
      <name val="Arial"/>
      <family val="2"/>
    </font>
    <font>
      <b/>
      <sz val="10"/>
      <color rgb="FF0000FF"/>
      <name val="Calibri"/>
      <family val="2"/>
    </font>
    <font>
      <sz val="10"/>
      <color rgb="FF0000FF"/>
      <name val="Calibri"/>
      <family val="2"/>
    </font>
    <font>
      <sz val="10"/>
      <color rgb="FF0000FF"/>
      <name val="Arial"/>
      <family val="2"/>
    </font>
    <font>
      <i/>
      <sz val="10"/>
      <color rgb="FF0000FF"/>
      <name val="Calibri"/>
      <family val="2"/>
    </font>
    <font>
      <b/>
      <sz val="10"/>
      <color rgb="FF0000FF"/>
      <name val="Arial"/>
      <family val="2"/>
    </font>
    <font>
      <b/>
      <sz val="12"/>
      <name val="Calibri"/>
      <family val="2"/>
    </font>
    <font>
      <sz val="12"/>
      <name val="Calibri"/>
      <family val="2"/>
    </font>
    <font>
      <sz val="12"/>
      <name val="Arial"/>
      <family val="2"/>
    </font>
    <font>
      <sz val="12"/>
      <color indexed="10"/>
      <name val="Calibri"/>
      <family val="2"/>
    </font>
    <font>
      <b/>
      <sz val="11"/>
      <name val="Calibri"/>
      <family val="2"/>
    </font>
    <font>
      <b/>
      <sz val="14"/>
      <name val="Calibri"/>
      <family val="2"/>
    </font>
    <font>
      <b/>
      <sz val="12"/>
      <color indexed="10"/>
      <name val="Calibri"/>
      <family val="2"/>
    </font>
    <font>
      <b/>
      <sz val="12"/>
      <name val="Calibri"/>
      <family val="2"/>
      <scheme val="minor"/>
    </font>
    <font>
      <b/>
      <sz val="12"/>
      <color indexed="10"/>
      <name val="Calibri"/>
      <family val="2"/>
      <scheme val="minor"/>
    </font>
    <font>
      <b/>
      <sz val="18"/>
      <name val="Calibri"/>
      <family val="2"/>
    </font>
    <font>
      <sz val="12"/>
      <color indexed="14"/>
      <name val="Calibri"/>
      <family val="2"/>
    </font>
    <font>
      <b/>
      <i/>
      <sz val="12"/>
      <name val="Calibri"/>
      <family val="2"/>
      <scheme val="minor"/>
    </font>
    <font>
      <sz val="12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10"/>
      <name val="Calibri"/>
      <family val="2"/>
    </font>
    <font>
      <b/>
      <sz val="10"/>
      <color theme="1"/>
      <name val="Calibri"/>
      <family val="2"/>
    </font>
    <font>
      <b/>
      <sz val="10"/>
      <color theme="0"/>
      <name val="Calibri"/>
      <family val="2"/>
    </font>
    <font>
      <b/>
      <sz val="10"/>
      <color indexed="14"/>
      <name val="Calibri"/>
      <family val="2"/>
    </font>
    <font>
      <sz val="10"/>
      <color indexed="60"/>
      <name val="Calibri"/>
      <family val="2"/>
    </font>
    <font>
      <b/>
      <sz val="12"/>
      <name val="Arial"/>
      <family val="2"/>
    </font>
    <font>
      <b/>
      <i/>
      <sz val="12"/>
      <color rgb="FFFF0000"/>
      <name val="Calibri"/>
      <family val="2"/>
    </font>
    <font>
      <b/>
      <sz val="12"/>
      <color rgb="FF0000FF"/>
      <name val="Calibri"/>
      <family val="2"/>
    </font>
    <font>
      <i/>
      <sz val="10"/>
      <name val="Calibri"/>
      <family val="2"/>
    </font>
    <font>
      <sz val="10"/>
      <color rgb="FFFF0000"/>
      <name val="Arial"/>
      <family val="2"/>
    </font>
    <font>
      <sz val="9"/>
      <color rgb="FFFF0000"/>
      <name val="Calibri"/>
      <family val="2"/>
    </font>
    <font>
      <i/>
      <sz val="10"/>
      <color rgb="FFFF0000"/>
      <name val="Arial"/>
      <family val="2"/>
    </font>
    <font>
      <i/>
      <sz val="10"/>
      <color rgb="FF0000FF"/>
      <name val="Arial"/>
      <family val="2"/>
    </font>
    <font>
      <sz val="10"/>
      <name val="Arial"/>
      <family val="2"/>
    </font>
    <font>
      <sz val="9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8"/>
      <name val="Calibri"/>
      <family val="2"/>
    </font>
    <font>
      <b/>
      <sz val="11"/>
      <name val="Calibri"/>
      <family val="2"/>
    </font>
    <font>
      <b/>
      <sz val="13"/>
      <name val="Calibri"/>
      <family val="2"/>
    </font>
    <font>
      <b/>
      <sz val="14"/>
      <name val="Calibri"/>
      <family val="2"/>
    </font>
    <font>
      <b/>
      <sz val="14"/>
      <name val="Calibri"/>
      <family val="2"/>
      <scheme val="minor"/>
    </font>
    <font>
      <sz val="14"/>
      <name val="Arial"/>
      <family val="2"/>
    </font>
    <font>
      <sz val="8"/>
      <name val="Arial"/>
      <family val="2"/>
    </font>
    <font>
      <b/>
      <sz val="8"/>
      <color indexed="12"/>
      <name val="Calibri"/>
      <family val="2"/>
    </font>
    <font>
      <b/>
      <sz val="8"/>
      <color indexed="12"/>
      <name val="Calibri"/>
      <family val="2"/>
      <scheme val="minor"/>
    </font>
    <font>
      <sz val="10"/>
      <name val="Calibri"/>
      <family val="2"/>
    </font>
    <font>
      <b/>
      <sz val="10"/>
      <name val="Calibri"/>
      <family val="2"/>
    </font>
    <font>
      <b/>
      <sz val="12"/>
      <name val="Calibri"/>
      <family val="2"/>
    </font>
    <font>
      <b/>
      <sz val="9"/>
      <name val="Calibri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u val="singleAccounting"/>
      <sz val="10"/>
      <name val="Calibri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b/>
      <sz val="9"/>
      <name val="Arial"/>
      <family val="2"/>
    </font>
    <font>
      <b/>
      <sz val="9"/>
      <color rgb="FFFF0000"/>
      <name val="Arial"/>
      <family val="2"/>
    </font>
    <font>
      <i/>
      <sz val="10"/>
      <name val="Calibri"/>
      <family val="2"/>
    </font>
    <font>
      <b/>
      <u/>
      <sz val="10"/>
      <name val="Calibri"/>
      <family val="2"/>
    </font>
    <font>
      <u/>
      <sz val="10"/>
      <name val="Calibri"/>
      <family val="2"/>
    </font>
    <font>
      <b/>
      <u/>
      <sz val="11"/>
      <name val="Calibri"/>
      <family val="2"/>
      <scheme val="minor"/>
    </font>
    <font>
      <i/>
      <sz val="10"/>
      <color rgb="FFFF0000"/>
      <name val="Calibri"/>
      <family val="2"/>
    </font>
    <font>
      <sz val="11"/>
      <name val="Calibri"/>
      <family val="2"/>
    </font>
    <font>
      <i/>
      <sz val="10"/>
      <name val="Calibri"/>
      <family val="2"/>
      <scheme val="minor"/>
    </font>
    <font>
      <sz val="11"/>
      <name val="Arial"/>
      <family val="2"/>
    </font>
    <font>
      <b/>
      <sz val="11"/>
      <name val="Arial"/>
      <family val="2"/>
    </font>
    <font>
      <sz val="12"/>
      <name val="Calibri"/>
      <family val="2"/>
    </font>
    <font>
      <sz val="10"/>
      <color indexed="63"/>
      <name val="Calibri"/>
      <family val="2"/>
    </font>
    <font>
      <b/>
      <i/>
      <sz val="10"/>
      <color indexed="10"/>
      <name val="Calibri"/>
      <family val="2"/>
    </font>
    <font>
      <sz val="12"/>
      <color rgb="FFFF0000"/>
      <name val="Arial"/>
      <family val="2"/>
    </font>
    <font>
      <sz val="12"/>
      <color rgb="FFFF0000"/>
      <name val="Calibri"/>
      <family val="2"/>
    </font>
    <font>
      <b/>
      <u/>
      <sz val="10"/>
      <color rgb="FFFF0000"/>
      <name val="Calibri"/>
      <family val="2"/>
    </font>
    <font>
      <b/>
      <sz val="12"/>
      <color rgb="FFFF0000"/>
      <name val="Calibri"/>
      <family val="2"/>
      <scheme val="minor"/>
    </font>
    <font>
      <i/>
      <sz val="9"/>
      <color rgb="FFFF0000"/>
      <name val="Calibri"/>
      <family val="2"/>
    </font>
    <font>
      <sz val="11"/>
      <color rgb="FFFF0000"/>
      <name val="Calibri"/>
      <family val="2"/>
      <scheme val="minor"/>
    </font>
    <font>
      <b/>
      <sz val="9"/>
      <color rgb="FFFF0000"/>
      <name val="Calibri"/>
      <family val="2"/>
    </font>
    <font>
      <b/>
      <sz val="11"/>
      <color rgb="FFFF0000"/>
      <name val="Calibri"/>
      <family val="2"/>
      <scheme val="minor"/>
    </font>
    <font>
      <i/>
      <sz val="10"/>
      <name val="Arial"/>
      <family val="2"/>
    </font>
    <font>
      <b/>
      <i/>
      <sz val="10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i/>
      <sz val="10"/>
      <color rgb="FF009900"/>
      <name val="Calibri"/>
      <family val="2"/>
    </font>
    <font>
      <sz val="10"/>
      <color rgb="FF009900"/>
      <name val="Calibri"/>
      <family val="2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color theme="1"/>
      <name val="Arial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</font>
    <font>
      <b/>
      <i/>
      <sz val="10"/>
      <color theme="1"/>
      <name val="Calibri"/>
      <family val="2"/>
    </font>
    <font>
      <b/>
      <u/>
      <sz val="10"/>
      <color theme="1"/>
      <name val="Calibri"/>
      <family val="2"/>
    </font>
    <font>
      <b/>
      <i/>
      <sz val="12"/>
      <color theme="1"/>
      <name val="Calibri"/>
      <family val="2"/>
    </font>
    <font>
      <i/>
      <sz val="11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</font>
    <font>
      <i/>
      <sz val="11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i/>
      <sz val="10"/>
      <color rgb="FF0000FF"/>
      <name val="Arial"/>
      <family val="2"/>
    </font>
    <font>
      <b/>
      <sz val="20"/>
      <name val="Arial"/>
      <family val="2"/>
    </font>
    <font>
      <i/>
      <sz val="10"/>
      <color rgb="FF7030A0"/>
      <name val="Calibri"/>
      <family val="2"/>
    </font>
    <font>
      <sz val="10"/>
      <color rgb="FF7030A0"/>
      <name val="Calibri"/>
      <family val="2"/>
    </font>
    <font>
      <i/>
      <sz val="10"/>
      <color rgb="FF7030A0"/>
      <name val="Arial"/>
      <family val="2"/>
    </font>
    <font>
      <b/>
      <i/>
      <sz val="10"/>
      <color theme="0"/>
      <name val="Calibri"/>
      <family val="2"/>
      <scheme val="minor"/>
    </font>
    <font>
      <b/>
      <i/>
      <sz val="10"/>
      <color theme="0"/>
      <name val="Calibri"/>
      <family val="2"/>
    </font>
    <font>
      <i/>
      <sz val="10"/>
      <color theme="0"/>
      <name val="Calibri"/>
      <family val="2"/>
      <scheme val="minor"/>
    </font>
    <font>
      <i/>
      <sz val="10"/>
      <color theme="0"/>
      <name val="Calibri"/>
      <family val="2"/>
    </font>
    <font>
      <sz val="10"/>
      <color theme="0" tint="-0.249977111117893"/>
      <name val="Arial"/>
      <family val="2"/>
    </font>
    <font>
      <sz val="10"/>
      <name val="Arial"/>
      <family val="2"/>
    </font>
    <font>
      <sz val="9"/>
      <name val="Arial Narrow"/>
      <family val="2"/>
    </font>
    <font>
      <sz val="12"/>
      <name val="Arial Narrow"/>
      <family val="2"/>
    </font>
    <font>
      <b/>
      <u/>
      <sz val="10"/>
      <name val="Arial Narrow"/>
      <family val="2"/>
    </font>
    <font>
      <u/>
      <sz val="12"/>
      <name val="Arial Narrow"/>
      <family val="2"/>
    </font>
    <font>
      <b/>
      <sz val="10"/>
      <name val="Arial Narrow"/>
      <family val="2"/>
    </font>
    <font>
      <u val="singleAccounting"/>
      <sz val="10"/>
      <name val="Arial Narrow"/>
      <family val="2"/>
    </font>
    <font>
      <u/>
      <sz val="10"/>
      <name val="Arial Narrow"/>
      <family val="2"/>
    </font>
    <font>
      <sz val="10"/>
      <color indexed="10"/>
      <name val="Arial Narrow"/>
      <family val="2"/>
    </font>
    <font>
      <i/>
      <sz val="10"/>
      <name val="Arial Narrow"/>
      <family val="2"/>
    </font>
    <font>
      <b/>
      <i/>
      <sz val="10"/>
      <name val="Arial Narrow"/>
      <family val="2"/>
    </font>
    <font>
      <sz val="14"/>
      <name val="Arial Narrow"/>
      <family val="2"/>
    </font>
    <font>
      <b/>
      <sz val="12"/>
      <name val="Arial Narrow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rgb="FF0000FF"/>
      <name val="Arial Narrow"/>
      <family val="2"/>
    </font>
    <font>
      <sz val="10"/>
      <color theme="1"/>
      <name val="Arial Narrow"/>
      <family val="2"/>
    </font>
    <font>
      <b/>
      <sz val="10"/>
      <color rgb="FF000000"/>
      <name val="Arial Narrow"/>
      <family val="2"/>
    </font>
    <font>
      <b/>
      <sz val="10"/>
      <color indexed="10"/>
      <name val="Arial Narrow"/>
      <family val="2"/>
    </font>
    <font>
      <sz val="10"/>
      <color theme="0"/>
      <name val="Arial Narrow"/>
      <family val="2"/>
    </font>
    <font>
      <b/>
      <sz val="48"/>
      <color rgb="FF0000FF"/>
      <name val="Calibri"/>
      <family val="2"/>
      <scheme val="minor"/>
    </font>
    <font>
      <b/>
      <sz val="14"/>
      <name val="Times New Roman"/>
      <family val="1"/>
    </font>
    <font>
      <b/>
      <sz val="6"/>
      <color indexed="57"/>
      <name val="Calibri"/>
      <family val="2"/>
    </font>
  </fonts>
  <fills count="6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ABCF1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51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CD5B4"/>
        <bgColor rgb="FF000000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9CCFF"/>
        <bgColor rgb="FF000000"/>
      </patternFill>
    </fill>
    <fill>
      <patternFill patternType="solid">
        <fgColor rgb="FFFF00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rgb="FFBAFCD0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rgb="FFE1D5E1"/>
        <bgColor indexed="64"/>
      </patternFill>
    </fill>
    <fill>
      <patternFill patternType="solid">
        <fgColor rgb="FFF3F2C4"/>
        <bgColor indexed="64"/>
      </patternFill>
    </fill>
    <fill>
      <patternFill patternType="solid">
        <fgColor rgb="FFE3D7D3"/>
        <bgColor indexed="64"/>
      </patternFill>
    </fill>
    <fill>
      <patternFill patternType="solid">
        <fgColor rgb="FFEAEACC"/>
        <bgColor indexed="64"/>
      </patternFill>
    </fill>
    <fill>
      <patternFill patternType="solid">
        <fgColor rgb="FFE9D9CD"/>
        <bgColor indexed="64"/>
      </patternFill>
    </fill>
    <fill>
      <patternFill patternType="solid">
        <fgColor rgb="FFA1E7FD"/>
        <bgColor indexed="64"/>
      </patternFill>
    </fill>
    <fill>
      <patternFill patternType="solid">
        <fgColor rgb="FFFDF3B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rgb="FF000000"/>
      </patternFill>
    </fill>
    <fill>
      <patternFill patternType="solid">
        <fgColor rgb="FFA1E7FD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-0.249977111117893"/>
        <bgColor indexed="64"/>
      </patternFill>
    </fill>
  </fills>
  <borders count="429">
    <border>
      <left/>
      <right/>
      <top/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/>
      <top style="thin">
        <color indexed="59"/>
      </top>
      <bottom/>
      <diagonal/>
    </border>
    <border>
      <left/>
      <right/>
      <top style="thin">
        <color indexed="59"/>
      </top>
      <bottom/>
      <diagonal/>
    </border>
    <border>
      <left/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thin">
        <color indexed="59"/>
      </left>
      <right/>
      <top/>
      <bottom style="thin">
        <color indexed="59"/>
      </bottom>
      <diagonal/>
    </border>
    <border>
      <left/>
      <right/>
      <top/>
      <bottom style="thin">
        <color indexed="59"/>
      </bottom>
      <diagonal/>
    </border>
    <border>
      <left/>
      <right style="thin">
        <color indexed="59"/>
      </right>
      <top/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thin">
        <color indexed="59"/>
      </bottom>
      <diagonal/>
    </border>
    <border>
      <left/>
      <right/>
      <top style="hair">
        <color indexed="59"/>
      </top>
      <bottom/>
      <diagonal/>
    </border>
    <border>
      <left/>
      <right style="thin">
        <color indexed="59"/>
      </right>
      <top style="hair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hair">
        <color indexed="59"/>
      </bottom>
      <diagonal/>
    </border>
    <border>
      <left/>
      <right/>
      <top style="thin">
        <color indexed="59"/>
      </top>
      <bottom style="hair">
        <color indexed="59"/>
      </bottom>
      <diagonal/>
    </border>
    <border>
      <left/>
      <right style="thin">
        <color indexed="59"/>
      </right>
      <top style="thin">
        <color indexed="59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hair">
        <color indexed="59"/>
      </bottom>
      <diagonal/>
    </border>
    <border>
      <left/>
      <right/>
      <top style="hair">
        <color indexed="59"/>
      </top>
      <bottom style="hair">
        <color indexed="59"/>
      </bottom>
      <diagonal/>
    </border>
    <border>
      <left/>
      <right style="thin">
        <color indexed="59"/>
      </right>
      <top style="hair">
        <color indexed="59"/>
      </top>
      <bottom style="hair">
        <color indexed="59"/>
      </bottom>
      <diagonal/>
    </border>
    <border>
      <left/>
      <right/>
      <top style="hair">
        <color indexed="59"/>
      </top>
      <bottom style="thin">
        <color indexed="59"/>
      </bottom>
      <diagonal/>
    </border>
    <border>
      <left/>
      <right style="thin">
        <color indexed="59"/>
      </right>
      <top style="hair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/>
      <diagonal/>
    </border>
    <border>
      <left style="thin">
        <color indexed="59"/>
      </left>
      <right/>
      <top style="hair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thin">
        <color auto="1"/>
      </bottom>
      <diagonal/>
    </border>
    <border>
      <left style="thin">
        <color indexed="59"/>
      </left>
      <right/>
      <top style="hair">
        <color indexed="59"/>
      </top>
      <bottom style="hair">
        <color indexed="59"/>
      </bottom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/>
      <bottom style="hair">
        <color indexed="59"/>
      </bottom>
      <diagonal/>
    </border>
    <border>
      <left style="thin">
        <color indexed="59"/>
      </left>
      <right/>
      <top/>
      <bottom style="hair">
        <color indexed="59"/>
      </bottom>
      <diagonal/>
    </border>
    <border>
      <left style="thin">
        <color indexed="59"/>
      </left>
      <right style="thin">
        <color indexed="59"/>
      </right>
      <top/>
      <bottom/>
      <diagonal/>
    </border>
    <border>
      <left style="thin">
        <color indexed="59"/>
      </left>
      <right/>
      <top/>
      <bottom/>
      <diagonal/>
    </border>
    <border>
      <left/>
      <right/>
      <top/>
      <bottom style="hair">
        <color indexed="59"/>
      </bottom>
      <diagonal/>
    </border>
    <border>
      <left/>
      <right/>
      <top style="thin">
        <color indexed="59"/>
      </top>
      <bottom style="thin">
        <color indexed="59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indexed="59"/>
      </left>
      <right style="thin">
        <color indexed="59"/>
      </right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indexed="59"/>
      </left>
      <right style="thin">
        <color indexed="59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indexed="59"/>
      </left>
      <right style="thin">
        <color indexed="59"/>
      </right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indexed="59"/>
      </left>
      <right style="thin">
        <color indexed="59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indexed="59"/>
      </left>
      <right style="thin">
        <color indexed="59"/>
      </right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indexed="59"/>
      </right>
      <top style="thin">
        <color auto="1"/>
      </top>
      <bottom style="thin">
        <color auto="1"/>
      </bottom>
      <diagonal/>
    </border>
    <border>
      <left style="thin">
        <color indexed="59"/>
      </left>
      <right style="thin">
        <color indexed="59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59"/>
      </left>
      <right style="thin">
        <color indexed="59"/>
      </right>
      <top style="thin">
        <color auto="1"/>
      </top>
      <bottom/>
      <diagonal/>
    </border>
    <border>
      <left/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 style="thin">
        <color indexed="59"/>
      </right>
      <top/>
      <bottom style="hair">
        <color indexed="59"/>
      </bottom>
      <diagonal/>
    </border>
    <border>
      <left/>
      <right style="thin">
        <color indexed="59"/>
      </right>
      <top/>
      <bottom/>
      <diagonal/>
    </border>
    <border>
      <left/>
      <right style="thin">
        <color indexed="59"/>
      </right>
      <top style="hair">
        <color auto="1"/>
      </top>
      <bottom/>
      <diagonal/>
    </border>
    <border>
      <left/>
      <right style="thin">
        <color indexed="59"/>
      </right>
      <top style="thin">
        <color auto="1"/>
      </top>
      <bottom style="hair">
        <color auto="1"/>
      </bottom>
      <diagonal/>
    </border>
    <border>
      <left/>
      <right style="thin">
        <color indexed="59"/>
      </right>
      <top/>
      <bottom style="hair">
        <color auto="1"/>
      </bottom>
      <diagonal/>
    </border>
    <border>
      <left/>
      <right style="thin">
        <color indexed="59"/>
      </right>
      <top style="hair">
        <color auto="1"/>
      </top>
      <bottom style="hair">
        <color auto="1"/>
      </bottom>
      <diagonal/>
    </border>
    <border>
      <left/>
      <right style="thin">
        <color indexed="59"/>
      </right>
      <top style="hair">
        <color auto="1"/>
      </top>
      <bottom style="thin">
        <color auto="1"/>
      </bottom>
      <diagonal/>
    </border>
    <border>
      <left/>
      <right style="thin">
        <color indexed="59"/>
      </right>
      <top style="thin">
        <color auto="1"/>
      </top>
      <bottom style="thin">
        <color auto="1"/>
      </bottom>
      <diagonal/>
    </border>
    <border>
      <left style="thin">
        <color indexed="59"/>
      </left>
      <right style="thin">
        <color auto="1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thin">
        <color auto="1"/>
      </top>
      <bottom style="thin">
        <color indexed="59"/>
      </bottom>
      <diagonal/>
    </border>
    <border>
      <left style="thin">
        <color indexed="59"/>
      </left>
      <right/>
      <top style="hair">
        <color indexed="59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59"/>
      </left>
      <right/>
      <top style="hair">
        <color indexed="59"/>
      </top>
      <bottom style="thin">
        <color auto="1"/>
      </bottom>
      <diagonal/>
    </border>
    <border>
      <left/>
      <right/>
      <top style="hair">
        <color indexed="59"/>
      </top>
      <bottom style="thin">
        <color auto="1"/>
      </bottom>
      <diagonal/>
    </border>
    <border>
      <left style="thin">
        <color auto="1"/>
      </left>
      <right style="thin">
        <color indexed="59"/>
      </right>
      <top style="thin">
        <color indexed="59"/>
      </top>
      <bottom/>
      <diagonal/>
    </border>
    <border>
      <left style="thin">
        <color auto="1"/>
      </left>
      <right style="thin">
        <color indexed="59"/>
      </right>
      <top/>
      <bottom style="thin">
        <color indexed="59"/>
      </bottom>
      <diagonal/>
    </border>
    <border>
      <left style="thin">
        <color auto="1"/>
      </left>
      <right/>
      <top style="thin">
        <color indexed="59"/>
      </top>
      <bottom style="thin">
        <color indexed="59"/>
      </bottom>
      <diagonal/>
    </border>
    <border>
      <left style="thin">
        <color indexed="59"/>
      </left>
      <right/>
      <top style="thin">
        <color auto="1"/>
      </top>
      <bottom style="thin">
        <color auto="1"/>
      </bottom>
      <diagonal/>
    </border>
    <border>
      <left style="thin">
        <color indexed="59"/>
      </left>
      <right style="thin">
        <color indexed="59"/>
      </right>
      <top/>
      <bottom style="double">
        <color indexed="59"/>
      </bottom>
      <diagonal/>
    </border>
    <border>
      <left style="thin">
        <color indexed="59"/>
      </left>
      <right/>
      <top/>
      <bottom style="double">
        <color indexed="59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double">
        <color auto="1"/>
      </bottom>
      <diagonal/>
    </border>
    <border>
      <left style="thin">
        <color auto="1"/>
      </left>
      <right/>
      <top style="hair">
        <color indexed="59"/>
      </top>
      <bottom/>
      <diagonal/>
    </border>
    <border>
      <left style="thin">
        <color indexed="59"/>
      </left>
      <right style="thin">
        <color indexed="59"/>
      </right>
      <top/>
      <bottom style="thin">
        <color auto="1"/>
      </bottom>
      <diagonal/>
    </border>
    <border>
      <left style="thin">
        <color indexed="59"/>
      </left>
      <right/>
      <top/>
      <bottom style="thin">
        <color auto="1"/>
      </bottom>
      <diagonal/>
    </border>
    <border>
      <left style="thin">
        <color indexed="59"/>
      </left>
      <right style="thin">
        <color indexed="59"/>
      </right>
      <top style="double">
        <color indexed="59"/>
      </top>
      <bottom style="thin">
        <color indexed="59"/>
      </bottom>
      <diagonal/>
    </border>
    <border>
      <left style="thin">
        <color indexed="59"/>
      </left>
      <right/>
      <top style="double">
        <color indexed="59"/>
      </top>
      <bottom style="thin">
        <color indexed="59"/>
      </bottom>
      <diagonal/>
    </border>
    <border>
      <left style="thin">
        <color indexed="59"/>
      </left>
      <right/>
      <top style="thin">
        <color indexed="59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double">
        <color indexed="59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double">
        <color indexed="59"/>
      </top>
      <bottom/>
      <diagonal/>
    </border>
    <border>
      <left style="thin">
        <color indexed="59"/>
      </left>
      <right/>
      <top style="double">
        <color indexed="59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59"/>
      </left>
      <right/>
      <top style="double">
        <color indexed="59"/>
      </top>
      <bottom style="hair">
        <color indexed="59"/>
      </bottom>
      <diagonal/>
    </border>
    <border>
      <left style="thin">
        <color indexed="59"/>
      </left>
      <right/>
      <top style="hair">
        <color indexed="59"/>
      </top>
      <bottom style="double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59"/>
      </left>
      <right style="thin">
        <color indexed="59"/>
      </right>
      <top style="thin">
        <color auto="1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double">
        <color indexed="59"/>
      </bottom>
      <diagonal/>
    </border>
    <border>
      <left style="thin">
        <color indexed="59"/>
      </left>
      <right/>
      <top style="hair">
        <color indexed="59"/>
      </top>
      <bottom style="double">
        <color indexed="59"/>
      </bottom>
      <diagonal/>
    </border>
    <border>
      <left/>
      <right style="thin">
        <color indexed="59"/>
      </right>
      <top style="hair">
        <color indexed="59"/>
      </top>
      <bottom style="thin">
        <color auto="1"/>
      </bottom>
      <diagonal/>
    </border>
    <border>
      <left style="thin">
        <color indexed="59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hair">
        <color indexed="59"/>
      </bottom>
      <diagonal/>
    </border>
    <border>
      <left style="thin">
        <color indexed="59"/>
      </left>
      <right/>
      <top style="hair">
        <color auto="1"/>
      </top>
      <bottom style="hair">
        <color auto="1"/>
      </bottom>
      <diagonal/>
    </border>
    <border>
      <left style="thin">
        <color indexed="59"/>
      </left>
      <right/>
      <top style="hair">
        <color auto="1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double">
        <color indexed="59"/>
      </top>
      <bottom style="thin">
        <color auto="1"/>
      </bottom>
      <diagonal/>
    </border>
    <border>
      <left style="thin">
        <color indexed="59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59"/>
      </left>
      <right/>
      <top style="hair">
        <color auto="1"/>
      </top>
      <bottom/>
      <diagonal/>
    </border>
    <border>
      <left style="thin">
        <color indexed="59"/>
      </left>
      <right style="thin">
        <color auto="1"/>
      </right>
      <top style="hair">
        <color auto="1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double">
        <color auto="1"/>
      </bottom>
      <diagonal/>
    </border>
    <border>
      <left style="thin">
        <color indexed="59"/>
      </left>
      <right/>
      <top style="thin">
        <color indexed="59"/>
      </top>
      <bottom style="double">
        <color auto="1"/>
      </bottom>
      <diagonal/>
    </border>
    <border>
      <left style="thin">
        <color indexed="59"/>
      </left>
      <right style="thin">
        <color indexed="59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indexed="59"/>
      </bottom>
      <diagonal/>
    </border>
    <border>
      <left style="thin">
        <color auto="1"/>
      </left>
      <right/>
      <top style="hair">
        <color auto="1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hair">
        <color auto="1"/>
      </top>
      <bottom style="hair">
        <color indexed="59"/>
      </bottom>
      <diagonal/>
    </border>
    <border>
      <left style="thin">
        <color auto="1"/>
      </left>
      <right/>
      <top style="hair">
        <color indexed="59"/>
      </top>
      <bottom style="hair">
        <color indexed="59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59"/>
      </left>
      <right style="thin">
        <color indexed="59"/>
      </right>
      <top style="hair">
        <color auto="1"/>
      </top>
      <bottom style="double">
        <color indexed="59"/>
      </bottom>
      <diagonal/>
    </border>
    <border>
      <left style="thin">
        <color indexed="59"/>
      </left>
      <right/>
      <top style="hair">
        <color auto="1"/>
      </top>
      <bottom style="double">
        <color indexed="59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59"/>
      </right>
      <top/>
      <bottom style="thin">
        <color auto="1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auto="1"/>
      </bottom>
      <diagonal/>
    </border>
    <border>
      <left style="thin">
        <color indexed="59"/>
      </left>
      <right/>
      <top style="thin">
        <color indexed="59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indexed="59"/>
      </bottom>
      <diagonal/>
    </border>
    <border>
      <left style="thin">
        <color auto="1"/>
      </left>
      <right style="thin">
        <color auto="1"/>
      </right>
      <top style="hair">
        <color indexed="59"/>
      </top>
      <bottom style="hair">
        <color indexed="59"/>
      </bottom>
      <diagonal/>
    </border>
    <border>
      <left style="thin">
        <color indexed="59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59"/>
      </left>
      <right/>
      <top style="thin">
        <color auto="1"/>
      </top>
      <bottom style="hair">
        <color indexed="59"/>
      </bottom>
      <diagonal/>
    </border>
    <border>
      <left/>
      <right/>
      <top style="thin">
        <color auto="1"/>
      </top>
      <bottom style="hair">
        <color indexed="59"/>
      </bottom>
      <diagonal/>
    </border>
    <border>
      <left style="thin">
        <color indexed="59"/>
      </left>
      <right/>
      <top style="thin">
        <color auto="1"/>
      </top>
      <bottom/>
      <diagonal/>
    </border>
    <border>
      <left style="thin">
        <color auto="1"/>
      </left>
      <right/>
      <top style="hair">
        <color indexed="59"/>
      </top>
      <bottom style="thin">
        <color indexed="59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59"/>
      </left>
      <right style="thin">
        <color auto="1"/>
      </right>
      <top style="hair">
        <color indexed="59"/>
      </top>
      <bottom style="thin">
        <color indexed="59"/>
      </bottom>
      <diagonal/>
    </border>
    <border>
      <left style="thin">
        <color auto="1"/>
      </left>
      <right style="thin">
        <color auto="1"/>
      </right>
      <top style="hair">
        <color indexed="59"/>
      </top>
      <bottom style="thin">
        <color indexed="59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59"/>
      </right>
      <top/>
      <bottom style="thin">
        <color auto="1"/>
      </bottom>
      <diagonal/>
    </border>
    <border>
      <left style="thin">
        <color auto="1"/>
      </left>
      <right style="thin">
        <color indexed="59"/>
      </right>
      <top style="thin">
        <color auto="1"/>
      </top>
      <bottom/>
      <diagonal/>
    </border>
    <border>
      <left style="thin">
        <color indexed="59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indexed="59"/>
      </right>
      <top style="hair">
        <color auto="1"/>
      </top>
      <bottom/>
      <diagonal/>
    </border>
    <border>
      <left style="thin">
        <color auto="1"/>
      </left>
      <right style="thin">
        <color indexed="59"/>
      </right>
      <top/>
      <bottom/>
      <diagonal/>
    </border>
    <border>
      <left style="thin">
        <color auto="1"/>
      </left>
      <right style="thin">
        <color indexed="59"/>
      </right>
      <top/>
      <bottom style="hair">
        <color indexed="5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indexed="59"/>
      </bottom>
      <diagonal/>
    </border>
    <border>
      <left/>
      <right style="thin">
        <color indexed="59"/>
      </right>
      <top style="thin">
        <color auto="1"/>
      </top>
      <bottom style="hair">
        <color indexed="59"/>
      </bottom>
      <diagonal/>
    </border>
    <border>
      <left style="thin">
        <color auto="1"/>
      </left>
      <right style="thin">
        <color auto="1"/>
      </right>
      <top style="hair">
        <color indexed="59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59"/>
      </right>
      <top style="thin">
        <color auto="1"/>
      </top>
      <bottom/>
      <diagonal/>
    </border>
    <border>
      <left style="thin">
        <color auto="1"/>
      </left>
      <right style="thin">
        <color indexed="59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indexed="59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indexed="59"/>
      </bottom>
      <diagonal/>
    </border>
    <border>
      <left/>
      <right style="thin">
        <color indexed="59"/>
      </right>
      <top style="hair">
        <color auto="1"/>
      </top>
      <bottom style="hair">
        <color indexed="59"/>
      </bottom>
      <diagonal/>
    </border>
    <border>
      <left style="thin">
        <color indexed="59"/>
      </left>
      <right/>
      <top/>
      <bottom style="hair">
        <color auto="1"/>
      </bottom>
      <diagonal/>
    </border>
    <border>
      <left style="thin">
        <color indexed="59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1A1A1A"/>
      </left>
      <right style="thin">
        <color rgb="FF1A1A1A"/>
      </right>
      <top/>
      <bottom/>
      <diagonal/>
    </border>
    <border>
      <left style="thin">
        <color rgb="FF1A1A1A"/>
      </left>
      <right style="thin">
        <color rgb="FF1A1A1A"/>
      </right>
      <top style="hair">
        <color rgb="FF1A1A1A"/>
      </top>
      <bottom style="hair">
        <color rgb="FF1A1A1A"/>
      </bottom>
      <diagonal/>
    </border>
    <border>
      <left/>
      <right style="thin">
        <color auto="1"/>
      </right>
      <top style="hair">
        <color indexed="59"/>
      </top>
      <bottom style="hair">
        <color indexed="59"/>
      </bottom>
      <diagonal/>
    </border>
    <border>
      <left style="thin">
        <color rgb="FF1A1A1A"/>
      </left>
      <right style="thin">
        <color rgb="FF1A1A1A"/>
      </right>
      <top style="hair">
        <color rgb="FF1A1A1A"/>
      </top>
      <bottom/>
      <diagonal/>
    </border>
    <border>
      <left style="thin">
        <color rgb="FF1A1A1A"/>
      </left>
      <right style="thin">
        <color rgb="FF1A1A1A"/>
      </right>
      <top/>
      <bottom style="hair">
        <color rgb="FF1A1A1A"/>
      </bottom>
      <diagonal/>
    </border>
    <border>
      <left/>
      <right style="thin">
        <color auto="1"/>
      </right>
      <top style="hair">
        <color indexed="59"/>
      </top>
      <bottom/>
      <diagonal/>
    </border>
    <border>
      <left/>
      <right style="thin">
        <color auto="1"/>
      </right>
      <top/>
      <bottom style="hair">
        <color indexed="59"/>
      </bottom>
      <diagonal/>
    </border>
    <border>
      <left style="thin">
        <color auto="1"/>
      </left>
      <right style="thin">
        <color auto="1"/>
      </right>
      <top style="hair">
        <color indexed="59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rgb="FF1A1A1A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rgb="FF1A1A1A"/>
      </left>
      <right style="thin">
        <color rgb="FF1A1A1A"/>
      </right>
      <top style="hair">
        <color rgb="FF1A1A1A"/>
      </top>
      <bottom style="thin">
        <color rgb="FF1A1A1A"/>
      </bottom>
      <diagonal/>
    </border>
    <border>
      <left/>
      <right style="thin">
        <color auto="1"/>
      </right>
      <top style="hair">
        <color indexed="59"/>
      </top>
      <bottom style="thin">
        <color indexed="59"/>
      </bottom>
      <diagonal/>
    </border>
    <border>
      <left style="thin">
        <color indexed="59"/>
      </left>
      <right style="thin">
        <color auto="1"/>
      </right>
      <top style="hair">
        <color indexed="59"/>
      </top>
      <bottom style="hair">
        <color indexed="59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/>
      <right style="thin">
        <color rgb="FF1A1A1A"/>
      </right>
      <top style="hair">
        <color rgb="FF1A1A1A"/>
      </top>
      <bottom style="hair">
        <color rgb="FF1A1A1A"/>
      </bottom>
      <diagonal/>
    </border>
    <border>
      <left/>
      <right style="thin">
        <color rgb="FF1A1A1A"/>
      </right>
      <top style="hair">
        <color rgb="FF1A1A1A"/>
      </top>
      <bottom/>
      <diagonal/>
    </border>
    <border>
      <left style="thin">
        <color rgb="FF1A1A1A"/>
      </left>
      <right style="thin">
        <color rgb="FF1A1A1A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indexed="59"/>
      </top>
      <bottom style="thin">
        <color indexed="59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59"/>
      </right>
      <top/>
      <bottom style="thin">
        <color indexed="59"/>
      </bottom>
      <diagonal/>
    </border>
    <border>
      <left style="medium">
        <color auto="1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medium">
        <color auto="1"/>
      </left>
      <right style="thin">
        <color indexed="59"/>
      </right>
      <top/>
      <bottom/>
      <diagonal/>
    </border>
    <border>
      <left style="medium">
        <color auto="1"/>
      </left>
      <right style="thin">
        <color indexed="59"/>
      </right>
      <top style="thin">
        <color auto="1"/>
      </top>
      <bottom style="thin">
        <color auto="1"/>
      </bottom>
      <diagonal/>
    </border>
    <border>
      <left style="thin">
        <color indexed="59"/>
      </left>
      <right style="thin">
        <color auto="1"/>
      </right>
      <top style="thin">
        <color auto="1"/>
      </top>
      <bottom style="thin">
        <color indexed="59"/>
      </bottom>
      <diagonal/>
    </border>
    <border>
      <left style="medium">
        <color auto="1"/>
      </left>
      <right style="thin">
        <color indexed="59"/>
      </right>
      <top style="thin">
        <color auto="1"/>
      </top>
      <bottom style="hair">
        <color indexed="59"/>
      </bottom>
      <diagonal/>
    </border>
    <border>
      <left style="medium">
        <color auto="1"/>
      </left>
      <right style="thin">
        <color indexed="59"/>
      </right>
      <top/>
      <bottom style="hair">
        <color indexed="59"/>
      </bottom>
      <diagonal/>
    </border>
    <border>
      <left style="medium">
        <color auto="1"/>
      </left>
      <right style="thin">
        <color indexed="59"/>
      </right>
      <top style="hair">
        <color indexed="59"/>
      </top>
      <bottom style="hair">
        <color indexed="59"/>
      </bottom>
      <diagonal/>
    </border>
    <border>
      <left style="medium">
        <color auto="1"/>
      </left>
      <right style="thin">
        <color indexed="59"/>
      </right>
      <top style="hair">
        <color indexed="59"/>
      </top>
      <bottom style="thin">
        <color indexed="59"/>
      </bottom>
      <diagonal/>
    </border>
    <border>
      <left style="medium">
        <color auto="1"/>
      </left>
      <right style="thin">
        <color indexed="59"/>
      </right>
      <top/>
      <bottom style="thin">
        <color auto="1"/>
      </bottom>
      <diagonal/>
    </border>
    <border>
      <left style="medium">
        <color auto="1"/>
      </left>
      <right style="thin">
        <color indexed="59"/>
      </right>
      <top style="hair">
        <color indexed="59"/>
      </top>
      <bottom/>
      <diagonal/>
    </border>
    <border>
      <left style="medium">
        <color auto="1"/>
      </left>
      <right style="thin">
        <color indexed="59"/>
      </right>
      <top style="thin">
        <color indexed="59"/>
      </top>
      <bottom style="hair">
        <color indexed="59"/>
      </bottom>
      <diagonal/>
    </border>
    <border>
      <left style="medium">
        <color auto="1"/>
      </left>
      <right style="thin">
        <color indexed="59"/>
      </right>
      <top style="hair">
        <color indexed="59"/>
      </top>
      <bottom style="thin">
        <color auto="1"/>
      </bottom>
      <diagonal/>
    </border>
    <border>
      <left style="medium">
        <color auto="1"/>
      </left>
      <right style="thin">
        <color indexed="59"/>
      </right>
      <top style="thin">
        <color auto="1"/>
      </top>
      <bottom/>
      <diagonal/>
    </border>
    <border>
      <left style="medium">
        <color auto="1"/>
      </left>
      <right style="thin">
        <color indexed="59"/>
      </right>
      <top style="thin">
        <color auto="1"/>
      </top>
      <bottom style="hair">
        <color auto="1"/>
      </bottom>
      <diagonal/>
    </border>
    <border>
      <left style="medium">
        <color auto="1"/>
      </left>
      <right style="thin">
        <color indexed="59"/>
      </right>
      <top style="hair">
        <color auto="1"/>
      </top>
      <bottom style="hair">
        <color auto="1"/>
      </bottom>
      <diagonal/>
    </border>
    <border>
      <left style="thin">
        <color indexed="59"/>
      </left>
      <right style="thin">
        <color auto="1"/>
      </right>
      <top style="thin">
        <color indexed="59"/>
      </top>
      <bottom style="thin">
        <color auto="1"/>
      </bottom>
      <diagonal/>
    </border>
    <border>
      <left style="medium">
        <color auto="1"/>
      </left>
      <right style="thin">
        <color indexed="59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59"/>
      </left>
      <right style="medium">
        <color auto="1"/>
      </right>
      <top/>
      <bottom style="thin">
        <color indexed="59"/>
      </bottom>
      <diagonal/>
    </border>
    <border>
      <left style="thin">
        <color rgb="FF1A1A1A"/>
      </left>
      <right style="thin">
        <color rgb="FF1A1A1A"/>
      </right>
      <top style="thin">
        <color rgb="FF1A1A1A"/>
      </top>
      <bottom style="thin">
        <color rgb="FF1A1A1A"/>
      </bottom>
      <diagonal/>
    </border>
    <border>
      <left style="thin">
        <color indexed="59"/>
      </left>
      <right style="medium">
        <color auto="1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 style="medium">
        <color auto="1"/>
      </right>
      <top/>
      <bottom/>
      <diagonal/>
    </border>
    <border>
      <left style="thin">
        <color rgb="FF1A1A1A"/>
      </left>
      <right style="thin">
        <color rgb="FF1A1A1A"/>
      </right>
      <top style="thin">
        <color auto="1"/>
      </top>
      <bottom style="thin">
        <color auto="1"/>
      </bottom>
      <diagonal/>
    </border>
    <border>
      <left style="thin">
        <color indexed="59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rgb="FF1A1A1A"/>
      </left>
      <right style="thin">
        <color rgb="FF1A1A1A"/>
      </right>
      <top style="thin">
        <color auto="1"/>
      </top>
      <bottom style="hair">
        <color rgb="FF1A1A1A"/>
      </bottom>
      <diagonal/>
    </border>
    <border>
      <left style="thin">
        <color indexed="59"/>
      </left>
      <right style="medium">
        <color auto="1"/>
      </right>
      <top style="thin">
        <color auto="1"/>
      </top>
      <bottom style="hair">
        <color indexed="59"/>
      </bottom>
      <diagonal/>
    </border>
    <border>
      <left style="thin">
        <color indexed="59"/>
      </left>
      <right style="medium">
        <color auto="1"/>
      </right>
      <top/>
      <bottom style="hair">
        <color indexed="59"/>
      </bottom>
      <diagonal/>
    </border>
    <border>
      <left style="thin">
        <color indexed="59"/>
      </left>
      <right style="medium">
        <color auto="1"/>
      </right>
      <top style="hair">
        <color indexed="59"/>
      </top>
      <bottom style="hair">
        <color indexed="59"/>
      </bottom>
      <diagonal/>
    </border>
    <border>
      <left style="thin">
        <color indexed="59"/>
      </left>
      <right style="medium">
        <color auto="1"/>
      </right>
      <top style="hair">
        <color indexed="59"/>
      </top>
      <bottom style="thin">
        <color indexed="59"/>
      </bottom>
      <diagonal/>
    </border>
    <border>
      <left style="thin">
        <color rgb="FF1A1A1A"/>
      </left>
      <right style="thin">
        <color rgb="FF1A1A1A"/>
      </right>
      <top/>
      <bottom style="thin">
        <color auto="1"/>
      </bottom>
      <diagonal/>
    </border>
    <border>
      <left style="thin">
        <color indexed="59"/>
      </left>
      <right style="medium">
        <color auto="1"/>
      </right>
      <top/>
      <bottom style="thin">
        <color auto="1"/>
      </bottom>
      <diagonal/>
    </border>
    <border>
      <left style="thin">
        <color rgb="FF1A1A1A"/>
      </left>
      <right style="thin">
        <color rgb="FF1A1A1A"/>
      </right>
      <top style="thin">
        <color rgb="FF1A1A1A"/>
      </top>
      <bottom style="hair">
        <color rgb="FF1A1A1A"/>
      </bottom>
      <diagonal/>
    </border>
    <border>
      <left style="thin">
        <color rgb="FF1A1A1A"/>
      </left>
      <right style="thin">
        <color rgb="FF1A1A1A"/>
      </right>
      <top style="hair">
        <color rgb="FF1A1A1A"/>
      </top>
      <bottom style="thin">
        <color auto="1"/>
      </bottom>
      <diagonal/>
    </border>
    <border>
      <left style="thin">
        <color indexed="59"/>
      </left>
      <right style="medium">
        <color auto="1"/>
      </right>
      <top style="hair">
        <color indexed="59"/>
      </top>
      <bottom style="thin">
        <color auto="1"/>
      </bottom>
      <diagonal/>
    </border>
    <border>
      <left style="thin">
        <color rgb="FF1A1A1A"/>
      </left>
      <right style="thin">
        <color rgb="FF1A1A1A"/>
      </right>
      <top style="hair">
        <color auto="1"/>
      </top>
      <bottom style="thin">
        <color auto="1"/>
      </bottom>
      <diagonal/>
    </border>
    <border>
      <left style="thin">
        <color indexed="59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thin">
        <color indexed="59"/>
      </right>
      <top/>
      <bottom style="hair">
        <color auto="1"/>
      </bottom>
      <diagonal/>
    </border>
    <border>
      <left style="medium">
        <color auto="1"/>
      </left>
      <right style="thin">
        <color indexed="59"/>
      </right>
      <top style="hair">
        <color auto="1"/>
      </top>
      <bottom style="hair">
        <color indexed="59"/>
      </bottom>
      <diagonal/>
    </border>
    <border>
      <left style="thin">
        <color rgb="FF1A1A1A"/>
      </left>
      <right style="thin">
        <color rgb="FF1A1A1A"/>
      </right>
      <top style="thin">
        <color auto="1"/>
      </top>
      <bottom style="hair">
        <color auto="1"/>
      </bottom>
      <diagonal/>
    </border>
    <border>
      <left style="thin">
        <color indexed="59"/>
      </left>
      <right style="medium">
        <color auto="1"/>
      </right>
      <top style="thin">
        <color auto="1"/>
      </top>
      <bottom style="hair">
        <color auto="1"/>
      </bottom>
      <diagonal/>
    </border>
    <border>
      <left style="thin">
        <color rgb="FF1A1A1A"/>
      </left>
      <right style="thin">
        <color rgb="FF1A1A1A"/>
      </right>
      <top style="hair">
        <color auto="1"/>
      </top>
      <bottom style="hair">
        <color rgb="FF1A1A1A"/>
      </bottom>
      <diagonal/>
    </border>
    <border>
      <left style="thin">
        <color indexed="59"/>
      </left>
      <right style="medium">
        <color auto="1"/>
      </right>
      <top style="hair">
        <color auto="1"/>
      </top>
      <bottom style="hair">
        <color indexed="59"/>
      </bottom>
      <diagonal/>
    </border>
    <border>
      <left style="thin">
        <color rgb="FF1A1A1A"/>
      </left>
      <right style="thin">
        <color rgb="FF1A1A1A"/>
      </right>
      <top/>
      <bottom style="hair">
        <color auto="1"/>
      </bottom>
      <diagonal/>
    </border>
    <border>
      <left/>
      <right style="thin">
        <color rgb="FF1A1A1A"/>
      </right>
      <top style="hair">
        <color auto="1"/>
      </top>
      <bottom style="hair">
        <color auto="1"/>
      </bottom>
      <diagonal/>
    </border>
    <border>
      <left style="thin">
        <color indexed="59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rgb="FF1A1A1A"/>
      </bottom>
      <diagonal/>
    </border>
    <border>
      <left style="medium">
        <color auto="1"/>
      </left>
      <right style="thin">
        <color indexed="59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indexed="59"/>
      </right>
      <top style="hair">
        <color indexed="59"/>
      </top>
      <bottom style="hair">
        <color indexed="59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rgb="FF1A1A1A"/>
      </left>
      <right style="thin">
        <color rgb="FF1A1A1A"/>
      </right>
      <top style="hair">
        <color auto="1"/>
      </top>
      <bottom/>
      <diagonal/>
    </border>
    <border>
      <left style="thin">
        <color indexed="59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/>
      <top style="hair">
        <color indexed="59"/>
      </top>
      <bottom style="hair">
        <color indexed="59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/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59"/>
      </left>
      <right style="medium">
        <color auto="1"/>
      </right>
      <top style="hair">
        <color indexed="59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thin">
        <color indexed="59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rgb="FF1A1A1A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thin">
        <color indexed="59"/>
      </left>
      <right/>
      <top style="hair">
        <color indexed="59"/>
      </top>
      <bottom style="hair">
        <color auto="1"/>
      </bottom>
      <diagonal/>
    </border>
    <border>
      <left style="thin">
        <color auto="1"/>
      </left>
      <right style="thin">
        <color indexed="59"/>
      </right>
      <top style="hair">
        <color auto="1"/>
      </top>
      <bottom style="hair">
        <color indexed="59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indexed="59"/>
      </right>
      <top style="thin">
        <color auto="1"/>
      </top>
      <bottom style="hair">
        <color auto="1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hair">
        <color auto="1"/>
      </bottom>
      <diagonal/>
    </border>
    <border>
      <left style="thin">
        <color auto="1"/>
      </left>
      <right style="thin">
        <color indexed="59"/>
      </right>
      <top/>
      <bottom style="hair">
        <color auto="1"/>
      </bottom>
      <diagonal/>
    </border>
    <border>
      <left style="thin">
        <color indexed="59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indexed="59"/>
      </right>
      <top style="thin">
        <color auto="1"/>
      </top>
      <bottom style="hair">
        <color indexed="59"/>
      </bottom>
      <diagonal/>
    </border>
    <border>
      <left style="thin">
        <color auto="1"/>
      </left>
      <right style="thin">
        <color indexed="59"/>
      </right>
      <top style="hair">
        <color indexed="59"/>
      </top>
      <bottom style="thin">
        <color auto="1"/>
      </bottom>
      <diagonal/>
    </border>
    <border>
      <left style="thin">
        <color auto="1"/>
      </left>
      <right style="thin">
        <color indexed="59"/>
      </right>
      <top style="hair">
        <color indexed="59"/>
      </top>
      <bottom/>
      <diagonal/>
    </border>
    <border>
      <left/>
      <right style="thin">
        <color auto="1"/>
      </right>
      <top style="thin">
        <color indexed="59"/>
      </top>
      <bottom style="thin">
        <color indexed="59"/>
      </bottom>
      <diagonal/>
    </border>
    <border>
      <left style="thin">
        <color indexed="64"/>
      </left>
      <right style="thin">
        <color indexed="64"/>
      </right>
      <top style="thin">
        <color indexed="59"/>
      </top>
      <bottom style="thin">
        <color indexed="59"/>
      </bottom>
      <diagonal/>
    </border>
    <border>
      <left style="thin">
        <color rgb="FF1A1A1A"/>
      </left>
      <right style="thin">
        <color rgb="FF1A1A1A"/>
      </right>
      <top style="thin">
        <color indexed="59"/>
      </top>
      <bottom style="thin">
        <color indexed="59"/>
      </bottom>
      <diagonal/>
    </border>
    <border>
      <left style="thin">
        <color indexed="64"/>
      </left>
      <right style="thin">
        <color indexed="59"/>
      </right>
      <top style="thin">
        <color indexed="64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thin">
        <color indexed="64"/>
      </top>
      <bottom style="thin">
        <color indexed="64"/>
      </bottom>
      <diagonal/>
    </border>
    <border>
      <left style="thin">
        <color indexed="59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59"/>
      </right>
      <top style="thin">
        <color indexed="64"/>
      </top>
      <bottom style="thin">
        <color indexed="64"/>
      </bottom>
      <diagonal/>
    </border>
    <border>
      <left style="thin">
        <color rgb="FF1A1A1A"/>
      </left>
      <right style="thin">
        <color rgb="FF1A1A1A"/>
      </right>
      <top style="thin">
        <color indexed="64"/>
      </top>
      <bottom style="thin">
        <color indexed="64"/>
      </bottom>
      <diagonal/>
    </border>
    <border>
      <left style="thin">
        <color indexed="5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indexed="59"/>
      </left>
      <right style="thin">
        <color auto="1"/>
      </right>
      <top/>
      <bottom style="hair">
        <color indexed="59"/>
      </bottom>
      <diagonal/>
    </border>
    <border>
      <left style="thin">
        <color indexed="59"/>
      </left>
      <right style="thin">
        <color indexed="59"/>
      </right>
      <top/>
      <bottom style="thin">
        <color indexed="64"/>
      </bottom>
      <diagonal/>
    </border>
    <border>
      <left style="thin">
        <color indexed="59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59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indexed="59"/>
      </bottom>
      <diagonal/>
    </border>
    <border>
      <left style="thin">
        <color rgb="FF1A1A1A"/>
      </left>
      <right style="thin">
        <color rgb="FF1A1A1A"/>
      </right>
      <top/>
      <bottom style="thin">
        <color indexed="59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rgb="FF1A1A1A"/>
      </left>
      <right style="thin">
        <color rgb="FF1A1A1A"/>
      </right>
      <top/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thin">
        <color indexed="64"/>
      </bottom>
      <diagonal/>
    </border>
    <border>
      <left style="thin">
        <color indexed="59"/>
      </left>
      <right/>
      <top style="hair">
        <color indexed="59"/>
      </top>
      <bottom style="thin">
        <color indexed="64"/>
      </bottom>
      <diagonal/>
    </border>
    <border>
      <left/>
      <right/>
      <top style="hair">
        <color indexed="59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indexed="59"/>
      </top>
      <bottom style="thin">
        <color indexed="64"/>
      </bottom>
      <diagonal/>
    </border>
    <border>
      <left/>
      <right style="thin">
        <color indexed="59"/>
      </right>
      <top style="hair">
        <color indexed="59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59"/>
      </bottom>
      <diagonal/>
    </border>
    <border>
      <left style="thin">
        <color indexed="64"/>
      </left>
      <right style="thin">
        <color indexed="64"/>
      </right>
      <top style="thin">
        <color indexed="59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thin">
        <color indexed="59"/>
      </bottom>
      <diagonal/>
    </border>
    <border>
      <left/>
      <right/>
      <top style="hair">
        <color indexed="59"/>
      </top>
      <bottom style="thin">
        <color indexed="59"/>
      </bottom>
      <diagonal/>
    </border>
    <border>
      <left style="thin">
        <color indexed="59"/>
      </left>
      <right/>
      <top style="hair">
        <color indexed="59"/>
      </top>
      <bottom style="thin">
        <color indexed="59"/>
      </bottom>
      <diagonal/>
    </border>
    <border>
      <left/>
      <right style="thin">
        <color indexed="59"/>
      </right>
      <top style="hair">
        <color indexed="59"/>
      </top>
      <bottom style="thin">
        <color indexed="59"/>
      </bottom>
      <diagonal/>
    </border>
    <border>
      <left style="thin">
        <color auto="1"/>
      </left>
      <right style="thin">
        <color indexed="59"/>
      </right>
      <top style="hair">
        <color indexed="59"/>
      </top>
      <bottom style="thin">
        <color auto="1"/>
      </bottom>
      <diagonal/>
    </border>
    <border>
      <left style="thin">
        <color indexed="59"/>
      </left>
      <right style="thin">
        <color indexed="64"/>
      </right>
      <top style="hair">
        <color indexed="59"/>
      </top>
      <bottom style="thin">
        <color indexed="5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hair">
        <color indexed="59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59"/>
      </top>
      <bottom/>
      <diagonal/>
    </border>
    <border>
      <left style="thin">
        <color indexed="64"/>
      </left>
      <right style="thin">
        <color indexed="64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thin">
        <color indexed="64"/>
      </right>
      <top style="hair">
        <color indexed="59"/>
      </top>
      <bottom style="thin">
        <color indexed="59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 style="thin">
        <color indexed="64"/>
      </right>
      <top style="hair">
        <color indexed="59"/>
      </top>
      <bottom style="hair">
        <color indexed="59"/>
      </bottom>
      <diagonal/>
    </border>
    <border>
      <left/>
      <right style="thin">
        <color auto="1"/>
      </right>
      <top style="thin">
        <color auto="1"/>
      </top>
      <bottom style="hair">
        <color indexed="59"/>
      </bottom>
      <diagonal/>
    </border>
    <border>
      <left/>
      <right style="thin">
        <color auto="1"/>
      </right>
      <top style="hair">
        <color indexed="59"/>
      </top>
      <bottom style="hair">
        <color auto="1"/>
      </bottom>
      <diagonal/>
    </border>
    <border>
      <left/>
      <right style="thin">
        <color indexed="64"/>
      </right>
      <top style="hair">
        <color indexed="59"/>
      </top>
      <bottom style="thin">
        <color indexed="59"/>
      </bottom>
      <diagonal/>
    </border>
    <border>
      <left/>
      <right style="thin">
        <color indexed="64"/>
      </right>
      <top style="hair">
        <color indexed="59"/>
      </top>
      <bottom style="thin">
        <color indexed="64"/>
      </bottom>
      <diagonal/>
    </border>
    <border>
      <left/>
      <right style="thin">
        <color indexed="64"/>
      </right>
      <top style="thin">
        <color indexed="59"/>
      </top>
      <bottom style="thin">
        <color indexed="59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59"/>
      </bottom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thin">
        <color indexed="59"/>
      </left>
      <right/>
      <top/>
      <bottom style="thin">
        <color indexed="59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59"/>
      </right>
      <top style="hair">
        <color indexed="59"/>
      </top>
      <bottom style="hair">
        <color auto="1"/>
      </bottom>
      <diagonal/>
    </border>
    <border>
      <left style="thin">
        <color indexed="64"/>
      </left>
      <right style="thin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hair">
        <color indexed="59"/>
      </bottom>
      <diagonal/>
    </border>
    <border>
      <left/>
      <right style="thin">
        <color indexed="59"/>
      </right>
      <top style="hair">
        <color indexed="59"/>
      </top>
      <bottom style="thin">
        <color auto="1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59"/>
      </left>
      <right style="medium">
        <color auto="1"/>
      </right>
      <top/>
      <bottom style="thin">
        <color indexed="59"/>
      </bottom>
      <diagonal/>
    </border>
    <border>
      <left style="medium">
        <color auto="1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/>
      <top style="thin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 style="medium">
        <color auto="1"/>
      </right>
      <top style="thin">
        <color indexed="59"/>
      </top>
      <bottom style="thin">
        <color indexed="59"/>
      </bottom>
      <diagonal/>
    </border>
    <border>
      <left style="medium">
        <color auto="1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59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59"/>
      </left>
      <right style="thin">
        <color indexed="59"/>
      </right>
      <top style="thin">
        <color auto="1"/>
      </top>
      <bottom style="thin">
        <color auto="1"/>
      </bottom>
      <diagonal/>
    </border>
    <border>
      <left style="thin">
        <color rgb="FF1A1A1A"/>
      </left>
      <right style="thin">
        <color rgb="FF1A1A1A"/>
      </right>
      <top style="thin">
        <color auto="1"/>
      </top>
      <bottom style="thin">
        <color auto="1"/>
      </bottom>
      <diagonal/>
    </border>
    <border>
      <left style="thin">
        <color indexed="59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59"/>
      </left>
      <right style="thin">
        <color indexed="59"/>
      </right>
      <top style="thin">
        <color auto="1"/>
      </top>
      <bottom style="thin">
        <color indexed="59"/>
      </bottom>
      <diagonal/>
    </border>
    <border>
      <left style="thin">
        <color indexed="59"/>
      </left>
      <right style="thin">
        <color auto="1"/>
      </right>
      <top style="thin">
        <color auto="1"/>
      </top>
      <bottom style="thin">
        <color indexed="59"/>
      </bottom>
      <diagonal/>
    </border>
    <border>
      <left style="medium">
        <color auto="1"/>
      </left>
      <right style="thin">
        <color indexed="59"/>
      </right>
      <top style="thin">
        <color auto="1"/>
      </top>
      <bottom style="hair">
        <color indexed="59"/>
      </bottom>
      <diagonal/>
    </border>
    <border>
      <left/>
      <right/>
      <top style="thin">
        <color auto="1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thin">
        <color auto="1"/>
      </top>
      <bottom style="hair">
        <color indexed="59"/>
      </bottom>
      <diagonal/>
    </border>
    <border>
      <left style="thin">
        <color rgb="FF1A1A1A"/>
      </left>
      <right style="thin">
        <color rgb="FF1A1A1A"/>
      </right>
      <top style="thin">
        <color auto="1"/>
      </top>
      <bottom style="hair">
        <color rgb="FF1A1A1A"/>
      </bottom>
      <diagonal/>
    </border>
    <border>
      <left style="thin">
        <color indexed="59"/>
      </left>
      <right style="medium">
        <color auto="1"/>
      </right>
      <top style="thin">
        <color auto="1"/>
      </top>
      <bottom style="hair">
        <color indexed="59"/>
      </bottom>
      <diagonal/>
    </border>
    <border>
      <left style="thin">
        <color indexed="59"/>
      </left>
      <right style="medium">
        <color auto="1"/>
      </right>
      <top style="hair">
        <color indexed="59"/>
      </top>
      <bottom style="hair">
        <color indexed="59"/>
      </bottom>
      <diagonal/>
    </border>
    <border>
      <left style="thin">
        <color indexed="59"/>
      </left>
      <right style="thin">
        <color auto="1"/>
      </right>
      <top style="thin">
        <color indexed="59"/>
      </top>
      <bottom style="thin">
        <color indexed="59"/>
      </bottom>
      <diagonal/>
    </border>
    <border>
      <left style="medium">
        <color auto="1"/>
      </left>
      <right style="thin">
        <color indexed="59"/>
      </right>
      <top style="hair">
        <color indexed="59"/>
      </top>
      <bottom style="thin">
        <color indexed="59"/>
      </bottom>
      <diagonal/>
    </border>
    <border>
      <left style="thin">
        <color indexed="59"/>
      </left>
      <right style="medium">
        <color auto="1"/>
      </right>
      <top style="hair">
        <color indexed="59"/>
      </top>
      <bottom style="thin">
        <color indexed="59"/>
      </bottom>
      <diagonal/>
    </border>
    <border>
      <left style="medium">
        <color auto="1"/>
      </left>
      <right style="thin">
        <color indexed="59"/>
      </right>
      <top style="thin">
        <color indexed="59"/>
      </top>
      <bottom style="hair">
        <color indexed="59"/>
      </bottom>
      <diagonal/>
    </border>
    <border>
      <left/>
      <right/>
      <top style="thin">
        <color indexed="59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auto="1"/>
      </bottom>
      <diagonal/>
    </border>
    <border>
      <left style="medium">
        <color auto="1"/>
      </left>
      <right style="thin">
        <color indexed="59"/>
      </right>
      <top style="hair">
        <color indexed="59"/>
      </top>
      <bottom style="thin">
        <color auto="1"/>
      </bottom>
      <diagonal/>
    </border>
    <border>
      <left/>
      <right/>
      <top style="hair">
        <color indexed="59"/>
      </top>
      <bottom style="thin">
        <color auto="1"/>
      </bottom>
      <diagonal/>
    </border>
    <border>
      <left style="thin">
        <color indexed="59"/>
      </left>
      <right style="medium">
        <color auto="1"/>
      </right>
      <top style="hair">
        <color indexed="59"/>
      </top>
      <bottom style="thin">
        <color auto="1"/>
      </bottom>
      <diagonal/>
    </border>
    <border>
      <left style="medium">
        <color auto="1"/>
      </left>
      <right style="thin">
        <color indexed="59"/>
      </right>
      <top style="thin">
        <color auto="1"/>
      </top>
      <bottom/>
      <diagonal/>
    </border>
    <border>
      <left style="thin">
        <color indexed="59"/>
      </left>
      <right style="thin">
        <color indexed="59"/>
      </right>
      <top style="thin">
        <color auto="1"/>
      </top>
      <bottom/>
      <diagonal/>
    </border>
    <border>
      <left style="medium">
        <color auto="1"/>
      </left>
      <right style="thin">
        <color indexed="59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indexed="59"/>
      </left>
      <right style="thin">
        <color indexed="59"/>
      </right>
      <top style="thin">
        <color auto="1"/>
      </top>
      <bottom style="hair">
        <color auto="1"/>
      </bottom>
      <diagonal/>
    </border>
    <border>
      <left style="thin">
        <color indexed="59"/>
      </left>
      <right style="thin">
        <color auto="1"/>
      </right>
      <top style="thin">
        <color indexed="59"/>
      </top>
      <bottom style="thin">
        <color auto="1"/>
      </bottom>
      <diagonal/>
    </border>
    <border>
      <left style="thin">
        <color indexed="59"/>
      </left>
      <right style="thin">
        <color indexed="59"/>
      </right>
      <top style="hair">
        <color auto="1"/>
      </top>
      <bottom style="thin">
        <color auto="1"/>
      </bottom>
      <diagonal/>
    </border>
    <border>
      <left style="thin">
        <color indexed="59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thin">
        <color rgb="FF1A1A1A"/>
      </left>
      <right style="thin">
        <color rgb="FF1A1A1A"/>
      </right>
      <top style="thin">
        <color auto="1"/>
      </top>
      <bottom style="hair">
        <color auto="1"/>
      </bottom>
      <diagonal/>
    </border>
    <border>
      <left style="thin">
        <color indexed="59"/>
      </left>
      <right style="medium">
        <color auto="1"/>
      </right>
      <top style="thin">
        <color auto="1"/>
      </top>
      <bottom style="hair">
        <color auto="1"/>
      </bottom>
      <diagonal/>
    </border>
    <border>
      <left style="thin">
        <color indexed="59"/>
      </left>
      <right/>
      <top style="hair">
        <color indexed="59"/>
      </top>
      <bottom style="hair">
        <color indexed="59"/>
      </bottom>
      <diagonal/>
    </border>
    <border>
      <left style="thin">
        <color indexed="59"/>
      </left>
      <right/>
      <top style="thin">
        <color indexed="59"/>
      </top>
      <bottom style="thin">
        <color auto="1"/>
      </bottom>
      <diagonal/>
    </border>
    <border>
      <left style="thin">
        <color indexed="59"/>
      </left>
      <right/>
      <top style="thin">
        <color auto="1"/>
      </top>
      <bottom style="hair">
        <color indexed="59"/>
      </bottom>
      <diagonal/>
    </border>
    <border>
      <left style="thin">
        <color auto="1"/>
      </left>
      <right style="thin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59"/>
      </left>
      <right/>
      <top style="thin">
        <color auto="1"/>
      </top>
      <bottom style="thin">
        <color auto="1"/>
      </bottom>
      <diagonal/>
    </border>
    <border>
      <left style="thin">
        <color indexed="59"/>
      </left>
      <right/>
      <top style="hair">
        <color indexed="59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rgb="FF1A1A1A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hair">
        <color indexed="59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59"/>
      </left>
      <right style="thin">
        <color indexed="59"/>
      </right>
      <top style="thin">
        <color auto="1"/>
      </top>
      <bottom style="hair">
        <color indexed="59"/>
      </bottom>
      <diagonal/>
    </border>
    <border>
      <left style="thin">
        <color auto="1"/>
      </left>
      <right style="thin">
        <color auto="1"/>
      </right>
      <top style="thin">
        <color indexed="59"/>
      </top>
      <bottom style="thin">
        <color indexed="59"/>
      </bottom>
      <diagonal/>
    </border>
    <border>
      <left style="thin">
        <color auto="1"/>
      </left>
      <right style="thin">
        <color auto="1"/>
      </right>
      <top style="hair">
        <color rgb="FF1A1A1A"/>
      </top>
      <bottom style="hair">
        <color rgb="FF1A1A1A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auto="1"/>
      </left>
      <right/>
      <top style="thin">
        <color indexed="59"/>
      </top>
      <bottom style="thin">
        <color indexed="59"/>
      </bottom>
      <diagonal/>
    </border>
    <border>
      <left style="thin">
        <color indexed="59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59"/>
      </left>
      <right style="medium">
        <color auto="1"/>
      </right>
      <top style="thin">
        <color auto="1"/>
      </top>
      <bottom style="hair">
        <color indexed="59"/>
      </bottom>
      <diagonal/>
    </border>
    <border>
      <left style="thin">
        <color rgb="FF1A1A1A"/>
      </left>
      <right style="thin">
        <color rgb="FF1A1A1A"/>
      </right>
      <top style="hair">
        <color rgb="FF1A1A1A"/>
      </top>
      <bottom style="hair">
        <color indexed="59"/>
      </bottom>
      <diagonal/>
    </border>
    <border>
      <left style="thin">
        <color rgb="FF1A1A1A"/>
      </left>
      <right style="thin">
        <color rgb="FF1A1A1A"/>
      </right>
      <top style="hair">
        <color indexed="59"/>
      </top>
      <bottom style="hair">
        <color indexed="5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indexed="59"/>
      </right>
      <top style="hair">
        <color indexed="59"/>
      </top>
      <bottom/>
      <diagonal/>
    </border>
    <border>
      <left/>
      <right style="thin">
        <color auto="1"/>
      </right>
      <top style="hair">
        <color indexed="59"/>
      </top>
      <bottom/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hair">
        <color auto="1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thin">
        <color indexed="64"/>
      </top>
      <bottom style="thin">
        <color indexed="59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double">
        <color indexed="64"/>
      </bottom>
      <diagonal/>
    </border>
    <border>
      <left/>
      <right/>
      <top style="hair">
        <color auto="1"/>
      </top>
      <bottom style="double">
        <color indexed="64"/>
      </bottom>
      <diagonal/>
    </border>
    <border>
      <left/>
      <right/>
      <top style="hair">
        <color indexed="59"/>
      </top>
      <bottom style="double">
        <color indexed="64"/>
      </bottom>
      <diagonal/>
    </border>
    <border>
      <left/>
      <right style="thin">
        <color indexed="59"/>
      </right>
      <top style="hair">
        <color auto="1"/>
      </top>
      <bottom style="double">
        <color indexed="64"/>
      </bottom>
      <diagonal/>
    </border>
    <border>
      <left style="thin">
        <color indexed="59"/>
      </left>
      <right style="thin">
        <color indexed="59"/>
      </right>
      <top style="hair">
        <color auto="1"/>
      </top>
      <bottom style="double">
        <color indexed="64"/>
      </bottom>
      <diagonal/>
    </border>
    <border>
      <left style="thin">
        <color rgb="FF1A1A1A"/>
      </left>
      <right style="thin">
        <color rgb="FF1A1A1A"/>
      </right>
      <top style="hair">
        <color auto="1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59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59"/>
      </right>
      <top style="thin">
        <color indexed="59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59"/>
      </left>
      <right/>
      <top style="thin">
        <color indexed="59"/>
      </top>
      <bottom/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 style="thin">
        <color indexed="59"/>
      </left>
      <right/>
      <top style="thin">
        <color auto="1"/>
      </top>
      <bottom style="hair">
        <color auto="1"/>
      </bottom>
      <diagonal/>
    </border>
    <border>
      <left style="thin">
        <color indexed="59"/>
      </left>
      <right/>
      <top/>
      <bottom style="hair">
        <color auto="1"/>
      </bottom>
      <diagonal/>
    </border>
    <border>
      <left/>
      <right style="thin">
        <color indexed="59"/>
      </right>
      <top style="thin">
        <color indexed="59"/>
      </top>
      <bottom/>
      <diagonal/>
    </border>
    <border>
      <left/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 style="thin">
        <color indexed="59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/>
      <bottom/>
      <diagonal/>
    </border>
  </borders>
  <cellStyleXfs count="20">
    <xf numFmtId="0" fontId="0" fillId="0" borderId="0"/>
    <xf numFmtId="165" fontId="139" fillId="0" borderId="0" applyFill="0" applyBorder="0" applyAlignment="0" applyProtection="0"/>
    <xf numFmtId="168" fontId="139" fillId="0" borderId="0" applyFill="0" applyBorder="0" applyAlignment="0" applyProtection="0"/>
    <xf numFmtId="172" fontId="139" fillId="0" borderId="0" applyFill="0" applyBorder="0" applyAlignment="0" applyProtection="0"/>
    <xf numFmtId="173" fontId="139" fillId="0" borderId="0" applyFill="0" applyBorder="0" applyAlignment="0" applyProtection="0"/>
    <xf numFmtId="43" fontId="150" fillId="0" borderId="0" applyFont="0" applyFill="0" applyBorder="0" applyAlignment="0" applyProtection="0"/>
    <xf numFmtId="0" fontId="139" fillId="0" borderId="0"/>
    <xf numFmtId="165" fontId="139" fillId="0" borderId="0" applyFill="0" applyBorder="0" applyAlignment="0" applyProtection="0"/>
    <xf numFmtId="165" fontId="191" fillId="0" borderId="0" applyFill="0" applyBorder="0" applyAlignment="0" applyProtection="0"/>
    <xf numFmtId="168" fontId="191" fillId="0" borderId="0" applyFill="0" applyBorder="0" applyAlignment="0" applyProtection="0"/>
    <xf numFmtId="0" fontId="267" fillId="0" borderId="0"/>
    <xf numFmtId="41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0" fontId="139" fillId="0" borderId="0"/>
    <xf numFmtId="41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44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0" fontId="139" fillId="0" borderId="0"/>
    <xf numFmtId="0" fontId="139" fillId="0" borderId="0"/>
  </cellStyleXfs>
  <cellXfs count="5996">
    <xf numFmtId="0" fontId="0" fillId="0" borderId="0" xfId="0"/>
    <xf numFmtId="0" fontId="1" fillId="0" borderId="0" xfId="0" applyFont="1"/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horizontal="right"/>
    </xf>
    <xf numFmtId="168" fontId="4" fillId="2" borderId="0" xfId="2" applyFont="1" applyFill="1"/>
    <xf numFmtId="0" fontId="5" fillId="2" borderId="0" xfId="0" applyFont="1" applyFill="1"/>
    <xf numFmtId="0" fontId="3" fillId="3" borderId="10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vertical="center"/>
    </xf>
    <xf numFmtId="0" fontId="3" fillId="3" borderId="12" xfId="0" applyFont="1" applyFill="1" applyBorder="1" applyAlignment="1">
      <alignment vertical="center"/>
    </xf>
    <xf numFmtId="175" fontId="3" fillId="3" borderId="10" xfId="2" applyNumberFormat="1" applyFont="1" applyFill="1" applyBorder="1" applyAlignment="1">
      <alignment vertical="center"/>
    </xf>
    <xf numFmtId="0" fontId="4" fillId="0" borderId="13" xfId="0" applyFont="1" applyBorder="1" applyAlignment="1">
      <alignment horizontal="center" vertical="center"/>
    </xf>
    <xf numFmtId="0" fontId="4" fillId="0" borderId="14" xfId="0" applyFont="1" applyBorder="1" applyAlignment="1">
      <alignment vertical="center"/>
    </xf>
    <xf numFmtId="0" fontId="7" fillId="0" borderId="14" xfId="0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175" fontId="4" fillId="0" borderId="15" xfId="2" applyNumberFormat="1" applyFont="1" applyBorder="1" applyAlignment="1">
      <alignment horizontal="right" vertic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vertical="center"/>
    </xf>
    <xf numFmtId="0" fontId="7" fillId="0" borderId="17" xfId="0" applyFont="1" applyBorder="1" applyAlignment="1">
      <alignment vertical="center"/>
    </xf>
    <xf numFmtId="0" fontId="4" fillId="0" borderId="18" xfId="0" applyFont="1" applyBorder="1" applyAlignment="1">
      <alignment vertical="center"/>
    </xf>
    <xf numFmtId="175" fontId="4" fillId="0" borderId="18" xfId="2" applyNumberFormat="1" applyFont="1" applyBorder="1" applyAlignment="1">
      <alignment horizontal="right" vertical="center"/>
    </xf>
    <xf numFmtId="0" fontId="4" fillId="0" borderId="10" xfId="0" applyFont="1" applyBorder="1" applyAlignment="1">
      <alignment horizontal="center" vertical="center"/>
    </xf>
    <xf numFmtId="0" fontId="4" fillId="0" borderId="19" xfId="0" applyFont="1" applyBorder="1" applyAlignment="1">
      <alignment vertical="center"/>
    </xf>
    <xf numFmtId="0" fontId="7" fillId="0" borderId="19" xfId="0" applyFont="1" applyBorder="1" applyAlignment="1">
      <alignment vertical="center"/>
    </xf>
    <xf numFmtId="0" fontId="4" fillId="0" borderId="20" xfId="0" applyFont="1" applyBorder="1" applyAlignment="1">
      <alignment vertical="center"/>
    </xf>
    <xf numFmtId="175" fontId="4" fillId="0" borderId="20" xfId="2" applyNumberFormat="1" applyFont="1" applyBorder="1" applyAlignment="1">
      <alignment horizontal="right" vertical="center"/>
    </xf>
    <xf numFmtId="0" fontId="3" fillId="3" borderId="7" xfId="0" applyFont="1" applyFill="1" applyBorder="1" applyAlignment="1">
      <alignment vertical="center"/>
    </xf>
    <xf numFmtId="0" fontId="3" fillId="3" borderId="5" xfId="0" applyFont="1" applyFill="1" applyBorder="1" applyAlignment="1">
      <alignment vertical="center"/>
    </xf>
    <xf numFmtId="0" fontId="3" fillId="3" borderId="8" xfId="0" applyFont="1" applyFill="1" applyBorder="1" applyAlignment="1">
      <alignment vertical="center"/>
    </xf>
    <xf numFmtId="0" fontId="3" fillId="3" borderId="9" xfId="0" applyFont="1" applyFill="1" applyBorder="1" applyAlignment="1">
      <alignment vertical="center"/>
    </xf>
    <xf numFmtId="175" fontId="3" fillId="3" borderId="6" xfId="0" applyNumberFormat="1" applyFont="1" applyFill="1" applyBorder="1" applyAlignment="1">
      <alignment vertical="center"/>
    </xf>
    <xf numFmtId="0" fontId="1" fillId="2" borderId="0" xfId="0" applyFont="1" applyFill="1"/>
    <xf numFmtId="175" fontId="1" fillId="2" borderId="0" xfId="0" applyNumberFormat="1" applyFont="1" applyFill="1"/>
    <xf numFmtId="0" fontId="7" fillId="2" borderId="0" xfId="0" applyFont="1" applyFill="1"/>
    <xf numFmtId="0" fontId="8" fillId="2" borderId="0" xfId="0" applyFont="1" applyFill="1"/>
    <xf numFmtId="175" fontId="8" fillId="2" borderId="0" xfId="0" applyNumberFormat="1" applyFont="1" applyFill="1"/>
    <xf numFmtId="0" fontId="9" fillId="2" borderId="0" xfId="0" applyFont="1" applyFill="1"/>
    <xf numFmtId="0" fontId="0" fillId="2" borderId="0" xfId="0" applyFill="1"/>
    <xf numFmtId="165" fontId="10" fillId="2" borderId="0" xfId="0" applyNumberFormat="1" applyFont="1" applyFill="1" applyAlignment="1">
      <alignment horizontal="center"/>
    </xf>
    <xf numFmtId="0" fontId="10" fillId="2" borderId="0" xfId="0" applyFont="1" applyFill="1"/>
    <xf numFmtId="0" fontId="10" fillId="2" borderId="0" xfId="0" applyFont="1" applyFill="1" applyAlignment="1">
      <alignment horizontal="center"/>
    </xf>
    <xf numFmtId="177" fontId="10" fillId="2" borderId="0" xfId="0" applyNumberFormat="1" applyFont="1" applyFill="1" applyAlignment="1">
      <alignment horizontal="center"/>
    </xf>
    <xf numFmtId="165" fontId="10" fillId="2" borderId="0" xfId="1" applyFont="1" applyFill="1"/>
    <xf numFmtId="0" fontId="9" fillId="2" borderId="0" xfId="0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1" fontId="10" fillId="2" borderId="0" xfId="0" applyNumberFormat="1" applyFont="1" applyFill="1" applyAlignment="1">
      <alignment horizontal="center"/>
    </xf>
    <xf numFmtId="0" fontId="7" fillId="0" borderId="0" xfId="0" applyFont="1"/>
    <xf numFmtId="0" fontId="9" fillId="0" borderId="0" xfId="0" applyFont="1"/>
    <xf numFmtId="165" fontId="9" fillId="0" borderId="0" xfId="0" applyNumberFormat="1" applyFont="1" applyAlignment="1">
      <alignment horizontal="center"/>
    </xf>
    <xf numFmtId="0" fontId="4" fillId="0" borderId="21" xfId="0" applyFont="1" applyBorder="1" applyAlignment="1">
      <alignment horizontal="center" vertical="center"/>
    </xf>
    <xf numFmtId="0" fontId="4" fillId="0" borderId="11" xfId="0" applyFont="1" applyBorder="1" applyAlignment="1">
      <alignment vertical="center"/>
    </xf>
    <xf numFmtId="0" fontId="7" fillId="0" borderId="11" xfId="0" applyFont="1" applyBorder="1" applyAlignment="1">
      <alignment vertical="center"/>
    </xf>
    <xf numFmtId="0" fontId="4" fillId="0" borderId="12" xfId="0" applyFont="1" applyBorder="1" applyAlignment="1">
      <alignment vertical="center"/>
    </xf>
    <xf numFmtId="175" fontId="4" fillId="0" borderId="12" xfId="2" applyNumberFormat="1" applyFont="1" applyBorder="1" applyAlignment="1">
      <alignment horizontal="right" vertical="center"/>
    </xf>
    <xf numFmtId="0" fontId="4" fillId="0" borderId="22" xfId="0" applyFont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177" fontId="3" fillId="3" borderId="10" xfId="2" applyNumberFormat="1" applyFont="1" applyFill="1" applyBorder="1" applyAlignment="1">
      <alignment vertical="center"/>
    </xf>
    <xf numFmtId="0" fontId="4" fillId="3" borderId="10" xfId="0" applyFont="1" applyFill="1" applyBorder="1" applyAlignment="1">
      <alignment vertical="center"/>
    </xf>
    <xf numFmtId="175" fontId="0" fillId="0" borderId="0" xfId="0" applyNumberFormat="1"/>
    <xf numFmtId="177" fontId="4" fillId="0" borderId="16" xfId="2" applyNumberFormat="1" applyFont="1" applyBorder="1" applyAlignment="1">
      <alignment vertical="center"/>
    </xf>
    <xf numFmtId="177" fontId="3" fillId="0" borderId="13" xfId="2" applyNumberFormat="1" applyFont="1" applyBorder="1" applyAlignment="1">
      <alignment vertical="center"/>
    </xf>
    <xf numFmtId="175" fontId="4" fillId="0" borderId="13" xfId="2" applyNumberFormat="1" applyFont="1" applyBorder="1" applyAlignment="1">
      <alignment horizontal="right" vertical="center"/>
    </xf>
    <xf numFmtId="165" fontId="139" fillId="0" borderId="0" xfId="1"/>
    <xf numFmtId="175" fontId="4" fillId="0" borderId="16" xfId="2" applyNumberFormat="1" applyFont="1" applyBorder="1" applyAlignment="1">
      <alignment vertical="center"/>
    </xf>
    <xf numFmtId="175" fontId="4" fillId="0" borderId="16" xfId="2" applyNumberFormat="1" applyFont="1" applyBorder="1" applyAlignment="1">
      <alignment horizontal="right" vertical="center"/>
    </xf>
    <xf numFmtId="175" fontId="4" fillId="0" borderId="10" xfId="2" applyNumberFormat="1" applyFont="1" applyBorder="1" applyAlignment="1">
      <alignment vertical="center"/>
    </xf>
    <xf numFmtId="177" fontId="4" fillId="0" borderId="21" xfId="2" applyNumberFormat="1" applyFont="1" applyBorder="1" applyAlignment="1">
      <alignment vertical="center"/>
    </xf>
    <xf numFmtId="175" fontId="4" fillId="0" borderId="21" xfId="2" applyNumberFormat="1" applyFont="1" applyBorder="1" applyAlignment="1">
      <alignment horizontal="right" vertical="center"/>
    </xf>
    <xf numFmtId="177" fontId="3" fillId="3" borderId="5" xfId="2" applyNumberFormat="1" applyFont="1" applyFill="1" applyBorder="1" applyAlignment="1">
      <alignment vertical="center"/>
    </xf>
    <xf numFmtId="175" fontId="13" fillId="2" borderId="0" xfId="0" applyNumberFormat="1" applyFont="1" applyFill="1"/>
    <xf numFmtId="175" fontId="7" fillId="2" borderId="0" xfId="0" applyNumberFormat="1" applyFont="1" applyFill="1"/>
    <xf numFmtId="3" fontId="7" fillId="2" borderId="0" xfId="0" applyNumberFormat="1" applyFont="1" applyFill="1"/>
    <xf numFmtId="43" fontId="0" fillId="2" borderId="0" xfId="0" applyNumberFormat="1" applyFill="1"/>
    <xf numFmtId="177" fontId="10" fillId="2" borderId="0" xfId="2" applyNumberFormat="1" applyFont="1" applyFill="1"/>
    <xf numFmtId="165" fontId="10" fillId="2" borderId="0" xfId="2" applyNumberFormat="1" applyFont="1" applyFill="1" applyAlignment="1">
      <alignment horizontal="center"/>
    </xf>
    <xf numFmtId="165" fontId="10" fillId="2" borderId="0" xfId="0" applyNumberFormat="1" applyFont="1" applyFill="1"/>
    <xf numFmtId="43" fontId="10" fillId="2" borderId="0" xfId="0" applyNumberFormat="1" applyFont="1" applyFill="1"/>
    <xf numFmtId="0" fontId="4" fillId="0" borderId="0" xfId="0" applyFont="1"/>
    <xf numFmtId="165" fontId="4" fillId="0" borderId="0" xfId="2" applyNumberFormat="1" applyFont="1" applyAlignment="1">
      <alignment horizontal="center"/>
    </xf>
    <xf numFmtId="175" fontId="4" fillId="0" borderId="23" xfId="2" applyNumberFormat="1" applyFont="1" applyBorder="1" applyAlignment="1">
      <alignment horizontal="right" vertical="center"/>
    </xf>
    <xf numFmtId="175" fontId="4" fillId="0" borderId="10" xfId="2" applyNumberFormat="1" applyFont="1" applyBorder="1" applyAlignment="1">
      <alignment horizontal="right" vertical="center"/>
    </xf>
    <xf numFmtId="0" fontId="15" fillId="0" borderId="0" xfId="0" applyFont="1"/>
    <xf numFmtId="0" fontId="16" fillId="4" borderId="0" xfId="0" applyFont="1" applyFill="1"/>
    <xf numFmtId="0" fontId="16" fillId="0" borderId="0" xfId="0" applyFont="1"/>
    <xf numFmtId="0" fontId="15" fillId="2" borderId="0" xfId="0" applyFont="1" applyFill="1"/>
    <xf numFmtId="0" fontId="16" fillId="2" borderId="0" xfId="0" applyFont="1" applyFill="1"/>
    <xf numFmtId="0" fontId="15" fillId="2" borderId="0" xfId="0" applyFont="1" applyFill="1" applyAlignment="1">
      <alignment horizontal="right"/>
    </xf>
    <xf numFmtId="168" fontId="16" fillId="2" borderId="0" xfId="2" applyFont="1" applyFill="1"/>
    <xf numFmtId="0" fontId="17" fillId="2" borderId="0" xfId="0" applyFont="1" applyFill="1"/>
    <xf numFmtId="0" fontId="15" fillId="3" borderId="10" xfId="0" applyFont="1" applyFill="1" applyBorder="1" applyAlignment="1">
      <alignment horizontal="center" vertical="center"/>
    </xf>
    <xf numFmtId="0" fontId="15" fillId="3" borderId="5" xfId="0" applyFont="1" applyFill="1" applyBorder="1" applyAlignment="1">
      <alignment horizontal="center" vertical="center"/>
    </xf>
    <xf numFmtId="0" fontId="15" fillId="3" borderId="11" xfId="0" applyFont="1" applyFill="1" applyBorder="1" applyAlignment="1">
      <alignment vertical="center"/>
    </xf>
    <xf numFmtId="0" fontId="15" fillId="3" borderId="12" xfId="0" applyFont="1" applyFill="1" applyBorder="1" applyAlignment="1">
      <alignment vertical="center"/>
    </xf>
    <xf numFmtId="175" fontId="15" fillId="3" borderId="10" xfId="2" applyNumberFormat="1" applyFont="1" applyFill="1" applyBorder="1" applyAlignment="1">
      <alignment vertical="center"/>
    </xf>
    <xf numFmtId="0" fontId="16" fillId="0" borderId="13" xfId="0" applyFont="1" applyBorder="1" applyAlignment="1">
      <alignment horizontal="center" vertical="center"/>
    </xf>
    <xf numFmtId="0" fontId="16" fillId="0" borderId="14" xfId="0" applyFont="1" applyBorder="1" applyAlignment="1">
      <alignment vertical="center"/>
    </xf>
    <xf numFmtId="0" fontId="16" fillId="0" borderId="15" xfId="0" applyFont="1" applyBorder="1" applyAlignment="1">
      <alignment vertical="center"/>
    </xf>
    <xf numFmtId="175" fontId="16" fillId="0" borderId="15" xfId="2" applyNumberFormat="1" applyFont="1" applyBorder="1" applyAlignment="1">
      <alignment horizontal="right" vertical="center"/>
    </xf>
    <xf numFmtId="0" fontId="16" fillId="0" borderId="16" xfId="0" applyFont="1" applyBorder="1" applyAlignment="1">
      <alignment horizontal="center" vertical="center"/>
    </xf>
    <xf numFmtId="0" fontId="16" fillId="0" borderId="17" xfId="0" applyFont="1" applyBorder="1" applyAlignment="1">
      <alignment vertical="center"/>
    </xf>
    <xf numFmtId="0" fontId="16" fillId="0" borderId="18" xfId="0" applyFont="1" applyBorder="1" applyAlignment="1">
      <alignment vertical="center"/>
    </xf>
    <xf numFmtId="175" fontId="16" fillId="0" borderId="18" xfId="2" applyNumberFormat="1" applyFont="1" applyBorder="1" applyAlignment="1">
      <alignment horizontal="right" vertical="center"/>
    </xf>
    <xf numFmtId="0" fontId="16" fillId="0" borderId="10" xfId="0" applyFont="1" applyBorder="1" applyAlignment="1">
      <alignment horizontal="center" vertical="center"/>
    </xf>
    <xf numFmtId="0" fontId="16" fillId="0" borderId="19" xfId="0" applyFont="1" applyBorder="1" applyAlignment="1">
      <alignment vertical="center"/>
    </xf>
    <xf numFmtId="0" fontId="16" fillId="0" borderId="20" xfId="0" applyFont="1" applyBorder="1" applyAlignment="1">
      <alignment vertical="center"/>
    </xf>
    <xf numFmtId="175" fontId="16" fillId="0" borderId="20" xfId="2" applyNumberFormat="1" applyFont="1" applyBorder="1" applyAlignment="1">
      <alignment horizontal="right" vertical="center"/>
    </xf>
    <xf numFmtId="0" fontId="15" fillId="3" borderId="7" xfId="0" applyFont="1" applyFill="1" applyBorder="1" applyAlignment="1">
      <alignment vertical="center"/>
    </xf>
    <xf numFmtId="0" fontId="15" fillId="3" borderId="5" xfId="0" applyFont="1" applyFill="1" applyBorder="1" applyAlignment="1">
      <alignment vertical="center"/>
    </xf>
    <xf numFmtId="0" fontId="15" fillId="3" borderId="8" xfId="0" applyFont="1" applyFill="1" applyBorder="1" applyAlignment="1">
      <alignment vertical="center"/>
    </xf>
    <xf numFmtId="0" fontId="15" fillId="3" borderId="9" xfId="0" applyFont="1" applyFill="1" applyBorder="1" applyAlignment="1">
      <alignment vertical="center"/>
    </xf>
    <xf numFmtId="175" fontId="15" fillId="3" borderId="6" xfId="0" applyNumberFormat="1" applyFont="1" applyFill="1" applyBorder="1" applyAlignment="1">
      <alignment vertical="center"/>
    </xf>
    <xf numFmtId="175" fontId="15" fillId="2" borderId="0" xfId="0" applyNumberFormat="1" applyFont="1" applyFill="1"/>
    <xf numFmtId="175" fontId="16" fillId="2" borderId="0" xfId="0" applyNumberFormat="1" applyFont="1" applyFill="1"/>
    <xf numFmtId="165" fontId="16" fillId="2" borderId="0" xfId="0" applyNumberFormat="1" applyFont="1" applyFill="1" applyAlignment="1">
      <alignment horizontal="center"/>
    </xf>
    <xf numFmtId="0" fontId="16" fillId="2" borderId="0" xfId="0" applyFont="1" applyFill="1" applyAlignment="1">
      <alignment horizontal="center"/>
    </xf>
    <xf numFmtId="177" fontId="16" fillId="2" borderId="0" xfId="0" applyNumberFormat="1" applyFont="1" applyFill="1" applyAlignment="1">
      <alignment horizontal="center"/>
    </xf>
    <xf numFmtId="165" fontId="16" fillId="2" borderId="0" xfId="1" applyFont="1" applyFill="1"/>
    <xf numFmtId="0" fontId="19" fillId="2" borderId="0" xfId="0" applyFont="1" applyFill="1" applyAlignment="1">
      <alignment horizontal="center"/>
    </xf>
    <xf numFmtId="1" fontId="16" fillId="2" borderId="0" xfId="0" applyNumberFormat="1" applyFont="1" applyFill="1" applyAlignment="1">
      <alignment horizontal="center"/>
    </xf>
    <xf numFmtId="165" fontId="16" fillId="4" borderId="0" xfId="0" applyNumberFormat="1" applyFont="1" applyFill="1" applyAlignment="1">
      <alignment horizontal="center"/>
    </xf>
    <xf numFmtId="0" fontId="21" fillId="4" borderId="0" xfId="0" applyFont="1" applyFill="1"/>
    <xf numFmtId="0" fontId="22" fillId="4" borderId="0" xfId="0" applyFont="1" applyFill="1"/>
    <xf numFmtId="0" fontId="21" fillId="4" borderId="0" xfId="0" applyFont="1" applyFill="1" applyAlignment="1">
      <alignment horizontal="right"/>
    </xf>
    <xf numFmtId="168" fontId="22" fillId="4" borderId="0" xfId="2" applyFont="1" applyFill="1"/>
    <xf numFmtId="0" fontId="17" fillId="4" borderId="0" xfId="0" applyFont="1" applyFill="1"/>
    <xf numFmtId="0" fontId="23" fillId="4" borderId="13" xfId="0" applyFont="1" applyFill="1" applyBorder="1" applyAlignment="1">
      <alignment horizontal="center" vertical="center"/>
    </xf>
    <xf numFmtId="0" fontId="23" fillId="4" borderId="14" xfId="0" applyFont="1" applyFill="1" applyBorder="1" applyAlignment="1">
      <alignment vertical="center"/>
    </xf>
    <xf numFmtId="0" fontId="23" fillId="4" borderId="15" xfId="0" applyFont="1" applyFill="1" applyBorder="1" applyAlignment="1">
      <alignment vertical="center"/>
    </xf>
    <xf numFmtId="175" fontId="23" fillId="4" borderId="13" xfId="2" applyNumberFormat="1" applyFont="1" applyFill="1" applyBorder="1" applyAlignment="1">
      <alignment vertical="center"/>
    </xf>
    <xf numFmtId="0" fontId="25" fillId="0" borderId="16" xfId="0" applyFont="1" applyBorder="1" applyAlignment="1">
      <alignment horizontal="center" vertical="center"/>
    </xf>
    <xf numFmtId="0" fontId="25" fillId="0" borderId="17" xfId="0" applyFont="1" applyBorder="1" applyAlignment="1">
      <alignment vertical="center"/>
    </xf>
    <xf numFmtId="0" fontId="25" fillId="0" borderId="18" xfId="0" applyFont="1" applyBorder="1" applyAlignment="1">
      <alignment vertical="center"/>
    </xf>
    <xf numFmtId="175" fontId="25" fillId="0" borderId="18" xfId="2" applyNumberFormat="1" applyFont="1" applyBorder="1" applyAlignment="1">
      <alignment horizontal="right" vertical="center"/>
    </xf>
    <xf numFmtId="0" fontId="25" fillId="0" borderId="24" xfId="0" applyFont="1" applyBorder="1" applyAlignment="1">
      <alignment horizontal="center" vertical="center"/>
    </xf>
    <xf numFmtId="0" fontId="25" fillId="0" borderId="22" xfId="0" applyFont="1" applyBorder="1" applyAlignment="1">
      <alignment horizontal="center" vertical="center"/>
    </xf>
    <xf numFmtId="0" fontId="25" fillId="0" borderId="10" xfId="0" applyFont="1" applyBorder="1" applyAlignment="1">
      <alignment horizontal="center" vertical="center"/>
    </xf>
    <xf numFmtId="175" fontId="25" fillId="0" borderId="20" xfId="2" applyNumberFormat="1" applyFont="1" applyBorder="1" applyAlignment="1">
      <alignment horizontal="right" vertical="center"/>
    </xf>
    <xf numFmtId="0" fontId="23" fillId="5" borderId="7" xfId="0" applyFont="1" applyFill="1" applyBorder="1" applyAlignment="1">
      <alignment vertical="center"/>
    </xf>
    <xf numFmtId="0" fontId="23" fillId="5" borderId="5" xfId="0" applyFont="1" applyFill="1" applyBorder="1" applyAlignment="1">
      <alignment horizontal="center" vertical="center"/>
    </xf>
    <xf numFmtId="0" fontId="23" fillId="5" borderId="5" xfId="0" applyFont="1" applyFill="1" applyBorder="1" applyAlignment="1">
      <alignment vertical="center"/>
    </xf>
    <xf numFmtId="0" fontId="23" fillId="5" borderId="8" xfId="0" applyFont="1" applyFill="1" applyBorder="1" applyAlignment="1">
      <alignment vertical="center"/>
    </xf>
    <xf numFmtId="0" fontId="23" fillId="5" borderId="9" xfId="0" applyFont="1" applyFill="1" applyBorder="1" applyAlignment="1">
      <alignment vertical="center"/>
    </xf>
    <xf numFmtId="175" fontId="23" fillId="5" borderId="6" xfId="0" applyNumberFormat="1" applyFont="1" applyFill="1" applyBorder="1" applyAlignment="1">
      <alignment vertical="center"/>
    </xf>
    <xf numFmtId="0" fontId="26" fillId="2" borderId="0" xfId="0" applyFont="1" applyFill="1"/>
    <xf numFmtId="177" fontId="16" fillId="2" borderId="0" xfId="0" applyNumberFormat="1" applyFont="1" applyFill="1"/>
    <xf numFmtId="0" fontId="15" fillId="2" borderId="6" xfId="0" applyFont="1" applyFill="1" applyBorder="1" applyAlignment="1">
      <alignment horizontal="center" vertical="center"/>
    </xf>
    <xf numFmtId="177" fontId="15" fillId="3" borderId="10" xfId="2" applyNumberFormat="1" applyFont="1" applyFill="1" applyBorder="1" applyAlignment="1">
      <alignment vertical="center"/>
    </xf>
    <xf numFmtId="0" fontId="16" fillId="3" borderId="10" xfId="0" applyFont="1" applyFill="1" applyBorder="1" applyAlignment="1">
      <alignment vertical="center"/>
    </xf>
    <xf numFmtId="175" fontId="16" fillId="0" borderId="0" xfId="0" applyNumberFormat="1" applyFont="1"/>
    <xf numFmtId="177" fontId="16" fillId="0" borderId="16" xfId="2" applyNumberFormat="1" applyFont="1" applyBorder="1" applyAlignment="1">
      <alignment vertical="center"/>
    </xf>
    <xf numFmtId="177" fontId="15" fillId="0" borderId="13" xfId="2" applyNumberFormat="1" applyFont="1" applyBorder="1" applyAlignment="1">
      <alignment vertical="center"/>
    </xf>
    <xf numFmtId="175" fontId="16" fillId="0" borderId="13" xfId="2" applyNumberFormat="1" applyFont="1" applyBorder="1" applyAlignment="1">
      <alignment horizontal="right" vertical="center"/>
    </xf>
    <xf numFmtId="165" fontId="16" fillId="0" borderId="0" xfId="1" applyFont="1"/>
    <xf numFmtId="175" fontId="16" fillId="0" borderId="16" xfId="2" applyNumberFormat="1" applyFont="1" applyBorder="1" applyAlignment="1">
      <alignment vertical="center"/>
    </xf>
    <xf numFmtId="175" fontId="16" fillId="0" borderId="16" xfId="2" applyNumberFormat="1" applyFont="1" applyBorder="1" applyAlignment="1">
      <alignment horizontal="right" vertical="center"/>
    </xf>
    <xf numFmtId="175" fontId="16" fillId="0" borderId="10" xfId="2" applyNumberFormat="1" applyFont="1" applyBorder="1" applyAlignment="1">
      <alignment vertical="center"/>
    </xf>
    <xf numFmtId="177" fontId="16" fillId="0" borderId="21" xfId="2" applyNumberFormat="1" applyFont="1" applyBorder="1" applyAlignment="1">
      <alignment vertical="center"/>
    </xf>
    <xf numFmtId="175" fontId="16" fillId="0" borderId="21" xfId="2" applyNumberFormat="1" applyFont="1" applyBorder="1" applyAlignment="1">
      <alignment horizontal="right" vertical="center"/>
    </xf>
    <xf numFmtId="177" fontId="15" fillId="3" borderId="5" xfId="2" applyNumberFormat="1" applyFont="1" applyFill="1" applyBorder="1" applyAlignment="1">
      <alignment vertical="center"/>
    </xf>
    <xf numFmtId="175" fontId="28" fillId="2" borderId="0" xfId="0" applyNumberFormat="1" applyFont="1" applyFill="1"/>
    <xf numFmtId="3" fontId="16" fillId="2" borderId="0" xfId="0" applyNumberFormat="1" applyFont="1" applyFill="1"/>
    <xf numFmtId="43" fontId="16" fillId="2" borderId="0" xfId="0" applyNumberFormat="1" applyFont="1" applyFill="1"/>
    <xf numFmtId="177" fontId="16" fillId="2" borderId="0" xfId="2" applyNumberFormat="1" applyFont="1" applyFill="1"/>
    <xf numFmtId="165" fontId="16" fillId="2" borderId="0" xfId="2" applyNumberFormat="1" applyFont="1" applyFill="1" applyAlignment="1">
      <alignment horizontal="center"/>
    </xf>
    <xf numFmtId="165" fontId="16" fillId="2" borderId="0" xfId="0" applyNumberFormat="1" applyFont="1" applyFill="1"/>
    <xf numFmtId="165" fontId="16" fillId="4" borderId="0" xfId="2" applyNumberFormat="1" applyFont="1" applyFill="1" applyAlignment="1">
      <alignment horizontal="center"/>
    </xf>
    <xf numFmtId="168" fontId="16" fillId="4" borderId="0" xfId="2" applyFont="1" applyFill="1"/>
    <xf numFmtId="0" fontId="23" fillId="2" borderId="6" xfId="0" applyFont="1" applyFill="1" applyBorder="1" applyAlignment="1">
      <alignment horizontal="center" vertical="center"/>
    </xf>
    <xf numFmtId="177" fontId="23" fillId="4" borderId="13" xfId="2" applyNumberFormat="1" applyFont="1" applyFill="1" applyBorder="1" applyAlignment="1">
      <alignment vertical="center"/>
    </xf>
    <xf numFmtId="0" fontId="25" fillId="4" borderId="13" xfId="0" applyFont="1" applyFill="1" applyBorder="1" applyAlignment="1">
      <alignment vertical="center"/>
    </xf>
    <xf numFmtId="177" fontId="25" fillId="0" borderId="16" xfId="2" applyNumberFormat="1" applyFont="1" applyBorder="1" applyAlignment="1">
      <alignment vertical="center"/>
    </xf>
    <xf numFmtId="177" fontId="25" fillId="0" borderId="16" xfId="2" applyNumberFormat="1" applyFont="1" applyBorder="1" applyAlignment="1">
      <alignment horizontal="center" vertical="center"/>
    </xf>
    <xf numFmtId="175" fontId="25" fillId="0" borderId="16" xfId="2" applyNumberFormat="1" applyFont="1" applyBorder="1" applyAlignment="1">
      <alignment horizontal="right" vertical="center"/>
    </xf>
    <xf numFmtId="43" fontId="16" fillId="0" borderId="0" xfId="0" applyNumberFormat="1" applyFont="1"/>
    <xf numFmtId="177" fontId="25" fillId="0" borderId="10" xfId="2" applyNumberFormat="1" applyFont="1" applyBorder="1" applyAlignment="1">
      <alignment vertical="center"/>
    </xf>
    <xf numFmtId="175" fontId="25" fillId="0" borderId="10" xfId="2" applyNumberFormat="1" applyFont="1" applyBorder="1" applyAlignment="1">
      <alignment horizontal="right" vertical="center"/>
    </xf>
    <xf numFmtId="177" fontId="23" fillId="5" borderId="6" xfId="2" applyNumberFormat="1" applyFont="1" applyFill="1" applyBorder="1" applyAlignment="1">
      <alignment vertical="center"/>
    </xf>
    <xf numFmtId="177" fontId="23" fillId="5" borderId="6" xfId="2" applyNumberFormat="1" applyFont="1" applyFill="1" applyBorder="1" applyAlignment="1">
      <alignment horizontal="center" vertical="center"/>
    </xf>
    <xf numFmtId="165" fontId="29" fillId="4" borderId="0" xfId="2" applyNumberFormat="1" applyFont="1" applyFill="1" applyAlignment="1">
      <alignment horizontal="center"/>
    </xf>
    <xf numFmtId="0" fontId="29" fillId="4" borderId="0" xfId="0" applyFont="1" applyFill="1" applyAlignment="1">
      <alignment horizontal="center"/>
    </xf>
    <xf numFmtId="0" fontId="29" fillId="6" borderId="0" xfId="0" applyFont="1" applyFill="1" applyAlignment="1">
      <alignment horizontal="center"/>
    </xf>
    <xf numFmtId="175" fontId="30" fillId="4" borderId="0" xfId="0" applyNumberFormat="1" applyFont="1" applyFill="1"/>
    <xf numFmtId="177" fontId="29" fillId="4" borderId="0" xfId="0" applyNumberFormat="1" applyFont="1" applyFill="1" applyAlignment="1">
      <alignment horizontal="center"/>
    </xf>
    <xf numFmtId="0" fontId="31" fillId="4" borderId="0" xfId="0" applyFont="1" applyFill="1" applyAlignment="1">
      <alignment horizontal="center"/>
    </xf>
    <xf numFmtId="1" fontId="29" fillId="4" borderId="0" xfId="0" applyNumberFormat="1" applyFont="1" applyFill="1" applyAlignment="1">
      <alignment horizontal="center"/>
    </xf>
    <xf numFmtId="0" fontId="29" fillId="4" borderId="0" xfId="0" applyFont="1" applyFill="1"/>
    <xf numFmtId="0" fontId="19" fillId="2" borderId="0" xfId="0" applyFont="1" applyFill="1"/>
    <xf numFmtId="1" fontId="16" fillId="2" borderId="0" xfId="0" applyNumberFormat="1" applyFont="1" applyFill="1"/>
    <xf numFmtId="0" fontId="29" fillId="0" borderId="0" xfId="0" applyFont="1"/>
    <xf numFmtId="0" fontId="30" fillId="0" borderId="0" xfId="0" applyFont="1"/>
    <xf numFmtId="0" fontId="29" fillId="3" borderId="0" xfId="0" applyFont="1" applyFill="1"/>
    <xf numFmtId="0" fontId="32" fillId="0" borderId="0" xfId="0" applyFont="1"/>
    <xf numFmtId="0" fontId="33" fillId="0" borderId="0" xfId="0" applyFont="1"/>
    <xf numFmtId="0" fontId="29" fillId="2" borderId="0" xfId="0" applyFont="1" applyFill="1"/>
    <xf numFmtId="0" fontId="33" fillId="2" borderId="0" xfId="0" applyFont="1" applyFill="1"/>
    <xf numFmtId="0" fontId="35" fillId="7" borderId="2" xfId="0" applyFont="1" applyFill="1" applyBorder="1" applyAlignment="1">
      <alignment horizontal="center" vertical="center"/>
    </xf>
    <xf numFmtId="0" fontId="35" fillId="7" borderId="7" xfId="0" applyFont="1" applyFill="1" applyBorder="1" applyAlignment="1">
      <alignment horizontal="center" vertical="center"/>
    </xf>
    <xf numFmtId="0" fontId="29" fillId="2" borderId="5" xfId="0" applyFont="1" applyFill="1" applyBorder="1" applyAlignment="1">
      <alignment horizontal="center"/>
    </xf>
    <xf numFmtId="0" fontId="29" fillId="0" borderId="24" xfId="0" applyFont="1" applyBorder="1"/>
    <xf numFmtId="0" fontId="29" fillId="0" borderId="17" xfId="0" applyFont="1" applyBorder="1" applyAlignment="1">
      <alignment vertical="center"/>
    </xf>
    <xf numFmtId="0" fontId="29" fillId="4" borderId="17" xfId="0" applyFont="1" applyFill="1" applyBorder="1" applyAlignment="1">
      <alignment vertical="center"/>
    </xf>
    <xf numFmtId="0" fontId="30" fillId="0" borderId="17" xfId="0" applyFont="1" applyBorder="1" applyAlignment="1">
      <alignment vertical="center"/>
    </xf>
    <xf numFmtId="0" fontId="29" fillId="0" borderId="34" xfId="0" applyFont="1" applyBorder="1" applyAlignment="1">
      <alignment vertical="center"/>
    </xf>
    <xf numFmtId="0" fontId="29" fillId="0" borderId="38" xfId="0" applyFont="1" applyBorder="1" applyAlignment="1">
      <alignment vertical="center"/>
    </xf>
    <xf numFmtId="0" fontId="29" fillId="0" borderId="41" xfId="0" applyFont="1" applyBorder="1" applyAlignment="1">
      <alignment vertical="center"/>
    </xf>
    <xf numFmtId="0" fontId="29" fillId="0" borderId="44" xfId="0" applyFont="1" applyBorder="1" applyAlignment="1">
      <alignment vertical="center"/>
    </xf>
    <xf numFmtId="49" fontId="40" fillId="0" borderId="45" xfId="0" applyNumberFormat="1" applyFont="1" applyBorder="1" applyAlignment="1">
      <alignment horizontal="left" vertical="center"/>
    </xf>
    <xf numFmtId="0" fontId="41" fillId="0" borderId="46" xfId="0" applyFont="1" applyBorder="1" applyAlignment="1">
      <alignment horizontal="center" vertical="center"/>
    </xf>
    <xf numFmtId="0" fontId="40" fillId="0" borderId="46" xfId="0" applyFont="1" applyBorder="1" applyAlignment="1">
      <alignment horizontal="center" vertical="center"/>
    </xf>
    <xf numFmtId="0" fontId="32" fillId="0" borderId="47" xfId="0" applyFont="1" applyBorder="1" applyAlignment="1">
      <alignment vertical="center"/>
    </xf>
    <xf numFmtId="49" fontId="39" fillId="0" borderId="51" xfId="0" applyNumberFormat="1" applyFont="1" applyBorder="1" applyAlignment="1">
      <alignment horizontal="center" vertical="center"/>
    </xf>
    <xf numFmtId="0" fontId="30" fillId="0" borderId="30" xfId="0" applyFont="1" applyBorder="1" applyAlignment="1">
      <alignment vertical="center"/>
    </xf>
    <xf numFmtId="0" fontId="29" fillId="0" borderId="17" xfId="0" applyFont="1" applyBorder="1" applyAlignment="1">
      <alignment horizontal="center" vertical="center"/>
    </xf>
    <xf numFmtId="165" fontId="30" fillId="7" borderId="1" xfId="1" applyFont="1" applyFill="1" applyBorder="1" applyAlignment="1">
      <alignment horizontal="center" vertical="center"/>
    </xf>
    <xf numFmtId="165" fontId="30" fillId="7" borderId="6" xfId="1" applyFont="1" applyFill="1" applyBorder="1" applyAlignment="1">
      <alignment horizontal="center" vertical="center"/>
    </xf>
    <xf numFmtId="0" fontId="30" fillId="4" borderId="31" xfId="0" applyFont="1" applyFill="1" applyBorder="1" applyAlignment="1">
      <alignment vertical="center"/>
    </xf>
    <xf numFmtId="0" fontId="29" fillId="0" borderId="18" xfId="0" applyFont="1" applyBorder="1" applyAlignment="1">
      <alignment vertical="center"/>
    </xf>
    <xf numFmtId="0" fontId="30" fillId="0" borderId="18" xfId="0" applyFont="1" applyBorder="1" applyAlignment="1">
      <alignment vertical="center"/>
    </xf>
    <xf numFmtId="0" fontId="30" fillId="0" borderId="55" xfId="0" applyFont="1" applyBorder="1" applyAlignment="1">
      <alignment vertical="center"/>
    </xf>
    <xf numFmtId="0" fontId="30" fillId="0" borderId="56" xfId="0" applyFont="1" applyBorder="1" applyAlignment="1">
      <alignment vertical="center"/>
    </xf>
    <xf numFmtId="0" fontId="30" fillId="0" borderId="57" xfId="0" applyFont="1" applyBorder="1" applyAlignment="1">
      <alignment vertical="center"/>
    </xf>
    <xf numFmtId="0" fontId="30" fillId="0" borderId="58" xfId="0" applyFont="1" applyBorder="1" applyAlignment="1">
      <alignment vertical="center"/>
    </xf>
    <xf numFmtId="0" fontId="43" fillId="0" borderId="59" xfId="0" applyFont="1" applyBorder="1" applyAlignment="1">
      <alignment vertical="center"/>
    </xf>
    <xf numFmtId="0" fontId="29" fillId="0" borderId="30" xfId="0" applyFont="1" applyBorder="1" applyAlignment="1">
      <alignment vertical="center"/>
    </xf>
    <xf numFmtId="0" fontId="30" fillId="0" borderId="53" xfId="0" applyFont="1" applyBorder="1" applyAlignment="1">
      <alignment vertical="center"/>
    </xf>
    <xf numFmtId="0" fontId="29" fillId="2" borderId="0" xfId="0" applyFont="1" applyFill="1" applyAlignment="1">
      <alignment horizontal="center"/>
    </xf>
    <xf numFmtId="165" fontId="48" fillId="0" borderId="59" xfId="1" applyFont="1" applyBorder="1"/>
    <xf numFmtId="49" fontId="49" fillId="0" borderId="64" xfId="0" applyNumberFormat="1" applyFont="1" applyBorder="1" applyAlignment="1">
      <alignment horizontal="center"/>
    </xf>
    <xf numFmtId="0" fontId="39" fillId="0" borderId="64" xfId="0" applyFont="1" applyBorder="1"/>
    <xf numFmtId="0" fontId="38" fillId="0" borderId="64" xfId="0" applyFont="1" applyBorder="1" applyAlignment="1">
      <alignment horizontal="center" vertical="center"/>
    </xf>
    <xf numFmtId="0" fontId="50" fillId="0" borderId="17" xfId="0" applyFont="1" applyBorder="1"/>
    <xf numFmtId="0" fontId="39" fillId="0" borderId="64" xfId="0" applyFont="1" applyBorder="1" applyAlignment="1">
      <alignment horizontal="center" vertical="center"/>
    </xf>
    <xf numFmtId="0" fontId="29" fillId="0" borderId="17" xfId="0" applyFont="1" applyBorder="1" applyAlignment="1">
      <alignment horizontal="left" vertical="center"/>
    </xf>
    <xf numFmtId="0" fontId="39" fillId="0" borderId="65" xfId="0" applyFont="1" applyBorder="1" applyAlignment="1">
      <alignment horizontal="center" vertical="center"/>
    </xf>
    <xf numFmtId="0" fontId="38" fillId="0" borderId="65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29" fillId="4" borderId="11" xfId="0" applyFont="1" applyFill="1" applyBorder="1" applyAlignment="1">
      <alignment vertical="center"/>
    </xf>
    <xf numFmtId="0" fontId="29" fillId="0" borderId="19" xfId="0" applyFont="1" applyBorder="1" applyAlignment="1">
      <alignment vertical="center"/>
    </xf>
    <xf numFmtId="0" fontId="30" fillId="0" borderId="20" xfId="0" applyFont="1" applyBorder="1" applyAlignment="1">
      <alignment vertical="center"/>
    </xf>
    <xf numFmtId="0" fontId="52" fillId="0" borderId="0" xfId="0" applyFont="1"/>
    <xf numFmtId="0" fontId="29" fillId="9" borderId="0" xfId="0" applyFont="1" applyFill="1"/>
    <xf numFmtId="0" fontId="55" fillId="0" borderId="0" xfId="0" applyFont="1"/>
    <xf numFmtId="0" fontId="29" fillId="10" borderId="0" xfId="0" applyFont="1" applyFill="1"/>
    <xf numFmtId="0" fontId="29" fillId="11" borderId="0" xfId="0" applyFont="1" applyFill="1"/>
    <xf numFmtId="0" fontId="29" fillId="0" borderId="66" xfId="0" applyFont="1" applyBorder="1"/>
    <xf numFmtId="0" fontId="29" fillId="12" borderId="0" xfId="0" applyFont="1" applyFill="1"/>
    <xf numFmtId="0" fontId="29" fillId="13" borderId="0" xfId="0" applyFont="1" applyFill="1"/>
    <xf numFmtId="0" fontId="30" fillId="13" borderId="0" xfId="0" applyFont="1" applyFill="1"/>
    <xf numFmtId="0" fontId="30" fillId="13" borderId="0" xfId="0" applyFont="1" applyFill="1" applyAlignment="1">
      <alignment vertical="center" wrapText="1"/>
    </xf>
    <xf numFmtId="0" fontId="56" fillId="0" borderId="66" xfId="0" applyFont="1" applyBorder="1"/>
    <xf numFmtId="0" fontId="57" fillId="11" borderId="0" xfId="0" applyFont="1" applyFill="1"/>
    <xf numFmtId="0" fontId="57" fillId="0" borderId="0" xfId="0" applyFont="1"/>
    <xf numFmtId="0" fontId="29" fillId="0" borderId="17" xfId="0" applyFont="1" applyBorder="1"/>
    <xf numFmtId="0" fontId="58" fillId="0" borderId="0" xfId="0" applyFont="1"/>
    <xf numFmtId="0" fontId="59" fillId="0" borderId="0" xfId="0" applyFont="1"/>
    <xf numFmtId="0" fontId="29" fillId="14" borderId="0" xfId="0" applyFont="1" applyFill="1"/>
    <xf numFmtId="0" fontId="29" fillId="0" borderId="0" xfId="0" applyFont="1" applyAlignment="1">
      <alignment vertical="center"/>
    </xf>
    <xf numFmtId="49" fontId="60" fillId="0" borderId="0" xfId="0" applyNumberFormat="1" applyFont="1"/>
    <xf numFmtId="0" fontId="60" fillId="0" borderId="0" xfId="0" applyFont="1"/>
    <xf numFmtId="0" fontId="39" fillId="0" borderId="0" xfId="0" applyFont="1"/>
    <xf numFmtId="0" fontId="60" fillId="0" borderId="0" xfId="0" applyFont="1" applyAlignment="1">
      <alignment horizontal="center"/>
    </xf>
    <xf numFmtId="49" fontId="60" fillId="2" borderId="0" xfId="0" applyNumberFormat="1" applyFont="1" applyFill="1"/>
    <xf numFmtId="0" fontId="60" fillId="2" borderId="0" xfId="0" applyFont="1" applyFill="1"/>
    <xf numFmtId="49" fontId="35" fillId="2" borderId="0" xfId="0" applyNumberFormat="1" applyFont="1" applyFill="1"/>
    <xf numFmtId="49" fontId="35" fillId="2" borderId="0" xfId="0" applyNumberFormat="1" applyFont="1" applyFill="1" applyAlignment="1">
      <alignment horizontal="center"/>
    </xf>
    <xf numFmtId="49" fontId="30" fillId="9" borderId="1" xfId="0" applyNumberFormat="1" applyFont="1" applyFill="1" applyBorder="1" applyAlignment="1">
      <alignment horizontal="center"/>
    </xf>
    <xf numFmtId="49" fontId="30" fillId="9" borderId="6" xfId="0" applyNumberFormat="1" applyFont="1" applyFill="1" applyBorder="1" applyAlignment="1">
      <alignment horizontal="center"/>
    </xf>
    <xf numFmtId="49" fontId="61" fillId="0" borderId="25" xfId="0" applyNumberFormat="1" applyFont="1" applyBorder="1" applyAlignment="1">
      <alignment horizontal="center"/>
    </xf>
    <xf numFmtId="0" fontId="61" fillId="0" borderId="25" xfId="0" applyFont="1" applyBorder="1" applyAlignment="1">
      <alignment horizontal="center"/>
    </xf>
    <xf numFmtId="49" fontId="29" fillId="0" borderId="5" xfId="0" applyNumberFormat="1" applyFont="1" applyBorder="1"/>
    <xf numFmtId="49" fontId="30" fillId="0" borderId="25" xfId="0" applyNumberFormat="1" applyFont="1" applyBorder="1" applyAlignment="1">
      <alignment horizontal="center"/>
    </xf>
    <xf numFmtId="49" fontId="30" fillId="0" borderId="31" xfId="0" applyNumberFormat="1" applyFont="1" applyBorder="1" applyAlignment="1">
      <alignment horizontal="center"/>
    </xf>
    <xf numFmtId="49" fontId="30" fillId="0" borderId="52" xfId="0" applyNumberFormat="1" applyFont="1" applyBorder="1" applyAlignment="1">
      <alignment horizontal="center"/>
    </xf>
    <xf numFmtId="0" fontId="30" fillId="0" borderId="25" xfId="0" applyFont="1" applyBorder="1"/>
    <xf numFmtId="0" fontId="30" fillId="0" borderId="31" xfId="0" applyFont="1" applyBorder="1"/>
    <xf numFmtId="49" fontId="30" fillId="10" borderId="25" xfId="0" applyNumberFormat="1" applyFont="1" applyFill="1" applyBorder="1" applyAlignment="1">
      <alignment horizontal="center"/>
    </xf>
    <xf numFmtId="49" fontId="30" fillId="10" borderId="5" xfId="0" applyNumberFormat="1" applyFont="1" applyFill="1" applyBorder="1" applyAlignment="1">
      <alignment horizontal="center"/>
    </xf>
    <xf numFmtId="0" fontId="30" fillId="10" borderId="31" xfId="0" applyFont="1" applyFill="1" applyBorder="1"/>
    <xf numFmtId="49" fontId="29" fillId="0" borderId="29" xfId="0" applyNumberFormat="1" applyFont="1" applyBorder="1"/>
    <xf numFmtId="49" fontId="30" fillId="0" borderId="28" xfId="0" applyNumberFormat="1" applyFont="1" applyBorder="1" applyAlignment="1">
      <alignment horizontal="center"/>
    </xf>
    <xf numFmtId="49" fontId="29" fillId="10" borderId="25" xfId="0" applyNumberFormat="1" applyFont="1" applyFill="1" applyBorder="1" applyAlignment="1">
      <alignment horizontal="center"/>
    </xf>
    <xf numFmtId="49" fontId="30" fillId="10" borderId="5" xfId="0" applyNumberFormat="1" applyFont="1" applyFill="1" applyBorder="1"/>
    <xf numFmtId="49" fontId="30" fillId="11" borderId="67" xfId="0" applyNumberFormat="1" applyFont="1" applyFill="1" applyBorder="1" applyAlignment="1">
      <alignment horizontal="center"/>
    </xf>
    <xf numFmtId="49" fontId="30" fillId="11" borderId="49" xfId="0" applyNumberFormat="1" applyFont="1" applyFill="1" applyBorder="1" applyAlignment="1">
      <alignment horizontal="center"/>
    </xf>
    <xf numFmtId="0" fontId="47" fillId="11" borderId="50" xfId="0" applyFont="1" applyFill="1" applyBorder="1"/>
    <xf numFmtId="49" fontId="29" fillId="0" borderId="27" xfId="0" applyNumberFormat="1" applyFont="1" applyBorder="1"/>
    <xf numFmtId="49" fontId="29" fillId="0" borderId="26" xfId="0" applyNumberFormat="1" applyFont="1" applyBorder="1" applyAlignment="1">
      <alignment horizontal="center"/>
    </xf>
    <xf numFmtId="0" fontId="30" fillId="0" borderId="30" xfId="0" applyFont="1" applyBorder="1"/>
    <xf numFmtId="49" fontId="29" fillId="0" borderId="24" xfId="0" applyNumberFormat="1" applyFont="1" applyBorder="1"/>
    <xf numFmtId="49" fontId="30" fillId="0" borderId="16" xfId="0" applyNumberFormat="1" applyFont="1" applyBorder="1" applyAlignment="1">
      <alignment horizontal="center"/>
    </xf>
    <xf numFmtId="0" fontId="30" fillId="0" borderId="17" xfId="0" applyFont="1" applyBorder="1"/>
    <xf numFmtId="49" fontId="29" fillId="0" borderId="16" xfId="0" applyNumberFormat="1" applyFont="1" applyBorder="1" applyAlignment="1">
      <alignment horizontal="center"/>
    </xf>
    <xf numFmtId="49" fontId="30" fillId="0" borderId="24" xfId="0" applyNumberFormat="1" applyFont="1" applyBorder="1"/>
    <xf numFmtId="49" fontId="29" fillId="0" borderId="24" xfId="0" applyNumberFormat="1" applyFont="1" applyBorder="1" applyAlignment="1">
      <alignment horizontal="center"/>
    </xf>
    <xf numFmtId="49" fontId="29" fillId="0" borderId="63" xfId="0" applyNumberFormat="1" applyFont="1" applyBorder="1"/>
    <xf numFmtId="49" fontId="29" fillId="0" borderId="21" xfId="0" applyNumberFormat="1" applyFont="1" applyBorder="1" applyAlignment="1">
      <alignment horizontal="center"/>
    </xf>
    <xf numFmtId="0" fontId="29" fillId="0" borderId="11" xfId="0" applyFont="1" applyBorder="1"/>
    <xf numFmtId="0" fontId="30" fillId="11" borderId="50" xfId="0" applyFont="1" applyFill="1" applyBorder="1"/>
    <xf numFmtId="49" fontId="30" fillId="0" borderId="29" xfId="0" applyNumberFormat="1" applyFont="1" applyBorder="1" applyAlignment="1">
      <alignment horizontal="center"/>
    </xf>
    <xf numFmtId="49" fontId="29" fillId="15" borderId="35" xfId="0" applyNumberFormat="1" applyFont="1" applyFill="1" applyBorder="1" applyAlignment="1">
      <alignment vertical="center"/>
    </xf>
    <xf numFmtId="49" fontId="30" fillId="15" borderId="35" xfId="0" applyNumberFormat="1" applyFont="1" applyFill="1" applyBorder="1" applyAlignment="1">
      <alignment horizontal="center" vertical="center"/>
    </xf>
    <xf numFmtId="0" fontId="30" fillId="15" borderId="35" xfId="0" applyFont="1" applyFill="1" applyBorder="1" applyAlignment="1">
      <alignment vertical="center"/>
    </xf>
    <xf numFmtId="49" fontId="30" fillId="0" borderId="24" xfId="0" applyNumberFormat="1" applyFont="1" applyBorder="1" applyAlignment="1">
      <alignment horizontal="center"/>
    </xf>
    <xf numFmtId="49" fontId="29" fillId="0" borderId="68" xfId="0" applyNumberFormat="1" applyFont="1" applyBorder="1" applyAlignment="1">
      <alignment horizontal="center"/>
    </xf>
    <xf numFmtId="49" fontId="29" fillId="0" borderId="23" xfId="0" applyNumberFormat="1" applyFont="1" applyBorder="1" applyAlignment="1">
      <alignment horizontal="center"/>
    </xf>
    <xf numFmtId="0" fontId="29" fillId="0" borderId="69" xfId="0" applyFont="1" applyBorder="1"/>
    <xf numFmtId="49" fontId="29" fillId="15" borderId="67" xfId="0" applyNumberFormat="1" applyFont="1" applyFill="1" applyBorder="1"/>
    <xf numFmtId="49" fontId="30" fillId="15" borderId="49" xfId="0" applyNumberFormat="1" applyFont="1" applyFill="1" applyBorder="1" applyAlignment="1">
      <alignment horizontal="center" vertical="center"/>
    </xf>
    <xf numFmtId="49" fontId="29" fillId="15" borderId="49" xfId="0" applyNumberFormat="1" applyFont="1" applyFill="1" applyBorder="1" applyAlignment="1">
      <alignment horizontal="center" vertical="center"/>
    </xf>
    <xf numFmtId="0" fontId="30" fillId="15" borderId="50" xfId="0" applyFont="1" applyFill="1" applyBorder="1" applyAlignment="1">
      <alignment vertical="center"/>
    </xf>
    <xf numFmtId="0" fontId="47" fillId="15" borderId="50" xfId="0" applyFont="1" applyFill="1" applyBorder="1" applyAlignment="1">
      <alignment vertical="center"/>
    </xf>
    <xf numFmtId="0" fontId="39" fillId="2" borderId="0" xfId="0" applyFont="1" applyFill="1"/>
    <xf numFmtId="170" fontId="29" fillId="2" borderId="0" xfId="0" applyNumberFormat="1" applyFont="1" applyFill="1" applyAlignment="1">
      <alignment horizontal="center"/>
    </xf>
    <xf numFmtId="165" fontId="39" fillId="2" borderId="0" xfId="0" applyNumberFormat="1" applyFont="1" applyFill="1"/>
    <xf numFmtId="170" fontId="29" fillId="2" borderId="0" xfId="0" applyNumberFormat="1" applyFont="1" applyFill="1"/>
    <xf numFmtId="170" fontId="29" fillId="2" borderId="0" xfId="2" applyNumberFormat="1" applyFont="1" applyFill="1" applyAlignment="1">
      <alignment horizontal="center"/>
    </xf>
    <xf numFmtId="170" fontId="30" fillId="9" borderId="5" xfId="0" applyNumberFormat="1" applyFont="1" applyFill="1" applyBorder="1" applyAlignment="1">
      <alignment horizontal="center" vertical="center" wrapText="1"/>
    </xf>
    <xf numFmtId="170" fontId="30" fillId="9" borderId="3" xfId="0" applyNumberFormat="1" applyFont="1" applyFill="1" applyBorder="1" applyAlignment="1">
      <alignment horizontal="center" vertical="center" wrapText="1"/>
    </xf>
    <xf numFmtId="170" fontId="30" fillId="9" borderId="8" xfId="0" applyNumberFormat="1" applyFont="1" applyFill="1" applyBorder="1" applyAlignment="1">
      <alignment horizontal="center" vertical="center" wrapText="1"/>
    </xf>
    <xf numFmtId="170" fontId="62" fillId="0" borderId="5" xfId="0" applyNumberFormat="1" applyFont="1" applyBorder="1" applyAlignment="1">
      <alignment horizontal="center"/>
    </xf>
    <xf numFmtId="170" fontId="61" fillId="0" borderId="52" xfId="0" applyNumberFormat="1" applyFont="1" applyBorder="1" applyAlignment="1">
      <alignment horizontal="center"/>
    </xf>
    <xf numFmtId="170" fontId="61" fillId="0" borderId="31" xfId="0" applyNumberFormat="1" applyFont="1" applyBorder="1" applyAlignment="1">
      <alignment horizontal="center"/>
    </xf>
    <xf numFmtId="0" fontId="38" fillId="0" borderId="72" xfId="0" applyFont="1" applyBorder="1"/>
    <xf numFmtId="170" fontId="30" fillId="0" borderId="5" xfId="0" applyNumberFormat="1" applyFont="1" applyBorder="1"/>
    <xf numFmtId="0" fontId="29" fillId="0" borderId="25" xfId="0" applyFont="1" applyBorder="1"/>
    <xf numFmtId="170" fontId="38" fillId="10" borderId="5" xfId="4" applyNumberFormat="1" applyFont="1" applyFill="1" applyBorder="1"/>
    <xf numFmtId="170" fontId="30" fillId="10" borderId="5" xfId="4" applyNumberFormat="1" applyFont="1" applyFill="1" applyBorder="1"/>
    <xf numFmtId="165" fontId="30" fillId="10" borderId="25" xfId="4" applyNumberFormat="1" applyFont="1" applyFill="1" applyBorder="1"/>
    <xf numFmtId="170" fontId="38" fillId="0" borderId="28" xfId="0" applyNumberFormat="1" applyFont="1" applyBorder="1"/>
    <xf numFmtId="170" fontId="30" fillId="0" borderId="28" xfId="0" applyNumberFormat="1" applyFont="1" applyBorder="1"/>
    <xf numFmtId="0" fontId="29" fillId="0" borderId="29" xfId="0" applyFont="1" applyBorder="1"/>
    <xf numFmtId="165" fontId="29" fillId="10" borderId="25" xfId="4" applyNumberFormat="1" applyFont="1" applyFill="1" applyBorder="1"/>
    <xf numFmtId="170" fontId="39" fillId="0" borderId="28" xfId="0" applyNumberFormat="1" applyFont="1" applyBorder="1"/>
    <xf numFmtId="170" fontId="29" fillId="0" borderId="28" xfId="0" applyNumberFormat="1" applyFont="1" applyBorder="1"/>
    <xf numFmtId="165" fontId="29" fillId="0" borderId="29" xfId="0" applyNumberFormat="1" applyFont="1" applyBorder="1"/>
    <xf numFmtId="170" fontId="38" fillId="11" borderId="49" xfId="4" applyNumberFormat="1" applyFont="1" applyFill="1" applyBorder="1"/>
    <xf numFmtId="170" fontId="30" fillId="11" borderId="49" xfId="4" applyNumberFormat="1" applyFont="1" applyFill="1" applyBorder="1"/>
    <xf numFmtId="165" fontId="29" fillId="11" borderId="73" xfId="4" applyNumberFormat="1" applyFont="1" applyFill="1" applyBorder="1"/>
    <xf numFmtId="170" fontId="39" fillId="0" borderId="26" xfId="4" applyNumberFormat="1" applyFont="1" applyBorder="1"/>
    <xf numFmtId="170" fontId="29" fillId="0" borderId="26" xfId="4" applyNumberFormat="1" applyFont="1" applyBorder="1"/>
    <xf numFmtId="165" fontId="29" fillId="0" borderId="27" xfId="4" applyNumberFormat="1" applyFont="1" applyBorder="1"/>
    <xf numFmtId="170" fontId="38" fillId="0" borderId="28" xfId="4" applyNumberFormat="1" applyFont="1" applyBorder="1"/>
    <xf numFmtId="170" fontId="30" fillId="0" borderId="28" xfId="4" applyNumberFormat="1" applyFont="1" applyBorder="1"/>
    <xf numFmtId="165" fontId="29" fillId="0" borderId="29" xfId="4" applyNumberFormat="1" applyFont="1" applyBorder="1"/>
    <xf numFmtId="170" fontId="39" fillId="0" borderId="16" xfId="4" applyNumberFormat="1" applyFont="1" applyBorder="1"/>
    <xf numFmtId="170" fontId="29" fillId="0" borderId="16" xfId="4" applyNumberFormat="1" applyFont="1" applyBorder="1"/>
    <xf numFmtId="165" fontId="29" fillId="0" borderId="24" xfId="4" applyNumberFormat="1" applyFont="1" applyBorder="1"/>
    <xf numFmtId="170" fontId="38" fillId="0" borderId="74" xfId="4" applyNumberFormat="1" applyFont="1" applyBorder="1"/>
    <xf numFmtId="170" fontId="30" fillId="0" borderId="74" xfId="4" applyNumberFormat="1" applyFont="1" applyBorder="1"/>
    <xf numFmtId="165" fontId="29" fillId="0" borderId="75" xfId="4" applyNumberFormat="1" applyFont="1" applyBorder="1"/>
    <xf numFmtId="170" fontId="39" fillId="0" borderId="21" xfId="0" applyNumberFormat="1" applyFont="1" applyBorder="1"/>
    <xf numFmtId="170" fontId="29" fillId="0" borderId="21" xfId="0" applyNumberFormat="1" applyFont="1" applyBorder="1"/>
    <xf numFmtId="165" fontId="29" fillId="0" borderId="63" xfId="0" applyNumberFormat="1" applyFont="1" applyBorder="1"/>
    <xf numFmtId="170" fontId="39" fillId="0" borderId="16" xfId="0" applyNumberFormat="1" applyFont="1" applyBorder="1"/>
    <xf numFmtId="170" fontId="29" fillId="0" borderId="16" xfId="0" applyNumberFormat="1" applyFont="1" applyBorder="1"/>
    <xf numFmtId="170" fontId="29" fillId="4" borderId="28" xfId="0" applyNumberFormat="1" applyFont="1" applyFill="1" applyBorder="1"/>
    <xf numFmtId="170" fontId="29" fillId="0" borderId="26" xfId="0" applyNumberFormat="1" applyFont="1" applyBorder="1"/>
    <xf numFmtId="165" fontId="29" fillId="0" borderId="27" xfId="0" applyNumberFormat="1" applyFont="1" applyBorder="1"/>
    <xf numFmtId="170" fontId="29" fillId="16" borderId="16" xfId="0" applyNumberFormat="1" applyFont="1" applyFill="1" applyBorder="1"/>
    <xf numFmtId="170" fontId="29" fillId="4" borderId="16" xfId="0" applyNumberFormat="1" applyFont="1" applyFill="1" applyBorder="1"/>
    <xf numFmtId="170" fontId="29" fillId="17" borderId="28" xfId="0" applyNumberFormat="1" applyFont="1" applyFill="1" applyBorder="1"/>
    <xf numFmtId="170" fontId="29" fillId="4" borderId="21" xfId="0" applyNumberFormat="1" applyFont="1" applyFill="1" applyBorder="1"/>
    <xf numFmtId="170" fontId="38" fillId="0" borderId="76" xfId="0" applyNumberFormat="1" applyFont="1" applyBorder="1"/>
    <xf numFmtId="170" fontId="30" fillId="0" borderId="76" xfId="0" applyNumberFormat="1" applyFont="1" applyBorder="1"/>
    <xf numFmtId="170" fontId="30" fillId="4" borderId="76" xfId="0" applyNumberFormat="1" applyFont="1" applyFill="1" applyBorder="1"/>
    <xf numFmtId="170" fontId="30" fillId="4" borderId="28" xfId="0" applyNumberFormat="1" applyFont="1" applyFill="1" applyBorder="1"/>
    <xf numFmtId="170" fontId="30" fillId="0" borderId="16" xfId="4" applyNumberFormat="1" applyFont="1" applyBorder="1"/>
    <xf numFmtId="165" fontId="30" fillId="0" borderId="29" xfId="4" applyNumberFormat="1" applyFont="1" applyBorder="1"/>
    <xf numFmtId="170" fontId="29" fillId="17" borderId="16" xfId="0" applyNumberFormat="1" applyFont="1" applyFill="1" applyBorder="1"/>
    <xf numFmtId="170" fontId="38" fillId="0" borderId="16" xfId="0" applyNumberFormat="1" applyFont="1" applyBorder="1"/>
    <xf numFmtId="170" fontId="30" fillId="0" borderId="16" xfId="0" applyNumberFormat="1" applyFont="1" applyBorder="1"/>
    <xf numFmtId="170" fontId="30" fillId="4" borderId="16" xfId="0" applyNumberFormat="1" applyFont="1" applyFill="1" applyBorder="1"/>
    <xf numFmtId="170" fontId="29" fillId="14" borderId="16" xfId="0" applyNumberFormat="1" applyFont="1" applyFill="1" applyBorder="1"/>
    <xf numFmtId="170" fontId="39" fillId="0" borderId="16" xfId="3" applyNumberFormat="1" applyFont="1" applyBorder="1"/>
    <xf numFmtId="170" fontId="29" fillId="0" borderId="16" xfId="3" applyNumberFormat="1" applyFont="1" applyBorder="1"/>
    <xf numFmtId="170" fontId="29" fillId="14" borderId="16" xfId="3" applyNumberFormat="1" applyFont="1" applyFill="1" applyBorder="1"/>
    <xf numFmtId="170" fontId="29" fillId="4" borderId="16" xfId="3" applyNumberFormat="1" applyFont="1" applyFill="1" applyBorder="1"/>
    <xf numFmtId="0" fontId="39" fillId="0" borderId="77" xfId="0" applyFont="1" applyBorder="1"/>
    <xf numFmtId="170" fontId="29" fillId="0" borderId="23" xfId="3" applyNumberFormat="1" applyFont="1" applyBorder="1"/>
    <xf numFmtId="170" fontId="29" fillId="0" borderId="23" xfId="0" applyNumberFormat="1" applyFont="1" applyBorder="1"/>
    <xf numFmtId="165" fontId="29" fillId="0" borderId="68" xfId="4" applyNumberFormat="1" applyFont="1" applyBorder="1"/>
    <xf numFmtId="170" fontId="38" fillId="15" borderId="35" xfId="4" applyNumberFormat="1" applyFont="1" applyFill="1" applyBorder="1" applyAlignment="1">
      <alignment vertical="center"/>
    </xf>
    <xf numFmtId="170" fontId="30" fillId="15" borderId="35" xfId="4" applyNumberFormat="1" applyFont="1" applyFill="1" applyBorder="1" applyAlignment="1">
      <alignment vertical="center"/>
    </xf>
    <xf numFmtId="165" fontId="29" fillId="15" borderId="35" xfId="4" applyNumberFormat="1" applyFont="1" applyFill="1" applyBorder="1" applyAlignment="1">
      <alignment vertical="center"/>
    </xf>
    <xf numFmtId="170" fontId="38" fillId="0" borderId="26" xfId="4" applyNumberFormat="1" applyFont="1" applyBorder="1"/>
    <xf numFmtId="170" fontId="30" fillId="0" borderId="26" xfId="4" applyNumberFormat="1" applyFont="1" applyBorder="1"/>
    <xf numFmtId="170" fontId="38" fillId="0" borderId="16" xfId="4" applyNumberFormat="1" applyFont="1" applyBorder="1"/>
    <xf numFmtId="165" fontId="29" fillId="0" borderId="24" xfId="0" applyNumberFormat="1" applyFont="1" applyBorder="1"/>
    <xf numFmtId="170" fontId="39" fillId="0" borderId="26" xfId="0" applyNumberFormat="1" applyFont="1" applyBorder="1"/>
    <xf numFmtId="170" fontId="29" fillId="14" borderId="26" xfId="0" applyNumberFormat="1" applyFont="1" applyFill="1" applyBorder="1"/>
    <xf numFmtId="170" fontId="29" fillId="4" borderId="26" xfId="0" applyNumberFormat="1" applyFont="1" applyFill="1" applyBorder="1"/>
    <xf numFmtId="170" fontId="38" fillId="0" borderId="74" xfId="0" applyNumberFormat="1" applyFont="1" applyBorder="1"/>
    <xf numFmtId="170" fontId="30" fillId="0" borderId="74" xfId="0" applyNumberFormat="1" applyFont="1" applyBorder="1"/>
    <xf numFmtId="170" fontId="30" fillId="4" borderId="74" xfId="0" applyNumberFormat="1" applyFont="1" applyFill="1" applyBorder="1"/>
    <xf numFmtId="170" fontId="30" fillId="0" borderId="76" xfId="4" applyNumberFormat="1" applyFont="1" applyBorder="1"/>
    <xf numFmtId="170" fontId="29" fillId="0" borderId="28" xfId="4" applyNumberFormat="1" applyFont="1" applyBorder="1"/>
    <xf numFmtId="170" fontId="38" fillId="0" borderId="16" xfId="3" applyNumberFormat="1" applyFont="1" applyBorder="1"/>
    <xf numFmtId="170" fontId="30" fillId="0" borderId="16" xfId="3" applyNumberFormat="1" applyFont="1" applyBorder="1"/>
    <xf numFmtId="165" fontId="30" fillId="0" borderId="24" xfId="4" applyNumberFormat="1" applyFont="1" applyBorder="1"/>
    <xf numFmtId="170" fontId="39" fillId="0" borderId="78" xfId="3" applyNumberFormat="1" applyFont="1" applyBorder="1"/>
    <xf numFmtId="170" fontId="29" fillId="14" borderId="78" xfId="3" applyNumberFormat="1" applyFont="1" applyFill="1" applyBorder="1"/>
    <xf numFmtId="170" fontId="29" fillId="4" borderId="78" xfId="3" applyNumberFormat="1" applyFont="1" applyFill="1" applyBorder="1"/>
    <xf numFmtId="170" fontId="29" fillId="17" borderId="78" xfId="3" applyNumberFormat="1" applyFont="1" applyFill="1" applyBorder="1"/>
    <xf numFmtId="170" fontId="29" fillId="0" borderId="78" xfId="0" applyNumberFormat="1" applyFont="1" applyBorder="1"/>
    <xf numFmtId="165" fontId="29" fillId="0" borderId="79" xfId="4" applyNumberFormat="1" applyFont="1" applyBorder="1"/>
    <xf numFmtId="0" fontId="60" fillId="15" borderId="50" xfId="0" applyFont="1" applyFill="1" applyBorder="1" applyAlignment="1">
      <alignment vertical="center"/>
    </xf>
    <xf numFmtId="170" fontId="38" fillId="15" borderId="49" xfId="4" applyNumberFormat="1" applyFont="1" applyFill="1" applyBorder="1" applyAlignment="1">
      <alignment vertical="center"/>
    </xf>
    <xf numFmtId="170" fontId="30" fillId="15" borderId="49" xfId="4" applyNumberFormat="1" applyFont="1" applyFill="1" applyBorder="1" applyAlignment="1">
      <alignment vertical="center"/>
    </xf>
    <xf numFmtId="165" fontId="29" fillId="15" borderId="73" xfId="4" applyNumberFormat="1" applyFont="1" applyFill="1" applyBorder="1" applyAlignment="1">
      <alignment vertical="center"/>
    </xf>
    <xf numFmtId="0" fontId="29" fillId="0" borderId="30" xfId="0" applyFont="1" applyBorder="1"/>
    <xf numFmtId="170" fontId="39" fillId="0" borderId="6" xfId="4" applyNumberFormat="1" applyFont="1" applyBorder="1"/>
    <xf numFmtId="170" fontId="29" fillId="0" borderId="6" xfId="4" applyNumberFormat="1" applyFont="1" applyBorder="1"/>
    <xf numFmtId="170" fontId="29" fillId="0" borderId="80" xfId="4" applyNumberFormat="1" applyFont="1" applyBorder="1"/>
    <xf numFmtId="165" fontId="29" fillId="0" borderId="81" xfId="4" applyNumberFormat="1" applyFont="1" applyBorder="1"/>
    <xf numFmtId="170" fontId="29" fillId="17" borderId="26" xfId="0" applyNumberFormat="1" applyFont="1" applyFill="1" applyBorder="1"/>
    <xf numFmtId="171" fontId="63" fillId="2" borderId="0" xfId="0" applyNumberFormat="1" applyFont="1" applyFill="1"/>
    <xf numFmtId="0" fontId="29" fillId="9" borderId="0" xfId="0" applyFont="1" applyFill="1" applyAlignment="1">
      <alignment horizontal="center"/>
    </xf>
    <xf numFmtId="170" fontId="29" fillId="9" borderId="0" xfId="0" applyNumberFormat="1" applyFont="1" applyFill="1" applyAlignment="1">
      <alignment horizontal="center"/>
    </xf>
    <xf numFmtId="170" fontId="61" fillId="0" borderId="5" xfId="0" applyNumberFormat="1" applyFont="1" applyBorder="1" applyAlignment="1">
      <alignment horizontal="center"/>
    </xf>
    <xf numFmtId="0" fontId="55" fillId="0" borderId="0" xfId="0" applyFont="1" applyAlignment="1">
      <alignment horizontal="center"/>
    </xf>
    <xf numFmtId="0" fontId="30" fillId="0" borderId="5" xfId="0" applyFont="1" applyBorder="1"/>
    <xf numFmtId="0" fontId="29" fillId="0" borderId="0" xfId="0" applyFont="1" applyAlignment="1">
      <alignment horizontal="center"/>
    </xf>
    <xf numFmtId="165" fontId="30" fillId="10" borderId="5" xfId="4" applyNumberFormat="1" applyFont="1" applyFill="1" applyBorder="1"/>
    <xf numFmtId="43" fontId="29" fillId="10" borderId="0" xfId="0" applyNumberFormat="1" applyFont="1" applyFill="1" applyAlignment="1">
      <alignment horizontal="center"/>
    </xf>
    <xf numFmtId="0" fontId="30" fillId="0" borderId="28" xfId="0" applyFont="1" applyBorder="1"/>
    <xf numFmtId="0" fontId="43" fillId="0" borderId="0" xfId="0" applyFont="1" applyAlignment="1">
      <alignment horizontal="center"/>
    </xf>
    <xf numFmtId="0" fontId="53" fillId="0" borderId="0" xfId="0" applyFont="1" applyAlignment="1">
      <alignment horizontal="center"/>
    </xf>
    <xf numFmtId="170" fontId="43" fillId="10" borderId="0" xfId="0" applyNumberFormat="1" applyFont="1" applyFill="1" applyAlignment="1">
      <alignment horizontal="center"/>
    </xf>
    <xf numFmtId="43" fontId="53" fillId="10" borderId="0" xfId="0" applyNumberFormat="1" applyFont="1" applyFill="1"/>
    <xf numFmtId="165" fontId="29" fillId="0" borderId="28" xfId="0" applyNumberFormat="1" applyFont="1" applyBorder="1"/>
    <xf numFmtId="43" fontId="29" fillId="0" borderId="0" xfId="0" applyNumberFormat="1" applyFont="1" applyAlignment="1">
      <alignment horizontal="center"/>
    </xf>
    <xf numFmtId="165" fontId="30" fillId="11" borderId="49" xfId="4" applyNumberFormat="1" applyFont="1" applyFill="1" applyBorder="1"/>
    <xf numFmtId="43" fontId="29" fillId="11" borderId="0" xfId="0" applyNumberFormat="1" applyFont="1" applyFill="1" applyAlignment="1">
      <alignment horizontal="center"/>
    </xf>
    <xf numFmtId="168" fontId="139" fillId="11" borderId="0" xfId="2" applyFill="1"/>
    <xf numFmtId="165" fontId="29" fillId="0" borderId="26" xfId="4" applyNumberFormat="1" applyFont="1" applyBorder="1"/>
    <xf numFmtId="43" fontId="29" fillId="0" borderId="0" xfId="0" applyNumberFormat="1" applyFont="1"/>
    <xf numFmtId="165" fontId="30" fillId="0" borderId="28" xfId="4" applyNumberFormat="1" applyFont="1" applyBorder="1"/>
    <xf numFmtId="165" fontId="29" fillId="0" borderId="16" xfId="4" applyNumberFormat="1" applyFont="1" applyBorder="1"/>
    <xf numFmtId="165" fontId="30" fillId="0" borderId="74" xfId="4" applyNumberFormat="1" applyFont="1" applyBorder="1"/>
    <xf numFmtId="165" fontId="29" fillId="0" borderId="21" xfId="0" applyNumberFormat="1" applyFont="1" applyBorder="1"/>
    <xf numFmtId="165" fontId="29" fillId="0" borderId="16" xfId="0" applyNumberFormat="1" applyFont="1" applyBorder="1"/>
    <xf numFmtId="165" fontId="29" fillId="0" borderId="26" xfId="0" applyNumberFormat="1" applyFont="1" applyBorder="1"/>
    <xf numFmtId="165" fontId="52" fillId="0" borderId="26" xfId="0" applyNumberFormat="1" applyFont="1" applyBorder="1"/>
    <xf numFmtId="165" fontId="30" fillId="0" borderId="74" xfId="0" applyNumberFormat="1" applyFont="1" applyBorder="1"/>
    <xf numFmtId="165" fontId="30" fillId="0" borderId="28" xfId="0" applyNumberFormat="1" applyFont="1" applyBorder="1"/>
    <xf numFmtId="0" fontId="30" fillId="0" borderId="0" xfId="0" applyFont="1" applyAlignment="1">
      <alignment horizontal="center"/>
    </xf>
    <xf numFmtId="165" fontId="30" fillId="0" borderId="21" xfId="0" applyNumberFormat="1" applyFont="1" applyBorder="1"/>
    <xf numFmtId="165" fontId="29" fillId="0" borderId="16" xfId="3" applyNumberFormat="1" applyFont="1" applyBorder="1"/>
    <xf numFmtId="165" fontId="29" fillId="0" borderId="21" xfId="3" applyNumberFormat="1" applyFont="1" applyBorder="1"/>
    <xf numFmtId="0" fontId="29" fillId="0" borderId="66" xfId="0" applyFont="1" applyBorder="1" applyAlignment="1">
      <alignment horizontal="center"/>
    </xf>
    <xf numFmtId="165" fontId="30" fillId="15" borderId="35" xfId="4" applyNumberFormat="1" applyFont="1" applyFill="1" applyBorder="1" applyAlignment="1">
      <alignment vertical="center"/>
    </xf>
    <xf numFmtId="0" fontId="29" fillId="12" borderId="0" xfId="0" applyFont="1" applyFill="1" applyAlignment="1">
      <alignment horizontal="center"/>
    </xf>
    <xf numFmtId="165" fontId="30" fillId="0" borderId="26" xfId="4" applyNumberFormat="1" applyFont="1" applyBorder="1"/>
    <xf numFmtId="165" fontId="30" fillId="0" borderId="16" xfId="4" applyNumberFormat="1" applyFont="1" applyBorder="1"/>
    <xf numFmtId="165" fontId="30" fillId="0" borderId="26" xfId="0" applyNumberFormat="1" applyFont="1" applyBorder="1"/>
    <xf numFmtId="165" fontId="29" fillId="0" borderId="78" xfId="0" applyNumberFormat="1" applyFont="1" applyBorder="1"/>
    <xf numFmtId="165" fontId="30" fillId="15" borderId="49" xfId="4" applyNumberFormat="1" applyFont="1" applyFill="1" applyBorder="1" applyAlignment="1">
      <alignment vertical="center"/>
    </xf>
    <xf numFmtId="0" fontId="29" fillId="13" borderId="0" xfId="0" applyFont="1" applyFill="1" applyAlignment="1">
      <alignment horizontal="center"/>
    </xf>
    <xf numFmtId="165" fontId="53" fillId="0" borderId="74" xfId="4" applyNumberFormat="1" applyFont="1" applyBorder="1"/>
    <xf numFmtId="0" fontId="52" fillId="0" borderId="0" xfId="0" applyFont="1" applyAlignment="1">
      <alignment horizontal="center"/>
    </xf>
    <xf numFmtId="165" fontId="29" fillId="0" borderId="6" xfId="4" applyNumberFormat="1" applyFont="1" applyBorder="1" applyAlignment="1">
      <alignment horizontal="right"/>
    </xf>
    <xf numFmtId="165" fontId="139" fillId="0" borderId="26" xfId="1" applyBorder="1"/>
    <xf numFmtId="43" fontId="52" fillId="16" borderId="0" xfId="0" applyNumberFormat="1" applyFont="1" applyFill="1" applyAlignment="1">
      <alignment horizontal="center"/>
    </xf>
    <xf numFmtId="165" fontId="139" fillId="0" borderId="0" xfId="1" applyAlignment="1">
      <alignment horizontal="center"/>
    </xf>
    <xf numFmtId="49" fontId="30" fillId="0" borderId="63" xfId="0" applyNumberFormat="1" applyFont="1" applyBorder="1"/>
    <xf numFmtId="49" fontId="30" fillId="0" borderId="21" xfId="0" applyNumberFormat="1" applyFont="1" applyBorder="1" applyAlignment="1">
      <alignment horizontal="center"/>
    </xf>
    <xf numFmtId="0" fontId="30" fillId="0" borderId="11" xfId="0" applyFont="1" applyBorder="1"/>
    <xf numFmtId="49" fontId="29" fillId="0" borderId="66" xfId="0" applyNumberFormat="1" applyFont="1" applyBorder="1"/>
    <xf numFmtId="49" fontId="29" fillId="0" borderId="78" xfId="0" applyNumberFormat="1" applyFont="1" applyBorder="1" applyAlignment="1">
      <alignment horizontal="center"/>
    </xf>
    <xf numFmtId="49" fontId="30" fillId="15" borderId="67" xfId="0" applyNumberFormat="1" applyFont="1" applyFill="1" applyBorder="1" applyAlignment="1">
      <alignment horizontal="center"/>
    </xf>
    <xf numFmtId="49" fontId="30" fillId="0" borderId="27" xfId="0" applyNumberFormat="1" applyFont="1" applyBorder="1"/>
    <xf numFmtId="49" fontId="30" fillId="0" borderId="68" xfId="0" applyNumberFormat="1" applyFont="1" applyBorder="1"/>
    <xf numFmtId="49" fontId="29" fillId="0" borderId="68" xfId="0" applyNumberFormat="1" applyFont="1" applyBorder="1"/>
    <xf numFmtId="49" fontId="30" fillId="15" borderId="67" xfId="0" applyNumberFormat="1" applyFont="1" applyFill="1" applyBorder="1"/>
    <xf numFmtId="170" fontId="38" fillId="0" borderId="10" xfId="0" applyNumberFormat="1" applyFont="1" applyBorder="1"/>
    <xf numFmtId="170" fontId="30" fillId="0" borderId="10" xfId="0" applyNumberFormat="1" applyFont="1" applyBorder="1"/>
    <xf numFmtId="170" fontId="30" fillId="0" borderId="10" xfId="4" applyNumberFormat="1" applyFont="1" applyBorder="1"/>
    <xf numFmtId="165" fontId="29" fillId="0" borderId="22" xfId="4" applyNumberFormat="1" applyFont="1" applyBorder="1"/>
    <xf numFmtId="170" fontId="38" fillId="0" borderId="21" xfId="0" applyNumberFormat="1" applyFont="1" applyBorder="1"/>
    <xf numFmtId="170" fontId="30" fillId="0" borderId="21" xfId="0" applyNumberFormat="1" applyFont="1" applyBorder="1"/>
    <xf numFmtId="170" fontId="30" fillId="4" borderId="21" xfId="0" applyNumberFormat="1" applyFont="1" applyFill="1" applyBorder="1"/>
    <xf numFmtId="170" fontId="39" fillId="0" borderId="78" xfId="0" applyNumberFormat="1" applyFont="1" applyBorder="1"/>
    <xf numFmtId="165" fontId="29" fillId="0" borderId="79" xfId="0" applyNumberFormat="1" applyFont="1" applyBorder="1"/>
    <xf numFmtId="170" fontId="39" fillId="0" borderId="6" xfId="0" applyNumberFormat="1" applyFont="1" applyBorder="1"/>
    <xf numFmtId="170" fontId="29" fillId="0" borderId="6" xfId="0" applyNumberFormat="1" applyFont="1" applyBorder="1"/>
    <xf numFmtId="170" fontId="29" fillId="4" borderId="6" xfId="0" applyNumberFormat="1" applyFont="1" applyFill="1" applyBorder="1"/>
    <xf numFmtId="165" fontId="29" fillId="0" borderId="7" xfId="4" applyNumberFormat="1" applyFont="1" applyBorder="1"/>
    <xf numFmtId="165" fontId="29" fillId="0" borderId="7" xfId="4" applyNumberFormat="1" applyFont="1" applyBorder="1" applyAlignment="1">
      <alignment horizontal="center"/>
    </xf>
    <xf numFmtId="170" fontId="39" fillId="0" borderId="6" xfId="3" applyNumberFormat="1" applyFont="1" applyBorder="1"/>
    <xf numFmtId="170" fontId="30" fillId="0" borderId="6" xfId="3" applyNumberFormat="1" applyFont="1" applyBorder="1"/>
    <xf numFmtId="170" fontId="30" fillId="4" borderId="6" xfId="3" applyNumberFormat="1" applyFont="1" applyFill="1" applyBorder="1"/>
    <xf numFmtId="170" fontId="30" fillId="0" borderId="6" xfId="4" applyNumberFormat="1" applyFont="1" applyBorder="1"/>
    <xf numFmtId="165" fontId="30" fillId="0" borderId="7" xfId="4" applyNumberFormat="1" applyFont="1" applyBorder="1"/>
    <xf numFmtId="170" fontId="39" fillId="0" borderId="28" xfId="3" applyNumberFormat="1" applyFont="1" applyBorder="1"/>
    <xf numFmtId="170" fontId="29" fillId="0" borderId="28" xfId="3" applyNumberFormat="1" applyFont="1" applyBorder="1"/>
    <xf numFmtId="170" fontId="29" fillId="0" borderId="13" xfId="3" applyNumberFormat="1" applyFont="1" applyBorder="1"/>
    <xf numFmtId="170" fontId="29" fillId="0" borderId="13" xfId="0" applyNumberFormat="1" applyFont="1" applyBorder="1"/>
    <xf numFmtId="165" fontId="29" fillId="0" borderId="82" xfId="0" applyNumberFormat="1" applyFont="1" applyBorder="1"/>
    <xf numFmtId="170" fontId="39" fillId="0" borderId="23" xfId="3" applyNumberFormat="1" applyFont="1" applyBorder="1"/>
    <xf numFmtId="170" fontId="29" fillId="17" borderId="23" xfId="0" applyNumberFormat="1" applyFont="1" applyFill="1" applyBorder="1"/>
    <xf numFmtId="165" fontId="29" fillId="0" borderId="68" xfId="0" applyNumberFormat="1" applyFont="1" applyBorder="1"/>
    <xf numFmtId="165" fontId="64" fillId="0" borderId="27" xfId="4" applyNumberFormat="1" applyFont="1" applyBorder="1"/>
    <xf numFmtId="165" fontId="64" fillId="0" borderId="29" xfId="4" applyNumberFormat="1" applyFont="1" applyBorder="1"/>
    <xf numFmtId="165" fontId="64" fillId="0" borderId="75" xfId="4" applyNumberFormat="1" applyFont="1" applyBorder="1"/>
    <xf numFmtId="165" fontId="64" fillId="0" borderId="7" xfId="4" applyNumberFormat="1" applyFont="1" applyBorder="1"/>
    <xf numFmtId="165" fontId="64" fillId="0" borderId="24" xfId="0" applyNumberFormat="1" applyFont="1" applyBorder="1"/>
    <xf numFmtId="170" fontId="29" fillId="0" borderId="83" xfId="0" applyNumberFormat="1" applyFont="1" applyBorder="1"/>
    <xf numFmtId="170" fontId="29" fillId="17" borderId="83" xfId="0" applyNumberFormat="1" applyFont="1" applyFill="1" applyBorder="1"/>
    <xf numFmtId="170" fontId="29" fillId="0" borderId="83" xfId="4" applyNumberFormat="1" applyFont="1" applyBorder="1"/>
    <xf numFmtId="165" fontId="64" fillId="0" borderId="83" xfId="4" applyNumberFormat="1" applyFont="1" applyBorder="1"/>
    <xf numFmtId="165" fontId="64" fillId="0" borderId="16" xfId="0" applyNumberFormat="1" applyFont="1" applyBorder="1"/>
    <xf numFmtId="170" fontId="29" fillId="0" borderId="6" xfId="3" applyNumberFormat="1" applyFont="1" applyBorder="1"/>
    <xf numFmtId="170" fontId="29" fillId="4" borderId="28" xfId="3" applyNumberFormat="1" applyFont="1" applyFill="1" applyBorder="1"/>
    <xf numFmtId="170" fontId="29" fillId="0" borderId="29" xfId="3" applyNumberFormat="1" applyFont="1" applyBorder="1"/>
    <xf numFmtId="0" fontId="31" fillId="0" borderId="69" xfId="0" applyFont="1" applyBorder="1"/>
    <xf numFmtId="170" fontId="57" fillId="0" borderId="78" xfId="0" applyNumberFormat="1" applyFont="1" applyBorder="1"/>
    <xf numFmtId="165" fontId="57" fillId="0" borderId="79" xfId="0" applyNumberFormat="1" applyFont="1" applyBorder="1"/>
    <xf numFmtId="170" fontId="38" fillId="0" borderId="1" xfId="4" applyNumberFormat="1" applyFont="1" applyBorder="1"/>
    <xf numFmtId="170" fontId="30" fillId="0" borderId="1" xfId="4" applyNumberFormat="1" applyFont="1" applyBorder="1"/>
    <xf numFmtId="170" fontId="29" fillId="2" borderId="6" xfId="0" applyNumberFormat="1" applyFont="1" applyFill="1" applyBorder="1"/>
    <xf numFmtId="170" fontId="29" fillId="14" borderId="13" xfId="0" applyNumberFormat="1" applyFont="1" applyFill="1" applyBorder="1"/>
    <xf numFmtId="170" fontId="29" fillId="4" borderId="13" xfId="0" applyNumberFormat="1" applyFont="1" applyFill="1" applyBorder="1"/>
    <xf numFmtId="170" fontId="29" fillId="17" borderId="13" xfId="0" applyNumberFormat="1" applyFont="1" applyFill="1" applyBorder="1"/>
    <xf numFmtId="170" fontId="29" fillId="2" borderId="26" xfId="0" applyNumberFormat="1" applyFont="1" applyFill="1" applyBorder="1"/>
    <xf numFmtId="170" fontId="30" fillId="2" borderId="74" xfId="0" applyNumberFormat="1" applyFont="1" applyFill="1" applyBorder="1"/>
    <xf numFmtId="170" fontId="39" fillId="0" borderId="10" xfId="0" applyNumberFormat="1" applyFont="1" applyBorder="1"/>
    <xf numFmtId="170" fontId="29" fillId="0" borderId="10" xfId="0" applyNumberFormat="1" applyFont="1" applyBorder="1"/>
    <xf numFmtId="170" fontId="29" fillId="2" borderId="10" xfId="0" applyNumberFormat="1" applyFont="1" applyFill="1" applyBorder="1"/>
    <xf numFmtId="170" fontId="29" fillId="0" borderId="10" xfId="4" applyNumberFormat="1" applyFont="1" applyBorder="1"/>
    <xf numFmtId="170" fontId="29" fillId="2" borderId="16" xfId="0" applyNumberFormat="1" applyFont="1" applyFill="1" applyBorder="1"/>
    <xf numFmtId="165" fontId="29" fillId="0" borderId="13" xfId="4" applyNumberFormat="1" applyFont="1" applyBorder="1"/>
    <xf numFmtId="170" fontId="29" fillId="2" borderId="21" xfId="0" applyNumberFormat="1" applyFont="1" applyFill="1" applyBorder="1"/>
    <xf numFmtId="170" fontId="29" fillId="2" borderId="83" xfId="0" applyNumberFormat="1" applyFont="1" applyFill="1" applyBorder="1"/>
    <xf numFmtId="170" fontId="29" fillId="0" borderId="84" xfId="4" applyNumberFormat="1" applyFont="1" applyBorder="1"/>
    <xf numFmtId="165" fontId="29" fillId="0" borderId="85" xfId="4" applyNumberFormat="1" applyFont="1" applyBorder="1"/>
    <xf numFmtId="170" fontId="39" fillId="0" borderId="23" xfId="0" applyNumberFormat="1" applyFont="1" applyBorder="1"/>
    <xf numFmtId="170" fontId="29" fillId="2" borderId="23" xfId="0" applyNumberFormat="1" applyFont="1" applyFill="1" applyBorder="1"/>
    <xf numFmtId="170" fontId="29" fillId="4" borderId="23" xfId="0" applyNumberFormat="1" applyFont="1" applyFill="1" applyBorder="1"/>
    <xf numFmtId="43" fontId="53" fillId="0" borderId="0" xfId="0" applyNumberFormat="1" applyFont="1" applyAlignment="1">
      <alignment horizontal="center"/>
    </xf>
    <xf numFmtId="0" fontId="53" fillId="0" borderId="0" xfId="0" applyFont="1"/>
    <xf numFmtId="165" fontId="29" fillId="0" borderId="6" xfId="0" applyNumberFormat="1" applyFont="1" applyBorder="1"/>
    <xf numFmtId="170" fontId="29" fillId="0" borderId="0" xfId="0" applyNumberFormat="1" applyFont="1"/>
    <xf numFmtId="165" fontId="30" fillId="0" borderId="0" xfId="0" applyNumberFormat="1" applyFont="1" applyAlignment="1">
      <alignment horizontal="center"/>
    </xf>
    <xf numFmtId="165" fontId="29" fillId="0" borderId="66" xfId="0" applyNumberFormat="1" applyFont="1" applyBorder="1" applyAlignment="1">
      <alignment horizontal="center"/>
    </xf>
    <xf numFmtId="165" fontId="29" fillId="0" borderId="0" xfId="0" applyNumberFormat="1" applyFont="1" applyAlignment="1">
      <alignment horizontal="center"/>
    </xf>
    <xf numFmtId="165" fontId="29" fillId="0" borderId="0" xfId="0" applyNumberFormat="1" applyFont="1"/>
    <xf numFmtId="165" fontId="30" fillId="0" borderId="6" xfId="3" applyNumberFormat="1" applyFont="1" applyBorder="1"/>
    <xf numFmtId="165" fontId="29" fillId="0" borderId="28" xfId="3" applyNumberFormat="1" applyFont="1" applyBorder="1"/>
    <xf numFmtId="165" fontId="29" fillId="0" borderId="23" xfId="3" applyNumberFormat="1" applyFont="1" applyBorder="1"/>
    <xf numFmtId="165" fontId="29" fillId="15" borderId="49" xfId="4" applyNumberFormat="1" applyFont="1" applyFill="1" applyBorder="1" applyAlignment="1">
      <alignment vertical="center"/>
    </xf>
    <xf numFmtId="165" fontId="30" fillId="0" borderId="16" xfId="4" applyNumberFormat="1" applyFont="1" applyBorder="1" applyAlignment="1">
      <alignment vertical="top" wrapText="1"/>
    </xf>
    <xf numFmtId="177" fontId="139" fillId="0" borderId="0" xfId="2" applyNumberFormat="1" applyAlignment="1">
      <alignment horizontal="center"/>
    </xf>
    <xf numFmtId="177" fontId="65" fillId="0" borderId="0" xfId="0" applyNumberFormat="1" applyFont="1" applyAlignment="1">
      <alignment horizontal="center"/>
    </xf>
    <xf numFmtId="168" fontId="139" fillId="0" borderId="0" xfId="2" applyAlignment="1">
      <alignment horizontal="center"/>
    </xf>
    <xf numFmtId="170" fontId="29" fillId="0" borderId="0" xfId="0" applyNumberFormat="1" applyFont="1" applyAlignment="1">
      <alignment horizontal="center"/>
    </xf>
    <xf numFmtId="165" fontId="30" fillId="0" borderId="21" xfId="4" applyNumberFormat="1" applyFont="1" applyBorder="1" applyAlignment="1">
      <alignment vertical="top" wrapText="1"/>
    </xf>
    <xf numFmtId="165" fontId="30" fillId="0" borderId="26" xfId="4" applyNumberFormat="1" applyFont="1" applyBorder="1" applyAlignment="1">
      <alignment vertical="top" wrapText="1"/>
    </xf>
    <xf numFmtId="165" fontId="66" fillId="0" borderId="23" xfId="4" applyNumberFormat="1" applyFont="1" applyBorder="1" applyAlignment="1">
      <alignment vertical="top"/>
    </xf>
    <xf numFmtId="165" fontId="30" fillId="0" borderId="1" xfId="4" applyNumberFormat="1" applyFont="1" applyBorder="1"/>
    <xf numFmtId="165" fontId="29" fillId="0" borderId="23" xfId="0" applyNumberFormat="1" applyFont="1" applyBorder="1"/>
    <xf numFmtId="0" fontId="30" fillId="13" borderId="0" xfId="0" applyFont="1" applyFill="1" applyAlignment="1">
      <alignment horizontal="center"/>
    </xf>
    <xf numFmtId="49" fontId="30" fillId="15" borderId="67" xfId="0" applyNumberFormat="1" applyFont="1" applyFill="1" applyBorder="1" applyAlignment="1">
      <alignment vertical="center"/>
    </xf>
    <xf numFmtId="49" fontId="29" fillId="0" borderId="63" xfId="0" applyNumberFormat="1" applyFont="1" applyBorder="1" applyAlignment="1">
      <alignment horizontal="center"/>
    </xf>
    <xf numFmtId="49" fontId="29" fillId="0" borderId="7" xfId="0" applyNumberFormat="1" applyFont="1" applyBorder="1"/>
    <xf numFmtId="49" fontId="29" fillId="0" borderId="6" xfId="0" applyNumberFormat="1" applyFont="1" applyBorder="1" applyAlignment="1">
      <alignment horizontal="center"/>
    </xf>
    <xf numFmtId="0" fontId="29" fillId="0" borderId="8" xfId="0" applyFont="1" applyBorder="1"/>
    <xf numFmtId="49" fontId="30" fillId="18" borderId="67" xfId="0" applyNumberFormat="1" applyFont="1" applyFill="1" applyBorder="1" applyAlignment="1">
      <alignment horizontal="center"/>
    </xf>
    <xf numFmtId="0" fontId="35" fillId="0" borderId="17" xfId="0" applyFont="1" applyBorder="1"/>
    <xf numFmtId="49" fontId="29" fillId="19" borderId="26" xfId="0" applyNumberFormat="1" applyFont="1" applyFill="1" applyBorder="1" applyAlignment="1">
      <alignment horizontal="center"/>
    </xf>
    <xf numFmtId="0" fontId="30" fillId="19" borderId="30" xfId="0" applyFont="1" applyFill="1" applyBorder="1"/>
    <xf numFmtId="0" fontId="29" fillId="19" borderId="30" xfId="0" applyFont="1" applyFill="1" applyBorder="1"/>
    <xf numFmtId="49" fontId="29" fillId="20" borderId="16" xfId="0" applyNumberFormat="1" applyFont="1" applyFill="1" applyBorder="1" applyAlignment="1">
      <alignment horizontal="center"/>
    </xf>
    <xf numFmtId="0" fontId="30" fillId="20" borderId="17" xfId="0" applyFont="1" applyFill="1" applyBorder="1"/>
    <xf numFmtId="0" fontId="29" fillId="20" borderId="17" xfId="0" applyFont="1" applyFill="1" applyBorder="1"/>
    <xf numFmtId="49" fontId="30" fillId="0" borderId="23" xfId="0" applyNumberFormat="1" applyFont="1" applyBorder="1" applyAlignment="1">
      <alignment horizontal="center"/>
    </xf>
    <xf numFmtId="0" fontId="30" fillId="0" borderId="69" xfId="0" applyFont="1" applyBorder="1"/>
    <xf numFmtId="49" fontId="29" fillId="0" borderId="29" xfId="0" applyNumberFormat="1" applyFont="1" applyBorder="1" applyAlignment="1">
      <alignment horizontal="center"/>
    </xf>
    <xf numFmtId="49" fontId="29" fillId="0" borderId="28" xfId="0" applyNumberFormat="1" applyFont="1" applyBorder="1" applyAlignment="1">
      <alignment horizontal="center"/>
    </xf>
    <xf numFmtId="49" fontId="29" fillId="0" borderId="86" xfId="0" applyNumberFormat="1" applyFont="1" applyBorder="1" applyAlignment="1">
      <alignment horizontal="center"/>
    </xf>
    <xf numFmtId="49" fontId="29" fillId="0" borderId="27" xfId="0" applyNumberFormat="1" applyFont="1" applyBorder="1" applyAlignment="1">
      <alignment horizontal="center"/>
    </xf>
    <xf numFmtId="49" fontId="66" fillId="0" borderId="27" xfId="0" applyNumberFormat="1" applyFont="1" applyBorder="1"/>
    <xf numFmtId="49" fontId="57" fillId="0" borderId="26" xfId="0" applyNumberFormat="1" applyFont="1" applyBorder="1" applyAlignment="1">
      <alignment horizontal="center"/>
    </xf>
    <xf numFmtId="0" fontId="66" fillId="0" borderId="30" xfId="0" applyFont="1" applyBorder="1"/>
    <xf numFmtId="165" fontId="30" fillId="0" borderId="75" xfId="4" applyNumberFormat="1" applyFont="1" applyBorder="1"/>
    <xf numFmtId="165" fontId="29" fillId="0" borderId="87" xfId="4" applyNumberFormat="1" applyFont="1" applyBorder="1"/>
    <xf numFmtId="170" fontId="38" fillId="15" borderId="49" xfId="4" applyNumberFormat="1" applyFont="1" applyFill="1" applyBorder="1" applyAlignment="1">
      <alignment vertical="center" wrapText="1"/>
    </xf>
    <xf numFmtId="170" fontId="30" fillId="15" borderId="49" xfId="4" applyNumberFormat="1" applyFont="1" applyFill="1" applyBorder="1" applyAlignment="1">
      <alignment vertical="center" wrapText="1"/>
    </xf>
    <xf numFmtId="165" fontId="29" fillId="15" borderId="73" xfId="4" applyNumberFormat="1" applyFont="1" applyFill="1" applyBorder="1" applyAlignment="1">
      <alignment vertical="center" wrapText="1"/>
    </xf>
    <xf numFmtId="170" fontId="30" fillId="4" borderId="74" xfId="4" applyNumberFormat="1" applyFont="1" applyFill="1" applyBorder="1"/>
    <xf numFmtId="165" fontId="29" fillId="0" borderId="88" xfId="4" applyNumberFormat="1" applyFont="1" applyBorder="1"/>
    <xf numFmtId="170" fontId="29" fillId="4" borderId="6" xfId="4" applyNumberFormat="1" applyFont="1" applyFill="1" applyBorder="1"/>
    <xf numFmtId="170" fontId="67" fillId="0" borderId="28" xfId="0" applyNumberFormat="1" applyFont="1" applyBorder="1"/>
    <xf numFmtId="170" fontId="67" fillId="4" borderId="28" xfId="0" applyNumberFormat="1" applyFont="1" applyFill="1" applyBorder="1"/>
    <xf numFmtId="170" fontId="67" fillId="0" borderId="28" xfId="4" applyNumberFormat="1" applyFont="1" applyBorder="1"/>
    <xf numFmtId="170" fontId="29" fillId="0" borderId="21" xfId="4" applyNumberFormat="1" applyFont="1" applyBorder="1"/>
    <xf numFmtId="165" fontId="29" fillId="0" borderId="63" xfId="4" applyNumberFormat="1" applyFont="1" applyBorder="1"/>
    <xf numFmtId="165" fontId="29" fillId="0" borderId="7" xfId="0" applyNumberFormat="1" applyFont="1" applyBorder="1"/>
    <xf numFmtId="165" fontId="67" fillId="0" borderId="29" xfId="0" applyNumberFormat="1" applyFont="1" applyBorder="1"/>
    <xf numFmtId="170" fontId="30" fillId="21" borderId="28" xfId="4" applyNumberFormat="1" applyFont="1" applyFill="1" applyBorder="1"/>
    <xf numFmtId="165" fontId="29" fillId="0" borderId="24" xfId="3" applyNumberFormat="1" applyFont="1" applyBorder="1"/>
    <xf numFmtId="170" fontId="38" fillId="0" borderId="74" xfId="3" applyNumberFormat="1" applyFont="1" applyBorder="1"/>
    <xf numFmtId="170" fontId="30" fillId="0" borderId="74" xfId="3" applyNumberFormat="1" applyFont="1" applyBorder="1"/>
    <xf numFmtId="170" fontId="38" fillId="0" borderId="28" xfId="3" applyNumberFormat="1" applyFont="1" applyBorder="1"/>
    <xf numFmtId="170" fontId="30" fillId="0" borderId="28" xfId="3" applyNumberFormat="1" applyFont="1" applyBorder="1"/>
    <xf numFmtId="170" fontId="30" fillId="4" borderId="28" xfId="3" applyNumberFormat="1" applyFont="1" applyFill="1" applyBorder="1"/>
    <xf numFmtId="170" fontId="30" fillId="4" borderId="28" xfId="4" applyNumberFormat="1" applyFont="1" applyFill="1" applyBorder="1"/>
    <xf numFmtId="170" fontId="30" fillId="17" borderId="28" xfId="4" applyNumberFormat="1" applyFont="1" applyFill="1" applyBorder="1"/>
    <xf numFmtId="165" fontId="30" fillId="0" borderId="22" xfId="4" applyNumberFormat="1" applyFont="1" applyBorder="1"/>
    <xf numFmtId="170" fontId="39" fillId="19" borderId="16" xfId="0" applyNumberFormat="1" applyFont="1" applyFill="1" applyBorder="1"/>
    <xf numFmtId="170" fontId="29" fillId="19" borderId="16" xfId="0" applyNumberFormat="1" applyFont="1" applyFill="1" applyBorder="1"/>
    <xf numFmtId="170" fontId="68" fillId="19" borderId="16" xfId="0" applyNumberFormat="1" applyFont="1" applyFill="1" applyBorder="1"/>
    <xf numFmtId="165" fontId="29" fillId="19" borderId="24" xfId="0" applyNumberFormat="1" applyFont="1" applyFill="1" applyBorder="1"/>
    <xf numFmtId="170" fontId="39" fillId="20" borderId="16" xfId="0" applyNumberFormat="1" applyFont="1" applyFill="1" applyBorder="1"/>
    <xf numFmtId="170" fontId="29" fillId="20" borderId="16" xfId="0" applyNumberFormat="1" applyFont="1" applyFill="1" applyBorder="1"/>
    <xf numFmtId="165" fontId="29" fillId="20" borderId="24" xfId="0" applyNumberFormat="1" applyFont="1" applyFill="1" applyBorder="1"/>
    <xf numFmtId="170" fontId="29" fillId="4" borderId="6" xfId="3" applyNumberFormat="1" applyFont="1" applyFill="1" applyBorder="1"/>
    <xf numFmtId="170" fontId="68" fillId="0" borderId="16" xfId="3" applyNumberFormat="1" applyFont="1" applyBorder="1"/>
    <xf numFmtId="170" fontId="29" fillId="17" borderId="16" xfId="3" applyNumberFormat="1" applyFont="1" applyFill="1" applyBorder="1"/>
    <xf numFmtId="0" fontId="29" fillId="11" borderId="50" xfId="0" applyFont="1" applyFill="1" applyBorder="1"/>
    <xf numFmtId="170" fontId="38" fillId="0" borderId="21" xfId="4" applyNumberFormat="1" applyFont="1" applyBorder="1"/>
    <xf numFmtId="170" fontId="30" fillId="0" borderId="21" xfId="4" applyNumberFormat="1" applyFont="1" applyBorder="1"/>
    <xf numFmtId="170" fontId="29" fillId="17" borderId="21" xfId="4" applyNumberFormat="1" applyFont="1" applyFill="1" applyBorder="1"/>
    <xf numFmtId="170" fontId="30" fillId="4" borderId="21" xfId="4" applyNumberFormat="1" applyFont="1" applyFill="1" applyBorder="1"/>
    <xf numFmtId="170" fontId="38" fillId="0" borderId="23" xfId="4" applyNumberFormat="1" applyFont="1" applyBorder="1"/>
    <xf numFmtId="170" fontId="30" fillId="0" borderId="23" xfId="4" applyNumberFormat="1" applyFont="1" applyBorder="1"/>
    <xf numFmtId="170" fontId="29" fillId="17" borderId="26" xfId="4" applyNumberFormat="1" applyFont="1" applyFill="1" applyBorder="1"/>
    <xf numFmtId="170" fontId="39" fillId="0" borderId="28" xfId="4" applyNumberFormat="1" applyFont="1" applyBorder="1"/>
    <xf numFmtId="170" fontId="39" fillId="0" borderId="13" xfId="0" applyNumberFormat="1" applyFont="1" applyBorder="1"/>
    <xf numFmtId="170" fontId="69" fillId="0" borderId="26" xfId="4" applyNumberFormat="1" applyFont="1" applyBorder="1"/>
    <xf numFmtId="170" fontId="57" fillId="0" borderId="26" xfId="4" applyNumberFormat="1" applyFont="1" applyBorder="1"/>
    <xf numFmtId="165" fontId="57" fillId="0" borderId="27" xfId="4" applyNumberFormat="1" applyFont="1" applyBorder="1"/>
    <xf numFmtId="165" fontId="29" fillId="0" borderId="83" xfId="4" applyNumberFormat="1" applyFont="1" applyBorder="1"/>
    <xf numFmtId="165" fontId="39" fillId="0" borderId="16" xfId="0" applyNumberFormat="1" applyFont="1" applyBorder="1"/>
    <xf numFmtId="165" fontId="30" fillId="15" borderId="49" xfId="4" applyNumberFormat="1" applyFont="1" applyFill="1" applyBorder="1" applyAlignment="1">
      <alignment vertical="center" wrapText="1"/>
    </xf>
    <xf numFmtId="165" fontId="29" fillId="0" borderId="21" xfId="0" applyNumberFormat="1" applyFont="1" applyBorder="1" applyAlignment="1">
      <alignment wrapText="1"/>
    </xf>
    <xf numFmtId="165" fontId="70" fillId="0" borderId="0" xfId="1" applyFont="1" applyAlignment="1">
      <alignment horizontal="center"/>
    </xf>
    <xf numFmtId="165" fontId="29" fillId="0" borderId="28" xfId="0" applyNumberFormat="1" applyFont="1" applyBorder="1" applyAlignment="1">
      <alignment wrapText="1"/>
    </xf>
    <xf numFmtId="165" fontId="29" fillId="0" borderId="6" xfId="0" applyNumberFormat="1" applyFont="1" applyBorder="1" applyAlignment="1">
      <alignment wrapText="1"/>
    </xf>
    <xf numFmtId="0" fontId="29" fillId="11" borderId="0" xfId="0" applyFont="1" applyFill="1" applyAlignment="1">
      <alignment horizontal="center"/>
    </xf>
    <xf numFmtId="165" fontId="30" fillId="0" borderId="74" xfId="3" applyNumberFormat="1" applyFont="1" applyBorder="1"/>
    <xf numFmtId="165" fontId="30" fillId="0" borderId="28" xfId="3" applyNumberFormat="1" applyFont="1" applyBorder="1"/>
    <xf numFmtId="165" fontId="29" fillId="0" borderId="28" xfId="4" applyNumberFormat="1" applyFont="1" applyBorder="1"/>
    <xf numFmtId="168" fontId="29" fillId="0" borderId="0" xfId="0" applyNumberFormat="1" applyFont="1"/>
    <xf numFmtId="165" fontId="29" fillId="0" borderId="10" xfId="0" applyNumberFormat="1" applyFont="1" applyBorder="1"/>
    <xf numFmtId="165" fontId="29" fillId="19" borderId="16" xfId="0" applyNumberFormat="1" applyFont="1" applyFill="1" applyBorder="1"/>
    <xf numFmtId="165" fontId="29" fillId="20" borderId="16" xfId="0" applyNumberFormat="1" applyFont="1" applyFill="1" applyBorder="1"/>
    <xf numFmtId="165" fontId="29" fillId="0" borderId="6" xfId="3" applyNumberFormat="1" applyFont="1" applyBorder="1"/>
    <xf numFmtId="165" fontId="30" fillId="0" borderId="21" xfId="4" applyNumberFormat="1" applyFont="1" applyBorder="1"/>
    <xf numFmtId="165" fontId="30" fillId="0" borderId="23" xfId="4" applyNumberFormat="1" applyFont="1" applyBorder="1"/>
    <xf numFmtId="173" fontId="29" fillId="0" borderId="16" xfId="4" applyFont="1" applyBorder="1"/>
    <xf numFmtId="165" fontId="30" fillId="0" borderId="16" xfId="0" applyNumberFormat="1" applyFont="1" applyBorder="1"/>
    <xf numFmtId="165" fontId="29" fillId="0" borderId="26" xfId="4" applyNumberFormat="1" applyFont="1" applyBorder="1" applyAlignment="1">
      <alignment horizontal="right"/>
    </xf>
    <xf numFmtId="0" fontId="35" fillId="11" borderId="50" xfId="0" applyFont="1" applyFill="1" applyBorder="1"/>
    <xf numFmtId="49" fontId="30" fillId="0" borderId="22" xfId="0" applyNumberFormat="1" applyFont="1" applyBorder="1"/>
    <xf numFmtId="49" fontId="29" fillId="0" borderId="10" xfId="0" applyNumberFormat="1" applyFont="1" applyBorder="1" applyAlignment="1">
      <alignment horizontal="center"/>
    </xf>
    <xf numFmtId="0" fontId="29" fillId="0" borderId="19" xfId="0" applyFont="1" applyBorder="1"/>
    <xf numFmtId="49" fontId="30" fillId="0" borderId="29" xfId="0" applyNumberFormat="1" applyFont="1" applyBorder="1"/>
    <xf numFmtId="49" fontId="30" fillId="0" borderId="10" xfId="0" applyNumberFormat="1" applyFont="1" applyBorder="1" applyAlignment="1">
      <alignment horizontal="center"/>
    </xf>
    <xf numFmtId="0" fontId="30" fillId="0" borderId="19" xfId="0" applyFont="1" applyBorder="1"/>
    <xf numFmtId="170" fontId="29" fillId="4" borderId="16" xfId="4" applyNumberFormat="1" applyFont="1" applyFill="1" applyBorder="1"/>
    <xf numFmtId="170" fontId="29" fillId="14" borderId="28" xfId="0" applyNumberFormat="1" applyFont="1" applyFill="1" applyBorder="1"/>
    <xf numFmtId="170" fontId="29" fillId="4" borderId="6" xfId="4" applyNumberFormat="1" applyFont="1" applyFill="1" applyBorder="1" applyAlignment="1">
      <alignment horizontal="right"/>
    </xf>
    <xf numFmtId="170" fontId="29" fillId="0" borderId="6" xfId="4" applyNumberFormat="1" applyFont="1" applyBorder="1" applyAlignment="1">
      <alignment horizontal="right"/>
    </xf>
    <xf numFmtId="170" fontId="29" fillId="17" borderId="6" xfId="4" applyNumberFormat="1" applyFont="1" applyFill="1" applyBorder="1"/>
    <xf numFmtId="170" fontId="39" fillId="0" borderId="1" xfId="4" applyNumberFormat="1" applyFont="1" applyBorder="1"/>
    <xf numFmtId="170" fontId="29" fillId="0" borderId="1" xfId="4" applyNumberFormat="1" applyFont="1" applyBorder="1"/>
    <xf numFmtId="170" fontId="29" fillId="4" borderId="1" xfId="4" applyNumberFormat="1" applyFont="1" applyFill="1" applyBorder="1"/>
    <xf numFmtId="170" fontId="29" fillId="14" borderId="16" xfId="0" applyNumberFormat="1" applyFont="1" applyFill="1" applyBorder="1" applyAlignment="1">
      <alignment horizontal="right"/>
    </xf>
    <xf numFmtId="170" fontId="29" fillId="4" borderId="16" xfId="0" applyNumberFormat="1" applyFont="1" applyFill="1" applyBorder="1" applyAlignment="1">
      <alignment horizontal="right"/>
    </xf>
    <xf numFmtId="170" fontId="29" fillId="4" borderId="10" xfId="0" applyNumberFormat="1" applyFont="1" applyFill="1" applyBorder="1"/>
    <xf numFmtId="165" fontId="29" fillId="0" borderId="22" xfId="0" applyNumberFormat="1" applyFont="1" applyBorder="1"/>
    <xf numFmtId="170" fontId="29" fillId="14" borderId="78" xfId="0" applyNumberFormat="1" applyFont="1" applyFill="1" applyBorder="1"/>
    <xf numFmtId="170" fontId="29" fillId="4" borderId="78" xfId="0" applyNumberFormat="1" applyFont="1" applyFill="1" applyBorder="1"/>
    <xf numFmtId="170" fontId="29" fillId="17" borderId="78" xfId="0" applyNumberFormat="1" applyFont="1" applyFill="1" applyBorder="1"/>
    <xf numFmtId="170" fontId="30" fillId="4" borderId="6" xfId="0" applyNumberFormat="1" applyFont="1" applyFill="1" applyBorder="1"/>
    <xf numFmtId="170" fontId="30" fillId="0" borderId="6" xfId="0" applyNumberFormat="1" applyFont="1" applyBorder="1"/>
    <xf numFmtId="170" fontId="29" fillId="0" borderId="13" xfId="4" applyNumberFormat="1" applyFont="1" applyBorder="1"/>
    <xf numFmtId="170" fontId="38" fillId="0" borderId="6" xfId="3" applyNumberFormat="1" applyFont="1" applyBorder="1"/>
    <xf numFmtId="170" fontId="39" fillId="0" borderId="21" xfId="3" applyNumberFormat="1" applyFont="1" applyBorder="1"/>
    <xf numFmtId="170" fontId="39" fillId="0" borderId="10" xfId="3" applyNumberFormat="1" applyFont="1" applyBorder="1"/>
    <xf numFmtId="170" fontId="29" fillId="0" borderId="10" xfId="3" applyNumberFormat="1" applyFont="1" applyBorder="1"/>
    <xf numFmtId="170" fontId="29" fillId="4" borderId="10" xfId="3" applyNumberFormat="1" applyFont="1" applyFill="1" applyBorder="1"/>
    <xf numFmtId="165" fontId="29" fillId="0" borderId="22" xfId="3" applyNumberFormat="1" applyFont="1" applyBorder="1"/>
    <xf numFmtId="170" fontId="30" fillId="4" borderId="16" xfId="3" applyNumberFormat="1" applyFont="1" applyFill="1" applyBorder="1"/>
    <xf numFmtId="170" fontId="38" fillId="0" borderId="10" xfId="3" applyNumberFormat="1" applyFont="1" applyBorder="1"/>
    <xf numFmtId="170" fontId="30" fillId="0" borderId="10" xfId="3" applyNumberFormat="1" applyFont="1" applyBorder="1"/>
    <xf numFmtId="170" fontId="30" fillId="4" borderId="10" xfId="3" applyNumberFormat="1" applyFont="1" applyFill="1" applyBorder="1"/>
    <xf numFmtId="170" fontId="39" fillId="0" borderId="13" xfId="3" applyNumberFormat="1" applyFont="1" applyBorder="1"/>
    <xf numFmtId="170" fontId="29" fillId="4" borderId="13" xfId="3" applyNumberFormat="1" applyFont="1" applyFill="1" applyBorder="1"/>
    <xf numFmtId="165" fontId="29" fillId="0" borderId="82" xfId="4" applyNumberFormat="1" applyFont="1" applyBorder="1"/>
    <xf numFmtId="170" fontId="29" fillId="0" borderId="21" xfId="3" applyNumberFormat="1" applyFont="1" applyBorder="1"/>
    <xf numFmtId="170" fontId="29" fillId="4" borderId="21" xfId="3" applyNumberFormat="1" applyFont="1" applyFill="1" applyBorder="1"/>
    <xf numFmtId="170" fontId="30" fillId="0" borderId="23" xfId="0" applyNumberFormat="1" applyFont="1" applyBorder="1"/>
    <xf numFmtId="165" fontId="29" fillId="0" borderId="6" xfId="4" applyNumberFormat="1" applyFont="1" applyBorder="1"/>
    <xf numFmtId="165" fontId="53" fillId="0" borderId="16" xfId="0" applyNumberFormat="1" applyFont="1" applyBorder="1"/>
    <xf numFmtId="165" fontId="30" fillId="0" borderId="6" xfId="0" applyNumberFormat="1" applyFont="1" applyBorder="1"/>
    <xf numFmtId="165" fontId="29" fillId="0" borderId="16" xfId="0" applyNumberFormat="1" applyFont="1" applyBorder="1" applyAlignment="1">
      <alignment horizontal="right"/>
    </xf>
    <xf numFmtId="165" fontId="29" fillId="0" borderId="10" xfId="3" applyNumberFormat="1" applyFont="1" applyBorder="1"/>
    <xf numFmtId="165" fontId="30" fillId="0" borderId="16" xfId="3" applyNumberFormat="1" applyFont="1" applyBorder="1"/>
    <xf numFmtId="165" fontId="30" fillId="0" borderId="10" xfId="3" applyNumberFormat="1" applyFont="1" applyBorder="1"/>
    <xf numFmtId="165" fontId="29" fillId="0" borderId="13" xfId="3" applyNumberFormat="1" applyFont="1" applyBorder="1"/>
    <xf numFmtId="49" fontId="31" fillId="0" borderId="68" xfId="0" applyNumberFormat="1" applyFont="1" applyBorder="1"/>
    <xf numFmtId="49" fontId="56" fillId="0" borderId="23" xfId="0" applyNumberFormat="1" applyFont="1" applyBorder="1" applyAlignment="1">
      <alignment horizontal="center"/>
    </xf>
    <xf numFmtId="0" fontId="56" fillId="0" borderId="69" xfId="0" applyFont="1" applyBorder="1"/>
    <xf numFmtId="49" fontId="30" fillId="0" borderId="16" xfId="0" applyNumberFormat="1" applyFont="1" applyBorder="1"/>
    <xf numFmtId="49" fontId="30" fillId="0" borderId="27" xfId="0" applyNumberFormat="1" applyFont="1" applyBorder="1" applyAlignment="1">
      <alignment horizontal="center"/>
    </xf>
    <xf numFmtId="49" fontId="30" fillId="0" borderId="26" xfId="0" applyNumberFormat="1" applyFont="1" applyBorder="1" applyAlignment="1">
      <alignment horizontal="center"/>
    </xf>
    <xf numFmtId="170" fontId="39" fillId="0" borderId="26" xfId="3" applyNumberFormat="1" applyFont="1" applyBorder="1"/>
    <xf numFmtId="170" fontId="29" fillId="0" borderId="26" xfId="3" applyNumberFormat="1" applyFont="1" applyBorder="1"/>
    <xf numFmtId="170" fontId="29" fillId="4" borderId="26" xfId="3" applyNumberFormat="1" applyFont="1" applyFill="1" applyBorder="1"/>
    <xf numFmtId="170" fontId="29" fillId="0" borderId="78" xfId="3" applyNumberFormat="1" applyFont="1" applyBorder="1"/>
    <xf numFmtId="165" fontId="29" fillId="0" borderId="79" xfId="3" applyNumberFormat="1" applyFont="1" applyBorder="1"/>
    <xf numFmtId="165" fontId="29" fillId="0" borderId="90" xfId="0" applyNumberFormat="1" applyFont="1" applyBorder="1"/>
    <xf numFmtId="165" fontId="29" fillId="0" borderId="63" xfId="3" applyNumberFormat="1" applyFont="1" applyBorder="1"/>
    <xf numFmtId="175" fontId="29" fillId="4" borderId="16" xfId="0" applyNumberFormat="1" applyFont="1" applyFill="1" applyBorder="1"/>
    <xf numFmtId="170" fontId="71" fillId="0" borderId="78" xfId="3" applyNumberFormat="1" applyFont="1" applyBorder="1"/>
    <xf numFmtId="170" fontId="56" fillId="0" borderId="78" xfId="3" applyNumberFormat="1" applyFont="1" applyBorder="1"/>
    <xf numFmtId="170" fontId="56" fillId="4" borderId="78" xfId="3" applyNumberFormat="1" applyFont="1" applyFill="1" applyBorder="1"/>
    <xf numFmtId="170" fontId="56" fillId="0" borderId="23" xfId="0" applyNumberFormat="1" applyFont="1" applyBorder="1"/>
    <xf numFmtId="165" fontId="56" fillId="0" borderId="68" xfId="0" applyNumberFormat="1" applyFont="1" applyBorder="1"/>
    <xf numFmtId="170" fontId="29" fillId="4" borderId="28" xfId="4" applyNumberFormat="1" applyFont="1" applyFill="1" applyBorder="1"/>
    <xf numFmtId="170" fontId="29" fillId="14" borderId="26" xfId="3" applyNumberFormat="1" applyFont="1" applyFill="1" applyBorder="1"/>
    <xf numFmtId="170" fontId="38" fillId="0" borderId="91" xfId="3" applyNumberFormat="1" applyFont="1" applyBorder="1"/>
    <xf numFmtId="170" fontId="30" fillId="0" borderId="91" xfId="3" applyNumberFormat="1" applyFont="1" applyBorder="1"/>
    <xf numFmtId="170" fontId="29" fillId="14" borderId="28" xfId="3" applyNumberFormat="1" applyFont="1" applyFill="1" applyBorder="1"/>
    <xf numFmtId="173" fontId="39" fillId="0" borderId="16" xfId="3" applyNumberFormat="1" applyFont="1" applyBorder="1"/>
    <xf numFmtId="173" fontId="29" fillId="0" borderId="16" xfId="3" applyNumberFormat="1" applyFont="1" applyBorder="1"/>
    <xf numFmtId="165" fontId="29" fillId="4" borderId="16" xfId="3" applyNumberFormat="1" applyFont="1" applyFill="1" applyBorder="1"/>
    <xf numFmtId="173" fontId="39" fillId="0" borderId="28" xfId="3" applyNumberFormat="1" applyFont="1" applyBorder="1"/>
    <xf numFmtId="173" fontId="29" fillId="0" borderId="28" xfId="3" applyNumberFormat="1" applyFont="1" applyBorder="1"/>
    <xf numFmtId="165" fontId="29" fillId="4" borderId="28" xfId="3" applyNumberFormat="1" applyFont="1" applyFill="1" applyBorder="1"/>
    <xf numFmtId="165" fontId="29" fillId="0" borderId="26" xfId="3" applyNumberFormat="1" applyFont="1" applyBorder="1"/>
    <xf numFmtId="165" fontId="29" fillId="0" borderId="78" xfId="3" applyNumberFormat="1" applyFont="1" applyBorder="1"/>
    <xf numFmtId="165" fontId="56" fillId="0" borderId="78" xfId="3" applyNumberFormat="1" applyFont="1" applyBorder="1"/>
    <xf numFmtId="0" fontId="56" fillId="0" borderId="66" xfId="0" applyFont="1" applyBorder="1" applyAlignment="1">
      <alignment horizontal="center"/>
    </xf>
    <xf numFmtId="43" fontId="57" fillId="11" borderId="0" xfId="0" applyNumberFormat="1" applyFont="1" applyFill="1" applyAlignment="1">
      <alignment horizontal="center"/>
    </xf>
    <xf numFmtId="43" fontId="57" fillId="11" borderId="0" xfId="0" applyNumberFormat="1" applyFont="1" applyFill="1"/>
    <xf numFmtId="0" fontId="57" fillId="0" borderId="0" xfId="0" applyFont="1" applyAlignment="1">
      <alignment horizontal="center"/>
    </xf>
    <xf numFmtId="165" fontId="29" fillId="0" borderId="28" xfId="0" applyNumberFormat="1" applyFont="1" applyBorder="1" applyAlignment="1">
      <alignment horizontal="center"/>
    </xf>
    <xf numFmtId="49" fontId="30" fillId="0" borderId="47" xfId="0" applyNumberFormat="1" applyFont="1" applyBorder="1"/>
    <xf numFmtId="49" fontId="29" fillId="0" borderId="46" xfId="0" applyNumberFormat="1" applyFont="1" applyBorder="1" applyAlignment="1">
      <alignment horizontal="center"/>
    </xf>
    <xf numFmtId="0" fontId="29" fillId="0" borderId="47" xfId="0" applyFont="1" applyBorder="1"/>
    <xf numFmtId="49" fontId="30" fillId="18" borderId="49" xfId="0" applyNumberFormat="1" applyFont="1" applyFill="1" applyBorder="1" applyAlignment="1">
      <alignment horizontal="center"/>
    </xf>
    <xf numFmtId="0" fontId="30" fillId="18" borderId="50" xfId="0" applyFont="1" applyFill="1" applyBorder="1"/>
    <xf numFmtId="49" fontId="30" fillId="0" borderId="79" xfId="0" applyNumberFormat="1" applyFont="1" applyBorder="1"/>
    <xf numFmtId="170" fontId="38" fillId="0" borderId="6" xfId="0" applyNumberFormat="1" applyFont="1" applyBorder="1"/>
    <xf numFmtId="0" fontId="72" fillId="0" borderId="17" xfId="0" applyFont="1" applyBorder="1" applyAlignment="1">
      <alignment horizontal="left" wrapText="1"/>
    </xf>
    <xf numFmtId="170" fontId="39" fillId="22" borderId="16" xfId="0" applyNumberFormat="1" applyFont="1" applyFill="1" applyBorder="1"/>
    <xf numFmtId="0" fontId="19" fillId="4" borderId="34" xfId="0" applyFont="1" applyFill="1" applyBorder="1"/>
    <xf numFmtId="170" fontId="39" fillId="0" borderId="46" xfId="0" applyNumberFormat="1" applyFont="1" applyBorder="1"/>
    <xf numFmtId="170" fontId="29" fillId="0" borderId="46" xfId="0" applyNumberFormat="1" applyFont="1" applyBorder="1"/>
    <xf numFmtId="170" fontId="29" fillId="4" borderId="46" xfId="0" applyNumberFormat="1" applyFont="1" applyFill="1" applyBorder="1"/>
    <xf numFmtId="170" fontId="38" fillId="18" borderId="49" xfId="4" applyNumberFormat="1" applyFont="1" applyFill="1" applyBorder="1"/>
    <xf numFmtId="170" fontId="30" fillId="18" borderId="49" xfId="4" applyNumberFormat="1" applyFont="1" applyFill="1" applyBorder="1"/>
    <xf numFmtId="170" fontId="30" fillId="23" borderId="49" xfId="4" applyNumberFormat="1" applyFont="1" applyFill="1" applyBorder="1"/>
    <xf numFmtId="165" fontId="29" fillId="18" borderId="73" xfId="4" applyNumberFormat="1" applyFont="1" applyFill="1" applyBorder="1"/>
    <xf numFmtId="170" fontId="38" fillId="0" borderId="13" xfId="4" applyNumberFormat="1" applyFont="1" applyBorder="1"/>
    <xf numFmtId="170" fontId="30" fillId="0" borderId="13" xfId="4" applyNumberFormat="1" applyFont="1" applyBorder="1"/>
    <xf numFmtId="170" fontId="38" fillId="0" borderId="91" xfId="4" applyNumberFormat="1" applyFont="1" applyBorder="1"/>
    <xf numFmtId="170" fontId="30" fillId="0" borderId="91" xfId="4" applyNumberFormat="1" applyFont="1" applyBorder="1"/>
    <xf numFmtId="165" fontId="29" fillId="0" borderId="92" xfId="4" applyNumberFormat="1" applyFont="1" applyBorder="1"/>
    <xf numFmtId="170" fontId="29" fillId="14" borderId="16" xfId="4" applyNumberFormat="1" applyFont="1" applyFill="1" applyBorder="1"/>
    <xf numFmtId="170" fontId="39" fillId="0" borderId="10" xfId="4" applyNumberFormat="1" applyFont="1" applyBorder="1"/>
    <xf numFmtId="170" fontId="29" fillId="4" borderId="10" xfId="4" applyNumberFormat="1" applyFont="1" applyFill="1" applyBorder="1"/>
    <xf numFmtId="165" fontId="29" fillId="0" borderId="75" xfId="0" applyNumberFormat="1" applyFont="1" applyBorder="1"/>
    <xf numFmtId="170" fontId="30" fillId="4" borderId="10" xfId="0" applyNumberFormat="1" applyFont="1" applyFill="1" applyBorder="1"/>
    <xf numFmtId="170" fontId="38" fillId="0" borderId="13" xfId="0" applyNumberFormat="1" applyFont="1" applyBorder="1"/>
    <xf numFmtId="170" fontId="30" fillId="0" borderId="13" xfId="0" applyNumberFormat="1" applyFont="1" applyBorder="1"/>
    <xf numFmtId="170" fontId="30" fillId="4" borderId="13" xfId="0" applyNumberFormat="1" applyFont="1" applyFill="1" applyBorder="1"/>
    <xf numFmtId="170" fontId="30" fillId="17" borderId="13" xfId="0" applyNumberFormat="1" applyFont="1" applyFill="1" applyBorder="1"/>
    <xf numFmtId="170" fontId="29" fillId="24" borderId="16" xfId="0" applyNumberFormat="1" applyFont="1" applyFill="1" applyBorder="1"/>
    <xf numFmtId="0" fontId="31" fillId="0" borderId="17" xfId="0" applyFont="1" applyBorder="1" applyAlignment="1">
      <alignment horizontal="left" wrapText="1"/>
    </xf>
    <xf numFmtId="170" fontId="42" fillId="0" borderId="28" xfId="3" applyNumberFormat="1" applyFont="1" applyBorder="1"/>
    <xf numFmtId="170" fontId="42" fillId="4" borderId="28" xfId="3" applyNumberFormat="1" applyFont="1" applyFill="1" applyBorder="1"/>
    <xf numFmtId="170" fontId="42" fillId="0" borderId="28" xfId="4" applyNumberFormat="1" applyFont="1" applyBorder="1"/>
    <xf numFmtId="165" fontId="42" fillId="0" borderId="29" xfId="4" applyNumberFormat="1" applyFont="1" applyBorder="1"/>
    <xf numFmtId="170" fontId="30" fillId="17" borderId="16" xfId="4" applyNumberFormat="1" applyFont="1" applyFill="1" applyBorder="1"/>
    <xf numFmtId="165" fontId="30" fillId="0" borderId="24" xfId="0" applyNumberFormat="1" applyFont="1" applyBorder="1"/>
    <xf numFmtId="170" fontId="29" fillId="21" borderId="16" xfId="3" applyNumberFormat="1" applyFont="1" applyFill="1" applyBorder="1"/>
    <xf numFmtId="165" fontId="29" fillId="0" borderId="46" xfId="0" applyNumberFormat="1" applyFont="1" applyBorder="1"/>
    <xf numFmtId="165" fontId="30" fillId="18" borderId="49" xfId="4" applyNumberFormat="1" applyFont="1" applyFill="1" applyBorder="1"/>
    <xf numFmtId="165" fontId="30" fillId="0" borderId="13" xfId="4" applyNumberFormat="1" applyFont="1" applyBorder="1"/>
    <xf numFmtId="165" fontId="30" fillId="0" borderId="91" xfId="4" applyNumberFormat="1" applyFont="1" applyBorder="1"/>
    <xf numFmtId="165" fontId="57" fillId="0" borderId="16" xfId="0" applyNumberFormat="1" applyFont="1" applyBorder="1"/>
    <xf numFmtId="165" fontId="29" fillId="0" borderId="10" xfId="4" applyNumberFormat="1" applyFont="1" applyBorder="1"/>
    <xf numFmtId="168" fontId="139" fillId="0" borderId="0" xfId="2"/>
    <xf numFmtId="165" fontId="29" fillId="0" borderId="13" xfId="0" applyNumberFormat="1" applyFont="1" applyBorder="1"/>
    <xf numFmtId="170" fontId="29" fillId="11" borderId="0" xfId="0" applyNumberFormat="1" applyFont="1" applyFill="1" applyAlignment="1">
      <alignment horizontal="center"/>
    </xf>
    <xf numFmtId="165" fontId="29" fillId="0" borderId="10" xfId="3" applyNumberFormat="1" applyFont="1" applyBorder="1" applyAlignment="1">
      <alignment horizontal="right"/>
    </xf>
    <xf numFmtId="165" fontId="35" fillId="4" borderId="28" xfId="1" applyFont="1" applyFill="1" applyBorder="1"/>
    <xf numFmtId="18" fontId="30" fillId="4" borderId="28" xfId="3" applyNumberFormat="1" applyFont="1" applyFill="1" applyBorder="1"/>
    <xf numFmtId="165" fontId="30" fillId="4" borderId="26" xfId="3" applyNumberFormat="1" applyFont="1" applyFill="1" applyBorder="1"/>
    <xf numFmtId="165" fontId="30" fillId="4" borderId="16" xfId="3" applyNumberFormat="1" applyFont="1" applyFill="1" applyBorder="1"/>
    <xf numFmtId="165" fontId="29" fillId="4" borderId="6" xfId="3" applyNumberFormat="1" applyFont="1" applyFill="1" applyBorder="1"/>
    <xf numFmtId="165" fontId="29" fillId="4" borderId="16" xfId="0" applyNumberFormat="1" applyFont="1" applyFill="1" applyBorder="1"/>
    <xf numFmtId="49" fontId="29" fillId="11" borderId="49" xfId="0" applyNumberFormat="1" applyFont="1" applyFill="1" applyBorder="1" applyAlignment="1">
      <alignment horizontal="center"/>
    </xf>
    <xf numFmtId="49" fontId="30" fillId="0" borderId="67" xfId="0" applyNumberFormat="1" applyFont="1" applyBorder="1" applyAlignment="1">
      <alignment horizontal="center"/>
    </xf>
    <xf numFmtId="49" fontId="30" fillId="15" borderId="49" xfId="0" applyNumberFormat="1" applyFont="1" applyFill="1" applyBorder="1" applyAlignment="1">
      <alignment horizontal="center"/>
    </xf>
    <xf numFmtId="49" fontId="29" fillId="15" borderId="49" xfId="0" applyNumberFormat="1" applyFont="1" applyFill="1" applyBorder="1" applyAlignment="1">
      <alignment horizontal="center"/>
    </xf>
    <xf numFmtId="0" fontId="51" fillId="15" borderId="50" xfId="0" applyFont="1" applyFill="1" applyBorder="1"/>
    <xf numFmtId="0" fontId="30" fillId="15" borderId="50" xfId="0" applyFont="1" applyFill="1" applyBorder="1"/>
    <xf numFmtId="0" fontId="73" fillId="0" borderId="69" xfId="0" applyFont="1" applyBorder="1"/>
    <xf numFmtId="49" fontId="30" fillId="0" borderId="67" xfId="0" applyNumberFormat="1" applyFont="1" applyBorder="1"/>
    <xf numFmtId="0" fontId="38" fillId="15" borderId="50" xfId="0" applyFont="1" applyFill="1" applyBorder="1"/>
    <xf numFmtId="49" fontId="30" fillId="0" borderId="68" xfId="0" applyNumberFormat="1" applyFont="1" applyBorder="1" applyAlignment="1">
      <alignment horizontal="center"/>
    </xf>
    <xf numFmtId="170" fontId="29" fillId="21" borderId="16" xfId="0" applyNumberFormat="1" applyFont="1" applyFill="1" applyBorder="1"/>
    <xf numFmtId="170" fontId="38" fillId="15" borderId="49" xfId="4" applyNumberFormat="1" applyFont="1" applyFill="1" applyBorder="1"/>
    <xf numFmtId="170" fontId="30" fillId="15" borderId="49" xfId="4" applyNumberFormat="1" applyFont="1" applyFill="1" applyBorder="1"/>
    <xf numFmtId="165" fontId="29" fillId="15" borderId="73" xfId="4" applyNumberFormat="1" applyFont="1" applyFill="1" applyBorder="1"/>
    <xf numFmtId="170" fontId="74" fillId="0" borderId="28" xfId="4" applyNumberFormat="1" applyFont="1" applyBorder="1"/>
    <xf numFmtId="170" fontId="67" fillId="4" borderId="28" xfId="4" applyNumberFormat="1" applyFont="1" applyFill="1" applyBorder="1"/>
    <xf numFmtId="170" fontId="67" fillId="17" borderId="28" xfId="4" applyNumberFormat="1" applyFont="1" applyFill="1" applyBorder="1"/>
    <xf numFmtId="170" fontId="67" fillId="0" borderId="13" xfId="0" applyNumberFormat="1" applyFont="1" applyBorder="1"/>
    <xf numFmtId="165" fontId="67" fillId="0" borderId="82" xfId="0" applyNumberFormat="1" applyFont="1" applyBorder="1"/>
    <xf numFmtId="170" fontId="29" fillId="0" borderId="84" xfId="3" applyNumberFormat="1" applyFont="1" applyBorder="1"/>
    <xf numFmtId="170" fontId="29" fillId="4" borderId="84" xfId="3" applyNumberFormat="1" applyFont="1" applyFill="1" applyBorder="1"/>
    <xf numFmtId="170" fontId="29" fillId="17" borderId="21" xfId="0" applyNumberFormat="1" applyFont="1" applyFill="1" applyBorder="1"/>
    <xf numFmtId="170" fontId="30" fillId="4" borderId="23" xfId="3" applyNumberFormat="1" applyFont="1" applyFill="1" applyBorder="1"/>
    <xf numFmtId="177" fontId="29" fillId="0" borderId="0" xfId="0" applyNumberFormat="1" applyFont="1"/>
    <xf numFmtId="165" fontId="30" fillId="15" borderId="49" xfId="4" applyNumberFormat="1" applyFont="1" applyFill="1" applyBorder="1"/>
    <xf numFmtId="165" fontId="57" fillId="0" borderId="0" xfId="0" applyNumberFormat="1" applyFont="1" applyAlignment="1">
      <alignment horizontal="center"/>
    </xf>
    <xf numFmtId="43" fontId="57" fillId="0" borderId="0" xfId="0" applyNumberFormat="1" applyFont="1"/>
    <xf numFmtId="165" fontId="29" fillId="0" borderId="84" xfId="3" applyNumberFormat="1" applyFont="1" applyBorder="1"/>
    <xf numFmtId="0" fontId="29" fillId="0" borderId="16" xfId="0" applyFont="1" applyBorder="1"/>
    <xf numFmtId="49" fontId="30" fillId="0" borderId="45" xfId="0" applyNumberFormat="1" applyFont="1" applyBorder="1" applyAlignment="1">
      <alignment horizontal="center"/>
    </xf>
    <xf numFmtId="0" fontId="75" fillId="0" borderId="17" xfId="0" applyFont="1" applyBorder="1" applyAlignment="1">
      <alignment vertical="center"/>
    </xf>
    <xf numFmtId="173" fontId="29" fillId="0" borderId="29" xfId="4" applyFont="1" applyBorder="1"/>
    <xf numFmtId="170" fontId="29" fillId="25" borderId="16" xfId="0" applyNumberFormat="1" applyFont="1" applyFill="1" applyBorder="1"/>
    <xf numFmtId="165" fontId="29" fillId="0" borderId="94" xfId="0" applyNumberFormat="1" applyFont="1" applyBorder="1"/>
    <xf numFmtId="170" fontId="67" fillId="0" borderId="16" xfId="0" applyNumberFormat="1" applyFont="1" applyBorder="1"/>
    <xf numFmtId="170" fontId="67" fillId="0" borderId="16" xfId="4" applyNumberFormat="1" applyFont="1" applyBorder="1"/>
    <xf numFmtId="165" fontId="42" fillId="0" borderId="24" xfId="4" applyNumberFormat="1" applyFont="1" applyBorder="1"/>
    <xf numFmtId="170" fontId="38" fillId="11" borderId="49" xfId="0" applyNumberFormat="1" applyFont="1" applyFill="1" applyBorder="1"/>
    <xf numFmtId="170" fontId="30" fillId="26" borderId="49" xfId="0" applyNumberFormat="1" applyFont="1" applyFill="1" applyBorder="1"/>
    <xf numFmtId="170" fontId="30" fillId="11" borderId="49" xfId="0" applyNumberFormat="1" applyFont="1" applyFill="1" applyBorder="1"/>
    <xf numFmtId="170" fontId="38" fillId="0" borderId="1" xfId="0" applyNumberFormat="1" applyFont="1" applyBorder="1"/>
    <xf numFmtId="170" fontId="30" fillId="0" borderId="1" xfId="0" applyNumberFormat="1" applyFont="1" applyBorder="1"/>
    <xf numFmtId="43" fontId="29" fillId="27" borderId="64" xfId="0" applyNumberFormat="1" applyFont="1" applyFill="1" applyBorder="1"/>
    <xf numFmtId="165" fontId="29" fillId="0" borderId="46" xfId="3" applyNumberFormat="1" applyFont="1" applyBorder="1"/>
    <xf numFmtId="165" fontId="39" fillId="0" borderId="51" xfId="4" applyNumberFormat="1" applyFont="1" applyBorder="1" applyAlignment="1">
      <alignment vertical="top" wrapText="1"/>
    </xf>
    <xf numFmtId="0" fontId="29" fillId="0" borderId="28" xfId="0" applyFont="1" applyBorder="1"/>
    <xf numFmtId="0" fontId="29" fillId="0" borderId="17" xfId="0" applyFont="1" applyBorder="1" applyAlignment="1">
      <alignment horizontal="center"/>
    </xf>
    <xf numFmtId="0" fontId="29" fillId="0" borderId="26" xfId="0" applyFont="1" applyBorder="1"/>
    <xf numFmtId="165" fontId="39" fillId="0" borderId="21" xfId="0" applyNumberFormat="1" applyFont="1" applyBorder="1" applyAlignment="1">
      <alignment vertical="top" wrapText="1"/>
    </xf>
    <xf numFmtId="0" fontId="29" fillId="0" borderId="78" xfId="0" applyFont="1" applyBorder="1"/>
    <xf numFmtId="165" fontId="30" fillId="0" borderId="1" xfId="0" applyNumberFormat="1" applyFont="1" applyBorder="1"/>
    <xf numFmtId="0" fontId="72" fillId="0" borderId="17" xfId="0" applyFont="1" applyBorder="1" applyAlignment="1">
      <alignment vertical="center"/>
    </xf>
    <xf numFmtId="49" fontId="30" fillId="0" borderId="17" xfId="0" applyNumberFormat="1" applyFont="1" applyBorder="1"/>
    <xf numFmtId="0" fontId="76" fillId="4" borderId="95" xfId="0" applyFont="1" applyFill="1" applyBorder="1"/>
    <xf numFmtId="0" fontId="76" fillId="4" borderId="17" xfId="0" applyFont="1" applyFill="1" applyBorder="1"/>
    <xf numFmtId="0" fontId="29" fillId="0" borderId="30" xfId="0" applyFont="1" applyBorder="1" applyAlignment="1">
      <alignment horizontal="center"/>
    </xf>
    <xf numFmtId="0" fontId="50" fillId="4" borderId="96" xfId="0" applyFont="1" applyFill="1" applyBorder="1"/>
    <xf numFmtId="0" fontId="29" fillId="0" borderId="97" xfId="0" applyFont="1" applyBorder="1" applyAlignment="1">
      <alignment horizontal="center"/>
    </xf>
    <xf numFmtId="0" fontId="76" fillId="4" borderId="44" xfId="0" applyFont="1" applyFill="1" applyBorder="1"/>
    <xf numFmtId="0" fontId="29" fillId="0" borderId="24" xfId="0" applyFont="1" applyBorder="1" applyAlignment="1">
      <alignment horizontal="center"/>
    </xf>
    <xf numFmtId="0" fontId="29" fillId="0" borderId="11" xfId="0" applyFont="1" applyBorder="1" applyAlignment="1">
      <alignment vertical="center"/>
    </xf>
    <xf numFmtId="49" fontId="30" fillId="0" borderId="96" xfId="0" applyNumberFormat="1" applyFont="1" applyBorder="1" applyAlignment="1">
      <alignment horizontal="center"/>
    </xf>
    <xf numFmtId="49" fontId="29" fillId="0" borderId="43" xfId="0" applyNumberFormat="1" applyFont="1" applyBorder="1" applyAlignment="1">
      <alignment horizontal="center"/>
    </xf>
    <xf numFmtId="0" fontId="29" fillId="0" borderId="44" xfId="0" applyFont="1" applyBorder="1"/>
    <xf numFmtId="49" fontId="30" fillId="0" borderId="44" xfId="0" applyNumberFormat="1" applyFont="1" applyBorder="1" applyAlignment="1">
      <alignment horizontal="center"/>
    </xf>
    <xf numFmtId="0" fontId="30" fillId="0" borderId="44" xfId="0" applyFont="1" applyBorder="1"/>
    <xf numFmtId="49" fontId="77" fillId="4" borderId="64" xfId="0" applyNumberFormat="1" applyFont="1" applyFill="1" applyBorder="1" applyAlignment="1">
      <alignment horizontal="center"/>
    </xf>
    <xf numFmtId="170" fontId="38" fillId="0" borderId="5" xfId="3" applyNumberFormat="1" applyFont="1" applyBorder="1"/>
    <xf numFmtId="170" fontId="30" fillId="0" borderId="5" xfId="3" applyNumberFormat="1" applyFont="1" applyBorder="1"/>
    <xf numFmtId="170" fontId="30" fillId="4" borderId="5" xfId="3" applyNumberFormat="1" applyFont="1" applyFill="1" applyBorder="1"/>
    <xf numFmtId="170" fontId="30" fillId="0" borderId="5" xfId="4" applyNumberFormat="1" applyFont="1" applyBorder="1"/>
    <xf numFmtId="165" fontId="29" fillId="0" borderId="25" xfId="4" applyNumberFormat="1" applyFont="1" applyBorder="1"/>
    <xf numFmtId="0" fontId="37" fillId="0" borderId="17" xfId="0" applyFont="1" applyBorder="1"/>
    <xf numFmtId="170" fontId="29" fillId="17" borderId="6" xfId="0" applyNumberFormat="1" applyFont="1" applyFill="1" applyBorder="1"/>
    <xf numFmtId="170" fontId="29" fillId="0" borderId="98" xfId="0" applyNumberFormat="1" applyFont="1" applyBorder="1"/>
    <xf numFmtId="175" fontId="29" fillId="0" borderId="7" xfId="0" applyNumberFormat="1" applyFont="1" applyBorder="1"/>
    <xf numFmtId="175" fontId="29" fillId="0" borderId="27" xfId="0" applyNumberFormat="1" applyFont="1" applyBorder="1"/>
    <xf numFmtId="175" fontId="29" fillId="0" borderId="24" xfId="0" applyNumberFormat="1" applyFont="1" applyBorder="1"/>
    <xf numFmtId="170" fontId="29" fillId="14" borderId="21" xfId="3" applyNumberFormat="1" applyFont="1" applyFill="1" applyBorder="1"/>
    <xf numFmtId="170" fontId="39" fillId="0" borderId="43" xfId="3" applyNumberFormat="1" applyFont="1" applyBorder="1"/>
    <xf numFmtId="170" fontId="29" fillId="0" borderId="43" xfId="3" applyNumberFormat="1" applyFont="1" applyBorder="1"/>
    <xf numFmtId="170" fontId="29" fillId="4" borderId="43" xfId="3" applyNumberFormat="1" applyFont="1" applyFill="1" applyBorder="1"/>
    <xf numFmtId="170" fontId="29" fillId="0" borderId="43" xfId="0" applyNumberFormat="1" applyFont="1" applyBorder="1"/>
    <xf numFmtId="165" fontId="29" fillId="0" borderId="96" xfId="0" applyNumberFormat="1" applyFont="1" applyBorder="1"/>
    <xf numFmtId="170" fontId="29" fillId="14" borderId="43" xfId="0" applyNumberFormat="1" applyFont="1" applyFill="1" applyBorder="1"/>
    <xf numFmtId="170" fontId="29" fillId="4" borderId="43" xfId="0" applyNumberFormat="1" applyFont="1" applyFill="1" applyBorder="1"/>
    <xf numFmtId="170" fontId="30" fillId="0" borderId="43" xfId="3" applyNumberFormat="1" applyFont="1" applyBorder="1"/>
    <xf numFmtId="170" fontId="30" fillId="0" borderId="43" xfId="0" applyNumberFormat="1" applyFont="1" applyBorder="1"/>
    <xf numFmtId="165" fontId="30" fillId="0" borderId="96" xfId="0" applyNumberFormat="1" applyFont="1" applyBorder="1"/>
    <xf numFmtId="165" fontId="30" fillId="0" borderId="5" xfId="3" applyNumberFormat="1" applyFont="1" applyBorder="1"/>
    <xf numFmtId="165" fontId="29" fillId="0" borderId="43" xfId="3" applyNumberFormat="1" applyFont="1" applyBorder="1" applyAlignment="1">
      <alignment horizontal="left"/>
    </xf>
    <xf numFmtId="165" fontId="29" fillId="0" borderId="96" xfId="3" applyNumberFormat="1" applyFont="1" applyBorder="1" applyAlignment="1">
      <alignment horizontal="left"/>
    </xf>
    <xf numFmtId="165" fontId="30" fillId="0" borderId="96" xfId="3" applyNumberFormat="1" applyFont="1" applyBorder="1" applyAlignment="1">
      <alignment horizontal="left"/>
    </xf>
    <xf numFmtId="49" fontId="30" fillId="0" borderId="42" xfId="0" applyNumberFormat="1" applyFont="1" applyBorder="1"/>
    <xf numFmtId="0" fontId="76" fillId="4" borderId="34" xfId="0" applyFont="1" applyFill="1" applyBorder="1"/>
    <xf numFmtId="49" fontId="76" fillId="4" borderId="34" xfId="0" applyNumberFormat="1" applyFont="1" applyFill="1" applyBorder="1"/>
    <xf numFmtId="0" fontId="78" fillId="4" borderId="34" xfId="0" applyFont="1" applyFill="1" applyBorder="1"/>
    <xf numFmtId="0" fontId="50" fillId="4" borderId="34" xfId="0" applyFont="1" applyFill="1" applyBorder="1"/>
    <xf numFmtId="0" fontId="72" fillId="0" borderId="17" xfId="0" applyFont="1" applyBorder="1"/>
    <xf numFmtId="0" fontId="76" fillId="0" borderId="17" xfId="0" applyFont="1" applyBorder="1" applyAlignment="1">
      <alignment horizontal="center"/>
    </xf>
    <xf numFmtId="0" fontId="76" fillId="0" borderId="17" xfId="0" applyFont="1" applyBorder="1"/>
    <xf numFmtId="165" fontId="29" fillId="0" borderId="99" xfId="3" applyNumberFormat="1" applyFont="1" applyBorder="1"/>
    <xf numFmtId="49" fontId="30" fillId="0" borderId="32" xfId="0" applyNumberFormat="1" applyFont="1" applyBorder="1"/>
    <xf numFmtId="49" fontId="29" fillId="0" borderId="33" xfId="0" applyNumberFormat="1" applyFont="1" applyBorder="1" applyAlignment="1">
      <alignment horizontal="center"/>
    </xf>
    <xf numFmtId="0" fontId="29" fillId="0" borderId="34" xfId="0" applyFont="1" applyBorder="1"/>
    <xf numFmtId="49" fontId="30" fillId="11" borderId="35" xfId="0" applyNumberFormat="1" applyFont="1" applyFill="1" applyBorder="1"/>
    <xf numFmtId="49" fontId="30" fillId="11" borderId="35" xfId="0" applyNumberFormat="1" applyFont="1" applyFill="1" applyBorder="1" applyAlignment="1">
      <alignment horizontal="center"/>
    </xf>
    <xf numFmtId="49" fontId="29" fillId="11" borderId="35" xfId="0" applyNumberFormat="1" applyFont="1" applyFill="1" applyBorder="1" applyAlignment="1">
      <alignment horizontal="center"/>
    </xf>
    <xf numFmtId="0" fontId="30" fillId="11" borderId="35" xfId="0" applyFont="1" applyFill="1" applyBorder="1"/>
    <xf numFmtId="0" fontId="29" fillId="11" borderId="35" xfId="0" applyFont="1" applyFill="1" applyBorder="1"/>
    <xf numFmtId="49" fontId="30" fillId="0" borderId="30" xfId="0" applyNumberFormat="1" applyFont="1" applyBorder="1"/>
    <xf numFmtId="49" fontId="30" fillId="0" borderId="66" xfId="0" applyNumberFormat="1" applyFont="1" applyBorder="1"/>
    <xf numFmtId="49" fontId="31" fillId="0" borderId="16" xfId="0" applyNumberFormat="1" applyFont="1" applyBorder="1" applyAlignment="1">
      <alignment horizontal="center"/>
    </xf>
    <xf numFmtId="0" fontId="31" fillId="0" borderId="17" xfId="0" applyFont="1" applyBorder="1"/>
    <xf numFmtId="0" fontId="29" fillId="2" borderId="17" xfId="0" applyFont="1" applyFill="1" applyBorder="1"/>
    <xf numFmtId="170" fontId="39" fillId="0" borderId="33" xfId="3" applyNumberFormat="1" applyFont="1" applyBorder="1"/>
    <xf numFmtId="170" fontId="29" fillId="0" borderId="33" xfId="3" applyNumberFormat="1" applyFont="1" applyBorder="1"/>
    <xf numFmtId="170" fontId="29" fillId="4" borderId="33" xfId="3" applyNumberFormat="1" applyFont="1" applyFill="1" applyBorder="1"/>
    <xf numFmtId="170" fontId="29" fillId="0" borderId="33" xfId="0" applyNumberFormat="1" applyFont="1" applyBorder="1"/>
    <xf numFmtId="165" fontId="29" fillId="0" borderId="100" xfId="0" applyNumberFormat="1" applyFont="1" applyBorder="1"/>
    <xf numFmtId="170" fontId="39" fillId="11" borderId="35" xfId="0" applyNumberFormat="1" applyFont="1" applyFill="1" applyBorder="1"/>
    <xf numFmtId="170" fontId="30" fillId="11" borderId="35" xfId="0" applyNumberFormat="1" applyFont="1" applyFill="1" applyBorder="1"/>
    <xf numFmtId="165" fontId="30" fillId="11" borderId="67" xfId="0" applyNumberFormat="1" applyFont="1" applyFill="1" applyBorder="1"/>
    <xf numFmtId="165" fontId="30" fillId="11" borderId="73" xfId="4" applyNumberFormat="1" applyFont="1" applyFill="1" applyBorder="1"/>
    <xf numFmtId="170" fontId="39" fillId="0" borderId="80" xfId="3" applyNumberFormat="1" applyFont="1" applyBorder="1"/>
    <xf numFmtId="170" fontId="29" fillId="0" borderId="80" xfId="3" applyNumberFormat="1" applyFont="1" applyBorder="1"/>
    <xf numFmtId="170" fontId="29" fillId="0" borderId="83" xfId="3" applyNumberFormat="1" applyFont="1" applyBorder="1"/>
    <xf numFmtId="170" fontId="35" fillId="11" borderId="49" xfId="4" applyNumberFormat="1" applyFont="1" applyFill="1" applyBorder="1"/>
    <xf numFmtId="165" fontId="37" fillId="11" borderId="73" xfId="4" applyNumberFormat="1" applyFont="1" applyFill="1" applyBorder="1"/>
    <xf numFmtId="170" fontId="35" fillId="0" borderId="74" xfId="4" applyNumberFormat="1" applyFont="1" applyBorder="1"/>
    <xf numFmtId="165" fontId="37" fillId="0" borderId="75" xfId="4" applyNumberFormat="1" applyFont="1" applyBorder="1"/>
    <xf numFmtId="170" fontId="35" fillId="0" borderId="28" xfId="4" applyNumberFormat="1" applyFont="1" applyBorder="1"/>
    <xf numFmtId="165" fontId="37" fillId="0" borderId="29" xfId="4" applyNumberFormat="1" applyFont="1" applyBorder="1"/>
    <xf numFmtId="170" fontId="35" fillId="0" borderId="16" xfId="3" applyNumberFormat="1" applyFont="1" applyBorder="1"/>
    <xf numFmtId="170" fontId="35" fillId="0" borderId="16" xfId="0" applyNumberFormat="1" applyFont="1" applyBorder="1"/>
    <xf numFmtId="165" fontId="37" fillId="0" borderId="24" xfId="4" applyNumberFormat="1" applyFont="1" applyBorder="1"/>
    <xf numFmtId="170" fontId="37" fillId="0" borderId="16" xfId="3" applyNumberFormat="1" applyFont="1" applyBorder="1"/>
    <xf numFmtId="170" fontId="37" fillId="24" borderId="16" xfId="3" applyNumberFormat="1" applyFont="1" applyFill="1" applyBorder="1"/>
    <xf numFmtId="170" fontId="37" fillId="0" borderId="16" xfId="0" applyNumberFormat="1" applyFont="1" applyBorder="1"/>
    <xf numFmtId="170" fontId="37" fillId="0" borderId="28" xfId="3" applyNumberFormat="1" applyFont="1" applyBorder="1"/>
    <xf numFmtId="165" fontId="37" fillId="0" borderId="29" xfId="3" applyNumberFormat="1" applyFont="1" applyBorder="1"/>
    <xf numFmtId="170" fontId="35" fillId="0" borderId="74" xfId="3" applyNumberFormat="1" applyFont="1" applyBorder="1"/>
    <xf numFmtId="170" fontId="35" fillId="4" borderId="28" xfId="3" applyNumberFormat="1" applyFont="1" applyFill="1" applyBorder="1"/>
    <xf numFmtId="170" fontId="35" fillId="0" borderId="28" xfId="3" applyNumberFormat="1" applyFont="1" applyBorder="1"/>
    <xf numFmtId="170" fontId="35" fillId="0" borderId="29" xfId="3" applyNumberFormat="1" applyFont="1" applyBorder="1"/>
    <xf numFmtId="170" fontId="37" fillId="4" borderId="28" xfId="3" applyNumberFormat="1" applyFont="1" applyFill="1" applyBorder="1"/>
    <xf numFmtId="170" fontId="37" fillId="0" borderId="28" xfId="4" applyNumberFormat="1" applyFont="1" applyBorder="1"/>
    <xf numFmtId="170" fontId="35" fillId="4" borderId="6" xfId="3" applyNumberFormat="1" applyFont="1" applyFill="1" applyBorder="1"/>
    <xf numFmtId="170" fontId="35" fillId="0" borderId="6" xfId="3" applyNumberFormat="1" applyFont="1" applyBorder="1"/>
    <xf numFmtId="170" fontId="35" fillId="0" borderId="6" xfId="4" applyNumberFormat="1" applyFont="1" applyBorder="1"/>
    <xf numFmtId="165" fontId="37" fillId="0" borderId="7" xfId="4" applyNumberFormat="1" applyFont="1" applyBorder="1"/>
    <xf numFmtId="170" fontId="79" fillId="0" borderId="26" xfId="3" applyNumberFormat="1" applyFont="1" applyBorder="1"/>
    <xf numFmtId="170" fontId="31" fillId="0" borderId="26" xfId="3" applyNumberFormat="1" applyFont="1" applyBorder="1"/>
    <xf numFmtId="170" fontId="80" fillId="4" borderId="26" xfId="3" applyNumberFormat="1" applyFont="1" applyFill="1" applyBorder="1"/>
    <xf numFmtId="170" fontId="80" fillId="0" borderId="26" xfId="3" applyNumberFormat="1" applyFont="1" applyBorder="1"/>
    <xf numFmtId="170" fontId="80" fillId="0" borderId="28" xfId="0" applyNumberFormat="1" applyFont="1" applyBorder="1"/>
    <xf numFmtId="165" fontId="81" fillId="0" borderId="29" xfId="0" applyNumberFormat="1" applyFont="1" applyBorder="1"/>
    <xf numFmtId="170" fontId="37" fillId="4" borderId="16" xfId="3" applyNumberFormat="1" applyFont="1" applyFill="1" applyBorder="1" applyAlignment="1">
      <alignment horizontal="center"/>
    </xf>
    <xf numFmtId="170" fontId="37" fillId="24" borderId="16" xfId="0" applyNumberFormat="1" applyFont="1" applyFill="1" applyBorder="1"/>
    <xf numFmtId="165" fontId="37" fillId="0" borderId="24" xfId="0" applyNumberFormat="1" applyFont="1" applyBorder="1"/>
    <xf numFmtId="170" fontId="39" fillId="2" borderId="16" xfId="3" applyNumberFormat="1" applyFont="1" applyFill="1" applyBorder="1"/>
    <xf numFmtId="170" fontId="37" fillId="2" borderId="16" xfId="3" applyNumberFormat="1" applyFont="1" applyFill="1" applyBorder="1"/>
    <xf numFmtId="165" fontId="37" fillId="2" borderId="24" xfId="0" applyNumberFormat="1" applyFont="1" applyFill="1" applyBorder="1"/>
    <xf numFmtId="170" fontId="37" fillId="0" borderId="13" xfId="3" applyNumberFormat="1" applyFont="1" applyBorder="1"/>
    <xf numFmtId="170" fontId="37" fillId="24" borderId="13" xfId="0" applyNumberFormat="1" applyFont="1" applyFill="1" applyBorder="1"/>
    <xf numFmtId="170" fontId="37" fillId="0" borderId="13" xfId="0" applyNumberFormat="1" applyFont="1" applyBorder="1"/>
    <xf numFmtId="165" fontId="37" fillId="0" borderId="82" xfId="0" applyNumberFormat="1" applyFont="1" applyBorder="1"/>
    <xf numFmtId="170" fontId="35" fillId="4" borderId="16" xfId="0" applyNumberFormat="1" applyFont="1" applyFill="1" applyBorder="1"/>
    <xf numFmtId="170" fontId="35" fillId="0" borderId="16" xfId="4" applyNumberFormat="1" applyFont="1" applyBorder="1"/>
    <xf numFmtId="165" fontId="35" fillId="0" borderId="24" xfId="4" applyNumberFormat="1" applyFont="1" applyBorder="1"/>
    <xf numFmtId="170" fontId="37" fillId="4" borderId="28" xfId="0" applyNumberFormat="1" applyFont="1" applyFill="1" applyBorder="1"/>
    <xf numFmtId="170" fontId="37" fillId="0" borderId="6" xfId="0" applyNumberFormat="1" applyFont="1" applyBorder="1"/>
    <xf numFmtId="165" fontId="37" fillId="0" borderId="7" xfId="0" applyNumberFormat="1" applyFont="1" applyBorder="1"/>
    <xf numFmtId="170" fontId="37" fillId="4" borderId="16" xfId="0" applyNumberFormat="1" applyFont="1" applyFill="1" applyBorder="1"/>
    <xf numFmtId="170" fontId="37" fillId="0" borderId="26" xfId="0" applyNumberFormat="1" applyFont="1" applyBorder="1"/>
    <xf numFmtId="165" fontId="37" fillId="0" borderId="27" xfId="0" applyNumberFormat="1" applyFont="1" applyBorder="1"/>
    <xf numFmtId="170" fontId="79" fillId="0" borderId="16" xfId="0" applyNumberFormat="1" applyFont="1" applyBorder="1"/>
    <xf numFmtId="170" fontId="31" fillId="0" borderId="16" xfId="0" applyNumberFormat="1" applyFont="1" applyBorder="1"/>
    <xf numFmtId="170" fontId="80" fillId="4" borderId="26" xfId="0" applyNumberFormat="1" applyFont="1" applyFill="1" applyBorder="1"/>
    <xf numFmtId="170" fontId="80" fillId="0" borderId="16" xfId="0" applyNumberFormat="1" applyFont="1" applyBorder="1"/>
    <xf numFmtId="170" fontId="80" fillId="24" borderId="16" xfId="0" applyNumberFormat="1" applyFont="1" applyFill="1" applyBorder="1"/>
    <xf numFmtId="165" fontId="80" fillId="0" borderId="24" xfId="0" applyNumberFormat="1" applyFont="1" applyBorder="1"/>
    <xf numFmtId="165" fontId="37" fillId="0" borderId="24" xfId="3" applyNumberFormat="1" applyFont="1" applyBorder="1"/>
    <xf numFmtId="170" fontId="37" fillId="0" borderId="21" xfId="0" applyNumberFormat="1" applyFont="1" applyBorder="1"/>
    <xf numFmtId="165" fontId="37" fillId="0" borderId="63" xfId="3" applyNumberFormat="1" applyFont="1" applyBorder="1"/>
    <xf numFmtId="170" fontId="35" fillId="4" borderId="16" xfId="3" applyNumberFormat="1" applyFont="1" applyFill="1" applyBorder="1"/>
    <xf numFmtId="165" fontId="29" fillId="0" borderId="101" xfId="3" applyNumberFormat="1" applyFont="1" applyBorder="1"/>
    <xf numFmtId="165" fontId="29" fillId="11" borderId="49" xfId="3" applyNumberFormat="1" applyFont="1" applyFill="1" applyBorder="1"/>
    <xf numFmtId="165" fontId="29" fillId="0" borderId="84" xfId="3" applyNumberFormat="1" applyFont="1" applyBorder="1" applyAlignment="1">
      <alignment vertical="top" wrapText="1"/>
    </xf>
    <xf numFmtId="165" fontId="29" fillId="0" borderId="28" xfId="3" applyNumberFormat="1" applyFont="1" applyBorder="1" applyAlignment="1">
      <alignment vertical="top" wrapText="1"/>
    </xf>
    <xf numFmtId="165" fontId="29" fillId="0" borderId="26" xfId="3" applyNumberFormat="1" applyFont="1" applyBorder="1" applyAlignment="1">
      <alignment vertical="top" wrapText="1"/>
    </xf>
    <xf numFmtId="165" fontId="29" fillId="0" borderId="83" xfId="3" applyNumberFormat="1" applyFont="1" applyBorder="1"/>
    <xf numFmtId="165" fontId="66" fillId="11" borderId="49" xfId="4" applyNumberFormat="1" applyFont="1" applyFill="1" applyBorder="1" applyAlignment="1">
      <alignment wrapText="1"/>
    </xf>
    <xf numFmtId="165" fontId="66" fillId="0" borderId="16" xfId="3" applyNumberFormat="1" applyFont="1" applyBorder="1"/>
    <xf numFmtId="0" fontId="58" fillId="0" borderId="0" xfId="0" applyFont="1" applyAlignment="1">
      <alignment horizontal="center"/>
    </xf>
    <xf numFmtId="165" fontId="30" fillId="0" borderId="26" xfId="3" applyNumberFormat="1" applyFont="1" applyBorder="1"/>
    <xf numFmtId="165" fontId="76" fillId="0" borderId="0" xfId="1" applyFont="1" applyAlignment="1">
      <alignment horizontal="center"/>
    </xf>
    <xf numFmtId="170" fontId="59" fillId="0" borderId="0" xfId="0" applyNumberFormat="1" applyFont="1"/>
    <xf numFmtId="165" fontId="39" fillId="0" borderId="16" xfId="3" applyNumberFormat="1" applyFont="1" applyBorder="1"/>
    <xf numFmtId="43" fontId="58" fillId="0" borderId="0" xfId="0" applyNumberFormat="1" applyFont="1" applyAlignment="1">
      <alignment horizontal="center"/>
    </xf>
    <xf numFmtId="0" fontId="59" fillId="0" borderId="0" xfId="0" applyFont="1" applyAlignment="1">
      <alignment horizontal="center"/>
    </xf>
    <xf numFmtId="165" fontId="31" fillId="0" borderId="16" xfId="0" applyNumberFormat="1" applyFont="1" applyBorder="1"/>
    <xf numFmtId="0" fontId="29" fillId="0" borderId="17" xfId="0" applyFont="1" applyBorder="1" applyAlignment="1">
      <alignment horizontal="right"/>
    </xf>
    <xf numFmtId="0" fontId="29" fillId="0" borderId="30" xfId="0" applyFont="1" applyBorder="1" applyAlignment="1">
      <alignment horizontal="right"/>
    </xf>
    <xf numFmtId="0" fontId="29" fillId="0" borderId="69" xfId="0" applyFont="1" applyBorder="1" applyAlignment="1">
      <alignment horizontal="center"/>
    </xf>
    <xf numFmtId="0" fontId="29" fillId="0" borderId="69" xfId="0" applyFont="1" applyBorder="1" applyAlignment="1">
      <alignment horizontal="right"/>
    </xf>
    <xf numFmtId="49" fontId="30" fillId="0" borderId="79" xfId="0" applyNumberFormat="1" applyFont="1" applyBorder="1" applyAlignment="1">
      <alignment horizontal="center"/>
    </xf>
    <xf numFmtId="0" fontId="29" fillId="4" borderId="17" xfId="0" applyFont="1" applyFill="1" applyBorder="1"/>
    <xf numFmtId="170" fontId="79" fillId="0" borderId="16" xfId="3" applyNumberFormat="1" applyFont="1" applyBorder="1"/>
    <xf numFmtId="170" fontId="31" fillId="0" borderId="16" xfId="3" applyNumberFormat="1" applyFont="1" applyBorder="1"/>
    <xf numFmtId="170" fontId="80" fillId="4" borderId="16" xfId="3" applyNumberFormat="1" applyFont="1" applyFill="1" applyBorder="1"/>
    <xf numFmtId="170" fontId="80" fillId="0" borderId="16" xfId="3" applyNumberFormat="1" applyFont="1" applyBorder="1"/>
    <xf numFmtId="165" fontId="81" fillId="0" borderId="24" xfId="0" applyNumberFormat="1" applyFont="1" applyBorder="1"/>
    <xf numFmtId="170" fontId="37" fillId="4" borderId="16" xfId="3" applyNumberFormat="1" applyFont="1" applyFill="1" applyBorder="1"/>
    <xf numFmtId="170" fontId="37" fillId="24" borderId="26" xfId="0" applyNumberFormat="1" applyFont="1" applyFill="1" applyBorder="1"/>
    <xf numFmtId="170" fontId="35" fillId="0" borderId="28" xfId="0" applyNumberFormat="1" applyFont="1" applyBorder="1"/>
    <xf numFmtId="165" fontId="37" fillId="0" borderId="29" xfId="0" applyNumberFormat="1" applyFont="1" applyBorder="1"/>
    <xf numFmtId="170" fontId="37" fillId="4" borderId="23" xfId="3" applyNumberFormat="1" applyFont="1" applyFill="1" applyBorder="1"/>
    <xf numFmtId="170" fontId="37" fillId="0" borderId="23" xfId="3" applyNumberFormat="1" applyFont="1" applyBorder="1"/>
    <xf numFmtId="170" fontId="37" fillId="0" borderId="23" xfId="0" applyNumberFormat="1" applyFont="1" applyBorder="1"/>
    <xf numFmtId="165" fontId="37" fillId="0" borderId="68" xfId="3" applyNumberFormat="1" applyFont="1" applyBorder="1"/>
    <xf numFmtId="170" fontId="29" fillId="14" borderId="21" xfId="0" applyNumberFormat="1" applyFont="1" applyFill="1" applyBorder="1"/>
    <xf numFmtId="170" fontId="29" fillId="24" borderId="6" xfId="4" applyNumberFormat="1" applyFont="1" applyFill="1" applyBorder="1"/>
    <xf numFmtId="170" fontId="29" fillId="16" borderId="16" xfId="3" applyNumberFormat="1" applyFont="1" applyFill="1" applyBorder="1"/>
    <xf numFmtId="165" fontId="82" fillId="0" borderId="16" xfId="3" applyNumberFormat="1" applyFont="1" applyBorder="1"/>
    <xf numFmtId="165" fontId="82" fillId="0" borderId="28" xfId="3" applyNumberFormat="1" applyFont="1" applyBorder="1"/>
    <xf numFmtId="165" fontId="82" fillId="0" borderId="21" xfId="3" applyNumberFormat="1" applyFont="1" applyBorder="1"/>
    <xf numFmtId="165" fontId="83" fillId="0" borderId="28" xfId="3" applyNumberFormat="1" applyFont="1" applyBorder="1"/>
    <xf numFmtId="166" fontId="39" fillId="0" borderId="51" xfId="0" applyNumberFormat="1" applyFont="1" applyBorder="1" applyAlignment="1">
      <alignment vertical="top" wrapText="1"/>
    </xf>
    <xf numFmtId="166" fontId="39" fillId="0" borderId="28" xfId="0" applyNumberFormat="1" applyFont="1" applyBorder="1" applyAlignment="1">
      <alignment vertical="top" wrapText="1"/>
    </xf>
    <xf numFmtId="166" fontId="39" fillId="0" borderId="78" xfId="0" applyNumberFormat="1" applyFont="1" applyBorder="1" applyAlignment="1">
      <alignment vertical="top" wrapText="1"/>
    </xf>
    <xf numFmtId="0" fontId="57" fillId="0" borderId="17" xfId="0" applyFont="1" applyBorder="1"/>
    <xf numFmtId="0" fontId="57" fillId="0" borderId="11" xfId="0" applyFont="1" applyBorder="1"/>
    <xf numFmtId="49" fontId="30" fillId="0" borderId="7" xfId="0" applyNumberFormat="1" applyFont="1" applyBorder="1"/>
    <xf numFmtId="170" fontId="69" fillId="0" borderId="16" xfId="4" applyNumberFormat="1" applyFont="1" applyBorder="1"/>
    <xf numFmtId="170" fontId="57" fillId="0" borderId="16" xfId="4" applyNumberFormat="1" applyFont="1" applyBorder="1"/>
    <xf numFmtId="170" fontId="57" fillId="4" borderId="16" xfId="4" applyNumberFormat="1" applyFont="1" applyFill="1" applyBorder="1"/>
    <xf numFmtId="170" fontId="57" fillId="0" borderId="16" xfId="0" applyNumberFormat="1" applyFont="1" applyBorder="1"/>
    <xf numFmtId="165" fontId="57" fillId="0" borderId="24" xfId="0" applyNumberFormat="1" applyFont="1" applyBorder="1"/>
    <xf numFmtId="170" fontId="84" fillId="0" borderId="16" xfId="4" applyNumberFormat="1" applyFont="1" applyBorder="1"/>
    <xf numFmtId="170" fontId="42" fillId="0" borderId="16" xfId="4" applyNumberFormat="1" applyFont="1" applyBorder="1"/>
    <xf numFmtId="170" fontId="42" fillId="4" borderId="16" xfId="4" applyNumberFormat="1" applyFont="1" applyFill="1" applyBorder="1"/>
    <xf numFmtId="170" fontId="42" fillId="17" borderId="16" xfId="4" applyNumberFormat="1" applyFont="1" applyFill="1" applyBorder="1"/>
    <xf numFmtId="170" fontId="42" fillId="0" borderId="16" xfId="0" applyNumberFormat="1" applyFont="1" applyBorder="1"/>
    <xf numFmtId="165" fontId="42" fillId="0" borderId="24" xfId="0" applyNumberFormat="1" applyFont="1" applyBorder="1"/>
    <xf numFmtId="170" fontId="39" fillId="4" borderId="16" xfId="0" applyNumberFormat="1" applyFont="1" applyFill="1" applyBorder="1"/>
    <xf numFmtId="165" fontId="29" fillId="4" borderId="24" xfId="0" applyNumberFormat="1" applyFont="1" applyFill="1" applyBorder="1"/>
    <xf numFmtId="170" fontId="69" fillId="0" borderId="21" xfId="0" applyNumberFormat="1" applyFont="1" applyBorder="1"/>
    <xf numFmtId="170" fontId="57" fillId="0" borderId="21" xfId="0" applyNumberFormat="1" applyFont="1" applyBorder="1"/>
    <xf numFmtId="170" fontId="57" fillId="4" borderId="16" xfId="3" applyNumberFormat="1" applyFont="1" applyFill="1" applyBorder="1"/>
    <xf numFmtId="165" fontId="57" fillId="0" borderId="63" xfId="0" applyNumberFormat="1" applyFont="1" applyBorder="1"/>
    <xf numFmtId="170" fontId="30" fillId="0" borderId="102" xfId="0" applyNumberFormat="1" applyFont="1" applyBorder="1"/>
    <xf numFmtId="170" fontId="30" fillId="0" borderId="102" xfId="4" applyNumberFormat="1" applyFont="1" applyBorder="1"/>
    <xf numFmtId="165" fontId="29" fillId="0" borderId="103" xfId="4" applyNumberFormat="1" applyFont="1" applyBorder="1"/>
    <xf numFmtId="165" fontId="30" fillId="0" borderId="30" xfId="0" applyNumberFormat="1" applyFont="1" applyBorder="1"/>
    <xf numFmtId="170" fontId="29" fillId="17" borderId="10" xfId="4" applyNumberFormat="1" applyFont="1" applyFill="1" applyBorder="1"/>
    <xf numFmtId="165" fontId="139" fillId="14" borderId="16" xfId="1" applyFill="1" applyBorder="1"/>
    <xf numFmtId="165" fontId="139" fillId="0" borderId="28" xfId="1" applyBorder="1"/>
    <xf numFmtId="165" fontId="29" fillId="0" borderId="78" xfId="0" applyNumberFormat="1" applyFont="1" applyBorder="1" applyAlignment="1">
      <alignment wrapText="1"/>
    </xf>
    <xf numFmtId="165" fontId="57" fillId="0" borderId="16" xfId="4" applyNumberFormat="1" applyFont="1" applyBorder="1"/>
    <xf numFmtId="174" fontId="29" fillId="0" borderId="21" xfId="0" applyNumberFormat="1" applyFont="1" applyBorder="1" applyAlignment="1">
      <alignment vertical="top" wrapText="1"/>
    </xf>
    <xf numFmtId="174" fontId="29" fillId="0" borderId="26" xfId="0" applyNumberFormat="1" applyFont="1" applyBorder="1" applyAlignment="1">
      <alignment vertical="top" wrapText="1"/>
    </xf>
    <xf numFmtId="165" fontId="57" fillId="0" borderId="21" xfId="0" applyNumberFormat="1" applyFont="1" applyBorder="1"/>
    <xf numFmtId="49" fontId="30" fillId="0" borderId="0" xfId="0" applyNumberFormat="1" applyFont="1"/>
    <xf numFmtId="175" fontId="29" fillId="0" borderId="29" xfId="0" applyNumberFormat="1" applyFont="1" applyBorder="1"/>
    <xf numFmtId="0" fontId="85" fillId="0" borderId="17" xfId="0" applyFont="1" applyBorder="1"/>
    <xf numFmtId="170" fontId="85" fillId="0" borderId="16" xfId="0" applyNumberFormat="1" applyFont="1" applyBorder="1"/>
    <xf numFmtId="170" fontId="85" fillId="4" borderId="16" xfId="0" applyNumberFormat="1" applyFont="1" applyFill="1" applyBorder="1"/>
    <xf numFmtId="170" fontId="85" fillId="17" borderId="16" xfId="0" applyNumberFormat="1" applyFont="1" applyFill="1" applyBorder="1"/>
    <xf numFmtId="165" fontId="85" fillId="0" borderId="24" xfId="0" applyNumberFormat="1" applyFont="1" applyBorder="1"/>
    <xf numFmtId="170" fontId="30" fillId="4" borderId="16" xfId="4" applyNumberFormat="1" applyFont="1" applyFill="1" applyBorder="1"/>
    <xf numFmtId="170" fontId="30" fillId="17" borderId="16" xfId="0" applyNumberFormat="1" applyFont="1" applyFill="1" applyBorder="1"/>
    <xf numFmtId="170" fontId="30" fillId="17" borderId="10" xfId="3" applyNumberFormat="1" applyFont="1" applyFill="1" applyBorder="1"/>
    <xf numFmtId="170" fontId="30" fillId="0" borderId="76" xfId="3" applyNumberFormat="1" applyFont="1" applyBorder="1"/>
    <xf numFmtId="0" fontId="39" fillId="4" borderId="17" xfId="0" applyFont="1" applyFill="1" applyBorder="1"/>
    <xf numFmtId="170" fontId="39" fillId="4" borderId="16" xfId="3" applyNumberFormat="1" applyFont="1" applyFill="1" applyBorder="1"/>
    <xf numFmtId="165" fontId="29" fillId="4" borderId="88" xfId="4" applyNumberFormat="1" applyFont="1" applyFill="1" applyBorder="1"/>
    <xf numFmtId="170" fontId="30" fillId="4" borderId="74" xfId="3" applyNumberFormat="1" applyFont="1" applyFill="1" applyBorder="1"/>
    <xf numFmtId="165" fontId="85" fillId="0" borderId="16" xfId="0" applyNumberFormat="1" applyFont="1" applyBorder="1"/>
    <xf numFmtId="165" fontId="30" fillId="0" borderId="76" xfId="0" applyNumberFormat="1" applyFont="1" applyBorder="1"/>
    <xf numFmtId="165" fontId="66" fillId="0" borderId="16" xfId="0" applyNumberFormat="1" applyFont="1" applyBorder="1"/>
    <xf numFmtId="168" fontId="139" fillId="0" borderId="66" xfId="2" applyBorder="1" applyAlignment="1">
      <alignment horizontal="center"/>
    </xf>
    <xf numFmtId="168" fontId="139" fillId="11" borderId="0" xfId="2" applyFill="1" applyAlignment="1">
      <alignment horizontal="center"/>
    </xf>
    <xf numFmtId="0" fontId="30" fillId="4" borderId="17" xfId="0" applyFont="1" applyFill="1" applyBorder="1"/>
    <xf numFmtId="170" fontId="29" fillId="4" borderId="23" xfId="3" applyNumberFormat="1" applyFont="1" applyFill="1" applyBorder="1"/>
    <xf numFmtId="175" fontId="29" fillId="0" borderId="24" xfId="3" applyNumberFormat="1" applyFont="1" applyBorder="1"/>
    <xf numFmtId="170" fontId="30" fillId="17" borderId="21" xfId="4" applyNumberFormat="1" applyFont="1" applyFill="1" applyBorder="1"/>
    <xf numFmtId="0" fontId="29" fillId="28" borderId="17" xfId="0" applyFont="1" applyFill="1" applyBorder="1"/>
    <xf numFmtId="170" fontId="38" fillId="0" borderId="6" xfId="4" applyNumberFormat="1" applyFont="1" applyBorder="1"/>
    <xf numFmtId="170" fontId="30" fillId="4" borderId="23" xfId="0" applyNumberFormat="1" applyFont="1" applyFill="1" applyBorder="1"/>
    <xf numFmtId="170" fontId="30" fillId="17" borderId="10" xfId="4" applyNumberFormat="1" applyFont="1" applyFill="1" applyBorder="1"/>
    <xf numFmtId="170" fontId="38" fillId="0" borderId="23" xfId="0" applyNumberFormat="1" applyFont="1" applyBorder="1"/>
    <xf numFmtId="170" fontId="30" fillId="14" borderId="23" xfId="0" applyNumberFormat="1" applyFont="1" applyFill="1" applyBorder="1"/>
    <xf numFmtId="165" fontId="30" fillId="0" borderId="68" xfId="0" applyNumberFormat="1" applyFont="1" applyBorder="1"/>
    <xf numFmtId="170" fontId="29" fillId="4" borderId="104" xfId="0" applyNumberFormat="1" applyFont="1" applyFill="1" applyBorder="1"/>
    <xf numFmtId="170" fontId="29" fillId="29" borderId="16" xfId="0" applyNumberFormat="1" applyFont="1" applyFill="1" applyBorder="1"/>
    <xf numFmtId="165" fontId="66" fillId="0" borderId="26" xfId="4" applyNumberFormat="1" applyFont="1" applyBorder="1"/>
    <xf numFmtId="165" fontId="66" fillId="0" borderId="21" xfId="4" applyNumberFormat="1" applyFont="1" applyBorder="1"/>
    <xf numFmtId="165" fontId="66" fillId="0" borderId="6" xfId="0" applyNumberFormat="1" applyFont="1" applyBorder="1"/>
    <xf numFmtId="43" fontId="30" fillId="0" borderId="0" xfId="0" applyNumberFormat="1" applyFont="1" applyAlignment="1">
      <alignment horizontal="center"/>
    </xf>
    <xf numFmtId="165" fontId="30" fillId="0" borderId="10" xfId="4" applyNumberFormat="1" applyFont="1" applyBorder="1"/>
    <xf numFmtId="165" fontId="29" fillId="0" borderId="26" xfId="0" applyNumberFormat="1" applyFont="1" applyBorder="1" applyAlignment="1">
      <alignment horizontal="left" wrapText="1"/>
    </xf>
    <xf numFmtId="49" fontId="30" fillId="0" borderId="6" xfId="0" applyNumberFormat="1" applyFont="1" applyBorder="1" applyAlignment="1">
      <alignment horizontal="center"/>
    </xf>
    <xf numFmtId="0" fontId="30" fillId="0" borderId="8" xfId="0" applyFont="1" applyBorder="1"/>
    <xf numFmtId="0" fontId="80" fillId="0" borderId="17" xfId="0" applyFont="1" applyBorder="1"/>
    <xf numFmtId="49" fontId="29" fillId="4" borderId="16" xfId="0" applyNumberFormat="1" applyFont="1" applyFill="1" applyBorder="1" applyAlignment="1">
      <alignment horizontal="center"/>
    </xf>
    <xf numFmtId="170" fontId="30" fillId="4" borderId="26" xfId="4" applyNumberFormat="1" applyFont="1" applyFill="1" applyBorder="1"/>
    <xf numFmtId="170" fontId="38" fillId="0" borderId="76" xfId="4" applyNumberFormat="1" applyFont="1" applyBorder="1"/>
    <xf numFmtId="170" fontId="30" fillId="4" borderId="76" xfId="4" applyNumberFormat="1" applyFont="1" applyFill="1" applyBorder="1"/>
    <xf numFmtId="170" fontId="29" fillId="30" borderId="16" xfId="3" applyNumberFormat="1" applyFont="1" applyFill="1" applyBorder="1"/>
    <xf numFmtId="165" fontId="30" fillId="4" borderId="24" xfId="0" applyNumberFormat="1" applyFont="1" applyFill="1" applyBorder="1"/>
    <xf numFmtId="170" fontId="69" fillId="4" borderId="16" xfId="4" applyNumberFormat="1" applyFont="1" applyFill="1" applyBorder="1"/>
    <xf numFmtId="165" fontId="39" fillId="0" borderId="28" xfId="0" applyNumberFormat="1" applyFont="1" applyBorder="1" applyAlignment="1">
      <alignment vertical="top" wrapText="1"/>
    </xf>
    <xf numFmtId="165" fontId="39" fillId="0" borderId="26" xfId="0" applyNumberFormat="1" applyFont="1" applyBorder="1" applyAlignment="1">
      <alignment vertical="top" wrapText="1"/>
    </xf>
    <xf numFmtId="165" fontId="29" fillId="4" borderId="16" xfId="4" applyNumberFormat="1" applyFont="1" applyFill="1" applyBorder="1"/>
    <xf numFmtId="49" fontId="30" fillId="0" borderId="105" xfId="0" applyNumberFormat="1" applyFont="1" applyBorder="1"/>
    <xf numFmtId="49" fontId="30" fillId="0" borderId="77" xfId="0" applyNumberFormat="1" applyFont="1" applyBorder="1"/>
    <xf numFmtId="49" fontId="30" fillId="0" borderId="106" xfId="0" applyNumberFormat="1" applyFont="1" applyBorder="1"/>
    <xf numFmtId="49" fontId="30" fillId="0" borderId="107" xfId="0" applyNumberFormat="1" applyFont="1" applyBorder="1" applyAlignment="1">
      <alignment horizontal="center"/>
    </xf>
    <xf numFmtId="0" fontId="30" fillId="0" borderId="95" xfId="0" applyFont="1" applyBorder="1"/>
    <xf numFmtId="49" fontId="29" fillId="0" borderId="108" xfId="0" applyNumberFormat="1" applyFont="1" applyBorder="1"/>
    <xf numFmtId="49" fontId="30" fillId="0" borderId="108" xfId="0" applyNumberFormat="1" applyFont="1" applyBorder="1"/>
    <xf numFmtId="49" fontId="30" fillId="0" borderId="109" xfId="0" applyNumberFormat="1" applyFont="1" applyBorder="1"/>
    <xf numFmtId="49" fontId="29" fillId="0" borderId="109" xfId="0" applyNumberFormat="1" applyFont="1" applyBorder="1" applyAlignment="1">
      <alignment horizontal="center"/>
    </xf>
    <xf numFmtId="0" fontId="29" fillId="0" borderId="86" xfId="0" applyFont="1" applyBorder="1"/>
    <xf numFmtId="170" fontId="38" fillId="0" borderId="110" xfId="0" applyNumberFormat="1" applyFont="1" applyBorder="1"/>
    <xf numFmtId="170" fontId="30" fillId="0" borderId="110" xfId="0" applyNumberFormat="1" applyFont="1" applyBorder="1"/>
    <xf numFmtId="170" fontId="30" fillId="0" borderId="110" xfId="4" applyNumberFormat="1" applyFont="1" applyBorder="1"/>
    <xf numFmtId="165" fontId="29" fillId="0" borderId="111" xfId="4" applyNumberFormat="1" applyFont="1" applyBorder="1"/>
    <xf numFmtId="170" fontId="39" fillId="0" borderId="109" xfId="3" applyNumberFormat="1" applyFont="1" applyBorder="1"/>
    <xf numFmtId="170" fontId="29" fillId="0" borderId="109" xfId="3" applyNumberFormat="1" applyFont="1" applyBorder="1"/>
    <xf numFmtId="170" fontId="29" fillId="0" borderId="109" xfId="0" applyNumberFormat="1" applyFont="1" applyBorder="1"/>
    <xf numFmtId="165" fontId="29" fillId="0" borderId="86" xfId="0" applyNumberFormat="1" applyFont="1" applyBorder="1"/>
    <xf numFmtId="170" fontId="30" fillId="4" borderId="110" xfId="0" applyNumberFormat="1" applyFont="1" applyFill="1" applyBorder="1"/>
    <xf numFmtId="170" fontId="38" fillId="0" borderId="49" xfId="0" applyNumberFormat="1" applyFont="1" applyBorder="1" applyAlignment="1">
      <alignment vertical="center"/>
    </xf>
    <xf numFmtId="170" fontId="30" fillId="0" borderId="49" xfId="0" applyNumberFormat="1" applyFont="1" applyBorder="1" applyAlignment="1">
      <alignment vertical="center"/>
    </xf>
    <xf numFmtId="165" fontId="29" fillId="0" borderId="73" xfId="0" applyNumberFormat="1" applyFont="1" applyBorder="1" applyAlignment="1">
      <alignment vertical="center"/>
    </xf>
    <xf numFmtId="165" fontId="29" fillId="0" borderId="33" xfId="3" applyNumberFormat="1" applyFont="1" applyBorder="1"/>
    <xf numFmtId="165" fontId="29" fillId="0" borderId="28" xfId="3" applyNumberFormat="1" applyFont="1" applyBorder="1" applyAlignment="1">
      <alignment horizontal="center"/>
    </xf>
    <xf numFmtId="0" fontId="29" fillId="14" borderId="0" xfId="0" applyFont="1" applyFill="1" applyAlignment="1">
      <alignment horizontal="center"/>
    </xf>
    <xf numFmtId="0" fontId="65" fillId="0" borderId="0" xfId="0" applyFont="1" applyAlignment="1">
      <alignment horizontal="center"/>
    </xf>
    <xf numFmtId="0" fontId="29" fillId="0" borderId="0" xfId="0" applyFont="1" applyAlignment="1">
      <alignment horizontal="right"/>
    </xf>
    <xf numFmtId="165" fontId="48" fillId="0" borderId="0" xfId="1" applyFont="1" applyAlignment="1">
      <alignment horizontal="center"/>
    </xf>
    <xf numFmtId="165" fontId="48" fillId="0" borderId="0" xfId="1" applyFont="1" applyAlignment="1">
      <alignment horizontal="right"/>
    </xf>
    <xf numFmtId="0" fontId="48" fillId="0" borderId="0" xfId="0" applyFont="1"/>
    <xf numFmtId="43" fontId="29" fillId="0" borderId="0" xfId="0" applyNumberFormat="1" applyFont="1" applyAlignment="1">
      <alignment horizontal="right"/>
    </xf>
    <xf numFmtId="43" fontId="53" fillId="0" borderId="0" xfId="0" applyNumberFormat="1" applyFont="1"/>
    <xf numFmtId="165" fontId="30" fillId="0" borderId="49" xfId="0" applyNumberFormat="1" applyFont="1" applyBorder="1" applyAlignment="1">
      <alignment vertical="center"/>
    </xf>
    <xf numFmtId="43" fontId="29" fillId="0" borderId="0" xfId="0" applyNumberFormat="1" applyFont="1" applyAlignment="1">
      <alignment horizontal="center" vertical="center"/>
    </xf>
    <xf numFmtId="49" fontId="29" fillId="2" borderId="0" xfId="0" applyNumberFormat="1" applyFont="1" applyFill="1"/>
    <xf numFmtId="0" fontId="56" fillId="2" borderId="0" xfId="0" applyFont="1" applyFill="1"/>
    <xf numFmtId="49" fontId="29" fillId="0" borderId="0" xfId="0" applyNumberFormat="1" applyFont="1"/>
    <xf numFmtId="0" fontId="39" fillId="2" borderId="0" xfId="0" applyFont="1" applyFill="1" applyAlignment="1">
      <alignment horizontal="center"/>
    </xf>
    <xf numFmtId="170" fontId="64" fillId="2" borderId="0" xfId="2" applyNumberFormat="1" applyFont="1" applyFill="1"/>
    <xf numFmtId="170" fontId="29" fillId="2" borderId="0" xfId="2" applyNumberFormat="1" applyFont="1" applyFill="1"/>
    <xf numFmtId="170" fontId="29" fillId="2" borderId="0" xfId="1" applyNumberFormat="1" applyFont="1" applyFill="1"/>
    <xf numFmtId="170" fontId="86" fillId="2" borderId="0" xfId="0" applyNumberFormat="1" applyFont="1" applyFill="1" applyAlignment="1">
      <alignment horizontal="center"/>
    </xf>
    <xf numFmtId="170" fontId="31" fillId="2" borderId="0" xfId="0" applyNumberFormat="1" applyFont="1" applyFill="1" applyAlignment="1">
      <alignment horizontal="center"/>
    </xf>
    <xf numFmtId="0" fontId="31" fillId="2" borderId="0" xfId="0" applyFont="1" applyFill="1" applyAlignment="1">
      <alignment horizontal="center"/>
    </xf>
    <xf numFmtId="0" fontId="37" fillId="2" borderId="0" xfId="0" applyFont="1" applyFill="1"/>
    <xf numFmtId="3" fontId="34" fillId="0" borderId="0" xfId="0" applyNumberFormat="1" applyFont="1"/>
    <xf numFmtId="0" fontId="29" fillId="0" borderId="18" xfId="0" applyFont="1" applyBorder="1"/>
    <xf numFmtId="49" fontId="31" fillId="0" borderId="24" xfId="0" applyNumberFormat="1" applyFont="1" applyBorder="1"/>
    <xf numFmtId="0" fontId="75" fillId="0" borderId="17" xfId="0" applyFont="1" applyBorder="1"/>
    <xf numFmtId="170" fontId="31" fillId="14" borderId="16" xfId="3" applyNumberFormat="1" applyFont="1" applyFill="1" applyBorder="1"/>
    <xf numFmtId="170" fontId="31" fillId="4" borderId="16" xfId="0" applyNumberFormat="1" applyFont="1" applyFill="1" applyBorder="1"/>
    <xf numFmtId="170" fontId="31" fillId="17" borderId="16" xfId="0" applyNumberFormat="1" applyFont="1" applyFill="1" applyBorder="1"/>
    <xf numFmtId="165" fontId="31" fillId="0" borderId="24" xfId="0" applyNumberFormat="1" applyFont="1" applyBorder="1"/>
    <xf numFmtId="165" fontId="29" fillId="14" borderId="28" xfId="4" applyNumberFormat="1" applyFont="1" applyFill="1" applyBorder="1"/>
    <xf numFmtId="165" fontId="30" fillId="0" borderId="10" xfId="0" applyNumberFormat="1" applyFont="1" applyBorder="1"/>
    <xf numFmtId="165" fontId="42" fillId="0" borderId="16" xfId="3" applyNumberFormat="1" applyFont="1" applyBorder="1"/>
    <xf numFmtId="49" fontId="30" fillId="0" borderId="63" xfId="0" applyNumberFormat="1" applyFont="1" applyBorder="1" applyAlignment="1">
      <alignment horizontal="center"/>
    </xf>
    <xf numFmtId="165" fontId="29" fillId="0" borderId="27" xfId="3" applyNumberFormat="1" applyFont="1" applyBorder="1"/>
    <xf numFmtId="165" fontId="29" fillId="0" borderId="28" xfId="3" applyNumberFormat="1" applyFont="1" applyBorder="1" applyAlignment="1">
      <alignment horizontal="left"/>
    </xf>
    <xf numFmtId="0" fontId="29" fillId="0" borderId="44" xfId="0" applyFont="1" applyBorder="1" applyAlignment="1">
      <alignment horizontal="center"/>
    </xf>
    <xf numFmtId="49" fontId="30" fillId="0" borderId="45" xfId="0" applyNumberFormat="1" applyFont="1" applyBorder="1"/>
    <xf numFmtId="49" fontId="29" fillId="0" borderId="65" xfId="0" applyNumberFormat="1" applyFont="1" applyBorder="1" applyAlignment="1">
      <alignment horizontal="center"/>
    </xf>
    <xf numFmtId="0" fontId="29" fillId="0" borderId="47" xfId="0" applyFont="1" applyBorder="1" applyAlignment="1">
      <alignment horizontal="center"/>
    </xf>
    <xf numFmtId="0" fontId="31" fillId="0" borderId="44" xfId="0" applyFont="1" applyBorder="1"/>
    <xf numFmtId="170" fontId="29" fillId="14" borderId="43" xfId="3" applyNumberFormat="1" applyFont="1" applyFill="1" applyBorder="1"/>
    <xf numFmtId="170" fontId="29" fillId="24" borderId="43" xfId="0" applyNumberFormat="1" applyFont="1" applyFill="1" applyBorder="1"/>
    <xf numFmtId="0" fontId="29" fillId="0" borderId="44" xfId="0" applyFont="1" applyBorder="1" applyAlignment="1">
      <alignment wrapText="1"/>
    </xf>
    <xf numFmtId="170" fontId="39" fillId="0" borderId="43" xfId="0" applyNumberFormat="1" applyFont="1" applyBorder="1"/>
    <xf numFmtId="170" fontId="29" fillId="17" borderId="43" xfId="0" applyNumberFormat="1" applyFont="1" applyFill="1" applyBorder="1"/>
    <xf numFmtId="170" fontId="39" fillId="0" borderId="47" xfId="0" applyNumberFormat="1" applyFont="1" applyBorder="1"/>
    <xf numFmtId="170" fontId="29" fillId="0" borderId="65" xfId="0" applyNumberFormat="1" applyFont="1" applyBorder="1"/>
    <xf numFmtId="170" fontId="29" fillId="0" borderId="47" xfId="0" applyNumberFormat="1" applyFont="1" applyBorder="1"/>
    <xf numFmtId="165" fontId="29" fillId="0" borderId="65" xfId="0" applyNumberFormat="1" applyFont="1" applyBorder="1"/>
    <xf numFmtId="165" fontId="29" fillId="0" borderId="65" xfId="3" applyNumberFormat="1" applyFont="1" applyBorder="1"/>
    <xf numFmtId="0" fontId="56" fillId="0" borderId="0" xfId="0" applyFont="1"/>
    <xf numFmtId="49" fontId="30" fillId="11" borderId="113" xfId="0" applyNumberFormat="1" applyFont="1" applyFill="1" applyBorder="1" applyAlignment="1">
      <alignment horizontal="center"/>
    </xf>
    <xf numFmtId="49" fontId="30" fillId="11" borderId="78" xfId="0" applyNumberFormat="1" applyFont="1" applyFill="1" applyBorder="1" applyAlignment="1">
      <alignment horizontal="center"/>
    </xf>
    <xf numFmtId="0" fontId="30" fillId="11" borderId="66" xfId="0" applyFont="1" applyFill="1" applyBorder="1"/>
    <xf numFmtId="49" fontId="29" fillId="15" borderId="113" xfId="0" applyNumberFormat="1" applyFont="1" applyFill="1" applyBorder="1"/>
    <xf numFmtId="49" fontId="30" fillId="15" borderId="78" xfId="0" applyNumberFormat="1" applyFont="1" applyFill="1" applyBorder="1" applyAlignment="1">
      <alignment horizontal="center" vertical="center"/>
    </xf>
    <xf numFmtId="49" fontId="29" fillId="15" borderId="78" xfId="0" applyNumberFormat="1" applyFont="1" applyFill="1" applyBorder="1" applyAlignment="1">
      <alignment horizontal="center" vertical="center"/>
    </xf>
    <xf numFmtId="0" fontId="30" fillId="15" borderId="66" xfId="0" applyFont="1" applyFill="1" applyBorder="1" applyAlignment="1">
      <alignment vertical="center"/>
    </xf>
    <xf numFmtId="0" fontId="47" fillId="15" borderId="66" xfId="0" applyFont="1" applyFill="1" applyBorder="1" applyAlignment="1">
      <alignment vertical="center"/>
    </xf>
    <xf numFmtId="170" fontId="29" fillId="31" borderId="16" xfId="0" applyNumberFormat="1" applyFont="1" applyFill="1" applyBorder="1"/>
    <xf numFmtId="170" fontId="38" fillId="11" borderId="78" xfId="4" applyNumberFormat="1" applyFont="1" applyFill="1" applyBorder="1"/>
    <xf numFmtId="170" fontId="30" fillId="11" borderId="78" xfId="4" applyNumberFormat="1" applyFont="1" applyFill="1" applyBorder="1"/>
    <xf numFmtId="165" fontId="29" fillId="11" borderId="79" xfId="4" applyNumberFormat="1" applyFont="1" applyFill="1" applyBorder="1"/>
    <xf numFmtId="170" fontId="29" fillId="17" borderId="28" xfId="3" applyNumberFormat="1" applyFont="1" applyFill="1" applyBorder="1"/>
    <xf numFmtId="0" fontId="60" fillId="15" borderId="66" xfId="0" applyFont="1" applyFill="1" applyBorder="1" applyAlignment="1">
      <alignment vertical="center"/>
    </xf>
    <xf numFmtId="170" fontId="38" fillId="15" borderId="78" xfId="4" applyNumberFormat="1" applyFont="1" applyFill="1" applyBorder="1" applyAlignment="1">
      <alignment vertical="center"/>
    </xf>
    <xf numFmtId="170" fontId="30" fillId="15" borderId="78" xfId="4" applyNumberFormat="1" applyFont="1" applyFill="1" applyBorder="1" applyAlignment="1">
      <alignment vertical="center"/>
    </xf>
    <xf numFmtId="165" fontId="29" fillId="15" borderId="79" xfId="4" applyNumberFormat="1" applyFont="1" applyFill="1" applyBorder="1" applyAlignment="1">
      <alignment vertical="center"/>
    </xf>
    <xf numFmtId="170" fontId="29" fillId="9" borderId="0" xfId="0" applyNumberFormat="1" applyFont="1" applyFill="1"/>
    <xf numFmtId="170" fontId="53" fillId="9" borderId="0" xfId="0" applyNumberFormat="1" applyFont="1" applyFill="1" applyAlignment="1">
      <alignment horizontal="left"/>
    </xf>
    <xf numFmtId="170" fontId="30" fillId="10" borderId="0" xfId="4" applyNumberFormat="1" applyFont="1" applyFill="1"/>
    <xf numFmtId="170" fontId="55" fillId="0" borderId="0" xfId="0" applyNumberFormat="1" applyFont="1" applyAlignment="1">
      <alignment horizontal="center"/>
    </xf>
    <xf numFmtId="168" fontId="139" fillId="10" borderId="0" xfId="2" applyFill="1"/>
    <xf numFmtId="165" fontId="30" fillId="11" borderId="78" xfId="4" applyNumberFormat="1" applyFont="1" applyFill="1" applyBorder="1"/>
    <xf numFmtId="165" fontId="30" fillId="15" borderId="78" xfId="4" applyNumberFormat="1" applyFont="1" applyFill="1" applyBorder="1" applyAlignment="1">
      <alignment vertical="center"/>
    </xf>
    <xf numFmtId="49" fontId="29" fillId="0" borderId="86" xfId="0" applyNumberFormat="1" applyFont="1" applyBorder="1"/>
    <xf numFmtId="49" fontId="30" fillId="15" borderId="113" xfId="0" applyNumberFormat="1" applyFont="1" applyFill="1" applyBorder="1" applyAlignment="1">
      <alignment horizontal="center"/>
    </xf>
    <xf numFmtId="49" fontId="30" fillId="15" borderId="113" xfId="0" applyNumberFormat="1" applyFont="1" applyFill="1" applyBorder="1"/>
    <xf numFmtId="0" fontId="31" fillId="0" borderId="11" xfId="0" applyFont="1" applyBorder="1"/>
    <xf numFmtId="170" fontId="57" fillId="0" borderId="28" xfId="0" applyNumberFormat="1" applyFont="1" applyBorder="1"/>
    <xf numFmtId="165" fontId="57" fillId="0" borderId="29" xfId="0" applyNumberFormat="1" applyFont="1" applyBorder="1"/>
    <xf numFmtId="165" fontId="29" fillId="15" borderId="78" xfId="4" applyNumberFormat="1" applyFont="1" applyFill="1" applyBorder="1" applyAlignment="1">
      <alignment vertical="center"/>
    </xf>
    <xf numFmtId="43" fontId="29" fillId="13" borderId="0" xfId="0" applyNumberFormat="1" applyFont="1" applyFill="1" applyAlignment="1">
      <alignment horizontal="center"/>
    </xf>
    <xf numFmtId="165" fontId="66" fillId="0" borderId="21" xfId="4" applyNumberFormat="1" applyFont="1" applyBorder="1" applyAlignment="1">
      <alignment vertical="top"/>
    </xf>
    <xf numFmtId="49" fontId="30" fillId="15" borderId="113" xfId="0" applyNumberFormat="1" applyFont="1" applyFill="1" applyBorder="1" applyAlignment="1">
      <alignment vertical="center"/>
    </xf>
    <xf numFmtId="49" fontId="30" fillId="18" borderId="113" xfId="0" applyNumberFormat="1" applyFont="1" applyFill="1" applyBorder="1" applyAlignment="1">
      <alignment horizontal="center"/>
    </xf>
    <xf numFmtId="170" fontId="29" fillId="31" borderId="83" xfId="4" applyNumberFormat="1" applyFont="1" applyFill="1" applyBorder="1"/>
    <xf numFmtId="170" fontId="38" fillId="15" borderId="78" xfId="4" applyNumberFormat="1" applyFont="1" applyFill="1" applyBorder="1" applyAlignment="1">
      <alignment vertical="center" wrapText="1"/>
    </xf>
    <xf numFmtId="170" fontId="30" fillId="15" borderId="78" xfId="4" applyNumberFormat="1" applyFont="1" applyFill="1" applyBorder="1" applyAlignment="1">
      <alignment vertical="center" wrapText="1"/>
    </xf>
    <xf numFmtId="165" fontId="29" fillId="15" borderId="79" xfId="4" applyNumberFormat="1" applyFont="1" applyFill="1" applyBorder="1" applyAlignment="1">
      <alignment vertical="center" wrapText="1"/>
    </xf>
    <xf numFmtId="170" fontId="30" fillId="31" borderId="28" xfId="4" applyNumberFormat="1" applyFont="1" applyFill="1" applyBorder="1"/>
    <xf numFmtId="0" fontId="29" fillId="11" borderId="66" xfId="0" applyFont="1" applyFill="1" applyBorder="1"/>
    <xf numFmtId="165" fontId="30" fillId="15" borderId="78" xfId="4" applyNumberFormat="1" applyFont="1" applyFill="1" applyBorder="1" applyAlignment="1">
      <alignment vertical="center" wrapText="1"/>
    </xf>
    <xf numFmtId="0" fontId="35" fillId="11" borderId="66" xfId="0" applyFont="1" applyFill="1" applyBorder="1"/>
    <xf numFmtId="0" fontId="47" fillId="11" borderId="66" xfId="0" applyFont="1" applyFill="1" applyBorder="1"/>
    <xf numFmtId="170" fontId="29" fillId="31" borderId="16" xfId="0" applyNumberFormat="1" applyFont="1" applyFill="1" applyBorder="1" applyAlignment="1">
      <alignment horizontal="right"/>
    </xf>
    <xf numFmtId="170" fontId="29" fillId="31" borderId="16" xfId="3" applyNumberFormat="1" applyFont="1" applyFill="1" applyBorder="1"/>
    <xf numFmtId="170" fontId="29" fillId="31" borderId="28" xfId="3" applyNumberFormat="1" applyFont="1" applyFill="1" applyBorder="1"/>
    <xf numFmtId="49" fontId="31" fillId="0" borderId="63" xfId="0" applyNumberFormat="1" applyFont="1" applyBorder="1"/>
    <xf numFmtId="49" fontId="56" fillId="0" borderId="21" xfId="0" applyNumberFormat="1" applyFont="1" applyBorder="1" applyAlignment="1">
      <alignment horizontal="center"/>
    </xf>
    <xf numFmtId="0" fontId="56" fillId="0" borderId="11" xfId="0" applyFont="1" applyBorder="1"/>
    <xf numFmtId="165" fontId="29" fillId="0" borderId="29" xfId="3" applyNumberFormat="1" applyFont="1" applyBorder="1"/>
    <xf numFmtId="170" fontId="71" fillId="0" borderId="28" xfId="3" applyNumberFormat="1" applyFont="1" applyBorder="1"/>
    <xf numFmtId="170" fontId="56" fillId="0" borderId="28" xfId="3" applyNumberFormat="1" applyFont="1" applyBorder="1"/>
    <xf numFmtId="170" fontId="56" fillId="4" borderId="28" xfId="3" applyNumberFormat="1" applyFont="1" applyFill="1" applyBorder="1"/>
    <xf numFmtId="170" fontId="56" fillId="0" borderId="21" xfId="0" applyNumberFormat="1" applyFont="1" applyBorder="1"/>
    <xf numFmtId="165" fontId="56" fillId="0" borderId="63" xfId="0" applyNumberFormat="1" applyFont="1" applyBorder="1"/>
    <xf numFmtId="170" fontId="29" fillId="31" borderId="26" xfId="3" applyNumberFormat="1" applyFont="1" applyFill="1" applyBorder="1"/>
    <xf numFmtId="170" fontId="29" fillId="31" borderId="28" xfId="0" applyNumberFormat="1" applyFont="1" applyFill="1" applyBorder="1"/>
    <xf numFmtId="165" fontId="56" fillId="0" borderId="28" xfId="3" applyNumberFormat="1" applyFont="1" applyBorder="1"/>
    <xf numFmtId="0" fontId="56" fillId="0" borderId="0" xfId="0" applyFont="1" applyAlignment="1">
      <alignment horizontal="center"/>
    </xf>
    <xf numFmtId="170" fontId="29" fillId="31" borderId="26" xfId="0" applyNumberFormat="1" applyFont="1" applyFill="1" applyBorder="1"/>
    <xf numFmtId="0" fontId="72" fillId="0" borderId="11" xfId="0" applyFont="1" applyBorder="1" applyAlignment="1">
      <alignment horizontal="left" wrapText="1"/>
    </xf>
    <xf numFmtId="170" fontId="29" fillId="31" borderId="16" xfId="4" applyNumberFormat="1" applyFont="1" applyFill="1" applyBorder="1"/>
    <xf numFmtId="49" fontId="29" fillId="11" borderId="78" xfId="0" applyNumberFormat="1" applyFont="1" applyFill="1" applyBorder="1" applyAlignment="1">
      <alignment horizontal="center"/>
    </xf>
    <xf numFmtId="0" fontId="73" fillId="0" borderId="11" xfId="0" applyFont="1" applyBorder="1"/>
    <xf numFmtId="49" fontId="30" fillId="0" borderId="113" xfId="0" applyNumberFormat="1" applyFont="1" applyBorder="1"/>
    <xf numFmtId="49" fontId="30" fillId="15" borderId="78" xfId="0" applyNumberFormat="1" applyFont="1" applyFill="1" applyBorder="1" applyAlignment="1">
      <alignment horizontal="center"/>
    </xf>
    <xf numFmtId="49" fontId="29" fillId="15" borderId="78" xfId="0" applyNumberFormat="1" applyFont="1" applyFill="1" applyBorder="1" applyAlignment="1">
      <alignment horizontal="center"/>
    </xf>
    <xf numFmtId="0" fontId="38" fillId="15" borderId="66" xfId="0" applyFont="1" applyFill="1" applyBorder="1"/>
    <xf numFmtId="0" fontId="30" fillId="15" borderId="66" xfId="0" applyFont="1" applyFill="1" applyBorder="1"/>
    <xf numFmtId="49" fontId="30" fillId="0" borderId="113" xfId="0" applyNumberFormat="1" applyFont="1" applyBorder="1" applyAlignment="1">
      <alignment horizontal="center"/>
    </xf>
    <xf numFmtId="170" fontId="30" fillId="31" borderId="16" xfId="4" applyNumberFormat="1" applyFont="1" applyFill="1" applyBorder="1"/>
    <xf numFmtId="170" fontId="30" fillId="4" borderId="21" xfId="3" applyNumberFormat="1" applyFont="1" applyFill="1" applyBorder="1"/>
    <xf numFmtId="170" fontId="38" fillId="15" borderId="78" xfId="4" applyNumberFormat="1" applyFont="1" applyFill="1" applyBorder="1"/>
    <xf numFmtId="170" fontId="30" fillId="15" borderId="78" xfId="4" applyNumberFormat="1" applyFont="1" applyFill="1" applyBorder="1"/>
    <xf numFmtId="165" fontId="29" fillId="15" borderId="79" xfId="4" applyNumberFormat="1" applyFont="1" applyFill="1" applyBorder="1"/>
    <xf numFmtId="165" fontId="30" fillId="15" borderId="78" xfId="4" applyNumberFormat="1" applyFont="1" applyFill="1" applyBorder="1"/>
    <xf numFmtId="170" fontId="38" fillId="11" borderId="78" xfId="0" applyNumberFormat="1" applyFont="1" applyFill="1" applyBorder="1"/>
    <xf numFmtId="170" fontId="30" fillId="26" borderId="78" xfId="0" applyNumberFormat="1" applyFont="1" applyFill="1" applyBorder="1"/>
    <xf numFmtId="170" fontId="30" fillId="11" borderId="78" xfId="0" applyNumberFormat="1" applyFont="1" applyFill="1" applyBorder="1"/>
    <xf numFmtId="170" fontId="29" fillId="0" borderId="115" xfId="0" applyNumberFormat="1" applyFont="1" applyBorder="1"/>
    <xf numFmtId="170" fontId="29" fillId="17" borderId="115" xfId="0" applyNumberFormat="1" applyFont="1" applyFill="1" applyBorder="1"/>
    <xf numFmtId="165" fontId="29" fillId="0" borderId="116" xfId="0" applyNumberFormat="1" applyFont="1" applyBorder="1"/>
    <xf numFmtId="43" fontId="30" fillId="0" borderId="117" xfId="0" applyNumberFormat="1" applyFont="1" applyBorder="1"/>
    <xf numFmtId="170" fontId="30" fillId="17" borderId="26" xfId="0" applyNumberFormat="1" applyFont="1" applyFill="1" applyBorder="1"/>
    <xf numFmtId="170" fontId="30" fillId="0" borderId="26" xfId="0" applyNumberFormat="1" applyFont="1" applyBorder="1"/>
    <xf numFmtId="43" fontId="29" fillId="27" borderId="118" xfId="0" applyNumberFormat="1" applyFont="1" applyFill="1" applyBorder="1"/>
    <xf numFmtId="43" fontId="29" fillId="0" borderId="118" xfId="0" applyNumberFormat="1" applyFont="1" applyBorder="1"/>
    <xf numFmtId="43" fontId="30" fillId="0" borderId="118" xfId="0" applyNumberFormat="1" applyFont="1" applyBorder="1"/>
    <xf numFmtId="165" fontId="29" fillId="0" borderId="115" xfId="0" applyNumberFormat="1" applyFont="1" applyBorder="1"/>
    <xf numFmtId="170" fontId="30" fillId="0" borderId="0" xfId="0" applyNumberFormat="1" applyFont="1" applyAlignment="1">
      <alignment horizontal="center"/>
    </xf>
    <xf numFmtId="0" fontId="30" fillId="0" borderId="24" xfId="0" applyFont="1" applyBorder="1"/>
    <xf numFmtId="170" fontId="30" fillId="17" borderId="6" xfId="0" applyNumberFormat="1" applyFont="1" applyFill="1" applyBorder="1"/>
    <xf numFmtId="170" fontId="30" fillId="0" borderId="98" xfId="0" applyNumberFormat="1" applyFont="1" applyBorder="1"/>
    <xf numFmtId="175" fontId="30" fillId="0" borderId="7" xfId="0" applyNumberFormat="1" applyFont="1" applyBorder="1"/>
    <xf numFmtId="170" fontId="29" fillId="31" borderId="21" xfId="3" applyNumberFormat="1" applyFont="1" applyFill="1" applyBorder="1"/>
    <xf numFmtId="170" fontId="30" fillId="17" borderId="6" xfId="4" applyNumberFormat="1" applyFont="1" applyFill="1" applyBorder="1"/>
    <xf numFmtId="170" fontId="29" fillId="31" borderId="43" xfId="3" applyNumberFormat="1" applyFont="1" applyFill="1" applyBorder="1"/>
    <xf numFmtId="165" fontId="30" fillId="0" borderId="6" xfId="4" applyNumberFormat="1" applyFont="1" applyBorder="1"/>
    <xf numFmtId="49" fontId="50" fillId="4" borderId="34" xfId="0" applyNumberFormat="1" applyFont="1" applyFill="1" applyBorder="1"/>
    <xf numFmtId="170" fontId="29" fillId="17" borderId="43" xfId="3" applyNumberFormat="1" applyFont="1" applyFill="1" applyBorder="1"/>
    <xf numFmtId="170" fontId="38" fillId="0" borderId="43" xfId="3" applyNumberFormat="1" applyFont="1" applyBorder="1"/>
    <xf numFmtId="170" fontId="30" fillId="17" borderId="43" xfId="3" applyNumberFormat="1" applyFont="1" applyFill="1" applyBorder="1"/>
    <xf numFmtId="165" fontId="30" fillId="0" borderId="99" xfId="3" applyNumberFormat="1" applyFont="1" applyBorder="1"/>
    <xf numFmtId="170" fontId="39" fillId="0" borderId="46" xfId="3" applyNumberFormat="1" applyFont="1" applyBorder="1"/>
    <xf numFmtId="170" fontId="29" fillId="0" borderId="46" xfId="3" applyNumberFormat="1" applyFont="1" applyBorder="1"/>
    <xf numFmtId="170" fontId="29" fillId="4" borderId="46" xfId="3" applyNumberFormat="1" applyFont="1" applyFill="1" applyBorder="1"/>
    <xf numFmtId="170" fontId="35" fillId="11" borderId="78" xfId="4" applyNumberFormat="1" applyFont="1" applyFill="1" applyBorder="1"/>
    <xf numFmtId="165" fontId="37" fillId="11" borderId="79" xfId="4" applyNumberFormat="1" applyFont="1" applyFill="1" applyBorder="1"/>
    <xf numFmtId="170" fontId="30" fillId="0" borderId="83" xfId="4" applyNumberFormat="1" applyFont="1" applyBorder="1"/>
    <xf numFmtId="170" fontId="35" fillId="0" borderId="83" xfId="4" applyNumberFormat="1" applyFont="1" applyBorder="1"/>
    <xf numFmtId="170" fontId="35" fillId="0" borderId="83" xfId="3" applyNumberFormat="1" applyFont="1" applyBorder="1"/>
    <xf numFmtId="170" fontId="35" fillId="0" borderId="83" xfId="0" applyNumberFormat="1" applyFont="1" applyBorder="1"/>
    <xf numFmtId="165" fontId="37" fillId="0" borderId="87" xfId="4" applyNumberFormat="1" applyFont="1" applyBorder="1"/>
    <xf numFmtId="170" fontId="30" fillId="0" borderId="83" xfId="3" applyNumberFormat="1" applyFont="1" applyBorder="1"/>
    <xf numFmtId="170" fontId="35" fillId="4" borderId="83" xfId="3" applyNumberFormat="1" applyFont="1" applyFill="1" applyBorder="1"/>
    <xf numFmtId="170" fontId="35" fillId="0" borderId="87" xfId="3" applyNumberFormat="1" applyFont="1" applyBorder="1"/>
    <xf numFmtId="170" fontId="37" fillId="0" borderId="16" xfId="4" applyNumberFormat="1" applyFont="1" applyBorder="1"/>
    <xf numFmtId="170" fontId="37" fillId="16" borderId="16" xfId="0" applyNumberFormat="1" applyFont="1" applyFill="1" applyBorder="1"/>
    <xf numFmtId="170" fontId="37" fillId="16" borderId="21" xfId="0" applyNumberFormat="1" applyFont="1" applyFill="1" applyBorder="1"/>
    <xf numFmtId="165" fontId="29" fillId="0" borderId="119" xfId="3" applyNumberFormat="1" applyFont="1" applyBorder="1"/>
    <xf numFmtId="165" fontId="66" fillId="11" borderId="78" xfId="4" applyNumberFormat="1" applyFont="1" applyFill="1" applyBorder="1" applyAlignment="1">
      <alignment wrapText="1"/>
    </xf>
    <xf numFmtId="165" fontId="30" fillId="0" borderId="83" xfId="4" applyNumberFormat="1" applyFont="1" applyBorder="1"/>
    <xf numFmtId="165" fontId="30" fillId="0" borderId="83" xfId="3" applyNumberFormat="1" applyFont="1" applyBorder="1"/>
    <xf numFmtId="43" fontId="58" fillId="0" borderId="0" xfId="0" applyNumberFormat="1" applyFont="1"/>
    <xf numFmtId="170" fontId="58" fillId="0" borderId="0" xfId="0" applyNumberFormat="1" applyFont="1"/>
    <xf numFmtId="170" fontId="29" fillId="31" borderId="21" xfId="0" applyNumberFormat="1" applyFont="1" applyFill="1" applyBorder="1"/>
    <xf numFmtId="165" fontId="139" fillId="31" borderId="16" xfId="1" applyFill="1" applyBorder="1"/>
    <xf numFmtId="174" fontId="29" fillId="0" borderId="28" xfId="0" applyNumberFormat="1" applyFont="1" applyBorder="1" applyAlignment="1">
      <alignment vertical="top" wrapText="1"/>
    </xf>
    <xf numFmtId="0" fontId="29" fillId="0" borderId="11" xfId="0" applyFont="1" applyBorder="1" applyAlignment="1">
      <alignment horizontal="center"/>
    </xf>
    <xf numFmtId="170" fontId="87" fillId="2" borderId="0" xfId="0" applyNumberFormat="1" applyFont="1" applyFill="1" applyAlignment="1">
      <alignment horizontal="center"/>
    </xf>
    <xf numFmtId="170" fontId="88" fillId="2" borderId="0" xfId="0" applyNumberFormat="1" applyFont="1" applyFill="1" applyAlignment="1">
      <alignment horizontal="center"/>
    </xf>
    <xf numFmtId="0" fontId="30" fillId="0" borderId="0" xfId="0" applyFont="1" applyAlignment="1">
      <alignment vertical="center"/>
    </xf>
    <xf numFmtId="49" fontId="30" fillId="11" borderId="120" xfId="0" applyNumberFormat="1" applyFont="1" applyFill="1" applyBorder="1" applyAlignment="1">
      <alignment horizontal="center"/>
    </xf>
    <xf numFmtId="49" fontId="30" fillId="11" borderId="51" xfId="0" applyNumberFormat="1" applyFont="1" applyFill="1" applyBorder="1" applyAlignment="1">
      <alignment horizontal="center"/>
    </xf>
    <xf numFmtId="0" fontId="30" fillId="11" borderId="89" xfId="0" applyFont="1" applyFill="1" applyBorder="1"/>
    <xf numFmtId="0" fontId="47" fillId="11" borderId="89" xfId="0" applyFont="1" applyFill="1" applyBorder="1"/>
    <xf numFmtId="49" fontId="29" fillId="0" borderId="82" xfId="0" applyNumberFormat="1" applyFont="1" applyBorder="1"/>
    <xf numFmtId="49" fontId="29" fillId="0" borderId="13" xfId="0" applyNumberFormat="1" applyFont="1" applyBorder="1" applyAlignment="1">
      <alignment horizontal="center"/>
    </xf>
    <xf numFmtId="0" fontId="30" fillId="0" borderId="14" xfId="0" applyFont="1" applyBorder="1"/>
    <xf numFmtId="49" fontId="29" fillId="0" borderId="22" xfId="0" applyNumberFormat="1" applyFont="1" applyBorder="1"/>
    <xf numFmtId="49" fontId="29" fillId="0" borderId="121" xfId="0" applyNumberFormat="1" applyFont="1" applyBorder="1"/>
    <xf numFmtId="49" fontId="29" fillId="0" borderId="90" xfId="0" applyNumberFormat="1" applyFont="1" applyBorder="1" applyAlignment="1">
      <alignment horizontal="center"/>
    </xf>
    <xf numFmtId="0" fontId="30" fillId="0" borderId="122" xfId="0" applyFont="1" applyBorder="1"/>
    <xf numFmtId="170" fontId="38" fillId="11" borderId="51" xfId="4" applyNumberFormat="1" applyFont="1" applyFill="1" applyBorder="1"/>
    <xf numFmtId="170" fontId="30" fillId="11" borderId="51" xfId="4" applyNumberFormat="1" applyFont="1" applyFill="1" applyBorder="1"/>
    <xf numFmtId="165" fontId="29" fillId="11" borderId="123" xfId="4" applyNumberFormat="1" applyFont="1" applyFill="1" applyBorder="1"/>
    <xf numFmtId="170" fontId="39" fillId="0" borderId="13" xfId="4" applyNumberFormat="1" applyFont="1" applyBorder="1"/>
    <xf numFmtId="0" fontId="39" fillId="0" borderId="124" xfId="0" applyFont="1" applyBorder="1"/>
    <xf numFmtId="170" fontId="38" fillId="0" borderId="90" xfId="4" applyNumberFormat="1" applyFont="1" applyBorder="1"/>
    <xf numFmtId="170" fontId="30" fillId="0" borderId="90" xfId="4" applyNumberFormat="1" applyFont="1" applyBorder="1"/>
    <xf numFmtId="165" fontId="29" fillId="0" borderId="121" xfId="4" applyNumberFormat="1" applyFont="1" applyBorder="1"/>
    <xf numFmtId="0" fontId="29" fillId="0" borderId="122" xfId="0" applyFont="1" applyBorder="1"/>
    <xf numFmtId="43" fontId="29" fillId="10" borderId="0" xfId="0" applyNumberFormat="1" applyFont="1" applyFill="1"/>
    <xf numFmtId="165" fontId="30" fillId="11" borderId="51" xfId="4" applyNumberFormat="1" applyFont="1" applyFill="1" applyBorder="1"/>
    <xf numFmtId="165" fontId="52" fillId="0" borderId="16" xfId="0" applyNumberFormat="1" applyFont="1" applyBorder="1"/>
    <xf numFmtId="165" fontId="30" fillId="0" borderId="90" xfId="4" applyNumberFormat="1" applyFont="1" applyBorder="1"/>
    <xf numFmtId="165" fontId="53" fillId="0" borderId="16" xfId="4" applyNumberFormat="1" applyFont="1" applyBorder="1"/>
    <xf numFmtId="165" fontId="29" fillId="0" borderId="16" xfId="4" applyNumberFormat="1" applyFont="1" applyBorder="1" applyAlignment="1">
      <alignment horizontal="right"/>
    </xf>
    <xf numFmtId="165" fontId="139" fillId="0" borderId="16" xfId="1" applyBorder="1"/>
    <xf numFmtId="49" fontId="30" fillId="0" borderId="121" xfId="0" applyNumberFormat="1" applyFont="1" applyBorder="1"/>
    <xf numFmtId="49" fontId="29" fillId="0" borderId="79" xfId="0" applyNumberFormat="1" applyFont="1" applyBorder="1"/>
    <xf numFmtId="49" fontId="30" fillId="15" borderId="120" xfId="0" applyNumberFormat="1" applyFont="1" applyFill="1" applyBorder="1"/>
    <xf numFmtId="49" fontId="30" fillId="15" borderId="51" xfId="0" applyNumberFormat="1" applyFont="1" applyFill="1" applyBorder="1" applyAlignment="1">
      <alignment horizontal="center" vertical="center"/>
    </xf>
    <xf numFmtId="0" fontId="30" fillId="15" borderId="89" xfId="0" applyFont="1" applyFill="1" applyBorder="1" applyAlignment="1">
      <alignment vertical="center"/>
    </xf>
    <xf numFmtId="165" fontId="29" fillId="0" borderId="24" xfId="4" applyNumberFormat="1" applyFont="1" applyBorder="1" applyAlignment="1">
      <alignment horizontal="center"/>
    </xf>
    <xf numFmtId="165" fontId="64" fillId="0" borderId="121" xfId="4" applyNumberFormat="1" applyFont="1" applyBorder="1"/>
    <xf numFmtId="165" fontId="64" fillId="0" borderId="24" xfId="4" applyNumberFormat="1" applyFont="1" applyBorder="1"/>
    <xf numFmtId="165" fontId="64" fillId="0" borderId="16" xfId="4" applyNumberFormat="1" applyFont="1" applyBorder="1"/>
    <xf numFmtId="170" fontId="29" fillId="0" borderId="24" xfId="3" applyNumberFormat="1" applyFont="1" applyBorder="1"/>
    <xf numFmtId="170" fontId="29" fillId="31" borderId="23" xfId="3" applyNumberFormat="1" applyFont="1" applyFill="1" applyBorder="1"/>
    <xf numFmtId="0" fontId="31" fillId="0" borderId="66" xfId="0" applyFont="1" applyBorder="1"/>
    <xf numFmtId="165" fontId="29" fillId="0" borderId="87" xfId="0" applyNumberFormat="1" applyFont="1" applyBorder="1"/>
    <xf numFmtId="170" fontId="30" fillId="0" borderId="91" xfId="0" applyNumberFormat="1" applyFont="1" applyBorder="1"/>
    <xf numFmtId="170" fontId="30" fillId="4" borderId="91" xfId="0" applyNumberFormat="1" applyFont="1" applyFill="1" applyBorder="1"/>
    <xf numFmtId="170" fontId="30" fillId="2" borderId="91" xfId="0" applyNumberFormat="1" applyFont="1" applyFill="1" applyBorder="1"/>
    <xf numFmtId="170" fontId="38" fillId="15" borderId="51" xfId="4" applyNumberFormat="1" applyFont="1" applyFill="1" applyBorder="1" applyAlignment="1">
      <alignment vertical="center"/>
    </xf>
    <xf numFmtId="170" fontId="30" fillId="15" borderId="51" xfId="4" applyNumberFormat="1" applyFont="1" applyFill="1" applyBorder="1" applyAlignment="1">
      <alignment vertical="center"/>
    </xf>
    <xf numFmtId="165" fontId="29" fillId="15" borderId="123" xfId="4" applyNumberFormat="1" applyFont="1" applyFill="1" applyBorder="1" applyAlignment="1">
      <alignment vertical="center"/>
    </xf>
    <xf numFmtId="0" fontId="29" fillId="0" borderId="14" xfId="0" applyFont="1" applyBorder="1"/>
    <xf numFmtId="165" fontId="30" fillId="0" borderId="90" xfId="4" applyNumberFormat="1" applyFont="1" applyBorder="1" applyAlignment="1">
      <alignment vertical="top" wrapText="1"/>
    </xf>
    <xf numFmtId="165" fontId="30" fillId="0" borderId="23" xfId="4" applyNumberFormat="1" applyFont="1" applyBorder="1" applyAlignment="1">
      <alignment vertical="top" wrapText="1"/>
    </xf>
    <xf numFmtId="165" fontId="66" fillId="0" borderId="78" xfId="4" applyNumberFormat="1" applyFont="1" applyBorder="1" applyAlignment="1">
      <alignment vertical="top"/>
    </xf>
    <xf numFmtId="165" fontId="29" fillId="0" borderId="83" xfId="0" applyNumberFormat="1" applyFont="1" applyBorder="1"/>
    <xf numFmtId="165" fontId="30" fillId="0" borderId="91" xfId="0" applyNumberFormat="1" applyFont="1" applyBorder="1"/>
    <xf numFmtId="165" fontId="30" fillId="15" borderId="51" xfId="4" applyNumberFormat="1" applyFont="1" applyFill="1" applyBorder="1" applyAlignment="1">
      <alignment vertical="center"/>
    </xf>
    <xf numFmtId="49" fontId="29" fillId="0" borderId="22" xfId="0" applyNumberFormat="1" applyFont="1" applyBorder="1" applyAlignment="1">
      <alignment horizontal="center"/>
    </xf>
    <xf numFmtId="49" fontId="30" fillId="15" borderId="86" xfId="0" applyNumberFormat="1" applyFont="1" applyFill="1" applyBorder="1" applyAlignment="1">
      <alignment vertical="center"/>
    </xf>
    <xf numFmtId="49" fontId="30" fillId="15" borderId="28" xfId="0" applyNumberFormat="1" applyFont="1" applyFill="1" applyBorder="1" applyAlignment="1">
      <alignment horizontal="center" vertical="center"/>
    </xf>
    <xf numFmtId="0" fontId="30" fillId="15" borderId="29" xfId="0" applyFont="1" applyFill="1" applyBorder="1" applyAlignment="1">
      <alignment vertical="center"/>
    </xf>
    <xf numFmtId="0" fontId="30" fillId="15" borderId="0" xfId="0" applyFont="1" applyFill="1" applyAlignment="1">
      <alignment vertical="center"/>
    </xf>
    <xf numFmtId="49" fontId="30" fillId="18" borderId="86" xfId="0" applyNumberFormat="1" applyFont="1" applyFill="1" applyBorder="1" applyAlignment="1">
      <alignment horizontal="center"/>
    </xf>
    <xf numFmtId="49" fontId="30" fillId="11" borderId="28" xfId="0" applyNumberFormat="1" applyFont="1" applyFill="1" applyBorder="1" applyAlignment="1">
      <alignment horizontal="center"/>
    </xf>
    <xf numFmtId="0" fontId="30" fillId="11" borderId="0" xfId="0" applyFont="1" applyFill="1"/>
    <xf numFmtId="49" fontId="29" fillId="19" borderId="16" xfId="0" applyNumberFormat="1" applyFont="1" applyFill="1" applyBorder="1" applyAlignment="1">
      <alignment horizontal="center"/>
    </xf>
    <xf numFmtId="0" fontId="30" fillId="19" borderId="17" xfId="0" applyFont="1" applyFill="1" applyBorder="1"/>
    <xf numFmtId="0" fontId="29" fillId="19" borderId="17" xfId="0" applyFont="1" applyFill="1" applyBorder="1"/>
    <xf numFmtId="49" fontId="30" fillId="11" borderId="86" xfId="0" applyNumberFormat="1" applyFont="1" applyFill="1" applyBorder="1" applyAlignment="1">
      <alignment horizontal="center"/>
    </xf>
    <xf numFmtId="49" fontId="66" fillId="0" borderId="82" xfId="0" applyNumberFormat="1" applyFont="1" applyBorder="1"/>
    <xf numFmtId="49" fontId="57" fillId="0" borderId="13" xfId="0" applyNumberFormat="1" applyFont="1" applyBorder="1" applyAlignment="1">
      <alignment horizontal="center"/>
    </xf>
    <xf numFmtId="0" fontId="66" fillId="0" borderId="14" xfId="0" applyFont="1" applyBorder="1"/>
    <xf numFmtId="170" fontId="29" fillId="16" borderId="16" xfId="4" applyNumberFormat="1" applyFont="1" applyFill="1" applyBorder="1"/>
    <xf numFmtId="0" fontId="30" fillId="15" borderId="54" xfId="0" applyFont="1" applyFill="1" applyBorder="1" applyAlignment="1">
      <alignment vertical="center"/>
    </xf>
    <xf numFmtId="170" fontId="38" fillId="15" borderId="28" xfId="4" applyNumberFormat="1" applyFont="1" applyFill="1" applyBorder="1" applyAlignment="1">
      <alignment vertical="center" wrapText="1"/>
    </xf>
    <xf numFmtId="170" fontId="30" fillId="15" borderId="28" xfId="4" applyNumberFormat="1" applyFont="1" applyFill="1" applyBorder="1" applyAlignment="1">
      <alignment vertical="center" wrapText="1"/>
    </xf>
    <xf numFmtId="165" fontId="29" fillId="15" borderId="29" xfId="4" applyNumberFormat="1" applyFont="1" applyFill="1" applyBorder="1" applyAlignment="1">
      <alignment vertical="center" wrapText="1"/>
    </xf>
    <xf numFmtId="170" fontId="67" fillId="4" borderId="16" xfId="0" applyNumberFormat="1" applyFont="1" applyFill="1" applyBorder="1"/>
    <xf numFmtId="165" fontId="67" fillId="0" borderId="24" xfId="0" applyNumberFormat="1" applyFont="1" applyBorder="1"/>
    <xf numFmtId="170" fontId="29" fillId="31" borderId="10" xfId="0" applyNumberFormat="1" applyFont="1" applyFill="1" applyBorder="1"/>
    <xf numFmtId="170" fontId="29" fillId="17" borderId="10" xfId="0" applyNumberFormat="1" applyFont="1" applyFill="1" applyBorder="1"/>
    <xf numFmtId="170" fontId="38" fillId="11" borderId="28" xfId="4" applyNumberFormat="1" applyFont="1" applyFill="1" applyBorder="1"/>
    <xf numFmtId="170" fontId="30" fillId="11" borderId="28" xfId="4" applyNumberFormat="1" applyFont="1" applyFill="1" applyBorder="1"/>
    <xf numFmtId="165" fontId="29" fillId="11" borderId="29" xfId="4" applyNumberFormat="1" applyFont="1" applyFill="1" applyBorder="1"/>
    <xf numFmtId="170" fontId="30" fillId="21" borderId="16" xfId="4" applyNumberFormat="1" applyFont="1" applyFill="1" applyBorder="1"/>
    <xf numFmtId="170" fontId="29" fillId="17" borderId="16" xfId="4" applyNumberFormat="1" applyFont="1" applyFill="1" applyBorder="1"/>
    <xf numFmtId="170" fontId="69" fillId="0" borderId="13" xfId="4" applyNumberFormat="1" applyFont="1" applyBorder="1"/>
    <xf numFmtId="170" fontId="57" fillId="0" borderId="13" xfId="4" applyNumberFormat="1" applyFont="1" applyBorder="1"/>
    <xf numFmtId="165" fontId="57" fillId="0" borderId="82" xfId="4" applyNumberFormat="1" applyFont="1" applyBorder="1"/>
    <xf numFmtId="165" fontId="30" fillId="15" borderId="28" xfId="4" applyNumberFormat="1" applyFont="1" applyFill="1" applyBorder="1" applyAlignment="1">
      <alignment vertical="center" wrapText="1"/>
    </xf>
    <xf numFmtId="165" fontId="29" fillId="0" borderId="16" xfId="0" applyNumberFormat="1" applyFont="1" applyBorder="1" applyAlignment="1">
      <alignment wrapText="1"/>
    </xf>
    <xf numFmtId="165" fontId="30" fillId="11" borderId="28" xfId="4" applyNumberFormat="1" applyFont="1" applyFill="1" applyBorder="1"/>
    <xf numFmtId="165" fontId="29" fillId="0" borderId="13" xfId="4" applyNumberFormat="1" applyFont="1" applyBorder="1" applyAlignment="1">
      <alignment horizontal="right"/>
    </xf>
    <xf numFmtId="0" fontId="35" fillId="11" borderId="0" xfId="0" applyFont="1" applyFill="1"/>
    <xf numFmtId="49" fontId="30" fillId="0" borderId="82" xfId="0" applyNumberFormat="1" applyFont="1" applyBorder="1"/>
    <xf numFmtId="0" fontId="47" fillId="11" borderId="0" xfId="0" applyFont="1" applyFill="1"/>
    <xf numFmtId="170" fontId="29" fillId="4" borderId="16" xfId="4" applyNumberFormat="1" applyFont="1" applyFill="1" applyBorder="1" applyAlignment="1">
      <alignment horizontal="right"/>
    </xf>
    <xf numFmtId="170" fontId="29" fillId="0" borderId="16" xfId="4" applyNumberFormat="1" applyFont="1" applyBorder="1" applyAlignment="1">
      <alignment horizontal="right"/>
    </xf>
    <xf numFmtId="170" fontId="29" fillId="14" borderId="10" xfId="0" applyNumberFormat="1" applyFont="1" applyFill="1" applyBorder="1"/>
    <xf numFmtId="49" fontId="31" fillId="0" borderId="22" xfId="0" applyNumberFormat="1" applyFont="1" applyBorder="1"/>
    <xf numFmtId="49" fontId="56" fillId="0" borderId="10" xfId="0" applyNumberFormat="1" applyFont="1" applyBorder="1" applyAlignment="1">
      <alignment horizontal="center"/>
    </xf>
    <xf numFmtId="0" fontId="56" fillId="0" borderId="19" xfId="0" applyFont="1" applyBorder="1"/>
    <xf numFmtId="49" fontId="30" fillId="0" borderId="82" xfId="0" applyNumberFormat="1" applyFont="1" applyBorder="1" applyAlignment="1">
      <alignment horizontal="center"/>
    </xf>
    <xf numFmtId="49" fontId="30" fillId="0" borderId="13" xfId="0" applyNumberFormat="1" applyFont="1" applyBorder="1" applyAlignment="1">
      <alignment horizontal="center"/>
    </xf>
    <xf numFmtId="170" fontId="29" fillId="14" borderId="10" xfId="3" applyNumberFormat="1" applyFont="1" applyFill="1" applyBorder="1"/>
    <xf numFmtId="170" fontId="71" fillId="0" borderId="10" xfId="3" applyNumberFormat="1" applyFont="1" applyBorder="1"/>
    <xf numFmtId="170" fontId="56" fillId="0" borderId="10" xfId="3" applyNumberFormat="1" applyFont="1" applyBorder="1"/>
    <xf numFmtId="170" fontId="56" fillId="4" borderId="10" xfId="3" applyNumberFormat="1" applyFont="1" applyFill="1" applyBorder="1"/>
    <xf numFmtId="170" fontId="56" fillId="0" borderId="10" xfId="0" applyNumberFormat="1" applyFont="1" applyBorder="1"/>
    <xf numFmtId="165" fontId="56" fillId="0" borderId="22" xfId="0" applyNumberFormat="1" applyFont="1" applyBorder="1"/>
    <xf numFmtId="165" fontId="56" fillId="0" borderId="10" xfId="3" applyNumberFormat="1" applyFont="1" applyBorder="1"/>
    <xf numFmtId="165" fontId="29" fillId="0" borderId="16" xfId="0" applyNumberFormat="1" applyFont="1" applyBorder="1" applyAlignment="1">
      <alignment horizontal="center"/>
    </xf>
    <xf numFmtId="49" fontId="30" fillId="18" borderId="28" xfId="0" applyNumberFormat="1" applyFont="1" applyFill="1" applyBorder="1" applyAlignment="1">
      <alignment horizontal="center"/>
    </xf>
    <xf numFmtId="0" fontId="30" fillId="18" borderId="0" xfId="0" applyFont="1" applyFill="1"/>
    <xf numFmtId="0" fontId="72" fillId="0" borderId="19" xfId="0" applyFont="1" applyBorder="1" applyAlignment="1">
      <alignment horizontal="left" wrapText="1"/>
    </xf>
    <xf numFmtId="170" fontId="29" fillId="31" borderId="10" xfId="3" applyNumberFormat="1" applyFont="1" applyFill="1" applyBorder="1"/>
    <xf numFmtId="170" fontId="38" fillId="18" borderId="28" xfId="4" applyNumberFormat="1" applyFont="1" applyFill="1" applyBorder="1"/>
    <xf numFmtId="170" fontId="30" fillId="18" borderId="28" xfId="4" applyNumberFormat="1" applyFont="1" applyFill="1" applyBorder="1"/>
    <xf numFmtId="170" fontId="30" fillId="23" borderId="28" xfId="4" applyNumberFormat="1" applyFont="1" applyFill="1" applyBorder="1"/>
    <xf numFmtId="165" fontId="29" fillId="18" borderId="29" xfId="4" applyNumberFormat="1" applyFont="1" applyFill="1" applyBorder="1"/>
    <xf numFmtId="170" fontId="42" fillId="0" borderId="16" xfId="3" applyNumberFormat="1" applyFont="1" applyBorder="1"/>
    <xf numFmtId="170" fontId="42" fillId="4" borderId="16" xfId="3" applyNumberFormat="1" applyFont="1" applyFill="1" applyBorder="1"/>
    <xf numFmtId="165" fontId="30" fillId="18" borderId="28" xfId="4" applyNumberFormat="1" applyFont="1" applyFill="1" applyBorder="1"/>
    <xf numFmtId="165" fontId="29" fillId="0" borderId="16" xfId="3" applyNumberFormat="1" applyFont="1" applyBorder="1" applyAlignment="1">
      <alignment horizontal="right"/>
    </xf>
    <xf numFmtId="165" fontId="35" fillId="4" borderId="16" xfId="1" applyFont="1" applyFill="1" applyBorder="1"/>
    <xf numFmtId="18" fontId="30" fillId="4" borderId="16" xfId="3" applyNumberFormat="1" applyFont="1" applyFill="1" applyBorder="1"/>
    <xf numFmtId="49" fontId="29" fillId="11" borderId="28" xfId="0" applyNumberFormat="1" applyFont="1" applyFill="1" applyBorder="1" applyAlignment="1">
      <alignment horizontal="center"/>
    </xf>
    <xf numFmtId="49" fontId="30" fillId="0" borderId="120" xfId="0" applyNumberFormat="1" applyFont="1" applyBorder="1" applyAlignment="1">
      <alignment horizontal="center"/>
    </xf>
    <xf numFmtId="49" fontId="30" fillId="15" borderId="51" xfId="0" applyNumberFormat="1" applyFont="1" applyFill="1" applyBorder="1" applyAlignment="1">
      <alignment horizontal="center"/>
    </xf>
    <xf numFmtId="49" fontId="29" fillId="15" borderId="51" xfId="0" applyNumberFormat="1" applyFont="1" applyFill="1" applyBorder="1" applyAlignment="1">
      <alignment horizontal="center"/>
    </xf>
    <xf numFmtId="0" fontId="51" fillId="15" borderId="89" xfId="0" applyFont="1" applyFill="1" applyBorder="1"/>
    <xf numFmtId="0" fontId="30" fillId="15" borderId="89" xfId="0" applyFont="1" applyFill="1" applyBorder="1"/>
    <xf numFmtId="0" fontId="72" fillId="0" borderId="17" xfId="0" applyFont="1" applyBorder="1" applyAlignment="1">
      <alignment horizontal="left"/>
    </xf>
    <xf numFmtId="170" fontId="38" fillId="15" borderId="51" xfId="4" applyNumberFormat="1" applyFont="1" applyFill="1" applyBorder="1"/>
    <xf numFmtId="170" fontId="30" fillId="15" borderId="51" xfId="4" applyNumberFormat="1" applyFont="1" applyFill="1" applyBorder="1"/>
    <xf numFmtId="165" fontId="29" fillId="15" borderId="123" xfId="4" applyNumberFormat="1" applyFont="1" applyFill="1" applyBorder="1"/>
    <xf numFmtId="170" fontId="74" fillId="0" borderId="16" xfId="4" applyNumberFormat="1" applyFont="1" applyBorder="1"/>
    <xf numFmtId="170" fontId="67" fillId="17" borderId="16" xfId="4" applyNumberFormat="1" applyFont="1" applyFill="1" applyBorder="1"/>
    <xf numFmtId="170" fontId="38" fillId="0" borderId="10" xfId="4" applyNumberFormat="1" applyFont="1" applyBorder="1"/>
    <xf numFmtId="170" fontId="30" fillId="11" borderId="109" xfId="0" applyNumberFormat="1" applyFont="1" applyFill="1" applyBorder="1"/>
    <xf numFmtId="170" fontId="30" fillId="11" borderId="54" xfId="0" applyNumberFormat="1" applyFont="1" applyFill="1" applyBorder="1"/>
    <xf numFmtId="170" fontId="30" fillId="11" borderId="28" xfId="0" applyNumberFormat="1" applyFont="1" applyFill="1" applyBorder="1"/>
    <xf numFmtId="165" fontId="30" fillId="15" borderId="51" xfId="4" applyNumberFormat="1" applyFont="1" applyFill="1" applyBorder="1"/>
    <xf numFmtId="0" fontId="57" fillId="0" borderId="44" xfId="0" applyFont="1" applyBorder="1" applyAlignment="1">
      <alignment horizontal="center"/>
    </xf>
    <xf numFmtId="168" fontId="139" fillId="0" borderId="44" xfId="2" applyBorder="1" applyAlignment="1">
      <alignment horizontal="center"/>
    </xf>
    <xf numFmtId="165" fontId="39" fillId="0" borderId="13" xfId="4" applyNumberFormat="1" applyFont="1" applyBorder="1" applyAlignment="1">
      <alignment vertical="top" wrapText="1"/>
    </xf>
    <xf numFmtId="165" fontId="39" fillId="0" borderId="16" xfId="0" applyNumberFormat="1" applyFont="1" applyBorder="1" applyAlignment="1">
      <alignment vertical="top" wrapText="1"/>
    </xf>
    <xf numFmtId="0" fontId="29" fillId="0" borderId="10" xfId="0" applyFont="1" applyBorder="1"/>
    <xf numFmtId="43" fontId="29" fillId="11" borderId="0" xfId="0" applyNumberFormat="1" applyFont="1" applyFill="1"/>
    <xf numFmtId="49" fontId="30" fillId="0" borderId="24" xfId="0" applyNumberFormat="1" applyFont="1" applyBorder="1" applyAlignment="1">
      <alignment vertical="center"/>
    </xf>
    <xf numFmtId="49" fontId="30" fillId="0" borderId="23" xfId="0" applyNumberFormat="1" applyFont="1" applyBorder="1" applyAlignment="1">
      <alignment horizontal="center" vertical="center"/>
    </xf>
    <xf numFmtId="0" fontId="30" fillId="0" borderId="69" xfId="0" applyFont="1" applyBorder="1" applyAlignment="1">
      <alignment vertical="center"/>
    </xf>
    <xf numFmtId="0" fontId="50" fillId="4" borderId="24" xfId="0" applyFont="1" applyFill="1" applyBorder="1"/>
    <xf numFmtId="170" fontId="38" fillId="0" borderId="23" xfId="0" applyNumberFormat="1" applyFont="1" applyBorder="1" applyAlignment="1">
      <alignment vertical="center"/>
    </xf>
    <xf numFmtId="170" fontId="30" fillId="0" borderId="23" xfId="0" applyNumberFormat="1" applyFont="1" applyBorder="1" applyAlignment="1">
      <alignment vertical="center"/>
    </xf>
    <xf numFmtId="170" fontId="30" fillId="17" borderId="23" xfId="0" applyNumberFormat="1" applyFont="1" applyFill="1" applyBorder="1" applyAlignment="1">
      <alignment vertical="center"/>
    </xf>
    <xf numFmtId="165" fontId="30" fillId="0" borderId="23" xfId="0" applyNumberFormat="1" applyFont="1" applyBorder="1" applyAlignment="1">
      <alignment vertical="center"/>
    </xf>
    <xf numFmtId="170" fontId="67" fillId="0" borderId="26" xfId="0" applyNumberFormat="1" applyFont="1" applyBorder="1"/>
    <xf numFmtId="175" fontId="30" fillId="0" borderId="24" xfId="0" applyNumberFormat="1" applyFont="1" applyBorder="1"/>
    <xf numFmtId="165" fontId="30" fillId="0" borderId="16" xfId="0" applyNumberFormat="1" applyFont="1" applyBorder="1" applyAlignment="1">
      <alignment vertical="center"/>
    </xf>
    <xf numFmtId="0" fontId="30" fillId="0" borderId="0" xfId="0" applyFont="1" applyAlignment="1">
      <alignment horizontal="center" vertical="center"/>
    </xf>
    <xf numFmtId="49" fontId="77" fillId="4" borderId="118" xfId="0" applyNumberFormat="1" applyFont="1" applyFill="1" applyBorder="1" applyAlignment="1">
      <alignment horizontal="center"/>
    </xf>
    <xf numFmtId="49" fontId="76" fillId="4" borderId="19" xfId="0" applyNumberFormat="1" applyFont="1" applyFill="1" applyBorder="1"/>
    <xf numFmtId="0" fontId="76" fillId="4" borderId="19" xfId="0" applyFont="1" applyFill="1" applyBorder="1"/>
    <xf numFmtId="49" fontId="30" fillId="11" borderId="125" xfId="0" applyNumberFormat="1" applyFont="1" applyFill="1" applyBorder="1"/>
    <xf numFmtId="49" fontId="30" fillId="11" borderId="125" xfId="0" applyNumberFormat="1" applyFont="1" applyFill="1" applyBorder="1" applyAlignment="1">
      <alignment horizontal="center"/>
    </xf>
    <xf numFmtId="49" fontId="29" fillId="11" borderId="125" xfId="0" applyNumberFormat="1" applyFont="1" applyFill="1" applyBorder="1" applyAlignment="1">
      <alignment horizontal="center"/>
    </xf>
    <xf numFmtId="0" fontId="30" fillId="11" borderId="125" xfId="0" applyFont="1" applyFill="1" applyBorder="1"/>
    <xf numFmtId="0" fontId="29" fillId="11" borderId="125" xfId="0" applyFont="1" applyFill="1" applyBorder="1"/>
    <xf numFmtId="170" fontId="39" fillId="11" borderId="125" xfId="0" applyNumberFormat="1" applyFont="1" applyFill="1" applyBorder="1"/>
    <xf numFmtId="170" fontId="30" fillId="11" borderId="125" xfId="0" applyNumberFormat="1" applyFont="1" applyFill="1" applyBorder="1"/>
    <xf numFmtId="165" fontId="30" fillId="11" borderId="113" xfId="0" applyNumberFormat="1" applyFont="1" applyFill="1" applyBorder="1"/>
    <xf numFmtId="165" fontId="30" fillId="11" borderId="123" xfId="4" applyNumberFormat="1" applyFont="1" applyFill="1" applyBorder="1"/>
    <xf numFmtId="170" fontId="35" fillId="11" borderId="28" xfId="4" applyNumberFormat="1" applyFont="1" applyFill="1" applyBorder="1"/>
    <xf numFmtId="165" fontId="37" fillId="11" borderId="29" xfId="4" applyNumberFormat="1" applyFont="1" applyFill="1" applyBorder="1"/>
    <xf numFmtId="170" fontId="35" fillId="0" borderId="13" xfId="4" applyNumberFormat="1" applyFont="1" applyBorder="1"/>
    <xf numFmtId="165" fontId="37" fillId="0" borderId="82" xfId="4" applyNumberFormat="1" applyFont="1" applyBorder="1"/>
    <xf numFmtId="170" fontId="37" fillId="31" borderId="16" xfId="3" applyNumberFormat="1" applyFont="1" applyFill="1" applyBorder="1"/>
    <xf numFmtId="170" fontId="35" fillId="0" borderId="24" xfId="3" applyNumberFormat="1" applyFont="1" applyBorder="1"/>
    <xf numFmtId="165" fontId="29" fillId="0" borderId="16" xfId="3" applyNumberFormat="1" applyFont="1" applyBorder="1" applyAlignment="1">
      <alignment horizontal="left"/>
    </xf>
    <xf numFmtId="165" fontId="30" fillId="0" borderId="16" xfId="3" applyNumberFormat="1" applyFont="1" applyBorder="1" applyAlignment="1">
      <alignment horizontal="left"/>
    </xf>
    <xf numFmtId="165" fontId="29" fillId="11" borderId="78" xfId="3" applyNumberFormat="1" applyFont="1" applyFill="1" applyBorder="1"/>
    <xf numFmtId="165" fontId="29" fillId="0" borderId="16" xfId="3" applyNumberFormat="1" applyFont="1" applyBorder="1" applyAlignment="1">
      <alignment vertical="top" wrapText="1"/>
    </xf>
    <xf numFmtId="165" fontId="66" fillId="11" borderId="28" xfId="4" applyNumberFormat="1" applyFont="1" applyFill="1" applyBorder="1" applyAlignment="1">
      <alignment wrapText="1"/>
    </xf>
    <xf numFmtId="49" fontId="30" fillId="0" borderId="22" xfId="0" applyNumberFormat="1" applyFont="1" applyBorder="1" applyAlignment="1">
      <alignment horizontal="center"/>
    </xf>
    <xf numFmtId="170" fontId="80" fillId="4" borderId="16" xfId="0" applyNumberFormat="1" applyFont="1" applyFill="1" applyBorder="1"/>
    <xf numFmtId="170" fontId="37" fillId="17" borderId="16" xfId="0" applyNumberFormat="1" applyFont="1" applyFill="1" applyBorder="1"/>
    <xf numFmtId="170" fontId="80" fillId="31" borderId="16" xfId="3" applyNumberFormat="1" applyFont="1" applyFill="1" applyBorder="1"/>
    <xf numFmtId="170" fontId="29" fillId="24" borderId="16" xfId="4" applyNumberFormat="1" applyFont="1" applyFill="1" applyBorder="1"/>
    <xf numFmtId="166" fontId="39" fillId="0" borderId="13" xfId="0" applyNumberFormat="1" applyFont="1" applyBorder="1" applyAlignment="1">
      <alignment vertical="top" wrapText="1"/>
    </xf>
    <xf numFmtId="166" fontId="39" fillId="0" borderId="16" xfId="0" applyNumberFormat="1" applyFont="1" applyBorder="1" applyAlignment="1">
      <alignment vertical="top" wrapText="1"/>
    </xf>
    <xf numFmtId="166" fontId="39" fillId="0" borderId="10" xfId="0" applyNumberFormat="1" applyFont="1" applyBorder="1" applyAlignment="1">
      <alignment vertical="top" wrapText="1"/>
    </xf>
    <xf numFmtId="0" fontId="29" fillId="0" borderId="13" xfId="0" applyFont="1" applyBorder="1"/>
    <xf numFmtId="170" fontId="69" fillId="0" borderId="16" xfId="0" applyNumberFormat="1" applyFont="1" applyBorder="1"/>
    <xf numFmtId="165" fontId="29" fillId="0" borderId="10" xfId="0" applyNumberFormat="1" applyFont="1" applyBorder="1" applyAlignment="1">
      <alignment wrapText="1"/>
    </xf>
    <xf numFmtId="174" fontId="29" fillId="0" borderId="16" xfId="0" applyNumberFormat="1" applyFont="1" applyBorder="1" applyAlignment="1">
      <alignment vertical="top" wrapText="1"/>
    </xf>
    <xf numFmtId="174" fontId="29" fillId="0" borderId="10" xfId="0" applyNumberFormat="1" applyFont="1" applyBorder="1" applyAlignment="1">
      <alignment vertical="top" wrapText="1"/>
    </xf>
    <xf numFmtId="170" fontId="30" fillId="17" borderId="16" xfId="3" applyNumberFormat="1" applyFont="1" applyFill="1" applyBorder="1"/>
    <xf numFmtId="165" fontId="29" fillId="4" borderId="24" xfId="4" applyNumberFormat="1" applyFont="1" applyFill="1" applyBorder="1"/>
    <xf numFmtId="170" fontId="30" fillId="14" borderId="16" xfId="0" applyNumberFormat="1" applyFont="1" applyFill="1" applyBorder="1"/>
    <xf numFmtId="165" fontId="66" fillId="0" borderId="13" xfId="4" applyNumberFormat="1" applyFont="1" applyBorder="1"/>
    <xf numFmtId="165" fontId="66" fillId="0" borderId="16" xfId="4" applyNumberFormat="1" applyFont="1" applyBorder="1"/>
    <xf numFmtId="2" fontId="29" fillId="0" borderId="0" xfId="0" applyNumberFormat="1" applyFont="1" applyAlignment="1">
      <alignment horizontal="center"/>
    </xf>
    <xf numFmtId="165" fontId="29" fillId="0" borderId="16" xfId="0" applyNumberFormat="1" applyFont="1" applyBorder="1" applyAlignment="1">
      <alignment horizontal="left" wrapText="1"/>
    </xf>
    <xf numFmtId="0" fontId="29" fillId="0" borderId="19" xfId="0" applyFont="1" applyBorder="1" applyAlignment="1">
      <alignment horizontal="center"/>
    </xf>
    <xf numFmtId="170" fontId="29" fillId="29" borderId="10" xfId="0" applyNumberFormat="1" applyFont="1" applyFill="1" applyBorder="1"/>
    <xf numFmtId="170" fontId="30" fillId="4" borderId="13" xfId="4" applyNumberFormat="1" applyFont="1" applyFill="1" applyBorder="1"/>
    <xf numFmtId="170" fontId="29" fillId="8" borderId="16" xfId="3" applyNumberFormat="1" applyFont="1" applyFill="1" applyBorder="1"/>
    <xf numFmtId="165" fontId="39" fillId="0" borderId="13" xfId="0" applyNumberFormat="1" applyFont="1" applyBorder="1" applyAlignment="1">
      <alignment vertical="top" wrapText="1"/>
    </xf>
    <xf numFmtId="49" fontId="30" fillId="0" borderId="126" xfId="0" applyNumberFormat="1" applyFont="1" applyBorder="1"/>
    <xf numFmtId="49" fontId="29" fillId="0" borderId="127" xfId="0" applyNumberFormat="1" applyFont="1" applyBorder="1" applyAlignment="1">
      <alignment horizontal="center"/>
    </xf>
    <xf numFmtId="0" fontId="29" fillId="0" borderId="124" xfId="0" applyFont="1" applyBorder="1"/>
    <xf numFmtId="170" fontId="39" fillId="0" borderId="127" xfId="3" applyNumberFormat="1" applyFont="1" applyBorder="1"/>
    <xf numFmtId="170" fontId="29" fillId="0" borderId="127" xfId="3" applyNumberFormat="1" applyFont="1" applyBorder="1"/>
    <xf numFmtId="170" fontId="29" fillId="0" borderId="127" xfId="0" applyNumberFormat="1" applyFont="1" applyBorder="1"/>
    <xf numFmtId="165" fontId="29" fillId="0" borderId="124" xfId="0" applyNumberFormat="1" applyFont="1" applyBorder="1"/>
    <xf numFmtId="165" fontId="29" fillId="0" borderId="16" xfId="3" applyNumberFormat="1" applyFont="1" applyBorder="1" applyAlignment="1">
      <alignment horizontal="center"/>
    </xf>
    <xf numFmtId="170" fontId="38" fillId="0" borderId="78" xfId="0" applyNumberFormat="1" applyFont="1" applyBorder="1" applyAlignment="1">
      <alignment vertical="center"/>
    </xf>
    <xf numFmtId="170" fontId="30" fillId="0" borderId="78" xfId="0" applyNumberFormat="1" applyFont="1" applyBorder="1" applyAlignment="1">
      <alignment vertical="center"/>
    </xf>
    <xf numFmtId="165" fontId="29" fillId="0" borderId="79" xfId="0" applyNumberFormat="1" applyFont="1" applyBorder="1" applyAlignment="1">
      <alignment vertical="center"/>
    </xf>
    <xf numFmtId="165" fontId="30" fillId="0" borderId="78" xfId="0" applyNumberFormat="1" applyFont="1" applyBorder="1" applyAlignment="1">
      <alignment vertical="center"/>
    </xf>
    <xf numFmtId="0" fontId="29" fillId="16" borderId="0" xfId="0" applyFont="1" applyFill="1"/>
    <xf numFmtId="0" fontId="57" fillId="16" borderId="0" xfId="0" applyFont="1" applyFill="1" applyAlignment="1">
      <alignment vertical="center"/>
    </xf>
    <xf numFmtId="0" fontId="57" fillId="0" borderId="0" xfId="0" applyFont="1" applyAlignment="1">
      <alignment vertical="center"/>
    </xf>
    <xf numFmtId="49" fontId="60" fillId="0" borderId="0" xfId="0" applyNumberFormat="1" applyFont="1" applyAlignment="1">
      <alignment horizontal="center"/>
    </xf>
    <xf numFmtId="49" fontId="35" fillId="0" borderId="0" xfId="0" applyNumberFormat="1" applyFont="1" applyAlignment="1">
      <alignment horizontal="center"/>
    </xf>
    <xf numFmtId="0" fontId="89" fillId="0" borderId="0" xfId="0" applyFont="1"/>
    <xf numFmtId="0" fontId="35" fillId="0" borderId="0" xfId="0" applyFont="1"/>
    <xf numFmtId="49" fontId="51" fillId="0" borderId="0" xfId="0" applyNumberFormat="1" applyFont="1" applyAlignment="1">
      <alignment horizontal="center"/>
    </xf>
    <xf numFmtId="170" fontId="30" fillId="9" borderId="1" xfId="0" applyNumberFormat="1" applyFont="1" applyFill="1" applyBorder="1" applyAlignment="1">
      <alignment horizontal="center" vertical="center" wrapText="1"/>
    </xf>
    <xf numFmtId="49" fontId="30" fillId="9" borderId="28" xfId="0" applyNumberFormat="1" applyFont="1" applyFill="1" applyBorder="1" applyAlignment="1">
      <alignment horizontal="center"/>
    </xf>
    <xf numFmtId="170" fontId="30" fillId="9" borderId="28" xfId="0" applyNumberFormat="1" applyFont="1" applyFill="1" applyBorder="1" applyAlignment="1">
      <alignment horizontal="center" vertical="center" wrapText="1"/>
    </xf>
    <xf numFmtId="0" fontId="61" fillId="0" borderId="35" xfId="0" applyFont="1" applyBorder="1" applyAlignment="1">
      <alignment horizontal="center"/>
    </xf>
    <xf numFmtId="0" fontId="51" fillId="10" borderId="31" xfId="0" applyFont="1" applyFill="1" applyBorder="1"/>
    <xf numFmtId="170" fontId="30" fillId="10" borderId="5" xfId="0" applyNumberFormat="1" applyFont="1" applyFill="1" applyBorder="1"/>
    <xf numFmtId="0" fontId="51" fillId="0" borderId="0" xfId="0" applyFont="1"/>
    <xf numFmtId="49" fontId="29" fillId="10" borderId="5" xfId="0" applyNumberFormat="1" applyFont="1" applyFill="1" applyBorder="1" applyAlignment="1">
      <alignment horizontal="center"/>
    </xf>
    <xf numFmtId="49" fontId="30" fillId="18" borderId="48" xfId="0" applyNumberFormat="1" applyFont="1" applyFill="1" applyBorder="1" applyAlignment="1">
      <alignment horizontal="center"/>
    </xf>
    <xf numFmtId="0" fontId="51" fillId="11" borderId="50" xfId="0" applyFont="1" applyFill="1" applyBorder="1"/>
    <xf numFmtId="49" fontId="30" fillId="0" borderId="90" xfId="0" applyNumberFormat="1" applyFont="1" applyBorder="1" applyAlignment="1">
      <alignment horizontal="center"/>
    </xf>
    <xf numFmtId="170" fontId="30" fillId="0" borderId="90" xfId="0" applyNumberFormat="1" applyFont="1" applyBorder="1"/>
    <xf numFmtId="170" fontId="29" fillId="27" borderId="16" xfId="0" applyNumberFormat="1" applyFont="1" applyFill="1" applyBorder="1"/>
    <xf numFmtId="49" fontId="30" fillId="18" borderId="129" xfId="0" applyNumberFormat="1" applyFont="1" applyFill="1" applyBorder="1" applyAlignment="1">
      <alignment horizontal="center"/>
    </xf>
    <xf numFmtId="0" fontId="51" fillId="11" borderId="66" xfId="0" applyFont="1" applyFill="1" applyBorder="1"/>
    <xf numFmtId="0" fontId="51" fillId="21" borderId="11" xfId="0" applyFont="1" applyFill="1" applyBorder="1"/>
    <xf numFmtId="0" fontId="30" fillId="21" borderId="11" xfId="0" applyFont="1" applyFill="1" applyBorder="1"/>
    <xf numFmtId="170" fontId="30" fillId="21" borderId="21" xfId="0" applyNumberFormat="1" applyFont="1" applyFill="1" applyBorder="1"/>
    <xf numFmtId="170" fontId="30" fillId="21" borderId="21" xfId="4" applyNumberFormat="1" applyFont="1" applyFill="1" applyBorder="1"/>
    <xf numFmtId="49" fontId="29" fillId="0" borderId="93" xfId="0" applyNumberFormat="1" applyFont="1" applyBorder="1" applyAlignment="1">
      <alignment horizontal="center"/>
    </xf>
    <xf numFmtId="49" fontId="29" fillId="0" borderId="130" xfId="0" applyNumberFormat="1" applyFont="1" applyBorder="1" applyAlignment="1">
      <alignment horizontal="center"/>
    </xf>
    <xf numFmtId="0" fontId="51" fillId="21" borderId="89" xfId="0" applyFont="1" applyFill="1" applyBorder="1"/>
    <xf numFmtId="0" fontId="60" fillId="21" borderId="89" xfId="0" applyFont="1" applyFill="1" applyBorder="1"/>
    <xf numFmtId="170" fontId="30" fillId="21" borderId="51" xfId="0" applyNumberFormat="1" applyFont="1" applyFill="1" applyBorder="1"/>
    <xf numFmtId="170" fontId="30" fillId="21" borderId="51" xfId="4" applyNumberFormat="1" applyFont="1" applyFill="1" applyBorder="1"/>
    <xf numFmtId="49" fontId="30" fillId="0" borderId="37" xfId="0" applyNumberFormat="1" applyFont="1" applyBorder="1" applyAlignment="1">
      <alignment horizontal="center"/>
    </xf>
    <xf numFmtId="0" fontId="30" fillId="0" borderId="38" xfId="0" applyFont="1" applyBorder="1"/>
    <xf numFmtId="170" fontId="30" fillId="0" borderId="37" xfId="0" applyNumberFormat="1" applyFont="1" applyBorder="1"/>
    <xf numFmtId="170" fontId="30" fillId="0" borderId="37" xfId="4" applyNumberFormat="1" applyFont="1" applyBorder="1"/>
    <xf numFmtId="49" fontId="30" fillId="0" borderId="43" xfId="0" applyNumberFormat="1" applyFont="1" applyBorder="1" applyAlignment="1">
      <alignment horizontal="center"/>
    </xf>
    <xf numFmtId="49" fontId="29" fillId="0" borderId="59" xfId="0" applyNumberFormat="1" applyFont="1" applyBorder="1" applyAlignment="1">
      <alignment horizontal="center"/>
    </xf>
    <xf numFmtId="49" fontId="30" fillId="0" borderId="48" xfId="0" applyNumberFormat="1" applyFont="1" applyBorder="1" applyAlignment="1">
      <alignment horizontal="center"/>
    </xf>
    <xf numFmtId="0" fontId="30" fillId="21" borderId="50" xfId="0" applyFont="1" applyFill="1" applyBorder="1"/>
    <xf numFmtId="170" fontId="30" fillId="21" borderId="49" xfId="0" applyNumberFormat="1" applyFont="1" applyFill="1" applyBorder="1"/>
    <xf numFmtId="170" fontId="30" fillId="21" borderId="49" xfId="4" applyNumberFormat="1" applyFont="1" applyFill="1" applyBorder="1"/>
    <xf numFmtId="49" fontId="29" fillId="0" borderId="37" xfId="0" applyNumberFormat="1" applyFont="1" applyBorder="1" applyAlignment="1">
      <alignment horizontal="center"/>
    </xf>
    <xf numFmtId="0" fontId="29" fillId="0" borderId="38" xfId="0" applyFont="1" applyBorder="1"/>
    <xf numFmtId="170" fontId="29" fillId="0" borderId="37" xfId="0" applyNumberFormat="1" applyFont="1" applyBorder="1"/>
    <xf numFmtId="170" fontId="29" fillId="0" borderId="37" xfId="4" applyNumberFormat="1" applyFont="1" applyBorder="1"/>
    <xf numFmtId="170" fontId="29" fillId="27" borderId="43" xfId="0" applyNumberFormat="1" applyFont="1" applyFill="1" applyBorder="1"/>
    <xf numFmtId="0" fontId="51" fillId="21" borderId="50" xfId="0" applyFont="1" applyFill="1" applyBorder="1"/>
    <xf numFmtId="168" fontId="0" fillId="0" borderId="0" xfId="2" applyFont="1"/>
    <xf numFmtId="168" fontId="139" fillId="9" borderId="0" xfId="2" applyFill="1"/>
    <xf numFmtId="170" fontId="30" fillId="9" borderId="0" xfId="0" applyNumberFormat="1" applyFont="1" applyFill="1" applyAlignment="1">
      <alignment horizontal="center" vertical="center" wrapText="1"/>
    </xf>
    <xf numFmtId="0" fontId="30" fillId="0" borderId="35" xfId="0" applyFont="1" applyBorder="1" applyAlignment="1">
      <alignment horizontal="center"/>
    </xf>
    <xf numFmtId="0" fontId="29" fillId="0" borderId="7" xfId="0" applyFont="1" applyBorder="1"/>
    <xf numFmtId="0" fontId="30" fillId="0" borderId="6" xfId="0" applyFont="1" applyBorder="1"/>
    <xf numFmtId="165" fontId="30" fillId="0" borderId="121" xfId="4" applyNumberFormat="1" applyFont="1" applyBorder="1"/>
    <xf numFmtId="165" fontId="30" fillId="0" borderId="90" xfId="0" applyNumberFormat="1" applyFont="1" applyBorder="1"/>
    <xf numFmtId="168" fontId="139" fillId="0" borderId="66" xfId="2" applyBorder="1"/>
    <xf numFmtId="170" fontId="30" fillId="11" borderId="6" xfId="0" applyNumberFormat="1" applyFont="1" applyFill="1" applyBorder="1"/>
    <xf numFmtId="165" fontId="29" fillId="21" borderId="63" xfId="4" applyNumberFormat="1" applyFont="1" applyFill="1" applyBorder="1"/>
    <xf numFmtId="165" fontId="30" fillId="21" borderId="21" xfId="4" applyNumberFormat="1" applyFont="1" applyFill="1" applyBorder="1"/>
    <xf numFmtId="168" fontId="139" fillId="12" borderId="0" xfId="2" applyFill="1"/>
    <xf numFmtId="170" fontId="29" fillId="0" borderId="23" xfId="4" applyNumberFormat="1" applyFont="1" applyBorder="1"/>
    <xf numFmtId="165" fontId="29" fillId="21" borderId="123" xfId="4" applyNumberFormat="1" applyFont="1" applyFill="1" applyBorder="1"/>
    <xf numFmtId="165" fontId="30" fillId="21" borderId="51" xfId="4" applyNumberFormat="1" applyFont="1" applyFill="1" applyBorder="1"/>
    <xf numFmtId="168" fontId="139" fillId="13" borderId="0" xfId="2" applyFill="1"/>
    <xf numFmtId="165" fontId="30" fillId="0" borderId="131" xfId="4" applyNumberFormat="1" applyFont="1" applyBorder="1"/>
    <xf numFmtId="165" fontId="30" fillId="0" borderId="37" xfId="4" applyNumberFormat="1" applyFont="1" applyBorder="1"/>
    <xf numFmtId="165" fontId="29" fillId="0" borderId="43" xfId="0" applyNumberFormat="1" applyFont="1" applyBorder="1"/>
    <xf numFmtId="170" fontId="30" fillId="0" borderId="43" xfId="4" applyNumberFormat="1" applyFont="1" applyBorder="1"/>
    <xf numFmtId="165" fontId="30" fillId="0" borderId="96" xfId="4" applyNumberFormat="1" applyFont="1" applyBorder="1"/>
    <xf numFmtId="165" fontId="30" fillId="0" borderId="43" xfId="0" applyNumberFormat="1" applyFont="1" applyBorder="1"/>
    <xf numFmtId="165" fontId="29" fillId="21" borderId="73" xfId="4" applyNumberFormat="1" applyFont="1" applyFill="1" applyBorder="1"/>
    <xf numFmtId="165" fontId="30" fillId="21" borderId="49" xfId="4" applyNumberFormat="1" applyFont="1" applyFill="1" applyBorder="1"/>
    <xf numFmtId="165" fontId="29" fillId="0" borderId="131" xfId="4" applyNumberFormat="1" applyFont="1" applyBorder="1"/>
    <xf numFmtId="165" fontId="29" fillId="0" borderId="37" xfId="4" applyNumberFormat="1" applyFont="1" applyBorder="1"/>
    <xf numFmtId="165" fontId="29" fillId="0" borderId="96" xfId="4" applyNumberFormat="1" applyFont="1" applyBorder="1"/>
    <xf numFmtId="165" fontId="29" fillId="21" borderId="49" xfId="4" applyNumberFormat="1" applyFont="1" applyFill="1" applyBorder="1"/>
    <xf numFmtId="49" fontId="29" fillId="0" borderId="48" xfId="0" applyNumberFormat="1" applyFont="1" applyBorder="1" applyAlignment="1">
      <alignment horizontal="center"/>
    </xf>
    <xf numFmtId="0" fontId="60" fillId="21" borderId="50" xfId="0" applyFont="1" applyFill="1" applyBorder="1"/>
    <xf numFmtId="43" fontId="29" fillId="27" borderId="132" xfId="0" applyNumberFormat="1" applyFont="1" applyFill="1" applyBorder="1"/>
    <xf numFmtId="43" fontId="29" fillId="27" borderId="133" xfId="0" applyNumberFormat="1" applyFont="1" applyFill="1" applyBorder="1"/>
    <xf numFmtId="43" fontId="29" fillId="27" borderId="134" xfId="0" applyNumberFormat="1" applyFont="1" applyFill="1" applyBorder="1"/>
    <xf numFmtId="170" fontId="30" fillId="0" borderId="37" xfId="3" applyNumberFormat="1" applyFont="1" applyBorder="1"/>
    <xf numFmtId="170" fontId="30" fillId="27" borderId="43" xfId="0" applyNumberFormat="1" applyFont="1" applyFill="1" applyBorder="1"/>
    <xf numFmtId="170" fontId="30" fillId="0" borderId="64" xfId="4" applyNumberFormat="1" applyFont="1" applyBorder="1"/>
    <xf numFmtId="170" fontId="29" fillId="0" borderId="114" xfId="0" applyNumberFormat="1" applyFont="1" applyBorder="1"/>
    <xf numFmtId="170" fontId="30" fillId="21" borderId="37" xfId="4" applyNumberFormat="1" applyFont="1" applyFill="1" applyBorder="1"/>
    <xf numFmtId="170" fontId="30" fillId="21" borderId="60" xfId="4" applyNumberFormat="1" applyFont="1" applyFill="1" applyBorder="1"/>
    <xf numFmtId="170" fontId="29" fillId="0" borderId="93" xfId="0" applyNumberFormat="1" applyFont="1" applyBorder="1"/>
    <xf numFmtId="170" fontId="30" fillId="21" borderId="73" xfId="4" applyNumberFormat="1" applyFont="1" applyFill="1" applyBorder="1"/>
    <xf numFmtId="170" fontId="30" fillId="0" borderId="135" xfId="4" applyNumberFormat="1" applyFont="1" applyBorder="1"/>
    <xf numFmtId="170" fontId="30" fillId="0" borderId="136" xfId="4" applyNumberFormat="1" applyFont="1" applyBorder="1"/>
    <xf numFmtId="170" fontId="30" fillId="0" borderId="118" xfId="4" applyNumberFormat="1" applyFont="1" applyBorder="1"/>
    <xf numFmtId="170" fontId="29" fillId="0" borderId="18" xfId="0" applyNumberFormat="1" applyFont="1" applyBorder="1"/>
    <xf numFmtId="170" fontId="30" fillId="0" borderId="137" xfId="4" applyNumberFormat="1" applyFont="1" applyBorder="1"/>
    <xf numFmtId="170" fontId="29" fillId="0" borderId="43" xfId="4" applyNumberFormat="1" applyFont="1" applyBorder="1"/>
    <xf numFmtId="170" fontId="30" fillId="0" borderId="138" xfId="4" applyNumberFormat="1" applyFont="1" applyBorder="1"/>
    <xf numFmtId="165" fontId="29" fillId="0" borderId="21" xfId="0" applyNumberFormat="1" applyFont="1" applyBorder="1" applyAlignment="1">
      <alignment horizontal="left" wrapText="1"/>
    </xf>
    <xf numFmtId="170" fontId="30" fillId="11" borderId="35" xfId="4" applyNumberFormat="1" applyFont="1" applyFill="1" applyBorder="1"/>
    <xf numFmtId="170" fontId="30" fillId="11" borderId="60" xfId="4" applyNumberFormat="1" applyFont="1" applyFill="1" applyBorder="1"/>
    <xf numFmtId="170" fontId="30" fillId="0" borderId="139" xfId="4" applyNumberFormat="1" applyFont="1" applyBorder="1"/>
    <xf numFmtId="170" fontId="30" fillId="0" borderId="56" xfId="4" applyNumberFormat="1" applyFont="1" applyBorder="1"/>
    <xf numFmtId="165" fontId="30" fillId="0" borderId="37" xfId="3" applyNumberFormat="1" applyFont="1" applyBorder="1"/>
    <xf numFmtId="165" fontId="30" fillId="0" borderId="43" xfId="3" applyNumberFormat="1" applyFont="1" applyBorder="1"/>
    <xf numFmtId="170" fontId="29" fillId="0" borderId="58" xfId="0" applyNumberFormat="1" applyFont="1" applyBorder="1"/>
    <xf numFmtId="170" fontId="29" fillId="0" borderId="58" xfId="3" applyNumberFormat="1" applyFont="1" applyBorder="1"/>
    <xf numFmtId="165" fontId="29" fillId="0" borderId="96" xfId="3" applyNumberFormat="1" applyFont="1" applyBorder="1"/>
    <xf numFmtId="165" fontId="29" fillId="0" borderId="43" xfId="3" applyNumberFormat="1" applyFont="1" applyBorder="1"/>
    <xf numFmtId="170" fontId="30" fillId="0" borderId="65" xfId="4" applyNumberFormat="1" applyFont="1" applyBorder="1"/>
    <xf numFmtId="170" fontId="29" fillId="0" borderId="59" xfId="0" applyNumberFormat="1" applyFont="1" applyBorder="1"/>
    <xf numFmtId="170" fontId="30" fillId="11" borderId="139" xfId="4" applyNumberFormat="1" applyFont="1" applyFill="1" applyBorder="1"/>
    <xf numFmtId="170" fontId="30" fillId="0" borderId="140" xfId="4" applyNumberFormat="1" applyFont="1" applyBorder="1"/>
    <xf numFmtId="170" fontId="29" fillId="0" borderId="64" xfId="4" applyNumberFormat="1" applyFont="1" applyBorder="1"/>
    <xf numFmtId="170" fontId="29" fillId="0" borderId="141" xfId="4" applyNumberFormat="1" applyFont="1" applyBorder="1"/>
    <xf numFmtId="170" fontId="30" fillId="11" borderId="73" xfId="4" applyNumberFormat="1" applyFont="1" applyFill="1" applyBorder="1"/>
    <xf numFmtId="170" fontId="30" fillId="0" borderId="18" xfId="4" applyNumberFormat="1" applyFont="1" applyBorder="1"/>
    <xf numFmtId="170" fontId="29" fillId="0" borderId="118" xfId="4" applyNumberFormat="1" applyFont="1" applyBorder="1"/>
    <xf numFmtId="170" fontId="29" fillId="0" borderId="90" xfId="0" applyNumberFormat="1" applyFont="1" applyBorder="1"/>
    <xf numFmtId="170" fontId="29" fillId="0" borderId="90" xfId="4" applyNumberFormat="1" applyFont="1" applyBorder="1"/>
    <xf numFmtId="170" fontId="30" fillId="0" borderId="90" xfId="3" applyNumberFormat="1" applyFont="1" applyBorder="1"/>
    <xf numFmtId="49" fontId="31" fillId="0" borderId="23" xfId="0" applyNumberFormat="1" applyFont="1" applyBorder="1" applyAlignment="1">
      <alignment horizontal="center"/>
    </xf>
    <xf numFmtId="170" fontId="56" fillId="0" borderId="23" xfId="3" applyNumberFormat="1" applyFont="1" applyBorder="1"/>
    <xf numFmtId="49" fontId="30" fillId="4" borderId="56" xfId="0" applyNumberFormat="1" applyFont="1" applyFill="1" applyBorder="1" applyAlignment="1">
      <alignment horizontal="center"/>
    </xf>
    <xf numFmtId="0" fontId="30" fillId="0" borderId="41" xfId="0" applyFont="1" applyBorder="1"/>
    <xf numFmtId="0" fontId="30" fillId="4" borderId="38" xfId="0" applyFont="1" applyFill="1" applyBorder="1"/>
    <xf numFmtId="170" fontId="30" fillId="4" borderId="37" xfId="0" applyNumberFormat="1" applyFont="1" applyFill="1" applyBorder="1"/>
    <xf numFmtId="170" fontId="30" fillId="4" borderId="37" xfId="4" applyNumberFormat="1" applyFont="1" applyFill="1" applyBorder="1"/>
    <xf numFmtId="49" fontId="30" fillId="4" borderId="58" xfId="0" applyNumberFormat="1" applyFont="1" applyFill="1" applyBorder="1" applyAlignment="1">
      <alignment horizontal="center"/>
    </xf>
    <xf numFmtId="0" fontId="51" fillId="4" borderId="44" xfId="0" applyFont="1" applyFill="1" applyBorder="1"/>
    <xf numFmtId="0" fontId="29" fillId="4" borderId="44" xfId="0" applyFont="1" applyFill="1" applyBorder="1"/>
    <xf numFmtId="0" fontId="30" fillId="4" borderId="44" xfId="0" applyFont="1" applyFill="1" applyBorder="1"/>
    <xf numFmtId="170" fontId="30" fillId="4" borderId="43" xfId="0" applyNumberFormat="1" applyFont="1" applyFill="1" applyBorder="1"/>
    <xf numFmtId="170" fontId="30" fillId="4" borderId="43" xfId="4" applyNumberFormat="1" applyFont="1" applyFill="1" applyBorder="1"/>
    <xf numFmtId="49" fontId="30" fillId="0" borderId="40" xfId="0" applyNumberFormat="1" applyFont="1" applyBorder="1" applyAlignment="1">
      <alignment horizontal="center"/>
    </xf>
    <xf numFmtId="170" fontId="30" fillId="0" borderId="40" xfId="0" applyNumberFormat="1" applyFont="1" applyBorder="1"/>
    <xf numFmtId="170" fontId="29" fillId="0" borderId="18" xfId="4" applyNumberFormat="1" applyFont="1" applyBorder="1"/>
    <xf numFmtId="170" fontId="29" fillId="0" borderId="136" xfId="4" applyNumberFormat="1" applyFont="1" applyBorder="1"/>
    <xf numFmtId="165" fontId="29" fillId="0" borderId="90" xfId="4" applyNumberFormat="1" applyFont="1" applyBorder="1"/>
    <xf numFmtId="165" fontId="30" fillId="0" borderId="90" xfId="3" applyNumberFormat="1" applyFont="1" applyBorder="1"/>
    <xf numFmtId="170" fontId="29" fillId="0" borderId="18" xfId="3" applyNumberFormat="1" applyFont="1" applyBorder="1"/>
    <xf numFmtId="170" fontId="29" fillId="0" borderId="142" xfId="4" applyNumberFormat="1" applyFont="1" applyBorder="1"/>
    <xf numFmtId="170" fontId="29" fillId="0" borderId="12" xfId="4" applyNumberFormat="1" applyFont="1" applyBorder="1"/>
    <xf numFmtId="170" fontId="30" fillId="0" borderId="143" xfId="4" applyNumberFormat="1" applyFont="1" applyBorder="1"/>
    <xf numFmtId="170" fontId="30" fillId="0" borderId="144" xfId="4" applyNumberFormat="1" applyFont="1" applyBorder="1"/>
    <xf numFmtId="170" fontId="30" fillId="0" borderId="117" xfId="4" applyNumberFormat="1" applyFont="1" applyBorder="1"/>
    <xf numFmtId="170" fontId="30" fillId="0" borderId="53" xfId="4" applyNumberFormat="1" applyFont="1" applyBorder="1"/>
    <xf numFmtId="170" fontId="29" fillId="0" borderId="137" xfId="4" applyNumberFormat="1" applyFont="1" applyBorder="1"/>
    <xf numFmtId="170" fontId="56" fillId="0" borderId="93" xfId="0" applyNumberFormat="1" applyFont="1" applyBorder="1"/>
    <xf numFmtId="165" fontId="56" fillId="0" borderId="23" xfId="3" applyNumberFormat="1" applyFont="1" applyBorder="1"/>
    <xf numFmtId="165" fontId="30" fillId="4" borderId="37" xfId="4" applyNumberFormat="1" applyFont="1" applyFill="1" applyBorder="1"/>
    <xf numFmtId="170" fontId="30" fillId="0" borderId="57" xfId="4" applyNumberFormat="1" applyFont="1" applyBorder="1"/>
    <xf numFmtId="165" fontId="30" fillId="4" borderId="43" xfId="4" applyNumberFormat="1" applyFont="1" applyFill="1" applyBorder="1"/>
    <xf numFmtId="170" fontId="30" fillId="4" borderId="58" xfId="4" applyNumberFormat="1" applyFont="1" applyFill="1" applyBorder="1"/>
    <xf numFmtId="165" fontId="29" fillId="4" borderId="96" xfId="4" applyNumberFormat="1" applyFont="1" applyFill="1" applyBorder="1"/>
    <xf numFmtId="165" fontId="30" fillId="0" borderId="145" xfId="4" applyNumberFormat="1" applyFont="1" applyBorder="1"/>
    <xf numFmtId="165" fontId="30" fillId="0" borderId="40" xfId="0" applyNumberFormat="1" applyFont="1" applyBorder="1"/>
    <xf numFmtId="49" fontId="30" fillId="0" borderId="59" xfId="0" applyNumberFormat="1" applyFont="1" applyBorder="1" applyAlignment="1">
      <alignment horizontal="center"/>
    </xf>
    <xf numFmtId="0" fontId="90" fillId="0" borderId="47" xfId="0" applyFont="1" applyBorder="1"/>
    <xf numFmtId="0" fontId="29" fillId="0" borderId="17" xfId="0" applyFont="1" applyBorder="1" applyAlignment="1">
      <alignment horizontal="left" wrapText="1"/>
    </xf>
    <xf numFmtId="49" fontId="30" fillId="11" borderId="48" xfId="0" applyNumberFormat="1" applyFont="1" applyFill="1" applyBorder="1" applyAlignment="1">
      <alignment horizontal="center"/>
    </xf>
    <xf numFmtId="170" fontId="31" fillId="0" borderId="90" xfId="0" applyNumberFormat="1" applyFont="1" applyBorder="1"/>
    <xf numFmtId="170" fontId="31" fillId="0" borderId="90" xfId="3" applyNumberFormat="1" applyFont="1" applyBorder="1"/>
    <xf numFmtId="0" fontId="51" fillId="16" borderId="35" xfId="0" applyFont="1" applyFill="1" applyBorder="1" applyAlignment="1">
      <alignment horizontal="center"/>
    </xf>
    <xf numFmtId="0" fontId="51" fillId="16" borderId="35" xfId="0" applyFont="1" applyFill="1" applyBorder="1"/>
    <xf numFmtId="0" fontId="51" fillId="16" borderId="50" xfId="0" applyFont="1" applyFill="1" applyBorder="1"/>
    <xf numFmtId="170" fontId="30" fillId="16" borderId="49" xfId="0" applyNumberFormat="1" applyFont="1" applyFill="1" applyBorder="1"/>
    <xf numFmtId="170" fontId="30" fillId="16" borderId="49" xfId="4" applyNumberFormat="1" applyFont="1" applyFill="1" applyBorder="1"/>
    <xf numFmtId="170" fontId="30" fillId="0" borderId="58" xfId="4" applyNumberFormat="1" applyFont="1" applyBorder="1"/>
    <xf numFmtId="170" fontId="29" fillId="0" borderId="58" xfId="4" applyNumberFormat="1" applyFont="1" applyBorder="1"/>
    <xf numFmtId="165" fontId="29" fillId="0" borderId="90" xfId="3" applyNumberFormat="1" applyFont="1" applyBorder="1"/>
    <xf numFmtId="170" fontId="30" fillId="0" borderId="18" xfId="3" applyNumberFormat="1" applyFont="1" applyBorder="1"/>
    <xf numFmtId="170" fontId="30" fillId="0" borderId="18" xfId="0" applyNumberFormat="1" applyFont="1" applyBorder="1"/>
    <xf numFmtId="170" fontId="29" fillId="0" borderId="12" xfId="0" applyNumberFormat="1" applyFont="1" applyBorder="1"/>
    <xf numFmtId="170" fontId="29" fillId="0" borderId="54" xfId="0" applyNumberFormat="1" applyFont="1" applyBorder="1"/>
    <xf numFmtId="170" fontId="30" fillId="16" borderId="60" xfId="4" applyNumberFormat="1" applyFont="1" applyFill="1" applyBorder="1"/>
    <xf numFmtId="165" fontId="29" fillId="16" borderId="73" xfId="4" applyNumberFormat="1" applyFont="1" applyFill="1" applyBorder="1"/>
    <xf numFmtId="165" fontId="30" fillId="16" borderId="49" xfId="4" applyNumberFormat="1" applyFont="1" applyFill="1" applyBorder="1"/>
    <xf numFmtId="168" fontId="139" fillId="16" borderId="0" xfId="2" applyFill="1"/>
    <xf numFmtId="0" fontId="51" fillId="0" borderId="17" xfId="0" applyFont="1" applyBorder="1"/>
    <xf numFmtId="170" fontId="29" fillId="27" borderId="21" xfId="0" applyNumberFormat="1" applyFont="1" applyFill="1" applyBorder="1"/>
    <xf numFmtId="0" fontId="51" fillId="16" borderId="35" xfId="0" applyFont="1" applyFill="1" applyBorder="1" applyAlignment="1">
      <alignment horizontal="center" vertical="center"/>
    </xf>
    <xf numFmtId="0" fontId="51" fillId="16" borderId="35" xfId="0" applyFont="1" applyFill="1" applyBorder="1" applyAlignment="1">
      <alignment vertical="center"/>
    </xf>
    <xf numFmtId="0" fontId="51" fillId="16" borderId="50" xfId="0" applyFont="1" applyFill="1" applyBorder="1" applyAlignment="1">
      <alignment vertical="center"/>
    </xf>
    <xf numFmtId="170" fontId="30" fillId="16" borderId="35" xfId="0" applyNumberFormat="1" applyFont="1" applyFill="1" applyBorder="1" applyAlignment="1">
      <alignment vertical="center"/>
    </xf>
    <xf numFmtId="49" fontId="30" fillId="0" borderId="49" xfId="0" applyNumberFormat="1" applyFont="1" applyBorder="1" applyAlignment="1">
      <alignment horizontal="center"/>
    </xf>
    <xf numFmtId="0" fontId="35" fillId="0" borderId="50" xfId="0" applyFont="1" applyBorder="1"/>
    <xf numFmtId="0" fontId="29" fillId="0" borderId="50" xfId="0" applyFont="1" applyBorder="1"/>
    <xf numFmtId="170" fontId="30" fillId="0" borderId="49" xfId="0" applyNumberFormat="1" applyFont="1" applyBorder="1"/>
    <xf numFmtId="49" fontId="30" fillId="0" borderId="28" xfId="0" applyNumberFormat="1" applyFont="1" applyBorder="1" applyAlignment="1">
      <alignment horizontal="center" vertical="center"/>
    </xf>
    <xf numFmtId="0" fontId="35" fillId="0" borderId="0" xfId="0" applyFont="1" applyAlignment="1">
      <alignment vertical="center"/>
    </xf>
    <xf numFmtId="170" fontId="30" fillId="0" borderId="28" xfId="0" applyNumberFormat="1" applyFont="1" applyBorder="1" applyAlignment="1">
      <alignment vertical="center"/>
    </xf>
    <xf numFmtId="170" fontId="67" fillId="0" borderId="16" xfId="3" applyNumberFormat="1" applyFont="1" applyBorder="1"/>
    <xf numFmtId="170" fontId="67" fillId="0" borderId="18" xfId="0" applyNumberFormat="1" applyFont="1" applyBorder="1"/>
    <xf numFmtId="170" fontId="30" fillId="16" borderId="49" xfId="4" applyNumberFormat="1" applyFont="1" applyFill="1" applyBorder="1" applyAlignment="1">
      <alignment vertical="center"/>
    </xf>
    <xf numFmtId="170" fontId="30" fillId="16" borderId="60" xfId="0" applyNumberFormat="1" applyFont="1" applyFill="1" applyBorder="1" applyAlignment="1">
      <alignment vertical="center"/>
    </xf>
    <xf numFmtId="165" fontId="30" fillId="16" borderId="73" xfId="0" applyNumberFormat="1" applyFont="1" applyFill="1" applyBorder="1" applyAlignment="1">
      <alignment vertical="center"/>
    </xf>
    <xf numFmtId="165" fontId="30" fillId="16" borderId="35" xfId="3" applyNumberFormat="1" applyFont="1" applyFill="1" applyBorder="1" applyAlignment="1">
      <alignment vertical="center"/>
    </xf>
    <xf numFmtId="168" fontId="139" fillId="16" borderId="0" xfId="2" applyFill="1" applyAlignment="1">
      <alignment vertical="center"/>
    </xf>
    <xf numFmtId="170" fontId="30" fillId="0" borderId="49" xfId="4" applyNumberFormat="1" applyFont="1" applyBorder="1"/>
    <xf numFmtId="170" fontId="30" fillId="0" borderId="60" xfId="0" applyNumberFormat="1" applyFont="1" applyBorder="1"/>
    <xf numFmtId="165" fontId="30" fillId="0" borderId="73" xfId="0" applyNumberFormat="1" applyFont="1" applyBorder="1"/>
    <xf numFmtId="165" fontId="29" fillId="0" borderId="49" xfId="3" applyNumberFormat="1" applyFont="1" applyBorder="1"/>
    <xf numFmtId="170" fontId="29" fillId="0" borderId="28" xfId="4" applyNumberFormat="1" applyFont="1" applyBorder="1" applyAlignment="1">
      <alignment vertical="center"/>
    </xf>
    <xf numFmtId="170" fontId="29" fillId="0" borderId="54" xfId="0" applyNumberFormat="1" applyFont="1" applyBorder="1" applyAlignment="1">
      <alignment vertical="center"/>
    </xf>
    <xf numFmtId="165" fontId="29" fillId="0" borderId="29" xfId="0" applyNumberFormat="1" applyFont="1" applyBorder="1" applyAlignment="1">
      <alignment vertical="center"/>
    </xf>
    <xf numFmtId="165" fontId="29" fillId="0" borderId="28" xfId="3" applyNumberFormat="1" applyFont="1" applyBorder="1" applyAlignment="1">
      <alignment vertical="center"/>
    </xf>
    <xf numFmtId="168" fontId="139" fillId="0" borderId="0" xfId="2" applyAlignment="1">
      <alignment vertical="center"/>
    </xf>
    <xf numFmtId="170" fontId="67" fillId="0" borderId="18" xfId="4" applyNumberFormat="1" applyFont="1" applyBorder="1"/>
    <xf numFmtId="165" fontId="67" fillId="0" borderId="24" xfId="4" applyNumberFormat="1" applyFont="1" applyBorder="1"/>
    <xf numFmtId="170" fontId="29" fillId="0" borderId="53" xfId="0" applyNumberFormat="1" applyFont="1" applyBorder="1"/>
    <xf numFmtId="165" fontId="67" fillId="0" borderId="16" xfId="0" applyNumberFormat="1" applyFont="1" applyBorder="1"/>
    <xf numFmtId="165" fontId="42" fillId="0" borderId="16" xfId="4" applyNumberFormat="1" applyFont="1" applyBorder="1"/>
    <xf numFmtId="170" fontId="67" fillId="0" borderId="16" xfId="0" applyNumberFormat="1" applyFont="1" applyBorder="1" applyAlignment="1">
      <alignment vertical="center"/>
    </xf>
    <xf numFmtId="0" fontId="78" fillId="4" borderId="0" xfId="0" applyFont="1" applyFill="1"/>
    <xf numFmtId="170" fontId="30" fillId="0" borderId="21" xfId="3" applyNumberFormat="1" applyFont="1" applyBorder="1"/>
    <xf numFmtId="43" fontId="56" fillId="0" borderId="16" xfId="0" applyNumberFormat="1" applyFont="1" applyBorder="1"/>
    <xf numFmtId="49" fontId="91" fillId="4" borderId="34" xfId="0" applyNumberFormat="1" applyFont="1" applyFill="1" applyBorder="1"/>
    <xf numFmtId="170" fontId="67" fillId="0" borderId="43" xfId="0" applyNumberFormat="1" applyFont="1" applyBorder="1"/>
    <xf numFmtId="170" fontId="42" fillId="0" borderId="18" xfId="4" applyNumberFormat="1" applyFont="1" applyBorder="1"/>
    <xf numFmtId="165" fontId="42" fillId="0" borderId="16" xfId="0" applyNumberFormat="1" applyFont="1" applyBorder="1"/>
    <xf numFmtId="170" fontId="67" fillId="0" borderId="18" xfId="3" applyNumberFormat="1" applyFont="1" applyBorder="1"/>
    <xf numFmtId="168" fontId="139" fillId="0" borderId="44" xfId="2" applyBorder="1"/>
    <xf numFmtId="170" fontId="42" fillId="0" borderId="18" xfId="3" applyNumberFormat="1" applyFont="1" applyBorder="1"/>
    <xf numFmtId="170" fontId="72" fillId="0" borderId="43" xfId="0" applyNumberFormat="1" applyFont="1" applyBorder="1"/>
    <xf numFmtId="170" fontId="72" fillId="0" borderId="16" xfId="3" applyNumberFormat="1" applyFont="1" applyBorder="1"/>
    <xf numFmtId="43" fontId="50" fillId="0" borderId="16" xfId="0" applyNumberFormat="1" applyFont="1" applyBorder="1"/>
    <xf numFmtId="170" fontId="92" fillId="0" borderId="16" xfId="0" applyNumberFormat="1" applyFont="1" applyBorder="1"/>
    <xf numFmtId="49" fontId="30" fillId="0" borderId="55" xfId="0" applyNumberFormat="1" applyFont="1" applyBorder="1" applyAlignment="1">
      <alignment horizontal="center"/>
    </xf>
    <xf numFmtId="0" fontId="73" fillId="0" borderId="34" xfId="0" applyFont="1" applyBorder="1"/>
    <xf numFmtId="49" fontId="30" fillId="32" borderId="60" xfId="0" applyNumberFormat="1" applyFont="1" applyFill="1" applyBorder="1" applyAlignment="1">
      <alignment horizontal="center"/>
    </xf>
    <xf numFmtId="0" fontId="30" fillId="32" borderId="50" xfId="0" applyFont="1" applyFill="1" applyBorder="1" applyAlignment="1">
      <alignment horizontal="center"/>
    </xf>
    <xf numFmtId="0" fontId="30" fillId="32" borderId="50" xfId="0" applyFont="1" applyFill="1" applyBorder="1"/>
    <xf numFmtId="170" fontId="30" fillId="32" borderId="49" xfId="0" applyNumberFormat="1" applyFont="1" applyFill="1" applyBorder="1"/>
    <xf numFmtId="49" fontId="30" fillId="0" borderId="54" xfId="0" applyNumberFormat="1" applyFont="1" applyBorder="1" applyAlignment="1">
      <alignment horizontal="center"/>
    </xf>
    <xf numFmtId="49" fontId="30" fillId="0" borderId="78" xfId="0" applyNumberFormat="1" applyFont="1" applyBorder="1" applyAlignment="1">
      <alignment horizontal="center"/>
    </xf>
    <xf numFmtId="49" fontId="30" fillId="18" borderId="130" xfId="0" applyNumberFormat="1" applyFont="1" applyFill="1" applyBorder="1" applyAlignment="1">
      <alignment horizontal="center"/>
    </xf>
    <xf numFmtId="0" fontId="51" fillId="11" borderId="89" xfId="0" applyFont="1" applyFill="1" applyBorder="1"/>
    <xf numFmtId="170" fontId="30" fillId="11" borderId="51" xfId="0" applyNumberFormat="1" applyFont="1" applyFill="1" applyBorder="1"/>
    <xf numFmtId="170" fontId="29" fillId="0" borderId="90" xfId="3" applyNumberFormat="1" applyFont="1" applyBorder="1"/>
    <xf numFmtId="0" fontId="86" fillId="0" borderId="17" xfId="0" applyFont="1" applyBorder="1"/>
    <xf numFmtId="170" fontId="72" fillId="0" borderId="16" xfId="4" applyNumberFormat="1" applyFont="1" applyBorder="1"/>
    <xf numFmtId="170" fontId="72" fillId="0" borderId="18" xfId="0" applyNumberFormat="1" applyFont="1" applyBorder="1"/>
    <xf numFmtId="165" fontId="72" fillId="0" borderId="24" xfId="0" applyNumberFormat="1" applyFont="1" applyBorder="1"/>
    <xf numFmtId="165" fontId="38" fillId="0" borderId="16" xfId="3" applyNumberFormat="1" applyFont="1" applyBorder="1"/>
    <xf numFmtId="170" fontId="29" fillId="0" borderId="54" xfId="4" applyNumberFormat="1" applyFont="1" applyBorder="1"/>
    <xf numFmtId="170" fontId="29" fillId="0" borderId="33" xfId="4" applyNumberFormat="1" applyFont="1" applyBorder="1"/>
    <xf numFmtId="170" fontId="29" fillId="0" borderId="55" xfId="0" applyNumberFormat="1" applyFont="1" applyBorder="1"/>
    <xf numFmtId="170" fontId="30" fillId="32" borderId="49" xfId="4" applyNumberFormat="1" applyFont="1" applyFill="1" applyBorder="1"/>
    <xf numFmtId="170" fontId="30" fillId="32" borderId="60" xfId="0" applyNumberFormat="1" applyFont="1" applyFill="1" applyBorder="1"/>
    <xf numFmtId="165" fontId="30" fillId="32" borderId="73" xfId="0" applyNumberFormat="1" applyFont="1" applyFill="1" applyBorder="1"/>
    <xf numFmtId="165" fontId="29" fillId="32" borderId="49" xfId="0" applyNumberFormat="1" applyFont="1" applyFill="1" applyBorder="1"/>
    <xf numFmtId="168" fontId="139" fillId="0" borderId="17" xfId="2" applyBorder="1"/>
    <xf numFmtId="170" fontId="30" fillId="11" borderId="140" xfId="4" applyNumberFormat="1" applyFont="1" applyFill="1" applyBorder="1"/>
    <xf numFmtId="165" fontId="29" fillId="0" borderId="90" xfId="3" applyNumberFormat="1" applyFont="1" applyBorder="1" applyAlignment="1">
      <alignment vertical="top" wrapText="1"/>
    </xf>
    <xf numFmtId="165" fontId="29" fillId="0" borderId="21" xfId="3" applyNumberFormat="1" applyFont="1" applyBorder="1" applyAlignment="1">
      <alignment vertical="top" wrapText="1"/>
    </xf>
    <xf numFmtId="165" fontId="29" fillId="0" borderId="78" xfId="3" applyNumberFormat="1" applyFont="1" applyBorder="1" applyAlignment="1">
      <alignment vertical="top" wrapText="1"/>
    </xf>
    <xf numFmtId="170" fontId="29" fillId="0" borderId="136" xfId="3" applyNumberFormat="1" applyFont="1" applyBorder="1"/>
    <xf numFmtId="165" fontId="29" fillId="0" borderId="121" xfId="3" applyNumberFormat="1" applyFont="1" applyBorder="1"/>
    <xf numFmtId="170" fontId="56" fillId="0" borderId="16" xfId="0" applyNumberFormat="1" applyFont="1" applyBorder="1"/>
    <xf numFmtId="170" fontId="29" fillId="33" borderId="16" xfId="3" applyNumberFormat="1" applyFont="1" applyFill="1" applyBorder="1"/>
    <xf numFmtId="165" fontId="29" fillId="0" borderId="16" xfId="1" applyFont="1" applyBorder="1"/>
    <xf numFmtId="170" fontId="31" fillId="0" borderId="16" xfId="4" applyNumberFormat="1" applyFont="1" applyBorder="1"/>
    <xf numFmtId="170" fontId="56" fillId="0" borderId="16" xfId="4" applyNumberFormat="1" applyFont="1" applyBorder="1"/>
    <xf numFmtId="170" fontId="29" fillId="0" borderId="93" xfId="3" applyNumberFormat="1" applyFont="1" applyBorder="1"/>
    <xf numFmtId="165" fontId="29" fillId="0" borderId="68" xfId="3" applyNumberFormat="1" applyFont="1" applyBorder="1"/>
    <xf numFmtId="166" fontId="39" fillId="0" borderId="90" xfId="0" applyNumberFormat="1" applyFont="1" applyBorder="1" applyAlignment="1">
      <alignment vertical="top" wrapText="1"/>
    </xf>
    <xf numFmtId="166" fontId="39" fillId="0" borderId="23" xfId="0" applyNumberFormat="1" applyFont="1" applyBorder="1" applyAlignment="1">
      <alignment vertical="top" wrapText="1"/>
    </xf>
    <xf numFmtId="0" fontId="29" fillId="0" borderId="41" xfId="0" applyFont="1" applyBorder="1"/>
    <xf numFmtId="170" fontId="29" fillId="0" borderId="20" xfId="0" applyNumberFormat="1" applyFont="1" applyBorder="1"/>
    <xf numFmtId="165" fontId="29" fillId="0" borderId="78" xfId="4" applyNumberFormat="1" applyFont="1" applyBorder="1"/>
    <xf numFmtId="170" fontId="30" fillId="0" borderId="15" xfId="4" applyNumberFormat="1" applyFont="1" applyBorder="1"/>
    <xf numFmtId="165" fontId="30" fillId="0" borderId="13" xfId="0" applyNumberFormat="1" applyFont="1" applyBorder="1"/>
    <xf numFmtId="170" fontId="30" fillId="11" borderId="114" xfId="4" applyNumberFormat="1" applyFont="1" applyFill="1" applyBorder="1"/>
    <xf numFmtId="170" fontId="29" fillId="0" borderId="136" xfId="0" applyNumberFormat="1" applyFont="1" applyBorder="1"/>
    <xf numFmtId="165" fontId="29" fillId="0" borderId="121" xfId="0" applyNumberFormat="1" applyFont="1" applyBorder="1"/>
    <xf numFmtId="174" fontId="29" fillId="0" borderId="93" xfId="0" applyNumberFormat="1" applyFont="1" applyBorder="1" applyAlignment="1">
      <alignment vertical="top" wrapText="1"/>
    </xf>
    <xf numFmtId="170" fontId="31" fillId="0" borderId="28" xfId="0" applyNumberFormat="1" applyFont="1" applyBorder="1"/>
    <xf numFmtId="0" fontId="52" fillId="0" borderId="17" xfId="0" applyFont="1" applyBorder="1"/>
    <xf numFmtId="170" fontId="30" fillId="27" borderId="16" xfId="0" applyNumberFormat="1" applyFont="1" applyFill="1" applyBorder="1"/>
    <xf numFmtId="170" fontId="30" fillId="0" borderId="54" xfId="4" applyNumberFormat="1" applyFont="1" applyBorder="1"/>
    <xf numFmtId="170" fontId="56" fillId="0" borderId="26" xfId="4" applyNumberFormat="1" applyFont="1" applyBorder="1"/>
    <xf numFmtId="170" fontId="29" fillId="27" borderId="26" xfId="0" applyNumberFormat="1" applyFont="1" applyFill="1" applyBorder="1"/>
    <xf numFmtId="165" fontId="39" fillId="0" borderId="90" xfId="0" applyNumberFormat="1" applyFont="1" applyBorder="1" applyAlignment="1">
      <alignment vertical="top" wrapText="1"/>
    </xf>
    <xf numFmtId="170" fontId="42" fillId="0" borderId="18" xfId="0" applyNumberFormat="1" applyFont="1" applyBorder="1"/>
    <xf numFmtId="49" fontId="29" fillId="0" borderId="0" xfId="0" applyNumberFormat="1" applyFont="1" applyAlignment="1">
      <alignment horizontal="center"/>
    </xf>
    <xf numFmtId="170" fontId="31" fillId="0" borderId="0" xfId="0" applyNumberFormat="1" applyFont="1" applyAlignment="1">
      <alignment horizontal="center"/>
    </xf>
    <xf numFmtId="0" fontId="37" fillId="0" borderId="0" xfId="0" applyFont="1"/>
    <xf numFmtId="0" fontId="34" fillId="0" borderId="0" xfId="0" applyFont="1"/>
    <xf numFmtId="165" fontId="29" fillId="0" borderId="49" xfId="0" applyNumberFormat="1" applyFont="1" applyBorder="1" applyAlignment="1">
      <alignment vertical="center"/>
    </xf>
    <xf numFmtId="165" fontId="30" fillId="0" borderId="146" xfId="0" applyNumberFormat="1" applyFont="1" applyBorder="1" applyAlignment="1">
      <alignment vertical="center"/>
    </xf>
    <xf numFmtId="170" fontId="29" fillId="0" borderId="0" xfId="2" applyNumberFormat="1" applyFont="1"/>
    <xf numFmtId="170" fontId="29" fillId="0" borderId="0" xfId="2" applyNumberFormat="1" applyFont="1" applyAlignment="1">
      <alignment horizontal="center"/>
    </xf>
    <xf numFmtId="0" fontId="31" fillId="0" borderId="0" xfId="0" applyFont="1" applyAlignment="1">
      <alignment horizontal="center"/>
    </xf>
    <xf numFmtId="168" fontId="60" fillId="0" borderId="0" xfId="0" applyNumberFormat="1" applyFont="1"/>
    <xf numFmtId="0" fontId="93" fillId="0" borderId="0" xfId="0" applyFont="1" applyAlignment="1">
      <alignment vertical="center"/>
    </xf>
    <xf numFmtId="0" fontId="29" fillId="4" borderId="0" xfId="0" applyFont="1" applyFill="1" applyAlignment="1">
      <alignment vertical="center"/>
    </xf>
    <xf numFmtId="0" fontId="30" fillId="4" borderId="0" xfId="0" applyFont="1" applyFill="1" applyAlignment="1">
      <alignment vertical="center"/>
    </xf>
    <xf numFmtId="0" fontId="66" fillId="0" borderId="0" xfId="0" applyFont="1" applyAlignment="1">
      <alignment vertical="center"/>
    </xf>
    <xf numFmtId="0" fontId="94" fillId="0" borderId="0" xfId="0" applyFont="1" applyAlignment="1">
      <alignment vertical="center"/>
    </xf>
    <xf numFmtId="0" fontId="95" fillId="0" borderId="17" xfId="0" applyFont="1" applyBorder="1" applyAlignment="1">
      <alignment vertical="center"/>
    </xf>
    <xf numFmtId="0" fontId="87" fillId="4" borderId="17" xfId="0" applyFont="1" applyFill="1" applyBorder="1" applyAlignment="1">
      <alignment vertical="center"/>
    </xf>
    <xf numFmtId="0" fontId="87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60" fillId="4" borderId="0" xfId="0" applyFont="1" applyFill="1" applyAlignment="1">
      <alignment vertical="center"/>
    </xf>
    <xf numFmtId="0" fontId="60" fillId="16" borderId="0" xfId="0" applyFont="1" applyFill="1" applyAlignment="1">
      <alignment vertical="center"/>
    </xf>
    <xf numFmtId="0" fontId="96" fillId="0" borderId="0" xfId="0" applyFont="1" applyAlignment="1">
      <alignment vertical="center"/>
    </xf>
    <xf numFmtId="49" fontId="60" fillId="0" borderId="0" xfId="0" applyNumberFormat="1" applyFont="1" applyAlignment="1">
      <alignment vertical="center"/>
    </xf>
    <xf numFmtId="0" fontId="60" fillId="0" borderId="0" xfId="0" applyFont="1" applyAlignment="1">
      <alignment vertical="center"/>
    </xf>
    <xf numFmtId="174" fontId="60" fillId="0" borderId="0" xfId="0" applyNumberFormat="1" applyFont="1" applyAlignment="1">
      <alignment vertical="center"/>
    </xf>
    <xf numFmtId="176" fontId="139" fillId="0" borderId="0" xfId="1" applyNumberFormat="1" applyAlignment="1">
      <alignment vertical="center"/>
    </xf>
    <xf numFmtId="49" fontId="60" fillId="4" borderId="0" xfId="0" applyNumberFormat="1" applyFont="1" applyFill="1" applyAlignment="1">
      <alignment vertical="center"/>
    </xf>
    <xf numFmtId="174" fontId="60" fillId="4" borderId="0" xfId="0" applyNumberFormat="1" applyFont="1" applyFill="1" applyAlignment="1">
      <alignment vertical="center"/>
    </xf>
    <xf numFmtId="49" fontId="51" fillId="4" borderId="0" xfId="0" applyNumberFormat="1" applyFont="1" applyFill="1" applyAlignment="1">
      <alignment horizontal="center" vertical="center"/>
    </xf>
    <xf numFmtId="49" fontId="98" fillId="4" borderId="0" xfId="0" applyNumberFormat="1" applyFont="1" applyFill="1" applyAlignment="1">
      <alignment horizontal="left" vertical="center"/>
    </xf>
    <xf numFmtId="49" fontId="30" fillId="0" borderId="1" xfId="0" applyNumberFormat="1" applyFont="1" applyBorder="1" applyAlignment="1">
      <alignment horizontal="center" vertical="center"/>
    </xf>
    <xf numFmtId="0" fontId="30" fillId="0" borderId="2" xfId="0" applyFont="1" applyBorder="1" applyAlignment="1">
      <alignment vertical="center"/>
    </xf>
    <xf numFmtId="0" fontId="30" fillId="0" borderId="3" xfId="0" applyFont="1" applyBorder="1" applyAlignment="1">
      <alignment vertical="center"/>
    </xf>
    <xf numFmtId="49" fontId="30" fillId="0" borderId="16" xfId="0" applyNumberFormat="1" applyFont="1" applyBorder="1" applyAlignment="1">
      <alignment horizontal="center" vertical="center"/>
    </xf>
    <xf numFmtId="49" fontId="29" fillId="0" borderId="16" xfId="0" applyNumberFormat="1" applyFont="1" applyBorder="1" applyAlignment="1">
      <alignment horizontal="center" vertical="center"/>
    </xf>
    <xf numFmtId="0" fontId="30" fillId="0" borderId="24" xfId="0" applyFont="1" applyBorder="1" applyAlignment="1">
      <alignment vertical="center"/>
    </xf>
    <xf numFmtId="49" fontId="29" fillId="0" borderId="24" xfId="0" applyNumberFormat="1" applyFont="1" applyBorder="1" applyAlignment="1">
      <alignment vertical="center"/>
    </xf>
    <xf numFmtId="49" fontId="29" fillId="0" borderId="17" xfId="0" applyNumberFormat="1" applyFont="1" applyBorder="1" applyAlignment="1">
      <alignment vertical="center"/>
    </xf>
    <xf numFmtId="49" fontId="35" fillId="0" borderId="16" xfId="0" applyNumberFormat="1" applyFont="1" applyBorder="1" applyAlignment="1">
      <alignment horizontal="center" vertical="center"/>
    </xf>
    <xf numFmtId="49" fontId="30" fillId="0" borderId="17" xfId="0" applyNumberFormat="1" applyFont="1" applyBorder="1" applyAlignment="1">
      <alignment vertical="center"/>
    </xf>
    <xf numFmtId="49" fontId="30" fillId="4" borderId="16" xfId="0" applyNumberFormat="1" applyFont="1" applyFill="1" applyBorder="1" applyAlignment="1">
      <alignment horizontal="center" vertical="center"/>
    </xf>
    <xf numFmtId="0" fontId="30" fillId="4" borderId="17" xfId="0" applyFont="1" applyFill="1" applyBorder="1" applyAlignment="1">
      <alignment vertical="center"/>
    </xf>
    <xf numFmtId="0" fontId="34" fillId="0" borderId="24" xfId="0" applyFont="1" applyBorder="1" applyAlignment="1">
      <alignment vertical="center"/>
    </xf>
    <xf numFmtId="0" fontId="51" fillId="4" borderId="0" xfId="0" applyFont="1" applyFill="1" applyAlignment="1">
      <alignment horizontal="left" vertical="center"/>
    </xf>
    <xf numFmtId="49" fontId="100" fillId="4" borderId="0" xfId="0" applyNumberFormat="1" applyFont="1" applyFill="1" applyAlignment="1">
      <alignment horizontal="center" vertical="center"/>
    </xf>
    <xf numFmtId="165" fontId="60" fillId="4" borderId="0" xfId="1" applyFont="1" applyFill="1" applyAlignment="1">
      <alignment vertical="center"/>
    </xf>
    <xf numFmtId="165" fontId="29" fillId="4" borderId="0" xfId="1" applyFont="1" applyFill="1" applyAlignment="1">
      <alignment vertical="center"/>
    </xf>
    <xf numFmtId="165" fontId="30" fillId="27" borderId="5" xfId="1" applyFont="1" applyFill="1" applyBorder="1" applyAlignment="1">
      <alignment horizontal="center" vertical="center" wrapText="1"/>
    </xf>
    <xf numFmtId="165" fontId="30" fillId="27" borderId="1" xfId="1" applyFont="1" applyFill="1" applyBorder="1" applyAlignment="1">
      <alignment horizontal="center" vertical="center"/>
    </xf>
    <xf numFmtId="165" fontId="30" fillId="27" borderId="6" xfId="1" applyFont="1" applyFill="1" applyBorder="1" applyAlignment="1">
      <alignment horizontal="center" vertical="center"/>
    </xf>
    <xf numFmtId="165" fontId="30" fillId="27" borderId="5" xfId="1" applyFont="1" applyFill="1" applyBorder="1" applyAlignment="1">
      <alignment horizontal="center" vertical="center"/>
    </xf>
    <xf numFmtId="0" fontId="30" fillId="0" borderId="4" xfId="0" applyFont="1" applyBorder="1" applyAlignment="1">
      <alignment vertical="center"/>
    </xf>
    <xf numFmtId="41" fontId="30" fillId="0" borderId="54" xfId="0" applyNumberFormat="1" applyFont="1" applyBorder="1" applyAlignment="1">
      <alignment vertical="center"/>
    </xf>
    <xf numFmtId="165" fontId="29" fillId="0" borderId="28" xfId="1" applyFont="1" applyBorder="1" applyAlignment="1">
      <alignment vertical="center"/>
    </xf>
    <xf numFmtId="165" fontId="29" fillId="0" borderId="147" xfId="1" applyFont="1" applyBorder="1" applyAlignment="1">
      <alignment vertical="center"/>
    </xf>
    <xf numFmtId="165" fontId="29" fillId="0" borderId="16" xfId="1" applyFont="1" applyBorder="1" applyAlignment="1">
      <alignment vertical="center"/>
    </xf>
    <xf numFmtId="165" fontId="30" fillId="0" borderId="16" xfId="1" applyFont="1" applyBorder="1" applyAlignment="1">
      <alignment vertical="center"/>
    </xf>
    <xf numFmtId="0" fontId="29" fillId="4" borderId="0" xfId="1" applyNumberFormat="1" applyFont="1" applyFill="1" applyAlignment="1">
      <alignment vertical="center"/>
    </xf>
    <xf numFmtId="176" fontId="0" fillId="0" borderId="0" xfId="1" applyNumberFormat="1" applyFont="1" applyAlignment="1">
      <alignment vertical="center"/>
    </xf>
    <xf numFmtId="0" fontId="29" fillId="0" borderId="1" xfId="1" applyNumberFormat="1" applyFont="1" applyBorder="1" applyAlignment="1">
      <alignment horizontal="left" vertical="center"/>
    </xf>
    <xf numFmtId="0" fontId="29" fillId="0" borderId="149" xfId="1" applyNumberFormat="1" applyFont="1" applyBorder="1" applyAlignment="1">
      <alignment horizontal="left" vertical="center"/>
    </xf>
    <xf numFmtId="176" fontId="139" fillId="4" borderId="0" xfId="1" applyNumberFormat="1" applyFill="1" applyAlignment="1">
      <alignment vertical="center"/>
    </xf>
    <xf numFmtId="0" fontId="30" fillId="0" borderId="149" xfId="1" applyNumberFormat="1" applyFont="1" applyBorder="1" applyAlignment="1">
      <alignment horizontal="left" vertical="center"/>
    </xf>
    <xf numFmtId="165" fontId="29" fillId="0" borderId="17" xfId="1" applyFont="1" applyBorder="1" applyAlignment="1">
      <alignment vertical="center"/>
    </xf>
    <xf numFmtId="49" fontId="30" fillId="0" borderId="35" xfId="0" applyNumberFormat="1" applyFont="1" applyBorder="1" applyAlignment="1">
      <alignment horizontal="center" vertical="center"/>
    </xf>
    <xf numFmtId="49" fontId="29" fillId="0" borderId="21" xfId="0" applyNumberFormat="1" applyFont="1" applyBorder="1" applyAlignment="1">
      <alignment horizontal="center" vertical="center"/>
    </xf>
    <xf numFmtId="49" fontId="29" fillId="0" borderId="63" xfId="0" applyNumberFormat="1" applyFont="1" applyBorder="1" applyAlignment="1">
      <alignment vertical="center"/>
    </xf>
    <xf numFmtId="49" fontId="29" fillId="0" borderId="11" xfId="0" applyNumberFormat="1" applyFont="1" applyBorder="1" applyAlignment="1">
      <alignment vertical="center"/>
    </xf>
    <xf numFmtId="49" fontId="29" fillId="0" borderId="26" xfId="0" applyNumberFormat="1" applyFont="1" applyBorder="1" applyAlignment="1">
      <alignment horizontal="center" vertical="center"/>
    </xf>
    <xf numFmtId="0" fontId="30" fillId="4" borderId="30" xfId="0" applyFont="1" applyFill="1" applyBorder="1" applyAlignment="1">
      <alignment vertical="center"/>
    </xf>
    <xf numFmtId="170" fontId="30" fillId="0" borderId="16" xfId="0" applyNumberFormat="1" applyFont="1" applyBorder="1" applyAlignment="1">
      <alignment vertical="center"/>
    </xf>
    <xf numFmtId="170" fontId="30" fillId="38" borderId="148" xfId="0" applyNumberFormat="1" applyFont="1" applyFill="1" applyBorder="1" applyAlignment="1">
      <alignment vertical="center"/>
    </xf>
    <xf numFmtId="170" fontId="30" fillId="16" borderId="16" xfId="0" applyNumberFormat="1" applyFont="1" applyFill="1" applyBorder="1" applyAlignment="1">
      <alignment vertical="center"/>
    </xf>
    <xf numFmtId="0" fontId="29" fillId="0" borderId="12" xfId="0" applyFont="1" applyBorder="1" applyAlignment="1">
      <alignment vertical="center"/>
    </xf>
    <xf numFmtId="165" fontId="29" fillId="0" borderId="21" xfId="1" applyFont="1" applyBorder="1" applyAlignment="1">
      <alignment vertical="center"/>
    </xf>
    <xf numFmtId="165" fontId="30" fillId="0" borderId="26" xfId="1" applyFont="1" applyBorder="1" applyAlignment="1">
      <alignment vertical="center"/>
    </xf>
    <xf numFmtId="165" fontId="139" fillId="0" borderId="149" xfId="1" applyBorder="1" applyAlignment="1">
      <alignment horizontal="left" vertical="center"/>
    </xf>
    <xf numFmtId="165" fontId="30" fillId="0" borderId="17" xfId="1" applyFont="1" applyBorder="1" applyAlignment="1">
      <alignment vertical="center"/>
    </xf>
    <xf numFmtId="0" fontId="29" fillId="0" borderId="152" xfId="1" applyNumberFormat="1" applyFont="1" applyBorder="1" applyAlignment="1">
      <alignment horizontal="left" vertical="center"/>
    </xf>
    <xf numFmtId="0" fontId="29" fillId="0" borderId="153" xfId="1" applyNumberFormat="1" applyFont="1" applyBorder="1" applyAlignment="1">
      <alignment horizontal="left" vertical="center"/>
    </xf>
    <xf numFmtId="2" fontId="30" fillId="0" borderId="24" xfId="0" applyNumberFormat="1" applyFont="1" applyBorder="1" applyAlignment="1">
      <alignment vertical="center"/>
    </xf>
    <xf numFmtId="49" fontId="30" fillId="0" borderId="21" xfId="0" applyNumberFormat="1" applyFont="1" applyBorder="1" applyAlignment="1">
      <alignment horizontal="center" vertical="center"/>
    </xf>
    <xf numFmtId="0" fontId="29" fillId="4" borderId="44" xfId="0" applyFont="1" applyFill="1" applyBorder="1" applyAlignment="1">
      <alignment vertical="center"/>
    </xf>
    <xf numFmtId="49" fontId="30" fillId="0" borderId="0" xfId="0" applyNumberFormat="1" applyFont="1" applyAlignment="1">
      <alignment horizontal="center" vertical="center"/>
    </xf>
    <xf numFmtId="49" fontId="30" fillId="0" borderId="26" xfId="0" applyNumberFormat="1" applyFont="1" applyBorder="1" applyAlignment="1">
      <alignment horizontal="center" vertical="center"/>
    </xf>
    <xf numFmtId="0" fontId="57" fillId="0" borderId="17" xfId="0" applyFont="1" applyBorder="1" applyAlignment="1">
      <alignment vertical="center"/>
    </xf>
    <xf numFmtId="0" fontId="30" fillId="0" borderId="12" xfId="0" applyFont="1" applyBorder="1" applyAlignment="1">
      <alignment vertical="center"/>
    </xf>
    <xf numFmtId="0" fontId="29" fillId="0" borderId="17" xfId="1" applyNumberFormat="1" applyFont="1" applyBorder="1" applyAlignment="1">
      <alignment horizontal="left" vertical="center"/>
    </xf>
    <xf numFmtId="165" fontId="29" fillId="0" borderId="64" xfId="1" applyFont="1" applyBorder="1" applyAlignment="1">
      <alignment vertical="center"/>
    </xf>
    <xf numFmtId="165" fontId="29" fillId="0" borderId="65" xfId="1" applyFont="1" applyBorder="1" applyAlignment="1">
      <alignment vertical="center"/>
    </xf>
    <xf numFmtId="0" fontId="30" fillId="0" borderId="153" xfId="1" applyNumberFormat="1" applyFont="1" applyBorder="1" applyAlignment="1">
      <alignment horizontal="left" vertical="center"/>
    </xf>
    <xf numFmtId="0" fontId="76" fillId="4" borderId="17" xfId="0" applyFont="1" applyFill="1" applyBorder="1" applyAlignment="1">
      <alignment vertical="center"/>
    </xf>
    <xf numFmtId="49" fontId="29" fillId="0" borderId="10" xfId="0" applyNumberFormat="1" applyFont="1" applyBorder="1" applyAlignment="1">
      <alignment horizontal="center" vertical="center"/>
    </xf>
    <xf numFmtId="0" fontId="29" fillId="4" borderId="19" xfId="0" applyFont="1" applyFill="1" applyBorder="1" applyAlignment="1">
      <alignment vertical="center"/>
    </xf>
    <xf numFmtId="0" fontId="29" fillId="4" borderId="24" xfId="0" applyFont="1" applyFill="1" applyBorder="1" applyAlignment="1">
      <alignment vertical="center"/>
    </xf>
    <xf numFmtId="0" fontId="29" fillId="4" borderId="24" xfId="0" applyFont="1" applyFill="1" applyBorder="1" applyAlignment="1">
      <alignment horizontal="center" vertical="center"/>
    </xf>
    <xf numFmtId="0" fontId="31" fillId="4" borderId="17" xfId="0" applyFont="1" applyFill="1" applyBorder="1" applyAlignment="1">
      <alignment vertical="center"/>
    </xf>
    <xf numFmtId="0" fontId="29" fillId="4" borderId="17" xfId="0" applyFont="1" applyFill="1" applyBorder="1" applyAlignment="1">
      <alignment horizontal="center" vertical="center"/>
    </xf>
    <xf numFmtId="49" fontId="29" fillId="0" borderId="28" xfId="0" applyNumberFormat="1" applyFont="1" applyBorder="1" applyAlignment="1">
      <alignment horizontal="center" vertical="center"/>
    </xf>
    <xf numFmtId="0" fontId="29" fillId="0" borderId="159" xfId="1" applyNumberFormat="1" applyFont="1" applyBorder="1" applyAlignment="1">
      <alignment horizontal="left" vertical="center"/>
    </xf>
    <xf numFmtId="165" fontId="29" fillId="0" borderId="16" xfId="3" applyNumberFormat="1" applyFont="1" applyBorder="1" applyAlignment="1">
      <alignment vertical="center"/>
    </xf>
    <xf numFmtId="165" fontId="29" fillId="0" borderId="149" xfId="3" applyNumberFormat="1" applyFont="1" applyBorder="1" applyAlignment="1">
      <alignment vertical="center"/>
    </xf>
    <xf numFmtId="0" fontId="29" fillId="0" borderId="11" xfId="1" applyNumberFormat="1" applyFont="1" applyBorder="1" applyAlignment="1">
      <alignment horizontal="left" vertical="center"/>
    </xf>
    <xf numFmtId="0" fontId="29" fillId="0" borderId="0" xfId="1" applyNumberFormat="1" applyFont="1" applyAlignment="1">
      <alignment horizontal="left" vertical="center"/>
    </xf>
    <xf numFmtId="49" fontId="102" fillId="0" borderId="16" xfId="0" applyNumberFormat="1" applyFont="1" applyBorder="1" applyAlignment="1">
      <alignment horizontal="center" vertical="center"/>
    </xf>
    <xf numFmtId="49" fontId="87" fillId="0" borderId="16" xfId="0" applyNumberFormat="1" applyFont="1" applyBorder="1" applyAlignment="1">
      <alignment horizontal="center" vertical="center"/>
    </xf>
    <xf numFmtId="0" fontId="87" fillId="0" borderId="17" xfId="0" applyFont="1" applyBorder="1" applyAlignment="1">
      <alignment vertical="center"/>
    </xf>
    <xf numFmtId="0" fontId="87" fillId="0" borderId="24" xfId="0" applyFont="1" applyBorder="1" applyAlignment="1">
      <alignment vertical="center"/>
    </xf>
    <xf numFmtId="0" fontId="29" fillId="4" borderId="63" xfId="0" applyFont="1" applyFill="1" applyBorder="1" applyAlignment="1">
      <alignment vertical="center"/>
    </xf>
    <xf numFmtId="165" fontId="87" fillId="0" borderId="16" xfId="1" applyFont="1" applyBorder="1" applyAlignment="1">
      <alignment vertical="center"/>
    </xf>
    <xf numFmtId="176" fontId="139" fillId="0" borderId="17" xfId="1" applyNumberFormat="1" applyBorder="1" applyAlignment="1">
      <alignment vertical="center"/>
    </xf>
    <xf numFmtId="0" fontId="102" fillId="0" borderId="149" xfId="1" applyNumberFormat="1" applyFont="1" applyBorder="1" applyAlignment="1">
      <alignment horizontal="left" vertical="center"/>
    </xf>
    <xf numFmtId="176" fontId="139" fillId="4" borderId="17" xfId="1" applyNumberFormat="1" applyFill="1" applyBorder="1" applyAlignment="1">
      <alignment vertical="center"/>
    </xf>
    <xf numFmtId="0" fontId="87" fillId="0" borderId="149" xfId="1" applyNumberFormat="1" applyFont="1" applyBorder="1" applyAlignment="1">
      <alignment horizontal="left" vertical="center"/>
    </xf>
    <xf numFmtId="49" fontId="29" fillId="16" borderId="21" xfId="0" applyNumberFormat="1" applyFont="1" applyFill="1" applyBorder="1" applyAlignment="1">
      <alignment horizontal="center" vertical="center"/>
    </xf>
    <xf numFmtId="0" fontId="30" fillId="0" borderId="152" xfId="1" applyNumberFormat="1" applyFont="1" applyBorder="1" applyAlignment="1">
      <alignment horizontal="left" vertical="center"/>
    </xf>
    <xf numFmtId="0" fontId="72" fillId="0" borderId="17" xfId="0" applyFont="1" applyBorder="1" applyAlignment="1">
      <alignment vertical="center" wrapText="1"/>
    </xf>
    <xf numFmtId="0" fontId="72" fillId="0" borderId="17" xfId="0" applyFont="1" applyBorder="1" applyAlignment="1">
      <alignment horizontal="left" vertical="center" wrapText="1"/>
    </xf>
    <xf numFmtId="0" fontId="39" fillId="0" borderId="17" xfId="0" applyFont="1" applyBorder="1" applyAlignment="1">
      <alignment vertical="center"/>
    </xf>
    <xf numFmtId="165" fontId="29" fillId="0" borderId="160" xfId="1" applyFont="1" applyBorder="1" applyAlignment="1">
      <alignment vertical="center"/>
    </xf>
    <xf numFmtId="0" fontId="29" fillId="0" borderId="0" xfId="1" applyNumberFormat="1" applyFont="1" applyAlignment="1">
      <alignment vertical="center"/>
    </xf>
    <xf numFmtId="49" fontId="29" fillId="0" borderId="22" xfId="0" applyNumberFormat="1" applyFont="1" applyBorder="1" applyAlignment="1">
      <alignment vertical="center"/>
    </xf>
    <xf numFmtId="49" fontId="29" fillId="0" borderId="19" xfId="0" applyNumberFormat="1" applyFont="1" applyBorder="1" applyAlignment="1">
      <alignment vertical="center"/>
    </xf>
    <xf numFmtId="49" fontId="30" fillId="0" borderId="5" xfId="0" applyNumberFormat="1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168" fontId="29" fillId="0" borderId="0" xfId="2" applyFont="1" applyAlignment="1">
      <alignment horizontal="center" vertical="center"/>
    </xf>
    <xf numFmtId="0" fontId="37" fillId="0" borderId="0" xfId="0" applyFont="1" applyAlignment="1">
      <alignment vertical="center"/>
    </xf>
    <xf numFmtId="49" fontId="60" fillId="0" borderId="35" xfId="0" applyNumberFormat="1" applyFont="1" applyBorder="1" applyAlignment="1">
      <alignment vertical="center"/>
    </xf>
    <xf numFmtId="0" fontId="60" fillId="0" borderId="35" xfId="0" applyFont="1" applyBorder="1" applyAlignment="1">
      <alignment vertical="center"/>
    </xf>
    <xf numFmtId="0" fontId="107" fillId="11" borderId="35" xfId="0" applyFont="1" applyFill="1" applyBorder="1" applyAlignment="1">
      <alignment horizontal="left" vertical="center"/>
    </xf>
    <xf numFmtId="49" fontId="60" fillId="0" borderId="64" xfId="0" applyNumberFormat="1" applyFont="1" applyBorder="1" applyAlignment="1">
      <alignment vertical="center"/>
    </xf>
    <xf numFmtId="0" fontId="60" fillId="0" borderId="64" xfId="0" applyFont="1" applyBorder="1" applyAlignment="1">
      <alignment vertical="center"/>
    </xf>
    <xf numFmtId="0" fontId="60" fillId="0" borderId="64" xfId="0" applyFont="1" applyBorder="1" applyAlignment="1">
      <alignment horizontal="center" vertical="center"/>
    </xf>
    <xf numFmtId="0" fontId="29" fillId="0" borderId="32" xfId="0" applyFont="1" applyBorder="1" applyAlignment="1">
      <alignment vertical="center"/>
    </xf>
    <xf numFmtId="0" fontId="29" fillId="0" borderId="86" xfId="0" applyFont="1" applyBorder="1" applyAlignment="1">
      <alignment vertical="center"/>
    </xf>
    <xf numFmtId="0" fontId="37" fillId="0" borderId="30" xfId="0" applyFont="1" applyBorder="1" applyAlignment="1">
      <alignment horizontal="left" vertical="center"/>
    </xf>
    <xf numFmtId="0" fontId="37" fillId="0" borderId="17" xfId="0" applyFont="1" applyBorder="1" applyAlignment="1">
      <alignment horizontal="left" vertical="center"/>
    </xf>
    <xf numFmtId="165" fontId="29" fillId="4" borderId="42" xfId="1" applyFont="1" applyFill="1" applyBorder="1" applyAlignment="1">
      <alignment vertical="center"/>
    </xf>
    <xf numFmtId="0" fontId="37" fillId="0" borderId="11" xfId="0" applyFont="1" applyBorder="1" applyAlignment="1">
      <alignment horizontal="left" vertical="center"/>
    </xf>
    <xf numFmtId="0" fontId="37" fillId="0" borderId="44" xfId="0" applyFont="1" applyBorder="1" applyAlignment="1">
      <alignment horizontal="left" vertical="center"/>
    </xf>
    <xf numFmtId="170" fontId="50" fillId="4" borderId="161" xfId="2" applyNumberFormat="1" applyFont="1" applyFill="1" applyBorder="1" applyAlignment="1">
      <alignment vertical="center"/>
    </xf>
    <xf numFmtId="170" fontId="109" fillId="4" borderId="64" xfId="2" applyNumberFormat="1" applyFont="1" applyFill="1" applyBorder="1" applyAlignment="1">
      <alignment vertical="center"/>
    </xf>
    <xf numFmtId="170" fontId="42" fillId="35" borderId="64" xfId="2" applyNumberFormat="1" applyFont="1" applyFill="1" applyBorder="1" applyAlignment="1">
      <alignment vertical="center"/>
    </xf>
    <xf numFmtId="170" fontId="76" fillId="4" borderId="43" xfId="0" applyNumberFormat="1" applyFont="1" applyFill="1" applyBorder="1" applyAlignment="1">
      <alignment vertical="center"/>
    </xf>
    <xf numFmtId="41" fontId="30" fillId="0" borderId="165" xfId="0" applyNumberFormat="1" applyFont="1" applyBorder="1" applyAlignment="1">
      <alignment horizontal="center" vertical="center"/>
    </xf>
    <xf numFmtId="41" fontId="30" fillId="0" borderId="52" xfId="0" applyNumberFormat="1" applyFont="1" applyBorder="1" applyAlignment="1">
      <alignment horizontal="center" vertical="center"/>
    </xf>
    <xf numFmtId="165" fontId="47" fillId="0" borderId="52" xfId="1" applyFont="1" applyBorder="1" applyAlignment="1">
      <alignment vertical="center"/>
    </xf>
    <xf numFmtId="165" fontId="30" fillId="0" borderId="5" xfId="1" applyFont="1" applyBorder="1" applyAlignment="1">
      <alignment vertical="center"/>
    </xf>
    <xf numFmtId="165" fontId="47" fillId="0" borderId="0" xfId="1" applyFont="1" applyAlignment="1">
      <alignment vertical="center"/>
    </xf>
    <xf numFmtId="165" fontId="110" fillId="0" borderId="0" xfId="1" applyFont="1" applyAlignment="1">
      <alignment vertical="center"/>
    </xf>
    <xf numFmtId="165" fontId="60" fillId="0" borderId="0" xfId="1" applyFont="1" applyAlignment="1">
      <alignment vertical="center"/>
    </xf>
    <xf numFmtId="165" fontId="87" fillId="0" borderId="0" xfId="0" applyNumberFormat="1" applyFont="1" applyAlignment="1">
      <alignment horizontal="center" vertical="center"/>
    </xf>
    <xf numFmtId="168" fontId="29" fillId="0" borderId="0" xfId="2" applyFont="1" applyAlignment="1">
      <alignment vertical="center"/>
    </xf>
    <xf numFmtId="170" fontId="29" fillId="0" borderId="0" xfId="2" applyNumberFormat="1" applyFont="1" applyAlignment="1">
      <alignment horizontal="center" vertical="center"/>
    </xf>
    <xf numFmtId="0" fontId="87" fillId="0" borderId="0" xfId="0" applyFont="1" applyAlignment="1">
      <alignment horizontal="center" vertical="center"/>
    </xf>
    <xf numFmtId="165" fontId="60" fillId="0" borderId="0" xfId="0" applyNumberFormat="1" applyFont="1" applyAlignment="1">
      <alignment vertical="center"/>
    </xf>
    <xf numFmtId="170" fontId="29" fillId="0" borderId="0" xfId="0" applyNumberFormat="1" applyFont="1" applyAlignment="1">
      <alignment horizontal="center" vertical="center"/>
    </xf>
    <xf numFmtId="0" fontId="31" fillId="0" borderId="0" xfId="0" applyFont="1" applyAlignment="1">
      <alignment vertical="center"/>
    </xf>
    <xf numFmtId="0" fontId="88" fillId="0" borderId="0" xfId="0" applyFont="1" applyAlignment="1">
      <alignment horizontal="center" vertical="center"/>
    </xf>
    <xf numFmtId="170" fontId="67" fillId="0" borderId="0" xfId="0" applyNumberFormat="1" applyFont="1" applyAlignment="1">
      <alignment horizontal="center" vertical="center"/>
    </xf>
    <xf numFmtId="1" fontId="87" fillId="0" borderId="0" xfId="0" applyNumberFormat="1" applyFont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108" fillId="11" borderId="112" xfId="0" applyFont="1" applyFill="1" applyBorder="1" applyAlignment="1">
      <alignment horizontal="center" vertical="center"/>
    </xf>
    <xf numFmtId="165" fontId="111" fillId="11" borderId="35" xfId="0" applyNumberFormat="1" applyFont="1" applyFill="1" applyBorder="1" applyAlignment="1">
      <alignment vertical="center"/>
    </xf>
    <xf numFmtId="165" fontId="108" fillId="11" borderId="35" xfId="0" applyNumberFormat="1" applyFont="1" applyFill="1" applyBorder="1" applyAlignment="1">
      <alignment vertical="center"/>
    </xf>
    <xf numFmtId="0" fontId="29" fillId="0" borderId="166" xfId="0" applyFont="1" applyBorder="1" applyAlignment="1">
      <alignment vertical="center"/>
    </xf>
    <xf numFmtId="0" fontId="29" fillId="0" borderId="167" xfId="0" applyFont="1" applyBorder="1" applyAlignment="1">
      <alignment vertical="center"/>
    </xf>
    <xf numFmtId="165" fontId="29" fillId="0" borderId="64" xfId="0" applyNumberFormat="1" applyFont="1" applyBorder="1" applyAlignment="1">
      <alignment vertical="center"/>
    </xf>
    <xf numFmtId="0" fontId="29" fillId="0" borderId="156" xfId="0" applyFont="1" applyBorder="1" applyAlignment="1">
      <alignment vertical="center"/>
    </xf>
    <xf numFmtId="0" fontId="29" fillId="0" borderId="168" xfId="0" applyFont="1" applyBorder="1" applyAlignment="1">
      <alignment vertical="center"/>
    </xf>
    <xf numFmtId="165" fontId="29" fillId="17" borderId="138" xfId="0" applyNumberFormat="1" applyFont="1" applyFill="1" applyBorder="1" applyAlignment="1">
      <alignment vertical="center"/>
    </xf>
    <xf numFmtId="165" fontId="29" fillId="0" borderId="138" xfId="0" applyNumberFormat="1" applyFont="1" applyBorder="1" applyAlignment="1">
      <alignment vertical="center"/>
    </xf>
    <xf numFmtId="165" fontId="32" fillId="0" borderId="138" xfId="0" applyNumberFormat="1" applyFont="1" applyBorder="1" applyAlignment="1">
      <alignment vertical="center"/>
    </xf>
    <xf numFmtId="0" fontId="29" fillId="0" borderId="169" xfId="0" applyFont="1" applyBorder="1" applyAlignment="1">
      <alignment vertical="center"/>
    </xf>
    <xf numFmtId="165" fontId="29" fillId="17" borderId="109" xfId="0" applyNumberFormat="1" applyFont="1" applyFill="1" applyBorder="1" applyAlignment="1">
      <alignment vertical="center"/>
    </xf>
    <xf numFmtId="165" fontId="29" fillId="0" borderId="109" xfId="0" applyNumberFormat="1" applyFont="1" applyBorder="1" applyAlignment="1">
      <alignment vertical="center"/>
    </xf>
    <xf numFmtId="165" fontId="32" fillId="0" borderId="109" xfId="0" applyNumberFormat="1" applyFont="1" applyBorder="1" applyAlignment="1">
      <alignment vertical="center"/>
    </xf>
    <xf numFmtId="165" fontId="29" fillId="4" borderId="156" xfId="1" applyFont="1" applyFill="1" applyBorder="1" applyAlignment="1">
      <alignment vertical="center"/>
    </xf>
    <xf numFmtId="165" fontId="29" fillId="4" borderId="44" xfId="1" applyFont="1" applyFill="1" applyBorder="1" applyAlignment="1">
      <alignment vertical="center"/>
    </xf>
    <xf numFmtId="165" fontId="32" fillId="4" borderId="42" xfId="1" applyFont="1" applyFill="1" applyBorder="1" applyAlignment="1">
      <alignment vertical="center"/>
    </xf>
    <xf numFmtId="165" fontId="32" fillId="0" borderId="64" xfId="0" applyNumberFormat="1" applyFont="1" applyBorder="1" applyAlignment="1">
      <alignment vertical="center"/>
    </xf>
    <xf numFmtId="165" fontId="29" fillId="0" borderId="18" xfId="1" applyFont="1" applyBorder="1" applyAlignment="1">
      <alignment vertical="center"/>
    </xf>
    <xf numFmtId="165" fontId="29" fillId="0" borderId="53" xfId="1" applyFont="1" applyBorder="1" applyAlignment="1">
      <alignment vertical="center"/>
    </xf>
    <xf numFmtId="165" fontId="29" fillId="0" borderId="20" xfId="1" applyFont="1" applyBorder="1" applyAlignment="1">
      <alignment vertical="center"/>
    </xf>
    <xf numFmtId="0" fontId="29" fillId="0" borderId="31" xfId="1" applyNumberFormat="1" applyFont="1" applyBorder="1" applyAlignment="1">
      <alignment horizontal="left" vertical="center"/>
    </xf>
    <xf numFmtId="0" fontId="60" fillId="0" borderId="0" xfId="1" applyNumberFormat="1" applyFont="1" applyAlignment="1">
      <alignment vertical="center"/>
    </xf>
    <xf numFmtId="0" fontId="60" fillId="0" borderId="139" xfId="0" applyFont="1" applyBorder="1" applyAlignment="1">
      <alignment vertical="center"/>
    </xf>
    <xf numFmtId="165" fontId="29" fillId="0" borderId="42" xfId="0" applyNumberFormat="1" applyFont="1" applyBorder="1" applyAlignment="1">
      <alignment vertical="center"/>
    </xf>
    <xf numFmtId="165" fontId="29" fillId="4" borderId="64" xfId="1" applyFont="1" applyFill="1" applyBorder="1" applyAlignment="1">
      <alignment vertical="center"/>
    </xf>
    <xf numFmtId="165" fontId="67" fillId="4" borderId="42" xfId="1" applyFont="1" applyFill="1" applyBorder="1" applyAlignment="1">
      <alignment vertical="center"/>
    </xf>
    <xf numFmtId="0" fontId="60" fillId="16" borderId="64" xfId="0" applyFont="1" applyFill="1" applyBorder="1" applyAlignment="1">
      <alignment horizontal="center" vertical="center"/>
    </xf>
    <xf numFmtId="165" fontId="30" fillId="16" borderId="42" xfId="1" applyFont="1" applyFill="1" applyBorder="1" applyAlignment="1">
      <alignment vertical="center"/>
    </xf>
    <xf numFmtId="165" fontId="51" fillId="4" borderId="42" xfId="1" applyFont="1" applyFill="1" applyBorder="1" applyAlignment="1">
      <alignment vertical="center"/>
    </xf>
    <xf numFmtId="165" fontId="42" fillId="4" borderId="42" xfId="1" applyFont="1" applyFill="1" applyBorder="1" applyAlignment="1">
      <alignment horizontal="left" vertical="center"/>
    </xf>
    <xf numFmtId="49" fontId="60" fillId="0" borderId="65" xfId="0" applyNumberFormat="1" applyFont="1" applyBorder="1" applyAlignment="1">
      <alignment vertical="center"/>
    </xf>
    <xf numFmtId="0" fontId="60" fillId="0" borderId="65" xfId="0" applyFont="1" applyBorder="1" applyAlignment="1">
      <alignment vertical="center"/>
    </xf>
    <xf numFmtId="0" fontId="60" fillId="0" borderId="65" xfId="0" applyFont="1" applyBorder="1" applyAlignment="1">
      <alignment horizontal="center" vertical="center"/>
    </xf>
    <xf numFmtId="165" fontId="139" fillId="4" borderId="45" xfId="1" applyFill="1" applyBorder="1" applyAlignment="1">
      <alignment vertical="center"/>
    </xf>
    <xf numFmtId="0" fontId="60" fillId="0" borderId="0" xfId="0" applyFont="1" applyAlignment="1">
      <alignment horizontal="center" vertical="center"/>
    </xf>
    <xf numFmtId="49" fontId="93" fillId="0" borderId="139" xfId="0" applyNumberFormat="1" applyFont="1" applyBorder="1" applyAlignment="1">
      <alignment vertical="center"/>
    </xf>
    <xf numFmtId="0" fontId="93" fillId="0" borderId="139" xfId="0" applyFont="1" applyBorder="1" applyAlignment="1">
      <alignment vertical="center"/>
    </xf>
    <xf numFmtId="0" fontId="108" fillId="36" borderId="139" xfId="0" applyFont="1" applyFill="1" applyBorder="1" applyAlignment="1">
      <alignment horizontal="left" vertical="center"/>
    </xf>
    <xf numFmtId="49" fontId="60" fillId="0" borderId="139" xfId="0" applyNumberFormat="1" applyFont="1" applyBorder="1" applyAlignment="1">
      <alignment vertical="center"/>
    </xf>
    <xf numFmtId="0" fontId="60" fillId="0" borderId="170" xfId="0" applyFont="1" applyBorder="1" applyAlignment="1">
      <alignment horizontal="center" vertical="center"/>
    </xf>
    <xf numFmtId="0" fontId="60" fillId="0" borderId="139" xfId="0" applyFont="1" applyBorder="1" applyAlignment="1">
      <alignment horizontal="center" vertical="center"/>
    </xf>
    <xf numFmtId="0" fontId="29" fillId="0" borderId="89" xfId="0" applyFont="1" applyBorder="1" applyAlignment="1">
      <alignment vertical="center"/>
    </xf>
    <xf numFmtId="49" fontId="60" fillId="0" borderId="161" xfId="0" applyNumberFormat="1" applyFont="1" applyBorder="1" applyAlignment="1">
      <alignment vertical="center"/>
    </xf>
    <xf numFmtId="0" fontId="60" fillId="0" borderId="161" xfId="0" applyFont="1" applyBorder="1" applyAlignment="1">
      <alignment vertical="center"/>
    </xf>
    <xf numFmtId="0" fontId="60" fillId="0" borderId="161" xfId="0" applyFont="1" applyBorder="1" applyAlignment="1">
      <alignment horizontal="center" vertical="center"/>
    </xf>
    <xf numFmtId="0" fontId="52" fillId="0" borderId="42" xfId="0" applyFont="1" applyBorder="1" applyAlignment="1">
      <alignment vertical="center"/>
    </xf>
    <xf numFmtId="174" fontId="60" fillId="0" borderId="64" xfId="0" applyNumberFormat="1" applyFont="1" applyBorder="1" applyAlignment="1">
      <alignment vertical="center"/>
    </xf>
    <xf numFmtId="0" fontId="29" fillId="0" borderId="42" xfId="0" applyFont="1" applyBorder="1" applyAlignment="1">
      <alignment vertical="center"/>
    </xf>
    <xf numFmtId="0" fontId="37" fillId="0" borderId="42" xfId="0" applyFont="1" applyBorder="1" applyAlignment="1">
      <alignment vertical="center"/>
    </xf>
    <xf numFmtId="174" fontId="60" fillId="0" borderId="65" xfId="0" applyNumberFormat="1" applyFont="1" applyBorder="1" applyAlignment="1">
      <alignment vertical="center"/>
    </xf>
    <xf numFmtId="0" fontId="37" fillId="0" borderId="45" xfId="0" applyFont="1" applyBorder="1" applyAlignment="1">
      <alignment vertical="center"/>
    </xf>
    <xf numFmtId="0" fontId="112" fillId="3" borderId="139" xfId="0" applyFont="1" applyFill="1" applyBorder="1" applyAlignment="1">
      <alignment horizontal="left" vertical="center"/>
    </xf>
    <xf numFmtId="0" fontId="47" fillId="0" borderId="45" xfId="0" applyFont="1" applyBorder="1" applyAlignment="1">
      <alignment vertical="center"/>
    </xf>
    <xf numFmtId="0" fontId="112" fillId="21" borderId="139" xfId="0" applyFont="1" applyFill="1" applyBorder="1" applyAlignment="1">
      <alignment horizontal="left" vertical="center"/>
    </xf>
    <xf numFmtId="0" fontId="29" fillId="0" borderId="45" xfId="0" applyFont="1" applyBorder="1" applyAlignment="1">
      <alignment vertical="center"/>
    </xf>
    <xf numFmtId="165" fontId="42" fillId="4" borderId="156" xfId="1" applyFont="1" applyFill="1" applyBorder="1" applyAlignment="1">
      <alignment vertical="center"/>
    </xf>
    <xf numFmtId="165" fontId="42" fillId="4" borderId="44" xfId="1" applyFont="1" applyFill="1" applyBorder="1" applyAlignment="1">
      <alignment vertical="center"/>
    </xf>
    <xf numFmtId="165" fontId="30" fillId="4" borderId="42" xfId="1" applyFont="1" applyFill="1" applyBorder="1" applyAlignment="1">
      <alignment vertical="center"/>
    </xf>
    <xf numFmtId="165" fontId="30" fillId="16" borderId="156" xfId="1" applyFont="1" applyFill="1" applyBorder="1" applyAlignment="1">
      <alignment vertical="center"/>
    </xf>
    <xf numFmtId="165" fontId="30" fillId="16" borderId="44" xfId="1" applyFont="1" applyFill="1" applyBorder="1" applyAlignment="1">
      <alignment vertical="center"/>
    </xf>
    <xf numFmtId="165" fontId="29" fillId="16" borderId="42" xfId="1" applyFont="1" applyFill="1" applyBorder="1" applyAlignment="1">
      <alignment vertical="center"/>
    </xf>
    <xf numFmtId="165" fontId="32" fillId="16" borderId="42" xfId="1" applyFont="1" applyFill="1" applyBorder="1" applyAlignment="1">
      <alignment vertical="center"/>
    </xf>
    <xf numFmtId="165" fontId="139" fillId="4" borderId="157" xfId="1" applyFill="1" applyBorder="1" applyAlignment="1">
      <alignment vertical="center"/>
    </xf>
    <xf numFmtId="165" fontId="139" fillId="4" borderId="65" xfId="1" applyFill="1" applyBorder="1" applyAlignment="1">
      <alignment vertical="center"/>
    </xf>
    <xf numFmtId="0" fontId="108" fillId="36" borderId="166" xfId="0" applyFont="1" applyFill="1" applyBorder="1" applyAlignment="1">
      <alignment horizontal="center" vertical="center"/>
    </xf>
    <xf numFmtId="165" fontId="108" fillId="36" borderId="139" xfId="0" applyNumberFormat="1" applyFont="1" applyFill="1" applyBorder="1" applyAlignment="1">
      <alignment vertical="center"/>
    </xf>
    <xf numFmtId="0" fontId="57" fillId="0" borderId="171" xfId="0" applyFont="1" applyBorder="1" applyAlignment="1">
      <alignment vertical="center"/>
    </xf>
    <xf numFmtId="165" fontId="29" fillId="0" borderId="170" xfId="0" applyNumberFormat="1" applyFont="1" applyBorder="1" applyAlignment="1">
      <alignment vertical="center"/>
    </xf>
    <xf numFmtId="0" fontId="52" fillId="0" borderId="156" xfId="0" applyFont="1" applyBorder="1" applyAlignment="1">
      <alignment vertical="center"/>
    </xf>
    <xf numFmtId="165" fontId="52" fillId="0" borderId="64" xfId="0" applyNumberFormat="1" applyFont="1" applyBorder="1" applyAlignment="1">
      <alignment vertical="center"/>
    </xf>
    <xf numFmtId="165" fontId="60" fillId="0" borderId="64" xfId="0" applyNumberFormat="1" applyFont="1" applyBorder="1" applyAlignment="1">
      <alignment vertical="center"/>
    </xf>
    <xf numFmtId="0" fontId="60" fillId="0" borderId="157" xfId="0" applyFont="1" applyBorder="1" applyAlignment="1">
      <alignment vertical="center"/>
    </xf>
    <xf numFmtId="165" fontId="60" fillId="0" borderId="65" xfId="0" applyNumberFormat="1" applyFont="1" applyBorder="1" applyAlignment="1">
      <alignment vertical="center"/>
    </xf>
    <xf numFmtId="0" fontId="113" fillId="3" borderId="139" xfId="0" applyFont="1" applyFill="1" applyBorder="1" applyAlignment="1">
      <alignment vertical="center"/>
    </xf>
    <xf numFmtId="165" fontId="112" fillId="3" borderId="139" xfId="0" applyNumberFormat="1" applyFont="1" applyFill="1" applyBorder="1" applyAlignment="1">
      <alignment vertical="center"/>
    </xf>
    <xf numFmtId="165" fontId="29" fillId="24" borderId="64" xfId="0" applyNumberFormat="1" applyFont="1" applyFill="1" applyBorder="1" applyAlignment="1">
      <alignment vertical="center"/>
    </xf>
    <xf numFmtId="165" fontId="29" fillId="0" borderId="65" xfId="0" applyNumberFormat="1" applyFont="1" applyBorder="1" applyAlignment="1">
      <alignment vertical="center"/>
    </xf>
    <xf numFmtId="0" fontId="113" fillId="21" borderId="166" xfId="0" applyFont="1" applyFill="1" applyBorder="1" applyAlignment="1">
      <alignment vertical="center"/>
    </xf>
    <xf numFmtId="165" fontId="112" fillId="21" borderId="139" xfId="0" applyNumberFormat="1" applyFont="1" applyFill="1" applyBorder="1" applyAlignment="1">
      <alignment vertical="center"/>
    </xf>
    <xf numFmtId="0" fontId="29" fillId="0" borderId="157" xfId="0" applyFont="1" applyBorder="1" applyAlignment="1">
      <alignment vertical="center"/>
    </xf>
    <xf numFmtId="43" fontId="60" fillId="0" borderId="0" xfId="0" applyNumberFormat="1" applyFont="1" applyAlignment="1">
      <alignment vertical="center"/>
    </xf>
    <xf numFmtId="165" fontId="29" fillId="16" borderId="64" xfId="1" applyFont="1" applyFill="1" applyBorder="1" applyAlignment="1">
      <alignment vertical="center"/>
    </xf>
    <xf numFmtId="176" fontId="139" fillId="16" borderId="0" xfId="1" applyNumberFormat="1" applyFill="1" applyAlignment="1">
      <alignment vertical="center"/>
    </xf>
    <xf numFmtId="165" fontId="60" fillId="0" borderId="125" xfId="0" applyNumberFormat="1" applyFont="1" applyBorder="1" applyAlignment="1">
      <alignment vertical="center"/>
    </xf>
    <xf numFmtId="0" fontId="114" fillId="0" borderId="0" xfId="0" applyFont="1" applyAlignment="1">
      <alignment vertical="center"/>
    </xf>
    <xf numFmtId="0" fontId="0" fillId="0" borderId="0" xfId="0" applyAlignment="1">
      <alignment vertical="center"/>
    </xf>
    <xf numFmtId="0" fontId="115" fillId="0" borderId="0" xfId="0" applyFont="1" applyAlignment="1">
      <alignment vertical="center"/>
    </xf>
    <xf numFmtId="0" fontId="116" fillId="0" borderId="0" xfId="0" applyFont="1" applyAlignment="1">
      <alignment vertical="center"/>
    </xf>
    <xf numFmtId="0" fontId="0" fillId="25" borderId="0" xfId="0" applyFill="1" applyAlignment="1">
      <alignment vertical="center"/>
    </xf>
    <xf numFmtId="0" fontId="117" fillId="0" borderId="0" xfId="0" applyFont="1" applyAlignment="1">
      <alignment vertical="center"/>
    </xf>
    <xf numFmtId="0" fontId="0" fillId="4" borderId="0" xfId="0" applyFill="1" applyAlignment="1">
      <alignment vertical="center"/>
    </xf>
    <xf numFmtId="0" fontId="0" fillId="0" borderId="44" xfId="0" applyBorder="1" applyAlignment="1">
      <alignment vertical="center"/>
    </xf>
    <xf numFmtId="0" fontId="7" fillId="25" borderId="0" xfId="0" applyFont="1" applyFill="1" applyAlignment="1">
      <alignment vertical="center"/>
    </xf>
    <xf numFmtId="0" fontId="7" fillId="0" borderId="0" xfId="0" applyFont="1" applyAlignment="1">
      <alignment vertical="center"/>
    </xf>
    <xf numFmtId="0" fontId="118" fillId="0" borderId="0" xfId="0" applyFont="1" applyAlignment="1">
      <alignment vertical="center"/>
    </xf>
    <xf numFmtId="170" fontId="0" fillId="0" borderId="0" xfId="0" applyNumberFormat="1"/>
    <xf numFmtId="0" fontId="117" fillId="0" borderId="0" xfId="0" applyFont="1"/>
    <xf numFmtId="49" fontId="60" fillId="4" borderId="0" xfId="0" applyNumberFormat="1" applyFont="1" applyFill="1" applyAlignment="1">
      <alignment horizontal="center" vertical="center"/>
    </xf>
    <xf numFmtId="49" fontId="35" fillId="4" borderId="0" xfId="0" applyNumberFormat="1" applyFont="1" applyFill="1" applyAlignment="1">
      <alignment horizontal="center" vertical="center"/>
    </xf>
    <xf numFmtId="0" fontId="89" fillId="4" borderId="0" xfId="0" applyFont="1" applyFill="1" applyAlignment="1">
      <alignment vertical="center"/>
    </xf>
    <xf numFmtId="0" fontId="62" fillId="4" borderId="173" xfId="0" applyFont="1" applyFill="1" applyBorder="1" applyAlignment="1">
      <alignment horizontal="center" vertical="center"/>
    </xf>
    <xf numFmtId="49" fontId="29" fillId="4" borderId="174" xfId="0" applyNumberFormat="1" applyFont="1" applyFill="1" applyBorder="1" applyAlignment="1">
      <alignment horizontal="center" vertical="center"/>
    </xf>
    <xf numFmtId="49" fontId="29" fillId="43" borderId="174" xfId="0" applyNumberFormat="1" applyFont="1" applyFill="1" applyBorder="1" applyAlignment="1">
      <alignment horizontal="center" vertical="center"/>
    </xf>
    <xf numFmtId="0" fontId="30" fillId="43" borderId="31" xfId="0" applyFont="1" applyFill="1" applyBorder="1" applyAlignment="1">
      <alignment vertical="center"/>
    </xf>
    <xf numFmtId="49" fontId="29" fillId="0" borderId="175" xfId="0" applyNumberFormat="1" applyFont="1" applyBorder="1" applyAlignment="1">
      <alignment horizontal="center" vertical="center"/>
    </xf>
    <xf numFmtId="0" fontId="0" fillId="25" borderId="35" xfId="0" applyFill="1" applyBorder="1" applyAlignment="1">
      <alignment vertical="center"/>
    </xf>
    <xf numFmtId="0" fontId="0" fillId="25" borderId="67" xfId="0" applyFill="1" applyBorder="1" applyAlignment="1">
      <alignment vertical="center"/>
    </xf>
    <xf numFmtId="49" fontId="30" fillId="25" borderId="176" xfId="0" applyNumberFormat="1" applyFont="1" applyFill="1" applyBorder="1" applyAlignment="1">
      <alignment horizontal="center" vertical="center"/>
    </xf>
    <xf numFmtId="0" fontId="51" fillId="25" borderId="50" xfId="0" applyFont="1" applyFill="1" applyBorder="1" applyAlignment="1">
      <alignment vertical="center"/>
    </xf>
    <xf numFmtId="49" fontId="30" fillId="0" borderId="62" xfId="0" applyNumberFormat="1" applyFont="1" applyBorder="1" applyAlignment="1">
      <alignment horizontal="center" vertical="center"/>
    </xf>
    <xf numFmtId="49" fontId="30" fillId="0" borderId="177" xfId="0" applyNumberFormat="1" applyFont="1" applyBorder="1" applyAlignment="1">
      <alignment horizontal="center" vertical="center"/>
    </xf>
    <xf numFmtId="0" fontId="0" fillId="0" borderId="35" xfId="0" applyBorder="1" applyAlignment="1">
      <alignment vertical="center"/>
    </xf>
    <xf numFmtId="0" fontId="0" fillId="0" borderId="67" xfId="0" applyBorder="1" applyAlignment="1">
      <alignment vertical="center"/>
    </xf>
    <xf numFmtId="49" fontId="30" fillId="0" borderId="178" xfId="0" applyNumberFormat="1" applyFont="1" applyBorder="1" applyAlignment="1">
      <alignment horizontal="center" vertical="center"/>
    </xf>
    <xf numFmtId="0" fontId="30" fillId="0" borderId="122" xfId="0" applyFont="1" applyBorder="1" applyAlignment="1">
      <alignment vertical="center"/>
    </xf>
    <xf numFmtId="49" fontId="30" fillId="0" borderId="179" xfId="0" applyNumberFormat="1" applyFont="1" applyBorder="1" applyAlignment="1">
      <alignment horizontal="center" vertical="center"/>
    </xf>
    <xf numFmtId="49" fontId="29" fillId="0" borderId="180" xfId="0" applyNumberFormat="1" applyFont="1" applyBorder="1" applyAlignment="1">
      <alignment horizontal="center" vertical="center"/>
    </xf>
    <xf numFmtId="49" fontId="30" fillId="20" borderId="125" xfId="0" applyNumberFormat="1" applyFont="1" applyFill="1" applyBorder="1" applyAlignment="1">
      <alignment horizontal="center" vertical="center"/>
    </xf>
    <xf numFmtId="0" fontId="119" fillId="0" borderId="67" xfId="0" applyFont="1" applyBorder="1" applyAlignment="1">
      <alignment vertical="center"/>
    </xf>
    <xf numFmtId="49" fontId="30" fillId="0" borderId="180" xfId="0" applyNumberFormat="1" applyFont="1" applyBorder="1" applyAlignment="1">
      <alignment horizontal="center" vertical="center"/>
    </xf>
    <xf numFmtId="49" fontId="30" fillId="0" borderId="61" xfId="0" applyNumberFormat="1" applyFont="1" applyBorder="1" applyAlignment="1">
      <alignment horizontal="center" vertical="center"/>
    </xf>
    <xf numFmtId="49" fontId="29" fillId="0" borderId="181" xfId="0" applyNumberFormat="1" applyFont="1" applyBorder="1" applyAlignment="1">
      <alignment horizontal="center" vertical="center"/>
    </xf>
    <xf numFmtId="49" fontId="30" fillId="16" borderId="182" xfId="0" applyNumberFormat="1" applyFont="1" applyFill="1" applyBorder="1" applyAlignment="1">
      <alignment horizontal="center" vertical="center"/>
    </xf>
    <xf numFmtId="0" fontId="51" fillId="16" borderId="66" xfId="0" applyFont="1" applyFill="1" applyBorder="1" applyAlignment="1">
      <alignment vertical="center"/>
    </xf>
    <xf numFmtId="49" fontId="29" fillId="25" borderId="183" xfId="0" applyNumberFormat="1" applyFont="1" applyFill="1" applyBorder="1" applyAlignment="1">
      <alignment horizontal="center" vertical="center"/>
    </xf>
    <xf numFmtId="0" fontId="51" fillId="25" borderId="11" xfId="0" applyFont="1" applyFill="1" applyBorder="1" applyAlignment="1">
      <alignment vertical="center"/>
    </xf>
    <xf numFmtId="0" fontId="119" fillId="4" borderId="67" xfId="0" applyFont="1" applyFill="1" applyBorder="1" applyAlignment="1">
      <alignment vertical="center"/>
    </xf>
    <xf numFmtId="49" fontId="29" fillId="0" borderId="184" xfId="0" applyNumberFormat="1" applyFont="1" applyBorder="1" applyAlignment="1">
      <alignment horizontal="center" vertical="center"/>
    </xf>
    <xf numFmtId="0" fontId="30" fillId="0" borderId="14" xfId="0" applyFont="1" applyBorder="1" applyAlignment="1">
      <alignment vertical="center"/>
    </xf>
    <xf numFmtId="49" fontId="30" fillId="0" borderId="115" xfId="0" applyNumberFormat="1" applyFont="1" applyBorder="1" applyAlignment="1">
      <alignment horizontal="center" vertical="center"/>
    </xf>
    <xf numFmtId="49" fontId="29" fillId="0" borderId="183" xfId="0" applyNumberFormat="1" applyFont="1" applyBorder="1" applyAlignment="1">
      <alignment horizontal="center" vertical="center"/>
    </xf>
    <xf numFmtId="49" fontId="29" fillId="0" borderId="185" xfId="0" applyNumberFormat="1" applyFont="1" applyBorder="1" applyAlignment="1">
      <alignment horizontal="center" vertical="center"/>
    </xf>
    <xf numFmtId="0" fontId="29" fillId="0" borderId="69" xfId="0" applyFont="1" applyBorder="1" applyAlignment="1">
      <alignment vertical="center"/>
    </xf>
    <xf numFmtId="49" fontId="29" fillId="25" borderId="186" xfId="0" applyNumberFormat="1" applyFont="1" applyFill="1" applyBorder="1" applyAlignment="1">
      <alignment horizontal="center" vertical="center"/>
    </xf>
    <xf numFmtId="0" fontId="51" fillId="25" borderId="89" xfId="0" applyFont="1" applyFill="1" applyBorder="1" applyAlignment="1">
      <alignment vertical="center"/>
    </xf>
    <xf numFmtId="49" fontId="30" fillId="0" borderId="187" xfId="0" applyNumberFormat="1" applyFont="1" applyBorder="1" applyAlignment="1">
      <alignment horizontal="center" vertical="center"/>
    </xf>
    <xf numFmtId="0" fontId="30" fillId="0" borderId="38" xfId="0" applyFont="1" applyBorder="1" applyAlignment="1">
      <alignment vertical="center"/>
    </xf>
    <xf numFmtId="49" fontId="29" fillId="0" borderId="188" xfId="0" applyNumberFormat="1" applyFont="1" applyBorder="1" applyAlignment="1">
      <alignment horizontal="center" vertical="center"/>
    </xf>
    <xf numFmtId="49" fontId="30" fillId="0" borderId="188" xfId="0" applyNumberFormat="1" applyFont="1" applyBorder="1" applyAlignment="1">
      <alignment horizontal="center" vertical="center"/>
    </xf>
    <xf numFmtId="0" fontId="30" fillId="0" borderId="44" xfId="0" applyFont="1" applyBorder="1" applyAlignment="1">
      <alignment vertical="center"/>
    </xf>
    <xf numFmtId="49" fontId="30" fillId="0" borderId="189" xfId="0" applyNumberFormat="1" applyFont="1" applyBorder="1" applyAlignment="1">
      <alignment horizontal="center" vertical="center"/>
    </xf>
    <xf numFmtId="49" fontId="29" fillId="0" borderId="190" xfId="0" applyNumberFormat="1" applyFont="1" applyBorder="1" applyAlignment="1">
      <alignment horizontal="center" vertical="center"/>
    </xf>
    <xf numFmtId="0" fontId="29" fillId="0" borderId="47" xfId="0" applyFont="1" applyBorder="1" applyAlignment="1">
      <alignment vertical="center"/>
    </xf>
    <xf numFmtId="0" fontId="120" fillId="0" borderId="67" xfId="0" applyFont="1" applyBorder="1" applyAlignment="1">
      <alignment vertical="center"/>
    </xf>
    <xf numFmtId="170" fontId="76" fillId="4" borderId="0" xfId="0" applyNumberFormat="1" applyFont="1" applyFill="1" applyAlignment="1">
      <alignment vertical="center"/>
    </xf>
    <xf numFmtId="0" fontId="76" fillId="4" borderId="0" xfId="0" applyFont="1" applyFill="1" applyAlignment="1">
      <alignment vertical="center"/>
    </xf>
    <xf numFmtId="0" fontId="50" fillId="4" borderId="0" xfId="0" applyFont="1" applyFill="1" applyAlignment="1">
      <alignment vertical="center"/>
    </xf>
    <xf numFmtId="165" fontId="139" fillId="0" borderId="0" xfId="1" applyAlignment="1">
      <alignment vertical="center"/>
    </xf>
    <xf numFmtId="170" fontId="89" fillId="4" borderId="0" xfId="0" applyNumberFormat="1" applyFont="1" applyFill="1" applyAlignment="1">
      <alignment vertical="center"/>
    </xf>
    <xf numFmtId="170" fontId="21" fillId="28" borderId="35" xfId="0" applyNumberFormat="1" applyFont="1" applyFill="1" applyBorder="1" applyAlignment="1">
      <alignment horizontal="center" vertical="center" wrapText="1"/>
    </xf>
    <xf numFmtId="0" fontId="121" fillId="4" borderId="6" xfId="0" applyFont="1" applyFill="1" applyBorder="1" applyAlignment="1">
      <alignment horizontal="center" vertical="center"/>
    </xf>
    <xf numFmtId="0" fontId="121" fillId="4" borderId="192" xfId="0" applyFont="1" applyFill="1" applyBorder="1" applyAlignment="1">
      <alignment horizontal="center" vertical="center"/>
    </xf>
    <xf numFmtId="170" fontId="122" fillId="4" borderId="5" xfId="0" applyNumberFormat="1" applyFont="1" applyFill="1" applyBorder="1" applyAlignment="1">
      <alignment vertical="center"/>
    </xf>
    <xf numFmtId="170" fontId="53" fillId="35" borderId="193" xfId="0" applyNumberFormat="1" applyFont="1" applyFill="1" applyBorder="1" applyAlignment="1">
      <alignment vertical="center"/>
    </xf>
    <xf numFmtId="0" fontId="50" fillId="4" borderId="194" xfId="0" applyFont="1" applyFill="1" applyBorder="1" applyAlignment="1">
      <alignment vertical="center"/>
    </xf>
    <xf numFmtId="170" fontId="30" fillId="43" borderId="5" xfId="0" applyNumberFormat="1" applyFont="1" applyFill="1" applyBorder="1" applyAlignment="1">
      <alignment vertical="center"/>
    </xf>
    <xf numFmtId="170" fontId="30" fillId="44" borderId="193" xfId="0" applyNumberFormat="1" applyFont="1" applyFill="1" applyBorder="1" applyAlignment="1">
      <alignment vertical="center"/>
    </xf>
    <xf numFmtId="170" fontId="30" fillId="43" borderId="194" xfId="0" applyNumberFormat="1" applyFont="1" applyFill="1" applyBorder="1" applyAlignment="1">
      <alignment vertical="center"/>
    </xf>
    <xf numFmtId="170" fontId="29" fillId="0" borderId="28" xfId="0" applyNumberFormat="1" applyFont="1" applyBorder="1" applyAlignment="1">
      <alignment vertical="center"/>
    </xf>
    <xf numFmtId="170" fontId="30" fillId="0" borderId="147" xfId="0" applyNumberFormat="1" applyFont="1" applyBorder="1" applyAlignment="1">
      <alignment vertical="center"/>
    </xf>
    <xf numFmtId="170" fontId="30" fillId="0" borderId="195" xfId="0" applyNumberFormat="1" applyFont="1" applyBorder="1" applyAlignment="1">
      <alignment vertical="center"/>
    </xf>
    <xf numFmtId="0" fontId="47" fillId="25" borderId="50" xfId="0" applyFont="1" applyFill="1" applyBorder="1" applyAlignment="1">
      <alignment vertical="center"/>
    </xf>
    <xf numFmtId="170" fontId="30" fillId="25" borderId="49" xfId="0" applyNumberFormat="1" applyFont="1" applyFill="1" applyBorder="1" applyAlignment="1">
      <alignment vertical="center"/>
    </xf>
    <xf numFmtId="170" fontId="30" fillId="45" borderId="196" xfId="0" applyNumberFormat="1" applyFont="1" applyFill="1" applyBorder="1" applyAlignment="1">
      <alignment vertical="center"/>
    </xf>
    <xf numFmtId="170" fontId="30" fillId="25" borderId="197" xfId="0" applyNumberFormat="1" applyFont="1" applyFill="1" applyBorder="1" applyAlignment="1">
      <alignment vertical="center"/>
    </xf>
    <xf numFmtId="165" fontId="139" fillId="25" borderId="0" xfId="1" applyFill="1" applyAlignment="1">
      <alignment vertical="center"/>
    </xf>
    <xf numFmtId="170" fontId="30" fillId="0" borderId="90" xfId="0" applyNumberFormat="1" applyFont="1" applyBorder="1" applyAlignment="1">
      <alignment vertical="center"/>
    </xf>
    <xf numFmtId="170" fontId="30" fillId="0" borderId="198" xfId="0" applyNumberFormat="1" applyFont="1" applyBorder="1" applyAlignment="1">
      <alignment vertical="center"/>
    </xf>
    <xf numFmtId="170" fontId="30" fillId="0" borderId="199" xfId="0" applyNumberFormat="1" applyFont="1" applyBorder="1" applyAlignment="1">
      <alignment vertical="center"/>
    </xf>
    <xf numFmtId="170" fontId="67" fillId="0" borderId="28" xfId="0" applyNumberFormat="1" applyFont="1" applyBorder="1" applyAlignment="1">
      <alignment vertical="center"/>
    </xf>
    <xf numFmtId="170" fontId="67" fillId="35" borderId="148" xfId="0" applyNumberFormat="1" applyFont="1" applyFill="1" applyBorder="1" applyAlignment="1">
      <alignment vertical="center"/>
    </xf>
    <xf numFmtId="170" fontId="67" fillId="4" borderId="16" xfId="0" applyNumberFormat="1" applyFont="1" applyFill="1" applyBorder="1" applyAlignment="1">
      <alignment vertical="center"/>
    </xf>
    <xf numFmtId="170" fontId="30" fillId="0" borderId="200" xfId="0" applyNumberFormat="1" applyFont="1" applyBorder="1" applyAlignment="1">
      <alignment vertical="center"/>
    </xf>
    <xf numFmtId="165" fontId="123" fillId="0" borderId="0" xfId="1" applyFont="1" applyAlignment="1">
      <alignment vertical="center"/>
    </xf>
    <xf numFmtId="170" fontId="30" fillId="35" borderId="148" xfId="0" applyNumberFormat="1" applyFont="1" applyFill="1" applyBorder="1" applyAlignment="1">
      <alignment vertical="center"/>
    </xf>
    <xf numFmtId="170" fontId="76" fillId="40" borderId="43" xfId="0" applyNumberFormat="1" applyFont="1" applyFill="1" applyBorder="1" applyAlignment="1">
      <alignment vertical="center"/>
    </xf>
    <xf numFmtId="170" fontId="30" fillId="4" borderId="16" xfId="0" applyNumberFormat="1" applyFont="1" applyFill="1" applyBorder="1" applyAlignment="1">
      <alignment vertical="center"/>
    </xf>
    <xf numFmtId="170" fontId="30" fillId="0" borderId="201" xfId="0" applyNumberFormat="1" applyFont="1" applyBorder="1" applyAlignment="1">
      <alignment vertical="center"/>
    </xf>
    <xf numFmtId="165" fontId="124" fillId="0" borderId="0" xfId="1" applyFont="1" applyAlignment="1">
      <alignment vertical="center"/>
    </xf>
    <xf numFmtId="170" fontId="29" fillId="0" borderId="16" xfId="0" applyNumberFormat="1" applyFont="1" applyBorder="1" applyAlignment="1">
      <alignment vertical="center"/>
    </xf>
    <xf numFmtId="170" fontId="42" fillId="0" borderId="16" xfId="0" applyNumberFormat="1" applyFont="1" applyBorder="1" applyAlignment="1">
      <alignment vertical="center"/>
    </xf>
    <xf numFmtId="170" fontId="29" fillId="0" borderId="10" xfId="0" applyNumberFormat="1" applyFont="1" applyBorder="1" applyAlignment="1">
      <alignment vertical="center"/>
    </xf>
    <xf numFmtId="170" fontId="30" fillId="0" borderId="158" xfId="0" applyNumberFormat="1" applyFont="1" applyBorder="1" applyAlignment="1">
      <alignment vertical="center"/>
    </xf>
    <xf numFmtId="170" fontId="30" fillId="0" borderId="10" xfId="0" applyNumberFormat="1" applyFont="1" applyBorder="1" applyAlignment="1">
      <alignment vertical="center"/>
    </xf>
    <xf numFmtId="170" fontId="30" fillId="0" borderId="202" xfId="0" applyNumberFormat="1" applyFont="1" applyBorder="1" applyAlignment="1">
      <alignment vertical="center"/>
    </xf>
    <xf numFmtId="0" fontId="30" fillId="16" borderId="66" xfId="0" applyFont="1" applyFill="1" applyBorder="1" applyAlignment="1">
      <alignment vertical="center"/>
    </xf>
    <xf numFmtId="170" fontId="30" fillId="16" borderId="78" xfId="0" applyNumberFormat="1" applyFont="1" applyFill="1" applyBorder="1" applyAlignment="1">
      <alignment vertical="center"/>
    </xf>
    <xf numFmtId="170" fontId="30" fillId="38" borderId="203" xfId="0" applyNumberFormat="1" applyFont="1" applyFill="1" applyBorder="1" applyAlignment="1">
      <alignment vertical="center"/>
    </xf>
    <xf numFmtId="170" fontId="30" fillId="16" borderId="204" xfId="0" applyNumberFormat="1" applyFont="1" applyFill="1" applyBorder="1" applyAlignment="1">
      <alignment vertical="center"/>
    </xf>
    <xf numFmtId="0" fontId="30" fillId="25" borderId="11" xfId="0" applyFont="1" applyFill="1" applyBorder="1" applyAlignment="1">
      <alignment vertical="center"/>
    </xf>
    <xf numFmtId="170" fontId="30" fillId="25" borderId="21" xfId="0" applyNumberFormat="1" applyFont="1" applyFill="1" applyBorder="1" applyAlignment="1">
      <alignment vertical="center"/>
    </xf>
    <xf numFmtId="0" fontId="29" fillId="0" borderId="14" xfId="0" applyFont="1" applyBorder="1" applyAlignment="1">
      <alignment vertical="center"/>
    </xf>
    <xf numFmtId="170" fontId="29" fillId="0" borderId="13" xfId="0" applyNumberFormat="1" applyFont="1" applyBorder="1" applyAlignment="1">
      <alignment vertical="center"/>
    </xf>
    <xf numFmtId="170" fontId="30" fillId="0" borderId="205" xfId="0" applyNumberFormat="1" applyFont="1" applyBorder="1" applyAlignment="1">
      <alignment vertical="center"/>
    </xf>
    <xf numFmtId="170" fontId="30" fillId="0" borderId="13" xfId="0" applyNumberFormat="1" applyFont="1" applyBorder="1" applyAlignment="1">
      <alignment vertical="center"/>
    </xf>
    <xf numFmtId="170" fontId="30" fillId="35" borderId="164" xfId="0" applyNumberFormat="1" applyFont="1" applyFill="1" applyBorder="1" applyAlignment="1">
      <alignment vertical="center"/>
    </xf>
    <xf numFmtId="170" fontId="50" fillId="4" borderId="43" xfId="0" applyNumberFormat="1" applyFont="1" applyFill="1" applyBorder="1" applyAlignment="1">
      <alignment vertical="center"/>
    </xf>
    <xf numFmtId="170" fontId="29" fillId="0" borderId="23" xfId="0" applyNumberFormat="1" applyFont="1" applyBorder="1" applyAlignment="1">
      <alignment vertical="center"/>
    </xf>
    <xf numFmtId="170" fontId="30" fillId="0" borderId="206" xfId="0" applyNumberFormat="1" applyFont="1" applyBorder="1" applyAlignment="1">
      <alignment vertical="center"/>
    </xf>
    <xf numFmtId="170" fontId="30" fillId="0" borderId="207" xfId="0" applyNumberFormat="1" applyFont="1" applyBorder="1" applyAlignment="1">
      <alignment vertical="center"/>
    </xf>
    <xf numFmtId="0" fontId="60" fillId="25" borderId="89" xfId="0" applyFont="1" applyFill="1" applyBorder="1" applyAlignment="1">
      <alignment vertical="center"/>
    </xf>
    <xf numFmtId="170" fontId="30" fillId="25" borderId="51" xfId="0" applyNumberFormat="1" applyFont="1" applyFill="1" applyBorder="1" applyAlignment="1">
      <alignment vertical="center"/>
    </xf>
    <xf numFmtId="170" fontId="30" fillId="0" borderId="37" xfId="0" applyNumberFormat="1" applyFont="1" applyBorder="1" applyAlignment="1">
      <alignment vertical="center"/>
    </xf>
    <xf numFmtId="170" fontId="29" fillId="0" borderId="43" xfId="0" applyNumberFormat="1" applyFont="1" applyBorder="1" applyAlignment="1">
      <alignment vertical="center"/>
    </xf>
    <xf numFmtId="170" fontId="30" fillId="4" borderId="43" xfId="0" applyNumberFormat="1" applyFont="1" applyFill="1" applyBorder="1" applyAlignment="1">
      <alignment vertical="center"/>
    </xf>
    <xf numFmtId="170" fontId="30" fillId="0" borderId="43" xfId="0" applyNumberFormat="1" applyFont="1" applyBorder="1" applyAlignment="1">
      <alignment vertical="center"/>
    </xf>
    <xf numFmtId="170" fontId="29" fillId="0" borderId="46" xfId="0" applyNumberFormat="1" applyFont="1" applyBorder="1" applyAlignment="1">
      <alignment vertical="center"/>
    </xf>
    <xf numFmtId="170" fontId="30" fillId="0" borderId="208" xfId="0" applyNumberFormat="1" applyFont="1" applyBorder="1" applyAlignment="1">
      <alignment vertical="center"/>
    </xf>
    <xf numFmtId="170" fontId="30" fillId="0" borderId="46" xfId="0" applyNumberFormat="1" applyFont="1" applyBorder="1" applyAlignment="1">
      <alignment vertical="center"/>
    </xf>
    <xf numFmtId="170" fontId="30" fillId="0" borderId="209" xfId="0" applyNumberFormat="1" applyFont="1" applyBorder="1" applyAlignment="1">
      <alignment vertical="center"/>
    </xf>
    <xf numFmtId="0" fontId="30" fillId="25" borderId="50" xfId="0" applyFont="1" applyFill="1" applyBorder="1" applyAlignment="1">
      <alignment vertical="center"/>
    </xf>
    <xf numFmtId="170" fontId="29" fillId="0" borderId="40" xfId="0" applyNumberFormat="1" applyFont="1" applyBorder="1" applyAlignment="1">
      <alignment vertical="center"/>
    </xf>
    <xf numFmtId="0" fontId="124" fillId="25" borderId="0" xfId="0" applyFont="1" applyFill="1" applyAlignment="1">
      <alignment vertical="center"/>
    </xf>
    <xf numFmtId="0" fontId="124" fillId="0" borderId="0" xfId="0" applyFont="1" applyAlignment="1">
      <alignment vertical="center"/>
    </xf>
    <xf numFmtId="49" fontId="30" fillId="0" borderId="185" xfId="0" applyNumberFormat="1" applyFont="1" applyBorder="1" applyAlignment="1">
      <alignment horizontal="center" vertical="center"/>
    </xf>
    <xf numFmtId="49" fontId="29" fillId="0" borderId="187" xfId="0" applyNumberFormat="1" applyFont="1" applyBorder="1" applyAlignment="1">
      <alignment horizontal="center" vertical="center"/>
    </xf>
    <xf numFmtId="49" fontId="29" fillId="0" borderId="210" xfId="0" applyNumberFormat="1" applyFont="1" applyBorder="1" applyAlignment="1">
      <alignment horizontal="center" vertical="center"/>
    </xf>
    <xf numFmtId="0" fontId="117" fillId="0" borderId="67" xfId="0" applyFont="1" applyBorder="1" applyAlignment="1">
      <alignment vertical="center"/>
    </xf>
    <xf numFmtId="49" fontId="30" fillId="0" borderId="210" xfId="0" applyNumberFormat="1" applyFont="1" applyBorder="1" applyAlignment="1">
      <alignment horizontal="center" vertical="center"/>
    </xf>
    <xf numFmtId="49" fontId="29" fillId="25" borderId="176" xfId="0" applyNumberFormat="1" applyFont="1" applyFill="1" applyBorder="1" applyAlignment="1">
      <alignment horizontal="center" vertical="center"/>
    </xf>
    <xf numFmtId="49" fontId="30" fillId="4" borderId="187" xfId="0" applyNumberFormat="1" applyFont="1" applyFill="1" applyBorder="1" applyAlignment="1">
      <alignment horizontal="center" vertical="center"/>
    </xf>
    <xf numFmtId="0" fontId="30" fillId="4" borderId="38" xfId="0" applyFont="1" applyFill="1" applyBorder="1" applyAlignment="1">
      <alignment vertical="center"/>
    </xf>
    <xf numFmtId="49" fontId="29" fillId="4" borderId="188" xfId="0" applyNumberFormat="1" applyFont="1" applyFill="1" applyBorder="1" applyAlignment="1">
      <alignment horizontal="center" vertical="center"/>
    </xf>
    <xf numFmtId="0" fontId="30" fillId="4" borderId="44" xfId="0" applyFont="1" applyFill="1" applyBorder="1" applyAlignment="1">
      <alignment vertical="center"/>
    </xf>
    <xf numFmtId="0" fontId="0" fillId="4" borderId="35" xfId="0" applyFill="1" applyBorder="1" applyAlignment="1">
      <alignment vertical="center"/>
    </xf>
    <xf numFmtId="0" fontId="0" fillId="4" borderId="67" xfId="0" applyFill="1" applyBorder="1" applyAlignment="1">
      <alignment vertical="center"/>
    </xf>
    <xf numFmtId="0" fontId="51" fillId="4" borderId="38" xfId="0" applyFont="1" applyFill="1" applyBorder="1" applyAlignment="1">
      <alignment vertical="center"/>
    </xf>
    <xf numFmtId="49" fontId="29" fillId="0" borderId="211" xfId="0" applyNumberFormat="1" applyFont="1" applyBorder="1" applyAlignment="1">
      <alignment horizontal="center" vertical="center"/>
    </xf>
    <xf numFmtId="49" fontId="29" fillId="0" borderId="179" xfId="0" applyNumberFormat="1" applyFont="1" applyBorder="1" applyAlignment="1">
      <alignment horizontal="center" vertical="center"/>
    </xf>
    <xf numFmtId="0" fontId="29" fillId="0" borderId="24" xfId="0" applyFont="1" applyBorder="1" applyAlignment="1">
      <alignment vertical="center"/>
    </xf>
    <xf numFmtId="0" fontId="117" fillId="0" borderId="35" xfId="0" applyFont="1" applyBorder="1" applyAlignment="1">
      <alignment vertical="center"/>
    </xf>
    <xf numFmtId="170" fontId="29" fillId="0" borderId="37" xfId="0" applyNumberFormat="1" applyFont="1" applyBorder="1" applyAlignment="1">
      <alignment vertical="center"/>
    </xf>
    <xf numFmtId="170" fontId="30" fillId="0" borderId="40" xfId="0" applyNumberFormat="1" applyFont="1" applyBorder="1" applyAlignment="1">
      <alignment vertical="center"/>
    </xf>
    <xf numFmtId="170" fontId="29" fillId="4" borderId="16" xfId="0" applyNumberFormat="1" applyFont="1" applyFill="1" applyBorder="1" applyAlignment="1">
      <alignment vertical="center"/>
    </xf>
    <xf numFmtId="170" fontId="29" fillId="0" borderId="78" xfId="0" applyNumberFormat="1" applyFont="1" applyBorder="1" applyAlignment="1">
      <alignment vertical="center"/>
    </xf>
    <xf numFmtId="170" fontId="30" fillId="0" borderId="203" xfId="0" applyNumberFormat="1" applyFont="1" applyBorder="1" applyAlignment="1">
      <alignment vertical="center"/>
    </xf>
    <xf numFmtId="170" fontId="30" fillId="0" borderId="204" xfId="0" applyNumberFormat="1" applyFont="1" applyBorder="1" applyAlignment="1">
      <alignment vertical="center"/>
    </xf>
    <xf numFmtId="0" fontId="60" fillId="25" borderId="50" xfId="0" applyFont="1" applyFill="1" applyBorder="1" applyAlignment="1">
      <alignment vertical="center"/>
    </xf>
    <xf numFmtId="170" fontId="30" fillId="4" borderId="37" xfId="0" applyNumberFormat="1" applyFont="1" applyFill="1" applyBorder="1" applyAlignment="1">
      <alignment vertical="center"/>
    </xf>
    <xf numFmtId="170" fontId="29" fillId="4" borderId="43" xfId="0" applyNumberFormat="1" applyFont="1" applyFill="1" applyBorder="1" applyAlignment="1">
      <alignment vertical="center"/>
    </xf>
    <xf numFmtId="170" fontId="30" fillId="35" borderId="212" xfId="0" applyNumberFormat="1" applyFont="1" applyFill="1" applyBorder="1" applyAlignment="1">
      <alignment vertical="center"/>
    </xf>
    <xf numFmtId="170" fontId="30" fillId="4" borderId="213" xfId="0" applyNumberFormat="1" applyFont="1" applyFill="1" applyBorder="1" applyAlignment="1">
      <alignment vertical="center"/>
    </xf>
    <xf numFmtId="165" fontId="139" fillId="4" borderId="0" xfId="1" applyFill="1" applyAlignment="1">
      <alignment vertical="center"/>
    </xf>
    <xf numFmtId="0" fontId="30" fillId="0" borderId="95" xfId="0" applyFont="1" applyBorder="1" applyAlignment="1">
      <alignment vertical="center"/>
    </xf>
    <xf numFmtId="170" fontId="29" fillId="0" borderId="107" xfId="0" applyNumberFormat="1" applyFont="1" applyBorder="1" applyAlignment="1">
      <alignment vertical="center"/>
    </xf>
    <xf numFmtId="170" fontId="29" fillId="0" borderId="214" xfId="0" applyNumberFormat="1" applyFont="1" applyBorder="1" applyAlignment="1">
      <alignment vertical="center"/>
    </xf>
    <xf numFmtId="170" fontId="30" fillId="0" borderId="215" xfId="0" applyNumberFormat="1" applyFont="1" applyBorder="1" applyAlignment="1">
      <alignment vertical="center"/>
    </xf>
    <xf numFmtId="170" fontId="29" fillId="0" borderId="212" xfId="0" applyNumberFormat="1" applyFont="1" applyBorder="1" applyAlignment="1">
      <alignment vertical="center"/>
    </xf>
    <xf numFmtId="170" fontId="30" fillId="0" borderId="213" xfId="0" applyNumberFormat="1" applyFont="1" applyBorder="1" applyAlignment="1">
      <alignment vertical="center"/>
    </xf>
    <xf numFmtId="170" fontId="30" fillId="0" borderId="164" xfId="0" applyNumberFormat="1" applyFont="1" applyBorder="1" applyAlignment="1">
      <alignment vertical="center"/>
    </xf>
    <xf numFmtId="165" fontId="117" fillId="0" borderId="0" xfId="1" applyFont="1" applyAlignment="1">
      <alignment horizontal="center" vertical="center"/>
    </xf>
    <xf numFmtId="170" fontId="29" fillId="35" borderId="148" xfId="0" applyNumberFormat="1" applyFont="1" applyFill="1" applyBorder="1" applyAlignment="1">
      <alignment vertical="center"/>
    </xf>
    <xf numFmtId="165" fontId="125" fillId="42" borderId="0" xfId="1" applyFont="1" applyFill="1" applyAlignment="1">
      <alignment vertical="center"/>
    </xf>
    <xf numFmtId="170" fontId="30" fillId="0" borderId="212" xfId="0" applyNumberFormat="1" applyFont="1" applyBorder="1" applyAlignment="1">
      <alignment vertical="center"/>
    </xf>
    <xf numFmtId="0" fontId="30" fillId="0" borderId="41" xfId="0" applyFont="1" applyBorder="1" applyAlignment="1">
      <alignment vertical="center"/>
    </xf>
    <xf numFmtId="170" fontId="30" fillId="0" borderId="216" xfId="0" applyNumberFormat="1" applyFont="1" applyBorder="1" applyAlignment="1">
      <alignment vertical="center"/>
    </xf>
    <xf numFmtId="170" fontId="29" fillId="40" borderId="43" xfId="0" applyNumberFormat="1" applyFont="1" applyFill="1" applyBorder="1" applyAlignment="1">
      <alignment vertical="center"/>
    </xf>
    <xf numFmtId="43" fontId="126" fillId="0" borderId="0" xfId="0" applyNumberFormat="1" applyFont="1" applyAlignment="1">
      <alignment vertical="center"/>
    </xf>
    <xf numFmtId="43" fontId="127" fillId="0" borderId="0" xfId="0" applyNumberFormat="1" applyFont="1" applyAlignment="1">
      <alignment vertical="top"/>
    </xf>
    <xf numFmtId="49" fontId="30" fillId="0" borderId="116" xfId="0" applyNumberFormat="1" applyFont="1" applyBorder="1" applyAlignment="1">
      <alignment horizontal="center" vertical="center"/>
    </xf>
    <xf numFmtId="49" fontId="30" fillId="5" borderId="180" xfId="0" applyNumberFormat="1" applyFont="1" applyFill="1" applyBorder="1" applyAlignment="1">
      <alignment horizontal="center" vertical="center"/>
    </xf>
    <xf numFmtId="0" fontId="29" fillId="5" borderId="17" xfId="0" applyFont="1" applyFill="1" applyBorder="1" applyAlignment="1">
      <alignment vertical="center"/>
    </xf>
    <xf numFmtId="0" fontId="119" fillId="25" borderId="67" xfId="0" applyFont="1" applyFill="1" applyBorder="1" applyAlignment="1">
      <alignment vertical="center"/>
    </xf>
    <xf numFmtId="0" fontId="30" fillId="0" borderId="121" xfId="0" applyFont="1" applyBorder="1" applyAlignment="1">
      <alignment vertical="center"/>
    </xf>
    <xf numFmtId="49" fontId="30" fillId="4" borderId="188" xfId="0" applyNumberFormat="1" applyFont="1" applyFill="1" applyBorder="1" applyAlignment="1">
      <alignment horizontal="center" vertical="center"/>
    </xf>
    <xf numFmtId="0" fontId="51" fillId="4" borderId="44" xfId="0" applyFont="1" applyFill="1" applyBorder="1" applyAlignment="1">
      <alignment vertical="center"/>
    </xf>
    <xf numFmtId="49" fontId="30" fillId="0" borderId="183" xfId="0" applyNumberFormat="1" applyFont="1" applyBorder="1" applyAlignment="1">
      <alignment horizontal="center" vertical="center"/>
    </xf>
    <xf numFmtId="49" fontId="30" fillId="0" borderId="211" xfId="0" applyNumberFormat="1" applyFont="1" applyBorder="1" applyAlignment="1">
      <alignment horizontal="center" vertical="center"/>
    </xf>
    <xf numFmtId="0" fontId="29" fillId="25" borderId="50" xfId="0" applyFont="1" applyFill="1" applyBorder="1" applyAlignment="1">
      <alignment vertical="center"/>
    </xf>
    <xf numFmtId="170" fontId="67" fillId="0" borderId="40" xfId="0" applyNumberFormat="1" applyFont="1" applyBorder="1" applyAlignment="1">
      <alignment vertical="center"/>
    </xf>
    <xf numFmtId="170" fontId="30" fillId="0" borderId="148" xfId="0" applyNumberFormat="1" applyFont="1" applyBorder="1" applyAlignment="1">
      <alignment vertical="center"/>
    </xf>
    <xf numFmtId="170" fontId="109" fillId="4" borderId="43" xfId="0" applyNumberFormat="1" applyFont="1" applyFill="1" applyBorder="1" applyAlignment="1">
      <alignment vertical="center"/>
    </xf>
    <xf numFmtId="170" fontId="76" fillId="5" borderId="43" xfId="0" applyNumberFormat="1" applyFont="1" applyFill="1" applyBorder="1" applyAlignment="1">
      <alignment vertical="center"/>
    </xf>
    <xf numFmtId="170" fontId="30" fillId="5" borderId="16" xfId="0" applyNumberFormat="1" applyFont="1" applyFill="1" applyBorder="1" applyAlignment="1">
      <alignment vertical="center"/>
    </xf>
    <xf numFmtId="170" fontId="30" fillId="5" borderId="201" xfId="0" applyNumberFormat="1" applyFont="1" applyFill="1" applyBorder="1" applyAlignment="1">
      <alignment vertical="center"/>
    </xf>
    <xf numFmtId="170" fontId="30" fillId="0" borderId="26" xfId="0" applyNumberFormat="1" applyFont="1" applyBorder="1" applyAlignment="1">
      <alignment vertical="center"/>
    </xf>
    <xf numFmtId="170" fontId="67" fillId="0" borderId="26" xfId="0" applyNumberFormat="1" applyFont="1" applyBorder="1" applyAlignment="1">
      <alignment vertical="center"/>
    </xf>
    <xf numFmtId="170" fontId="67" fillId="0" borderId="200" xfId="0" applyNumberFormat="1" applyFont="1" applyBorder="1" applyAlignment="1">
      <alignment vertical="center"/>
    </xf>
    <xf numFmtId="170" fontId="29" fillId="0" borderId="26" xfId="0" applyNumberFormat="1" applyFont="1" applyBorder="1" applyAlignment="1">
      <alignment vertical="center"/>
    </xf>
    <xf numFmtId="0" fontId="47" fillId="4" borderId="156" xfId="0" applyFont="1" applyFill="1" applyBorder="1" applyAlignment="1">
      <alignment vertical="center"/>
    </xf>
    <xf numFmtId="170" fontId="30" fillId="4" borderId="64" xfId="0" applyNumberFormat="1" applyFont="1" applyFill="1" applyBorder="1" applyAlignment="1">
      <alignment vertical="center"/>
    </xf>
    <xf numFmtId="170" fontId="30" fillId="35" borderId="217" xfId="0" applyNumberFormat="1" applyFont="1" applyFill="1" applyBorder="1" applyAlignment="1">
      <alignment vertical="center"/>
    </xf>
    <xf numFmtId="170" fontId="30" fillId="4" borderId="58" xfId="0" applyNumberFormat="1" applyFont="1" applyFill="1" applyBorder="1" applyAlignment="1">
      <alignment vertical="center"/>
    </xf>
    <xf numFmtId="170" fontId="30" fillId="4" borderId="218" xfId="0" applyNumberFormat="1" applyFont="1" applyFill="1" applyBorder="1" applyAlignment="1">
      <alignment vertical="center"/>
    </xf>
    <xf numFmtId="0" fontId="30" fillId="0" borderId="153" xfId="0" applyFont="1" applyBorder="1" applyAlignment="1">
      <alignment vertical="center"/>
    </xf>
    <xf numFmtId="170" fontId="0" fillId="0" borderId="117" xfId="0" applyNumberFormat="1" applyBorder="1" applyAlignment="1">
      <alignment vertical="center"/>
    </xf>
    <xf numFmtId="170" fontId="29" fillId="0" borderId="219" xfId="0" applyNumberFormat="1" applyFont="1" applyBorder="1" applyAlignment="1">
      <alignment vertical="center"/>
    </xf>
    <xf numFmtId="170" fontId="29" fillId="0" borderId="117" xfId="0" applyNumberFormat="1" applyFont="1" applyBorder="1" applyAlignment="1">
      <alignment vertical="center"/>
    </xf>
    <xf numFmtId="170" fontId="109" fillId="16" borderId="43" xfId="0" applyNumberFormat="1" applyFont="1" applyFill="1" applyBorder="1" applyAlignment="1">
      <alignment vertical="center"/>
    </xf>
    <xf numFmtId="170" fontId="76" fillId="43" borderId="43" xfId="0" applyNumberFormat="1" applyFont="1" applyFill="1" applyBorder="1" applyAlignment="1">
      <alignment vertical="center"/>
    </xf>
    <xf numFmtId="170" fontId="29" fillId="0" borderId="21" xfId="0" applyNumberFormat="1" applyFont="1" applyBorder="1" applyAlignment="1">
      <alignment vertical="center"/>
    </xf>
    <xf numFmtId="170" fontId="30" fillId="0" borderId="107" xfId="0" applyNumberFormat="1" applyFont="1" applyBorder="1" applyAlignment="1">
      <alignment vertical="center"/>
    </xf>
    <xf numFmtId="49" fontId="31" fillId="0" borderId="185" xfId="0" applyNumberFormat="1" applyFont="1" applyBorder="1" applyAlignment="1">
      <alignment horizontal="center" vertical="center"/>
    </xf>
    <xf numFmtId="0" fontId="56" fillId="0" borderId="69" xfId="0" applyFont="1" applyBorder="1" applyAlignment="1">
      <alignment vertical="center"/>
    </xf>
    <xf numFmtId="49" fontId="30" fillId="4" borderId="210" xfId="0" applyNumberFormat="1" applyFont="1" applyFill="1" applyBorder="1" applyAlignment="1">
      <alignment horizontal="center" vertical="center"/>
    </xf>
    <xf numFmtId="49" fontId="30" fillId="0" borderId="220" xfId="0" applyNumberFormat="1" applyFont="1" applyBorder="1" applyAlignment="1">
      <alignment horizontal="center" vertical="center"/>
    </xf>
    <xf numFmtId="0" fontId="72" fillId="0" borderId="0" xfId="0" applyFont="1" applyAlignment="1">
      <alignment vertical="center"/>
    </xf>
    <xf numFmtId="170" fontId="76" fillId="4" borderId="16" xfId="0" applyNumberFormat="1" applyFont="1" applyFill="1" applyBorder="1" applyAlignment="1">
      <alignment vertical="center"/>
    </xf>
    <xf numFmtId="170" fontId="50" fillId="4" borderId="16" xfId="0" applyNumberFormat="1" applyFont="1" applyFill="1" applyBorder="1" applyAlignment="1">
      <alignment vertical="center"/>
    </xf>
    <xf numFmtId="170" fontId="56" fillId="0" borderId="23" xfId="0" applyNumberFormat="1" applyFont="1" applyBorder="1" applyAlignment="1">
      <alignment vertical="center"/>
    </xf>
    <xf numFmtId="170" fontId="31" fillId="0" borderId="206" xfId="0" applyNumberFormat="1" applyFont="1" applyBorder="1" applyAlignment="1">
      <alignment vertical="center"/>
    </xf>
    <xf numFmtId="170" fontId="31" fillId="0" borderId="23" xfId="0" applyNumberFormat="1" applyFont="1" applyBorder="1" applyAlignment="1">
      <alignment vertical="center"/>
    </xf>
    <xf numFmtId="170" fontId="31" fillId="0" borderId="207" xfId="0" applyNumberFormat="1" applyFont="1" applyBorder="1" applyAlignment="1">
      <alignment vertical="center"/>
    </xf>
    <xf numFmtId="170" fontId="29" fillId="0" borderId="201" xfId="0" applyNumberFormat="1" applyFont="1" applyBorder="1" applyAlignment="1">
      <alignment vertical="center"/>
    </xf>
    <xf numFmtId="0" fontId="29" fillId="4" borderId="41" xfId="0" applyFont="1" applyFill="1" applyBorder="1" applyAlignment="1">
      <alignment vertical="center"/>
    </xf>
    <xf numFmtId="0" fontId="30" fillId="4" borderId="41" xfId="0" applyFont="1" applyFill="1" applyBorder="1" applyAlignment="1">
      <alignment vertical="center"/>
    </xf>
    <xf numFmtId="170" fontId="30" fillId="4" borderId="40" xfId="0" applyNumberFormat="1" applyFont="1" applyFill="1" applyBorder="1" applyAlignment="1">
      <alignment vertical="center"/>
    </xf>
    <xf numFmtId="170" fontId="50" fillId="0" borderId="43" xfId="0" applyNumberFormat="1" applyFont="1" applyBorder="1" applyAlignment="1">
      <alignment vertical="center"/>
    </xf>
    <xf numFmtId="0" fontId="19" fillId="4" borderId="34" xfId="0" applyFont="1" applyFill="1" applyBorder="1" applyAlignment="1">
      <alignment vertical="center"/>
    </xf>
    <xf numFmtId="170" fontId="50" fillId="4" borderId="218" xfId="0" applyNumberFormat="1" applyFont="1" applyFill="1" applyBorder="1" applyAlignment="1">
      <alignment vertical="center"/>
    </xf>
    <xf numFmtId="49" fontId="30" fillId="11" borderId="176" xfId="0" applyNumberFormat="1" applyFont="1" applyFill="1" applyBorder="1" applyAlignment="1">
      <alignment horizontal="center" vertical="center"/>
    </xf>
    <xf numFmtId="0" fontId="51" fillId="11" borderId="50" xfId="0" applyFont="1" applyFill="1" applyBorder="1" applyAlignment="1">
      <alignment vertical="center"/>
    </xf>
    <xf numFmtId="49" fontId="30" fillId="0" borderId="175" xfId="0" applyNumberFormat="1" applyFont="1" applyBorder="1" applyAlignment="1">
      <alignment horizontal="center" vertical="center"/>
    </xf>
    <xf numFmtId="0" fontId="73" fillId="0" borderId="69" xfId="0" applyFont="1" applyBorder="1" applyAlignment="1">
      <alignment vertical="center"/>
    </xf>
    <xf numFmtId="0" fontId="29" fillId="11" borderId="50" xfId="0" applyFont="1" applyFill="1" applyBorder="1" applyAlignment="1">
      <alignment vertical="center"/>
    </xf>
    <xf numFmtId="170" fontId="30" fillId="11" borderId="49" xfId="0" applyNumberFormat="1" applyFont="1" applyFill="1" applyBorder="1" applyAlignment="1">
      <alignment vertical="center"/>
    </xf>
    <xf numFmtId="170" fontId="30" fillId="41" borderId="196" xfId="0" applyNumberFormat="1" applyFont="1" applyFill="1" applyBorder="1" applyAlignment="1">
      <alignment vertical="center"/>
    </xf>
    <xf numFmtId="170" fontId="30" fillId="11" borderId="197" xfId="0" applyNumberFormat="1" applyFont="1" applyFill="1" applyBorder="1" applyAlignment="1">
      <alignment vertical="center"/>
    </xf>
    <xf numFmtId="170" fontId="76" fillId="0" borderId="28" xfId="0" applyNumberFormat="1" applyFont="1" applyBorder="1" applyAlignment="1">
      <alignment vertical="center"/>
    </xf>
    <xf numFmtId="170" fontId="50" fillId="0" borderId="28" xfId="0" applyNumberFormat="1" applyFont="1" applyBorder="1" applyAlignment="1">
      <alignment vertical="center"/>
    </xf>
    <xf numFmtId="170" fontId="50" fillId="0" borderId="195" xfId="0" applyNumberFormat="1" applyFont="1" applyBorder="1" applyAlignment="1">
      <alignment vertical="center"/>
    </xf>
    <xf numFmtId="170" fontId="50" fillId="25" borderId="49" xfId="0" applyNumberFormat="1" applyFont="1" applyFill="1" applyBorder="1" applyAlignment="1">
      <alignment vertical="center"/>
    </xf>
    <xf numFmtId="170" fontId="50" fillId="0" borderId="16" xfId="0" applyNumberFormat="1" applyFont="1" applyBorder="1" applyAlignment="1">
      <alignment vertical="center"/>
    </xf>
    <xf numFmtId="170" fontId="30" fillId="0" borderId="221" xfId="0" applyNumberFormat="1" applyFont="1" applyBorder="1" applyAlignment="1">
      <alignment vertical="center"/>
    </xf>
    <xf numFmtId="170" fontId="76" fillId="4" borderId="28" xfId="0" applyNumberFormat="1" applyFont="1" applyFill="1" applyBorder="1" applyAlignment="1">
      <alignment vertical="center"/>
    </xf>
    <xf numFmtId="170" fontId="76" fillId="0" borderId="23" xfId="0" applyNumberFormat="1" applyFont="1" applyBorder="1" applyAlignment="1">
      <alignment vertical="center"/>
    </xf>
    <xf numFmtId="170" fontId="50" fillId="0" borderId="23" xfId="0" applyNumberFormat="1" applyFont="1" applyBorder="1" applyAlignment="1">
      <alignment vertical="center"/>
    </xf>
    <xf numFmtId="170" fontId="50" fillId="0" borderId="207" xfId="0" applyNumberFormat="1" applyFont="1" applyBorder="1" applyAlignment="1">
      <alignment vertical="center"/>
    </xf>
    <xf numFmtId="0" fontId="35" fillId="25" borderId="50" xfId="0" applyFont="1" applyFill="1" applyBorder="1" applyAlignment="1">
      <alignment vertical="center"/>
    </xf>
    <xf numFmtId="170" fontId="76" fillId="0" borderId="78" xfId="0" applyNumberFormat="1" applyFont="1" applyBorder="1" applyAlignment="1">
      <alignment vertical="center"/>
    </xf>
    <xf numFmtId="170" fontId="50" fillId="0" borderId="78" xfId="0" applyNumberFormat="1" applyFont="1" applyBorder="1" applyAlignment="1">
      <alignment vertical="center"/>
    </xf>
    <xf numFmtId="170" fontId="50" fillId="0" borderId="204" xfId="0" applyNumberFormat="1" applyFont="1" applyBorder="1" applyAlignment="1">
      <alignment vertical="center"/>
    </xf>
    <xf numFmtId="170" fontId="30" fillId="35" borderId="147" xfId="0" applyNumberFormat="1" applyFont="1" applyFill="1" applyBorder="1" applyAlignment="1">
      <alignment vertical="center"/>
    </xf>
    <xf numFmtId="170" fontId="50" fillId="4" borderId="28" xfId="0" applyNumberFormat="1" applyFont="1" applyFill="1" applyBorder="1" applyAlignment="1">
      <alignment vertical="center"/>
    </xf>
    <xf numFmtId="170" fontId="50" fillId="4" borderId="195" xfId="0" applyNumberFormat="1" applyFont="1" applyFill="1" applyBorder="1" applyAlignment="1">
      <alignment vertical="center"/>
    </xf>
    <xf numFmtId="49" fontId="30" fillId="25" borderId="172" xfId="0" applyNumberFormat="1" applyFont="1" applyFill="1" applyBorder="1" applyAlignment="1">
      <alignment horizontal="center" vertical="center"/>
    </xf>
    <xf numFmtId="49" fontId="30" fillId="0" borderId="222" xfId="0" applyNumberFormat="1" applyFont="1" applyBorder="1" applyAlignment="1">
      <alignment horizontal="center" vertical="center"/>
    </xf>
    <xf numFmtId="0" fontId="30" fillId="0" borderId="11" xfId="0" applyFont="1" applyBorder="1" applyAlignment="1">
      <alignment vertical="center"/>
    </xf>
    <xf numFmtId="0" fontId="30" fillId="25" borderId="73" xfId="0" applyFont="1" applyFill="1" applyBorder="1" applyAlignment="1">
      <alignment vertical="center"/>
    </xf>
    <xf numFmtId="49" fontId="35" fillId="25" borderId="176" xfId="0" applyNumberFormat="1" applyFont="1" applyFill="1" applyBorder="1" applyAlignment="1">
      <alignment horizontal="center" vertical="center"/>
    </xf>
    <xf numFmtId="49" fontId="30" fillId="0" borderId="182" xfId="0" applyNumberFormat="1" applyFont="1" applyBorder="1" applyAlignment="1">
      <alignment horizontal="center" vertical="center"/>
    </xf>
    <xf numFmtId="0" fontId="29" fillId="0" borderId="66" xfId="0" applyFont="1" applyBorder="1" applyAlignment="1">
      <alignment vertical="center"/>
    </xf>
    <xf numFmtId="49" fontId="30" fillId="17" borderId="180" xfId="0" applyNumberFormat="1" applyFont="1" applyFill="1" applyBorder="1" applyAlignment="1">
      <alignment horizontal="center" vertical="center"/>
    </xf>
    <xf numFmtId="49" fontId="35" fillId="0" borderId="180" xfId="0" applyNumberFormat="1" applyFont="1" applyBorder="1" applyAlignment="1">
      <alignment horizontal="center" vertical="center"/>
    </xf>
    <xf numFmtId="0" fontId="31" fillId="0" borderId="17" xfId="0" applyFont="1" applyBorder="1" applyAlignment="1">
      <alignment vertical="center"/>
    </xf>
    <xf numFmtId="49" fontId="35" fillId="0" borderId="68" xfId="0" applyNumberFormat="1" applyFont="1" applyBorder="1" applyAlignment="1">
      <alignment vertical="center"/>
    </xf>
    <xf numFmtId="0" fontId="35" fillId="0" borderId="22" xfId="0" applyFont="1" applyBorder="1" applyAlignment="1">
      <alignment vertical="center"/>
    </xf>
    <xf numFmtId="170" fontId="76" fillId="25" borderId="35" xfId="2" applyNumberFormat="1" applyFont="1" applyFill="1" applyBorder="1" applyAlignment="1">
      <alignment vertical="center"/>
    </xf>
    <xf numFmtId="170" fontId="76" fillId="4" borderId="109" xfId="2" applyNumberFormat="1" applyFont="1" applyFill="1" applyBorder="1" applyAlignment="1">
      <alignment vertical="center"/>
    </xf>
    <xf numFmtId="170" fontId="76" fillId="0" borderId="33" xfId="0" applyNumberFormat="1" applyFont="1" applyBorder="1" applyAlignment="1">
      <alignment vertical="center"/>
    </xf>
    <xf numFmtId="170" fontId="30" fillId="0" borderId="223" xfId="0" applyNumberFormat="1" applyFont="1" applyBorder="1" applyAlignment="1">
      <alignment vertical="center"/>
    </xf>
    <xf numFmtId="170" fontId="50" fillId="0" borderId="33" xfId="0" applyNumberFormat="1" applyFont="1" applyBorder="1" applyAlignment="1">
      <alignment vertical="center"/>
    </xf>
    <xf numFmtId="170" fontId="50" fillId="0" borderId="224" xfId="0" applyNumberFormat="1" applyFont="1" applyBorder="1" applyAlignment="1">
      <alignment vertical="center"/>
    </xf>
    <xf numFmtId="170" fontId="15" fillId="25" borderId="49" xfId="0" applyNumberFormat="1" applyFont="1" applyFill="1" applyBorder="1" applyAlignment="1">
      <alignment vertical="center"/>
    </xf>
    <xf numFmtId="165" fontId="139" fillId="0" borderId="44" xfId="1" applyBorder="1" applyAlignment="1">
      <alignment vertical="center"/>
    </xf>
    <xf numFmtId="0" fontId="37" fillId="0" borderId="17" xfId="0" applyFont="1" applyBorder="1" applyAlignment="1">
      <alignment vertical="center"/>
    </xf>
    <xf numFmtId="170" fontId="30" fillId="35" borderId="206" xfId="0" applyNumberFormat="1" applyFont="1" applyFill="1" applyBorder="1" applyAlignment="1">
      <alignment vertical="center"/>
    </xf>
    <xf numFmtId="170" fontId="30" fillId="4" borderId="23" xfId="0" applyNumberFormat="1" applyFont="1" applyFill="1" applyBorder="1" applyAlignment="1">
      <alignment vertical="center"/>
    </xf>
    <xf numFmtId="170" fontId="30" fillId="35" borderId="151" xfId="0" applyNumberFormat="1" applyFont="1" applyFill="1" applyBorder="1" applyAlignment="1">
      <alignment vertical="center"/>
    </xf>
    <xf numFmtId="170" fontId="30" fillId="4" borderId="26" xfId="0" applyNumberFormat="1" applyFont="1" applyFill="1" applyBorder="1" applyAlignment="1">
      <alignment vertical="center"/>
    </xf>
    <xf numFmtId="170" fontId="31" fillId="0" borderId="16" xfId="0" applyNumberFormat="1" applyFont="1" applyBorder="1" applyAlignment="1">
      <alignment vertical="center"/>
    </xf>
    <xf numFmtId="170" fontId="29" fillId="4" borderId="28" xfId="0" applyNumberFormat="1" applyFont="1" applyFill="1" applyBorder="1" applyAlignment="1">
      <alignment vertical="center"/>
    </xf>
    <xf numFmtId="0" fontId="30" fillId="0" borderId="19" xfId="0" applyFont="1" applyBorder="1" applyAlignment="1">
      <alignment vertical="center"/>
    </xf>
    <xf numFmtId="170" fontId="67" fillId="4" borderId="10" xfId="0" applyNumberFormat="1" applyFont="1" applyFill="1" applyBorder="1" applyAlignment="1">
      <alignment vertical="center"/>
    </xf>
    <xf numFmtId="170" fontId="67" fillId="35" borderId="206" xfId="0" applyNumberFormat="1" applyFont="1" applyFill="1" applyBorder="1" applyAlignment="1">
      <alignment vertical="center"/>
    </xf>
    <xf numFmtId="170" fontId="67" fillId="4" borderId="23" xfId="0" applyNumberFormat="1" applyFont="1" applyFill="1" applyBorder="1" applyAlignment="1">
      <alignment vertical="center"/>
    </xf>
    <xf numFmtId="170" fontId="67" fillId="0" borderId="21" xfId="0" applyNumberFormat="1" applyFont="1" applyBorder="1" applyAlignment="1">
      <alignment vertical="center"/>
    </xf>
    <xf numFmtId="49" fontId="30" fillId="16" borderId="180" xfId="0" applyNumberFormat="1" applyFont="1" applyFill="1" applyBorder="1" applyAlignment="1">
      <alignment horizontal="center" vertical="center"/>
    </xf>
    <xf numFmtId="0" fontId="30" fillId="0" borderId="22" xfId="0" applyFont="1" applyBorder="1" applyAlignment="1">
      <alignment vertical="center"/>
    </xf>
    <xf numFmtId="0" fontId="29" fillId="0" borderId="30" xfId="0" applyFont="1" applyBorder="1" applyAlignment="1">
      <alignment horizontal="center" vertical="center"/>
    </xf>
    <xf numFmtId="49" fontId="30" fillId="0" borderId="225" xfId="0" applyNumberFormat="1" applyFont="1" applyBorder="1" applyAlignment="1">
      <alignment horizontal="center" vertical="center"/>
    </xf>
    <xf numFmtId="0" fontId="29" fillId="0" borderId="63" xfId="0" applyFont="1" applyBorder="1" applyAlignment="1">
      <alignment vertical="center"/>
    </xf>
    <xf numFmtId="0" fontId="50" fillId="4" borderId="22" xfId="0" applyFont="1" applyFill="1" applyBorder="1" applyAlignment="1">
      <alignment vertical="center"/>
    </xf>
    <xf numFmtId="0" fontId="29" fillId="0" borderId="27" xfId="0" applyFont="1" applyBorder="1" applyAlignment="1">
      <alignment horizontal="center" vertical="center"/>
    </xf>
    <xf numFmtId="0" fontId="29" fillId="0" borderId="24" xfId="0" applyFont="1" applyBorder="1" applyAlignment="1">
      <alignment horizontal="center" vertical="center"/>
    </xf>
    <xf numFmtId="0" fontId="29" fillId="20" borderId="22" xfId="0" applyFont="1" applyFill="1" applyBorder="1" applyAlignment="1">
      <alignment horizontal="center" vertical="center"/>
    </xf>
    <xf numFmtId="0" fontId="50" fillId="0" borderId="22" xfId="0" applyFont="1" applyBorder="1" applyAlignment="1">
      <alignment vertical="center"/>
    </xf>
    <xf numFmtId="0" fontId="50" fillId="0" borderId="30" xfId="0" applyFont="1" applyBorder="1" applyAlignment="1">
      <alignment vertical="center"/>
    </xf>
    <xf numFmtId="0" fontId="50" fillId="0" borderId="17" xfId="0" applyFont="1" applyBorder="1" applyAlignment="1">
      <alignment vertical="center"/>
    </xf>
    <xf numFmtId="0" fontId="76" fillId="0" borderId="11" xfId="0" applyFont="1" applyBorder="1" applyAlignment="1">
      <alignment vertical="center"/>
    </xf>
    <xf numFmtId="0" fontId="7" fillId="25" borderId="35" xfId="0" applyFont="1" applyFill="1" applyBorder="1" applyAlignment="1">
      <alignment vertical="center"/>
    </xf>
    <xf numFmtId="0" fontId="7" fillId="25" borderId="67" xfId="0" applyFont="1" applyFill="1" applyBorder="1" applyAlignment="1">
      <alignment vertical="center"/>
    </xf>
    <xf numFmtId="0" fontId="7" fillId="0" borderId="35" xfId="0" applyFont="1" applyBorder="1" applyAlignment="1">
      <alignment vertical="center"/>
    </xf>
    <xf numFmtId="0" fontId="7" fillId="0" borderId="67" xfId="0" applyFont="1" applyBorder="1" applyAlignment="1">
      <alignment vertical="center"/>
    </xf>
    <xf numFmtId="49" fontId="35" fillId="20" borderId="172" xfId="0" applyNumberFormat="1" applyFont="1" applyFill="1" applyBorder="1" applyAlignment="1">
      <alignment horizontal="center" vertical="center"/>
    </xf>
    <xf numFmtId="0" fontId="35" fillId="20" borderId="35" xfId="0" applyFont="1" applyFill="1" applyBorder="1" applyAlignment="1">
      <alignment vertical="center"/>
    </xf>
    <xf numFmtId="49" fontId="30" fillId="0" borderId="226" xfId="0" applyNumberFormat="1" applyFont="1" applyBorder="1" applyAlignment="1">
      <alignment horizontal="center" vertical="center"/>
    </xf>
    <xf numFmtId="49" fontId="30" fillId="16" borderId="227" xfId="0" applyNumberFormat="1" applyFont="1" applyFill="1" applyBorder="1" applyAlignment="1">
      <alignment horizontal="center" vertical="center"/>
    </xf>
    <xf numFmtId="49" fontId="30" fillId="0" borderId="228" xfId="0" applyNumberFormat="1" applyFont="1" applyBorder="1" applyAlignment="1">
      <alignment horizontal="center" vertical="center"/>
    </xf>
    <xf numFmtId="49" fontId="30" fillId="0" borderId="227" xfId="0" applyNumberFormat="1" applyFont="1" applyBorder="1" applyAlignment="1">
      <alignment horizontal="center" vertical="center"/>
    </xf>
    <xf numFmtId="49" fontId="30" fillId="0" borderId="229" xfId="0" applyNumberFormat="1" applyFont="1" applyBorder="1" applyAlignment="1">
      <alignment horizontal="center" vertical="center"/>
    </xf>
    <xf numFmtId="170" fontId="67" fillId="4" borderId="26" xfId="0" applyNumberFormat="1" applyFont="1" applyFill="1" applyBorder="1" applyAlignment="1">
      <alignment vertical="center"/>
    </xf>
    <xf numFmtId="170" fontId="67" fillId="35" borderId="203" xfId="0" applyNumberFormat="1" applyFont="1" applyFill="1" applyBorder="1" applyAlignment="1">
      <alignment vertical="center"/>
    </xf>
    <xf numFmtId="170" fontId="67" fillId="4" borderId="78" xfId="0" applyNumberFormat="1" applyFont="1" applyFill="1" applyBorder="1" applyAlignment="1">
      <alignment vertical="center"/>
    </xf>
    <xf numFmtId="170" fontId="67" fillId="0" borderId="23" xfId="0" applyNumberFormat="1" applyFont="1" applyBorder="1" applyAlignment="1">
      <alignment vertical="center"/>
    </xf>
    <xf numFmtId="0" fontId="76" fillId="4" borderId="44" xfId="0" applyFont="1" applyFill="1" applyBorder="1" applyAlignment="1">
      <alignment vertical="center"/>
    </xf>
    <xf numFmtId="170" fontId="31" fillId="4" borderId="10" xfId="0" applyNumberFormat="1" applyFont="1" applyFill="1" applyBorder="1" applyAlignment="1">
      <alignment vertical="center"/>
    </xf>
    <xf numFmtId="170" fontId="29" fillId="4" borderId="21" xfId="0" applyNumberFormat="1" applyFont="1" applyFill="1" applyBorder="1" applyAlignment="1">
      <alignment vertical="center"/>
    </xf>
    <xf numFmtId="0" fontId="76" fillId="4" borderId="41" xfId="0" applyFont="1" applyFill="1" applyBorder="1" applyAlignment="1">
      <alignment vertical="center"/>
    </xf>
    <xf numFmtId="0" fontId="29" fillId="20" borderId="19" xfId="0" applyFont="1" applyFill="1" applyBorder="1" applyAlignment="1">
      <alignment vertical="center"/>
    </xf>
    <xf numFmtId="170" fontId="67" fillId="20" borderId="10" xfId="0" applyNumberFormat="1" applyFont="1" applyFill="1" applyBorder="1" applyAlignment="1">
      <alignment vertical="center"/>
    </xf>
    <xf numFmtId="0" fontId="76" fillId="0" borderId="19" xfId="0" applyFont="1" applyBorder="1" applyAlignment="1">
      <alignment vertical="center"/>
    </xf>
    <xf numFmtId="170" fontId="92" fillId="4" borderId="10" xfId="0" applyNumberFormat="1" applyFont="1" applyFill="1" applyBorder="1" applyAlignment="1">
      <alignment vertical="center"/>
    </xf>
    <xf numFmtId="0" fontId="76" fillId="0" borderId="17" xfId="0" applyFont="1" applyBorder="1" applyAlignment="1">
      <alignment vertical="center"/>
    </xf>
    <xf numFmtId="170" fontId="76" fillId="4" borderId="21" xfId="0" applyNumberFormat="1" applyFont="1" applyFill="1" applyBorder="1" applyAlignment="1">
      <alignment vertical="center"/>
    </xf>
    <xf numFmtId="170" fontId="30" fillId="35" borderId="150" xfId="0" applyNumberFormat="1" applyFont="1" applyFill="1" applyBorder="1" applyAlignment="1">
      <alignment vertical="center"/>
    </xf>
    <xf numFmtId="170" fontId="50" fillId="4" borderId="21" xfId="0" applyNumberFormat="1" applyFont="1" applyFill="1" applyBorder="1" applyAlignment="1">
      <alignment vertical="center"/>
    </xf>
    <xf numFmtId="170" fontId="50" fillId="4" borderId="230" xfId="0" applyNumberFormat="1" applyFont="1" applyFill="1" applyBorder="1" applyAlignment="1">
      <alignment vertical="center"/>
    </xf>
    <xf numFmtId="0" fontId="37" fillId="25" borderId="50" xfId="0" applyFont="1" applyFill="1" applyBorder="1" applyAlignment="1">
      <alignment vertical="center"/>
    </xf>
    <xf numFmtId="170" fontId="35" fillId="25" borderId="49" xfId="0" applyNumberFormat="1" applyFont="1" applyFill="1" applyBorder="1" applyAlignment="1">
      <alignment vertical="center"/>
    </xf>
    <xf numFmtId="170" fontId="35" fillId="45" borderId="196" xfId="0" applyNumberFormat="1" applyFont="1" applyFill="1" applyBorder="1" applyAlignment="1">
      <alignment vertical="center"/>
    </xf>
    <xf numFmtId="170" fontId="35" fillId="20" borderId="35" xfId="0" applyNumberFormat="1" applyFont="1" applyFill="1" applyBorder="1" applyAlignment="1">
      <alignment vertical="center"/>
    </xf>
    <xf numFmtId="170" fontId="35" fillId="39" borderId="35" xfId="0" applyNumberFormat="1" applyFont="1" applyFill="1" applyBorder="1" applyAlignment="1">
      <alignment vertical="center"/>
    </xf>
    <xf numFmtId="170" fontId="35" fillId="20" borderId="191" xfId="0" applyNumberFormat="1" applyFont="1" applyFill="1" applyBorder="1" applyAlignment="1">
      <alignment vertical="center"/>
    </xf>
    <xf numFmtId="170" fontId="109" fillId="4" borderId="161" xfId="2" applyNumberFormat="1" applyFont="1" applyFill="1" applyBorder="1" applyAlignment="1">
      <alignment vertical="center"/>
    </xf>
    <xf numFmtId="170" fontId="67" fillId="35" borderId="161" xfId="2" applyNumberFormat="1" applyFont="1" applyFill="1" applyBorder="1" applyAlignment="1">
      <alignment vertical="center"/>
    </xf>
    <xf numFmtId="170" fontId="92" fillId="4" borderId="161" xfId="2" applyNumberFormat="1" applyFont="1" applyFill="1" applyBorder="1" applyAlignment="1">
      <alignment vertical="center"/>
    </xf>
    <xf numFmtId="170" fontId="78" fillId="4" borderId="64" xfId="2" applyNumberFormat="1" applyFont="1" applyFill="1" applyBorder="1" applyAlignment="1">
      <alignment vertical="center"/>
    </xf>
    <xf numFmtId="0" fontId="29" fillId="16" borderId="34" xfId="0" applyFont="1" applyFill="1" applyBorder="1" applyAlignment="1">
      <alignment vertical="center"/>
    </xf>
    <xf numFmtId="170" fontId="76" fillId="16" borderId="138" xfId="2" applyNumberFormat="1" applyFont="1" applyFill="1" applyBorder="1" applyAlignment="1">
      <alignment vertical="center"/>
    </xf>
    <xf numFmtId="0" fontId="37" fillId="20" borderId="50" xfId="0" applyFont="1" applyFill="1" applyBorder="1" applyAlignment="1">
      <alignment vertical="center"/>
    </xf>
    <xf numFmtId="170" fontId="15" fillId="20" borderId="35" xfId="2" applyNumberFormat="1" applyFont="1" applyFill="1" applyBorder="1" applyAlignment="1">
      <alignment vertical="center"/>
    </xf>
    <xf numFmtId="170" fontId="76" fillId="4" borderId="161" xfId="2" applyNumberFormat="1" applyFont="1" applyFill="1" applyBorder="1" applyAlignment="1">
      <alignment vertical="center"/>
    </xf>
    <xf numFmtId="170" fontId="76" fillId="4" borderId="138" xfId="2" applyNumberFormat="1" applyFont="1" applyFill="1" applyBorder="1" applyAlignment="1">
      <alignment vertical="center"/>
    </xf>
    <xf numFmtId="170" fontId="30" fillId="35" borderId="138" xfId="2" applyNumberFormat="1" applyFont="1" applyFill="1" applyBorder="1" applyAlignment="1">
      <alignment vertical="center"/>
    </xf>
    <xf numFmtId="170" fontId="50" fillId="4" borderId="138" xfId="2" applyNumberFormat="1" applyFont="1" applyFill="1" applyBorder="1" applyAlignment="1">
      <alignment vertical="center"/>
    </xf>
    <xf numFmtId="170" fontId="50" fillId="4" borderId="231" xfId="2" applyNumberFormat="1" applyFont="1" applyFill="1" applyBorder="1" applyAlignment="1">
      <alignment vertical="center"/>
    </xf>
    <xf numFmtId="0" fontId="118" fillId="0" borderId="35" xfId="0" applyFont="1" applyBorder="1" applyAlignment="1">
      <alignment vertical="center"/>
    </xf>
    <xf numFmtId="0" fontId="118" fillId="0" borderId="67" xfId="0" applyFont="1" applyBorder="1" applyAlignment="1">
      <alignment vertical="center"/>
    </xf>
    <xf numFmtId="49" fontId="30" fillId="17" borderId="226" xfId="0" applyNumberFormat="1" applyFont="1" applyFill="1" applyBorder="1" applyAlignment="1">
      <alignment horizontal="center" vertical="center"/>
    </xf>
    <xf numFmtId="49" fontId="29" fillId="0" borderId="226" xfId="0" applyNumberFormat="1" applyFont="1" applyBorder="1" applyAlignment="1">
      <alignment horizontal="center" vertical="center"/>
    </xf>
    <xf numFmtId="0" fontId="30" fillId="0" borderId="34" xfId="0" applyFont="1" applyBorder="1" applyAlignment="1">
      <alignment vertical="center"/>
    </xf>
    <xf numFmtId="0" fontId="35" fillId="25" borderId="89" xfId="0" applyFont="1" applyFill="1" applyBorder="1" applyAlignment="1">
      <alignment vertical="center"/>
    </xf>
    <xf numFmtId="170" fontId="76" fillId="4" borderId="119" xfId="0" applyNumberFormat="1" applyFont="1" applyFill="1" applyBorder="1" applyAlignment="1">
      <alignment vertical="center"/>
    </xf>
    <xf numFmtId="170" fontId="109" fillId="40" borderId="43" xfId="0" applyNumberFormat="1" applyFont="1" applyFill="1" applyBorder="1" applyAlignment="1">
      <alignment vertical="center"/>
    </xf>
    <xf numFmtId="170" fontId="50" fillId="4" borderId="64" xfId="2" applyNumberFormat="1" applyFont="1" applyFill="1" applyBorder="1" applyAlignment="1">
      <alignment vertical="center"/>
    </xf>
    <xf numFmtId="170" fontId="76" fillId="4" borderId="64" xfId="2" applyNumberFormat="1" applyFont="1" applyFill="1" applyBorder="1" applyAlignment="1">
      <alignment vertical="center"/>
    </xf>
    <xf numFmtId="170" fontId="67" fillId="0" borderId="64" xfId="0" applyNumberFormat="1" applyFont="1" applyBorder="1" applyAlignment="1">
      <alignment vertical="center"/>
    </xf>
    <xf numFmtId="43" fontId="67" fillId="0" borderId="64" xfId="0" applyNumberFormat="1" applyFont="1" applyBorder="1" applyAlignment="1">
      <alignment vertical="center"/>
    </xf>
    <xf numFmtId="0" fontId="30" fillId="17" borderId="44" xfId="0" applyFont="1" applyFill="1" applyBorder="1" applyAlignment="1">
      <alignment vertical="center"/>
    </xf>
    <xf numFmtId="170" fontId="109" fillId="17" borderId="64" xfId="2" applyNumberFormat="1" applyFont="1" applyFill="1" applyBorder="1" applyAlignment="1">
      <alignment vertical="center"/>
    </xf>
    <xf numFmtId="170" fontId="67" fillId="37" borderId="148" xfId="0" applyNumberFormat="1" applyFont="1" applyFill="1" applyBorder="1" applyAlignment="1">
      <alignment vertical="center"/>
    </xf>
    <xf numFmtId="170" fontId="67" fillId="17" borderId="16" xfId="0" applyNumberFormat="1" applyFont="1" applyFill="1" applyBorder="1" applyAlignment="1">
      <alignment vertical="center"/>
    </xf>
    <xf numFmtId="170" fontId="30" fillId="17" borderId="201" xfId="0" applyNumberFormat="1" applyFont="1" applyFill="1" applyBorder="1" applyAlignment="1">
      <alignment vertical="center"/>
    </xf>
    <xf numFmtId="0" fontId="42" fillId="0" borderId="44" xfId="0" applyFont="1" applyBorder="1" applyAlignment="1">
      <alignment vertical="center"/>
    </xf>
    <xf numFmtId="170" fontId="30" fillId="45" borderId="35" xfId="2" applyNumberFormat="1" applyFont="1" applyFill="1" applyBorder="1" applyAlignment="1">
      <alignment vertical="center"/>
    </xf>
    <xf numFmtId="170" fontId="50" fillId="25" borderId="35" xfId="2" applyNumberFormat="1" applyFont="1" applyFill="1" applyBorder="1" applyAlignment="1">
      <alignment vertical="center"/>
    </xf>
    <xf numFmtId="170" fontId="56" fillId="0" borderId="232" xfId="0" applyNumberFormat="1" applyFont="1" applyBorder="1" applyAlignment="1">
      <alignment vertical="center"/>
    </xf>
    <xf numFmtId="170" fontId="31" fillId="0" borderId="233" xfId="0" applyNumberFormat="1" applyFont="1" applyBorder="1" applyAlignment="1">
      <alignment vertical="center"/>
    </xf>
    <xf numFmtId="170" fontId="31" fillId="0" borderId="232" xfId="0" applyNumberFormat="1" applyFont="1" applyBorder="1" applyAlignment="1">
      <alignment vertical="center"/>
    </xf>
    <xf numFmtId="170" fontId="31" fillId="0" borderId="234" xfId="0" applyNumberFormat="1" applyFont="1" applyBorder="1" applyAlignment="1">
      <alignment vertical="center"/>
    </xf>
    <xf numFmtId="0" fontId="30" fillId="25" borderId="89" xfId="0" applyFont="1" applyFill="1" applyBorder="1" applyAlignment="1">
      <alignment vertical="center"/>
    </xf>
    <xf numFmtId="170" fontId="50" fillId="25" borderId="51" xfId="0" applyNumberFormat="1" applyFont="1" applyFill="1" applyBorder="1" applyAlignment="1">
      <alignment vertical="center"/>
    </xf>
    <xf numFmtId="0" fontId="29" fillId="0" borderId="122" xfId="0" applyFont="1" applyBorder="1" applyAlignment="1">
      <alignment vertical="center"/>
    </xf>
    <xf numFmtId="170" fontId="76" fillId="0" borderId="90" xfId="0" applyNumberFormat="1" applyFont="1" applyBorder="1" applyAlignment="1">
      <alignment vertical="center"/>
    </xf>
    <xf numFmtId="49" fontId="30" fillId="46" borderId="176" xfId="0" applyNumberFormat="1" applyFont="1" applyFill="1" applyBorder="1" applyAlignment="1">
      <alignment horizontal="center" vertical="center"/>
    </xf>
    <xf numFmtId="0" fontId="51" fillId="46" borderId="50" xfId="0" applyFont="1" applyFill="1" applyBorder="1" applyAlignment="1">
      <alignment vertical="center"/>
    </xf>
    <xf numFmtId="0" fontId="30" fillId="46" borderId="50" xfId="0" applyFont="1" applyFill="1" applyBorder="1" applyAlignment="1">
      <alignment vertical="center"/>
    </xf>
    <xf numFmtId="170" fontId="50" fillId="46" borderId="49" xfId="0" applyNumberFormat="1" applyFont="1" applyFill="1" applyBorder="1" applyAlignment="1">
      <alignment vertical="center"/>
    </xf>
    <xf numFmtId="170" fontId="50" fillId="46" borderId="35" xfId="2" applyNumberFormat="1" applyFont="1" applyFill="1" applyBorder="1" applyAlignment="1">
      <alignment vertical="center"/>
    </xf>
    <xf numFmtId="170" fontId="30" fillId="46" borderId="49" xfId="0" applyNumberFormat="1" applyFont="1" applyFill="1" applyBorder="1" applyAlignment="1">
      <alignment vertical="center"/>
    </xf>
    <xf numFmtId="170" fontId="30" fillId="46" borderId="197" xfId="0" applyNumberFormat="1" applyFont="1" applyFill="1" applyBorder="1" applyAlignment="1">
      <alignment vertical="center"/>
    </xf>
    <xf numFmtId="170" fontId="50" fillId="0" borderId="90" xfId="0" applyNumberFormat="1" applyFont="1" applyBorder="1" applyAlignment="1">
      <alignment vertical="center"/>
    </xf>
    <xf numFmtId="170" fontId="50" fillId="0" borderId="199" xfId="0" applyNumberFormat="1" applyFont="1" applyBorder="1" applyAlignment="1">
      <alignment vertical="center"/>
    </xf>
    <xf numFmtId="170" fontId="128" fillId="0" borderId="16" xfId="0" applyNumberFormat="1" applyFont="1" applyBorder="1" applyAlignment="1">
      <alignment vertical="center"/>
    </xf>
    <xf numFmtId="170" fontId="76" fillId="46" borderId="43" xfId="0" applyNumberFormat="1" applyFont="1" applyFill="1" applyBorder="1" applyAlignment="1">
      <alignment vertical="center"/>
    </xf>
    <xf numFmtId="170" fontId="30" fillId="46" borderId="16" xfId="0" applyNumberFormat="1" applyFont="1" applyFill="1" applyBorder="1" applyAlignment="1">
      <alignment vertical="center"/>
    </xf>
    <xf numFmtId="170" fontId="128" fillId="4" borderId="16" xfId="0" applyNumberFormat="1" applyFont="1" applyFill="1" applyBorder="1" applyAlignment="1">
      <alignment vertical="center"/>
    </xf>
    <xf numFmtId="0" fontId="86" fillId="0" borderId="17" xfId="0" applyFont="1" applyBorder="1" applyAlignment="1">
      <alignment vertical="center"/>
    </xf>
    <xf numFmtId="170" fontId="129" fillId="4" borderId="16" xfId="0" applyNumberFormat="1" applyFont="1" applyFill="1" applyBorder="1" applyAlignment="1">
      <alignment vertical="center"/>
    </xf>
    <xf numFmtId="170" fontId="76" fillId="0" borderId="16" xfId="0" applyNumberFormat="1" applyFont="1" applyBorder="1" applyAlignment="1">
      <alignment vertical="center"/>
    </xf>
    <xf numFmtId="170" fontId="128" fillId="40" borderId="16" xfId="0" applyNumberFormat="1" applyFont="1" applyFill="1" applyBorder="1" applyAlignment="1">
      <alignment vertical="center"/>
    </xf>
    <xf numFmtId="49" fontId="30" fillId="25" borderId="186" xfId="0" applyNumberFormat="1" applyFont="1" applyFill="1" applyBorder="1" applyAlignment="1">
      <alignment horizontal="center" vertical="center"/>
    </xf>
    <xf numFmtId="49" fontId="30" fillId="25" borderId="182" xfId="0" applyNumberFormat="1" applyFont="1" applyFill="1" applyBorder="1" applyAlignment="1">
      <alignment horizontal="center" vertical="center"/>
    </xf>
    <xf numFmtId="0" fontId="51" fillId="25" borderId="66" xfId="0" applyFont="1" applyFill="1" applyBorder="1" applyAlignment="1">
      <alignment vertical="center"/>
    </xf>
    <xf numFmtId="0" fontId="29" fillId="20" borderId="17" xfId="0" applyFont="1" applyFill="1" applyBorder="1" applyAlignment="1">
      <alignment vertical="center"/>
    </xf>
    <xf numFmtId="0" fontId="29" fillId="47" borderId="17" xfId="0" applyFont="1" applyFill="1" applyBorder="1" applyAlignment="1">
      <alignment vertical="center"/>
    </xf>
    <xf numFmtId="170" fontId="50" fillId="4" borderId="90" xfId="0" applyNumberFormat="1" applyFont="1" applyFill="1" applyBorder="1" applyAlignment="1">
      <alignment vertical="center"/>
    </xf>
    <xf numFmtId="170" fontId="92" fillId="0" borderId="235" xfId="0" applyNumberFormat="1" applyFont="1" applyBorder="1" applyAlignment="1">
      <alignment vertical="center"/>
    </xf>
    <xf numFmtId="170" fontId="92" fillId="4" borderId="235" xfId="0" applyNumberFormat="1" applyFont="1" applyFill="1" applyBorder="1" applyAlignment="1">
      <alignment vertical="center"/>
    </xf>
    <xf numFmtId="170" fontId="50" fillId="4" borderId="64" xfId="0" applyNumberFormat="1" applyFont="1" applyFill="1" applyBorder="1" applyAlignment="1">
      <alignment vertical="center"/>
    </xf>
    <xf numFmtId="170" fontId="76" fillId="4" borderId="64" xfId="0" applyNumberFormat="1" applyFont="1" applyFill="1" applyBorder="1" applyAlignment="1">
      <alignment vertical="center"/>
    </xf>
    <xf numFmtId="170" fontId="76" fillId="28" borderId="43" xfId="0" applyNumberFormat="1" applyFont="1" applyFill="1" applyBorder="1" applyAlignment="1">
      <alignment vertical="center"/>
    </xf>
    <xf numFmtId="170" fontId="76" fillId="4" borderId="236" xfId="0" applyNumberFormat="1" applyFont="1" applyFill="1" applyBorder="1" applyAlignment="1">
      <alignment vertical="center"/>
    </xf>
    <xf numFmtId="170" fontId="92" fillId="4" borderId="16" xfId="0" applyNumberFormat="1" applyFont="1" applyFill="1" applyBorder="1" applyAlignment="1">
      <alignment vertical="center"/>
    </xf>
    <xf numFmtId="170" fontId="76" fillId="0" borderId="10" xfId="0" applyNumberFormat="1" applyFont="1" applyBorder="1" applyAlignment="1">
      <alignment vertical="center"/>
    </xf>
    <xf numFmtId="170" fontId="30" fillId="35" borderId="158" xfId="0" applyNumberFormat="1" applyFont="1" applyFill="1" applyBorder="1" applyAlignment="1">
      <alignment vertical="center"/>
    </xf>
    <xf numFmtId="170" fontId="50" fillId="4" borderId="10" xfId="0" applyNumberFormat="1" applyFont="1" applyFill="1" applyBorder="1" applyAlignment="1">
      <alignment vertical="center"/>
    </xf>
    <xf numFmtId="170" fontId="50" fillId="4" borderId="202" xfId="0" applyNumberFormat="1" applyFont="1" applyFill="1" applyBorder="1" applyAlignment="1">
      <alignment vertical="center"/>
    </xf>
    <xf numFmtId="170" fontId="50" fillId="4" borderId="13" xfId="0" applyNumberFormat="1" applyFont="1" applyFill="1" applyBorder="1" applyAlignment="1">
      <alignment vertical="center"/>
    </xf>
    <xf numFmtId="170" fontId="50" fillId="0" borderId="10" xfId="0" applyNumberFormat="1" applyFont="1" applyBorder="1" applyAlignment="1">
      <alignment vertical="center"/>
    </xf>
    <xf numFmtId="170" fontId="50" fillId="0" borderId="202" xfId="0" applyNumberFormat="1" applyFont="1" applyBorder="1" applyAlignment="1">
      <alignment vertical="center"/>
    </xf>
    <xf numFmtId="0" fontId="30" fillId="25" borderId="66" xfId="0" applyFont="1" applyFill="1" applyBorder="1" applyAlignment="1">
      <alignment vertical="center"/>
    </xf>
    <xf numFmtId="170" fontId="50" fillId="25" borderId="78" xfId="0" applyNumberFormat="1" applyFont="1" applyFill="1" applyBorder="1" applyAlignment="1">
      <alignment vertical="center"/>
    </xf>
    <xf numFmtId="170" fontId="92" fillId="0" borderId="90" xfId="0" applyNumberFormat="1" applyFont="1" applyBorder="1" applyAlignment="1">
      <alignment vertical="center"/>
    </xf>
    <xf numFmtId="170" fontId="50" fillId="0" borderId="24" xfId="0" applyNumberFormat="1" applyFont="1" applyBorder="1" applyAlignment="1">
      <alignment vertical="center"/>
    </xf>
    <xf numFmtId="170" fontId="92" fillId="0" borderId="24" xfId="0" applyNumberFormat="1" applyFont="1" applyBorder="1" applyAlignment="1">
      <alignment vertical="center"/>
    </xf>
    <xf numFmtId="170" fontId="50" fillId="0" borderId="235" xfId="0" applyNumberFormat="1" applyFont="1" applyBorder="1" applyAlignment="1">
      <alignment vertical="center"/>
    </xf>
    <xf numFmtId="0" fontId="130" fillId="20" borderId="17" xfId="0" applyFont="1" applyFill="1" applyBorder="1" applyAlignment="1">
      <alignment vertical="center"/>
    </xf>
    <xf numFmtId="170" fontId="76" fillId="4" borderId="23" xfId="0" applyNumberFormat="1" applyFont="1" applyFill="1" applyBorder="1" applyAlignment="1">
      <alignment vertical="center"/>
    </xf>
    <xf numFmtId="170" fontId="50" fillId="4" borderId="23" xfId="0" applyNumberFormat="1" applyFont="1" applyFill="1" applyBorder="1" applyAlignment="1">
      <alignment vertical="center"/>
    </xf>
    <xf numFmtId="170" fontId="50" fillId="4" borderId="207" xfId="0" applyNumberFormat="1" applyFont="1" applyFill="1" applyBorder="1" applyAlignment="1">
      <alignment vertical="center"/>
    </xf>
    <xf numFmtId="170" fontId="92" fillId="4" borderId="90" xfId="0" applyNumberFormat="1" applyFont="1" applyFill="1" applyBorder="1" applyAlignment="1">
      <alignment vertical="center"/>
    </xf>
    <xf numFmtId="170" fontId="35" fillId="45" borderId="35" xfId="0" applyNumberFormat="1" applyFont="1" applyFill="1" applyBorder="1" applyAlignment="1">
      <alignment vertical="center"/>
    </xf>
    <xf numFmtId="170" fontId="15" fillId="25" borderId="35" xfId="0" applyNumberFormat="1" applyFont="1" applyFill="1" applyBorder="1" applyAlignment="1">
      <alignment vertical="center"/>
    </xf>
    <xf numFmtId="170" fontId="92" fillId="0" borderId="16" xfId="0" applyNumberFormat="1" applyFont="1" applyBorder="1" applyAlignment="1">
      <alignment vertical="center"/>
    </xf>
    <xf numFmtId="170" fontId="76" fillId="40" borderId="64" xfId="0" applyNumberFormat="1" applyFont="1" applyFill="1" applyBorder="1" applyAlignment="1">
      <alignment vertical="center"/>
    </xf>
    <xf numFmtId="0" fontId="51" fillId="25" borderId="0" xfId="0" applyFont="1" applyFill="1" applyAlignment="1">
      <alignment vertical="center"/>
    </xf>
    <xf numFmtId="0" fontId="51" fillId="25" borderId="25" xfId="0" applyFont="1" applyFill="1" applyBorder="1" applyAlignment="1">
      <alignment vertical="center"/>
    </xf>
    <xf numFmtId="170" fontId="76" fillId="0" borderId="232" xfId="0" applyNumberFormat="1" applyFont="1" applyBorder="1" applyAlignment="1">
      <alignment vertical="center"/>
    </xf>
    <xf numFmtId="170" fontId="30" fillId="0" borderId="233" xfId="0" applyNumberFormat="1" applyFont="1" applyBorder="1" applyAlignment="1">
      <alignment vertical="center"/>
    </xf>
    <xf numFmtId="170" fontId="50" fillId="0" borderId="232" xfId="0" applyNumberFormat="1" applyFont="1" applyBorder="1" applyAlignment="1">
      <alignment vertical="center"/>
    </xf>
    <xf numFmtId="170" fontId="50" fillId="0" borderId="234" xfId="0" applyNumberFormat="1" applyFont="1" applyBorder="1" applyAlignment="1">
      <alignment vertical="center"/>
    </xf>
    <xf numFmtId="170" fontId="50" fillId="0" borderId="201" xfId="0" applyNumberFormat="1" applyFont="1" applyBorder="1" applyAlignment="1">
      <alignment vertical="center"/>
    </xf>
    <xf numFmtId="170" fontId="76" fillId="4" borderId="161" xfId="0" applyNumberFormat="1" applyFont="1" applyFill="1" applyBorder="1" applyAlignment="1">
      <alignment vertical="center"/>
    </xf>
    <xf numFmtId="170" fontId="30" fillId="35" borderId="161" xfId="0" applyNumberFormat="1" applyFont="1" applyFill="1" applyBorder="1" applyAlignment="1">
      <alignment vertical="center"/>
    </xf>
    <xf numFmtId="170" fontId="50" fillId="4" borderId="161" xfId="0" applyNumberFormat="1" applyFont="1" applyFill="1" applyBorder="1" applyAlignment="1">
      <alignment vertical="center"/>
    </xf>
    <xf numFmtId="170" fontId="50" fillId="4" borderId="237" xfId="0" applyNumberFormat="1" applyFont="1" applyFill="1" applyBorder="1" applyAlignment="1">
      <alignment vertical="center"/>
    </xf>
    <xf numFmtId="170" fontId="76" fillId="4" borderId="138" xfId="0" applyNumberFormat="1" applyFont="1" applyFill="1" applyBorder="1" applyAlignment="1">
      <alignment vertical="center"/>
    </xf>
    <xf numFmtId="170" fontId="30" fillId="35" borderId="138" xfId="0" applyNumberFormat="1" applyFont="1" applyFill="1" applyBorder="1" applyAlignment="1">
      <alignment vertical="center"/>
    </xf>
    <xf numFmtId="170" fontId="50" fillId="4" borderId="138" xfId="0" applyNumberFormat="1" applyFont="1" applyFill="1" applyBorder="1" applyAlignment="1">
      <alignment vertical="center"/>
    </xf>
    <xf numFmtId="170" fontId="50" fillId="4" borderId="231" xfId="0" applyNumberFormat="1" applyFont="1" applyFill="1" applyBorder="1" applyAlignment="1">
      <alignment vertical="center"/>
    </xf>
    <xf numFmtId="170" fontId="23" fillId="0" borderId="35" xfId="0" applyNumberFormat="1" applyFont="1" applyBorder="1" applyAlignment="1">
      <alignment vertical="center"/>
    </xf>
    <xf numFmtId="170" fontId="51" fillId="0" borderId="73" xfId="0" applyNumberFormat="1" applyFont="1" applyBorder="1" applyAlignment="1">
      <alignment vertical="center"/>
    </xf>
    <xf numFmtId="170" fontId="51" fillId="0" borderId="191" xfId="0" applyNumberFormat="1" applyFont="1" applyBorder="1" applyAlignment="1">
      <alignment vertical="center"/>
    </xf>
    <xf numFmtId="43" fontId="0" fillId="0" borderId="0" xfId="0" applyNumberFormat="1"/>
    <xf numFmtId="0" fontId="0" fillId="4" borderId="44" xfId="0" applyFill="1" applyBorder="1" applyAlignment="1">
      <alignment vertical="center"/>
    </xf>
    <xf numFmtId="49" fontId="51" fillId="34" borderId="1" xfId="0" applyNumberFormat="1" applyFont="1" applyFill="1" applyBorder="1" applyAlignment="1">
      <alignment horizontal="center" vertical="center"/>
    </xf>
    <xf numFmtId="170" fontId="23" fillId="34" borderId="1" xfId="0" applyNumberFormat="1" applyFont="1" applyFill="1" applyBorder="1" applyAlignment="1">
      <alignment horizontal="center" vertical="center" wrapText="1"/>
    </xf>
    <xf numFmtId="170" fontId="23" fillId="43" borderId="1" xfId="0" applyNumberFormat="1" applyFont="1" applyFill="1" applyBorder="1" applyAlignment="1">
      <alignment horizontal="center" vertical="center" wrapText="1"/>
    </xf>
    <xf numFmtId="170" fontId="23" fillId="48" borderId="1" xfId="0" applyNumberFormat="1" applyFont="1" applyFill="1" applyBorder="1" applyAlignment="1">
      <alignment horizontal="center" vertical="center" wrapText="1"/>
    </xf>
    <xf numFmtId="170" fontId="23" fillId="49" borderId="1" xfId="0" applyNumberFormat="1" applyFont="1" applyFill="1" applyBorder="1" applyAlignment="1">
      <alignment horizontal="center" vertical="center" wrapText="1"/>
    </xf>
    <xf numFmtId="170" fontId="23" fillId="50" borderId="1" xfId="0" applyNumberFormat="1" applyFont="1" applyFill="1" applyBorder="1" applyAlignment="1">
      <alignment horizontal="center" vertical="center" wrapText="1"/>
    </xf>
    <xf numFmtId="0" fontId="62" fillId="4" borderId="5" xfId="0" applyFont="1" applyFill="1" applyBorder="1" applyAlignment="1">
      <alignment horizontal="center" vertical="center"/>
    </xf>
    <xf numFmtId="0" fontId="121" fillId="4" borderId="5" xfId="0" applyFont="1" applyFill="1" applyBorder="1" applyAlignment="1">
      <alignment horizontal="center" vertical="center"/>
    </xf>
    <xf numFmtId="49" fontId="29" fillId="4" borderId="5" xfId="0" applyNumberFormat="1" applyFont="1" applyFill="1" applyBorder="1" applyAlignment="1">
      <alignment horizontal="center" vertical="center"/>
    </xf>
    <xf numFmtId="170" fontId="50" fillId="4" borderId="5" xfId="0" applyNumberFormat="1" applyFont="1" applyFill="1" applyBorder="1" applyAlignment="1">
      <alignment vertical="center"/>
    </xf>
    <xf numFmtId="43" fontId="50" fillId="4" borderId="5" xfId="0" applyNumberFormat="1" applyFont="1" applyFill="1" applyBorder="1" applyAlignment="1">
      <alignment vertical="center"/>
    </xf>
    <xf numFmtId="0" fontId="50" fillId="4" borderId="5" xfId="0" applyFont="1" applyFill="1" applyBorder="1" applyAlignment="1">
      <alignment vertical="center"/>
    </xf>
    <xf numFmtId="49" fontId="29" fillId="34" borderId="5" xfId="0" applyNumberFormat="1" applyFont="1" applyFill="1" applyBorder="1" applyAlignment="1">
      <alignment horizontal="center" vertical="center"/>
    </xf>
    <xf numFmtId="0" fontId="30" fillId="34" borderId="31" xfId="0" applyFont="1" applyFill="1" applyBorder="1" applyAlignment="1">
      <alignment vertical="center"/>
    </xf>
    <xf numFmtId="170" fontId="30" fillId="34" borderId="5" xfId="0" applyNumberFormat="1" applyFont="1" applyFill="1" applyBorder="1" applyAlignment="1">
      <alignment vertical="center"/>
    </xf>
    <xf numFmtId="170" fontId="30" fillId="10" borderId="5" xfId="0" applyNumberFormat="1" applyFont="1" applyFill="1" applyBorder="1" applyAlignment="1">
      <alignment vertical="center"/>
    </xf>
    <xf numFmtId="49" fontId="30" fillId="25" borderId="48" xfId="0" applyNumberFormat="1" applyFont="1" applyFill="1" applyBorder="1" applyAlignment="1">
      <alignment horizontal="center" vertical="center"/>
    </xf>
    <xf numFmtId="49" fontId="30" fillId="0" borderId="90" xfId="0" applyNumberFormat="1" applyFont="1" applyBorder="1" applyAlignment="1">
      <alignment horizontal="center" vertical="center"/>
    </xf>
    <xf numFmtId="170" fontId="29" fillId="40" borderId="16" xfId="0" applyNumberFormat="1" applyFont="1" applyFill="1" applyBorder="1" applyAlignment="1">
      <alignment vertical="center"/>
    </xf>
    <xf numFmtId="170" fontId="30" fillId="40" borderId="16" xfId="0" applyNumberFormat="1" applyFont="1" applyFill="1" applyBorder="1" applyAlignment="1">
      <alignment vertical="center"/>
    </xf>
    <xf numFmtId="49" fontId="30" fillId="16" borderId="129" xfId="0" applyNumberFormat="1" applyFont="1" applyFill="1" applyBorder="1" applyAlignment="1">
      <alignment horizontal="center" vertical="center"/>
    </xf>
    <xf numFmtId="49" fontId="29" fillId="0" borderId="13" xfId="0" applyNumberFormat="1" applyFont="1" applyBorder="1" applyAlignment="1">
      <alignment horizontal="center" vertical="center"/>
    </xf>
    <xf numFmtId="170" fontId="29" fillId="40" borderId="21" xfId="0" applyNumberFormat="1" applyFont="1" applyFill="1" applyBorder="1" applyAlignment="1">
      <alignment vertical="center"/>
    </xf>
    <xf numFmtId="49" fontId="29" fillId="0" borderId="23" xfId="0" applyNumberFormat="1" applyFont="1" applyBorder="1" applyAlignment="1">
      <alignment horizontal="center" vertical="center"/>
    </xf>
    <xf numFmtId="49" fontId="29" fillId="16" borderId="130" xfId="0" applyNumberFormat="1" applyFont="1" applyFill="1" applyBorder="1" applyAlignment="1">
      <alignment horizontal="center" vertical="center"/>
    </xf>
    <xf numFmtId="49" fontId="30" fillId="0" borderId="37" xfId="0" applyNumberFormat="1" applyFont="1" applyBorder="1" applyAlignment="1">
      <alignment horizontal="center" vertical="center"/>
    </xf>
    <xf numFmtId="49" fontId="29" fillId="0" borderId="43" xfId="0" applyNumberFormat="1" applyFont="1" applyBorder="1" applyAlignment="1">
      <alignment horizontal="center" vertical="center"/>
    </xf>
    <xf numFmtId="49" fontId="30" fillId="0" borderId="43" xfId="0" applyNumberFormat="1" applyFont="1" applyBorder="1" applyAlignment="1">
      <alignment horizontal="center" vertical="center"/>
    </xf>
    <xf numFmtId="170" fontId="30" fillId="40" borderId="43" xfId="0" applyNumberFormat="1" applyFont="1" applyFill="1" applyBorder="1" applyAlignment="1">
      <alignment vertical="center"/>
    </xf>
    <xf numFmtId="49" fontId="29" fillId="0" borderId="33" xfId="0" applyNumberFormat="1" applyFont="1" applyBorder="1" applyAlignment="1">
      <alignment horizontal="center" vertical="center"/>
    </xf>
    <xf numFmtId="49" fontId="30" fillId="16" borderId="48" xfId="0" applyNumberFormat="1" applyFont="1" applyFill="1" applyBorder="1" applyAlignment="1">
      <alignment horizontal="center" vertical="center"/>
    </xf>
    <xf numFmtId="170" fontId="23" fillId="51" borderId="1" xfId="0" applyNumberFormat="1" applyFont="1" applyFill="1" applyBorder="1" applyAlignment="1">
      <alignment horizontal="center" vertical="center" wrapText="1"/>
    </xf>
    <xf numFmtId="170" fontId="23" fillId="52" borderId="1" xfId="0" applyNumberFormat="1" applyFont="1" applyFill="1" applyBorder="1" applyAlignment="1">
      <alignment horizontal="center" vertical="center" wrapText="1"/>
    </xf>
    <xf numFmtId="170" fontId="23" fillId="53" borderId="1" xfId="0" applyNumberFormat="1" applyFont="1" applyFill="1" applyBorder="1" applyAlignment="1">
      <alignment horizontal="center" vertical="center" wrapText="1"/>
    </xf>
    <xf numFmtId="170" fontId="23" fillId="54" borderId="1" xfId="0" applyNumberFormat="1" applyFont="1" applyFill="1" applyBorder="1" applyAlignment="1">
      <alignment horizontal="center" vertical="center" wrapText="1"/>
    </xf>
    <xf numFmtId="170" fontId="23" fillId="5" borderId="1" xfId="0" applyNumberFormat="1" applyFont="1" applyFill="1" applyBorder="1" applyAlignment="1">
      <alignment horizontal="center" vertical="center" wrapText="1"/>
    </xf>
    <xf numFmtId="170" fontId="23" fillId="55" borderId="1" xfId="0" applyNumberFormat="1" applyFont="1" applyFill="1" applyBorder="1" applyAlignment="1">
      <alignment horizontal="center" vertical="center" wrapText="1"/>
    </xf>
    <xf numFmtId="170" fontId="23" fillId="56" borderId="1" xfId="0" applyNumberFormat="1" applyFont="1" applyFill="1" applyBorder="1" applyAlignment="1">
      <alignment horizontal="center" vertical="center" wrapText="1"/>
    </xf>
    <xf numFmtId="170" fontId="23" fillId="57" borderId="1" xfId="0" applyNumberFormat="1" applyFont="1" applyFill="1" applyBorder="1" applyAlignment="1">
      <alignment horizontal="center" vertical="center" wrapText="1"/>
    </xf>
    <xf numFmtId="170" fontId="21" fillId="34" borderId="1" xfId="0" applyNumberFormat="1" applyFont="1" applyFill="1" applyBorder="1" applyAlignment="1">
      <alignment horizontal="center" vertical="center" wrapText="1"/>
    </xf>
    <xf numFmtId="170" fontId="132" fillId="34" borderId="1" xfId="0" applyNumberFormat="1" applyFont="1" applyFill="1" applyBorder="1" applyAlignment="1">
      <alignment horizontal="center" vertical="center" wrapText="1"/>
    </xf>
    <xf numFmtId="49" fontId="29" fillId="0" borderId="37" xfId="0" applyNumberFormat="1" applyFont="1" applyBorder="1" applyAlignment="1">
      <alignment horizontal="center" vertical="center"/>
    </xf>
    <xf numFmtId="49" fontId="29" fillId="0" borderId="40" xfId="0" applyNumberFormat="1" applyFont="1" applyBorder="1" applyAlignment="1">
      <alignment horizontal="center" vertical="center"/>
    </xf>
    <xf numFmtId="49" fontId="30" fillId="0" borderId="40" xfId="0" applyNumberFormat="1" applyFont="1" applyBorder="1" applyAlignment="1">
      <alignment horizontal="center" vertical="center"/>
    </xf>
    <xf numFmtId="170" fontId="29" fillId="40" borderId="40" xfId="0" applyNumberFormat="1" applyFont="1" applyFill="1" applyBorder="1" applyAlignment="1">
      <alignment vertical="center"/>
    </xf>
    <xf numFmtId="49" fontId="29" fillId="16" borderId="48" xfId="0" applyNumberFormat="1" applyFont="1" applyFill="1" applyBorder="1" applyAlignment="1">
      <alignment horizontal="center" vertical="center"/>
    </xf>
    <xf numFmtId="170" fontId="29" fillId="40" borderId="28" xfId="0" applyNumberFormat="1" applyFont="1" applyFill="1" applyBorder="1" applyAlignment="1">
      <alignment vertical="center"/>
    </xf>
    <xf numFmtId="49" fontId="29" fillId="0" borderId="54" xfId="0" applyNumberFormat="1" applyFont="1" applyBorder="1" applyAlignment="1">
      <alignment horizontal="center" vertical="center"/>
    </xf>
    <xf numFmtId="170" fontId="30" fillId="0" borderId="33" xfId="0" applyNumberFormat="1" applyFont="1" applyBorder="1" applyAlignment="1">
      <alignment vertical="center"/>
    </xf>
    <xf numFmtId="170" fontId="29" fillId="40" borderId="33" xfId="0" applyNumberFormat="1" applyFont="1" applyFill="1" applyBorder="1" applyAlignment="1">
      <alignment vertical="center"/>
    </xf>
    <xf numFmtId="49" fontId="30" fillId="4" borderId="238" xfId="0" applyNumberFormat="1" applyFont="1" applyFill="1" applyBorder="1" applyAlignment="1">
      <alignment horizontal="center" vertical="center"/>
    </xf>
    <xf numFmtId="49" fontId="30" fillId="4" borderId="141" xfId="0" applyNumberFormat="1" applyFont="1" applyFill="1" applyBorder="1" applyAlignment="1">
      <alignment horizontal="center" vertical="center"/>
    </xf>
    <xf numFmtId="49" fontId="29" fillId="4" borderId="141" xfId="0" applyNumberFormat="1" applyFont="1" applyFill="1" applyBorder="1" applyAlignment="1">
      <alignment horizontal="center" vertical="center"/>
    </xf>
    <xf numFmtId="170" fontId="29" fillId="40" borderId="64" xfId="0" applyNumberFormat="1" applyFont="1" applyFill="1" applyBorder="1" applyAlignment="1">
      <alignment vertical="center"/>
    </xf>
    <xf numFmtId="170" fontId="29" fillId="4" borderId="64" xfId="0" applyNumberFormat="1" applyFont="1" applyFill="1" applyBorder="1" applyAlignment="1">
      <alignment vertical="center"/>
    </xf>
    <xf numFmtId="49" fontId="30" fillId="4" borderId="58" xfId="0" applyNumberFormat="1" applyFont="1" applyFill="1" applyBorder="1" applyAlignment="1">
      <alignment horizontal="center" vertical="center"/>
    </xf>
    <xf numFmtId="0" fontId="47" fillId="4" borderId="44" xfId="0" applyFont="1" applyFill="1" applyBorder="1" applyAlignment="1">
      <alignment vertical="center"/>
    </xf>
    <xf numFmtId="0" fontId="0" fillId="0" borderId="117" xfId="0" applyBorder="1" applyAlignment="1">
      <alignment vertical="center"/>
    </xf>
    <xf numFmtId="49" fontId="30" fillId="4" borderId="140" xfId="0" applyNumberFormat="1" applyFont="1" applyFill="1" applyBorder="1" applyAlignment="1">
      <alignment horizontal="center" vertical="center"/>
    </xf>
    <xf numFmtId="0" fontId="51" fillId="4" borderId="89" xfId="0" applyFont="1" applyFill="1" applyBorder="1" applyAlignment="1">
      <alignment vertical="center"/>
    </xf>
    <xf numFmtId="0" fontId="47" fillId="4" borderId="89" xfId="0" applyFont="1" applyFill="1" applyBorder="1" applyAlignment="1">
      <alignment vertical="center"/>
    </xf>
    <xf numFmtId="170" fontId="30" fillId="4" borderId="51" xfId="0" applyNumberFormat="1" applyFont="1" applyFill="1" applyBorder="1" applyAlignment="1">
      <alignment vertical="center"/>
    </xf>
    <xf numFmtId="170" fontId="29" fillId="40" borderId="141" xfId="0" applyNumberFormat="1" applyFont="1" applyFill="1" applyBorder="1" applyAlignment="1">
      <alignment vertical="center"/>
    </xf>
    <xf numFmtId="170" fontId="30" fillId="4" borderId="141" xfId="0" applyNumberFormat="1" applyFont="1" applyFill="1" applyBorder="1" applyAlignment="1">
      <alignment vertical="center"/>
    </xf>
    <xf numFmtId="170" fontId="30" fillId="4" borderId="28" xfId="0" applyNumberFormat="1" applyFont="1" applyFill="1" applyBorder="1" applyAlignment="1">
      <alignment vertical="center"/>
    </xf>
    <xf numFmtId="170" fontId="29" fillId="40" borderId="239" xfId="0" applyNumberFormat="1" applyFont="1" applyFill="1" applyBorder="1" applyAlignment="1">
      <alignment vertical="center"/>
    </xf>
    <xf numFmtId="170" fontId="29" fillId="40" borderId="26" xfId="0" applyNumberFormat="1" applyFont="1" applyFill="1" applyBorder="1" applyAlignment="1">
      <alignment vertical="center"/>
    </xf>
    <xf numFmtId="170" fontId="30" fillId="40" borderId="26" xfId="0" applyNumberFormat="1" applyFont="1" applyFill="1" applyBorder="1" applyAlignment="1">
      <alignment vertical="center"/>
    </xf>
    <xf numFmtId="170" fontId="76" fillId="40" borderId="107" xfId="0" applyNumberFormat="1" applyFont="1" applyFill="1" applyBorder="1" applyAlignment="1">
      <alignment vertical="center"/>
    </xf>
    <xf numFmtId="170" fontId="76" fillId="40" borderId="16" xfId="0" applyNumberFormat="1" applyFont="1" applyFill="1" applyBorder="1" applyAlignment="1">
      <alignment vertical="center"/>
    </xf>
    <xf numFmtId="49" fontId="31" fillId="0" borderId="23" xfId="0" applyNumberFormat="1" applyFont="1" applyBorder="1" applyAlignment="1">
      <alignment horizontal="center" vertical="center"/>
    </xf>
    <xf numFmtId="170" fontId="50" fillId="40" borderId="43" xfId="0" applyNumberFormat="1" applyFont="1" applyFill="1" applyBorder="1" applyAlignment="1">
      <alignment vertical="center"/>
    </xf>
    <xf numFmtId="49" fontId="30" fillId="4" borderId="240" xfId="0" applyNumberFormat="1" applyFont="1" applyFill="1" applyBorder="1" applyAlignment="1">
      <alignment horizontal="center" vertical="center"/>
    </xf>
    <xf numFmtId="49" fontId="30" fillId="0" borderId="141" xfId="0" applyNumberFormat="1" applyFont="1" applyBorder="1" applyAlignment="1">
      <alignment horizontal="center" vertical="center"/>
    </xf>
    <xf numFmtId="49" fontId="30" fillId="0" borderId="59" xfId="0" applyNumberFormat="1" applyFont="1" applyBorder="1" applyAlignment="1">
      <alignment horizontal="center" vertical="center"/>
    </xf>
    <xf numFmtId="170" fontId="76" fillId="40" borderId="28" xfId="0" applyNumberFormat="1" applyFont="1" applyFill="1" applyBorder="1" applyAlignment="1">
      <alignment vertical="center"/>
    </xf>
    <xf numFmtId="49" fontId="30" fillId="11" borderId="48" xfId="0" applyNumberFormat="1" applyFont="1" applyFill="1" applyBorder="1" applyAlignment="1">
      <alignment horizontal="center" vertical="center"/>
    </xf>
    <xf numFmtId="170" fontId="50" fillId="40" borderId="16" xfId="0" applyNumberFormat="1" applyFont="1" applyFill="1" applyBorder="1" applyAlignment="1">
      <alignment vertical="center"/>
    </xf>
    <xf numFmtId="49" fontId="30" fillId="25" borderId="35" xfId="0" applyNumberFormat="1" applyFont="1" applyFill="1" applyBorder="1" applyAlignment="1">
      <alignment horizontal="center" vertical="center"/>
    </xf>
    <xf numFmtId="49" fontId="30" fillId="0" borderId="109" xfId="0" applyNumberFormat="1" applyFont="1" applyBorder="1" applyAlignment="1">
      <alignment horizontal="center" vertical="center"/>
    </xf>
    <xf numFmtId="170" fontId="76" fillId="40" borderId="64" xfId="2" applyNumberFormat="1" applyFont="1" applyFill="1" applyBorder="1" applyAlignment="1">
      <alignment vertical="center"/>
    </xf>
    <xf numFmtId="49" fontId="30" fillId="0" borderId="221" xfId="0" applyNumberFormat="1" applyFont="1" applyBorder="1" applyAlignment="1">
      <alignment horizontal="center" vertical="center"/>
    </xf>
    <xf numFmtId="49" fontId="29" fillId="0" borderId="221" xfId="0" applyNumberFormat="1" applyFont="1" applyBorder="1" applyAlignment="1">
      <alignment horizontal="center" vertical="center"/>
    </xf>
    <xf numFmtId="49" fontId="35" fillId="25" borderId="48" xfId="0" applyNumberFormat="1" applyFont="1" applyFill="1" applyBorder="1" applyAlignment="1">
      <alignment horizontal="center" vertical="center"/>
    </xf>
    <xf numFmtId="49" fontId="30" fillId="0" borderId="78" xfId="0" applyNumberFormat="1" applyFont="1" applyBorder="1" applyAlignment="1">
      <alignment horizontal="center" vertical="center"/>
    </xf>
    <xf numFmtId="49" fontId="30" fillId="17" borderId="16" xfId="0" applyNumberFormat="1" applyFont="1" applyFill="1" applyBorder="1" applyAlignment="1">
      <alignment horizontal="center" vertical="center"/>
    </xf>
    <xf numFmtId="49" fontId="35" fillId="4" borderId="16" xfId="0" applyNumberFormat="1" applyFont="1" applyFill="1" applyBorder="1" applyAlignment="1">
      <alignment horizontal="center" vertical="center"/>
    </xf>
    <xf numFmtId="0" fontId="37" fillId="4" borderId="17" xfId="0" applyFont="1" applyFill="1" applyBorder="1" applyAlignment="1">
      <alignment vertical="center"/>
    </xf>
    <xf numFmtId="49" fontId="30" fillId="16" borderId="16" xfId="0" applyNumberFormat="1" applyFont="1" applyFill="1" applyBorder="1" applyAlignment="1">
      <alignment horizontal="center" vertical="center"/>
    </xf>
    <xf numFmtId="0" fontId="29" fillId="4" borderId="30" xfId="0" applyFont="1" applyFill="1" applyBorder="1" applyAlignment="1">
      <alignment vertical="center"/>
    </xf>
    <xf numFmtId="0" fontId="30" fillId="4" borderId="22" xfId="0" applyFont="1" applyFill="1" applyBorder="1" applyAlignment="1">
      <alignment vertical="center"/>
    </xf>
    <xf numFmtId="0" fontId="29" fillId="4" borderId="30" xfId="0" applyFont="1" applyFill="1" applyBorder="1" applyAlignment="1">
      <alignment horizontal="center" vertical="center"/>
    </xf>
    <xf numFmtId="0" fontId="30" fillId="4" borderId="19" xfId="0" applyFont="1" applyFill="1" applyBorder="1" applyAlignment="1">
      <alignment vertical="center"/>
    </xf>
    <xf numFmtId="49" fontId="30" fillId="0" borderId="24" xfId="0" applyNumberFormat="1" applyFont="1" applyBorder="1" applyAlignment="1">
      <alignment horizontal="center" vertical="center"/>
    </xf>
    <xf numFmtId="0" fontId="29" fillId="4" borderId="27" xfId="0" applyFont="1" applyFill="1" applyBorder="1" applyAlignment="1">
      <alignment horizontal="center" vertical="center"/>
    </xf>
    <xf numFmtId="0" fontId="29" fillId="27" borderId="22" xfId="0" applyFont="1" applyFill="1" applyBorder="1" applyAlignment="1">
      <alignment horizontal="center" vertical="center"/>
    </xf>
    <xf numFmtId="0" fontId="29" fillId="27" borderId="19" xfId="0" applyFont="1" applyFill="1" applyBorder="1" applyAlignment="1">
      <alignment vertical="center"/>
    </xf>
    <xf numFmtId="170" fontId="67" fillId="27" borderId="10" xfId="0" applyNumberFormat="1" applyFont="1" applyFill="1" applyBorder="1" applyAlignment="1">
      <alignment vertical="center"/>
    </xf>
    <xf numFmtId="0" fontId="76" fillId="4" borderId="19" xfId="0" applyFont="1" applyFill="1" applyBorder="1" applyAlignment="1">
      <alignment vertical="center"/>
    </xf>
    <xf numFmtId="0" fontId="117" fillId="4" borderId="0" xfId="0" applyFont="1" applyFill="1" applyAlignment="1">
      <alignment vertical="center"/>
    </xf>
    <xf numFmtId="0" fontId="76" fillId="4" borderId="11" xfId="0" applyFont="1" applyFill="1" applyBorder="1" applyAlignment="1">
      <alignment vertical="center"/>
    </xf>
    <xf numFmtId="49" fontId="35" fillId="25" borderId="49" xfId="0" applyNumberFormat="1" applyFont="1" applyFill="1" applyBorder="1" applyAlignment="1">
      <alignment horizontal="center" vertical="center"/>
    </xf>
    <xf numFmtId="49" fontId="35" fillId="20" borderId="35" xfId="0" applyNumberFormat="1" applyFont="1" applyFill="1" applyBorder="1" applyAlignment="1">
      <alignment horizontal="center" vertical="center"/>
    </xf>
    <xf numFmtId="170" fontId="76" fillId="40" borderId="138" xfId="2" applyNumberFormat="1" applyFont="1" applyFill="1" applyBorder="1" applyAlignment="1">
      <alignment vertical="center"/>
    </xf>
    <xf numFmtId="49" fontId="30" fillId="0" borderId="99" xfId="0" applyNumberFormat="1" applyFont="1" applyBorder="1" applyAlignment="1">
      <alignment horizontal="center" vertical="center"/>
    </xf>
    <xf numFmtId="49" fontId="30" fillId="0" borderId="101" xfId="0" applyNumberFormat="1" applyFont="1" applyBorder="1" applyAlignment="1">
      <alignment horizontal="center" vertical="center"/>
    </xf>
    <xf numFmtId="0" fontId="29" fillId="4" borderId="34" xfId="0" applyFont="1" applyFill="1" applyBorder="1" applyAlignment="1">
      <alignment vertical="center"/>
    </xf>
    <xf numFmtId="170" fontId="78" fillId="4" borderId="138" xfId="2" applyNumberFormat="1" applyFont="1" applyFill="1" applyBorder="1" applyAlignment="1">
      <alignment vertical="center"/>
    </xf>
    <xf numFmtId="49" fontId="35" fillId="20" borderId="146" xfId="0" applyNumberFormat="1" applyFont="1" applyFill="1" applyBorder="1" applyAlignment="1">
      <alignment horizontal="center" vertical="center"/>
    </xf>
    <xf numFmtId="49" fontId="30" fillId="0" borderId="241" xfId="0" applyNumberFormat="1" applyFont="1" applyBorder="1" applyAlignment="1">
      <alignment horizontal="center" vertical="center"/>
    </xf>
    <xf numFmtId="49" fontId="30" fillId="0" borderId="139" xfId="0" applyNumberFormat="1" applyFont="1" applyBorder="1" applyAlignment="1">
      <alignment horizontal="center" vertical="center"/>
    </xf>
    <xf numFmtId="49" fontId="30" fillId="0" borderId="64" xfId="0" applyNumberFormat="1" applyFont="1" applyBorder="1" applyAlignment="1">
      <alignment horizontal="center" vertical="center"/>
    </xf>
    <xf numFmtId="170" fontId="30" fillId="27" borderId="23" xfId="0" applyNumberFormat="1" applyFont="1" applyFill="1" applyBorder="1" applyAlignment="1">
      <alignment vertical="center"/>
    </xf>
    <xf numFmtId="170" fontId="30" fillId="27" borderId="16" xfId="0" applyNumberFormat="1" applyFont="1" applyFill="1" applyBorder="1" applyAlignment="1">
      <alignment vertical="center"/>
    </xf>
    <xf numFmtId="170" fontId="109" fillId="40" borderId="64" xfId="2" applyNumberFormat="1" applyFont="1" applyFill="1" applyBorder="1" applyAlignment="1">
      <alignment vertical="center"/>
    </xf>
    <xf numFmtId="49" fontId="30" fillId="0" borderId="138" xfId="0" applyNumberFormat="1" applyFont="1" applyBorder="1" applyAlignment="1">
      <alignment horizontal="center" vertical="center"/>
    </xf>
    <xf numFmtId="49" fontId="30" fillId="0" borderId="161" xfId="0" applyNumberFormat="1" applyFont="1" applyBorder="1" applyAlignment="1">
      <alignment horizontal="center" vertical="center"/>
    </xf>
    <xf numFmtId="170" fontId="50" fillId="40" borderId="64" xfId="2" applyNumberFormat="1" applyFont="1" applyFill="1" applyBorder="1" applyAlignment="1">
      <alignment vertical="center"/>
    </xf>
    <xf numFmtId="0" fontId="30" fillId="4" borderId="34" xfId="0" applyFont="1" applyFill="1" applyBorder="1" applyAlignment="1">
      <alignment vertical="center"/>
    </xf>
    <xf numFmtId="0" fontId="42" fillId="4" borderId="44" xfId="0" applyFont="1" applyFill="1" applyBorder="1" applyAlignment="1">
      <alignment vertical="center"/>
    </xf>
    <xf numFmtId="170" fontId="76" fillId="40" borderId="42" xfId="2" applyNumberFormat="1" applyFont="1" applyFill="1" applyBorder="1" applyAlignment="1">
      <alignment vertical="center"/>
    </xf>
    <xf numFmtId="49" fontId="30" fillId="0" borderId="134" xfId="0" applyNumberFormat="1" applyFont="1" applyBorder="1" applyAlignment="1">
      <alignment horizontal="center" vertical="center"/>
    </xf>
    <xf numFmtId="170" fontId="50" fillId="40" borderId="64" xfId="0" applyNumberFormat="1" applyFont="1" applyFill="1" applyBorder="1" applyAlignment="1">
      <alignment vertical="center"/>
    </xf>
    <xf numFmtId="170" fontId="76" fillId="40" borderId="42" xfId="0" applyNumberFormat="1" applyFont="1" applyFill="1" applyBorder="1" applyAlignment="1">
      <alignment vertical="center"/>
    </xf>
    <xf numFmtId="170" fontId="76" fillId="40" borderId="106" xfId="0" applyNumberFormat="1" applyFont="1" applyFill="1" applyBorder="1" applyAlignment="1">
      <alignment vertical="center"/>
    </xf>
    <xf numFmtId="49" fontId="30" fillId="25" borderId="130" xfId="0" applyNumberFormat="1" applyFont="1" applyFill="1" applyBorder="1" applyAlignment="1">
      <alignment horizontal="center" vertical="center"/>
    </xf>
    <xf numFmtId="49" fontId="30" fillId="25" borderId="129" xfId="0" applyNumberFormat="1" applyFont="1" applyFill="1" applyBorder="1" applyAlignment="1">
      <alignment horizontal="center" vertical="center"/>
    </xf>
    <xf numFmtId="170" fontId="50" fillId="40" borderId="24" xfId="0" applyNumberFormat="1" applyFont="1" applyFill="1" applyBorder="1" applyAlignment="1">
      <alignment vertical="center"/>
    </xf>
    <xf numFmtId="49" fontId="30" fillId="0" borderId="242" xfId="0" applyNumberFormat="1" applyFont="1" applyBorder="1" applyAlignment="1">
      <alignment horizontal="center" vertical="center"/>
    </xf>
    <xf numFmtId="49" fontId="30" fillId="0" borderId="243" xfId="0" applyNumberFormat="1" applyFont="1" applyBorder="1" applyAlignment="1">
      <alignment horizontal="center" vertical="center"/>
    </xf>
    <xf numFmtId="49" fontId="30" fillId="0" borderId="244" xfId="0" applyNumberFormat="1" applyFont="1" applyBorder="1" applyAlignment="1">
      <alignment horizontal="center" vertical="center"/>
    </xf>
    <xf numFmtId="170" fontId="76" fillId="40" borderId="21" xfId="0" applyNumberFormat="1" applyFont="1" applyFill="1" applyBorder="1" applyAlignment="1">
      <alignment vertical="center"/>
    </xf>
    <xf numFmtId="49" fontId="30" fillId="0" borderId="232" xfId="0" applyNumberFormat="1" applyFont="1" applyBorder="1" applyAlignment="1">
      <alignment horizontal="center" vertical="center"/>
    </xf>
    <xf numFmtId="49" fontId="29" fillId="0" borderId="244" xfId="0" applyNumberFormat="1" applyFont="1" applyBorder="1" applyAlignment="1">
      <alignment horizontal="center" vertical="center"/>
    </xf>
    <xf numFmtId="49" fontId="29" fillId="0" borderId="133" xfId="0" applyNumberFormat="1" applyFont="1" applyBorder="1" applyAlignment="1">
      <alignment horizontal="center" vertical="center"/>
    </xf>
    <xf numFmtId="170" fontId="76" fillId="40" borderId="143" xfId="0" applyNumberFormat="1" applyFont="1" applyFill="1" applyBorder="1" applyAlignment="1">
      <alignment vertical="center"/>
    </xf>
    <xf numFmtId="170" fontId="30" fillId="0" borderId="35" xfId="0" applyNumberFormat="1" applyFont="1" applyBorder="1" applyAlignment="1">
      <alignment vertical="center"/>
    </xf>
    <xf numFmtId="0" fontId="0" fillId="16" borderId="0" xfId="0" applyFill="1" applyAlignment="1">
      <alignment vertical="center"/>
    </xf>
    <xf numFmtId="49" fontId="60" fillId="4" borderId="0" xfId="0" applyNumberFormat="1" applyFont="1" applyFill="1" applyAlignment="1">
      <alignment horizontal="center"/>
    </xf>
    <xf numFmtId="0" fontId="60" fillId="4" borderId="0" xfId="0" applyFont="1" applyFill="1"/>
    <xf numFmtId="0" fontId="76" fillId="4" borderId="0" xfId="0" applyFont="1" applyFill="1"/>
    <xf numFmtId="49" fontId="35" fillId="4" borderId="0" xfId="0" applyNumberFormat="1" applyFont="1" applyFill="1" applyAlignment="1">
      <alignment horizontal="center"/>
    </xf>
    <xf numFmtId="0" fontId="89" fillId="4" borderId="0" xfId="0" applyFont="1" applyFill="1"/>
    <xf numFmtId="49" fontId="51" fillId="4" borderId="0" xfId="0" applyNumberFormat="1" applyFont="1" applyFill="1" applyAlignment="1">
      <alignment horizontal="center"/>
    </xf>
    <xf numFmtId="49" fontId="30" fillId="48" borderId="1" xfId="0" applyNumberFormat="1" applyFont="1" applyFill="1" applyBorder="1" applyAlignment="1">
      <alignment horizontal="center" vertical="center"/>
    </xf>
    <xf numFmtId="170" fontId="50" fillId="48" borderId="1" xfId="0" applyNumberFormat="1" applyFont="1" applyFill="1" applyBorder="1" applyAlignment="1">
      <alignment horizontal="center" vertical="center" wrapText="1"/>
    </xf>
    <xf numFmtId="49" fontId="61" fillId="4" borderId="5" xfId="0" applyNumberFormat="1" applyFont="1" applyFill="1" applyBorder="1" applyAlignment="1">
      <alignment horizontal="center" vertical="center"/>
    </xf>
    <xf numFmtId="0" fontId="133" fillId="4" borderId="5" xfId="0" applyFont="1" applyFill="1" applyBorder="1" applyAlignment="1">
      <alignment horizontal="center" vertical="center"/>
    </xf>
    <xf numFmtId="49" fontId="30" fillId="10" borderId="5" xfId="0" applyNumberFormat="1" applyFont="1" applyFill="1" applyBorder="1" applyAlignment="1">
      <alignment horizontal="center" vertical="center"/>
    </xf>
    <xf numFmtId="0" fontId="30" fillId="10" borderId="31" xfId="0" applyFont="1" applyFill="1" applyBorder="1" applyAlignment="1">
      <alignment vertical="center"/>
    </xf>
    <xf numFmtId="0" fontId="0" fillId="0" borderId="0" xfId="0" applyAlignment="1">
      <alignment horizontal="right" vertical="center"/>
    </xf>
    <xf numFmtId="0" fontId="124" fillId="0" borderId="0" xfId="0" applyFont="1" applyAlignment="1">
      <alignment horizontal="center" vertical="center"/>
    </xf>
    <xf numFmtId="49" fontId="29" fillId="10" borderId="5" xfId="0" applyNumberFormat="1" applyFont="1" applyFill="1" applyBorder="1" applyAlignment="1">
      <alignment horizontal="center" vertical="center"/>
    </xf>
    <xf numFmtId="43" fontId="0" fillId="0" borderId="0" xfId="0" applyNumberFormat="1" applyAlignment="1">
      <alignment vertical="center"/>
    </xf>
    <xf numFmtId="165" fontId="124" fillId="0" borderId="0" xfId="1" applyFont="1" applyAlignment="1">
      <alignment horizontal="center" vertical="center"/>
    </xf>
    <xf numFmtId="0" fontId="124" fillId="25" borderId="0" xfId="0" applyFont="1" applyFill="1" applyAlignment="1">
      <alignment horizontal="center" vertical="center"/>
    </xf>
    <xf numFmtId="170" fontId="29" fillId="0" borderId="33" xfId="0" applyNumberFormat="1" applyFont="1" applyBorder="1" applyAlignment="1">
      <alignment vertical="center"/>
    </xf>
    <xf numFmtId="170" fontId="29" fillId="0" borderId="239" xfId="0" applyNumberFormat="1" applyFont="1" applyBorder="1" applyAlignment="1">
      <alignment vertical="center"/>
    </xf>
    <xf numFmtId="170" fontId="76" fillId="4" borderId="107" xfId="0" applyNumberFormat="1" applyFont="1" applyFill="1" applyBorder="1" applyAlignment="1">
      <alignment vertical="center"/>
    </xf>
    <xf numFmtId="170" fontId="29" fillId="4" borderId="40" xfId="0" applyNumberFormat="1" applyFont="1" applyFill="1" applyBorder="1" applyAlignment="1">
      <alignment vertical="center"/>
    </xf>
    <xf numFmtId="43" fontId="124" fillId="0" borderId="0" xfId="0" applyNumberFormat="1" applyFont="1" applyAlignment="1">
      <alignment vertical="center"/>
    </xf>
    <xf numFmtId="43" fontId="7" fillId="25" borderId="0" xfId="0" applyNumberFormat="1" applyFont="1" applyFill="1" applyAlignment="1">
      <alignment vertical="center"/>
    </xf>
    <xf numFmtId="43" fontId="7" fillId="0" borderId="0" xfId="0" applyNumberFormat="1" applyFont="1" applyAlignment="1">
      <alignment vertical="center"/>
    </xf>
    <xf numFmtId="43" fontId="118" fillId="0" borderId="0" xfId="0" applyNumberFormat="1" applyFont="1" applyAlignment="1">
      <alignment vertical="center"/>
    </xf>
    <xf numFmtId="170" fontId="76" fillId="0" borderId="64" xfId="2" applyNumberFormat="1" applyFont="1" applyBorder="1" applyAlignment="1">
      <alignment vertical="center"/>
    </xf>
    <xf numFmtId="170" fontId="76" fillId="4" borderId="42" xfId="2" applyNumberFormat="1" applyFont="1" applyFill="1" applyBorder="1" applyAlignment="1">
      <alignment vertical="center"/>
    </xf>
    <xf numFmtId="170" fontId="76" fillId="4" borderId="42" xfId="0" applyNumberFormat="1" applyFont="1" applyFill="1" applyBorder="1" applyAlignment="1">
      <alignment vertical="center"/>
    </xf>
    <xf numFmtId="170" fontId="76" fillId="4" borderId="106" xfId="0" applyNumberFormat="1" applyFont="1" applyFill="1" applyBorder="1" applyAlignment="1">
      <alignment vertical="center"/>
    </xf>
    <xf numFmtId="170" fontId="76" fillId="20" borderId="16" xfId="0" applyNumberFormat="1" applyFont="1" applyFill="1" applyBorder="1" applyAlignment="1">
      <alignment vertical="center"/>
    </xf>
    <xf numFmtId="170" fontId="76" fillId="0" borderId="21" xfId="0" applyNumberFormat="1" applyFont="1" applyBorder="1" applyAlignment="1">
      <alignment vertical="center"/>
    </xf>
    <xf numFmtId="170" fontId="76" fillId="0" borderId="107" xfId="0" applyNumberFormat="1" applyFont="1" applyBorder="1" applyAlignment="1">
      <alignment vertical="center"/>
    </xf>
    <xf numFmtId="170" fontId="76" fillId="4" borderId="143" xfId="0" applyNumberFormat="1" applyFont="1" applyFill="1" applyBorder="1" applyAlignment="1">
      <alignment vertical="center"/>
    </xf>
    <xf numFmtId="170" fontId="23" fillId="16" borderId="49" xfId="0" applyNumberFormat="1" applyFont="1" applyFill="1" applyBorder="1" applyAlignment="1">
      <alignment vertical="center"/>
    </xf>
    <xf numFmtId="0" fontId="50" fillId="0" borderId="0" xfId="0" applyFont="1" applyAlignment="1">
      <alignment horizontal="center" vertical="center"/>
    </xf>
    <xf numFmtId="0" fontId="76" fillId="0" borderId="0" xfId="0" applyFont="1" applyAlignment="1">
      <alignment horizontal="center" vertical="top"/>
    </xf>
    <xf numFmtId="0" fontId="76" fillId="0" borderId="0" xfId="0" applyFont="1"/>
    <xf numFmtId="177" fontId="76" fillId="0" borderId="0" xfId="2" applyNumberFormat="1" applyFont="1"/>
    <xf numFmtId="177" fontId="76" fillId="0" borderId="0" xfId="2" applyNumberFormat="1" applyFont="1" applyAlignment="1">
      <alignment horizontal="center"/>
    </xf>
    <xf numFmtId="0" fontId="50" fillId="0" borderId="35" xfId="0" applyFont="1" applyBorder="1" applyAlignment="1">
      <alignment horizontal="center" vertical="center"/>
    </xf>
    <xf numFmtId="177" fontId="50" fillId="0" borderId="35" xfId="2" applyNumberFormat="1" applyFont="1" applyBorder="1" applyAlignment="1">
      <alignment horizontal="center" vertical="center"/>
    </xf>
    <xf numFmtId="0" fontId="76" fillId="0" borderId="170" xfId="0" applyFont="1" applyBorder="1" applyAlignment="1">
      <alignment horizontal="center" vertical="top"/>
    </xf>
    <xf numFmtId="0" fontId="76" fillId="0" borderId="170" xfId="0" applyFont="1" applyBorder="1" applyAlignment="1">
      <alignment vertical="top" wrapText="1"/>
    </xf>
    <xf numFmtId="0" fontId="76" fillId="0" borderId="139" xfId="0" applyFont="1" applyBorder="1" applyAlignment="1">
      <alignment vertical="top"/>
    </xf>
    <xf numFmtId="177" fontId="76" fillId="0" borderId="139" xfId="2" applyNumberFormat="1" applyFont="1" applyBorder="1" applyAlignment="1">
      <alignment vertical="top"/>
    </xf>
    <xf numFmtId="177" fontId="76" fillId="0" borderId="170" xfId="2" applyNumberFormat="1" applyFont="1" applyBorder="1" applyAlignment="1">
      <alignment vertical="top"/>
    </xf>
    <xf numFmtId="177" fontId="76" fillId="0" borderId="170" xfId="2" applyNumberFormat="1" applyFont="1" applyBorder="1" applyAlignment="1">
      <alignment horizontal="center" vertical="top"/>
    </xf>
    <xf numFmtId="0" fontId="76" fillId="0" borderId="161" xfId="0" applyFont="1" applyBorder="1" applyAlignment="1">
      <alignment horizontal="center" vertical="top"/>
    </xf>
    <xf numFmtId="0" fontId="76" fillId="0" borderId="161" xfId="0" applyFont="1" applyBorder="1" applyAlignment="1">
      <alignment horizontal="left" vertical="top" wrapText="1"/>
    </xf>
    <xf numFmtId="0" fontId="76" fillId="0" borderId="64" xfId="0" applyFont="1" applyBorder="1" applyAlignment="1">
      <alignment horizontal="left" vertical="top" wrapText="1"/>
    </xf>
    <xf numFmtId="0" fontId="76" fillId="0" borderId="64" xfId="0" applyFont="1" applyBorder="1" applyAlignment="1">
      <alignment horizontal="left" vertical="top"/>
    </xf>
    <xf numFmtId="177" fontId="76" fillId="0" borderId="64" xfId="2" applyNumberFormat="1" applyFont="1" applyBorder="1" applyAlignment="1">
      <alignment horizontal="left" vertical="top"/>
    </xf>
    <xf numFmtId="0" fontId="76" fillId="0" borderId="64" xfId="0" applyFont="1" applyBorder="1" applyAlignment="1">
      <alignment horizontal="center" vertical="top"/>
    </xf>
    <xf numFmtId="0" fontId="76" fillId="0" borderId="138" xfId="0" applyFont="1" applyBorder="1" applyAlignment="1">
      <alignment horizontal="left" vertical="top" wrapText="1"/>
    </xf>
    <xf numFmtId="0" fontId="76" fillId="0" borderId="138" xfId="0" applyFont="1" applyBorder="1" applyAlignment="1">
      <alignment horizontal="center" vertical="top"/>
    </xf>
    <xf numFmtId="0" fontId="76" fillId="0" borderId="109" xfId="0" applyFont="1" applyBorder="1" applyAlignment="1">
      <alignment horizontal="center" vertical="top"/>
    </xf>
    <xf numFmtId="0" fontId="76" fillId="0" borderId="109" xfId="0" applyFont="1" applyBorder="1" applyAlignment="1">
      <alignment horizontal="left" vertical="top" wrapText="1"/>
    </xf>
    <xf numFmtId="0" fontId="76" fillId="0" borderId="138" xfId="0" applyFont="1" applyBorder="1" applyAlignment="1">
      <alignment horizontal="left" vertical="top"/>
    </xf>
    <xf numFmtId="177" fontId="76" fillId="0" borderId="138" xfId="2" applyNumberFormat="1" applyFont="1" applyBorder="1" applyAlignment="1">
      <alignment horizontal="left" vertical="top"/>
    </xf>
    <xf numFmtId="0" fontId="76" fillId="0" borderId="65" xfId="0" applyFont="1" applyBorder="1" applyAlignment="1">
      <alignment horizontal="center" vertical="top"/>
    </xf>
    <xf numFmtId="0" fontId="76" fillId="0" borderId="65" xfId="0" applyFont="1" applyBorder="1" applyAlignment="1">
      <alignment horizontal="left" vertical="top" wrapText="1"/>
    </xf>
    <xf numFmtId="0" fontId="76" fillId="0" borderId="65" xfId="0" applyFont="1" applyBorder="1" applyAlignment="1">
      <alignment horizontal="left" vertical="top"/>
    </xf>
    <xf numFmtId="177" fontId="76" fillId="0" borderId="65" xfId="2" applyNumberFormat="1" applyFont="1" applyBorder="1" applyAlignment="1">
      <alignment horizontal="left" vertical="top"/>
    </xf>
    <xf numFmtId="0" fontId="76" fillId="0" borderId="161" xfId="0" applyFont="1" applyBorder="1" applyAlignment="1">
      <alignment horizontal="left" vertical="top"/>
    </xf>
    <xf numFmtId="177" fontId="76" fillId="0" borderId="161" xfId="2" applyNumberFormat="1" applyFont="1" applyBorder="1" applyAlignment="1">
      <alignment horizontal="left" vertical="top"/>
    </xf>
    <xf numFmtId="0" fontId="76" fillId="0" borderId="125" xfId="0" applyFont="1" applyBorder="1" applyAlignment="1">
      <alignment horizontal="center" vertical="top"/>
    </xf>
    <xf numFmtId="0" fontId="76" fillId="0" borderId="125" xfId="0" applyFont="1" applyBorder="1" applyAlignment="1">
      <alignment horizontal="left" vertical="top" wrapText="1"/>
    </xf>
    <xf numFmtId="177" fontId="76" fillId="0" borderId="0" xfId="0" applyNumberFormat="1" applyFont="1"/>
    <xf numFmtId="0" fontId="76" fillId="0" borderId="139" xfId="0" quotePrefix="1" applyFont="1" applyBorder="1" applyAlignment="1">
      <alignment vertical="top" wrapText="1"/>
    </xf>
    <xf numFmtId="0" fontId="76" fillId="0" borderId="170" xfId="0" quotePrefix="1" applyFont="1" applyBorder="1" applyAlignment="1">
      <alignment wrapText="1"/>
    </xf>
    <xf numFmtId="0" fontId="76" fillId="0" borderId="64" xfId="0" quotePrefix="1" applyFont="1" applyBorder="1" applyAlignment="1">
      <alignment horizontal="left" vertical="top" wrapText="1"/>
    </xf>
    <xf numFmtId="0" fontId="76" fillId="0" borderId="64" xfId="0" quotePrefix="1" applyFont="1" applyBorder="1" applyAlignment="1">
      <alignment wrapText="1"/>
    </xf>
    <xf numFmtId="0" fontId="76" fillId="16" borderId="64" xfId="0" quotePrefix="1" applyFont="1" applyFill="1" applyBorder="1" applyAlignment="1">
      <alignment horizontal="left" vertical="top" wrapText="1"/>
    </xf>
    <xf numFmtId="0" fontId="76" fillId="0" borderId="138" xfId="0" quotePrefix="1" applyFont="1" applyBorder="1" applyAlignment="1">
      <alignment horizontal="left" vertical="top" wrapText="1"/>
    </xf>
    <xf numFmtId="0" fontId="76" fillId="0" borderId="65" xfId="0" quotePrefix="1" applyFont="1" applyBorder="1" applyAlignment="1">
      <alignment horizontal="left" vertical="top" wrapText="1"/>
    </xf>
    <xf numFmtId="0" fontId="76" fillId="0" borderId="161" xfId="0" quotePrefix="1" applyFont="1" applyBorder="1" applyAlignment="1">
      <alignment horizontal="left" vertical="top" wrapText="1"/>
    </xf>
    <xf numFmtId="0" fontId="29" fillId="0" borderId="17" xfId="0" quotePrefix="1" applyFont="1" applyBorder="1" applyAlignment="1">
      <alignment vertical="center"/>
    </xf>
    <xf numFmtId="0" fontId="30" fillId="0" borderId="17" xfId="0" quotePrefix="1" applyFont="1" applyBorder="1" applyAlignment="1">
      <alignment vertical="center"/>
    </xf>
    <xf numFmtId="0" fontId="29" fillId="0" borderId="11" xfId="0" quotePrefix="1" applyFont="1" applyBorder="1" applyAlignment="1">
      <alignment vertical="center"/>
    </xf>
    <xf numFmtId="0" fontId="29" fillId="0" borderId="44" xfId="0" quotePrefix="1" applyFont="1" applyBorder="1" applyAlignment="1">
      <alignment vertical="center"/>
    </xf>
    <xf numFmtId="0" fontId="30" fillId="0" borderId="44" xfId="0" quotePrefix="1" applyFont="1" applyBorder="1" applyAlignment="1">
      <alignment vertical="center"/>
    </xf>
    <xf numFmtId="0" fontId="29" fillId="0" borderId="24" xfId="0" quotePrefix="1" applyFont="1" applyBorder="1" applyAlignment="1">
      <alignment vertical="center"/>
    </xf>
    <xf numFmtId="0" fontId="29" fillId="0" borderId="30" xfId="0" quotePrefix="1" applyFont="1" applyBorder="1" applyAlignment="1">
      <alignment vertical="center"/>
    </xf>
    <xf numFmtId="0" fontId="72" fillId="0" borderId="0" xfId="0" quotePrefix="1" applyFont="1" applyAlignment="1">
      <alignment vertical="center"/>
    </xf>
    <xf numFmtId="0" fontId="30" fillId="0" borderId="24" xfId="0" quotePrefix="1" applyFont="1" applyBorder="1" applyAlignment="1">
      <alignment vertical="center"/>
    </xf>
    <xf numFmtId="0" fontId="30" fillId="25" borderId="50" xfId="0" quotePrefix="1" applyFont="1" applyFill="1" applyBorder="1" applyAlignment="1">
      <alignment vertical="center"/>
    </xf>
    <xf numFmtId="0" fontId="78" fillId="4" borderId="41" xfId="0" quotePrefix="1" applyFont="1" applyFill="1" applyBorder="1" applyAlignment="1">
      <alignment vertical="center"/>
    </xf>
    <xf numFmtId="0" fontId="78" fillId="4" borderId="44" xfId="0" quotePrefix="1" applyFont="1" applyFill="1" applyBorder="1" applyAlignment="1">
      <alignment vertical="center"/>
    </xf>
    <xf numFmtId="0" fontId="35" fillId="20" borderId="50" xfId="0" quotePrefix="1" applyFont="1" applyFill="1" applyBorder="1" applyAlignment="1">
      <alignment vertical="center"/>
    </xf>
    <xf numFmtId="0" fontId="29" fillId="0" borderId="41" xfId="0" quotePrefix="1" applyFont="1" applyBorder="1" applyAlignment="1">
      <alignment vertical="center"/>
    </xf>
    <xf numFmtId="0" fontId="35" fillId="20" borderId="35" xfId="0" quotePrefix="1" applyFont="1" applyFill="1" applyBorder="1" applyAlignment="1">
      <alignment vertical="center"/>
    </xf>
    <xf numFmtId="0" fontId="30" fillId="0" borderId="41" xfId="0" quotePrefix="1" applyFont="1" applyBorder="1" applyAlignment="1">
      <alignment vertical="center"/>
    </xf>
    <xf numFmtId="0" fontId="58" fillId="0" borderId="0" xfId="0" quotePrefix="1" applyFont="1" applyAlignment="1">
      <alignment horizontal="center" vertical="center"/>
    </xf>
    <xf numFmtId="0" fontId="30" fillId="0" borderId="30" xfId="0" quotePrefix="1" applyFont="1" applyBorder="1" applyAlignment="1">
      <alignment vertical="center"/>
    </xf>
    <xf numFmtId="0" fontId="29" fillId="20" borderId="17" xfId="0" quotePrefix="1" applyFont="1" applyFill="1" applyBorder="1" applyAlignment="1">
      <alignment vertical="center"/>
    </xf>
    <xf numFmtId="0" fontId="29" fillId="4" borderId="17" xfId="0" quotePrefix="1" applyFont="1" applyFill="1" applyBorder="1" applyAlignment="1">
      <alignment vertical="center"/>
    </xf>
    <xf numFmtId="0" fontId="29" fillId="4" borderId="11" xfId="0" quotePrefix="1" applyFont="1" applyFill="1" applyBorder="1" applyAlignment="1">
      <alignment vertical="center"/>
    </xf>
    <xf numFmtId="0" fontId="30" fillId="4" borderId="44" xfId="0" quotePrefix="1" applyFont="1" applyFill="1" applyBorder="1" applyAlignment="1">
      <alignment vertical="center"/>
    </xf>
    <xf numFmtId="0" fontId="29" fillId="4" borderId="44" xfId="0" quotePrefix="1" applyFont="1" applyFill="1" applyBorder="1" applyAlignment="1">
      <alignment vertical="center"/>
    </xf>
    <xf numFmtId="0" fontId="29" fillId="4" borderId="41" xfId="0" quotePrefix="1" applyFont="1" applyFill="1" applyBorder="1" applyAlignment="1">
      <alignment vertical="center"/>
    </xf>
    <xf numFmtId="0" fontId="30" fillId="4" borderId="41" xfId="0" quotePrefix="1" applyFont="1" applyFill="1" applyBorder="1" applyAlignment="1">
      <alignment vertical="center"/>
    </xf>
    <xf numFmtId="0" fontId="29" fillId="16" borderId="44" xfId="0" quotePrefix="1" applyFont="1" applyFill="1" applyBorder="1" applyAlignment="1">
      <alignment vertical="center"/>
    </xf>
    <xf numFmtId="0" fontId="29" fillId="17" borderId="44" xfId="0" quotePrefix="1" applyFont="1" applyFill="1" applyBorder="1" applyAlignment="1">
      <alignment vertical="center"/>
    </xf>
    <xf numFmtId="41" fontId="30" fillId="27" borderId="5" xfId="0" quotePrefix="1" applyNumberFormat="1" applyFont="1" applyFill="1" applyBorder="1" applyAlignment="1">
      <alignment horizontal="center" vertical="center"/>
    </xf>
    <xf numFmtId="165" fontId="30" fillId="27" borderId="5" xfId="1" quotePrefix="1" applyFont="1" applyFill="1" applyBorder="1" applyAlignment="1">
      <alignment horizontal="center" vertical="center"/>
    </xf>
    <xf numFmtId="49" fontId="29" fillId="0" borderId="24" xfId="0" quotePrefix="1" applyNumberFormat="1" applyFont="1" applyBorder="1" applyAlignment="1">
      <alignment vertical="center"/>
    </xf>
    <xf numFmtId="0" fontId="34" fillId="0" borderId="17" xfId="0" quotePrefix="1" applyFont="1" applyBorder="1" applyAlignment="1">
      <alignment vertical="center"/>
    </xf>
    <xf numFmtId="0" fontId="60" fillId="0" borderId="64" xfId="0" quotePrefix="1" applyFont="1" applyBorder="1" applyAlignment="1">
      <alignment horizontal="center" vertical="center"/>
    </xf>
    <xf numFmtId="0" fontId="29" fillId="0" borderId="44" xfId="0" quotePrefix="1" applyFont="1" applyBorder="1"/>
    <xf numFmtId="0" fontId="29" fillId="0" borderId="17" xfId="0" quotePrefix="1" applyFont="1" applyBorder="1"/>
    <xf numFmtId="0" fontId="30" fillId="0" borderId="17" xfId="0" quotePrefix="1" applyFont="1" applyBorder="1"/>
    <xf numFmtId="0" fontId="51" fillId="4" borderId="44" xfId="0" quotePrefix="1" applyFont="1" applyFill="1" applyBorder="1"/>
    <xf numFmtId="0" fontId="29" fillId="0" borderId="17" xfId="0" quotePrefix="1" applyFont="1" applyBorder="1" applyAlignment="1">
      <alignment horizontal="center"/>
    </xf>
    <xf numFmtId="0" fontId="75" fillId="0" borderId="17" xfId="0" quotePrefix="1" applyFont="1" applyBorder="1"/>
    <xf numFmtId="0" fontId="72" fillId="0" borderId="17" xfId="0" quotePrefix="1" applyFont="1" applyBorder="1"/>
    <xf numFmtId="0" fontId="78" fillId="4" borderId="44" xfId="0" quotePrefix="1" applyFont="1" applyFill="1" applyBorder="1"/>
    <xf numFmtId="0" fontId="58" fillId="0" borderId="0" xfId="0" quotePrefix="1" applyFont="1" applyAlignment="1">
      <alignment horizontal="center"/>
    </xf>
    <xf numFmtId="0" fontId="29" fillId="0" borderId="41" xfId="0" quotePrefix="1" applyFont="1" applyBorder="1"/>
    <xf numFmtId="165" fontId="29" fillId="0" borderId="24" xfId="0" quotePrefix="1" applyNumberFormat="1" applyFont="1" applyBorder="1" applyAlignment="1">
      <alignment horizontal="center"/>
    </xf>
    <xf numFmtId="0" fontId="29" fillId="0" borderId="19" xfId="0" quotePrefix="1" applyFont="1" applyBorder="1"/>
    <xf numFmtId="0" fontId="75" fillId="0" borderId="17" xfId="0" quotePrefix="1" applyFont="1" applyBorder="1" applyAlignment="1">
      <alignment vertical="center"/>
    </xf>
    <xf numFmtId="0" fontId="72" fillId="0" borderId="17" xfId="0" quotePrefix="1" applyFont="1" applyBorder="1" applyAlignment="1">
      <alignment vertical="center"/>
    </xf>
    <xf numFmtId="0" fontId="29" fillId="0" borderId="24" xfId="0" quotePrefix="1" applyFont="1" applyBorder="1"/>
    <xf numFmtId="0" fontId="78" fillId="4" borderId="17" xfId="0" quotePrefix="1" applyFont="1" applyFill="1" applyBorder="1"/>
    <xf numFmtId="0" fontId="29" fillId="0" borderId="11" xfId="0" quotePrefix="1" applyFont="1" applyBorder="1"/>
    <xf numFmtId="0" fontId="29" fillId="0" borderId="69" xfId="0" quotePrefix="1" applyFont="1" applyBorder="1"/>
    <xf numFmtId="0" fontId="29" fillId="2" borderId="5" xfId="0" quotePrefix="1" applyFont="1" applyFill="1" applyBorder="1" applyAlignment="1">
      <alignment horizontal="center"/>
    </xf>
    <xf numFmtId="0" fontId="29" fillId="0" borderId="17" xfId="0" quotePrefix="1" applyFont="1" applyBorder="1" applyAlignment="1">
      <alignment horizontal="center" vertical="center"/>
    </xf>
    <xf numFmtId="0" fontId="25" fillId="0" borderId="17" xfId="0" quotePrefix="1" applyFont="1" applyBorder="1" applyAlignment="1">
      <alignment vertical="center"/>
    </xf>
    <xf numFmtId="0" fontId="16" fillId="2" borderId="0" xfId="0" quotePrefix="1" applyFont="1" applyFill="1"/>
    <xf numFmtId="0" fontId="51" fillId="4" borderId="0" xfId="0" applyFont="1" applyFill="1" applyAlignment="1">
      <alignment horizontal="center" wrapText="1"/>
    </xf>
    <xf numFmtId="170" fontId="50" fillId="48" borderId="0" xfId="0" applyNumberFormat="1" applyFont="1" applyFill="1" applyAlignment="1">
      <alignment horizontal="center" vertical="center" wrapText="1"/>
    </xf>
    <xf numFmtId="0" fontId="133" fillId="4" borderId="0" xfId="0" applyFont="1" applyFill="1" applyAlignment="1">
      <alignment horizontal="center" vertical="center"/>
    </xf>
    <xf numFmtId="170" fontId="30" fillId="10" borderId="0" xfId="0" applyNumberFormat="1" applyFont="1" applyFill="1" applyAlignment="1">
      <alignment vertical="center"/>
    </xf>
    <xf numFmtId="170" fontId="30" fillId="0" borderId="0" xfId="0" applyNumberFormat="1" applyFont="1" applyAlignment="1">
      <alignment vertical="center"/>
    </xf>
    <xf numFmtId="170" fontId="29" fillId="0" borderId="0" xfId="0" applyNumberFormat="1" applyFont="1" applyAlignment="1">
      <alignment vertical="center"/>
    </xf>
    <xf numFmtId="170" fontId="30" fillId="25" borderId="0" xfId="0" applyNumberFormat="1" applyFont="1" applyFill="1" applyAlignment="1">
      <alignment vertical="center"/>
    </xf>
    <xf numFmtId="170" fontId="67" fillId="0" borderId="0" xfId="0" applyNumberFormat="1" applyFont="1" applyAlignment="1">
      <alignment vertical="center"/>
    </xf>
    <xf numFmtId="170" fontId="30" fillId="16" borderId="0" xfId="0" applyNumberFormat="1" applyFont="1" applyFill="1" applyAlignment="1">
      <alignment vertical="center"/>
    </xf>
    <xf numFmtId="170" fontId="50" fillId="4" borderId="0" xfId="0" applyNumberFormat="1" applyFont="1" applyFill="1" applyAlignment="1">
      <alignment vertical="center"/>
    </xf>
    <xf numFmtId="170" fontId="29" fillId="4" borderId="0" xfId="0" applyNumberFormat="1" applyFont="1" applyFill="1" applyAlignment="1">
      <alignment vertical="center"/>
    </xf>
    <xf numFmtId="170" fontId="30" fillId="4" borderId="0" xfId="0" applyNumberFormat="1" applyFont="1" applyFill="1" applyAlignment="1">
      <alignment vertical="center"/>
    </xf>
    <xf numFmtId="170" fontId="109" fillId="4" borderId="0" xfId="0" applyNumberFormat="1" applyFont="1" applyFill="1" applyAlignment="1">
      <alignment vertical="center"/>
    </xf>
    <xf numFmtId="170" fontId="42" fillId="0" borderId="0" xfId="0" applyNumberFormat="1" applyFont="1" applyAlignment="1">
      <alignment vertical="center"/>
    </xf>
    <xf numFmtId="170" fontId="0" fillId="0" borderId="0" xfId="0" applyNumberFormat="1" applyAlignment="1">
      <alignment vertical="center"/>
    </xf>
    <xf numFmtId="170" fontId="56" fillId="0" borderId="0" xfId="0" applyNumberFormat="1" applyFont="1" applyAlignment="1">
      <alignment vertical="center"/>
    </xf>
    <xf numFmtId="170" fontId="50" fillId="0" borderId="0" xfId="0" applyNumberFormat="1" applyFont="1" applyAlignment="1">
      <alignment vertical="center"/>
    </xf>
    <xf numFmtId="170" fontId="30" fillId="11" borderId="0" xfId="0" applyNumberFormat="1" applyFont="1" applyFill="1" applyAlignment="1">
      <alignment vertical="center"/>
    </xf>
    <xf numFmtId="170" fontId="76" fillId="0" borderId="0" xfId="0" applyNumberFormat="1" applyFont="1" applyAlignment="1">
      <alignment vertical="center"/>
    </xf>
    <xf numFmtId="170" fontId="50" fillId="25" borderId="0" xfId="0" applyNumberFormat="1" applyFont="1" applyFill="1" applyAlignment="1">
      <alignment vertical="center"/>
    </xf>
    <xf numFmtId="170" fontId="76" fillId="25" borderId="0" xfId="2" applyNumberFormat="1" applyFont="1" applyFill="1" applyAlignment="1">
      <alignment vertical="center"/>
    </xf>
    <xf numFmtId="170" fontId="76" fillId="4" borderId="0" xfId="2" applyNumberFormat="1" applyFont="1" applyFill="1" applyAlignment="1">
      <alignment vertical="center"/>
    </xf>
    <xf numFmtId="170" fontId="15" fillId="25" borderId="0" xfId="0" applyNumberFormat="1" applyFont="1" applyFill="1" applyAlignment="1">
      <alignment vertical="center"/>
    </xf>
    <xf numFmtId="170" fontId="31" fillId="0" borderId="0" xfId="0" applyNumberFormat="1" applyFont="1" applyAlignment="1">
      <alignment vertical="center"/>
    </xf>
    <xf numFmtId="170" fontId="67" fillId="4" borderId="0" xfId="0" applyNumberFormat="1" applyFont="1" applyFill="1" applyAlignment="1">
      <alignment vertical="center"/>
    </xf>
    <xf numFmtId="170" fontId="31" fillId="4" borderId="0" xfId="0" applyNumberFormat="1" applyFont="1" applyFill="1" applyAlignment="1">
      <alignment vertical="center"/>
    </xf>
    <xf numFmtId="170" fontId="67" fillId="20" borderId="0" xfId="0" applyNumberFormat="1" applyFont="1" applyFill="1" applyAlignment="1">
      <alignment vertical="center"/>
    </xf>
    <xf numFmtId="170" fontId="92" fillId="4" borderId="0" xfId="0" applyNumberFormat="1" applyFont="1" applyFill="1" applyAlignment="1">
      <alignment vertical="center"/>
    </xf>
    <xf numFmtId="170" fontId="35" fillId="25" borderId="0" xfId="0" applyNumberFormat="1" applyFont="1" applyFill="1" applyAlignment="1">
      <alignment vertical="center"/>
    </xf>
    <xf numFmtId="170" fontId="35" fillId="20" borderId="0" xfId="0" applyNumberFormat="1" applyFont="1" applyFill="1" applyAlignment="1">
      <alignment vertical="center"/>
    </xf>
    <xf numFmtId="170" fontId="109" fillId="4" borderId="0" xfId="2" applyNumberFormat="1" applyFont="1" applyFill="1" applyAlignment="1">
      <alignment vertical="center"/>
    </xf>
    <xf numFmtId="170" fontId="78" fillId="4" borderId="0" xfId="2" applyNumberFormat="1" applyFont="1" applyFill="1" applyAlignment="1">
      <alignment vertical="center"/>
    </xf>
    <xf numFmtId="170" fontId="15" fillId="20" borderId="0" xfId="2" applyNumberFormat="1" applyFont="1" applyFill="1" applyAlignment="1">
      <alignment vertical="center"/>
    </xf>
    <xf numFmtId="170" fontId="50" fillId="4" borderId="0" xfId="2" applyNumberFormat="1" applyFont="1" applyFill="1" applyAlignment="1">
      <alignment vertical="center"/>
    </xf>
    <xf numFmtId="43" fontId="67" fillId="0" borderId="0" xfId="0" applyNumberFormat="1" applyFont="1" applyAlignment="1">
      <alignment vertical="center"/>
    </xf>
    <xf numFmtId="170" fontId="76" fillId="0" borderId="0" xfId="2" applyNumberFormat="1" applyFont="1" applyAlignment="1">
      <alignment vertical="center"/>
    </xf>
    <xf numFmtId="170" fontId="128" fillId="0" borderId="0" xfId="0" applyNumberFormat="1" applyFont="1" applyAlignment="1">
      <alignment vertical="center"/>
    </xf>
    <xf numFmtId="170" fontId="128" fillId="4" borderId="0" xfId="0" applyNumberFormat="1" applyFont="1" applyFill="1" applyAlignment="1">
      <alignment vertical="center"/>
    </xf>
    <xf numFmtId="170" fontId="129" fillId="4" borderId="0" xfId="0" applyNumberFormat="1" applyFont="1" applyFill="1" applyAlignment="1">
      <alignment vertical="center"/>
    </xf>
    <xf numFmtId="170" fontId="92" fillId="0" borderId="0" xfId="0" applyNumberFormat="1" applyFont="1" applyAlignment="1">
      <alignment vertical="center"/>
    </xf>
    <xf numFmtId="170" fontId="76" fillId="20" borderId="0" xfId="0" applyNumberFormat="1" applyFont="1" applyFill="1" applyAlignment="1">
      <alignment vertical="center"/>
    </xf>
    <xf numFmtId="170" fontId="23" fillId="16" borderId="0" xfId="0" applyNumberFormat="1" applyFont="1" applyFill="1" applyAlignment="1">
      <alignment vertical="center"/>
    </xf>
    <xf numFmtId="168" fontId="29" fillId="0" borderId="18" xfId="2" applyFont="1" applyBorder="1" applyAlignment="1">
      <alignment vertical="center"/>
    </xf>
    <xf numFmtId="168" fontId="30" fillId="0" borderId="18" xfId="2" applyFont="1" applyBorder="1" applyAlignment="1">
      <alignment vertical="center"/>
    </xf>
    <xf numFmtId="49" fontId="101" fillId="0" borderId="24" xfId="0" applyNumberFormat="1" applyFont="1" applyBorder="1" applyAlignment="1">
      <alignment vertical="center"/>
    </xf>
    <xf numFmtId="49" fontId="52" fillId="0" borderId="17" xfId="0" applyNumberFormat="1" applyFont="1" applyBorder="1" applyAlignment="1">
      <alignment vertical="center"/>
    </xf>
    <xf numFmtId="49" fontId="30" fillId="0" borderId="27" xfId="0" applyNumberFormat="1" applyFont="1" applyBorder="1" applyAlignment="1">
      <alignment vertical="center"/>
    </xf>
    <xf numFmtId="49" fontId="30" fillId="0" borderId="30" xfId="0" applyNumberFormat="1" applyFont="1" applyBorder="1" applyAlignment="1">
      <alignment vertical="center"/>
    </xf>
    <xf numFmtId="49" fontId="30" fillId="0" borderId="24" xfId="0" quotePrefix="1" applyNumberFormat="1" applyFont="1" applyBorder="1" applyAlignment="1">
      <alignment vertical="center"/>
    </xf>
    <xf numFmtId="49" fontId="30" fillId="0" borderId="63" xfId="0" applyNumberFormat="1" applyFont="1" applyBorder="1" applyAlignment="1">
      <alignment vertical="center"/>
    </xf>
    <xf numFmtId="49" fontId="30" fillId="0" borderId="11" xfId="0" applyNumberFormat="1" applyFont="1" applyBorder="1" applyAlignment="1">
      <alignment vertical="center"/>
    </xf>
    <xf numFmtId="49" fontId="30" fillId="0" borderId="63" xfId="0" applyNumberFormat="1" applyFont="1" applyBorder="1" applyAlignment="1">
      <alignment horizontal="center" vertical="center"/>
    </xf>
    <xf numFmtId="49" fontId="30" fillId="0" borderId="42" xfId="0" quotePrefix="1" applyNumberFormat="1" applyFont="1" applyBorder="1" applyAlignment="1">
      <alignment vertical="center"/>
    </xf>
    <xf numFmtId="49" fontId="30" fillId="0" borderId="44" xfId="0" applyNumberFormat="1" applyFont="1" applyBorder="1" applyAlignment="1">
      <alignment vertical="center"/>
    </xf>
    <xf numFmtId="0" fontId="30" fillId="0" borderId="156" xfId="0" applyFont="1" applyBorder="1" applyAlignment="1">
      <alignment vertical="center"/>
    </xf>
    <xf numFmtId="49" fontId="30" fillId="0" borderId="45" xfId="0" applyNumberFormat="1" applyFont="1" applyBorder="1" applyAlignment="1">
      <alignment vertical="center"/>
    </xf>
    <xf numFmtId="49" fontId="30" fillId="0" borderId="47" xfId="0" applyNumberFormat="1" applyFont="1" applyBorder="1" applyAlignment="1">
      <alignment vertical="center"/>
    </xf>
    <xf numFmtId="0" fontId="30" fillId="0" borderId="157" xfId="0" applyFont="1" applyBorder="1" applyAlignment="1">
      <alignment vertical="center"/>
    </xf>
    <xf numFmtId="168" fontId="29" fillId="0" borderId="17" xfId="2" applyFont="1" applyBorder="1" applyAlignment="1">
      <alignment vertical="center"/>
    </xf>
    <xf numFmtId="168" fontId="29" fillId="0" borderId="20" xfId="2" applyFont="1" applyBorder="1" applyAlignment="1">
      <alignment vertical="center"/>
    </xf>
    <xf numFmtId="168" fontId="30" fillId="0" borderId="53" xfId="2" applyFont="1" applyBorder="1" applyAlignment="1">
      <alignment vertical="center"/>
    </xf>
    <xf numFmtId="0" fontId="29" fillId="0" borderId="16" xfId="0" applyFont="1" applyBorder="1" applyAlignment="1">
      <alignment vertical="center"/>
    </xf>
    <xf numFmtId="0" fontId="29" fillId="0" borderId="63" xfId="0" applyFont="1" applyBorder="1" applyAlignment="1">
      <alignment horizontal="center" vertical="center"/>
    </xf>
    <xf numFmtId="0" fontId="29" fillId="0" borderId="11" xfId="0" applyFont="1" applyBorder="1" applyAlignment="1">
      <alignment horizontal="center" vertical="center"/>
    </xf>
    <xf numFmtId="0" fontId="29" fillId="0" borderId="29" xfId="0" applyFont="1" applyBorder="1" applyAlignment="1">
      <alignment horizontal="center" vertical="center"/>
    </xf>
    <xf numFmtId="0" fontId="102" fillId="0" borderId="17" xfId="0" applyFont="1" applyBorder="1" applyAlignment="1">
      <alignment vertical="center"/>
    </xf>
    <xf numFmtId="165" fontId="29" fillId="0" borderId="26" xfId="1" applyFont="1" applyBorder="1" applyAlignment="1">
      <alignment vertical="center"/>
    </xf>
    <xf numFmtId="0" fontId="104" fillId="0" borderId="17" xfId="0" applyFont="1" applyBorder="1" applyAlignment="1">
      <alignment vertical="center"/>
    </xf>
    <xf numFmtId="0" fontId="105" fillId="0" borderId="44" xfId="0" applyFont="1" applyBorder="1" applyAlignment="1">
      <alignment vertical="center"/>
    </xf>
    <xf numFmtId="0" fontId="29" fillId="0" borderId="63" xfId="0" quotePrefix="1" applyFont="1" applyBorder="1" applyAlignment="1">
      <alignment vertical="center"/>
    </xf>
    <xf numFmtId="0" fontId="105" fillId="0" borderId="34" xfId="0" applyFont="1" applyBorder="1" applyAlignment="1">
      <alignment vertical="center"/>
    </xf>
    <xf numFmtId="0" fontId="105" fillId="0" borderId="17" xfId="0" applyFont="1" applyBorder="1" applyAlignment="1">
      <alignment vertical="center"/>
    </xf>
    <xf numFmtId="0" fontId="29" fillId="0" borderId="29" xfId="0" applyFont="1" applyBorder="1" applyAlignment="1">
      <alignment vertical="center"/>
    </xf>
    <xf numFmtId="0" fontId="17" fillId="0" borderId="17" xfId="0" applyFont="1" applyBorder="1" applyAlignment="1">
      <alignment vertical="center"/>
    </xf>
    <xf numFmtId="0" fontId="105" fillId="0" borderId="17" xfId="0" quotePrefix="1" applyFont="1" applyBorder="1" applyAlignment="1">
      <alignment vertical="center"/>
    </xf>
    <xf numFmtId="0" fontId="30" fillId="0" borderId="63" xfId="0" applyFont="1" applyBorder="1" applyAlignment="1">
      <alignment vertical="center"/>
    </xf>
    <xf numFmtId="0" fontId="17" fillId="0" borderId="11" xfId="0" applyFont="1" applyBorder="1" applyAlignment="1">
      <alignment vertical="center"/>
    </xf>
    <xf numFmtId="0" fontId="105" fillId="0" borderId="11" xfId="0" applyFont="1" applyBorder="1" applyAlignment="1">
      <alignment vertical="center"/>
    </xf>
    <xf numFmtId="165" fontId="30" fillId="0" borderId="30" xfId="0" applyNumberFormat="1" applyFont="1" applyBorder="1" applyAlignment="1">
      <alignment vertical="center"/>
    </xf>
    <xf numFmtId="165" fontId="29" fillId="0" borderId="17" xfId="0" applyNumberFormat="1" applyFont="1" applyBorder="1" applyAlignment="1">
      <alignment vertical="center"/>
    </xf>
    <xf numFmtId="49" fontId="29" fillId="0" borderId="24" xfId="0" applyNumberFormat="1" applyFont="1" applyBorder="1" applyAlignment="1">
      <alignment horizontal="center" vertical="center"/>
    </xf>
    <xf numFmtId="49" fontId="29" fillId="0" borderId="17" xfId="0" applyNumberFormat="1" applyFont="1" applyBorder="1" applyAlignment="1">
      <alignment horizontal="center" vertical="center"/>
    </xf>
    <xf numFmtId="0" fontId="60" fillId="0" borderId="24" xfId="0" applyFont="1" applyBorder="1" applyAlignment="1">
      <alignment vertical="center"/>
    </xf>
    <xf numFmtId="49" fontId="106" fillId="0" borderId="17" xfId="0" applyNumberFormat="1" applyFont="1" applyBorder="1" applyAlignment="1">
      <alignment vertical="center"/>
    </xf>
    <xf numFmtId="49" fontId="53" fillId="0" borderId="24" xfId="0" applyNumberFormat="1" applyFont="1" applyBorder="1" applyAlignment="1">
      <alignment vertical="center"/>
    </xf>
    <xf numFmtId="165" fontId="29" fillId="0" borderId="12" xfId="1" applyFont="1" applyBorder="1" applyAlignment="1">
      <alignment vertical="center"/>
    </xf>
    <xf numFmtId="49" fontId="15" fillId="0" borderId="161" xfId="0" applyNumberFormat="1" applyFont="1" applyBorder="1" applyAlignment="1">
      <alignment horizontal="center"/>
    </xf>
    <xf numFmtId="49" fontId="16" fillId="0" borderId="109" xfId="0" applyNumberFormat="1" applyFont="1" applyBorder="1" applyAlignment="1">
      <alignment horizontal="center"/>
    </xf>
    <xf numFmtId="49" fontId="15" fillId="0" borderId="138" xfId="0" applyNumberFormat="1" applyFont="1" applyBorder="1" applyAlignment="1">
      <alignment horizontal="center"/>
    </xf>
    <xf numFmtId="49" fontId="16" fillId="0" borderId="138" xfId="0" applyNumberFormat="1" applyFont="1" applyBorder="1" applyAlignment="1">
      <alignment horizontal="center"/>
    </xf>
    <xf numFmtId="49" fontId="16" fillId="0" borderId="34" xfId="0" applyNumberFormat="1" applyFont="1" applyBorder="1"/>
    <xf numFmtId="0" fontId="16" fillId="0" borderId="34" xfId="0" applyFont="1" applyBorder="1"/>
    <xf numFmtId="49" fontId="148" fillId="0" borderId="16" xfId="0" applyNumberFormat="1" applyFont="1" applyBorder="1" applyAlignment="1">
      <alignment horizontal="center" vertical="center"/>
    </xf>
    <xf numFmtId="49" fontId="148" fillId="0" borderId="24" xfId="0" applyNumberFormat="1" applyFont="1" applyBorder="1" applyAlignment="1">
      <alignment vertical="center"/>
    </xf>
    <xf numFmtId="49" fontId="149" fillId="0" borderId="16" xfId="0" applyNumberFormat="1" applyFont="1" applyBorder="1" applyAlignment="1">
      <alignment horizontal="center" vertical="center"/>
    </xf>
    <xf numFmtId="49" fontId="149" fillId="0" borderId="16" xfId="0" quotePrefix="1" applyNumberFormat="1" applyFont="1" applyBorder="1" applyAlignment="1">
      <alignment horizontal="center" vertical="center"/>
    </xf>
    <xf numFmtId="49" fontId="149" fillId="0" borderId="24" xfId="0" applyNumberFormat="1" applyFont="1" applyBorder="1" applyAlignment="1">
      <alignment vertical="center"/>
    </xf>
    <xf numFmtId="49" fontId="149" fillId="0" borderId="17" xfId="0" applyNumberFormat="1" applyFont="1" applyBorder="1" applyAlignment="1">
      <alignment vertical="center"/>
    </xf>
    <xf numFmtId="0" fontId="149" fillId="0" borderId="17" xfId="0" applyFont="1" applyBorder="1" applyAlignment="1">
      <alignment vertical="center"/>
    </xf>
    <xf numFmtId="0" fontId="149" fillId="0" borderId="18" xfId="0" applyFont="1" applyBorder="1" applyAlignment="1">
      <alignment vertical="center"/>
    </xf>
    <xf numFmtId="0" fontId="149" fillId="0" borderId="149" xfId="1" applyNumberFormat="1" applyFont="1" applyBorder="1" applyAlignment="1">
      <alignment horizontal="left" vertical="center"/>
    </xf>
    <xf numFmtId="176" fontId="150" fillId="0" borderId="0" xfId="1" applyNumberFormat="1" applyFont="1" applyAlignment="1">
      <alignment vertical="center"/>
    </xf>
    <xf numFmtId="0" fontId="149" fillId="0" borderId="0" xfId="0" applyFont="1" applyAlignment="1">
      <alignment vertical="center"/>
    </xf>
    <xf numFmtId="49" fontId="151" fillId="0" borderId="24" xfId="0" applyNumberFormat="1" applyFont="1" applyBorder="1" applyAlignment="1">
      <alignment vertical="center"/>
    </xf>
    <xf numFmtId="49" fontId="152" fillId="0" borderId="17" xfId="0" applyNumberFormat="1" applyFont="1" applyBorder="1" applyAlignment="1">
      <alignment vertical="center"/>
    </xf>
    <xf numFmtId="0" fontId="152" fillId="0" borderId="17" xfId="0" applyFont="1" applyBorder="1" applyAlignment="1">
      <alignment vertical="center"/>
    </xf>
    <xf numFmtId="170" fontId="153" fillId="0" borderId="0" xfId="2" applyNumberFormat="1" applyFont="1" applyAlignment="1">
      <alignment horizontal="center" vertical="center"/>
    </xf>
    <xf numFmtId="170" fontId="153" fillId="0" borderId="0" xfId="0" applyNumberFormat="1" applyFont="1" applyAlignment="1">
      <alignment horizontal="center" vertical="center"/>
    </xf>
    <xf numFmtId="170" fontId="154" fillId="0" borderId="0" xfId="0" applyNumberFormat="1" applyFont="1" applyAlignment="1">
      <alignment horizontal="center" vertical="center"/>
    </xf>
    <xf numFmtId="0" fontId="155" fillId="0" borderId="0" xfId="0" applyFont="1" applyAlignment="1">
      <alignment vertical="center"/>
    </xf>
    <xf numFmtId="0" fontId="153" fillId="0" borderId="0" xfId="0" applyFont="1" applyAlignment="1">
      <alignment vertical="center"/>
    </xf>
    <xf numFmtId="0" fontId="153" fillId="0" borderId="0" xfId="0" applyFont="1" applyAlignment="1">
      <alignment horizontal="center" vertical="center"/>
    </xf>
    <xf numFmtId="49" fontId="30" fillId="49" borderId="16" xfId="0" applyNumberFormat="1" applyFont="1" applyFill="1" applyBorder="1" applyAlignment="1">
      <alignment horizontal="center" vertical="center"/>
    </xf>
    <xf numFmtId="0" fontId="30" fillId="49" borderId="24" xfId="0" applyFont="1" applyFill="1" applyBorder="1" applyAlignment="1">
      <alignment vertical="center"/>
    </xf>
    <xf numFmtId="0" fontId="30" fillId="49" borderId="17" xfId="0" applyFont="1" applyFill="1" applyBorder="1" applyAlignment="1">
      <alignment vertical="center"/>
    </xf>
    <xf numFmtId="0" fontId="30" fillId="49" borderId="18" xfId="0" applyFont="1" applyFill="1" applyBorder="1" applyAlignment="1">
      <alignment vertical="center"/>
    </xf>
    <xf numFmtId="0" fontId="29" fillId="49" borderId="16" xfId="1" applyNumberFormat="1" applyFont="1" applyFill="1" applyBorder="1" applyAlignment="1">
      <alignment horizontal="left" vertical="center"/>
    </xf>
    <xf numFmtId="176" fontId="139" fillId="49" borderId="0" xfId="1" applyNumberFormat="1" applyFill="1" applyAlignment="1">
      <alignment vertical="center"/>
    </xf>
    <xf numFmtId="0" fontId="29" fillId="49" borderId="0" xfId="0" applyFont="1" applyFill="1" applyAlignment="1">
      <alignment vertical="center"/>
    </xf>
    <xf numFmtId="49" fontId="30" fillId="49" borderId="24" xfId="0" applyNumberFormat="1" applyFont="1" applyFill="1" applyBorder="1" applyAlignment="1">
      <alignment vertical="center"/>
    </xf>
    <xf numFmtId="49" fontId="30" fillId="49" borderId="17" xfId="0" applyNumberFormat="1" applyFont="1" applyFill="1" applyBorder="1" applyAlignment="1">
      <alignment vertical="center"/>
    </xf>
    <xf numFmtId="0" fontId="29" fillId="49" borderId="149" xfId="1" applyNumberFormat="1" applyFont="1" applyFill="1" applyBorder="1" applyAlignment="1">
      <alignment horizontal="left" vertical="center"/>
    </xf>
    <xf numFmtId="0" fontId="29" fillId="57" borderId="149" xfId="1" applyNumberFormat="1" applyFont="1" applyFill="1" applyBorder="1" applyAlignment="1">
      <alignment horizontal="left" vertical="center"/>
    </xf>
    <xf numFmtId="176" fontId="139" fillId="57" borderId="0" xfId="1" applyNumberFormat="1" applyFill="1" applyAlignment="1">
      <alignment vertical="center"/>
    </xf>
    <xf numFmtId="0" fontId="29" fillId="57" borderId="0" xfId="0" applyFont="1" applyFill="1" applyAlignment="1">
      <alignment vertical="center"/>
    </xf>
    <xf numFmtId="0" fontId="146" fillId="57" borderId="149" xfId="1" applyNumberFormat="1" applyFont="1" applyFill="1" applyBorder="1" applyAlignment="1">
      <alignment horizontal="left" vertical="center"/>
    </xf>
    <xf numFmtId="176" fontId="147" fillId="57" borderId="0" xfId="1" applyNumberFormat="1" applyFont="1" applyFill="1" applyAlignment="1">
      <alignment vertical="center"/>
    </xf>
    <xf numFmtId="0" fontId="146" fillId="57" borderId="0" xfId="0" applyFont="1" applyFill="1" applyAlignment="1">
      <alignment vertical="center"/>
    </xf>
    <xf numFmtId="49" fontId="35" fillId="57" borderId="125" xfId="0" applyNumberFormat="1" applyFont="1" applyFill="1" applyBorder="1" applyAlignment="1">
      <alignment horizontal="center" vertical="center"/>
    </xf>
    <xf numFmtId="49" fontId="35" fillId="57" borderId="113" xfId="0" applyNumberFormat="1" applyFont="1" applyFill="1" applyBorder="1" applyAlignment="1">
      <alignment vertical="center"/>
    </xf>
    <xf numFmtId="49" fontId="35" fillId="57" borderId="66" xfId="0" applyNumberFormat="1" applyFont="1" applyFill="1" applyBorder="1" applyAlignment="1">
      <alignment vertical="center"/>
    </xf>
    <xf numFmtId="0" fontId="35" fillId="57" borderId="66" xfId="0" applyFont="1" applyFill="1" applyBorder="1" applyAlignment="1">
      <alignment vertical="center"/>
    </xf>
    <xf numFmtId="168" fontId="35" fillId="57" borderId="128" xfId="2" applyFont="1" applyFill="1" applyBorder="1" applyAlignment="1">
      <alignment vertical="center"/>
    </xf>
    <xf numFmtId="0" fontId="99" fillId="57" borderId="153" xfId="1" applyNumberFormat="1" applyFont="1" applyFill="1" applyBorder="1" applyAlignment="1">
      <alignment horizontal="left" vertical="center"/>
    </xf>
    <xf numFmtId="165" fontId="57" fillId="57" borderId="0" xfId="0" applyNumberFormat="1" applyFont="1" applyFill="1" applyAlignment="1">
      <alignment vertical="center"/>
    </xf>
    <xf numFmtId="0" fontId="57" fillId="57" borderId="0" xfId="0" applyFont="1" applyFill="1" applyAlignment="1">
      <alignment vertical="center"/>
    </xf>
    <xf numFmtId="0" fontId="30" fillId="57" borderId="0" xfId="0" applyFont="1" applyFill="1" applyAlignment="1">
      <alignment vertical="center"/>
    </xf>
    <xf numFmtId="49" fontId="30" fillId="57" borderId="21" xfId="0" applyNumberFormat="1" applyFont="1" applyFill="1" applyBorder="1" applyAlignment="1">
      <alignment horizontal="center" vertical="center"/>
    </xf>
    <xf numFmtId="0" fontId="30" fillId="57" borderId="11" xfId="0" applyFont="1" applyFill="1" applyBorder="1" applyAlignment="1">
      <alignment vertical="center"/>
    </xf>
    <xf numFmtId="0" fontId="148" fillId="0" borderId="0" xfId="0" applyFont="1" applyAlignment="1">
      <alignment vertical="center"/>
    </xf>
    <xf numFmtId="49" fontId="148" fillId="0" borderId="17" xfId="0" applyNumberFormat="1" applyFont="1" applyBorder="1" applyAlignment="1">
      <alignment vertical="center"/>
    </xf>
    <xf numFmtId="0" fontId="148" fillId="0" borderId="149" xfId="1" applyNumberFormat="1" applyFont="1" applyBorder="1" applyAlignment="1">
      <alignment horizontal="left" vertical="center"/>
    </xf>
    <xf numFmtId="176" fontId="157" fillId="0" borderId="0" xfId="1" applyNumberFormat="1" applyFont="1" applyAlignment="1">
      <alignment vertical="center"/>
    </xf>
    <xf numFmtId="165" fontId="149" fillId="0" borderId="16" xfId="1" applyFont="1" applyBorder="1" applyAlignment="1">
      <alignment vertical="center"/>
    </xf>
    <xf numFmtId="49" fontId="158" fillId="0" borderId="16" xfId="0" applyNumberFormat="1" applyFont="1" applyBorder="1" applyAlignment="1">
      <alignment horizontal="center" vertical="center"/>
    </xf>
    <xf numFmtId="49" fontId="158" fillId="0" borderId="24" xfId="0" applyNumberFormat="1" applyFont="1" applyBorder="1" applyAlignment="1">
      <alignment vertical="center"/>
    </xf>
    <xf numFmtId="49" fontId="158" fillId="0" borderId="17" xfId="0" applyNumberFormat="1" applyFont="1" applyBorder="1" applyAlignment="1">
      <alignment vertical="center"/>
    </xf>
    <xf numFmtId="0" fontId="158" fillId="0" borderId="17" xfId="0" applyFont="1" applyBorder="1" applyAlignment="1">
      <alignment vertical="center"/>
    </xf>
    <xf numFmtId="0" fontId="158" fillId="0" borderId="18" xfId="0" applyFont="1" applyBorder="1" applyAlignment="1">
      <alignment vertical="center"/>
    </xf>
    <xf numFmtId="0" fontId="159" fillId="0" borderId="149" xfId="1" applyNumberFormat="1" applyFont="1" applyBorder="1" applyAlignment="1">
      <alignment horizontal="left" vertical="center"/>
    </xf>
    <xf numFmtId="176" fontId="160" fillId="0" borderId="0" xfId="1" applyNumberFormat="1" applyFont="1" applyAlignment="1">
      <alignment vertical="center"/>
    </xf>
    <xf numFmtId="0" fontId="159" fillId="0" borderId="0" xfId="0" applyFont="1" applyAlignment="1">
      <alignment vertical="center"/>
    </xf>
    <xf numFmtId="0" fontId="159" fillId="0" borderId="17" xfId="0" applyFont="1" applyBorder="1" applyAlignment="1">
      <alignment vertical="center"/>
    </xf>
    <xf numFmtId="0" fontId="159" fillId="0" borderId="18" xfId="0" applyFont="1" applyBorder="1" applyAlignment="1">
      <alignment vertical="center"/>
    </xf>
    <xf numFmtId="49" fontId="158" fillId="0" borderId="16" xfId="0" quotePrefix="1" applyNumberFormat="1" applyFont="1" applyBorder="1" applyAlignment="1">
      <alignment horizontal="center" vertical="center"/>
    </xf>
    <xf numFmtId="0" fontId="158" fillId="0" borderId="0" xfId="0" applyFont="1" applyAlignment="1">
      <alignment vertical="center"/>
    </xf>
    <xf numFmtId="0" fontId="158" fillId="0" borderId="149" xfId="1" applyNumberFormat="1" applyFont="1" applyBorder="1" applyAlignment="1">
      <alignment horizontal="left" vertical="center"/>
    </xf>
    <xf numFmtId="176" fontId="162" fillId="0" borderId="0" xfId="1" applyNumberFormat="1" applyFont="1" applyAlignment="1">
      <alignment vertical="center"/>
    </xf>
    <xf numFmtId="49" fontId="163" fillId="0" borderId="16" xfId="0" applyNumberFormat="1" applyFont="1" applyBorder="1" applyAlignment="1">
      <alignment horizontal="center" vertical="center"/>
    </xf>
    <xf numFmtId="0" fontId="164" fillId="0" borderId="17" xfId="0" applyFont="1" applyBorder="1" applyAlignment="1">
      <alignment vertical="center"/>
    </xf>
    <xf numFmtId="165" fontId="163" fillId="0" borderId="16" xfId="1" applyFont="1" applyBorder="1" applyAlignment="1">
      <alignment vertical="center"/>
    </xf>
    <xf numFmtId="165" fontId="164" fillId="0" borderId="16" xfId="1" applyFont="1" applyBorder="1" applyAlignment="1">
      <alignment vertical="center"/>
    </xf>
    <xf numFmtId="0" fontId="164" fillId="0" borderId="149" xfId="1" applyNumberFormat="1" applyFont="1" applyBorder="1" applyAlignment="1">
      <alignment horizontal="left" vertical="center"/>
    </xf>
    <xf numFmtId="176" fontId="165" fillId="0" borderId="0" xfId="1" applyNumberFormat="1" applyFont="1" applyAlignment="1">
      <alignment vertical="center"/>
    </xf>
    <xf numFmtId="0" fontId="166" fillId="0" borderId="0" xfId="0" applyFont="1" applyAlignment="1">
      <alignment vertical="center"/>
    </xf>
    <xf numFmtId="0" fontId="163" fillId="0" borderId="17" xfId="0" applyFont="1" applyBorder="1" applyAlignment="1">
      <alignment vertical="center"/>
    </xf>
    <xf numFmtId="0" fontId="164" fillId="0" borderId="0" xfId="0" applyFont="1" applyAlignment="1">
      <alignment vertical="center"/>
    </xf>
    <xf numFmtId="49" fontId="164" fillId="0" borderId="16" xfId="0" applyNumberFormat="1" applyFont="1" applyBorder="1" applyAlignment="1">
      <alignment horizontal="center" vertical="center"/>
    </xf>
    <xf numFmtId="49" fontId="148" fillId="57" borderId="35" xfId="0" applyNumberFormat="1" applyFont="1" applyFill="1" applyBorder="1" applyAlignment="1">
      <alignment horizontal="center" vertical="center"/>
    </xf>
    <xf numFmtId="49" fontId="148" fillId="57" borderId="67" xfId="0" applyNumberFormat="1" applyFont="1" applyFill="1" applyBorder="1" applyAlignment="1">
      <alignment vertical="center"/>
    </xf>
    <xf numFmtId="49" fontId="148" fillId="57" borderId="50" xfId="0" applyNumberFormat="1" applyFont="1" applyFill="1" applyBorder="1" applyAlignment="1">
      <alignment vertical="center"/>
    </xf>
    <xf numFmtId="0" fontId="148" fillId="57" borderId="50" xfId="0" applyFont="1" applyFill="1" applyBorder="1" applyAlignment="1">
      <alignment vertical="center"/>
    </xf>
    <xf numFmtId="0" fontId="148" fillId="57" borderId="35" xfId="1" applyNumberFormat="1" applyFont="1" applyFill="1" applyBorder="1" applyAlignment="1">
      <alignment horizontal="left" vertical="center"/>
    </xf>
    <xf numFmtId="176" fontId="150" fillId="57" borderId="0" xfId="1" applyNumberFormat="1" applyFont="1" applyFill="1" applyAlignment="1">
      <alignment vertical="center"/>
    </xf>
    <xf numFmtId="0" fontId="149" fillId="57" borderId="0" xfId="0" applyFont="1" applyFill="1" applyAlignment="1">
      <alignment vertical="center"/>
    </xf>
    <xf numFmtId="0" fontId="169" fillId="0" borderId="0" xfId="0" applyFont="1" applyAlignment="1">
      <alignment vertical="center"/>
    </xf>
    <xf numFmtId="0" fontId="171" fillId="0" borderId="0" xfId="0" applyFont="1" applyAlignment="1">
      <alignment vertical="center"/>
    </xf>
    <xf numFmtId="0" fontId="163" fillId="0" borderId="149" xfId="1" applyNumberFormat="1" applyFont="1" applyBorder="1" applyAlignment="1">
      <alignment horizontal="left" vertical="center"/>
    </xf>
    <xf numFmtId="0" fontId="163" fillId="0" borderId="24" xfId="0" applyFont="1" applyBorder="1" applyAlignment="1">
      <alignment vertical="center"/>
    </xf>
    <xf numFmtId="41" fontId="163" fillId="0" borderId="118" xfId="0" applyNumberFormat="1" applyFont="1" applyBorder="1" applyAlignment="1">
      <alignment vertical="center"/>
    </xf>
    <xf numFmtId="0" fontId="148" fillId="0" borderId="17" xfId="0" applyFont="1" applyBorder="1" applyAlignment="1">
      <alignment vertical="center"/>
    </xf>
    <xf numFmtId="176" fontId="165" fillId="23" borderId="0" xfId="1" applyNumberFormat="1" applyFont="1" applyFill="1" applyAlignment="1">
      <alignment vertical="center"/>
    </xf>
    <xf numFmtId="0" fontId="173" fillId="23" borderId="0" xfId="0" applyFont="1" applyFill="1" applyAlignment="1">
      <alignment vertical="center"/>
    </xf>
    <xf numFmtId="176" fontId="165" fillId="49" borderId="0" xfId="1" applyNumberFormat="1" applyFont="1" applyFill="1" applyAlignment="1">
      <alignment vertical="center"/>
    </xf>
    <xf numFmtId="0" fontId="163" fillId="49" borderId="0" xfId="0" applyFont="1" applyFill="1" applyAlignment="1">
      <alignment vertical="center"/>
    </xf>
    <xf numFmtId="49" fontId="163" fillId="49" borderId="35" xfId="0" applyNumberFormat="1" applyFont="1" applyFill="1" applyBorder="1" applyAlignment="1">
      <alignment horizontal="center" vertical="center"/>
    </xf>
    <xf numFmtId="49" fontId="163" fillId="49" borderId="67" xfId="0" applyNumberFormat="1" applyFont="1" applyFill="1" applyBorder="1" applyAlignment="1">
      <alignment vertical="center"/>
    </xf>
    <xf numFmtId="49" fontId="163" fillId="49" borderId="50" xfId="0" applyNumberFormat="1" applyFont="1" applyFill="1" applyBorder="1" applyAlignment="1">
      <alignment vertical="center"/>
    </xf>
    <xf numFmtId="0" fontId="163" fillId="49" borderId="50" xfId="0" applyFont="1" applyFill="1" applyBorder="1" applyAlignment="1">
      <alignment vertical="center"/>
    </xf>
    <xf numFmtId="0" fontId="163" fillId="49" borderId="35" xfId="1" applyNumberFormat="1" applyFont="1" applyFill="1" applyBorder="1" applyAlignment="1">
      <alignment horizontal="left" vertical="center"/>
    </xf>
    <xf numFmtId="0" fontId="164" fillId="49" borderId="0" xfId="0" applyFont="1" applyFill="1" applyAlignment="1">
      <alignment vertical="center"/>
    </xf>
    <xf numFmtId="49" fontId="170" fillId="0" borderId="35" xfId="0" applyNumberFormat="1" applyFont="1" applyBorder="1" applyAlignment="1">
      <alignment horizontal="center"/>
    </xf>
    <xf numFmtId="49" fontId="175" fillId="0" borderId="35" xfId="0" applyNumberFormat="1" applyFont="1" applyBorder="1" applyAlignment="1">
      <alignment horizontal="center"/>
    </xf>
    <xf numFmtId="0" fontId="170" fillId="0" borderId="50" xfId="0" applyFont="1" applyBorder="1"/>
    <xf numFmtId="0" fontId="175" fillId="0" borderId="50" xfId="0" applyFont="1" applyBorder="1"/>
    <xf numFmtId="0" fontId="164" fillId="0" borderId="50" xfId="0" applyFont="1" applyBorder="1" applyAlignment="1">
      <alignment vertical="center"/>
    </xf>
    <xf numFmtId="165" fontId="164" fillId="0" borderId="35" xfId="1" applyFont="1" applyBorder="1" applyAlignment="1">
      <alignment vertical="center"/>
    </xf>
    <xf numFmtId="49" fontId="176" fillId="57" borderId="35" xfId="0" applyNumberFormat="1" applyFont="1" applyFill="1" applyBorder="1" applyAlignment="1">
      <alignment horizontal="center"/>
    </xf>
    <xf numFmtId="49" fontId="177" fillId="57" borderId="35" xfId="0" applyNumberFormat="1" applyFont="1" applyFill="1" applyBorder="1" applyAlignment="1">
      <alignment horizontal="center"/>
    </xf>
    <xf numFmtId="0" fontId="176" fillId="57" borderId="50" xfId="0" applyFont="1" applyFill="1" applyBorder="1"/>
    <xf numFmtId="0" fontId="177" fillId="57" borderId="50" xfId="0" applyFont="1" applyFill="1" applyBorder="1"/>
    <xf numFmtId="0" fontId="149" fillId="57" borderId="50" xfId="0" applyFont="1" applyFill="1" applyBorder="1" applyAlignment="1">
      <alignment vertical="center"/>
    </xf>
    <xf numFmtId="165" fontId="149" fillId="57" borderId="35" xfId="1" applyFont="1" applyFill="1" applyBorder="1" applyAlignment="1">
      <alignment vertical="center"/>
    </xf>
    <xf numFmtId="49" fontId="149" fillId="0" borderId="26" xfId="0" applyNumberFormat="1" applyFont="1" applyBorder="1" applyAlignment="1">
      <alignment horizontal="center" vertical="center"/>
    </xf>
    <xf numFmtId="49" fontId="148" fillId="0" borderId="26" xfId="0" applyNumberFormat="1" applyFont="1" applyBorder="1" applyAlignment="1">
      <alignment horizontal="center" vertical="center"/>
    </xf>
    <xf numFmtId="49" fontId="148" fillId="0" borderId="27" xfId="0" applyNumberFormat="1" applyFont="1" applyBorder="1" applyAlignment="1">
      <alignment vertical="center"/>
    </xf>
    <xf numFmtId="49" fontId="148" fillId="0" borderId="30" xfId="0" applyNumberFormat="1" applyFont="1" applyBorder="1" applyAlignment="1">
      <alignment vertical="center"/>
    </xf>
    <xf numFmtId="0" fontId="148" fillId="0" borderId="30" xfId="0" applyFont="1" applyBorder="1" applyAlignment="1">
      <alignment vertical="center"/>
    </xf>
    <xf numFmtId="165" fontId="148" fillId="0" borderId="30" xfId="0" applyNumberFormat="1" applyFont="1" applyBorder="1" applyAlignment="1">
      <alignment vertical="center"/>
    </xf>
    <xf numFmtId="0" fontId="149" fillId="4" borderId="0" xfId="0" applyFont="1" applyFill="1" applyAlignment="1">
      <alignment vertical="center"/>
    </xf>
    <xf numFmtId="169" fontId="178" fillId="4" borderId="0" xfId="0" applyNumberFormat="1" applyFont="1" applyFill="1" applyAlignment="1">
      <alignment horizontal="center" vertical="center"/>
    </xf>
    <xf numFmtId="165" fontId="148" fillId="0" borderId="5" xfId="1" applyFont="1" applyBorder="1" applyAlignment="1">
      <alignment horizontal="center" vertical="center"/>
    </xf>
    <xf numFmtId="165" fontId="149" fillId="0" borderId="0" xfId="1" applyFont="1" applyAlignment="1">
      <alignment horizontal="center" vertical="center"/>
    </xf>
    <xf numFmtId="165" fontId="149" fillId="0" borderId="0" xfId="1" applyFont="1" applyAlignment="1">
      <alignment vertical="center"/>
    </xf>
    <xf numFmtId="165" fontId="181" fillId="11" borderId="35" xfId="0" applyNumberFormat="1" applyFont="1" applyFill="1" applyBorder="1" applyAlignment="1">
      <alignment vertical="center"/>
    </xf>
    <xf numFmtId="165" fontId="149" fillId="0" borderId="64" xfId="0" applyNumberFormat="1" applyFont="1" applyBorder="1" applyAlignment="1">
      <alignment vertical="center"/>
    </xf>
    <xf numFmtId="165" fontId="149" fillId="4" borderId="42" xfId="1" applyFont="1" applyFill="1" applyBorder="1" applyAlignment="1">
      <alignment vertical="center"/>
    </xf>
    <xf numFmtId="165" fontId="149" fillId="0" borderId="109" xfId="0" applyNumberFormat="1" applyFont="1" applyBorder="1" applyAlignment="1">
      <alignment vertical="center"/>
    </xf>
    <xf numFmtId="165" fontId="149" fillId="17" borderId="109" xfId="0" applyNumberFormat="1" applyFont="1" applyFill="1" applyBorder="1" applyAlignment="1">
      <alignment vertical="center"/>
    </xf>
    <xf numFmtId="165" fontId="148" fillId="4" borderId="42" xfId="1" applyFont="1" applyFill="1" applyBorder="1" applyAlignment="1">
      <alignment vertical="center"/>
    </xf>
    <xf numFmtId="165" fontId="149" fillId="16" borderId="42" xfId="1" applyFont="1" applyFill="1" applyBorder="1" applyAlignment="1">
      <alignment vertical="center"/>
    </xf>
    <xf numFmtId="165" fontId="149" fillId="4" borderId="64" xfId="1" applyFont="1" applyFill="1" applyBorder="1" applyAlignment="1">
      <alignment vertical="center"/>
    </xf>
    <xf numFmtId="165" fontId="150" fillId="4" borderId="65" xfId="1" applyFont="1" applyFill="1" applyBorder="1" applyAlignment="1">
      <alignment vertical="center"/>
    </xf>
    <xf numFmtId="165" fontId="181" fillId="36" borderId="139" xfId="0" applyNumberFormat="1" applyFont="1" applyFill="1" applyBorder="1" applyAlignment="1">
      <alignment vertical="center"/>
    </xf>
    <xf numFmtId="165" fontId="149" fillId="0" borderId="170" xfId="0" applyNumberFormat="1" applyFont="1" applyBorder="1" applyAlignment="1">
      <alignment vertical="center"/>
    </xf>
    <xf numFmtId="165" fontId="152" fillId="0" borderId="64" xfId="0" applyNumberFormat="1" applyFont="1" applyBorder="1" applyAlignment="1">
      <alignment vertical="center"/>
    </xf>
    <xf numFmtId="165" fontId="149" fillId="0" borderId="65" xfId="0" applyNumberFormat="1" applyFont="1" applyBorder="1" applyAlignment="1">
      <alignment vertical="center"/>
    </xf>
    <xf numFmtId="165" fontId="181" fillId="3" borderId="139" xfId="0" applyNumberFormat="1" applyFont="1" applyFill="1" applyBorder="1" applyAlignment="1">
      <alignment vertical="center"/>
    </xf>
    <xf numFmtId="165" fontId="182" fillId="0" borderId="64" xfId="0" applyNumberFormat="1" applyFont="1" applyBorder="1" applyAlignment="1">
      <alignment vertical="center"/>
    </xf>
    <xf numFmtId="0" fontId="149" fillId="0" borderId="65" xfId="0" applyFont="1" applyBorder="1" applyAlignment="1">
      <alignment vertical="center"/>
    </xf>
    <xf numFmtId="165" fontId="181" fillId="21" borderId="139" xfId="0" applyNumberFormat="1" applyFont="1" applyFill="1" applyBorder="1" applyAlignment="1">
      <alignment vertical="center"/>
    </xf>
    <xf numFmtId="49" fontId="148" fillId="57" borderId="21" xfId="0" applyNumberFormat="1" applyFont="1" applyFill="1" applyBorder="1" applyAlignment="1">
      <alignment horizontal="center" vertical="center"/>
    </xf>
    <xf numFmtId="49" fontId="148" fillId="57" borderId="63" xfId="0" applyNumberFormat="1" applyFont="1" applyFill="1" applyBorder="1" applyAlignment="1">
      <alignment vertical="center"/>
    </xf>
    <xf numFmtId="49" fontId="30" fillId="57" borderId="11" xfId="0" applyNumberFormat="1" applyFont="1" applyFill="1" applyBorder="1" applyAlignment="1">
      <alignment vertical="center"/>
    </xf>
    <xf numFmtId="0" fontId="30" fillId="57" borderId="12" xfId="0" applyFont="1" applyFill="1" applyBorder="1" applyAlignment="1">
      <alignment vertical="center"/>
    </xf>
    <xf numFmtId="49" fontId="149" fillId="0" borderId="26" xfId="0" quotePrefix="1" applyNumberFormat="1" applyFont="1" applyBorder="1" applyAlignment="1">
      <alignment horizontal="center" vertical="center"/>
    </xf>
    <xf numFmtId="49" fontId="149" fillId="0" borderId="27" xfId="0" applyNumberFormat="1" applyFont="1" applyBorder="1" applyAlignment="1">
      <alignment vertical="center"/>
    </xf>
    <xf numFmtId="49" fontId="149" fillId="0" borderId="30" xfId="0" applyNumberFormat="1" applyFont="1" applyBorder="1" applyAlignment="1">
      <alignment vertical="center"/>
    </xf>
    <xf numFmtId="0" fontId="149" fillId="0" borderId="30" xfId="0" applyFont="1" applyBorder="1" applyAlignment="1">
      <alignment vertical="center"/>
    </xf>
    <xf numFmtId="0" fontId="149" fillId="0" borderId="53" xfId="0" applyFont="1" applyBorder="1" applyAlignment="1">
      <alignment vertical="center"/>
    </xf>
    <xf numFmtId="49" fontId="163" fillId="0" borderId="5" xfId="0" applyNumberFormat="1" applyFont="1" applyBorder="1" applyAlignment="1">
      <alignment horizontal="center" vertical="center"/>
    </xf>
    <xf numFmtId="49" fontId="163" fillId="0" borderId="5" xfId="0" quotePrefix="1" applyNumberFormat="1" applyFont="1" applyBorder="1" applyAlignment="1">
      <alignment horizontal="center" vertical="center"/>
    </xf>
    <xf numFmtId="49" fontId="163" fillId="0" borderId="25" xfId="0" applyNumberFormat="1" applyFont="1" applyBorder="1" applyAlignment="1">
      <alignment vertical="center"/>
    </xf>
    <xf numFmtId="49" fontId="163" fillId="0" borderId="31" xfId="0" applyNumberFormat="1" applyFont="1" applyBorder="1" applyAlignment="1">
      <alignment vertical="center"/>
    </xf>
    <xf numFmtId="0" fontId="163" fillId="0" borderId="31" xfId="0" applyFont="1" applyBorder="1" applyAlignment="1">
      <alignment vertical="center"/>
    </xf>
    <xf numFmtId="0" fontId="163" fillId="0" borderId="52" xfId="0" applyFont="1" applyBorder="1" applyAlignment="1">
      <alignment vertical="center"/>
    </xf>
    <xf numFmtId="49" fontId="148" fillId="0" borderId="21" xfId="0" applyNumberFormat="1" applyFont="1" applyBorder="1" applyAlignment="1">
      <alignment horizontal="center" vertical="center"/>
    </xf>
    <xf numFmtId="49" fontId="148" fillId="0" borderId="21" xfId="0" quotePrefix="1" applyNumberFormat="1" applyFont="1" applyBorder="1" applyAlignment="1">
      <alignment horizontal="center" vertical="center"/>
    </xf>
    <xf numFmtId="49" fontId="148" fillId="0" borderId="63" xfId="0" applyNumberFormat="1" applyFont="1" applyBorder="1" applyAlignment="1">
      <alignment vertical="center"/>
    </xf>
    <xf numFmtId="49" fontId="148" fillId="0" borderId="26" xfId="0" quotePrefix="1" applyNumberFormat="1" applyFont="1" applyBorder="1" applyAlignment="1">
      <alignment horizontal="center" vertical="center"/>
    </xf>
    <xf numFmtId="49" fontId="148" fillId="0" borderId="28" xfId="0" applyNumberFormat="1" applyFont="1" applyBorder="1" applyAlignment="1">
      <alignment horizontal="center" vertical="center"/>
    </xf>
    <xf numFmtId="49" fontId="148" fillId="0" borderId="28" xfId="0" quotePrefix="1" applyNumberFormat="1" applyFont="1" applyBorder="1" applyAlignment="1">
      <alignment horizontal="center" vertical="center"/>
    </xf>
    <xf numFmtId="49" fontId="148" fillId="0" borderId="29" xfId="0" applyNumberFormat="1" applyFont="1" applyBorder="1" applyAlignment="1">
      <alignment vertical="center"/>
    </xf>
    <xf numFmtId="49" fontId="30" fillId="0" borderId="0" xfId="0" applyNumberFormat="1" applyFont="1" applyAlignment="1">
      <alignment vertical="center"/>
    </xf>
    <xf numFmtId="0" fontId="30" fillId="0" borderId="54" xfId="0" applyFont="1" applyBorder="1" applyAlignment="1">
      <alignment vertical="center"/>
    </xf>
    <xf numFmtId="49" fontId="148" fillId="0" borderId="5" xfId="0" applyNumberFormat="1" applyFont="1" applyBorder="1" applyAlignment="1">
      <alignment horizontal="center" vertical="center"/>
    </xf>
    <xf numFmtId="49" fontId="148" fillId="0" borderId="5" xfId="0" quotePrefix="1" applyNumberFormat="1" applyFont="1" applyBorder="1" applyAlignment="1">
      <alignment horizontal="center" vertical="center"/>
    </xf>
    <xf numFmtId="49" fontId="148" fillId="0" borderId="25" xfId="0" applyNumberFormat="1" applyFont="1" applyBorder="1" applyAlignment="1">
      <alignment vertical="center"/>
    </xf>
    <xf numFmtId="49" fontId="30" fillId="0" borderId="31" xfId="0" applyNumberFormat="1" applyFont="1" applyBorder="1" applyAlignment="1">
      <alignment vertical="center"/>
    </xf>
    <xf numFmtId="0" fontId="30" fillId="0" borderId="31" xfId="0" applyFont="1" applyBorder="1" applyAlignment="1">
      <alignment vertical="center"/>
    </xf>
    <xf numFmtId="0" fontId="30" fillId="0" borderId="52" xfId="0" applyFont="1" applyBorder="1" applyAlignment="1">
      <alignment vertical="center"/>
    </xf>
    <xf numFmtId="49" fontId="145" fillId="57" borderId="21" xfId="0" applyNumberFormat="1" applyFont="1" applyFill="1" applyBorder="1" applyAlignment="1">
      <alignment horizontal="center" vertical="center"/>
    </xf>
    <xf numFmtId="49" fontId="145" fillId="57" borderId="63" xfId="0" applyNumberFormat="1" applyFont="1" applyFill="1" applyBorder="1" applyAlignment="1">
      <alignment vertical="center"/>
    </xf>
    <xf numFmtId="49" fontId="145" fillId="57" borderId="11" xfId="0" applyNumberFormat="1" applyFont="1" applyFill="1" applyBorder="1" applyAlignment="1">
      <alignment vertical="center"/>
    </xf>
    <xf numFmtId="0" fontId="145" fillId="57" borderId="11" xfId="0" applyFont="1" applyFill="1" applyBorder="1" applyAlignment="1">
      <alignment vertical="center"/>
    </xf>
    <xf numFmtId="0" fontId="145" fillId="57" borderId="12" xfId="0" applyFont="1" applyFill="1" applyBorder="1" applyAlignment="1">
      <alignment vertical="center"/>
    </xf>
    <xf numFmtId="49" fontId="158" fillId="0" borderId="26" xfId="0" applyNumberFormat="1" applyFont="1" applyBorder="1" applyAlignment="1">
      <alignment horizontal="center" vertical="center"/>
    </xf>
    <xf numFmtId="49" fontId="158" fillId="0" borderId="27" xfId="0" applyNumberFormat="1" applyFont="1" applyBorder="1" applyAlignment="1">
      <alignment vertical="center"/>
    </xf>
    <xf numFmtId="49" fontId="158" fillId="0" borderId="30" xfId="0" applyNumberFormat="1" applyFont="1" applyBorder="1" applyAlignment="1">
      <alignment vertical="center"/>
    </xf>
    <xf numFmtId="0" fontId="158" fillId="0" borderId="30" xfId="0" applyFont="1" applyBorder="1" applyAlignment="1">
      <alignment vertical="center"/>
    </xf>
    <xf numFmtId="0" fontId="158" fillId="0" borderId="53" xfId="0" applyFont="1" applyBorder="1" applyAlignment="1">
      <alignment vertical="center"/>
    </xf>
    <xf numFmtId="168" fontId="158" fillId="0" borderId="53" xfId="2" applyFont="1" applyBorder="1" applyAlignment="1">
      <alignment vertical="center"/>
    </xf>
    <xf numFmtId="49" fontId="163" fillId="0" borderId="248" xfId="0" applyNumberFormat="1" applyFont="1" applyBorder="1" applyAlignment="1">
      <alignment horizontal="center" vertical="center"/>
    </xf>
    <xf numFmtId="49" fontId="163" fillId="0" borderId="249" xfId="0" applyNumberFormat="1" applyFont="1" applyBorder="1" applyAlignment="1">
      <alignment horizontal="center" vertical="center"/>
    </xf>
    <xf numFmtId="49" fontId="164" fillId="0" borderId="249" xfId="0" applyNumberFormat="1" applyFont="1" applyBorder="1" applyAlignment="1">
      <alignment horizontal="center" vertical="center"/>
    </xf>
    <xf numFmtId="49" fontId="163" fillId="0" borderId="250" xfId="0" applyNumberFormat="1" applyFont="1" applyBorder="1" applyAlignment="1">
      <alignment vertical="center"/>
    </xf>
    <xf numFmtId="49" fontId="163" fillId="0" borderId="251" xfId="0" applyNumberFormat="1" applyFont="1" applyBorder="1" applyAlignment="1">
      <alignment vertical="center"/>
    </xf>
    <xf numFmtId="0" fontId="164" fillId="0" borderId="251" xfId="0" applyFont="1" applyBorder="1" applyAlignment="1">
      <alignment vertical="center"/>
    </xf>
    <xf numFmtId="168" fontId="164" fillId="0" borderId="252" xfId="2" applyFont="1" applyBorder="1" applyAlignment="1">
      <alignment vertical="center"/>
    </xf>
    <xf numFmtId="49" fontId="158" fillId="0" borderId="64" xfId="0" applyNumberFormat="1" applyFont="1" applyBorder="1" applyAlignment="1">
      <alignment horizontal="center" vertical="center"/>
    </xf>
    <xf numFmtId="49" fontId="158" fillId="0" borderId="64" xfId="0" applyNumberFormat="1" applyFont="1" applyBorder="1" applyAlignment="1">
      <alignment vertical="center"/>
    </xf>
    <xf numFmtId="0" fontId="158" fillId="0" borderId="64" xfId="0" applyFont="1" applyBorder="1" applyAlignment="1">
      <alignment vertical="center"/>
    </xf>
    <xf numFmtId="0" fontId="159" fillId="0" borderId="64" xfId="1" applyNumberFormat="1" applyFont="1" applyBorder="1" applyAlignment="1">
      <alignment horizontal="left" vertical="center"/>
    </xf>
    <xf numFmtId="0" fontId="163" fillId="0" borderId="251" xfId="0" applyFont="1" applyBorder="1" applyAlignment="1">
      <alignment vertical="center"/>
    </xf>
    <xf numFmtId="0" fontId="163" fillId="0" borderId="252" xfId="0" applyFont="1" applyBorder="1" applyAlignment="1">
      <alignment vertical="center"/>
    </xf>
    <xf numFmtId="0" fontId="163" fillId="0" borderId="256" xfId="1" applyNumberFormat="1" applyFont="1" applyBorder="1" applyAlignment="1">
      <alignment horizontal="left" vertical="center"/>
    </xf>
    <xf numFmtId="0" fontId="57" fillId="0" borderId="11" xfId="0" applyFont="1" applyBorder="1" applyAlignment="1">
      <alignment vertical="center"/>
    </xf>
    <xf numFmtId="168" fontId="29" fillId="0" borderId="12" xfId="2" applyFont="1" applyBorder="1" applyAlignment="1">
      <alignment vertical="center"/>
    </xf>
    <xf numFmtId="49" fontId="76" fillId="0" borderId="117" xfId="0" applyNumberFormat="1" applyFont="1" applyBorder="1" applyAlignment="1">
      <alignment horizontal="center"/>
    </xf>
    <xf numFmtId="49" fontId="76" fillId="0" borderId="117" xfId="0" quotePrefix="1" applyNumberFormat="1" applyFont="1" applyBorder="1" applyAlignment="1">
      <alignment horizontal="center"/>
    </xf>
    <xf numFmtId="0" fontId="76" fillId="0" borderId="105" xfId="0" applyFont="1" applyBorder="1"/>
    <xf numFmtId="49" fontId="76" fillId="0" borderId="30" xfId="0" applyNumberFormat="1" applyFont="1" applyBorder="1" applyAlignment="1">
      <alignment vertical="center"/>
    </xf>
    <xf numFmtId="0" fontId="76" fillId="0" borderId="30" xfId="0" applyFont="1" applyBorder="1" applyAlignment="1">
      <alignment vertical="center"/>
    </xf>
    <xf numFmtId="168" fontId="76" fillId="0" borderId="53" xfId="2" applyFont="1" applyBorder="1" applyAlignment="1">
      <alignment vertical="center"/>
    </xf>
    <xf numFmtId="0" fontId="76" fillId="0" borderId="153" xfId="1" applyNumberFormat="1" applyFont="1" applyBorder="1" applyAlignment="1">
      <alignment horizontal="left" vertical="center"/>
    </xf>
    <xf numFmtId="49" fontId="170" fillId="0" borderId="255" xfId="0" applyNumberFormat="1" applyFont="1" applyBorder="1" applyAlignment="1">
      <alignment horizontal="center"/>
    </xf>
    <xf numFmtId="49" fontId="170" fillId="0" borderId="255" xfId="0" quotePrefix="1" applyNumberFormat="1" applyFont="1" applyBorder="1" applyAlignment="1">
      <alignment horizontal="center"/>
    </xf>
    <xf numFmtId="0" fontId="170" fillId="0" borderId="257" xfId="0" applyFont="1" applyBorder="1"/>
    <xf numFmtId="49" fontId="170" fillId="0" borderId="251" xfId="0" applyNumberFormat="1" applyFont="1" applyBorder="1" applyAlignment="1">
      <alignment vertical="center"/>
    </xf>
    <xf numFmtId="0" fontId="170" fillId="0" borderId="251" xfId="0" applyFont="1" applyBorder="1" applyAlignment="1">
      <alignment vertical="center"/>
    </xf>
    <xf numFmtId="168" fontId="170" fillId="0" borderId="252" xfId="2" applyFont="1" applyBorder="1" applyAlignment="1">
      <alignment vertical="center"/>
    </xf>
    <xf numFmtId="0" fontId="170" fillId="0" borderId="256" xfId="1" applyNumberFormat="1" applyFont="1" applyBorder="1" applyAlignment="1">
      <alignment horizontal="left" vertical="center"/>
    </xf>
    <xf numFmtId="0" fontId="29" fillId="0" borderId="26" xfId="0" applyFont="1" applyBorder="1" applyAlignment="1">
      <alignment vertical="center"/>
    </xf>
    <xf numFmtId="49" fontId="29" fillId="0" borderId="30" xfId="0" applyNumberFormat="1" applyFont="1" applyBorder="1" applyAlignment="1">
      <alignment vertical="center"/>
    </xf>
    <xf numFmtId="168" fontId="29" fillId="0" borderId="53" xfId="2" applyFont="1" applyBorder="1" applyAlignment="1">
      <alignment vertical="center"/>
    </xf>
    <xf numFmtId="168" fontId="163" fillId="0" borderId="252" xfId="2" applyFont="1" applyBorder="1" applyAlignment="1">
      <alignment vertical="center"/>
    </xf>
    <xf numFmtId="49" fontId="29" fillId="0" borderId="27" xfId="0" applyNumberFormat="1" applyFont="1" applyBorder="1" applyAlignment="1">
      <alignment vertical="center"/>
    </xf>
    <xf numFmtId="0" fontId="29" fillId="0" borderId="53" xfId="0" applyFont="1" applyBorder="1" applyAlignment="1">
      <alignment vertical="center"/>
    </xf>
    <xf numFmtId="0" fontId="30" fillId="0" borderId="27" xfId="0" applyFont="1" applyBorder="1" applyAlignment="1">
      <alignment vertical="center"/>
    </xf>
    <xf numFmtId="165" fontId="30" fillId="0" borderId="258" xfId="3" applyNumberFormat="1" applyFont="1" applyBorder="1" applyAlignment="1">
      <alignment vertical="center"/>
    </xf>
    <xf numFmtId="0" fontId="163" fillId="0" borderId="250" xfId="0" applyFont="1" applyBorder="1" applyAlignment="1">
      <alignment vertical="center"/>
    </xf>
    <xf numFmtId="165" fontId="163" fillId="0" borderId="254" xfId="3" applyNumberFormat="1" applyFont="1" applyBorder="1" applyAlignment="1">
      <alignment vertical="center"/>
    </xf>
    <xf numFmtId="49" fontId="148" fillId="57" borderId="249" xfId="0" applyNumberFormat="1" applyFont="1" applyFill="1" applyBorder="1" applyAlignment="1">
      <alignment horizontal="center" vertical="center"/>
    </xf>
    <xf numFmtId="49" fontId="148" fillId="57" borderId="250" xfId="0" applyNumberFormat="1" applyFont="1" applyFill="1" applyBorder="1" applyAlignment="1">
      <alignment vertical="center"/>
    </xf>
    <xf numFmtId="49" fontId="148" fillId="57" borderId="251" xfId="0" applyNumberFormat="1" applyFont="1" applyFill="1" applyBorder="1" applyAlignment="1">
      <alignment vertical="center"/>
    </xf>
    <xf numFmtId="0" fontId="148" fillId="57" borderId="251" xfId="0" applyFont="1" applyFill="1" applyBorder="1" applyAlignment="1">
      <alignment vertical="center"/>
    </xf>
    <xf numFmtId="165" fontId="148" fillId="57" borderId="251" xfId="0" applyNumberFormat="1" applyFont="1" applyFill="1" applyBorder="1" applyAlignment="1">
      <alignment vertical="center"/>
    </xf>
    <xf numFmtId="0" fontId="17" fillId="0" borderId="30" xfId="0" applyFont="1" applyBorder="1" applyAlignment="1">
      <alignment vertical="center"/>
    </xf>
    <xf numFmtId="0" fontId="30" fillId="0" borderId="169" xfId="1" applyNumberFormat="1" applyFont="1" applyBorder="1" applyAlignment="1">
      <alignment horizontal="left" vertical="center"/>
    </xf>
    <xf numFmtId="49" fontId="30" fillId="57" borderId="248" xfId="0" applyNumberFormat="1" applyFont="1" applyFill="1" applyBorder="1" applyAlignment="1">
      <alignment horizontal="center" vertical="center"/>
    </xf>
    <xf numFmtId="49" fontId="30" fillId="57" borderId="249" xfId="0" applyNumberFormat="1" applyFont="1" applyFill="1" applyBorder="1" applyAlignment="1">
      <alignment horizontal="center" vertical="center"/>
    </xf>
    <xf numFmtId="0" fontId="30" fillId="57" borderId="250" xfId="0" quotePrefix="1" applyFont="1" applyFill="1" applyBorder="1" applyAlignment="1">
      <alignment vertical="center"/>
    </xf>
    <xf numFmtId="0" fontId="30" fillId="57" borderId="251" xfId="0" applyFont="1" applyFill="1" applyBorder="1" applyAlignment="1">
      <alignment vertical="center"/>
    </xf>
    <xf numFmtId="0" fontId="17" fillId="57" borderId="251" xfId="0" applyFont="1" applyFill="1" applyBorder="1" applyAlignment="1">
      <alignment vertical="center"/>
    </xf>
    <xf numFmtId="0" fontId="30" fillId="57" borderId="256" xfId="1" applyNumberFormat="1" applyFont="1" applyFill="1" applyBorder="1" applyAlignment="1">
      <alignment horizontal="left" vertical="center"/>
    </xf>
    <xf numFmtId="0" fontId="35" fillId="57" borderId="251" xfId="0" quotePrefix="1" applyFont="1" applyFill="1" applyBorder="1" applyAlignment="1">
      <alignment vertical="center"/>
    </xf>
    <xf numFmtId="0" fontId="163" fillId="49" borderId="245" xfId="1" applyNumberFormat="1" applyFont="1" applyFill="1" applyBorder="1" applyAlignment="1">
      <alignment horizontal="left" vertical="center"/>
    </xf>
    <xf numFmtId="49" fontId="30" fillId="57" borderId="5" xfId="0" applyNumberFormat="1" applyFont="1" applyFill="1" applyBorder="1" applyAlignment="1">
      <alignment horizontal="center" vertical="center"/>
    </xf>
    <xf numFmtId="0" fontId="35" fillId="57" borderId="165" xfId="0" applyFont="1" applyFill="1" applyBorder="1" applyAlignment="1">
      <alignment vertical="center"/>
    </xf>
    <xf numFmtId="0" fontId="30" fillId="57" borderId="31" xfId="0" applyFont="1" applyFill="1" applyBorder="1" applyAlignment="1">
      <alignment vertical="center"/>
    </xf>
    <xf numFmtId="0" fontId="17" fillId="57" borderId="31" xfId="0" applyFont="1" applyFill="1" applyBorder="1" applyAlignment="1">
      <alignment vertical="center"/>
    </xf>
    <xf numFmtId="0" fontId="30" fillId="57" borderId="245" xfId="1" applyNumberFormat="1" applyFont="1" applyFill="1" applyBorder="1" applyAlignment="1">
      <alignment horizontal="left" vertical="center"/>
    </xf>
    <xf numFmtId="0" fontId="149" fillId="0" borderId="17" xfId="0" applyFont="1" applyBorder="1"/>
    <xf numFmtId="176" fontId="183" fillId="0" borderId="0" xfId="1" applyNumberFormat="1" applyFont="1" applyAlignment="1">
      <alignment vertical="center"/>
    </xf>
    <xf numFmtId="0" fontId="163" fillId="0" borderId="0" xfId="0" applyFont="1" applyAlignment="1">
      <alignment vertical="center"/>
    </xf>
    <xf numFmtId="49" fontId="148" fillId="57" borderId="248" xfId="0" applyNumberFormat="1" applyFont="1" applyFill="1" applyBorder="1" applyAlignment="1">
      <alignment horizontal="center" vertical="center"/>
    </xf>
    <xf numFmtId="0" fontId="148" fillId="57" borderId="256" xfId="1" applyNumberFormat="1" applyFont="1" applyFill="1" applyBorder="1" applyAlignment="1">
      <alignment horizontal="left" vertical="center"/>
    </xf>
    <xf numFmtId="176" fontId="157" fillId="57" borderId="0" xfId="1" applyNumberFormat="1" applyFont="1" applyFill="1" applyAlignment="1">
      <alignment vertical="center"/>
    </xf>
    <xf numFmtId="0" fontId="148" fillId="57" borderId="0" xfId="0" applyFont="1" applyFill="1" applyAlignment="1">
      <alignment vertical="center"/>
    </xf>
    <xf numFmtId="0" fontId="148" fillId="0" borderId="153" xfId="1" applyNumberFormat="1" applyFont="1" applyBorder="1" applyAlignment="1">
      <alignment horizontal="left" vertical="center"/>
    </xf>
    <xf numFmtId="4" fontId="30" fillId="49" borderId="18" xfId="0" applyNumberFormat="1" applyFont="1" applyFill="1" applyBorder="1" applyAlignment="1">
      <alignment vertical="center"/>
    </xf>
    <xf numFmtId="4" fontId="148" fillId="49" borderId="16" xfId="1" applyNumberFormat="1" applyFont="1" applyFill="1" applyBorder="1" applyAlignment="1">
      <alignment horizontal="center" vertical="center"/>
    </xf>
    <xf numFmtId="4" fontId="30" fillId="0" borderId="18" xfId="0" applyNumberFormat="1" applyFont="1" applyBorder="1" applyAlignment="1">
      <alignment vertical="center"/>
    </xf>
    <xf numFmtId="4" fontId="29" fillId="0" borderId="148" xfId="1" applyNumberFormat="1" applyFont="1" applyBorder="1" applyAlignment="1">
      <alignment vertical="center"/>
    </xf>
    <xf numFmtId="4" fontId="29" fillId="0" borderId="16" xfId="1" applyNumberFormat="1" applyFont="1" applyBorder="1" applyAlignment="1">
      <alignment vertical="center"/>
    </xf>
    <xf numFmtId="4" fontId="148" fillId="0" borderId="16" xfId="1" applyNumberFormat="1" applyFont="1" applyBorder="1" applyAlignment="1">
      <alignment horizontal="center" vertical="center"/>
    </xf>
    <xf numFmtId="4" fontId="30" fillId="49" borderId="16" xfId="0" applyNumberFormat="1" applyFont="1" applyFill="1" applyBorder="1" applyAlignment="1">
      <alignment vertical="center"/>
    </xf>
    <xf numFmtId="4" fontId="30" fillId="0" borderId="16" xfId="0" applyNumberFormat="1" applyFont="1" applyBorder="1" applyAlignment="1">
      <alignment vertical="center"/>
    </xf>
    <xf numFmtId="4" fontId="30" fillId="0" borderId="0" xfId="0" applyNumberFormat="1" applyFont="1" applyAlignment="1">
      <alignment vertical="center"/>
    </xf>
    <xf numFmtId="4" fontId="30" fillId="57" borderId="21" xfId="0" applyNumberFormat="1" applyFont="1" applyFill="1" applyBorder="1" applyAlignment="1">
      <alignment vertical="center"/>
    </xf>
    <xf numFmtId="4" fontId="148" fillId="57" borderId="21" xfId="1" applyNumberFormat="1" applyFont="1" applyFill="1" applyBorder="1" applyAlignment="1">
      <alignment horizontal="center" vertical="center"/>
    </xf>
    <xf numFmtId="4" fontId="163" fillId="0" borderId="5" xfId="0" applyNumberFormat="1" applyFont="1" applyBorder="1" applyAlignment="1">
      <alignment vertical="center"/>
    </xf>
    <xf numFmtId="4" fontId="148" fillId="0" borderId="5" xfId="1" applyNumberFormat="1" applyFont="1" applyBorder="1" applyAlignment="1">
      <alignment horizontal="center" vertical="center"/>
    </xf>
    <xf numFmtId="4" fontId="149" fillId="0" borderId="26" xfId="0" applyNumberFormat="1" applyFont="1" applyBorder="1" applyAlignment="1">
      <alignment vertical="center"/>
    </xf>
    <xf numFmtId="4" fontId="149" fillId="0" borderId="53" xfId="0" applyNumberFormat="1" applyFont="1" applyBorder="1" applyAlignment="1">
      <alignment vertical="center"/>
    </xf>
    <xf numFmtId="4" fontId="149" fillId="0" borderId="0" xfId="0" applyNumberFormat="1" applyFont="1" applyAlignment="1">
      <alignment vertical="center"/>
    </xf>
    <xf numFmtId="4" fontId="149" fillId="0" borderId="26" xfId="1" applyNumberFormat="1" applyFont="1" applyBorder="1" applyAlignment="1">
      <alignment horizontal="center" vertical="center"/>
    </xf>
    <xf numFmtId="4" fontId="149" fillId="0" borderId="16" xfId="0" applyNumberFormat="1" applyFont="1" applyBorder="1" applyAlignment="1">
      <alignment vertical="center"/>
    </xf>
    <xf numFmtId="4" fontId="149" fillId="0" borderId="18" xfId="0" applyNumberFormat="1" applyFont="1" applyBorder="1" applyAlignment="1">
      <alignment vertical="center"/>
    </xf>
    <xf numFmtId="4" fontId="149" fillId="0" borderId="16" xfId="1" applyNumberFormat="1" applyFont="1" applyBorder="1" applyAlignment="1">
      <alignment horizontal="center" vertical="center"/>
    </xf>
    <xf numFmtId="4" fontId="30" fillId="0" borderId="21" xfId="0" applyNumberFormat="1" applyFont="1" applyBorder="1" applyAlignment="1">
      <alignment vertical="center"/>
    </xf>
    <xf numFmtId="4" fontId="30" fillId="0" borderId="12" xfId="0" applyNumberFormat="1" applyFont="1" applyBorder="1" applyAlignment="1">
      <alignment vertical="center"/>
    </xf>
    <xf numFmtId="4" fontId="148" fillId="0" borderId="21" xfId="1" applyNumberFormat="1" applyFont="1" applyBorder="1" applyAlignment="1">
      <alignment horizontal="center" vertical="center"/>
    </xf>
    <xf numFmtId="4" fontId="163" fillId="0" borderId="52" xfId="0" applyNumberFormat="1" applyFont="1" applyBorder="1" applyAlignment="1">
      <alignment vertical="center"/>
    </xf>
    <xf numFmtId="4" fontId="163" fillId="0" borderId="31" xfId="0" applyNumberFormat="1" applyFont="1" applyBorder="1" applyAlignment="1">
      <alignment vertical="center"/>
    </xf>
    <xf numFmtId="4" fontId="30" fillId="0" borderId="28" xfId="0" applyNumberFormat="1" applyFont="1" applyBorder="1" applyAlignment="1">
      <alignment vertical="center"/>
    </xf>
    <xf numFmtId="4" fontId="30" fillId="0" borderId="54" xfId="0" applyNumberFormat="1" applyFont="1" applyBorder="1" applyAlignment="1">
      <alignment vertical="center"/>
    </xf>
    <xf numFmtId="4" fontId="148" fillId="0" borderId="28" xfId="1" applyNumberFormat="1" applyFont="1" applyBorder="1" applyAlignment="1">
      <alignment horizontal="center" vertical="center"/>
    </xf>
    <xf numFmtId="4" fontId="170" fillId="0" borderId="245" xfId="5" applyNumberFormat="1" applyFont="1" applyBorder="1"/>
    <xf numFmtId="4" fontId="170" fillId="0" borderId="246" xfId="5" applyNumberFormat="1" applyFont="1" applyBorder="1"/>
    <xf numFmtId="4" fontId="170" fillId="0" borderId="5" xfId="0" applyNumberFormat="1" applyFont="1" applyBorder="1" applyAlignment="1">
      <alignment vertical="center"/>
    </xf>
    <xf numFmtId="4" fontId="30" fillId="0" borderId="52" xfId="0" applyNumberFormat="1" applyFont="1" applyBorder="1" applyAlignment="1">
      <alignment vertical="center"/>
    </xf>
    <xf numFmtId="4" fontId="30" fillId="0" borderId="31" xfId="0" applyNumberFormat="1" applyFont="1" applyBorder="1" applyAlignment="1">
      <alignment vertical="center"/>
    </xf>
    <xf numFmtId="4" fontId="30" fillId="0" borderId="26" xfId="0" applyNumberFormat="1" applyFont="1" applyBorder="1" applyAlignment="1">
      <alignment vertical="center"/>
    </xf>
    <xf numFmtId="4" fontId="30" fillId="0" borderId="53" xfId="0" applyNumberFormat="1" applyFont="1" applyBorder="1" applyAlignment="1">
      <alignment vertical="center"/>
    </xf>
    <xf numFmtId="4" fontId="148" fillId="0" borderId="26" xfId="1" applyNumberFormat="1" applyFont="1" applyBorder="1" applyAlignment="1">
      <alignment horizontal="center" vertical="center"/>
    </xf>
    <xf numFmtId="4" fontId="145" fillId="57" borderId="21" xfId="0" applyNumberFormat="1" applyFont="1" applyFill="1" applyBorder="1" applyAlignment="1">
      <alignment vertical="center"/>
    </xf>
    <xf numFmtId="4" fontId="145" fillId="57" borderId="21" xfId="1" applyNumberFormat="1" applyFont="1" applyFill="1" applyBorder="1" applyAlignment="1">
      <alignment vertical="center"/>
    </xf>
    <xf numFmtId="4" fontId="179" fillId="57" borderId="21" xfId="1" applyNumberFormat="1" applyFont="1" applyFill="1" applyBorder="1" applyAlignment="1">
      <alignment horizontal="center" vertical="center"/>
    </xf>
    <xf numFmtId="4" fontId="163" fillId="0" borderId="5" xfId="1" applyNumberFormat="1" applyFont="1" applyBorder="1" applyAlignment="1">
      <alignment vertical="center"/>
    </xf>
    <xf numFmtId="4" fontId="148" fillId="0" borderId="5" xfId="1" applyNumberFormat="1" applyFont="1" applyBorder="1" applyAlignment="1">
      <alignment vertical="center"/>
    </xf>
    <xf numFmtId="4" fontId="158" fillId="0" borderId="26" xfId="0" applyNumberFormat="1" applyFont="1" applyBorder="1" applyAlignment="1">
      <alignment vertical="center"/>
    </xf>
    <xf numFmtId="4" fontId="158" fillId="0" borderId="26" xfId="1" applyNumberFormat="1" applyFont="1" applyBorder="1" applyAlignment="1">
      <alignment vertical="center"/>
    </xf>
    <xf numFmtId="4" fontId="158" fillId="0" borderId="151" xfId="1" applyNumberFormat="1" applyFont="1" applyBorder="1" applyAlignment="1">
      <alignment vertical="center"/>
    </xf>
    <xf numFmtId="4" fontId="29" fillId="0" borderId="16" xfId="0" applyNumberFormat="1" applyFont="1" applyBorder="1" applyAlignment="1">
      <alignment vertical="center"/>
    </xf>
    <xf numFmtId="4" fontId="149" fillId="0" borderId="16" xfId="1" applyNumberFormat="1" applyFont="1" applyBorder="1" applyAlignment="1">
      <alignment vertical="center"/>
    </xf>
    <xf numFmtId="4" fontId="152" fillId="0" borderId="18" xfId="0" applyNumberFormat="1" applyFont="1" applyBorder="1" applyAlignment="1">
      <alignment vertical="center"/>
    </xf>
    <xf numFmtId="4" fontId="159" fillId="0" borderId="18" xfId="0" applyNumberFormat="1" applyFont="1" applyBorder="1" applyAlignment="1">
      <alignment vertical="center"/>
    </xf>
    <xf numFmtId="4" fontId="158" fillId="0" borderId="16" xfId="1" applyNumberFormat="1" applyFont="1" applyBorder="1" applyAlignment="1">
      <alignment vertical="center"/>
    </xf>
    <xf numFmtId="4" fontId="158" fillId="0" borderId="148" xfId="1" applyNumberFormat="1" applyFont="1" applyBorder="1" applyAlignment="1">
      <alignment vertical="center"/>
    </xf>
    <xf numFmtId="4" fontId="29" fillId="0" borderId="18" xfId="0" applyNumberFormat="1" applyFont="1" applyBorder="1" applyAlignment="1">
      <alignment vertical="center"/>
    </xf>
    <xf numFmtId="4" fontId="158" fillId="0" borderId="18" xfId="0" applyNumberFormat="1" applyFont="1" applyBorder="1" applyAlignment="1">
      <alignment vertical="center"/>
    </xf>
    <xf numFmtId="4" fontId="29" fillId="0" borderId="12" xfId="0" applyNumberFormat="1" applyFont="1" applyBorder="1" applyAlignment="1">
      <alignment vertical="center"/>
    </xf>
    <xf numFmtId="4" fontId="29" fillId="0" borderId="21" xfId="1" applyNumberFormat="1" applyFont="1" applyBorder="1" applyAlignment="1">
      <alignment vertical="center"/>
    </xf>
    <xf numFmtId="4" fontId="29" fillId="0" borderId="150" xfId="1" applyNumberFormat="1" applyFont="1" applyBorder="1" applyAlignment="1">
      <alignment vertical="center"/>
    </xf>
    <xf numFmtId="4" fontId="149" fillId="0" borderId="21" xfId="1" applyNumberFormat="1" applyFont="1" applyBorder="1" applyAlignment="1">
      <alignment vertical="center"/>
    </xf>
    <xf numFmtId="4" fontId="163" fillId="0" borderId="252" xfId="2" applyNumberFormat="1" applyFont="1" applyBorder="1" applyAlignment="1">
      <alignment vertical="center"/>
    </xf>
    <xf numFmtId="4" fontId="163" fillId="0" borderId="249" xfId="1" applyNumberFormat="1" applyFont="1" applyBorder="1" applyAlignment="1">
      <alignment vertical="center"/>
    </xf>
    <xf numFmtId="4" fontId="163" fillId="0" borderId="253" xfId="1" applyNumberFormat="1" applyFont="1" applyBorder="1" applyAlignment="1">
      <alignment vertical="center"/>
    </xf>
    <xf numFmtId="4" fontId="148" fillId="0" borderId="254" xfId="1" applyNumberFormat="1" applyFont="1" applyBorder="1" applyAlignment="1">
      <alignment horizontal="center" vertical="center"/>
    </xf>
    <xf numFmtId="4" fontId="158" fillId="0" borderId="53" xfId="2" applyNumberFormat="1" applyFont="1" applyBorder="1" applyAlignment="1">
      <alignment vertical="center"/>
    </xf>
    <xf numFmtId="4" fontId="30" fillId="0" borderId="16" xfId="1" applyNumberFormat="1" applyFont="1" applyBorder="1" applyAlignment="1">
      <alignment vertical="center"/>
    </xf>
    <xf numFmtId="4" fontId="30" fillId="0" borderId="148" xfId="1" applyNumberFormat="1" applyFont="1" applyBorder="1" applyAlignment="1">
      <alignment vertical="center"/>
    </xf>
    <xf numFmtId="4" fontId="148" fillId="0" borderId="16" xfId="1" applyNumberFormat="1" applyFont="1" applyBorder="1" applyAlignment="1">
      <alignment vertical="center"/>
    </xf>
    <xf numFmtId="4" fontId="30" fillId="0" borderId="18" xfId="2" applyNumberFormat="1" applyFont="1" applyBorder="1" applyAlignment="1">
      <alignment vertical="center"/>
    </xf>
    <xf numFmtId="4" fontId="29" fillId="0" borderId="18" xfId="2" applyNumberFormat="1" applyFont="1" applyBorder="1" applyAlignment="1">
      <alignment vertical="center"/>
    </xf>
    <xf numFmtId="4" fontId="149" fillId="0" borderId="148" xfId="1" applyNumberFormat="1" applyFont="1" applyBorder="1" applyAlignment="1">
      <alignment vertical="center"/>
    </xf>
    <xf numFmtId="4" fontId="29" fillId="0" borderId="16" xfId="1" applyNumberFormat="1" applyFont="1" applyBorder="1"/>
    <xf numFmtId="4" fontId="29" fillId="0" borderId="0" xfId="1" applyNumberFormat="1" applyFont="1" applyAlignment="1">
      <alignment vertical="center"/>
    </xf>
    <xf numFmtId="4" fontId="30" fillId="0" borderId="148" xfId="0" applyNumberFormat="1" applyFont="1" applyBorder="1" applyAlignment="1">
      <alignment vertical="center"/>
    </xf>
    <xf numFmtId="4" fontId="76" fillId="0" borderId="64" xfId="0" applyNumberFormat="1" applyFont="1" applyBorder="1" applyAlignment="1">
      <alignment vertical="center"/>
    </xf>
    <xf numFmtId="4" fontId="76" fillId="0" borderId="43" xfId="0" applyNumberFormat="1" applyFont="1" applyBorder="1" applyAlignment="1">
      <alignment vertical="center"/>
    </xf>
    <xf numFmtId="4" fontId="29" fillId="0" borderId="18" xfId="0" applyNumberFormat="1" applyFont="1" applyBorder="1" applyAlignment="1">
      <alignment horizontal="right" vertical="center"/>
    </xf>
    <xf numFmtId="4" fontId="149" fillId="0" borderId="21" xfId="1" applyNumberFormat="1" applyFont="1" applyBorder="1" applyAlignment="1">
      <alignment horizontal="center" vertical="center"/>
    </xf>
    <xf numFmtId="4" fontId="158" fillId="0" borderId="64" xfId="0" applyNumberFormat="1" applyFont="1" applyBorder="1" applyAlignment="1">
      <alignment vertical="center"/>
    </xf>
    <xf numFmtId="4" fontId="158" fillId="0" borderId="64" xfId="1" applyNumberFormat="1" applyFont="1" applyBorder="1" applyAlignment="1">
      <alignment vertical="center"/>
    </xf>
    <xf numFmtId="4" fontId="30" fillId="0" borderId="26" xfId="1" applyNumberFormat="1" applyFont="1" applyBorder="1" applyAlignment="1">
      <alignment vertical="center"/>
    </xf>
    <xf numFmtId="4" fontId="30" fillId="0" borderId="151" xfId="1" applyNumberFormat="1" applyFont="1" applyBorder="1" applyAlignment="1">
      <alignment vertical="center"/>
    </xf>
    <xf numFmtId="4" fontId="148" fillId="0" borderId="26" xfId="1" applyNumberFormat="1" applyFont="1" applyBorder="1" applyAlignment="1">
      <alignment vertical="center"/>
    </xf>
    <xf numFmtId="4" fontId="30" fillId="0" borderId="18" xfId="0" applyNumberFormat="1" applyFont="1" applyBorder="1" applyAlignment="1">
      <alignment horizontal="right" vertical="center"/>
    </xf>
    <xf numFmtId="4" fontId="29" fillId="0" borderId="12" xfId="0" applyNumberFormat="1" applyFont="1" applyBorder="1" applyAlignment="1">
      <alignment horizontal="right" vertical="center"/>
    </xf>
    <xf numFmtId="4" fontId="163" fillId="0" borderId="252" xfId="0" applyNumberFormat="1" applyFont="1" applyBorder="1" applyAlignment="1">
      <alignment vertical="center"/>
    </xf>
    <xf numFmtId="4" fontId="30" fillId="0" borderId="12" xfId="0" applyNumberFormat="1" applyFont="1" applyBorder="1" applyAlignment="1">
      <alignment horizontal="right" vertical="center"/>
    </xf>
    <xf numFmtId="4" fontId="30" fillId="0" borderId="64" xfId="0" applyNumberFormat="1" applyFont="1" applyBorder="1" applyAlignment="1">
      <alignment vertical="center"/>
    </xf>
    <xf numFmtId="4" fontId="29" fillId="0" borderId="64" xfId="1" applyNumberFormat="1" applyFont="1" applyBorder="1" applyAlignment="1">
      <alignment vertical="center"/>
    </xf>
    <xf numFmtId="4" fontId="149" fillId="0" borderId="64" xfId="1" applyNumberFormat="1" applyFont="1" applyBorder="1" applyAlignment="1">
      <alignment vertical="center"/>
    </xf>
    <xf numFmtId="4" fontId="30" fillId="0" borderId="65" xfId="0" applyNumberFormat="1" applyFont="1" applyBorder="1" applyAlignment="1">
      <alignment vertical="center"/>
    </xf>
    <xf numFmtId="4" fontId="29" fillId="0" borderId="65" xfId="1" applyNumberFormat="1" applyFont="1" applyBorder="1" applyAlignment="1">
      <alignment vertical="center"/>
    </xf>
    <xf numFmtId="4" fontId="149" fillId="0" borderId="65" xfId="1" applyNumberFormat="1" applyFont="1" applyBorder="1" applyAlignment="1">
      <alignment vertical="center"/>
    </xf>
    <xf numFmtId="4" fontId="148" fillId="57" borderId="35" xfId="0" applyNumberFormat="1" applyFont="1" applyFill="1" applyBorder="1" applyAlignment="1">
      <alignment vertical="center"/>
    </xf>
    <xf numFmtId="4" fontId="148" fillId="57" borderId="35" xfId="1" applyNumberFormat="1" applyFont="1" applyFill="1" applyBorder="1" applyAlignment="1">
      <alignment vertical="center"/>
    </xf>
    <xf numFmtId="4" fontId="163" fillId="0" borderId="255" xfId="0" applyNumberFormat="1" applyFont="1" applyBorder="1" applyAlignment="1">
      <alignment vertical="center"/>
    </xf>
    <xf numFmtId="4" fontId="148" fillId="0" borderId="249" xfId="1" applyNumberFormat="1" applyFont="1" applyBorder="1" applyAlignment="1">
      <alignment horizontal="center" vertical="center"/>
    </xf>
    <xf numFmtId="4" fontId="30" fillId="0" borderId="117" xfId="0" applyNumberFormat="1" applyFont="1" applyBorder="1" applyAlignment="1">
      <alignment vertical="center"/>
    </xf>
    <xf numFmtId="4" fontId="29" fillId="0" borderId="118" xfId="0" applyNumberFormat="1" applyFont="1" applyBorder="1" applyAlignment="1">
      <alignment vertical="center"/>
    </xf>
    <xf numFmtId="4" fontId="29" fillId="0" borderId="17" xfId="0" applyNumberFormat="1" applyFont="1" applyBorder="1" applyAlignment="1">
      <alignment vertical="center"/>
    </xf>
    <xf numFmtId="4" fontId="29" fillId="0" borderId="118" xfId="2" applyNumberFormat="1" applyFont="1" applyBorder="1" applyAlignment="1">
      <alignment vertical="center"/>
    </xf>
    <xf numFmtId="4" fontId="29" fillId="0" borderId="18" xfId="2" applyNumberFormat="1" applyFont="1" applyBorder="1" applyAlignment="1">
      <alignment horizontal="right" vertical="center"/>
    </xf>
    <xf numFmtId="4" fontId="29" fillId="0" borderId="12" xfId="2" applyNumberFormat="1" applyFont="1" applyBorder="1" applyAlignment="1">
      <alignment vertical="center"/>
    </xf>
    <xf numFmtId="4" fontId="170" fillId="0" borderId="252" xfId="2" applyNumberFormat="1" applyFont="1" applyBorder="1" applyAlignment="1">
      <alignment horizontal="right" vertical="center"/>
    </xf>
    <xf numFmtId="4" fontId="170" fillId="0" borderId="249" xfId="1" applyNumberFormat="1" applyFont="1" applyBorder="1" applyAlignment="1">
      <alignment vertical="center"/>
    </xf>
    <xf numFmtId="4" fontId="176" fillId="0" borderId="249" xfId="1" applyNumberFormat="1" applyFont="1" applyBorder="1" applyAlignment="1">
      <alignment vertical="center"/>
    </xf>
    <xf numFmtId="4" fontId="76" fillId="0" borderId="53" xfId="2" applyNumberFormat="1" applyFont="1" applyBorder="1" applyAlignment="1">
      <alignment horizontal="right" vertical="center"/>
    </xf>
    <xf numFmtId="4" fontId="76" fillId="0" borderId="26" xfId="1" applyNumberFormat="1" applyFont="1" applyBorder="1" applyAlignment="1">
      <alignment vertical="center"/>
    </xf>
    <xf numFmtId="4" fontId="29" fillId="0" borderId="151" xfId="1" applyNumberFormat="1" applyFont="1" applyBorder="1" applyAlignment="1">
      <alignment vertical="center"/>
    </xf>
    <xf numFmtId="4" fontId="177" fillId="0" borderId="26" xfId="1" applyNumberFormat="1" applyFont="1" applyBorder="1" applyAlignment="1">
      <alignment vertical="center"/>
    </xf>
    <xf numFmtId="4" fontId="29" fillId="0" borderId="20" xfId="2" applyNumberFormat="1" applyFont="1" applyBorder="1" applyAlignment="1">
      <alignment vertical="center"/>
    </xf>
    <xf numFmtId="4" fontId="29" fillId="0" borderId="10" xfId="1" applyNumberFormat="1" applyFont="1" applyBorder="1" applyAlignment="1">
      <alignment vertical="center"/>
    </xf>
    <xf numFmtId="4" fontId="29" fillId="0" borderId="158" xfId="1" applyNumberFormat="1" applyFont="1" applyBorder="1" applyAlignment="1">
      <alignment vertical="center"/>
    </xf>
    <xf numFmtId="4" fontId="149" fillId="0" borderId="10" xfId="1" applyNumberFormat="1" applyFont="1" applyBorder="1" applyAlignment="1">
      <alignment horizontal="center" vertical="center"/>
    </xf>
    <xf numFmtId="4" fontId="35" fillId="57" borderId="125" xfId="1" applyNumberFormat="1" applyFont="1" applyFill="1" applyBorder="1" applyAlignment="1">
      <alignment vertical="center"/>
    </xf>
    <xf numFmtId="4" fontId="148" fillId="57" borderId="125" xfId="1" applyNumberFormat="1" applyFont="1" applyFill="1" applyBorder="1" applyAlignment="1">
      <alignment horizontal="center" vertical="center"/>
    </xf>
    <xf numFmtId="4" fontId="29" fillId="0" borderId="53" xfId="2" applyNumberFormat="1" applyFont="1" applyBorder="1" applyAlignment="1">
      <alignment vertical="center"/>
    </xf>
    <xf numFmtId="4" fontId="29" fillId="0" borderId="26" xfId="1" applyNumberFormat="1" applyFont="1" applyBorder="1" applyAlignment="1">
      <alignment vertical="center"/>
    </xf>
    <xf numFmtId="4" fontId="149" fillId="0" borderId="26" xfId="1" applyNumberFormat="1" applyFont="1" applyBorder="1" applyAlignment="1">
      <alignment vertical="center"/>
    </xf>
    <xf numFmtId="4" fontId="30" fillId="0" borderId="53" xfId="2" applyNumberFormat="1" applyFont="1" applyBorder="1" applyAlignment="1">
      <alignment vertical="center"/>
    </xf>
    <xf numFmtId="4" fontId="29" fillId="0" borderId="53" xfId="0" applyNumberFormat="1" applyFont="1" applyBorder="1" applyAlignment="1">
      <alignment vertical="center"/>
    </xf>
    <xf numFmtId="4" fontId="29" fillId="0" borderId="142" xfId="0" applyNumberFormat="1" applyFont="1" applyBorder="1" applyAlignment="1">
      <alignment vertical="center"/>
    </xf>
    <xf numFmtId="4" fontId="165" fillId="0" borderId="255" xfId="1" applyNumberFormat="1" applyFont="1" applyBorder="1" applyAlignment="1">
      <alignment vertical="center"/>
    </xf>
    <xf numFmtId="4" fontId="163" fillId="0" borderId="251" xfId="0" applyNumberFormat="1" applyFont="1" applyBorder="1" applyAlignment="1">
      <alignment vertical="center"/>
    </xf>
    <xf numFmtId="4" fontId="163" fillId="0" borderId="249" xfId="4" applyNumberFormat="1" applyFont="1" applyBorder="1" applyAlignment="1">
      <alignment vertical="center"/>
    </xf>
    <xf numFmtId="4" fontId="148" fillId="0" borderId="249" xfId="3" applyNumberFormat="1" applyFont="1" applyBorder="1" applyAlignment="1">
      <alignment vertical="center"/>
    </xf>
    <xf numFmtId="4" fontId="30" fillId="0" borderId="117" xfId="0" applyNumberFormat="1" applyFont="1" applyBorder="1" applyAlignment="1">
      <alignment horizontal="right" vertical="center"/>
    </xf>
    <xf numFmtId="4" fontId="30" fillId="0" borderId="30" xfId="0" applyNumberFormat="1" applyFont="1" applyBorder="1" applyAlignment="1">
      <alignment vertical="center"/>
    </xf>
    <xf numFmtId="4" fontId="30" fillId="0" borderId="26" xfId="3" applyNumberFormat="1" applyFont="1" applyBorder="1" applyAlignment="1">
      <alignment vertical="center"/>
    </xf>
    <xf numFmtId="4" fontId="30" fillId="0" borderId="151" xfId="3" applyNumberFormat="1" applyFont="1" applyBorder="1" applyAlignment="1">
      <alignment vertical="center"/>
    </xf>
    <xf numFmtId="4" fontId="148" fillId="0" borderId="26" xfId="3" applyNumberFormat="1" applyFont="1" applyBorder="1" applyAlignment="1">
      <alignment vertical="center"/>
    </xf>
    <xf numFmtId="4" fontId="29" fillId="0" borderId="118" xfId="0" applyNumberFormat="1" applyFont="1" applyBorder="1" applyAlignment="1">
      <alignment horizontal="right" vertical="center"/>
    </xf>
    <xf numFmtId="4" fontId="29" fillId="0" borderId="16" xfId="3" applyNumberFormat="1" applyFont="1" applyBorder="1" applyAlignment="1">
      <alignment vertical="center"/>
    </xf>
    <xf numFmtId="4" fontId="29" fillId="0" borderId="148" xfId="3" applyNumberFormat="1" applyFont="1" applyBorder="1" applyAlignment="1">
      <alignment vertical="center"/>
    </xf>
    <xf numFmtId="4" fontId="29" fillId="0" borderId="11" xfId="0" applyNumberFormat="1" applyFont="1" applyBorder="1" applyAlignment="1">
      <alignment vertical="center"/>
    </xf>
    <xf numFmtId="4" fontId="29" fillId="0" borderId="21" xfId="3" applyNumberFormat="1" applyFont="1" applyBorder="1" applyAlignment="1">
      <alignment vertical="center"/>
    </xf>
    <xf numFmtId="4" fontId="29" fillId="0" borderId="150" xfId="3" applyNumberFormat="1" applyFont="1" applyBorder="1" applyAlignment="1">
      <alignment vertical="center"/>
    </xf>
    <xf numFmtId="4" fontId="29" fillId="0" borderId="117" xfId="0" applyNumberFormat="1" applyFont="1" applyBorder="1" applyAlignment="1">
      <alignment vertical="center"/>
    </xf>
    <xf numFmtId="4" fontId="148" fillId="0" borderId="118" xfId="0" applyNumberFormat="1" applyFont="1" applyBorder="1" applyAlignment="1">
      <alignment vertical="center"/>
    </xf>
    <xf numFmtId="4" fontId="148" fillId="0" borderId="18" xfId="0" applyNumberFormat="1" applyFont="1" applyBorder="1" applyAlignment="1">
      <alignment vertical="center"/>
    </xf>
    <xf numFmtId="4" fontId="29" fillId="0" borderId="109" xfId="0" applyNumberFormat="1" applyFont="1" applyBorder="1" applyAlignment="1">
      <alignment vertical="center"/>
    </xf>
    <xf numFmtId="4" fontId="29" fillId="0" borderId="54" xfId="0" applyNumberFormat="1" applyFont="1" applyBorder="1" applyAlignment="1">
      <alignment vertical="center"/>
    </xf>
    <xf numFmtId="4" fontId="30" fillId="0" borderId="118" xfId="0" applyNumberFormat="1" applyFont="1" applyBorder="1" applyAlignment="1">
      <alignment vertical="center"/>
    </xf>
    <xf numFmtId="4" fontId="102" fillId="0" borderId="118" xfId="0" applyNumberFormat="1" applyFont="1" applyBorder="1" applyAlignment="1">
      <alignment vertical="center"/>
    </xf>
    <xf numFmtId="4" fontId="102" fillId="0" borderId="18" xfId="0" applyNumberFormat="1" applyFont="1" applyBorder="1" applyAlignment="1">
      <alignment vertical="center"/>
    </xf>
    <xf numFmtId="4" fontId="87" fillId="0" borderId="16" xfId="1" applyNumberFormat="1" applyFont="1" applyBorder="1" applyAlignment="1">
      <alignment vertical="center"/>
    </xf>
    <xf numFmtId="4" fontId="103" fillId="0" borderId="148" xfId="1" applyNumberFormat="1" applyFont="1" applyBorder="1" applyAlignment="1">
      <alignment vertical="center"/>
    </xf>
    <xf numFmtId="4" fontId="180" fillId="0" borderId="16" xfId="1" applyNumberFormat="1" applyFont="1" applyBorder="1" applyAlignment="1">
      <alignment horizontal="center" vertical="center"/>
    </xf>
    <xf numFmtId="4" fontId="52" fillId="0" borderId="148" xfId="1" applyNumberFormat="1" applyFont="1" applyBorder="1" applyAlignment="1">
      <alignment vertical="center"/>
    </xf>
    <xf numFmtId="4" fontId="87" fillId="0" borderId="118" xfId="0" applyNumberFormat="1" applyFont="1" applyBorder="1" applyAlignment="1">
      <alignment vertical="center"/>
    </xf>
    <xf numFmtId="4" fontId="87" fillId="0" borderId="18" xfId="0" applyNumberFormat="1" applyFont="1" applyBorder="1" applyAlignment="1">
      <alignment vertical="center"/>
    </xf>
    <xf numFmtId="4" fontId="153" fillId="0" borderId="16" xfId="1" applyNumberFormat="1" applyFont="1" applyBorder="1" applyAlignment="1">
      <alignment vertical="center"/>
    </xf>
    <xf numFmtId="4" fontId="153" fillId="0" borderId="16" xfId="1" applyNumberFormat="1" applyFont="1" applyBorder="1" applyAlignment="1">
      <alignment horizontal="center" vertical="center"/>
    </xf>
    <xf numFmtId="4" fontId="31" fillId="0" borderId="118" xfId="0" applyNumberFormat="1" applyFont="1" applyBorder="1" applyAlignment="1">
      <alignment vertical="center"/>
    </xf>
    <xf numFmtId="4" fontId="29" fillId="0" borderId="0" xfId="0" applyNumberFormat="1" applyFont="1" applyAlignment="1">
      <alignment vertical="center"/>
    </xf>
    <xf numFmtId="4" fontId="30" fillId="0" borderId="142" xfId="0" applyNumberFormat="1" applyFont="1" applyBorder="1" applyAlignment="1">
      <alignment vertical="center"/>
    </xf>
    <xf numFmtId="4" fontId="163" fillId="0" borderId="252" xfId="0" applyNumberFormat="1" applyFont="1" applyBorder="1" applyAlignment="1">
      <alignment horizontal="right" vertical="center"/>
    </xf>
    <xf numFmtId="4" fontId="29" fillId="0" borderId="17" xfId="1" applyNumberFormat="1" applyFont="1" applyBorder="1" applyAlignment="1">
      <alignment vertical="center"/>
    </xf>
    <xf numFmtId="4" fontId="149" fillId="0" borderId="17" xfId="1" applyNumberFormat="1" applyFont="1" applyBorder="1" applyAlignment="1">
      <alignment vertical="center"/>
    </xf>
    <xf numFmtId="4" fontId="163" fillId="0" borderId="118" xfId="0" applyNumberFormat="1" applyFont="1" applyBorder="1" applyAlignment="1">
      <alignment vertical="center"/>
    </xf>
    <xf numFmtId="4" fontId="163" fillId="0" borderId="16" xfId="1" applyNumberFormat="1" applyFont="1" applyBorder="1" applyAlignment="1">
      <alignment vertical="center"/>
    </xf>
    <xf numFmtId="4" fontId="163" fillId="0" borderId="148" xfId="1" applyNumberFormat="1" applyFont="1" applyBorder="1" applyAlignment="1">
      <alignment vertical="center"/>
    </xf>
    <xf numFmtId="4" fontId="164" fillId="0" borderId="118" xfId="0" applyNumberFormat="1" applyFont="1" applyBorder="1" applyAlignment="1">
      <alignment vertical="center"/>
    </xf>
    <xf numFmtId="4" fontId="164" fillId="0" borderId="16" xfId="1" applyNumberFormat="1" applyFont="1" applyBorder="1" applyAlignment="1">
      <alignment vertical="center"/>
    </xf>
    <xf numFmtId="4" fontId="164" fillId="0" borderId="148" xfId="1" applyNumberFormat="1" applyFont="1" applyBorder="1" applyAlignment="1">
      <alignment vertical="center"/>
    </xf>
    <xf numFmtId="4" fontId="29" fillId="0" borderId="28" xfId="1" applyNumberFormat="1" applyFont="1" applyBorder="1" applyAlignment="1">
      <alignment vertical="center"/>
    </xf>
    <xf numFmtId="4" fontId="29" fillId="0" borderId="147" xfId="1" applyNumberFormat="1" applyFont="1" applyBorder="1" applyAlignment="1">
      <alignment vertical="center"/>
    </xf>
    <xf numFmtId="4" fontId="30" fillId="57" borderId="5" xfId="1" applyNumberFormat="1" applyFont="1" applyFill="1" applyBorder="1" applyAlignment="1">
      <alignment vertical="center"/>
    </xf>
    <xf numFmtId="4" fontId="47" fillId="57" borderId="5" xfId="1" applyNumberFormat="1" applyFont="1" applyFill="1" applyBorder="1" applyAlignment="1">
      <alignment vertical="center"/>
    </xf>
    <xf numFmtId="4" fontId="30" fillId="57" borderId="247" xfId="1" applyNumberFormat="1" applyFont="1" applyFill="1" applyBorder="1" applyAlignment="1">
      <alignment vertical="center"/>
    </xf>
    <xf numFmtId="4" fontId="148" fillId="57" borderId="5" xfId="1" applyNumberFormat="1" applyFont="1" applyFill="1" applyBorder="1" applyAlignment="1">
      <alignment vertical="center"/>
    </xf>
    <xf numFmtId="4" fontId="47" fillId="0" borderId="26" xfId="1" applyNumberFormat="1" applyFont="1" applyBorder="1" applyAlignment="1">
      <alignment vertical="center"/>
    </xf>
    <xf numFmtId="4" fontId="30" fillId="0" borderId="21" xfId="1" applyNumberFormat="1" applyFont="1" applyBorder="1" applyAlignment="1">
      <alignment vertical="center"/>
    </xf>
    <xf numFmtId="4" fontId="30" fillId="0" borderId="150" xfId="1" applyNumberFormat="1" applyFont="1" applyBorder="1" applyAlignment="1">
      <alignment vertical="center"/>
    </xf>
    <xf numFmtId="4" fontId="148" fillId="0" borderId="21" xfId="1" applyNumberFormat="1" applyFont="1" applyBorder="1" applyAlignment="1">
      <alignment vertical="center"/>
    </xf>
    <xf numFmtId="4" fontId="30" fillId="57" borderId="249" xfId="1" applyNumberFormat="1" applyFont="1" applyFill="1" applyBorder="1" applyAlignment="1">
      <alignment vertical="center"/>
    </xf>
    <xf numFmtId="4" fontId="30" fillId="57" borderId="253" xfId="1" applyNumberFormat="1" applyFont="1" applyFill="1" applyBorder="1" applyAlignment="1">
      <alignment vertical="center"/>
    </xf>
    <xf numFmtId="4" fontId="148" fillId="57" borderId="249" xfId="1" applyNumberFormat="1" applyFont="1" applyFill="1" applyBorder="1" applyAlignment="1">
      <alignment vertical="center"/>
    </xf>
    <xf numFmtId="4" fontId="30" fillId="0" borderId="109" xfId="0" applyNumberFormat="1" applyFont="1" applyBorder="1" applyAlignment="1">
      <alignment vertical="center"/>
    </xf>
    <xf numFmtId="4" fontId="30" fillId="0" borderId="28" xfId="1" applyNumberFormat="1" applyFont="1" applyBorder="1" applyAlignment="1">
      <alignment vertical="center"/>
    </xf>
    <xf numFmtId="4" fontId="30" fillId="0" borderId="147" xfId="1" applyNumberFormat="1" applyFont="1" applyBorder="1" applyAlignment="1">
      <alignment vertical="center"/>
    </xf>
    <xf numFmtId="4" fontId="148" fillId="0" borderId="28" xfId="1" applyNumberFormat="1" applyFont="1" applyBorder="1" applyAlignment="1">
      <alignment vertical="center"/>
    </xf>
    <xf numFmtId="4" fontId="163" fillId="49" borderId="35" xfId="0" applyNumberFormat="1" applyFont="1" applyFill="1" applyBorder="1" applyAlignment="1">
      <alignment vertical="center"/>
    </xf>
    <xf numFmtId="4" fontId="148" fillId="57" borderId="255" xfId="0" applyNumberFormat="1" applyFont="1" applyFill="1" applyBorder="1" applyAlignment="1">
      <alignment vertical="center"/>
    </xf>
    <xf numFmtId="4" fontId="139" fillId="0" borderId="18" xfId="1" applyNumberFormat="1" applyBorder="1" applyAlignment="1">
      <alignment horizontal="right" vertical="center"/>
    </xf>
    <xf numFmtId="4" fontId="139" fillId="0" borderId="18" xfId="1" applyNumberFormat="1" applyBorder="1" applyAlignment="1">
      <alignment vertical="center"/>
    </xf>
    <xf numFmtId="4" fontId="76" fillId="0" borderId="18" xfId="1" applyNumberFormat="1" applyFont="1" applyBorder="1" applyAlignment="1">
      <alignment vertical="center"/>
    </xf>
    <xf numFmtId="4" fontId="72" fillId="0" borderId="18" xfId="0" applyNumberFormat="1" applyFont="1" applyBorder="1" applyAlignment="1">
      <alignment vertical="center" wrapText="1"/>
    </xf>
    <xf numFmtId="4" fontId="72" fillId="0" borderId="118" xfId="0" applyNumberFormat="1" applyFont="1" applyBorder="1" applyAlignment="1">
      <alignment horizontal="right" vertical="center" wrapText="1"/>
    </xf>
    <xf numFmtId="4" fontId="72" fillId="0" borderId="118" xfId="0" applyNumberFormat="1" applyFont="1" applyBorder="1" applyAlignment="1">
      <alignment vertical="center"/>
    </xf>
    <xf numFmtId="4" fontId="72" fillId="0" borderId="18" xfId="0" applyNumberFormat="1" applyFont="1" applyBorder="1" applyAlignment="1">
      <alignment vertical="center"/>
    </xf>
    <xf numFmtId="4" fontId="31" fillId="0" borderId="16" xfId="1" applyNumberFormat="1" applyFont="1" applyBorder="1" applyAlignment="1">
      <alignment vertical="center"/>
    </xf>
    <xf numFmtId="4" fontId="31" fillId="0" borderId="148" xfId="1" applyNumberFormat="1" applyFont="1" applyBorder="1" applyAlignment="1">
      <alignment vertical="center"/>
    </xf>
    <xf numFmtId="4" fontId="39" fillId="0" borderId="118" xfId="0" applyNumberFormat="1" applyFont="1" applyBorder="1" applyAlignment="1">
      <alignment vertical="center"/>
    </xf>
    <xf numFmtId="4" fontId="39" fillId="0" borderId="18" xfId="0" applyNumberFormat="1" applyFont="1" applyBorder="1" applyAlignment="1">
      <alignment vertical="center"/>
    </xf>
    <xf numFmtId="4" fontId="30" fillId="0" borderId="18" xfId="1" applyNumberFormat="1" applyFont="1" applyBorder="1" applyAlignment="1">
      <alignment vertical="center"/>
    </xf>
    <xf numFmtId="4" fontId="30" fillId="0" borderId="162" xfId="1" applyNumberFormat="1" applyFont="1" applyBorder="1" applyAlignment="1">
      <alignment vertical="center"/>
    </xf>
    <xf numFmtId="4" fontId="29" fillId="0" borderId="18" xfId="1" applyNumberFormat="1" applyFont="1" applyBorder="1" applyAlignment="1">
      <alignment vertical="center"/>
    </xf>
    <xf numFmtId="4" fontId="29" fillId="0" borderId="162" xfId="1" applyNumberFormat="1" applyFont="1" applyBorder="1" applyAlignment="1">
      <alignment vertical="center"/>
    </xf>
    <xf numFmtId="4" fontId="29" fillId="0" borderId="12" xfId="1" applyNumberFormat="1" applyFont="1" applyBorder="1" applyAlignment="1">
      <alignment vertical="center"/>
    </xf>
    <xf numFmtId="4" fontId="29" fillId="0" borderId="163" xfId="1" applyNumberFormat="1" applyFont="1" applyBorder="1" applyAlignment="1">
      <alignment vertical="center"/>
    </xf>
    <xf numFmtId="4" fontId="176" fillId="57" borderId="35" xfId="2" applyNumberFormat="1" applyFont="1" applyFill="1" applyBorder="1" applyAlignment="1">
      <alignment vertical="center"/>
    </xf>
    <xf numFmtId="4" fontId="148" fillId="57" borderId="35" xfId="2" applyNumberFormat="1" applyFont="1" applyFill="1" applyBorder="1" applyAlignment="1">
      <alignment vertical="center"/>
    </xf>
    <xf numFmtId="4" fontId="164" fillId="0" borderId="35" xfId="0" applyNumberFormat="1" applyFont="1" applyBorder="1" applyAlignment="1">
      <alignment vertical="center"/>
    </xf>
    <xf numFmtId="4" fontId="170" fillId="0" borderId="35" xfId="2" applyNumberFormat="1" applyFont="1" applyBorder="1" applyAlignment="1">
      <alignment vertical="center"/>
    </xf>
    <xf numFmtId="4" fontId="163" fillId="0" borderId="35" xfId="2" applyNumberFormat="1" applyFont="1" applyBorder="1" applyAlignment="1">
      <alignment vertical="center"/>
    </xf>
    <xf numFmtId="4" fontId="176" fillId="0" borderId="35" xfId="2" applyNumberFormat="1" applyFont="1" applyBorder="1" applyAlignment="1">
      <alignment vertical="center"/>
    </xf>
    <xf numFmtId="4" fontId="29" fillId="0" borderId="139" xfId="0" applyNumberFormat="1" applyFont="1" applyBorder="1" applyAlignment="1">
      <alignment vertical="center"/>
    </xf>
    <xf numFmtId="4" fontId="50" fillId="0" borderId="139" xfId="2" applyNumberFormat="1" applyFont="1" applyBorder="1" applyAlignment="1">
      <alignment vertical="center"/>
    </xf>
    <xf numFmtId="4" fontId="30" fillId="0" borderId="161" xfId="2" applyNumberFormat="1" applyFont="1" applyBorder="1" applyAlignment="1">
      <alignment vertical="center"/>
    </xf>
    <xf numFmtId="4" fontId="50" fillId="0" borderId="161" xfId="2" applyNumberFormat="1" applyFont="1" applyBorder="1" applyAlignment="1">
      <alignment vertical="center"/>
    </xf>
    <xf numFmtId="4" fontId="176" fillId="0" borderId="161" xfId="2" applyNumberFormat="1" applyFont="1" applyBorder="1" applyAlignment="1">
      <alignment vertical="center"/>
    </xf>
    <xf numFmtId="4" fontId="29" fillId="0" borderId="64" xfId="0" applyNumberFormat="1" applyFont="1" applyBorder="1" applyAlignment="1">
      <alignment vertical="center"/>
    </xf>
    <xf numFmtId="4" fontId="177" fillId="0" borderId="64" xfId="2" applyNumberFormat="1" applyFont="1" applyBorder="1" applyAlignment="1">
      <alignment vertical="center"/>
    </xf>
    <xf numFmtId="4" fontId="149" fillId="0" borderId="64" xfId="2" applyNumberFormat="1" applyFont="1" applyBorder="1" applyAlignment="1">
      <alignment vertical="center"/>
    </xf>
    <xf numFmtId="4" fontId="29" fillId="0" borderId="58" xfId="0" applyNumberFormat="1" applyFont="1" applyBorder="1" applyAlignment="1">
      <alignment vertical="center"/>
    </xf>
    <xf numFmtId="4" fontId="29" fillId="0" borderId="164" xfId="0" applyNumberFormat="1" applyFont="1" applyBorder="1" applyAlignment="1">
      <alignment vertical="center"/>
    </xf>
    <xf numFmtId="168" fontId="170" fillId="0" borderId="52" xfId="2" applyFont="1" applyBorder="1" applyAlignment="1">
      <alignment vertical="center"/>
    </xf>
    <xf numFmtId="168" fontId="170" fillId="0" borderId="5" xfId="2" applyFont="1" applyBorder="1" applyAlignment="1">
      <alignment vertical="center"/>
    </xf>
    <xf numFmtId="4" fontId="185" fillId="0" borderId="5" xfId="0" applyNumberFormat="1" applyFont="1" applyBorder="1" applyAlignment="1">
      <alignment vertical="center"/>
    </xf>
    <xf numFmtId="0" fontId="185" fillId="0" borderId="52" xfId="0" applyFont="1" applyBorder="1" applyAlignment="1">
      <alignment horizontal="right" vertical="center"/>
    </xf>
    <xf numFmtId="177" fontId="30" fillId="0" borderId="7" xfId="2" applyNumberFormat="1" applyFont="1" applyBorder="1" applyAlignment="1">
      <alignment vertical="center"/>
    </xf>
    <xf numFmtId="0" fontId="38" fillId="0" borderId="26" xfId="0" applyFont="1" applyBorder="1" applyAlignment="1">
      <alignment horizontal="right" vertical="center"/>
    </xf>
    <xf numFmtId="0" fontId="38" fillId="0" borderId="26" xfId="0" applyFont="1" applyBorder="1" applyAlignment="1">
      <alignment horizontal="center" vertical="center"/>
    </xf>
    <xf numFmtId="0" fontId="38" fillId="0" borderId="27" xfId="0" applyFont="1" applyBorder="1" applyAlignment="1">
      <alignment horizontal="center" vertical="center"/>
    </xf>
    <xf numFmtId="0" fontId="38" fillId="0" borderId="16" xfId="0" applyFont="1" applyBorder="1" applyAlignment="1">
      <alignment horizontal="right" vertical="center"/>
    </xf>
    <xf numFmtId="0" fontId="38" fillId="0" borderId="16" xfId="0" applyFont="1" applyBorder="1" applyAlignment="1">
      <alignment horizontal="center" vertical="center"/>
    </xf>
    <xf numFmtId="0" fontId="38" fillId="0" borderId="24" xfId="0" applyFont="1" applyBorder="1" applyAlignment="1">
      <alignment horizontal="center" vertical="center"/>
    </xf>
    <xf numFmtId="0" fontId="38" fillId="0" borderId="16" xfId="0" quotePrefix="1" applyFont="1" applyBorder="1" applyAlignment="1">
      <alignment horizontal="center" vertical="center"/>
    </xf>
    <xf numFmtId="0" fontId="38" fillId="0" borderId="28" xfId="0" applyFont="1" applyBorder="1" applyAlignment="1">
      <alignment horizontal="right" vertical="center"/>
    </xf>
    <xf numFmtId="0" fontId="38" fillId="0" borderId="28" xfId="0" applyFont="1" applyBorder="1" applyAlignment="1">
      <alignment horizontal="center" vertical="center"/>
    </xf>
    <xf numFmtId="0" fontId="38" fillId="0" borderId="29" xfId="0" applyFont="1" applyBorder="1" applyAlignment="1">
      <alignment horizontal="center" vertical="center"/>
    </xf>
    <xf numFmtId="175" fontId="29" fillId="0" borderId="28" xfId="2" applyNumberFormat="1" applyFont="1" applyBorder="1" applyAlignment="1">
      <alignment horizontal="left" vertical="center"/>
    </xf>
    <xf numFmtId="0" fontId="38" fillId="0" borderId="30" xfId="0" applyFont="1" applyBorder="1" applyAlignment="1">
      <alignment horizontal="center" vertical="center"/>
    </xf>
    <xf numFmtId="175" fontId="29" fillId="0" borderId="26" xfId="2" applyNumberFormat="1" applyFont="1" applyBorder="1" applyAlignment="1">
      <alignment horizontal="left" vertical="center"/>
    </xf>
    <xf numFmtId="0" fontId="38" fillId="0" borderId="17" xfId="0" applyFont="1" applyBorder="1" applyAlignment="1">
      <alignment horizontal="center" vertical="center"/>
    </xf>
    <xf numFmtId="175" fontId="29" fillId="0" borderId="16" xfId="2" applyNumberFormat="1" applyFont="1" applyBorder="1" applyAlignment="1">
      <alignment horizontal="left" vertical="center"/>
    </xf>
    <xf numFmtId="175" fontId="30" fillId="0" borderId="16" xfId="2" applyNumberFormat="1" applyFont="1" applyBorder="1" applyAlignment="1">
      <alignment horizontal="left" vertical="center"/>
    </xf>
    <xf numFmtId="49" fontId="38" fillId="0" borderId="27" xfId="0" applyNumberFormat="1" applyFont="1" applyBorder="1" applyAlignment="1">
      <alignment horizontal="right" vertical="center"/>
    </xf>
    <xf numFmtId="0" fontId="39" fillId="0" borderId="26" xfId="0" applyFont="1" applyBorder="1" applyAlignment="1">
      <alignment horizontal="center" vertical="center"/>
    </xf>
    <xf numFmtId="175" fontId="30" fillId="0" borderId="26" xfId="2" applyNumberFormat="1" applyFont="1" applyBorder="1" applyAlignment="1">
      <alignment horizontal="left" vertical="center"/>
    </xf>
    <xf numFmtId="49" fontId="38" fillId="0" borderId="24" xfId="0" applyNumberFormat="1" applyFont="1" applyBorder="1" applyAlignment="1">
      <alignment horizontal="right" vertical="center"/>
    </xf>
    <xf numFmtId="0" fontId="39" fillId="0" borderId="16" xfId="0" applyFont="1" applyBorder="1" applyAlignment="1">
      <alignment horizontal="center" vertical="center"/>
    </xf>
    <xf numFmtId="177" fontId="29" fillId="0" borderId="16" xfId="2" applyNumberFormat="1" applyFont="1" applyBorder="1" applyAlignment="1">
      <alignment horizontal="left" vertical="center"/>
    </xf>
    <xf numFmtId="0" fontId="39" fillId="0" borderId="16" xfId="0" quotePrefix="1" applyFont="1" applyBorder="1" applyAlignment="1">
      <alignment horizontal="center" vertical="center"/>
    </xf>
    <xf numFmtId="49" fontId="38" fillId="0" borderId="32" xfId="0" applyNumberFormat="1" applyFont="1" applyBorder="1" applyAlignment="1">
      <alignment horizontal="right" vertical="center"/>
    </xf>
    <xf numFmtId="0" fontId="39" fillId="0" borderId="33" xfId="0" applyFont="1" applyBorder="1" applyAlignment="1">
      <alignment horizontal="center" vertical="center"/>
    </xf>
    <xf numFmtId="0" fontId="39" fillId="0" borderId="33" xfId="0" quotePrefix="1" applyFont="1" applyBorder="1" applyAlignment="1">
      <alignment horizontal="center" vertical="center"/>
    </xf>
    <xf numFmtId="175" fontId="29" fillId="0" borderId="33" xfId="2" applyNumberFormat="1" applyFont="1" applyBorder="1" applyAlignment="1">
      <alignment horizontal="left" vertical="center"/>
    </xf>
    <xf numFmtId="49" fontId="38" fillId="0" borderId="32" xfId="0" applyNumberFormat="1" applyFont="1" applyBorder="1" applyAlignment="1">
      <alignment horizontal="center" vertical="center"/>
    </xf>
    <xf numFmtId="0" fontId="38" fillId="0" borderId="33" xfId="0" applyFont="1" applyBorder="1" applyAlignment="1">
      <alignment horizontal="center" vertical="center"/>
    </xf>
    <xf numFmtId="49" fontId="38" fillId="0" borderId="36" xfId="0" applyNumberFormat="1" applyFont="1" applyBorder="1" applyAlignment="1">
      <alignment horizontal="center" vertical="center"/>
    </xf>
    <xf numFmtId="0" fontId="39" fillId="0" borderId="37" xfId="0" applyFont="1" applyBorder="1" applyAlignment="1">
      <alignment horizontal="center" vertical="center"/>
    </xf>
    <xf numFmtId="0" fontId="38" fillId="0" borderId="37" xfId="0" applyFont="1" applyBorder="1" applyAlignment="1">
      <alignment horizontal="center" vertical="center"/>
    </xf>
    <xf numFmtId="175" fontId="29" fillId="0" borderId="56" xfId="2" applyNumberFormat="1" applyFont="1" applyBorder="1" applyAlignment="1">
      <alignment horizontal="left" vertical="center"/>
    </xf>
    <xf numFmtId="49" fontId="38" fillId="0" borderId="39" xfId="0" applyNumberFormat="1" applyFont="1" applyBorder="1" applyAlignment="1">
      <alignment horizontal="center" vertical="center"/>
    </xf>
    <xf numFmtId="0" fontId="39" fillId="0" borderId="40" xfId="0" applyFont="1" applyBorder="1" applyAlignment="1">
      <alignment horizontal="center" vertical="center"/>
    </xf>
    <xf numFmtId="0" fontId="38" fillId="0" borderId="40" xfId="0" applyFont="1" applyBorder="1" applyAlignment="1">
      <alignment horizontal="center" vertical="center"/>
    </xf>
    <xf numFmtId="175" fontId="29" fillId="0" borderId="57" xfId="2" applyNumberFormat="1" applyFont="1" applyBorder="1" applyAlignment="1">
      <alignment horizontal="left" vertical="center"/>
    </xf>
    <xf numFmtId="49" fontId="38" fillId="0" borderId="42" xfId="0" applyNumberFormat="1" applyFont="1" applyBorder="1" applyAlignment="1">
      <alignment horizontal="center" vertical="center"/>
    </xf>
    <xf numFmtId="0" fontId="39" fillId="0" borderId="43" xfId="0" applyFont="1" applyBorder="1" applyAlignment="1">
      <alignment horizontal="center" vertical="center"/>
    </xf>
    <xf numFmtId="0" fontId="38" fillId="0" borderId="43" xfId="0" applyFont="1" applyBorder="1" applyAlignment="1">
      <alignment horizontal="center" vertical="center"/>
    </xf>
    <xf numFmtId="175" fontId="29" fillId="0" borderId="58" xfId="2" applyNumberFormat="1" applyFont="1" applyBorder="1" applyAlignment="1">
      <alignment horizontal="left" vertical="center"/>
    </xf>
    <xf numFmtId="49" fontId="39" fillId="0" borderId="16" xfId="0" applyNumberFormat="1" applyFont="1" applyBorder="1" applyAlignment="1">
      <alignment horizontal="center" vertical="center"/>
    </xf>
    <xf numFmtId="0" fontId="39" fillId="0" borderId="24" xfId="0" applyFont="1" applyBorder="1" applyAlignment="1">
      <alignment horizontal="center" vertical="center"/>
    </xf>
    <xf numFmtId="0" fontId="39" fillId="0" borderId="63" xfId="0" applyFont="1" applyBorder="1" applyAlignment="1">
      <alignment horizontal="center" vertical="center"/>
    </xf>
    <xf numFmtId="0" fontId="39" fillId="0" borderId="21" xfId="0" applyFont="1" applyBorder="1" applyAlignment="1">
      <alignment horizontal="center" vertical="center"/>
    </xf>
    <xf numFmtId="0" fontId="38" fillId="0" borderId="21" xfId="0" applyFont="1" applyBorder="1" applyAlignment="1">
      <alignment horizontal="center" vertical="center"/>
    </xf>
    <xf numFmtId="175" fontId="29" fillId="0" borderId="21" xfId="2" applyNumberFormat="1" applyFont="1" applyBorder="1" applyAlignment="1">
      <alignment horizontal="left" vertical="center"/>
    </xf>
    <xf numFmtId="175" fontId="29" fillId="0" borderId="10" xfId="2" applyNumberFormat="1" applyFont="1" applyBorder="1" applyAlignment="1">
      <alignment horizontal="left" vertical="center"/>
    </xf>
    <xf numFmtId="165" fontId="29" fillId="0" borderId="0" xfId="1" applyFont="1"/>
    <xf numFmtId="0" fontId="29" fillId="0" borderId="3" xfId="0" applyFont="1" applyBorder="1"/>
    <xf numFmtId="43" fontId="30" fillId="0" borderId="0" xfId="0" applyNumberFormat="1" applyFont="1"/>
    <xf numFmtId="165" fontId="29" fillId="0" borderId="0" xfId="2" applyNumberFormat="1" applyFont="1" applyAlignment="1">
      <alignment horizontal="center"/>
    </xf>
    <xf numFmtId="175" fontId="30" fillId="0" borderId="0" xfId="0" applyNumberFormat="1" applyFont="1"/>
    <xf numFmtId="177" fontId="29" fillId="0" borderId="0" xfId="0" applyNumberFormat="1" applyFont="1" applyAlignment="1">
      <alignment horizontal="center"/>
    </xf>
    <xf numFmtId="0" fontId="31" fillId="0" borderId="0" xfId="0" applyFont="1"/>
    <xf numFmtId="1" fontId="29" fillId="0" borderId="0" xfId="0" applyNumberFormat="1" applyFont="1"/>
    <xf numFmtId="1" fontId="29" fillId="0" borderId="0" xfId="0" applyNumberFormat="1" applyFont="1" applyAlignment="1">
      <alignment horizontal="center"/>
    </xf>
    <xf numFmtId="0" fontId="54" fillId="0" borderId="0" xfId="0" applyFont="1" applyAlignment="1">
      <alignment horizontal="center"/>
    </xf>
    <xf numFmtId="2" fontId="30" fillId="0" borderId="0" xfId="0" applyNumberFormat="1" applyFont="1"/>
    <xf numFmtId="2" fontId="29" fillId="0" borderId="0" xfId="0" applyNumberFormat="1" applyFont="1"/>
    <xf numFmtId="165" fontId="30" fillId="0" borderId="11" xfId="1" applyFont="1" applyBorder="1" applyAlignment="1">
      <alignment vertical="center"/>
    </xf>
    <xf numFmtId="49" fontId="156" fillId="58" borderId="48" xfId="0" applyNumberFormat="1" applyFont="1" applyFill="1" applyBorder="1" applyAlignment="1">
      <alignment horizontal="center" vertical="center"/>
    </xf>
    <xf numFmtId="0" fontId="38" fillId="58" borderId="49" xfId="0" applyFont="1" applyFill="1" applyBorder="1" applyAlignment="1">
      <alignment horizontal="center" vertical="center"/>
    </xf>
    <xf numFmtId="0" fontId="35" fillId="58" borderId="50" xfId="0" applyFont="1" applyFill="1" applyBorder="1" applyAlignment="1">
      <alignment vertical="center"/>
    </xf>
    <xf numFmtId="0" fontId="30" fillId="58" borderId="50" xfId="0" applyFont="1" applyFill="1" applyBorder="1" applyAlignment="1">
      <alignment vertical="center"/>
    </xf>
    <xf numFmtId="0" fontId="30" fillId="58" borderId="60" xfId="0" applyFont="1" applyFill="1" applyBorder="1" applyAlignment="1">
      <alignment vertical="center"/>
    </xf>
    <xf numFmtId="175" fontId="30" fillId="58" borderId="49" xfId="2" applyNumberFormat="1" applyFont="1" applyFill="1" applyBorder="1" applyAlignment="1">
      <alignment horizontal="left" vertical="center"/>
    </xf>
    <xf numFmtId="177" fontId="30" fillId="58" borderId="7" xfId="2" applyNumberFormat="1" applyFont="1" applyFill="1" applyBorder="1" applyAlignment="1">
      <alignment vertical="center"/>
    </xf>
    <xf numFmtId="43" fontId="29" fillId="58" borderId="0" xfId="0" applyNumberFormat="1" applyFont="1" applyFill="1"/>
    <xf numFmtId="0" fontId="29" fillId="58" borderId="0" xfId="0" applyFont="1" applyFill="1"/>
    <xf numFmtId="49" fontId="156" fillId="58" borderId="35" xfId="0" applyNumberFormat="1" applyFont="1" applyFill="1" applyBorder="1" applyAlignment="1">
      <alignment horizontal="center" vertical="center"/>
    </xf>
    <xf numFmtId="49" fontId="38" fillId="58" borderId="35" xfId="0" applyNumberFormat="1" applyFont="1" applyFill="1" applyBorder="1" applyAlignment="1">
      <alignment horizontal="center" vertical="center"/>
    </xf>
    <xf numFmtId="0" fontId="38" fillId="58" borderId="35" xfId="0" applyFont="1" applyFill="1" applyBorder="1"/>
    <xf numFmtId="0" fontId="38" fillId="58" borderId="35" xfId="0" applyFont="1" applyFill="1" applyBorder="1" applyAlignment="1">
      <alignment horizontal="center" vertical="center"/>
    </xf>
    <xf numFmtId="0" fontId="35" fillId="58" borderId="35" xfId="0" quotePrefix="1" applyFont="1" applyFill="1" applyBorder="1" applyAlignment="1">
      <alignment vertical="center"/>
    </xf>
    <xf numFmtId="0" fontId="30" fillId="58" borderId="35" xfId="0" applyFont="1" applyFill="1" applyBorder="1" applyAlignment="1">
      <alignment vertical="center"/>
    </xf>
    <xf numFmtId="175" fontId="30" fillId="58" borderId="48" xfId="2" applyNumberFormat="1" applyFont="1" applyFill="1" applyBorder="1" applyAlignment="1">
      <alignment horizontal="left" vertical="center"/>
    </xf>
    <xf numFmtId="0" fontId="30" fillId="58" borderId="0" xfId="0" applyFont="1" applyFill="1"/>
    <xf numFmtId="0" fontId="156" fillId="58" borderId="6" xfId="0" applyFont="1" applyFill="1" applyBorder="1" applyAlignment="1">
      <alignment horizontal="center" vertical="center"/>
    </xf>
    <xf numFmtId="0" fontId="38" fillId="58" borderId="5" xfId="0" applyFont="1" applyFill="1" applyBorder="1" applyAlignment="1">
      <alignment horizontal="center" vertical="center"/>
    </xf>
    <xf numFmtId="0" fontId="38" fillId="58" borderId="8" xfId="0" applyFont="1" applyFill="1" applyBorder="1" applyAlignment="1">
      <alignment horizontal="center" vertical="center"/>
    </xf>
    <xf numFmtId="0" fontId="30" fillId="58" borderId="31" xfId="0" applyFont="1" applyFill="1" applyBorder="1" applyAlignment="1">
      <alignment vertical="center"/>
    </xf>
    <xf numFmtId="0" fontId="30" fillId="58" borderId="52" xfId="0" applyFont="1" applyFill="1" applyBorder="1" applyAlignment="1">
      <alignment vertical="center"/>
    </xf>
    <xf numFmtId="0" fontId="29" fillId="58" borderId="48" xfId="0" applyFont="1" applyFill="1" applyBorder="1" applyAlignment="1">
      <alignment vertical="center"/>
    </xf>
    <xf numFmtId="0" fontId="167" fillId="58" borderId="25" xfId="0" applyFont="1" applyFill="1" applyBorder="1" applyAlignment="1">
      <alignment vertical="center"/>
    </xf>
    <xf numFmtId="0" fontId="38" fillId="17" borderId="6" xfId="0" applyFont="1" applyFill="1" applyBorder="1" applyAlignment="1">
      <alignment horizontal="center" vertical="center"/>
    </xf>
    <xf numFmtId="0" fontId="38" fillId="17" borderId="5" xfId="0" applyFont="1" applyFill="1" applyBorder="1" applyAlignment="1">
      <alignment horizontal="center" vertical="center"/>
    </xf>
    <xf numFmtId="0" fontId="38" fillId="17" borderId="8" xfId="0" applyFont="1" applyFill="1" applyBorder="1" applyAlignment="1">
      <alignment horizontal="center" vertical="center"/>
    </xf>
    <xf numFmtId="0" fontId="35" fillId="17" borderId="25" xfId="0" applyFont="1" applyFill="1" applyBorder="1" applyAlignment="1">
      <alignment vertical="center"/>
    </xf>
    <xf numFmtId="0" fontId="30" fillId="17" borderId="31" xfId="0" applyFont="1" applyFill="1" applyBorder="1" applyAlignment="1">
      <alignment vertical="center"/>
    </xf>
    <xf numFmtId="0" fontId="30" fillId="17" borderId="52" xfId="0" applyFont="1" applyFill="1" applyBorder="1" applyAlignment="1">
      <alignment vertical="center"/>
    </xf>
    <xf numFmtId="177" fontId="30" fillId="17" borderId="7" xfId="2" applyNumberFormat="1" applyFont="1" applyFill="1" applyBorder="1" applyAlignment="1">
      <alignment vertical="center"/>
    </xf>
    <xf numFmtId="0" fontId="29" fillId="17" borderId="48" xfId="0" applyFont="1" applyFill="1" applyBorder="1" applyAlignment="1">
      <alignment vertical="center"/>
    </xf>
    <xf numFmtId="43" fontId="29" fillId="17" borderId="0" xfId="0" applyNumberFormat="1" applyFont="1" applyFill="1"/>
    <xf numFmtId="0" fontId="29" fillId="17" borderId="0" xfId="0" applyFont="1" applyFill="1"/>
    <xf numFmtId="0" fontId="38" fillId="17" borderId="7" xfId="0" applyFont="1" applyFill="1" applyBorder="1" applyAlignment="1">
      <alignment vertical="center"/>
    </xf>
    <xf numFmtId="0" fontId="38" fillId="17" borderId="6" xfId="0" applyFont="1" applyFill="1" applyBorder="1" applyAlignment="1">
      <alignment vertical="center"/>
    </xf>
    <xf numFmtId="0" fontId="51" fillId="17" borderId="31" xfId="0" applyFont="1" applyFill="1" applyBorder="1" applyAlignment="1">
      <alignment vertical="center"/>
    </xf>
    <xf numFmtId="0" fontId="30" fillId="17" borderId="5" xfId="0" applyFont="1" applyFill="1" applyBorder="1" applyAlignment="1">
      <alignment horizontal="left" vertical="center"/>
    </xf>
    <xf numFmtId="4" fontId="72" fillId="0" borderId="18" xfId="0" applyNumberFormat="1" applyFont="1" applyBorder="1" applyAlignment="1">
      <alignment horizontal="right" vertical="center" wrapText="1"/>
    </xf>
    <xf numFmtId="4" fontId="148" fillId="49" borderId="35" xfId="1" applyNumberFormat="1" applyFont="1" applyFill="1" applyBorder="1" applyAlignment="1">
      <alignment horizontal="right" vertical="center"/>
    </xf>
    <xf numFmtId="4" fontId="148" fillId="0" borderId="148" xfId="1" applyNumberFormat="1" applyFont="1" applyBorder="1" applyAlignment="1">
      <alignment vertical="center"/>
    </xf>
    <xf numFmtId="4" fontId="158" fillId="0" borderId="53" xfId="0" applyNumberFormat="1" applyFont="1" applyBorder="1" applyAlignment="1">
      <alignment vertical="center"/>
    </xf>
    <xf numFmtId="4" fontId="158" fillId="0" borderId="53" xfId="0" applyNumberFormat="1" applyFont="1" applyBorder="1" applyAlignment="1">
      <alignment horizontal="right" vertical="center"/>
    </xf>
    <xf numFmtId="4" fontId="158" fillId="0" borderId="26" xfId="1" applyNumberFormat="1" applyFont="1" applyBorder="1" applyAlignment="1">
      <alignment horizontal="center" vertical="center"/>
    </xf>
    <xf numFmtId="4" fontId="158" fillId="0" borderId="18" xfId="0" applyNumberFormat="1" applyFont="1" applyBorder="1" applyAlignment="1">
      <alignment horizontal="right" vertical="center"/>
    </xf>
    <xf numFmtId="4" fontId="159" fillId="0" borderId="16" xfId="1" applyNumberFormat="1" applyFont="1" applyBorder="1" applyAlignment="1">
      <alignment horizontal="center" vertical="center"/>
    </xf>
    <xf numFmtId="49" fontId="158" fillId="0" borderId="21" xfId="0" applyNumberFormat="1" applyFont="1" applyBorder="1" applyAlignment="1">
      <alignment horizontal="center" vertical="center"/>
    </xf>
    <xf numFmtId="49" fontId="158" fillId="0" borderId="63" xfId="0" quotePrefix="1" applyNumberFormat="1" applyFont="1" applyBorder="1" applyAlignment="1">
      <alignment horizontal="center" vertical="center"/>
    </xf>
    <xf numFmtId="49" fontId="158" fillId="0" borderId="154" xfId="0" applyNumberFormat="1" applyFont="1" applyBorder="1" applyAlignment="1">
      <alignment vertical="center"/>
    </xf>
    <xf numFmtId="0" fontId="159" fillId="0" borderId="154" xfId="0" applyFont="1" applyBorder="1" applyAlignment="1">
      <alignment vertical="center"/>
    </xf>
    <xf numFmtId="0" fontId="158" fillId="0" borderId="154" xfId="0" applyFont="1" applyBorder="1" applyAlignment="1">
      <alignment vertical="center"/>
    </xf>
    <xf numFmtId="4" fontId="158" fillId="0" borderId="154" xfId="0" applyNumberFormat="1" applyFont="1" applyBorder="1" applyAlignment="1">
      <alignment vertical="center"/>
    </xf>
    <xf numFmtId="4" fontId="158" fillId="0" borderId="154" xfId="1" applyNumberFormat="1" applyFont="1" applyBorder="1" applyAlignment="1">
      <alignment vertical="center"/>
    </xf>
    <xf numFmtId="4" fontId="158" fillId="0" borderId="155" xfId="1" applyNumberFormat="1" applyFont="1" applyBorder="1" applyAlignment="1">
      <alignment vertical="center"/>
    </xf>
    <xf numFmtId="165" fontId="158" fillId="0" borderId="154" xfId="1" applyFont="1" applyBorder="1" applyAlignment="1">
      <alignment vertical="center"/>
    </xf>
    <xf numFmtId="0" fontId="149" fillId="0" borderId="11" xfId="0" applyFont="1" applyBorder="1" applyAlignment="1">
      <alignment vertical="center"/>
    </xf>
    <xf numFmtId="49" fontId="149" fillId="0" borderId="63" xfId="0" quotePrefix="1" applyNumberFormat="1" applyFont="1" applyBorder="1" applyAlignment="1">
      <alignment vertical="center"/>
    </xf>
    <xf numFmtId="49" fontId="148" fillId="0" borderId="0" xfId="0" applyNumberFormat="1" applyFont="1" applyAlignment="1">
      <alignment horizontal="center" vertical="center"/>
    </xf>
    <xf numFmtId="0" fontId="148" fillId="0" borderId="63" xfId="0" applyFont="1" applyBorder="1" applyAlignment="1">
      <alignment vertical="center"/>
    </xf>
    <xf numFmtId="0" fontId="148" fillId="0" borderId="11" xfId="0" applyFont="1" applyBorder="1" applyAlignment="1">
      <alignment vertical="center"/>
    </xf>
    <xf numFmtId="0" fontId="148" fillId="0" borderId="12" xfId="0" applyFont="1" applyBorder="1" applyAlignment="1">
      <alignment vertical="center"/>
    </xf>
    <xf numFmtId="4" fontId="148" fillId="0" borderId="12" xfId="0" applyNumberFormat="1" applyFont="1" applyBorder="1" applyAlignment="1">
      <alignment vertical="center"/>
    </xf>
    <xf numFmtId="4" fontId="148" fillId="0" borderId="150" xfId="1" applyNumberFormat="1" applyFont="1" applyBorder="1" applyAlignment="1">
      <alignment vertical="center"/>
    </xf>
    <xf numFmtId="165" fontId="148" fillId="0" borderId="11" xfId="1" applyFont="1" applyBorder="1" applyAlignment="1">
      <alignment vertical="center"/>
    </xf>
    <xf numFmtId="0" fontId="186" fillId="0" borderId="17" xfId="0" applyFont="1" applyBorder="1" applyAlignment="1">
      <alignment vertical="center"/>
    </xf>
    <xf numFmtId="49" fontId="152" fillId="0" borderId="16" xfId="0" applyNumberFormat="1" applyFont="1" applyBorder="1" applyAlignment="1">
      <alignment horizontal="center" vertical="center"/>
    </xf>
    <xf numFmtId="49" fontId="152" fillId="0" borderId="24" xfId="0" applyNumberFormat="1" applyFont="1" applyBorder="1" applyAlignment="1">
      <alignment horizontal="center" vertical="center"/>
    </xf>
    <xf numFmtId="49" fontId="152" fillId="0" borderId="17" xfId="0" applyNumberFormat="1" applyFont="1" applyBorder="1" applyAlignment="1">
      <alignment horizontal="center" vertical="center"/>
    </xf>
    <xf numFmtId="0" fontId="151" fillId="0" borderId="17" xfId="0" applyFont="1" applyBorder="1" applyAlignment="1">
      <alignment horizontal="left" vertical="center" wrapText="1"/>
    </xf>
    <xf numFmtId="4" fontId="151" fillId="0" borderId="118" xfId="0" applyNumberFormat="1" applyFont="1" applyBorder="1" applyAlignment="1">
      <alignment horizontal="right" vertical="center" wrapText="1"/>
    </xf>
    <xf numFmtId="4" fontId="151" fillId="0" borderId="18" xfId="0" applyNumberFormat="1" applyFont="1" applyBorder="1" applyAlignment="1">
      <alignment horizontal="right" vertical="center" wrapText="1"/>
    </xf>
    <xf numFmtId="4" fontId="152" fillId="0" borderId="16" xfId="1" applyNumberFormat="1" applyFont="1" applyBorder="1" applyAlignment="1">
      <alignment vertical="center"/>
    </xf>
    <xf numFmtId="4" fontId="152" fillId="0" borderId="148" xfId="1" applyNumberFormat="1" applyFont="1" applyBorder="1" applyAlignment="1">
      <alignment vertical="center"/>
    </xf>
    <xf numFmtId="165" fontId="152" fillId="0" borderId="16" xfId="1" applyFont="1" applyBorder="1" applyAlignment="1">
      <alignment vertical="center"/>
    </xf>
    <xf numFmtId="176" fontId="187" fillId="0" borderId="0" xfId="1" applyNumberFormat="1" applyFont="1" applyAlignment="1">
      <alignment vertical="center"/>
    </xf>
    <xf numFmtId="0" fontId="188" fillId="0" borderId="0" xfId="0" applyFont="1" applyAlignment="1">
      <alignment vertical="center"/>
    </xf>
    <xf numFmtId="4" fontId="176" fillId="0" borderId="18" xfId="1" applyNumberFormat="1" applyFont="1" applyBorder="1" applyAlignment="1">
      <alignment vertical="center"/>
    </xf>
    <xf numFmtId="0" fontId="149" fillId="0" borderId="17" xfId="0" applyFont="1" applyBorder="1" applyAlignment="1">
      <alignment vertical="center" wrapText="1"/>
    </xf>
    <xf numFmtId="4" fontId="149" fillId="0" borderId="118" xfId="0" applyNumberFormat="1" applyFont="1" applyBorder="1" applyAlignment="1">
      <alignment vertical="center" wrapText="1"/>
    </xf>
    <xf numFmtId="4" fontId="149" fillId="0" borderId="18" xfId="0" applyNumberFormat="1" applyFont="1" applyBorder="1" applyAlignment="1">
      <alignment vertical="center" wrapText="1"/>
    </xf>
    <xf numFmtId="4" fontId="149" fillId="0" borderId="118" xfId="0" applyNumberFormat="1" applyFont="1" applyBorder="1" applyAlignment="1">
      <alignment horizontal="right" vertical="center" wrapText="1"/>
    </xf>
    <xf numFmtId="4" fontId="149" fillId="0" borderId="18" xfId="0" applyNumberFormat="1" applyFont="1" applyBorder="1" applyAlignment="1">
      <alignment horizontal="right" vertical="center" wrapText="1"/>
    </xf>
    <xf numFmtId="4" fontId="149" fillId="0" borderId="118" xfId="0" applyNumberFormat="1" applyFont="1" applyBorder="1" applyAlignment="1">
      <alignment vertical="center"/>
    </xf>
    <xf numFmtId="0" fontId="29" fillId="0" borderId="29" xfId="0" applyFont="1" applyBorder="1" applyAlignment="1">
      <alignment horizontal="center"/>
    </xf>
    <xf numFmtId="0" fontId="156" fillId="59" borderId="6" xfId="0" applyFont="1" applyFill="1" applyBorder="1" applyAlignment="1">
      <alignment horizontal="right" vertical="center"/>
    </xf>
    <xf numFmtId="0" fontId="38" fillId="59" borderId="5" xfId="0" applyFont="1" applyFill="1" applyBorder="1" applyAlignment="1">
      <alignment horizontal="center" vertical="center"/>
    </xf>
    <xf numFmtId="0" fontId="156" fillId="59" borderId="8" xfId="0" applyFont="1" applyFill="1" applyBorder="1" applyAlignment="1">
      <alignment horizontal="center" vertical="center"/>
    </xf>
    <xf numFmtId="0" fontId="167" fillId="59" borderId="25" xfId="0" applyFont="1" applyFill="1" applyBorder="1" applyAlignment="1">
      <alignment vertical="center"/>
    </xf>
    <xf numFmtId="0" fontId="30" fillId="59" borderId="31" xfId="0" applyFont="1" applyFill="1" applyBorder="1" applyAlignment="1">
      <alignment vertical="center"/>
    </xf>
    <xf numFmtId="0" fontId="30" fillId="59" borderId="52" xfId="0" applyFont="1" applyFill="1" applyBorder="1" applyAlignment="1">
      <alignment vertical="center"/>
    </xf>
    <xf numFmtId="177" fontId="30" fillId="59" borderId="7" xfId="2" applyNumberFormat="1" applyFont="1" applyFill="1" applyBorder="1" applyAlignment="1">
      <alignment vertical="center"/>
    </xf>
    <xf numFmtId="0" fontId="29" fillId="59" borderId="48" xfId="0" applyFont="1" applyFill="1" applyBorder="1" applyAlignment="1">
      <alignment vertical="center"/>
    </xf>
    <xf numFmtId="43" fontId="29" fillId="59" borderId="0" xfId="0" applyNumberFormat="1" applyFont="1" applyFill="1"/>
    <xf numFmtId="0" fontId="29" fillId="59" borderId="0" xfId="0" applyFont="1" applyFill="1"/>
    <xf numFmtId="0" fontId="156" fillId="59" borderId="5" xfId="0" applyFont="1" applyFill="1" applyBorder="1" applyAlignment="1">
      <alignment horizontal="right" vertical="center"/>
    </xf>
    <xf numFmtId="0" fontId="38" fillId="59" borderId="25" xfId="0" applyFont="1" applyFill="1" applyBorder="1" applyAlignment="1">
      <alignment horizontal="center" vertical="center"/>
    </xf>
    <xf numFmtId="0" fontId="35" fillId="59" borderId="25" xfId="0" applyFont="1" applyFill="1" applyBorder="1" applyAlignment="1">
      <alignment vertical="center"/>
    </xf>
    <xf numFmtId="0" fontId="29" fillId="59" borderId="52" xfId="0" applyFont="1" applyFill="1" applyBorder="1" applyAlignment="1">
      <alignment vertical="center"/>
    </xf>
    <xf numFmtId="0" fontId="38" fillId="59" borderId="5" xfId="0" applyFont="1" applyFill="1" applyBorder="1" applyAlignment="1">
      <alignment horizontal="right" vertical="center"/>
    </xf>
    <xf numFmtId="175" fontId="29" fillId="59" borderId="5" xfId="2" applyNumberFormat="1" applyFont="1" applyFill="1" applyBorder="1" applyAlignment="1">
      <alignment horizontal="left" vertical="center"/>
    </xf>
    <xf numFmtId="168" fontId="177" fillId="0" borderId="16" xfId="2" applyFont="1" applyBorder="1" applyAlignment="1">
      <alignment horizontal="right" vertical="center"/>
    </xf>
    <xf numFmtId="168" fontId="177" fillId="0" borderId="40" xfId="2" applyFont="1" applyBorder="1" applyAlignment="1">
      <alignment horizontal="right" vertical="center"/>
    </xf>
    <xf numFmtId="168" fontId="177" fillId="0" borderId="43" xfId="2" applyFont="1" applyBorder="1" applyAlignment="1">
      <alignment horizontal="right" vertical="center"/>
    </xf>
    <xf numFmtId="3" fontId="30" fillId="59" borderId="5" xfId="2" applyNumberFormat="1" applyFont="1" applyFill="1" applyBorder="1" applyAlignment="1">
      <alignment horizontal="right" vertical="center"/>
    </xf>
    <xf numFmtId="3" fontId="30" fillId="0" borderId="26" xfId="2" applyNumberFormat="1" applyFont="1" applyBorder="1" applyAlignment="1">
      <alignment horizontal="right" vertical="center"/>
    </xf>
    <xf numFmtId="3" fontId="29" fillId="0" borderId="16" xfId="2" applyNumberFormat="1" applyFont="1" applyBorder="1" applyAlignment="1">
      <alignment horizontal="right" vertical="center"/>
    </xf>
    <xf numFmtId="3" fontId="30" fillId="0" borderId="16" xfId="2" applyNumberFormat="1" applyFont="1" applyBorder="1" applyAlignment="1">
      <alignment horizontal="right" vertical="center"/>
    </xf>
    <xf numFmtId="3" fontId="149" fillId="0" borderId="16" xfId="2" applyNumberFormat="1" applyFont="1" applyBorder="1" applyAlignment="1">
      <alignment horizontal="right" vertical="center"/>
    </xf>
    <xf numFmtId="3" fontId="29" fillId="0" borderId="28" xfId="2" applyNumberFormat="1" applyFont="1" applyBorder="1" applyAlignment="1">
      <alignment horizontal="right" vertical="center"/>
    </xf>
    <xf numFmtId="3" fontId="29" fillId="0" borderId="26" xfId="2" applyNumberFormat="1" applyFont="1" applyBorder="1" applyAlignment="1">
      <alignment horizontal="right" vertical="center"/>
    </xf>
    <xf numFmtId="3" fontId="29" fillId="0" borderId="33" xfId="2" applyNumberFormat="1" applyFont="1" applyBorder="1" applyAlignment="1">
      <alignment horizontal="right" vertical="center"/>
    </xf>
    <xf numFmtId="3" fontId="30" fillId="58" borderId="35" xfId="2" applyNumberFormat="1" applyFont="1" applyFill="1" applyBorder="1" applyAlignment="1">
      <alignment horizontal="right" vertical="center"/>
    </xf>
    <xf numFmtId="3" fontId="149" fillId="0" borderId="37" xfId="2" applyNumberFormat="1" applyFont="1" applyBorder="1" applyAlignment="1">
      <alignment horizontal="right" vertical="center"/>
    </xf>
    <xf numFmtId="3" fontId="149" fillId="0" borderId="40" xfId="2" applyNumberFormat="1" applyFont="1" applyBorder="1" applyAlignment="1">
      <alignment horizontal="right" vertical="center"/>
    </xf>
    <xf numFmtId="3" fontId="29" fillId="0" borderId="40" xfId="2" applyNumberFormat="1" applyFont="1" applyBorder="1" applyAlignment="1">
      <alignment horizontal="right" vertical="center"/>
    </xf>
    <xf numFmtId="3" fontId="29" fillId="0" borderId="43" xfId="2" applyNumberFormat="1" applyFont="1" applyBorder="1" applyAlignment="1">
      <alignment horizontal="right" vertical="center"/>
    </xf>
    <xf numFmtId="3" fontId="32" fillId="0" borderId="46" xfId="2" applyNumberFormat="1" applyFont="1" applyBorder="1" applyAlignment="1">
      <alignment horizontal="right" vertical="center"/>
    </xf>
    <xf numFmtId="3" fontId="29" fillId="0" borderId="21" xfId="2" applyNumberFormat="1" applyFont="1" applyBorder="1" applyAlignment="1">
      <alignment horizontal="right" vertical="center"/>
    </xf>
    <xf numFmtId="3" fontId="29" fillId="0" borderId="10" xfId="2" applyNumberFormat="1" applyFont="1" applyBorder="1" applyAlignment="1">
      <alignment horizontal="right" vertical="center"/>
    </xf>
    <xf numFmtId="3" fontId="30" fillId="17" borderId="6" xfId="2" applyNumberFormat="1" applyFont="1" applyFill="1" applyBorder="1" applyAlignment="1">
      <alignment horizontal="right" vertical="center"/>
    </xf>
    <xf numFmtId="3" fontId="30" fillId="58" borderId="6" xfId="2" applyNumberFormat="1" applyFont="1" applyFill="1" applyBorder="1" applyAlignment="1">
      <alignment horizontal="right" vertical="center"/>
    </xf>
    <xf numFmtId="3" fontId="30" fillId="59" borderId="6" xfId="2" applyNumberFormat="1" applyFont="1" applyFill="1" applyBorder="1" applyAlignment="1">
      <alignment horizontal="right" vertical="center"/>
    </xf>
    <xf numFmtId="3" fontId="30" fillId="58" borderId="49" xfId="2" applyNumberFormat="1" applyFont="1" applyFill="1" applyBorder="1" applyAlignment="1">
      <alignment horizontal="right" vertical="center"/>
    </xf>
    <xf numFmtId="3" fontId="30" fillId="17" borderId="5" xfId="0" applyNumberFormat="1" applyFont="1" applyFill="1" applyBorder="1" applyAlignment="1">
      <alignment horizontal="right" vertical="center"/>
    </xf>
    <xf numFmtId="168" fontId="176" fillId="0" borderId="16" xfId="2" applyFont="1" applyBorder="1" applyAlignment="1">
      <alignment horizontal="right" vertical="center"/>
    </xf>
    <xf numFmtId="3" fontId="177" fillId="0" borderId="16" xfId="2" applyNumberFormat="1" applyFont="1" applyBorder="1" applyAlignment="1">
      <alignment horizontal="right" vertical="center"/>
    </xf>
    <xf numFmtId="49" fontId="38" fillId="59" borderId="6" xfId="0" applyNumberFormat="1" applyFont="1" applyFill="1" applyBorder="1" applyAlignment="1">
      <alignment horizontal="right" vertical="center"/>
    </xf>
    <xf numFmtId="0" fontId="38" fillId="59" borderId="6" xfId="0" applyFont="1" applyFill="1" applyBorder="1" applyAlignment="1">
      <alignment horizontal="center" vertical="center"/>
    </xf>
    <xf numFmtId="0" fontId="38" fillId="59" borderId="8" xfId="0" applyFont="1" applyFill="1" applyBorder="1" applyAlignment="1">
      <alignment horizontal="center" vertical="center"/>
    </xf>
    <xf numFmtId="0" fontId="35" fillId="59" borderId="7" xfId="0" applyFont="1" applyFill="1" applyBorder="1" applyAlignment="1">
      <alignment vertical="center"/>
    </xf>
    <xf numFmtId="0" fontId="30" fillId="59" borderId="8" xfId="0" applyFont="1" applyFill="1" applyBorder="1" applyAlignment="1">
      <alignment vertical="center"/>
    </xf>
    <xf numFmtId="0" fontId="30" fillId="59" borderId="9" xfId="0" applyFont="1" applyFill="1" applyBorder="1" applyAlignment="1">
      <alignment vertical="center"/>
    </xf>
    <xf numFmtId="175" fontId="47" fillId="59" borderId="6" xfId="2" applyNumberFormat="1" applyFont="1" applyFill="1" applyBorder="1" applyAlignment="1">
      <alignment horizontal="left" vertical="center"/>
    </xf>
    <xf numFmtId="0" fontId="38" fillId="0" borderId="259" xfId="0" applyFont="1" applyBorder="1" applyAlignment="1">
      <alignment horizontal="right" vertical="center"/>
    </xf>
    <xf numFmtId="0" fontId="38" fillId="0" borderId="259" xfId="0" applyFont="1" applyBorder="1" applyAlignment="1">
      <alignment horizontal="center" vertical="center"/>
    </xf>
    <xf numFmtId="0" fontId="38" fillId="0" borderId="260" xfId="0" applyFont="1" applyBorder="1" applyAlignment="1">
      <alignment horizontal="center" vertical="center"/>
    </xf>
    <xf numFmtId="0" fontId="29" fillId="0" borderId="260" xfId="0" applyFont="1" applyBorder="1" applyAlignment="1">
      <alignment vertical="center"/>
    </xf>
    <xf numFmtId="0" fontId="29" fillId="0" borderId="261" xfId="0" applyFont="1" applyBorder="1" applyAlignment="1">
      <alignment vertical="center"/>
    </xf>
    <xf numFmtId="0" fontId="29" fillId="0" borderId="262" xfId="0" applyFont="1" applyBorder="1" applyAlignment="1">
      <alignment vertical="center"/>
    </xf>
    <xf numFmtId="3" fontId="29" fillId="0" borderId="259" xfId="2" applyNumberFormat="1" applyFont="1" applyBorder="1" applyAlignment="1">
      <alignment horizontal="right" vertical="center"/>
    </xf>
    <xf numFmtId="177" fontId="30" fillId="0" borderId="260" xfId="2" applyNumberFormat="1" applyFont="1" applyBorder="1" applyAlignment="1">
      <alignment vertical="center"/>
    </xf>
    <xf numFmtId="175" fontId="29" fillId="0" borderId="259" xfId="2" applyNumberFormat="1" applyFont="1" applyBorder="1" applyAlignment="1">
      <alignment horizontal="left" vertical="center"/>
    </xf>
    <xf numFmtId="49" fontId="29" fillId="0" borderId="6" xfId="0" applyNumberFormat="1" applyFont="1" applyBorder="1" applyAlignment="1">
      <alignment horizontal="center" vertical="center"/>
    </xf>
    <xf numFmtId="49" fontId="29" fillId="0" borderId="7" xfId="0" applyNumberFormat="1" applyFont="1" applyBorder="1" applyAlignment="1">
      <alignment vertical="center"/>
    </xf>
    <xf numFmtId="49" fontId="29" fillId="0" borderId="8" xfId="0" applyNumberFormat="1" applyFont="1" applyBorder="1" applyAlignment="1">
      <alignment vertical="center"/>
    </xf>
    <xf numFmtId="0" fontId="29" fillId="0" borderId="8" xfId="0" applyFont="1" applyBorder="1" applyAlignment="1">
      <alignment vertical="center"/>
    </xf>
    <xf numFmtId="4" fontId="29" fillId="0" borderId="263" xfId="0" applyNumberFormat="1" applyFont="1" applyBorder="1" applyAlignment="1">
      <alignment vertical="center"/>
    </xf>
    <xf numFmtId="4" fontId="29" fillId="0" borderId="9" xfId="0" applyNumberFormat="1" applyFont="1" applyBorder="1" applyAlignment="1">
      <alignment vertical="center"/>
    </xf>
    <xf numFmtId="4" fontId="29" fillId="0" borderId="9" xfId="1" applyNumberFormat="1" applyFont="1" applyBorder="1" applyAlignment="1">
      <alignment vertical="center"/>
    </xf>
    <xf numFmtId="49" fontId="15" fillId="0" borderId="65" xfId="0" applyNumberFormat="1" applyFont="1" applyBorder="1" applyAlignment="1">
      <alignment horizontal="center"/>
    </xf>
    <xf numFmtId="49" fontId="16" fillId="0" borderId="65" xfId="0" applyNumberFormat="1" applyFont="1" applyBorder="1" applyAlignment="1">
      <alignment horizontal="center"/>
    </xf>
    <xf numFmtId="49" fontId="16" fillId="0" borderId="47" xfId="0" applyNumberFormat="1" applyFont="1" applyBorder="1"/>
    <xf numFmtId="0" fontId="16" fillId="0" borderId="47" xfId="0" applyFont="1" applyBorder="1"/>
    <xf numFmtId="4" fontId="29" fillId="0" borderId="65" xfId="0" applyNumberFormat="1" applyFont="1" applyBorder="1" applyAlignment="1">
      <alignment vertical="center"/>
    </xf>
    <xf numFmtId="4" fontId="29" fillId="0" borderId="59" xfId="0" applyNumberFormat="1" applyFont="1" applyBorder="1" applyAlignment="1">
      <alignment vertical="center"/>
    </xf>
    <xf numFmtId="4" fontId="76" fillId="0" borderId="46" xfId="0" applyNumberFormat="1" applyFont="1" applyBorder="1" applyAlignment="1">
      <alignment vertical="center"/>
    </xf>
    <xf numFmtId="4" fontId="29" fillId="0" borderId="208" xfId="0" applyNumberFormat="1" applyFont="1" applyBorder="1" applyAlignment="1">
      <alignment vertical="center"/>
    </xf>
    <xf numFmtId="49" fontId="163" fillId="49" borderId="6" xfId="0" applyNumberFormat="1" applyFont="1" applyFill="1" applyBorder="1" applyAlignment="1">
      <alignment horizontal="center" vertical="center"/>
    </xf>
    <xf numFmtId="0" fontId="163" fillId="49" borderId="7" xfId="0" quotePrefix="1" applyFont="1" applyFill="1" applyBorder="1" applyAlignment="1">
      <alignment vertical="center"/>
    </xf>
    <xf numFmtId="0" fontId="163" fillId="49" borderId="8" xfId="0" applyFont="1" applyFill="1" applyBorder="1" applyAlignment="1">
      <alignment vertical="center"/>
    </xf>
    <xf numFmtId="0" fontId="174" fillId="49" borderId="8" xfId="0" applyFont="1" applyFill="1" applyBorder="1" applyAlignment="1">
      <alignment vertical="center"/>
    </xf>
    <xf numFmtId="4" fontId="163" fillId="49" borderId="6" xfId="1" applyNumberFormat="1" applyFont="1" applyFill="1" applyBorder="1" applyAlignment="1">
      <alignment vertical="center"/>
    </xf>
    <xf numFmtId="4" fontId="163" fillId="49" borderId="264" xfId="1" applyNumberFormat="1" applyFont="1" applyFill="1" applyBorder="1" applyAlignment="1">
      <alignment vertical="center"/>
    </xf>
    <xf numFmtId="4" fontId="148" fillId="49" borderId="6" xfId="1" applyNumberFormat="1" applyFont="1" applyFill="1" applyBorder="1" applyAlignment="1">
      <alignment horizontal="center" vertical="center"/>
    </xf>
    <xf numFmtId="49" fontId="29" fillId="0" borderId="259" xfId="0" applyNumberFormat="1" applyFont="1" applyBorder="1" applyAlignment="1">
      <alignment horizontal="center" vertical="center"/>
    </xf>
    <xf numFmtId="0" fontId="105" fillId="0" borderId="261" xfId="0" applyFont="1" applyBorder="1" applyAlignment="1">
      <alignment vertical="center"/>
    </xf>
    <xf numFmtId="4" fontId="29" fillId="0" borderId="265" xfId="0" applyNumberFormat="1" applyFont="1" applyBorder="1" applyAlignment="1">
      <alignment vertical="center"/>
    </xf>
    <xf numFmtId="4" fontId="29" fillId="0" borderId="262" xfId="0" applyNumberFormat="1" applyFont="1" applyBorder="1" applyAlignment="1">
      <alignment vertical="center"/>
    </xf>
    <xf numFmtId="4" fontId="29" fillId="0" borderId="259" xfId="1" applyNumberFormat="1" applyFont="1" applyBorder="1" applyAlignment="1">
      <alignment vertical="center"/>
    </xf>
    <xf numFmtId="4" fontId="29" fillId="0" borderId="266" xfId="1" applyNumberFormat="1" applyFont="1" applyBorder="1" applyAlignment="1">
      <alignment vertical="center"/>
    </xf>
    <xf numFmtId="4" fontId="149" fillId="0" borderId="259" xfId="1" applyNumberFormat="1" applyFont="1" applyBorder="1" applyAlignment="1">
      <alignment horizontal="center" vertical="center"/>
    </xf>
    <xf numFmtId="49" fontId="29" fillId="0" borderId="29" xfId="0" applyNumberFormat="1" applyFont="1" applyBorder="1" applyAlignment="1">
      <alignment vertical="center"/>
    </xf>
    <xf numFmtId="49" fontId="29" fillId="0" borderId="0" xfId="0" applyNumberFormat="1" applyFont="1" applyAlignment="1">
      <alignment vertical="center"/>
    </xf>
    <xf numFmtId="49" fontId="29" fillId="0" borderId="267" xfId="0" applyNumberFormat="1" applyFont="1" applyBorder="1" applyAlignment="1">
      <alignment horizontal="center" vertical="center"/>
    </xf>
    <xf numFmtId="49" fontId="29" fillId="0" borderId="268" xfId="0" applyNumberFormat="1" applyFont="1" applyBorder="1" applyAlignment="1">
      <alignment vertical="center"/>
    </xf>
    <xf numFmtId="0" fontId="29" fillId="0" borderId="269" xfId="0" applyFont="1" applyBorder="1" applyAlignment="1">
      <alignment vertical="center"/>
    </xf>
    <xf numFmtId="4" fontId="29" fillId="0" borderId="270" xfId="0" applyNumberFormat="1" applyFont="1" applyBorder="1" applyAlignment="1">
      <alignment vertical="center"/>
    </xf>
    <xf numFmtId="4" fontId="29" fillId="0" borderId="271" xfId="0" applyNumberFormat="1" applyFont="1" applyBorder="1" applyAlignment="1">
      <alignment vertical="center"/>
    </xf>
    <xf numFmtId="4" fontId="29" fillId="0" borderId="267" xfId="1" applyNumberFormat="1" applyFont="1" applyBorder="1" applyAlignment="1">
      <alignment vertical="center"/>
    </xf>
    <xf numFmtId="4" fontId="29" fillId="0" borderId="206" xfId="1" applyNumberFormat="1" applyFont="1" applyBorder="1" applyAlignment="1">
      <alignment vertical="center"/>
    </xf>
    <xf numFmtId="4" fontId="149" fillId="0" borderId="267" xfId="1" applyNumberFormat="1" applyFont="1" applyBorder="1" applyAlignment="1">
      <alignment vertical="center"/>
    </xf>
    <xf numFmtId="49" fontId="29" fillId="0" borderId="269" xfId="0" applyNumberFormat="1" applyFont="1" applyBorder="1" applyAlignment="1">
      <alignment vertical="center"/>
    </xf>
    <xf numFmtId="0" fontId="29" fillId="0" borderId="271" xfId="0" applyFont="1" applyBorder="1" applyAlignment="1">
      <alignment vertical="center"/>
    </xf>
    <xf numFmtId="4" fontId="29" fillId="0" borderId="271" xfId="0" applyNumberFormat="1" applyFont="1" applyBorder="1" applyAlignment="1">
      <alignment horizontal="right" vertical="center"/>
    </xf>
    <xf numFmtId="0" fontId="29" fillId="0" borderId="268" xfId="0" applyFont="1" applyBorder="1" applyAlignment="1">
      <alignment vertical="center"/>
    </xf>
    <xf numFmtId="0" fontId="29" fillId="0" borderId="269" xfId="0" applyFont="1" applyBorder="1"/>
    <xf numFmtId="0" fontId="29" fillId="0" borderId="27" xfId="0" applyFont="1" applyBorder="1" applyAlignment="1">
      <alignment vertical="center"/>
    </xf>
    <xf numFmtId="4" fontId="29" fillId="0" borderId="261" xfId="0" applyNumberFormat="1" applyFont="1" applyBorder="1" applyAlignment="1">
      <alignment vertical="center"/>
    </xf>
    <xf numFmtId="0" fontId="29" fillId="0" borderId="268" xfId="0" applyFont="1" applyBorder="1" applyAlignment="1">
      <alignment horizontal="center" vertical="center"/>
    </xf>
    <xf numFmtId="0" fontId="29" fillId="0" borderId="269" xfId="0" applyFont="1" applyBorder="1" applyAlignment="1">
      <alignment horizontal="center" vertical="center"/>
    </xf>
    <xf numFmtId="165" fontId="148" fillId="4" borderId="0" xfId="1" applyFont="1" applyFill="1" applyAlignment="1">
      <alignment horizontal="center" vertical="center"/>
    </xf>
    <xf numFmtId="165" fontId="148" fillId="27" borderId="6" xfId="1" quotePrefix="1" applyFont="1" applyFill="1" applyBorder="1" applyAlignment="1">
      <alignment horizontal="center" vertical="center"/>
    </xf>
    <xf numFmtId="49" fontId="30" fillId="0" borderId="170" xfId="0" applyNumberFormat="1" applyFont="1" applyBorder="1" applyAlignment="1">
      <alignment horizontal="center" vertical="center"/>
    </xf>
    <xf numFmtId="49" fontId="148" fillId="0" borderId="106" xfId="0" applyNumberFormat="1" applyFont="1" applyBorder="1" applyAlignment="1">
      <alignment horizontal="center" vertical="center"/>
    </xf>
    <xf numFmtId="49" fontId="148" fillId="0" borderId="143" xfId="0" applyNumberFormat="1" applyFont="1" applyBorder="1" applyAlignment="1">
      <alignment horizontal="center" vertical="center"/>
    </xf>
    <xf numFmtId="49" fontId="30" fillId="0" borderId="65" xfId="0" applyNumberFormat="1" applyFont="1" applyBorder="1" applyAlignment="1">
      <alignment horizontal="center" vertical="center"/>
    </xf>
    <xf numFmtId="0" fontId="149" fillId="4" borderId="0" xfId="0" applyFont="1" applyFill="1" applyAlignment="1">
      <alignment horizontal="right" vertical="center"/>
    </xf>
    <xf numFmtId="169" fontId="178" fillId="4" borderId="0" xfId="0" applyNumberFormat="1" applyFont="1" applyFill="1" applyAlignment="1">
      <alignment horizontal="right" vertical="center"/>
    </xf>
    <xf numFmtId="165" fontId="148" fillId="4" borderId="66" xfId="1" applyFont="1" applyFill="1" applyBorder="1" applyAlignment="1">
      <alignment horizontal="right" vertical="center"/>
    </xf>
    <xf numFmtId="165" fontId="149" fillId="0" borderId="1" xfId="1" applyFont="1" applyBorder="1" applyAlignment="1">
      <alignment horizontal="right" vertical="center"/>
    </xf>
    <xf numFmtId="4" fontId="148" fillId="49" borderId="16" xfId="1" applyNumberFormat="1" applyFont="1" applyFill="1" applyBorder="1" applyAlignment="1">
      <alignment horizontal="right" vertical="center"/>
    </xf>
    <xf numFmtId="4" fontId="148" fillId="0" borderId="16" xfId="1" applyNumberFormat="1" applyFont="1" applyBorder="1" applyAlignment="1">
      <alignment horizontal="right" vertical="center"/>
    </xf>
    <xf numFmtId="4" fontId="148" fillId="57" borderId="21" xfId="1" applyNumberFormat="1" applyFont="1" applyFill="1" applyBorder="1" applyAlignment="1">
      <alignment horizontal="right" vertical="center"/>
    </xf>
    <xf numFmtId="4" fontId="148" fillId="0" borderId="5" xfId="1" applyNumberFormat="1" applyFont="1" applyBorder="1" applyAlignment="1">
      <alignment horizontal="right" vertical="center"/>
    </xf>
    <xf numFmtId="4" fontId="149" fillId="0" borderId="26" xfId="1" applyNumberFormat="1" applyFont="1" applyBorder="1" applyAlignment="1">
      <alignment horizontal="right" vertical="center"/>
    </xf>
    <xf numFmtId="4" fontId="149" fillId="0" borderId="16" xfId="1" applyNumberFormat="1" applyFont="1" applyBorder="1" applyAlignment="1">
      <alignment horizontal="right" vertical="center"/>
    </xf>
    <xf numFmtId="4" fontId="148" fillId="0" borderId="21" xfId="1" applyNumberFormat="1" applyFont="1" applyBorder="1" applyAlignment="1">
      <alignment horizontal="right" vertical="center"/>
    </xf>
    <xf numFmtId="4" fontId="148" fillId="0" borderId="28" xfId="1" applyNumberFormat="1" applyFont="1" applyBorder="1" applyAlignment="1">
      <alignment horizontal="right" vertical="center"/>
    </xf>
    <xf numFmtId="4" fontId="148" fillId="0" borderId="26" xfId="1" applyNumberFormat="1" applyFont="1" applyBorder="1" applyAlignment="1">
      <alignment horizontal="right" vertical="center"/>
    </xf>
    <xf numFmtId="4" fontId="179" fillId="57" borderId="21" xfId="1" applyNumberFormat="1" applyFont="1" applyFill="1" applyBorder="1" applyAlignment="1">
      <alignment horizontal="right" vertical="center"/>
    </xf>
    <xf numFmtId="4" fontId="158" fillId="0" borderId="26" xfId="1" applyNumberFormat="1" applyFont="1" applyBorder="1" applyAlignment="1">
      <alignment horizontal="right" vertical="center"/>
    </xf>
    <xf numFmtId="4" fontId="158" fillId="0" borderId="16" xfId="1" applyNumberFormat="1" applyFont="1" applyBorder="1" applyAlignment="1">
      <alignment horizontal="right" vertical="center"/>
    </xf>
    <xf numFmtId="4" fontId="149" fillId="0" borderId="21" xfId="1" applyNumberFormat="1" applyFont="1" applyBorder="1" applyAlignment="1">
      <alignment horizontal="right" vertical="center"/>
    </xf>
    <xf numFmtId="4" fontId="148" fillId="0" borderId="254" xfId="1" applyNumberFormat="1" applyFont="1" applyBorder="1" applyAlignment="1">
      <alignment horizontal="right" vertical="center"/>
    </xf>
    <xf numFmtId="4" fontId="158" fillId="0" borderId="64" xfId="1" applyNumberFormat="1" applyFont="1" applyBorder="1" applyAlignment="1">
      <alignment horizontal="right" vertical="center"/>
    </xf>
    <xf numFmtId="4" fontId="149" fillId="0" borderId="267" xfId="1" applyNumberFormat="1" applyFont="1" applyBorder="1" applyAlignment="1">
      <alignment horizontal="right" vertical="center"/>
    </xf>
    <xf numFmtId="4" fontId="159" fillId="0" borderId="16" xfId="1" applyNumberFormat="1" applyFont="1" applyBorder="1" applyAlignment="1">
      <alignment horizontal="right" vertical="center"/>
    </xf>
    <xf numFmtId="4" fontId="158" fillId="0" borderId="154" xfId="1" applyNumberFormat="1" applyFont="1" applyBorder="1" applyAlignment="1">
      <alignment horizontal="right" vertical="center"/>
    </xf>
    <xf numFmtId="4" fontId="149" fillId="0" borderId="64" xfId="1" applyNumberFormat="1" applyFont="1" applyBorder="1" applyAlignment="1">
      <alignment horizontal="right" vertical="center"/>
    </xf>
    <xf numFmtId="4" fontId="149" fillId="0" borderId="65" xfId="1" applyNumberFormat="1" applyFont="1" applyBorder="1" applyAlignment="1">
      <alignment horizontal="right" vertical="center"/>
    </xf>
    <xf numFmtId="4" fontId="148" fillId="57" borderId="35" xfId="1" applyNumberFormat="1" applyFont="1" applyFill="1" applyBorder="1" applyAlignment="1">
      <alignment horizontal="right" vertical="center"/>
    </xf>
    <xf numFmtId="4" fontId="148" fillId="0" borderId="249" xfId="1" applyNumberFormat="1" applyFont="1" applyBorder="1" applyAlignment="1">
      <alignment horizontal="right" vertical="center"/>
    </xf>
    <xf numFmtId="4" fontId="176" fillId="0" borderId="249" xfId="1" applyNumberFormat="1" applyFont="1" applyBorder="1" applyAlignment="1">
      <alignment horizontal="right" vertical="center"/>
    </xf>
    <xf numFmtId="4" fontId="177" fillId="0" borderId="26" xfId="1" applyNumberFormat="1" applyFont="1" applyBorder="1" applyAlignment="1">
      <alignment horizontal="right" vertical="center"/>
    </xf>
    <xf numFmtId="4" fontId="149" fillId="0" borderId="10" xfId="1" applyNumberFormat="1" applyFont="1" applyBorder="1" applyAlignment="1">
      <alignment horizontal="right" vertical="center"/>
    </xf>
    <xf numFmtId="4" fontId="148" fillId="57" borderId="125" xfId="1" applyNumberFormat="1" applyFont="1" applyFill="1" applyBorder="1" applyAlignment="1">
      <alignment horizontal="right" vertical="center"/>
    </xf>
    <xf numFmtId="4" fontId="148" fillId="0" borderId="249" xfId="3" applyNumberFormat="1" applyFont="1" applyBorder="1" applyAlignment="1">
      <alignment horizontal="right" vertical="center"/>
    </xf>
    <xf numFmtId="4" fontId="148" fillId="0" borderId="26" xfId="3" applyNumberFormat="1" applyFont="1" applyBorder="1" applyAlignment="1">
      <alignment horizontal="right" vertical="center"/>
    </xf>
    <xf numFmtId="4" fontId="149" fillId="0" borderId="28" xfId="1" applyNumberFormat="1" applyFont="1" applyBorder="1" applyAlignment="1">
      <alignment horizontal="right" vertical="center"/>
    </xf>
    <xf numFmtId="4" fontId="180" fillId="0" borderId="16" xfId="1" applyNumberFormat="1" applyFont="1" applyBorder="1" applyAlignment="1">
      <alignment horizontal="right" vertical="center"/>
    </xf>
    <xf numFmtId="4" fontId="153" fillId="0" borderId="16" xfId="1" applyNumberFormat="1" applyFont="1" applyBorder="1" applyAlignment="1">
      <alignment horizontal="right" vertical="center"/>
    </xf>
    <xf numFmtId="4" fontId="149" fillId="0" borderId="17" xfId="1" applyNumberFormat="1" applyFont="1" applyBorder="1" applyAlignment="1">
      <alignment horizontal="right" vertical="center"/>
    </xf>
    <xf numFmtId="4" fontId="163" fillId="0" borderId="118" xfId="0" applyNumberFormat="1" applyFont="1" applyBorder="1" applyAlignment="1">
      <alignment horizontal="right" vertical="center"/>
    </xf>
    <xf numFmtId="4" fontId="163" fillId="0" borderId="16" xfId="1" applyNumberFormat="1" applyFont="1" applyBorder="1" applyAlignment="1">
      <alignment horizontal="right" vertical="center"/>
    </xf>
    <xf numFmtId="4" fontId="164" fillId="0" borderId="16" xfId="1" applyNumberFormat="1" applyFont="1" applyBorder="1" applyAlignment="1">
      <alignment horizontal="right" vertical="center"/>
    </xf>
    <xf numFmtId="4" fontId="149" fillId="0" borderId="259" xfId="1" applyNumberFormat="1" applyFont="1" applyBorder="1" applyAlignment="1">
      <alignment horizontal="right" vertical="center"/>
    </xf>
    <xf numFmtId="4" fontId="148" fillId="49" borderId="6" xfId="1" applyNumberFormat="1" applyFont="1" applyFill="1" applyBorder="1" applyAlignment="1">
      <alignment horizontal="right" vertical="center"/>
    </xf>
    <xf numFmtId="4" fontId="148" fillId="57" borderId="5" xfId="1" applyNumberFormat="1" applyFont="1" applyFill="1" applyBorder="1" applyAlignment="1">
      <alignment horizontal="right" vertical="center"/>
    </xf>
    <xf numFmtId="4" fontId="148" fillId="57" borderId="249" xfId="1" applyNumberFormat="1" applyFont="1" applyFill="1" applyBorder="1" applyAlignment="1">
      <alignment horizontal="right" vertical="center"/>
    </xf>
    <xf numFmtId="4" fontId="152" fillId="0" borderId="16" xfId="1" applyNumberFormat="1" applyFont="1" applyBorder="1" applyAlignment="1">
      <alignment horizontal="right" vertical="center"/>
    </xf>
    <xf numFmtId="4" fontId="176" fillId="57" borderId="35" xfId="2" applyNumberFormat="1" applyFont="1" applyFill="1" applyBorder="1" applyAlignment="1">
      <alignment horizontal="right" vertical="center"/>
    </xf>
    <xf numFmtId="4" fontId="176" fillId="0" borderId="35" xfId="2" applyNumberFormat="1" applyFont="1" applyBorder="1" applyAlignment="1">
      <alignment horizontal="right" vertical="center"/>
    </xf>
    <xf numFmtId="4" fontId="176" fillId="0" borderId="161" xfId="2" applyNumberFormat="1" applyFont="1" applyBorder="1" applyAlignment="1">
      <alignment horizontal="right" vertical="center"/>
    </xf>
    <xf numFmtId="4" fontId="177" fillId="0" borderId="64" xfId="2" applyNumberFormat="1" applyFont="1" applyBorder="1" applyAlignment="1">
      <alignment horizontal="right" vertical="center"/>
    </xf>
    <xf numFmtId="4" fontId="177" fillId="0" borderId="43" xfId="0" applyNumberFormat="1" applyFont="1" applyBorder="1" applyAlignment="1">
      <alignment horizontal="right" vertical="center"/>
    </xf>
    <xf numFmtId="4" fontId="177" fillId="0" borderId="46" xfId="0" applyNumberFormat="1" applyFont="1" applyBorder="1" applyAlignment="1">
      <alignment horizontal="right" vertical="center"/>
    </xf>
    <xf numFmtId="4" fontId="149" fillId="0" borderId="9" xfId="1" applyNumberFormat="1" applyFont="1" applyBorder="1" applyAlignment="1">
      <alignment horizontal="right" vertical="center"/>
    </xf>
    <xf numFmtId="165" fontId="148" fillId="0" borderId="5" xfId="1" applyFont="1" applyBorder="1" applyAlignment="1">
      <alignment horizontal="right" vertical="center"/>
    </xf>
    <xf numFmtId="165" fontId="149" fillId="0" borderId="0" xfId="1" applyFont="1" applyAlignment="1">
      <alignment horizontal="right" vertical="center"/>
    </xf>
    <xf numFmtId="0" fontId="149" fillId="0" borderId="0" xfId="0" applyFont="1" applyAlignment="1">
      <alignment horizontal="right" vertical="center"/>
    </xf>
    <xf numFmtId="165" fontId="181" fillId="11" borderId="35" xfId="0" applyNumberFormat="1" applyFont="1" applyFill="1" applyBorder="1" applyAlignment="1">
      <alignment horizontal="right" vertical="center"/>
    </xf>
    <xf numFmtId="165" fontId="149" fillId="0" borderId="64" xfId="0" applyNumberFormat="1" applyFont="1" applyBorder="1" applyAlignment="1">
      <alignment horizontal="right" vertical="center"/>
    </xf>
    <xf numFmtId="165" fontId="149" fillId="4" borderId="42" xfId="1" applyFont="1" applyFill="1" applyBorder="1" applyAlignment="1">
      <alignment horizontal="right" vertical="center"/>
    </xf>
    <xf numFmtId="165" fontId="149" fillId="0" borderId="109" xfId="0" applyNumberFormat="1" applyFont="1" applyBorder="1" applyAlignment="1">
      <alignment horizontal="right" vertical="center"/>
    </xf>
    <xf numFmtId="165" fontId="149" fillId="17" borderId="109" xfId="0" applyNumberFormat="1" applyFont="1" applyFill="1" applyBorder="1" applyAlignment="1">
      <alignment horizontal="right" vertical="center"/>
    </xf>
    <xf numFmtId="165" fontId="148" fillId="4" borderId="42" xfId="1" applyFont="1" applyFill="1" applyBorder="1" applyAlignment="1">
      <alignment horizontal="right" vertical="center"/>
    </xf>
    <xf numFmtId="165" fontId="149" fillId="16" borderId="42" xfId="1" applyFont="1" applyFill="1" applyBorder="1" applyAlignment="1">
      <alignment horizontal="right" vertical="center"/>
    </xf>
    <xf numFmtId="165" fontId="149" fillId="4" borderId="64" xfId="1" applyFont="1" applyFill="1" applyBorder="1" applyAlignment="1">
      <alignment horizontal="right" vertical="center"/>
    </xf>
    <xf numFmtId="165" fontId="150" fillId="4" borderId="65" xfId="1" applyFont="1" applyFill="1" applyBorder="1" applyAlignment="1">
      <alignment horizontal="right" vertical="center"/>
    </xf>
    <xf numFmtId="165" fontId="181" fillId="36" borderId="139" xfId="0" applyNumberFormat="1" applyFont="1" applyFill="1" applyBorder="1" applyAlignment="1">
      <alignment horizontal="right" vertical="center"/>
    </xf>
    <xf numFmtId="165" fontId="149" fillId="0" borderId="170" xfId="0" applyNumberFormat="1" applyFont="1" applyBorder="1" applyAlignment="1">
      <alignment horizontal="right" vertical="center"/>
    </xf>
    <xf numFmtId="165" fontId="152" fillId="0" borderId="64" xfId="0" applyNumberFormat="1" applyFont="1" applyBorder="1" applyAlignment="1">
      <alignment horizontal="right" vertical="center"/>
    </xf>
    <xf numFmtId="165" fontId="149" fillId="0" borderId="65" xfId="0" applyNumberFormat="1" applyFont="1" applyBorder="1" applyAlignment="1">
      <alignment horizontal="right" vertical="center"/>
    </xf>
    <xf numFmtId="165" fontId="181" fillId="3" borderId="139" xfId="0" applyNumberFormat="1" applyFont="1" applyFill="1" applyBorder="1" applyAlignment="1">
      <alignment horizontal="right" vertical="center"/>
    </xf>
    <xf numFmtId="165" fontId="182" fillId="0" borderId="64" xfId="0" applyNumberFormat="1" applyFont="1" applyBorder="1" applyAlignment="1">
      <alignment horizontal="right" vertical="center"/>
    </xf>
    <xf numFmtId="0" fontId="149" fillId="0" borderId="65" xfId="0" applyFont="1" applyBorder="1" applyAlignment="1">
      <alignment horizontal="right" vertical="center"/>
    </xf>
    <xf numFmtId="165" fontId="181" fillId="21" borderId="139" xfId="0" applyNumberFormat="1" applyFont="1" applyFill="1" applyBorder="1" applyAlignment="1">
      <alignment horizontal="right" vertical="center"/>
    </xf>
    <xf numFmtId="0" fontId="38" fillId="0" borderId="13" xfId="0" applyFont="1" applyBorder="1" applyAlignment="1">
      <alignment horizontal="center" vertical="center"/>
    </xf>
    <xf numFmtId="0" fontId="156" fillId="0" borderId="13" xfId="0" quotePrefix="1" applyFont="1" applyBorder="1" applyAlignment="1">
      <alignment horizontal="center" vertical="center"/>
    </xf>
    <xf numFmtId="0" fontId="148" fillId="0" borderId="82" xfId="0" applyFont="1" applyBorder="1" applyAlignment="1">
      <alignment vertical="center"/>
    </xf>
    <xf numFmtId="0" fontId="30" fillId="0" borderId="15" xfId="0" applyFont="1" applyBorder="1" applyAlignment="1">
      <alignment vertical="center"/>
    </xf>
    <xf numFmtId="3" fontId="158" fillId="0" borderId="26" xfId="2" applyNumberFormat="1" applyFont="1" applyBorder="1" applyAlignment="1">
      <alignment horizontal="right" vertical="center"/>
    </xf>
    <xf numFmtId="168" fontId="176" fillId="0" borderId="26" xfId="2" applyFont="1" applyBorder="1" applyAlignment="1">
      <alignment horizontal="right" vertical="center"/>
    </xf>
    <xf numFmtId="177" fontId="30" fillId="0" borderId="27" xfId="2" applyNumberFormat="1" applyFont="1" applyBorder="1" applyAlignment="1">
      <alignment vertical="center"/>
    </xf>
    <xf numFmtId="0" fontId="159" fillId="0" borderId="242" xfId="0" applyFont="1" applyBorder="1" applyAlignment="1">
      <alignment vertical="center"/>
    </xf>
    <xf numFmtId="0" fontId="156" fillId="0" borderId="16" xfId="0" quotePrefix="1" applyFont="1" applyBorder="1" applyAlignment="1">
      <alignment horizontal="center" vertical="center"/>
    </xf>
    <xf numFmtId="0" fontId="148" fillId="0" borderId="24" xfId="0" applyFont="1" applyBorder="1" applyAlignment="1">
      <alignment vertical="center"/>
    </xf>
    <xf numFmtId="3" fontId="176" fillId="0" borderId="16" xfId="2" applyNumberFormat="1" applyFont="1" applyBorder="1" applyAlignment="1">
      <alignment horizontal="right" vertical="center"/>
    </xf>
    <xf numFmtId="177" fontId="30" fillId="0" borderId="24" xfId="2" applyNumberFormat="1" applyFont="1" applyBorder="1" applyAlignment="1">
      <alignment vertical="center"/>
    </xf>
    <xf numFmtId="0" fontId="29" fillId="0" borderId="221" xfId="0" applyFont="1" applyBorder="1" applyAlignment="1">
      <alignment vertical="center"/>
    </xf>
    <xf numFmtId="0" fontId="38" fillId="0" borderId="274" xfId="0" applyFont="1" applyBorder="1" applyAlignment="1">
      <alignment horizontal="center" vertical="center"/>
    </xf>
    <xf numFmtId="0" fontId="156" fillId="0" borderId="274" xfId="0" applyFont="1" applyBorder="1" applyAlignment="1">
      <alignment horizontal="center" vertical="center"/>
    </xf>
    <xf numFmtId="0" fontId="38" fillId="0" borderId="275" xfId="0" applyFont="1" applyBorder="1" applyAlignment="1">
      <alignment horizontal="center" vertical="center"/>
    </xf>
    <xf numFmtId="0" fontId="148" fillId="0" borderId="276" xfId="0" applyFont="1" applyBorder="1" applyAlignment="1">
      <alignment vertical="center"/>
    </xf>
    <xf numFmtId="0" fontId="30" fillId="0" borderId="275" xfId="0" applyFont="1" applyBorder="1" applyAlignment="1">
      <alignment vertical="center"/>
    </xf>
    <xf numFmtId="0" fontId="30" fillId="0" borderId="277" xfId="0" applyFont="1" applyBorder="1" applyAlignment="1">
      <alignment vertical="center"/>
    </xf>
    <xf numFmtId="3" fontId="30" fillId="0" borderId="274" xfId="2" applyNumberFormat="1" applyFont="1" applyBorder="1" applyAlignment="1">
      <alignment horizontal="right" vertical="center"/>
    </xf>
    <xf numFmtId="3" fontId="176" fillId="0" borderId="274" xfId="2" applyNumberFormat="1" applyFont="1" applyBorder="1" applyAlignment="1">
      <alignment horizontal="right" vertical="center"/>
    </xf>
    <xf numFmtId="177" fontId="30" fillId="0" borderId="276" xfId="2" applyNumberFormat="1" applyFont="1" applyBorder="1" applyAlignment="1">
      <alignment vertical="center"/>
    </xf>
    <xf numFmtId="0" fontId="29" fillId="0" borderId="278" xfId="0" applyFont="1" applyBorder="1" applyAlignment="1">
      <alignment vertical="center"/>
    </xf>
    <xf numFmtId="177" fontId="30" fillId="0" borderId="13" xfId="2" applyNumberFormat="1" applyFont="1" applyBorder="1" applyAlignment="1">
      <alignment vertical="center"/>
    </xf>
    <xf numFmtId="177" fontId="149" fillId="0" borderId="16" xfId="2" applyNumberFormat="1" applyFont="1" applyBorder="1" applyAlignment="1">
      <alignment vertical="center"/>
    </xf>
    <xf numFmtId="177" fontId="30" fillId="0" borderId="16" xfId="2" applyNumberFormat="1" applyFont="1" applyBorder="1" applyAlignment="1">
      <alignment vertical="center"/>
    </xf>
    <xf numFmtId="177" fontId="149" fillId="0" borderId="13" xfId="2" applyNumberFormat="1" applyFont="1" applyBorder="1" applyAlignment="1">
      <alignment vertical="center"/>
    </xf>
    <xf numFmtId="177" fontId="148" fillId="0" borderId="16" xfId="2" applyNumberFormat="1" applyFont="1" applyBorder="1" applyAlignment="1">
      <alignment vertical="center"/>
    </xf>
    <xf numFmtId="177" fontId="30" fillId="0" borderId="279" xfId="2" applyNumberFormat="1" applyFont="1" applyBorder="1" applyAlignment="1">
      <alignment vertical="center"/>
    </xf>
    <xf numFmtId="168" fontId="76" fillId="0" borderId="16" xfId="2" applyFont="1" applyBorder="1" applyAlignment="1">
      <alignment vertical="center"/>
    </xf>
    <xf numFmtId="4" fontId="148" fillId="0" borderId="17" xfId="1" applyNumberFormat="1" applyFont="1" applyBorder="1" applyAlignment="1">
      <alignment horizontal="center" vertical="center"/>
    </xf>
    <xf numFmtId="4" fontId="148" fillId="49" borderId="17" xfId="1" applyNumberFormat="1" applyFont="1" applyFill="1" applyBorder="1" applyAlignment="1">
      <alignment horizontal="center" vertical="center"/>
    </xf>
    <xf numFmtId="4" fontId="148" fillId="57" borderId="11" xfId="1" applyNumberFormat="1" applyFont="1" applyFill="1" applyBorder="1" applyAlignment="1">
      <alignment horizontal="center" vertical="center"/>
    </xf>
    <xf numFmtId="4" fontId="148" fillId="0" borderId="0" xfId="1" applyNumberFormat="1" applyFont="1" applyAlignment="1">
      <alignment horizontal="center" vertical="center"/>
    </xf>
    <xf numFmtId="4" fontId="149" fillId="0" borderId="30" xfId="1" applyNumberFormat="1" applyFont="1" applyBorder="1" applyAlignment="1">
      <alignment horizontal="center" vertical="center"/>
    </xf>
    <xf numFmtId="4" fontId="149" fillId="0" borderId="17" xfId="1" applyNumberFormat="1" applyFont="1" applyBorder="1" applyAlignment="1">
      <alignment horizontal="center" vertical="center"/>
    </xf>
    <xf numFmtId="4" fontId="148" fillId="0" borderId="11" xfId="1" applyNumberFormat="1" applyFont="1" applyBorder="1" applyAlignment="1">
      <alignment horizontal="center" vertical="center"/>
    </xf>
    <xf numFmtId="4" fontId="148" fillId="0" borderId="30" xfId="1" applyNumberFormat="1" applyFont="1" applyBorder="1" applyAlignment="1">
      <alignment horizontal="center" vertical="center"/>
    </xf>
    <xf numFmtId="4" fontId="179" fillId="57" borderId="11" xfId="1" applyNumberFormat="1" applyFont="1" applyFill="1" applyBorder="1" applyAlignment="1">
      <alignment horizontal="center" vertical="center"/>
    </xf>
    <xf numFmtId="4" fontId="148" fillId="0" borderId="0" xfId="1" applyNumberFormat="1" applyFont="1" applyAlignment="1">
      <alignment vertical="center"/>
    </xf>
    <xf numFmtId="4" fontId="158" fillId="0" borderId="30" xfId="1" applyNumberFormat="1" applyFont="1" applyBorder="1" applyAlignment="1">
      <alignment vertical="center"/>
    </xf>
    <xf numFmtId="4" fontId="158" fillId="0" borderId="17" xfId="1" applyNumberFormat="1" applyFont="1" applyBorder="1" applyAlignment="1">
      <alignment vertical="center"/>
    </xf>
    <xf numFmtId="4" fontId="149" fillId="0" borderId="11" xfId="1" applyNumberFormat="1" applyFont="1" applyBorder="1" applyAlignment="1">
      <alignment vertical="center"/>
    </xf>
    <xf numFmtId="4" fontId="148" fillId="0" borderId="17" xfId="1" applyNumberFormat="1" applyFont="1" applyBorder="1" applyAlignment="1">
      <alignment vertical="center"/>
    </xf>
    <xf numFmtId="4" fontId="148" fillId="0" borderId="11" xfId="1" applyNumberFormat="1" applyFont="1" applyBorder="1" applyAlignment="1">
      <alignment vertical="center"/>
    </xf>
    <xf numFmtId="4" fontId="149" fillId="0" borderId="11" xfId="1" applyNumberFormat="1" applyFont="1" applyBorder="1" applyAlignment="1">
      <alignment horizontal="center" vertical="center"/>
    </xf>
    <xf numFmtId="4" fontId="148" fillId="0" borderId="30" xfId="1" applyNumberFormat="1" applyFont="1" applyBorder="1" applyAlignment="1">
      <alignment vertical="center"/>
    </xf>
    <xf numFmtId="4" fontId="158" fillId="0" borderId="30" xfId="1" applyNumberFormat="1" applyFont="1" applyBorder="1" applyAlignment="1">
      <alignment horizontal="center" vertical="center"/>
    </xf>
    <xf numFmtId="4" fontId="159" fillId="0" borderId="17" xfId="1" applyNumberFormat="1" applyFont="1" applyBorder="1" applyAlignment="1">
      <alignment horizontal="center" vertical="center"/>
    </xf>
    <xf numFmtId="4" fontId="148" fillId="0" borderId="50" xfId="1" applyNumberFormat="1" applyFont="1" applyBorder="1" applyAlignment="1">
      <alignment horizontal="center" vertical="center"/>
    </xf>
    <xf numFmtId="4" fontId="176" fillId="0" borderId="50" xfId="1" applyNumberFormat="1" applyFont="1" applyBorder="1" applyAlignment="1">
      <alignment vertical="center"/>
    </xf>
    <xf numFmtId="4" fontId="177" fillId="0" borderId="30" xfId="1" applyNumberFormat="1" applyFont="1" applyBorder="1" applyAlignment="1">
      <alignment vertical="center"/>
    </xf>
    <xf numFmtId="4" fontId="149" fillId="0" borderId="275" xfId="1" applyNumberFormat="1" applyFont="1" applyBorder="1" applyAlignment="1">
      <alignment horizontal="center" vertical="center"/>
    </xf>
    <xf numFmtId="4" fontId="149" fillId="0" borderId="30" xfId="1" applyNumberFormat="1" applyFont="1" applyBorder="1" applyAlignment="1">
      <alignment vertical="center"/>
    </xf>
    <xf numFmtId="4" fontId="148" fillId="0" borderId="250" xfId="3" applyNumberFormat="1" applyFont="1" applyBorder="1" applyAlignment="1">
      <alignment vertical="center"/>
    </xf>
    <xf numFmtId="4" fontId="148" fillId="0" borderId="27" xfId="3" applyNumberFormat="1" applyFont="1" applyBorder="1" applyAlignment="1">
      <alignment vertical="center"/>
    </xf>
    <xf numFmtId="4" fontId="149" fillId="0" borderId="0" xfId="1" applyNumberFormat="1" applyFont="1" applyAlignment="1">
      <alignment vertical="center"/>
    </xf>
    <xf numFmtId="4" fontId="180" fillId="0" borderId="17" xfId="1" applyNumberFormat="1" applyFont="1" applyBorder="1" applyAlignment="1">
      <alignment horizontal="center" vertical="center"/>
    </xf>
    <xf numFmtId="4" fontId="153" fillId="0" borderId="17" xfId="1" applyNumberFormat="1" applyFont="1" applyBorder="1" applyAlignment="1">
      <alignment vertical="center"/>
    </xf>
    <xf numFmtId="4" fontId="153" fillId="0" borderId="17" xfId="1" applyNumberFormat="1" applyFont="1" applyBorder="1" applyAlignment="1">
      <alignment horizontal="center" vertical="center"/>
    </xf>
    <xf numFmtId="4" fontId="149" fillId="0" borderId="0" xfId="1" applyNumberFormat="1" applyFont="1" applyAlignment="1">
      <alignment horizontal="center" vertical="center"/>
    </xf>
    <xf numFmtId="4" fontId="148" fillId="49" borderId="8" xfId="1" applyNumberFormat="1" applyFont="1" applyFill="1" applyBorder="1" applyAlignment="1">
      <alignment horizontal="center" vertical="center"/>
    </xf>
    <xf numFmtId="4" fontId="148" fillId="57" borderId="31" xfId="1" applyNumberFormat="1" applyFont="1" applyFill="1" applyBorder="1" applyAlignment="1">
      <alignment vertical="center"/>
    </xf>
    <xf numFmtId="4" fontId="148" fillId="57" borderId="251" xfId="1" applyNumberFormat="1" applyFont="1" applyFill="1" applyBorder="1" applyAlignment="1">
      <alignment vertical="center"/>
    </xf>
    <xf numFmtId="4" fontId="148" fillId="0" borderId="24" xfId="1" applyNumberFormat="1" applyFont="1" applyBorder="1" applyAlignment="1">
      <alignment vertical="center"/>
    </xf>
    <xf numFmtId="4" fontId="176" fillId="0" borderId="0" xfId="2" applyNumberFormat="1" applyFont="1" applyAlignment="1">
      <alignment vertical="center"/>
    </xf>
    <xf numFmtId="4" fontId="177" fillId="0" borderId="0" xfId="2" applyNumberFormat="1" applyFont="1" applyAlignment="1">
      <alignment vertical="center"/>
    </xf>
    <xf numFmtId="165" fontId="181" fillId="11" borderId="170" xfId="0" applyNumberFormat="1" applyFont="1" applyFill="1" applyBorder="1" applyAlignment="1">
      <alignment vertical="center"/>
    </xf>
    <xf numFmtId="165" fontId="181" fillId="36" borderId="0" xfId="0" applyNumberFormat="1" applyFont="1" applyFill="1" applyAlignment="1">
      <alignment vertical="center"/>
    </xf>
    <xf numFmtId="165" fontId="152" fillId="0" borderId="109" xfId="0" applyNumberFormat="1" applyFont="1" applyBorder="1" applyAlignment="1">
      <alignment vertical="center"/>
    </xf>
    <xf numFmtId="165" fontId="149" fillId="0" borderId="0" xfId="0" applyNumberFormat="1" applyFont="1" applyAlignment="1">
      <alignment vertical="center"/>
    </xf>
    <xf numFmtId="165" fontId="181" fillId="3" borderId="0" xfId="0" applyNumberFormat="1" applyFont="1" applyFill="1" applyAlignment="1">
      <alignment vertical="center"/>
    </xf>
    <xf numFmtId="165" fontId="182" fillId="0" borderId="0" xfId="0" applyNumberFormat="1" applyFont="1" applyAlignment="1">
      <alignment vertical="center"/>
    </xf>
    <xf numFmtId="165" fontId="181" fillId="21" borderId="0" xfId="0" applyNumberFormat="1" applyFont="1" applyFill="1" applyAlignment="1">
      <alignment vertical="center"/>
    </xf>
    <xf numFmtId="4" fontId="149" fillId="0" borderId="63" xfId="1" applyNumberFormat="1" applyFont="1" applyBorder="1" applyAlignment="1">
      <alignment vertical="center"/>
    </xf>
    <xf numFmtId="4" fontId="158" fillId="0" borderId="281" xfId="1" applyNumberFormat="1" applyFont="1" applyBorder="1" applyAlignment="1">
      <alignment vertical="center"/>
    </xf>
    <xf numFmtId="4" fontId="149" fillId="0" borderId="42" xfId="1" applyNumberFormat="1" applyFont="1" applyBorder="1" applyAlignment="1">
      <alignment vertical="center"/>
    </xf>
    <xf numFmtId="4" fontId="149" fillId="0" borderId="45" xfId="1" applyNumberFormat="1" applyFont="1" applyBorder="1" applyAlignment="1">
      <alignment vertical="center"/>
    </xf>
    <xf numFmtId="4" fontId="148" fillId="57" borderId="67" xfId="1" applyNumberFormat="1" applyFont="1" applyFill="1" applyBorder="1" applyAlignment="1">
      <alignment vertical="center"/>
    </xf>
    <xf numFmtId="4" fontId="148" fillId="57" borderId="0" xfId="1" applyNumberFormat="1" applyFont="1" applyFill="1" applyAlignment="1">
      <alignment horizontal="center" vertical="center"/>
    </xf>
    <xf numFmtId="4" fontId="149" fillId="0" borderId="27" xfId="1" applyNumberFormat="1" applyFont="1" applyBorder="1" applyAlignment="1">
      <alignment vertical="center"/>
    </xf>
    <xf numFmtId="4" fontId="149" fillId="0" borderId="24" xfId="1" applyNumberFormat="1" applyFont="1" applyBorder="1" applyAlignment="1">
      <alignment vertical="center"/>
    </xf>
    <xf numFmtId="4" fontId="153" fillId="0" borderId="24" xfId="1" applyNumberFormat="1" applyFont="1" applyBorder="1" applyAlignment="1">
      <alignment vertical="center"/>
    </xf>
    <xf numFmtId="4" fontId="148" fillId="0" borderId="27" xfId="1" applyNumberFormat="1" applyFont="1" applyBorder="1" applyAlignment="1">
      <alignment vertical="center"/>
    </xf>
    <xf numFmtId="4" fontId="163" fillId="0" borderId="108" xfId="0" applyNumberFormat="1" applyFont="1" applyBorder="1" applyAlignment="1">
      <alignment vertical="center"/>
    </xf>
    <xf numFmtId="4" fontId="163" fillId="0" borderId="24" xfId="1" applyNumberFormat="1" applyFont="1" applyBorder="1" applyAlignment="1">
      <alignment vertical="center"/>
    </xf>
    <xf numFmtId="4" fontId="164" fillId="0" borderId="24" xfId="1" applyNumberFormat="1" applyFont="1" applyBorder="1" applyAlignment="1">
      <alignment vertical="center"/>
    </xf>
    <xf numFmtId="4" fontId="148" fillId="49" borderId="257" xfId="1" applyNumberFormat="1" applyFont="1" applyFill="1" applyBorder="1" applyAlignment="1">
      <alignment horizontal="right" vertical="center"/>
    </xf>
    <xf numFmtId="4" fontId="152" fillId="0" borderId="24" xfId="1" applyNumberFormat="1" applyFont="1" applyBorder="1" applyAlignment="1">
      <alignment vertical="center"/>
    </xf>
    <xf numFmtId="4" fontId="148" fillId="0" borderId="24" xfId="1" applyNumberFormat="1" applyFont="1" applyBorder="1" applyAlignment="1">
      <alignment horizontal="center" vertical="center"/>
    </xf>
    <xf numFmtId="4" fontId="176" fillId="57" borderId="257" xfId="2" applyNumberFormat="1" applyFont="1" applyFill="1" applyBorder="1" applyAlignment="1">
      <alignment vertical="center"/>
    </xf>
    <xf numFmtId="4" fontId="176" fillId="0" borderId="257" xfId="2" applyNumberFormat="1" applyFont="1" applyBorder="1" applyAlignment="1">
      <alignment vertical="center"/>
    </xf>
    <xf numFmtId="4" fontId="177" fillId="0" borderId="0" xfId="0" applyNumberFormat="1" applyFont="1" applyAlignment="1">
      <alignment vertical="center"/>
    </xf>
    <xf numFmtId="0" fontId="159" fillId="0" borderId="152" xfId="1" applyNumberFormat="1" applyFont="1" applyBorder="1" applyAlignment="1">
      <alignment horizontal="left" vertical="center"/>
    </xf>
    <xf numFmtId="165" fontId="29" fillId="0" borderId="9" xfId="1" applyFont="1" applyBorder="1" applyAlignment="1">
      <alignment vertical="center"/>
    </xf>
    <xf numFmtId="4" fontId="149" fillId="0" borderId="8" xfId="1" applyNumberFormat="1" applyFont="1" applyBorder="1" applyAlignment="1">
      <alignment vertical="center"/>
    </xf>
    <xf numFmtId="165" fontId="148" fillId="0" borderId="8" xfId="1" applyFont="1" applyBorder="1" applyAlignment="1">
      <alignment horizontal="center" vertical="center"/>
    </xf>
    <xf numFmtId="4" fontId="149" fillId="0" borderId="280" xfId="1" applyNumberFormat="1" applyFont="1" applyBorder="1" applyAlignment="1">
      <alignment vertical="center"/>
    </xf>
    <xf numFmtId="4" fontId="148" fillId="49" borderId="24" xfId="1" applyNumberFormat="1" applyFont="1" applyFill="1" applyBorder="1" applyAlignment="1">
      <alignment horizontal="center" vertical="center"/>
    </xf>
    <xf numFmtId="4" fontId="158" fillId="0" borderId="42" xfId="1" applyNumberFormat="1" applyFont="1" applyBorder="1" applyAlignment="1">
      <alignment vertical="center"/>
    </xf>
    <xf numFmtId="165" fontId="148" fillId="27" borderId="7" xfId="1" quotePrefix="1" applyFont="1" applyFill="1" applyBorder="1" applyAlignment="1">
      <alignment horizontal="center" vertical="center"/>
    </xf>
    <xf numFmtId="4" fontId="149" fillId="0" borderId="257" xfId="1" applyNumberFormat="1" applyFont="1" applyBorder="1" applyAlignment="1">
      <alignment vertical="center"/>
    </xf>
    <xf numFmtId="165" fontId="30" fillId="27" borderId="4" xfId="1" quotePrefix="1" applyFont="1" applyFill="1" applyBorder="1" applyAlignment="1">
      <alignment horizontal="center" vertical="center"/>
    </xf>
    <xf numFmtId="0" fontId="29" fillId="49" borderId="286" xfId="1" applyNumberFormat="1" applyFont="1" applyFill="1" applyBorder="1" applyAlignment="1">
      <alignment horizontal="left" vertical="center"/>
    </xf>
    <xf numFmtId="0" fontId="29" fillId="0" borderId="286" xfId="1" applyNumberFormat="1" applyFont="1" applyBorder="1" applyAlignment="1">
      <alignment horizontal="left" vertical="center"/>
    </xf>
    <xf numFmtId="0" fontId="29" fillId="57" borderId="286" xfId="1" applyNumberFormat="1" applyFont="1" applyFill="1" applyBorder="1" applyAlignment="1">
      <alignment horizontal="left" vertical="center"/>
    </xf>
    <xf numFmtId="0" fontId="164" fillId="0" borderId="286" xfId="1" applyNumberFormat="1" applyFont="1" applyBorder="1" applyAlignment="1">
      <alignment horizontal="left" vertical="center"/>
    </xf>
    <xf numFmtId="0" fontId="149" fillId="0" borderId="286" xfId="1" applyNumberFormat="1" applyFont="1" applyBorder="1" applyAlignment="1">
      <alignment horizontal="left" vertical="center"/>
    </xf>
    <xf numFmtId="0" fontId="146" fillId="57" borderId="286" xfId="1" applyNumberFormat="1" applyFont="1" applyFill="1" applyBorder="1" applyAlignment="1">
      <alignment horizontal="left" vertical="center"/>
    </xf>
    <xf numFmtId="0" fontId="159" fillId="0" borderId="286" xfId="1" applyNumberFormat="1" applyFont="1" applyBorder="1" applyAlignment="1">
      <alignment horizontal="left" vertical="center"/>
    </xf>
    <xf numFmtId="0" fontId="30" fillId="0" borderId="286" xfId="1" applyNumberFormat="1" applyFont="1" applyBorder="1" applyAlignment="1">
      <alignment horizontal="left" vertical="center"/>
    </xf>
    <xf numFmtId="165" fontId="29" fillId="0" borderId="286" xfId="1" applyFont="1" applyBorder="1" applyAlignment="1">
      <alignment vertical="center"/>
    </xf>
    <xf numFmtId="165" fontId="139" fillId="0" borderId="286" xfId="1" applyBorder="1" applyAlignment="1">
      <alignment horizontal="left" vertical="center"/>
    </xf>
    <xf numFmtId="165" fontId="149" fillId="0" borderId="286" xfId="1" applyFont="1" applyBorder="1" applyAlignment="1">
      <alignment vertical="center"/>
    </xf>
    <xf numFmtId="165" fontId="30" fillId="0" borderId="286" xfId="1" applyFont="1" applyBorder="1" applyAlignment="1">
      <alignment vertical="center"/>
    </xf>
    <xf numFmtId="165" fontId="148" fillId="0" borderId="152" xfId="1" applyFont="1" applyBorder="1" applyAlignment="1">
      <alignment vertical="center"/>
    </xf>
    <xf numFmtId="0" fontId="159" fillId="0" borderId="156" xfId="1" applyNumberFormat="1" applyFont="1" applyBorder="1" applyAlignment="1">
      <alignment horizontal="left" vertical="center"/>
    </xf>
    <xf numFmtId="0" fontId="158" fillId="0" borderId="286" xfId="1" applyNumberFormat="1" applyFont="1" applyBorder="1" applyAlignment="1">
      <alignment horizontal="left" vertical="center"/>
    </xf>
    <xf numFmtId="0" fontId="29" fillId="0" borderId="287" xfId="1" applyNumberFormat="1" applyFont="1" applyBorder="1" applyAlignment="1">
      <alignment horizontal="left" vertical="center"/>
    </xf>
    <xf numFmtId="165" fontId="29" fillId="0" borderId="152" xfId="1" applyFont="1" applyBorder="1" applyAlignment="1">
      <alignment vertical="center"/>
    </xf>
    <xf numFmtId="165" fontId="158" fillId="0" borderId="288" xfId="1" applyFont="1" applyBorder="1" applyAlignment="1">
      <alignment vertical="center"/>
    </xf>
    <xf numFmtId="165" fontId="29" fillId="0" borderId="156" xfId="1" applyFont="1" applyBorder="1" applyAlignment="1">
      <alignment vertical="center"/>
    </xf>
    <xf numFmtId="165" fontId="29" fillId="0" borderId="157" xfId="1" applyFont="1" applyBorder="1" applyAlignment="1">
      <alignment vertical="center"/>
    </xf>
    <xf numFmtId="0" fontId="29" fillId="0" borderId="289" xfId="1" applyNumberFormat="1" applyFont="1" applyBorder="1" applyAlignment="1">
      <alignment horizontal="left" vertical="center"/>
    </xf>
    <xf numFmtId="0" fontId="163" fillId="0" borderId="286" xfId="1" applyNumberFormat="1" applyFont="1" applyBorder="1" applyAlignment="1">
      <alignment horizontal="left" vertical="center"/>
    </xf>
    <xf numFmtId="165" fontId="163" fillId="0" borderId="256" xfId="3" applyNumberFormat="1" applyFont="1" applyBorder="1" applyAlignment="1">
      <alignment vertical="center"/>
    </xf>
    <xf numFmtId="165" fontId="30" fillId="0" borderId="153" xfId="3" applyNumberFormat="1" applyFont="1" applyBorder="1" applyAlignment="1">
      <alignment vertical="center"/>
    </xf>
    <xf numFmtId="165" fontId="29" fillId="0" borderId="286" xfId="3" applyNumberFormat="1" applyFont="1" applyBorder="1" applyAlignment="1">
      <alignment vertical="center"/>
    </xf>
    <xf numFmtId="0" fontId="148" fillId="0" borderId="286" xfId="1" applyNumberFormat="1" applyFont="1" applyBorder="1" applyAlignment="1">
      <alignment horizontal="left" vertical="center"/>
    </xf>
    <xf numFmtId="0" fontId="29" fillId="0" borderId="169" xfId="1" applyNumberFormat="1" applyFont="1" applyBorder="1" applyAlignment="1">
      <alignment horizontal="left" vertical="center"/>
    </xf>
    <xf numFmtId="165" fontId="29" fillId="0" borderId="153" xfId="1" applyFont="1" applyBorder="1" applyAlignment="1">
      <alignment vertical="center"/>
    </xf>
    <xf numFmtId="0" fontId="102" fillId="0" borderId="286" xfId="1" applyNumberFormat="1" applyFont="1" applyBorder="1" applyAlignment="1">
      <alignment horizontal="left" vertical="center"/>
    </xf>
    <xf numFmtId="0" fontId="87" fillId="0" borderId="286" xfId="1" applyNumberFormat="1" applyFont="1" applyBorder="1" applyAlignment="1">
      <alignment horizontal="left" vertical="center"/>
    </xf>
    <xf numFmtId="165" fontId="87" fillId="0" borderId="286" xfId="1" applyFont="1" applyBorder="1" applyAlignment="1">
      <alignment vertical="center"/>
    </xf>
    <xf numFmtId="0" fontId="29" fillId="0" borderId="290" xfId="1" applyNumberFormat="1" applyFont="1" applyBorder="1" applyAlignment="1">
      <alignment horizontal="left" vertical="center"/>
    </xf>
    <xf numFmtId="165" fontId="30" fillId="0" borderId="153" xfId="1" applyFont="1" applyBorder="1" applyAlignment="1">
      <alignment vertical="center"/>
    </xf>
    <xf numFmtId="165" fontId="30" fillId="0" borderId="152" xfId="1" applyFont="1" applyBorder="1" applyAlignment="1">
      <alignment vertical="center"/>
    </xf>
    <xf numFmtId="41" fontId="163" fillId="0" borderId="286" xfId="0" applyNumberFormat="1" applyFont="1" applyBorder="1" applyAlignment="1">
      <alignment vertical="center"/>
    </xf>
    <xf numFmtId="165" fontId="163" fillId="0" borderId="286" xfId="1" applyFont="1" applyBorder="1" applyAlignment="1">
      <alignment vertical="center"/>
    </xf>
    <xf numFmtId="165" fontId="164" fillId="0" borderId="286" xfId="1" applyFont="1" applyBorder="1" applyAlignment="1">
      <alignment vertical="center"/>
    </xf>
    <xf numFmtId="0" fontId="163" fillId="49" borderId="291" xfId="1" applyNumberFormat="1" applyFont="1" applyFill="1" applyBorder="1" applyAlignment="1">
      <alignment horizontal="left" vertical="center"/>
    </xf>
    <xf numFmtId="0" fontId="30" fillId="57" borderId="291" xfId="1" applyNumberFormat="1" applyFont="1" applyFill="1" applyBorder="1" applyAlignment="1">
      <alignment horizontal="left" vertical="center"/>
    </xf>
    <xf numFmtId="0" fontId="163" fillId="49" borderId="256" xfId="1" applyNumberFormat="1" applyFont="1" applyFill="1" applyBorder="1" applyAlignment="1">
      <alignment horizontal="left" vertical="center"/>
    </xf>
    <xf numFmtId="165" fontId="152" fillId="0" borderId="286" xfId="1" applyFont="1" applyBorder="1" applyAlignment="1">
      <alignment vertical="center"/>
    </xf>
    <xf numFmtId="165" fontId="149" fillId="57" borderId="256" xfId="1" applyFont="1" applyFill="1" applyBorder="1" applyAlignment="1">
      <alignment vertical="center"/>
    </xf>
    <xf numFmtId="165" fontId="164" fillId="0" borderId="256" xfId="1" applyFont="1" applyBorder="1" applyAlignment="1">
      <alignment vertical="center"/>
    </xf>
    <xf numFmtId="165" fontId="29" fillId="0" borderId="290" xfId="1" applyFont="1" applyBorder="1" applyAlignment="1">
      <alignment vertical="center"/>
    </xf>
    <xf numFmtId="165" fontId="148" fillId="27" borderId="109" xfId="1" quotePrefix="1" applyFont="1" applyFill="1" applyBorder="1" applyAlignment="1">
      <alignment horizontal="center" vertical="center"/>
    </xf>
    <xf numFmtId="4" fontId="148" fillId="49" borderId="283" xfId="1" applyNumberFormat="1" applyFont="1" applyFill="1" applyBorder="1" applyAlignment="1">
      <alignment horizontal="center" vertical="center"/>
    </xf>
    <xf numFmtId="4" fontId="148" fillId="0" borderId="283" xfId="1" applyNumberFormat="1" applyFont="1" applyBorder="1" applyAlignment="1">
      <alignment horizontal="center" vertical="center"/>
    </xf>
    <xf numFmtId="4" fontId="148" fillId="57" borderId="282" xfId="1" applyNumberFormat="1" applyFont="1" applyFill="1" applyBorder="1" applyAlignment="1">
      <alignment horizontal="center" vertical="center"/>
    </xf>
    <xf numFmtId="4" fontId="148" fillId="0" borderId="109" xfId="1" applyNumberFormat="1" applyFont="1" applyBorder="1" applyAlignment="1">
      <alignment horizontal="center" vertical="center"/>
    </xf>
    <xf numFmtId="4" fontId="149" fillId="0" borderId="117" xfId="1" applyNumberFormat="1" applyFont="1" applyBorder="1" applyAlignment="1">
      <alignment horizontal="center" vertical="center"/>
    </xf>
    <xf numFmtId="4" fontId="149" fillId="0" borderId="283" xfId="1" applyNumberFormat="1" applyFont="1" applyBorder="1" applyAlignment="1">
      <alignment horizontal="center" vertical="center"/>
    </xf>
    <xf numFmtId="4" fontId="148" fillId="0" borderId="282" xfId="1" applyNumberFormat="1" applyFont="1" applyBorder="1" applyAlignment="1">
      <alignment horizontal="center" vertical="center"/>
    </xf>
    <xf numFmtId="4" fontId="148" fillId="0" borderId="117" xfId="1" applyNumberFormat="1" applyFont="1" applyBorder="1" applyAlignment="1">
      <alignment horizontal="center" vertical="center"/>
    </xf>
    <xf numFmtId="4" fontId="179" fillId="57" borderId="282" xfId="1" applyNumberFormat="1" applyFont="1" applyFill="1" applyBorder="1" applyAlignment="1">
      <alignment horizontal="center" vertical="center"/>
    </xf>
    <xf numFmtId="4" fontId="148" fillId="0" borderId="109" xfId="1" applyNumberFormat="1" applyFont="1" applyBorder="1" applyAlignment="1">
      <alignment vertical="center"/>
    </xf>
    <xf numFmtId="4" fontId="158" fillId="0" borderId="117" xfId="1" applyNumberFormat="1" applyFont="1" applyBorder="1" applyAlignment="1">
      <alignment vertical="center"/>
    </xf>
    <xf numFmtId="4" fontId="149" fillId="0" borderId="283" xfId="1" applyNumberFormat="1" applyFont="1" applyBorder="1" applyAlignment="1">
      <alignment vertical="center"/>
    </xf>
    <xf numFmtId="4" fontId="158" fillId="0" borderId="283" xfId="1" applyNumberFormat="1" applyFont="1" applyBorder="1" applyAlignment="1">
      <alignment vertical="center"/>
    </xf>
    <xf numFmtId="4" fontId="149" fillId="0" borderId="282" xfId="1" applyNumberFormat="1" applyFont="1" applyBorder="1" applyAlignment="1">
      <alignment vertical="center"/>
    </xf>
    <xf numFmtId="4" fontId="148" fillId="0" borderId="283" xfId="1" applyNumberFormat="1" applyFont="1" applyBorder="1" applyAlignment="1">
      <alignment vertical="center"/>
    </xf>
    <xf numFmtId="4" fontId="148" fillId="0" borderId="282" xfId="1" applyNumberFormat="1" applyFont="1" applyBorder="1" applyAlignment="1">
      <alignment vertical="center"/>
    </xf>
    <xf numFmtId="4" fontId="149" fillId="0" borderId="282" xfId="1" applyNumberFormat="1" applyFont="1" applyBorder="1" applyAlignment="1">
      <alignment horizontal="center" vertical="center"/>
    </xf>
    <xf numFmtId="4" fontId="148" fillId="0" borderId="117" xfId="1" applyNumberFormat="1" applyFont="1" applyBorder="1" applyAlignment="1">
      <alignment vertical="center"/>
    </xf>
    <xf numFmtId="4" fontId="158" fillId="0" borderId="117" xfId="1" applyNumberFormat="1" applyFont="1" applyBorder="1" applyAlignment="1">
      <alignment horizontal="center" vertical="center"/>
    </xf>
    <xf numFmtId="4" fontId="159" fillId="0" borderId="282" xfId="1" applyNumberFormat="1" applyFont="1" applyBorder="1" applyAlignment="1">
      <alignment horizontal="center" vertical="center"/>
    </xf>
    <xf numFmtId="4" fontId="149" fillId="0" borderId="117" xfId="1" applyNumberFormat="1" applyFont="1" applyBorder="1" applyAlignment="1">
      <alignment vertical="center"/>
    </xf>
    <xf numFmtId="4" fontId="149" fillId="0" borderId="292" xfId="1" applyNumberFormat="1" applyFont="1" applyBorder="1" applyAlignment="1">
      <alignment vertical="center"/>
    </xf>
    <xf numFmtId="4" fontId="148" fillId="57" borderId="280" xfId="1" applyNumberFormat="1" applyFont="1" applyFill="1" applyBorder="1" applyAlignment="1">
      <alignment vertical="center"/>
    </xf>
    <xf numFmtId="4" fontId="148" fillId="0" borderId="280" xfId="1" applyNumberFormat="1" applyFont="1" applyBorder="1" applyAlignment="1">
      <alignment horizontal="center" vertical="center"/>
    </xf>
    <xf numFmtId="4" fontId="176" fillId="0" borderId="280" xfId="1" applyNumberFormat="1" applyFont="1" applyBorder="1" applyAlignment="1">
      <alignment vertical="center"/>
    </xf>
    <xf numFmtId="4" fontId="177" fillId="0" borderId="117" xfId="1" applyNumberFormat="1" applyFont="1" applyBorder="1" applyAlignment="1">
      <alignment vertical="center"/>
    </xf>
    <xf numFmtId="4" fontId="149" fillId="0" borderId="284" xfId="1" applyNumberFormat="1" applyFont="1" applyBorder="1" applyAlignment="1">
      <alignment horizontal="center" vertical="center"/>
    </xf>
    <xf numFmtId="4" fontId="148" fillId="57" borderId="109" xfId="1" applyNumberFormat="1" applyFont="1" applyFill="1" applyBorder="1" applyAlignment="1">
      <alignment horizontal="center" vertical="center"/>
    </xf>
    <xf numFmtId="4" fontId="148" fillId="0" borderId="280" xfId="3" applyNumberFormat="1" applyFont="1" applyBorder="1" applyAlignment="1">
      <alignment vertical="center"/>
    </xf>
    <xf numFmtId="4" fontId="148" fillId="0" borderId="117" xfId="3" applyNumberFormat="1" applyFont="1" applyBorder="1" applyAlignment="1">
      <alignment vertical="center"/>
    </xf>
    <xf numFmtId="4" fontId="149" fillId="0" borderId="109" xfId="1" applyNumberFormat="1" applyFont="1" applyBorder="1" applyAlignment="1">
      <alignment vertical="center"/>
    </xf>
    <xf numFmtId="4" fontId="180" fillId="0" borderId="283" xfId="1" applyNumberFormat="1" applyFont="1" applyBorder="1" applyAlignment="1">
      <alignment horizontal="center" vertical="center"/>
    </xf>
    <xf numFmtId="4" fontId="153" fillId="0" borderId="283" xfId="1" applyNumberFormat="1" applyFont="1" applyBorder="1" applyAlignment="1">
      <alignment vertical="center"/>
    </xf>
    <xf numFmtId="4" fontId="153" fillId="0" borderId="283" xfId="1" applyNumberFormat="1" applyFont="1" applyBorder="1" applyAlignment="1">
      <alignment horizontal="center" vertical="center"/>
    </xf>
    <xf numFmtId="4" fontId="163" fillId="0" borderId="283" xfId="0" applyNumberFormat="1" applyFont="1" applyBorder="1" applyAlignment="1">
      <alignment vertical="center"/>
    </xf>
    <xf numFmtId="4" fontId="163" fillId="0" borderId="283" xfId="1" applyNumberFormat="1" applyFont="1" applyBorder="1" applyAlignment="1">
      <alignment vertical="center"/>
    </xf>
    <xf numFmtId="4" fontId="164" fillId="0" borderId="283" xfId="1" applyNumberFormat="1" applyFont="1" applyBorder="1" applyAlignment="1">
      <alignment vertical="center"/>
    </xf>
    <xf numFmtId="4" fontId="149" fillId="0" borderId="109" xfId="1" applyNumberFormat="1" applyFont="1" applyBorder="1" applyAlignment="1">
      <alignment horizontal="center" vertical="center"/>
    </xf>
    <xf numFmtId="4" fontId="148" fillId="49" borderId="293" xfId="1" applyNumberFormat="1" applyFont="1" applyFill="1" applyBorder="1" applyAlignment="1">
      <alignment horizontal="center" vertical="center"/>
    </xf>
    <xf numFmtId="4" fontId="148" fillId="57" borderId="246" xfId="1" applyNumberFormat="1" applyFont="1" applyFill="1" applyBorder="1" applyAlignment="1">
      <alignment vertical="center"/>
    </xf>
    <xf numFmtId="4" fontId="148" fillId="49" borderId="280" xfId="1" applyNumberFormat="1" applyFont="1" applyFill="1" applyBorder="1" applyAlignment="1">
      <alignment horizontal="right" vertical="center"/>
    </xf>
    <xf numFmtId="4" fontId="152" fillId="0" borderId="283" xfId="1" applyNumberFormat="1" applyFont="1" applyBorder="1" applyAlignment="1">
      <alignment vertical="center"/>
    </xf>
    <xf numFmtId="4" fontId="176" fillId="57" borderId="280" xfId="2" applyNumberFormat="1" applyFont="1" applyFill="1" applyBorder="1" applyAlignment="1">
      <alignment vertical="center"/>
    </xf>
    <xf numFmtId="4" fontId="176" fillId="0" borderId="280" xfId="2" applyNumberFormat="1" applyFont="1" applyBorder="1" applyAlignment="1">
      <alignment vertical="center"/>
    </xf>
    <xf numFmtId="4" fontId="176" fillId="0" borderId="109" xfId="2" applyNumberFormat="1" applyFont="1" applyBorder="1" applyAlignment="1">
      <alignment vertical="center"/>
    </xf>
    <xf numFmtId="4" fontId="177" fillId="0" borderId="109" xfId="2" applyNumberFormat="1" applyFont="1" applyBorder="1" applyAlignment="1">
      <alignment vertical="center"/>
    </xf>
    <xf numFmtId="4" fontId="177" fillId="0" borderId="109" xfId="0" applyNumberFormat="1" applyFont="1" applyBorder="1" applyAlignment="1">
      <alignment vertical="center"/>
    </xf>
    <xf numFmtId="168" fontId="76" fillId="0" borderId="16" xfId="2" applyFont="1" applyBorder="1" applyAlignment="1">
      <alignment horizontal="right" vertical="center"/>
    </xf>
    <xf numFmtId="168" fontId="50" fillId="59" borderId="5" xfId="2" applyFont="1" applyFill="1" applyBorder="1" applyAlignment="1">
      <alignment horizontal="right" vertical="center"/>
    </xf>
    <xf numFmtId="168" fontId="50" fillId="0" borderId="26" xfId="2" applyFont="1" applyBorder="1" applyAlignment="1">
      <alignment horizontal="right" vertical="center"/>
    </xf>
    <xf numFmtId="168" fontId="76" fillId="0" borderId="26" xfId="2" applyFont="1" applyBorder="1" applyAlignment="1">
      <alignment vertical="center"/>
    </xf>
    <xf numFmtId="168" fontId="50" fillId="0" borderId="249" xfId="2" applyFont="1" applyBorder="1" applyAlignment="1">
      <alignment vertical="center"/>
    </xf>
    <xf numFmtId="168" fontId="50" fillId="57" borderId="35" xfId="2" applyFont="1" applyFill="1" applyBorder="1" applyAlignment="1">
      <alignment vertical="center"/>
    </xf>
    <xf numFmtId="3" fontId="0" fillId="0" borderId="0" xfId="0" applyNumberFormat="1"/>
    <xf numFmtId="49" fontId="56" fillId="0" borderId="267" xfId="0" applyNumberFormat="1" applyFont="1" applyBorder="1" applyAlignment="1">
      <alignment horizontal="center" vertical="center"/>
    </xf>
    <xf numFmtId="49" fontId="163" fillId="49" borderId="294" xfId="0" applyNumberFormat="1" applyFont="1" applyFill="1" applyBorder="1" applyAlignment="1">
      <alignment horizontal="center" vertical="center"/>
    </xf>
    <xf numFmtId="0" fontId="163" fillId="49" borderId="295" xfId="0" quotePrefix="1" applyFont="1" applyFill="1" applyBorder="1" applyAlignment="1">
      <alignment vertical="center"/>
    </xf>
    <xf numFmtId="49" fontId="29" fillId="0" borderId="294" xfId="0" applyNumberFormat="1" applyFont="1" applyBorder="1" applyAlignment="1">
      <alignment horizontal="center" vertical="center"/>
    </xf>
    <xf numFmtId="49" fontId="15" fillId="0" borderId="292" xfId="0" applyNumberFormat="1" applyFont="1" applyBorder="1" applyAlignment="1">
      <alignment horizontal="center"/>
    </xf>
    <xf numFmtId="49" fontId="16" fillId="0" borderId="292" xfId="0" applyNumberFormat="1" applyFont="1" applyBorder="1" applyAlignment="1">
      <alignment horizontal="center"/>
    </xf>
    <xf numFmtId="49" fontId="30" fillId="0" borderId="296" xfId="0" applyNumberFormat="1" applyFont="1" applyBorder="1" applyAlignment="1">
      <alignment horizontal="center" vertical="center"/>
    </xf>
    <xf numFmtId="49" fontId="30" fillId="0" borderId="292" xfId="0" applyNumberFormat="1" applyFont="1" applyBorder="1" applyAlignment="1">
      <alignment horizontal="center" vertical="center"/>
    </xf>
    <xf numFmtId="49" fontId="30" fillId="0" borderId="157" xfId="0" applyNumberFormat="1" applyFont="1" applyBorder="1" applyAlignment="1">
      <alignment horizontal="center" vertical="center"/>
    </xf>
    <xf numFmtId="49" fontId="158" fillId="0" borderId="26" xfId="0" quotePrefix="1" applyNumberFormat="1" applyFont="1" applyBorder="1" applyAlignment="1">
      <alignment horizontal="center" vertical="center"/>
    </xf>
    <xf numFmtId="49" fontId="50" fillId="0" borderId="138" xfId="0" applyNumberFormat="1" applyFont="1" applyBorder="1" applyAlignment="1">
      <alignment horizontal="center"/>
    </xf>
    <xf numFmtId="49" fontId="76" fillId="0" borderId="138" xfId="0" applyNumberFormat="1" applyFont="1" applyBorder="1" applyAlignment="1">
      <alignment horizontal="center"/>
    </xf>
    <xf numFmtId="49" fontId="76" fillId="0" borderId="34" xfId="0" applyNumberFormat="1" applyFont="1" applyBorder="1"/>
    <xf numFmtId="0" fontId="76" fillId="0" borderId="34" xfId="0" applyFont="1" applyBorder="1"/>
    <xf numFmtId="4" fontId="76" fillId="0" borderId="0" xfId="0" applyNumberFormat="1" applyFont="1" applyAlignment="1">
      <alignment vertical="center"/>
    </xf>
    <xf numFmtId="4" fontId="76" fillId="0" borderId="109" xfId="0" applyNumberFormat="1" applyFont="1" applyBorder="1" applyAlignment="1">
      <alignment vertical="center"/>
    </xf>
    <xf numFmtId="49" fontId="50" fillId="0" borderId="292" xfId="0" applyNumberFormat="1" applyFont="1" applyBorder="1" applyAlignment="1">
      <alignment horizontal="center"/>
    </xf>
    <xf numFmtId="49" fontId="76" fillId="0" borderId="292" xfId="0" applyNumberFormat="1" applyFont="1" applyBorder="1" applyAlignment="1">
      <alignment horizontal="center"/>
    </xf>
    <xf numFmtId="49" fontId="76" fillId="0" borderId="65" xfId="0" applyNumberFormat="1" applyFont="1" applyBorder="1" applyAlignment="1">
      <alignment horizontal="center"/>
    </xf>
    <xf numFmtId="49" fontId="76" fillId="0" borderId="47" xfId="0" applyNumberFormat="1" applyFont="1" applyBorder="1"/>
    <xf numFmtId="0" fontId="76" fillId="0" borderId="47" xfId="0" applyFont="1" applyBorder="1"/>
    <xf numFmtId="3" fontId="52" fillId="0" borderId="16" xfId="2" applyNumberFormat="1" applyFont="1" applyBorder="1" applyAlignment="1">
      <alignment horizontal="right" vertical="center"/>
    </xf>
    <xf numFmtId="0" fontId="97" fillId="4" borderId="0" xfId="0" applyFont="1" applyFill="1" applyAlignment="1">
      <alignment vertical="center"/>
    </xf>
    <xf numFmtId="165" fontId="29" fillId="0" borderId="169" xfId="1" applyFont="1" applyBorder="1" applyAlignment="1">
      <alignment vertical="center"/>
    </xf>
    <xf numFmtId="49" fontId="29" fillId="0" borderId="125" xfId="0" applyNumberFormat="1" applyFont="1" applyBorder="1" applyAlignment="1">
      <alignment horizontal="center" vertical="center"/>
    </xf>
    <xf numFmtId="4" fontId="29" fillId="0" borderId="125" xfId="1" applyNumberFormat="1" applyFont="1" applyBorder="1" applyAlignment="1">
      <alignment vertical="center"/>
    </xf>
    <xf numFmtId="49" fontId="29" fillId="0" borderId="0" xfId="0" quotePrefix="1" applyNumberFormat="1" applyFont="1" applyAlignment="1">
      <alignment vertical="center"/>
    </xf>
    <xf numFmtId="0" fontId="52" fillId="0" borderId="0" xfId="0" applyFont="1" applyAlignment="1">
      <alignment vertical="center"/>
    </xf>
    <xf numFmtId="4" fontId="30" fillId="0" borderId="138" xfId="1" applyNumberFormat="1" applyFont="1" applyBorder="1" applyAlignment="1">
      <alignment vertical="center"/>
    </xf>
    <xf numFmtId="4" fontId="30" fillId="0" borderId="0" xfId="1" applyNumberFormat="1" applyFont="1" applyAlignment="1">
      <alignment vertical="center"/>
    </xf>
    <xf numFmtId="4" fontId="30" fillId="0" borderId="109" xfId="1" applyNumberFormat="1" applyFont="1" applyBorder="1" applyAlignment="1">
      <alignment vertical="center"/>
    </xf>
    <xf numFmtId="165" fontId="30" fillId="0" borderId="169" xfId="1" applyFont="1" applyBorder="1" applyAlignment="1">
      <alignment vertical="center"/>
    </xf>
    <xf numFmtId="176" fontId="117" fillId="4" borderId="0" xfId="1" applyNumberFormat="1" applyFont="1" applyFill="1" applyAlignment="1">
      <alignment vertical="center"/>
    </xf>
    <xf numFmtId="0" fontId="47" fillId="4" borderId="0" xfId="0" applyFont="1" applyFill="1" applyAlignment="1">
      <alignment vertical="center"/>
    </xf>
    <xf numFmtId="4" fontId="30" fillId="0" borderId="12" xfId="1" applyNumberFormat="1" applyFont="1" applyBorder="1" applyAlignment="1">
      <alignment vertical="center"/>
    </xf>
    <xf numFmtId="0" fontId="105" fillId="0" borderId="17" xfId="6" applyFont="1" applyBorder="1" applyAlignment="1">
      <alignment vertical="center"/>
    </xf>
    <xf numFmtId="0" fontId="29" fillId="0" borderId="17" xfId="6" applyFont="1" applyBorder="1" applyAlignment="1">
      <alignment vertical="center"/>
    </xf>
    <xf numFmtId="4" fontId="29" fillId="0" borderId="283" xfId="6" applyNumberFormat="1" applyFont="1" applyBorder="1" applyAlignment="1">
      <alignment horizontal="right" vertical="center"/>
    </xf>
    <xf numFmtId="4" fontId="29" fillId="0" borderId="297" xfId="6" applyNumberFormat="1" applyFont="1" applyBorder="1" applyAlignment="1">
      <alignment horizontal="right" vertical="center"/>
    </xf>
    <xf numFmtId="4" fontId="29" fillId="0" borderId="16" xfId="7" applyNumberFormat="1" applyFont="1" applyBorder="1" applyAlignment="1">
      <alignment vertical="center"/>
    </xf>
    <xf numFmtId="4" fontId="29" fillId="0" borderId="148" xfId="7" applyNumberFormat="1" applyFont="1" applyBorder="1" applyAlignment="1">
      <alignment vertical="center"/>
    </xf>
    <xf numFmtId="4" fontId="29" fillId="0" borderId="118" xfId="6" applyNumberFormat="1" applyFont="1" applyBorder="1" applyAlignment="1">
      <alignment horizontal="right" vertical="center"/>
    </xf>
    <xf numFmtId="165" fontId="148" fillId="4" borderId="0" xfId="1" applyFont="1" applyFill="1" applyAlignment="1">
      <alignment horizontal="right" vertical="center"/>
    </xf>
    <xf numFmtId="165" fontId="148" fillId="27" borderId="6" xfId="1" quotePrefix="1" applyFont="1" applyFill="1" applyBorder="1" applyAlignment="1">
      <alignment horizontal="right" vertical="center"/>
    </xf>
    <xf numFmtId="4" fontId="149" fillId="0" borderId="8" xfId="1" applyNumberFormat="1" applyFont="1" applyBorder="1" applyAlignment="1">
      <alignment horizontal="right" vertical="center"/>
    </xf>
    <xf numFmtId="4" fontId="30" fillId="0" borderId="16" xfId="1" applyNumberFormat="1" applyFont="1" applyBorder="1" applyAlignment="1">
      <alignment horizontal="right" vertical="center"/>
    </xf>
    <xf numFmtId="4" fontId="30" fillId="0" borderId="17" xfId="1" applyNumberFormat="1" applyFont="1" applyBorder="1" applyAlignment="1">
      <alignment vertical="center"/>
    </xf>
    <xf numFmtId="4" fontId="30" fillId="0" borderId="283" xfId="1" applyNumberFormat="1" applyFont="1" applyBorder="1" applyAlignment="1">
      <alignment vertical="center"/>
    </xf>
    <xf numFmtId="0" fontId="52" fillId="0" borderId="17" xfId="0" applyFont="1" applyBorder="1" applyAlignment="1">
      <alignment vertical="center"/>
    </xf>
    <xf numFmtId="4" fontId="52" fillId="0" borderId="18" xfId="0" applyNumberFormat="1" applyFont="1" applyBorder="1" applyAlignment="1">
      <alignment vertical="center"/>
    </xf>
    <xf numFmtId="4" fontId="52" fillId="0" borderId="16" xfId="1" applyNumberFormat="1" applyFont="1" applyBorder="1" applyAlignment="1">
      <alignment vertical="center"/>
    </xf>
    <xf numFmtId="4" fontId="52" fillId="0" borderId="16" xfId="1" applyNumberFormat="1" applyFont="1" applyBorder="1" applyAlignment="1">
      <alignment horizontal="right" vertical="center"/>
    </xf>
    <xf numFmtId="4" fontId="52" fillId="0" borderId="17" xfId="1" applyNumberFormat="1" applyFont="1" applyBorder="1" applyAlignment="1">
      <alignment vertical="center"/>
    </xf>
    <xf numFmtId="4" fontId="52" fillId="0" borderId="283" xfId="1" applyNumberFormat="1" applyFont="1" applyBorder="1" applyAlignment="1">
      <alignment vertical="center"/>
    </xf>
    <xf numFmtId="0" fontId="52" fillId="0" borderId="286" xfId="1" applyNumberFormat="1" applyFont="1" applyBorder="1" applyAlignment="1">
      <alignment horizontal="left" vertical="center"/>
    </xf>
    <xf numFmtId="49" fontId="52" fillId="0" borderId="16" xfId="0" applyNumberFormat="1" applyFont="1" applyBorder="1" applyAlignment="1">
      <alignment horizontal="center" vertical="center"/>
    </xf>
    <xf numFmtId="176" fontId="124" fillId="0" borderId="0" xfId="1" applyNumberFormat="1" applyFont="1" applyAlignment="1">
      <alignment vertical="center"/>
    </xf>
    <xf numFmtId="4" fontId="29" fillId="0" borderId="16" xfId="1" applyNumberFormat="1" applyFont="1" applyBorder="1" applyAlignment="1">
      <alignment horizontal="right" vertical="center"/>
    </xf>
    <xf numFmtId="4" fontId="29" fillId="0" borderId="283" xfId="1" applyNumberFormat="1" applyFont="1" applyBorder="1" applyAlignment="1">
      <alignment vertical="center"/>
    </xf>
    <xf numFmtId="49" fontId="146" fillId="0" borderId="16" xfId="0" applyNumberFormat="1" applyFont="1" applyBorder="1" applyAlignment="1">
      <alignment horizontal="center" vertical="center"/>
    </xf>
    <xf numFmtId="49" fontId="146" fillId="0" borderId="24" xfId="0" quotePrefix="1" applyNumberFormat="1" applyFont="1" applyBorder="1" applyAlignment="1">
      <alignment vertical="center"/>
    </xf>
    <xf numFmtId="49" fontId="146" fillId="0" borderId="17" xfId="0" applyNumberFormat="1" applyFont="1" applyBorder="1" applyAlignment="1">
      <alignment vertical="center"/>
    </xf>
    <xf numFmtId="0" fontId="146" fillId="0" borderId="17" xfId="0" applyFont="1" applyBorder="1" applyAlignment="1">
      <alignment vertical="center"/>
    </xf>
    <xf numFmtId="0" fontId="146" fillId="0" borderId="18" xfId="0" applyFont="1" applyBorder="1" applyAlignment="1">
      <alignment vertical="center"/>
    </xf>
    <xf numFmtId="4" fontId="146" fillId="0" borderId="18" xfId="0" applyNumberFormat="1" applyFont="1" applyBorder="1" applyAlignment="1">
      <alignment vertical="center"/>
    </xf>
    <xf numFmtId="4" fontId="146" fillId="0" borderId="16" xfId="1" applyNumberFormat="1" applyFont="1" applyBorder="1" applyAlignment="1">
      <alignment vertical="center"/>
    </xf>
    <xf numFmtId="4" fontId="146" fillId="0" borderId="148" xfId="1" applyNumberFormat="1" applyFont="1" applyBorder="1" applyAlignment="1">
      <alignment vertical="center"/>
    </xf>
    <xf numFmtId="4" fontId="146" fillId="0" borderId="16" xfId="1" applyNumberFormat="1" applyFont="1" applyBorder="1" applyAlignment="1">
      <alignment horizontal="right" vertical="center"/>
    </xf>
    <xf numFmtId="4" fontId="146" fillId="0" borderId="17" xfId="1" applyNumberFormat="1" applyFont="1" applyBorder="1" applyAlignment="1">
      <alignment vertical="center"/>
    </xf>
    <xf numFmtId="4" fontId="146" fillId="0" borderId="283" xfId="1" applyNumberFormat="1" applyFont="1" applyBorder="1" applyAlignment="1">
      <alignment vertical="center"/>
    </xf>
    <xf numFmtId="0" fontId="146" fillId="0" borderId="286" xfId="1" applyNumberFormat="1" applyFont="1" applyBorder="1" applyAlignment="1">
      <alignment horizontal="left" vertical="center"/>
    </xf>
    <xf numFmtId="176" fontId="147" fillId="0" borderId="0" xfId="1" applyNumberFormat="1" applyFont="1" applyAlignment="1">
      <alignment vertical="center"/>
    </xf>
    <xf numFmtId="0" fontId="146" fillId="0" borderId="0" xfId="0" applyFont="1" applyAlignment="1">
      <alignment vertical="center"/>
    </xf>
    <xf numFmtId="49" fontId="101" fillId="0" borderId="16" xfId="0" applyNumberFormat="1" applyFont="1" applyBorder="1" applyAlignment="1">
      <alignment horizontal="center" vertical="center"/>
    </xf>
    <xf numFmtId="49" fontId="146" fillId="0" borderId="24" xfId="0" applyNumberFormat="1" applyFont="1" applyBorder="1" applyAlignment="1">
      <alignment vertical="center"/>
    </xf>
    <xf numFmtId="176" fontId="147" fillId="4" borderId="0" xfId="1" applyNumberFormat="1" applyFont="1" applyFill="1" applyAlignment="1">
      <alignment vertical="center"/>
    </xf>
    <xf numFmtId="0" fontId="146" fillId="4" borderId="0" xfId="0" applyFont="1" applyFill="1" applyAlignment="1">
      <alignment vertical="center"/>
    </xf>
    <xf numFmtId="49" fontId="101" fillId="0" borderId="17" xfId="0" applyNumberFormat="1" applyFont="1" applyBorder="1" applyAlignment="1">
      <alignment vertical="center"/>
    </xf>
    <xf numFmtId="0" fontId="101" fillId="0" borderId="17" xfId="0" applyFont="1" applyBorder="1" applyAlignment="1">
      <alignment vertical="center"/>
    </xf>
    <xf numFmtId="168" fontId="101" fillId="0" borderId="18" xfId="2" applyFont="1" applyBorder="1" applyAlignment="1">
      <alignment vertical="center"/>
    </xf>
    <xf numFmtId="4" fontId="101" fillId="0" borderId="18" xfId="2" applyNumberFormat="1" applyFont="1" applyBorder="1" applyAlignment="1">
      <alignment vertical="center"/>
    </xf>
    <xf numFmtId="4" fontId="101" fillId="0" borderId="16" xfId="1" applyNumberFormat="1" applyFont="1" applyBorder="1" applyAlignment="1">
      <alignment vertical="center"/>
    </xf>
    <xf numFmtId="4" fontId="101" fillId="0" borderId="16" xfId="1" applyNumberFormat="1" applyFont="1" applyBorder="1" applyAlignment="1">
      <alignment horizontal="right" vertical="center"/>
    </xf>
    <xf numFmtId="4" fontId="101" fillId="0" borderId="17" xfId="1" applyNumberFormat="1" applyFont="1" applyBorder="1" applyAlignment="1">
      <alignment vertical="center"/>
    </xf>
    <xf numFmtId="4" fontId="101" fillId="0" borderId="283" xfId="1" applyNumberFormat="1" applyFont="1" applyBorder="1" applyAlignment="1">
      <alignment vertical="center"/>
    </xf>
    <xf numFmtId="0" fontId="101" fillId="0" borderId="286" xfId="1" applyNumberFormat="1" applyFont="1" applyBorder="1" applyAlignment="1">
      <alignment horizontal="left" vertical="center"/>
    </xf>
    <xf numFmtId="0" fontId="101" fillId="0" borderId="0" xfId="0" applyFont="1" applyAlignment="1">
      <alignment vertical="center"/>
    </xf>
    <xf numFmtId="168" fontId="146" fillId="0" borderId="18" xfId="2" applyFont="1" applyBorder="1" applyAlignment="1">
      <alignment vertical="center"/>
    </xf>
    <xf numFmtId="4" fontId="146" fillId="0" borderId="18" xfId="2" applyNumberFormat="1" applyFont="1" applyBorder="1" applyAlignment="1">
      <alignment vertical="center"/>
    </xf>
    <xf numFmtId="4" fontId="159" fillId="0" borderId="16" xfId="1" applyNumberFormat="1" applyFont="1" applyBorder="1" applyAlignment="1">
      <alignment vertical="center"/>
    </xf>
    <xf numFmtId="0" fontId="29" fillId="0" borderId="297" xfId="0" applyFont="1" applyBorder="1" applyAlignment="1">
      <alignment vertical="center"/>
    </xf>
    <xf numFmtId="4" fontId="29" fillId="0" borderId="297" xfId="0" applyNumberFormat="1" applyFont="1" applyBorder="1" applyAlignment="1">
      <alignment vertical="center"/>
    </xf>
    <xf numFmtId="49" fontId="73" fillId="0" borderId="16" xfId="0" applyNumberFormat="1" applyFont="1" applyBorder="1" applyAlignment="1">
      <alignment horizontal="center" vertical="center"/>
    </xf>
    <xf numFmtId="49" fontId="73" fillId="0" borderId="17" xfId="0" applyNumberFormat="1" applyFont="1" applyBorder="1" applyAlignment="1">
      <alignment vertical="center"/>
    </xf>
    <xf numFmtId="0" fontId="73" fillId="0" borderId="17" xfId="0" applyFont="1" applyBorder="1" applyAlignment="1">
      <alignment vertical="center"/>
    </xf>
    <xf numFmtId="4" fontId="73" fillId="0" borderId="16" xfId="1" applyNumberFormat="1" applyFont="1" applyBorder="1" applyAlignment="1">
      <alignment vertical="center"/>
    </xf>
    <xf numFmtId="4" fontId="73" fillId="0" borderId="148" xfId="1" applyNumberFormat="1" applyFont="1" applyBorder="1" applyAlignment="1">
      <alignment vertical="center"/>
    </xf>
    <xf numFmtId="4" fontId="73" fillId="0" borderId="16" xfId="1" applyNumberFormat="1" applyFont="1" applyBorder="1" applyAlignment="1">
      <alignment horizontal="right" vertical="center"/>
    </xf>
    <xf numFmtId="4" fontId="73" fillId="0" borderId="283" xfId="1" applyNumberFormat="1" applyFont="1" applyBorder="1" applyAlignment="1">
      <alignment vertical="center"/>
    </xf>
    <xf numFmtId="165" fontId="73" fillId="0" borderId="286" xfId="1" applyFont="1" applyBorder="1" applyAlignment="1">
      <alignment vertical="center"/>
    </xf>
    <xf numFmtId="176" fontId="189" fillId="0" borderId="0" xfId="1" applyNumberFormat="1" applyFont="1" applyAlignment="1">
      <alignment vertical="center"/>
    </xf>
    <xf numFmtId="0" fontId="73" fillId="0" borderId="0" xfId="0" applyFont="1" applyAlignment="1">
      <alignment vertical="center"/>
    </xf>
    <xf numFmtId="4" fontId="29" fillId="0" borderId="24" xfId="1" applyNumberFormat="1" applyFont="1" applyBorder="1" applyAlignment="1">
      <alignment vertical="center"/>
    </xf>
    <xf numFmtId="49" fontId="73" fillId="0" borderId="24" xfId="0" applyNumberFormat="1" applyFont="1" applyBorder="1" applyAlignment="1">
      <alignment vertical="center"/>
    </xf>
    <xf numFmtId="0" fontId="73" fillId="0" borderId="18" xfId="0" applyFont="1" applyBorder="1" applyAlignment="1">
      <alignment vertical="center"/>
    </xf>
    <xf numFmtId="4" fontId="73" fillId="0" borderId="18" xfId="0" applyNumberFormat="1" applyFont="1" applyBorder="1" applyAlignment="1">
      <alignment vertical="center"/>
    </xf>
    <xf numFmtId="4" fontId="73" fillId="0" borderId="24" xfId="1" applyNumberFormat="1" applyFont="1" applyBorder="1" applyAlignment="1">
      <alignment vertical="center"/>
    </xf>
    <xf numFmtId="49" fontId="161" fillId="0" borderId="16" xfId="0" applyNumberFormat="1" applyFont="1" applyBorder="1" applyAlignment="1">
      <alignment horizontal="center" vertical="center"/>
    </xf>
    <xf numFmtId="49" fontId="161" fillId="0" borderId="24" xfId="0" quotePrefix="1" applyNumberFormat="1" applyFont="1" applyBorder="1" applyAlignment="1">
      <alignment vertical="center"/>
    </xf>
    <xf numFmtId="49" fontId="161" fillId="0" borderId="17" xfId="0" applyNumberFormat="1" applyFont="1" applyBorder="1" applyAlignment="1">
      <alignment vertical="center"/>
    </xf>
    <xf numFmtId="0" fontId="161" fillId="0" borderId="17" xfId="0" applyFont="1" applyBorder="1" applyAlignment="1">
      <alignment vertical="center"/>
    </xf>
    <xf numFmtId="0" fontId="161" fillId="0" borderId="297" xfId="0" applyFont="1" applyBorder="1" applyAlignment="1">
      <alignment vertical="center"/>
    </xf>
    <xf numFmtId="4" fontId="161" fillId="0" borderId="297" xfId="0" applyNumberFormat="1" applyFont="1" applyBorder="1" applyAlignment="1">
      <alignment vertical="center"/>
    </xf>
    <xf numFmtId="4" fontId="161" fillId="0" borderId="16" xfId="1" applyNumberFormat="1" applyFont="1" applyBorder="1" applyAlignment="1">
      <alignment vertical="center"/>
    </xf>
    <xf numFmtId="4" fontId="161" fillId="0" borderId="148" xfId="1" applyNumberFormat="1" applyFont="1" applyBorder="1" applyAlignment="1">
      <alignment vertical="center"/>
    </xf>
    <xf numFmtId="4" fontId="161" fillId="0" borderId="16" xfId="1" applyNumberFormat="1" applyFont="1" applyBorder="1" applyAlignment="1">
      <alignment horizontal="right" vertical="center"/>
    </xf>
    <xf numFmtId="4" fontId="161" fillId="0" borderId="17" xfId="1" applyNumberFormat="1" applyFont="1" applyBorder="1" applyAlignment="1">
      <alignment vertical="center"/>
    </xf>
    <xf numFmtId="4" fontId="161" fillId="0" borderId="283" xfId="1" applyNumberFormat="1" applyFont="1" applyBorder="1" applyAlignment="1">
      <alignment vertical="center"/>
    </xf>
    <xf numFmtId="165" fontId="161" fillId="0" borderId="286" xfId="1" applyFont="1" applyBorder="1" applyAlignment="1">
      <alignment vertical="center"/>
    </xf>
    <xf numFmtId="176" fontId="190" fillId="0" borderId="0" xfId="1" applyNumberFormat="1" applyFont="1" applyAlignment="1">
      <alignment vertical="center"/>
    </xf>
    <xf numFmtId="0" fontId="161" fillId="0" borderId="0" xfId="0" applyFont="1" applyAlignment="1">
      <alignment vertical="center"/>
    </xf>
    <xf numFmtId="4" fontId="161" fillId="0" borderId="297" xfId="1" applyNumberFormat="1" applyFont="1" applyBorder="1" applyAlignment="1">
      <alignment vertical="center"/>
    </xf>
    <xf numFmtId="4" fontId="161" fillId="0" borderId="0" xfId="1" applyNumberFormat="1" applyFont="1" applyAlignment="1">
      <alignment vertical="center"/>
    </xf>
    <xf numFmtId="0" fontId="52" fillId="0" borderId="24" xfId="0" applyFont="1" applyBorder="1" applyAlignment="1">
      <alignment vertical="center"/>
    </xf>
    <xf numFmtId="4" fontId="52" fillId="0" borderId="118" xfId="0" applyNumberFormat="1" applyFont="1" applyBorder="1" applyAlignment="1">
      <alignment vertical="center"/>
    </xf>
    <xf numFmtId="168" fontId="23" fillId="0" borderId="5" xfId="2" applyFont="1" applyBorder="1" applyAlignment="1">
      <alignment vertical="center"/>
    </xf>
    <xf numFmtId="4" fontId="30" fillId="0" borderId="17" xfId="0" applyNumberFormat="1" applyFont="1" applyBorder="1" applyAlignment="1">
      <alignment vertical="center"/>
    </xf>
    <xf numFmtId="4" fontId="30" fillId="0" borderId="300" xfId="1" applyNumberFormat="1" applyFont="1" applyBorder="1" applyAlignment="1">
      <alignment vertical="center"/>
    </xf>
    <xf numFmtId="4" fontId="29" fillId="0" borderId="300" xfId="1" applyNumberFormat="1" applyFont="1" applyBorder="1" applyAlignment="1">
      <alignment vertical="center"/>
    </xf>
    <xf numFmtId="4" fontId="29" fillId="0" borderId="299" xfId="1" applyNumberFormat="1" applyFont="1" applyBorder="1" applyAlignment="1">
      <alignment vertical="center"/>
    </xf>
    <xf numFmtId="168" fontId="50" fillId="17" borderId="6" xfId="2" applyFont="1" applyFill="1" applyBorder="1" applyAlignment="1">
      <alignment horizontal="right" vertical="center"/>
    </xf>
    <xf numFmtId="168" fontId="50" fillId="58" borderId="6" xfId="2" applyFont="1" applyFill="1" applyBorder="1" applyAlignment="1">
      <alignment horizontal="right" vertical="center"/>
    </xf>
    <xf numFmtId="168" fontId="50" fillId="59" borderId="6" xfId="2" applyFont="1" applyFill="1" applyBorder="1" applyAlignment="1">
      <alignment horizontal="right" vertical="center"/>
    </xf>
    <xf numFmtId="168" fontId="50" fillId="0" borderId="16" xfId="2" applyFont="1" applyBorder="1" applyAlignment="1">
      <alignment horizontal="right" vertical="center"/>
    </xf>
    <xf numFmtId="177" fontId="29" fillId="0" borderId="16" xfId="2" applyNumberFormat="1" applyFont="1" applyBorder="1" applyAlignment="1">
      <alignment vertical="center"/>
    </xf>
    <xf numFmtId="49" fontId="39" fillId="0" borderId="24" xfId="0" applyNumberFormat="1" applyFont="1" applyBorder="1" applyAlignment="1">
      <alignment horizontal="right" vertical="center"/>
    </xf>
    <xf numFmtId="168" fontId="50" fillId="58" borderId="35" xfId="2" applyFont="1" applyFill="1" applyBorder="1" applyAlignment="1">
      <alignment horizontal="right" vertical="center"/>
    </xf>
    <xf numFmtId="168" fontId="50" fillId="17" borderId="5" xfId="2" applyFont="1" applyFill="1" applyBorder="1" applyAlignment="1">
      <alignment horizontal="right" vertical="center"/>
    </xf>
    <xf numFmtId="3" fontId="101" fillId="0" borderId="26" xfId="2" applyNumberFormat="1" applyFont="1" applyBorder="1" applyAlignment="1">
      <alignment horizontal="right" vertical="center"/>
    </xf>
    <xf numFmtId="4" fontId="148" fillId="0" borderId="302" xfId="1" applyNumberFormat="1" applyFont="1" applyBorder="1" applyAlignment="1">
      <alignment horizontal="right" vertical="center"/>
    </xf>
    <xf numFmtId="4" fontId="149" fillId="0" borderId="153" xfId="1" applyNumberFormat="1" applyFont="1" applyBorder="1" applyAlignment="1">
      <alignment horizontal="center" vertical="center"/>
    </xf>
    <xf numFmtId="4" fontId="148" fillId="0" borderId="303" xfId="1" applyNumberFormat="1" applyFont="1" applyBorder="1" applyAlignment="1">
      <alignment horizontal="right" vertical="center"/>
    </xf>
    <xf numFmtId="4" fontId="148" fillId="0" borderId="274" xfId="1" applyNumberFormat="1" applyFont="1" applyBorder="1" applyAlignment="1">
      <alignment horizontal="right" vertical="center"/>
    </xf>
    <xf numFmtId="0" fontId="56" fillId="0" borderId="0" xfId="0" applyFont="1" applyAlignment="1">
      <alignment vertical="center"/>
    </xf>
    <xf numFmtId="165" fontId="29" fillId="0" borderId="0" xfId="1" applyFont="1" applyAlignment="1">
      <alignment horizontal="right" vertical="center"/>
    </xf>
    <xf numFmtId="0" fontId="29" fillId="0" borderId="0" xfId="0" applyFont="1" applyAlignment="1">
      <alignment horizontal="right" vertical="center"/>
    </xf>
    <xf numFmtId="170" fontId="37" fillId="0" borderId="0" xfId="2" applyNumberFormat="1" applyFont="1" applyAlignment="1">
      <alignment horizontal="center" vertical="center"/>
    </xf>
    <xf numFmtId="165" fontId="37" fillId="0" borderId="0" xfId="0" applyNumberFormat="1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80" fillId="0" borderId="0" xfId="0" applyFont="1" applyAlignment="1">
      <alignment horizontal="center" vertical="center"/>
    </xf>
    <xf numFmtId="1" fontId="37" fillId="0" borderId="0" xfId="0" applyNumberFormat="1" applyFont="1" applyAlignment="1">
      <alignment horizontal="center" vertical="center"/>
    </xf>
    <xf numFmtId="49" fontId="29" fillId="0" borderId="16" xfId="0" quotePrefix="1" applyNumberFormat="1" applyFont="1" applyBorder="1" applyAlignment="1">
      <alignment horizontal="center" vertical="center"/>
    </xf>
    <xf numFmtId="49" fontId="192" fillId="4" borderId="0" xfId="0" applyNumberFormat="1" applyFont="1" applyFill="1" applyAlignment="1">
      <alignment horizontal="center" vertical="center"/>
    </xf>
    <xf numFmtId="0" fontId="192" fillId="4" borderId="0" xfId="0" applyFont="1" applyFill="1" applyAlignment="1">
      <alignment vertical="center"/>
    </xf>
    <xf numFmtId="0" fontId="194" fillId="4" borderId="0" xfId="0" applyFont="1" applyFill="1" applyAlignment="1">
      <alignment vertical="center"/>
    </xf>
    <xf numFmtId="49" fontId="196" fillId="4" borderId="0" xfId="0" applyNumberFormat="1" applyFont="1" applyFill="1" applyAlignment="1">
      <alignment horizontal="center" vertical="center"/>
    </xf>
    <xf numFmtId="0" fontId="197" fillId="4" borderId="0" xfId="0" applyFont="1" applyFill="1" applyAlignment="1">
      <alignment vertical="center"/>
    </xf>
    <xf numFmtId="0" fontId="200" fillId="0" borderId="0" xfId="0" applyFont="1" applyAlignment="1">
      <alignment vertical="center"/>
    </xf>
    <xf numFmtId="0" fontId="201" fillId="0" borderId="0" xfId="0" applyFont="1" applyAlignment="1">
      <alignment vertical="center"/>
    </xf>
    <xf numFmtId="0" fontId="202" fillId="4" borderId="173" xfId="0" applyFont="1" applyFill="1" applyBorder="1" applyAlignment="1">
      <alignment horizontal="center" vertical="center"/>
    </xf>
    <xf numFmtId="0" fontId="203" fillId="4" borderId="309" xfId="0" applyFont="1" applyFill="1" applyBorder="1" applyAlignment="1">
      <alignment horizontal="center" vertical="center"/>
    </xf>
    <xf numFmtId="49" fontId="204" fillId="4" borderId="310" xfId="0" applyNumberFormat="1" applyFont="1" applyFill="1" applyBorder="1" applyAlignment="1">
      <alignment horizontal="center" vertical="center"/>
    </xf>
    <xf numFmtId="0" fontId="205" fillId="4" borderId="311" xfId="0" applyFont="1" applyFill="1" applyBorder="1" applyAlignment="1">
      <alignment vertical="center"/>
    </xf>
    <xf numFmtId="0" fontId="194" fillId="4" borderId="313" xfId="0" applyFont="1" applyFill="1" applyBorder="1" applyAlignment="1">
      <alignment vertical="center"/>
    </xf>
    <xf numFmtId="49" fontId="204" fillId="43" borderId="314" xfId="0" applyNumberFormat="1" applyFont="1" applyFill="1" applyBorder="1" applyAlignment="1">
      <alignment horizontal="center" vertical="center"/>
    </xf>
    <xf numFmtId="0" fontId="205" fillId="43" borderId="311" xfId="0" applyFont="1" applyFill="1" applyBorder="1" applyAlignment="1">
      <alignment vertical="center"/>
    </xf>
    <xf numFmtId="170" fontId="205" fillId="43" borderId="313" xfId="0" applyNumberFormat="1" applyFont="1" applyFill="1" applyBorder="1" applyAlignment="1">
      <alignment vertical="center"/>
    </xf>
    <xf numFmtId="49" fontId="204" fillId="0" borderId="175" xfId="0" applyNumberFormat="1" applyFont="1" applyBorder="1" applyAlignment="1">
      <alignment horizontal="center" vertical="center"/>
    </xf>
    <xf numFmtId="0" fontId="205" fillId="0" borderId="0" xfId="0" applyFont="1" applyAlignment="1">
      <alignment vertical="center"/>
    </xf>
    <xf numFmtId="170" fontId="205" fillId="0" borderId="195" xfId="0" applyNumberFormat="1" applyFont="1" applyBorder="1" applyAlignment="1">
      <alignment vertical="center"/>
    </xf>
    <xf numFmtId="0" fontId="0" fillId="25" borderId="307" xfId="0" applyFill="1" applyBorder="1" applyAlignment="1">
      <alignment vertical="center"/>
    </xf>
    <xf numFmtId="0" fontId="0" fillId="25" borderId="315" xfId="0" applyFill="1" applyBorder="1" applyAlignment="1">
      <alignment vertical="center"/>
    </xf>
    <xf numFmtId="49" fontId="205" fillId="25" borderId="316" xfId="0" applyNumberFormat="1" applyFont="1" applyFill="1" applyBorder="1" applyAlignment="1">
      <alignment horizontal="center" vertical="center"/>
    </xf>
    <xf numFmtId="0" fontId="206" fillId="25" borderId="317" xfId="0" applyFont="1" applyFill="1" applyBorder="1" applyAlignment="1">
      <alignment vertical="center"/>
    </xf>
    <xf numFmtId="0" fontId="207" fillId="25" borderId="317" xfId="0" applyFont="1" applyFill="1" applyBorder="1" applyAlignment="1">
      <alignment vertical="center"/>
    </xf>
    <xf numFmtId="170" fontId="205" fillId="25" borderId="320" xfId="0" applyNumberFormat="1" applyFont="1" applyFill="1" applyBorder="1" applyAlignment="1">
      <alignment vertical="center"/>
    </xf>
    <xf numFmtId="0" fontId="208" fillId="25" borderId="0" xfId="0" applyFont="1" applyFill="1" applyAlignment="1">
      <alignment vertical="center"/>
    </xf>
    <xf numFmtId="49" fontId="205" fillId="0" borderId="321" xfId="0" applyNumberFormat="1" applyFont="1" applyBorder="1" applyAlignment="1">
      <alignment horizontal="center" vertical="center"/>
    </xf>
    <xf numFmtId="49" fontId="205" fillId="0" borderId="322" xfId="0" applyNumberFormat="1" applyFont="1" applyBorder="1" applyAlignment="1">
      <alignment horizontal="center" vertical="center"/>
    </xf>
    <xf numFmtId="0" fontId="0" fillId="0" borderId="307" xfId="0" applyBorder="1" applyAlignment="1">
      <alignment vertical="center"/>
    </xf>
    <xf numFmtId="0" fontId="0" fillId="0" borderId="315" xfId="0" applyBorder="1" applyAlignment="1">
      <alignment vertical="center"/>
    </xf>
    <xf numFmtId="49" fontId="205" fillId="0" borderId="323" xfId="0" applyNumberFormat="1" applyFont="1" applyBorder="1" applyAlignment="1">
      <alignment horizontal="center" vertical="center"/>
    </xf>
    <xf numFmtId="0" fontId="205" fillId="0" borderId="324" xfId="0" applyFont="1" applyBorder="1" applyAlignment="1">
      <alignment vertical="center"/>
    </xf>
    <xf numFmtId="170" fontId="205" fillId="0" borderId="327" xfId="0" applyNumberFormat="1" applyFont="1" applyBorder="1" applyAlignment="1">
      <alignment vertical="center"/>
    </xf>
    <xf numFmtId="49" fontId="205" fillId="0" borderId="26" xfId="0" applyNumberFormat="1" applyFont="1" applyBorder="1" applyAlignment="1">
      <alignment horizontal="center" vertical="center"/>
    </xf>
    <xf numFmtId="49" fontId="205" fillId="0" borderId="303" xfId="0" applyNumberFormat="1" applyFont="1" applyBorder="1" applyAlignment="1">
      <alignment horizontal="center" vertical="center"/>
    </xf>
    <xf numFmtId="49" fontId="205" fillId="0" borderId="179" xfId="0" applyNumberFormat="1" applyFont="1" applyBorder="1" applyAlignment="1">
      <alignment horizontal="center" vertical="center"/>
    </xf>
    <xf numFmtId="0" fontId="205" fillId="0" borderId="30" xfId="0" applyFont="1" applyBorder="1" applyAlignment="1">
      <alignment vertical="center"/>
    </xf>
    <xf numFmtId="170" fontId="205" fillId="0" borderId="200" xfId="0" applyNumberFormat="1" applyFont="1" applyBorder="1" applyAlignment="1">
      <alignment vertical="center"/>
    </xf>
    <xf numFmtId="0" fontId="208" fillId="0" borderId="0" xfId="0" applyFont="1" applyAlignment="1">
      <alignment vertical="center"/>
    </xf>
    <xf numFmtId="49" fontId="204" fillId="0" borderId="180" xfId="0" applyNumberFormat="1" applyFont="1" applyBorder="1" applyAlignment="1">
      <alignment horizontal="center" vertical="center"/>
    </xf>
    <xf numFmtId="0" fontId="204" fillId="0" borderId="17" xfId="0" applyFont="1" applyBorder="1" applyAlignment="1">
      <alignment vertical="center"/>
    </xf>
    <xf numFmtId="170" fontId="205" fillId="0" borderId="328" xfId="0" applyNumberFormat="1" applyFont="1" applyBorder="1" applyAlignment="1">
      <alignment vertical="center"/>
    </xf>
    <xf numFmtId="0" fontId="204" fillId="0" borderId="17" xfId="0" quotePrefix="1" applyFont="1" applyBorder="1" applyAlignment="1">
      <alignment vertical="center"/>
    </xf>
    <xf numFmtId="49" fontId="205" fillId="0" borderId="307" xfId="0" applyNumberFormat="1" applyFont="1" applyBorder="1" applyAlignment="1">
      <alignment horizontal="center" vertical="center"/>
    </xf>
    <xf numFmtId="0" fontId="205" fillId="0" borderId="17" xfId="0" quotePrefix="1" applyFont="1" applyBorder="1" applyAlignment="1">
      <alignment vertical="center"/>
    </xf>
    <xf numFmtId="49" fontId="205" fillId="20" borderId="125" xfId="0" applyNumberFormat="1" applyFont="1" applyFill="1" applyBorder="1" applyAlignment="1">
      <alignment horizontal="center" vertical="center"/>
    </xf>
    <xf numFmtId="0" fontId="211" fillId="0" borderId="315" xfId="0" applyFont="1" applyBorder="1" applyAlignment="1">
      <alignment vertical="center"/>
    </xf>
    <xf numFmtId="49" fontId="205" fillId="0" borderId="180" xfId="0" applyNumberFormat="1" applyFont="1" applyBorder="1" applyAlignment="1">
      <alignment horizontal="center" vertical="center"/>
    </xf>
    <xf numFmtId="0" fontId="205" fillId="0" borderId="17" xfId="0" applyFont="1" applyBorder="1" applyAlignment="1">
      <alignment vertical="center"/>
    </xf>
    <xf numFmtId="49" fontId="205" fillId="0" borderId="312" xfId="0" applyNumberFormat="1" applyFont="1" applyBorder="1" applyAlignment="1">
      <alignment horizontal="center" vertical="center"/>
    </xf>
    <xf numFmtId="49" fontId="205" fillId="0" borderId="329" xfId="0" applyNumberFormat="1" applyFont="1" applyBorder="1" applyAlignment="1">
      <alignment horizontal="center" vertical="center"/>
    </xf>
    <xf numFmtId="49" fontId="204" fillId="0" borderId="330" xfId="0" applyNumberFormat="1" applyFont="1" applyBorder="1" applyAlignment="1">
      <alignment horizontal="center" vertical="center"/>
    </xf>
    <xf numFmtId="0" fontId="204" fillId="0" borderId="275" xfId="0" applyFont="1" applyBorder="1" applyAlignment="1">
      <alignment vertical="center"/>
    </xf>
    <xf numFmtId="170" fontId="205" fillId="0" borderId="331" xfId="0" applyNumberFormat="1" applyFont="1" applyBorder="1" applyAlignment="1">
      <alignment vertical="center"/>
    </xf>
    <xf numFmtId="49" fontId="205" fillId="0" borderId="21" xfId="0" applyNumberFormat="1" applyFont="1" applyBorder="1" applyAlignment="1">
      <alignment horizontal="center" vertical="center"/>
    </xf>
    <xf numFmtId="0" fontId="211" fillId="4" borderId="315" xfId="0" applyFont="1" applyFill="1" applyBorder="1" applyAlignment="1">
      <alignment vertical="center"/>
    </xf>
    <xf numFmtId="49" fontId="204" fillId="0" borderId="332" xfId="0" applyNumberFormat="1" applyFont="1" applyBorder="1" applyAlignment="1">
      <alignment horizontal="center" vertical="center"/>
    </xf>
    <xf numFmtId="0" fontId="205" fillId="0" borderId="333" xfId="0" applyFont="1" applyBorder="1" applyAlignment="1">
      <alignment vertical="center"/>
    </xf>
    <xf numFmtId="0" fontId="204" fillId="0" borderId="333" xfId="0" applyFont="1" applyBorder="1" applyAlignment="1">
      <alignment vertical="center"/>
    </xf>
    <xf numFmtId="49" fontId="205" fillId="0" borderId="335" xfId="0" applyNumberFormat="1" applyFont="1" applyBorder="1" applyAlignment="1">
      <alignment horizontal="center" vertical="center"/>
    </xf>
    <xf numFmtId="49" fontId="204" fillId="0" borderId="183" xfId="0" applyNumberFormat="1" applyFont="1" applyBorder="1" applyAlignment="1">
      <alignment horizontal="center" vertical="center"/>
    </xf>
    <xf numFmtId="0" fontId="204" fillId="0" borderId="11" xfId="0" quotePrefix="1" applyFont="1" applyBorder="1" applyAlignment="1">
      <alignment vertical="center"/>
    </xf>
    <xf numFmtId="49" fontId="204" fillId="0" borderId="336" xfId="0" applyNumberFormat="1" applyFont="1" applyBorder="1" applyAlignment="1">
      <alignment horizontal="center" vertical="center"/>
    </xf>
    <xf numFmtId="0" fontId="204" fillId="0" borderId="337" xfId="0" applyFont="1" applyBorder="1" applyAlignment="1">
      <alignment vertical="center"/>
    </xf>
    <xf numFmtId="170" fontId="205" fillId="0" borderId="338" xfId="0" applyNumberFormat="1" applyFont="1" applyBorder="1" applyAlignment="1">
      <alignment vertical="center"/>
    </xf>
    <xf numFmtId="0" fontId="206" fillId="25" borderId="89" xfId="0" applyFont="1" applyFill="1" applyBorder="1" applyAlignment="1">
      <alignment vertical="center"/>
    </xf>
    <xf numFmtId="49" fontId="205" fillId="0" borderId="341" xfId="0" applyNumberFormat="1" applyFont="1" applyBorder="1" applyAlignment="1">
      <alignment horizontal="center" vertical="center"/>
    </xf>
    <xf numFmtId="0" fontId="205" fillId="0" borderId="342" xfId="0" applyFont="1" applyBorder="1" applyAlignment="1">
      <alignment vertical="center"/>
    </xf>
    <xf numFmtId="49" fontId="204" fillId="0" borderId="188" xfId="0" applyNumberFormat="1" applyFont="1" applyBorder="1" applyAlignment="1">
      <alignment horizontal="center" vertical="center"/>
    </xf>
    <xf numFmtId="0" fontId="204" fillId="0" borderId="44" xfId="0" quotePrefix="1" applyFont="1" applyBorder="1" applyAlignment="1">
      <alignment vertical="center"/>
    </xf>
    <xf numFmtId="0" fontId="204" fillId="0" borderId="44" xfId="0" applyFont="1" applyBorder="1" applyAlignment="1">
      <alignment vertical="center"/>
    </xf>
    <xf numFmtId="49" fontId="205" fillId="0" borderId="188" xfId="0" applyNumberFormat="1" applyFont="1" applyBorder="1" applyAlignment="1">
      <alignment horizontal="center" vertical="center"/>
    </xf>
    <xf numFmtId="0" fontId="205" fillId="0" borderId="44" xfId="0" applyFont="1" applyBorder="1" applyAlignment="1">
      <alignment vertical="center"/>
    </xf>
    <xf numFmtId="49" fontId="205" fillId="0" borderId="344" xfId="0" applyNumberFormat="1" applyFont="1" applyBorder="1" applyAlignment="1">
      <alignment horizontal="center" vertical="center"/>
    </xf>
    <xf numFmtId="49" fontId="204" fillId="0" borderId="190" xfId="0" applyNumberFormat="1" applyFont="1" applyBorder="1" applyAlignment="1">
      <alignment horizontal="center" vertical="center"/>
    </xf>
    <xf numFmtId="0" fontId="204" fillId="0" borderId="47" xfId="0" applyFont="1" applyBorder="1" applyAlignment="1">
      <alignment vertical="center"/>
    </xf>
    <xf numFmtId="170" fontId="205" fillId="0" borderId="346" xfId="0" applyNumberFormat="1" applyFont="1" applyBorder="1" applyAlignment="1">
      <alignment vertical="center"/>
    </xf>
    <xf numFmtId="0" fontId="205" fillId="25" borderId="317" xfId="0" applyFont="1" applyFill="1" applyBorder="1" applyAlignment="1">
      <alignment vertical="center"/>
    </xf>
    <xf numFmtId="0" fontId="212" fillId="0" borderId="315" xfId="0" applyFont="1" applyBorder="1" applyAlignment="1">
      <alignment vertical="center"/>
    </xf>
    <xf numFmtId="0" fontId="213" fillId="0" borderId="0" xfId="0" applyFont="1" applyAlignment="1">
      <alignment vertical="center"/>
    </xf>
    <xf numFmtId="0" fontId="205" fillId="0" borderId="44" xfId="0" quotePrefix="1" applyFont="1" applyBorder="1" applyAlignment="1">
      <alignment vertical="center"/>
    </xf>
    <xf numFmtId="49" fontId="205" fillId="0" borderId="28" xfId="0" applyNumberFormat="1" applyFont="1" applyBorder="1" applyAlignment="1">
      <alignment horizontal="center" vertical="center"/>
    </xf>
    <xf numFmtId="49" fontId="205" fillId="0" borderId="336" xfId="0" applyNumberFormat="1" applyFont="1" applyBorder="1" applyAlignment="1">
      <alignment horizontal="center" vertical="center"/>
    </xf>
    <xf numFmtId="49" fontId="204" fillId="0" borderId="341" xfId="0" applyNumberFormat="1" applyFont="1" applyBorder="1" applyAlignment="1">
      <alignment horizontal="center" vertical="center"/>
    </xf>
    <xf numFmtId="49" fontId="204" fillId="0" borderId="210" xfId="0" applyNumberFormat="1" applyFont="1" applyBorder="1" applyAlignment="1">
      <alignment horizontal="center" vertical="center"/>
    </xf>
    <xf numFmtId="0" fontId="213" fillId="0" borderId="315" xfId="0" applyFont="1" applyBorder="1" applyAlignment="1">
      <alignment vertical="center"/>
    </xf>
    <xf numFmtId="49" fontId="205" fillId="0" borderId="210" xfId="0" applyNumberFormat="1" applyFont="1" applyBorder="1" applyAlignment="1">
      <alignment horizontal="center" vertical="center"/>
    </xf>
    <xf numFmtId="0" fontId="205" fillId="0" borderId="297" xfId="0" applyFont="1" applyBorder="1" applyAlignment="1">
      <alignment vertical="center"/>
    </xf>
    <xf numFmtId="0" fontId="204" fillId="0" borderId="297" xfId="0" applyFont="1" applyBorder="1" applyAlignment="1">
      <alignment vertical="center"/>
    </xf>
    <xf numFmtId="170" fontId="205" fillId="0" borderId="204" xfId="0" applyNumberFormat="1" applyFont="1" applyBorder="1" applyAlignment="1">
      <alignment vertical="center"/>
    </xf>
    <xf numFmtId="49" fontId="205" fillId="4" borderId="341" xfId="0" applyNumberFormat="1" applyFont="1" applyFill="1" applyBorder="1" applyAlignment="1">
      <alignment horizontal="center" vertical="center"/>
    </xf>
    <xf numFmtId="0" fontId="205" fillId="4" borderId="342" xfId="0" applyFont="1" applyFill="1" applyBorder="1" applyAlignment="1">
      <alignment vertical="center"/>
    </xf>
    <xf numFmtId="49" fontId="204" fillId="4" borderId="188" xfId="0" applyNumberFormat="1" applyFont="1" applyFill="1" applyBorder="1" applyAlignment="1">
      <alignment horizontal="center" vertical="center"/>
    </xf>
    <xf numFmtId="0" fontId="204" fillId="4" borderId="44" xfId="0" quotePrefix="1" applyFont="1" applyFill="1" applyBorder="1" applyAlignment="1">
      <alignment vertical="center"/>
    </xf>
    <xf numFmtId="0" fontId="204" fillId="4" borderId="44" xfId="0" applyFont="1" applyFill="1" applyBorder="1" applyAlignment="1">
      <alignment vertical="center"/>
    </xf>
    <xf numFmtId="0" fontId="205" fillId="4" borderId="44" xfId="0" applyFont="1" applyFill="1" applyBorder="1" applyAlignment="1">
      <alignment vertical="center"/>
    </xf>
    <xf numFmtId="0" fontId="204" fillId="4" borderId="17" xfId="0" applyFont="1" applyFill="1" applyBorder="1" applyAlignment="1">
      <alignment vertical="center"/>
    </xf>
    <xf numFmtId="0" fontId="0" fillId="4" borderId="307" xfId="0" applyFill="1" applyBorder="1" applyAlignment="1">
      <alignment vertical="center"/>
    </xf>
    <xf numFmtId="0" fontId="0" fillId="4" borderId="315" xfId="0" applyFill="1" applyBorder="1" applyAlignment="1">
      <alignment vertical="center"/>
    </xf>
    <xf numFmtId="0" fontId="206" fillId="4" borderId="342" xfId="0" applyFont="1" applyFill="1" applyBorder="1" applyAlignment="1">
      <alignment vertical="center"/>
    </xf>
    <xf numFmtId="170" fontId="205" fillId="4" borderId="348" xfId="0" applyNumberFormat="1" applyFont="1" applyFill="1" applyBorder="1" applyAlignment="1">
      <alignment vertical="center"/>
    </xf>
    <xf numFmtId="49" fontId="204" fillId="0" borderId="211" xfId="0" applyNumberFormat="1" applyFont="1" applyBorder="1" applyAlignment="1">
      <alignment horizontal="center" vertical="center"/>
    </xf>
    <xf numFmtId="0" fontId="205" fillId="0" borderId="95" xfId="0" applyFont="1" applyBorder="1" applyAlignment="1">
      <alignment vertical="center"/>
    </xf>
    <xf numFmtId="170" fontId="205" fillId="0" borderId="215" xfId="0" applyNumberFormat="1" applyFont="1" applyBorder="1" applyAlignment="1">
      <alignment vertical="center"/>
    </xf>
    <xf numFmtId="49" fontId="204" fillId="0" borderId="179" xfId="0" applyNumberFormat="1" applyFont="1" applyBorder="1" applyAlignment="1">
      <alignment horizontal="center" vertical="center"/>
    </xf>
    <xf numFmtId="0" fontId="204" fillId="0" borderId="349" xfId="0" quotePrefix="1" applyFont="1" applyBorder="1" applyAlignment="1">
      <alignment vertical="center"/>
    </xf>
    <xf numFmtId="0" fontId="204" fillId="0" borderId="30" xfId="0" applyFont="1" applyBorder="1" applyAlignment="1">
      <alignment vertical="center"/>
    </xf>
    <xf numFmtId="170" fontId="205" fillId="0" borderId="348" xfId="0" applyNumberFormat="1" applyFont="1" applyBorder="1" applyAlignment="1">
      <alignment vertical="center"/>
    </xf>
    <xf numFmtId="0" fontId="213" fillId="0" borderId="307" xfId="0" applyFont="1" applyBorder="1" applyAlignment="1">
      <alignment vertical="center"/>
    </xf>
    <xf numFmtId="43" fontId="214" fillId="0" borderId="0" xfId="0" applyNumberFormat="1" applyFont="1" applyAlignment="1">
      <alignment vertical="center"/>
    </xf>
    <xf numFmtId="43" fontId="216" fillId="0" borderId="0" xfId="0" applyNumberFormat="1" applyFont="1" applyAlignment="1">
      <alignment vertical="top"/>
    </xf>
    <xf numFmtId="0" fontId="204" fillId="0" borderId="0" xfId="0" applyFont="1" applyAlignment="1">
      <alignment vertical="center"/>
    </xf>
    <xf numFmtId="0" fontId="205" fillId="0" borderId="41" xfId="0" applyFont="1" applyBorder="1" applyAlignment="1">
      <alignment vertical="center"/>
    </xf>
    <xf numFmtId="0" fontId="204" fillId="0" borderId="34" xfId="0" applyFont="1" applyBorder="1" applyAlignment="1">
      <alignment vertical="center"/>
    </xf>
    <xf numFmtId="0" fontId="204" fillId="25" borderId="317" xfId="0" applyFont="1" applyFill="1" applyBorder="1" applyAlignment="1">
      <alignment vertical="center"/>
    </xf>
    <xf numFmtId="0" fontId="205" fillId="0" borderId="349" xfId="0" applyFont="1" applyBorder="1" applyAlignment="1">
      <alignment vertical="center"/>
    </xf>
    <xf numFmtId="0" fontId="204" fillId="0" borderId="41" xfId="0" applyFont="1" applyBorder="1" applyAlignment="1">
      <alignment vertical="center"/>
    </xf>
    <xf numFmtId="0" fontId="205" fillId="0" borderId="337" xfId="0" applyFont="1" applyBorder="1" applyAlignment="1">
      <alignment vertical="center"/>
    </xf>
    <xf numFmtId="49" fontId="205" fillId="0" borderId="350" xfId="0" applyNumberFormat="1" applyFont="1" applyBorder="1" applyAlignment="1">
      <alignment horizontal="center" vertical="center"/>
    </xf>
    <xf numFmtId="49" fontId="205" fillId="5" borderId="180" xfId="0" applyNumberFormat="1" applyFont="1" applyFill="1" applyBorder="1" applyAlignment="1">
      <alignment horizontal="center" vertical="center"/>
    </xf>
    <xf numFmtId="0" fontId="204" fillId="5" borderId="17" xfId="0" applyFont="1" applyFill="1" applyBorder="1" applyAlignment="1">
      <alignment vertical="center"/>
    </xf>
    <xf numFmtId="170" fontId="205" fillId="5" borderId="328" xfId="0" applyNumberFormat="1" applyFont="1" applyFill="1" applyBorder="1" applyAlignment="1">
      <alignment vertical="center"/>
    </xf>
    <xf numFmtId="0" fontId="211" fillId="25" borderId="315" xfId="0" applyFont="1" applyFill="1" applyBorder="1" applyAlignment="1">
      <alignment vertical="center"/>
    </xf>
    <xf numFmtId="0" fontId="205" fillId="0" borderId="351" xfId="0" applyFont="1" applyBorder="1" applyAlignment="1">
      <alignment vertical="center"/>
    </xf>
    <xf numFmtId="49" fontId="205" fillId="4" borderId="188" xfId="0" applyNumberFormat="1" applyFont="1" applyFill="1" applyBorder="1" applyAlignment="1">
      <alignment horizontal="center" vertical="center"/>
    </xf>
    <xf numFmtId="0" fontId="204" fillId="0" borderId="30" xfId="0" quotePrefix="1" applyFont="1" applyBorder="1" applyAlignment="1">
      <alignment vertical="center"/>
    </xf>
    <xf numFmtId="0" fontId="206" fillId="4" borderId="44" xfId="0" applyFont="1" applyFill="1" applyBorder="1" applyAlignment="1">
      <alignment vertical="center"/>
    </xf>
    <xf numFmtId="0" fontId="207" fillId="4" borderId="156" xfId="0" applyFont="1" applyFill="1" applyBorder="1" applyAlignment="1">
      <alignment vertical="center"/>
    </xf>
    <xf numFmtId="170" fontId="205" fillId="4" borderId="218" xfId="0" applyNumberFormat="1" applyFont="1" applyFill="1" applyBorder="1" applyAlignment="1">
      <alignment vertical="center"/>
    </xf>
    <xf numFmtId="0" fontId="205" fillId="0" borderId="153" xfId="0" applyFont="1" applyBorder="1" applyAlignment="1">
      <alignment vertical="center"/>
    </xf>
    <xf numFmtId="49" fontId="205" fillId="0" borderId="183" xfId="0" applyNumberFormat="1" applyFont="1" applyBorder="1" applyAlignment="1">
      <alignment horizontal="center" vertical="center"/>
    </xf>
    <xf numFmtId="0" fontId="204" fillId="0" borderId="11" xfId="0" applyFont="1" applyBorder="1" applyAlignment="1">
      <alignment vertical="center"/>
    </xf>
    <xf numFmtId="49" fontId="205" fillId="0" borderId="211" xfId="0" applyNumberFormat="1" applyFont="1" applyBorder="1" applyAlignment="1">
      <alignment horizontal="center" vertical="center"/>
    </xf>
    <xf numFmtId="0" fontId="217" fillId="0" borderId="0" xfId="0" quotePrefix="1" applyFont="1" applyAlignment="1">
      <alignment vertical="center"/>
    </xf>
    <xf numFmtId="0" fontId="217" fillId="0" borderId="0" xfId="0" applyFont="1" applyAlignment="1">
      <alignment vertical="center"/>
    </xf>
    <xf numFmtId="0" fontId="205" fillId="0" borderId="349" xfId="0" quotePrefix="1" applyFont="1" applyBorder="1" applyAlignment="1">
      <alignment vertical="center"/>
    </xf>
    <xf numFmtId="49" fontId="218" fillId="0" borderId="336" xfId="0" applyNumberFormat="1" applyFont="1" applyBorder="1" applyAlignment="1">
      <alignment horizontal="center" vertical="center"/>
    </xf>
    <xf numFmtId="0" fontId="219" fillId="0" borderId="337" xfId="0" applyFont="1" applyBorder="1" applyAlignment="1">
      <alignment vertical="center"/>
    </xf>
    <xf numFmtId="170" fontId="218" fillId="0" borderId="338" xfId="0" applyNumberFormat="1" applyFont="1" applyBorder="1" applyAlignment="1">
      <alignment vertical="center"/>
    </xf>
    <xf numFmtId="49" fontId="205" fillId="4" borderId="210" xfId="0" applyNumberFormat="1" applyFont="1" applyFill="1" applyBorder="1" applyAlignment="1">
      <alignment horizontal="center" vertical="center"/>
    </xf>
    <xf numFmtId="0" fontId="204" fillId="4" borderId="41" xfId="0" applyFont="1" applyFill="1" applyBorder="1" applyAlignment="1">
      <alignment vertical="center"/>
    </xf>
    <xf numFmtId="0" fontId="205" fillId="4" borderId="41" xfId="0" applyFont="1" applyFill="1" applyBorder="1" applyAlignment="1">
      <alignment vertical="center"/>
    </xf>
    <xf numFmtId="49" fontId="205" fillId="0" borderId="220" xfId="0" applyNumberFormat="1" applyFont="1" applyBorder="1" applyAlignment="1">
      <alignment horizontal="center" vertical="center"/>
    </xf>
    <xf numFmtId="0" fontId="220" fillId="4" borderId="34" xfId="0" applyFont="1" applyFill="1" applyBorder="1" applyAlignment="1">
      <alignment vertical="center"/>
    </xf>
    <xf numFmtId="170" fontId="194" fillId="4" borderId="218" xfId="0" applyNumberFormat="1" applyFont="1" applyFill="1" applyBorder="1" applyAlignment="1">
      <alignment vertical="center"/>
    </xf>
    <xf numFmtId="49" fontId="205" fillId="11" borderId="316" xfId="0" applyNumberFormat="1" applyFont="1" applyFill="1" applyBorder="1" applyAlignment="1">
      <alignment horizontal="center" vertical="center"/>
    </xf>
    <xf numFmtId="0" fontId="206" fillId="11" borderId="317" xfId="0" applyFont="1" applyFill="1" applyBorder="1" applyAlignment="1">
      <alignment vertical="center"/>
    </xf>
    <xf numFmtId="0" fontId="204" fillId="11" borderId="317" xfId="0" applyFont="1" applyFill="1" applyBorder="1" applyAlignment="1">
      <alignment vertical="center"/>
    </xf>
    <xf numFmtId="170" fontId="205" fillId="11" borderId="320" xfId="0" applyNumberFormat="1" applyFont="1" applyFill="1" applyBorder="1" applyAlignment="1">
      <alignment vertical="center"/>
    </xf>
    <xf numFmtId="49" fontId="205" fillId="0" borderId="175" xfId="0" applyNumberFormat="1" applyFont="1" applyBorder="1" applyAlignment="1">
      <alignment horizontal="center" vertical="center"/>
    </xf>
    <xf numFmtId="170" fontId="194" fillId="0" borderId="195" xfId="0" applyNumberFormat="1" applyFont="1" applyBorder="1" applyAlignment="1">
      <alignment vertical="center"/>
    </xf>
    <xf numFmtId="0" fontId="221" fillId="0" borderId="337" xfId="0" applyFont="1" applyBorder="1" applyAlignment="1">
      <alignment vertical="center"/>
    </xf>
    <xf numFmtId="170" fontId="194" fillId="0" borderId="338" xfId="0" applyNumberFormat="1" applyFont="1" applyBorder="1" applyAlignment="1">
      <alignment vertical="center"/>
    </xf>
    <xf numFmtId="0" fontId="196" fillId="25" borderId="317" xfId="0" applyFont="1" applyFill="1" applyBorder="1" applyAlignment="1">
      <alignment vertical="center"/>
    </xf>
    <xf numFmtId="170" fontId="194" fillId="0" borderId="204" xfId="0" applyNumberFormat="1" applyFont="1" applyBorder="1" applyAlignment="1">
      <alignment vertical="center"/>
    </xf>
    <xf numFmtId="170" fontId="194" fillId="4" borderId="195" xfId="0" applyNumberFormat="1" applyFont="1" applyFill="1" applyBorder="1" applyAlignment="1">
      <alignment vertical="center"/>
    </xf>
    <xf numFmtId="49" fontId="205" fillId="25" borderId="306" xfId="0" applyNumberFormat="1" applyFont="1" applyFill="1" applyBorder="1" applyAlignment="1">
      <alignment horizontal="center" vertical="center"/>
    </xf>
    <xf numFmtId="0" fontId="205" fillId="25" borderId="317" xfId="0" quotePrefix="1" applyFont="1" applyFill="1" applyBorder="1" applyAlignment="1">
      <alignment vertical="center"/>
    </xf>
    <xf numFmtId="49" fontId="205" fillId="0" borderId="222" xfId="0" applyNumberFormat="1" applyFont="1" applyBorder="1" applyAlignment="1">
      <alignment horizontal="center" vertical="center"/>
    </xf>
    <xf numFmtId="0" fontId="205" fillId="0" borderId="11" xfId="0" applyFont="1" applyBorder="1" applyAlignment="1">
      <alignment vertical="center"/>
    </xf>
    <xf numFmtId="0" fontId="205" fillId="25" borderId="353" xfId="0" applyFont="1" applyFill="1" applyBorder="1" applyAlignment="1">
      <alignment vertical="center"/>
    </xf>
    <xf numFmtId="0" fontId="204" fillId="0" borderId="349" xfId="0" applyFont="1" applyBorder="1" applyAlignment="1">
      <alignment vertical="center"/>
    </xf>
    <xf numFmtId="170" fontId="194" fillId="0" borderId="224" xfId="0" applyNumberFormat="1" applyFont="1" applyBorder="1" applyAlignment="1">
      <alignment vertical="center"/>
    </xf>
    <xf numFmtId="49" fontId="196" fillId="25" borderId="316" xfId="0" applyNumberFormat="1" applyFont="1" applyFill="1" applyBorder="1" applyAlignment="1">
      <alignment horizontal="center" vertical="center"/>
    </xf>
    <xf numFmtId="49" fontId="205" fillId="0" borderId="182" xfId="0" applyNumberFormat="1" applyFont="1" applyBorder="1" applyAlignment="1">
      <alignment horizontal="center" vertical="center"/>
    </xf>
    <xf numFmtId="0" fontId="204" fillId="0" borderId="66" xfId="0" applyFont="1" applyBorder="1" applyAlignment="1">
      <alignment vertical="center"/>
    </xf>
    <xf numFmtId="49" fontId="205" fillId="17" borderId="180" xfId="0" applyNumberFormat="1" applyFont="1" applyFill="1" applyBorder="1" applyAlignment="1">
      <alignment horizontal="center" vertical="center"/>
    </xf>
    <xf numFmtId="49" fontId="196" fillId="0" borderId="180" xfId="0" applyNumberFormat="1" applyFont="1" applyBorder="1" applyAlignment="1">
      <alignment horizontal="center" vertical="center"/>
    </xf>
    <xf numFmtId="0" fontId="218" fillId="0" borderId="17" xfId="0" applyFont="1" applyBorder="1" applyAlignment="1">
      <alignment vertical="center"/>
    </xf>
    <xf numFmtId="0" fontId="222" fillId="0" borderId="17" xfId="0" applyFont="1" applyBorder="1" applyAlignment="1">
      <alignment vertical="center"/>
    </xf>
    <xf numFmtId="49" fontId="205" fillId="16" borderId="180" xfId="0" applyNumberFormat="1" applyFont="1" applyFill="1" applyBorder="1" applyAlignment="1">
      <alignment horizontal="center" vertical="center"/>
    </xf>
    <xf numFmtId="0" fontId="193" fillId="4" borderId="44" xfId="0" applyFont="1" applyFill="1" applyBorder="1" applyAlignment="1">
      <alignment vertical="center"/>
    </xf>
    <xf numFmtId="0" fontId="204" fillId="0" borderId="30" xfId="0" applyFont="1" applyBorder="1" applyAlignment="1">
      <alignment horizontal="center" vertical="center"/>
    </xf>
    <xf numFmtId="0" fontId="204" fillId="0" borderId="17" xfId="0" applyFont="1" applyBorder="1" applyAlignment="1">
      <alignment horizontal="center" vertical="center"/>
    </xf>
    <xf numFmtId="49" fontId="205" fillId="0" borderId="225" xfId="0" applyNumberFormat="1" applyFont="1" applyBorder="1" applyAlignment="1">
      <alignment horizontal="center" vertical="center"/>
    </xf>
    <xf numFmtId="0" fontId="204" fillId="0" borderId="27" xfId="0" applyFont="1" applyBorder="1" applyAlignment="1">
      <alignment horizontal="center" vertical="center"/>
    </xf>
    <xf numFmtId="0" fontId="204" fillId="0" borderId="349" xfId="0" applyFont="1" applyBorder="1" applyAlignment="1">
      <alignment horizontal="center" vertical="center"/>
    </xf>
    <xf numFmtId="0" fontId="204" fillId="20" borderId="276" xfId="0" applyFont="1" applyFill="1" applyBorder="1" applyAlignment="1">
      <alignment horizontal="center" vertical="center"/>
    </xf>
    <xf numFmtId="0" fontId="204" fillId="20" borderId="275" xfId="0" applyFont="1" applyFill="1" applyBorder="1" applyAlignment="1">
      <alignment vertical="center"/>
    </xf>
    <xf numFmtId="0" fontId="223" fillId="4" borderId="41" xfId="0" quotePrefix="1" applyFont="1" applyFill="1" applyBorder="1" applyAlignment="1">
      <alignment vertical="center"/>
    </xf>
    <xf numFmtId="0" fontId="223" fillId="4" borderId="44" xfId="0" quotePrefix="1" applyFont="1" applyFill="1" applyBorder="1" applyAlignment="1">
      <alignment vertical="center"/>
    </xf>
    <xf numFmtId="0" fontId="194" fillId="0" borderId="276" xfId="0" applyFont="1" applyBorder="1" applyAlignment="1">
      <alignment vertical="center"/>
    </xf>
    <xf numFmtId="0" fontId="193" fillId="0" borderId="275" xfId="0" applyFont="1" applyBorder="1" applyAlignment="1">
      <alignment vertical="center"/>
    </xf>
    <xf numFmtId="0" fontId="194" fillId="0" borderId="30" xfId="0" applyFont="1" applyBorder="1" applyAlignment="1">
      <alignment vertical="center"/>
    </xf>
    <xf numFmtId="0" fontId="193" fillId="0" borderId="17" xfId="0" applyFont="1" applyBorder="1" applyAlignment="1">
      <alignment vertical="center"/>
    </xf>
    <xf numFmtId="0" fontId="194" fillId="0" borderId="17" xfId="0" applyFont="1" applyBorder="1" applyAlignment="1">
      <alignment vertical="center"/>
    </xf>
    <xf numFmtId="0" fontId="193" fillId="0" borderId="11" xfId="0" applyFont="1" applyBorder="1" applyAlignment="1">
      <alignment vertical="center"/>
    </xf>
    <xf numFmtId="170" fontId="194" fillId="4" borderId="230" xfId="0" applyNumberFormat="1" applyFont="1" applyFill="1" applyBorder="1" applyAlignment="1">
      <alignment vertical="center"/>
    </xf>
    <xf numFmtId="49" fontId="205" fillId="0" borderId="226" xfId="0" applyNumberFormat="1" applyFont="1" applyBorder="1" applyAlignment="1">
      <alignment horizontal="center" vertical="center"/>
    </xf>
    <xf numFmtId="49" fontId="205" fillId="0" borderId="228" xfId="0" applyNumberFormat="1" applyFont="1" applyBorder="1" applyAlignment="1">
      <alignment horizontal="center" vertical="center"/>
    </xf>
    <xf numFmtId="0" fontId="204" fillId="0" borderId="41" xfId="0" quotePrefix="1" applyFont="1" applyBorder="1" applyAlignment="1">
      <alignment vertical="center"/>
    </xf>
    <xf numFmtId="49" fontId="205" fillId="0" borderId="227" xfId="0" applyNumberFormat="1" applyFont="1" applyBorder="1" applyAlignment="1">
      <alignment horizontal="center" vertical="center"/>
    </xf>
    <xf numFmtId="170" fontId="194" fillId="4" borderId="231" xfId="9" applyNumberFormat="1" applyFont="1" applyFill="1" applyBorder="1" applyAlignment="1">
      <alignment vertical="center"/>
    </xf>
    <xf numFmtId="49" fontId="205" fillId="0" borderId="355" xfId="0" applyNumberFormat="1" applyFont="1" applyBorder="1" applyAlignment="1">
      <alignment horizontal="center" vertical="center"/>
    </xf>
    <xf numFmtId="0" fontId="205" fillId="0" borderId="41" xfId="0" quotePrefix="1" applyFont="1" applyBorder="1" applyAlignment="1">
      <alignment vertical="center"/>
    </xf>
    <xf numFmtId="49" fontId="205" fillId="17" borderId="226" xfId="0" applyNumberFormat="1" applyFont="1" applyFill="1" applyBorder="1" applyAlignment="1">
      <alignment horizontal="center" vertical="center"/>
    </xf>
    <xf numFmtId="0" fontId="204" fillId="17" borderId="44" xfId="0" quotePrefix="1" applyFont="1" applyFill="1" applyBorder="1" applyAlignment="1">
      <alignment vertical="center"/>
    </xf>
    <xf numFmtId="0" fontId="205" fillId="17" borderId="44" xfId="0" applyFont="1" applyFill="1" applyBorder="1" applyAlignment="1">
      <alignment vertical="center"/>
    </xf>
    <xf numFmtId="49" fontId="204" fillId="0" borderId="226" xfId="0" applyNumberFormat="1" applyFont="1" applyBorder="1" applyAlignment="1">
      <alignment horizontal="center" vertical="center"/>
    </xf>
    <xf numFmtId="0" fontId="205" fillId="0" borderId="34" xfId="0" applyFont="1" applyBorder="1" applyAlignment="1">
      <alignment vertical="center"/>
    </xf>
    <xf numFmtId="0" fontId="210" fillId="0" borderId="44" xfId="0" applyFont="1" applyBorder="1" applyAlignment="1">
      <alignment vertical="center"/>
    </xf>
    <xf numFmtId="170" fontId="218" fillId="0" borderId="357" xfId="0" applyNumberFormat="1" applyFont="1" applyBorder="1" applyAlignment="1">
      <alignment vertical="center"/>
    </xf>
    <xf numFmtId="0" fontId="196" fillId="25" borderId="89" xfId="0" applyFont="1" applyFill="1" applyBorder="1" applyAlignment="1">
      <alignment vertical="center"/>
    </xf>
    <xf numFmtId="0" fontId="205" fillId="25" borderId="89" xfId="0" applyFont="1" applyFill="1" applyBorder="1" applyAlignment="1">
      <alignment vertical="center"/>
    </xf>
    <xf numFmtId="0" fontId="204" fillId="0" borderId="324" xfId="0" applyFont="1" applyBorder="1" applyAlignment="1">
      <alignment vertical="center"/>
    </xf>
    <xf numFmtId="170" fontId="194" fillId="0" borderId="327" xfId="0" applyNumberFormat="1" applyFont="1" applyBorder="1" applyAlignment="1">
      <alignment vertical="center"/>
    </xf>
    <xf numFmtId="0" fontId="226" fillId="0" borderId="17" xfId="0" applyFont="1" applyBorder="1" applyAlignment="1">
      <alignment vertical="center"/>
    </xf>
    <xf numFmtId="0" fontId="227" fillId="0" borderId="0" xfId="0" quotePrefix="1" applyFont="1" applyAlignment="1">
      <alignment horizontal="center" vertical="center"/>
    </xf>
    <xf numFmtId="170" fontId="194" fillId="4" borderId="331" xfId="0" applyNumberFormat="1" applyFont="1" applyFill="1" applyBorder="1" applyAlignment="1">
      <alignment vertical="center"/>
    </xf>
    <xf numFmtId="49" fontId="205" fillId="25" borderId="339" xfId="0" applyNumberFormat="1" applyFont="1" applyFill="1" applyBorder="1" applyAlignment="1">
      <alignment horizontal="center" vertical="center"/>
    </xf>
    <xf numFmtId="170" fontId="194" fillId="0" borderId="331" xfId="0" applyNumberFormat="1" applyFont="1" applyBorder="1" applyAlignment="1">
      <alignment vertical="center"/>
    </xf>
    <xf numFmtId="49" fontId="205" fillId="25" borderId="182" xfId="0" applyNumberFormat="1" applyFont="1" applyFill="1" applyBorder="1" applyAlignment="1">
      <alignment horizontal="center" vertical="center"/>
    </xf>
    <xf numFmtId="0" fontId="206" fillId="25" borderId="66" xfId="0" applyFont="1" applyFill="1" applyBorder="1" applyAlignment="1">
      <alignment vertical="center"/>
    </xf>
    <xf numFmtId="0" fontId="205" fillId="25" borderId="66" xfId="0" applyFont="1" applyFill="1" applyBorder="1" applyAlignment="1">
      <alignment vertical="center"/>
    </xf>
    <xf numFmtId="0" fontId="205" fillId="0" borderId="30" xfId="0" quotePrefix="1" applyFont="1" applyBorder="1" applyAlignment="1">
      <alignment vertical="center"/>
    </xf>
    <xf numFmtId="0" fontId="204" fillId="20" borderId="17" xfId="0" applyFont="1" applyFill="1" applyBorder="1" applyAlignment="1">
      <alignment vertical="center"/>
    </xf>
    <xf numFmtId="0" fontId="228" fillId="20" borderId="17" xfId="0" applyFont="1" applyFill="1" applyBorder="1" applyAlignment="1">
      <alignment vertical="center"/>
    </xf>
    <xf numFmtId="0" fontId="204" fillId="20" borderId="17" xfId="0" quotePrefix="1" applyFont="1" applyFill="1" applyBorder="1" applyAlignment="1">
      <alignment vertical="center"/>
    </xf>
    <xf numFmtId="0" fontId="204" fillId="47" borderId="17" xfId="0" applyFont="1" applyFill="1" applyBorder="1" applyAlignment="1">
      <alignment vertical="center"/>
    </xf>
    <xf numFmtId="170" fontId="194" fillId="4" borderId="338" xfId="0" applyNumberFormat="1" applyFont="1" applyFill="1" applyBorder="1" applyAlignment="1">
      <alignment vertical="center"/>
    </xf>
    <xf numFmtId="0" fontId="206" fillId="25" borderId="0" xfId="0" applyFont="1" applyFill="1" applyAlignment="1">
      <alignment vertical="center"/>
    </xf>
    <xf numFmtId="170" fontId="194" fillId="0" borderId="357" xfId="0" applyNumberFormat="1" applyFont="1" applyBorder="1" applyAlignment="1">
      <alignment vertical="center"/>
    </xf>
    <xf numFmtId="0" fontId="206" fillId="25" borderId="358" xfId="0" applyFont="1" applyFill="1" applyBorder="1" applyAlignment="1">
      <alignment vertical="center"/>
    </xf>
    <xf numFmtId="170" fontId="194" fillId="0" borderId="328" xfId="0" applyNumberFormat="1" applyFont="1" applyBorder="1" applyAlignment="1">
      <alignment vertical="center"/>
    </xf>
    <xf numFmtId="170" fontId="194" fillId="4" borderId="237" xfId="0" applyNumberFormat="1" applyFont="1" applyFill="1" applyBorder="1" applyAlignment="1">
      <alignment vertical="center"/>
    </xf>
    <xf numFmtId="170" fontId="194" fillId="4" borderId="231" xfId="0" applyNumberFormat="1" applyFont="1" applyFill="1" applyBorder="1" applyAlignment="1">
      <alignment vertical="center"/>
    </xf>
    <xf numFmtId="170" fontId="206" fillId="0" borderId="308" xfId="0" applyNumberFormat="1" applyFont="1" applyBorder="1" applyAlignment="1">
      <alignment vertical="center"/>
    </xf>
    <xf numFmtId="0" fontId="213" fillId="0" borderId="0" xfId="0" applyFont="1"/>
    <xf numFmtId="170" fontId="29" fillId="4" borderId="303" xfId="0" applyNumberFormat="1" applyFont="1" applyFill="1" applyBorder="1" applyAlignment="1">
      <alignment vertical="center"/>
    </xf>
    <xf numFmtId="170" fontId="76" fillId="0" borderId="340" xfId="0" applyNumberFormat="1" applyFont="1" applyBorder="1" applyAlignment="1">
      <alignment vertical="center"/>
    </xf>
    <xf numFmtId="49" fontId="205" fillId="0" borderId="89" xfId="0" applyNumberFormat="1" applyFont="1" applyBorder="1" applyAlignment="1">
      <alignment horizontal="center" vertical="center"/>
    </xf>
    <xf numFmtId="49" fontId="205" fillId="0" borderId="171" xfId="0" applyNumberFormat="1" applyFont="1" applyBorder="1" applyAlignment="1">
      <alignment horizontal="center" vertical="center"/>
    </xf>
    <xf numFmtId="49" fontId="205" fillId="0" borderId="128" xfId="0" applyNumberFormat="1" applyFont="1" applyBorder="1" applyAlignment="1">
      <alignment horizontal="center" vertical="center"/>
    </xf>
    <xf numFmtId="170" fontId="30" fillId="4" borderId="303" xfId="0" applyNumberFormat="1" applyFont="1" applyFill="1" applyBorder="1" applyAlignment="1">
      <alignment vertical="center"/>
    </xf>
    <xf numFmtId="170" fontId="30" fillId="0" borderId="303" xfId="0" applyNumberFormat="1" applyFont="1" applyBorder="1" applyAlignment="1">
      <alignment vertical="center"/>
    </xf>
    <xf numFmtId="170" fontId="29" fillId="4" borderId="26" xfId="0" applyNumberFormat="1" applyFont="1" applyFill="1" applyBorder="1" applyAlignment="1">
      <alignment vertical="center"/>
    </xf>
    <xf numFmtId="170" fontId="29" fillId="5" borderId="303" xfId="0" applyNumberFormat="1" applyFont="1" applyFill="1" applyBorder="1" applyAlignment="1">
      <alignment vertical="center"/>
    </xf>
    <xf numFmtId="49" fontId="65" fillId="0" borderId="248" xfId="0" applyNumberFormat="1" applyFont="1" applyBorder="1" applyAlignment="1">
      <alignment horizontal="center" vertical="center"/>
    </xf>
    <xf numFmtId="49" fontId="65" fillId="0" borderId="249" xfId="0" applyNumberFormat="1" applyFont="1" applyBorder="1" applyAlignment="1">
      <alignment horizontal="center" vertical="center"/>
    </xf>
    <xf numFmtId="49" fontId="65" fillId="0" borderId="250" xfId="0" applyNumberFormat="1" applyFont="1" applyBorder="1" applyAlignment="1">
      <alignment vertical="center"/>
    </xf>
    <xf numFmtId="49" fontId="65" fillId="0" borderId="251" xfId="0" applyNumberFormat="1" applyFont="1" applyBorder="1" applyAlignment="1">
      <alignment vertical="center"/>
    </xf>
    <xf numFmtId="0" fontId="65" fillId="0" borderId="251" xfId="0" applyFont="1" applyBorder="1" applyAlignment="1">
      <alignment vertical="center"/>
    </xf>
    <xf numFmtId="168" fontId="65" fillId="0" borderId="252" xfId="2" applyFont="1" applyBorder="1" applyAlignment="1">
      <alignment vertical="center"/>
    </xf>
    <xf numFmtId="4" fontId="65" fillId="0" borderId="252" xfId="2" applyNumberFormat="1" applyFont="1" applyBorder="1" applyAlignment="1">
      <alignment vertical="center"/>
    </xf>
    <xf numFmtId="4" fontId="65" fillId="0" borderId="249" xfId="1" applyNumberFormat="1" applyFont="1" applyBorder="1" applyAlignment="1">
      <alignment vertical="center"/>
    </xf>
    <xf numFmtId="4" fontId="53" fillId="0" borderId="254" xfId="1" applyNumberFormat="1" applyFont="1" applyBorder="1" applyAlignment="1">
      <alignment horizontal="right" vertical="center"/>
    </xf>
    <xf numFmtId="4" fontId="53" fillId="0" borderId="0" xfId="1" applyNumberFormat="1" applyFont="1" applyAlignment="1">
      <alignment horizontal="center" vertical="center"/>
    </xf>
    <xf numFmtId="4" fontId="53" fillId="0" borderId="109" xfId="1" applyNumberFormat="1" applyFont="1" applyBorder="1" applyAlignment="1">
      <alignment horizontal="center" vertical="center"/>
    </xf>
    <xf numFmtId="0" fontId="65" fillId="0" borderId="286" xfId="1" applyNumberFormat="1" applyFont="1" applyBorder="1" applyAlignment="1">
      <alignment horizontal="left" vertical="center"/>
    </xf>
    <xf numFmtId="176" fontId="229" fillId="0" borderId="0" xfId="1" applyNumberFormat="1" applyFont="1" applyAlignment="1">
      <alignment vertical="center"/>
    </xf>
    <xf numFmtId="0" fontId="230" fillId="0" borderId="0" xfId="0" applyFont="1" applyAlignment="1">
      <alignment vertical="center"/>
    </xf>
    <xf numFmtId="49" fontId="53" fillId="0" borderId="26" xfId="0" applyNumberFormat="1" applyFont="1" applyBorder="1" applyAlignment="1">
      <alignment horizontal="center" vertical="center"/>
    </xf>
    <xf numFmtId="49" fontId="53" fillId="0" borderId="27" xfId="0" applyNumberFormat="1" applyFont="1" applyBorder="1" applyAlignment="1">
      <alignment vertical="center"/>
    </xf>
    <xf numFmtId="49" fontId="53" fillId="0" borderId="30" xfId="0" applyNumberFormat="1" applyFont="1" applyBorder="1" applyAlignment="1">
      <alignment vertical="center"/>
    </xf>
    <xf numFmtId="0" fontId="53" fillId="0" borderId="30" xfId="0" applyFont="1" applyBorder="1" applyAlignment="1">
      <alignment vertical="center"/>
    </xf>
    <xf numFmtId="168" fontId="53" fillId="0" borderId="53" xfId="2" applyFont="1" applyBorder="1" applyAlignment="1">
      <alignment vertical="center"/>
    </xf>
    <xf numFmtId="4" fontId="53" fillId="0" borderId="53" xfId="2" applyNumberFormat="1" applyFont="1" applyBorder="1" applyAlignment="1">
      <alignment vertical="center"/>
    </xf>
    <xf numFmtId="4" fontId="53" fillId="0" borderId="26" xfId="1" applyNumberFormat="1" applyFont="1" applyBorder="1" applyAlignment="1">
      <alignment vertical="center"/>
    </xf>
    <xf numFmtId="4" fontId="53" fillId="0" borderId="151" xfId="1" applyNumberFormat="1" applyFont="1" applyBorder="1" applyAlignment="1">
      <alignment vertical="center"/>
    </xf>
    <xf numFmtId="4" fontId="53" fillId="0" borderId="26" xfId="1" applyNumberFormat="1" applyFont="1" applyBorder="1" applyAlignment="1">
      <alignment horizontal="right" vertical="center"/>
    </xf>
    <xf numFmtId="4" fontId="53" fillId="0" borderId="30" xfId="1" applyNumberFormat="1" applyFont="1" applyBorder="1" applyAlignment="1">
      <alignment vertical="center"/>
    </xf>
    <xf numFmtId="4" fontId="53" fillId="0" borderId="117" xfId="1" applyNumberFormat="1" applyFont="1" applyBorder="1" applyAlignment="1">
      <alignment vertical="center"/>
    </xf>
    <xf numFmtId="0" fontId="53" fillId="0" borderId="286" xfId="1" applyNumberFormat="1" applyFont="1" applyBorder="1" applyAlignment="1">
      <alignment horizontal="left" vertical="center"/>
    </xf>
    <xf numFmtId="49" fontId="53" fillId="0" borderId="16" xfId="0" applyNumberFormat="1" applyFont="1" applyBorder="1" applyAlignment="1">
      <alignment horizontal="center" vertical="center"/>
    </xf>
    <xf numFmtId="49" fontId="53" fillId="0" borderId="17" xfId="0" applyNumberFormat="1" applyFont="1" applyBorder="1" applyAlignment="1">
      <alignment vertical="center"/>
    </xf>
    <xf numFmtId="0" fontId="53" fillId="0" borderId="17" xfId="0" applyFont="1" applyBorder="1" applyAlignment="1">
      <alignment vertical="center"/>
    </xf>
    <xf numFmtId="168" fontId="53" fillId="0" borderId="18" xfId="2" applyFont="1" applyBorder="1" applyAlignment="1">
      <alignment vertical="center"/>
    </xf>
    <xf numFmtId="4" fontId="53" fillId="0" borderId="18" xfId="2" applyNumberFormat="1" applyFont="1" applyBorder="1" applyAlignment="1">
      <alignment vertical="center"/>
    </xf>
    <xf numFmtId="4" fontId="53" fillId="0" borderId="16" xfId="1" applyNumberFormat="1" applyFont="1" applyBorder="1" applyAlignment="1">
      <alignment vertical="center"/>
    </xf>
    <xf numFmtId="4" fontId="53" fillId="0" borderId="148" xfId="1" applyNumberFormat="1" applyFont="1" applyBorder="1" applyAlignment="1">
      <alignment vertical="center"/>
    </xf>
    <xf numFmtId="4" fontId="53" fillId="0" borderId="16" xfId="1" applyNumberFormat="1" applyFont="1" applyBorder="1" applyAlignment="1">
      <alignment horizontal="right" vertical="center"/>
    </xf>
    <xf numFmtId="4" fontId="53" fillId="0" borderId="17" xfId="1" applyNumberFormat="1" applyFont="1" applyBorder="1" applyAlignment="1">
      <alignment horizontal="center" vertical="center"/>
    </xf>
    <xf numFmtId="4" fontId="53" fillId="0" borderId="283" xfId="1" applyNumberFormat="1" applyFont="1" applyBorder="1" applyAlignment="1">
      <alignment horizontal="center" vertical="center"/>
    </xf>
    <xf numFmtId="49" fontId="52" fillId="0" borderId="24" xfId="0" quotePrefix="1" applyNumberFormat="1" applyFont="1" applyBorder="1" applyAlignment="1">
      <alignment vertical="center"/>
    </xf>
    <xf numFmtId="168" fontId="52" fillId="0" borderId="18" xfId="2" applyFont="1" applyBorder="1" applyAlignment="1">
      <alignment vertical="center"/>
    </xf>
    <xf numFmtId="4" fontId="52" fillId="0" borderId="18" xfId="2" applyNumberFormat="1" applyFont="1" applyBorder="1" applyAlignment="1">
      <alignment vertical="center"/>
    </xf>
    <xf numFmtId="4" fontId="53" fillId="0" borderId="249" xfId="1" applyNumberFormat="1" applyFont="1" applyBorder="1" applyAlignment="1">
      <alignment horizontal="right" vertical="center"/>
    </xf>
    <xf numFmtId="4" fontId="53" fillId="0" borderId="50" xfId="1" applyNumberFormat="1" applyFont="1" applyBorder="1" applyAlignment="1">
      <alignment horizontal="center" vertical="center"/>
    </xf>
    <xf numFmtId="4" fontId="53" fillId="0" borderId="280" xfId="1" applyNumberFormat="1" applyFont="1" applyBorder="1" applyAlignment="1">
      <alignment horizontal="center" vertical="center"/>
    </xf>
    <xf numFmtId="0" fontId="65" fillId="0" borderId="256" xfId="1" applyNumberFormat="1" applyFont="1" applyBorder="1" applyAlignment="1">
      <alignment horizontal="left" vertical="center"/>
    </xf>
    <xf numFmtId="49" fontId="52" fillId="0" borderId="26" xfId="0" applyNumberFormat="1" applyFont="1" applyBorder="1" applyAlignment="1">
      <alignment horizontal="center" vertical="center"/>
    </xf>
    <xf numFmtId="49" fontId="52" fillId="0" borderId="27" xfId="0" applyNumberFormat="1" applyFont="1" applyBorder="1" applyAlignment="1">
      <alignment vertical="center"/>
    </xf>
    <xf numFmtId="49" fontId="52" fillId="0" borderId="30" xfId="0" applyNumberFormat="1" applyFont="1" applyBorder="1" applyAlignment="1">
      <alignment vertical="center"/>
    </xf>
    <xf numFmtId="0" fontId="52" fillId="0" borderId="30" xfId="0" applyFont="1" applyBorder="1" applyAlignment="1">
      <alignment vertical="center"/>
    </xf>
    <xf numFmtId="0" fontId="52" fillId="0" borderId="53" xfId="0" applyFont="1" applyBorder="1" applyAlignment="1">
      <alignment vertical="center"/>
    </xf>
    <xf numFmtId="4" fontId="52" fillId="0" borderId="53" xfId="0" applyNumberFormat="1" applyFont="1" applyBorder="1" applyAlignment="1">
      <alignment vertical="center"/>
    </xf>
    <xf numFmtId="4" fontId="52" fillId="0" borderId="26" xfId="1" applyNumberFormat="1" applyFont="1" applyBorder="1" applyAlignment="1">
      <alignment vertical="center"/>
    </xf>
    <xf numFmtId="4" fontId="52" fillId="0" borderId="151" xfId="1" applyNumberFormat="1" applyFont="1" applyBorder="1" applyAlignment="1">
      <alignment vertical="center"/>
    </xf>
    <xf numFmtId="4" fontId="52" fillId="0" borderId="26" xfId="1" applyNumberFormat="1" applyFont="1" applyBorder="1" applyAlignment="1">
      <alignment horizontal="right" vertical="center"/>
    </xf>
    <xf numFmtId="4" fontId="52" fillId="0" borderId="30" xfId="1" applyNumberFormat="1" applyFont="1" applyBorder="1" applyAlignment="1">
      <alignment vertical="center"/>
    </xf>
    <xf numFmtId="4" fontId="52" fillId="0" borderId="117" xfId="1" applyNumberFormat="1" applyFont="1" applyBorder="1" applyAlignment="1">
      <alignment vertical="center"/>
    </xf>
    <xf numFmtId="0" fontId="52" fillId="0" borderId="153" xfId="1" applyNumberFormat="1" applyFont="1" applyBorder="1" applyAlignment="1">
      <alignment horizontal="left" vertical="center"/>
    </xf>
    <xf numFmtId="0" fontId="65" fillId="0" borderId="250" xfId="0" applyFont="1" applyBorder="1" applyAlignment="1">
      <alignment vertical="center"/>
    </xf>
    <xf numFmtId="4" fontId="229" fillId="0" borderId="255" xfId="1" applyNumberFormat="1" applyFont="1" applyBorder="1" applyAlignment="1">
      <alignment vertical="center"/>
    </xf>
    <xf numFmtId="4" fontId="65" fillId="0" borderId="251" xfId="0" applyNumberFormat="1" applyFont="1" applyBorder="1" applyAlignment="1">
      <alignment vertical="center"/>
    </xf>
    <xf numFmtId="4" fontId="65" fillId="0" borderId="249" xfId="4" applyNumberFormat="1" applyFont="1" applyBorder="1" applyAlignment="1">
      <alignment vertical="center"/>
    </xf>
    <xf numFmtId="4" fontId="53" fillId="0" borderId="249" xfId="3" applyNumberFormat="1" applyFont="1" applyBorder="1" applyAlignment="1">
      <alignment horizontal="right" vertical="center"/>
    </xf>
    <xf numFmtId="4" fontId="53" fillId="0" borderId="250" xfId="3" applyNumberFormat="1" applyFont="1" applyBorder="1" applyAlignment="1">
      <alignment vertical="center"/>
    </xf>
    <xf numFmtId="4" fontId="53" fillId="0" borderId="280" xfId="3" applyNumberFormat="1" applyFont="1" applyBorder="1" applyAlignment="1">
      <alignment vertical="center"/>
    </xf>
    <xf numFmtId="165" fontId="65" fillId="0" borderId="256" xfId="3" applyNumberFormat="1" applyFont="1" applyBorder="1" applyAlignment="1">
      <alignment vertical="center"/>
    </xf>
    <xf numFmtId="0" fontId="53" fillId="0" borderId="27" xfId="0" applyFont="1" applyBorder="1" applyAlignment="1">
      <alignment vertical="center"/>
    </xf>
    <xf numFmtId="4" fontId="53" fillId="0" borderId="117" xfId="0" applyNumberFormat="1" applyFont="1" applyBorder="1" applyAlignment="1">
      <alignment horizontal="right" vertical="center"/>
    </xf>
    <xf numFmtId="4" fontId="53" fillId="0" borderId="30" xfId="0" applyNumberFormat="1" applyFont="1" applyBorder="1" applyAlignment="1">
      <alignment vertical="center"/>
    </xf>
    <xf numFmtId="4" fontId="53" fillId="0" borderId="26" xfId="3" applyNumberFormat="1" applyFont="1" applyBorder="1" applyAlignment="1">
      <alignment vertical="center"/>
    </xf>
    <xf numFmtId="4" fontId="53" fillId="0" borderId="151" xfId="3" applyNumberFormat="1" applyFont="1" applyBorder="1" applyAlignment="1">
      <alignment vertical="center"/>
    </xf>
    <xf numFmtId="4" fontId="53" fillId="0" borderId="26" xfId="3" applyNumberFormat="1" applyFont="1" applyBorder="1" applyAlignment="1">
      <alignment horizontal="right" vertical="center"/>
    </xf>
    <xf numFmtId="4" fontId="53" fillId="0" borderId="27" xfId="3" applyNumberFormat="1" applyFont="1" applyBorder="1" applyAlignment="1">
      <alignment vertical="center"/>
    </xf>
    <xf numFmtId="4" fontId="53" fillId="0" borderId="117" xfId="3" applyNumberFormat="1" applyFont="1" applyBorder="1" applyAlignment="1">
      <alignment vertical="center"/>
    </xf>
    <xf numFmtId="165" fontId="53" fillId="0" borderId="153" xfId="3" applyNumberFormat="1" applyFont="1" applyBorder="1" applyAlignment="1">
      <alignment vertical="center"/>
    </xf>
    <xf numFmtId="0" fontId="53" fillId="0" borderId="0" xfId="0" applyFont="1" applyAlignment="1">
      <alignment vertical="center"/>
    </xf>
    <xf numFmtId="0" fontId="52" fillId="0" borderId="24" xfId="0" applyFont="1" applyBorder="1" applyAlignment="1">
      <alignment horizontal="center" vertical="center"/>
    </xf>
    <xf numFmtId="4" fontId="52" fillId="0" borderId="118" xfId="0" applyNumberFormat="1" applyFont="1" applyBorder="1" applyAlignment="1">
      <alignment horizontal="right" vertical="center"/>
    </xf>
    <xf numFmtId="4" fontId="52" fillId="0" borderId="17" xfId="0" applyNumberFormat="1" applyFont="1" applyBorder="1" applyAlignment="1">
      <alignment vertical="center"/>
    </xf>
    <xf numFmtId="4" fontId="52" fillId="0" borderId="16" xfId="3" applyNumberFormat="1" applyFont="1" applyBorder="1" applyAlignment="1">
      <alignment vertical="center"/>
    </xf>
    <xf numFmtId="4" fontId="52" fillId="0" borderId="148" xfId="3" applyNumberFormat="1" applyFont="1" applyBorder="1" applyAlignment="1">
      <alignment vertical="center"/>
    </xf>
    <xf numFmtId="4" fontId="52" fillId="0" borderId="24" xfId="1" applyNumberFormat="1" applyFont="1" applyBorder="1" applyAlignment="1">
      <alignment vertical="center"/>
    </xf>
    <xf numFmtId="165" fontId="52" fillId="0" borderId="286" xfId="3" applyNumberFormat="1" applyFont="1" applyBorder="1" applyAlignment="1">
      <alignment vertical="center"/>
    </xf>
    <xf numFmtId="4" fontId="65" fillId="0" borderId="255" xfId="0" applyNumberFormat="1" applyFont="1" applyBorder="1" applyAlignment="1">
      <alignment vertical="center"/>
    </xf>
    <xf numFmtId="0" fontId="52" fillId="0" borderId="27" xfId="0" applyFont="1" applyBorder="1" applyAlignment="1">
      <alignment horizontal="center" vertical="center"/>
    </xf>
    <xf numFmtId="4" fontId="53" fillId="0" borderId="117" xfId="0" applyNumberFormat="1" applyFont="1" applyBorder="1" applyAlignment="1">
      <alignment vertical="center"/>
    </xf>
    <xf numFmtId="4" fontId="53" fillId="0" borderId="53" xfId="0" applyNumberFormat="1" applyFont="1" applyBorder="1" applyAlignment="1">
      <alignment vertical="center"/>
    </xf>
    <xf numFmtId="0" fontId="53" fillId="0" borderId="153" xfId="1" applyNumberFormat="1" applyFont="1" applyBorder="1" applyAlignment="1">
      <alignment horizontal="left" vertical="center"/>
    </xf>
    <xf numFmtId="176" fontId="229" fillId="23" borderId="0" xfId="1" applyNumberFormat="1" applyFont="1" applyFill="1" applyAlignment="1">
      <alignment vertical="center"/>
    </xf>
    <xf numFmtId="0" fontId="230" fillId="23" borderId="0" xfId="0" applyFont="1" applyFill="1" applyAlignment="1">
      <alignment vertical="center"/>
    </xf>
    <xf numFmtId="4" fontId="53" fillId="0" borderId="30" xfId="1" applyNumberFormat="1" applyFont="1" applyBorder="1" applyAlignment="1">
      <alignment horizontal="center" vertical="center"/>
    </xf>
    <xf numFmtId="4" fontId="53" fillId="0" borderId="117" xfId="1" applyNumberFormat="1" applyFont="1" applyBorder="1" applyAlignment="1">
      <alignment horizontal="center" vertical="center"/>
    </xf>
    <xf numFmtId="176" fontId="124" fillId="0" borderId="17" xfId="1" applyNumberFormat="1" applyFont="1" applyBorder="1" applyAlignment="1">
      <alignment vertical="center"/>
    </xf>
    <xf numFmtId="4" fontId="53" fillId="0" borderId="118" xfId="0" applyNumberFormat="1" applyFont="1" applyBorder="1" applyAlignment="1">
      <alignment vertical="center"/>
    </xf>
    <xf numFmtId="4" fontId="53" fillId="0" borderId="18" xfId="0" applyNumberFormat="1" applyFont="1" applyBorder="1" applyAlignment="1">
      <alignment vertical="center"/>
    </xf>
    <xf numFmtId="176" fontId="124" fillId="4" borderId="17" xfId="1" applyNumberFormat="1" applyFont="1" applyFill="1" applyBorder="1" applyAlignment="1">
      <alignment vertical="center"/>
    </xf>
    <xf numFmtId="0" fontId="52" fillId="4" borderId="17" xfId="0" applyFont="1" applyFill="1" applyBorder="1" applyAlignment="1">
      <alignment vertical="center"/>
    </xf>
    <xf numFmtId="0" fontId="53" fillId="0" borderId="24" xfId="0" applyFont="1" applyBorder="1" applyAlignment="1">
      <alignment vertical="center"/>
    </xf>
    <xf numFmtId="0" fontId="52" fillId="0" borderId="24" xfId="0" quotePrefix="1" applyFont="1" applyBorder="1" applyAlignment="1">
      <alignment vertical="center"/>
    </xf>
    <xf numFmtId="165" fontId="52" fillId="0" borderId="286" xfId="1" applyFont="1" applyBorder="1" applyAlignment="1">
      <alignment vertical="center"/>
    </xf>
    <xf numFmtId="4" fontId="52" fillId="0" borderId="17" xfId="1" applyNumberFormat="1" applyFont="1" applyBorder="1" applyAlignment="1">
      <alignment horizontal="center" vertical="center"/>
    </xf>
    <xf numFmtId="4" fontId="52" fillId="0" borderId="283" xfId="1" applyNumberFormat="1" applyFont="1" applyBorder="1" applyAlignment="1">
      <alignment horizontal="center" vertical="center"/>
    </xf>
    <xf numFmtId="4" fontId="53" fillId="0" borderId="17" xfId="1" applyNumberFormat="1" applyFont="1" applyBorder="1" applyAlignment="1">
      <alignment vertical="center"/>
    </xf>
    <xf numFmtId="4" fontId="53" fillId="0" borderId="283" xfId="1" applyNumberFormat="1" applyFont="1" applyBorder="1" applyAlignment="1">
      <alignment vertical="center"/>
    </xf>
    <xf numFmtId="4" fontId="52" fillId="0" borderId="282" xfId="1" applyNumberFormat="1" applyFont="1" applyBorder="1" applyAlignment="1">
      <alignment vertical="center"/>
    </xf>
    <xf numFmtId="0" fontId="52" fillId="0" borderId="290" xfId="1" applyNumberFormat="1" applyFont="1" applyBorder="1" applyAlignment="1">
      <alignment horizontal="left" vertical="center"/>
    </xf>
    <xf numFmtId="0" fontId="231" fillId="0" borderId="17" xfId="0" applyFont="1" applyBorder="1" applyAlignment="1">
      <alignment vertical="center"/>
    </xf>
    <xf numFmtId="4" fontId="231" fillId="0" borderId="118" xfId="0" applyNumberFormat="1" applyFont="1" applyBorder="1" applyAlignment="1">
      <alignment vertical="center"/>
    </xf>
    <xf numFmtId="165" fontId="53" fillId="0" borderId="153" xfId="1" applyFont="1" applyBorder="1" applyAlignment="1">
      <alignment vertical="center"/>
    </xf>
    <xf numFmtId="4" fontId="52" fillId="0" borderId="117" xfId="0" applyNumberFormat="1" applyFont="1" applyBorder="1" applyAlignment="1">
      <alignment vertical="center"/>
    </xf>
    <xf numFmtId="49" fontId="52" fillId="0" borderId="21" xfId="0" applyNumberFormat="1" applyFont="1" applyBorder="1" applyAlignment="1">
      <alignment horizontal="center" vertical="center"/>
    </xf>
    <xf numFmtId="0" fontId="52" fillId="0" borderId="63" xfId="0" applyFont="1" applyBorder="1" applyAlignment="1">
      <alignment vertical="center"/>
    </xf>
    <xf numFmtId="0" fontId="52" fillId="0" borderId="11" xfId="0" applyFont="1" applyBorder="1"/>
    <xf numFmtId="0" fontId="52" fillId="0" borderId="11" xfId="0" applyFont="1" applyBorder="1" applyAlignment="1">
      <alignment vertical="center"/>
    </xf>
    <xf numFmtId="4" fontId="52" fillId="0" borderId="109" xfId="0" applyNumberFormat="1" applyFont="1" applyBorder="1" applyAlignment="1">
      <alignment vertical="center"/>
    </xf>
    <xf numFmtId="4" fontId="52" fillId="0" borderId="0" xfId="0" applyNumberFormat="1" applyFont="1" applyAlignment="1">
      <alignment vertical="center"/>
    </xf>
    <xf numFmtId="4" fontId="52" fillId="0" borderId="21" xfId="1" applyNumberFormat="1" applyFont="1" applyBorder="1" applyAlignment="1">
      <alignment vertical="center"/>
    </xf>
    <xf numFmtId="4" fontId="52" fillId="0" borderId="150" xfId="1" applyNumberFormat="1" applyFont="1" applyBorder="1" applyAlignment="1">
      <alignment vertical="center"/>
    </xf>
    <xf numFmtId="4" fontId="52" fillId="0" borderId="21" xfId="1" applyNumberFormat="1" applyFont="1" applyBorder="1" applyAlignment="1">
      <alignment horizontal="right" vertical="center"/>
    </xf>
    <xf numFmtId="4" fontId="52" fillId="0" borderId="11" xfId="1" applyNumberFormat="1" applyFont="1" applyBorder="1" applyAlignment="1">
      <alignment vertical="center"/>
    </xf>
    <xf numFmtId="0" fontId="52" fillId="0" borderId="27" xfId="0" applyFont="1" applyBorder="1" applyAlignment="1">
      <alignment vertical="center"/>
    </xf>
    <xf numFmtId="0" fontId="52" fillId="0" borderId="30" xfId="0" applyFont="1" applyBorder="1"/>
    <xf numFmtId="4" fontId="52" fillId="0" borderId="142" xfId="0" applyNumberFormat="1" applyFont="1" applyBorder="1" applyAlignment="1">
      <alignment vertical="center"/>
    </xf>
    <xf numFmtId="4" fontId="52" fillId="0" borderId="12" xfId="0" applyNumberFormat="1" applyFont="1" applyBorder="1" applyAlignment="1">
      <alignment vertical="center"/>
    </xf>
    <xf numFmtId="4" fontId="52" fillId="0" borderId="63" xfId="1" applyNumberFormat="1" applyFont="1" applyBorder="1" applyAlignment="1">
      <alignment vertical="center"/>
    </xf>
    <xf numFmtId="165" fontId="52" fillId="0" borderId="152" xfId="1" applyFont="1" applyBorder="1" applyAlignment="1">
      <alignment vertical="center"/>
    </xf>
    <xf numFmtId="165" fontId="53" fillId="0" borderId="286" xfId="1" applyFont="1" applyBorder="1" applyAlignment="1">
      <alignment vertical="center"/>
    </xf>
    <xf numFmtId="4" fontId="65" fillId="0" borderId="252" xfId="0" applyNumberFormat="1" applyFont="1" applyBorder="1" applyAlignment="1">
      <alignment horizontal="right" vertical="center"/>
    </xf>
    <xf numFmtId="4" fontId="65" fillId="0" borderId="253" xfId="1" applyNumberFormat="1" applyFont="1" applyBorder="1" applyAlignment="1">
      <alignment vertical="center"/>
    </xf>
    <xf numFmtId="4" fontId="53" fillId="0" borderId="27" xfId="1" applyNumberFormat="1" applyFont="1" applyBorder="1" applyAlignment="1">
      <alignment vertical="center"/>
    </xf>
    <xf numFmtId="4" fontId="53" fillId="0" borderId="18" xfId="0" applyNumberFormat="1" applyFont="1" applyBorder="1" applyAlignment="1">
      <alignment horizontal="right" vertical="center"/>
    </xf>
    <xf numFmtId="4" fontId="53" fillId="0" borderId="24" xfId="1" applyNumberFormat="1" applyFont="1" applyBorder="1" applyAlignment="1">
      <alignment vertical="center"/>
    </xf>
    <xf numFmtId="0" fontId="65" fillId="0" borderId="252" xfId="0" applyFont="1" applyBorder="1" applyAlignment="1">
      <alignment vertical="center"/>
    </xf>
    <xf numFmtId="4" fontId="65" fillId="0" borderId="252" xfId="0" applyNumberFormat="1" applyFont="1" applyBorder="1" applyAlignment="1">
      <alignment vertical="center"/>
    </xf>
    <xf numFmtId="49" fontId="52" fillId="0" borderId="24" xfId="0" applyNumberFormat="1" applyFont="1" applyBorder="1" applyAlignment="1">
      <alignment vertical="center"/>
    </xf>
    <xf numFmtId="0" fontId="52" fillId="0" borderId="26" xfId="0" applyFont="1" applyBorder="1" applyAlignment="1">
      <alignment vertical="center"/>
    </xf>
    <xf numFmtId="168" fontId="52" fillId="0" borderId="53" xfId="2" applyFont="1" applyBorder="1" applyAlignment="1">
      <alignment vertical="center"/>
    </xf>
    <xf numFmtId="4" fontId="52" fillId="0" borderId="53" xfId="2" applyNumberFormat="1" applyFont="1" applyBorder="1" applyAlignment="1">
      <alignment vertical="center"/>
    </xf>
    <xf numFmtId="4" fontId="52" fillId="0" borderId="27" xfId="1" applyNumberFormat="1" applyFont="1" applyBorder="1" applyAlignment="1">
      <alignment vertical="center"/>
    </xf>
    <xf numFmtId="0" fontId="52" fillId="0" borderId="16" xfId="0" applyFont="1" applyBorder="1" applyAlignment="1">
      <alignment vertical="center"/>
    </xf>
    <xf numFmtId="49" fontId="232" fillId="0" borderId="255" xfId="0" applyNumberFormat="1" applyFont="1" applyBorder="1" applyAlignment="1">
      <alignment horizontal="center"/>
    </xf>
    <xf numFmtId="49" fontId="232" fillId="0" borderId="255" xfId="0" quotePrefix="1" applyNumberFormat="1" applyFont="1" applyBorder="1" applyAlignment="1">
      <alignment horizontal="center"/>
    </xf>
    <xf numFmtId="0" fontId="232" fillId="0" borderId="257" xfId="0" applyFont="1" applyBorder="1"/>
    <xf numFmtId="49" fontId="232" fillId="0" borderId="251" xfId="0" applyNumberFormat="1" applyFont="1" applyBorder="1" applyAlignment="1">
      <alignment vertical="center"/>
    </xf>
    <xf numFmtId="0" fontId="232" fillId="0" borderId="251" xfId="0" applyFont="1" applyBorder="1" applyAlignment="1">
      <alignment vertical="center"/>
    </xf>
    <xf numFmtId="168" fontId="232" fillId="0" borderId="252" xfId="2" applyFont="1" applyBorder="1" applyAlignment="1">
      <alignment vertical="center"/>
    </xf>
    <xf numFmtId="4" fontId="232" fillId="0" borderId="252" xfId="2" applyNumberFormat="1" applyFont="1" applyBorder="1" applyAlignment="1">
      <alignment horizontal="right" vertical="center"/>
    </xf>
    <xf numFmtId="4" fontId="232" fillId="0" borderId="249" xfId="1" applyNumberFormat="1" applyFont="1" applyBorder="1" applyAlignment="1">
      <alignment vertical="center"/>
    </xf>
    <xf numFmtId="4" fontId="122" fillId="0" borderId="249" xfId="1" applyNumberFormat="1" applyFont="1" applyBorder="1" applyAlignment="1">
      <alignment horizontal="right" vertical="center"/>
    </xf>
    <xf numFmtId="4" fontId="122" fillId="0" borderId="50" xfId="1" applyNumberFormat="1" applyFont="1" applyBorder="1" applyAlignment="1">
      <alignment vertical="center"/>
    </xf>
    <xf numFmtId="4" fontId="122" fillId="0" borderId="280" xfId="1" applyNumberFormat="1" applyFont="1" applyBorder="1" applyAlignment="1">
      <alignment vertical="center"/>
    </xf>
    <xf numFmtId="0" fontId="232" fillId="0" borderId="256" xfId="1" applyNumberFormat="1" applyFont="1" applyBorder="1" applyAlignment="1">
      <alignment horizontal="left" vertical="center"/>
    </xf>
    <xf numFmtId="0" fontId="232" fillId="0" borderId="0" xfId="0" applyFont="1" applyAlignment="1">
      <alignment vertical="center"/>
    </xf>
    <xf numFmtId="49" fontId="91" fillId="0" borderId="117" xfId="0" applyNumberFormat="1" applyFont="1" applyBorder="1" applyAlignment="1">
      <alignment horizontal="center"/>
    </xf>
    <xf numFmtId="49" fontId="91" fillId="0" borderId="117" xfId="0" quotePrefix="1" applyNumberFormat="1" applyFont="1" applyBorder="1" applyAlignment="1">
      <alignment horizontal="center"/>
    </xf>
    <xf numFmtId="0" fontId="91" fillId="0" borderId="105" xfId="0" applyFont="1" applyBorder="1"/>
    <xf numFmtId="49" fontId="91" fillId="0" borderId="30" xfId="0" applyNumberFormat="1" applyFont="1" applyBorder="1" applyAlignment="1">
      <alignment vertical="center"/>
    </xf>
    <xf numFmtId="0" fontId="91" fillId="0" borderId="30" xfId="0" applyFont="1" applyBorder="1" applyAlignment="1">
      <alignment vertical="center"/>
    </xf>
    <xf numFmtId="168" fontId="91" fillId="0" borderId="53" xfId="2" applyFont="1" applyBorder="1" applyAlignment="1">
      <alignment vertical="center"/>
    </xf>
    <xf numFmtId="4" fontId="91" fillId="0" borderId="53" xfId="2" applyNumberFormat="1" applyFont="1" applyBorder="1" applyAlignment="1">
      <alignment horizontal="right" vertical="center"/>
    </xf>
    <xf numFmtId="4" fontId="91" fillId="0" borderId="26" xfId="1" applyNumberFormat="1" applyFont="1" applyBorder="1" applyAlignment="1">
      <alignment vertical="center"/>
    </xf>
    <xf numFmtId="4" fontId="91" fillId="0" borderId="26" xfId="1" applyNumberFormat="1" applyFont="1" applyBorder="1" applyAlignment="1">
      <alignment horizontal="right" vertical="center"/>
    </xf>
    <xf numFmtId="4" fontId="91" fillId="0" borderId="30" xfId="1" applyNumberFormat="1" applyFont="1" applyBorder="1" applyAlignment="1">
      <alignment vertical="center"/>
    </xf>
    <xf numFmtId="4" fontId="91" fillId="0" borderId="117" xfId="1" applyNumberFormat="1" applyFont="1" applyBorder="1" applyAlignment="1">
      <alignment vertical="center"/>
    </xf>
    <xf numFmtId="0" fontId="91" fillId="0" borderId="153" xfId="1" applyNumberFormat="1" applyFont="1" applyBorder="1" applyAlignment="1">
      <alignment horizontal="left" vertical="center"/>
    </xf>
    <xf numFmtId="0" fontId="91" fillId="0" borderId="0" xfId="0" applyFont="1" applyAlignment="1">
      <alignment vertical="center"/>
    </xf>
    <xf numFmtId="0" fontId="53" fillId="0" borderId="18" xfId="0" applyFont="1" applyBorder="1" applyAlignment="1">
      <alignment vertical="center"/>
    </xf>
    <xf numFmtId="165" fontId="124" fillId="0" borderId="286" xfId="1" applyFont="1" applyBorder="1" applyAlignment="1">
      <alignment horizontal="left" vertical="center"/>
    </xf>
    <xf numFmtId="0" fontId="52" fillId="0" borderId="18" xfId="0" applyFont="1" applyBorder="1" applyAlignment="1">
      <alignment vertical="center"/>
    </xf>
    <xf numFmtId="4" fontId="52" fillId="0" borderId="16" xfId="0" applyNumberFormat="1" applyFont="1" applyBorder="1" applyAlignment="1">
      <alignment vertical="center"/>
    </xf>
    <xf numFmtId="0" fontId="233" fillId="0" borderId="17" xfId="0" quotePrefix="1" applyFont="1" applyBorder="1" applyAlignment="1">
      <alignment vertical="center"/>
    </xf>
    <xf numFmtId="0" fontId="73" fillId="0" borderId="17" xfId="0" quotePrefix="1" applyFont="1" applyBorder="1" applyAlignment="1">
      <alignment vertical="center"/>
    </xf>
    <xf numFmtId="4" fontId="52" fillId="0" borderId="16" xfId="1" applyNumberFormat="1" applyFont="1" applyBorder="1"/>
    <xf numFmtId="0" fontId="146" fillId="0" borderId="24" xfId="0" applyFont="1" applyBorder="1" applyAlignment="1">
      <alignment vertical="center"/>
    </xf>
    <xf numFmtId="4" fontId="146" fillId="0" borderId="118" xfId="0" applyNumberFormat="1" applyFont="1" applyBorder="1" applyAlignment="1">
      <alignment vertical="center"/>
    </xf>
    <xf numFmtId="0" fontId="52" fillId="0" borderId="17" xfId="0" applyFont="1" applyBorder="1" applyAlignment="1">
      <alignment vertical="center" wrapText="1"/>
    </xf>
    <xf numFmtId="4" fontId="52" fillId="0" borderId="118" xfId="0" applyNumberFormat="1" applyFont="1" applyBorder="1" applyAlignment="1">
      <alignment vertical="center" wrapText="1"/>
    </xf>
    <xf numFmtId="4" fontId="52" fillId="0" borderId="18" xfId="0" applyNumberFormat="1" applyFont="1" applyBorder="1" applyAlignment="1">
      <alignment vertical="center" wrapText="1"/>
    </xf>
    <xf numFmtId="0" fontId="73" fillId="0" borderId="17" xfId="0" applyFont="1" applyBorder="1" applyAlignment="1">
      <alignment vertical="center" wrapText="1"/>
    </xf>
    <xf numFmtId="4" fontId="73" fillId="0" borderId="18" xfId="0" applyNumberFormat="1" applyFont="1" applyBorder="1" applyAlignment="1">
      <alignment vertical="center" wrapText="1"/>
    </xf>
    <xf numFmtId="0" fontId="73" fillId="0" borderId="17" xfId="0" applyFont="1" applyBorder="1" applyAlignment="1">
      <alignment horizontal="left" vertical="center" wrapText="1"/>
    </xf>
    <xf numFmtId="4" fontId="52" fillId="0" borderId="118" xfId="0" applyNumberFormat="1" applyFont="1" applyBorder="1" applyAlignment="1">
      <alignment horizontal="right" vertical="center" wrapText="1"/>
    </xf>
    <xf numFmtId="4" fontId="52" fillId="0" borderId="18" xfId="0" applyNumberFormat="1" applyFont="1" applyBorder="1" applyAlignment="1">
      <alignment horizontal="right" vertical="center" wrapText="1"/>
    </xf>
    <xf numFmtId="49" fontId="52" fillId="0" borderId="24" xfId="0" applyNumberFormat="1" applyFont="1" applyBorder="1" applyAlignment="1">
      <alignment horizontal="center" vertical="center"/>
    </xf>
    <xf numFmtId="49" fontId="52" fillId="0" borderId="17" xfId="0" applyNumberFormat="1" applyFont="1" applyBorder="1" applyAlignment="1">
      <alignment horizontal="center" vertical="center"/>
    </xf>
    <xf numFmtId="4" fontId="73" fillId="0" borderId="118" xfId="0" applyNumberFormat="1" applyFont="1" applyBorder="1" applyAlignment="1">
      <alignment vertical="center"/>
    </xf>
    <xf numFmtId="4" fontId="73" fillId="0" borderId="118" xfId="0" applyNumberFormat="1" applyFont="1" applyBorder="1" applyAlignment="1">
      <alignment horizontal="right" vertical="center" wrapText="1"/>
    </xf>
    <xf numFmtId="4" fontId="73" fillId="0" borderId="18" xfId="0" applyNumberFormat="1" applyFont="1" applyBorder="1" applyAlignment="1">
      <alignment horizontal="right" vertical="center" wrapText="1"/>
    </xf>
    <xf numFmtId="0" fontId="52" fillId="0" borderId="0" xfId="1" applyNumberFormat="1" applyFont="1" applyAlignment="1">
      <alignment vertical="center"/>
    </xf>
    <xf numFmtId="176" fontId="124" fillId="4" borderId="0" xfId="1" applyNumberFormat="1" applyFont="1" applyFill="1" applyAlignment="1">
      <alignment vertical="center"/>
    </xf>
    <xf numFmtId="0" fontId="114" fillId="4" borderId="0" xfId="0" applyFont="1" applyFill="1" applyAlignment="1">
      <alignment vertical="center"/>
    </xf>
    <xf numFmtId="49" fontId="53" fillId="0" borderId="138" xfId="0" applyNumberFormat="1" applyFont="1" applyBorder="1" applyAlignment="1">
      <alignment horizontal="center" vertical="center"/>
    </xf>
    <xf numFmtId="49" fontId="53" fillId="0" borderId="0" xfId="0" applyNumberFormat="1" applyFont="1" applyAlignment="1">
      <alignment vertical="center"/>
    </xf>
    <xf numFmtId="4" fontId="53" fillId="0" borderId="109" xfId="0" applyNumberFormat="1" applyFont="1" applyBorder="1" applyAlignment="1">
      <alignment vertical="center"/>
    </xf>
    <xf numFmtId="4" fontId="53" fillId="0" borderId="0" xfId="0" applyNumberFormat="1" applyFont="1" applyAlignment="1">
      <alignment vertical="center"/>
    </xf>
    <xf numFmtId="4" fontId="53" fillId="0" borderId="138" xfId="1" applyNumberFormat="1" applyFont="1" applyBorder="1" applyAlignment="1">
      <alignment vertical="center"/>
    </xf>
    <xf numFmtId="4" fontId="53" fillId="0" borderId="12" xfId="1" applyNumberFormat="1" applyFont="1" applyBorder="1" applyAlignment="1">
      <alignment vertical="center"/>
    </xf>
    <xf numFmtId="4" fontId="53" fillId="0" borderId="21" xfId="1" applyNumberFormat="1" applyFont="1" applyBorder="1" applyAlignment="1">
      <alignment horizontal="right" vertical="center"/>
    </xf>
    <xf numFmtId="4" fontId="53" fillId="0" borderId="0" xfId="1" applyNumberFormat="1" applyFont="1" applyAlignment="1">
      <alignment vertical="center"/>
    </xf>
    <xf numFmtId="4" fontId="53" fillId="0" borderId="109" xfId="1" applyNumberFormat="1" applyFont="1" applyBorder="1" applyAlignment="1">
      <alignment vertical="center"/>
    </xf>
    <xf numFmtId="165" fontId="53" fillId="0" borderId="169" xfId="1" applyFont="1" applyBorder="1" applyAlignment="1">
      <alignment vertical="center"/>
    </xf>
    <xf numFmtId="176" fontId="123" fillId="4" borderId="0" xfId="1" applyNumberFormat="1" applyFont="1" applyFill="1" applyAlignment="1">
      <alignment vertical="center"/>
    </xf>
    <xf numFmtId="0" fontId="235" fillId="4" borderId="0" xfId="0" applyFont="1" applyFill="1" applyAlignment="1">
      <alignment vertical="center"/>
    </xf>
    <xf numFmtId="49" fontId="52" fillId="0" borderId="265" xfId="0" applyNumberFormat="1" applyFont="1" applyBorder="1" applyAlignment="1">
      <alignment horizontal="center" vertical="center"/>
    </xf>
    <xf numFmtId="49" fontId="52" fillId="0" borderId="66" xfId="0" quotePrefix="1" applyNumberFormat="1" applyFont="1" applyBorder="1" applyAlignment="1">
      <alignment vertical="center"/>
    </xf>
    <xf numFmtId="49" fontId="52" fillId="0" borderId="66" xfId="0" applyNumberFormat="1" applyFont="1" applyBorder="1" applyAlignment="1">
      <alignment vertical="center"/>
    </xf>
    <xf numFmtId="0" fontId="52" fillId="0" borderId="66" xfId="0" applyFont="1" applyBorder="1" applyAlignment="1">
      <alignment vertical="center"/>
    </xf>
    <xf numFmtId="4" fontId="52" fillId="0" borderId="265" xfId="0" applyNumberFormat="1" applyFont="1" applyBorder="1" applyAlignment="1">
      <alignment vertical="center"/>
    </xf>
    <xf numFmtId="4" fontId="52" fillId="0" borderId="66" xfId="0" applyNumberFormat="1" applyFont="1" applyBorder="1" applyAlignment="1">
      <alignment vertical="center"/>
    </xf>
    <xf numFmtId="4" fontId="52" fillId="0" borderId="265" xfId="1" applyNumberFormat="1" applyFont="1" applyBorder="1" applyAlignment="1">
      <alignment vertical="center"/>
    </xf>
    <xf numFmtId="4" fontId="52" fillId="0" borderId="304" xfId="1" applyNumberFormat="1" applyFont="1" applyBorder="1" applyAlignment="1">
      <alignment vertical="center"/>
    </xf>
    <xf numFmtId="4" fontId="53" fillId="0" borderId="305" xfId="1" applyNumberFormat="1" applyFont="1" applyBorder="1" applyAlignment="1">
      <alignment horizontal="right" vertical="center"/>
    </xf>
    <xf numFmtId="165" fontId="52" fillId="0" borderId="169" xfId="1" applyFont="1" applyBorder="1" applyAlignment="1">
      <alignment vertical="center"/>
    </xf>
    <xf numFmtId="49" fontId="236" fillId="0" borderId="138" xfId="0" applyNumberFormat="1" applyFont="1" applyBorder="1" applyAlignment="1">
      <alignment horizontal="center"/>
    </xf>
    <xf numFmtId="49" fontId="234" fillId="0" borderId="138" xfId="0" applyNumberFormat="1" applyFont="1" applyBorder="1" applyAlignment="1">
      <alignment horizontal="center"/>
    </xf>
    <xf numFmtId="49" fontId="234" fillId="0" borderId="34" xfId="0" applyNumberFormat="1" applyFont="1" applyBorder="1"/>
    <xf numFmtId="0" fontId="234" fillId="0" borderId="34" xfId="0" applyFont="1" applyBorder="1"/>
    <xf numFmtId="4" fontId="52" fillId="0" borderId="64" xfId="0" applyNumberFormat="1" applyFont="1" applyBorder="1" applyAlignment="1">
      <alignment vertical="center"/>
    </xf>
    <xf numFmtId="4" fontId="91" fillId="0" borderId="64" xfId="2" applyNumberFormat="1" applyFont="1" applyBorder="1" applyAlignment="1">
      <alignment vertical="center"/>
    </xf>
    <xf numFmtId="4" fontId="52" fillId="0" borderId="64" xfId="2" applyNumberFormat="1" applyFont="1" applyBorder="1" applyAlignment="1">
      <alignment vertical="center"/>
    </xf>
    <xf numFmtId="4" fontId="91" fillId="0" borderId="64" xfId="2" applyNumberFormat="1" applyFont="1" applyBorder="1" applyAlignment="1">
      <alignment horizontal="right" vertical="center"/>
    </xf>
    <xf numFmtId="4" fontId="91" fillId="0" borderId="0" xfId="2" applyNumberFormat="1" applyFont="1" applyAlignment="1">
      <alignment vertical="center"/>
    </xf>
    <xf numFmtId="4" fontId="91" fillId="0" borderId="109" xfId="2" applyNumberFormat="1" applyFont="1" applyBorder="1" applyAlignment="1">
      <alignment vertical="center"/>
    </xf>
    <xf numFmtId="4" fontId="52" fillId="0" borderId="58" xfId="0" applyNumberFormat="1" applyFont="1" applyBorder="1" applyAlignment="1">
      <alignment vertical="center"/>
    </xf>
    <xf numFmtId="4" fontId="91" fillId="0" borderId="43" xfId="0" applyNumberFormat="1" applyFont="1" applyBorder="1" applyAlignment="1">
      <alignment vertical="center"/>
    </xf>
    <xf numFmtId="4" fontId="52" fillId="0" borderId="164" xfId="0" applyNumberFormat="1" applyFont="1" applyBorder="1" applyAlignment="1">
      <alignment vertical="center"/>
    </xf>
    <xf numFmtId="4" fontId="91" fillId="0" borderId="43" xfId="0" applyNumberFormat="1" applyFont="1" applyBorder="1" applyAlignment="1">
      <alignment horizontal="right" vertical="center"/>
    </xf>
    <xf numFmtId="4" fontId="91" fillId="0" borderId="0" xfId="0" applyNumberFormat="1" applyFont="1" applyAlignment="1">
      <alignment vertical="center"/>
    </xf>
    <xf numFmtId="4" fontId="91" fillId="0" borderId="109" xfId="0" applyNumberFormat="1" applyFont="1" applyBorder="1" applyAlignment="1">
      <alignment vertical="center"/>
    </xf>
    <xf numFmtId="49" fontId="236" fillId="0" borderId="292" xfId="0" applyNumberFormat="1" applyFont="1" applyBorder="1" applyAlignment="1">
      <alignment horizontal="center"/>
    </xf>
    <xf numFmtId="49" fontId="234" fillId="0" borderId="292" xfId="0" applyNumberFormat="1" applyFont="1" applyBorder="1" applyAlignment="1">
      <alignment horizontal="center"/>
    </xf>
    <xf numFmtId="49" fontId="234" fillId="0" borderId="47" xfId="0" applyNumberFormat="1" applyFont="1" applyBorder="1"/>
    <xf numFmtId="0" fontId="234" fillId="0" borderId="47" xfId="0" applyFont="1" applyBorder="1"/>
    <xf numFmtId="0" fontId="52" fillId="0" borderId="269" xfId="0" applyFont="1" applyBorder="1" applyAlignment="1">
      <alignment vertical="center"/>
    </xf>
    <xf numFmtId="4" fontId="52" fillId="0" borderId="65" xfId="0" applyNumberFormat="1" applyFont="1" applyBorder="1" applyAlignment="1">
      <alignment vertical="center"/>
    </xf>
    <xf numFmtId="4" fontId="52" fillId="0" borderId="59" xfId="0" applyNumberFormat="1" applyFont="1" applyBorder="1" applyAlignment="1">
      <alignment vertical="center"/>
    </xf>
    <xf numFmtId="4" fontId="91" fillId="0" borderId="46" xfId="0" applyNumberFormat="1" applyFont="1" applyBorder="1" applyAlignment="1">
      <alignment vertical="center"/>
    </xf>
    <xf numFmtId="4" fontId="52" fillId="0" borderId="208" xfId="0" applyNumberFormat="1" applyFont="1" applyBorder="1" applyAlignment="1">
      <alignment vertical="center"/>
    </xf>
    <xf numFmtId="4" fontId="91" fillId="0" borderId="46" xfId="0" applyNumberFormat="1" applyFont="1" applyBorder="1" applyAlignment="1">
      <alignment horizontal="right" vertical="center"/>
    </xf>
    <xf numFmtId="165" fontId="52" fillId="0" borderId="290" xfId="1" applyFont="1" applyBorder="1" applyAlignment="1">
      <alignment vertical="center"/>
    </xf>
    <xf numFmtId="4" fontId="124" fillId="0" borderId="18" xfId="1" applyNumberFormat="1" applyFont="1" applyBorder="1" applyAlignment="1">
      <alignment horizontal="right" vertical="center"/>
    </xf>
    <xf numFmtId="0" fontId="35" fillId="58" borderId="25" xfId="0" applyFont="1" applyFill="1" applyBorder="1" applyAlignment="1">
      <alignment vertical="center"/>
    </xf>
    <xf numFmtId="49" fontId="51" fillId="0" borderId="16" xfId="0" applyNumberFormat="1" applyFont="1" applyBorder="1" applyAlignment="1">
      <alignment horizontal="center" vertical="center"/>
    </xf>
    <xf numFmtId="0" fontId="53" fillId="0" borderId="11" xfId="0" applyFont="1" applyBorder="1" applyAlignment="1">
      <alignment vertical="center"/>
    </xf>
    <xf numFmtId="4" fontId="53" fillId="0" borderId="142" xfId="0" applyNumberFormat="1" applyFont="1" applyBorder="1" applyAlignment="1">
      <alignment vertical="center"/>
    </xf>
    <xf numFmtId="4" fontId="53" fillId="0" borderId="12" xfId="0" applyNumberFormat="1" applyFont="1" applyBorder="1" applyAlignment="1">
      <alignment vertical="center"/>
    </xf>
    <xf numFmtId="4" fontId="53" fillId="0" borderId="21" xfId="1" applyNumberFormat="1" applyFont="1" applyBorder="1" applyAlignment="1">
      <alignment vertical="center"/>
    </xf>
    <xf numFmtId="4" fontId="53" fillId="0" borderId="150" xfId="1" applyNumberFormat="1" applyFont="1" applyBorder="1" applyAlignment="1">
      <alignment vertical="center"/>
    </xf>
    <xf numFmtId="165" fontId="53" fillId="0" borderId="152" xfId="1" applyFont="1" applyBorder="1" applyAlignment="1">
      <alignment vertical="center"/>
    </xf>
    <xf numFmtId="165" fontId="53" fillId="0" borderId="362" xfId="1" applyFont="1" applyBorder="1" applyAlignment="1">
      <alignment vertical="center"/>
    </xf>
    <xf numFmtId="4" fontId="149" fillId="0" borderId="363" xfId="1" applyNumberFormat="1" applyFont="1" applyBorder="1" applyAlignment="1">
      <alignment vertical="center"/>
    </xf>
    <xf numFmtId="0" fontId="51" fillId="0" borderId="24" xfId="0" applyFont="1" applyBorder="1" applyAlignment="1">
      <alignment vertical="center"/>
    </xf>
    <xf numFmtId="49" fontId="38" fillId="0" borderId="349" xfId="0" applyNumberFormat="1" applyFont="1" applyBorder="1" applyAlignment="1">
      <alignment horizontal="right" vertical="center"/>
    </xf>
    <xf numFmtId="0" fontId="39" fillId="0" borderId="303" xfId="0" applyFont="1" applyBorder="1" applyAlignment="1">
      <alignment horizontal="center" vertical="center"/>
    </xf>
    <xf numFmtId="0" fontId="30" fillId="0" borderId="297" xfId="0" applyFont="1" applyBorder="1" applyAlignment="1">
      <alignment vertical="center"/>
    </xf>
    <xf numFmtId="3" fontId="29" fillId="0" borderId="303" xfId="2" applyNumberFormat="1" applyFont="1" applyBorder="1" applyAlignment="1">
      <alignment horizontal="right" vertical="center"/>
    </xf>
    <xf numFmtId="175" fontId="29" fillId="0" borderId="303" xfId="2" applyNumberFormat="1" applyFont="1" applyBorder="1" applyAlignment="1">
      <alignment horizontal="left" vertical="center"/>
    </xf>
    <xf numFmtId="49" fontId="51" fillId="0" borderId="5" xfId="0" applyNumberFormat="1" applyFont="1" applyBorder="1" applyAlignment="1">
      <alignment horizontal="center" vertical="center"/>
    </xf>
    <xf numFmtId="0" fontId="38" fillId="0" borderId="274" xfId="0" quotePrefix="1" applyFont="1" applyBorder="1" applyAlignment="1">
      <alignment horizontal="center" vertical="center"/>
    </xf>
    <xf numFmtId="49" fontId="86" fillId="0" borderId="16" xfId="0" quotePrefix="1" applyNumberFormat="1" applyFont="1" applyBorder="1" applyAlignment="1">
      <alignment horizontal="center" vertical="center"/>
    </xf>
    <xf numFmtId="3" fontId="146" fillId="0" borderId="16" xfId="2" applyNumberFormat="1" applyFont="1" applyBorder="1" applyAlignment="1">
      <alignment horizontal="right" vertical="center"/>
    </xf>
    <xf numFmtId="170" fontId="21" fillId="28" borderId="307" xfId="0" applyNumberFormat="1" applyFont="1" applyFill="1" applyBorder="1" applyAlignment="1">
      <alignment horizontal="center" vertical="center" wrapText="1"/>
    </xf>
    <xf numFmtId="0" fontId="121" fillId="4" borderId="294" xfId="0" applyFont="1" applyFill="1" applyBorder="1" applyAlignment="1">
      <alignment horizontal="center" vertical="center"/>
    </xf>
    <xf numFmtId="170" fontId="122" fillId="4" borderId="312" xfId="0" applyNumberFormat="1" applyFont="1" applyFill="1" applyBorder="1" applyAlignment="1">
      <alignment vertical="center"/>
    </xf>
    <xf numFmtId="170" fontId="30" fillId="43" borderId="312" xfId="0" applyNumberFormat="1" applyFont="1" applyFill="1" applyBorder="1" applyAlignment="1">
      <alignment vertical="center"/>
    </xf>
    <xf numFmtId="170" fontId="30" fillId="25" borderId="318" xfId="0" applyNumberFormat="1" applyFont="1" applyFill="1" applyBorder="1" applyAlignment="1">
      <alignment vertical="center"/>
    </xf>
    <xf numFmtId="170" fontId="30" fillId="45" borderId="319" xfId="0" applyNumberFormat="1" applyFont="1" applyFill="1" applyBorder="1" applyAlignment="1">
      <alignment vertical="center"/>
    </xf>
    <xf numFmtId="170" fontId="30" fillId="0" borderId="325" xfId="0" applyNumberFormat="1" applyFont="1" applyBorder="1" applyAlignment="1">
      <alignment vertical="center"/>
    </xf>
    <xf numFmtId="170" fontId="30" fillId="0" borderId="326" xfId="0" applyNumberFormat="1" applyFont="1" applyBorder="1" applyAlignment="1">
      <alignment vertical="center"/>
    </xf>
    <xf numFmtId="170" fontId="29" fillId="0" borderId="303" xfId="0" applyNumberFormat="1" applyFont="1" applyBorder="1" applyAlignment="1">
      <alignment vertical="center"/>
    </xf>
    <xf numFmtId="170" fontId="29" fillId="0" borderId="274" xfId="0" applyNumberFormat="1" applyFont="1" applyBorder="1" applyAlignment="1">
      <alignment vertical="center"/>
    </xf>
    <xf numFmtId="170" fontId="30" fillId="0" borderId="274" xfId="0" applyNumberFormat="1" applyFont="1" applyBorder="1" applyAlignment="1">
      <alignment vertical="center"/>
    </xf>
    <xf numFmtId="170" fontId="29" fillId="0" borderId="334" xfId="0" applyNumberFormat="1" applyFont="1" applyBorder="1" applyAlignment="1">
      <alignment vertical="center"/>
    </xf>
    <xf numFmtId="170" fontId="30" fillId="0" borderId="334" xfId="0" applyNumberFormat="1" applyFont="1" applyBorder="1" applyAlignment="1">
      <alignment vertical="center"/>
    </xf>
    <xf numFmtId="170" fontId="29" fillId="0" borderId="305" xfId="0" applyNumberFormat="1" applyFont="1" applyBorder="1" applyAlignment="1">
      <alignment vertical="center"/>
    </xf>
    <xf numFmtId="170" fontId="30" fillId="0" borderId="305" xfId="0" applyNumberFormat="1" applyFont="1" applyBorder="1" applyAlignment="1">
      <alignment vertical="center"/>
    </xf>
    <xf numFmtId="170" fontId="30" fillId="0" borderId="343" xfId="0" applyNumberFormat="1" applyFont="1" applyBorder="1" applyAlignment="1">
      <alignment vertical="center"/>
    </xf>
    <xf numFmtId="170" fontId="29" fillId="0" borderId="345" xfId="0" applyNumberFormat="1" applyFont="1" applyBorder="1" applyAlignment="1">
      <alignment vertical="center"/>
    </xf>
    <xf numFmtId="170" fontId="30" fillId="0" borderId="345" xfId="0" applyNumberFormat="1" applyFont="1" applyBorder="1" applyAlignment="1">
      <alignment vertical="center"/>
    </xf>
    <xf numFmtId="170" fontId="29" fillId="0" borderId="343" xfId="0" applyNumberFormat="1" applyFont="1" applyBorder="1" applyAlignment="1">
      <alignment vertical="center"/>
    </xf>
    <xf numFmtId="170" fontId="30" fillId="4" borderId="343" xfId="0" applyNumberFormat="1" applyFont="1" applyFill="1" applyBorder="1" applyAlignment="1">
      <alignment vertical="center"/>
    </xf>
    <xf numFmtId="170" fontId="30" fillId="35" borderId="347" xfId="0" applyNumberFormat="1" applyFont="1" applyFill="1" applyBorder="1" applyAlignment="1">
      <alignment vertical="center"/>
    </xf>
    <xf numFmtId="170" fontId="29" fillId="0" borderId="347" xfId="0" applyNumberFormat="1" applyFont="1" applyBorder="1" applyAlignment="1">
      <alignment vertical="center"/>
    </xf>
    <xf numFmtId="170" fontId="30" fillId="0" borderId="347" xfId="0" applyNumberFormat="1" applyFont="1" applyBorder="1" applyAlignment="1">
      <alignment vertical="center"/>
    </xf>
    <xf numFmtId="170" fontId="30" fillId="5" borderId="303" xfId="0" applyNumberFormat="1" applyFont="1" applyFill="1" applyBorder="1" applyAlignment="1">
      <alignment vertical="center"/>
    </xf>
    <xf numFmtId="170" fontId="139" fillId="0" borderId="117" xfId="0" applyNumberFormat="1" applyFont="1" applyBorder="1" applyAlignment="1">
      <alignment vertical="center"/>
    </xf>
    <xf numFmtId="170" fontId="76" fillId="16" borderId="43" xfId="0" applyNumberFormat="1" applyFont="1" applyFill="1" applyBorder="1" applyAlignment="1">
      <alignment vertical="center"/>
    </xf>
    <xf numFmtId="170" fontId="76" fillId="4" borderId="303" xfId="0" applyNumberFormat="1" applyFont="1" applyFill="1" applyBorder="1" applyAlignment="1">
      <alignment vertical="center"/>
    </xf>
    <xf numFmtId="170" fontId="50" fillId="4" borderId="303" xfId="0" applyNumberFormat="1" applyFont="1" applyFill="1" applyBorder="1" applyAlignment="1">
      <alignment vertical="center"/>
    </xf>
    <xf numFmtId="170" fontId="30" fillId="11" borderId="318" xfId="0" applyNumberFormat="1" applyFont="1" applyFill="1" applyBorder="1" applyAlignment="1">
      <alignment vertical="center"/>
    </xf>
    <xf numFmtId="170" fontId="30" fillId="41" borderId="319" xfId="0" applyNumberFormat="1" applyFont="1" applyFill="1" applyBorder="1" applyAlignment="1">
      <alignment vertical="center"/>
    </xf>
    <xf numFmtId="170" fontId="50" fillId="25" borderId="318" xfId="0" applyNumberFormat="1" applyFont="1" applyFill="1" applyBorder="1" applyAlignment="1">
      <alignment vertical="center"/>
    </xf>
    <xf numFmtId="170" fontId="50" fillId="0" borderId="303" xfId="0" applyNumberFormat="1" applyFont="1" applyBorder="1" applyAlignment="1">
      <alignment vertical="center"/>
    </xf>
    <xf numFmtId="170" fontId="30" fillId="0" borderId="352" xfId="0" applyNumberFormat="1" applyFont="1" applyBorder="1" applyAlignment="1">
      <alignment vertical="center"/>
    </xf>
    <xf numFmtId="170" fontId="76" fillId="0" borderId="305" xfId="0" applyNumberFormat="1" applyFont="1" applyBorder="1" applyAlignment="1">
      <alignment vertical="center"/>
    </xf>
    <xf numFmtId="170" fontId="50" fillId="0" borderId="305" xfId="0" applyNumberFormat="1" applyFont="1" applyBorder="1" applyAlignment="1">
      <alignment vertical="center"/>
    </xf>
    <xf numFmtId="170" fontId="76" fillId="25" borderId="307" xfId="9" applyNumberFormat="1" applyFont="1" applyFill="1" applyBorder="1" applyAlignment="1">
      <alignment vertical="center"/>
    </xf>
    <xf numFmtId="170" fontId="76" fillId="4" borderId="109" xfId="9" applyNumberFormat="1" applyFont="1" applyFill="1" applyBorder="1" applyAlignment="1">
      <alignment vertical="center"/>
    </xf>
    <xf numFmtId="170" fontId="15" fillId="25" borderId="318" xfId="0" applyNumberFormat="1" applyFont="1" applyFill="1" applyBorder="1" applyAlignment="1">
      <alignment vertical="center"/>
    </xf>
    <xf numFmtId="170" fontId="30" fillId="4" borderId="305" xfId="0" applyNumberFormat="1" applyFont="1" applyFill="1" applyBorder="1" applyAlignment="1">
      <alignment vertical="center"/>
    </xf>
    <xf numFmtId="170" fontId="30" fillId="4" borderId="21" xfId="0" applyNumberFormat="1" applyFont="1" applyFill="1" applyBorder="1" applyAlignment="1">
      <alignment vertical="center"/>
    </xf>
    <xf numFmtId="170" fontId="30" fillId="35" borderId="203" xfId="0" applyNumberFormat="1" applyFont="1" applyFill="1" applyBorder="1" applyAlignment="1">
      <alignment vertical="center"/>
    </xf>
    <xf numFmtId="170" fontId="30" fillId="4" borderId="78" xfId="0" applyNumberFormat="1" applyFont="1" applyFill="1" applyBorder="1" applyAlignment="1">
      <alignment vertical="center"/>
    </xf>
    <xf numFmtId="170" fontId="30" fillId="20" borderId="274" xfId="0" applyNumberFormat="1" applyFont="1" applyFill="1" applyBorder="1" applyAlignment="1">
      <alignment vertical="center"/>
    </xf>
    <xf numFmtId="170" fontId="50" fillId="4" borderId="274" xfId="0" applyNumberFormat="1" applyFont="1" applyFill="1" applyBorder="1" applyAlignment="1">
      <alignment vertical="center"/>
    </xf>
    <xf numFmtId="170" fontId="76" fillId="4" borderId="161" xfId="9" applyNumberFormat="1" applyFont="1" applyFill="1" applyBorder="1" applyAlignment="1">
      <alignment vertical="center"/>
    </xf>
    <xf numFmtId="170" fontId="30" fillId="35" borderId="161" xfId="9" applyNumberFormat="1" applyFont="1" applyFill="1" applyBorder="1" applyAlignment="1">
      <alignment vertical="center"/>
    </xf>
    <xf numFmtId="170" fontId="50" fillId="4" borderId="161" xfId="9" applyNumberFormat="1" applyFont="1" applyFill="1" applyBorder="1" applyAlignment="1">
      <alignment vertical="center"/>
    </xf>
    <xf numFmtId="170" fontId="78" fillId="4" borderId="64" xfId="9" applyNumberFormat="1" applyFont="1" applyFill="1" applyBorder="1" applyAlignment="1">
      <alignment vertical="center"/>
    </xf>
    <xf numFmtId="170" fontId="76" fillId="4" borderId="64" xfId="9" applyNumberFormat="1" applyFont="1" applyFill="1" applyBorder="1" applyAlignment="1">
      <alignment vertical="center"/>
    </xf>
    <xf numFmtId="170" fontId="29" fillId="35" borderId="64" xfId="9" applyNumberFormat="1" applyFont="1" applyFill="1" applyBorder="1" applyAlignment="1">
      <alignment vertical="center"/>
    </xf>
    <xf numFmtId="170" fontId="76" fillId="4" borderId="138" xfId="9" applyNumberFormat="1" applyFont="1" applyFill="1" applyBorder="1" applyAlignment="1">
      <alignment vertical="center"/>
    </xf>
    <xf numFmtId="170" fontId="30" fillId="35" borderId="138" xfId="9" applyNumberFormat="1" applyFont="1" applyFill="1" applyBorder="1" applyAlignment="1">
      <alignment vertical="center"/>
    </xf>
    <xf numFmtId="170" fontId="50" fillId="4" borderId="138" xfId="9" applyNumberFormat="1" applyFont="1" applyFill="1" applyBorder="1" applyAlignment="1">
      <alignment vertical="center"/>
    </xf>
    <xf numFmtId="170" fontId="50" fillId="4" borderId="64" xfId="9" applyNumberFormat="1" applyFont="1" applyFill="1" applyBorder="1" applyAlignment="1">
      <alignment vertical="center"/>
    </xf>
    <xf numFmtId="170" fontId="30" fillId="0" borderId="64" xfId="0" applyNumberFormat="1" applyFont="1" applyBorder="1" applyAlignment="1">
      <alignment vertical="center"/>
    </xf>
    <xf numFmtId="43" fontId="30" fillId="0" borderId="64" xfId="0" applyNumberFormat="1" applyFont="1" applyBorder="1" applyAlignment="1">
      <alignment vertical="center"/>
    </xf>
    <xf numFmtId="170" fontId="76" fillId="17" borderId="64" xfId="9" applyNumberFormat="1" applyFont="1" applyFill="1" applyBorder="1" applyAlignment="1">
      <alignment vertical="center"/>
    </xf>
    <xf numFmtId="170" fontId="30" fillId="37" borderId="148" xfId="0" applyNumberFormat="1" applyFont="1" applyFill="1" applyBorder="1" applyAlignment="1">
      <alignment vertical="center"/>
    </xf>
    <xf numFmtId="170" fontId="30" fillId="17" borderId="303" xfId="0" applyNumberFormat="1" applyFont="1" applyFill="1" applyBorder="1" applyAlignment="1">
      <alignment vertical="center"/>
    </xf>
    <xf numFmtId="170" fontId="30" fillId="45" borderId="307" xfId="9" applyNumberFormat="1" applyFont="1" applyFill="1" applyBorder="1" applyAlignment="1">
      <alignment vertical="center"/>
    </xf>
    <xf numFmtId="170" fontId="50" fillId="25" borderId="307" xfId="9" applyNumberFormat="1" applyFont="1" applyFill="1" applyBorder="1" applyAlignment="1">
      <alignment vertical="center"/>
    </xf>
    <xf numFmtId="170" fontId="50" fillId="25" borderId="317" xfId="9" applyNumberFormat="1" applyFont="1" applyFill="1" applyBorder="1" applyAlignment="1">
      <alignment vertical="center"/>
    </xf>
    <xf numFmtId="170" fontId="29" fillId="0" borderId="232" xfId="0" applyNumberFormat="1" applyFont="1" applyBorder="1" applyAlignment="1">
      <alignment vertical="center"/>
    </xf>
    <xf numFmtId="170" fontId="30" fillId="0" borderId="356" xfId="0" applyNumberFormat="1" applyFont="1" applyBorder="1" applyAlignment="1">
      <alignment vertical="center"/>
    </xf>
    <xf numFmtId="170" fontId="30" fillId="0" borderId="232" xfId="0" applyNumberFormat="1" applyFont="1" applyBorder="1" applyAlignment="1">
      <alignment vertical="center"/>
    </xf>
    <xf numFmtId="170" fontId="50" fillId="25" borderId="340" xfId="0" applyNumberFormat="1" applyFont="1" applyFill="1" applyBorder="1" applyAlignment="1">
      <alignment vertical="center"/>
    </xf>
    <xf numFmtId="170" fontId="76" fillId="0" borderId="325" xfId="0" applyNumberFormat="1" applyFont="1" applyBorder="1" applyAlignment="1">
      <alignment vertical="center"/>
    </xf>
    <xf numFmtId="170" fontId="50" fillId="0" borderId="325" xfId="0" applyNumberFormat="1" applyFont="1" applyBorder="1" applyAlignment="1">
      <alignment vertical="center"/>
    </xf>
    <xf numFmtId="170" fontId="30" fillId="46" borderId="303" xfId="0" applyNumberFormat="1" applyFont="1" applyFill="1" applyBorder="1" applyAlignment="1">
      <alignment vertical="center"/>
    </xf>
    <xf numFmtId="170" fontId="76" fillId="0" borderId="303" xfId="0" applyNumberFormat="1" applyFont="1" applyBorder="1" applyAlignment="1">
      <alignment vertical="center"/>
    </xf>
    <xf numFmtId="170" fontId="50" fillId="40" borderId="303" xfId="0" applyNumberFormat="1" applyFont="1" applyFill="1" applyBorder="1" applyAlignment="1">
      <alignment vertical="center"/>
    </xf>
    <xf numFmtId="170" fontId="50" fillId="4" borderId="325" xfId="0" applyNumberFormat="1" applyFont="1" applyFill="1" applyBorder="1" applyAlignment="1">
      <alignment vertical="center"/>
    </xf>
    <xf numFmtId="170" fontId="50" fillId="4" borderId="235" xfId="0" applyNumberFormat="1" applyFont="1" applyFill="1" applyBorder="1" applyAlignment="1">
      <alignment vertical="center"/>
    </xf>
    <xf numFmtId="170" fontId="76" fillId="0" borderId="274" xfId="0" applyNumberFormat="1" applyFont="1" applyBorder="1" applyAlignment="1">
      <alignment vertical="center"/>
    </xf>
    <xf numFmtId="170" fontId="50" fillId="4" borderId="334" xfId="0" applyNumberFormat="1" applyFont="1" applyFill="1" applyBorder="1" applyAlignment="1">
      <alignment vertical="center"/>
    </xf>
    <xf numFmtId="170" fontId="50" fillId="0" borderId="274" xfId="0" applyNumberFormat="1" applyFont="1" applyBorder="1" applyAlignment="1">
      <alignment vertical="center"/>
    </xf>
    <xf numFmtId="170" fontId="50" fillId="0" borderId="349" xfId="0" applyNumberFormat="1" applyFont="1" applyBorder="1" applyAlignment="1">
      <alignment vertical="center"/>
    </xf>
    <xf numFmtId="170" fontId="76" fillId="4" borderId="305" xfId="0" applyNumberFormat="1" applyFont="1" applyFill="1" applyBorder="1" applyAlignment="1">
      <alignment vertical="center"/>
    </xf>
    <xf numFmtId="170" fontId="50" fillId="4" borderId="305" xfId="0" applyNumberFormat="1" applyFont="1" applyFill="1" applyBorder="1" applyAlignment="1">
      <alignment vertical="center"/>
    </xf>
    <xf numFmtId="170" fontId="35" fillId="45" borderId="307" xfId="0" applyNumberFormat="1" applyFont="1" applyFill="1" applyBorder="1" applyAlignment="1">
      <alignment vertical="center"/>
    </xf>
    <xf numFmtId="170" fontId="15" fillId="25" borderId="307" xfId="0" applyNumberFormat="1" applyFont="1" applyFill="1" applyBorder="1" applyAlignment="1">
      <alignment vertical="center"/>
    </xf>
    <xf numFmtId="170" fontId="15" fillId="25" borderId="317" xfId="0" applyNumberFormat="1" applyFont="1" applyFill="1" applyBorder="1" applyAlignment="1">
      <alignment vertical="center"/>
    </xf>
    <xf numFmtId="170" fontId="23" fillId="0" borderId="307" xfId="0" applyNumberFormat="1" applyFont="1" applyBorder="1" applyAlignment="1">
      <alignment vertical="center"/>
    </xf>
    <xf numFmtId="170" fontId="23" fillId="0" borderId="317" xfId="0" applyNumberFormat="1" applyFont="1" applyBorder="1" applyAlignment="1">
      <alignment vertical="center"/>
    </xf>
    <xf numFmtId="170" fontId="139" fillId="0" borderId="0" xfId="0" applyNumberFormat="1" applyFont="1"/>
    <xf numFmtId="0" fontId="139" fillId="0" borderId="0" xfId="0" applyFont="1"/>
    <xf numFmtId="43" fontId="139" fillId="0" borderId="0" xfId="0" applyNumberFormat="1" applyFont="1"/>
    <xf numFmtId="170" fontId="30" fillId="0" borderId="21" xfId="0" applyNumberFormat="1" applyFont="1" applyBorder="1" applyAlignment="1">
      <alignment vertical="center"/>
    </xf>
    <xf numFmtId="170" fontId="51" fillId="0" borderId="353" xfId="0" applyNumberFormat="1" applyFont="1" applyBorder="1" applyAlignment="1">
      <alignment vertical="center"/>
    </xf>
    <xf numFmtId="170" fontId="30" fillId="0" borderId="364" xfId="0" applyNumberFormat="1" applyFont="1" applyBorder="1" applyAlignment="1">
      <alignment vertical="center"/>
    </xf>
    <xf numFmtId="0" fontId="0" fillId="60" borderId="307" xfId="0" applyFill="1" applyBorder="1" applyAlignment="1">
      <alignment vertical="center"/>
    </xf>
    <xf numFmtId="0" fontId="0" fillId="60" borderId="315" xfId="0" applyFill="1" applyBorder="1" applyAlignment="1">
      <alignment vertical="center"/>
    </xf>
    <xf numFmtId="49" fontId="205" fillId="60" borderId="182" xfId="0" applyNumberFormat="1" applyFont="1" applyFill="1" applyBorder="1" applyAlignment="1">
      <alignment horizontal="center" vertical="center"/>
    </xf>
    <xf numFmtId="0" fontId="206" fillId="60" borderId="66" xfId="0" applyFont="1" applyFill="1" applyBorder="1" applyAlignment="1">
      <alignment vertical="center"/>
    </xf>
    <xf numFmtId="0" fontId="205" fillId="60" borderId="66" xfId="0" applyFont="1" applyFill="1" applyBorder="1" applyAlignment="1">
      <alignment vertical="center"/>
    </xf>
    <xf numFmtId="170" fontId="30" fillId="60" borderId="78" xfId="0" applyNumberFormat="1" applyFont="1" applyFill="1" applyBorder="1" applyAlignment="1">
      <alignment vertical="center"/>
    </xf>
    <xf numFmtId="170" fontId="205" fillId="60" borderId="204" xfId="0" applyNumberFormat="1" applyFont="1" applyFill="1" applyBorder="1" applyAlignment="1">
      <alignment vertical="center"/>
    </xf>
    <xf numFmtId="0" fontId="0" fillId="60" borderId="0" xfId="0" applyFill="1" applyAlignment="1">
      <alignment vertical="center"/>
    </xf>
    <xf numFmtId="0" fontId="0" fillId="40" borderId="307" xfId="0" applyFill="1" applyBorder="1" applyAlignment="1">
      <alignment vertical="center"/>
    </xf>
    <xf numFmtId="0" fontId="0" fillId="40" borderId="315" xfId="0" applyFill="1" applyBorder="1" applyAlignment="1">
      <alignment vertical="center"/>
    </xf>
    <xf numFmtId="49" fontId="204" fillId="40" borderId="183" xfId="0" applyNumberFormat="1" applyFont="1" applyFill="1" applyBorder="1" applyAlignment="1">
      <alignment horizontal="center" vertical="center"/>
    </xf>
    <xf numFmtId="0" fontId="206" fillId="40" borderId="11" xfId="0" applyFont="1" applyFill="1" applyBorder="1" applyAlignment="1">
      <alignment vertical="center"/>
    </xf>
    <xf numFmtId="0" fontId="205" fillId="40" borderId="11" xfId="0" applyFont="1" applyFill="1" applyBorder="1" applyAlignment="1">
      <alignment vertical="center"/>
    </xf>
    <xf numFmtId="170" fontId="30" fillId="40" borderId="21" xfId="0" applyNumberFormat="1" applyFont="1" applyFill="1" applyBorder="1" applyAlignment="1">
      <alignment vertical="center"/>
    </xf>
    <xf numFmtId="170" fontId="30" fillId="61" borderId="319" xfId="0" applyNumberFormat="1" applyFont="1" applyFill="1" applyBorder="1" applyAlignment="1">
      <alignment vertical="center"/>
    </xf>
    <xf numFmtId="170" fontId="30" fillId="40" borderId="318" xfId="0" applyNumberFormat="1" applyFont="1" applyFill="1" applyBorder="1" applyAlignment="1">
      <alignment vertical="center"/>
    </xf>
    <xf numFmtId="170" fontId="205" fillId="40" borderId="320" xfId="0" applyNumberFormat="1" applyFont="1" applyFill="1" applyBorder="1" applyAlignment="1">
      <alignment vertical="center"/>
    </xf>
    <xf numFmtId="0" fontId="0" fillId="40" borderId="0" xfId="0" applyFill="1" applyAlignment="1">
      <alignment vertical="center"/>
    </xf>
    <xf numFmtId="49" fontId="204" fillId="40" borderId="339" xfId="0" applyNumberFormat="1" applyFont="1" applyFill="1" applyBorder="1" applyAlignment="1">
      <alignment horizontal="center" vertical="center"/>
    </xf>
    <xf numFmtId="0" fontId="206" fillId="40" borderId="89" xfId="0" applyFont="1" applyFill="1" applyBorder="1" applyAlignment="1">
      <alignment vertical="center"/>
    </xf>
    <xf numFmtId="0" fontId="192" fillId="40" borderId="89" xfId="0" applyFont="1" applyFill="1" applyBorder="1" applyAlignment="1">
      <alignment vertical="center"/>
    </xf>
    <xf numFmtId="170" fontId="30" fillId="40" borderId="340" xfId="0" applyNumberFormat="1" applyFont="1" applyFill="1" applyBorder="1" applyAlignment="1">
      <alignment vertical="center"/>
    </xf>
    <xf numFmtId="49" fontId="205" fillId="40" borderId="316" xfId="0" applyNumberFormat="1" applyFont="1" applyFill="1" applyBorder="1" applyAlignment="1">
      <alignment horizontal="center" vertical="center"/>
    </xf>
    <xf numFmtId="0" fontId="206" fillId="40" borderId="317" xfId="0" applyFont="1" applyFill="1" applyBorder="1" applyAlignment="1">
      <alignment vertical="center"/>
    </xf>
    <xf numFmtId="0" fontId="205" fillId="40" borderId="317" xfId="0" applyFont="1" applyFill="1" applyBorder="1" applyAlignment="1">
      <alignment vertical="center"/>
    </xf>
    <xf numFmtId="49" fontId="204" fillId="40" borderId="316" xfId="0" applyNumberFormat="1" applyFont="1" applyFill="1" applyBorder="1" applyAlignment="1">
      <alignment horizontal="center" vertical="center"/>
    </xf>
    <xf numFmtId="0" fontId="192" fillId="40" borderId="317" xfId="0" applyFont="1" applyFill="1" applyBorder="1" applyAlignment="1">
      <alignment vertical="center"/>
    </xf>
    <xf numFmtId="49" fontId="205" fillId="0" borderId="125" xfId="0" applyNumberFormat="1" applyFont="1" applyBorder="1" applyAlignment="1">
      <alignment horizontal="center" vertical="center"/>
    </xf>
    <xf numFmtId="0" fontId="224" fillId="0" borderId="307" xfId="0" applyFont="1" applyBorder="1" applyAlignment="1">
      <alignment vertical="center"/>
    </xf>
    <xf numFmtId="0" fontId="224" fillId="0" borderId="315" xfId="0" applyFont="1" applyBorder="1" applyAlignment="1">
      <alignment vertical="center"/>
    </xf>
    <xf numFmtId="0" fontId="222" fillId="0" borderId="317" xfId="0" applyFont="1" applyBorder="1" applyAlignment="1">
      <alignment vertical="center"/>
    </xf>
    <xf numFmtId="170" fontId="205" fillId="0" borderId="320" xfId="0" applyNumberFormat="1" applyFont="1" applyBorder="1" applyAlignment="1">
      <alignment vertical="center"/>
    </xf>
    <xf numFmtId="0" fontId="224" fillId="0" borderId="0" xfId="0" applyFont="1" applyAlignment="1">
      <alignment vertical="center"/>
    </xf>
    <xf numFmtId="49" fontId="196" fillId="0" borderId="306" xfId="0" applyNumberFormat="1" applyFont="1" applyBorder="1" applyAlignment="1">
      <alignment horizontal="center" vertical="center"/>
    </xf>
    <xf numFmtId="0" fontId="196" fillId="0" borderId="307" xfId="0" applyFont="1" applyBorder="1" applyAlignment="1">
      <alignment vertical="center"/>
    </xf>
    <xf numFmtId="170" fontId="35" fillId="0" borderId="307" xfId="0" applyNumberFormat="1" applyFont="1" applyBorder="1" applyAlignment="1">
      <alignment vertical="center"/>
    </xf>
    <xf numFmtId="170" fontId="196" fillId="0" borderId="308" xfId="0" applyNumberFormat="1" applyFont="1" applyBorder="1" applyAlignment="1">
      <alignment vertical="center"/>
    </xf>
    <xf numFmtId="170" fontId="76" fillId="0" borderId="138" xfId="9" applyNumberFormat="1" applyFont="1" applyBorder="1" applyAlignment="1">
      <alignment vertical="center"/>
    </xf>
    <xf numFmtId="0" fontId="196" fillId="0" borderId="317" xfId="0" quotePrefix="1" applyFont="1" applyBorder="1" applyAlignment="1">
      <alignment vertical="center"/>
    </xf>
    <xf numFmtId="170" fontId="15" fillId="0" borderId="307" xfId="9" applyNumberFormat="1" applyFont="1" applyBorder="1" applyAlignment="1">
      <alignment vertical="center"/>
    </xf>
    <xf numFmtId="0" fontId="225" fillId="0" borderId="307" xfId="0" applyFont="1" applyBorder="1" applyAlignment="1">
      <alignment vertical="center"/>
    </xf>
    <xf numFmtId="0" fontId="225" fillId="0" borderId="315" xfId="0" applyFont="1" applyBorder="1" applyAlignment="1">
      <alignment vertical="center"/>
    </xf>
    <xf numFmtId="0" fontId="196" fillId="0" borderId="307" xfId="0" quotePrefix="1" applyFont="1" applyBorder="1" applyAlignment="1">
      <alignment vertical="center"/>
    </xf>
    <xf numFmtId="0" fontId="225" fillId="0" borderId="0" xfId="0" applyFont="1" applyAlignment="1">
      <alignment vertical="center"/>
    </xf>
    <xf numFmtId="170" fontId="50" fillId="0" borderId="26" xfId="0" applyNumberFormat="1" applyFont="1" applyBorder="1" applyAlignment="1">
      <alignment vertical="center"/>
    </xf>
    <xf numFmtId="170" fontId="194" fillId="0" borderId="200" xfId="0" applyNumberFormat="1" applyFont="1" applyBorder="1" applyAlignment="1">
      <alignment vertical="center"/>
    </xf>
    <xf numFmtId="49" fontId="30" fillId="57" borderId="63" xfId="0" applyNumberFormat="1" applyFont="1" applyFill="1" applyBorder="1" applyAlignment="1">
      <alignment vertical="center"/>
    </xf>
    <xf numFmtId="49" fontId="51" fillId="0" borderId="25" xfId="0" applyNumberFormat="1" applyFont="1" applyBorder="1" applyAlignment="1">
      <alignment vertical="center"/>
    </xf>
    <xf numFmtId="49" fontId="30" fillId="0" borderId="349" xfId="0" applyNumberFormat="1" applyFont="1" applyBorder="1" applyAlignment="1">
      <alignment vertical="center"/>
    </xf>
    <xf numFmtId="0" fontId="29" fillId="0" borderId="349" xfId="0" applyFont="1" applyBorder="1" applyAlignment="1">
      <alignment vertical="center"/>
    </xf>
    <xf numFmtId="0" fontId="139" fillId="25" borderId="307" xfId="0" applyFont="1" applyFill="1" applyBorder="1" applyAlignment="1">
      <alignment vertical="center"/>
    </xf>
    <xf numFmtId="170" fontId="50" fillId="0" borderId="117" xfId="0" applyNumberFormat="1" applyFont="1" applyBorder="1" applyAlignment="1">
      <alignment vertical="center"/>
    </xf>
    <xf numFmtId="170" fontId="30" fillId="0" borderId="219" xfId="0" applyNumberFormat="1" applyFont="1" applyBorder="1" applyAlignment="1">
      <alignment vertical="center"/>
    </xf>
    <xf numFmtId="170" fontId="50" fillId="0" borderId="134" xfId="0" applyNumberFormat="1" applyFont="1" applyBorder="1" applyAlignment="1">
      <alignment vertical="center"/>
    </xf>
    <xf numFmtId="4" fontId="149" fillId="0" borderId="117" xfId="0" applyNumberFormat="1" applyFont="1" applyBorder="1" applyAlignment="1">
      <alignment vertical="center"/>
    </xf>
    <xf numFmtId="170" fontId="76" fillId="0" borderId="117" xfId="0" applyNumberFormat="1" applyFont="1" applyBorder="1" applyAlignment="1">
      <alignment vertical="center"/>
    </xf>
    <xf numFmtId="4" fontId="149" fillId="0" borderId="134" xfId="0" applyNumberFormat="1" applyFont="1" applyBorder="1" applyAlignment="1">
      <alignment vertical="center"/>
    </xf>
    <xf numFmtId="4" fontId="149" fillId="0" borderId="352" xfId="0" applyNumberFormat="1" applyFont="1" applyBorder="1" applyAlignment="1">
      <alignment vertical="center"/>
    </xf>
    <xf numFmtId="4" fontId="149" fillId="0" borderId="363" xfId="0" applyNumberFormat="1" applyFont="1" applyBorder="1" applyAlignment="1">
      <alignment vertical="center"/>
    </xf>
    <xf numFmtId="170" fontId="50" fillId="0" borderId="118" xfId="0" applyNumberFormat="1" applyFont="1" applyBorder="1" applyAlignment="1">
      <alignment vertical="center"/>
    </xf>
    <xf numFmtId="170" fontId="30" fillId="35" borderId="366" xfId="0" applyNumberFormat="1" applyFont="1" applyFill="1" applyBorder="1" applyAlignment="1">
      <alignment vertical="center"/>
    </xf>
    <xf numFmtId="170" fontId="30" fillId="4" borderId="118" xfId="0" applyNumberFormat="1" applyFont="1" applyFill="1" applyBorder="1" applyAlignment="1">
      <alignment vertical="center"/>
    </xf>
    <xf numFmtId="170" fontId="76" fillId="46" borderId="64" xfId="0" applyNumberFormat="1" applyFont="1" applyFill="1" applyBorder="1" applyAlignment="1">
      <alignment vertical="center"/>
    </xf>
    <xf numFmtId="170" fontId="30" fillId="46" borderId="118" xfId="0" applyNumberFormat="1" applyFont="1" applyFill="1" applyBorder="1" applyAlignment="1">
      <alignment vertical="center"/>
    </xf>
    <xf numFmtId="170" fontId="76" fillId="4" borderId="118" xfId="0" applyNumberFormat="1" applyFont="1" applyFill="1" applyBorder="1" applyAlignment="1">
      <alignment vertical="center"/>
    </xf>
    <xf numFmtId="170" fontId="50" fillId="4" borderId="118" xfId="0" applyNumberFormat="1" applyFont="1" applyFill="1" applyBorder="1" applyAlignment="1">
      <alignment vertical="center"/>
    </xf>
    <xf numFmtId="170" fontId="76" fillId="0" borderId="118" xfId="0" applyNumberFormat="1" applyFont="1" applyBorder="1" applyAlignment="1">
      <alignment vertical="center"/>
    </xf>
    <xf numFmtId="0" fontId="0" fillId="0" borderId="120" xfId="0" applyBorder="1" applyAlignment="1">
      <alignment vertical="center"/>
    </xf>
    <xf numFmtId="170" fontId="76" fillId="0" borderId="363" xfId="0" applyNumberFormat="1" applyFont="1" applyBorder="1" applyAlignment="1">
      <alignment vertical="center"/>
    </xf>
    <xf numFmtId="170" fontId="30" fillId="0" borderId="363" xfId="0" applyNumberFormat="1" applyFont="1" applyBorder="1" applyAlignment="1">
      <alignment vertical="center"/>
    </xf>
    <xf numFmtId="170" fontId="50" fillId="0" borderId="363" xfId="0" applyNumberFormat="1" applyFont="1" applyBorder="1" applyAlignment="1">
      <alignment vertical="center"/>
    </xf>
    <xf numFmtId="170" fontId="50" fillId="0" borderId="133" xfId="0" applyNumberFormat="1" applyFont="1" applyBorder="1" applyAlignment="1">
      <alignment vertical="center"/>
    </xf>
    <xf numFmtId="0" fontId="0" fillId="0" borderId="113" xfId="0" applyBorder="1" applyAlignment="1">
      <alignment vertical="center"/>
    </xf>
    <xf numFmtId="0" fontId="0" fillId="25" borderId="368" xfId="0" applyFill="1" applyBorder="1" applyAlignment="1">
      <alignment vertical="center"/>
    </xf>
    <xf numFmtId="0" fontId="117" fillId="25" borderId="365" xfId="0" applyFont="1" applyFill="1" applyBorder="1" applyAlignment="1">
      <alignment vertical="center"/>
    </xf>
    <xf numFmtId="0" fontId="117" fillId="25" borderId="368" xfId="0" applyFont="1" applyFill="1" applyBorder="1" applyAlignment="1">
      <alignment vertical="center"/>
    </xf>
    <xf numFmtId="170" fontId="50" fillId="0" borderId="64" xfId="0" applyNumberFormat="1" applyFont="1" applyBorder="1" applyAlignment="1">
      <alignment vertical="center"/>
    </xf>
    <xf numFmtId="170" fontId="194" fillId="0" borderId="218" xfId="0" applyNumberFormat="1" applyFont="1" applyBorder="1" applyAlignment="1">
      <alignment vertical="center"/>
    </xf>
    <xf numFmtId="49" fontId="30" fillId="0" borderId="96" xfId="0" applyNumberFormat="1" applyFont="1" applyBorder="1" applyAlignment="1">
      <alignment vertical="center"/>
    </xf>
    <xf numFmtId="170" fontId="76" fillId="0" borderId="64" xfId="0" applyNumberFormat="1" applyFont="1" applyBorder="1" applyAlignment="1">
      <alignment vertical="center"/>
    </xf>
    <xf numFmtId="170" fontId="50" fillId="0" borderId="141" xfId="0" applyNumberFormat="1" applyFont="1" applyBorder="1" applyAlignment="1">
      <alignment vertical="center"/>
    </xf>
    <xf numFmtId="4" fontId="30" fillId="0" borderId="141" xfId="0" applyNumberFormat="1" applyFont="1" applyBorder="1" applyAlignment="1">
      <alignment vertical="center"/>
    </xf>
    <xf numFmtId="168" fontId="50" fillId="0" borderId="58" xfId="2" applyFont="1" applyBorder="1" applyAlignment="1">
      <alignment vertical="center"/>
    </xf>
    <xf numFmtId="4" fontId="30" fillId="0" borderId="43" xfId="1" applyNumberFormat="1" applyFont="1" applyBorder="1" applyAlignment="1">
      <alignment horizontal="right" vertical="center"/>
    </xf>
    <xf numFmtId="170" fontId="50" fillId="0" borderId="218" xfId="0" applyNumberFormat="1" applyFont="1" applyBorder="1" applyAlignment="1">
      <alignment vertical="center"/>
    </xf>
    <xf numFmtId="4" fontId="30" fillId="0" borderId="58" xfId="0" applyNumberFormat="1" applyFont="1" applyBorder="1" applyAlignment="1">
      <alignment vertical="center"/>
    </xf>
    <xf numFmtId="0" fontId="139" fillId="0" borderId="359" xfId="0" applyFont="1" applyBorder="1" applyAlignment="1">
      <alignment vertical="center"/>
    </xf>
    <xf numFmtId="49" fontId="30" fillId="0" borderId="367" xfId="0" quotePrefix="1" applyNumberFormat="1" applyFont="1" applyBorder="1" applyAlignment="1">
      <alignment horizontal="center" vertical="center"/>
    </xf>
    <xf numFmtId="0" fontId="139" fillId="0" borderId="307" xfId="0" applyFont="1" applyBorder="1" applyAlignment="1">
      <alignment vertical="center"/>
    </xf>
    <xf numFmtId="0" fontId="139" fillId="0" borderId="125" xfId="0" applyFont="1" applyBorder="1" applyAlignment="1">
      <alignment vertical="center"/>
    </xf>
    <xf numFmtId="0" fontId="139" fillId="25" borderId="365" xfId="0" applyFont="1" applyFill="1" applyBorder="1" applyAlignment="1">
      <alignment vertical="center"/>
    </xf>
    <xf numFmtId="49" fontId="30" fillId="0" borderId="5" xfId="0" quotePrefix="1" applyNumberFormat="1" applyFont="1" applyBorder="1" applyAlignment="1">
      <alignment horizontal="center" vertical="center"/>
    </xf>
    <xf numFmtId="49" fontId="30" fillId="0" borderId="335" xfId="0" applyNumberFormat="1" applyFont="1" applyBorder="1" applyAlignment="1">
      <alignment horizontal="center" vertical="center"/>
    </xf>
    <xf numFmtId="49" fontId="85" fillId="57" borderId="21" xfId="0" applyNumberFormat="1" applyFont="1" applyFill="1" applyBorder="1" applyAlignment="1">
      <alignment horizontal="center" vertical="center"/>
    </xf>
    <xf numFmtId="0" fontId="237" fillId="0" borderId="359" xfId="0" applyFont="1" applyBorder="1" applyAlignment="1">
      <alignment vertical="center"/>
    </xf>
    <xf numFmtId="0" fontId="237" fillId="0" borderId="120" xfId="0" applyFont="1" applyBorder="1" applyAlignment="1">
      <alignment vertical="center"/>
    </xf>
    <xf numFmtId="49" fontId="85" fillId="0" borderId="339" xfId="0" applyNumberFormat="1" applyFont="1" applyBorder="1" applyAlignment="1">
      <alignment horizontal="center" vertical="center"/>
    </xf>
    <xf numFmtId="0" fontId="85" fillId="0" borderId="89" xfId="0" applyFont="1" applyBorder="1" applyAlignment="1">
      <alignment vertical="center"/>
    </xf>
    <xf numFmtId="0" fontId="72" fillId="0" borderId="89" xfId="0" applyFont="1" applyBorder="1" applyAlignment="1">
      <alignment vertical="center"/>
    </xf>
    <xf numFmtId="170" fontId="238" fillId="0" borderId="359" xfId="0" applyNumberFormat="1" applyFont="1" applyBorder="1" applyAlignment="1">
      <alignment vertical="center"/>
    </xf>
    <xf numFmtId="170" fontId="85" fillId="0" borderId="359" xfId="0" applyNumberFormat="1" applyFont="1" applyBorder="1" applyAlignment="1">
      <alignment vertical="center"/>
    </xf>
    <xf numFmtId="170" fontId="238" fillId="0" borderId="218" xfId="0" applyNumberFormat="1" applyFont="1" applyBorder="1" applyAlignment="1">
      <alignment vertical="center"/>
    </xf>
    <xf numFmtId="0" fontId="237" fillId="0" borderId="0" xfId="0" applyFont="1" applyAlignment="1">
      <alignment vertical="center"/>
    </xf>
    <xf numFmtId="49" fontId="85" fillId="0" borderId="335" xfId="0" applyNumberFormat="1" applyFont="1" applyBorder="1" applyAlignment="1">
      <alignment horizontal="center" vertical="center"/>
    </xf>
    <xf numFmtId="49" fontId="85" fillId="0" borderId="344" xfId="0" applyNumberFormat="1" applyFont="1" applyBorder="1" applyAlignment="1">
      <alignment horizontal="center" vertical="center"/>
    </xf>
    <xf numFmtId="0" fontId="237" fillId="0" borderId="315" xfId="0" applyFont="1" applyBorder="1" applyAlignment="1">
      <alignment vertical="center"/>
    </xf>
    <xf numFmtId="49" fontId="85" fillId="0" borderId="180" xfId="0" applyNumberFormat="1" applyFont="1" applyBorder="1" applyAlignment="1">
      <alignment horizontal="center" vertical="center"/>
    </xf>
    <xf numFmtId="0" fontId="85" fillId="0" borderId="17" xfId="0" applyFont="1" applyBorder="1" applyAlignment="1">
      <alignment vertical="center"/>
    </xf>
    <xf numFmtId="170" fontId="238" fillId="0" borderId="118" xfId="0" applyNumberFormat="1" applyFont="1" applyBorder="1" applyAlignment="1">
      <alignment vertical="center"/>
    </xf>
    <xf numFmtId="170" fontId="85" fillId="35" borderId="366" xfId="0" applyNumberFormat="1" applyFont="1" applyFill="1" applyBorder="1" applyAlignment="1">
      <alignment vertical="center"/>
    </xf>
    <xf numFmtId="170" fontId="85" fillId="4" borderId="118" xfId="0" applyNumberFormat="1" applyFont="1" applyFill="1" applyBorder="1" applyAlignment="1">
      <alignment vertical="center"/>
    </xf>
    <xf numFmtId="170" fontId="85" fillId="0" borderId="303" xfId="0" applyNumberFormat="1" applyFont="1" applyBorder="1" applyAlignment="1">
      <alignment vertical="center"/>
    </xf>
    <xf numFmtId="170" fontId="85" fillId="0" borderId="328" xfId="0" applyNumberFormat="1" applyFont="1" applyBorder="1" applyAlignment="1">
      <alignment vertical="center"/>
    </xf>
    <xf numFmtId="170" fontId="50" fillId="4" borderId="107" xfId="0" applyNumberFormat="1" applyFont="1" applyFill="1" applyBorder="1" applyAlignment="1">
      <alignment vertical="center"/>
    </xf>
    <xf numFmtId="170" fontId="72" fillId="0" borderId="303" xfId="0" applyNumberFormat="1" applyFont="1" applyBorder="1" applyAlignment="1">
      <alignment vertical="center"/>
    </xf>
    <xf numFmtId="170" fontId="78" fillId="4" borderId="43" xfId="0" applyNumberFormat="1" applyFont="1" applyFill="1" applyBorder="1" applyAlignment="1">
      <alignment vertical="center"/>
    </xf>
    <xf numFmtId="170" fontId="78" fillId="4" borderId="161" xfId="9" applyNumberFormat="1" applyFont="1" applyFill="1" applyBorder="1" applyAlignment="1">
      <alignment vertical="center"/>
    </xf>
    <xf numFmtId="170" fontId="78" fillId="17" borderId="64" xfId="9" applyNumberFormat="1" applyFont="1" applyFill="1" applyBorder="1" applyAlignment="1">
      <alignment vertical="center"/>
    </xf>
    <xf numFmtId="170" fontId="30" fillId="56" borderId="303" xfId="0" applyNumberFormat="1" applyFont="1" applyFill="1" applyBorder="1" applyAlignment="1">
      <alignment vertical="center"/>
    </xf>
    <xf numFmtId="170" fontId="205" fillId="56" borderId="328" xfId="0" applyNumberFormat="1" applyFont="1" applyFill="1" applyBorder="1" applyAlignment="1">
      <alignment vertical="center"/>
    </xf>
    <xf numFmtId="49" fontId="205" fillId="56" borderId="125" xfId="0" applyNumberFormat="1" applyFont="1" applyFill="1" applyBorder="1" applyAlignment="1">
      <alignment horizontal="center" vertical="center"/>
    </xf>
    <xf numFmtId="0" fontId="0" fillId="56" borderId="307" xfId="0" applyFill="1" applyBorder="1" applyAlignment="1">
      <alignment vertical="center"/>
    </xf>
    <xf numFmtId="0" fontId="211" fillId="56" borderId="315" xfId="0" applyFont="1" applyFill="1" applyBorder="1" applyAlignment="1">
      <alignment vertical="center"/>
    </xf>
    <xf numFmtId="49" fontId="205" fillId="56" borderId="180" xfId="0" applyNumberFormat="1" applyFont="1" applyFill="1" applyBorder="1" applyAlignment="1">
      <alignment horizontal="center" vertical="center"/>
    </xf>
    <xf numFmtId="49" fontId="196" fillId="56" borderId="354" xfId="0" applyNumberFormat="1" applyFont="1" applyFill="1" applyBorder="1" applyAlignment="1">
      <alignment vertical="center"/>
    </xf>
    <xf numFmtId="0" fontId="205" fillId="56" borderId="337" xfId="0" applyFont="1" applyFill="1" applyBorder="1" applyAlignment="1">
      <alignment vertical="center"/>
    </xf>
    <xf numFmtId="170" fontId="30" fillId="56" borderId="305" xfId="0" applyNumberFormat="1" applyFont="1" applyFill="1" applyBorder="1" applyAlignment="1">
      <alignment vertical="center"/>
    </xf>
    <xf numFmtId="170" fontId="30" fillId="62" borderId="206" xfId="0" applyNumberFormat="1" applyFont="1" applyFill="1" applyBorder="1" applyAlignment="1">
      <alignment vertical="center"/>
    </xf>
    <xf numFmtId="170" fontId="30" fillId="56" borderId="21" xfId="0" applyNumberFormat="1" applyFont="1" applyFill="1" applyBorder="1" applyAlignment="1">
      <alignment vertical="center"/>
    </xf>
    <xf numFmtId="0" fontId="0" fillId="56" borderId="44" xfId="0" applyFill="1" applyBorder="1" applyAlignment="1">
      <alignment vertical="center"/>
    </xf>
    <xf numFmtId="49" fontId="205" fillId="53" borderId="125" xfId="0" applyNumberFormat="1" applyFont="1" applyFill="1" applyBorder="1" applyAlignment="1">
      <alignment horizontal="center" vertical="center"/>
    </xf>
    <xf numFmtId="0" fontId="224" fillId="53" borderId="307" xfId="0" applyFont="1" applyFill="1" applyBorder="1" applyAlignment="1">
      <alignment vertical="center"/>
    </xf>
    <xf numFmtId="0" fontId="224" fillId="53" borderId="315" xfId="0" applyFont="1" applyFill="1" applyBorder="1" applyAlignment="1">
      <alignment vertical="center"/>
    </xf>
    <xf numFmtId="49" fontId="196" fillId="53" borderId="316" xfId="0" applyNumberFormat="1" applyFont="1" applyFill="1" applyBorder="1" applyAlignment="1">
      <alignment horizontal="center" vertical="center"/>
    </xf>
    <xf numFmtId="0" fontId="196" fillId="53" borderId="317" xfId="0" applyFont="1" applyFill="1" applyBorder="1" applyAlignment="1">
      <alignment vertical="center"/>
    </xf>
    <xf numFmtId="0" fontId="222" fillId="53" borderId="317" xfId="0" applyFont="1" applyFill="1" applyBorder="1" applyAlignment="1">
      <alignment vertical="center"/>
    </xf>
    <xf numFmtId="170" fontId="35" fillId="53" borderId="318" xfId="0" applyNumberFormat="1" applyFont="1" applyFill="1" applyBorder="1" applyAlignment="1">
      <alignment vertical="center"/>
    </xf>
    <xf numFmtId="170" fontId="35" fillId="53" borderId="319" xfId="0" applyNumberFormat="1" applyFont="1" applyFill="1" applyBorder="1" applyAlignment="1">
      <alignment vertical="center"/>
    </xf>
    <xf numFmtId="170" fontId="30" fillId="53" borderId="318" xfId="0" applyNumberFormat="1" applyFont="1" applyFill="1" applyBorder="1" applyAlignment="1">
      <alignment vertical="center"/>
    </xf>
    <xf numFmtId="170" fontId="205" fillId="53" borderId="320" xfId="0" applyNumberFormat="1" applyFont="1" applyFill="1" applyBorder="1" applyAlignment="1">
      <alignment vertical="center"/>
    </xf>
    <xf numFmtId="0" fontId="224" fillId="53" borderId="0" xfId="0" applyFont="1" applyFill="1" applyAlignment="1">
      <alignment vertical="center"/>
    </xf>
    <xf numFmtId="0" fontId="225" fillId="53" borderId="307" xfId="0" applyFont="1" applyFill="1" applyBorder="1" applyAlignment="1">
      <alignment vertical="center"/>
    </xf>
    <xf numFmtId="0" fontId="225" fillId="53" borderId="315" xfId="0" applyFont="1" applyFill="1" applyBorder="1" applyAlignment="1">
      <alignment vertical="center"/>
    </xf>
    <xf numFmtId="49" fontId="196" fillId="53" borderId="306" xfId="0" applyNumberFormat="1" applyFont="1" applyFill="1" applyBorder="1" applyAlignment="1">
      <alignment horizontal="center" vertical="center"/>
    </xf>
    <xf numFmtId="0" fontId="196" fillId="53" borderId="307" xfId="0" quotePrefix="1" applyFont="1" applyFill="1" applyBorder="1" applyAlignment="1">
      <alignment vertical="center"/>
    </xf>
    <xf numFmtId="0" fontId="196" fillId="53" borderId="307" xfId="0" applyFont="1" applyFill="1" applyBorder="1" applyAlignment="1">
      <alignment vertical="center"/>
    </xf>
    <xf numFmtId="170" fontId="15" fillId="53" borderId="307" xfId="9" applyNumberFormat="1" applyFont="1" applyFill="1" applyBorder="1" applyAlignment="1">
      <alignment vertical="center"/>
    </xf>
    <xf numFmtId="170" fontId="35" fillId="53" borderId="307" xfId="0" applyNumberFormat="1" applyFont="1" applyFill="1" applyBorder="1" applyAlignment="1">
      <alignment vertical="center"/>
    </xf>
    <xf numFmtId="170" fontId="196" fillId="53" borderId="308" xfId="0" applyNumberFormat="1" applyFont="1" applyFill="1" applyBorder="1" applyAlignment="1">
      <alignment vertical="center"/>
    </xf>
    <xf numFmtId="0" fontId="225" fillId="53" borderId="0" xfId="0" applyFont="1" applyFill="1" applyAlignment="1">
      <alignment vertical="center"/>
    </xf>
    <xf numFmtId="170" fontId="239" fillId="4" borderId="43" xfId="0" applyNumberFormat="1" applyFont="1" applyFill="1" applyBorder="1" applyAlignment="1">
      <alignment vertical="center"/>
    </xf>
    <xf numFmtId="170" fontId="205" fillId="25" borderId="369" xfId="0" applyNumberFormat="1" applyFont="1" applyFill="1" applyBorder="1" applyAlignment="1">
      <alignment vertical="center"/>
    </xf>
    <xf numFmtId="170" fontId="30" fillId="25" borderId="367" xfId="0" applyNumberFormat="1" applyFont="1" applyFill="1" applyBorder="1" applyAlignment="1">
      <alignment vertical="center"/>
    </xf>
    <xf numFmtId="170" fontId="205" fillId="0" borderId="370" xfId="0" applyNumberFormat="1" applyFont="1" applyBorder="1" applyAlignment="1">
      <alignment vertical="center"/>
    </xf>
    <xf numFmtId="49" fontId="135" fillId="56" borderId="66" xfId="0" applyNumberFormat="1" applyFont="1" applyFill="1" applyBorder="1" applyAlignment="1">
      <alignment horizontal="center" vertical="center"/>
    </xf>
    <xf numFmtId="49" fontId="135" fillId="56" borderId="128" xfId="0" applyNumberFormat="1" applyFont="1" applyFill="1" applyBorder="1" applyAlignment="1">
      <alignment horizontal="center" vertical="center"/>
    </xf>
    <xf numFmtId="0" fontId="189" fillId="56" borderId="315" xfId="0" applyFont="1" applyFill="1" applyBorder="1" applyAlignment="1">
      <alignment vertical="center"/>
    </xf>
    <xf numFmtId="49" fontId="135" fillId="56" borderId="183" xfId="0" applyNumberFormat="1" applyFont="1" applyFill="1" applyBorder="1" applyAlignment="1">
      <alignment horizontal="center" vertical="center"/>
    </xf>
    <xf numFmtId="0" fontId="135" fillId="56" borderId="11" xfId="0" quotePrefix="1" applyFont="1" applyFill="1" applyBorder="1" applyAlignment="1">
      <alignment vertical="center"/>
    </xf>
    <xf numFmtId="0" fontId="73" fillId="56" borderId="34" xfId="0" applyFont="1" applyFill="1" applyBorder="1" applyAlignment="1">
      <alignment vertical="center"/>
    </xf>
    <xf numFmtId="170" fontId="240" fillId="56" borderId="43" xfId="0" applyNumberFormat="1" applyFont="1" applyFill="1" applyBorder="1" applyAlignment="1">
      <alignment vertical="center"/>
    </xf>
    <xf numFmtId="170" fontId="135" fillId="62" borderId="148" xfId="0" applyNumberFormat="1" applyFont="1" applyFill="1" applyBorder="1" applyAlignment="1">
      <alignment vertical="center"/>
    </xf>
    <xf numFmtId="170" fontId="135" fillId="56" borderId="303" xfId="0" applyNumberFormat="1" applyFont="1" applyFill="1" applyBorder="1" applyAlignment="1">
      <alignment vertical="center"/>
    </xf>
    <xf numFmtId="170" fontId="135" fillId="56" borderId="328" xfId="0" applyNumberFormat="1" applyFont="1" applyFill="1" applyBorder="1" applyAlignment="1">
      <alignment vertical="center"/>
    </xf>
    <xf numFmtId="0" fontId="189" fillId="56" borderId="0" xfId="0" applyFont="1" applyFill="1" applyAlignment="1">
      <alignment vertical="center"/>
    </xf>
    <xf numFmtId="49" fontId="135" fillId="0" borderId="66" xfId="0" applyNumberFormat="1" applyFont="1" applyBorder="1" applyAlignment="1">
      <alignment horizontal="center" vertical="center"/>
    </xf>
    <xf numFmtId="49" fontId="135" fillId="0" borderId="128" xfId="0" applyNumberFormat="1" applyFont="1" applyBorder="1" applyAlignment="1">
      <alignment horizontal="center" vertical="center"/>
    </xf>
    <xf numFmtId="0" fontId="189" fillId="0" borderId="315" xfId="0" applyFont="1" applyBorder="1" applyAlignment="1">
      <alignment vertical="center"/>
    </xf>
    <xf numFmtId="49" fontId="135" fillId="0" borderId="183" xfId="0" applyNumberFormat="1" applyFont="1" applyBorder="1" applyAlignment="1">
      <alignment horizontal="center" vertical="center"/>
    </xf>
    <xf numFmtId="0" fontId="135" fillId="0" borderId="11" xfId="0" quotePrefix="1" applyFont="1" applyBorder="1" applyAlignment="1">
      <alignment vertical="center"/>
    </xf>
    <xf numFmtId="0" fontId="135" fillId="0" borderId="34" xfId="0" applyFont="1" applyBorder="1" applyAlignment="1">
      <alignment vertical="center"/>
    </xf>
    <xf numFmtId="170" fontId="240" fillId="4" borderId="43" xfId="0" applyNumberFormat="1" applyFont="1" applyFill="1" applyBorder="1" applyAlignment="1">
      <alignment vertical="center"/>
    </xf>
    <xf numFmtId="170" fontId="135" fillId="35" borderId="148" xfId="0" applyNumberFormat="1" applyFont="1" applyFill="1" applyBorder="1" applyAlignment="1">
      <alignment vertical="center"/>
    </xf>
    <xf numFmtId="170" fontId="240" fillId="40" borderId="43" xfId="0" applyNumberFormat="1" applyFont="1" applyFill="1" applyBorder="1" applyAlignment="1">
      <alignment vertical="center"/>
    </xf>
    <xf numFmtId="170" fontId="135" fillId="4" borderId="303" xfId="0" applyNumberFormat="1" applyFont="1" applyFill="1" applyBorder="1" applyAlignment="1">
      <alignment vertical="center"/>
    </xf>
    <xf numFmtId="170" fontId="135" fillId="0" borderId="303" xfId="0" applyNumberFormat="1" applyFont="1" applyBorder="1" applyAlignment="1">
      <alignment vertical="center"/>
    </xf>
    <xf numFmtId="170" fontId="135" fillId="0" borderId="328" xfId="0" applyNumberFormat="1" applyFont="1" applyBorder="1" applyAlignment="1">
      <alignment vertical="center"/>
    </xf>
    <xf numFmtId="0" fontId="189" fillId="0" borderId="0" xfId="0" applyFont="1" applyAlignment="1">
      <alignment vertical="center"/>
    </xf>
    <xf numFmtId="0" fontId="73" fillId="0" borderId="34" xfId="0" applyFont="1" applyBorder="1" applyAlignment="1">
      <alignment vertical="center"/>
    </xf>
    <xf numFmtId="170" fontId="239" fillId="40" borderId="43" xfId="0" applyNumberFormat="1" applyFont="1" applyFill="1" applyBorder="1" applyAlignment="1">
      <alignment vertical="center"/>
    </xf>
    <xf numFmtId="0" fontId="73" fillId="0" borderId="11" xfId="0" quotePrefix="1" applyFont="1" applyBorder="1" applyAlignment="1">
      <alignment vertical="center"/>
    </xf>
    <xf numFmtId="170" fontId="73" fillId="4" borderId="303" xfId="0" applyNumberFormat="1" applyFont="1" applyFill="1" applyBorder="1" applyAlignment="1">
      <alignment vertical="center"/>
    </xf>
    <xf numFmtId="0" fontId="189" fillId="0" borderId="307" xfId="0" applyFont="1" applyBorder="1" applyAlignment="1">
      <alignment vertical="center"/>
    </xf>
    <xf numFmtId="0" fontId="73" fillId="0" borderId="11" xfId="0" applyFont="1" applyBorder="1" applyAlignment="1">
      <alignment vertical="center"/>
    </xf>
    <xf numFmtId="170" fontId="239" fillId="4" borderId="28" xfId="0" applyNumberFormat="1" applyFont="1" applyFill="1" applyBorder="1" applyAlignment="1">
      <alignment vertical="center"/>
    </xf>
    <xf numFmtId="170" fontId="135" fillId="35" borderId="147" xfId="0" applyNumberFormat="1" applyFont="1" applyFill="1" applyBorder="1" applyAlignment="1">
      <alignment vertical="center"/>
    </xf>
    <xf numFmtId="170" fontId="240" fillId="4" borderId="28" xfId="0" applyNumberFormat="1" applyFont="1" applyFill="1" applyBorder="1" applyAlignment="1">
      <alignment vertical="center"/>
    </xf>
    <xf numFmtId="170" fontId="240" fillId="4" borderId="195" xfId="0" applyNumberFormat="1" applyFont="1" applyFill="1" applyBorder="1" applyAlignment="1">
      <alignment vertical="center"/>
    </xf>
    <xf numFmtId="170" fontId="76" fillId="4" borderId="40" xfId="0" applyNumberFormat="1" applyFont="1" applyFill="1" applyBorder="1" applyAlignment="1">
      <alignment vertical="center"/>
    </xf>
    <xf numFmtId="170" fontId="76" fillId="40" borderId="40" xfId="0" applyNumberFormat="1" applyFont="1" applyFill="1" applyBorder="1" applyAlignment="1">
      <alignment vertical="center"/>
    </xf>
    <xf numFmtId="170" fontId="30" fillId="35" borderId="371" xfId="0" applyNumberFormat="1" applyFont="1" applyFill="1" applyBorder="1" applyAlignment="1">
      <alignment vertical="center"/>
    </xf>
    <xf numFmtId="0" fontId="205" fillId="0" borderId="63" xfId="0" applyFont="1" applyBorder="1" applyAlignment="1">
      <alignment vertical="center"/>
    </xf>
    <xf numFmtId="170" fontId="30" fillId="35" borderId="372" xfId="0" applyNumberFormat="1" applyFont="1" applyFill="1" applyBorder="1" applyAlignment="1">
      <alignment vertical="center"/>
    </xf>
    <xf numFmtId="170" fontId="76" fillId="40" borderId="303" xfId="0" applyNumberFormat="1" applyFont="1" applyFill="1" applyBorder="1" applyAlignment="1">
      <alignment vertical="center"/>
    </xf>
    <xf numFmtId="0" fontId="194" fillId="4" borderId="349" xfId="0" applyFont="1" applyFill="1" applyBorder="1" applyAlignment="1">
      <alignment vertical="center"/>
    </xf>
    <xf numFmtId="0" fontId="193" fillId="4" borderId="17" xfId="0" applyFont="1" applyFill="1" applyBorder="1" applyAlignment="1">
      <alignment vertical="center"/>
    </xf>
    <xf numFmtId="170" fontId="35" fillId="0" borderId="125" xfId="0" applyNumberFormat="1" applyFont="1" applyBorder="1" applyAlignment="1">
      <alignment vertical="center"/>
    </xf>
    <xf numFmtId="170" fontId="35" fillId="0" borderId="64" xfId="0" applyNumberFormat="1" applyFont="1" applyBorder="1" applyAlignment="1">
      <alignment vertical="center"/>
    </xf>
    <xf numFmtId="170" fontId="196" fillId="0" borderId="376" xfId="0" applyNumberFormat="1" applyFont="1" applyBorder="1" applyAlignment="1">
      <alignment vertical="center"/>
    </xf>
    <xf numFmtId="170" fontId="196" fillId="0" borderId="374" xfId="0" applyNumberFormat="1" applyFont="1" applyBorder="1" applyAlignment="1">
      <alignment vertical="center"/>
    </xf>
    <xf numFmtId="170" fontId="37" fillId="0" borderId="373" xfId="0" applyNumberFormat="1" applyFont="1" applyBorder="1" applyAlignment="1">
      <alignment vertical="center"/>
    </xf>
    <xf numFmtId="170" fontId="37" fillId="0" borderId="375" xfId="0" applyNumberFormat="1" applyFont="1" applyBorder="1" applyAlignment="1">
      <alignment vertical="center"/>
    </xf>
    <xf numFmtId="170" fontId="37" fillId="0" borderId="64" xfId="0" applyNumberFormat="1" applyFont="1" applyBorder="1" applyAlignment="1">
      <alignment vertical="center"/>
    </xf>
    <xf numFmtId="170" fontId="37" fillId="0" borderId="374" xfId="0" applyNumberFormat="1" applyFont="1" applyBorder="1" applyAlignment="1">
      <alignment vertical="center"/>
    </xf>
    <xf numFmtId="170" fontId="194" fillId="4" borderId="377" xfId="9" applyNumberFormat="1" applyFont="1" applyFill="1" applyBorder="1" applyAlignment="1">
      <alignment vertical="center"/>
    </xf>
    <xf numFmtId="170" fontId="76" fillId="4" borderId="363" xfId="9" applyNumberFormat="1" applyFont="1" applyFill="1" applyBorder="1" applyAlignment="1">
      <alignment vertical="center"/>
    </xf>
    <xf numFmtId="170" fontId="37" fillId="0" borderId="359" xfId="0" applyNumberFormat="1" applyFont="1" applyBorder="1" applyAlignment="1">
      <alignment vertical="center"/>
    </xf>
    <xf numFmtId="170" fontId="30" fillId="35" borderId="363" xfId="9" applyNumberFormat="1" applyFont="1" applyFill="1" applyBorder="1" applyAlignment="1">
      <alignment vertical="center"/>
    </xf>
    <xf numFmtId="170" fontId="50" fillId="4" borderId="363" xfId="9" applyNumberFormat="1" applyFont="1" applyFill="1" applyBorder="1" applyAlignment="1">
      <alignment vertical="center"/>
    </xf>
    <xf numFmtId="170" fontId="205" fillId="0" borderId="218" xfId="0" applyNumberFormat="1" applyFont="1" applyBorder="1" applyAlignment="1">
      <alignment vertical="center"/>
    </xf>
    <xf numFmtId="170" fontId="76" fillId="4" borderId="99" xfId="0" applyNumberFormat="1" applyFont="1" applyFill="1" applyBorder="1" applyAlignment="1">
      <alignment vertical="center"/>
    </xf>
    <xf numFmtId="170" fontId="78" fillId="0" borderId="118" xfId="0" applyNumberFormat="1" applyFont="1" applyBorder="1" applyAlignment="1">
      <alignment vertical="center"/>
    </xf>
    <xf numFmtId="170" fontId="72" fillId="35" borderId="366" xfId="0" applyNumberFormat="1" applyFont="1" applyFill="1" applyBorder="1" applyAlignment="1">
      <alignment vertical="center"/>
    </xf>
    <xf numFmtId="170" fontId="72" fillId="4" borderId="118" xfId="0" applyNumberFormat="1" applyFont="1" applyFill="1" applyBorder="1" applyAlignment="1">
      <alignment vertical="center"/>
    </xf>
    <xf numFmtId="170" fontId="78" fillId="4" borderId="118" xfId="0" applyNumberFormat="1" applyFont="1" applyFill="1" applyBorder="1" applyAlignment="1">
      <alignment vertical="center"/>
    </xf>
    <xf numFmtId="170" fontId="30" fillId="0" borderId="318" xfId="0" applyNumberFormat="1" applyFont="1" applyBorder="1" applyAlignment="1">
      <alignment vertical="center"/>
    </xf>
    <xf numFmtId="170" fontId="30" fillId="25" borderId="340" xfId="0" applyNumberFormat="1" applyFont="1" applyFill="1" applyBorder="1" applyAlignment="1">
      <alignment vertical="center"/>
    </xf>
    <xf numFmtId="170" fontId="29" fillId="25" borderId="318" xfId="0" applyNumberFormat="1" applyFont="1" applyFill="1" applyBorder="1" applyAlignment="1">
      <alignment vertical="center"/>
    </xf>
    <xf numFmtId="170" fontId="29" fillId="0" borderId="340" xfId="0" applyNumberFormat="1" applyFont="1" applyBorder="1" applyAlignment="1">
      <alignment vertical="center"/>
    </xf>
    <xf numFmtId="170" fontId="50" fillId="4" borderId="78" xfId="0" applyNumberFormat="1" applyFont="1" applyFill="1" applyBorder="1" applyAlignment="1">
      <alignment vertical="center"/>
    </xf>
    <xf numFmtId="170" fontId="117" fillId="0" borderId="0" xfId="0" applyNumberFormat="1" applyFont="1"/>
    <xf numFmtId="0" fontId="196" fillId="56" borderId="349" xfId="0" applyFont="1" applyFill="1" applyBorder="1" applyAlignment="1">
      <alignment vertical="center"/>
    </xf>
    <xf numFmtId="0" fontId="205" fillId="56" borderId="17" xfId="0" applyFont="1" applyFill="1" applyBorder="1" applyAlignment="1">
      <alignment vertical="center"/>
    </xf>
    <xf numFmtId="170" fontId="30" fillId="62" borderId="371" xfId="0" applyNumberFormat="1" applyFont="1" applyFill="1" applyBorder="1" applyAlignment="1">
      <alignment vertical="center"/>
    </xf>
    <xf numFmtId="49" fontId="205" fillId="0" borderId="29" xfId="0" applyNumberFormat="1" applyFont="1" applyBorder="1" applyAlignment="1">
      <alignment horizontal="center" vertical="center"/>
    </xf>
    <xf numFmtId="0" fontId="30" fillId="63" borderId="0" xfId="0" applyFont="1" applyFill="1" applyAlignment="1">
      <alignment vertical="center"/>
    </xf>
    <xf numFmtId="0" fontId="205" fillId="63" borderId="0" xfId="0" applyFont="1" applyFill="1" applyAlignment="1">
      <alignment vertical="center"/>
    </xf>
    <xf numFmtId="170" fontId="29" fillId="63" borderId="28" xfId="0" applyNumberFormat="1" applyFont="1" applyFill="1" applyBorder="1" applyAlignment="1">
      <alignment vertical="center"/>
    </xf>
    <xf numFmtId="170" fontId="30" fillId="63" borderId="147" xfId="0" applyNumberFormat="1" applyFont="1" applyFill="1" applyBorder="1" applyAlignment="1">
      <alignment vertical="center"/>
    </xf>
    <xf numFmtId="170" fontId="30" fillId="63" borderId="28" xfId="0" applyNumberFormat="1" applyFont="1" applyFill="1" applyBorder="1" applyAlignment="1">
      <alignment vertical="center"/>
    </xf>
    <xf numFmtId="170" fontId="205" fillId="63" borderId="195" xfId="0" applyNumberFormat="1" applyFont="1" applyFill="1" applyBorder="1" applyAlignment="1">
      <alignment vertical="center"/>
    </xf>
    <xf numFmtId="43" fontId="117" fillId="0" borderId="0" xfId="0" applyNumberFormat="1" applyFont="1"/>
    <xf numFmtId="0" fontId="0" fillId="0" borderId="125" xfId="0" applyBorder="1" applyAlignment="1">
      <alignment vertical="center"/>
    </xf>
    <xf numFmtId="0" fontId="0" fillId="0" borderId="171" xfId="0" applyBorder="1" applyAlignment="1">
      <alignment vertical="center"/>
    </xf>
    <xf numFmtId="165" fontId="191" fillId="0" borderId="0" xfId="8" applyAlignment="1">
      <alignment vertical="center"/>
    </xf>
    <xf numFmtId="165" fontId="191" fillId="25" borderId="0" xfId="8" applyFill="1" applyAlignment="1">
      <alignment vertical="center"/>
    </xf>
    <xf numFmtId="165" fontId="209" fillId="0" borderId="0" xfId="8" applyFont="1" applyAlignment="1">
      <alignment vertical="center"/>
    </xf>
    <xf numFmtId="165" fontId="208" fillId="0" borderId="0" xfId="8" applyFont="1" applyAlignment="1">
      <alignment vertical="center"/>
    </xf>
    <xf numFmtId="165" fontId="191" fillId="60" borderId="0" xfId="8" applyFill="1" applyAlignment="1">
      <alignment vertical="center"/>
    </xf>
    <xf numFmtId="165" fontId="191" fillId="40" borderId="0" xfId="8" applyFill="1" applyAlignment="1">
      <alignment vertical="center"/>
    </xf>
    <xf numFmtId="165" fontId="191" fillId="4" borderId="0" xfId="8" applyFill="1" applyAlignment="1">
      <alignment vertical="center"/>
    </xf>
    <xf numFmtId="165" fontId="213" fillId="0" borderId="0" xfId="8" applyFont="1" applyAlignment="1">
      <alignment horizontal="center" vertical="center"/>
    </xf>
    <xf numFmtId="165" fontId="215" fillId="42" borderId="0" xfId="8" applyFont="1" applyFill="1" applyAlignment="1">
      <alignment vertical="center"/>
    </xf>
    <xf numFmtId="165" fontId="189" fillId="56" borderId="0" xfId="8" applyFont="1" applyFill="1" applyAlignment="1">
      <alignment vertical="center"/>
    </xf>
    <xf numFmtId="165" fontId="189" fillId="0" borderId="0" xfId="8" applyFont="1" applyAlignment="1">
      <alignment vertical="center"/>
    </xf>
    <xf numFmtId="165" fontId="191" fillId="56" borderId="0" xfId="8" applyFill="1" applyAlignment="1">
      <alignment vertical="center"/>
    </xf>
    <xf numFmtId="165" fontId="191" fillId="53" borderId="0" xfId="8" applyFill="1" applyAlignment="1">
      <alignment vertical="center"/>
    </xf>
    <xf numFmtId="165" fontId="237" fillId="0" borderId="0" xfId="8" applyFont="1" applyAlignment="1">
      <alignment vertical="center"/>
    </xf>
    <xf numFmtId="165" fontId="191" fillId="0" borderId="0" xfId="8"/>
    <xf numFmtId="49" fontId="241" fillId="0" borderId="24" xfId="0" applyNumberFormat="1" applyFont="1" applyBorder="1" applyAlignment="1">
      <alignment vertical="center"/>
    </xf>
    <xf numFmtId="49" fontId="242" fillId="0" borderId="17" xfId="0" applyNumberFormat="1" applyFont="1" applyBorder="1" applyAlignment="1">
      <alignment vertical="center"/>
    </xf>
    <xf numFmtId="0" fontId="242" fillId="0" borderId="17" xfId="0" applyFont="1" applyBorder="1" applyAlignment="1">
      <alignment vertical="center"/>
    </xf>
    <xf numFmtId="0" fontId="242" fillId="0" borderId="18" xfId="0" applyFont="1" applyBorder="1" applyAlignment="1">
      <alignment vertical="center"/>
    </xf>
    <xf numFmtId="4" fontId="242" fillId="0" borderId="18" xfId="0" applyNumberFormat="1" applyFont="1" applyBorder="1" applyAlignment="1">
      <alignment vertical="center"/>
    </xf>
    <xf numFmtId="4" fontId="242" fillId="0" borderId="16" xfId="1" applyNumberFormat="1" applyFont="1" applyBorder="1" applyAlignment="1">
      <alignment vertical="center"/>
    </xf>
    <xf numFmtId="4" fontId="242" fillId="0" borderId="148" xfId="1" applyNumberFormat="1" applyFont="1" applyBorder="1" applyAlignment="1">
      <alignment vertical="center"/>
    </xf>
    <xf numFmtId="4" fontId="242" fillId="0" borderId="16" xfId="1" applyNumberFormat="1" applyFont="1" applyBorder="1" applyAlignment="1">
      <alignment horizontal="right" vertical="center"/>
    </xf>
    <xf numFmtId="49" fontId="243" fillId="0" borderId="255" xfId="0" applyNumberFormat="1" applyFont="1" applyBorder="1" applyAlignment="1">
      <alignment horizontal="center"/>
    </xf>
    <xf numFmtId="49" fontId="243" fillId="0" borderId="255" xfId="0" quotePrefix="1" applyNumberFormat="1" applyFont="1" applyBorder="1" applyAlignment="1">
      <alignment horizontal="center"/>
    </xf>
    <xf numFmtId="0" fontId="243" fillId="0" borderId="257" xfId="0" applyFont="1" applyBorder="1"/>
    <xf numFmtId="49" fontId="243" fillId="0" borderId="251" xfId="0" applyNumberFormat="1" applyFont="1" applyBorder="1" applyAlignment="1">
      <alignment vertical="center"/>
    </xf>
    <xf numFmtId="0" fontId="243" fillId="0" borderId="251" xfId="0" applyFont="1" applyBorder="1" applyAlignment="1">
      <alignment vertical="center"/>
    </xf>
    <xf numFmtId="168" fontId="243" fillId="0" borderId="252" xfId="2" applyFont="1" applyBorder="1" applyAlignment="1">
      <alignment vertical="center"/>
    </xf>
    <xf numFmtId="4" fontId="243" fillId="0" borderId="252" xfId="2" applyNumberFormat="1" applyFont="1" applyBorder="1" applyAlignment="1">
      <alignment horizontal="right" vertical="center"/>
    </xf>
    <xf numFmtId="4" fontId="243" fillId="0" borderId="249" xfId="1" applyNumberFormat="1" applyFont="1" applyBorder="1" applyAlignment="1">
      <alignment vertical="center"/>
    </xf>
    <xf numFmtId="4" fontId="111" fillId="0" borderId="253" xfId="1" applyNumberFormat="1" applyFont="1" applyBorder="1" applyAlignment="1">
      <alignment vertical="center"/>
    </xf>
    <xf numFmtId="4" fontId="244" fillId="0" borderId="249" xfId="1" applyNumberFormat="1" applyFont="1" applyBorder="1" applyAlignment="1">
      <alignment horizontal="right" vertical="center"/>
    </xf>
    <xf numFmtId="4" fontId="244" fillId="0" borderId="50" xfId="1" applyNumberFormat="1" applyFont="1" applyBorder="1" applyAlignment="1">
      <alignment vertical="center"/>
    </xf>
    <xf numFmtId="4" fontId="244" fillId="0" borderId="280" xfId="1" applyNumberFormat="1" applyFont="1" applyBorder="1" applyAlignment="1">
      <alignment vertical="center"/>
    </xf>
    <xf numFmtId="0" fontId="243" fillId="0" borderId="256" xfId="1" applyNumberFormat="1" applyFont="1" applyBorder="1" applyAlignment="1">
      <alignment horizontal="left" vertical="center"/>
    </xf>
    <xf numFmtId="176" fontId="245" fillId="0" borderId="0" xfId="1" applyNumberFormat="1" applyFont="1" applyAlignment="1">
      <alignment vertical="center"/>
    </xf>
    <xf numFmtId="0" fontId="243" fillId="0" borderId="0" xfId="0" applyFont="1" applyAlignment="1">
      <alignment vertical="center"/>
    </xf>
    <xf numFmtId="49" fontId="246" fillId="0" borderId="117" xfId="0" applyNumberFormat="1" applyFont="1" applyBorder="1" applyAlignment="1">
      <alignment horizontal="center"/>
    </xf>
    <xf numFmtId="49" fontId="246" fillId="0" borderId="117" xfId="0" quotePrefix="1" applyNumberFormat="1" applyFont="1" applyBorder="1" applyAlignment="1">
      <alignment horizontal="center"/>
    </xf>
    <xf numFmtId="0" fontId="246" fillId="0" borderId="105" xfId="0" applyFont="1" applyBorder="1"/>
    <xf numFmtId="49" fontId="246" fillId="0" borderId="30" xfId="0" applyNumberFormat="1" applyFont="1" applyBorder="1" applyAlignment="1">
      <alignment vertical="center"/>
    </xf>
    <xf numFmtId="0" fontId="246" fillId="0" borderId="30" xfId="0" applyFont="1" applyBorder="1" applyAlignment="1">
      <alignment vertical="center"/>
    </xf>
    <xf numFmtId="168" fontId="246" fillId="0" borderId="53" xfId="2" applyFont="1" applyBorder="1" applyAlignment="1">
      <alignment vertical="center"/>
    </xf>
    <xf numFmtId="4" fontId="246" fillId="0" borderId="53" xfId="2" applyNumberFormat="1" applyFont="1" applyBorder="1" applyAlignment="1">
      <alignment horizontal="right" vertical="center"/>
    </xf>
    <xf numFmtId="4" fontId="246" fillId="0" borderId="26" xfId="1" applyNumberFormat="1" applyFont="1" applyBorder="1" applyAlignment="1">
      <alignment vertical="center"/>
    </xf>
    <xf numFmtId="4" fontId="146" fillId="0" borderId="151" xfId="1" applyNumberFormat="1" applyFont="1" applyBorder="1" applyAlignment="1">
      <alignment vertical="center"/>
    </xf>
    <xf numFmtId="4" fontId="246" fillId="0" borderId="26" xfId="1" applyNumberFormat="1" applyFont="1" applyBorder="1" applyAlignment="1">
      <alignment horizontal="right" vertical="center"/>
    </xf>
    <xf numFmtId="4" fontId="246" fillId="0" borderId="30" xfId="1" applyNumberFormat="1" applyFont="1" applyBorder="1" applyAlignment="1">
      <alignment vertical="center"/>
    </xf>
    <xf numFmtId="4" fontId="246" fillId="0" borderId="117" xfId="1" applyNumberFormat="1" applyFont="1" applyBorder="1" applyAlignment="1">
      <alignment vertical="center"/>
    </xf>
    <xf numFmtId="0" fontId="246" fillId="0" borderId="153" xfId="1" applyNumberFormat="1" applyFont="1" applyBorder="1" applyAlignment="1">
      <alignment horizontal="left" vertical="center"/>
    </xf>
    <xf numFmtId="0" fontId="246" fillId="0" borderId="0" xfId="0" applyFont="1" applyAlignment="1">
      <alignment vertical="center"/>
    </xf>
    <xf numFmtId="49" fontId="111" fillId="0" borderId="248" xfId="0" applyNumberFormat="1" applyFont="1" applyBorder="1" applyAlignment="1">
      <alignment horizontal="center" vertical="center"/>
    </xf>
    <xf numFmtId="49" fontId="111" fillId="0" borderId="249" xfId="0" applyNumberFormat="1" applyFont="1" applyBorder="1" applyAlignment="1">
      <alignment horizontal="center" vertical="center"/>
    </xf>
    <xf numFmtId="49" fontId="111" fillId="0" borderId="250" xfId="0" applyNumberFormat="1" applyFont="1" applyBorder="1" applyAlignment="1">
      <alignment vertical="center"/>
    </xf>
    <xf numFmtId="49" fontId="111" fillId="0" borderId="251" xfId="0" applyNumberFormat="1" applyFont="1" applyBorder="1" applyAlignment="1">
      <alignment vertical="center"/>
    </xf>
    <xf numFmtId="0" fontId="111" fillId="0" borderId="251" xfId="0" applyFont="1" applyBorder="1" applyAlignment="1">
      <alignment vertical="center"/>
    </xf>
    <xf numFmtId="168" fontId="111" fillId="0" borderId="252" xfId="2" applyFont="1" applyBorder="1" applyAlignment="1">
      <alignment vertical="center"/>
    </xf>
    <xf numFmtId="4" fontId="111" fillId="0" borderId="252" xfId="2" applyNumberFormat="1" applyFont="1" applyBorder="1" applyAlignment="1">
      <alignment vertical="center"/>
    </xf>
    <xf numFmtId="4" fontId="111" fillId="0" borderId="249" xfId="1" applyNumberFormat="1" applyFont="1" applyBorder="1" applyAlignment="1">
      <alignment vertical="center"/>
    </xf>
    <xf numFmtId="4" fontId="101" fillId="0" borderId="254" xfId="1" applyNumberFormat="1" applyFont="1" applyBorder="1" applyAlignment="1">
      <alignment horizontal="right" vertical="center"/>
    </xf>
    <xf numFmtId="4" fontId="101" fillId="0" borderId="0" xfId="1" applyNumberFormat="1" applyFont="1" applyAlignment="1">
      <alignment horizontal="center" vertical="center"/>
    </xf>
    <xf numFmtId="4" fontId="101" fillId="0" borderId="109" xfId="1" applyNumberFormat="1" applyFont="1" applyBorder="1" applyAlignment="1">
      <alignment horizontal="center" vertical="center"/>
    </xf>
    <xf numFmtId="0" fontId="111" fillId="0" borderId="286" xfId="1" applyNumberFormat="1" applyFont="1" applyBorder="1" applyAlignment="1">
      <alignment horizontal="left" vertical="center"/>
    </xf>
    <xf numFmtId="0" fontId="247" fillId="0" borderId="0" xfId="0" applyFont="1" applyAlignment="1">
      <alignment vertical="center"/>
    </xf>
    <xf numFmtId="49" fontId="146" fillId="0" borderId="26" xfId="0" applyNumberFormat="1" applyFont="1" applyBorder="1" applyAlignment="1">
      <alignment horizontal="center" vertical="center"/>
    </xf>
    <xf numFmtId="0" fontId="146" fillId="0" borderId="26" xfId="0" applyFont="1" applyBorder="1" applyAlignment="1">
      <alignment vertical="center"/>
    </xf>
    <xf numFmtId="49" fontId="146" fillId="0" borderId="30" xfId="0" applyNumberFormat="1" applyFont="1" applyBorder="1" applyAlignment="1">
      <alignment vertical="center"/>
    </xf>
    <xf numFmtId="0" fontId="146" fillId="0" borderId="30" xfId="0" applyFont="1" applyBorder="1" applyAlignment="1">
      <alignment vertical="center"/>
    </xf>
    <xf numFmtId="168" fontId="146" fillId="0" borderId="53" xfId="2" applyFont="1" applyBorder="1" applyAlignment="1">
      <alignment vertical="center"/>
    </xf>
    <xf numFmtId="4" fontId="146" fillId="0" borderId="53" xfId="2" applyNumberFormat="1" applyFont="1" applyBorder="1" applyAlignment="1">
      <alignment vertical="center"/>
    </xf>
    <xf numFmtId="4" fontId="146" fillId="0" borderId="26" xfId="1" applyNumberFormat="1" applyFont="1" applyBorder="1" applyAlignment="1">
      <alignment vertical="center"/>
    </xf>
    <xf numFmtId="4" fontId="146" fillId="0" borderId="26" xfId="1" applyNumberFormat="1" applyFont="1" applyBorder="1" applyAlignment="1">
      <alignment horizontal="right" vertical="center"/>
    </xf>
    <xf numFmtId="4" fontId="146" fillId="0" borderId="27" xfId="1" applyNumberFormat="1" applyFont="1" applyBorder="1" applyAlignment="1">
      <alignment vertical="center"/>
    </xf>
    <xf numFmtId="4" fontId="146" fillId="0" borderId="117" xfId="1" applyNumberFormat="1" applyFont="1" applyBorder="1" applyAlignment="1">
      <alignment vertical="center"/>
    </xf>
    <xf numFmtId="165" fontId="146" fillId="0" borderId="286" xfId="1" applyFont="1" applyBorder="1" applyAlignment="1">
      <alignment vertical="center"/>
    </xf>
    <xf numFmtId="0" fontId="146" fillId="0" borderId="16" xfId="0" applyFont="1" applyBorder="1" applyAlignment="1">
      <alignment vertical="center"/>
    </xf>
    <xf numFmtId="49" fontId="146" fillId="0" borderId="21" xfId="0" applyNumberFormat="1" applyFont="1" applyBorder="1" applyAlignment="1">
      <alignment horizontal="center" vertical="center"/>
    </xf>
    <xf numFmtId="0" fontId="146" fillId="0" borderId="63" xfId="0" applyFont="1" applyBorder="1" applyAlignment="1">
      <alignment vertical="center"/>
    </xf>
    <xf numFmtId="49" fontId="146" fillId="0" borderId="11" xfId="0" applyNumberFormat="1" applyFont="1" applyBorder="1" applyAlignment="1">
      <alignment vertical="center"/>
    </xf>
    <xf numFmtId="0" fontId="146" fillId="0" borderId="11" xfId="0" applyFont="1" applyBorder="1" applyAlignment="1">
      <alignment vertical="center"/>
    </xf>
    <xf numFmtId="168" fontId="146" fillId="0" borderId="12" xfId="2" applyFont="1" applyBorder="1" applyAlignment="1">
      <alignment vertical="center"/>
    </xf>
    <xf numFmtId="4" fontId="146" fillId="0" borderId="12" xfId="2" applyNumberFormat="1" applyFont="1" applyBorder="1" applyAlignment="1">
      <alignment vertical="center"/>
    </xf>
    <xf numFmtId="4" fontId="146" fillId="0" borderId="21" xfId="1" applyNumberFormat="1" applyFont="1" applyBorder="1" applyAlignment="1">
      <alignment vertical="center"/>
    </xf>
    <xf numFmtId="4" fontId="146" fillId="0" borderId="150" xfId="1" applyNumberFormat="1" applyFont="1" applyBorder="1" applyAlignment="1">
      <alignment vertical="center"/>
    </xf>
    <xf numFmtId="4" fontId="146" fillId="0" borderId="21" xfId="1" applyNumberFormat="1" applyFont="1" applyBorder="1" applyAlignment="1">
      <alignment horizontal="right" vertical="center"/>
    </xf>
    <xf numFmtId="4" fontId="146" fillId="0" borderId="11" xfId="1" applyNumberFormat="1" applyFont="1" applyBorder="1" applyAlignment="1">
      <alignment horizontal="center" vertical="center"/>
    </xf>
    <xf numFmtId="4" fontId="146" fillId="0" borderId="282" xfId="1" applyNumberFormat="1" applyFont="1" applyBorder="1" applyAlignment="1">
      <alignment horizontal="center" vertical="center"/>
    </xf>
    <xf numFmtId="49" fontId="101" fillId="0" borderId="26" xfId="0" applyNumberFormat="1" applyFont="1" applyBorder="1" applyAlignment="1">
      <alignment horizontal="center" vertical="center"/>
    </xf>
    <xf numFmtId="49" fontId="101" fillId="0" borderId="27" xfId="0" applyNumberFormat="1" applyFont="1" applyBorder="1" applyAlignment="1">
      <alignment vertical="center"/>
    </xf>
    <xf numFmtId="49" fontId="101" fillId="0" borderId="30" xfId="0" applyNumberFormat="1" applyFont="1" applyBorder="1" applyAlignment="1">
      <alignment vertical="center"/>
    </xf>
    <xf numFmtId="0" fontId="101" fillId="0" borderId="30" xfId="0" applyFont="1" applyBorder="1" applyAlignment="1">
      <alignment vertical="center"/>
    </xf>
    <xf numFmtId="168" fontId="101" fillId="0" borderId="53" xfId="2" applyFont="1" applyBorder="1" applyAlignment="1">
      <alignment vertical="center"/>
    </xf>
    <xf numFmtId="4" fontId="101" fillId="0" borderId="53" xfId="2" applyNumberFormat="1" applyFont="1" applyBorder="1" applyAlignment="1">
      <alignment vertical="center"/>
    </xf>
    <xf numFmtId="4" fontId="101" fillId="0" borderId="26" xfId="1" applyNumberFormat="1" applyFont="1" applyBorder="1" applyAlignment="1">
      <alignment vertical="center"/>
    </xf>
    <xf numFmtId="4" fontId="101" fillId="0" borderId="151" xfId="1" applyNumberFormat="1" applyFont="1" applyBorder="1" applyAlignment="1">
      <alignment vertical="center"/>
    </xf>
    <xf numFmtId="4" fontId="101" fillId="0" borderId="26" xfId="1" applyNumberFormat="1" applyFont="1" applyBorder="1" applyAlignment="1">
      <alignment horizontal="right" vertical="center"/>
    </xf>
    <xf numFmtId="4" fontId="101" fillId="0" borderId="30" xfId="1" applyNumberFormat="1" applyFont="1" applyBorder="1" applyAlignment="1">
      <alignment vertical="center"/>
    </xf>
    <xf numFmtId="4" fontId="101" fillId="0" borderId="117" xfId="1" applyNumberFormat="1" applyFont="1" applyBorder="1" applyAlignment="1">
      <alignment vertical="center"/>
    </xf>
    <xf numFmtId="4" fontId="101" fillId="0" borderId="148" xfId="1" applyNumberFormat="1" applyFont="1" applyBorder="1" applyAlignment="1">
      <alignment vertical="center"/>
    </xf>
    <xf numFmtId="4" fontId="101" fillId="0" borderId="17" xfId="1" applyNumberFormat="1" applyFont="1" applyBorder="1" applyAlignment="1">
      <alignment horizontal="center" vertical="center"/>
    </xf>
    <xf numFmtId="4" fontId="101" fillId="0" borderId="283" xfId="1" applyNumberFormat="1" applyFont="1" applyBorder="1" applyAlignment="1">
      <alignment horizontal="center" vertical="center"/>
    </xf>
    <xf numFmtId="4" fontId="146" fillId="0" borderId="17" xfId="1" applyNumberFormat="1" applyFont="1" applyBorder="1" applyAlignment="1">
      <alignment horizontal="center" vertical="center"/>
    </xf>
    <xf numFmtId="4" fontId="146" fillId="0" borderId="283" xfId="1" applyNumberFormat="1" applyFont="1" applyBorder="1" applyAlignment="1">
      <alignment horizontal="center" vertical="center"/>
    </xf>
    <xf numFmtId="49" fontId="146" fillId="0" borderId="63" xfId="0" applyNumberFormat="1" applyFont="1" applyBorder="1" applyAlignment="1">
      <alignment vertical="center"/>
    </xf>
    <xf numFmtId="0" fontId="146" fillId="0" borderId="152" xfId="1" applyNumberFormat="1" applyFont="1" applyBorder="1" applyAlignment="1">
      <alignment horizontal="left" vertical="center"/>
    </xf>
    <xf numFmtId="4" fontId="101" fillId="0" borderId="249" xfId="1" applyNumberFormat="1" applyFont="1" applyBorder="1" applyAlignment="1">
      <alignment horizontal="right" vertical="center"/>
    </xf>
    <xf numFmtId="4" fontId="101" fillId="0" borderId="50" xfId="1" applyNumberFormat="1" applyFont="1" applyBorder="1" applyAlignment="1">
      <alignment horizontal="center" vertical="center"/>
    </xf>
    <xf numFmtId="4" fontId="101" fillId="0" borderId="280" xfId="1" applyNumberFormat="1" applyFont="1" applyBorder="1" applyAlignment="1">
      <alignment horizontal="center" vertical="center"/>
    </xf>
    <xf numFmtId="0" fontId="111" fillId="0" borderId="256" xfId="1" applyNumberFormat="1" applyFont="1" applyBorder="1" applyAlignment="1">
      <alignment horizontal="left" vertical="center"/>
    </xf>
    <xf numFmtId="49" fontId="146" fillId="0" borderId="27" xfId="0" applyNumberFormat="1" applyFont="1" applyBorder="1" applyAlignment="1">
      <alignment vertical="center"/>
    </xf>
    <xf numFmtId="0" fontId="146" fillId="0" borderId="53" xfId="0" applyFont="1" applyBorder="1" applyAlignment="1">
      <alignment vertical="center"/>
    </xf>
    <xf numFmtId="4" fontId="146" fillId="0" borderId="53" xfId="0" applyNumberFormat="1" applyFont="1" applyBorder="1" applyAlignment="1">
      <alignment vertical="center"/>
    </xf>
    <xf numFmtId="4" fontId="146" fillId="0" borderId="30" xfId="1" applyNumberFormat="1" applyFont="1" applyBorder="1" applyAlignment="1">
      <alignment vertical="center"/>
    </xf>
    <xf numFmtId="0" fontId="146" fillId="0" borderId="153" xfId="1" applyNumberFormat="1" applyFont="1" applyBorder="1" applyAlignment="1">
      <alignment horizontal="left" vertical="center"/>
    </xf>
    <xf numFmtId="0" fontId="146" fillId="0" borderId="12" xfId="0" applyFont="1" applyBorder="1" applyAlignment="1">
      <alignment vertical="center"/>
    </xf>
    <xf numFmtId="4" fontId="146" fillId="0" borderId="12" xfId="0" applyNumberFormat="1" applyFont="1" applyBorder="1" applyAlignment="1">
      <alignment vertical="center"/>
    </xf>
    <xf numFmtId="0" fontId="111" fillId="0" borderId="252" xfId="0" applyFont="1" applyBorder="1" applyAlignment="1">
      <alignment vertical="center"/>
    </xf>
    <xf numFmtId="4" fontId="111" fillId="0" borderId="252" xfId="0" applyNumberFormat="1" applyFont="1" applyBorder="1" applyAlignment="1">
      <alignment vertical="center"/>
    </xf>
    <xf numFmtId="4" fontId="146" fillId="0" borderId="142" xfId="0" applyNumberFormat="1" applyFont="1" applyBorder="1" applyAlignment="1">
      <alignment vertical="center"/>
    </xf>
    <xf numFmtId="0" fontId="111" fillId="0" borderId="250" xfId="0" applyFont="1" applyBorder="1" applyAlignment="1">
      <alignment vertical="center"/>
    </xf>
    <xf numFmtId="4" fontId="245" fillId="0" borderId="255" xfId="1" applyNumberFormat="1" applyFont="1" applyBorder="1" applyAlignment="1">
      <alignment vertical="center"/>
    </xf>
    <xf numFmtId="4" fontId="111" fillId="0" borderId="251" xfId="0" applyNumberFormat="1" applyFont="1" applyBorder="1" applyAlignment="1">
      <alignment vertical="center"/>
    </xf>
    <xf numFmtId="4" fontId="111" fillId="0" borderId="249" xfId="4" applyNumberFormat="1" applyFont="1" applyBorder="1" applyAlignment="1">
      <alignment vertical="center"/>
    </xf>
    <xf numFmtId="4" fontId="101" fillId="0" borderId="249" xfId="3" applyNumberFormat="1" applyFont="1" applyBorder="1" applyAlignment="1">
      <alignment horizontal="right" vertical="center"/>
    </xf>
    <xf numFmtId="4" fontId="101" fillId="0" borderId="250" xfId="3" applyNumberFormat="1" applyFont="1" applyBorder="1" applyAlignment="1">
      <alignment vertical="center"/>
    </xf>
    <xf numFmtId="4" fontId="101" fillId="0" borderId="280" xfId="3" applyNumberFormat="1" applyFont="1" applyBorder="1" applyAlignment="1">
      <alignment vertical="center"/>
    </xf>
    <xf numFmtId="165" fontId="111" fillId="0" borderId="256" xfId="3" applyNumberFormat="1" applyFont="1" applyBorder="1" applyAlignment="1">
      <alignment vertical="center"/>
    </xf>
    <xf numFmtId="0" fontId="101" fillId="0" borderId="27" xfId="0" applyFont="1" applyBorder="1" applyAlignment="1">
      <alignment vertical="center"/>
    </xf>
    <xf numFmtId="4" fontId="101" fillId="0" borderId="117" xfId="0" applyNumberFormat="1" applyFont="1" applyBorder="1" applyAlignment="1">
      <alignment horizontal="right" vertical="center"/>
    </xf>
    <xf numFmtId="4" fontId="101" fillId="0" borderId="30" xfId="0" applyNumberFormat="1" applyFont="1" applyBorder="1" applyAlignment="1">
      <alignment vertical="center"/>
    </xf>
    <xf numFmtId="4" fontId="101" fillId="0" borderId="26" xfId="3" applyNumberFormat="1" applyFont="1" applyBorder="1" applyAlignment="1">
      <alignment vertical="center"/>
    </xf>
    <xf numFmtId="4" fontId="101" fillId="0" borderId="151" xfId="3" applyNumberFormat="1" applyFont="1" applyBorder="1" applyAlignment="1">
      <alignment vertical="center"/>
    </xf>
    <xf numFmtId="4" fontId="101" fillId="0" borderId="26" xfId="3" applyNumberFormat="1" applyFont="1" applyBorder="1" applyAlignment="1">
      <alignment horizontal="right" vertical="center"/>
    </xf>
    <xf numFmtId="4" fontId="101" fillId="0" borderId="27" xfId="3" applyNumberFormat="1" applyFont="1" applyBorder="1" applyAlignment="1">
      <alignment vertical="center"/>
    </xf>
    <xf numFmtId="4" fontId="101" fillId="0" borderId="117" xfId="3" applyNumberFormat="1" applyFont="1" applyBorder="1" applyAlignment="1">
      <alignment vertical="center"/>
    </xf>
    <xf numFmtId="165" fontId="101" fillId="0" borderId="153" xfId="3" applyNumberFormat="1" applyFont="1" applyBorder="1" applyAlignment="1">
      <alignment vertical="center"/>
    </xf>
    <xf numFmtId="0" fontId="146" fillId="0" borderId="24" xfId="0" applyFont="1" applyBorder="1" applyAlignment="1">
      <alignment horizontal="center" vertical="center"/>
    </xf>
    <xf numFmtId="4" fontId="146" fillId="0" borderId="118" xfId="0" applyNumberFormat="1" applyFont="1" applyBorder="1" applyAlignment="1">
      <alignment horizontal="right" vertical="center"/>
    </xf>
    <xf numFmtId="4" fontId="146" fillId="0" borderId="17" xfId="0" applyNumberFormat="1" applyFont="1" applyBorder="1" applyAlignment="1">
      <alignment vertical="center"/>
    </xf>
    <xf numFmtId="4" fontId="146" fillId="0" borderId="16" xfId="3" applyNumberFormat="1" applyFont="1" applyBorder="1" applyAlignment="1">
      <alignment vertical="center"/>
    </xf>
    <xf numFmtId="4" fontId="146" fillId="0" borderId="148" xfId="3" applyNumberFormat="1" applyFont="1" applyBorder="1" applyAlignment="1">
      <alignment vertical="center"/>
    </xf>
    <xf numFmtId="4" fontId="146" fillId="0" borderId="24" xfId="1" applyNumberFormat="1" applyFont="1" applyBorder="1" applyAlignment="1">
      <alignment vertical="center"/>
    </xf>
    <xf numFmtId="165" fontId="146" fillId="0" borderId="286" xfId="3" applyNumberFormat="1" applyFont="1" applyBorder="1" applyAlignment="1">
      <alignment vertical="center"/>
    </xf>
    <xf numFmtId="4" fontId="111" fillId="0" borderId="255" xfId="0" applyNumberFormat="1" applyFont="1" applyBorder="1" applyAlignment="1">
      <alignment vertical="center"/>
    </xf>
    <xf numFmtId="0" fontId="146" fillId="0" borderId="27" xfId="0" applyFont="1" applyBorder="1" applyAlignment="1">
      <alignment horizontal="center" vertical="center"/>
    </xf>
    <xf numFmtId="4" fontId="101" fillId="0" borderId="117" xfId="0" applyNumberFormat="1" applyFont="1" applyBorder="1" applyAlignment="1">
      <alignment vertical="center"/>
    </xf>
    <xf numFmtId="4" fontId="101" fillId="0" borderId="53" xfId="0" applyNumberFormat="1" applyFont="1" applyBorder="1" applyAlignment="1">
      <alignment vertical="center"/>
    </xf>
    <xf numFmtId="4" fontId="101" fillId="0" borderId="118" xfId="0" applyNumberFormat="1" applyFont="1" applyBorder="1" applyAlignment="1">
      <alignment vertical="center"/>
    </xf>
    <xf numFmtId="4" fontId="101" fillId="0" borderId="18" xfId="0" applyNumberFormat="1" applyFont="1" applyBorder="1" applyAlignment="1">
      <alignment vertical="center"/>
    </xf>
    <xf numFmtId="4" fontId="146" fillId="0" borderId="117" xfId="0" applyNumberFormat="1" applyFont="1" applyBorder="1" applyAlignment="1">
      <alignment vertical="center"/>
    </xf>
    <xf numFmtId="0" fontId="101" fillId="0" borderId="24" xfId="0" applyFont="1" applyBorder="1" applyAlignment="1">
      <alignment vertical="center"/>
    </xf>
    <xf numFmtId="0" fontId="146" fillId="0" borderId="24" xfId="0" quotePrefix="1" applyFont="1" applyBorder="1" applyAlignment="1">
      <alignment vertical="center"/>
    </xf>
    <xf numFmtId="0" fontId="249" fillId="0" borderId="17" xfId="0" applyFont="1" applyBorder="1" applyAlignment="1">
      <alignment vertical="center"/>
    </xf>
    <xf numFmtId="4" fontId="249" fillId="0" borderId="118" xfId="0" applyNumberFormat="1" applyFont="1" applyBorder="1" applyAlignment="1">
      <alignment vertical="center"/>
    </xf>
    <xf numFmtId="0" fontId="146" fillId="0" borderId="17" xfId="0" applyFont="1" applyBorder="1"/>
    <xf numFmtId="0" fontId="146" fillId="0" borderId="11" xfId="0" applyFont="1" applyBorder="1"/>
    <xf numFmtId="4" fontId="146" fillId="0" borderId="109" xfId="0" applyNumberFormat="1" applyFont="1" applyBorder="1" applyAlignment="1">
      <alignment vertical="center"/>
    </xf>
    <xf numFmtId="4" fontId="146" fillId="0" borderId="0" xfId="0" applyNumberFormat="1" applyFont="1" applyAlignment="1">
      <alignment vertical="center"/>
    </xf>
    <xf numFmtId="0" fontId="146" fillId="0" borderId="27" xfId="0" applyFont="1" applyBorder="1" applyAlignment="1">
      <alignment vertical="center"/>
    </xf>
    <xf numFmtId="0" fontId="146" fillId="0" borderId="30" xfId="0" applyFont="1" applyBorder="1"/>
    <xf numFmtId="0" fontId="101" fillId="0" borderId="11" xfId="0" applyFont="1" applyBorder="1" applyAlignment="1">
      <alignment vertical="center"/>
    </xf>
    <xf numFmtId="4" fontId="101" fillId="0" borderId="142" xfId="0" applyNumberFormat="1" applyFont="1" applyBorder="1" applyAlignment="1">
      <alignment vertical="center"/>
    </xf>
    <xf numFmtId="4" fontId="101" fillId="0" borderId="12" xfId="0" applyNumberFormat="1" applyFont="1" applyBorder="1" applyAlignment="1">
      <alignment vertical="center"/>
    </xf>
    <xf numFmtId="4" fontId="101" fillId="0" borderId="21" xfId="1" applyNumberFormat="1" applyFont="1" applyBorder="1" applyAlignment="1">
      <alignment vertical="center"/>
    </xf>
    <xf numFmtId="4" fontId="101" fillId="0" borderId="150" xfId="1" applyNumberFormat="1" applyFont="1" applyBorder="1" applyAlignment="1">
      <alignment vertical="center"/>
    </xf>
    <xf numFmtId="49" fontId="111" fillId="0" borderId="16" xfId="0" applyNumberFormat="1" applyFont="1" applyBorder="1" applyAlignment="1">
      <alignment horizontal="center" vertical="center"/>
    </xf>
    <xf numFmtId="0" fontId="111" fillId="0" borderId="24" xfId="0" applyFont="1" applyBorder="1" applyAlignment="1">
      <alignment vertical="center"/>
    </xf>
    <xf numFmtId="0" fontId="111" fillId="0" borderId="17" xfId="0" applyFont="1" applyBorder="1" applyAlignment="1">
      <alignment vertical="center"/>
    </xf>
    <xf numFmtId="4" fontId="111" fillId="0" borderId="118" xfId="0" applyNumberFormat="1" applyFont="1" applyBorder="1" applyAlignment="1">
      <alignment vertical="center"/>
    </xf>
    <xf numFmtId="4" fontId="111" fillId="0" borderId="16" xfId="1" applyNumberFormat="1" applyFont="1" applyBorder="1" applyAlignment="1">
      <alignment vertical="center"/>
    </xf>
    <xf numFmtId="4" fontId="111" fillId="0" borderId="148" xfId="1" applyNumberFormat="1" applyFont="1" applyBorder="1" applyAlignment="1">
      <alignment vertical="center"/>
    </xf>
    <xf numFmtId="4" fontId="111" fillId="0" borderId="16" xfId="1" applyNumberFormat="1" applyFont="1" applyBorder="1" applyAlignment="1">
      <alignment horizontal="right" vertical="center"/>
    </xf>
    <xf numFmtId="0" fontId="146" fillId="0" borderId="17" xfId="0" quotePrefix="1" applyFont="1" applyBorder="1" applyAlignment="1">
      <alignment vertical="center"/>
    </xf>
    <xf numFmtId="49" fontId="146" fillId="0" borderId="54" xfId="0" applyNumberFormat="1" applyFont="1" applyBorder="1" applyAlignment="1">
      <alignment horizontal="center" vertical="center"/>
    </xf>
    <xf numFmtId="49" fontId="146" fillId="0" borderId="28" xfId="0" applyNumberFormat="1" applyFont="1" applyBorder="1" applyAlignment="1">
      <alignment horizontal="center" vertical="center"/>
    </xf>
    <xf numFmtId="0" fontId="146" fillId="0" borderId="29" xfId="0" applyFont="1" applyBorder="1" applyAlignment="1">
      <alignment vertical="center"/>
    </xf>
    <xf numFmtId="4" fontId="101" fillId="0" borderId="109" xfId="0" applyNumberFormat="1" applyFont="1" applyBorder="1" applyAlignment="1">
      <alignment vertical="center"/>
    </xf>
    <xf numFmtId="4" fontId="101" fillId="0" borderId="54" xfId="0" applyNumberFormat="1" applyFont="1" applyBorder="1" applyAlignment="1">
      <alignment vertical="center"/>
    </xf>
    <xf numFmtId="4" fontId="146" fillId="0" borderId="28" xfId="1" applyNumberFormat="1" applyFont="1" applyBorder="1" applyAlignment="1">
      <alignment vertical="center"/>
    </xf>
    <xf numFmtId="4" fontId="146" fillId="0" borderId="147" xfId="1" applyNumberFormat="1" applyFont="1" applyBorder="1" applyAlignment="1">
      <alignment vertical="center"/>
    </xf>
    <xf numFmtId="4" fontId="146" fillId="0" borderId="28" xfId="1" applyNumberFormat="1" applyFont="1" applyBorder="1" applyAlignment="1">
      <alignment horizontal="right" vertical="center"/>
    </xf>
    <xf numFmtId="4" fontId="111" fillId="0" borderId="252" xfId="0" applyNumberFormat="1" applyFont="1" applyBorder="1" applyAlignment="1">
      <alignment horizontal="right" vertical="center"/>
    </xf>
    <xf numFmtId="4" fontId="101" fillId="0" borderId="18" xfId="0" applyNumberFormat="1" applyFont="1" applyBorder="1" applyAlignment="1">
      <alignment horizontal="right" vertical="center"/>
    </xf>
    <xf numFmtId="4" fontId="146" fillId="0" borderId="0" xfId="1" applyNumberFormat="1" applyFont="1" applyAlignment="1">
      <alignment vertical="center"/>
    </xf>
    <xf numFmtId="4" fontId="146" fillId="0" borderId="17" xfId="1" applyNumberFormat="1" applyFont="1" applyBorder="1" applyAlignment="1">
      <alignment horizontal="right" vertical="center"/>
    </xf>
    <xf numFmtId="4" fontId="111" fillId="0" borderId="118" xfId="0" applyNumberFormat="1" applyFont="1" applyBorder="1" applyAlignment="1">
      <alignment horizontal="right" vertical="center"/>
    </xf>
    <xf numFmtId="4" fontId="146" fillId="0" borderId="18" xfId="0" applyNumberFormat="1" applyFont="1" applyBorder="1" applyAlignment="1">
      <alignment horizontal="right" vertical="center"/>
    </xf>
    <xf numFmtId="49" fontId="247" fillId="0" borderId="16" xfId="0" applyNumberFormat="1" applyFont="1" applyBorder="1" applyAlignment="1">
      <alignment horizontal="center" vertical="center"/>
    </xf>
    <xf numFmtId="49" fontId="247" fillId="0" borderId="16" xfId="0" quotePrefix="1" applyNumberFormat="1" applyFont="1" applyBorder="1" applyAlignment="1">
      <alignment horizontal="center" vertical="center"/>
    </xf>
    <xf numFmtId="0" fontId="247" fillId="0" borderId="17" xfId="0" applyFont="1" applyBorder="1" applyAlignment="1">
      <alignment vertical="center"/>
    </xf>
    <xf numFmtId="4" fontId="247" fillId="0" borderId="118" xfId="0" applyNumberFormat="1" applyFont="1" applyBorder="1" applyAlignment="1">
      <alignment vertical="center"/>
    </xf>
    <xf numFmtId="4" fontId="247" fillId="0" borderId="16" xfId="1" applyNumberFormat="1" applyFont="1" applyBorder="1" applyAlignment="1">
      <alignment vertical="center"/>
    </xf>
    <xf numFmtId="4" fontId="247" fillId="0" borderId="148" xfId="1" applyNumberFormat="1" applyFont="1" applyBorder="1" applyAlignment="1">
      <alignment vertical="center"/>
    </xf>
    <xf numFmtId="4" fontId="247" fillId="0" borderId="16" xfId="1" applyNumberFormat="1" applyFont="1" applyBorder="1" applyAlignment="1">
      <alignment horizontal="right" vertical="center"/>
    </xf>
    <xf numFmtId="0" fontId="251" fillId="0" borderId="44" xfId="0" applyFont="1" applyBorder="1" applyAlignment="1">
      <alignment vertical="center"/>
    </xf>
    <xf numFmtId="0" fontId="146" fillId="0" borderId="63" xfId="0" quotePrefix="1" applyFont="1" applyBorder="1" applyAlignment="1">
      <alignment vertical="center"/>
    </xf>
    <xf numFmtId="0" fontId="251" fillId="0" borderId="34" xfId="0" applyFont="1" applyBorder="1" applyAlignment="1">
      <alignment vertical="center"/>
    </xf>
    <xf numFmtId="0" fontId="251" fillId="0" borderId="17" xfId="0" applyFont="1" applyBorder="1" applyAlignment="1">
      <alignment vertical="center"/>
    </xf>
    <xf numFmtId="49" fontId="146" fillId="0" borderId="267" xfId="0" applyNumberFormat="1" applyFont="1" applyBorder="1" applyAlignment="1">
      <alignment horizontal="center" vertical="center"/>
    </xf>
    <xf numFmtId="0" fontId="146" fillId="0" borderId="260" xfId="0" applyFont="1" applyBorder="1" applyAlignment="1">
      <alignment vertical="center"/>
    </xf>
    <xf numFmtId="0" fontId="146" fillId="0" borderId="261" xfId="0" applyFont="1" applyBorder="1" applyAlignment="1">
      <alignment vertical="center"/>
    </xf>
    <xf numFmtId="0" fontId="251" fillId="0" borderId="261" xfId="0" applyFont="1" applyBorder="1" applyAlignment="1">
      <alignment vertical="center"/>
    </xf>
    <xf numFmtId="4" fontId="146" fillId="0" borderId="265" xfId="0" applyNumberFormat="1" applyFont="1" applyBorder="1" applyAlignment="1">
      <alignment vertical="center"/>
    </xf>
    <xf numFmtId="4" fontId="146" fillId="0" borderId="262" xfId="0" applyNumberFormat="1" applyFont="1" applyBorder="1" applyAlignment="1">
      <alignment vertical="center"/>
    </xf>
    <xf numFmtId="4" fontId="146" fillId="0" borderId="259" xfId="1" applyNumberFormat="1" applyFont="1" applyBorder="1" applyAlignment="1">
      <alignment vertical="center"/>
    </xf>
    <xf numFmtId="4" fontId="146" fillId="0" borderId="266" xfId="1" applyNumberFormat="1" applyFont="1" applyBorder="1" applyAlignment="1">
      <alignment vertical="center"/>
    </xf>
    <xf numFmtId="4" fontId="146" fillId="0" borderId="259" xfId="1" applyNumberFormat="1" applyFont="1" applyBorder="1" applyAlignment="1">
      <alignment horizontal="right" vertical="center"/>
    </xf>
    <xf numFmtId="49" fontId="111" fillId="49" borderId="294" xfId="0" applyNumberFormat="1" applyFont="1" applyFill="1" applyBorder="1" applyAlignment="1">
      <alignment horizontal="center" vertical="center"/>
    </xf>
    <xf numFmtId="0" fontId="111" fillId="49" borderId="7" xfId="0" quotePrefix="1" applyFont="1" applyFill="1" applyBorder="1" applyAlignment="1">
      <alignment vertical="center"/>
    </xf>
    <xf numFmtId="0" fontId="111" fillId="49" borderId="8" xfId="0" applyFont="1" applyFill="1" applyBorder="1" applyAlignment="1">
      <alignment vertical="center"/>
    </xf>
    <xf numFmtId="0" fontId="252" fillId="49" borderId="8" xfId="0" applyFont="1" applyFill="1" applyBorder="1" applyAlignment="1">
      <alignment vertical="center"/>
    </xf>
    <xf numFmtId="4" fontId="111" fillId="49" borderId="6" xfId="1" applyNumberFormat="1" applyFont="1" applyFill="1" applyBorder="1" applyAlignment="1">
      <alignment vertical="center"/>
    </xf>
    <xf numFmtId="4" fontId="111" fillId="49" borderId="264" xfId="1" applyNumberFormat="1" applyFont="1" applyFill="1" applyBorder="1" applyAlignment="1">
      <alignment vertical="center"/>
    </xf>
    <xf numFmtId="4" fontId="101" fillId="49" borderId="6" xfId="1" applyNumberFormat="1" applyFont="1" applyFill="1" applyBorder="1" applyAlignment="1">
      <alignment horizontal="right" vertical="center"/>
    </xf>
    <xf numFmtId="49" fontId="101" fillId="57" borderId="5" xfId="0" applyNumberFormat="1" applyFont="1" applyFill="1" applyBorder="1" applyAlignment="1">
      <alignment horizontal="center" vertical="center"/>
    </xf>
    <xf numFmtId="0" fontId="145" fillId="57" borderId="165" xfId="0" applyFont="1" applyFill="1" applyBorder="1" applyAlignment="1">
      <alignment vertical="center"/>
    </xf>
    <xf numFmtId="0" fontId="101" fillId="57" borderId="31" xfId="0" applyFont="1" applyFill="1" applyBorder="1" applyAlignment="1">
      <alignment vertical="center"/>
    </xf>
    <xf numFmtId="0" fontId="253" fillId="57" borderId="31" xfId="0" applyFont="1" applyFill="1" applyBorder="1" applyAlignment="1">
      <alignment vertical="center"/>
    </xf>
    <xf numFmtId="4" fontId="101" fillId="57" borderId="5" xfId="1" applyNumberFormat="1" applyFont="1" applyFill="1" applyBorder="1" applyAlignment="1">
      <alignment vertical="center"/>
    </xf>
    <xf numFmtId="4" fontId="254" fillId="57" borderId="5" xfId="1" applyNumberFormat="1" applyFont="1" applyFill="1" applyBorder="1" applyAlignment="1">
      <alignment vertical="center"/>
    </xf>
    <xf numFmtId="4" fontId="101" fillId="57" borderId="247" xfId="1" applyNumberFormat="1" applyFont="1" applyFill="1" applyBorder="1" applyAlignment="1">
      <alignment vertical="center"/>
    </xf>
    <xf numFmtId="4" fontId="101" fillId="57" borderId="5" xfId="1" applyNumberFormat="1" applyFont="1" applyFill="1" applyBorder="1" applyAlignment="1">
      <alignment horizontal="right" vertical="center"/>
    </xf>
    <xf numFmtId="0" fontId="253" fillId="0" borderId="30" xfId="0" applyFont="1" applyBorder="1" applyAlignment="1">
      <alignment vertical="center"/>
    </xf>
    <xf numFmtId="4" fontId="254" fillId="0" borderId="26" xfId="1" applyNumberFormat="1" applyFont="1" applyBorder="1" applyAlignment="1">
      <alignment vertical="center"/>
    </xf>
    <xf numFmtId="0" fontId="251" fillId="0" borderId="17" xfId="6" applyFont="1" applyBorder="1" applyAlignment="1">
      <alignment vertical="center"/>
    </xf>
    <xf numFmtId="0" fontId="146" fillId="0" borderId="17" xfId="6" applyFont="1" applyBorder="1" applyAlignment="1">
      <alignment vertical="center"/>
    </xf>
    <xf numFmtId="4" fontId="146" fillId="0" borderId="283" xfId="6" applyNumberFormat="1" applyFont="1" applyBorder="1" applyAlignment="1">
      <alignment horizontal="right" vertical="center"/>
    </xf>
    <xf numFmtId="4" fontId="146" fillId="0" borderId="297" xfId="6" applyNumberFormat="1" applyFont="1" applyBorder="1" applyAlignment="1">
      <alignment horizontal="right" vertical="center"/>
    </xf>
    <xf numFmtId="4" fontId="146" fillId="0" borderId="16" xfId="7" applyNumberFormat="1" applyFont="1" applyBorder="1" applyAlignment="1">
      <alignment vertical="center"/>
    </xf>
    <xf numFmtId="4" fontId="146" fillId="0" borderId="148" xfId="7" applyNumberFormat="1" applyFont="1" applyBorder="1" applyAlignment="1">
      <alignment vertical="center"/>
    </xf>
    <xf numFmtId="4" fontId="146" fillId="0" borderId="118" xfId="6" applyNumberFormat="1" applyFont="1" applyBorder="1" applyAlignment="1">
      <alignment horizontal="right" vertical="center"/>
    </xf>
    <xf numFmtId="49" fontId="101" fillId="0" borderId="21" xfId="0" applyNumberFormat="1" applyFont="1" applyBorder="1" applyAlignment="1">
      <alignment horizontal="center" vertical="center"/>
    </xf>
    <xf numFmtId="0" fontId="101" fillId="0" borderId="17" xfId="0" quotePrefix="1" applyFont="1" applyBorder="1" applyAlignment="1">
      <alignment vertical="center"/>
    </xf>
    <xf numFmtId="0" fontId="253" fillId="0" borderId="17" xfId="0" applyFont="1" applyBorder="1" applyAlignment="1">
      <alignment vertical="center"/>
    </xf>
    <xf numFmtId="4" fontId="101" fillId="0" borderId="21" xfId="1" applyNumberFormat="1" applyFont="1" applyBorder="1" applyAlignment="1">
      <alignment horizontal="right" vertical="center"/>
    </xf>
    <xf numFmtId="0" fontId="146" fillId="0" borderId="11" xfId="0" quotePrefix="1" applyFont="1" applyBorder="1" applyAlignment="1">
      <alignment vertical="center"/>
    </xf>
    <xf numFmtId="0" fontId="251" fillId="0" borderId="11" xfId="0" applyFont="1" applyBorder="1" applyAlignment="1">
      <alignment vertical="center"/>
    </xf>
    <xf numFmtId="49" fontId="101" fillId="57" borderId="248" xfId="0" applyNumberFormat="1" applyFont="1" applyFill="1" applyBorder="1" applyAlignment="1">
      <alignment horizontal="center" vertical="center"/>
    </xf>
    <xf numFmtId="49" fontId="101" fillId="57" borderId="249" xfId="0" applyNumberFormat="1" applyFont="1" applyFill="1" applyBorder="1" applyAlignment="1">
      <alignment horizontal="center" vertical="center"/>
    </xf>
    <xf numFmtId="0" fontId="145" fillId="57" borderId="251" xfId="0" quotePrefix="1" applyFont="1" applyFill="1" applyBorder="1" applyAlignment="1">
      <alignment vertical="center"/>
    </xf>
    <xf numFmtId="0" fontId="101" fillId="57" borderId="251" xfId="0" applyFont="1" applyFill="1" applyBorder="1" applyAlignment="1">
      <alignment vertical="center"/>
    </xf>
    <xf numFmtId="0" fontId="253" fillId="57" borderId="251" xfId="0" applyFont="1" applyFill="1" applyBorder="1" applyAlignment="1">
      <alignment vertical="center"/>
    </xf>
    <xf numFmtId="4" fontId="101" fillId="57" borderId="249" xfId="1" applyNumberFormat="1" applyFont="1" applyFill="1" applyBorder="1" applyAlignment="1">
      <alignment vertical="center"/>
    </xf>
    <xf numFmtId="4" fontId="101" fillId="57" borderId="253" xfId="1" applyNumberFormat="1" applyFont="1" applyFill="1" applyBorder="1" applyAlignment="1">
      <alignment vertical="center"/>
    </xf>
    <xf numFmtId="4" fontId="101" fillId="57" borderId="249" xfId="1" applyNumberFormat="1" applyFont="1" applyFill="1" applyBorder="1" applyAlignment="1">
      <alignment horizontal="right" vertical="center"/>
    </xf>
    <xf numFmtId="49" fontId="101" fillId="0" borderId="28" xfId="0" applyNumberFormat="1" applyFont="1" applyBorder="1" applyAlignment="1">
      <alignment horizontal="center" vertical="center"/>
    </xf>
    <xf numFmtId="0" fontId="101" fillId="0" borderId="30" xfId="0" quotePrefix="1" applyFont="1" applyBorder="1" applyAlignment="1">
      <alignment vertical="center"/>
    </xf>
    <xf numFmtId="4" fontId="101" fillId="0" borderId="28" xfId="1" applyNumberFormat="1" applyFont="1" applyBorder="1" applyAlignment="1">
      <alignment vertical="center"/>
    </xf>
    <xf numFmtId="4" fontId="101" fillId="0" borderId="147" xfId="1" applyNumberFormat="1" applyFont="1" applyBorder="1" applyAlignment="1">
      <alignment vertical="center"/>
    </xf>
    <xf numFmtId="4" fontId="101" fillId="0" borderId="28" xfId="1" applyNumberFormat="1" applyFont="1" applyBorder="1" applyAlignment="1">
      <alignment horizontal="right" vertical="center"/>
    </xf>
    <xf numFmtId="0" fontId="101" fillId="57" borderId="250" xfId="0" quotePrefix="1" applyFont="1" applyFill="1" applyBorder="1" applyAlignment="1">
      <alignment vertical="center"/>
    </xf>
    <xf numFmtId="0" fontId="255" fillId="0" borderId="17" xfId="0" applyFont="1" applyBorder="1" applyAlignment="1">
      <alignment vertical="center"/>
    </xf>
    <xf numFmtId="0" fontId="256" fillId="0" borderId="17" xfId="0" applyFont="1" applyBorder="1" applyAlignment="1">
      <alignment vertical="center"/>
    </xf>
    <xf numFmtId="4" fontId="30" fillId="0" borderId="26" xfId="1" applyNumberFormat="1" applyFont="1" applyBorder="1" applyAlignment="1">
      <alignment horizontal="right" vertical="center"/>
    </xf>
    <xf numFmtId="4" fontId="50" fillId="0" borderId="18" xfId="1" applyNumberFormat="1" applyFont="1" applyBorder="1" applyAlignment="1">
      <alignment vertical="center"/>
    </xf>
    <xf numFmtId="0" fontId="29" fillId="0" borderId="17" xfId="0" applyFont="1" applyBorder="1" applyAlignment="1">
      <alignment vertical="center" wrapText="1"/>
    </xf>
    <xf numFmtId="4" fontId="29" fillId="0" borderId="118" xfId="0" applyNumberFormat="1" applyFont="1" applyBorder="1" applyAlignment="1">
      <alignment vertical="center" wrapText="1"/>
    </xf>
    <xf numFmtId="4" fontId="29" fillId="0" borderId="18" xfId="0" applyNumberFormat="1" applyFont="1" applyBorder="1" applyAlignment="1">
      <alignment vertical="center" wrapText="1"/>
    </xf>
    <xf numFmtId="4" fontId="29" fillId="0" borderId="118" xfId="0" applyNumberFormat="1" applyFont="1" applyBorder="1" applyAlignment="1">
      <alignment horizontal="right" vertical="center" wrapText="1"/>
    </xf>
    <xf numFmtId="4" fontId="29" fillId="0" borderId="18" xfId="0" applyNumberFormat="1" applyFont="1" applyBorder="1" applyAlignment="1">
      <alignment horizontal="right" vertical="center" wrapText="1"/>
    </xf>
    <xf numFmtId="4" fontId="30" fillId="0" borderId="21" xfId="1" applyNumberFormat="1" applyFont="1" applyBorder="1" applyAlignment="1">
      <alignment horizontal="right" vertical="center"/>
    </xf>
    <xf numFmtId="49" fontId="29" fillId="0" borderId="66" xfId="0" quotePrefix="1" applyNumberFormat="1" applyFont="1" applyBorder="1" applyAlignment="1">
      <alignment vertical="center"/>
    </xf>
    <xf numFmtId="49" fontId="29" fillId="0" borderId="66" xfId="0" applyNumberFormat="1" applyFont="1" applyBorder="1" applyAlignment="1">
      <alignment vertical="center"/>
    </xf>
    <xf numFmtId="4" fontId="29" fillId="0" borderId="66" xfId="0" applyNumberFormat="1" applyFont="1" applyBorder="1" applyAlignment="1">
      <alignment vertical="center"/>
    </xf>
    <xf numFmtId="4" fontId="29" fillId="0" borderId="265" xfId="1" applyNumberFormat="1" applyFont="1" applyBorder="1" applyAlignment="1">
      <alignment vertical="center"/>
    </xf>
    <xf numFmtId="4" fontId="29" fillId="0" borderId="304" xfId="1" applyNumberFormat="1" applyFont="1" applyBorder="1" applyAlignment="1">
      <alignment vertical="center"/>
    </xf>
    <xf numFmtId="4" fontId="30" fillId="0" borderId="305" xfId="1" applyNumberFormat="1" applyFont="1" applyBorder="1" applyAlignment="1">
      <alignment horizontal="right" vertical="center"/>
    </xf>
    <xf numFmtId="0" fontId="50" fillId="57" borderId="50" xfId="0" applyFont="1" applyFill="1" applyBorder="1"/>
    <xf numFmtId="0" fontId="76" fillId="57" borderId="50" xfId="0" applyFont="1" applyFill="1" applyBorder="1"/>
    <xf numFmtId="0" fontId="29" fillId="57" borderId="50" xfId="0" applyFont="1" applyFill="1" applyBorder="1" applyAlignment="1">
      <alignment vertical="center"/>
    </xf>
    <xf numFmtId="4" fontId="30" fillId="57" borderId="35" xfId="0" applyNumberFormat="1" applyFont="1" applyFill="1" applyBorder="1" applyAlignment="1">
      <alignment vertical="center"/>
    </xf>
    <xf numFmtId="4" fontId="50" fillId="57" borderId="35" xfId="2" applyNumberFormat="1" applyFont="1" applyFill="1" applyBorder="1" applyAlignment="1">
      <alignment vertical="center"/>
    </xf>
    <xf numFmtId="4" fontId="30" fillId="57" borderId="35" xfId="2" applyNumberFormat="1" applyFont="1" applyFill="1" applyBorder="1" applyAlignment="1">
      <alignment vertical="center"/>
    </xf>
    <xf numFmtId="4" fontId="50" fillId="57" borderId="35" xfId="2" applyNumberFormat="1" applyFont="1" applyFill="1" applyBorder="1" applyAlignment="1">
      <alignment horizontal="right" vertical="center"/>
    </xf>
    <xf numFmtId="0" fontId="23" fillId="0" borderId="50" xfId="0" applyFont="1" applyBorder="1"/>
    <xf numFmtId="0" fontId="25" fillId="0" borderId="50" xfId="0" applyFont="1" applyBorder="1"/>
    <xf numFmtId="0" fontId="86" fillId="0" borderId="50" xfId="0" applyFont="1" applyBorder="1" applyAlignment="1">
      <alignment vertical="center"/>
    </xf>
    <xf numFmtId="4" fontId="86" fillId="0" borderId="35" xfId="0" applyNumberFormat="1" applyFont="1" applyBorder="1" applyAlignment="1">
      <alignment vertical="center"/>
    </xf>
    <xf numFmtId="4" fontId="23" fillId="0" borderId="35" xfId="2" applyNumberFormat="1" applyFont="1" applyBorder="1" applyAlignment="1">
      <alignment vertical="center"/>
    </xf>
    <xf numFmtId="4" fontId="51" fillId="0" borderId="35" xfId="2" applyNumberFormat="1" applyFont="1" applyBorder="1" applyAlignment="1">
      <alignment vertical="center"/>
    </xf>
    <xf numFmtId="4" fontId="50" fillId="0" borderId="35" xfId="2" applyNumberFormat="1" applyFont="1" applyBorder="1" applyAlignment="1">
      <alignment horizontal="right" vertical="center"/>
    </xf>
    <xf numFmtId="4" fontId="50" fillId="0" borderId="161" xfId="2" applyNumberFormat="1" applyFont="1" applyBorder="1" applyAlignment="1">
      <alignment horizontal="right" vertical="center"/>
    </xf>
    <xf numFmtId="4" fontId="76" fillId="0" borderId="64" xfId="2" applyNumberFormat="1" applyFont="1" applyBorder="1" applyAlignment="1">
      <alignment vertical="center"/>
    </xf>
    <xf numFmtId="4" fontId="29" fillId="0" borderId="64" xfId="2" applyNumberFormat="1" applyFont="1" applyBorder="1" applyAlignment="1">
      <alignment vertical="center"/>
    </xf>
    <xf numFmtId="4" fontId="76" fillId="0" borderId="64" xfId="2" applyNumberFormat="1" applyFont="1" applyBorder="1" applyAlignment="1">
      <alignment horizontal="right" vertical="center"/>
    </xf>
    <xf numFmtId="4" fontId="76" fillId="0" borderId="43" xfId="0" applyNumberFormat="1" applyFont="1" applyBorder="1" applyAlignment="1">
      <alignment horizontal="right" vertical="center"/>
    </xf>
    <xf numFmtId="4" fontId="29" fillId="0" borderId="8" xfId="1" applyNumberFormat="1" applyFont="1" applyBorder="1" applyAlignment="1">
      <alignment horizontal="right" vertical="center"/>
    </xf>
    <xf numFmtId="49" fontId="135" fillId="0" borderId="24" xfId="0" applyNumberFormat="1" applyFont="1" applyBorder="1" applyAlignment="1">
      <alignment vertical="center"/>
    </xf>
    <xf numFmtId="49" fontId="135" fillId="0" borderId="17" xfId="0" applyNumberFormat="1" applyFont="1" applyBorder="1" applyAlignment="1">
      <alignment vertical="center"/>
    </xf>
    <xf numFmtId="0" fontId="135" fillId="0" borderId="17" xfId="0" applyFont="1" applyBorder="1" applyAlignment="1">
      <alignment vertical="center"/>
    </xf>
    <xf numFmtId="0" fontId="135" fillId="0" borderId="18" xfId="0" applyFont="1" applyBorder="1" applyAlignment="1">
      <alignment vertical="center"/>
    </xf>
    <xf numFmtId="4" fontId="135" fillId="0" borderId="18" xfId="0" applyNumberFormat="1" applyFont="1" applyBorder="1" applyAlignment="1">
      <alignment vertical="center"/>
    </xf>
    <xf numFmtId="4" fontId="135" fillId="0" borderId="16" xfId="1" applyNumberFormat="1" applyFont="1" applyBorder="1" applyAlignment="1">
      <alignment vertical="center"/>
    </xf>
    <xf numFmtId="4" fontId="135" fillId="0" borderId="148" xfId="1" applyNumberFormat="1" applyFont="1" applyBorder="1" applyAlignment="1">
      <alignment vertical="center"/>
    </xf>
    <xf numFmtId="4" fontId="135" fillId="0" borderId="16" xfId="1" applyNumberFormat="1" applyFont="1" applyBorder="1" applyAlignment="1">
      <alignment horizontal="right" vertical="center"/>
    </xf>
    <xf numFmtId="4" fontId="135" fillId="0" borderId="17" xfId="1" applyNumberFormat="1" applyFont="1" applyBorder="1" applyAlignment="1">
      <alignment vertical="center"/>
    </xf>
    <xf numFmtId="4" fontId="135" fillId="0" borderId="283" xfId="1" applyNumberFormat="1" applyFont="1" applyBorder="1" applyAlignment="1">
      <alignment vertical="center"/>
    </xf>
    <xf numFmtId="0" fontId="73" fillId="0" borderId="286" xfId="1" applyNumberFormat="1" applyFont="1" applyBorder="1" applyAlignment="1">
      <alignment horizontal="left" vertical="center"/>
    </xf>
    <xf numFmtId="49" fontId="73" fillId="0" borderId="21" xfId="0" applyNumberFormat="1" applyFont="1" applyBorder="1" applyAlignment="1">
      <alignment horizontal="center" vertical="center"/>
    </xf>
    <xf numFmtId="0" fontId="73" fillId="0" borderId="24" xfId="0" applyFont="1" applyBorder="1" applyAlignment="1">
      <alignment vertical="center"/>
    </xf>
    <xf numFmtId="4" fontId="73" fillId="0" borderId="142" xfId="0" applyNumberFormat="1" applyFont="1" applyBorder="1" applyAlignment="1">
      <alignment vertical="center"/>
    </xf>
    <xf numFmtId="4" fontId="73" fillId="0" borderId="12" xfId="0" applyNumberFormat="1" applyFont="1" applyBorder="1" applyAlignment="1">
      <alignment vertical="center"/>
    </xf>
    <xf numFmtId="4" fontId="73" fillId="0" borderId="21" xfId="1" applyNumberFormat="1" applyFont="1" applyBorder="1" applyAlignment="1">
      <alignment vertical="center"/>
    </xf>
    <xf numFmtId="4" fontId="73" fillId="0" borderId="150" xfId="1" applyNumberFormat="1" applyFont="1" applyBorder="1" applyAlignment="1">
      <alignment vertical="center"/>
    </xf>
    <xf numFmtId="4" fontId="73" fillId="0" borderId="21" xfId="1" applyNumberFormat="1" applyFont="1" applyBorder="1" applyAlignment="1">
      <alignment horizontal="right" vertical="center"/>
    </xf>
    <xf numFmtId="4" fontId="73" fillId="0" borderId="11" xfId="1" applyNumberFormat="1" applyFont="1" applyBorder="1" applyAlignment="1">
      <alignment vertical="center"/>
    </xf>
    <xf numFmtId="4" fontId="73" fillId="0" borderId="282" xfId="1" applyNumberFormat="1" applyFont="1" applyBorder="1" applyAlignment="1">
      <alignment vertical="center"/>
    </xf>
    <xf numFmtId="0" fontId="73" fillId="0" borderId="152" xfId="1" applyNumberFormat="1" applyFont="1" applyBorder="1" applyAlignment="1">
      <alignment horizontal="left" vertical="center"/>
    </xf>
    <xf numFmtId="49" fontId="135" fillId="0" borderId="21" xfId="0" applyNumberFormat="1" applyFont="1" applyBorder="1" applyAlignment="1">
      <alignment horizontal="center" vertical="center"/>
    </xf>
    <xf numFmtId="0" fontId="135" fillId="0" borderId="24" xfId="0" applyFont="1" applyBorder="1" applyAlignment="1">
      <alignment vertical="center"/>
    </xf>
    <xf numFmtId="0" fontId="135" fillId="0" borderId="11" xfId="0" applyFont="1" applyBorder="1" applyAlignment="1">
      <alignment vertical="center"/>
    </xf>
    <xf numFmtId="4" fontId="135" fillId="0" borderId="142" xfId="0" applyNumberFormat="1" applyFont="1" applyBorder="1" applyAlignment="1">
      <alignment vertical="center"/>
    </xf>
    <xf numFmtId="4" fontId="135" fillId="0" borderId="12" xfId="0" applyNumberFormat="1" applyFont="1" applyBorder="1" applyAlignment="1">
      <alignment vertical="center"/>
    </xf>
    <xf numFmtId="0" fontId="135" fillId="0" borderId="152" xfId="1" applyNumberFormat="1" applyFont="1" applyBorder="1" applyAlignment="1">
      <alignment horizontal="left" vertical="center"/>
    </xf>
    <xf numFmtId="0" fontId="135" fillId="0" borderId="0" xfId="0" applyFont="1" applyAlignment="1">
      <alignment vertical="center"/>
    </xf>
    <xf numFmtId="49" fontId="204" fillId="59" borderId="175" xfId="0" applyNumberFormat="1" applyFont="1" applyFill="1" applyBorder="1" applyAlignment="1">
      <alignment horizontal="center" vertical="center"/>
    </xf>
    <xf numFmtId="170" fontId="29" fillId="0" borderId="328" xfId="0" applyNumberFormat="1" applyFont="1" applyBorder="1" applyAlignment="1">
      <alignment vertical="center"/>
    </xf>
    <xf numFmtId="49" fontId="29" fillId="0" borderId="303" xfId="0" applyNumberFormat="1" applyFont="1" applyBorder="1" applyAlignment="1">
      <alignment horizontal="center" vertical="center"/>
    </xf>
    <xf numFmtId="49" fontId="29" fillId="0" borderId="303" xfId="0" quotePrefix="1" applyNumberFormat="1" applyFont="1" applyBorder="1" applyAlignment="1">
      <alignment horizontal="center" vertical="center"/>
    </xf>
    <xf numFmtId="4" fontId="29" fillId="0" borderId="303" xfId="1" applyNumberFormat="1" applyFont="1" applyBorder="1" applyAlignment="1">
      <alignment vertical="center"/>
    </xf>
    <xf numFmtId="4" fontId="29" fillId="0" borderId="303" xfId="1" applyNumberFormat="1" applyFont="1" applyBorder="1" applyAlignment="1">
      <alignment horizontal="right" vertical="center"/>
    </xf>
    <xf numFmtId="0" fontId="251" fillId="0" borderId="0" xfId="0" applyFont="1" applyAlignment="1">
      <alignment vertical="center"/>
    </xf>
    <xf numFmtId="4" fontId="146" fillId="0" borderId="378" xfId="0" applyNumberFormat="1" applyFont="1" applyBorder="1" applyAlignment="1">
      <alignment vertical="center"/>
    </xf>
    <xf numFmtId="4" fontId="146" fillId="0" borderId="303" xfId="1" applyNumberFormat="1" applyFont="1" applyBorder="1" applyAlignment="1">
      <alignment horizontal="right" vertical="center"/>
    </xf>
    <xf numFmtId="0" fontId="29" fillId="0" borderId="379" xfId="1" applyNumberFormat="1" applyFont="1" applyBorder="1" applyAlignment="1">
      <alignment horizontal="left" vertical="center"/>
    </xf>
    <xf numFmtId="49" fontId="236" fillId="0" borderId="380" xfId="0" applyNumberFormat="1" applyFont="1" applyBorder="1" applyAlignment="1">
      <alignment horizontal="center"/>
    </xf>
    <xf numFmtId="49" fontId="234" fillId="0" borderId="380" xfId="0" applyNumberFormat="1" applyFont="1" applyBorder="1" applyAlignment="1">
      <alignment horizontal="center"/>
    </xf>
    <xf numFmtId="0" fontId="29" fillId="0" borderId="337" xfId="0" applyFont="1" applyBorder="1" applyAlignment="1">
      <alignment vertical="center"/>
    </xf>
    <xf numFmtId="4" fontId="29" fillId="0" borderId="380" xfId="0" applyNumberFormat="1" applyFont="1" applyBorder="1" applyAlignment="1">
      <alignment vertical="center"/>
    </xf>
    <xf numFmtId="4" fontId="76" fillId="0" borderId="381" xfId="0" applyNumberFormat="1" applyFont="1" applyBorder="1" applyAlignment="1">
      <alignment vertical="center"/>
    </xf>
    <xf numFmtId="4" fontId="76" fillId="0" borderId="381" xfId="0" applyNumberFormat="1" applyFont="1" applyBorder="1" applyAlignment="1">
      <alignment horizontal="right" vertical="center"/>
    </xf>
    <xf numFmtId="0" fontId="117" fillId="0" borderId="0" xfId="0" applyFont="1" applyAlignment="1">
      <alignment horizontal="center"/>
    </xf>
    <xf numFmtId="4" fontId="139" fillId="0" borderId="0" xfId="2" applyNumberFormat="1"/>
    <xf numFmtId="0" fontId="162" fillId="0" borderId="0" xfId="0" applyFont="1"/>
    <xf numFmtId="0" fontId="118" fillId="0" borderId="0" xfId="0" applyFont="1"/>
    <xf numFmtId="0" fontId="117" fillId="0" borderId="64" xfId="0" applyFont="1" applyBorder="1" applyAlignment="1">
      <alignment horizontal="center"/>
    </xf>
    <xf numFmtId="0" fontId="162" fillId="0" borderId="64" xfId="0" applyFont="1" applyBorder="1" applyAlignment="1">
      <alignment horizontal="center"/>
    </xf>
    <xf numFmtId="0" fontId="257" fillId="0" borderId="64" xfId="0" applyFont="1" applyBorder="1"/>
    <xf numFmtId="168" fontId="162" fillId="0" borderId="64" xfId="2" applyFont="1" applyBorder="1"/>
    <xf numFmtId="4" fontId="162" fillId="0" borderId="64" xfId="2" applyNumberFormat="1" applyFont="1" applyBorder="1"/>
    <xf numFmtId="0" fontId="76" fillId="0" borderId="64" xfId="0" applyFont="1" applyBorder="1"/>
    <xf numFmtId="168" fontId="139" fillId="0" borderId="64" xfId="2" applyBorder="1"/>
    <xf numFmtId="4" fontId="139" fillId="0" borderId="64" xfId="2" applyNumberFormat="1" applyBorder="1"/>
    <xf numFmtId="0" fontId="0" fillId="0" borderId="64" xfId="0" applyBorder="1"/>
    <xf numFmtId="0" fontId="126" fillId="0" borderId="64" xfId="0" applyFont="1" applyBorder="1"/>
    <xf numFmtId="0" fontId="29" fillId="0" borderId="64" xfId="0" applyFont="1" applyBorder="1" applyAlignment="1">
      <alignment vertical="center"/>
    </xf>
    <xf numFmtId="0" fontId="29" fillId="0" borderId="64" xfId="0" quotePrefix="1" applyFont="1" applyBorder="1" applyAlignment="1">
      <alignment vertical="center"/>
    </xf>
    <xf numFmtId="0" fontId="117" fillId="0" borderId="65" xfId="0" applyFont="1" applyBorder="1" applyAlignment="1">
      <alignment horizontal="center"/>
    </xf>
    <xf numFmtId="0" fontId="76" fillId="0" borderId="65" xfId="0" applyFont="1" applyBorder="1"/>
    <xf numFmtId="168" fontId="139" fillId="0" borderId="65" xfId="2" applyBorder="1"/>
    <xf numFmtId="4" fontId="139" fillId="0" borderId="65" xfId="2" applyNumberFormat="1" applyBorder="1"/>
    <xf numFmtId="0" fontId="117" fillId="0" borderId="161" xfId="0" applyFont="1" applyBorder="1" applyAlignment="1">
      <alignment horizontal="center"/>
    </xf>
    <xf numFmtId="0" fontId="183" fillId="0" borderId="161" xfId="0" applyFont="1" applyBorder="1"/>
    <xf numFmtId="168" fontId="117" fillId="0" borderId="161" xfId="2" applyFont="1" applyBorder="1"/>
    <xf numFmtId="4" fontId="117" fillId="0" borderId="161" xfId="2" applyNumberFormat="1" applyFont="1" applyBorder="1"/>
    <xf numFmtId="0" fontId="118" fillId="0" borderId="307" xfId="0" applyFont="1" applyBorder="1" applyAlignment="1">
      <alignment horizontal="center" vertical="center" wrapText="1"/>
    </xf>
    <xf numFmtId="168" fontId="118" fillId="0" borderId="307" xfId="2" applyFont="1" applyBorder="1" applyAlignment="1">
      <alignment horizontal="center" vertical="center" wrapText="1"/>
    </xf>
    <xf numFmtId="4" fontId="118" fillId="0" borderId="307" xfId="2" applyNumberFormat="1" applyFont="1" applyBorder="1" applyAlignment="1">
      <alignment horizontal="center" vertical="center" wrapText="1"/>
    </xf>
    <xf numFmtId="171" fontId="44" fillId="2" borderId="0" xfId="0" applyNumberFormat="1" applyFont="1" applyFill="1" applyAlignment="1">
      <alignment horizontal="right"/>
    </xf>
    <xf numFmtId="177" fontId="149" fillId="0" borderId="21" xfId="2" applyNumberFormat="1" applyFont="1" applyBorder="1" applyAlignment="1">
      <alignment vertical="center"/>
    </xf>
    <xf numFmtId="177" fontId="30" fillId="58" borderId="272" xfId="2" applyNumberFormat="1" applyFont="1" applyFill="1" applyBorder="1" applyAlignment="1">
      <alignment vertical="center"/>
    </xf>
    <xf numFmtId="177" fontId="30" fillId="58" borderId="382" xfId="2" applyNumberFormat="1" applyFont="1" applyFill="1" applyBorder="1" applyAlignment="1">
      <alignment vertical="center"/>
    </xf>
    <xf numFmtId="177" fontId="30" fillId="0" borderId="21" xfId="2" applyNumberFormat="1" applyFont="1" applyBorder="1" applyAlignment="1">
      <alignment vertical="center"/>
    </xf>
    <xf numFmtId="177" fontId="30" fillId="17" borderId="382" xfId="2" applyNumberFormat="1" applyFont="1" applyFill="1" applyBorder="1" applyAlignment="1">
      <alignment vertical="center"/>
    </xf>
    <xf numFmtId="49" fontId="236" fillId="0" borderId="383" xfId="0" applyNumberFormat="1" applyFont="1" applyBorder="1" applyAlignment="1">
      <alignment horizontal="center"/>
    </xf>
    <xf numFmtId="49" fontId="234" fillId="0" borderId="383" xfId="0" applyNumberFormat="1" applyFont="1" applyBorder="1" applyAlignment="1">
      <alignment horizontal="center"/>
    </xf>
    <xf numFmtId="49" fontId="35" fillId="59" borderId="25" xfId="0" applyNumberFormat="1" applyFont="1" applyFill="1" applyBorder="1" applyAlignment="1">
      <alignment vertical="center"/>
    </xf>
    <xf numFmtId="49" fontId="23" fillId="0" borderId="255" xfId="0" applyNumberFormat="1" applyFont="1" applyBorder="1" applyAlignment="1">
      <alignment horizontal="center"/>
    </xf>
    <xf numFmtId="49" fontId="23" fillId="0" borderId="255" xfId="0" quotePrefix="1" applyNumberFormat="1" applyFont="1" applyBorder="1" applyAlignment="1">
      <alignment horizontal="center"/>
    </xf>
    <xf numFmtId="0" fontId="23" fillId="0" borderId="257" xfId="0" applyFont="1" applyBorder="1"/>
    <xf numFmtId="49" fontId="23" fillId="0" borderId="251" xfId="0" applyNumberFormat="1" applyFont="1" applyBorder="1" applyAlignment="1">
      <alignment vertical="center"/>
    </xf>
    <xf numFmtId="0" fontId="23" fillId="0" borderId="251" xfId="0" applyFont="1" applyBorder="1" applyAlignment="1">
      <alignment vertical="center"/>
    </xf>
    <xf numFmtId="168" fontId="23" fillId="0" borderId="252" xfId="2" applyFont="1" applyBorder="1" applyAlignment="1">
      <alignment vertical="center"/>
    </xf>
    <xf numFmtId="4" fontId="23" fillId="0" borderId="252" xfId="2" applyNumberFormat="1" applyFont="1" applyBorder="1" applyAlignment="1">
      <alignment horizontal="right" vertical="center"/>
    </xf>
    <xf numFmtId="4" fontId="23" fillId="0" borderId="249" xfId="1" applyNumberFormat="1" applyFont="1" applyBorder="1" applyAlignment="1">
      <alignment vertical="center"/>
    </xf>
    <xf numFmtId="4" fontId="51" fillId="0" borderId="253" xfId="1" applyNumberFormat="1" applyFont="1" applyBorder="1" applyAlignment="1">
      <alignment vertical="center"/>
    </xf>
    <xf numFmtId="4" fontId="50" fillId="0" borderId="249" xfId="1" applyNumberFormat="1" applyFont="1" applyBorder="1" applyAlignment="1">
      <alignment horizontal="right" vertical="center"/>
    </xf>
    <xf numFmtId="4" fontId="76" fillId="0" borderId="26" xfId="1" applyNumberFormat="1" applyFont="1" applyBorder="1" applyAlignment="1">
      <alignment horizontal="right" vertical="center"/>
    </xf>
    <xf numFmtId="4" fontId="29" fillId="0" borderId="10" xfId="1" applyNumberFormat="1" applyFont="1" applyBorder="1" applyAlignment="1">
      <alignment horizontal="right" vertical="center"/>
    </xf>
    <xf numFmtId="4" fontId="30" fillId="57" borderId="125" xfId="1" applyNumberFormat="1" applyFont="1" applyFill="1" applyBorder="1" applyAlignment="1">
      <alignment horizontal="right" vertical="center"/>
    </xf>
    <xf numFmtId="49" fontId="51" fillId="0" borderId="248" xfId="0" applyNumberFormat="1" applyFont="1" applyBorder="1" applyAlignment="1">
      <alignment horizontal="center" vertical="center"/>
    </xf>
    <xf numFmtId="49" fontId="51" fillId="0" borderId="249" xfId="0" applyNumberFormat="1" applyFont="1" applyBorder="1" applyAlignment="1">
      <alignment horizontal="center" vertical="center"/>
    </xf>
    <xf numFmtId="49" fontId="51" fillId="0" borderId="250" xfId="0" applyNumberFormat="1" applyFont="1" applyBorder="1" applyAlignment="1">
      <alignment vertical="center"/>
    </xf>
    <xf numFmtId="49" fontId="51" fillId="0" borderId="251" xfId="0" applyNumberFormat="1" applyFont="1" applyBorder="1" applyAlignment="1">
      <alignment vertical="center"/>
    </xf>
    <xf numFmtId="0" fontId="51" fillId="0" borderId="251" xfId="0" applyFont="1" applyBorder="1" applyAlignment="1">
      <alignment vertical="center"/>
    </xf>
    <xf numFmtId="168" fontId="51" fillId="0" borderId="252" xfId="2" applyFont="1" applyBorder="1" applyAlignment="1">
      <alignment vertical="center"/>
    </xf>
    <xf numFmtId="4" fontId="51" fillId="0" borderId="252" xfId="2" applyNumberFormat="1" applyFont="1" applyBorder="1" applyAlignment="1">
      <alignment vertical="center"/>
    </xf>
    <xf numFmtId="4" fontId="51" fillId="0" borderId="249" xfId="1" applyNumberFormat="1" applyFont="1" applyBorder="1" applyAlignment="1">
      <alignment vertical="center"/>
    </xf>
    <xf numFmtId="4" fontId="30" fillId="0" borderId="254" xfId="1" applyNumberFormat="1" applyFont="1" applyBorder="1" applyAlignment="1">
      <alignment horizontal="right" vertical="center"/>
    </xf>
    <xf numFmtId="4" fontId="29" fillId="0" borderId="26" xfId="1" applyNumberFormat="1" applyFont="1" applyBorder="1" applyAlignment="1">
      <alignment horizontal="right" vertical="center"/>
    </xf>
    <xf numFmtId="4" fontId="29" fillId="0" borderId="21" xfId="1" applyNumberFormat="1" applyFont="1" applyBorder="1" applyAlignment="1">
      <alignment horizontal="right" vertical="center"/>
    </xf>
    <xf numFmtId="4" fontId="30" fillId="0" borderId="249" xfId="1" applyNumberFormat="1" applyFont="1" applyBorder="1" applyAlignment="1">
      <alignment horizontal="right" vertical="center"/>
    </xf>
    <xf numFmtId="0" fontId="51" fillId="0" borderId="252" xfId="0" applyFont="1" applyBorder="1" applyAlignment="1">
      <alignment vertical="center"/>
    </xf>
    <xf numFmtId="4" fontId="51" fillId="0" borderId="252" xfId="0" applyNumberFormat="1" applyFont="1" applyBorder="1" applyAlignment="1">
      <alignment vertical="center"/>
    </xf>
    <xf numFmtId="0" fontId="51" fillId="0" borderId="250" xfId="0" applyFont="1" applyBorder="1" applyAlignment="1">
      <alignment vertical="center"/>
    </xf>
    <xf numFmtId="4" fontId="8" fillId="0" borderId="255" xfId="1" applyNumberFormat="1" applyFont="1" applyBorder="1" applyAlignment="1">
      <alignment vertical="center"/>
    </xf>
    <xf numFmtId="4" fontId="51" fillId="0" borderId="251" xfId="0" applyNumberFormat="1" applyFont="1" applyBorder="1" applyAlignment="1">
      <alignment vertical="center"/>
    </xf>
    <xf numFmtId="4" fontId="51" fillId="0" borderId="249" xfId="4" applyNumberFormat="1" applyFont="1" applyBorder="1" applyAlignment="1">
      <alignment vertical="center"/>
    </xf>
    <xf numFmtId="4" fontId="30" fillId="0" borderId="249" xfId="3" applyNumberFormat="1" applyFont="1" applyBorder="1" applyAlignment="1">
      <alignment horizontal="right" vertical="center"/>
    </xf>
    <xf numFmtId="4" fontId="30" fillId="0" borderId="26" xfId="3" applyNumberFormat="1" applyFont="1" applyBorder="1" applyAlignment="1">
      <alignment horizontal="right" vertical="center"/>
    </xf>
    <xf numFmtId="4" fontId="51" fillId="0" borderId="255" xfId="0" applyNumberFormat="1" applyFont="1" applyBorder="1" applyAlignment="1">
      <alignment vertical="center"/>
    </xf>
    <xf numFmtId="4" fontId="29" fillId="0" borderId="267" xfId="1" applyNumberFormat="1" applyFont="1" applyBorder="1" applyAlignment="1">
      <alignment horizontal="right" vertical="center"/>
    </xf>
    <xf numFmtId="4" fontId="51" fillId="0" borderId="252" xfId="0" applyNumberFormat="1" applyFont="1" applyBorder="1" applyAlignment="1">
      <alignment horizontal="right" vertical="center"/>
    </xf>
    <xf numFmtId="4" fontId="29" fillId="0" borderId="17" xfId="1" applyNumberFormat="1" applyFont="1" applyBorder="1" applyAlignment="1">
      <alignment horizontal="right" vertical="center"/>
    </xf>
    <xf numFmtId="0" fontId="51" fillId="0" borderId="17" xfId="0" applyFont="1" applyBorder="1" applyAlignment="1">
      <alignment vertical="center"/>
    </xf>
    <xf numFmtId="4" fontId="51" fillId="0" borderId="118" xfId="0" applyNumberFormat="1" applyFont="1" applyBorder="1" applyAlignment="1">
      <alignment vertical="center"/>
    </xf>
    <xf numFmtId="4" fontId="51" fillId="0" borderId="118" xfId="0" applyNumberFormat="1" applyFont="1" applyBorder="1" applyAlignment="1">
      <alignment horizontal="right" vertical="center"/>
    </xf>
    <xf numFmtId="49" fontId="29" fillId="0" borderId="265" xfId="0" applyNumberFormat="1" applyFont="1" applyBorder="1" applyAlignment="1">
      <alignment horizontal="center" vertical="center"/>
    </xf>
    <xf numFmtId="49" fontId="50" fillId="57" borderId="35" xfId="0" applyNumberFormat="1" applyFont="1" applyFill="1" applyBorder="1" applyAlignment="1">
      <alignment horizontal="center"/>
    </xf>
    <xf numFmtId="49" fontId="76" fillId="57" borderId="35" xfId="0" applyNumberFormat="1" applyFont="1" applyFill="1" applyBorder="1" applyAlignment="1">
      <alignment horizontal="center"/>
    </xf>
    <xf numFmtId="49" fontId="23" fillId="0" borderId="35" xfId="0" applyNumberFormat="1" applyFont="1" applyBorder="1" applyAlignment="1">
      <alignment horizontal="center"/>
    </xf>
    <xf numFmtId="49" fontId="25" fillId="0" borderId="35" xfId="0" applyNumberFormat="1" applyFont="1" applyBorder="1" applyAlignment="1">
      <alignment horizontal="center"/>
    </xf>
    <xf numFmtId="4" fontId="76" fillId="0" borderId="0" xfId="2" applyNumberFormat="1" applyFont="1" applyAlignment="1">
      <alignment vertical="center"/>
    </xf>
    <xf numFmtId="49" fontId="16" fillId="0" borderId="384" xfId="0" applyNumberFormat="1" applyFont="1" applyBorder="1"/>
    <xf numFmtId="0" fontId="16" fillId="0" borderId="384" xfId="0" applyFont="1" applyBorder="1"/>
    <xf numFmtId="0" fontId="29" fillId="0" borderId="385" xfId="0" applyFont="1" applyBorder="1" applyAlignment="1">
      <alignment vertical="center"/>
    </xf>
    <xf numFmtId="4" fontId="29" fillId="0" borderId="383" xfId="0" applyNumberFormat="1" applyFont="1" applyBorder="1" applyAlignment="1">
      <alignment vertical="center"/>
    </xf>
    <xf numFmtId="4" fontId="29" fillId="0" borderId="386" xfId="0" applyNumberFormat="1" applyFont="1" applyBorder="1" applyAlignment="1">
      <alignment vertical="center"/>
    </xf>
    <xf numFmtId="4" fontId="76" fillId="0" borderId="387" xfId="0" applyNumberFormat="1" applyFont="1" applyBorder="1" applyAlignment="1">
      <alignment vertical="center"/>
    </xf>
    <xf numFmtId="4" fontId="29" fillId="0" borderId="388" xfId="0" applyNumberFormat="1" applyFont="1" applyBorder="1" applyAlignment="1">
      <alignment vertical="center"/>
    </xf>
    <xf numFmtId="4" fontId="76" fillId="0" borderId="387" xfId="0" applyNumberFormat="1" applyFont="1" applyBorder="1" applyAlignment="1">
      <alignment horizontal="right" vertical="center"/>
    </xf>
    <xf numFmtId="177" fontId="30" fillId="58" borderId="389" xfId="2" applyNumberFormat="1" applyFont="1" applyFill="1" applyBorder="1" applyAlignment="1">
      <alignment vertical="center"/>
    </xf>
    <xf numFmtId="49" fontId="65" fillId="0" borderId="16" xfId="0" applyNumberFormat="1" applyFont="1" applyBorder="1" applyAlignment="1">
      <alignment horizontal="center" vertical="center"/>
    </xf>
    <xf numFmtId="0" fontId="65" fillId="0" borderId="24" xfId="0" applyFont="1" applyBorder="1" applyAlignment="1">
      <alignment vertical="center"/>
    </xf>
    <xf numFmtId="0" fontId="65" fillId="0" borderId="17" xfId="0" applyFont="1" applyBorder="1" applyAlignment="1">
      <alignment vertical="center"/>
    </xf>
    <xf numFmtId="4" fontId="65" fillId="0" borderId="118" xfId="0" applyNumberFormat="1" applyFont="1" applyBorder="1" applyAlignment="1">
      <alignment vertical="center"/>
    </xf>
    <xf numFmtId="4" fontId="65" fillId="0" borderId="16" xfId="1" applyNumberFormat="1" applyFont="1" applyBorder="1" applyAlignment="1">
      <alignment vertical="center"/>
    </xf>
    <xf numFmtId="4" fontId="65" fillId="0" borderId="148" xfId="1" applyNumberFormat="1" applyFont="1" applyBorder="1" applyAlignment="1">
      <alignment vertical="center"/>
    </xf>
    <xf numFmtId="4" fontId="65" fillId="0" borderId="16" xfId="1" applyNumberFormat="1" applyFont="1" applyBorder="1" applyAlignment="1">
      <alignment horizontal="right" vertical="center"/>
    </xf>
    <xf numFmtId="0" fontId="52" fillId="0" borderId="17" xfId="0" quotePrefix="1" applyFont="1" applyBorder="1" applyAlignment="1">
      <alignment vertical="center"/>
    </xf>
    <xf numFmtId="49" fontId="52" fillId="0" borderId="63" xfId="0" applyNumberFormat="1" applyFont="1" applyBorder="1" applyAlignment="1">
      <alignment vertical="center"/>
    </xf>
    <xf numFmtId="168" fontId="52" fillId="0" borderId="12" xfId="2" applyFont="1" applyBorder="1" applyAlignment="1">
      <alignment vertical="center"/>
    </xf>
    <xf numFmtId="4" fontId="52" fillId="0" borderId="12" xfId="2" applyNumberFormat="1" applyFont="1" applyBorder="1" applyAlignment="1">
      <alignment vertical="center"/>
    </xf>
    <xf numFmtId="0" fontId="52" fillId="0" borderId="152" xfId="1" applyNumberFormat="1" applyFont="1" applyBorder="1" applyAlignment="1">
      <alignment horizontal="left" vertical="center"/>
    </xf>
    <xf numFmtId="49" fontId="259" fillId="0" borderId="24" xfId="0" applyNumberFormat="1" applyFont="1" applyBorder="1" applyAlignment="1">
      <alignment vertical="center"/>
    </xf>
    <xf numFmtId="49" fontId="260" fillId="0" borderId="17" xfId="0" applyNumberFormat="1" applyFont="1" applyBorder="1" applyAlignment="1">
      <alignment vertical="center"/>
    </xf>
    <xf numFmtId="0" fontId="260" fillId="0" borderId="17" xfId="0" applyFont="1" applyBorder="1" applyAlignment="1">
      <alignment vertical="center"/>
    </xf>
    <xf numFmtId="0" fontId="260" fillId="0" borderId="18" xfId="0" applyFont="1" applyBorder="1" applyAlignment="1">
      <alignment vertical="center"/>
    </xf>
    <xf numFmtId="49" fontId="259" fillId="0" borderId="16" xfId="0" applyNumberFormat="1" applyFont="1" applyBorder="1" applyAlignment="1">
      <alignment horizontal="center" vertical="center"/>
    </xf>
    <xf numFmtId="49" fontId="259" fillId="0" borderId="17" xfId="0" applyNumberFormat="1" applyFont="1" applyBorder="1" applyAlignment="1">
      <alignment vertical="center"/>
    </xf>
    <xf numFmtId="0" fontId="259" fillId="0" borderId="17" xfId="0" applyFont="1" applyBorder="1" applyAlignment="1">
      <alignment vertical="center"/>
    </xf>
    <xf numFmtId="0" fontId="259" fillId="0" borderId="18" xfId="0" applyFont="1" applyBorder="1" applyAlignment="1">
      <alignment vertical="center"/>
    </xf>
    <xf numFmtId="4" fontId="259" fillId="0" borderId="18" xfId="0" applyNumberFormat="1" applyFont="1" applyBorder="1" applyAlignment="1">
      <alignment vertical="center"/>
    </xf>
    <xf numFmtId="4" fontId="259" fillId="0" borderId="16" xfId="1" applyNumberFormat="1" applyFont="1" applyBorder="1" applyAlignment="1">
      <alignment vertical="center"/>
    </xf>
    <xf numFmtId="4" fontId="259" fillId="0" borderId="148" xfId="1" applyNumberFormat="1" applyFont="1" applyBorder="1" applyAlignment="1">
      <alignment vertical="center"/>
    </xf>
    <xf numFmtId="4" fontId="259" fillId="0" borderId="16" xfId="1" applyNumberFormat="1" applyFont="1" applyBorder="1" applyAlignment="1">
      <alignment horizontal="right" vertical="center"/>
    </xf>
    <xf numFmtId="4" fontId="259" fillId="0" borderId="24" xfId="1" applyNumberFormat="1" applyFont="1" applyBorder="1" applyAlignment="1">
      <alignment vertical="center"/>
    </xf>
    <xf numFmtId="4" fontId="259" fillId="0" borderId="283" xfId="1" applyNumberFormat="1" applyFont="1" applyBorder="1" applyAlignment="1">
      <alignment vertical="center"/>
    </xf>
    <xf numFmtId="165" fontId="259" fillId="0" borderId="286" xfId="1" applyFont="1" applyBorder="1" applyAlignment="1">
      <alignment vertical="center"/>
    </xf>
    <xf numFmtId="176" fontId="261" fillId="0" borderId="0" xfId="1" applyNumberFormat="1" applyFont="1" applyAlignment="1">
      <alignment vertical="center"/>
    </xf>
    <xf numFmtId="0" fontId="259" fillId="0" borderId="0" xfId="0" applyFont="1" applyAlignment="1">
      <alignment vertical="center"/>
    </xf>
    <xf numFmtId="168" fontId="52" fillId="0" borderId="17" xfId="2" applyFont="1" applyBorder="1" applyAlignment="1">
      <alignment vertical="center"/>
    </xf>
    <xf numFmtId="4" fontId="52" fillId="0" borderId="118" xfId="2" applyNumberFormat="1" applyFont="1" applyBorder="1" applyAlignment="1">
      <alignment vertical="center"/>
    </xf>
    <xf numFmtId="177" fontId="30" fillId="59" borderId="382" xfId="2" applyNumberFormat="1" applyFont="1" applyFill="1" applyBorder="1" applyAlignment="1">
      <alignment vertical="center"/>
    </xf>
    <xf numFmtId="0" fontId="51" fillId="40" borderId="317" xfId="0" applyFont="1" applyFill="1" applyBorder="1" applyAlignment="1">
      <alignment vertical="center"/>
    </xf>
    <xf numFmtId="170" fontId="262" fillId="4" borderId="43" xfId="0" applyNumberFormat="1" applyFont="1" applyFill="1" applyBorder="1" applyAlignment="1">
      <alignment vertical="center"/>
    </xf>
    <xf numFmtId="170" fontId="263" fillId="35" borderId="148" xfId="0" applyNumberFormat="1" applyFont="1" applyFill="1" applyBorder="1" applyAlignment="1">
      <alignment vertical="center"/>
    </xf>
    <xf numFmtId="170" fontId="262" fillId="40" borderId="43" xfId="0" applyNumberFormat="1" applyFont="1" applyFill="1" applyBorder="1" applyAlignment="1">
      <alignment vertical="center"/>
    </xf>
    <xf numFmtId="170" fontId="263" fillId="4" borderId="303" xfId="0" applyNumberFormat="1" applyFont="1" applyFill="1" applyBorder="1" applyAlignment="1">
      <alignment vertical="center"/>
    </xf>
    <xf numFmtId="170" fontId="263" fillId="0" borderId="303" xfId="0" applyNumberFormat="1" applyFont="1" applyBorder="1" applyAlignment="1">
      <alignment vertical="center"/>
    </xf>
    <xf numFmtId="170" fontId="263" fillId="0" borderId="328" xfId="0" applyNumberFormat="1" applyFont="1" applyBorder="1" applyAlignment="1">
      <alignment vertical="center"/>
    </xf>
    <xf numFmtId="170" fontId="264" fillId="40" borderId="43" xfId="0" applyNumberFormat="1" applyFont="1" applyFill="1" applyBorder="1" applyAlignment="1">
      <alignment vertical="center"/>
    </xf>
    <xf numFmtId="170" fontId="264" fillId="4" borderId="43" xfId="0" applyNumberFormat="1" applyFont="1" applyFill="1" applyBorder="1" applyAlignment="1">
      <alignment vertical="center"/>
    </xf>
    <xf numFmtId="170" fontId="265" fillId="4" borderId="303" xfId="0" applyNumberFormat="1" applyFont="1" applyFill="1" applyBorder="1" applyAlignment="1">
      <alignment vertical="center"/>
    </xf>
    <xf numFmtId="170" fontId="262" fillId="0" borderId="43" xfId="0" applyNumberFormat="1" applyFont="1" applyBorder="1" applyAlignment="1">
      <alignment vertical="center"/>
    </xf>
    <xf numFmtId="170" fontId="263" fillId="0" borderId="148" xfId="0" applyNumberFormat="1" applyFont="1" applyBorder="1" applyAlignment="1">
      <alignment vertical="center"/>
    </xf>
    <xf numFmtId="170" fontId="119" fillId="0" borderId="0" xfId="0" applyNumberFormat="1" applyFont="1"/>
    <xf numFmtId="0" fontId="119" fillId="0" borderId="0" xfId="0" applyFont="1"/>
    <xf numFmtId="0" fontId="120" fillId="0" borderId="0" xfId="0" applyFont="1"/>
    <xf numFmtId="170" fontId="120" fillId="0" borderId="0" xfId="0" applyNumberFormat="1" applyFont="1"/>
    <xf numFmtId="43" fontId="119" fillId="0" borderId="0" xfId="0" applyNumberFormat="1" applyFont="1"/>
    <xf numFmtId="43" fontId="120" fillId="0" borderId="0" xfId="0" applyNumberFormat="1" applyFont="1"/>
    <xf numFmtId="0" fontId="201" fillId="0" borderId="391" xfId="0" applyFont="1" applyBorder="1" applyAlignment="1">
      <alignment vertical="center"/>
    </xf>
    <xf numFmtId="0" fontId="201" fillId="0" borderId="251" xfId="0" applyFont="1" applyBorder="1" applyAlignment="1">
      <alignment vertical="center"/>
    </xf>
    <xf numFmtId="0" fontId="201" fillId="0" borderId="256" xfId="0" applyFont="1" applyBorder="1" applyAlignment="1">
      <alignment vertical="center"/>
    </xf>
    <xf numFmtId="0" fontId="0" fillId="0" borderId="392" xfId="0" applyBorder="1" applyAlignment="1">
      <alignment vertical="center"/>
    </xf>
    <xf numFmtId="0" fontId="0" fillId="0" borderId="393" xfId="0" applyBorder="1" applyAlignment="1">
      <alignment vertical="center"/>
    </xf>
    <xf numFmtId="0" fontId="0" fillId="0" borderId="394" xfId="0" applyBorder="1" applyAlignment="1">
      <alignment vertical="center"/>
    </xf>
    <xf numFmtId="0" fontId="205" fillId="64" borderId="311" xfId="0" applyFont="1" applyFill="1" applyBorder="1" applyAlignment="1">
      <alignment vertical="center"/>
    </xf>
    <xf numFmtId="170" fontId="30" fillId="64" borderId="312" xfId="0" applyNumberFormat="1" applyFont="1" applyFill="1" applyBorder="1" applyAlignment="1">
      <alignment vertical="center"/>
    </xf>
    <xf numFmtId="170" fontId="205" fillId="64" borderId="313" xfId="0" applyNumberFormat="1" applyFont="1" applyFill="1" applyBorder="1" applyAlignment="1">
      <alignment vertical="center"/>
    </xf>
    <xf numFmtId="165" fontId="191" fillId="64" borderId="0" xfId="8" applyFill="1" applyAlignment="1">
      <alignment vertical="center"/>
    </xf>
    <xf numFmtId="0" fontId="0" fillId="64" borderId="0" xfId="0" applyFill="1" applyAlignment="1">
      <alignment vertical="center"/>
    </xf>
    <xf numFmtId="49" fontId="204" fillId="4" borderId="395" xfId="0" applyNumberFormat="1" applyFont="1" applyFill="1" applyBorder="1" applyAlignment="1">
      <alignment horizontal="center" vertical="center"/>
    </xf>
    <xf numFmtId="49" fontId="204" fillId="64" borderId="280" xfId="0" applyNumberFormat="1" applyFont="1" applyFill="1" applyBorder="1" applyAlignment="1">
      <alignment horizontal="center" vertical="center"/>
    </xf>
    <xf numFmtId="0" fontId="0" fillId="59" borderId="391" xfId="0" applyFill="1" applyBorder="1" applyAlignment="1">
      <alignment vertical="center"/>
    </xf>
    <xf numFmtId="0" fontId="0" fillId="59" borderId="251" xfId="0" applyFill="1" applyBorder="1" applyAlignment="1">
      <alignment vertical="center"/>
    </xf>
    <xf numFmtId="0" fontId="0" fillId="59" borderId="256" xfId="0" applyFill="1" applyBorder="1" applyAlignment="1">
      <alignment vertical="center"/>
    </xf>
    <xf numFmtId="170" fontId="205" fillId="0" borderId="230" xfId="0" applyNumberFormat="1" applyFont="1" applyBorder="1" applyAlignment="1">
      <alignment vertical="center"/>
    </xf>
    <xf numFmtId="49" fontId="205" fillId="0" borderId="390" xfId="0" applyNumberFormat="1" applyFont="1" applyBorder="1" applyAlignment="1">
      <alignment horizontal="center" vertical="center"/>
    </xf>
    <xf numFmtId="49" fontId="205" fillId="0" borderId="280" xfId="0" applyNumberFormat="1" applyFont="1" applyBorder="1" applyAlignment="1">
      <alignment horizontal="center" vertical="center"/>
    </xf>
    <xf numFmtId="49" fontId="135" fillId="0" borderId="280" xfId="0" applyNumberFormat="1" applyFont="1" applyBorder="1" applyAlignment="1">
      <alignment horizontal="center" vertical="center"/>
    </xf>
    <xf numFmtId="0" fontId="268" fillId="0" borderId="0" xfId="10" applyFont="1"/>
    <xf numFmtId="0" fontId="77" fillId="0" borderId="0" xfId="10" applyFont="1"/>
    <xf numFmtId="41" fontId="268" fillId="0" borderId="0" xfId="11" applyFont="1"/>
    <xf numFmtId="170" fontId="268" fillId="0" borderId="0" xfId="11" applyNumberFormat="1" applyFont="1"/>
    <xf numFmtId="49" fontId="268" fillId="0" borderId="0" xfId="10" applyNumberFormat="1" applyFont="1"/>
    <xf numFmtId="0" fontId="77" fillId="0" borderId="0" xfId="10" applyFont="1" applyAlignment="1">
      <alignment vertical="center"/>
    </xf>
    <xf numFmtId="41" fontId="77" fillId="0" borderId="0" xfId="11" applyFont="1"/>
    <xf numFmtId="170" fontId="77" fillId="0" borderId="0" xfId="11" applyNumberFormat="1" applyFont="1"/>
    <xf numFmtId="49" fontId="77" fillId="0" borderId="0" xfId="10" applyNumberFormat="1" applyFont="1"/>
    <xf numFmtId="49" fontId="77" fillId="0" borderId="0" xfId="12" applyNumberFormat="1" applyFont="1" applyAlignment="1">
      <alignment horizontal="center"/>
    </xf>
    <xf numFmtId="0" fontId="269" fillId="0" borderId="0" xfId="13" applyFont="1" applyAlignment="1">
      <alignment horizontal="center"/>
    </xf>
    <xf numFmtId="49" fontId="270" fillId="0" borderId="0" xfId="12" applyNumberFormat="1" applyFont="1" applyAlignment="1">
      <alignment horizontal="center"/>
    </xf>
    <xf numFmtId="178" fontId="271" fillId="0" borderId="0" xfId="13" applyNumberFormat="1" applyFont="1" applyAlignment="1">
      <alignment horizontal="centerContinuous"/>
    </xf>
    <xf numFmtId="178" fontId="271" fillId="0" borderId="0" xfId="13" applyNumberFormat="1" applyFont="1" applyAlignment="1">
      <alignment horizontal="center"/>
    </xf>
    <xf numFmtId="43" fontId="77" fillId="0" borderId="0" xfId="12" applyFont="1" applyAlignment="1">
      <alignment horizontal="center"/>
    </xf>
    <xf numFmtId="178" fontId="269" fillId="0" borderId="0" xfId="13" applyNumberFormat="1" applyFont="1" applyAlignment="1">
      <alignment horizontal="centerContinuous"/>
    </xf>
    <xf numFmtId="178" fontId="269" fillId="0" borderId="0" xfId="13" applyNumberFormat="1" applyFont="1" applyAlignment="1">
      <alignment horizontal="center"/>
    </xf>
    <xf numFmtId="41" fontId="77" fillId="0" borderId="0" xfId="10" applyNumberFormat="1" applyFont="1"/>
    <xf numFmtId="179" fontId="77" fillId="0" borderId="0" xfId="10" applyNumberFormat="1" applyFont="1"/>
    <xf numFmtId="43" fontId="77" fillId="0" borderId="0" xfId="12" applyFont="1" applyAlignment="1">
      <alignment horizontal="centerContinuous"/>
    </xf>
    <xf numFmtId="0" fontId="77" fillId="0" borderId="0" xfId="10" applyFont="1" applyAlignment="1">
      <alignment horizontal="centerContinuous"/>
    </xf>
    <xf numFmtId="49" fontId="269" fillId="0" borderId="0" xfId="12" applyNumberFormat="1" applyFont="1" applyAlignment="1">
      <alignment horizontal="center"/>
    </xf>
    <xf numFmtId="43" fontId="77" fillId="0" borderId="0" xfId="10" applyNumberFormat="1" applyFont="1"/>
    <xf numFmtId="41" fontId="77" fillId="4" borderId="280" xfId="11" applyFont="1" applyFill="1" applyBorder="1"/>
    <xf numFmtId="170" fontId="77" fillId="4" borderId="396" xfId="10" applyNumberFormat="1" applyFont="1" applyFill="1" applyBorder="1"/>
    <xf numFmtId="41" fontId="77" fillId="4" borderId="396" xfId="11" applyFont="1" applyFill="1" applyBorder="1"/>
    <xf numFmtId="170" fontId="77" fillId="4" borderId="396" xfId="11" applyNumberFormat="1" applyFont="1" applyFill="1" applyBorder="1"/>
    <xf numFmtId="179" fontId="77" fillId="4" borderId="396" xfId="10" applyNumberFormat="1" applyFont="1" applyFill="1" applyBorder="1"/>
    <xf numFmtId="0" fontId="77" fillId="4" borderId="168" xfId="10" applyFont="1" applyFill="1" applyBorder="1"/>
    <xf numFmtId="0" fontId="77" fillId="4" borderId="397" xfId="10" applyFont="1" applyFill="1" applyBorder="1"/>
    <xf numFmtId="0" fontId="77" fillId="4" borderId="398" xfId="10" quotePrefix="1" applyFont="1" applyFill="1" applyBorder="1"/>
    <xf numFmtId="49" fontId="77" fillId="4" borderId="399" xfId="10" applyNumberFormat="1" applyFont="1" applyFill="1" applyBorder="1" applyAlignment="1">
      <alignment horizontal="center"/>
    </xf>
    <xf numFmtId="49" fontId="77" fillId="4" borderId="400" xfId="10" applyNumberFormat="1" applyFont="1" applyFill="1" applyBorder="1" applyAlignment="1">
      <alignment horizontal="center"/>
    </xf>
    <xf numFmtId="0" fontId="77" fillId="4" borderId="401" xfId="10" applyFont="1" applyFill="1" applyBorder="1"/>
    <xf numFmtId="0" fontId="77" fillId="4" borderId="402" xfId="10" applyFont="1" applyFill="1" applyBorder="1"/>
    <xf numFmtId="49" fontId="77" fillId="4" borderId="396" xfId="10" applyNumberFormat="1" applyFont="1" applyFill="1" applyBorder="1" applyAlignment="1">
      <alignment horizontal="center"/>
    </xf>
    <xf numFmtId="49" fontId="77" fillId="4" borderId="396" xfId="10" quotePrefix="1" applyNumberFormat="1" applyFont="1" applyFill="1" applyBorder="1" applyAlignment="1">
      <alignment horizontal="center"/>
    </xf>
    <xf numFmtId="41" fontId="77" fillId="4" borderId="0" xfId="10" applyNumberFormat="1" applyFont="1" applyFill="1"/>
    <xf numFmtId="0" fontId="272" fillId="4" borderId="401" xfId="10" applyFont="1" applyFill="1" applyBorder="1"/>
    <xf numFmtId="0" fontId="272" fillId="4" borderId="397" xfId="10" applyFont="1" applyFill="1" applyBorder="1"/>
    <xf numFmtId="0" fontId="272" fillId="4" borderId="402" xfId="10" applyFont="1" applyFill="1" applyBorder="1"/>
    <xf numFmtId="49" fontId="272" fillId="4" borderId="396" xfId="10" quotePrefix="1" applyNumberFormat="1" applyFont="1" applyFill="1" applyBorder="1" applyAlignment="1">
      <alignment horizontal="center"/>
    </xf>
    <xf numFmtId="49" fontId="272" fillId="4" borderId="396" xfId="10" applyNumberFormat="1" applyFont="1" applyFill="1" applyBorder="1" applyAlignment="1">
      <alignment horizontal="center"/>
    </xf>
    <xf numFmtId="0" fontId="77" fillId="4" borderId="399" xfId="10" applyFont="1" applyFill="1" applyBorder="1"/>
    <xf numFmtId="0" fontId="77" fillId="4" borderId="34" xfId="10" applyFont="1" applyFill="1" applyBorder="1"/>
    <xf numFmtId="0" fontId="77" fillId="4" borderId="398" xfId="10" applyFont="1" applyFill="1" applyBorder="1"/>
    <xf numFmtId="49" fontId="77" fillId="4" borderId="400" xfId="10" quotePrefix="1" applyNumberFormat="1" applyFont="1" applyFill="1" applyBorder="1" applyAlignment="1">
      <alignment horizontal="center"/>
    </xf>
    <xf numFmtId="49" fontId="77" fillId="4" borderId="401" xfId="10" quotePrefix="1" applyNumberFormat="1" applyFont="1" applyFill="1" applyBorder="1" applyAlignment="1">
      <alignment horizontal="center"/>
    </xf>
    <xf numFmtId="49" fontId="77" fillId="4" borderId="401" xfId="10" applyNumberFormat="1" applyFont="1" applyFill="1" applyBorder="1" applyAlignment="1">
      <alignment horizontal="center"/>
    </xf>
    <xf numFmtId="170" fontId="77" fillId="4" borderId="161" xfId="11" applyNumberFormat="1" applyFont="1" applyFill="1" applyBorder="1"/>
    <xf numFmtId="41" fontId="77" fillId="4" borderId="161" xfId="11" applyFont="1" applyFill="1" applyBorder="1"/>
    <xf numFmtId="0" fontId="272" fillId="4" borderId="167" xfId="10" applyFont="1" applyFill="1" applyBorder="1"/>
    <xf numFmtId="0" fontId="272" fillId="4" borderId="41" xfId="10" applyFont="1" applyFill="1" applyBorder="1"/>
    <xf numFmtId="0" fontId="272" fillId="4" borderId="39" xfId="10" applyFont="1" applyFill="1" applyBorder="1"/>
    <xf numFmtId="49" fontId="77" fillId="4" borderId="167" xfId="10" applyNumberFormat="1" applyFont="1" applyFill="1" applyBorder="1" applyAlignment="1">
      <alignment horizontal="center"/>
    </xf>
    <xf numFmtId="49" fontId="77" fillId="4" borderId="161" xfId="10" applyNumberFormat="1" applyFont="1" applyFill="1" applyBorder="1" applyAlignment="1">
      <alignment horizontal="center"/>
    </xf>
    <xf numFmtId="170" fontId="77" fillId="4" borderId="280" xfId="11" applyNumberFormat="1" applyFont="1" applyFill="1" applyBorder="1"/>
    <xf numFmtId="0" fontId="272" fillId="4" borderId="256" xfId="10" applyFont="1" applyFill="1" applyBorder="1"/>
    <xf numFmtId="0" fontId="272" fillId="4" borderId="251" xfId="10" applyFont="1" applyFill="1" applyBorder="1"/>
    <xf numFmtId="0" fontId="272" fillId="4" borderId="391" xfId="10" applyFont="1" applyFill="1" applyBorder="1"/>
    <xf numFmtId="49" fontId="272" fillId="4" borderId="256" xfId="10" applyNumberFormat="1" applyFont="1" applyFill="1" applyBorder="1" applyAlignment="1">
      <alignment horizontal="center"/>
    </xf>
    <xf numFmtId="49" fontId="272" fillId="4" borderId="280" xfId="10" applyNumberFormat="1" applyFont="1" applyFill="1" applyBorder="1" applyAlignment="1">
      <alignment horizontal="center"/>
    </xf>
    <xf numFmtId="49" fontId="77" fillId="29" borderId="256" xfId="10" applyNumberFormat="1" applyFont="1" applyFill="1" applyBorder="1" applyAlignment="1">
      <alignment horizontal="center"/>
    </xf>
    <xf numFmtId="49" fontId="77" fillId="29" borderId="280" xfId="10" applyNumberFormat="1" applyFont="1" applyFill="1" applyBorder="1" applyAlignment="1">
      <alignment horizontal="center"/>
    </xf>
    <xf numFmtId="170" fontId="77" fillId="4" borderId="400" xfId="11" applyNumberFormat="1" applyFont="1" applyFill="1" applyBorder="1"/>
    <xf numFmtId="41" fontId="77" fillId="4" borderId="403" xfId="11" applyFont="1" applyFill="1" applyBorder="1"/>
    <xf numFmtId="41" fontId="77" fillId="4" borderId="400" xfId="11" applyFont="1" applyFill="1" applyBorder="1"/>
    <xf numFmtId="49" fontId="77" fillId="4" borderId="399" xfId="10" quotePrefix="1" applyNumberFormat="1" applyFont="1" applyFill="1" applyBorder="1" applyAlignment="1">
      <alignment horizontal="center"/>
    </xf>
    <xf numFmtId="49" fontId="77" fillId="4" borderId="280" xfId="10" applyNumberFormat="1" applyFont="1" applyFill="1" applyBorder="1" applyAlignment="1">
      <alignment horizontal="center"/>
    </xf>
    <xf numFmtId="170" fontId="273" fillId="4" borderId="396" xfId="11" applyNumberFormat="1" applyFont="1" applyFill="1" applyBorder="1"/>
    <xf numFmtId="41" fontId="273" fillId="4" borderId="396" xfId="11" applyFont="1" applyFill="1" applyBorder="1"/>
    <xf numFmtId="49" fontId="272" fillId="4" borderId="161" xfId="10" quotePrefix="1" applyNumberFormat="1" applyFont="1" applyFill="1" applyBorder="1" applyAlignment="1">
      <alignment horizontal="center"/>
    </xf>
    <xf numFmtId="49" fontId="272" fillId="4" borderId="161" xfId="10" applyNumberFormat="1" applyFont="1" applyFill="1" applyBorder="1" applyAlignment="1">
      <alignment horizontal="center"/>
    </xf>
    <xf numFmtId="0" fontId="77" fillId="4" borderId="0" xfId="10" applyFont="1" applyFill="1"/>
    <xf numFmtId="49" fontId="77" fillId="4" borderId="0" xfId="10" applyNumberFormat="1" applyFont="1" applyFill="1"/>
    <xf numFmtId="179" fontId="273" fillId="4" borderId="396" xfId="10" applyNumberFormat="1" applyFont="1" applyFill="1" applyBorder="1"/>
    <xf numFmtId="0" fontId="77" fillId="4" borderId="402" xfId="10" quotePrefix="1" applyFont="1" applyFill="1" applyBorder="1"/>
    <xf numFmtId="0" fontId="77" fillId="4" borderId="169" xfId="10" applyFont="1" applyFill="1" applyBorder="1"/>
    <xf numFmtId="170" fontId="77" fillId="4" borderId="400" xfId="10" applyNumberFormat="1" applyFont="1" applyFill="1" applyBorder="1"/>
    <xf numFmtId="179" fontId="77" fillId="4" borderId="400" xfId="10" applyNumberFormat="1" applyFont="1" applyFill="1" applyBorder="1"/>
    <xf numFmtId="0" fontId="77" fillId="4" borderId="167" xfId="10" applyFont="1" applyFill="1" applyBorder="1"/>
    <xf numFmtId="0" fontId="77" fillId="4" borderId="41" xfId="10" applyFont="1" applyFill="1" applyBorder="1"/>
    <xf numFmtId="0" fontId="77" fillId="4" borderId="39" xfId="10" applyFont="1" applyFill="1" applyBorder="1"/>
    <xf numFmtId="49" fontId="77" fillId="4" borderId="161" xfId="10" quotePrefix="1" applyNumberFormat="1" applyFont="1" applyFill="1" applyBorder="1" applyAlignment="1">
      <alignment horizontal="center"/>
    </xf>
    <xf numFmtId="49" fontId="77" fillId="4" borderId="167" xfId="10" quotePrefix="1" applyNumberFormat="1" applyFont="1" applyFill="1" applyBorder="1" applyAlignment="1">
      <alignment horizontal="center"/>
    </xf>
    <xf numFmtId="49" fontId="77" fillId="4" borderId="403" xfId="10" quotePrefix="1" applyNumberFormat="1" applyFont="1" applyFill="1" applyBorder="1" applyAlignment="1">
      <alignment horizontal="center"/>
    </xf>
    <xf numFmtId="49" fontId="77" fillId="4" borderId="404" xfId="10" quotePrefix="1" applyNumberFormat="1" applyFont="1" applyFill="1" applyBorder="1" applyAlignment="1">
      <alignment horizontal="center"/>
    </xf>
    <xf numFmtId="49" fontId="77" fillId="4" borderId="404" xfId="10" applyNumberFormat="1" applyFont="1" applyFill="1" applyBorder="1" applyAlignment="1">
      <alignment horizontal="center"/>
    </xf>
    <xf numFmtId="49" fontId="77" fillId="4" borderId="403" xfId="10" applyNumberFormat="1" applyFont="1" applyFill="1" applyBorder="1" applyAlignment="1">
      <alignment horizontal="center"/>
    </xf>
    <xf numFmtId="41" fontId="77" fillId="65" borderId="405" xfId="10" applyNumberFormat="1" applyFont="1" applyFill="1" applyBorder="1"/>
    <xf numFmtId="41" fontId="77" fillId="65" borderId="0" xfId="10" applyNumberFormat="1" applyFont="1" applyFill="1"/>
    <xf numFmtId="43" fontId="272" fillId="4" borderId="167" xfId="10" applyNumberFormat="1" applyFont="1" applyFill="1" applyBorder="1"/>
    <xf numFmtId="43" fontId="272" fillId="4" borderId="41" xfId="10" applyNumberFormat="1" applyFont="1" applyFill="1" applyBorder="1"/>
    <xf numFmtId="41" fontId="77" fillId="4" borderId="265" xfId="11" applyFont="1" applyFill="1" applyBorder="1"/>
    <xf numFmtId="49" fontId="77" fillId="0" borderId="0" xfId="10" applyNumberFormat="1" applyFont="1" applyAlignment="1">
      <alignment horizontal="center"/>
    </xf>
    <xf numFmtId="0" fontId="77" fillId="4" borderId="256" xfId="10" applyFont="1" applyFill="1" applyBorder="1"/>
    <xf numFmtId="0" fontId="77" fillId="4" borderId="251" xfId="10" applyFont="1" applyFill="1" applyBorder="1"/>
    <xf numFmtId="49" fontId="77" fillId="4" borderId="256" xfId="10" applyNumberFormat="1" applyFont="1" applyFill="1" applyBorder="1" applyAlignment="1">
      <alignment horizontal="center"/>
    </xf>
    <xf numFmtId="170" fontId="77" fillId="0" borderId="0" xfId="10" applyNumberFormat="1" applyFont="1"/>
    <xf numFmtId="170" fontId="77" fillId="16" borderId="396" xfId="11" applyNumberFormat="1" applyFont="1" applyFill="1" applyBorder="1"/>
    <xf numFmtId="0" fontId="77" fillId="4" borderId="406" xfId="10" applyFont="1" applyFill="1" applyBorder="1"/>
    <xf numFmtId="49" fontId="77" fillId="4" borderId="169" xfId="10" quotePrefix="1" applyNumberFormat="1" applyFont="1" applyFill="1" applyBorder="1" applyAlignment="1">
      <alignment horizontal="center"/>
    </xf>
    <xf numFmtId="49" fontId="77" fillId="4" borderId="169" xfId="10" applyNumberFormat="1" applyFont="1" applyFill="1" applyBorder="1" applyAlignment="1">
      <alignment horizontal="center"/>
    </xf>
    <xf numFmtId="49" fontId="77" fillId="4" borderId="363" xfId="10" quotePrefix="1" applyNumberFormat="1" applyFont="1" applyFill="1" applyBorder="1" applyAlignment="1">
      <alignment horizontal="center"/>
    </xf>
    <xf numFmtId="49" fontId="77" fillId="0" borderId="169" xfId="10" applyNumberFormat="1" applyFont="1" applyBorder="1" applyAlignment="1">
      <alignment horizontal="center"/>
    </xf>
    <xf numFmtId="49" fontId="77" fillId="0" borderId="363" xfId="10" applyNumberFormat="1" applyFont="1" applyBorder="1" applyAlignment="1">
      <alignment horizontal="center"/>
    </xf>
    <xf numFmtId="0" fontId="77" fillId="4" borderId="406" xfId="10" quotePrefix="1" applyFont="1" applyFill="1" applyBorder="1"/>
    <xf numFmtId="49" fontId="77" fillId="0" borderId="401" xfId="10" applyNumberFormat="1" applyFont="1" applyBorder="1" applyAlignment="1">
      <alignment horizontal="center"/>
    </xf>
    <xf numFmtId="49" fontId="77" fillId="0" borderId="396" xfId="10" applyNumberFormat="1" applyFont="1" applyBorder="1" applyAlignment="1">
      <alignment horizontal="center"/>
    </xf>
    <xf numFmtId="43" fontId="77" fillId="4" borderId="396" xfId="11" applyNumberFormat="1" applyFont="1" applyFill="1" applyBorder="1"/>
    <xf numFmtId="179" fontId="77" fillId="4" borderId="396" xfId="11" applyNumberFormat="1" applyFont="1" applyFill="1" applyBorder="1"/>
    <xf numFmtId="170" fontId="274" fillId="4" borderId="396" xfId="11" applyNumberFormat="1" applyFont="1" applyFill="1" applyBorder="1"/>
    <xf numFmtId="41" fontId="274" fillId="4" borderId="396" xfId="11" applyFont="1" applyFill="1" applyBorder="1"/>
    <xf numFmtId="179" fontId="77" fillId="4" borderId="402" xfId="11" applyNumberFormat="1" applyFont="1" applyFill="1" applyBorder="1"/>
    <xf numFmtId="41" fontId="77" fillId="4" borderId="402" xfId="11" applyFont="1" applyFill="1" applyBorder="1"/>
    <xf numFmtId="180" fontId="77" fillId="0" borderId="0" xfId="10" applyNumberFormat="1" applyFont="1"/>
    <xf numFmtId="180" fontId="77" fillId="4" borderId="396" xfId="10" applyNumberFormat="1" applyFont="1" applyFill="1" applyBorder="1"/>
    <xf numFmtId="180" fontId="77" fillId="4" borderId="402" xfId="10" applyNumberFormat="1" applyFont="1" applyFill="1" applyBorder="1"/>
    <xf numFmtId="179" fontId="77" fillId="4" borderId="363" xfId="11" applyNumberFormat="1" applyFont="1" applyFill="1" applyBorder="1"/>
    <xf numFmtId="179" fontId="77" fillId="4" borderId="0" xfId="11" applyNumberFormat="1" applyFont="1" applyFill="1"/>
    <xf numFmtId="179" fontId="77" fillId="4" borderId="402" xfId="10" applyNumberFormat="1" applyFont="1" applyFill="1" applyBorder="1"/>
    <xf numFmtId="0" fontId="77" fillId="4" borderId="396" xfId="10" applyFont="1" applyFill="1" applyBorder="1"/>
    <xf numFmtId="41" fontId="77" fillId="4" borderId="396" xfId="10" applyNumberFormat="1" applyFont="1" applyFill="1" applyBorder="1"/>
    <xf numFmtId="170" fontId="77" fillId="4" borderId="402" xfId="10" applyNumberFormat="1" applyFont="1" applyFill="1" applyBorder="1"/>
    <xf numFmtId="178" fontId="77" fillId="4" borderId="167" xfId="10" applyNumberFormat="1" applyFont="1" applyFill="1" applyBorder="1"/>
    <xf numFmtId="0" fontId="77" fillId="4" borderId="161" xfId="10" applyFont="1" applyFill="1" applyBorder="1"/>
    <xf numFmtId="178" fontId="272" fillId="4" borderId="401" xfId="10" applyNumberFormat="1" applyFont="1" applyFill="1" applyBorder="1"/>
    <xf numFmtId="170" fontId="273" fillId="4" borderId="161" xfId="11" applyNumberFormat="1" applyFont="1" applyFill="1" applyBorder="1"/>
    <xf numFmtId="41" fontId="273" fillId="4" borderId="161" xfId="11" applyFont="1" applyFill="1" applyBorder="1"/>
    <xf numFmtId="41" fontId="273" fillId="4" borderId="39" xfId="11" applyFont="1" applyFill="1" applyBorder="1"/>
    <xf numFmtId="41" fontId="77" fillId="4" borderId="407" xfId="11" applyFont="1" applyFill="1" applyBorder="1"/>
    <xf numFmtId="49" fontId="272" fillId="29" borderId="256" xfId="10" applyNumberFormat="1" applyFont="1" applyFill="1" applyBorder="1" applyAlignment="1">
      <alignment horizontal="center"/>
    </xf>
    <xf numFmtId="49" fontId="272" fillId="29" borderId="280" xfId="10" applyNumberFormat="1" applyFont="1" applyFill="1" applyBorder="1" applyAlignment="1">
      <alignment horizontal="center"/>
    </xf>
    <xf numFmtId="49" fontId="77" fillId="4" borderId="280" xfId="10" quotePrefix="1" applyNumberFormat="1" applyFont="1" applyFill="1" applyBorder="1" applyAlignment="1">
      <alignment horizontal="center"/>
    </xf>
    <xf numFmtId="0" fontId="272" fillId="4" borderId="34" xfId="10" applyFont="1" applyFill="1" applyBorder="1"/>
    <xf numFmtId="49" fontId="272" fillId="4" borderId="399" xfId="10" applyNumberFormat="1" applyFont="1" applyFill="1" applyBorder="1" applyAlignment="1">
      <alignment horizontal="center"/>
    </xf>
    <xf numFmtId="49" fontId="272" fillId="4" borderId="400" xfId="10" applyNumberFormat="1" applyFont="1" applyFill="1" applyBorder="1" applyAlignment="1">
      <alignment horizontal="center"/>
    </xf>
    <xf numFmtId="179" fontId="77" fillId="4" borderId="400" xfId="12" applyNumberFormat="1" applyFont="1" applyFill="1" applyBorder="1"/>
    <xf numFmtId="49" fontId="77" fillId="4" borderId="0" xfId="10" applyNumberFormat="1" applyFont="1" applyFill="1" applyAlignment="1">
      <alignment horizontal="center"/>
    </xf>
    <xf numFmtId="49" fontId="272" fillId="4" borderId="401" xfId="10" applyNumberFormat="1" applyFont="1" applyFill="1" applyBorder="1" applyAlignment="1">
      <alignment horizontal="center"/>
    </xf>
    <xf numFmtId="41" fontId="273" fillId="4" borderId="396" xfId="10" applyNumberFormat="1" applyFont="1" applyFill="1" applyBorder="1"/>
    <xf numFmtId="170" fontId="273" fillId="4" borderId="403" xfId="11" applyNumberFormat="1" applyFont="1" applyFill="1" applyBorder="1"/>
    <xf numFmtId="170" fontId="268" fillId="4" borderId="396" xfId="11" applyNumberFormat="1" applyFont="1" applyFill="1" applyBorder="1"/>
    <xf numFmtId="0" fontId="77" fillId="0" borderId="397" xfId="10" applyFont="1" applyBorder="1"/>
    <xf numFmtId="0" fontId="77" fillId="0" borderId="402" xfId="10" quotePrefix="1" applyFont="1" applyBorder="1"/>
    <xf numFmtId="179" fontId="77" fillId="4" borderId="396" xfId="12" applyNumberFormat="1" applyFont="1" applyFill="1" applyBorder="1"/>
    <xf numFmtId="43" fontId="77" fillId="0" borderId="161" xfId="12" applyFont="1" applyBorder="1"/>
    <xf numFmtId="0" fontId="77" fillId="0" borderId="397" xfId="10" quotePrefix="1" applyFont="1" applyBorder="1"/>
    <xf numFmtId="49" fontId="77" fillId="4" borderId="402" xfId="10" applyNumberFormat="1" applyFont="1" applyFill="1" applyBorder="1"/>
    <xf numFmtId="43" fontId="77" fillId="4" borderId="161" xfId="11" applyNumberFormat="1" applyFont="1" applyFill="1" applyBorder="1"/>
    <xf numFmtId="179" fontId="77" fillId="4" borderId="161" xfId="12" applyNumberFormat="1" applyFont="1" applyFill="1" applyBorder="1"/>
    <xf numFmtId="49" fontId="77" fillId="4" borderId="398" xfId="10" applyNumberFormat="1" applyFont="1" applyFill="1" applyBorder="1"/>
    <xf numFmtId="170" fontId="77" fillId="4" borderId="403" xfId="11" applyNumberFormat="1" applyFont="1" applyFill="1" applyBorder="1"/>
    <xf numFmtId="170" fontId="272" fillId="4" borderId="396" xfId="11" applyNumberFormat="1" applyFont="1" applyFill="1" applyBorder="1"/>
    <xf numFmtId="41" fontId="272" fillId="4" borderId="396" xfId="11" applyFont="1" applyFill="1" applyBorder="1"/>
    <xf numFmtId="179" fontId="77" fillId="4" borderId="161" xfId="10" applyNumberFormat="1" applyFont="1" applyFill="1" applyBorder="1"/>
    <xf numFmtId="179" fontId="77" fillId="4" borderId="161" xfId="11" applyNumberFormat="1" applyFont="1" applyFill="1" applyBorder="1"/>
    <xf numFmtId="0" fontId="77" fillId="4" borderId="397" xfId="10" applyFont="1" applyFill="1" applyBorder="1" applyAlignment="1">
      <alignment horizontal="left"/>
    </xf>
    <xf numFmtId="43" fontId="77" fillId="4" borderId="161" xfId="10" applyNumberFormat="1" applyFont="1" applyFill="1" applyBorder="1"/>
    <xf numFmtId="179" fontId="77" fillId="4" borderId="403" xfId="10" applyNumberFormat="1" applyFont="1" applyFill="1" applyBorder="1"/>
    <xf numFmtId="43" fontId="77" fillId="4" borderId="403" xfId="10" applyNumberFormat="1" applyFont="1" applyFill="1" applyBorder="1"/>
    <xf numFmtId="0" fontId="77" fillId="4" borderId="397" xfId="10" quotePrefix="1" applyFont="1" applyFill="1" applyBorder="1"/>
    <xf numFmtId="41" fontId="275" fillId="0" borderId="0" xfId="10" applyNumberFormat="1" applyFont="1"/>
    <xf numFmtId="49" fontId="77" fillId="4" borderId="397" xfId="10" quotePrefix="1" applyNumberFormat="1" applyFont="1" applyFill="1" applyBorder="1" applyAlignment="1">
      <alignment horizontal="center"/>
    </xf>
    <xf numFmtId="49" fontId="77" fillId="4" borderId="397" xfId="10" applyNumberFormat="1" applyFont="1" applyFill="1" applyBorder="1" applyAlignment="1">
      <alignment horizontal="center"/>
    </xf>
    <xf numFmtId="170" fontId="275" fillId="0" borderId="0" xfId="10" applyNumberFormat="1" applyFont="1"/>
    <xf numFmtId="41" fontId="276" fillId="4" borderId="396" xfId="11" applyFont="1" applyFill="1" applyBorder="1"/>
    <xf numFmtId="0" fontId="275" fillId="0" borderId="0" xfId="10" applyFont="1"/>
    <xf numFmtId="49" fontId="275" fillId="0" borderId="0" xfId="10" applyNumberFormat="1" applyFont="1" applyAlignment="1">
      <alignment horizontal="center"/>
    </xf>
    <xf numFmtId="170" fontId="272" fillId="4" borderId="280" xfId="11" applyNumberFormat="1" applyFont="1" applyFill="1" applyBorder="1"/>
    <xf numFmtId="41" fontId="272" fillId="4" borderId="280" xfId="11" applyFont="1" applyFill="1" applyBorder="1"/>
    <xf numFmtId="170" fontId="77" fillId="4" borderId="363" xfId="11" applyNumberFormat="1" applyFont="1" applyFill="1" applyBorder="1"/>
    <xf numFmtId="41" fontId="77" fillId="4" borderId="363" xfId="11" applyFont="1" applyFill="1" applyBorder="1"/>
    <xf numFmtId="179" fontId="77" fillId="4" borderId="363" xfId="10" applyNumberFormat="1" applyFont="1" applyFill="1" applyBorder="1"/>
    <xf numFmtId="49" fontId="275" fillId="0" borderId="0" xfId="10" applyNumberFormat="1" applyFont="1"/>
    <xf numFmtId="41" fontId="77" fillId="16" borderId="396" xfId="11" applyFont="1" applyFill="1" applyBorder="1"/>
    <xf numFmtId="179" fontId="77" fillId="16" borderId="396" xfId="10" applyNumberFormat="1" applyFont="1" applyFill="1" applyBorder="1"/>
    <xf numFmtId="0" fontId="77" fillId="16" borderId="401" xfId="10" applyFont="1" applyFill="1" applyBorder="1"/>
    <xf numFmtId="0" fontId="77" fillId="16" borderId="397" xfId="10" applyFont="1" applyFill="1" applyBorder="1"/>
    <xf numFmtId="0" fontId="77" fillId="16" borderId="402" xfId="10" quotePrefix="1" applyFont="1" applyFill="1" applyBorder="1"/>
    <xf numFmtId="0" fontId="272" fillId="4" borderId="398" xfId="10" applyFont="1" applyFill="1" applyBorder="1"/>
    <xf numFmtId="49" fontId="272" fillId="4" borderId="400" xfId="10" quotePrefix="1" applyNumberFormat="1" applyFont="1" applyFill="1" applyBorder="1" applyAlignment="1">
      <alignment horizontal="center"/>
    </xf>
    <xf numFmtId="0" fontId="10" fillId="4" borderId="398" xfId="10" quotePrefix="1" applyFont="1" applyFill="1" applyBorder="1"/>
    <xf numFmtId="49" fontId="10" fillId="4" borderId="399" xfId="10" quotePrefix="1" applyNumberFormat="1" applyFont="1" applyFill="1" applyBorder="1" applyAlignment="1">
      <alignment horizontal="center"/>
    </xf>
    <xf numFmtId="49" fontId="10" fillId="4" borderId="399" xfId="10" applyNumberFormat="1" applyFont="1" applyFill="1" applyBorder="1" applyAlignment="1">
      <alignment horizontal="center"/>
    </xf>
    <xf numFmtId="49" fontId="10" fillId="4" borderId="400" xfId="10" applyNumberFormat="1" applyFont="1" applyFill="1" applyBorder="1" applyAlignment="1">
      <alignment horizontal="center"/>
    </xf>
    <xf numFmtId="0" fontId="10" fillId="4" borderId="398" xfId="10" applyFont="1" applyFill="1" applyBorder="1"/>
    <xf numFmtId="49" fontId="272" fillId="4" borderId="402" xfId="10" applyNumberFormat="1" applyFont="1" applyFill="1" applyBorder="1"/>
    <xf numFmtId="49" fontId="272" fillId="4" borderId="280" xfId="10" quotePrefix="1" applyNumberFormat="1" applyFont="1" applyFill="1" applyBorder="1" applyAlignment="1">
      <alignment horizontal="center"/>
    </xf>
    <xf numFmtId="0" fontId="272" fillId="0" borderId="0" xfId="10" applyFont="1"/>
    <xf numFmtId="49" fontId="272" fillId="4" borderId="401" xfId="10" quotePrefix="1" applyNumberFormat="1" applyFont="1" applyFill="1" applyBorder="1" applyAlignment="1">
      <alignment horizontal="center"/>
    </xf>
    <xf numFmtId="49" fontId="272" fillId="0" borderId="0" xfId="10" applyNumberFormat="1" applyFont="1"/>
    <xf numFmtId="49" fontId="77" fillId="4" borderId="390" xfId="10" quotePrefix="1" applyNumberFormat="1" applyFont="1" applyFill="1" applyBorder="1" applyAlignment="1">
      <alignment horizontal="center"/>
    </xf>
    <xf numFmtId="49" fontId="77" fillId="4" borderId="265" xfId="10" quotePrefix="1" applyNumberFormat="1" applyFont="1" applyFill="1" applyBorder="1" applyAlignment="1">
      <alignment horizontal="center"/>
    </xf>
    <xf numFmtId="49" fontId="77" fillId="4" borderId="390" xfId="10" applyNumberFormat="1" applyFont="1" applyFill="1" applyBorder="1" applyAlignment="1">
      <alignment horizontal="center"/>
    </xf>
    <xf numFmtId="179" fontId="273" fillId="4" borderId="400" xfId="10" applyNumberFormat="1" applyFont="1" applyFill="1" applyBorder="1"/>
    <xf numFmtId="49" fontId="77" fillId="4" borderId="402" xfId="10" quotePrefix="1" applyNumberFormat="1" applyFont="1" applyFill="1" applyBorder="1"/>
    <xf numFmtId="41" fontId="77" fillId="4" borderId="396" xfId="11" applyFont="1" applyFill="1" applyBorder="1" applyAlignment="1">
      <alignment horizontal="center"/>
    </xf>
    <xf numFmtId="170" fontId="276" fillId="4" borderId="396" xfId="11" applyNumberFormat="1" applyFont="1" applyFill="1" applyBorder="1"/>
    <xf numFmtId="43" fontId="77" fillId="0" borderId="0" xfId="12" applyFont="1"/>
    <xf numFmtId="0" fontId="272" fillId="4" borderId="399" xfId="10" applyFont="1" applyFill="1" applyBorder="1"/>
    <xf numFmtId="49" fontId="272" fillId="4" borderId="34" xfId="10" applyNumberFormat="1" applyFont="1" applyFill="1" applyBorder="1" applyAlignment="1">
      <alignment horizontal="center"/>
    </xf>
    <xf numFmtId="49" fontId="272" fillId="4" borderId="398" xfId="10" applyNumberFormat="1" applyFont="1" applyFill="1" applyBorder="1" applyAlignment="1">
      <alignment horizontal="center"/>
    </xf>
    <xf numFmtId="0" fontId="277" fillId="4" borderId="402" xfId="10" applyFont="1" applyFill="1" applyBorder="1"/>
    <xf numFmtId="49" fontId="272" fillId="4" borderId="397" xfId="10" applyNumberFormat="1" applyFont="1" applyFill="1" applyBorder="1" applyAlignment="1">
      <alignment horizontal="center"/>
    </xf>
    <xf numFmtId="49" fontId="272" fillId="4" borderId="402" xfId="10" applyNumberFormat="1" applyFont="1" applyFill="1" applyBorder="1" applyAlignment="1">
      <alignment horizontal="center"/>
    </xf>
    <xf numFmtId="41" fontId="77" fillId="4" borderId="0" xfId="11" applyFont="1" applyFill="1"/>
    <xf numFmtId="41" fontId="77" fillId="0" borderId="373" xfId="10" applyNumberFormat="1" applyFont="1" applyBorder="1"/>
    <xf numFmtId="170" fontId="77" fillId="0" borderId="373" xfId="11" applyNumberFormat="1" applyFont="1" applyBorder="1"/>
    <xf numFmtId="0" fontId="272" fillId="0" borderId="408" xfId="10" applyFont="1" applyBorder="1"/>
    <xf numFmtId="0" fontId="272" fillId="0" borderId="409" xfId="10" applyFont="1" applyBorder="1"/>
    <xf numFmtId="0" fontId="272" fillId="0" borderId="410" xfId="10" applyFont="1" applyBorder="1"/>
    <xf numFmtId="49" fontId="272" fillId="0" borderId="408" xfId="10" applyNumberFormat="1" applyFont="1" applyBorder="1" applyAlignment="1">
      <alignment horizontal="center"/>
    </xf>
    <xf numFmtId="49" fontId="272" fillId="0" borderId="409" xfId="10" applyNumberFormat="1" applyFont="1" applyBorder="1" applyAlignment="1">
      <alignment horizontal="center"/>
    </xf>
    <xf numFmtId="49" fontId="272" fillId="0" borderId="410" xfId="10" applyNumberFormat="1" applyFont="1" applyBorder="1" applyAlignment="1">
      <alignment horizontal="center"/>
    </xf>
    <xf numFmtId="0" fontId="272" fillId="10" borderId="280" xfId="10" quotePrefix="1" applyFont="1" applyFill="1" applyBorder="1" applyAlignment="1">
      <alignment horizontal="center"/>
    </xf>
    <xf numFmtId="41" fontId="272" fillId="10" borderId="280" xfId="11" quotePrefix="1" applyFont="1" applyFill="1" applyBorder="1" applyAlignment="1">
      <alignment horizontal="center"/>
    </xf>
    <xf numFmtId="0" fontId="272" fillId="10" borderId="256" xfId="10" quotePrefix="1" applyFont="1" applyFill="1" applyBorder="1" applyAlignment="1">
      <alignment horizontal="centerContinuous"/>
    </xf>
    <xf numFmtId="0" fontId="272" fillId="10" borderId="251" xfId="10" quotePrefix="1" applyFont="1" applyFill="1" applyBorder="1" applyAlignment="1">
      <alignment horizontal="centerContinuous"/>
    </xf>
    <xf numFmtId="0" fontId="272" fillId="10" borderId="391" xfId="10" quotePrefix="1" applyFont="1" applyFill="1" applyBorder="1" applyAlignment="1">
      <alignment horizontal="centerContinuous"/>
    </xf>
    <xf numFmtId="49" fontId="272" fillId="10" borderId="256" xfId="10" quotePrefix="1" applyNumberFormat="1" applyFont="1" applyFill="1" applyBorder="1" applyAlignment="1">
      <alignment horizontal="centerContinuous"/>
    </xf>
    <xf numFmtId="49" fontId="272" fillId="10" borderId="251" xfId="10" quotePrefix="1" applyNumberFormat="1" applyFont="1" applyFill="1" applyBorder="1" applyAlignment="1">
      <alignment horizontal="centerContinuous"/>
    </xf>
    <xf numFmtId="49" fontId="272" fillId="10" borderId="391" xfId="10" quotePrefix="1" applyNumberFormat="1" applyFont="1" applyFill="1" applyBorder="1" applyAlignment="1">
      <alignment horizontal="centerContinuous"/>
    </xf>
    <xf numFmtId="43" fontId="268" fillId="0" borderId="0" xfId="10" applyNumberFormat="1" applyFont="1"/>
    <xf numFmtId="179" fontId="268" fillId="0" borderId="0" xfId="10" applyNumberFormat="1" applyFont="1"/>
    <xf numFmtId="41" fontId="268" fillId="0" borderId="0" xfId="10" applyNumberFormat="1" applyFont="1"/>
    <xf numFmtId="0" fontId="278" fillId="0" borderId="0" xfId="10" applyFont="1" applyAlignment="1">
      <alignment horizontal="centerContinuous"/>
    </xf>
    <xf numFmtId="49" fontId="278" fillId="0" borderId="0" xfId="10" applyNumberFormat="1" applyFont="1" applyAlignment="1">
      <alignment horizontal="centerContinuous"/>
    </xf>
    <xf numFmtId="49" fontId="279" fillId="0" borderId="0" xfId="10" applyNumberFormat="1" applyFont="1" applyAlignment="1">
      <alignment horizontal="centerContinuous"/>
    </xf>
    <xf numFmtId="170" fontId="279" fillId="0" borderId="0" xfId="11" applyNumberFormat="1" applyFont="1" applyAlignment="1">
      <alignment horizontal="centerContinuous"/>
    </xf>
    <xf numFmtId="49" fontId="268" fillId="0" borderId="0" xfId="10" applyNumberFormat="1" applyFont="1" applyAlignment="1">
      <alignment horizontal="centerContinuous"/>
    </xf>
    <xf numFmtId="0" fontId="77" fillId="0" borderId="401" xfId="10" applyFont="1" applyBorder="1"/>
    <xf numFmtId="41" fontId="77" fillId="0" borderId="396" xfId="11" applyFont="1" applyBorder="1"/>
    <xf numFmtId="179" fontId="77" fillId="0" borderId="396" xfId="10" applyNumberFormat="1" applyFont="1" applyBorder="1"/>
    <xf numFmtId="170" fontId="77" fillId="0" borderId="396" xfId="11" applyNumberFormat="1" applyFont="1" applyBorder="1"/>
    <xf numFmtId="41" fontId="77" fillId="0" borderId="396" xfId="11" applyFont="1" applyBorder="1" applyAlignment="1">
      <alignment horizontal="center"/>
    </xf>
    <xf numFmtId="0" fontId="282" fillId="4" borderId="402" xfId="10" applyFont="1" applyFill="1" applyBorder="1"/>
    <xf numFmtId="0" fontId="272" fillId="10" borderId="280" xfId="10" applyFont="1" applyFill="1" applyBorder="1" applyAlignment="1">
      <alignment horizontal="center"/>
    </xf>
    <xf numFmtId="49" fontId="77" fillId="0" borderId="396" xfId="10" quotePrefix="1" applyNumberFormat="1" applyFont="1" applyBorder="1" applyAlignment="1">
      <alignment horizontal="center"/>
    </xf>
    <xf numFmtId="0" fontId="77" fillId="0" borderId="34" xfId="10" applyFont="1" applyBorder="1"/>
    <xf numFmtId="0" fontId="77" fillId="0" borderId="399" xfId="10" applyFont="1" applyBorder="1"/>
    <xf numFmtId="179" fontId="77" fillId="0" borderId="400" xfId="10" applyNumberFormat="1" applyFont="1" applyBorder="1"/>
    <xf numFmtId="170" fontId="77" fillId="0" borderId="400" xfId="11" applyNumberFormat="1" applyFont="1" applyBorder="1"/>
    <xf numFmtId="0" fontId="77" fillId="0" borderId="398" xfId="10" applyFont="1" applyBorder="1"/>
    <xf numFmtId="0" fontId="272" fillId="0" borderId="402" xfId="10" applyFont="1" applyBorder="1"/>
    <xf numFmtId="0" fontId="77" fillId="0" borderId="402" xfId="10" applyFont="1" applyBorder="1"/>
    <xf numFmtId="0" fontId="77" fillId="0" borderId="398" xfId="10" quotePrefix="1" applyFont="1" applyBorder="1"/>
    <xf numFmtId="170" fontId="77" fillId="0" borderId="400" xfId="10" applyNumberFormat="1" applyFont="1" applyBorder="1"/>
    <xf numFmtId="41" fontId="77" fillId="0" borderId="400" xfId="11" applyFont="1" applyBorder="1"/>
    <xf numFmtId="0" fontId="272" fillId="0" borderId="391" xfId="10" applyFont="1" applyBorder="1"/>
    <xf numFmtId="0" fontId="272" fillId="0" borderId="251" xfId="10" applyFont="1" applyBorder="1"/>
    <xf numFmtId="0" fontId="272" fillId="0" borderId="256" xfId="10" applyFont="1" applyBorder="1"/>
    <xf numFmtId="0" fontId="272" fillId="0" borderId="39" xfId="10" applyFont="1" applyBorder="1"/>
    <xf numFmtId="0" fontId="272" fillId="0" borderId="41" xfId="10" applyFont="1" applyBorder="1"/>
    <xf numFmtId="0" fontId="272" fillId="0" borderId="167" xfId="10" applyFont="1" applyBorder="1"/>
    <xf numFmtId="41" fontId="77" fillId="0" borderId="161" xfId="11" applyFont="1" applyBorder="1"/>
    <xf numFmtId="170" fontId="77" fillId="0" borderId="161" xfId="11" applyNumberFormat="1" applyFont="1" applyBorder="1"/>
    <xf numFmtId="0" fontId="272" fillId="0" borderId="397" xfId="10" applyFont="1" applyBorder="1"/>
    <xf numFmtId="0" fontId="272" fillId="0" borderId="401" xfId="10" applyFont="1" applyBorder="1"/>
    <xf numFmtId="0" fontId="283" fillId="4" borderId="402" xfId="10" applyFont="1" applyFill="1" applyBorder="1"/>
    <xf numFmtId="0" fontId="283" fillId="4" borderId="397" xfId="10" applyFont="1" applyFill="1" applyBorder="1"/>
    <xf numFmtId="41" fontId="77" fillId="4" borderId="411" xfId="11" applyFont="1" applyFill="1" applyBorder="1"/>
    <xf numFmtId="41" fontId="272" fillId="0" borderId="0" xfId="10" applyNumberFormat="1" applyFont="1"/>
    <xf numFmtId="41" fontId="272" fillId="0" borderId="0" xfId="11" applyFont="1"/>
    <xf numFmtId="41" fontId="272" fillId="4" borderId="363" xfId="11" applyFont="1" applyFill="1" applyBorder="1"/>
    <xf numFmtId="170" fontId="272" fillId="4" borderId="265" xfId="11" applyNumberFormat="1" applyFont="1" applyFill="1" applyBorder="1"/>
    <xf numFmtId="41" fontId="284" fillId="0" borderId="0" xfId="11" applyFont="1"/>
    <xf numFmtId="41" fontId="272" fillId="4" borderId="280" xfId="11" applyFont="1" applyFill="1" applyBorder="1" applyAlignment="1">
      <alignment vertical="top"/>
    </xf>
    <xf numFmtId="170" fontId="272" fillId="4" borderId="280" xfId="11" applyNumberFormat="1" applyFont="1" applyFill="1" applyBorder="1" applyAlignment="1">
      <alignment vertical="top"/>
    </xf>
    <xf numFmtId="41" fontId="272" fillId="0" borderId="280" xfId="11" applyFont="1" applyBorder="1"/>
    <xf numFmtId="170" fontId="272" fillId="0" borderId="280" xfId="11" applyNumberFormat="1" applyFont="1" applyBorder="1"/>
    <xf numFmtId="49" fontId="285" fillId="29" borderId="280" xfId="10" applyNumberFormat="1" applyFont="1" applyFill="1" applyBorder="1" applyAlignment="1">
      <alignment horizontal="center"/>
    </xf>
    <xf numFmtId="49" fontId="285" fillId="29" borderId="256" xfId="10" applyNumberFormat="1" applyFont="1" applyFill="1" applyBorder="1" applyAlignment="1">
      <alignment horizontal="center"/>
    </xf>
    <xf numFmtId="0" fontId="285" fillId="0" borderId="0" xfId="10" applyFont="1"/>
    <xf numFmtId="170" fontId="286" fillId="4" borderId="280" xfId="11" applyNumberFormat="1" applyFont="1" applyFill="1" applyBorder="1"/>
    <xf numFmtId="170" fontId="286" fillId="4" borderId="396" xfId="11" applyNumberFormat="1" applyFont="1" applyFill="1" applyBorder="1"/>
    <xf numFmtId="49" fontId="272" fillId="0" borderId="0" xfId="10" applyNumberFormat="1" applyFont="1" applyAlignment="1">
      <alignment horizontal="center"/>
    </xf>
    <xf numFmtId="43" fontId="77" fillId="0" borderId="396" xfId="11" applyNumberFormat="1" applyFont="1" applyBorder="1"/>
    <xf numFmtId="0" fontId="272" fillId="4" borderId="169" xfId="10" applyFont="1" applyFill="1" applyBorder="1"/>
    <xf numFmtId="179" fontId="272" fillId="4" borderId="400" xfId="10" applyNumberFormat="1" applyFont="1" applyFill="1" applyBorder="1"/>
    <xf numFmtId="170" fontId="272" fillId="4" borderId="400" xfId="11" applyNumberFormat="1" applyFont="1" applyFill="1" applyBorder="1"/>
    <xf numFmtId="41" fontId="272" fillId="4" borderId="400" xfId="11" applyFont="1" applyFill="1" applyBorder="1"/>
    <xf numFmtId="170" fontId="272" fillId="4" borderId="400" xfId="10" applyNumberFormat="1" applyFont="1" applyFill="1" applyBorder="1"/>
    <xf numFmtId="43" fontId="77" fillId="0" borderId="393" xfId="10" applyNumberFormat="1" applyFont="1" applyBorder="1"/>
    <xf numFmtId="49" fontId="272" fillId="0" borderId="0" xfId="10" applyNumberFormat="1" applyFont="1" applyAlignment="1">
      <alignment vertical="center"/>
    </xf>
    <xf numFmtId="41" fontId="272" fillId="4" borderId="280" xfId="11" applyFont="1" applyFill="1" applyBorder="1" applyAlignment="1">
      <alignment vertical="center"/>
    </xf>
    <xf numFmtId="170" fontId="272" fillId="4" borderId="280" xfId="11" applyNumberFormat="1" applyFont="1" applyFill="1" applyBorder="1" applyAlignment="1">
      <alignment vertical="center"/>
    </xf>
    <xf numFmtId="0" fontId="272" fillId="0" borderId="0" xfId="10" applyFont="1" applyAlignment="1">
      <alignment vertical="center"/>
    </xf>
    <xf numFmtId="41" fontId="286" fillId="0" borderId="373" xfId="10" applyNumberFormat="1" applyFont="1" applyBorder="1"/>
    <xf numFmtId="170" fontId="286" fillId="0" borderId="373" xfId="11" applyNumberFormat="1" applyFont="1" applyBorder="1"/>
    <xf numFmtId="0" fontId="287" fillId="0" borderId="0" xfId="0" applyFont="1"/>
    <xf numFmtId="0" fontId="272" fillId="16" borderId="411" xfId="10" applyFont="1" applyFill="1" applyBorder="1" applyAlignment="1">
      <alignment horizontal="center"/>
    </xf>
    <xf numFmtId="170" fontId="272" fillId="16" borderId="411" xfId="11" applyNumberFormat="1" applyFont="1" applyFill="1" applyBorder="1" applyAlignment="1">
      <alignment horizontal="center"/>
    </xf>
    <xf numFmtId="0" fontId="272" fillId="16" borderId="265" xfId="10" applyFont="1" applyFill="1" applyBorder="1" applyAlignment="1">
      <alignment horizontal="center"/>
    </xf>
    <xf numFmtId="170" fontId="272" fillId="16" borderId="265" xfId="11" applyNumberFormat="1" applyFont="1" applyFill="1" applyBorder="1" applyAlignment="1">
      <alignment horizontal="center"/>
    </xf>
    <xf numFmtId="49" fontId="288" fillId="0" borderId="0" xfId="10" applyNumberFormat="1" applyFont="1" applyAlignment="1">
      <alignment horizontal="centerContinuous"/>
    </xf>
    <xf numFmtId="49" fontId="272" fillId="16" borderId="261" xfId="10" applyNumberFormat="1" applyFont="1" applyFill="1" applyBorder="1" applyAlignment="1">
      <alignment horizontal="center" vertical="center" wrapText="1"/>
    </xf>
    <xf numFmtId="49" fontId="272" fillId="4" borderId="391" xfId="10" applyNumberFormat="1" applyFont="1" applyFill="1" applyBorder="1" applyAlignment="1">
      <alignment horizontal="center"/>
    </xf>
    <xf numFmtId="49" fontId="77" fillId="4" borderId="39" xfId="10" applyNumberFormat="1" applyFont="1" applyFill="1" applyBorder="1" applyAlignment="1">
      <alignment horizontal="center"/>
    </xf>
    <xf numFmtId="49" fontId="77" fillId="4" borderId="402" xfId="10" applyNumberFormat="1" applyFont="1" applyFill="1" applyBorder="1" applyAlignment="1">
      <alignment horizontal="center"/>
    </xf>
    <xf numFmtId="49" fontId="77" fillId="4" borderId="402" xfId="10" quotePrefix="1" applyNumberFormat="1" applyFont="1" applyFill="1" applyBorder="1" applyAlignment="1">
      <alignment horizontal="center"/>
    </xf>
    <xf numFmtId="49" fontId="272" fillId="4" borderId="402" xfId="10" quotePrefix="1" applyNumberFormat="1" applyFont="1" applyFill="1" applyBorder="1" applyAlignment="1">
      <alignment horizontal="center"/>
    </xf>
    <xf numFmtId="49" fontId="77" fillId="4" borderId="406" xfId="10" applyNumberFormat="1" applyFont="1" applyFill="1" applyBorder="1" applyAlignment="1">
      <alignment horizontal="center"/>
    </xf>
    <xf numFmtId="49" fontId="77" fillId="4" borderId="34" xfId="10" applyNumberFormat="1" applyFont="1" applyFill="1" applyBorder="1" applyAlignment="1">
      <alignment horizontal="center"/>
    </xf>
    <xf numFmtId="49" fontId="77" fillId="4" borderId="41" xfId="10" applyNumberFormat="1" applyFont="1" applyFill="1" applyBorder="1" applyAlignment="1">
      <alignment horizontal="center"/>
    </xf>
    <xf numFmtId="49" fontId="272" fillId="4" borderId="251" xfId="10" applyNumberFormat="1" applyFont="1" applyFill="1" applyBorder="1" applyAlignment="1">
      <alignment horizontal="center"/>
    </xf>
    <xf numFmtId="49" fontId="77" fillId="4" borderId="34" xfId="10" quotePrefix="1" applyNumberFormat="1" applyFont="1" applyFill="1" applyBorder="1" applyAlignment="1">
      <alignment horizontal="center"/>
    </xf>
    <xf numFmtId="49" fontId="77" fillId="4" borderId="32" xfId="10" quotePrefix="1" applyNumberFormat="1" applyFont="1" applyFill="1" applyBorder="1" applyAlignment="1">
      <alignment horizontal="center"/>
    </xf>
    <xf numFmtId="49" fontId="77" fillId="0" borderId="402" xfId="10" quotePrefix="1" applyNumberFormat="1" applyFont="1" applyBorder="1" applyAlignment="1">
      <alignment horizontal="center"/>
    </xf>
    <xf numFmtId="49" fontId="77" fillId="4" borderId="0" xfId="10" quotePrefix="1" applyNumberFormat="1" applyFont="1" applyFill="1" applyAlignment="1">
      <alignment horizontal="center"/>
    </xf>
    <xf numFmtId="49" fontId="272" fillId="4" borderId="397" xfId="10" quotePrefix="1" applyNumberFormat="1" applyFont="1" applyFill="1" applyBorder="1" applyAlignment="1">
      <alignment horizontal="center"/>
    </xf>
    <xf numFmtId="49" fontId="77" fillId="4" borderId="32" xfId="10" applyNumberFormat="1" applyFont="1" applyFill="1" applyBorder="1" applyAlignment="1">
      <alignment horizontal="center"/>
    </xf>
    <xf numFmtId="49" fontId="77" fillId="4" borderId="41" xfId="10" quotePrefix="1" applyNumberFormat="1" applyFont="1" applyFill="1" applyBorder="1" applyAlignment="1">
      <alignment horizontal="center"/>
    </xf>
    <xf numFmtId="49" fontId="10" fillId="4" borderId="34" xfId="10" quotePrefix="1" applyNumberFormat="1" applyFont="1" applyFill="1" applyBorder="1" applyAlignment="1">
      <alignment horizontal="center"/>
    </xf>
    <xf numFmtId="49" fontId="272" fillId="4" borderId="32" xfId="10" quotePrefix="1" applyNumberFormat="1" applyFont="1" applyFill="1" applyBorder="1" applyAlignment="1">
      <alignment horizontal="center"/>
    </xf>
    <xf numFmtId="49" fontId="77" fillId="4" borderId="391" xfId="10" applyNumberFormat="1" applyFont="1" applyFill="1" applyBorder="1" applyAlignment="1">
      <alignment horizontal="center"/>
    </xf>
    <xf numFmtId="49" fontId="77" fillId="4" borderId="251" xfId="10" applyNumberFormat="1" applyFont="1" applyFill="1" applyBorder="1" applyAlignment="1">
      <alignment horizontal="center"/>
    </xf>
    <xf numFmtId="49" fontId="77" fillId="4" borderId="39" xfId="10" quotePrefix="1" applyNumberFormat="1" applyFont="1" applyFill="1" applyBorder="1" applyAlignment="1">
      <alignment horizontal="center"/>
    </xf>
    <xf numFmtId="49" fontId="272" fillId="4" borderId="39" xfId="10" quotePrefix="1" applyNumberFormat="1" applyFont="1" applyFill="1" applyBorder="1" applyAlignment="1">
      <alignment horizontal="center"/>
    </xf>
    <xf numFmtId="0" fontId="272" fillId="42" borderId="391" xfId="10" applyFont="1" applyFill="1" applyBorder="1"/>
    <xf numFmtId="0" fontId="272" fillId="42" borderId="251" xfId="10" applyFont="1" applyFill="1" applyBorder="1"/>
    <xf numFmtId="0" fontId="272" fillId="42" borderId="256" xfId="10" applyFont="1" applyFill="1" applyBorder="1"/>
    <xf numFmtId="0" fontId="77" fillId="4" borderId="32" xfId="10" applyFont="1" applyFill="1" applyBorder="1"/>
    <xf numFmtId="49" fontId="77" fillId="4" borderId="32" xfId="10" applyNumberFormat="1" applyFont="1" applyFill="1" applyBorder="1"/>
    <xf numFmtId="0" fontId="272" fillId="4" borderId="32" xfId="10" quotePrefix="1" applyFont="1" applyFill="1" applyBorder="1"/>
    <xf numFmtId="0" fontId="272" fillId="4" borderId="32" xfId="10" applyFont="1" applyFill="1" applyBorder="1"/>
    <xf numFmtId="0" fontId="77" fillId="4" borderId="32" xfId="10" quotePrefix="1" applyFont="1" applyFill="1" applyBorder="1"/>
    <xf numFmtId="0" fontId="272" fillId="4" borderId="412" xfId="10" applyFont="1" applyFill="1" applyBorder="1"/>
    <xf numFmtId="0" fontId="77" fillId="0" borderId="412" xfId="10" applyFont="1" applyBorder="1"/>
    <xf numFmtId="177" fontId="146" fillId="0" borderId="16" xfId="2" applyNumberFormat="1" applyFont="1" applyBorder="1" applyAlignment="1">
      <alignment horizontal="right" vertical="center"/>
    </xf>
    <xf numFmtId="177" fontId="146" fillId="0" borderId="13" xfId="2" applyNumberFormat="1" applyFont="1" applyBorder="1" applyAlignment="1">
      <alignment horizontal="right" vertical="center"/>
    </xf>
    <xf numFmtId="49" fontId="77" fillId="4" borderId="413" xfId="10" applyNumberFormat="1" applyFont="1" applyFill="1" applyBorder="1" applyAlignment="1">
      <alignment horizontal="center"/>
    </xf>
    <xf numFmtId="0" fontId="77" fillId="4" borderId="414" xfId="10" applyFont="1" applyFill="1" applyBorder="1"/>
    <xf numFmtId="49" fontId="272" fillId="4" borderId="257" xfId="10" applyNumberFormat="1" applyFont="1" applyFill="1" applyBorder="1" applyAlignment="1">
      <alignment horizontal="center"/>
    </xf>
    <xf numFmtId="0" fontId="272" fillId="4" borderId="257" xfId="10" applyFont="1" applyFill="1" applyBorder="1"/>
    <xf numFmtId="41" fontId="283" fillId="0" borderId="373" xfId="10" applyNumberFormat="1" applyFont="1" applyBorder="1"/>
    <xf numFmtId="49" fontId="77" fillId="0" borderId="402" xfId="10" applyNumberFormat="1" applyFont="1" applyBorder="1" applyAlignment="1">
      <alignment horizontal="center"/>
    </xf>
    <xf numFmtId="179" fontId="77" fillId="0" borderId="0" xfId="11" applyNumberFormat="1" applyFont="1"/>
    <xf numFmtId="179" fontId="77" fillId="0" borderId="400" xfId="11" applyNumberFormat="1" applyFont="1" applyBorder="1"/>
    <xf numFmtId="0" fontId="77" fillId="0" borderId="396" xfId="10" applyFont="1" applyBorder="1"/>
    <xf numFmtId="41" fontId="77" fillId="0" borderId="402" xfId="10" applyNumberFormat="1" applyFont="1" applyBorder="1"/>
    <xf numFmtId="41" fontId="77" fillId="0" borderId="396" xfId="10" applyNumberFormat="1" applyFont="1" applyBorder="1"/>
    <xf numFmtId="179" fontId="77" fillId="0" borderId="402" xfId="10" applyNumberFormat="1" applyFont="1" applyBorder="1"/>
    <xf numFmtId="180" fontId="77" fillId="0" borderId="402" xfId="10" applyNumberFormat="1" applyFont="1" applyBorder="1"/>
    <xf numFmtId="180" fontId="77" fillId="0" borderId="396" xfId="10" applyNumberFormat="1" applyFont="1" applyBorder="1"/>
    <xf numFmtId="179" fontId="77" fillId="0" borderId="363" xfId="11" applyNumberFormat="1" applyFont="1" applyBorder="1"/>
    <xf numFmtId="49" fontId="272" fillId="0" borderId="396" xfId="10" applyNumberFormat="1" applyFont="1" applyBorder="1" applyAlignment="1">
      <alignment horizontal="center"/>
    </xf>
    <xf numFmtId="49" fontId="272" fillId="0" borderId="401" xfId="10" applyNumberFormat="1" applyFont="1" applyBorder="1" applyAlignment="1">
      <alignment horizontal="center"/>
    </xf>
    <xf numFmtId="49" fontId="272" fillId="0" borderId="401" xfId="10" quotePrefix="1" applyNumberFormat="1" applyFont="1" applyBorder="1" applyAlignment="1">
      <alignment horizontal="center"/>
    </xf>
    <xf numFmtId="49" fontId="272" fillId="0" borderId="397" xfId="10" applyNumberFormat="1" applyFont="1" applyBorder="1" applyAlignment="1">
      <alignment horizontal="center"/>
    </xf>
    <xf numFmtId="41" fontId="77" fillId="0" borderId="280" xfId="11" applyFont="1" applyBorder="1"/>
    <xf numFmtId="49" fontId="77" fillId="0" borderId="401" xfId="10" quotePrefix="1" applyNumberFormat="1" applyFont="1" applyBorder="1" applyAlignment="1">
      <alignment horizontal="center"/>
    </xf>
    <xf numFmtId="49" fontId="77" fillId="0" borderId="397" xfId="10" applyNumberFormat="1" applyFont="1" applyBorder="1" applyAlignment="1">
      <alignment horizontal="center"/>
    </xf>
    <xf numFmtId="49" fontId="77" fillId="0" borderId="397" xfId="10" quotePrefix="1" applyNumberFormat="1" applyFont="1" applyBorder="1" applyAlignment="1">
      <alignment horizontal="center"/>
    </xf>
    <xf numFmtId="0" fontId="77" fillId="0" borderId="401" xfId="10" quotePrefix="1" applyFont="1" applyBorder="1"/>
    <xf numFmtId="179" fontId="77" fillId="0" borderId="396" xfId="11" applyNumberFormat="1" applyFont="1" applyBorder="1"/>
    <xf numFmtId="0" fontId="77" fillId="0" borderId="402" xfId="10" quotePrefix="1" applyFont="1" applyBorder="1" applyAlignment="1">
      <alignment horizontal="center"/>
    </xf>
    <xf numFmtId="49" fontId="272" fillId="4" borderId="251" xfId="10" applyNumberFormat="1" applyFont="1" applyFill="1" applyBorder="1" applyAlignment="1">
      <alignment horizontal="center" vertical="center"/>
    </xf>
    <xf numFmtId="49" fontId="272" fillId="16" borderId="393" xfId="10" applyNumberFormat="1" applyFont="1" applyFill="1" applyBorder="1" applyAlignment="1">
      <alignment horizontal="center" vertical="center" wrapText="1"/>
    </xf>
    <xf numFmtId="170" fontId="77" fillId="4" borderId="396" xfId="11" applyNumberFormat="1" applyFont="1" applyFill="1" applyBorder="1" applyAlignment="1">
      <alignment horizontal="right"/>
    </xf>
    <xf numFmtId="0" fontId="47" fillId="2" borderId="5" xfId="0" quotePrefix="1" applyFont="1" applyFill="1" applyBorder="1" applyAlignment="1">
      <alignment horizontal="center" vertical="center"/>
    </xf>
    <xf numFmtId="3" fontId="29" fillId="0" borderId="0" xfId="0" applyNumberFormat="1" applyFont="1"/>
    <xf numFmtId="0" fontId="47" fillId="0" borderId="0" xfId="0" applyFont="1"/>
    <xf numFmtId="0" fontId="47" fillId="66" borderId="5" xfId="0" applyFont="1" applyFill="1" applyBorder="1" applyAlignment="1">
      <alignment horizontal="center"/>
    </xf>
    <xf numFmtId="0" fontId="35" fillId="28" borderId="2" xfId="0" applyFont="1" applyFill="1" applyBorder="1" applyAlignment="1">
      <alignment horizontal="center" vertical="center"/>
    </xf>
    <xf numFmtId="0" fontId="35" fillId="28" borderId="7" xfId="0" applyFont="1" applyFill="1" applyBorder="1" applyAlignment="1">
      <alignment horizontal="center" vertical="center"/>
    </xf>
    <xf numFmtId="0" fontId="36" fillId="7" borderId="416" xfId="0" applyFont="1" applyFill="1" applyBorder="1" applyAlignment="1">
      <alignment horizontal="center" vertical="center"/>
    </xf>
    <xf numFmtId="0" fontId="36" fillId="7" borderId="415" xfId="0" applyFont="1" applyFill="1" applyBorder="1" applyAlignment="1">
      <alignment horizontal="center" vertical="center"/>
    </xf>
    <xf numFmtId="171" fontId="289" fillId="2" borderId="8" xfId="0" applyNumberFormat="1" applyFont="1" applyFill="1" applyBorder="1" applyAlignment="1">
      <alignment horizontal="center"/>
    </xf>
    <xf numFmtId="0" fontId="34" fillId="2" borderId="0" xfId="0" applyFont="1" applyFill="1" applyAlignment="1"/>
    <xf numFmtId="0" fontId="34" fillId="2" borderId="0" xfId="0" applyNumberFormat="1" applyFont="1" applyFill="1" applyAlignment="1"/>
    <xf numFmtId="0" fontId="47" fillId="66" borderId="419" xfId="0" applyFont="1" applyFill="1" applyBorder="1" applyAlignment="1">
      <alignment horizontal="center"/>
    </xf>
    <xf numFmtId="3" fontId="149" fillId="0" borderId="420" xfId="2" applyNumberFormat="1" applyFont="1" applyBorder="1" applyAlignment="1">
      <alignment horizontal="right" vertical="center"/>
    </xf>
    <xf numFmtId="3" fontId="149" fillId="0" borderId="421" xfId="2" applyNumberFormat="1" applyFont="1" applyBorder="1" applyAlignment="1">
      <alignment horizontal="right" vertical="center"/>
    </xf>
    <xf numFmtId="3" fontId="29" fillId="0" borderId="421" xfId="2" applyNumberFormat="1" applyFont="1" applyBorder="1" applyAlignment="1">
      <alignment horizontal="right" vertical="center"/>
    </xf>
    <xf numFmtId="165" fontId="30" fillId="7" borderId="422" xfId="1" applyFont="1" applyFill="1" applyBorder="1" applyAlignment="1">
      <alignment horizontal="center" vertical="center" wrapText="1"/>
    </xf>
    <xf numFmtId="165" fontId="30" fillId="7" borderId="9" xfId="1" applyFont="1" applyFill="1" applyBorder="1" applyAlignment="1">
      <alignment horizontal="center" vertical="center" wrapText="1"/>
    </xf>
    <xf numFmtId="0" fontId="47" fillId="2" borderId="423" xfId="0" quotePrefix="1" applyFont="1" applyFill="1" applyBorder="1" applyAlignment="1">
      <alignment horizontal="center" vertical="center"/>
    </xf>
    <xf numFmtId="3" fontId="29" fillId="0" borderId="424" xfId="2" applyNumberFormat="1" applyFont="1" applyBorder="1" applyAlignment="1">
      <alignment horizontal="right" vertical="center"/>
    </xf>
    <xf numFmtId="3" fontId="29" fillId="0" borderId="57" xfId="2" applyNumberFormat="1" applyFont="1" applyBorder="1" applyAlignment="1">
      <alignment horizontal="right" vertical="center"/>
    </xf>
    <xf numFmtId="3" fontId="29" fillId="0" borderId="425" xfId="2" applyNumberFormat="1" applyFont="1" applyBorder="1" applyAlignment="1">
      <alignment horizontal="right" vertical="center"/>
    </xf>
    <xf numFmtId="3" fontId="146" fillId="0" borderId="425" xfId="2" applyNumberFormat="1" applyFont="1" applyBorder="1" applyAlignment="1">
      <alignment horizontal="right" vertical="center"/>
    </xf>
    <xf numFmtId="3" fontId="149" fillId="0" borderId="425" xfId="2" applyNumberFormat="1" applyFont="1" applyBorder="1" applyAlignment="1">
      <alignment horizontal="right" vertical="center"/>
    </xf>
    <xf numFmtId="3" fontId="34" fillId="2" borderId="0" xfId="0" applyNumberFormat="1" applyFont="1" applyFill="1" applyAlignment="1"/>
    <xf numFmtId="3" fontId="29" fillId="2" borderId="0" xfId="0" applyNumberFormat="1" applyFont="1" applyFill="1" applyAlignment="1">
      <alignment horizontal="center"/>
    </xf>
    <xf numFmtId="3" fontId="289" fillId="2" borderId="0" xfId="0" applyNumberFormat="1" applyFont="1" applyFill="1" applyBorder="1" applyAlignment="1">
      <alignment horizontal="center"/>
    </xf>
    <xf numFmtId="3" fontId="29" fillId="28" borderId="417" xfId="0" applyNumberFormat="1" applyFont="1" applyFill="1" applyBorder="1" applyAlignment="1">
      <alignment horizontal="center"/>
    </xf>
    <xf numFmtId="3" fontId="30" fillId="28" borderId="425" xfId="1" applyNumberFormat="1" applyFont="1" applyFill="1" applyBorder="1" applyAlignment="1">
      <alignment horizontal="center" vertical="center"/>
    </xf>
    <xf numFmtId="3" fontId="29" fillId="28" borderId="426" xfId="0" applyNumberFormat="1" applyFont="1" applyFill="1" applyBorder="1" applyAlignment="1">
      <alignment horizontal="center"/>
    </xf>
    <xf numFmtId="3" fontId="47" fillId="66" borderId="425" xfId="0" applyNumberFormat="1" applyFont="1" applyFill="1" applyBorder="1" applyAlignment="1">
      <alignment horizontal="center"/>
    </xf>
    <xf numFmtId="3" fontId="47" fillId="66" borderId="425" xfId="0" quotePrefix="1" applyNumberFormat="1" applyFont="1" applyFill="1" applyBorder="1" applyAlignment="1">
      <alignment horizontal="center"/>
    </xf>
    <xf numFmtId="3" fontId="47" fillId="66" borderId="425" xfId="0" quotePrefix="1" applyNumberFormat="1" applyFont="1" applyFill="1" applyBorder="1" applyAlignment="1">
      <alignment horizontal="center" vertical="center"/>
    </xf>
    <xf numFmtId="3" fontId="29" fillId="0" borderId="425" xfId="0" applyNumberFormat="1" applyFont="1" applyBorder="1"/>
    <xf numFmtId="3" fontId="149" fillId="0" borderId="425" xfId="2" applyNumberFormat="1" applyFont="1" applyBorder="1" applyAlignment="1">
      <alignment vertical="center"/>
    </xf>
    <xf numFmtId="3" fontId="76" fillId="0" borderId="425" xfId="2" applyNumberFormat="1" applyFont="1" applyBorder="1" applyAlignment="1">
      <alignment horizontal="right" vertical="center"/>
    </xf>
    <xf numFmtId="3" fontId="29" fillId="0" borderId="0" xfId="0" applyNumberFormat="1" applyFont="1" applyAlignment="1">
      <alignment horizontal="right"/>
    </xf>
    <xf numFmtId="0" fontId="15" fillId="0" borderId="0" xfId="0" applyFont="1" applyAlignment="1">
      <alignment horizontal="center" vertical="center"/>
    </xf>
    <xf numFmtId="49" fontId="51" fillId="16" borderId="48" xfId="0" applyNumberFormat="1" applyFont="1" applyFill="1" applyBorder="1" applyAlignment="1">
      <alignment horizontal="center" vertical="center"/>
    </xf>
    <xf numFmtId="49" fontId="51" fillId="16" borderId="49" xfId="0" applyNumberFormat="1" applyFont="1" applyFill="1" applyBorder="1" applyAlignment="1">
      <alignment horizontal="center" vertical="center"/>
    </xf>
    <xf numFmtId="49" fontId="51" fillId="16" borderId="73" xfId="0" applyNumberFormat="1" applyFont="1" applyFill="1" applyBorder="1" applyAlignment="1">
      <alignment horizontal="center" vertical="center"/>
    </xf>
    <xf numFmtId="0" fontId="51" fillId="4" borderId="0" xfId="0" applyFont="1" applyFill="1" applyAlignment="1">
      <alignment horizontal="center" wrapText="1"/>
    </xf>
    <xf numFmtId="0" fontId="30" fillId="48" borderId="52" xfId="0" applyFont="1" applyFill="1" applyBorder="1" applyAlignment="1">
      <alignment horizontal="center" vertical="center" wrapText="1"/>
    </xf>
    <xf numFmtId="0" fontId="30" fillId="48" borderId="25" xfId="0" applyFont="1" applyFill="1" applyBorder="1" applyAlignment="1">
      <alignment horizontal="center" vertical="center" wrapText="1"/>
    </xf>
    <xf numFmtId="0" fontId="61" fillId="4" borderId="52" xfId="0" applyFont="1" applyFill="1" applyBorder="1" applyAlignment="1">
      <alignment horizontal="center" vertical="center"/>
    </xf>
    <xf numFmtId="0" fontId="61" fillId="4" borderId="25" xfId="0" applyFont="1" applyFill="1" applyBorder="1" applyAlignment="1">
      <alignment horizontal="center" vertical="center"/>
    </xf>
    <xf numFmtId="0" fontId="30" fillId="0" borderId="17" xfId="0" applyFont="1" applyBorder="1" applyAlignment="1">
      <alignment horizontal="left" vertical="center"/>
    </xf>
    <xf numFmtId="0" fontId="31" fillId="0" borderId="17" xfId="0" applyFont="1" applyBorder="1" applyAlignment="1">
      <alignment horizontal="left" vertical="center"/>
    </xf>
    <xf numFmtId="49" fontId="51" fillId="0" borderId="35" xfId="0" applyNumberFormat="1" applyFont="1" applyBorder="1" applyAlignment="1">
      <alignment horizontal="center" vertical="center"/>
    </xf>
    <xf numFmtId="0" fontId="131" fillId="4" borderId="0" xfId="0" applyFont="1" applyFill="1" applyAlignment="1">
      <alignment horizontal="center" vertical="center" wrapText="1"/>
    </xf>
    <xf numFmtId="0" fontId="51" fillId="34" borderId="52" xfId="0" applyFont="1" applyFill="1" applyBorder="1" applyAlignment="1">
      <alignment horizontal="center" vertical="center" wrapText="1"/>
    </xf>
    <xf numFmtId="0" fontId="51" fillId="34" borderId="25" xfId="0" applyFont="1" applyFill="1" applyBorder="1" applyAlignment="1">
      <alignment horizontal="center" vertical="center" wrapText="1"/>
    </xf>
    <xf numFmtId="0" fontId="62" fillId="4" borderId="52" xfId="0" applyFont="1" applyFill="1" applyBorder="1" applyAlignment="1">
      <alignment horizontal="center" vertical="center"/>
    </xf>
    <xf numFmtId="0" fontId="62" fillId="4" borderId="25" xfId="0" applyFont="1" applyFill="1" applyBorder="1" applyAlignment="1">
      <alignment horizontal="center" vertical="center"/>
    </xf>
    <xf numFmtId="3" fontId="36" fillId="28" borderId="425" xfId="0" applyNumberFormat="1" applyFont="1" applyFill="1" applyBorder="1" applyAlignment="1">
      <alignment horizontal="center" vertical="center"/>
    </xf>
    <xf numFmtId="3" fontId="30" fillId="28" borderId="425" xfId="1" applyNumberFormat="1" applyFont="1" applyFill="1" applyBorder="1" applyAlignment="1">
      <alignment horizontal="center" vertical="center" wrapText="1"/>
    </xf>
    <xf numFmtId="175" fontId="46" fillId="7" borderId="1" xfId="2" applyNumberFormat="1" applyFont="1" applyFill="1" applyBorder="1" applyAlignment="1">
      <alignment horizontal="center" vertical="center" wrapText="1"/>
    </xf>
    <xf numFmtId="175" fontId="46" fillId="7" borderId="6" xfId="2" applyNumberFormat="1" applyFont="1" applyFill="1" applyBorder="1" applyAlignment="1">
      <alignment horizontal="center" vertical="center" wrapText="1"/>
    </xf>
    <xf numFmtId="3" fontId="36" fillId="28" borderId="6" xfId="0" applyNumberFormat="1" applyFont="1" applyFill="1" applyBorder="1" applyAlignment="1">
      <alignment horizontal="center" vertical="center"/>
    </xf>
    <xf numFmtId="0" fontId="47" fillId="66" borderId="5" xfId="0" applyFont="1" applyFill="1" applyBorder="1" applyAlignment="1">
      <alignment horizontal="center"/>
    </xf>
    <xf numFmtId="3" fontId="36" fillId="28" borderId="1" xfId="0" applyNumberFormat="1" applyFont="1" applyFill="1" applyBorder="1" applyAlignment="1">
      <alignment horizontal="center" vertical="center"/>
    </xf>
    <xf numFmtId="0" fontId="36" fillId="28" borderId="1" xfId="0" applyFont="1" applyFill="1" applyBorder="1" applyAlignment="1">
      <alignment horizontal="center" vertical="center" wrapText="1"/>
    </xf>
    <xf numFmtId="0" fontId="36" fillId="28" borderId="6" xfId="0" applyFont="1" applyFill="1" applyBorder="1" applyAlignment="1">
      <alignment horizontal="center" vertical="center" wrapText="1"/>
    </xf>
    <xf numFmtId="0" fontId="36" fillId="28" borderId="418" xfId="0" applyFont="1" applyFill="1" applyBorder="1" applyAlignment="1">
      <alignment horizontal="center" vertical="center" wrapText="1"/>
    </xf>
    <xf numFmtId="0" fontId="36" fillId="28" borderId="295" xfId="0" applyFont="1" applyFill="1" applyBorder="1" applyAlignment="1">
      <alignment horizontal="center" vertical="center" wrapText="1"/>
    </xf>
    <xf numFmtId="0" fontId="202" fillId="4" borderId="9" xfId="0" applyFont="1" applyFill="1" applyBorder="1" applyAlignment="1">
      <alignment horizontal="center" vertical="center"/>
    </xf>
    <xf numFmtId="0" fontId="202" fillId="4" borderId="295" xfId="0" applyFont="1" applyFill="1" applyBorder="1" applyAlignment="1">
      <alignment horizontal="center" vertical="center"/>
    </xf>
    <xf numFmtId="0" fontId="266" fillId="64" borderId="391" xfId="0" applyFont="1" applyFill="1" applyBorder="1" applyAlignment="1">
      <alignment horizontal="center" vertical="center"/>
    </xf>
    <xf numFmtId="0" fontId="266" fillId="64" borderId="251" xfId="0" applyFont="1" applyFill="1" applyBorder="1" applyAlignment="1">
      <alignment horizontal="center" vertical="center"/>
    </xf>
    <xf numFmtId="0" fontId="266" fillId="64" borderId="256" xfId="0" applyFont="1" applyFill="1" applyBorder="1" applyAlignment="1">
      <alignment horizontal="center" vertical="center"/>
    </xf>
    <xf numFmtId="0" fontId="205" fillId="0" borderId="17" xfId="0" applyFont="1" applyBorder="1" applyAlignment="1">
      <alignment horizontal="left" vertical="center"/>
    </xf>
    <xf numFmtId="0" fontId="218" fillId="0" borderId="17" xfId="0" applyFont="1" applyBorder="1" applyAlignment="1">
      <alignment horizontal="left" vertical="center"/>
    </xf>
    <xf numFmtId="49" fontId="206" fillId="0" borderId="360" xfId="0" applyNumberFormat="1" applyFont="1" applyBorder="1" applyAlignment="1">
      <alignment horizontal="center" vertical="center"/>
    </xf>
    <xf numFmtId="49" fontId="206" fillId="0" borderId="317" xfId="0" applyNumberFormat="1" applyFont="1" applyBorder="1" applyAlignment="1">
      <alignment horizontal="center" vertical="center"/>
    </xf>
    <xf numFmtId="49" fontId="206" fillId="0" borderId="361" xfId="0" applyNumberFormat="1" applyFont="1" applyBorder="1" applyAlignment="1">
      <alignment horizontal="center" vertical="center"/>
    </xf>
    <xf numFmtId="0" fontId="183" fillId="28" borderId="120" xfId="0" applyFont="1" applyFill="1" applyBorder="1" applyAlignment="1">
      <alignment horizontal="center" vertical="center"/>
    </xf>
    <xf numFmtId="0" fontId="183" fillId="28" borderId="89" xfId="0" applyFont="1" applyFill="1" applyBorder="1" applyAlignment="1">
      <alignment horizontal="center" vertical="center"/>
    </xf>
    <xf numFmtId="0" fontId="183" fillId="28" borderId="171" xfId="0" applyFont="1" applyFill="1" applyBorder="1" applyAlignment="1">
      <alignment horizontal="center" vertical="center"/>
    </xf>
    <xf numFmtId="0" fontId="183" fillId="28" borderId="285" xfId="0" applyFont="1" applyFill="1" applyBorder="1" applyAlignment="1">
      <alignment horizontal="center" vertical="center"/>
    </xf>
    <xf numFmtId="0" fontId="183" fillId="28" borderId="261" xfId="0" applyFont="1" applyFill="1" applyBorder="1" applyAlignment="1">
      <alignment horizontal="center" vertical="center"/>
    </xf>
    <xf numFmtId="0" fontId="183" fillId="28" borderId="390" xfId="0" applyFont="1" applyFill="1" applyBorder="1" applyAlignment="1">
      <alignment horizontal="center" vertical="center"/>
    </xf>
    <xf numFmtId="0" fontId="97" fillId="4" borderId="0" xfId="0" applyFont="1" applyFill="1" applyAlignment="1">
      <alignment horizontal="center" vertical="center" wrapText="1"/>
    </xf>
    <xf numFmtId="0" fontId="195" fillId="4" borderId="0" xfId="0" applyFont="1" applyFill="1" applyAlignment="1">
      <alignment horizontal="center" vertical="center" wrapText="1"/>
    </xf>
    <xf numFmtId="49" fontId="198" fillId="28" borderId="306" xfId="0" applyNumberFormat="1" applyFont="1" applyFill="1" applyBorder="1" applyAlignment="1">
      <alignment horizontal="center" vertical="center"/>
    </xf>
    <xf numFmtId="0" fontId="198" fillId="28" borderId="307" xfId="0" applyFont="1" applyFill="1" applyBorder="1" applyAlignment="1">
      <alignment horizontal="center" vertical="center" wrapText="1"/>
    </xf>
    <xf numFmtId="170" fontId="21" fillId="28" borderId="307" xfId="0" applyNumberFormat="1" applyFont="1" applyFill="1" applyBorder="1" applyAlignment="1">
      <alignment horizontal="center" vertical="center" wrapText="1"/>
    </xf>
    <xf numFmtId="0" fontId="20" fillId="28" borderId="307" xfId="0" applyFont="1" applyFill="1" applyBorder="1" applyAlignment="1">
      <alignment horizontal="center" vertical="center"/>
    </xf>
    <xf numFmtId="0" fontId="21" fillId="28" borderId="359" xfId="0" applyFont="1" applyFill="1" applyBorder="1" applyAlignment="1">
      <alignment horizontal="center" vertical="center" wrapText="1"/>
    </xf>
    <xf numFmtId="0" fontId="21" fillId="28" borderId="125" xfId="0" applyFont="1" applyFill="1" applyBorder="1" applyAlignment="1">
      <alignment horizontal="center" vertical="center" wrapText="1"/>
    </xf>
    <xf numFmtId="170" fontId="199" fillId="28" borderId="308" xfId="0" applyNumberFormat="1" applyFont="1" applyFill="1" applyBorder="1" applyAlignment="1">
      <alignment horizontal="center" vertical="center" wrapText="1"/>
    </xf>
    <xf numFmtId="165" fontId="30" fillId="27" borderId="52" xfId="1" applyFont="1" applyFill="1" applyBorder="1" applyAlignment="1">
      <alignment horizontal="center" vertical="center" wrapText="1"/>
    </xf>
    <xf numFmtId="49" fontId="30" fillId="27" borderId="5" xfId="0" applyNumberFormat="1" applyFont="1" applyFill="1" applyBorder="1" applyAlignment="1">
      <alignment horizontal="center" vertical="center"/>
    </xf>
    <xf numFmtId="0" fontId="30" fillId="27" borderId="5" xfId="0" applyFont="1" applyFill="1" applyBorder="1" applyAlignment="1">
      <alignment horizontal="center" vertical="center"/>
    </xf>
    <xf numFmtId="0" fontId="72" fillId="0" borderId="17" xfId="0" applyFont="1" applyBorder="1" applyAlignment="1">
      <alignment horizontal="left" vertical="center" wrapText="1"/>
    </xf>
    <xf numFmtId="0" fontId="172" fillId="4" borderId="0" xfId="0" applyFont="1" applyFill="1" applyAlignment="1">
      <alignment horizontal="center" vertical="center"/>
    </xf>
    <xf numFmtId="49" fontId="30" fillId="27" borderId="5" xfId="0" applyNumberFormat="1" applyFont="1" applyFill="1" applyBorder="1" applyAlignment="1">
      <alignment horizontal="center" vertical="center" wrapText="1"/>
    </xf>
    <xf numFmtId="0" fontId="30" fillId="27" borderId="5" xfId="0" applyFont="1" applyFill="1" applyBorder="1" applyAlignment="1">
      <alignment horizontal="center" vertical="center" wrapText="1"/>
    </xf>
    <xf numFmtId="41" fontId="30" fillId="27" borderId="1" xfId="0" applyNumberFormat="1" applyFont="1" applyFill="1" applyBorder="1" applyAlignment="1">
      <alignment horizontal="center" vertical="center" wrapText="1"/>
    </xf>
    <xf numFmtId="41" fontId="30" fillId="27" borderId="6" xfId="0" applyNumberFormat="1" applyFont="1" applyFill="1" applyBorder="1" applyAlignment="1">
      <alignment horizontal="center" vertical="center" wrapText="1"/>
    </xf>
    <xf numFmtId="165" fontId="30" fillId="27" borderId="5" xfId="1" applyFont="1" applyFill="1" applyBorder="1" applyAlignment="1">
      <alignment horizontal="center" vertical="center" wrapText="1"/>
    </xf>
    <xf numFmtId="165" fontId="30" fillId="27" borderId="25" xfId="1" applyFont="1" applyFill="1" applyBorder="1" applyAlignment="1">
      <alignment horizontal="center" vertical="center"/>
    </xf>
    <xf numFmtId="165" fontId="30" fillId="27" borderId="31" xfId="1" applyFont="1" applyFill="1" applyBorder="1" applyAlignment="1">
      <alignment horizontal="center" vertical="center"/>
    </xf>
    <xf numFmtId="165" fontId="30" fillId="27" borderId="52" xfId="1" applyFont="1" applyFill="1" applyBorder="1" applyAlignment="1">
      <alignment horizontal="center" vertical="center"/>
    </xf>
    <xf numFmtId="165" fontId="30" fillId="27" borderId="2" xfId="1" applyFont="1" applyFill="1" applyBorder="1" applyAlignment="1">
      <alignment horizontal="center" vertical="top" wrapText="1"/>
    </xf>
    <xf numFmtId="165" fontId="30" fillId="27" borderId="7" xfId="1" applyFont="1" applyFill="1" applyBorder="1" applyAlignment="1">
      <alignment horizontal="center" vertical="top" wrapText="1"/>
    </xf>
    <xf numFmtId="165" fontId="148" fillId="27" borderId="298" xfId="1" applyFont="1" applyFill="1" applyBorder="1" applyAlignment="1">
      <alignment horizontal="center" vertical="center"/>
    </xf>
    <xf numFmtId="165" fontId="148" fillId="27" borderId="265" xfId="1" applyFont="1" applyFill="1" applyBorder="1" applyAlignment="1">
      <alignment horizontal="center" vertical="center"/>
    </xf>
    <xf numFmtId="49" fontId="30" fillId="0" borderId="5" xfId="0" applyNumberFormat="1" applyFont="1" applyBorder="1" applyAlignment="1">
      <alignment horizontal="center" vertical="center"/>
    </xf>
    <xf numFmtId="49" fontId="30" fillId="0" borderId="25" xfId="0" applyNumberFormat="1" applyFont="1" applyBorder="1" applyAlignment="1">
      <alignment horizontal="center" vertical="center"/>
    </xf>
    <xf numFmtId="0" fontId="108" fillId="11" borderId="67" xfId="0" applyFont="1" applyFill="1" applyBorder="1" applyAlignment="1">
      <alignment horizontal="center" vertical="center"/>
    </xf>
    <xf numFmtId="0" fontId="108" fillId="11" borderId="112" xfId="0" applyFont="1" applyFill="1" applyBorder="1" applyAlignment="1">
      <alignment horizontal="center" vertical="center"/>
    </xf>
    <xf numFmtId="0" fontId="108" fillId="36" borderId="36" xfId="0" applyFont="1" applyFill="1" applyBorder="1" applyAlignment="1">
      <alignment horizontal="center" vertical="center"/>
    </xf>
    <xf numFmtId="0" fontId="108" fillId="36" borderId="166" xfId="0" applyFont="1" applyFill="1" applyBorder="1" applyAlignment="1">
      <alignment horizontal="center" vertical="center"/>
    </xf>
    <xf numFmtId="165" fontId="30" fillId="27" borderId="120" xfId="1" applyFont="1" applyFill="1" applyBorder="1" applyAlignment="1">
      <alignment horizontal="center" vertical="center"/>
    </xf>
    <xf numFmtId="165" fontId="148" fillId="27" borderId="285" xfId="1" applyFont="1" applyFill="1" applyBorder="1" applyAlignment="1">
      <alignment horizontal="center" vertical="center"/>
    </xf>
    <xf numFmtId="0" fontId="37" fillId="2" borderId="5" xfId="0" applyFont="1" applyFill="1" applyBorder="1" applyAlignment="1">
      <alignment horizontal="center"/>
    </xf>
    <xf numFmtId="0" fontId="29" fillId="2" borderId="5" xfId="0" applyFont="1" applyFill="1" applyBorder="1" applyAlignment="1">
      <alignment horizontal="center"/>
    </xf>
    <xf numFmtId="0" fontId="168" fillId="2" borderId="0" xfId="0" applyFont="1" applyFill="1" applyAlignment="1">
      <alignment horizontal="center"/>
    </xf>
    <xf numFmtId="0" fontId="34" fillId="2" borderId="0" xfId="0" applyFont="1" applyFill="1" applyAlignment="1">
      <alignment horizontal="center"/>
    </xf>
    <xf numFmtId="171" fontId="44" fillId="2" borderId="0" xfId="0" applyNumberFormat="1" applyFont="1" applyFill="1" applyAlignment="1">
      <alignment horizontal="right"/>
    </xf>
    <xf numFmtId="3" fontId="36" fillId="7" borderId="2" xfId="0" applyNumberFormat="1" applyFont="1" applyFill="1" applyBorder="1" applyAlignment="1">
      <alignment horizontal="center" vertical="center" wrapText="1"/>
    </xf>
    <xf numFmtId="3" fontId="36" fillId="7" borderId="3" xfId="0" applyNumberFormat="1" applyFont="1" applyFill="1" applyBorder="1" applyAlignment="1">
      <alignment horizontal="center" vertical="center" wrapText="1"/>
    </xf>
    <xf numFmtId="3" fontId="36" fillId="7" borderId="4" xfId="0" applyNumberFormat="1" applyFont="1" applyFill="1" applyBorder="1" applyAlignment="1">
      <alignment horizontal="center" vertical="center" wrapText="1"/>
    </xf>
    <xf numFmtId="3" fontId="36" fillId="7" borderId="7" xfId="0" applyNumberFormat="1" applyFont="1" applyFill="1" applyBorder="1" applyAlignment="1">
      <alignment horizontal="center" vertical="center" wrapText="1"/>
    </xf>
    <xf numFmtId="3" fontId="36" fillId="7" borderId="8" xfId="0" applyNumberFormat="1" applyFont="1" applyFill="1" applyBorder="1" applyAlignment="1">
      <alignment horizontal="center" vertical="center" wrapText="1"/>
    </xf>
    <xf numFmtId="3" fontId="36" fillId="7" borderId="9" xfId="0" applyNumberFormat="1" applyFont="1" applyFill="1" applyBorder="1" applyAlignment="1">
      <alignment horizontal="center" vertical="center" wrapText="1"/>
    </xf>
    <xf numFmtId="3" fontId="36" fillId="7" borderId="1" xfId="0" applyNumberFormat="1" applyFont="1" applyFill="1" applyBorder="1" applyAlignment="1">
      <alignment horizontal="center" vertical="center"/>
    </xf>
    <xf numFmtId="0" fontId="36" fillId="7" borderId="1" xfId="0" applyFont="1" applyFill="1" applyBorder="1" applyAlignment="1">
      <alignment horizontal="center" vertical="center" wrapText="1"/>
    </xf>
    <xf numFmtId="0" fontId="36" fillId="7" borderId="6" xfId="0" applyFont="1" applyFill="1" applyBorder="1" applyAlignment="1">
      <alignment horizontal="center" vertical="center" wrapText="1"/>
    </xf>
    <xf numFmtId="0" fontId="36" fillId="7" borderId="5" xfId="0" applyFont="1" applyFill="1" applyBorder="1" applyAlignment="1">
      <alignment horizontal="center" vertical="center"/>
    </xf>
    <xf numFmtId="165" fontId="30" fillId="7" borderId="301" xfId="1" applyFont="1" applyFill="1" applyBorder="1" applyAlignment="1">
      <alignment horizontal="center" vertical="center" wrapText="1"/>
    </xf>
    <xf numFmtId="165" fontId="30" fillId="7" borderId="294" xfId="1" applyFont="1" applyFill="1" applyBorder="1" applyAlignment="1">
      <alignment horizontal="center" vertical="center" wrapText="1"/>
    </xf>
    <xf numFmtId="0" fontId="45" fillId="7" borderId="52" xfId="0" applyFont="1" applyFill="1" applyBorder="1" applyAlignment="1">
      <alignment horizontal="center" vertical="center"/>
    </xf>
    <xf numFmtId="3" fontId="36" fillId="7" borderId="6" xfId="0" applyNumberFormat="1" applyFont="1" applyFill="1" applyBorder="1" applyAlignment="1">
      <alignment horizontal="center" vertical="center"/>
    </xf>
    <xf numFmtId="49" fontId="97" fillId="0" borderId="0" xfId="0" applyNumberFormat="1" applyFont="1" applyAlignment="1">
      <alignment horizontal="center" vertical="center"/>
    </xf>
    <xf numFmtId="49" fontId="97" fillId="2" borderId="0" xfId="0" applyNumberFormat="1" applyFont="1" applyFill="1" applyAlignment="1">
      <alignment horizontal="center"/>
    </xf>
    <xf numFmtId="0" fontId="73" fillId="0" borderId="17" xfId="0" applyFont="1" applyBorder="1" applyAlignment="1">
      <alignment horizontal="left" vertical="center" wrapText="1"/>
    </xf>
    <xf numFmtId="0" fontId="20" fillId="28" borderId="35" xfId="0" applyFont="1" applyFill="1" applyBorder="1" applyAlignment="1">
      <alignment horizontal="center" vertical="center"/>
    </xf>
    <xf numFmtId="0" fontId="62" fillId="4" borderId="9" xfId="0" applyFont="1" applyFill="1" applyBorder="1" applyAlignment="1">
      <alignment horizontal="center" vertical="center"/>
    </xf>
    <xf numFmtId="0" fontId="62" fillId="4" borderId="7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0" fontId="21" fillId="28" borderId="191" xfId="0" applyNumberFormat="1" applyFont="1" applyFill="1" applyBorder="1" applyAlignment="1">
      <alignment horizontal="center" vertical="center" wrapText="1"/>
    </xf>
    <xf numFmtId="49" fontId="51" fillId="0" borderId="172" xfId="0" applyNumberFormat="1" applyFont="1" applyBorder="1" applyAlignment="1">
      <alignment horizontal="center" vertical="center"/>
    </xf>
    <xf numFmtId="49" fontId="34" fillId="28" borderId="172" xfId="0" applyNumberFormat="1" applyFont="1" applyFill="1" applyBorder="1" applyAlignment="1">
      <alignment horizontal="center" vertical="center"/>
    </xf>
    <xf numFmtId="170" fontId="21" fillId="28" borderId="35" xfId="0" applyNumberFormat="1" applyFont="1" applyFill="1" applyBorder="1" applyAlignment="1">
      <alignment horizontal="center" vertical="center" wrapText="1"/>
    </xf>
    <xf numFmtId="0" fontId="34" fillId="28" borderId="35" xfId="0" applyFont="1" applyFill="1" applyBorder="1" applyAlignment="1">
      <alignment horizontal="center" vertical="center" wrapText="1"/>
    </xf>
    <xf numFmtId="0" fontId="186" fillId="0" borderId="17" xfId="0" applyFont="1" applyBorder="1" applyAlignment="1">
      <alignment horizontal="left" vertical="center" wrapText="1"/>
    </xf>
    <xf numFmtId="0" fontId="97" fillId="4" borderId="0" xfId="0" applyFont="1" applyFill="1" applyAlignment="1">
      <alignment horizontal="center" vertical="center"/>
    </xf>
    <xf numFmtId="165" fontId="148" fillId="27" borderId="272" xfId="1" applyFont="1" applyFill="1" applyBorder="1" applyAlignment="1">
      <alignment horizontal="center" vertical="center"/>
    </xf>
    <xf numFmtId="165" fontId="148" fillId="27" borderId="273" xfId="1" applyFont="1" applyFill="1" applyBorder="1" applyAlignment="1">
      <alignment horizontal="center" vertical="center"/>
    </xf>
    <xf numFmtId="0" fontId="61" fillId="0" borderId="35" xfId="0" applyFont="1" applyBorder="1" applyAlignment="1">
      <alignment horizontal="center"/>
    </xf>
    <xf numFmtId="0" fontId="30" fillId="0" borderId="17" xfId="0" applyFont="1" applyBorder="1" applyAlignment="1">
      <alignment horizontal="left"/>
    </xf>
    <xf numFmtId="0" fontId="31" fillId="0" borderId="24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49" fontId="30" fillId="0" borderId="48" xfId="0" applyNumberFormat="1" applyFont="1" applyBorder="1" applyAlignment="1">
      <alignment horizontal="center" vertical="center"/>
    </xf>
    <xf numFmtId="49" fontId="30" fillId="0" borderId="49" xfId="0" applyNumberFormat="1" applyFont="1" applyBorder="1" applyAlignment="1">
      <alignment horizontal="center" vertical="center"/>
    </xf>
    <xf numFmtId="49" fontId="30" fillId="0" borderId="73" xfId="0" applyNumberFormat="1" applyFont="1" applyBorder="1" applyAlignment="1">
      <alignment horizontal="center" vertical="center"/>
    </xf>
    <xf numFmtId="170" fontId="30" fillId="9" borderId="1" xfId="0" applyNumberFormat="1" applyFont="1" applyFill="1" applyBorder="1" applyAlignment="1">
      <alignment horizontal="center" vertical="center" wrapText="1"/>
    </xf>
    <xf numFmtId="170" fontId="30" fillId="9" borderId="28" xfId="0" applyNumberFormat="1" applyFont="1" applyFill="1" applyBorder="1" applyAlignment="1">
      <alignment horizontal="center" vertical="center" wrapText="1"/>
    </xf>
    <xf numFmtId="0" fontId="30" fillId="9" borderId="52" xfId="0" applyFont="1" applyFill="1" applyBorder="1" applyAlignment="1">
      <alignment horizontal="center" vertical="center" wrapText="1"/>
    </xf>
    <xf numFmtId="0" fontId="30" fillId="9" borderId="5" xfId="0" applyFont="1" applyFill="1" applyBorder="1" applyAlignment="1">
      <alignment horizontal="center" vertical="center" wrapText="1"/>
    </xf>
    <xf numFmtId="0" fontId="30" fillId="9" borderId="4" xfId="0" applyFont="1" applyFill="1" applyBorder="1" applyAlignment="1">
      <alignment horizontal="center" vertical="center" wrapText="1"/>
    </xf>
    <xf numFmtId="0" fontId="30" fillId="9" borderId="1" xfId="0" applyFont="1" applyFill="1" applyBorder="1" applyAlignment="1">
      <alignment horizontal="center" vertical="center" wrapText="1"/>
    </xf>
    <xf numFmtId="0" fontId="30" fillId="9" borderId="25" xfId="0" applyFont="1" applyFill="1" applyBorder="1" applyAlignment="1">
      <alignment horizontal="center" vertical="center" wrapText="1"/>
    </xf>
    <xf numFmtId="0" fontId="30" fillId="9" borderId="2" xfId="0" applyFont="1" applyFill="1" applyBorder="1" applyAlignment="1">
      <alignment horizontal="center" vertical="center" wrapText="1"/>
    </xf>
    <xf numFmtId="174" fontId="29" fillId="0" borderId="18" xfId="0" applyNumberFormat="1" applyFont="1" applyBorder="1" applyAlignment="1">
      <alignment vertical="top" wrapText="1"/>
    </xf>
    <xf numFmtId="0" fontId="35" fillId="2" borderId="0" xfId="0" applyFont="1" applyFill="1" applyAlignment="1">
      <alignment horizontal="left"/>
    </xf>
    <xf numFmtId="164" fontId="38" fillId="2" borderId="8" xfId="0" applyNumberFormat="1" applyFont="1" applyFill="1" applyBorder="1" applyAlignment="1">
      <alignment horizontal="left"/>
    </xf>
    <xf numFmtId="170" fontId="30" fillId="9" borderId="5" xfId="0" applyNumberFormat="1" applyFont="1" applyFill="1" applyBorder="1" applyAlignment="1">
      <alignment horizontal="center" vertical="center" wrapText="1"/>
    </xf>
    <xf numFmtId="49" fontId="61" fillId="0" borderId="5" xfId="0" applyNumberFormat="1" applyFont="1" applyBorder="1" applyAlignment="1">
      <alignment horizontal="center"/>
    </xf>
    <xf numFmtId="0" fontId="61" fillId="0" borderId="25" xfId="0" applyFont="1" applyBorder="1" applyAlignment="1">
      <alignment horizontal="center"/>
    </xf>
    <xf numFmtId="0" fontId="61" fillId="0" borderId="31" xfId="0" applyFont="1" applyBorder="1" applyAlignment="1">
      <alignment horizontal="center"/>
    </xf>
    <xf numFmtId="0" fontId="30" fillId="13" borderId="89" xfId="0" applyFont="1" applyFill="1" applyBorder="1" applyAlignment="1">
      <alignment horizontal="center" vertical="center" wrapText="1"/>
    </xf>
    <xf numFmtId="0" fontId="30" fillId="11" borderId="29" xfId="0" applyFont="1" applyFill="1" applyBorder="1" applyAlignment="1">
      <alignment horizontal="left"/>
    </xf>
    <xf numFmtId="0" fontId="30" fillId="11" borderId="0" xfId="0" applyFont="1" applyFill="1" applyAlignment="1">
      <alignment horizontal="left"/>
    </xf>
    <xf numFmtId="0" fontId="30" fillId="11" borderId="54" xfId="0" applyFont="1" applyFill="1" applyBorder="1" applyAlignment="1">
      <alignment horizontal="left"/>
    </xf>
    <xf numFmtId="0" fontId="29" fillId="0" borderId="17" xfId="0" applyFont="1" applyBorder="1" applyAlignment="1">
      <alignment horizontal="left"/>
    </xf>
    <xf numFmtId="0" fontId="29" fillId="0" borderId="18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0" fillId="0" borderId="24" xfId="0" applyFont="1" applyBorder="1" applyAlignment="1">
      <alignment horizontal="left"/>
    </xf>
    <xf numFmtId="0" fontId="53" fillId="0" borderId="29" xfId="0" applyFont="1" applyBorder="1" applyAlignment="1">
      <alignment horizontal="center" wrapText="1"/>
    </xf>
    <xf numFmtId="0" fontId="53" fillId="0" borderId="0" xfId="0" applyFont="1" applyAlignment="1">
      <alignment horizontal="center" wrapText="1"/>
    </xf>
    <xf numFmtId="49" fontId="30" fillId="0" borderId="113" xfId="0" applyNumberFormat="1" applyFont="1" applyBorder="1" applyAlignment="1">
      <alignment horizontal="center" vertical="center"/>
    </xf>
    <xf numFmtId="49" fontId="30" fillId="0" borderId="66" xfId="0" applyNumberFormat="1" applyFont="1" applyBorder="1" applyAlignment="1">
      <alignment horizontal="center" vertical="center"/>
    </xf>
    <xf numFmtId="49" fontId="30" fillId="0" borderId="128" xfId="0" applyNumberFormat="1" applyFont="1" applyBorder="1" applyAlignment="1">
      <alignment horizontal="center" vertical="center"/>
    </xf>
    <xf numFmtId="0" fontId="38" fillId="9" borderId="70" xfId="0" applyFont="1" applyFill="1" applyBorder="1" applyAlignment="1">
      <alignment horizontal="center" vertical="center" wrapText="1"/>
    </xf>
    <xf numFmtId="0" fontId="38" fillId="9" borderId="71" xfId="0" applyFont="1" applyFill="1" applyBorder="1" applyAlignment="1">
      <alignment horizontal="center" vertical="center" wrapText="1"/>
    </xf>
    <xf numFmtId="0" fontId="35" fillId="9" borderId="70" xfId="0" applyFont="1" applyFill="1" applyBorder="1" applyAlignment="1">
      <alignment horizontal="center" vertical="center" wrapText="1"/>
    </xf>
    <xf numFmtId="0" fontId="35" fillId="9" borderId="71" xfId="0" applyFont="1" applyFill="1" applyBorder="1" applyAlignment="1">
      <alignment horizontal="center" vertical="center" wrapText="1"/>
    </xf>
    <xf numFmtId="165" fontId="29" fillId="0" borderId="16" xfId="3" applyNumberFormat="1" applyFont="1" applyBorder="1" applyAlignment="1">
      <alignment horizontal="left" vertical="top" wrapText="1"/>
    </xf>
    <xf numFmtId="165" fontId="29" fillId="0" borderId="10" xfId="3" applyNumberFormat="1" applyFont="1" applyBorder="1" applyAlignment="1">
      <alignment horizontal="left" vertical="top" wrapText="1"/>
    </xf>
    <xf numFmtId="165" fontId="39" fillId="0" borderId="16" xfId="0" applyNumberFormat="1" applyFont="1" applyBorder="1" applyAlignment="1">
      <alignment horizontal="left" vertical="top" wrapText="1"/>
    </xf>
    <xf numFmtId="49" fontId="30" fillId="9" borderId="5" xfId="0" applyNumberFormat="1" applyFont="1" applyFill="1" applyBorder="1" applyAlignment="1">
      <alignment horizontal="center" vertical="center" wrapText="1"/>
    </xf>
    <xf numFmtId="0" fontId="30" fillId="9" borderId="3" xfId="0" applyFont="1" applyFill="1" applyBorder="1" applyAlignment="1">
      <alignment horizontal="center" vertical="center" wrapText="1"/>
    </xf>
    <xf numFmtId="0" fontId="30" fillId="9" borderId="7" xfId="0" applyFont="1" applyFill="1" applyBorder="1" applyAlignment="1">
      <alignment horizontal="center" vertical="center" wrapText="1"/>
    </xf>
    <xf numFmtId="0" fontId="30" fillId="9" borderId="8" xfId="0" applyFont="1" applyFill="1" applyBorder="1" applyAlignment="1">
      <alignment horizontal="center" vertical="center" wrapText="1"/>
    </xf>
    <xf numFmtId="49" fontId="30" fillId="0" borderId="67" xfId="0" applyNumberFormat="1" applyFont="1" applyBorder="1" applyAlignment="1">
      <alignment horizontal="center" vertical="center"/>
    </xf>
    <xf numFmtId="49" fontId="30" fillId="0" borderId="50" xfId="0" applyNumberFormat="1" applyFont="1" applyBorder="1" applyAlignment="1">
      <alignment horizontal="center" vertical="center"/>
    </xf>
    <xf numFmtId="49" fontId="30" fillId="0" borderId="112" xfId="0" applyNumberFormat="1" applyFont="1" applyBorder="1" applyAlignment="1">
      <alignment horizontal="center" vertical="center"/>
    </xf>
    <xf numFmtId="0" fontId="30" fillId="15" borderId="79" xfId="0" applyFont="1" applyFill="1" applyBorder="1" applyAlignment="1">
      <alignment horizontal="left" vertical="center" wrapText="1"/>
    </xf>
    <xf numFmtId="0" fontId="30" fillId="15" borderId="66" xfId="0" applyFont="1" applyFill="1" applyBorder="1" applyAlignment="1">
      <alignment horizontal="left" vertical="center" wrapText="1"/>
    </xf>
    <xf numFmtId="0" fontId="30" fillId="15" borderId="114" xfId="0" applyFont="1" applyFill="1" applyBorder="1" applyAlignment="1">
      <alignment horizontal="left" vertical="center" wrapText="1"/>
    </xf>
    <xf numFmtId="0" fontId="73" fillId="0" borderId="11" xfId="0" applyFont="1" applyBorder="1" applyAlignment="1">
      <alignment horizontal="left"/>
    </xf>
    <xf numFmtId="0" fontId="73" fillId="0" borderId="12" xfId="0" applyFont="1" applyBorder="1" applyAlignment="1">
      <alignment horizontal="left"/>
    </xf>
    <xf numFmtId="0" fontId="30" fillId="11" borderId="79" xfId="0" applyFont="1" applyFill="1" applyBorder="1" applyAlignment="1">
      <alignment horizontal="left"/>
    </xf>
    <xf numFmtId="0" fontId="30" fillId="11" borderId="66" xfId="0" applyFont="1" applyFill="1" applyBorder="1" applyAlignment="1">
      <alignment horizontal="left"/>
    </xf>
    <xf numFmtId="0" fontId="30" fillId="11" borderId="114" xfId="0" applyFont="1" applyFill="1" applyBorder="1" applyAlignment="1">
      <alignment horizontal="left"/>
    </xf>
    <xf numFmtId="165" fontId="29" fillId="0" borderId="23" xfId="3" applyNumberFormat="1" applyFont="1" applyBorder="1" applyAlignment="1">
      <alignment horizontal="left" vertical="top" wrapText="1"/>
    </xf>
    <xf numFmtId="165" fontId="39" fillId="0" borderId="28" xfId="0" applyNumberFormat="1" applyFont="1" applyBorder="1" applyAlignment="1">
      <alignment horizontal="left" vertical="top" wrapText="1"/>
    </xf>
    <xf numFmtId="165" fontId="39" fillId="0" borderId="26" xfId="0" applyNumberFormat="1" applyFont="1" applyBorder="1" applyAlignment="1">
      <alignment horizontal="left" vertical="top" wrapText="1"/>
    </xf>
    <xf numFmtId="0" fontId="30" fillId="13" borderId="0" xfId="0" applyFont="1" applyFill="1" applyAlignment="1">
      <alignment horizontal="center" vertical="center" wrapText="1"/>
    </xf>
    <xf numFmtId="0" fontId="30" fillId="15" borderId="73" xfId="0" applyFont="1" applyFill="1" applyBorder="1" applyAlignment="1">
      <alignment horizontal="left" vertical="center" wrapText="1"/>
    </xf>
    <xf numFmtId="0" fontId="30" fillId="15" borderId="50" xfId="0" applyFont="1" applyFill="1" applyBorder="1" applyAlignment="1">
      <alignment horizontal="left" vertical="center" wrapText="1"/>
    </xf>
    <xf numFmtId="0" fontId="30" fillId="15" borderId="60" xfId="0" applyFont="1" applyFill="1" applyBorder="1" applyAlignment="1">
      <alignment horizontal="left" vertical="center" wrapText="1"/>
    </xf>
    <xf numFmtId="0" fontId="73" fillId="0" borderId="69" xfId="0" applyFont="1" applyBorder="1" applyAlignment="1">
      <alignment horizontal="left"/>
    </xf>
    <xf numFmtId="0" fontId="73" fillId="0" borderId="93" xfId="0" applyFont="1" applyBorder="1" applyAlignment="1">
      <alignment horizontal="left"/>
    </xf>
    <xf numFmtId="0" fontId="30" fillId="11" borderId="73" xfId="0" applyFont="1" applyFill="1" applyBorder="1" applyAlignment="1">
      <alignment horizontal="left"/>
    </xf>
    <xf numFmtId="0" fontId="30" fillId="11" borderId="50" xfId="0" applyFont="1" applyFill="1" applyBorder="1" applyAlignment="1">
      <alignment horizontal="left"/>
    </xf>
    <xf numFmtId="0" fontId="30" fillId="11" borderId="60" xfId="0" applyFont="1" applyFill="1" applyBorder="1" applyAlignment="1">
      <alignment horizontal="left"/>
    </xf>
    <xf numFmtId="165" fontId="30" fillId="27" borderId="123" xfId="1" applyFont="1" applyFill="1" applyBorder="1" applyAlignment="1">
      <alignment horizontal="center" vertical="top" wrapText="1"/>
    </xf>
    <xf numFmtId="0" fontId="24" fillId="2" borderId="5" xfId="0" applyFont="1" applyFill="1" applyBorder="1" applyAlignment="1">
      <alignment horizontal="center" vertical="center"/>
    </xf>
    <xf numFmtId="0" fontId="15" fillId="2" borderId="0" xfId="0" applyFont="1" applyFill="1" applyAlignment="1">
      <alignment horizontal="center"/>
    </xf>
    <xf numFmtId="171" fontId="27" fillId="2" borderId="8" xfId="0" applyNumberFormat="1" applyFont="1" applyFill="1" applyBorder="1" applyAlignment="1">
      <alignment horizontal="right"/>
    </xf>
    <xf numFmtId="0" fontId="18" fillId="2" borderId="5" xfId="0" applyFont="1" applyFill="1" applyBorder="1" applyAlignment="1">
      <alignment horizontal="center" vertical="center"/>
    </xf>
    <xf numFmtId="167" fontId="16" fillId="2" borderId="0" xfId="0" applyNumberFormat="1" applyFont="1" applyFill="1" applyAlignment="1">
      <alignment horizontal="center"/>
    </xf>
    <xf numFmtId="0" fontId="18" fillId="2" borderId="1" xfId="0" applyFont="1" applyFill="1" applyBorder="1" applyAlignment="1">
      <alignment horizontal="center" vertical="center"/>
    </xf>
    <xf numFmtId="0" fontId="18" fillId="2" borderId="6" xfId="0" applyFont="1" applyFill="1" applyBorder="1" applyAlignment="1">
      <alignment horizontal="center" vertical="center"/>
    </xf>
    <xf numFmtId="0" fontId="25" fillId="0" borderId="22" xfId="0" applyFont="1" applyBorder="1" applyAlignment="1">
      <alignment horizontal="left" vertical="center" wrapText="1"/>
    </xf>
    <xf numFmtId="0" fontId="25" fillId="0" borderId="19" xfId="0" applyFont="1" applyBorder="1" applyAlignment="1">
      <alignment horizontal="left" vertical="center" wrapText="1"/>
    </xf>
    <xf numFmtId="0" fontId="25" fillId="0" borderId="20" xfId="0" applyFont="1" applyBorder="1" applyAlignment="1">
      <alignment horizontal="left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5" fillId="2" borderId="6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23" fillId="2" borderId="6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 wrapText="1"/>
    </xf>
    <xf numFmtId="0" fontId="24" fillId="2" borderId="6" xfId="0" applyFont="1" applyFill="1" applyBorder="1" applyAlignment="1">
      <alignment horizontal="center" vertical="center" wrapText="1"/>
    </xf>
    <xf numFmtId="3" fontId="24" fillId="2" borderId="2" xfId="0" applyNumberFormat="1" applyFont="1" applyFill="1" applyBorder="1" applyAlignment="1">
      <alignment horizontal="center" vertical="center" wrapText="1"/>
    </xf>
    <xf numFmtId="3" fontId="24" fillId="2" borderId="3" xfId="0" applyNumberFormat="1" applyFont="1" applyFill="1" applyBorder="1" applyAlignment="1">
      <alignment horizontal="center" vertical="center" wrapText="1"/>
    </xf>
    <xf numFmtId="3" fontId="24" fillId="2" borderId="4" xfId="0" applyNumberFormat="1" applyFont="1" applyFill="1" applyBorder="1" applyAlignment="1">
      <alignment horizontal="center" vertical="center" wrapText="1"/>
    </xf>
    <xf numFmtId="3" fontId="24" fillId="2" borderId="7" xfId="0" applyNumberFormat="1" applyFont="1" applyFill="1" applyBorder="1" applyAlignment="1">
      <alignment horizontal="center" vertical="center" wrapText="1"/>
    </xf>
    <xf numFmtId="3" fontId="24" fillId="2" borderId="8" xfId="0" applyNumberFormat="1" applyFont="1" applyFill="1" applyBorder="1" applyAlignment="1">
      <alignment horizontal="center" vertical="center" wrapText="1"/>
    </xf>
    <xf numFmtId="3" fontId="24" fillId="2" borderId="9" xfId="0" applyNumberFormat="1" applyFont="1" applyFill="1" applyBorder="1" applyAlignment="1">
      <alignment horizontal="center" vertical="center" wrapText="1"/>
    </xf>
    <xf numFmtId="3" fontId="18" fillId="2" borderId="2" xfId="0" applyNumberFormat="1" applyFont="1" applyFill="1" applyBorder="1" applyAlignment="1">
      <alignment horizontal="center" vertical="center" wrapText="1"/>
    </xf>
    <xf numFmtId="3" fontId="18" fillId="2" borderId="3" xfId="0" applyNumberFormat="1" applyFont="1" applyFill="1" applyBorder="1" applyAlignment="1">
      <alignment horizontal="center" vertical="center" wrapText="1"/>
    </xf>
    <xf numFmtId="3" fontId="18" fillId="2" borderId="4" xfId="0" applyNumberFormat="1" applyFont="1" applyFill="1" applyBorder="1" applyAlignment="1">
      <alignment horizontal="center" vertical="center" wrapText="1"/>
    </xf>
    <xf numFmtId="3" fontId="18" fillId="2" borderId="7" xfId="0" applyNumberFormat="1" applyFont="1" applyFill="1" applyBorder="1" applyAlignment="1">
      <alignment horizontal="center" vertical="center" wrapText="1"/>
    </xf>
    <xf numFmtId="3" fontId="18" fillId="2" borderId="8" xfId="0" applyNumberFormat="1" applyFont="1" applyFill="1" applyBorder="1" applyAlignment="1">
      <alignment horizontal="center" vertical="center" wrapText="1"/>
    </xf>
    <xf numFmtId="3" fontId="18" fillId="2" borderId="9" xfId="0" applyNumberFormat="1" applyFont="1" applyFill="1" applyBorder="1" applyAlignment="1">
      <alignment horizontal="center" vertical="center" wrapText="1"/>
    </xf>
    <xf numFmtId="0" fontId="20" fillId="4" borderId="0" xfId="0" applyFont="1" applyFill="1" applyAlignment="1">
      <alignment horizontal="center"/>
    </xf>
    <xf numFmtId="171" fontId="27" fillId="4" borderId="8" xfId="0" applyNumberFormat="1" applyFont="1" applyFill="1" applyBorder="1" applyAlignment="1">
      <alignment horizontal="right"/>
    </xf>
    <xf numFmtId="0" fontId="25" fillId="0" borderId="24" xfId="0" applyFont="1" applyBorder="1" applyAlignment="1">
      <alignment horizontal="left" vertical="center" wrapText="1"/>
    </xf>
    <xf numFmtId="0" fontId="25" fillId="0" borderId="17" xfId="0" applyFont="1" applyBorder="1" applyAlignment="1">
      <alignment horizontal="left" vertical="center" wrapText="1"/>
    </xf>
    <xf numFmtId="0" fontId="25" fillId="0" borderId="18" xfId="0" applyFont="1" applyBorder="1" applyAlignment="1">
      <alignment horizontal="left" vertical="center" wrapText="1"/>
    </xf>
    <xf numFmtId="0" fontId="6" fillId="2" borderId="5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/>
    </xf>
    <xf numFmtId="171" fontId="12" fillId="2" borderId="8" xfId="0" applyNumberFormat="1" applyFont="1" applyFill="1" applyBorder="1" applyAlignment="1">
      <alignment horizontal="right"/>
    </xf>
    <xf numFmtId="167" fontId="9" fillId="2" borderId="0" xfId="0" applyNumberFormat="1" applyFont="1" applyFill="1" applyAlignment="1">
      <alignment horizontal="center"/>
    </xf>
    <xf numFmtId="0" fontId="6" fillId="2" borderId="1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3" fontId="6" fillId="2" borderId="2" xfId="0" applyNumberFormat="1" applyFont="1" applyFill="1" applyBorder="1" applyAlignment="1">
      <alignment horizontal="center" vertical="center" wrapText="1"/>
    </xf>
    <xf numFmtId="3" fontId="6" fillId="2" borderId="3" xfId="0" applyNumberFormat="1" applyFont="1" applyFill="1" applyBorder="1" applyAlignment="1">
      <alignment horizontal="center" vertical="center" wrapText="1"/>
    </xf>
    <xf numFmtId="3" fontId="6" fillId="2" borderId="4" xfId="0" applyNumberFormat="1" applyFont="1" applyFill="1" applyBorder="1" applyAlignment="1">
      <alignment horizontal="center" vertical="center" wrapText="1"/>
    </xf>
    <xf numFmtId="3" fontId="6" fillId="2" borderId="7" xfId="0" applyNumberFormat="1" applyFont="1" applyFill="1" applyBorder="1" applyAlignment="1">
      <alignment horizontal="center" vertical="center" wrapText="1"/>
    </xf>
    <xf numFmtId="3" fontId="6" fillId="2" borderId="8" xfId="0" applyNumberFormat="1" applyFont="1" applyFill="1" applyBorder="1" applyAlignment="1">
      <alignment horizontal="center" vertical="center" wrapText="1"/>
    </xf>
    <xf numFmtId="3" fontId="6" fillId="2" borderId="9" xfId="0" applyNumberFormat="1" applyFont="1" applyFill="1" applyBorder="1" applyAlignment="1">
      <alignment horizontal="center" vertical="center" wrapText="1"/>
    </xf>
    <xf numFmtId="171" fontId="14" fillId="2" borderId="8" xfId="0" applyNumberFormat="1" applyFont="1" applyFill="1" applyBorder="1" applyAlignment="1">
      <alignment horizontal="right"/>
    </xf>
    <xf numFmtId="0" fontId="4" fillId="0" borderId="22" xfId="0" applyFont="1" applyBorder="1" applyAlignment="1">
      <alignment horizontal="left" vertical="center" wrapText="1"/>
    </xf>
    <xf numFmtId="0" fontId="4" fillId="0" borderId="19" xfId="0" applyFont="1" applyBorder="1" applyAlignment="1">
      <alignment horizontal="left" vertical="center" wrapText="1"/>
    </xf>
    <xf numFmtId="0" fontId="4" fillId="0" borderId="20" xfId="0" applyFont="1" applyBorder="1" applyAlignment="1">
      <alignment horizontal="left" vertical="center" wrapText="1"/>
    </xf>
    <xf numFmtId="0" fontId="258" fillId="0" borderId="0" xfId="0" applyFont="1" applyAlignment="1">
      <alignment horizontal="center" wrapText="1"/>
    </xf>
    <xf numFmtId="0" fontId="272" fillId="16" borderId="411" xfId="10" applyFont="1" applyFill="1" applyBorder="1" applyAlignment="1">
      <alignment horizontal="center" wrapText="1"/>
    </xf>
    <xf numFmtId="0" fontId="272" fillId="16" borderId="265" xfId="10" applyFont="1" applyFill="1" applyBorder="1" applyAlignment="1">
      <alignment horizontal="center" wrapText="1"/>
    </xf>
    <xf numFmtId="0" fontId="272" fillId="16" borderId="411" xfId="10" applyFont="1" applyFill="1" applyBorder="1" applyAlignment="1">
      <alignment horizontal="center" vertical="center" wrapText="1"/>
    </xf>
    <xf numFmtId="0" fontId="272" fillId="16" borderId="265" xfId="10" applyFont="1" applyFill="1" applyBorder="1" applyAlignment="1">
      <alignment horizontal="center" vertical="center" wrapText="1"/>
    </xf>
    <xf numFmtId="0" fontId="272" fillId="4" borderId="391" xfId="10" applyFont="1" applyFill="1" applyBorder="1" applyAlignment="1">
      <alignment horizontal="left" vertical="top" wrapText="1"/>
    </xf>
    <xf numFmtId="0" fontId="272" fillId="4" borderId="251" xfId="10" applyFont="1" applyFill="1" applyBorder="1" applyAlignment="1">
      <alignment horizontal="left" vertical="top" wrapText="1"/>
    </xf>
    <xf numFmtId="0" fontId="272" fillId="4" borderId="256" xfId="10" applyFont="1" applyFill="1" applyBorder="1" applyAlignment="1">
      <alignment horizontal="left" vertical="top" wrapText="1"/>
    </xf>
    <xf numFmtId="49" fontId="272" fillId="4" borderId="391" xfId="10" applyNumberFormat="1" applyFont="1" applyFill="1" applyBorder="1" applyAlignment="1">
      <alignment horizontal="center" vertical="center"/>
    </xf>
    <xf numFmtId="49" fontId="272" fillId="4" borderId="251" xfId="10" applyNumberFormat="1" applyFont="1" applyFill="1" applyBorder="1" applyAlignment="1">
      <alignment horizontal="center" vertical="center"/>
    </xf>
    <xf numFmtId="49" fontId="272" fillId="4" borderId="256" xfId="10" applyNumberFormat="1" applyFont="1" applyFill="1" applyBorder="1" applyAlignment="1">
      <alignment horizontal="center" vertical="center"/>
    </xf>
    <xf numFmtId="0" fontId="288" fillId="0" borderId="0" xfId="10" applyFont="1" applyAlignment="1">
      <alignment horizontal="center"/>
    </xf>
    <xf numFmtId="49" fontId="272" fillId="16" borderId="392" xfId="10" applyNumberFormat="1" applyFont="1" applyFill="1" applyBorder="1" applyAlignment="1">
      <alignment horizontal="center" vertical="center" wrapText="1"/>
    </xf>
    <xf numFmtId="49" fontId="272" fillId="16" borderId="393" xfId="10" applyNumberFormat="1" applyFont="1" applyFill="1" applyBorder="1" applyAlignment="1">
      <alignment horizontal="center" vertical="center" wrapText="1"/>
    </xf>
    <xf numFmtId="49" fontId="272" fillId="16" borderId="394" xfId="10" applyNumberFormat="1" applyFont="1" applyFill="1" applyBorder="1" applyAlignment="1">
      <alignment horizontal="center" vertical="center" wrapText="1"/>
    </xf>
    <xf numFmtId="49" fontId="272" fillId="16" borderId="285" xfId="10" applyNumberFormat="1" applyFont="1" applyFill="1" applyBorder="1" applyAlignment="1">
      <alignment horizontal="center" vertical="center" wrapText="1"/>
    </xf>
    <xf numFmtId="49" fontId="272" fillId="16" borderId="66" xfId="10" applyNumberFormat="1" applyFont="1" applyFill="1" applyBorder="1" applyAlignment="1">
      <alignment horizontal="center" vertical="center" wrapText="1"/>
    </xf>
    <xf numFmtId="49" fontId="272" fillId="16" borderId="390" xfId="10" applyNumberFormat="1" applyFont="1" applyFill="1" applyBorder="1" applyAlignment="1">
      <alignment horizontal="center" vertical="center" wrapText="1"/>
    </xf>
    <xf numFmtId="0" fontId="272" fillId="16" borderId="392" xfId="10" applyFont="1" applyFill="1" applyBorder="1" applyAlignment="1">
      <alignment horizontal="center" vertical="center" wrapText="1"/>
    </xf>
    <xf numFmtId="0" fontId="272" fillId="16" borderId="393" xfId="10" applyFont="1" applyFill="1" applyBorder="1" applyAlignment="1">
      <alignment horizontal="center" vertical="center" wrapText="1"/>
    </xf>
    <xf numFmtId="0" fontId="272" fillId="16" borderId="394" xfId="10" applyFont="1" applyFill="1" applyBorder="1" applyAlignment="1">
      <alignment horizontal="center" vertical="center" wrapText="1"/>
    </xf>
    <xf numFmtId="0" fontId="272" fillId="16" borderId="285" xfId="10" applyFont="1" applyFill="1" applyBorder="1" applyAlignment="1">
      <alignment horizontal="center" vertical="center" wrapText="1"/>
    </xf>
    <xf numFmtId="0" fontId="272" fillId="16" borderId="66" xfId="10" applyFont="1" applyFill="1" applyBorder="1" applyAlignment="1">
      <alignment horizontal="center" vertical="center" wrapText="1"/>
    </xf>
    <xf numFmtId="0" fontId="272" fillId="16" borderId="390" xfId="10" applyFont="1" applyFill="1" applyBorder="1" applyAlignment="1">
      <alignment horizontal="center" vertical="center" wrapText="1"/>
    </xf>
    <xf numFmtId="0" fontId="272" fillId="16" borderId="411" xfId="10" applyFont="1" applyFill="1" applyBorder="1" applyAlignment="1">
      <alignment horizontal="center" vertical="center"/>
    </xf>
    <xf numFmtId="0" fontId="272" fillId="16" borderId="265" xfId="10" applyFont="1" applyFill="1" applyBorder="1" applyAlignment="1">
      <alignment horizontal="center" vertical="center"/>
    </xf>
    <xf numFmtId="49" fontId="38" fillId="0" borderId="427" xfId="0" applyNumberFormat="1" applyFont="1" applyBorder="1" applyAlignment="1">
      <alignment horizontal="center" vertical="center"/>
    </xf>
    <xf numFmtId="49" fontId="38" fillId="0" borderId="161" xfId="0" applyNumberFormat="1" applyFont="1" applyBorder="1" applyAlignment="1">
      <alignment horizontal="center" vertical="center"/>
    </xf>
    <xf numFmtId="3" fontId="149" fillId="0" borderId="424" xfId="2" applyNumberFormat="1" applyFont="1" applyBorder="1" applyAlignment="1">
      <alignment horizontal="right" vertical="center"/>
    </xf>
    <xf numFmtId="3" fontId="149" fillId="0" borderId="57" xfId="2" applyNumberFormat="1" applyFont="1" applyBorder="1" applyAlignment="1">
      <alignment horizontal="right" vertical="center"/>
    </xf>
    <xf numFmtId="0" fontId="29" fillId="0" borderId="425" xfId="0" applyFont="1" applyBorder="1" applyAlignment="1">
      <alignment vertical="center"/>
    </xf>
    <xf numFmtId="0" fontId="30" fillId="0" borderId="425" xfId="0" applyFont="1" applyBorder="1" applyAlignment="1">
      <alignment vertical="center"/>
    </xf>
    <xf numFmtId="0" fontId="29" fillId="0" borderId="425" xfId="0" quotePrefix="1" applyFont="1" applyBorder="1" applyAlignment="1">
      <alignment vertical="center"/>
    </xf>
    <xf numFmtId="0" fontId="29" fillId="0" borderId="428" xfId="0" applyFont="1" applyBorder="1"/>
  </cellXfs>
  <cellStyles count="20">
    <cellStyle name="Comma" xfId="1" builtinId="3"/>
    <cellStyle name="Comma [0]" xfId="2" builtinId="6"/>
    <cellStyle name="Comma [0] 2" xfId="9"/>
    <cellStyle name="Comma [0] 2 2" xfId="14"/>
    <cellStyle name="Comma [0] 3" xfId="11"/>
    <cellStyle name="Comma [0] 4" xfId="15"/>
    <cellStyle name="Comma [0] 5" xfId="16"/>
    <cellStyle name="Comma [0]_TARGET MURNI 2007_Kepmen13" xfId="4"/>
    <cellStyle name="Comma 2" xfId="5"/>
    <cellStyle name="Comma 2 2" xfId="17"/>
    <cellStyle name="Comma 3" xfId="8"/>
    <cellStyle name="Comma 4" xfId="12"/>
    <cellStyle name="Comma 5" xfId="7"/>
    <cellStyle name="Comma_TARGET MURNI 2007_Kepmen13" xfId="3"/>
    <cellStyle name="Normal" xfId="0" builtinId="0"/>
    <cellStyle name="Normal 2" xfId="10"/>
    <cellStyle name="Normal 2 2" xfId="18"/>
    <cellStyle name="Normal 3" xfId="19"/>
    <cellStyle name="Normal 4" xfId="6"/>
    <cellStyle name="Normal_RUMUS IKK, LPPD TH 2009 Perbaikan" xfId="13"/>
  </cellStyles>
  <dxfs count="0"/>
  <tableStyles count="0" defaultTableStyle="Table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E6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D320"/>
      <rgbColor rgb="00FF6600"/>
      <rgbColor rgb="00666699"/>
      <rgbColor rgb="00969696"/>
      <rgbColor rgb="00003366"/>
      <rgbColor rgb="00339966"/>
      <rgbColor rgb="00003300"/>
      <rgbColor rgb="001A1A1A"/>
      <rgbColor rgb="00993300"/>
      <rgbColor rgb="00993366"/>
      <rgbColor rgb="00333399"/>
      <rgbColor rgb="00333333"/>
    </indexedColors>
    <mruColors>
      <color rgb="FFFF0000"/>
      <color rgb="FFCCFFCC"/>
      <color rgb="FFCCFF99"/>
      <color rgb="FF0000FF"/>
      <color rgb="FFCCFF33"/>
      <color rgb="FFFDF3B9"/>
      <color rgb="FF66FFFF"/>
      <color rgb="FFFF99FF"/>
      <color rgb="FF00FFFF"/>
      <color rgb="FF00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42" Type="http://schemas.openxmlformats.org/officeDocument/2006/relationships/externalLink" Target="externalLinks/externalLink10.xml"/><Relationship Id="rId47" Type="http://schemas.openxmlformats.org/officeDocument/2006/relationships/externalLink" Target="externalLinks/externalLink15.xml"/><Relationship Id="rId50" Type="http://schemas.openxmlformats.org/officeDocument/2006/relationships/externalLink" Target="externalLinks/externalLink18.xml"/><Relationship Id="rId55" Type="http://schemas.openxmlformats.org/officeDocument/2006/relationships/externalLink" Target="externalLinks/externalLink23.xml"/><Relationship Id="rId63" Type="http://schemas.openxmlformats.org/officeDocument/2006/relationships/externalLink" Target="externalLinks/externalLink31.xml"/><Relationship Id="rId68" Type="http://schemas.openxmlformats.org/officeDocument/2006/relationships/externalLink" Target="externalLinks/externalLink36.xml"/><Relationship Id="rId76" Type="http://schemas.openxmlformats.org/officeDocument/2006/relationships/externalLink" Target="externalLinks/externalLink44.xml"/><Relationship Id="rId84" Type="http://schemas.openxmlformats.org/officeDocument/2006/relationships/externalLink" Target="externalLinks/externalLink52.xml"/><Relationship Id="rId89" Type="http://schemas.openxmlformats.org/officeDocument/2006/relationships/externalLink" Target="externalLinks/externalLink57.xml"/><Relationship Id="rId97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9.xml"/><Relationship Id="rId92" Type="http://schemas.openxmlformats.org/officeDocument/2006/relationships/externalLink" Target="externalLinks/externalLink60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5.xml"/><Relationship Id="rId40" Type="http://schemas.openxmlformats.org/officeDocument/2006/relationships/externalLink" Target="externalLinks/externalLink8.xml"/><Relationship Id="rId45" Type="http://schemas.openxmlformats.org/officeDocument/2006/relationships/externalLink" Target="externalLinks/externalLink13.xml"/><Relationship Id="rId53" Type="http://schemas.openxmlformats.org/officeDocument/2006/relationships/externalLink" Target="externalLinks/externalLink21.xml"/><Relationship Id="rId58" Type="http://schemas.openxmlformats.org/officeDocument/2006/relationships/externalLink" Target="externalLinks/externalLink26.xml"/><Relationship Id="rId66" Type="http://schemas.openxmlformats.org/officeDocument/2006/relationships/externalLink" Target="externalLinks/externalLink34.xml"/><Relationship Id="rId74" Type="http://schemas.openxmlformats.org/officeDocument/2006/relationships/externalLink" Target="externalLinks/externalLink42.xml"/><Relationship Id="rId79" Type="http://schemas.openxmlformats.org/officeDocument/2006/relationships/externalLink" Target="externalLinks/externalLink47.xml"/><Relationship Id="rId87" Type="http://schemas.openxmlformats.org/officeDocument/2006/relationships/externalLink" Target="externalLinks/externalLink55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29.xml"/><Relationship Id="rId82" Type="http://schemas.openxmlformats.org/officeDocument/2006/relationships/externalLink" Target="externalLinks/externalLink50.xml"/><Relationship Id="rId90" Type="http://schemas.openxmlformats.org/officeDocument/2006/relationships/externalLink" Target="externalLinks/externalLink58.xml"/><Relationship Id="rId95" Type="http://schemas.openxmlformats.org/officeDocument/2006/relationships/externalLink" Target="externalLinks/externalLink6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Relationship Id="rId43" Type="http://schemas.openxmlformats.org/officeDocument/2006/relationships/externalLink" Target="externalLinks/externalLink11.xml"/><Relationship Id="rId48" Type="http://schemas.openxmlformats.org/officeDocument/2006/relationships/externalLink" Target="externalLinks/externalLink16.xml"/><Relationship Id="rId56" Type="http://schemas.openxmlformats.org/officeDocument/2006/relationships/externalLink" Target="externalLinks/externalLink24.xml"/><Relationship Id="rId64" Type="http://schemas.openxmlformats.org/officeDocument/2006/relationships/externalLink" Target="externalLinks/externalLink32.xml"/><Relationship Id="rId69" Type="http://schemas.openxmlformats.org/officeDocument/2006/relationships/externalLink" Target="externalLinks/externalLink37.xml"/><Relationship Id="rId77" Type="http://schemas.openxmlformats.org/officeDocument/2006/relationships/externalLink" Target="externalLinks/externalLink45.xml"/><Relationship Id="rId100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9.xml"/><Relationship Id="rId72" Type="http://schemas.openxmlformats.org/officeDocument/2006/relationships/externalLink" Target="externalLinks/externalLink40.xml"/><Relationship Id="rId80" Type="http://schemas.openxmlformats.org/officeDocument/2006/relationships/externalLink" Target="externalLinks/externalLink48.xml"/><Relationship Id="rId85" Type="http://schemas.openxmlformats.org/officeDocument/2006/relationships/externalLink" Target="externalLinks/externalLink53.xml"/><Relationship Id="rId93" Type="http://schemas.openxmlformats.org/officeDocument/2006/relationships/externalLink" Target="externalLinks/externalLink61.xml"/><Relationship Id="rId98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externalLink" Target="externalLinks/externalLink6.xml"/><Relationship Id="rId46" Type="http://schemas.openxmlformats.org/officeDocument/2006/relationships/externalLink" Target="externalLinks/externalLink14.xml"/><Relationship Id="rId59" Type="http://schemas.openxmlformats.org/officeDocument/2006/relationships/externalLink" Target="externalLinks/externalLink27.xml"/><Relationship Id="rId67" Type="http://schemas.openxmlformats.org/officeDocument/2006/relationships/externalLink" Target="externalLinks/externalLink35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9.xml"/><Relationship Id="rId54" Type="http://schemas.openxmlformats.org/officeDocument/2006/relationships/externalLink" Target="externalLinks/externalLink22.xml"/><Relationship Id="rId62" Type="http://schemas.openxmlformats.org/officeDocument/2006/relationships/externalLink" Target="externalLinks/externalLink30.xml"/><Relationship Id="rId70" Type="http://schemas.openxmlformats.org/officeDocument/2006/relationships/externalLink" Target="externalLinks/externalLink38.xml"/><Relationship Id="rId75" Type="http://schemas.openxmlformats.org/officeDocument/2006/relationships/externalLink" Target="externalLinks/externalLink43.xml"/><Relationship Id="rId83" Type="http://schemas.openxmlformats.org/officeDocument/2006/relationships/externalLink" Target="externalLinks/externalLink51.xml"/><Relationship Id="rId88" Type="http://schemas.openxmlformats.org/officeDocument/2006/relationships/externalLink" Target="externalLinks/externalLink56.xml"/><Relationship Id="rId91" Type="http://schemas.openxmlformats.org/officeDocument/2006/relationships/externalLink" Target="externalLinks/externalLink59.xml"/><Relationship Id="rId96" Type="http://schemas.openxmlformats.org/officeDocument/2006/relationships/externalLink" Target="externalLinks/externalLink6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4.xml"/><Relationship Id="rId49" Type="http://schemas.openxmlformats.org/officeDocument/2006/relationships/externalLink" Target="externalLinks/externalLink17.xml"/><Relationship Id="rId57" Type="http://schemas.openxmlformats.org/officeDocument/2006/relationships/externalLink" Target="externalLinks/externalLink2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2.xml"/><Relationship Id="rId52" Type="http://schemas.openxmlformats.org/officeDocument/2006/relationships/externalLink" Target="externalLinks/externalLink20.xml"/><Relationship Id="rId60" Type="http://schemas.openxmlformats.org/officeDocument/2006/relationships/externalLink" Target="externalLinks/externalLink28.xml"/><Relationship Id="rId65" Type="http://schemas.openxmlformats.org/officeDocument/2006/relationships/externalLink" Target="externalLinks/externalLink33.xml"/><Relationship Id="rId73" Type="http://schemas.openxmlformats.org/officeDocument/2006/relationships/externalLink" Target="externalLinks/externalLink41.xml"/><Relationship Id="rId78" Type="http://schemas.openxmlformats.org/officeDocument/2006/relationships/externalLink" Target="externalLinks/externalLink46.xml"/><Relationship Id="rId81" Type="http://schemas.openxmlformats.org/officeDocument/2006/relationships/externalLink" Target="externalLinks/externalLink49.xml"/><Relationship Id="rId86" Type="http://schemas.openxmlformats.org/officeDocument/2006/relationships/externalLink" Target="externalLinks/externalLink54.xml"/><Relationship Id="rId94" Type="http://schemas.openxmlformats.org/officeDocument/2006/relationships/externalLink" Target="externalLinks/externalLink62.xml"/><Relationship Id="rId9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7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5232867292366704E-2"/>
          <c:y val="3.7957332256545052E-2"/>
          <c:w val="0.77263219529465432"/>
          <c:h val="0.8092706104044781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Chart!$D$32</c:f>
              <c:strCache>
                <c:ptCount val="1"/>
                <c:pt idx="0">
                  <c:v>Target Murni 2017</c:v>
                </c:pt>
              </c:strCache>
            </c:strRef>
          </c:tx>
          <c:invertIfNegative val="0"/>
          <c:cat>
            <c:strRef>
              <c:f>Chart!$C$34:$C$36</c:f>
              <c:strCache>
                <c:ptCount val="3"/>
                <c:pt idx="0">
                  <c:v>PENDAPATAN ASLI DAERAH</c:v>
                </c:pt>
                <c:pt idx="1">
                  <c:v>DANA PERIMBANGAN</c:v>
                </c:pt>
                <c:pt idx="2">
                  <c:v>LAIN-LAIN PENDAPATAN DAERAH YANG SAH</c:v>
                </c:pt>
              </c:strCache>
            </c:strRef>
          </c:cat>
          <c:val>
            <c:numRef>
              <c:f>Chart!$D$34:$D$36</c:f>
              <c:numCache>
                <c:formatCode>#,##0</c:formatCode>
                <c:ptCount val="3"/>
                <c:pt idx="0">
                  <c:v>1501611335359</c:v>
                </c:pt>
                <c:pt idx="1">
                  <c:v>3222521202310</c:v>
                </c:pt>
                <c:pt idx="2">
                  <c:v>67264821900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343-4F10-8A79-2C653527EE2A}"/>
            </c:ext>
          </c:extLst>
        </c:ser>
        <c:ser>
          <c:idx val="1"/>
          <c:order val="1"/>
          <c:tx>
            <c:strRef>
              <c:f>Chart!$E$32</c:f>
              <c:strCache>
                <c:ptCount val="1"/>
                <c:pt idx="0">
                  <c:v>Target Perubahan 2017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Chart!$C$34:$C$36</c:f>
              <c:strCache>
                <c:ptCount val="3"/>
                <c:pt idx="0">
                  <c:v>PENDAPATAN ASLI DAERAH</c:v>
                </c:pt>
                <c:pt idx="1">
                  <c:v>DANA PERIMBANGAN</c:v>
                </c:pt>
                <c:pt idx="2">
                  <c:v>LAIN-LAIN PENDAPATAN DAERAH YANG SAH</c:v>
                </c:pt>
              </c:strCache>
            </c:strRef>
          </c:cat>
          <c:val>
            <c:numRef>
              <c:f>Chart!$E$34:$E$36</c:f>
              <c:numCache>
                <c:formatCode>#,##0</c:formatCode>
                <c:ptCount val="3"/>
                <c:pt idx="0">
                  <c:v>1510180371152</c:v>
                </c:pt>
                <c:pt idx="1">
                  <c:v>3116570908600</c:v>
                </c:pt>
                <c:pt idx="2">
                  <c:v>85598457900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343-4F10-8A79-2C653527E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35117568"/>
        <c:axId val="235504384"/>
        <c:axId val="0"/>
      </c:bar3DChart>
      <c:catAx>
        <c:axId val="2351175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35504384"/>
        <c:crosses val="autoZero"/>
        <c:auto val="1"/>
        <c:lblAlgn val="ctr"/>
        <c:lblOffset val="100"/>
        <c:noMultiLvlLbl val="0"/>
      </c:catAx>
      <c:valAx>
        <c:axId val="2355043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35117568"/>
        <c:crosses val="autoZero"/>
        <c:crossBetween val="between"/>
        <c:dispUnits>
          <c:builtInUnit val="billions"/>
          <c:dispUnitsLbl>
            <c:layout>
              <c:manualLayout>
                <c:xMode val="edge"/>
                <c:yMode val="edge"/>
                <c:x val="1.7775599061790427E-2"/>
                <c:y val="0.33872100974971542"/>
              </c:manualLayout>
            </c:layout>
            <c:tx>
              <c:rich>
                <a:bodyPr/>
                <a:lstStyle/>
                <a:p>
                  <a:pPr>
                    <a:defRPr lang="id-ID"/>
                  </a:pPr>
                  <a:r>
                    <a:rPr lang="en-US"/>
                    <a:t>DALAM MILYAR RUPIAH</a:t>
                  </a:r>
                </a:p>
              </c:rich>
            </c:tx>
          </c:dispUnitsLbl>
        </c:dispUnits>
      </c:valAx>
    </c:plotArea>
    <c:legend>
      <c:legendPos val="r"/>
      <c:layout>
        <c:manualLayout>
          <c:xMode val="edge"/>
          <c:yMode val="edge"/>
          <c:x val="0.8007963206933828"/>
          <c:y val="0.85527209098862644"/>
          <c:w val="0.1940156118617469"/>
          <c:h val="0.11965534084914324"/>
        </c:manualLayout>
      </c:layout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alphaModFix amt="26000"/>
      </a:blip>
      <a:srcRect/>
      <a:stretch>
        <a:fillRect/>
      </a:stretch>
    </a:blipFill>
  </c:spPr>
  <c:printSettings>
    <c:headerFooter/>
    <c:pageMargins b="0.750000000000005" l="0.70000000000000062" r="0.70000000000000062" t="0.75000000000000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5232867292366704E-2"/>
          <c:y val="3.7957332256545052E-2"/>
          <c:w val="0.77263219529465432"/>
          <c:h val="0.8092706104044785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Chart!$D$3</c:f>
              <c:strCache>
                <c:ptCount val="1"/>
                <c:pt idx="0">
                  <c:v>Target Murni 2017</c:v>
                </c:pt>
              </c:strCache>
            </c:strRef>
          </c:tx>
          <c:invertIfNegative val="0"/>
          <c:cat>
            <c:strRef>
              <c:f>Chart!$C$5:$C$7</c:f>
              <c:strCache>
                <c:ptCount val="3"/>
                <c:pt idx="0">
                  <c:v>PENDAPATAN ASLI DAERAH</c:v>
                </c:pt>
                <c:pt idx="1">
                  <c:v>DANA PERIMBANGAN</c:v>
                </c:pt>
                <c:pt idx="2">
                  <c:v>LAIN-LAIN PENDAPATAN DAERAH YANG SAH</c:v>
                </c:pt>
              </c:strCache>
            </c:strRef>
          </c:cat>
          <c:val>
            <c:numRef>
              <c:f>Chart!$D$5:$D$7</c:f>
              <c:numCache>
                <c:formatCode>#,##0</c:formatCode>
                <c:ptCount val="3"/>
                <c:pt idx="0">
                  <c:v>1501611335359</c:v>
                </c:pt>
                <c:pt idx="1">
                  <c:v>3222521202310</c:v>
                </c:pt>
                <c:pt idx="2">
                  <c:v>67264821900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177-4BBF-8FE0-B07998499A53}"/>
            </c:ext>
          </c:extLst>
        </c:ser>
        <c:ser>
          <c:idx val="1"/>
          <c:order val="1"/>
          <c:tx>
            <c:strRef>
              <c:f>Chart!$E$3</c:f>
              <c:strCache>
                <c:ptCount val="1"/>
                <c:pt idx="0">
                  <c:v>Target Perubahan 2017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cat>
            <c:strRef>
              <c:f>Chart!$C$5:$C$7</c:f>
              <c:strCache>
                <c:ptCount val="3"/>
                <c:pt idx="0">
                  <c:v>PENDAPATAN ASLI DAERAH</c:v>
                </c:pt>
                <c:pt idx="1">
                  <c:v>DANA PERIMBANGAN</c:v>
                </c:pt>
                <c:pt idx="2">
                  <c:v>LAIN-LAIN PENDAPATAN DAERAH YANG SAH</c:v>
                </c:pt>
              </c:strCache>
            </c:strRef>
          </c:cat>
          <c:val>
            <c:numRef>
              <c:f>Chart!$E$5:$E$7</c:f>
              <c:numCache>
                <c:formatCode>#,##0</c:formatCode>
                <c:ptCount val="3"/>
                <c:pt idx="0">
                  <c:v>1507731170152</c:v>
                </c:pt>
                <c:pt idx="1">
                  <c:v>3281628996000</c:v>
                </c:pt>
                <c:pt idx="2">
                  <c:v>67478457900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177-4BBF-8FE0-B07998499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35533440"/>
        <c:axId val="235534976"/>
        <c:axId val="0"/>
      </c:bar3DChart>
      <c:catAx>
        <c:axId val="2355334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35534976"/>
        <c:crosses val="autoZero"/>
        <c:auto val="1"/>
        <c:lblAlgn val="ctr"/>
        <c:lblOffset val="100"/>
        <c:noMultiLvlLbl val="0"/>
      </c:catAx>
      <c:valAx>
        <c:axId val="23553497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35533440"/>
        <c:crosses val="autoZero"/>
        <c:crossBetween val="between"/>
        <c:dispUnits>
          <c:builtInUnit val="billions"/>
          <c:dispUnitsLbl>
            <c:layout>
              <c:manualLayout>
                <c:xMode val="edge"/>
                <c:yMode val="edge"/>
                <c:x val="1.7775599061790427E-2"/>
                <c:y val="0.33872100974971553"/>
              </c:manualLayout>
            </c:layout>
            <c:tx>
              <c:rich>
                <a:bodyPr/>
                <a:lstStyle/>
                <a:p>
                  <a:pPr>
                    <a:defRPr lang="id-ID"/>
                  </a:pPr>
                  <a:r>
                    <a:rPr lang="en-US"/>
                    <a:t>DALAM MILYAR RUPIAH</a:t>
                  </a:r>
                </a:p>
              </c:rich>
            </c:tx>
          </c:dispUnitsLbl>
        </c:dispUnits>
      </c:valAx>
    </c:plotArea>
    <c:legend>
      <c:legendPos val="r"/>
      <c:layout>
        <c:manualLayout>
          <c:xMode val="edge"/>
          <c:yMode val="edge"/>
          <c:x val="0.80079632069338302"/>
          <c:y val="0.85527209098862644"/>
          <c:w val="0.1940156118617469"/>
          <c:h val="0.11965534084914324"/>
        </c:manualLayout>
      </c:layout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alphaModFix amt="25000"/>
      </a:blip>
      <a:srcRect/>
      <a:stretch>
        <a:fillRect/>
      </a:stretch>
    </a:blipFill>
  </c:spPr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 lang="id-ID" sz="1600"/>
            </a:pPr>
            <a:r>
              <a:rPr lang="en-US" sz="1600"/>
              <a:t>TARGET PERUBAHAN PENDAPATAN TAHUN 2017</a:t>
            </a:r>
          </a:p>
        </c:rich>
      </c:tx>
      <c:overlay val="0"/>
    </c:title>
    <c:autoTitleDeleted val="0"/>
    <c:view3D>
      <c:rotX val="30"/>
      <c:rotY val="3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6528635359428988E-2"/>
          <c:y val="0.26871836474986527"/>
          <c:w val="0.88699069091183769"/>
          <c:h val="0.72912908613696015"/>
        </c:manualLayout>
      </c:layout>
      <c:pie3DChart>
        <c:varyColors val="1"/>
        <c:ser>
          <c:idx val="0"/>
          <c:order val="0"/>
          <c:explosion val="25"/>
          <c:dLbls>
            <c:dLbl>
              <c:idx val="0"/>
              <c:layout>
                <c:manualLayout>
                  <c:x val="-0.18347381936970109"/>
                  <c:y val="2.3288316233198131E-2"/>
                </c:manualLayout>
              </c:layout>
              <c:numFmt formatCode="0.00%" sourceLinked="0"/>
              <c:spPr/>
              <c:txPr>
                <a:bodyPr rot="0"/>
                <a:lstStyle/>
                <a:p>
                  <a:pPr>
                    <a:defRPr lang="id-ID" b="1"/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49-4A27-AFCA-1F6DC77DD7D9}"/>
                </c:ext>
              </c:extLst>
            </c:dLbl>
            <c:dLbl>
              <c:idx val="1"/>
              <c:layout>
                <c:manualLayout>
                  <c:x val="0.22297154402462283"/>
                  <c:y val="-0.10708025133222022"/>
                </c:manualLayout>
              </c:layout>
              <c:numFmt formatCode="0.00%" sourceLinked="0"/>
              <c:spPr/>
              <c:txPr>
                <a:bodyPr rot="0"/>
                <a:lstStyle/>
                <a:p>
                  <a:pPr>
                    <a:defRPr lang="id-ID" sz="1050" b="1"/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49-4A27-AFCA-1F6DC77DD7D9}"/>
                </c:ext>
              </c:extLst>
            </c:dLbl>
            <c:dLbl>
              <c:idx val="2"/>
              <c:layout>
                <c:manualLayout>
                  <c:x val="3.7513925867180414E-2"/>
                  <c:y val="1.707532013043824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49-4A27-AFCA-1F6DC77DD7D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/>
              <a:lstStyle/>
              <a:p>
                <a:pPr>
                  <a:defRPr lang="id-ID"/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Chart!$C$5:$C$7</c:f>
              <c:strCache>
                <c:ptCount val="3"/>
                <c:pt idx="0">
                  <c:v>PENDAPATAN ASLI DAERAH</c:v>
                </c:pt>
                <c:pt idx="1">
                  <c:v>DANA PERIMBANGAN</c:v>
                </c:pt>
                <c:pt idx="2">
                  <c:v>LAIN-LAIN PENDAPATAN DAERAH YANG SAH</c:v>
                </c:pt>
              </c:strCache>
            </c:strRef>
          </c:cat>
          <c:val>
            <c:numRef>
              <c:f>Chart!$E$5:$E$7</c:f>
              <c:numCache>
                <c:formatCode>#,##0</c:formatCode>
                <c:ptCount val="3"/>
                <c:pt idx="0">
                  <c:v>1507731170152</c:v>
                </c:pt>
                <c:pt idx="1">
                  <c:v>3281628996000</c:v>
                </c:pt>
                <c:pt idx="2">
                  <c:v>67478457900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649-4A27-AFCA-1F6DC77DD7D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</c:plotArea>
    <c:plotVisOnly val="1"/>
    <c:dispBlanksAs val="zero"/>
    <c:showDLblsOverMax val="0"/>
  </c:chart>
  <c:spPr>
    <a:blipFill dpi="0" rotWithShape="1">
      <a:blip xmlns:r="http://schemas.openxmlformats.org/officeDocument/2006/relationships" r:embed="rId1">
        <a:alphaModFix amt="40000"/>
      </a:blip>
      <a:srcRect/>
      <a:stretch>
        <a:fillRect/>
      </a:stretch>
    </a:blipFill>
  </c:spPr>
  <c:printSettings>
    <c:headerFooter/>
    <c:pageMargins b="0.750000000000005" l="0.70000000000000062" r="0.70000000000000062" t="0.75000000000000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2" name="Line 100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3" name="Line 101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4" name="Line 102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5" name="Line 103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6" name="Line 100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7" name="Line 101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8" name="Line 102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9" name="Line 103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10" name="Line 100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11" name="Line 101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12" name="Line 102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13" name="Line 103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268</xdr:row>
      <xdr:rowOff>0</xdr:rowOff>
    </xdr:from>
    <xdr:to>
      <xdr:col>2</xdr:col>
      <xdr:colOff>1285875</xdr:colOff>
      <xdr:row>268</xdr:row>
      <xdr:rowOff>0</xdr:rowOff>
    </xdr:to>
    <xdr:pic>
      <xdr:nvPicPr>
        <xdr:cNvPr id="14" name="Line 100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95475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268</xdr:row>
      <xdr:rowOff>0</xdr:rowOff>
    </xdr:from>
    <xdr:to>
      <xdr:col>2</xdr:col>
      <xdr:colOff>1285875</xdr:colOff>
      <xdr:row>268</xdr:row>
      <xdr:rowOff>0</xdr:rowOff>
    </xdr:to>
    <xdr:pic>
      <xdr:nvPicPr>
        <xdr:cNvPr id="15" name="Line 101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95475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268</xdr:row>
      <xdr:rowOff>0</xdr:rowOff>
    </xdr:from>
    <xdr:to>
      <xdr:col>2</xdr:col>
      <xdr:colOff>1285875</xdr:colOff>
      <xdr:row>268</xdr:row>
      <xdr:rowOff>0</xdr:rowOff>
    </xdr:to>
    <xdr:pic>
      <xdr:nvPicPr>
        <xdr:cNvPr id="16" name="Line 102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95475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268</xdr:row>
      <xdr:rowOff>0</xdr:rowOff>
    </xdr:from>
    <xdr:to>
      <xdr:col>2</xdr:col>
      <xdr:colOff>1285875</xdr:colOff>
      <xdr:row>268</xdr:row>
      <xdr:rowOff>0</xdr:rowOff>
    </xdr:to>
    <xdr:pic>
      <xdr:nvPicPr>
        <xdr:cNvPr id="17" name="Line 103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95475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2" name="Line 100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3" name="Line 101">
          <a:extLst>
            <a:ext uri="{FF2B5EF4-FFF2-40B4-BE49-F238E27FC236}">
              <a16:creationId xmlns="" xmlns:a16="http://schemas.microsoft.com/office/drawing/2014/main" id="{00000000-0008-0000-0F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4" name="Line 102">
          <a:extLst>
            <a:ext uri="{FF2B5EF4-FFF2-40B4-BE49-F238E27FC236}">
              <a16:creationId xmlns="" xmlns:a16="http://schemas.microsoft.com/office/drawing/2014/main" id="{00000000-0008-0000-0F00-00000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5" name="Line 103">
          <a:extLst>
            <a:ext uri="{FF2B5EF4-FFF2-40B4-BE49-F238E27FC236}">
              <a16:creationId xmlns="" xmlns:a16="http://schemas.microsoft.com/office/drawing/2014/main" id="{00000000-0008-0000-0F00-00000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6" name="Line 100">
          <a:extLst>
            <a:ext uri="{FF2B5EF4-FFF2-40B4-BE49-F238E27FC236}">
              <a16:creationId xmlns="" xmlns:a16="http://schemas.microsoft.com/office/drawing/2014/main" id="{00000000-0008-0000-0F00-00000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7" name="Line 101">
          <a:extLst>
            <a:ext uri="{FF2B5EF4-FFF2-40B4-BE49-F238E27FC236}">
              <a16:creationId xmlns="" xmlns:a16="http://schemas.microsoft.com/office/drawing/2014/main" id="{00000000-0008-0000-0F00-00000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8" name="Line 102">
          <a:extLst>
            <a:ext uri="{FF2B5EF4-FFF2-40B4-BE49-F238E27FC236}">
              <a16:creationId xmlns="" xmlns:a16="http://schemas.microsoft.com/office/drawing/2014/main" id="{00000000-0008-0000-0F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9" name="Line 103">
          <a:extLst>
            <a:ext uri="{FF2B5EF4-FFF2-40B4-BE49-F238E27FC236}">
              <a16:creationId xmlns="" xmlns:a16="http://schemas.microsoft.com/office/drawing/2014/main" id="{00000000-0008-0000-0F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0" name="Line 100">
          <a:extLst>
            <a:ext uri="{FF2B5EF4-FFF2-40B4-BE49-F238E27FC236}">
              <a16:creationId xmlns="" xmlns:a16="http://schemas.microsoft.com/office/drawing/2014/main" id="{00000000-0008-0000-0F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1" name="Line 101">
          <a:extLst>
            <a:ext uri="{FF2B5EF4-FFF2-40B4-BE49-F238E27FC236}">
              <a16:creationId xmlns="" xmlns:a16="http://schemas.microsoft.com/office/drawing/2014/main" id="{00000000-0008-0000-0F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2" name="Line 102">
          <a:extLst>
            <a:ext uri="{FF2B5EF4-FFF2-40B4-BE49-F238E27FC236}">
              <a16:creationId xmlns="" xmlns:a16="http://schemas.microsoft.com/office/drawing/2014/main" id="{00000000-0008-0000-0F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3" name="Line 103">
          <a:extLst>
            <a:ext uri="{FF2B5EF4-FFF2-40B4-BE49-F238E27FC236}">
              <a16:creationId xmlns="" xmlns:a16="http://schemas.microsoft.com/office/drawing/2014/main" id="{00000000-0008-0000-0F00-00000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4" name="Line 100">
          <a:extLst>
            <a:ext uri="{FF2B5EF4-FFF2-40B4-BE49-F238E27FC236}">
              <a16:creationId xmlns="" xmlns:a16="http://schemas.microsoft.com/office/drawing/2014/main" id="{00000000-0008-0000-0F00-00000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295650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5" name="Line 101">
          <a:extLst>
            <a:ext uri="{FF2B5EF4-FFF2-40B4-BE49-F238E27FC236}">
              <a16:creationId xmlns="" xmlns:a16="http://schemas.microsoft.com/office/drawing/2014/main" id="{00000000-0008-0000-0F00-00000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295650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6" name="Line 102">
          <a:extLst>
            <a:ext uri="{FF2B5EF4-FFF2-40B4-BE49-F238E27FC236}">
              <a16:creationId xmlns="" xmlns:a16="http://schemas.microsoft.com/office/drawing/2014/main" id="{00000000-0008-0000-0F00-00001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295650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7" name="Line 103">
          <a:extLst>
            <a:ext uri="{FF2B5EF4-FFF2-40B4-BE49-F238E27FC236}">
              <a16:creationId xmlns="" xmlns:a16="http://schemas.microsoft.com/office/drawing/2014/main" id="{00000000-0008-0000-0F00-00001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295650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2" name="Line 100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3" name="Line 101">
          <a:extLst>
            <a:ext uri="{FF2B5EF4-FFF2-40B4-BE49-F238E27FC236}">
              <a16:creationId xmlns="" xmlns:a16="http://schemas.microsoft.com/office/drawing/2014/main" id="{00000000-0008-0000-10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4" name="Line 102">
          <a:extLst>
            <a:ext uri="{FF2B5EF4-FFF2-40B4-BE49-F238E27FC236}">
              <a16:creationId xmlns="" xmlns:a16="http://schemas.microsoft.com/office/drawing/2014/main" id="{00000000-0008-0000-1000-00000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5" name="Line 103">
          <a:extLst>
            <a:ext uri="{FF2B5EF4-FFF2-40B4-BE49-F238E27FC236}">
              <a16:creationId xmlns="" xmlns:a16="http://schemas.microsoft.com/office/drawing/2014/main" id="{00000000-0008-0000-1000-00000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6" name="Line 100">
          <a:extLst>
            <a:ext uri="{FF2B5EF4-FFF2-40B4-BE49-F238E27FC236}">
              <a16:creationId xmlns="" xmlns:a16="http://schemas.microsoft.com/office/drawing/2014/main" id="{00000000-0008-0000-1000-00000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7" name="Line 101">
          <a:extLst>
            <a:ext uri="{FF2B5EF4-FFF2-40B4-BE49-F238E27FC236}">
              <a16:creationId xmlns="" xmlns:a16="http://schemas.microsoft.com/office/drawing/2014/main" id="{00000000-0008-0000-1000-00000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8" name="Line 102">
          <a:extLst>
            <a:ext uri="{FF2B5EF4-FFF2-40B4-BE49-F238E27FC236}">
              <a16:creationId xmlns="" xmlns:a16="http://schemas.microsoft.com/office/drawing/2014/main" id="{00000000-0008-0000-10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9" name="Line 103">
          <a:extLst>
            <a:ext uri="{FF2B5EF4-FFF2-40B4-BE49-F238E27FC236}">
              <a16:creationId xmlns="" xmlns:a16="http://schemas.microsoft.com/office/drawing/2014/main" id="{00000000-0008-0000-10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0" name="Line 100">
          <a:extLst>
            <a:ext uri="{FF2B5EF4-FFF2-40B4-BE49-F238E27FC236}">
              <a16:creationId xmlns="" xmlns:a16="http://schemas.microsoft.com/office/drawing/2014/main" id="{00000000-0008-0000-10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1" name="Line 101">
          <a:extLst>
            <a:ext uri="{FF2B5EF4-FFF2-40B4-BE49-F238E27FC236}">
              <a16:creationId xmlns="" xmlns:a16="http://schemas.microsoft.com/office/drawing/2014/main" id="{00000000-0008-0000-10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2" name="Line 102">
          <a:extLst>
            <a:ext uri="{FF2B5EF4-FFF2-40B4-BE49-F238E27FC236}">
              <a16:creationId xmlns="" xmlns:a16="http://schemas.microsoft.com/office/drawing/2014/main" id="{00000000-0008-0000-10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3" name="Line 103">
          <a:extLst>
            <a:ext uri="{FF2B5EF4-FFF2-40B4-BE49-F238E27FC236}">
              <a16:creationId xmlns="" xmlns:a16="http://schemas.microsoft.com/office/drawing/2014/main" id="{00000000-0008-0000-1000-00000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4" name="Line 100">
          <a:extLst>
            <a:ext uri="{FF2B5EF4-FFF2-40B4-BE49-F238E27FC236}">
              <a16:creationId xmlns="" xmlns:a16="http://schemas.microsoft.com/office/drawing/2014/main" id="{00000000-0008-0000-1000-00000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394075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5" name="Line 101">
          <a:extLst>
            <a:ext uri="{FF2B5EF4-FFF2-40B4-BE49-F238E27FC236}">
              <a16:creationId xmlns="" xmlns:a16="http://schemas.microsoft.com/office/drawing/2014/main" id="{00000000-0008-0000-1000-00000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394075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6" name="Line 102">
          <a:extLst>
            <a:ext uri="{FF2B5EF4-FFF2-40B4-BE49-F238E27FC236}">
              <a16:creationId xmlns="" xmlns:a16="http://schemas.microsoft.com/office/drawing/2014/main" id="{00000000-0008-0000-1000-00001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394075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7" name="Line 103">
          <a:extLst>
            <a:ext uri="{FF2B5EF4-FFF2-40B4-BE49-F238E27FC236}">
              <a16:creationId xmlns="" xmlns:a16="http://schemas.microsoft.com/office/drawing/2014/main" id="{00000000-0008-0000-1000-00001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394075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573</xdr:row>
      <xdr:rowOff>0</xdr:rowOff>
    </xdr:from>
    <xdr:to>
      <xdr:col>8</xdr:col>
      <xdr:colOff>9525</xdr:colOff>
      <xdr:row>573</xdr:row>
      <xdr:rowOff>0</xdr:rowOff>
    </xdr:to>
    <xdr:sp macro="" textlink="">
      <xdr:nvSpPr>
        <xdr:cNvPr id="2" name="Line 30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573</xdr:row>
      <xdr:rowOff>0</xdr:rowOff>
    </xdr:from>
    <xdr:to>
      <xdr:col>8</xdr:col>
      <xdr:colOff>9525</xdr:colOff>
      <xdr:row>573</xdr:row>
      <xdr:rowOff>0</xdr:rowOff>
    </xdr:to>
    <xdr:sp macro="" textlink="">
      <xdr:nvSpPr>
        <xdr:cNvPr id="3" name="Line 31">
          <a:extLst>
            <a:ext uri="{FF2B5EF4-FFF2-40B4-BE49-F238E27FC236}">
              <a16:creationId xmlns="" xmlns:a16="http://schemas.microsoft.com/office/drawing/2014/main" id="{00000000-0008-0000-1100-000003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573</xdr:row>
      <xdr:rowOff>0</xdr:rowOff>
    </xdr:from>
    <xdr:to>
      <xdr:col>8</xdr:col>
      <xdr:colOff>9525</xdr:colOff>
      <xdr:row>573</xdr:row>
      <xdr:rowOff>0</xdr:rowOff>
    </xdr:to>
    <xdr:sp macro="" textlink="">
      <xdr:nvSpPr>
        <xdr:cNvPr id="4" name="Line 32">
          <a:extLst>
            <a:ext uri="{FF2B5EF4-FFF2-40B4-BE49-F238E27FC236}">
              <a16:creationId xmlns="" xmlns:a16="http://schemas.microsoft.com/office/drawing/2014/main" id="{00000000-0008-0000-1100-000004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573</xdr:row>
      <xdr:rowOff>0</xdr:rowOff>
    </xdr:from>
    <xdr:to>
      <xdr:col>8</xdr:col>
      <xdr:colOff>9525</xdr:colOff>
      <xdr:row>573</xdr:row>
      <xdr:rowOff>0</xdr:rowOff>
    </xdr:to>
    <xdr:sp macro="" textlink="">
      <xdr:nvSpPr>
        <xdr:cNvPr id="5" name="Line 33">
          <a:extLst>
            <a:ext uri="{FF2B5EF4-FFF2-40B4-BE49-F238E27FC236}">
              <a16:creationId xmlns="" xmlns:a16="http://schemas.microsoft.com/office/drawing/2014/main" id="{00000000-0008-0000-1100-000005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573</xdr:row>
      <xdr:rowOff>0</xdr:rowOff>
    </xdr:from>
    <xdr:to>
      <xdr:col>8</xdr:col>
      <xdr:colOff>9525</xdr:colOff>
      <xdr:row>573</xdr:row>
      <xdr:rowOff>0</xdr:rowOff>
    </xdr:to>
    <xdr:sp macro="" textlink="">
      <xdr:nvSpPr>
        <xdr:cNvPr id="6" name="Line 34">
          <a:extLst>
            <a:ext uri="{FF2B5EF4-FFF2-40B4-BE49-F238E27FC236}">
              <a16:creationId xmlns="" xmlns:a16="http://schemas.microsoft.com/office/drawing/2014/main" id="{00000000-0008-0000-1100-000006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573</xdr:row>
      <xdr:rowOff>0</xdr:rowOff>
    </xdr:from>
    <xdr:to>
      <xdr:col>8</xdr:col>
      <xdr:colOff>9525</xdr:colOff>
      <xdr:row>573</xdr:row>
      <xdr:rowOff>0</xdr:rowOff>
    </xdr:to>
    <xdr:sp macro="" textlink="">
      <xdr:nvSpPr>
        <xdr:cNvPr id="7" name="Line 35">
          <a:extLst>
            <a:ext uri="{FF2B5EF4-FFF2-40B4-BE49-F238E27FC236}">
              <a16:creationId xmlns="" xmlns:a16="http://schemas.microsoft.com/office/drawing/2014/main" id="{00000000-0008-0000-1100-000007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573</xdr:row>
      <xdr:rowOff>0</xdr:rowOff>
    </xdr:from>
    <xdr:to>
      <xdr:col>8</xdr:col>
      <xdr:colOff>9525</xdr:colOff>
      <xdr:row>573</xdr:row>
      <xdr:rowOff>0</xdr:rowOff>
    </xdr:to>
    <xdr:sp macro="" textlink="">
      <xdr:nvSpPr>
        <xdr:cNvPr id="8" name="Line 36">
          <a:extLst>
            <a:ext uri="{FF2B5EF4-FFF2-40B4-BE49-F238E27FC236}">
              <a16:creationId xmlns="" xmlns:a16="http://schemas.microsoft.com/office/drawing/2014/main" id="{00000000-0008-0000-1100-000008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573</xdr:row>
      <xdr:rowOff>0</xdr:rowOff>
    </xdr:from>
    <xdr:to>
      <xdr:col>8</xdr:col>
      <xdr:colOff>9525</xdr:colOff>
      <xdr:row>573</xdr:row>
      <xdr:rowOff>0</xdr:rowOff>
    </xdr:to>
    <xdr:sp macro="" textlink="">
      <xdr:nvSpPr>
        <xdr:cNvPr id="9" name="Line 37">
          <a:extLst>
            <a:ext uri="{FF2B5EF4-FFF2-40B4-BE49-F238E27FC236}">
              <a16:creationId xmlns="" xmlns:a16="http://schemas.microsoft.com/office/drawing/2014/main" id="{00000000-0008-0000-1100-000009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2" name="Line 1">
          <a:extLst>
            <a:ext uri="{FF2B5EF4-FFF2-40B4-BE49-F238E27FC236}">
              <a16:creationId xmlns="" xmlns:a16="http://schemas.microsoft.com/office/drawing/2014/main" id="{00000000-0008-0000-1200-000002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="" xmlns:a16="http://schemas.microsoft.com/office/drawing/2014/main" id="{00000000-0008-0000-1200-000003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4" name="Line 3">
          <a:extLst>
            <a:ext uri="{FF2B5EF4-FFF2-40B4-BE49-F238E27FC236}">
              <a16:creationId xmlns="" xmlns:a16="http://schemas.microsoft.com/office/drawing/2014/main" id="{00000000-0008-0000-1200-000004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5" name="Line 4">
          <a:extLst>
            <a:ext uri="{FF2B5EF4-FFF2-40B4-BE49-F238E27FC236}">
              <a16:creationId xmlns="" xmlns:a16="http://schemas.microsoft.com/office/drawing/2014/main" id="{00000000-0008-0000-1200-000005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6" name="Line 5">
          <a:extLst>
            <a:ext uri="{FF2B5EF4-FFF2-40B4-BE49-F238E27FC236}">
              <a16:creationId xmlns="" xmlns:a16="http://schemas.microsoft.com/office/drawing/2014/main" id="{00000000-0008-0000-1200-000006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7" name="Line 6">
          <a:extLst>
            <a:ext uri="{FF2B5EF4-FFF2-40B4-BE49-F238E27FC236}">
              <a16:creationId xmlns="" xmlns:a16="http://schemas.microsoft.com/office/drawing/2014/main" id="{00000000-0008-0000-1200-000007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8" name="Line 7">
          <a:extLst>
            <a:ext uri="{FF2B5EF4-FFF2-40B4-BE49-F238E27FC236}">
              <a16:creationId xmlns="" xmlns:a16="http://schemas.microsoft.com/office/drawing/2014/main" id="{00000000-0008-0000-1200-000008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9" name="Line 8">
          <a:extLst>
            <a:ext uri="{FF2B5EF4-FFF2-40B4-BE49-F238E27FC236}">
              <a16:creationId xmlns="" xmlns:a16="http://schemas.microsoft.com/office/drawing/2014/main" id="{00000000-0008-0000-1200-000009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10" name="Line 9">
          <a:extLst>
            <a:ext uri="{FF2B5EF4-FFF2-40B4-BE49-F238E27FC236}">
              <a16:creationId xmlns="" xmlns:a16="http://schemas.microsoft.com/office/drawing/2014/main" id="{00000000-0008-0000-1200-00000A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1" name="Line 10">
          <a:extLst>
            <a:ext uri="{FF2B5EF4-FFF2-40B4-BE49-F238E27FC236}">
              <a16:creationId xmlns="" xmlns:a16="http://schemas.microsoft.com/office/drawing/2014/main" id="{00000000-0008-0000-1200-00000B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2" name="Line 11">
          <a:extLst>
            <a:ext uri="{FF2B5EF4-FFF2-40B4-BE49-F238E27FC236}">
              <a16:creationId xmlns="" xmlns:a16="http://schemas.microsoft.com/office/drawing/2014/main" id="{00000000-0008-0000-1200-00000C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3" name="Line 12">
          <a:extLst>
            <a:ext uri="{FF2B5EF4-FFF2-40B4-BE49-F238E27FC236}">
              <a16:creationId xmlns="" xmlns:a16="http://schemas.microsoft.com/office/drawing/2014/main" id="{00000000-0008-0000-1200-00000D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4" name="Line 13">
          <a:extLst>
            <a:ext uri="{FF2B5EF4-FFF2-40B4-BE49-F238E27FC236}">
              <a16:creationId xmlns="" xmlns:a16="http://schemas.microsoft.com/office/drawing/2014/main" id="{00000000-0008-0000-1200-00000E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15" name="Line 14">
          <a:extLst>
            <a:ext uri="{FF2B5EF4-FFF2-40B4-BE49-F238E27FC236}">
              <a16:creationId xmlns="" xmlns:a16="http://schemas.microsoft.com/office/drawing/2014/main" id="{00000000-0008-0000-1200-00000F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568</xdr:row>
      <xdr:rowOff>0</xdr:rowOff>
    </xdr:from>
    <xdr:to>
      <xdr:col>8</xdr:col>
      <xdr:colOff>9525</xdr:colOff>
      <xdr:row>568</xdr:row>
      <xdr:rowOff>0</xdr:rowOff>
    </xdr:to>
    <xdr:sp macro="" textlink="">
      <xdr:nvSpPr>
        <xdr:cNvPr id="2" name="Line 30">
          <a:extLst>
            <a:ext uri="{FF2B5EF4-FFF2-40B4-BE49-F238E27FC236}">
              <a16:creationId xmlns="" xmlns:a16="http://schemas.microsoft.com/office/drawing/2014/main" id="{00000000-0008-0000-1300-000002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568</xdr:row>
      <xdr:rowOff>0</xdr:rowOff>
    </xdr:from>
    <xdr:to>
      <xdr:col>8</xdr:col>
      <xdr:colOff>9525</xdr:colOff>
      <xdr:row>568</xdr:row>
      <xdr:rowOff>0</xdr:rowOff>
    </xdr:to>
    <xdr:sp macro="" textlink="">
      <xdr:nvSpPr>
        <xdr:cNvPr id="3" name="Line 31">
          <a:extLst>
            <a:ext uri="{FF2B5EF4-FFF2-40B4-BE49-F238E27FC236}">
              <a16:creationId xmlns="" xmlns:a16="http://schemas.microsoft.com/office/drawing/2014/main" id="{00000000-0008-0000-1300-000003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568</xdr:row>
      <xdr:rowOff>0</xdr:rowOff>
    </xdr:from>
    <xdr:to>
      <xdr:col>8</xdr:col>
      <xdr:colOff>9525</xdr:colOff>
      <xdr:row>568</xdr:row>
      <xdr:rowOff>0</xdr:rowOff>
    </xdr:to>
    <xdr:sp macro="" textlink="">
      <xdr:nvSpPr>
        <xdr:cNvPr id="4" name="Line 32">
          <a:extLst>
            <a:ext uri="{FF2B5EF4-FFF2-40B4-BE49-F238E27FC236}">
              <a16:creationId xmlns="" xmlns:a16="http://schemas.microsoft.com/office/drawing/2014/main" id="{00000000-0008-0000-1300-000004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568</xdr:row>
      <xdr:rowOff>0</xdr:rowOff>
    </xdr:from>
    <xdr:to>
      <xdr:col>8</xdr:col>
      <xdr:colOff>9525</xdr:colOff>
      <xdr:row>568</xdr:row>
      <xdr:rowOff>0</xdr:rowOff>
    </xdr:to>
    <xdr:sp macro="" textlink="">
      <xdr:nvSpPr>
        <xdr:cNvPr id="5" name="Line 33">
          <a:extLst>
            <a:ext uri="{FF2B5EF4-FFF2-40B4-BE49-F238E27FC236}">
              <a16:creationId xmlns="" xmlns:a16="http://schemas.microsoft.com/office/drawing/2014/main" id="{00000000-0008-0000-1300-000005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568</xdr:row>
      <xdr:rowOff>0</xdr:rowOff>
    </xdr:from>
    <xdr:to>
      <xdr:col>8</xdr:col>
      <xdr:colOff>9525</xdr:colOff>
      <xdr:row>568</xdr:row>
      <xdr:rowOff>0</xdr:rowOff>
    </xdr:to>
    <xdr:sp macro="" textlink="">
      <xdr:nvSpPr>
        <xdr:cNvPr id="6" name="Line 34">
          <a:extLst>
            <a:ext uri="{FF2B5EF4-FFF2-40B4-BE49-F238E27FC236}">
              <a16:creationId xmlns="" xmlns:a16="http://schemas.microsoft.com/office/drawing/2014/main" id="{00000000-0008-0000-1300-000006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568</xdr:row>
      <xdr:rowOff>0</xdr:rowOff>
    </xdr:from>
    <xdr:to>
      <xdr:col>8</xdr:col>
      <xdr:colOff>9525</xdr:colOff>
      <xdr:row>568</xdr:row>
      <xdr:rowOff>0</xdr:rowOff>
    </xdr:to>
    <xdr:sp macro="" textlink="">
      <xdr:nvSpPr>
        <xdr:cNvPr id="7" name="Line 35">
          <a:extLst>
            <a:ext uri="{FF2B5EF4-FFF2-40B4-BE49-F238E27FC236}">
              <a16:creationId xmlns="" xmlns:a16="http://schemas.microsoft.com/office/drawing/2014/main" id="{00000000-0008-0000-1300-000007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568</xdr:row>
      <xdr:rowOff>0</xdr:rowOff>
    </xdr:from>
    <xdr:to>
      <xdr:col>8</xdr:col>
      <xdr:colOff>9525</xdr:colOff>
      <xdr:row>568</xdr:row>
      <xdr:rowOff>0</xdr:rowOff>
    </xdr:to>
    <xdr:sp macro="" textlink="">
      <xdr:nvSpPr>
        <xdr:cNvPr id="8" name="Line 36">
          <a:extLst>
            <a:ext uri="{FF2B5EF4-FFF2-40B4-BE49-F238E27FC236}">
              <a16:creationId xmlns="" xmlns:a16="http://schemas.microsoft.com/office/drawing/2014/main" id="{00000000-0008-0000-1300-000008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568</xdr:row>
      <xdr:rowOff>0</xdr:rowOff>
    </xdr:from>
    <xdr:to>
      <xdr:col>8</xdr:col>
      <xdr:colOff>9525</xdr:colOff>
      <xdr:row>568</xdr:row>
      <xdr:rowOff>0</xdr:rowOff>
    </xdr:to>
    <xdr:sp macro="" textlink="">
      <xdr:nvSpPr>
        <xdr:cNvPr id="9" name="Line 37">
          <a:extLst>
            <a:ext uri="{FF2B5EF4-FFF2-40B4-BE49-F238E27FC236}">
              <a16:creationId xmlns="" xmlns:a16="http://schemas.microsoft.com/office/drawing/2014/main" id="{00000000-0008-0000-1300-000009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2" name="Line 100">
          <a:extLst>
            <a:ext uri="{FF2B5EF4-FFF2-40B4-BE49-F238E27FC236}">
              <a16:creationId xmlns="" xmlns:a16="http://schemas.microsoft.com/office/drawing/2014/main" id="{00000000-0008-0000-14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3" name="Line 101">
          <a:extLst>
            <a:ext uri="{FF2B5EF4-FFF2-40B4-BE49-F238E27FC236}">
              <a16:creationId xmlns="" xmlns:a16="http://schemas.microsoft.com/office/drawing/2014/main" id="{00000000-0008-0000-14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4" name="Line 102">
          <a:extLst>
            <a:ext uri="{FF2B5EF4-FFF2-40B4-BE49-F238E27FC236}">
              <a16:creationId xmlns="" xmlns:a16="http://schemas.microsoft.com/office/drawing/2014/main" id="{00000000-0008-0000-1400-00000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5" name="Line 103">
          <a:extLst>
            <a:ext uri="{FF2B5EF4-FFF2-40B4-BE49-F238E27FC236}">
              <a16:creationId xmlns="" xmlns:a16="http://schemas.microsoft.com/office/drawing/2014/main" id="{00000000-0008-0000-1400-00000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6" name="Line 100">
          <a:extLst>
            <a:ext uri="{FF2B5EF4-FFF2-40B4-BE49-F238E27FC236}">
              <a16:creationId xmlns="" xmlns:a16="http://schemas.microsoft.com/office/drawing/2014/main" id="{00000000-0008-0000-1400-00000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7" name="Line 101">
          <a:extLst>
            <a:ext uri="{FF2B5EF4-FFF2-40B4-BE49-F238E27FC236}">
              <a16:creationId xmlns="" xmlns:a16="http://schemas.microsoft.com/office/drawing/2014/main" id="{00000000-0008-0000-1400-00000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8" name="Line 102">
          <a:extLst>
            <a:ext uri="{FF2B5EF4-FFF2-40B4-BE49-F238E27FC236}">
              <a16:creationId xmlns="" xmlns:a16="http://schemas.microsoft.com/office/drawing/2014/main" id="{00000000-0008-0000-14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9" name="Line 103">
          <a:extLst>
            <a:ext uri="{FF2B5EF4-FFF2-40B4-BE49-F238E27FC236}">
              <a16:creationId xmlns="" xmlns:a16="http://schemas.microsoft.com/office/drawing/2014/main" id="{00000000-0008-0000-14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10" name="Line 100">
          <a:extLst>
            <a:ext uri="{FF2B5EF4-FFF2-40B4-BE49-F238E27FC236}">
              <a16:creationId xmlns="" xmlns:a16="http://schemas.microsoft.com/office/drawing/2014/main" id="{00000000-0008-0000-14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11" name="Line 101">
          <a:extLst>
            <a:ext uri="{FF2B5EF4-FFF2-40B4-BE49-F238E27FC236}">
              <a16:creationId xmlns="" xmlns:a16="http://schemas.microsoft.com/office/drawing/2014/main" id="{00000000-0008-0000-14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12" name="Line 102">
          <a:extLst>
            <a:ext uri="{FF2B5EF4-FFF2-40B4-BE49-F238E27FC236}">
              <a16:creationId xmlns="" xmlns:a16="http://schemas.microsoft.com/office/drawing/2014/main" id="{00000000-0008-0000-14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13" name="Line 103">
          <a:extLst>
            <a:ext uri="{FF2B5EF4-FFF2-40B4-BE49-F238E27FC236}">
              <a16:creationId xmlns="" xmlns:a16="http://schemas.microsoft.com/office/drawing/2014/main" id="{00000000-0008-0000-1400-00000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243</xdr:row>
      <xdr:rowOff>0</xdr:rowOff>
    </xdr:from>
    <xdr:to>
      <xdr:col>2</xdr:col>
      <xdr:colOff>1924050</xdr:colOff>
      <xdr:row>243</xdr:row>
      <xdr:rowOff>0</xdr:rowOff>
    </xdr:to>
    <xdr:pic>
      <xdr:nvPicPr>
        <xdr:cNvPr id="14" name="Line 100">
          <a:extLst>
            <a:ext uri="{FF2B5EF4-FFF2-40B4-BE49-F238E27FC236}">
              <a16:creationId xmlns="" xmlns:a16="http://schemas.microsoft.com/office/drawing/2014/main" id="{00000000-0008-0000-1400-00000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38325" y="43422570"/>
          <a:ext cx="638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243</xdr:row>
      <xdr:rowOff>0</xdr:rowOff>
    </xdr:from>
    <xdr:to>
      <xdr:col>2</xdr:col>
      <xdr:colOff>1924050</xdr:colOff>
      <xdr:row>243</xdr:row>
      <xdr:rowOff>0</xdr:rowOff>
    </xdr:to>
    <xdr:pic>
      <xdr:nvPicPr>
        <xdr:cNvPr id="15" name="Line 101">
          <a:extLst>
            <a:ext uri="{FF2B5EF4-FFF2-40B4-BE49-F238E27FC236}">
              <a16:creationId xmlns="" xmlns:a16="http://schemas.microsoft.com/office/drawing/2014/main" id="{00000000-0008-0000-1400-00000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38325" y="43422570"/>
          <a:ext cx="638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243</xdr:row>
      <xdr:rowOff>0</xdr:rowOff>
    </xdr:from>
    <xdr:to>
      <xdr:col>2</xdr:col>
      <xdr:colOff>1924050</xdr:colOff>
      <xdr:row>243</xdr:row>
      <xdr:rowOff>0</xdr:rowOff>
    </xdr:to>
    <xdr:pic>
      <xdr:nvPicPr>
        <xdr:cNvPr id="16" name="Line 102">
          <a:extLst>
            <a:ext uri="{FF2B5EF4-FFF2-40B4-BE49-F238E27FC236}">
              <a16:creationId xmlns="" xmlns:a16="http://schemas.microsoft.com/office/drawing/2014/main" id="{00000000-0008-0000-1400-00001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38325" y="43422570"/>
          <a:ext cx="638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243</xdr:row>
      <xdr:rowOff>0</xdr:rowOff>
    </xdr:from>
    <xdr:to>
      <xdr:col>2</xdr:col>
      <xdr:colOff>1924050</xdr:colOff>
      <xdr:row>243</xdr:row>
      <xdr:rowOff>0</xdr:rowOff>
    </xdr:to>
    <xdr:pic>
      <xdr:nvPicPr>
        <xdr:cNvPr id="17" name="Line 103">
          <a:extLst>
            <a:ext uri="{FF2B5EF4-FFF2-40B4-BE49-F238E27FC236}">
              <a16:creationId xmlns="" xmlns:a16="http://schemas.microsoft.com/office/drawing/2014/main" id="{00000000-0008-0000-1400-00001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38325" y="43422570"/>
          <a:ext cx="638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1</xdr:row>
      <xdr:rowOff>61384</xdr:rowOff>
    </xdr:from>
    <xdr:to>
      <xdr:col>21</xdr:col>
      <xdr:colOff>602764</xdr:colOff>
      <xdr:row>1</xdr:row>
      <xdr:rowOff>61384</xdr:rowOff>
    </xdr:to>
    <xdr:pic>
      <xdr:nvPicPr>
        <xdr:cNvPr id="18" name="Picture 21037">
          <a:extLst>
            <a:ext uri="{FF2B5EF4-FFF2-40B4-BE49-F238E27FC236}">
              <a16:creationId xmlns="" xmlns:a16="http://schemas.microsoft.com/office/drawing/2014/main" id="{00000000-0008-0000-14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24364950" y="222885"/>
          <a:ext cx="1212215" cy="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2" name="Line 100">
          <a:extLst>
            <a:ext uri="{FF2B5EF4-FFF2-40B4-BE49-F238E27FC236}">
              <a16:creationId xmlns="" xmlns:a16="http://schemas.microsoft.com/office/drawing/2014/main" id="{00000000-0008-0000-1500-000002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3" name="Line 101">
          <a:extLst>
            <a:ext uri="{FF2B5EF4-FFF2-40B4-BE49-F238E27FC236}">
              <a16:creationId xmlns="" xmlns:a16="http://schemas.microsoft.com/office/drawing/2014/main" id="{00000000-0008-0000-1500-000003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4" name="Line 102">
          <a:extLst>
            <a:ext uri="{FF2B5EF4-FFF2-40B4-BE49-F238E27FC236}">
              <a16:creationId xmlns="" xmlns:a16="http://schemas.microsoft.com/office/drawing/2014/main" id="{00000000-0008-0000-1500-000004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5" name="Line 103">
          <a:extLst>
            <a:ext uri="{FF2B5EF4-FFF2-40B4-BE49-F238E27FC236}">
              <a16:creationId xmlns="" xmlns:a16="http://schemas.microsoft.com/office/drawing/2014/main" id="{00000000-0008-0000-1500-000005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6" name="Line 100">
          <a:extLst>
            <a:ext uri="{FF2B5EF4-FFF2-40B4-BE49-F238E27FC236}">
              <a16:creationId xmlns="" xmlns:a16="http://schemas.microsoft.com/office/drawing/2014/main" id="{00000000-0008-0000-1500-000006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7" name="Line 101">
          <a:extLst>
            <a:ext uri="{FF2B5EF4-FFF2-40B4-BE49-F238E27FC236}">
              <a16:creationId xmlns="" xmlns:a16="http://schemas.microsoft.com/office/drawing/2014/main" id="{00000000-0008-0000-1500-000007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8" name="Line 102">
          <a:extLst>
            <a:ext uri="{FF2B5EF4-FFF2-40B4-BE49-F238E27FC236}">
              <a16:creationId xmlns="" xmlns:a16="http://schemas.microsoft.com/office/drawing/2014/main" id="{00000000-0008-0000-1500-000008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9" name="Line 103">
          <a:extLst>
            <a:ext uri="{FF2B5EF4-FFF2-40B4-BE49-F238E27FC236}">
              <a16:creationId xmlns="" xmlns:a16="http://schemas.microsoft.com/office/drawing/2014/main" id="{00000000-0008-0000-1500-000009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10" name="Line 100">
          <a:extLst>
            <a:ext uri="{FF2B5EF4-FFF2-40B4-BE49-F238E27FC236}">
              <a16:creationId xmlns="" xmlns:a16="http://schemas.microsoft.com/office/drawing/2014/main" id="{00000000-0008-0000-15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11" name="Line 101">
          <a:extLst>
            <a:ext uri="{FF2B5EF4-FFF2-40B4-BE49-F238E27FC236}">
              <a16:creationId xmlns="" xmlns:a16="http://schemas.microsoft.com/office/drawing/2014/main" id="{00000000-0008-0000-15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12" name="Line 102">
          <a:extLst>
            <a:ext uri="{FF2B5EF4-FFF2-40B4-BE49-F238E27FC236}">
              <a16:creationId xmlns="" xmlns:a16="http://schemas.microsoft.com/office/drawing/2014/main" id="{00000000-0008-0000-15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13" name="Line 103">
          <a:extLst>
            <a:ext uri="{FF2B5EF4-FFF2-40B4-BE49-F238E27FC236}">
              <a16:creationId xmlns="" xmlns:a16="http://schemas.microsoft.com/office/drawing/2014/main" id="{00000000-0008-0000-1500-00000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14" name="Line 100">
          <a:extLst>
            <a:ext uri="{FF2B5EF4-FFF2-40B4-BE49-F238E27FC236}">
              <a16:creationId xmlns="" xmlns:a16="http://schemas.microsoft.com/office/drawing/2014/main" id="{00000000-0008-0000-1500-00000E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15" name="Line 101">
          <a:extLst>
            <a:ext uri="{FF2B5EF4-FFF2-40B4-BE49-F238E27FC236}">
              <a16:creationId xmlns="" xmlns:a16="http://schemas.microsoft.com/office/drawing/2014/main" id="{00000000-0008-0000-1500-00000F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16" name="Line 102">
          <a:extLst>
            <a:ext uri="{FF2B5EF4-FFF2-40B4-BE49-F238E27FC236}">
              <a16:creationId xmlns="" xmlns:a16="http://schemas.microsoft.com/office/drawing/2014/main" id="{00000000-0008-0000-1500-000010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17" name="Line 103">
          <a:extLst>
            <a:ext uri="{FF2B5EF4-FFF2-40B4-BE49-F238E27FC236}">
              <a16:creationId xmlns="" xmlns:a16="http://schemas.microsoft.com/office/drawing/2014/main" id="{00000000-0008-0000-1500-000011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18" name="Line 100">
          <a:extLst>
            <a:ext uri="{FF2B5EF4-FFF2-40B4-BE49-F238E27FC236}">
              <a16:creationId xmlns="" xmlns:a16="http://schemas.microsoft.com/office/drawing/2014/main" id="{00000000-0008-0000-1500-00001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19" name="Line 101">
          <a:extLst>
            <a:ext uri="{FF2B5EF4-FFF2-40B4-BE49-F238E27FC236}">
              <a16:creationId xmlns="" xmlns:a16="http://schemas.microsoft.com/office/drawing/2014/main" id="{00000000-0008-0000-1500-00001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20" name="Line 102">
          <a:extLst>
            <a:ext uri="{FF2B5EF4-FFF2-40B4-BE49-F238E27FC236}">
              <a16:creationId xmlns="" xmlns:a16="http://schemas.microsoft.com/office/drawing/2014/main" id="{00000000-0008-0000-1500-00001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21" name="Line 103">
          <a:extLst>
            <a:ext uri="{FF2B5EF4-FFF2-40B4-BE49-F238E27FC236}">
              <a16:creationId xmlns="" xmlns:a16="http://schemas.microsoft.com/office/drawing/2014/main" id="{00000000-0008-0000-1500-00001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22" name="Line 100">
          <a:extLst>
            <a:ext uri="{FF2B5EF4-FFF2-40B4-BE49-F238E27FC236}">
              <a16:creationId xmlns="" xmlns:a16="http://schemas.microsoft.com/office/drawing/2014/main" id="{00000000-0008-0000-1500-00001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23" name="Line 101">
          <a:extLst>
            <a:ext uri="{FF2B5EF4-FFF2-40B4-BE49-F238E27FC236}">
              <a16:creationId xmlns="" xmlns:a16="http://schemas.microsoft.com/office/drawing/2014/main" id="{00000000-0008-0000-1500-00001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24" name="Line 102">
          <a:extLst>
            <a:ext uri="{FF2B5EF4-FFF2-40B4-BE49-F238E27FC236}">
              <a16:creationId xmlns="" xmlns:a16="http://schemas.microsoft.com/office/drawing/2014/main" id="{00000000-0008-0000-1500-00001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25" name="Line 103">
          <a:extLst>
            <a:ext uri="{FF2B5EF4-FFF2-40B4-BE49-F238E27FC236}">
              <a16:creationId xmlns="" xmlns:a16="http://schemas.microsoft.com/office/drawing/2014/main" id="{00000000-0008-0000-1500-00001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1286637</xdr:colOff>
      <xdr:row>391</xdr:row>
      <xdr:rowOff>0</xdr:rowOff>
    </xdr:to>
    <xdr:pic>
      <xdr:nvPicPr>
        <xdr:cNvPr id="26" name="Line 100">
          <a:extLst>
            <a:ext uri="{FF2B5EF4-FFF2-40B4-BE49-F238E27FC236}">
              <a16:creationId xmlns="" xmlns:a16="http://schemas.microsoft.com/office/drawing/2014/main" id="{00000000-0008-0000-1500-00001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684150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1286637</xdr:colOff>
      <xdr:row>391</xdr:row>
      <xdr:rowOff>0</xdr:rowOff>
    </xdr:to>
    <xdr:pic>
      <xdr:nvPicPr>
        <xdr:cNvPr id="27" name="Line 101">
          <a:extLst>
            <a:ext uri="{FF2B5EF4-FFF2-40B4-BE49-F238E27FC236}">
              <a16:creationId xmlns="" xmlns:a16="http://schemas.microsoft.com/office/drawing/2014/main" id="{00000000-0008-0000-1500-00001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684150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1286637</xdr:colOff>
      <xdr:row>391</xdr:row>
      <xdr:rowOff>0</xdr:rowOff>
    </xdr:to>
    <xdr:pic>
      <xdr:nvPicPr>
        <xdr:cNvPr id="28" name="Line 102">
          <a:extLst>
            <a:ext uri="{FF2B5EF4-FFF2-40B4-BE49-F238E27FC236}">
              <a16:creationId xmlns="" xmlns:a16="http://schemas.microsoft.com/office/drawing/2014/main" id="{00000000-0008-0000-1500-00001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684150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1286637</xdr:colOff>
      <xdr:row>391</xdr:row>
      <xdr:rowOff>0</xdr:rowOff>
    </xdr:to>
    <xdr:pic>
      <xdr:nvPicPr>
        <xdr:cNvPr id="29" name="Line 103">
          <a:extLst>
            <a:ext uri="{FF2B5EF4-FFF2-40B4-BE49-F238E27FC236}">
              <a16:creationId xmlns="" xmlns:a16="http://schemas.microsoft.com/office/drawing/2014/main" id="{00000000-0008-0000-1500-00001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684150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30" name="Line 100">
          <a:extLst>
            <a:ext uri="{FF2B5EF4-FFF2-40B4-BE49-F238E27FC236}">
              <a16:creationId xmlns="" xmlns:a16="http://schemas.microsoft.com/office/drawing/2014/main" id="{00000000-0008-0000-1500-00001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31" name="Line 101">
          <a:extLst>
            <a:ext uri="{FF2B5EF4-FFF2-40B4-BE49-F238E27FC236}">
              <a16:creationId xmlns="" xmlns:a16="http://schemas.microsoft.com/office/drawing/2014/main" id="{00000000-0008-0000-1500-00001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32" name="Line 102">
          <a:extLst>
            <a:ext uri="{FF2B5EF4-FFF2-40B4-BE49-F238E27FC236}">
              <a16:creationId xmlns="" xmlns:a16="http://schemas.microsoft.com/office/drawing/2014/main" id="{00000000-0008-0000-1500-00002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33" name="Line 103">
          <a:extLst>
            <a:ext uri="{FF2B5EF4-FFF2-40B4-BE49-F238E27FC236}">
              <a16:creationId xmlns="" xmlns:a16="http://schemas.microsoft.com/office/drawing/2014/main" id="{00000000-0008-0000-1500-00002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34" name="Line 100">
          <a:extLst>
            <a:ext uri="{FF2B5EF4-FFF2-40B4-BE49-F238E27FC236}">
              <a16:creationId xmlns="" xmlns:a16="http://schemas.microsoft.com/office/drawing/2014/main" id="{00000000-0008-0000-1500-00002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35" name="Line 101">
          <a:extLst>
            <a:ext uri="{FF2B5EF4-FFF2-40B4-BE49-F238E27FC236}">
              <a16:creationId xmlns="" xmlns:a16="http://schemas.microsoft.com/office/drawing/2014/main" id="{00000000-0008-0000-1500-00002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36" name="Line 102">
          <a:extLst>
            <a:ext uri="{FF2B5EF4-FFF2-40B4-BE49-F238E27FC236}">
              <a16:creationId xmlns="" xmlns:a16="http://schemas.microsoft.com/office/drawing/2014/main" id="{00000000-0008-0000-1500-00002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37" name="Line 103">
          <a:extLst>
            <a:ext uri="{FF2B5EF4-FFF2-40B4-BE49-F238E27FC236}">
              <a16:creationId xmlns="" xmlns:a16="http://schemas.microsoft.com/office/drawing/2014/main" id="{00000000-0008-0000-1500-00002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38" name="Line 100">
          <a:extLst>
            <a:ext uri="{FF2B5EF4-FFF2-40B4-BE49-F238E27FC236}">
              <a16:creationId xmlns="" xmlns:a16="http://schemas.microsoft.com/office/drawing/2014/main" id="{00000000-0008-0000-1500-00002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39" name="Line 101">
          <a:extLst>
            <a:ext uri="{FF2B5EF4-FFF2-40B4-BE49-F238E27FC236}">
              <a16:creationId xmlns="" xmlns:a16="http://schemas.microsoft.com/office/drawing/2014/main" id="{00000000-0008-0000-1500-00002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40" name="Line 102">
          <a:extLst>
            <a:ext uri="{FF2B5EF4-FFF2-40B4-BE49-F238E27FC236}">
              <a16:creationId xmlns="" xmlns:a16="http://schemas.microsoft.com/office/drawing/2014/main" id="{00000000-0008-0000-1500-00002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41" name="Line 103">
          <a:extLst>
            <a:ext uri="{FF2B5EF4-FFF2-40B4-BE49-F238E27FC236}">
              <a16:creationId xmlns="" xmlns:a16="http://schemas.microsoft.com/office/drawing/2014/main" id="{00000000-0008-0000-1500-00002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42" name="Line 100">
          <a:extLst>
            <a:ext uri="{FF2B5EF4-FFF2-40B4-BE49-F238E27FC236}">
              <a16:creationId xmlns="" xmlns:a16="http://schemas.microsoft.com/office/drawing/2014/main" id="{00000000-0008-0000-1500-00002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43" name="Line 101">
          <a:extLst>
            <a:ext uri="{FF2B5EF4-FFF2-40B4-BE49-F238E27FC236}">
              <a16:creationId xmlns="" xmlns:a16="http://schemas.microsoft.com/office/drawing/2014/main" id="{00000000-0008-0000-1500-00002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44" name="Line 102">
          <a:extLst>
            <a:ext uri="{FF2B5EF4-FFF2-40B4-BE49-F238E27FC236}">
              <a16:creationId xmlns="" xmlns:a16="http://schemas.microsoft.com/office/drawing/2014/main" id="{00000000-0008-0000-1500-00002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45" name="Line 103">
          <a:extLst>
            <a:ext uri="{FF2B5EF4-FFF2-40B4-BE49-F238E27FC236}">
              <a16:creationId xmlns="" xmlns:a16="http://schemas.microsoft.com/office/drawing/2014/main" id="{00000000-0008-0000-1500-00002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46" name="Line 100">
          <a:extLst>
            <a:ext uri="{FF2B5EF4-FFF2-40B4-BE49-F238E27FC236}">
              <a16:creationId xmlns="" xmlns:a16="http://schemas.microsoft.com/office/drawing/2014/main" id="{00000000-0008-0000-1500-00002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47" name="Line 101">
          <a:extLst>
            <a:ext uri="{FF2B5EF4-FFF2-40B4-BE49-F238E27FC236}">
              <a16:creationId xmlns="" xmlns:a16="http://schemas.microsoft.com/office/drawing/2014/main" id="{00000000-0008-0000-1500-00002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48" name="Line 102">
          <a:extLst>
            <a:ext uri="{FF2B5EF4-FFF2-40B4-BE49-F238E27FC236}">
              <a16:creationId xmlns="" xmlns:a16="http://schemas.microsoft.com/office/drawing/2014/main" id="{00000000-0008-0000-1500-00003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49" name="Line 103">
          <a:extLst>
            <a:ext uri="{FF2B5EF4-FFF2-40B4-BE49-F238E27FC236}">
              <a16:creationId xmlns="" xmlns:a16="http://schemas.microsoft.com/office/drawing/2014/main" id="{00000000-0008-0000-1500-00003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50" name="Line 100">
          <a:extLst>
            <a:ext uri="{FF2B5EF4-FFF2-40B4-BE49-F238E27FC236}">
              <a16:creationId xmlns="" xmlns:a16="http://schemas.microsoft.com/office/drawing/2014/main" id="{00000000-0008-0000-1500-00003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51" name="Line 101">
          <a:extLst>
            <a:ext uri="{FF2B5EF4-FFF2-40B4-BE49-F238E27FC236}">
              <a16:creationId xmlns="" xmlns:a16="http://schemas.microsoft.com/office/drawing/2014/main" id="{00000000-0008-0000-1500-00003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52" name="Line 102">
          <a:extLst>
            <a:ext uri="{FF2B5EF4-FFF2-40B4-BE49-F238E27FC236}">
              <a16:creationId xmlns="" xmlns:a16="http://schemas.microsoft.com/office/drawing/2014/main" id="{00000000-0008-0000-1500-00003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53" name="Line 103">
          <a:extLst>
            <a:ext uri="{FF2B5EF4-FFF2-40B4-BE49-F238E27FC236}">
              <a16:creationId xmlns="" xmlns:a16="http://schemas.microsoft.com/office/drawing/2014/main" id="{00000000-0008-0000-1500-00003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54" name="Line 100">
          <a:extLst>
            <a:ext uri="{FF2B5EF4-FFF2-40B4-BE49-F238E27FC236}">
              <a16:creationId xmlns="" xmlns:a16="http://schemas.microsoft.com/office/drawing/2014/main" id="{00000000-0008-0000-1500-00003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55" name="Line 101">
          <a:extLst>
            <a:ext uri="{FF2B5EF4-FFF2-40B4-BE49-F238E27FC236}">
              <a16:creationId xmlns="" xmlns:a16="http://schemas.microsoft.com/office/drawing/2014/main" id="{00000000-0008-0000-1500-00003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56" name="Line 102">
          <a:extLst>
            <a:ext uri="{FF2B5EF4-FFF2-40B4-BE49-F238E27FC236}">
              <a16:creationId xmlns="" xmlns:a16="http://schemas.microsoft.com/office/drawing/2014/main" id="{00000000-0008-0000-1500-00003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57" name="Line 103">
          <a:extLst>
            <a:ext uri="{FF2B5EF4-FFF2-40B4-BE49-F238E27FC236}">
              <a16:creationId xmlns="" xmlns:a16="http://schemas.microsoft.com/office/drawing/2014/main" id="{00000000-0008-0000-1500-00003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58" name="Line 100">
          <a:extLst>
            <a:ext uri="{FF2B5EF4-FFF2-40B4-BE49-F238E27FC236}">
              <a16:creationId xmlns="" xmlns:a16="http://schemas.microsoft.com/office/drawing/2014/main" id="{00000000-0008-0000-1500-00003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59" name="Line 101">
          <a:extLst>
            <a:ext uri="{FF2B5EF4-FFF2-40B4-BE49-F238E27FC236}">
              <a16:creationId xmlns="" xmlns:a16="http://schemas.microsoft.com/office/drawing/2014/main" id="{00000000-0008-0000-1500-00003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60" name="Line 102">
          <a:extLst>
            <a:ext uri="{FF2B5EF4-FFF2-40B4-BE49-F238E27FC236}">
              <a16:creationId xmlns="" xmlns:a16="http://schemas.microsoft.com/office/drawing/2014/main" id="{00000000-0008-0000-1500-00003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61" name="Line 103">
          <a:extLst>
            <a:ext uri="{FF2B5EF4-FFF2-40B4-BE49-F238E27FC236}">
              <a16:creationId xmlns="" xmlns:a16="http://schemas.microsoft.com/office/drawing/2014/main" id="{00000000-0008-0000-1500-00003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62" name="Line 100">
          <a:extLst>
            <a:ext uri="{FF2B5EF4-FFF2-40B4-BE49-F238E27FC236}">
              <a16:creationId xmlns="" xmlns:a16="http://schemas.microsoft.com/office/drawing/2014/main" id="{00000000-0008-0000-1500-00003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63" name="Line 101">
          <a:extLst>
            <a:ext uri="{FF2B5EF4-FFF2-40B4-BE49-F238E27FC236}">
              <a16:creationId xmlns="" xmlns:a16="http://schemas.microsoft.com/office/drawing/2014/main" id="{00000000-0008-0000-1500-00003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64" name="Line 102">
          <a:extLst>
            <a:ext uri="{FF2B5EF4-FFF2-40B4-BE49-F238E27FC236}">
              <a16:creationId xmlns="" xmlns:a16="http://schemas.microsoft.com/office/drawing/2014/main" id="{00000000-0008-0000-1500-00004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65" name="Line 103">
          <a:extLst>
            <a:ext uri="{FF2B5EF4-FFF2-40B4-BE49-F238E27FC236}">
              <a16:creationId xmlns="" xmlns:a16="http://schemas.microsoft.com/office/drawing/2014/main" id="{00000000-0008-0000-1500-00004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66" name="Line 100">
          <a:extLst>
            <a:ext uri="{FF2B5EF4-FFF2-40B4-BE49-F238E27FC236}">
              <a16:creationId xmlns="" xmlns:a16="http://schemas.microsoft.com/office/drawing/2014/main" id="{00000000-0008-0000-1500-00004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67" name="Line 101">
          <a:extLst>
            <a:ext uri="{FF2B5EF4-FFF2-40B4-BE49-F238E27FC236}">
              <a16:creationId xmlns="" xmlns:a16="http://schemas.microsoft.com/office/drawing/2014/main" id="{00000000-0008-0000-1500-00004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68" name="Line 102">
          <a:extLst>
            <a:ext uri="{FF2B5EF4-FFF2-40B4-BE49-F238E27FC236}">
              <a16:creationId xmlns="" xmlns:a16="http://schemas.microsoft.com/office/drawing/2014/main" id="{00000000-0008-0000-1500-00004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69" name="Line 103">
          <a:extLst>
            <a:ext uri="{FF2B5EF4-FFF2-40B4-BE49-F238E27FC236}">
              <a16:creationId xmlns="" xmlns:a16="http://schemas.microsoft.com/office/drawing/2014/main" id="{00000000-0008-0000-1500-00004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70" name="Line 100">
          <a:extLst>
            <a:ext uri="{FF2B5EF4-FFF2-40B4-BE49-F238E27FC236}">
              <a16:creationId xmlns="" xmlns:a16="http://schemas.microsoft.com/office/drawing/2014/main" id="{00000000-0008-0000-1500-00004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71" name="Line 101">
          <a:extLst>
            <a:ext uri="{FF2B5EF4-FFF2-40B4-BE49-F238E27FC236}">
              <a16:creationId xmlns="" xmlns:a16="http://schemas.microsoft.com/office/drawing/2014/main" id="{00000000-0008-0000-1500-00004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72" name="Line 102">
          <a:extLst>
            <a:ext uri="{FF2B5EF4-FFF2-40B4-BE49-F238E27FC236}">
              <a16:creationId xmlns="" xmlns:a16="http://schemas.microsoft.com/office/drawing/2014/main" id="{00000000-0008-0000-1500-00004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73" name="Line 103">
          <a:extLst>
            <a:ext uri="{FF2B5EF4-FFF2-40B4-BE49-F238E27FC236}">
              <a16:creationId xmlns="" xmlns:a16="http://schemas.microsoft.com/office/drawing/2014/main" id="{00000000-0008-0000-1500-00004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74" name="Line 100">
          <a:extLst>
            <a:ext uri="{FF2B5EF4-FFF2-40B4-BE49-F238E27FC236}">
              <a16:creationId xmlns="" xmlns:a16="http://schemas.microsoft.com/office/drawing/2014/main" id="{00000000-0008-0000-1500-00004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75" name="Line 101">
          <a:extLst>
            <a:ext uri="{FF2B5EF4-FFF2-40B4-BE49-F238E27FC236}">
              <a16:creationId xmlns="" xmlns:a16="http://schemas.microsoft.com/office/drawing/2014/main" id="{00000000-0008-0000-1500-00004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76" name="Line 102">
          <a:extLst>
            <a:ext uri="{FF2B5EF4-FFF2-40B4-BE49-F238E27FC236}">
              <a16:creationId xmlns="" xmlns:a16="http://schemas.microsoft.com/office/drawing/2014/main" id="{00000000-0008-0000-1500-00004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77" name="Line 103">
          <a:extLst>
            <a:ext uri="{FF2B5EF4-FFF2-40B4-BE49-F238E27FC236}">
              <a16:creationId xmlns="" xmlns:a16="http://schemas.microsoft.com/office/drawing/2014/main" id="{00000000-0008-0000-1500-00004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78" name="Line 100">
          <a:extLst>
            <a:ext uri="{FF2B5EF4-FFF2-40B4-BE49-F238E27FC236}">
              <a16:creationId xmlns="" xmlns:a16="http://schemas.microsoft.com/office/drawing/2014/main" id="{00000000-0008-0000-1500-00004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79" name="Line 101">
          <a:extLst>
            <a:ext uri="{FF2B5EF4-FFF2-40B4-BE49-F238E27FC236}">
              <a16:creationId xmlns="" xmlns:a16="http://schemas.microsoft.com/office/drawing/2014/main" id="{00000000-0008-0000-1500-00004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80" name="Line 102">
          <a:extLst>
            <a:ext uri="{FF2B5EF4-FFF2-40B4-BE49-F238E27FC236}">
              <a16:creationId xmlns="" xmlns:a16="http://schemas.microsoft.com/office/drawing/2014/main" id="{00000000-0008-0000-1500-00005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81" name="Line 103">
          <a:extLst>
            <a:ext uri="{FF2B5EF4-FFF2-40B4-BE49-F238E27FC236}">
              <a16:creationId xmlns="" xmlns:a16="http://schemas.microsoft.com/office/drawing/2014/main" id="{00000000-0008-0000-1500-00005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82" name="Line 100">
          <a:extLst>
            <a:ext uri="{FF2B5EF4-FFF2-40B4-BE49-F238E27FC236}">
              <a16:creationId xmlns="" xmlns:a16="http://schemas.microsoft.com/office/drawing/2014/main" id="{00000000-0008-0000-1500-00005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83" name="Line 101">
          <a:extLst>
            <a:ext uri="{FF2B5EF4-FFF2-40B4-BE49-F238E27FC236}">
              <a16:creationId xmlns="" xmlns:a16="http://schemas.microsoft.com/office/drawing/2014/main" id="{00000000-0008-0000-1500-00005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84" name="Line 102">
          <a:extLst>
            <a:ext uri="{FF2B5EF4-FFF2-40B4-BE49-F238E27FC236}">
              <a16:creationId xmlns="" xmlns:a16="http://schemas.microsoft.com/office/drawing/2014/main" id="{00000000-0008-0000-1500-00005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85" name="Line 103">
          <a:extLst>
            <a:ext uri="{FF2B5EF4-FFF2-40B4-BE49-F238E27FC236}">
              <a16:creationId xmlns="" xmlns:a16="http://schemas.microsoft.com/office/drawing/2014/main" id="{00000000-0008-0000-1500-00005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86" name="Line 100">
          <a:extLst>
            <a:ext uri="{FF2B5EF4-FFF2-40B4-BE49-F238E27FC236}">
              <a16:creationId xmlns="" xmlns:a16="http://schemas.microsoft.com/office/drawing/2014/main" id="{00000000-0008-0000-1500-00005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87" name="Line 101">
          <a:extLst>
            <a:ext uri="{FF2B5EF4-FFF2-40B4-BE49-F238E27FC236}">
              <a16:creationId xmlns="" xmlns:a16="http://schemas.microsoft.com/office/drawing/2014/main" id="{00000000-0008-0000-1500-00005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88" name="Line 102">
          <a:extLst>
            <a:ext uri="{FF2B5EF4-FFF2-40B4-BE49-F238E27FC236}">
              <a16:creationId xmlns="" xmlns:a16="http://schemas.microsoft.com/office/drawing/2014/main" id="{00000000-0008-0000-1500-00005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89" name="Line 103">
          <a:extLst>
            <a:ext uri="{FF2B5EF4-FFF2-40B4-BE49-F238E27FC236}">
              <a16:creationId xmlns="" xmlns:a16="http://schemas.microsoft.com/office/drawing/2014/main" id="{00000000-0008-0000-1500-00005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90" name="Line 100">
          <a:extLst>
            <a:ext uri="{FF2B5EF4-FFF2-40B4-BE49-F238E27FC236}">
              <a16:creationId xmlns="" xmlns:a16="http://schemas.microsoft.com/office/drawing/2014/main" id="{00000000-0008-0000-1500-00005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91" name="Line 101">
          <a:extLst>
            <a:ext uri="{FF2B5EF4-FFF2-40B4-BE49-F238E27FC236}">
              <a16:creationId xmlns="" xmlns:a16="http://schemas.microsoft.com/office/drawing/2014/main" id="{00000000-0008-0000-1500-00005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92" name="Line 102">
          <a:extLst>
            <a:ext uri="{FF2B5EF4-FFF2-40B4-BE49-F238E27FC236}">
              <a16:creationId xmlns="" xmlns:a16="http://schemas.microsoft.com/office/drawing/2014/main" id="{00000000-0008-0000-1500-00005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93" name="Line 103">
          <a:extLst>
            <a:ext uri="{FF2B5EF4-FFF2-40B4-BE49-F238E27FC236}">
              <a16:creationId xmlns="" xmlns:a16="http://schemas.microsoft.com/office/drawing/2014/main" id="{00000000-0008-0000-1500-00005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94" name="Line 100">
          <a:extLst>
            <a:ext uri="{FF2B5EF4-FFF2-40B4-BE49-F238E27FC236}">
              <a16:creationId xmlns="" xmlns:a16="http://schemas.microsoft.com/office/drawing/2014/main" id="{00000000-0008-0000-1500-00005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95" name="Line 101">
          <a:extLst>
            <a:ext uri="{FF2B5EF4-FFF2-40B4-BE49-F238E27FC236}">
              <a16:creationId xmlns="" xmlns:a16="http://schemas.microsoft.com/office/drawing/2014/main" id="{00000000-0008-0000-1500-00005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96" name="Line 102">
          <a:extLst>
            <a:ext uri="{FF2B5EF4-FFF2-40B4-BE49-F238E27FC236}">
              <a16:creationId xmlns="" xmlns:a16="http://schemas.microsoft.com/office/drawing/2014/main" id="{00000000-0008-0000-1500-00006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97" name="Line 103">
          <a:extLst>
            <a:ext uri="{FF2B5EF4-FFF2-40B4-BE49-F238E27FC236}">
              <a16:creationId xmlns="" xmlns:a16="http://schemas.microsoft.com/office/drawing/2014/main" id="{00000000-0008-0000-1500-00006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98" name="Line 100">
          <a:extLst>
            <a:ext uri="{FF2B5EF4-FFF2-40B4-BE49-F238E27FC236}">
              <a16:creationId xmlns="" xmlns:a16="http://schemas.microsoft.com/office/drawing/2014/main" id="{00000000-0008-0000-1500-00006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99" name="Line 101">
          <a:extLst>
            <a:ext uri="{FF2B5EF4-FFF2-40B4-BE49-F238E27FC236}">
              <a16:creationId xmlns="" xmlns:a16="http://schemas.microsoft.com/office/drawing/2014/main" id="{00000000-0008-0000-1500-00006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00" name="Line 102">
          <a:extLst>
            <a:ext uri="{FF2B5EF4-FFF2-40B4-BE49-F238E27FC236}">
              <a16:creationId xmlns="" xmlns:a16="http://schemas.microsoft.com/office/drawing/2014/main" id="{00000000-0008-0000-1500-00006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01" name="Line 103">
          <a:extLst>
            <a:ext uri="{FF2B5EF4-FFF2-40B4-BE49-F238E27FC236}">
              <a16:creationId xmlns="" xmlns:a16="http://schemas.microsoft.com/office/drawing/2014/main" id="{00000000-0008-0000-1500-00006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02" name="Line 100">
          <a:extLst>
            <a:ext uri="{FF2B5EF4-FFF2-40B4-BE49-F238E27FC236}">
              <a16:creationId xmlns="" xmlns:a16="http://schemas.microsoft.com/office/drawing/2014/main" id="{00000000-0008-0000-1500-00006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03" name="Line 101">
          <a:extLst>
            <a:ext uri="{FF2B5EF4-FFF2-40B4-BE49-F238E27FC236}">
              <a16:creationId xmlns="" xmlns:a16="http://schemas.microsoft.com/office/drawing/2014/main" id="{00000000-0008-0000-1500-00006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04" name="Line 102">
          <a:extLst>
            <a:ext uri="{FF2B5EF4-FFF2-40B4-BE49-F238E27FC236}">
              <a16:creationId xmlns="" xmlns:a16="http://schemas.microsoft.com/office/drawing/2014/main" id="{00000000-0008-0000-1500-00006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05" name="Line 103">
          <a:extLst>
            <a:ext uri="{FF2B5EF4-FFF2-40B4-BE49-F238E27FC236}">
              <a16:creationId xmlns="" xmlns:a16="http://schemas.microsoft.com/office/drawing/2014/main" id="{00000000-0008-0000-1500-00006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06" name="Line 100">
          <a:extLst>
            <a:ext uri="{FF2B5EF4-FFF2-40B4-BE49-F238E27FC236}">
              <a16:creationId xmlns="" xmlns:a16="http://schemas.microsoft.com/office/drawing/2014/main" id="{00000000-0008-0000-1500-00006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07" name="Line 101">
          <a:extLst>
            <a:ext uri="{FF2B5EF4-FFF2-40B4-BE49-F238E27FC236}">
              <a16:creationId xmlns="" xmlns:a16="http://schemas.microsoft.com/office/drawing/2014/main" id="{00000000-0008-0000-1500-00006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08" name="Line 102">
          <a:extLst>
            <a:ext uri="{FF2B5EF4-FFF2-40B4-BE49-F238E27FC236}">
              <a16:creationId xmlns="" xmlns:a16="http://schemas.microsoft.com/office/drawing/2014/main" id="{00000000-0008-0000-1500-00006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09" name="Line 103">
          <a:extLst>
            <a:ext uri="{FF2B5EF4-FFF2-40B4-BE49-F238E27FC236}">
              <a16:creationId xmlns="" xmlns:a16="http://schemas.microsoft.com/office/drawing/2014/main" id="{00000000-0008-0000-1500-00006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10" name="Line 100">
          <a:extLst>
            <a:ext uri="{FF2B5EF4-FFF2-40B4-BE49-F238E27FC236}">
              <a16:creationId xmlns="" xmlns:a16="http://schemas.microsoft.com/office/drawing/2014/main" id="{00000000-0008-0000-1500-00006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11" name="Line 101">
          <a:extLst>
            <a:ext uri="{FF2B5EF4-FFF2-40B4-BE49-F238E27FC236}">
              <a16:creationId xmlns="" xmlns:a16="http://schemas.microsoft.com/office/drawing/2014/main" id="{00000000-0008-0000-1500-00006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12" name="Line 102">
          <a:extLst>
            <a:ext uri="{FF2B5EF4-FFF2-40B4-BE49-F238E27FC236}">
              <a16:creationId xmlns="" xmlns:a16="http://schemas.microsoft.com/office/drawing/2014/main" id="{00000000-0008-0000-1500-00007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13" name="Line 103">
          <a:extLst>
            <a:ext uri="{FF2B5EF4-FFF2-40B4-BE49-F238E27FC236}">
              <a16:creationId xmlns="" xmlns:a16="http://schemas.microsoft.com/office/drawing/2014/main" id="{00000000-0008-0000-1500-00007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14" name="Line 100">
          <a:extLst>
            <a:ext uri="{FF2B5EF4-FFF2-40B4-BE49-F238E27FC236}">
              <a16:creationId xmlns="" xmlns:a16="http://schemas.microsoft.com/office/drawing/2014/main" id="{00000000-0008-0000-1500-00007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15" name="Line 101">
          <a:extLst>
            <a:ext uri="{FF2B5EF4-FFF2-40B4-BE49-F238E27FC236}">
              <a16:creationId xmlns="" xmlns:a16="http://schemas.microsoft.com/office/drawing/2014/main" id="{00000000-0008-0000-1500-00007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16" name="Line 102">
          <a:extLst>
            <a:ext uri="{FF2B5EF4-FFF2-40B4-BE49-F238E27FC236}">
              <a16:creationId xmlns="" xmlns:a16="http://schemas.microsoft.com/office/drawing/2014/main" id="{00000000-0008-0000-1500-00007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17" name="Line 103">
          <a:extLst>
            <a:ext uri="{FF2B5EF4-FFF2-40B4-BE49-F238E27FC236}">
              <a16:creationId xmlns="" xmlns:a16="http://schemas.microsoft.com/office/drawing/2014/main" id="{00000000-0008-0000-1500-00007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18" name="Line 100">
          <a:extLst>
            <a:ext uri="{FF2B5EF4-FFF2-40B4-BE49-F238E27FC236}">
              <a16:creationId xmlns="" xmlns:a16="http://schemas.microsoft.com/office/drawing/2014/main" id="{00000000-0008-0000-1500-00007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19" name="Line 101">
          <a:extLst>
            <a:ext uri="{FF2B5EF4-FFF2-40B4-BE49-F238E27FC236}">
              <a16:creationId xmlns="" xmlns:a16="http://schemas.microsoft.com/office/drawing/2014/main" id="{00000000-0008-0000-1500-00007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20" name="Line 102">
          <a:extLst>
            <a:ext uri="{FF2B5EF4-FFF2-40B4-BE49-F238E27FC236}">
              <a16:creationId xmlns="" xmlns:a16="http://schemas.microsoft.com/office/drawing/2014/main" id="{00000000-0008-0000-1500-00007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21" name="Line 103">
          <a:extLst>
            <a:ext uri="{FF2B5EF4-FFF2-40B4-BE49-F238E27FC236}">
              <a16:creationId xmlns="" xmlns:a16="http://schemas.microsoft.com/office/drawing/2014/main" id="{00000000-0008-0000-1500-00007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22" name="Line 100">
          <a:extLst>
            <a:ext uri="{FF2B5EF4-FFF2-40B4-BE49-F238E27FC236}">
              <a16:creationId xmlns="" xmlns:a16="http://schemas.microsoft.com/office/drawing/2014/main" id="{00000000-0008-0000-1500-00007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23" name="Line 101">
          <a:extLst>
            <a:ext uri="{FF2B5EF4-FFF2-40B4-BE49-F238E27FC236}">
              <a16:creationId xmlns="" xmlns:a16="http://schemas.microsoft.com/office/drawing/2014/main" id="{00000000-0008-0000-1500-00007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24" name="Line 102">
          <a:extLst>
            <a:ext uri="{FF2B5EF4-FFF2-40B4-BE49-F238E27FC236}">
              <a16:creationId xmlns="" xmlns:a16="http://schemas.microsoft.com/office/drawing/2014/main" id="{00000000-0008-0000-1500-00007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25" name="Line 103">
          <a:extLst>
            <a:ext uri="{FF2B5EF4-FFF2-40B4-BE49-F238E27FC236}">
              <a16:creationId xmlns="" xmlns:a16="http://schemas.microsoft.com/office/drawing/2014/main" id="{00000000-0008-0000-1500-00007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26" name="Line 100">
          <a:extLst>
            <a:ext uri="{FF2B5EF4-FFF2-40B4-BE49-F238E27FC236}">
              <a16:creationId xmlns="" xmlns:a16="http://schemas.microsoft.com/office/drawing/2014/main" id="{00000000-0008-0000-1500-00007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27" name="Line 101">
          <a:extLst>
            <a:ext uri="{FF2B5EF4-FFF2-40B4-BE49-F238E27FC236}">
              <a16:creationId xmlns="" xmlns:a16="http://schemas.microsoft.com/office/drawing/2014/main" id="{00000000-0008-0000-1500-00007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28" name="Line 102">
          <a:extLst>
            <a:ext uri="{FF2B5EF4-FFF2-40B4-BE49-F238E27FC236}">
              <a16:creationId xmlns="" xmlns:a16="http://schemas.microsoft.com/office/drawing/2014/main" id="{00000000-0008-0000-1500-00008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29" name="Line 103">
          <a:extLst>
            <a:ext uri="{FF2B5EF4-FFF2-40B4-BE49-F238E27FC236}">
              <a16:creationId xmlns="" xmlns:a16="http://schemas.microsoft.com/office/drawing/2014/main" id="{00000000-0008-0000-1500-00008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30" name="Line 100">
          <a:extLst>
            <a:ext uri="{FF2B5EF4-FFF2-40B4-BE49-F238E27FC236}">
              <a16:creationId xmlns="" xmlns:a16="http://schemas.microsoft.com/office/drawing/2014/main" id="{00000000-0008-0000-1500-00008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31" name="Line 101">
          <a:extLst>
            <a:ext uri="{FF2B5EF4-FFF2-40B4-BE49-F238E27FC236}">
              <a16:creationId xmlns="" xmlns:a16="http://schemas.microsoft.com/office/drawing/2014/main" id="{00000000-0008-0000-1500-00008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32" name="Line 102">
          <a:extLst>
            <a:ext uri="{FF2B5EF4-FFF2-40B4-BE49-F238E27FC236}">
              <a16:creationId xmlns="" xmlns:a16="http://schemas.microsoft.com/office/drawing/2014/main" id="{00000000-0008-0000-1500-00008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33" name="Line 103">
          <a:extLst>
            <a:ext uri="{FF2B5EF4-FFF2-40B4-BE49-F238E27FC236}">
              <a16:creationId xmlns="" xmlns:a16="http://schemas.microsoft.com/office/drawing/2014/main" id="{00000000-0008-0000-1500-00008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34" name="Line 100">
          <a:extLst>
            <a:ext uri="{FF2B5EF4-FFF2-40B4-BE49-F238E27FC236}">
              <a16:creationId xmlns="" xmlns:a16="http://schemas.microsoft.com/office/drawing/2014/main" id="{00000000-0008-0000-1500-00008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35" name="Line 101">
          <a:extLst>
            <a:ext uri="{FF2B5EF4-FFF2-40B4-BE49-F238E27FC236}">
              <a16:creationId xmlns="" xmlns:a16="http://schemas.microsoft.com/office/drawing/2014/main" id="{00000000-0008-0000-1500-00008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36" name="Line 102">
          <a:extLst>
            <a:ext uri="{FF2B5EF4-FFF2-40B4-BE49-F238E27FC236}">
              <a16:creationId xmlns="" xmlns:a16="http://schemas.microsoft.com/office/drawing/2014/main" id="{00000000-0008-0000-1500-00008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37" name="Line 103">
          <a:extLst>
            <a:ext uri="{FF2B5EF4-FFF2-40B4-BE49-F238E27FC236}">
              <a16:creationId xmlns="" xmlns:a16="http://schemas.microsoft.com/office/drawing/2014/main" id="{00000000-0008-0000-1500-00008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38" name="Line 100">
          <a:extLst>
            <a:ext uri="{FF2B5EF4-FFF2-40B4-BE49-F238E27FC236}">
              <a16:creationId xmlns="" xmlns:a16="http://schemas.microsoft.com/office/drawing/2014/main" id="{00000000-0008-0000-1500-00008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39" name="Line 101">
          <a:extLst>
            <a:ext uri="{FF2B5EF4-FFF2-40B4-BE49-F238E27FC236}">
              <a16:creationId xmlns="" xmlns:a16="http://schemas.microsoft.com/office/drawing/2014/main" id="{00000000-0008-0000-1500-00008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40" name="Line 102">
          <a:extLst>
            <a:ext uri="{FF2B5EF4-FFF2-40B4-BE49-F238E27FC236}">
              <a16:creationId xmlns="" xmlns:a16="http://schemas.microsoft.com/office/drawing/2014/main" id="{00000000-0008-0000-1500-00008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41" name="Line 103">
          <a:extLst>
            <a:ext uri="{FF2B5EF4-FFF2-40B4-BE49-F238E27FC236}">
              <a16:creationId xmlns="" xmlns:a16="http://schemas.microsoft.com/office/drawing/2014/main" id="{00000000-0008-0000-1500-00008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42" name="Line 100">
          <a:extLst>
            <a:ext uri="{FF2B5EF4-FFF2-40B4-BE49-F238E27FC236}">
              <a16:creationId xmlns="" xmlns:a16="http://schemas.microsoft.com/office/drawing/2014/main" id="{00000000-0008-0000-1500-00008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43" name="Line 101">
          <a:extLst>
            <a:ext uri="{FF2B5EF4-FFF2-40B4-BE49-F238E27FC236}">
              <a16:creationId xmlns="" xmlns:a16="http://schemas.microsoft.com/office/drawing/2014/main" id="{00000000-0008-0000-1500-00008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44" name="Line 102">
          <a:extLst>
            <a:ext uri="{FF2B5EF4-FFF2-40B4-BE49-F238E27FC236}">
              <a16:creationId xmlns="" xmlns:a16="http://schemas.microsoft.com/office/drawing/2014/main" id="{00000000-0008-0000-1500-00009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45" name="Line 103">
          <a:extLst>
            <a:ext uri="{FF2B5EF4-FFF2-40B4-BE49-F238E27FC236}">
              <a16:creationId xmlns="" xmlns:a16="http://schemas.microsoft.com/office/drawing/2014/main" id="{00000000-0008-0000-1500-00009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46" name="Line 100">
          <a:extLst>
            <a:ext uri="{FF2B5EF4-FFF2-40B4-BE49-F238E27FC236}">
              <a16:creationId xmlns="" xmlns:a16="http://schemas.microsoft.com/office/drawing/2014/main" id="{00000000-0008-0000-1500-00009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47" name="Line 101">
          <a:extLst>
            <a:ext uri="{FF2B5EF4-FFF2-40B4-BE49-F238E27FC236}">
              <a16:creationId xmlns="" xmlns:a16="http://schemas.microsoft.com/office/drawing/2014/main" id="{00000000-0008-0000-1500-00009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48" name="Line 102">
          <a:extLst>
            <a:ext uri="{FF2B5EF4-FFF2-40B4-BE49-F238E27FC236}">
              <a16:creationId xmlns="" xmlns:a16="http://schemas.microsoft.com/office/drawing/2014/main" id="{00000000-0008-0000-1500-00009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49" name="Line 103">
          <a:extLst>
            <a:ext uri="{FF2B5EF4-FFF2-40B4-BE49-F238E27FC236}">
              <a16:creationId xmlns="" xmlns:a16="http://schemas.microsoft.com/office/drawing/2014/main" id="{00000000-0008-0000-1500-00009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50" name="Line 100">
          <a:extLst>
            <a:ext uri="{FF2B5EF4-FFF2-40B4-BE49-F238E27FC236}">
              <a16:creationId xmlns="" xmlns:a16="http://schemas.microsoft.com/office/drawing/2014/main" id="{00000000-0008-0000-1500-00009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51" name="Line 101">
          <a:extLst>
            <a:ext uri="{FF2B5EF4-FFF2-40B4-BE49-F238E27FC236}">
              <a16:creationId xmlns="" xmlns:a16="http://schemas.microsoft.com/office/drawing/2014/main" id="{00000000-0008-0000-1500-00009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52" name="Line 102">
          <a:extLst>
            <a:ext uri="{FF2B5EF4-FFF2-40B4-BE49-F238E27FC236}">
              <a16:creationId xmlns="" xmlns:a16="http://schemas.microsoft.com/office/drawing/2014/main" id="{00000000-0008-0000-1500-00009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53" name="Line 103">
          <a:extLst>
            <a:ext uri="{FF2B5EF4-FFF2-40B4-BE49-F238E27FC236}">
              <a16:creationId xmlns="" xmlns:a16="http://schemas.microsoft.com/office/drawing/2014/main" id="{00000000-0008-0000-1500-00009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54" name="Line 100">
          <a:extLst>
            <a:ext uri="{FF2B5EF4-FFF2-40B4-BE49-F238E27FC236}">
              <a16:creationId xmlns="" xmlns:a16="http://schemas.microsoft.com/office/drawing/2014/main" id="{00000000-0008-0000-1500-00009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55" name="Line 101">
          <a:extLst>
            <a:ext uri="{FF2B5EF4-FFF2-40B4-BE49-F238E27FC236}">
              <a16:creationId xmlns="" xmlns:a16="http://schemas.microsoft.com/office/drawing/2014/main" id="{00000000-0008-0000-1500-00009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56" name="Line 102">
          <a:extLst>
            <a:ext uri="{FF2B5EF4-FFF2-40B4-BE49-F238E27FC236}">
              <a16:creationId xmlns="" xmlns:a16="http://schemas.microsoft.com/office/drawing/2014/main" id="{00000000-0008-0000-1500-00009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57" name="Line 103">
          <a:extLst>
            <a:ext uri="{FF2B5EF4-FFF2-40B4-BE49-F238E27FC236}">
              <a16:creationId xmlns="" xmlns:a16="http://schemas.microsoft.com/office/drawing/2014/main" id="{00000000-0008-0000-1500-00009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58" name="Line 100">
          <a:extLst>
            <a:ext uri="{FF2B5EF4-FFF2-40B4-BE49-F238E27FC236}">
              <a16:creationId xmlns="" xmlns:a16="http://schemas.microsoft.com/office/drawing/2014/main" id="{00000000-0008-0000-1500-00009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59" name="Line 101">
          <a:extLst>
            <a:ext uri="{FF2B5EF4-FFF2-40B4-BE49-F238E27FC236}">
              <a16:creationId xmlns="" xmlns:a16="http://schemas.microsoft.com/office/drawing/2014/main" id="{00000000-0008-0000-1500-00009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60" name="Line 102">
          <a:extLst>
            <a:ext uri="{FF2B5EF4-FFF2-40B4-BE49-F238E27FC236}">
              <a16:creationId xmlns="" xmlns:a16="http://schemas.microsoft.com/office/drawing/2014/main" id="{00000000-0008-0000-1500-0000A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61" name="Line 103">
          <a:extLst>
            <a:ext uri="{FF2B5EF4-FFF2-40B4-BE49-F238E27FC236}">
              <a16:creationId xmlns="" xmlns:a16="http://schemas.microsoft.com/office/drawing/2014/main" id="{00000000-0008-0000-1500-0000A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62" name="Line 100">
          <a:extLst>
            <a:ext uri="{FF2B5EF4-FFF2-40B4-BE49-F238E27FC236}">
              <a16:creationId xmlns="" xmlns:a16="http://schemas.microsoft.com/office/drawing/2014/main" id="{00000000-0008-0000-1500-0000A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63" name="Line 101">
          <a:extLst>
            <a:ext uri="{FF2B5EF4-FFF2-40B4-BE49-F238E27FC236}">
              <a16:creationId xmlns="" xmlns:a16="http://schemas.microsoft.com/office/drawing/2014/main" id="{00000000-0008-0000-1500-0000A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64" name="Line 102">
          <a:extLst>
            <a:ext uri="{FF2B5EF4-FFF2-40B4-BE49-F238E27FC236}">
              <a16:creationId xmlns="" xmlns:a16="http://schemas.microsoft.com/office/drawing/2014/main" id="{00000000-0008-0000-1500-0000A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65" name="Line 103">
          <a:extLst>
            <a:ext uri="{FF2B5EF4-FFF2-40B4-BE49-F238E27FC236}">
              <a16:creationId xmlns="" xmlns:a16="http://schemas.microsoft.com/office/drawing/2014/main" id="{00000000-0008-0000-1500-0000A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66" name="Line 100">
          <a:extLst>
            <a:ext uri="{FF2B5EF4-FFF2-40B4-BE49-F238E27FC236}">
              <a16:creationId xmlns="" xmlns:a16="http://schemas.microsoft.com/office/drawing/2014/main" id="{00000000-0008-0000-1500-0000A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67" name="Line 101">
          <a:extLst>
            <a:ext uri="{FF2B5EF4-FFF2-40B4-BE49-F238E27FC236}">
              <a16:creationId xmlns="" xmlns:a16="http://schemas.microsoft.com/office/drawing/2014/main" id="{00000000-0008-0000-1500-0000A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68" name="Line 102">
          <a:extLst>
            <a:ext uri="{FF2B5EF4-FFF2-40B4-BE49-F238E27FC236}">
              <a16:creationId xmlns="" xmlns:a16="http://schemas.microsoft.com/office/drawing/2014/main" id="{00000000-0008-0000-1500-0000A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69" name="Line 103">
          <a:extLst>
            <a:ext uri="{FF2B5EF4-FFF2-40B4-BE49-F238E27FC236}">
              <a16:creationId xmlns="" xmlns:a16="http://schemas.microsoft.com/office/drawing/2014/main" id="{00000000-0008-0000-1500-0000A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70" name="Line 100">
          <a:extLst>
            <a:ext uri="{FF2B5EF4-FFF2-40B4-BE49-F238E27FC236}">
              <a16:creationId xmlns="" xmlns:a16="http://schemas.microsoft.com/office/drawing/2014/main" id="{00000000-0008-0000-1500-0000A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71" name="Line 101">
          <a:extLst>
            <a:ext uri="{FF2B5EF4-FFF2-40B4-BE49-F238E27FC236}">
              <a16:creationId xmlns="" xmlns:a16="http://schemas.microsoft.com/office/drawing/2014/main" id="{00000000-0008-0000-1500-0000A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72" name="Line 102">
          <a:extLst>
            <a:ext uri="{FF2B5EF4-FFF2-40B4-BE49-F238E27FC236}">
              <a16:creationId xmlns="" xmlns:a16="http://schemas.microsoft.com/office/drawing/2014/main" id="{00000000-0008-0000-1500-0000A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73" name="Line 103">
          <a:extLst>
            <a:ext uri="{FF2B5EF4-FFF2-40B4-BE49-F238E27FC236}">
              <a16:creationId xmlns="" xmlns:a16="http://schemas.microsoft.com/office/drawing/2014/main" id="{00000000-0008-0000-1500-0000A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74" name="Line 100">
          <a:extLst>
            <a:ext uri="{FF2B5EF4-FFF2-40B4-BE49-F238E27FC236}">
              <a16:creationId xmlns="" xmlns:a16="http://schemas.microsoft.com/office/drawing/2014/main" id="{00000000-0008-0000-1500-0000A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75" name="Line 101">
          <a:extLst>
            <a:ext uri="{FF2B5EF4-FFF2-40B4-BE49-F238E27FC236}">
              <a16:creationId xmlns="" xmlns:a16="http://schemas.microsoft.com/office/drawing/2014/main" id="{00000000-0008-0000-1500-0000A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76" name="Line 102">
          <a:extLst>
            <a:ext uri="{FF2B5EF4-FFF2-40B4-BE49-F238E27FC236}">
              <a16:creationId xmlns="" xmlns:a16="http://schemas.microsoft.com/office/drawing/2014/main" id="{00000000-0008-0000-1500-0000B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77" name="Line 103">
          <a:extLst>
            <a:ext uri="{FF2B5EF4-FFF2-40B4-BE49-F238E27FC236}">
              <a16:creationId xmlns="" xmlns:a16="http://schemas.microsoft.com/office/drawing/2014/main" id="{00000000-0008-0000-1500-0000B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78" name="Line 100">
          <a:extLst>
            <a:ext uri="{FF2B5EF4-FFF2-40B4-BE49-F238E27FC236}">
              <a16:creationId xmlns="" xmlns:a16="http://schemas.microsoft.com/office/drawing/2014/main" id="{00000000-0008-0000-1500-0000B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79" name="Line 101">
          <a:extLst>
            <a:ext uri="{FF2B5EF4-FFF2-40B4-BE49-F238E27FC236}">
              <a16:creationId xmlns="" xmlns:a16="http://schemas.microsoft.com/office/drawing/2014/main" id="{00000000-0008-0000-1500-0000B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80" name="Line 102">
          <a:extLst>
            <a:ext uri="{FF2B5EF4-FFF2-40B4-BE49-F238E27FC236}">
              <a16:creationId xmlns="" xmlns:a16="http://schemas.microsoft.com/office/drawing/2014/main" id="{00000000-0008-0000-1500-0000B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81" name="Line 103">
          <a:extLst>
            <a:ext uri="{FF2B5EF4-FFF2-40B4-BE49-F238E27FC236}">
              <a16:creationId xmlns="" xmlns:a16="http://schemas.microsoft.com/office/drawing/2014/main" id="{00000000-0008-0000-1500-0000B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82" name="Line 100">
          <a:extLst>
            <a:ext uri="{FF2B5EF4-FFF2-40B4-BE49-F238E27FC236}">
              <a16:creationId xmlns="" xmlns:a16="http://schemas.microsoft.com/office/drawing/2014/main" id="{00000000-0008-0000-1500-0000B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83" name="Line 101">
          <a:extLst>
            <a:ext uri="{FF2B5EF4-FFF2-40B4-BE49-F238E27FC236}">
              <a16:creationId xmlns="" xmlns:a16="http://schemas.microsoft.com/office/drawing/2014/main" id="{00000000-0008-0000-1500-0000B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84" name="Line 102">
          <a:extLst>
            <a:ext uri="{FF2B5EF4-FFF2-40B4-BE49-F238E27FC236}">
              <a16:creationId xmlns="" xmlns:a16="http://schemas.microsoft.com/office/drawing/2014/main" id="{00000000-0008-0000-1500-0000B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85" name="Line 103">
          <a:extLst>
            <a:ext uri="{FF2B5EF4-FFF2-40B4-BE49-F238E27FC236}">
              <a16:creationId xmlns="" xmlns:a16="http://schemas.microsoft.com/office/drawing/2014/main" id="{00000000-0008-0000-1500-0000B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86" name="Line 100">
          <a:extLst>
            <a:ext uri="{FF2B5EF4-FFF2-40B4-BE49-F238E27FC236}">
              <a16:creationId xmlns="" xmlns:a16="http://schemas.microsoft.com/office/drawing/2014/main" id="{00000000-0008-0000-1500-0000B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87" name="Line 101">
          <a:extLst>
            <a:ext uri="{FF2B5EF4-FFF2-40B4-BE49-F238E27FC236}">
              <a16:creationId xmlns="" xmlns:a16="http://schemas.microsoft.com/office/drawing/2014/main" id="{00000000-0008-0000-1500-0000B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88" name="Line 102">
          <a:extLst>
            <a:ext uri="{FF2B5EF4-FFF2-40B4-BE49-F238E27FC236}">
              <a16:creationId xmlns="" xmlns:a16="http://schemas.microsoft.com/office/drawing/2014/main" id="{00000000-0008-0000-1500-0000B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89" name="Line 103">
          <a:extLst>
            <a:ext uri="{FF2B5EF4-FFF2-40B4-BE49-F238E27FC236}">
              <a16:creationId xmlns="" xmlns:a16="http://schemas.microsoft.com/office/drawing/2014/main" id="{00000000-0008-0000-1500-0000B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90" name="Line 100">
          <a:extLst>
            <a:ext uri="{FF2B5EF4-FFF2-40B4-BE49-F238E27FC236}">
              <a16:creationId xmlns="" xmlns:a16="http://schemas.microsoft.com/office/drawing/2014/main" id="{00000000-0008-0000-1500-0000B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91" name="Line 101">
          <a:extLst>
            <a:ext uri="{FF2B5EF4-FFF2-40B4-BE49-F238E27FC236}">
              <a16:creationId xmlns="" xmlns:a16="http://schemas.microsoft.com/office/drawing/2014/main" id="{00000000-0008-0000-1500-0000B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92" name="Line 102">
          <a:extLst>
            <a:ext uri="{FF2B5EF4-FFF2-40B4-BE49-F238E27FC236}">
              <a16:creationId xmlns="" xmlns:a16="http://schemas.microsoft.com/office/drawing/2014/main" id="{00000000-0008-0000-1500-0000C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93" name="Line 103">
          <a:extLst>
            <a:ext uri="{FF2B5EF4-FFF2-40B4-BE49-F238E27FC236}">
              <a16:creationId xmlns="" xmlns:a16="http://schemas.microsoft.com/office/drawing/2014/main" id="{00000000-0008-0000-1500-0000C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94" name="Line 100">
          <a:extLst>
            <a:ext uri="{FF2B5EF4-FFF2-40B4-BE49-F238E27FC236}">
              <a16:creationId xmlns="" xmlns:a16="http://schemas.microsoft.com/office/drawing/2014/main" id="{00000000-0008-0000-1500-0000C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95" name="Line 101">
          <a:extLst>
            <a:ext uri="{FF2B5EF4-FFF2-40B4-BE49-F238E27FC236}">
              <a16:creationId xmlns="" xmlns:a16="http://schemas.microsoft.com/office/drawing/2014/main" id="{00000000-0008-0000-1500-0000C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96" name="Line 102">
          <a:extLst>
            <a:ext uri="{FF2B5EF4-FFF2-40B4-BE49-F238E27FC236}">
              <a16:creationId xmlns="" xmlns:a16="http://schemas.microsoft.com/office/drawing/2014/main" id="{00000000-0008-0000-1500-0000C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97" name="Line 103">
          <a:extLst>
            <a:ext uri="{FF2B5EF4-FFF2-40B4-BE49-F238E27FC236}">
              <a16:creationId xmlns="" xmlns:a16="http://schemas.microsoft.com/office/drawing/2014/main" id="{00000000-0008-0000-1500-0000C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98" name="Line 100">
          <a:extLst>
            <a:ext uri="{FF2B5EF4-FFF2-40B4-BE49-F238E27FC236}">
              <a16:creationId xmlns="" xmlns:a16="http://schemas.microsoft.com/office/drawing/2014/main" id="{00000000-0008-0000-1500-0000C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99" name="Line 101">
          <a:extLst>
            <a:ext uri="{FF2B5EF4-FFF2-40B4-BE49-F238E27FC236}">
              <a16:creationId xmlns="" xmlns:a16="http://schemas.microsoft.com/office/drawing/2014/main" id="{00000000-0008-0000-1500-0000C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200" name="Line 102">
          <a:extLst>
            <a:ext uri="{FF2B5EF4-FFF2-40B4-BE49-F238E27FC236}">
              <a16:creationId xmlns="" xmlns:a16="http://schemas.microsoft.com/office/drawing/2014/main" id="{00000000-0008-0000-1500-0000C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201" name="Line 103">
          <a:extLst>
            <a:ext uri="{FF2B5EF4-FFF2-40B4-BE49-F238E27FC236}">
              <a16:creationId xmlns="" xmlns:a16="http://schemas.microsoft.com/office/drawing/2014/main" id="{00000000-0008-0000-1500-0000C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02" name="Line 100">
          <a:extLst>
            <a:ext uri="{FF2B5EF4-FFF2-40B4-BE49-F238E27FC236}">
              <a16:creationId xmlns="" xmlns:a16="http://schemas.microsoft.com/office/drawing/2014/main" id="{00000000-0008-0000-1500-0000C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03" name="Line 101">
          <a:extLst>
            <a:ext uri="{FF2B5EF4-FFF2-40B4-BE49-F238E27FC236}">
              <a16:creationId xmlns="" xmlns:a16="http://schemas.microsoft.com/office/drawing/2014/main" id="{00000000-0008-0000-1500-0000C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04" name="Line 102">
          <a:extLst>
            <a:ext uri="{FF2B5EF4-FFF2-40B4-BE49-F238E27FC236}">
              <a16:creationId xmlns="" xmlns:a16="http://schemas.microsoft.com/office/drawing/2014/main" id="{00000000-0008-0000-1500-0000C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05" name="Line 103">
          <a:extLst>
            <a:ext uri="{FF2B5EF4-FFF2-40B4-BE49-F238E27FC236}">
              <a16:creationId xmlns="" xmlns:a16="http://schemas.microsoft.com/office/drawing/2014/main" id="{00000000-0008-0000-1500-0000C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206" name="Line 100">
          <a:extLst>
            <a:ext uri="{FF2B5EF4-FFF2-40B4-BE49-F238E27FC236}">
              <a16:creationId xmlns="" xmlns:a16="http://schemas.microsoft.com/office/drawing/2014/main" id="{00000000-0008-0000-1500-0000C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207" name="Line 101">
          <a:extLst>
            <a:ext uri="{FF2B5EF4-FFF2-40B4-BE49-F238E27FC236}">
              <a16:creationId xmlns="" xmlns:a16="http://schemas.microsoft.com/office/drawing/2014/main" id="{00000000-0008-0000-1500-0000C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208" name="Line 102">
          <a:extLst>
            <a:ext uri="{FF2B5EF4-FFF2-40B4-BE49-F238E27FC236}">
              <a16:creationId xmlns="" xmlns:a16="http://schemas.microsoft.com/office/drawing/2014/main" id="{00000000-0008-0000-1500-0000D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209" name="Line 103">
          <a:extLst>
            <a:ext uri="{FF2B5EF4-FFF2-40B4-BE49-F238E27FC236}">
              <a16:creationId xmlns="" xmlns:a16="http://schemas.microsoft.com/office/drawing/2014/main" id="{00000000-0008-0000-1500-0000D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10" name="Line 100">
          <a:extLst>
            <a:ext uri="{FF2B5EF4-FFF2-40B4-BE49-F238E27FC236}">
              <a16:creationId xmlns="" xmlns:a16="http://schemas.microsoft.com/office/drawing/2014/main" id="{00000000-0008-0000-1500-0000D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11" name="Line 101">
          <a:extLst>
            <a:ext uri="{FF2B5EF4-FFF2-40B4-BE49-F238E27FC236}">
              <a16:creationId xmlns="" xmlns:a16="http://schemas.microsoft.com/office/drawing/2014/main" id="{00000000-0008-0000-1500-0000D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12" name="Line 102">
          <a:extLst>
            <a:ext uri="{FF2B5EF4-FFF2-40B4-BE49-F238E27FC236}">
              <a16:creationId xmlns="" xmlns:a16="http://schemas.microsoft.com/office/drawing/2014/main" id="{00000000-0008-0000-1500-0000D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13" name="Line 103">
          <a:extLst>
            <a:ext uri="{FF2B5EF4-FFF2-40B4-BE49-F238E27FC236}">
              <a16:creationId xmlns="" xmlns:a16="http://schemas.microsoft.com/office/drawing/2014/main" id="{00000000-0008-0000-1500-0000D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14" name="Line 100">
          <a:extLst>
            <a:ext uri="{FF2B5EF4-FFF2-40B4-BE49-F238E27FC236}">
              <a16:creationId xmlns="" xmlns:a16="http://schemas.microsoft.com/office/drawing/2014/main" id="{00000000-0008-0000-1500-0000D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15" name="Line 101">
          <a:extLst>
            <a:ext uri="{FF2B5EF4-FFF2-40B4-BE49-F238E27FC236}">
              <a16:creationId xmlns="" xmlns:a16="http://schemas.microsoft.com/office/drawing/2014/main" id="{00000000-0008-0000-1500-0000D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16" name="Line 102">
          <a:extLst>
            <a:ext uri="{FF2B5EF4-FFF2-40B4-BE49-F238E27FC236}">
              <a16:creationId xmlns="" xmlns:a16="http://schemas.microsoft.com/office/drawing/2014/main" id="{00000000-0008-0000-1500-0000D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17" name="Line 103">
          <a:extLst>
            <a:ext uri="{FF2B5EF4-FFF2-40B4-BE49-F238E27FC236}">
              <a16:creationId xmlns="" xmlns:a16="http://schemas.microsoft.com/office/drawing/2014/main" id="{00000000-0008-0000-1500-0000D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218" name="Line 100">
          <a:extLst>
            <a:ext uri="{FF2B5EF4-FFF2-40B4-BE49-F238E27FC236}">
              <a16:creationId xmlns="" xmlns:a16="http://schemas.microsoft.com/office/drawing/2014/main" id="{00000000-0008-0000-1500-0000D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219" name="Line 101">
          <a:extLst>
            <a:ext uri="{FF2B5EF4-FFF2-40B4-BE49-F238E27FC236}">
              <a16:creationId xmlns="" xmlns:a16="http://schemas.microsoft.com/office/drawing/2014/main" id="{00000000-0008-0000-1500-0000D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220" name="Line 102">
          <a:extLst>
            <a:ext uri="{FF2B5EF4-FFF2-40B4-BE49-F238E27FC236}">
              <a16:creationId xmlns="" xmlns:a16="http://schemas.microsoft.com/office/drawing/2014/main" id="{00000000-0008-0000-1500-0000D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221" name="Line 103">
          <a:extLst>
            <a:ext uri="{FF2B5EF4-FFF2-40B4-BE49-F238E27FC236}">
              <a16:creationId xmlns="" xmlns:a16="http://schemas.microsoft.com/office/drawing/2014/main" id="{00000000-0008-0000-1500-0000D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68" name="Line 100">
          <a:extLst>
            <a:ext uri="{FF2B5EF4-FFF2-40B4-BE49-F238E27FC236}">
              <a16:creationId xmlns="" xmlns:a16="http://schemas.microsoft.com/office/drawing/2014/main" id="{00000000-0008-0000-1600-000044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69" name="Line 101">
          <a:extLst>
            <a:ext uri="{FF2B5EF4-FFF2-40B4-BE49-F238E27FC236}">
              <a16:creationId xmlns="" xmlns:a16="http://schemas.microsoft.com/office/drawing/2014/main" id="{00000000-0008-0000-1600-000045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70" name="Line 102">
          <a:extLst>
            <a:ext uri="{FF2B5EF4-FFF2-40B4-BE49-F238E27FC236}">
              <a16:creationId xmlns="" xmlns:a16="http://schemas.microsoft.com/office/drawing/2014/main" id="{00000000-0008-0000-1600-000046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71" name="Line 103">
          <a:extLst>
            <a:ext uri="{FF2B5EF4-FFF2-40B4-BE49-F238E27FC236}">
              <a16:creationId xmlns="" xmlns:a16="http://schemas.microsoft.com/office/drawing/2014/main" id="{00000000-0008-0000-1600-000047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72" name="Line 100">
          <a:extLst>
            <a:ext uri="{FF2B5EF4-FFF2-40B4-BE49-F238E27FC236}">
              <a16:creationId xmlns="" xmlns:a16="http://schemas.microsoft.com/office/drawing/2014/main" id="{00000000-0008-0000-1600-000048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73" name="Line 101">
          <a:extLst>
            <a:ext uri="{FF2B5EF4-FFF2-40B4-BE49-F238E27FC236}">
              <a16:creationId xmlns="" xmlns:a16="http://schemas.microsoft.com/office/drawing/2014/main" id="{00000000-0008-0000-1600-000049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74" name="Line 102">
          <a:extLst>
            <a:ext uri="{FF2B5EF4-FFF2-40B4-BE49-F238E27FC236}">
              <a16:creationId xmlns="" xmlns:a16="http://schemas.microsoft.com/office/drawing/2014/main" id="{00000000-0008-0000-1600-00004A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75" name="Line 103">
          <a:extLst>
            <a:ext uri="{FF2B5EF4-FFF2-40B4-BE49-F238E27FC236}">
              <a16:creationId xmlns="" xmlns:a16="http://schemas.microsoft.com/office/drawing/2014/main" id="{00000000-0008-0000-1600-00004B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76" name="Line 100">
          <a:extLst>
            <a:ext uri="{FF2B5EF4-FFF2-40B4-BE49-F238E27FC236}">
              <a16:creationId xmlns="" xmlns:a16="http://schemas.microsoft.com/office/drawing/2014/main" id="{00000000-0008-0000-1600-00004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77" name="Line 101">
          <a:extLst>
            <a:ext uri="{FF2B5EF4-FFF2-40B4-BE49-F238E27FC236}">
              <a16:creationId xmlns="" xmlns:a16="http://schemas.microsoft.com/office/drawing/2014/main" id="{00000000-0008-0000-1600-00004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78" name="Line 102">
          <a:extLst>
            <a:ext uri="{FF2B5EF4-FFF2-40B4-BE49-F238E27FC236}">
              <a16:creationId xmlns="" xmlns:a16="http://schemas.microsoft.com/office/drawing/2014/main" id="{00000000-0008-0000-1600-00004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79" name="Line 103">
          <a:extLst>
            <a:ext uri="{FF2B5EF4-FFF2-40B4-BE49-F238E27FC236}">
              <a16:creationId xmlns="" xmlns:a16="http://schemas.microsoft.com/office/drawing/2014/main" id="{00000000-0008-0000-1600-00004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80" name="Line 100">
          <a:extLst>
            <a:ext uri="{FF2B5EF4-FFF2-40B4-BE49-F238E27FC236}">
              <a16:creationId xmlns="" xmlns:a16="http://schemas.microsoft.com/office/drawing/2014/main" id="{00000000-0008-0000-1600-000050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81" name="Line 101">
          <a:extLst>
            <a:ext uri="{FF2B5EF4-FFF2-40B4-BE49-F238E27FC236}">
              <a16:creationId xmlns="" xmlns:a16="http://schemas.microsoft.com/office/drawing/2014/main" id="{00000000-0008-0000-1600-000051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82" name="Line 102">
          <a:extLst>
            <a:ext uri="{FF2B5EF4-FFF2-40B4-BE49-F238E27FC236}">
              <a16:creationId xmlns="" xmlns:a16="http://schemas.microsoft.com/office/drawing/2014/main" id="{00000000-0008-0000-1600-000052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83" name="Line 103">
          <a:extLst>
            <a:ext uri="{FF2B5EF4-FFF2-40B4-BE49-F238E27FC236}">
              <a16:creationId xmlns="" xmlns:a16="http://schemas.microsoft.com/office/drawing/2014/main" id="{00000000-0008-0000-1600-000053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84" name="Line 100">
          <a:extLst>
            <a:ext uri="{FF2B5EF4-FFF2-40B4-BE49-F238E27FC236}">
              <a16:creationId xmlns="" xmlns:a16="http://schemas.microsoft.com/office/drawing/2014/main" id="{00000000-0008-0000-1600-00005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85" name="Line 101">
          <a:extLst>
            <a:ext uri="{FF2B5EF4-FFF2-40B4-BE49-F238E27FC236}">
              <a16:creationId xmlns="" xmlns:a16="http://schemas.microsoft.com/office/drawing/2014/main" id="{00000000-0008-0000-1600-00005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86" name="Line 102">
          <a:extLst>
            <a:ext uri="{FF2B5EF4-FFF2-40B4-BE49-F238E27FC236}">
              <a16:creationId xmlns="" xmlns:a16="http://schemas.microsoft.com/office/drawing/2014/main" id="{00000000-0008-0000-1600-00005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87" name="Line 103">
          <a:extLst>
            <a:ext uri="{FF2B5EF4-FFF2-40B4-BE49-F238E27FC236}">
              <a16:creationId xmlns="" xmlns:a16="http://schemas.microsoft.com/office/drawing/2014/main" id="{00000000-0008-0000-1600-00005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88" name="Line 100">
          <a:extLst>
            <a:ext uri="{FF2B5EF4-FFF2-40B4-BE49-F238E27FC236}">
              <a16:creationId xmlns="" xmlns:a16="http://schemas.microsoft.com/office/drawing/2014/main" id="{00000000-0008-0000-1600-00005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89" name="Line 101">
          <a:extLst>
            <a:ext uri="{FF2B5EF4-FFF2-40B4-BE49-F238E27FC236}">
              <a16:creationId xmlns="" xmlns:a16="http://schemas.microsoft.com/office/drawing/2014/main" id="{00000000-0008-0000-1600-00005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90" name="Line 102">
          <a:extLst>
            <a:ext uri="{FF2B5EF4-FFF2-40B4-BE49-F238E27FC236}">
              <a16:creationId xmlns="" xmlns:a16="http://schemas.microsoft.com/office/drawing/2014/main" id="{00000000-0008-0000-1600-00005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91" name="Line 103">
          <a:extLst>
            <a:ext uri="{FF2B5EF4-FFF2-40B4-BE49-F238E27FC236}">
              <a16:creationId xmlns="" xmlns:a16="http://schemas.microsoft.com/office/drawing/2014/main" id="{00000000-0008-0000-1600-00005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3193692" name="Line 100">
          <a:extLst>
            <a:ext uri="{FF2B5EF4-FFF2-40B4-BE49-F238E27FC236}">
              <a16:creationId xmlns="" xmlns:a16="http://schemas.microsoft.com/office/drawing/2014/main" id="{00000000-0008-0000-1600-00005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3193693" name="Line 101">
          <a:extLst>
            <a:ext uri="{FF2B5EF4-FFF2-40B4-BE49-F238E27FC236}">
              <a16:creationId xmlns="" xmlns:a16="http://schemas.microsoft.com/office/drawing/2014/main" id="{00000000-0008-0000-1600-00005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3193694" name="Line 102">
          <a:extLst>
            <a:ext uri="{FF2B5EF4-FFF2-40B4-BE49-F238E27FC236}">
              <a16:creationId xmlns="" xmlns:a16="http://schemas.microsoft.com/office/drawing/2014/main" id="{00000000-0008-0000-1600-00005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3193695" name="Line 103">
          <a:extLst>
            <a:ext uri="{FF2B5EF4-FFF2-40B4-BE49-F238E27FC236}">
              <a16:creationId xmlns="" xmlns:a16="http://schemas.microsoft.com/office/drawing/2014/main" id="{00000000-0008-0000-1600-00005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696" name="Line 100">
          <a:extLst>
            <a:ext uri="{FF2B5EF4-FFF2-40B4-BE49-F238E27FC236}">
              <a16:creationId xmlns="" xmlns:a16="http://schemas.microsoft.com/office/drawing/2014/main" id="{00000000-0008-0000-1600-000060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697" name="Line 101">
          <a:extLst>
            <a:ext uri="{FF2B5EF4-FFF2-40B4-BE49-F238E27FC236}">
              <a16:creationId xmlns="" xmlns:a16="http://schemas.microsoft.com/office/drawing/2014/main" id="{00000000-0008-0000-1600-000061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698" name="Line 102">
          <a:extLst>
            <a:ext uri="{FF2B5EF4-FFF2-40B4-BE49-F238E27FC236}">
              <a16:creationId xmlns="" xmlns:a16="http://schemas.microsoft.com/office/drawing/2014/main" id="{00000000-0008-0000-1600-000062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699" name="Line 103">
          <a:extLst>
            <a:ext uri="{FF2B5EF4-FFF2-40B4-BE49-F238E27FC236}">
              <a16:creationId xmlns="" xmlns:a16="http://schemas.microsoft.com/office/drawing/2014/main" id="{00000000-0008-0000-1600-000063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00" name="Line 100">
          <a:extLst>
            <a:ext uri="{FF2B5EF4-FFF2-40B4-BE49-F238E27FC236}">
              <a16:creationId xmlns="" xmlns:a16="http://schemas.microsoft.com/office/drawing/2014/main" id="{00000000-0008-0000-1600-00006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01" name="Line 101">
          <a:extLst>
            <a:ext uri="{FF2B5EF4-FFF2-40B4-BE49-F238E27FC236}">
              <a16:creationId xmlns="" xmlns:a16="http://schemas.microsoft.com/office/drawing/2014/main" id="{00000000-0008-0000-1600-00006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02" name="Line 102">
          <a:extLst>
            <a:ext uri="{FF2B5EF4-FFF2-40B4-BE49-F238E27FC236}">
              <a16:creationId xmlns="" xmlns:a16="http://schemas.microsoft.com/office/drawing/2014/main" id="{00000000-0008-0000-1600-00006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03" name="Line 103">
          <a:extLst>
            <a:ext uri="{FF2B5EF4-FFF2-40B4-BE49-F238E27FC236}">
              <a16:creationId xmlns="" xmlns:a16="http://schemas.microsoft.com/office/drawing/2014/main" id="{00000000-0008-0000-1600-00006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04" name="Line 100">
          <a:extLst>
            <a:ext uri="{FF2B5EF4-FFF2-40B4-BE49-F238E27FC236}">
              <a16:creationId xmlns="" xmlns:a16="http://schemas.microsoft.com/office/drawing/2014/main" id="{00000000-0008-0000-1600-00006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05" name="Line 101">
          <a:extLst>
            <a:ext uri="{FF2B5EF4-FFF2-40B4-BE49-F238E27FC236}">
              <a16:creationId xmlns="" xmlns:a16="http://schemas.microsoft.com/office/drawing/2014/main" id="{00000000-0008-0000-1600-00006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06" name="Line 102">
          <a:extLst>
            <a:ext uri="{FF2B5EF4-FFF2-40B4-BE49-F238E27FC236}">
              <a16:creationId xmlns="" xmlns:a16="http://schemas.microsoft.com/office/drawing/2014/main" id="{00000000-0008-0000-1600-00006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07" name="Line 103">
          <a:extLst>
            <a:ext uri="{FF2B5EF4-FFF2-40B4-BE49-F238E27FC236}">
              <a16:creationId xmlns="" xmlns:a16="http://schemas.microsoft.com/office/drawing/2014/main" id="{00000000-0008-0000-1600-00006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08" name="Line 100">
          <a:extLst>
            <a:ext uri="{FF2B5EF4-FFF2-40B4-BE49-F238E27FC236}">
              <a16:creationId xmlns="" xmlns:a16="http://schemas.microsoft.com/office/drawing/2014/main" id="{00000000-0008-0000-1600-00006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09" name="Line 101">
          <a:extLst>
            <a:ext uri="{FF2B5EF4-FFF2-40B4-BE49-F238E27FC236}">
              <a16:creationId xmlns="" xmlns:a16="http://schemas.microsoft.com/office/drawing/2014/main" id="{00000000-0008-0000-1600-00006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10" name="Line 102">
          <a:extLst>
            <a:ext uri="{FF2B5EF4-FFF2-40B4-BE49-F238E27FC236}">
              <a16:creationId xmlns="" xmlns:a16="http://schemas.microsoft.com/office/drawing/2014/main" id="{00000000-0008-0000-1600-00006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11" name="Line 103">
          <a:extLst>
            <a:ext uri="{FF2B5EF4-FFF2-40B4-BE49-F238E27FC236}">
              <a16:creationId xmlns="" xmlns:a16="http://schemas.microsoft.com/office/drawing/2014/main" id="{00000000-0008-0000-1600-00006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12" name="Line 100">
          <a:extLst>
            <a:ext uri="{FF2B5EF4-FFF2-40B4-BE49-F238E27FC236}">
              <a16:creationId xmlns="" xmlns:a16="http://schemas.microsoft.com/office/drawing/2014/main" id="{00000000-0008-0000-1600-000070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13" name="Line 101">
          <a:extLst>
            <a:ext uri="{FF2B5EF4-FFF2-40B4-BE49-F238E27FC236}">
              <a16:creationId xmlns="" xmlns:a16="http://schemas.microsoft.com/office/drawing/2014/main" id="{00000000-0008-0000-1600-000071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14" name="Line 102">
          <a:extLst>
            <a:ext uri="{FF2B5EF4-FFF2-40B4-BE49-F238E27FC236}">
              <a16:creationId xmlns="" xmlns:a16="http://schemas.microsoft.com/office/drawing/2014/main" id="{00000000-0008-0000-1600-000072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15" name="Line 103">
          <a:extLst>
            <a:ext uri="{FF2B5EF4-FFF2-40B4-BE49-F238E27FC236}">
              <a16:creationId xmlns="" xmlns:a16="http://schemas.microsoft.com/office/drawing/2014/main" id="{00000000-0008-0000-1600-000073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16" name="Line 100">
          <a:extLst>
            <a:ext uri="{FF2B5EF4-FFF2-40B4-BE49-F238E27FC236}">
              <a16:creationId xmlns="" xmlns:a16="http://schemas.microsoft.com/office/drawing/2014/main" id="{00000000-0008-0000-1600-00007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17" name="Line 101">
          <a:extLst>
            <a:ext uri="{FF2B5EF4-FFF2-40B4-BE49-F238E27FC236}">
              <a16:creationId xmlns="" xmlns:a16="http://schemas.microsoft.com/office/drawing/2014/main" id="{00000000-0008-0000-1600-00007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18" name="Line 102">
          <a:extLst>
            <a:ext uri="{FF2B5EF4-FFF2-40B4-BE49-F238E27FC236}">
              <a16:creationId xmlns="" xmlns:a16="http://schemas.microsoft.com/office/drawing/2014/main" id="{00000000-0008-0000-1600-00007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19" name="Line 103">
          <a:extLst>
            <a:ext uri="{FF2B5EF4-FFF2-40B4-BE49-F238E27FC236}">
              <a16:creationId xmlns="" xmlns:a16="http://schemas.microsoft.com/office/drawing/2014/main" id="{00000000-0008-0000-1600-00007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20" name="Line 100">
          <a:extLst>
            <a:ext uri="{FF2B5EF4-FFF2-40B4-BE49-F238E27FC236}">
              <a16:creationId xmlns="" xmlns:a16="http://schemas.microsoft.com/office/drawing/2014/main" id="{00000000-0008-0000-1600-00007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21" name="Line 101">
          <a:extLst>
            <a:ext uri="{FF2B5EF4-FFF2-40B4-BE49-F238E27FC236}">
              <a16:creationId xmlns="" xmlns:a16="http://schemas.microsoft.com/office/drawing/2014/main" id="{00000000-0008-0000-1600-00007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22" name="Line 102">
          <a:extLst>
            <a:ext uri="{FF2B5EF4-FFF2-40B4-BE49-F238E27FC236}">
              <a16:creationId xmlns="" xmlns:a16="http://schemas.microsoft.com/office/drawing/2014/main" id="{00000000-0008-0000-1600-00007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23" name="Line 103">
          <a:extLst>
            <a:ext uri="{FF2B5EF4-FFF2-40B4-BE49-F238E27FC236}">
              <a16:creationId xmlns="" xmlns:a16="http://schemas.microsoft.com/office/drawing/2014/main" id="{00000000-0008-0000-1600-00007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24" name="Line 100">
          <a:extLst>
            <a:ext uri="{FF2B5EF4-FFF2-40B4-BE49-F238E27FC236}">
              <a16:creationId xmlns="" xmlns:a16="http://schemas.microsoft.com/office/drawing/2014/main" id="{00000000-0008-0000-1600-00007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25" name="Line 101">
          <a:extLst>
            <a:ext uri="{FF2B5EF4-FFF2-40B4-BE49-F238E27FC236}">
              <a16:creationId xmlns="" xmlns:a16="http://schemas.microsoft.com/office/drawing/2014/main" id="{00000000-0008-0000-1600-00007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26" name="Line 102">
          <a:extLst>
            <a:ext uri="{FF2B5EF4-FFF2-40B4-BE49-F238E27FC236}">
              <a16:creationId xmlns="" xmlns:a16="http://schemas.microsoft.com/office/drawing/2014/main" id="{00000000-0008-0000-1600-00007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27" name="Line 103">
          <a:extLst>
            <a:ext uri="{FF2B5EF4-FFF2-40B4-BE49-F238E27FC236}">
              <a16:creationId xmlns="" xmlns:a16="http://schemas.microsoft.com/office/drawing/2014/main" id="{00000000-0008-0000-1600-00007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28" name="Line 100">
          <a:extLst>
            <a:ext uri="{FF2B5EF4-FFF2-40B4-BE49-F238E27FC236}">
              <a16:creationId xmlns="" xmlns:a16="http://schemas.microsoft.com/office/drawing/2014/main" id="{00000000-0008-0000-1600-000080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29" name="Line 101">
          <a:extLst>
            <a:ext uri="{FF2B5EF4-FFF2-40B4-BE49-F238E27FC236}">
              <a16:creationId xmlns="" xmlns:a16="http://schemas.microsoft.com/office/drawing/2014/main" id="{00000000-0008-0000-1600-000081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30" name="Line 102">
          <a:extLst>
            <a:ext uri="{FF2B5EF4-FFF2-40B4-BE49-F238E27FC236}">
              <a16:creationId xmlns="" xmlns:a16="http://schemas.microsoft.com/office/drawing/2014/main" id="{00000000-0008-0000-1600-000082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31" name="Line 103">
          <a:extLst>
            <a:ext uri="{FF2B5EF4-FFF2-40B4-BE49-F238E27FC236}">
              <a16:creationId xmlns="" xmlns:a16="http://schemas.microsoft.com/office/drawing/2014/main" id="{00000000-0008-0000-1600-000083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32" name="Line 100">
          <a:extLst>
            <a:ext uri="{FF2B5EF4-FFF2-40B4-BE49-F238E27FC236}">
              <a16:creationId xmlns="" xmlns:a16="http://schemas.microsoft.com/office/drawing/2014/main" id="{00000000-0008-0000-1600-00008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33" name="Line 101">
          <a:extLst>
            <a:ext uri="{FF2B5EF4-FFF2-40B4-BE49-F238E27FC236}">
              <a16:creationId xmlns="" xmlns:a16="http://schemas.microsoft.com/office/drawing/2014/main" id="{00000000-0008-0000-1600-00008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34" name="Line 102">
          <a:extLst>
            <a:ext uri="{FF2B5EF4-FFF2-40B4-BE49-F238E27FC236}">
              <a16:creationId xmlns="" xmlns:a16="http://schemas.microsoft.com/office/drawing/2014/main" id="{00000000-0008-0000-1600-00008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35" name="Line 103">
          <a:extLst>
            <a:ext uri="{FF2B5EF4-FFF2-40B4-BE49-F238E27FC236}">
              <a16:creationId xmlns="" xmlns:a16="http://schemas.microsoft.com/office/drawing/2014/main" id="{00000000-0008-0000-1600-00008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36" name="Line 100">
          <a:extLst>
            <a:ext uri="{FF2B5EF4-FFF2-40B4-BE49-F238E27FC236}">
              <a16:creationId xmlns="" xmlns:a16="http://schemas.microsoft.com/office/drawing/2014/main" id="{00000000-0008-0000-1600-00008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37" name="Line 101">
          <a:extLst>
            <a:ext uri="{FF2B5EF4-FFF2-40B4-BE49-F238E27FC236}">
              <a16:creationId xmlns="" xmlns:a16="http://schemas.microsoft.com/office/drawing/2014/main" id="{00000000-0008-0000-1600-00008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38" name="Line 102">
          <a:extLst>
            <a:ext uri="{FF2B5EF4-FFF2-40B4-BE49-F238E27FC236}">
              <a16:creationId xmlns="" xmlns:a16="http://schemas.microsoft.com/office/drawing/2014/main" id="{00000000-0008-0000-1600-00008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39" name="Line 103">
          <a:extLst>
            <a:ext uri="{FF2B5EF4-FFF2-40B4-BE49-F238E27FC236}">
              <a16:creationId xmlns="" xmlns:a16="http://schemas.microsoft.com/office/drawing/2014/main" id="{00000000-0008-0000-1600-00008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40" name="Line 100">
          <a:extLst>
            <a:ext uri="{FF2B5EF4-FFF2-40B4-BE49-F238E27FC236}">
              <a16:creationId xmlns="" xmlns:a16="http://schemas.microsoft.com/office/drawing/2014/main" id="{00000000-0008-0000-1600-00008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41" name="Line 101">
          <a:extLst>
            <a:ext uri="{FF2B5EF4-FFF2-40B4-BE49-F238E27FC236}">
              <a16:creationId xmlns="" xmlns:a16="http://schemas.microsoft.com/office/drawing/2014/main" id="{00000000-0008-0000-1600-00008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42" name="Line 102">
          <a:extLst>
            <a:ext uri="{FF2B5EF4-FFF2-40B4-BE49-F238E27FC236}">
              <a16:creationId xmlns="" xmlns:a16="http://schemas.microsoft.com/office/drawing/2014/main" id="{00000000-0008-0000-1600-00008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43" name="Line 103">
          <a:extLst>
            <a:ext uri="{FF2B5EF4-FFF2-40B4-BE49-F238E27FC236}">
              <a16:creationId xmlns="" xmlns:a16="http://schemas.microsoft.com/office/drawing/2014/main" id="{00000000-0008-0000-1600-00008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44" name="Line 100">
          <a:extLst>
            <a:ext uri="{FF2B5EF4-FFF2-40B4-BE49-F238E27FC236}">
              <a16:creationId xmlns="" xmlns:a16="http://schemas.microsoft.com/office/drawing/2014/main" id="{00000000-0008-0000-1600-000090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45" name="Line 101">
          <a:extLst>
            <a:ext uri="{FF2B5EF4-FFF2-40B4-BE49-F238E27FC236}">
              <a16:creationId xmlns="" xmlns:a16="http://schemas.microsoft.com/office/drawing/2014/main" id="{00000000-0008-0000-1600-000091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46" name="Line 102">
          <a:extLst>
            <a:ext uri="{FF2B5EF4-FFF2-40B4-BE49-F238E27FC236}">
              <a16:creationId xmlns="" xmlns:a16="http://schemas.microsoft.com/office/drawing/2014/main" id="{00000000-0008-0000-1600-000092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47" name="Line 103">
          <a:extLst>
            <a:ext uri="{FF2B5EF4-FFF2-40B4-BE49-F238E27FC236}">
              <a16:creationId xmlns="" xmlns:a16="http://schemas.microsoft.com/office/drawing/2014/main" id="{00000000-0008-0000-1600-000093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48" name="Line 100">
          <a:extLst>
            <a:ext uri="{FF2B5EF4-FFF2-40B4-BE49-F238E27FC236}">
              <a16:creationId xmlns="" xmlns:a16="http://schemas.microsoft.com/office/drawing/2014/main" id="{00000000-0008-0000-1600-00009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49" name="Line 101">
          <a:extLst>
            <a:ext uri="{FF2B5EF4-FFF2-40B4-BE49-F238E27FC236}">
              <a16:creationId xmlns="" xmlns:a16="http://schemas.microsoft.com/office/drawing/2014/main" id="{00000000-0008-0000-1600-00009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50" name="Line 102">
          <a:extLst>
            <a:ext uri="{FF2B5EF4-FFF2-40B4-BE49-F238E27FC236}">
              <a16:creationId xmlns="" xmlns:a16="http://schemas.microsoft.com/office/drawing/2014/main" id="{00000000-0008-0000-1600-00009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51" name="Line 103">
          <a:extLst>
            <a:ext uri="{FF2B5EF4-FFF2-40B4-BE49-F238E27FC236}">
              <a16:creationId xmlns="" xmlns:a16="http://schemas.microsoft.com/office/drawing/2014/main" id="{00000000-0008-0000-1600-00009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52" name="Line 100">
          <a:extLst>
            <a:ext uri="{FF2B5EF4-FFF2-40B4-BE49-F238E27FC236}">
              <a16:creationId xmlns="" xmlns:a16="http://schemas.microsoft.com/office/drawing/2014/main" id="{00000000-0008-0000-1600-00009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53" name="Line 101">
          <a:extLst>
            <a:ext uri="{FF2B5EF4-FFF2-40B4-BE49-F238E27FC236}">
              <a16:creationId xmlns="" xmlns:a16="http://schemas.microsoft.com/office/drawing/2014/main" id="{00000000-0008-0000-1600-00009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54" name="Line 102">
          <a:extLst>
            <a:ext uri="{FF2B5EF4-FFF2-40B4-BE49-F238E27FC236}">
              <a16:creationId xmlns="" xmlns:a16="http://schemas.microsoft.com/office/drawing/2014/main" id="{00000000-0008-0000-1600-00009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55" name="Line 103">
          <a:extLst>
            <a:ext uri="{FF2B5EF4-FFF2-40B4-BE49-F238E27FC236}">
              <a16:creationId xmlns="" xmlns:a16="http://schemas.microsoft.com/office/drawing/2014/main" id="{00000000-0008-0000-1600-00009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56" name="Line 100">
          <a:extLst>
            <a:ext uri="{FF2B5EF4-FFF2-40B4-BE49-F238E27FC236}">
              <a16:creationId xmlns="" xmlns:a16="http://schemas.microsoft.com/office/drawing/2014/main" id="{00000000-0008-0000-1600-00009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57" name="Line 101">
          <a:extLst>
            <a:ext uri="{FF2B5EF4-FFF2-40B4-BE49-F238E27FC236}">
              <a16:creationId xmlns="" xmlns:a16="http://schemas.microsoft.com/office/drawing/2014/main" id="{00000000-0008-0000-1600-00009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58" name="Line 102">
          <a:extLst>
            <a:ext uri="{FF2B5EF4-FFF2-40B4-BE49-F238E27FC236}">
              <a16:creationId xmlns="" xmlns:a16="http://schemas.microsoft.com/office/drawing/2014/main" id="{00000000-0008-0000-1600-00009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59" name="Line 103">
          <a:extLst>
            <a:ext uri="{FF2B5EF4-FFF2-40B4-BE49-F238E27FC236}">
              <a16:creationId xmlns="" xmlns:a16="http://schemas.microsoft.com/office/drawing/2014/main" id="{00000000-0008-0000-1600-00009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60" name="Line 100">
          <a:extLst>
            <a:ext uri="{FF2B5EF4-FFF2-40B4-BE49-F238E27FC236}">
              <a16:creationId xmlns="" xmlns:a16="http://schemas.microsoft.com/office/drawing/2014/main" id="{00000000-0008-0000-1600-0000A0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61" name="Line 101">
          <a:extLst>
            <a:ext uri="{FF2B5EF4-FFF2-40B4-BE49-F238E27FC236}">
              <a16:creationId xmlns="" xmlns:a16="http://schemas.microsoft.com/office/drawing/2014/main" id="{00000000-0008-0000-1600-0000A1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62" name="Line 102">
          <a:extLst>
            <a:ext uri="{FF2B5EF4-FFF2-40B4-BE49-F238E27FC236}">
              <a16:creationId xmlns="" xmlns:a16="http://schemas.microsoft.com/office/drawing/2014/main" id="{00000000-0008-0000-1600-0000A2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63" name="Line 103">
          <a:extLst>
            <a:ext uri="{FF2B5EF4-FFF2-40B4-BE49-F238E27FC236}">
              <a16:creationId xmlns="" xmlns:a16="http://schemas.microsoft.com/office/drawing/2014/main" id="{00000000-0008-0000-1600-0000A3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64" name="Line 100">
          <a:extLst>
            <a:ext uri="{FF2B5EF4-FFF2-40B4-BE49-F238E27FC236}">
              <a16:creationId xmlns="" xmlns:a16="http://schemas.microsoft.com/office/drawing/2014/main" id="{00000000-0008-0000-1600-0000A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65" name="Line 101">
          <a:extLst>
            <a:ext uri="{FF2B5EF4-FFF2-40B4-BE49-F238E27FC236}">
              <a16:creationId xmlns="" xmlns:a16="http://schemas.microsoft.com/office/drawing/2014/main" id="{00000000-0008-0000-1600-0000A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66" name="Line 102">
          <a:extLst>
            <a:ext uri="{FF2B5EF4-FFF2-40B4-BE49-F238E27FC236}">
              <a16:creationId xmlns="" xmlns:a16="http://schemas.microsoft.com/office/drawing/2014/main" id="{00000000-0008-0000-1600-0000A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67" name="Line 103">
          <a:extLst>
            <a:ext uri="{FF2B5EF4-FFF2-40B4-BE49-F238E27FC236}">
              <a16:creationId xmlns="" xmlns:a16="http://schemas.microsoft.com/office/drawing/2014/main" id="{00000000-0008-0000-1600-0000A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68" name="Line 100">
          <a:extLst>
            <a:ext uri="{FF2B5EF4-FFF2-40B4-BE49-F238E27FC236}">
              <a16:creationId xmlns="" xmlns:a16="http://schemas.microsoft.com/office/drawing/2014/main" id="{00000000-0008-0000-1600-0000A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69" name="Line 101">
          <a:extLst>
            <a:ext uri="{FF2B5EF4-FFF2-40B4-BE49-F238E27FC236}">
              <a16:creationId xmlns="" xmlns:a16="http://schemas.microsoft.com/office/drawing/2014/main" id="{00000000-0008-0000-1600-0000A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70" name="Line 102">
          <a:extLst>
            <a:ext uri="{FF2B5EF4-FFF2-40B4-BE49-F238E27FC236}">
              <a16:creationId xmlns="" xmlns:a16="http://schemas.microsoft.com/office/drawing/2014/main" id="{00000000-0008-0000-1600-0000A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71" name="Line 103">
          <a:extLst>
            <a:ext uri="{FF2B5EF4-FFF2-40B4-BE49-F238E27FC236}">
              <a16:creationId xmlns="" xmlns:a16="http://schemas.microsoft.com/office/drawing/2014/main" id="{00000000-0008-0000-1600-0000A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72" name="Line 100">
          <a:extLst>
            <a:ext uri="{FF2B5EF4-FFF2-40B4-BE49-F238E27FC236}">
              <a16:creationId xmlns="" xmlns:a16="http://schemas.microsoft.com/office/drawing/2014/main" id="{00000000-0008-0000-1600-0000A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73" name="Line 101">
          <a:extLst>
            <a:ext uri="{FF2B5EF4-FFF2-40B4-BE49-F238E27FC236}">
              <a16:creationId xmlns="" xmlns:a16="http://schemas.microsoft.com/office/drawing/2014/main" id="{00000000-0008-0000-1600-0000A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74" name="Line 102">
          <a:extLst>
            <a:ext uri="{FF2B5EF4-FFF2-40B4-BE49-F238E27FC236}">
              <a16:creationId xmlns="" xmlns:a16="http://schemas.microsoft.com/office/drawing/2014/main" id="{00000000-0008-0000-1600-0000A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75" name="Line 103">
          <a:extLst>
            <a:ext uri="{FF2B5EF4-FFF2-40B4-BE49-F238E27FC236}">
              <a16:creationId xmlns="" xmlns:a16="http://schemas.microsoft.com/office/drawing/2014/main" id="{00000000-0008-0000-1600-0000A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76" name="Line 100">
          <a:extLst>
            <a:ext uri="{FF2B5EF4-FFF2-40B4-BE49-F238E27FC236}">
              <a16:creationId xmlns="" xmlns:a16="http://schemas.microsoft.com/office/drawing/2014/main" id="{00000000-0008-0000-1600-0000B0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77" name="Line 101">
          <a:extLst>
            <a:ext uri="{FF2B5EF4-FFF2-40B4-BE49-F238E27FC236}">
              <a16:creationId xmlns="" xmlns:a16="http://schemas.microsoft.com/office/drawing/2014/main" id="{00000000-0008-0000-1600-0000B1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78" name="Line 102">
          <a:extLst>
            <a:ext uri="{FF2B5EF4-FFF2-40B4-BE49-F238E27FC236}">
              <a16:creationId xmlns="" xmlns:a16="http://schemas.microsoft.com/office/drawing/2014/main" id="{00000000-0008-0000-1600-0000B2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79" name="Line 103">
          <a:extLst>
            <a:ext uri="{FF2B5EF4-FFF2-40B4-BE49-F238E27FC236}">
              <a16:creationId xmlns="" xmlns:a16="http://schemas.microsoft.com/office/drawing/2014/main" id="{00000000-0008-0000-1600-0000B3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80" name="Line 100">
          <a:extLst>
            <a:ext uri="{FF2B5EF4-FFF2-40B4-BE49-F238E27FC236}">
              <a16:creationId xmlns="" xmlns:a16="http://schemas.microsoft.com/office/drawing/2014/main" id="{00000000-0008-0000-1600-0000B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81" name="Line 101">
          <a:extLst>
            <a:ext uri="{FF2B5EF4-FFF2-40B4-BE49-F238E27FC236}">
              <a16:creationId xmlns="" xmlns:a16="http://schemas.microsoft.com/office/drawing/2014/main" id="{00000000-0008-0000-1600-0000B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82" name="Line 102">
          <a:extLst>
            <a:ext uri="{FF2B5EF4-FFF2-40B4-BE49-F238E27FC236}">
              <a16:creationId xmlns="" xmlns:a16="http://schemas.microsoft.com/office/drawing/2014/main" id="{00000000-0008-0000-1600-0000B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83" name="Line 103">
          <a:extLst>
            <a:ext uri="{FF2B5EF4-FFF2-40B4-BE49-F238E27FC236}">
              <a16:creationId xmlns="" xmlns:a16="http://schemas.microsoft.com/office/drawing/2014/main" id="{00000000-0008-0000-1600-0000B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84" name="Line 100">
          <a:extLst>
            <a:ext uri="{FF2B5EF4-FFF2-40B4-BE49-F238E27FC236}">
              <a16:creationId xmlns="" xmlns:a16="http://schemas.microsoft.com/office/drawing/2014/main" id="{00000000-0008-0000-1600-0000B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85" name="Line 101">
          <a:extLst>
            <a:ext uri="{FF2B5EF4-FFF2-40B4-BE49-F238E27FC236}">
              <a16:creationId xmlns="" xmlns:a16="http://schemas.microsoft.com/office/drawing/2014/main" id="{00000000-0008-0000-1600-0000B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86" name="Line 102">
          <a:extLst>
            <a:ext uri="{FF2B5EF4-FFF2-40B4-BE49-F238E27FC236}">
              <a16:creationId xmlns="" xmlns:a16="http://schemas.microsoft.com/office/drawing/2014/main" id="{00000000-0008-0000-1600-0000B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87" name="Line 103">
          <a:extLst>
            <a:ext uri="{FF2B5EF4-FFF2-40B4-BE49-F238E27FC236}">
              <a16:creationId xmlns="" xmlns:a16="http://schemas.microsoft.com/office/drawing/2014/main" id="{00000000-0008-0000-1600-0000B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88" name="Line 100">
          <a:extLst>
            <a:ext uri="{FF2B5EF4-FFF2-40B4-BE49-F238E27FC236}">
              <a16:creationId xmlns="" xmlns:a16="http://schemas.microsoft.com/office/drawing/2014/main" id="{00000000-0008-0000-1600-0000B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89" name="Line 101">
          <a:extLst>
            <a:ext uri="{FF2B5EF4-FFF2-40B4-BE49-F238E27FC236}">
              <a16:creationId xmlns="" xmlns:a16="http://schemas.microsoft.com/office/drawing/2014/main" id="{00000000-0008-0000-1600-0000B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90" name="Line 102">
          <a:extLst>
            <a:ext uri="{FF2B5EF4-FFF2-40B4-BE49-F238E27FC236}">
              <a16:creationId xmlns="" xmlns:a16="http://schemas.microsoft.com/office/drawing/2014/main" id="{00000000-0008-0000-1600-0000B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91" name="Line 103">
          <a:extLst>
            <a:ext uri="{FF2B5EF4-FFF2-40B4-BE49-F238E27FC236}">
              <a16:creationId xmlns="" xmlns:a16="http://schemas.microsoft.com/office/drawing/2014/main" id="{00000000-0008-0000-1600-0000B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92" name="Line 100">
          <a:extLst>
            <a:ext uri="{FF2B5EF4-FFF2-40B4-BE49-F238E27FC236}">
              <a16:creationId xmlns="" xmlns:a16="http://schemas.microsoft.com/office/drawing/2014/main" id="{00000000-0008-0000-1600-0000C0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93" name="Line 101">
          <a:extLst>
            <a:ext uri="{FF2B5EF4-FFF2-40B4-BE49-F238E27FC236}">
              <a16:creationId xmlns="" xmlns:a16="http://schemas.microsoft.com/office/drawing/2014/main" id="{00000000-0008-0000-1600-0000C1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94" name="Line 102">
          <a:extLst>
            <a:ext uri="{FF2B5EF4-FFF2-40B4-BE49-F238E27FC236}">
              <a16:creationId xmlns="" xmlns:a16="http://schemas.microsoft.com/office/drawing/2014/main" id="{00000000-0008-0000-1600-0000C2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95" name="Line 103">
          <a:extLst>
            <a:ext uri="{FF2B5EF4-FFF2-40B4-BE49-F238E27FC236}">
              <a16:creationId xmlns="" xmlns:a16="http://schemas.microsoft.com/office/drawing/2014/main" id="{00000000-0008-0000-1600-0000C3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96" name="Line 100">
          <a:extLst>
            <a:ext uri="{FF2B5EF4-FFF2-40B4-BE49-F238E27FC236}">
              <a16:creationId xmlns="" xmlns:a16="http://schemas.microsoft.com/office/drawing/2014/main" id="{00000000-0008-0000-1600-0000C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97" name="Line 101">
          <a:extLst>
            <a:ext uri="{FF2B5EF4-FFF2-40B4-BE49-F238E27FC236}">
              <a16:creationId xmlns="" xmlns:a16="http://schemas.microsoft.com/office/drawing/2014/main" id="{00000000-0008-0000-1600-0000C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98" name="Line 102">
          <a:extLst>
            <a:ext uri="{FF2B5EF4-FFF2-40B4-BE49-F238E27FC236}">
              <a16:creationId xmlns="" xmlns:a16="http://schemas.microsoft.com/office/drawing/2014/main" id="{00000000-0008-0000-1600-0000C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99" name="Line 103">
          <a:extLst>
            <a:ext uri="{FF2B5EF4-FFF2-40B4-BE49-F238E27FC236}">
              <a16:creationId xmlns="" xmlns:a16="http://schemas.microsoft.com/office/drawing/2014/main" id="{00000000-0008-0000-1600-0000C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00" name="Line 100">
          <a:extLst>
            <a:ext uri="{FF2B5EF4-FFF2-40B4-BE49-F238E27FC236}">
              <a16:creationId xmlns="" xmlns:a16="http://schemas.microsoft.com/office/drawing/2014/main" id="{00000000-0008-0000-1600-0000C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01" name="Line 101">
          <a:extLst>
            <a:ext uri="{FF2B5EF4-FFF2-40B4-BE49-F238E27FC236}">
              <a16:creationId xmlns="" xmlns:a16="http://schemas.microsoft.com/office/drawing/2014/main" id="{00000000-0008-0000-1600-0000C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02" name="Line 102">
          <a:extLst>
            <a:ext uri="{FF2B5EF4-FFF2-40B4-BE49-F238E27FC236}">
              <a16:creationId xmlns="" xmlns:a16="http://schemas.microsoft.com/office/drawing/2014/main" id="{00000000-0008-0000-1600-0000C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03" name="Line 103">
          <a:extLst>
            <a:ext uri="{FF2B5EF4-FFF2-40B4-BE49-F238E27FC236}">
              <a16:creationId xmlns="" xmlns:a16="http://schemas.microsoft.com/office/drawing/2014/main" id="{00000000-0008-0000-1600-0000C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04" name="Line 100">
          <a:extLst>
            <a:ext uri="{FF2B5EF4-FFF2-40B4-BE49-F238E27FC236}">
              <a16:creationId xmlns="" xmlns:a16="http://schemas.microsoft.com/office/drawing/2014/main" id="{00000000-0008-0000-1600-0000C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05" name="Line 101">
          <a:extLst>
            <a:ext uri="{FF2B5EF4-FFF2-40B4-BE49-F238E27FC236}">
              <a16:creationId xmlns="" xmlns:a16="http://schemas.microsoft.com/office/drawing/2014/main" id="{00000000-0008-0000-1600-0000C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06" name="Line 102">
          <a:extLst>
            <a:ext uri="{FF2B5EF4-FFF2-40B4-BE49-F238E27FC236}">
              <a16:creationId xmlns="" xmlns:a16="http://schemas.microsoft.com/office/drawing/2014/main" id="{00000000-0008-0000-1600-0000C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07" name="Line 103">
          <a:extLst>
            <a:ext uri="{FF2B5EF4-FFF2-40B4-BE49-F238E27FC236}">
              <a16:creationId xmlns="" xmlns:a16="http://schemas.microsoft.com/office/drawing/2014/main" id="{00000000-0008-0000-1600-0000C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08" name="Line 100">
          <a:extLst>
            <a:ext uri="{FF2B5EF4-FFF2-40B4-BE49-F238E27FC236}">
              <a16:creationId xmlns="" xmlns:a16="http://schemas.microsoft.com/office/drawing/2014/main" id="{00000000-0008-0000-1600-0000D0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09" name="Line 101">
          <a:extLst>
            <a:ext uri="{FF2B5EF4-FFF2-40B4-BE49-F238E27FC236}">
              <a16:creationId xmlns="" xmlns:a16="http://schemas.microsoft.com/office/drawing/2014/main" id="{00000000-0008-0000-1600-0000D1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10" name="Line 102">
          <a:extLst>
            <a:ext uri="{FF2B5EF4-FFF2-40B4-BE49-F238E27FC236}">
              <a16:creationId xmlns="" xmlns:a16="http://schemas.microsoft.com/office/drawing/2014/main" id="{00000000-0008-0000-1600-0000D2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11" name="Line 103">
          <a:extLst>
            <a:ext uri="{FF2B5EF4-FFF2-40B4-BE49-F238E27FC236}">
              <a16:creationId xmlns="" xmlns:a16="http://schemas.microsoft.com/office/drawing/2014/main" id="{00000000-0008-0000-1600-0000D3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12" name="Line 100">
          <a:extLst>
            <a:ext uri="{FF2B5EF4-FFF2-40B4-BE49-F238E27FC236}">
              <a16:creationId xmlns="" xmlns:a16="http://schemas.microsoft.com/office/drawing/2014/main" id="{00000000-0008-0000-1600-0000D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13" name="Line 101">
          <a:extLst>
            <a:ext uri="{FF2B5EF4-FFF2-40B4-BE49-F238E27FC236}">
              <a16:creationId xmlns="" xmlns:a16="http://schemas.microsoft.com/office/drawing/2014/main" id="{00000000-0008-0000-1600-0000D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14" name="Line 102">
          <a:extLst>
            <a:ext uri="{FF2B5EF4-FFF2-40B4-BE49-F238E27FC236}">
              <a16:creationId xmlns="" xmlns:a16="http://schemas.microsoft.com/office/drawing/2014/main" id="{00000000-0008-0000-1600-0000D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15" name="Line 103">
          <a:extLst>
            <a:ext uri="{FF2B5EF4-FFF2-40B4-BE49-F238E27FC236}">
              <a16:creationId xmlns="" xmlns:a16="http://schemas.microsoft.com/office/drawing/2014/main" id="{00000000-0008-0000-1600-0000D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16" name="Line 100">
          <a:extLst>
            <a:ext uri="{FF2B5EF4-FFF2-40B4-BE49-F238E27FC236}">
              <a16:creationId xmlns="" xmlns:a16="http://schemas.microsoft.com/office/drawing/2014/main" id="{00000000-0008-0000-1600-0000D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17" name="Line 101">
          <a:extLst>
            <a:ext uri="{FF2B5EF4-FFF2-40B4-BE49-F238E27FC236}">
              <a16:creationId xmlns="" xmlns:a16="http://schemas.microsoft.com/office/drawing/2014/main" id="{00000000-0008-0000-1600-0000D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18" name="Line 102">
          <a:extLst>
            <a:ext uri="{FF2B5EF4-FFF2-40B4-BE49-F238E27FC236}">
              <a16:creationId xmlns="" xmlns:a16="http://schemas.microsoft.com/office/drawing/2014/main" id="{00000000-0008-0000-1600-0000D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19" name="Line 103">
          <a:extLst>
            <a:ext uri="{FF2B5EF4-FFF2-40B4-BE49-F238E27FC236}">
              <a16:creationId xmlns="" xmlns:a16="http://schemas.microsoft.com/office/drawing/2014/main" id="{00000000-0008-0000-1600-0000D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20" name="Line 100">
          <a:extLst>
            <a:ext uri="{FF2B5EF4-FFF2-40B4-BE49-F238E27FC236}">
              <a16:creationId xmlns="" xmlns:a16="http://schemas.microsoft.com/office/drawing/2014/main" id="{00000000-0008-0000-1600-0000D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21" name="Line 101">
          <a:extLst>
            <a:ext uri="{FF2B5EF4-FFF2-40B4-BE49-F238E27FC236}">
              <a16:creationId xmlns="" xmlns:a16="http://schemas.microsoft.com/office/drawing/2014/main" id="{00000000-0008-0000-1600-0000D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22" name="Line 102">
          <a:extLst>
            <a:ext uri="{FF2B5EF4-FFF2-40B4-BE49-F238E27FC236}">
              <a16:creationId xmlns="" xmlns:a16="http://schemas.microsoft.com/office/drawing/2014/main" id="{00000000-0008-0000-1600-0000D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23" name="Line 103">
          <a:extLst>
            <a:ext uri="{FF2B5EF4-FFF2-40B4-BE49-F238E27FC236}">
              <a16:creationId xmlns="" xmlns:a16="http://schemas.microsoft.com/office/drawing/2014/main" id="{00000000-0008-0000-1600-0000D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824" name="Line 100">
          <a:extLst>
            <a:ext uri="{FF2B5EF4-FFF2-40B4-BE49-F238E27FC236}">
              <a16:creationId xmlns="" xmlns:a16="http://schemas.microsoft.com/office/drawing/2014/main" id="{00000000-0008-0000-1600-0000E0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825" name="Line 101">
          <a:extLst>
            <a:ext uri="{FF2B5EF4-FFF2-40B4-BE49-F238E27FC236}">
              <a16:creationId xmlns="" xmlns:a16="http://schemas.microsoft.com/office/drawing/2014/main" id="{00000000-0008-0000-1600-0000E1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826" name="Line 102">
          <a:extLst>
            <a:ext uri="{FF2B5EF4-FFF2-40B4-BE49-F238E27FC236}">
              <a16:creationId xmlns="" xmlns:a16="http://schemas.microsoft.com/office/drawing/2014/main" id="{00000000-0008-0000-1600-0000E2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827" name="Line 103">
          <a:extLst>
            <a:ext uri="{FF2B5EF4-FFF2-40B4-BE49-F238E27FC236}">
              <a16:creationId xmlns="" xmlns:a16="http://schemas.microsoft.com/office/drawing/2014/main" id="{00000000-0008-0000-1600-0000E3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28" name="Line 100">
          <a:extLst>
            <a:ext uri="{FF2B5EF4-FFF2-40B4-BE49-F238E27FC236}">
              <a16:creationId xmlns="" xmlns:a16="http://schemas.microsoft.com/office/drawing/2014/main" id="{00000000-0008-0000-1600-0000E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29" name="Line 101">
          <a:extLst>
            <a:ext uri="{FF2B5EF4-FFF2-40B4-BE49-F238E27FC236}">
              <a16:creationId xmlns="" xmlns:a16="http://schemas.microsoft.com/office/drawing/2014/main" id="{00000000-0008-0000-1600-0000E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30" name="Line 102">
          <a:extLst>
            <a:ext uri="{FF2B5EF4-FFF2-40B4-BE49-F238E27FC236}">
              <a16:creationId xmlns="" xmlns:a16="http://schemas.microsoft.com/office/drawing/2014/main" id="{00000000-0008-0000-1600-0000E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31" name="Line 103">
          <a:extLst>
            <a:ext uri="{FF2B5EF4-FFF2-40B4-BE49-F238E27FC236}">
              <a16:creationId xmlns="" xmlns:a16="http://schemas.microsoft.com/office/drawing/2014/main" id="{00000000-0008-0000-1600-0000E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32" name="Line 100">
          <a:extLst>
            <a:ext uri="{FF2B5EF4-FFF2-40B4-BE49-F238E27FC236}">
              <a16:creationId xmlns="" xmlns:a16="http://schemas.microsoft.com/office/drawing/2014/main" id="{00000000-0008-0000-1600-0000E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33" name="Line 101">
          <a:extLst>
            <a:ext uri="{FF2B5EF4-FFF2-40B4-BE49-F238E27FC236}">
              <a16:creationId xmlns="" xmlns:a16="http://schemas.microsoft.com/office/drawing/2014/main" id="{00000000-0008-0000-1600-0000E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34" name="Line 102">
          <a:extLst>
            <a:ext uri="{FF2B5EF4-FFF2-40B4-BE49-F238E27FC236}">
              <a16:creationId xmlns="" xmlns:a16="http://schemas.microsoft.com/office/drawing/2014/main" id="{00000000-0008-0000-1600-0000E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35" name="Line 103">
          <a:extLst>
            <a:ext uri="{FF2B5EF4-FFF2-40B4-BE49-F238E27FC236}">
              <a16:creationId xmlns="" xmlns:a16="http://schemas.microsoft.com/office/drawing/2014/main" id="{00000000-0008-0000-1600-0000E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36" name="Line 100">
          <a:extLst>
            <a:ext uri="{FF2B5EF4-FFF2-40B4-BE49-F238E27FC236}">
              <a16:creationId xmlns="" xmlns:a16="http://schemas.microsoft.com/office/drawing/2014/main" id="{00000000-0008-0000-1600-0000E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37" name="Line 101">
          <a:extLst>
            <a:ext uri="{FF2B5EF4-FFF2-40B4-BE49-F238E27FC236}">
              <a16:creationId xmlns="" xmlns:a16="http://schemas.microsoft.com/office/drawing/2014/main" id="{00000000-0008-0000-1600-0000E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38" name="Line 102">
          <a:extLst>
            <a:ext uri="{FF2B5EF4-FFF2-40B4-BE49-F238E27FC236}">
              <a16:creationId xmlns="" xmlns:a16="http://schemas.microsoft.com/office/drawing/2014/main" id="{00000000-0008-0000-1600-0000E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39" name="Line 103">
          <a:extLst>
            <a:ext uri="{FF2B5EF4-FFF2-40B4-BE49-F238E27FC236}">
              <a16:creationId xmlns="" xmlns:a16="http://schemas.microsoft.com/office/drawing/2014/main" id="{00000000-0008-0000-1600-0000E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40" name="Line 100">
          <a:extLst>
            <a:ext uri="{FF2B5EF4-FFF2-40B4-BE49-F238E27FC236}">
              <a16:creationId xmlns="" xmlns:a16="http://schemas.microsoft.com/office/drawing/2014/main" id="{00000000-0008-0000-1600-0000F0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41" name="Line 101">
          <a:extLst>
            <a:ext uri="{FF2B5EF4-FFF2-40B4-BE49-F238E27FC236}">
              <a16:creationId xmlns="" xmlns:a16="http://schemas.microsoft.com/office/drawing/2014/main" id="{00000000-0008-0000-1600-0000F1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42" name="Line 102">
          <a:extLst>
            <a:ext uri="{FF2B5EF4-FFF2-40B4-BE49-F238E27FC236}">
              <a16:creationId xmlns="" xmlns:a16="http://schemas.microsoft.com/office/drawing/2014/main" id="{00000000-0008-0000-1600-0000F2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43" name="Line 103">
          <a:extLst>
            <a:ext uri="{FF2B5EF4-FFF2-40B4-BE49-F238E27FC236}">
              <a16:creationId xmlns="" xmlns:a16="http://schemas.microsoft.com/office/drawing/2014/main" id="{00000000-0008-0000-1600-0000F3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44" name="Line 100">
          <a:extLst>
            <a:ext uri="{FF2B5EF4-FFF2-40B4-BE49-F238E27FC236}">
              <a16:creationId xmlns="" xmlns:a16="http://schemas.microsoft.com/office/drawing/2014/main" id="{00000000-0008-0000-1600-0000F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45" name="Line 101">
          <a:extLst>
            <a:ext uri="{FF2B5EF4-FFF2-40B4-BE49-F238E27FC236}">
              <a16:creationId xmlns="" xmlns:a16="http://schemas.microsoft.com/office/drawing/2014/main" id="{00000000-0008-0000-1600-0000F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46" name="Line 102">
          <a:extLst>
            <a:ext uri="{FF2B5EF4-FFF2-40B4-BE49-F238E27FC236}">
              <a16:creationId xmlns="" xmlns:a16="http://schemas.microsoft.com/office/drawing/2014/main" id="{00000000-0008-0000-1600-0000F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47" name="Line 103">
          <a:extLst>
            <a:ext uri="{FF2B5EF4-FFF2-40B4-BE49-F238E27FC236}">
              <a16:creationId xmlns="" xmlns:a16="http://schemas.microsoft.com/office/drawing/2014/main" id="{00000000-0008-0000-1600-0000F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48" name="Line 100">
          <a:extLst>
            <a:ext uri="{FF2B5EF4-FFF2-40B4-BE49-F238E27FC236}">
              <a16:creationId xmlns="" xmlns:a16="http://schemas.microsoft.com/office/drawing/2014/main" id="{00000000-0008-0000-1600-0000F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49" name="Line 101">
          <a:extLst>
            <a:ext uri="{FF2B5EF4-FFF2-40B4-BE49-F238E27FC236}">
              <a16:creationId xmlns="" xmlns:a16="http://schemas.microsoft.com/office/drawing/2014/main" id="{00000000-0008-0000-1600-0000F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50" name="Line 102">
          <a:extLst>
            <a:ext uri="{FF2B5EF4-FFF2-40B4-BE49-F238E27FC236}">
              <a16:creationId xmlns="" xmlns:a16="http://schemas.microsoft.com/office/drawing/2014/main" id="{00000000-0008-0000-1600-0000F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51" name="Line 103">
          <a:extLst>
            <a:ext uri="{FF2B5EF4-FFF2-40B4-BE49-F238E27FC236}">
              <a16:creationId xmlns="" xmlns:a16="http://schemas.microsoft.com/office/drawing/2014/main" id="{00000000-0008-0000-1600-0000F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52" name="Line 100">
          <a:extLst>
            <a:ext uri="{FF2B5EF4-FFF2-40B4-BE49-F238E27FC236}">
              <a16:creationId xmlns="" xmlns:a16="http://schemas.microsoft.com/office/drawing/2014/main" id="{00000000-0008-0000-1600-0000F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53" name="Line 101">
          <a:extLst>
            <a:ext uri="{FF2B5EF4-FFF2-40B4-BE49-F238E27FC236}">
              <a16:creationId xmlns="" xmlns:a16="http://schemas.microsoft.com/office/drawing/2014/main" id="{00000000-0008-0000-1600-0000F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54" name="Line 102">
          <a:extLst>
            <a:ext uri="{FF2B5EF4-FFF2-40B4-BE49-F238E27FC236}">
              <a16:creationId xmlns="" xmlns:a16="http://schemas.microsoft.com/office/drawing/2014/main" id="{00000000-0008-0000-1600-0000F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55" name="Line 103">
          <a:extLst>
            <a:ext uri="{FF2B5EF4-FFF2-40B4-BE49-F238E27FC236}">
              <a16:creationId xmlns="" xmlns:a16="http://schemas.microsoft.com/office/drawing/2014/main" id="{00000000-0008-0000-1600-0000F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856" name="Line 100">
          <a:extLst>
            <a:ext uri="{FF2B5EF4-FFF2-40B4-BE49-F238E27FC236}">
              <a16:creationId xmlns="" xmlns:a16="http://schemas.microsoft.com/office/drawing/2014/main" id="{00000000-0008-0000-1600-000000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857" name="Line 101">
          <a:extLst>
            <a:ext uri="{FF2B5EF4-FFF2-40B4-BE49-F238E27FC236}">
              <a16:creationId xmlns="" xmlns:a16="http://schemas.microsoft.com/office/drawing/2014/main" id="{00000000-0008-0000-1600-000001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858" name="Line 102">
          <a:extLst>
            <a:ext uri="{FF2B5EF4-FFF2-40B4-BE49-F238E27FC236}">
              <a16:creationId xmlns="" xmlns:a16="http://schemas.microsoft.com/office/drawing/2014/main" id="{00000000-0008-0000-1600-000002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859" name="Line 103">
          <a:extLst>
            <a:ext uri="{FF2B5EF4-FFF2-40B4-BE49-F238E27FC236}">
              <a16:creationId xmlns="" xmlns:a16="http://schemas.microsoft.com/office/drawing/2014/main" id="{00000000-0008-0000-1600-000003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60" name="Line 100">
          <a:extLst>
            <a:ext uri="{FF2B5EF4-FFF2-40B4-BE49-F238E27FC236}">
              <a16:creationId xmlns="" xmlns:a16="http://schemas.microsoft.com/office/drawing/2014/main" id="{00000000-0008-0000-1600-000004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61" name="Line 101">
          <a:extLst>
            <a:ext uri="{FF2B5EF4-FFF2-40B4-BE49-F238E27FC236}">
              <a16:creationId xmlns="" xmlns:a16="http://schemas.microsoft.com/office/drawing/2014/main" id="{00000000-0008-0000-1600-000005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62" name="Line 102">
          <a:extLst>
            <a:ext uri="{FF2B5EF4-FFF2-40B4-BE49-F238E27FC236}">
              <a16:creationId xmlns="" xmlns:a16="http://schemas.microsoft.com/office/drawing/2014/main" id="{00000000-0008-0000-1600-000006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63" name="Line 103">
          <a:extLst>
            <a:ext uri="{FF2B5EF4-FFF2-40B4-BE49-F238E27FC236}">
              <a16:creationId xmlns="" xmlns:a16="http://schemas.microsoft.com/office/drawing/2014/main" id="{00000000-0008-0000-1600-000007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64" name="Line 100">
          <a:extLst>
            <a:ext uri="{FF2B5EF4-FFF2-40B4-BE49-F238E27FC236}">
              <a16:creationId xmlns="" xmlns:a16="http://schemas.microsoft.com/office/drawing/2014/main" id="{00000000-0008-0000-1600-000008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65" name="Line 101">
          <a:extLst>
            <a:ext uri="{FF2B5EF4-FFF2-40B4-BE49-F238E27FC236}">
              <a16:creationId xmlns="" xmlns:a16="http://schemas.microsoft.com/office/drawing/2014/main" id="{00000000-0008-0000-1600-000009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66" name="Line 102">
          <a:extLst>
            <a:ext uri="{FF2B5EF4-FFF2-40B4-BE49-F238E27FC236}">
              <a16:creationId xmlns="" xmlns:a16="http://schemas.microsoft.com/office/drawing/2014/main" id="{00000000-0008-0000-1600-00000A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67" name="Line 103">
          <a:extLst>
            <a:ext uri="{FF2B5EF4-FFF2-40B4-BE49-F238E27FC236}">
              <a16:creationId xmlns="" xmlns:a16="http://schemas.microsoft.com/office/drawing/2014/main" id="{00000000-0008-0000-1600-00000B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68" name="Line 100">
          <a:extLst>
            <a:ext uri="{FF2B5EF4-FFF2-40B4-BE49-F238E27FC236}">
              <a16:creationId xmlns="" xmlns:a16="http://schemas.microsoft.com/office/drawing/2014/main" id="{00000000-0008-0000-1600-00000C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69" name="Line 101">
          <a:extLst>
            <a:ext uri="{FF2B5EF4-FFF2-40B4-BE49-F238E27FC236}">
              <a16:creationId xmlns="" xmlns:a16="http://schemas.microsoft.com/office/drawing/2014/main" id="{00000000-0008-0000-1600-00000D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70" name="Line 102">
          <a:extLst>
            <a:ext uri="{FF2B5EF4-FFF2-40B4-BE49-F238E27FC236}">
              <a16:creationId xmlns="" xmlns:a16="http://schemas.microsoft.com/office/drawing/2014/main" id="{00000000-0008-0000-1600-00000E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71" name="Line 103">
          <a:extLst>
            <a:ext uri="{FF2B5EF4-FFF2-40B4-BE49-F238E27FC236}">
              <a16:creationId xmlns="" xmlns:a16="http://schemas.microsoft.com/office/drawing/2014/main" id="{00000000-0008-0000-1600-00000F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72" name="Line 100">
          <a:extLst>
            <a:ext uri="{FF2B5EF4-FFF2-40B4-BE49-F238E27FC236}">
              <a16:creationId xmlns="" xmlns:a16="http://schemas.microsoft.com/office/drawing/2014/main" id="{00000000-0008-0000-1600-000010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73" name="Line 101">
          <a:extLst>
            <a:ext uri="{FF2B5EF4-FFF2-40B4-BE49-F238E27FC236}">
              <a16:creationId xmlns="" xmlns:a16="http://schemas.microsoft.com/office/drawing/2014/main" id="{00000000-0008-0000-1600-000011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74" name="Line 102">
          <a:extLst>
            <a:ext uri="{FF2B5EF4-FFF2-40B4-BE49-F238E27FC236}">
              <a16:creationId xmlns="" xmlns:a16="http://schemas.microsoft.com/office/drawing/2014/main" id="{00000000-0008-0000-1600-000012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75" name="Line 103">
          <a:extLst>
            <a:ext uri="{FF2B5EF4-FFF2-40B4-BE49-F238E27FC236}">
              <a16:creationId xmlns="" xmlns:a16="http://schemas.microsoft.com/office/drawing/2014/main" id="{00000000-0008-0000-1600-000013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76" name="Line 100">
          <a:extLst>
            <a:ext uri="{FF2B5EF4-FFF2-40B4-BE49-F238E27FC236}">
              <a16:creationId xmlns="" xmlns:a16="http://schemas.microsoft.com/office/drawing/2014/main" id="{00000000-0008-0000-1600-000014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77" name="Line 101">
          <a:extLst>
            <a:ext uri="{FF2B5EF4-FFF2-40B4-BE49-F238E27FC236}">
              <a16:creationId xmlns="" xmlns:a16="http://schemas.microsoft.com/office/drawing/2014/main" id="{00000000-0008-0000-1600-000015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78" name="Line 102">
          <a:extLst>
            <a:ext uri="{FF2B5EF4-FFF2-40B4-BE49-F238E27FC236}">
              <a16:creationId xmlns="" xmlns:a16="http://schemas.microsoft.com/office/drawing/2014/main" id="{00000000-0008-0000-1600-000016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79" name="Line 103">
          <a:extLst>
            <a:ext uri="{FF2B5EF4-FFF2-40B4-BE49-F238E27FC236}">
              <a16:creationId xmlns="" xmlns:a16="http://schemas.microsoft.com/office/drawing/2014/main" id="{00000000-0008-0000-1600-000017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80" name="Line 100">
          <a:extLst>
            <a:ext uri="{FF2B5EF4-FFF2-40B4-BE49-F238E27FC236}">
              <a16:creationId xmlns="" xmlns:a16="http://schemas.microsoft.com/office/drawing/2014/main" id="{00000000-0008-0000-1600-000018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81" name="Line 101">
          <a:extLst>
            <a:ext uri="{FF2B5EF4-FFF2-40B4-BE49-F238E27FC236}">
              <a16:creationId xmlns="" xmlns:a16="http://schemas.microsoft.com/office/drawing/2014/main" id="{00000000-0008-0000-1600-000019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82" name="Line 102">
          <a:extLst>
            <a:ext uri="{FF2B5EF4-FFF2-40B4-BE49-F238E27FC236}">
              <a16:creationId xmlns="" xmlns:a16="http://schemas.microsoft.com/office/drawing/2014/main" id="{00000000-0008-0000-1600-00001A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83" name="Line 103">
          <a:extLst>
            <a:ext uri="{FF2B5EF4-FFF2-40B4-BE49-F238E27FC236}">
              <a16:creationId xmlns="" xmlns:a16="http://schemas.microsoft.com/office/drawing/2014/main" id="{00000000-0008-0000-1600-00001B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84" name="Line 100">
          <a:extLst>
            <a:ext uri="{FF2B5EF4-FFF2-40B4-BE49-F238E27FC236}">
              <a16:creationId xmlns="" xmlns:a16="http://schemas.microsoft.com/office/drawing/2014/main" id="{00000000-0008-0000-1600-00001C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85" name="Line 101">
          <a:extLst>
            <a:ext uri="{FF2B5EF4-FFF2-40B4-BE49-F238E27FC236}">
              <a16:creationId xmlns="" xmlns:a16="http://schemas.microsoft.com/office/drawing/2014/main" id="{00000000-0008-0000-1600-00001D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86" name="Line 102">
          <a:extLst>
            <a:ext uri="{FF2B5EF4-FFF2-40B4-BE49-F238E27FC236}">
              <a16:creationId xmlns="" xmlns:a16="http://schemas.microsoft.com/office/drawing/2014/main" id="{00000000-0008-0000-1600-00001E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87" name="Line 103">
          <a:extLst>
            <a:ext uri="{FF2B5EF4-FFF2-40B4-BE49-F238E27FC236}">
              <a16:creationId xmlns="" xmlns:a16="http://schemas.microsoft.com/office/drawing/2014/main" id="{00000000-0008-0000-1600-00001F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2" name="Line 100">
          <a:extLst>
            <a:ext uri="{FF2B5EF4-FFF2-40B4-BE49-F238E27FC236}">
              <a16:creationId xmlns="" xmlns:a16="http://schemas.microsoft.com/office/drawing/2014/main" id="{00000000-0008-0000-1700-000002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" name="Line 101">
          <a:extLst>
            <a:ext uri="{FF2B5EF4-FFF2-40B4-BE49-F238E27FC236}">
              <a16:creationId xmlns="" xmlns:a16="http://schemas.microsoft.com/office/drawing/2014/main" id="{00000000-0008-0000-1700-000003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4" name="Line 102">
          <a:extLst>
            <a:ext uri="{FF2B5EF4-FFF2-40B4-BE49-F238E27FC236}">
              <a16:creationId xmlns="" xmlns:a16="http://schemas.microsoft.com/office/drawing/2014/main" id="{00000000-0008-0000-1700-000004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5" name="Line 103">
          <a:extLst>
            <a:ext uri="{FF2B5EF4-FFF2-40B4-BE49-F238E27FC236}">
              <a16:creationId xmlns="" xmlns:a16="http://schemas.microsoft.com/office/drawing/2014/main" id="{00000000-0008-0000-1700-000005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6" name="Line 100">
          <a:extLst>
            <a:ext uri="{FF2B5EF4-FFF2-40B4-BE49-F238E27FC236}">
              <a16:creationId xmlns="" xmlns:a16="http://schemas.microsoft.com/office/drawing/2014/main" id="{00000000-0008-0000-1700-000006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7" name="Line 101">
          <a:extLst>
            <a:ext uri="{FF2B5EF4-FFF2-40B4-BE49-F238E27FC236}">
              <a16:creationId xmlns="" xmlns:a16="http://schemas.microsoft.com/office/drawing/2014/main" id="{00000000-0008-0000-1700-000007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8" name="Line 102">
          <a:extLst>
            <a:ext uri="{FF2B5EF4-FFF2-40B4-BE49-F238E27FC236}">
              <a16:creationId xmlns="" xmlns:a16="http://schemas.microsoft.com/office/drawing/2014/main" id="{00000000-0008-0000-1700-000008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9" name="Line 103">
          <a:extLst>
            <a:ext uri="{FF2B5EF4-FFF2-40B4-BE49-F238E27FC236}">
              <a16:creationId xmlns="" xmlns:a16="http://schemas.microsoft.com/office/drawing/2014/main" id="{00000000-0008-0000-1700-000009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0" name="Line 100">
          <a:extLst>
            <a:ext uri="{FF2B5EF4-FFF2-40B4-BE49-F238E27FC236}">
              <a16:creationId xmlns="" xmlns:a16="http://schemas.microsoft.com/office/drawing/2014/main" id="{00000000-0008-0000-17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1" name="Line 101">
          <a:extLst>
            <a:ext uri="{FF2B5EF4-FFF2-40B4-BE49-F238E27FC236}">
              <a16:creationId xmlns="" xmlns:a16="http://schemas.microsoft.com/office/drawing/2014/main" id="{00000000-0008-0000-17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2" name="Line 102">
          <a:extLst>
            <a:ext uri="{FF2B5EF4-FFF2-40B4-BE49-F238E27FC236}">
              <a16:creationId xmlns="" xmlns:a16="http://schemas.microsoft.com/office/drawing/2014/main" id="{00000000-0008-0000-17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3" name="Line 103">
          <a:extLst>
            <a:ext uri="{FF2B5EF4-FFF2-40B4-BE49-F238E27FC236}">
              <a16:creationId xmlns="" xmlns:a16="http://schemas.microsoft.com/office/drawing/2014/main" id="{00000000-0008-0000-1700-00000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14" name="Line 100">
          <a:extLst>
            <a:ext uri="{FF2B5EF4-FFF2-40B4-BE49-F238E27FC236}">
              <a16:creationId xmlns="" xmlns:a16="http://schemas.microsoft.com/office/drawing/2014/main" id="{00000000-0008-0000-1700-00000E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15" name="Line 101">
          <a:extLst>
            <a:ext uri="{FF2B5EF4-FFF2-40B4-BE49-F238E27FC236}">
              <a16:creationId xmlns="" xmlns:a16="http://schemas.microsoft.com/office/drawing/2014/main" id="{00000000-0008-0000-1700-00000F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16" name="Line 102">
          <a:extLst>
            <a:ext uri="{FF2B5EF4-FFF2-40B4-BE49-F238E27FC236}">
              <a16:creationId xmlns="" xmlns:a16="http://schemas.microsoft.com/office/drawing/2014/main" id="{00000000-0008-0000-1700-000010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17" name="Line 103">
          <a:extLst>
            <a:ext uri="{FF2B5EF4-FFF2-40B4-BE49-F238E27FC236}">
              <a16:creationId xmlns="" xmlns:a16="http://schemas.microsoft.com/office/drawing/2014/main" id="{00000000-0008-0000-1700-000011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8" name="Line 100">
          <a:extLst>
            <a:ext uri="{FF2B5EF4-FFF2-40B4-BE49-F238E27FC236}">
              <a16:creationId xmlns="" xmlns:a16="http://schemas.microsoft.com/office/drawing/2014/main" id="{00000000-0008-0000-1700-00001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9" name="Line 101">
          <a:extLst>
            <a:ext uri="{FF2B5EF4-FFF2-40B4-BE49-F238E27FC236}">
              <a16:creationId xmlns="" xmlns:a16="http://schemas.microsoft.com/office/drawing/2014/main" id="{00000000-0008-0000-1700-00001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0" name="Line 102">
          <a:extLst>
            <a:ext uri="{FF2B5EF4-FFF2-40B4-BE49-F238E27FC236}">
              <a16:creationId xmlns="" xmlns:a16="http://schemas.microsoft.com/office/drawing/2014/main" id="{00000000-0008-0000-1700-00001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1" name="Line 103">
          <a:extLst>
            <a:ext uri="{FF2B5EF4-FFF2-40B4-BE49-F238E27FC236}">
              <a16:creationId xmlns="" xmlns:a16="http://schemas.microsoft.com/office/drawing/2014/main" id="{00000000-0008-0000-1700-00001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2" name="Line 100">
          <a:extLst>
            <a:ext uri="{FF2B5EF4-FFF2-40B4-BE49-F238E27FC236}">
              <a16:creationId xmlns="" xmlns:a16="http://schemas.microsoft.com/office/drawing/2014/main" id="{00000000-0008-0000-1700-00001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3" name="Line 101">
          <a:extLst>
            <a:ext uri="{FF2B5EF4-FFF2-40B4-BE49-F238E27FC236}">
              <a16:creationId xmlns="" xmlns:a16="http://schemas.microsoft.com/office/drawing/2014/main" id="{00000000-0008-0000-1700-00001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4" name="Line 102">
          <a:extLst>
            <a:ext uri="{FF2B5EF4-FFF2-40B4-BE49-F238E27FC236}">
              <a16:creationId xmlns="" xmlns:a16="http://schemas.microsoft.com/office/drawing/2014/main" id="{00000000-0008-0000-1700-00001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5" name="Line 103">
          <a:extLst>
            <a:ext uri="{FF2B5EF4-FFF2-40B4-BE49-F238E27FC236}">
              <a16:creationId xmlns="" xmlns:a16="http://schemas.microsoft.com/office/drawing/2014/main" id="{00000000-0008-0000-1700-00001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26" name="Line 100">
          <a:extLst>
            <a:ext uri="{FF2B5EF4-FFF2-40B4-BE49-F238E27FC236}">
              <a16:creationId xmlns="" xmlns:a16="http://schemas.microsoft.com/office/drawing/2014/main" id="{00000000-0008-0000-1700-00001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27" name="Line 101">
          <a:extLst>
            <a:ext uri="{FF2B5EF4-FFF2-40B4-BE49-F238E27FC236}">
              <a16:creationId xmlns="" xmlns:a16="http://schemas.microsoft.com/office/drawing/2014/main" id="{00000000-0008-0000-1700-00001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28" name="Line 102">
          <a:extLst>
            <a:ext uri="{FF2B5EF4-FFF2-40B4-BE49-F238E27FC236}">
              <a16:creationId xmlns="" xmlns:a16="http://schemas.microsoft.com/office/drawing/2014/main" id="{00000000-0008-0000-1700-00001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29" name="Line 103">
          <a:extLst>
            <a:ext uri="{FF2B5EF4-FFF2-40B4-BE49-F238E27FC236}">
              <a16:creationId xmlns="" xmlns:a16="http://schemas.microsoft.com/office/drawing/2014/main" id="{00000000-0008-0000-1700-00001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0" name="Line 100">
          <a:extLst>
            <a:ext uri="{FF2B5EF4-FFF2-40B4-BE49-F238E27FC236}">
              <a16:creationId xmlns="" xmlns:a16="http://schemas.microsoft.com/office/drawing/2014/main" id="{00000000-0008-0000-1700-00001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" name="Line 101">
          <a:extLst>
            <a:ext uri="{FF2B5EF4-FFF2-40B4-BE49-F238E27FC236}">
              <a16:creationId xmlns="" xmlns:a16="http://schemas.microsoft.com/office/drawing/2014/main" id="{00000000-0008-0000-1700-00001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2" name="Line 102">
          <a:extLst>
            <a:ext uri="{FF2B5EF4-FFF2-40B4-BE49-F238E27FC236}">
              <a16:creationId xmlns="" xmlns:a16="http://schemas.microsoft.com/office/drawing/2014/main" id="{00000000-0008-0000-1700-00002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3" name="Line 103">
          <a:extLst>
            <a:ext uri="{FF2B5EF4-FFF2-40B4-BE49-F238E27FC236}">
              <a16:creationId xmlns="" xmlns:a16="http://schemas.microsoft.com/office/drawing/2014/main" id="{00000000-0008-0000-1700-00002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4" name="Line 100">
          <a:extLst>
            <a:ext uri="{FF2B5EF4-FFF2-40B4-BE49-F238E27FC236}">
              <a16:creationId xmlns="" xmlns:a16="http://schemas.microsoft.com/office/drawing/2014/main" id="{00000000-0008-0000-1700-00002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5" name="Line 101">
          <a:extLst>
            <a:ext uri="{FF2B5EF4-FFF2-40B4-BE49-F238E27FC236}">
              <a16:creationId xmlns="" xmlns:a16="http://schemas.microsoft.com/office/drawing/2014/main" id="{00000000-0008-0000-1700-00002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6" name="Line 102">
          <a:extLst>
            <a:ext uri="{FF2B5EF4-FFF2-40B4-BE49-F238E27FC236}">
              <a16:creationId xmlns="" xmlns:a16="http://schemas.microsoft.com/office/drawing/2014/main" id="{00000000-0008-0000-1700-00002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7" name="Line 103">
          <a:extLst>
            <a:ext uri="{FF2B5EF4-FFF2-40B4-BE49-F238E27FC236}">
              <a16:creationId xmlns="" xmlns:a16="http://schemas.microsoft.com/office/drawing/2014/main" id="{00000000-0008-0000-1700-00002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8" name="Line 100">
          <a:extLst>
            <a:ext uri="{FF2B5EF4-FFF2-40B4-BE49-F238E27FC236}">
              <a16:creationId xmlns="" xmlns:a16="http://schemas.microsoft.com/office/drawing/2014/main" id="{00000000-0008-0000-1700-00002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9" name="Line 101">
          <a:extLst>
            <a:ext uri="{FF2B5EF4-FFF2-40B4-BE49-F238E27FC236}">
              <a16:creationId xmlns="" xmlns:a16="http://schemas.microsoft.com/office/drawing/2014/main" id="{00000000-0008-0000-1700-00002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0" name="Line 102">
          <a:extLst>
            <a:ext uri="{FF2B5EF4-FFF2-40B4-BE49-F238E27FC236}">
              <a16:creationId xmlns="" xmlns:a16="http://schemas.microsoft.com/office/drawing/2014/main" id="{00000000-0008-0000-1700-00002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1" name="Line 103">
          <a:extLst>
            <a:ext uri="{FF2B5EF4-FFF2-40B4-BE49-F238E27FC236}">
              <a16:creationId xmlns="" xmlns:a16="http://schemas.microsoft.com/office/drawing/2014/main" id="{00000000-0008-0000-1700-00002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42" name="Line 100">
          <a:extLst>
            <a:ext uri="{FF2B5EF4-FFF2-40B4-BE49-F238E27FC236}">
              <a16:creationId xmlns="" xmlns:a16="http://schemas.microsoft.com/office/drawing/2014/main" id="{00000000-0008-0000-1700-00002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43" name="Line 101">
          <a:extLst>
            <a:ext uri="{FF2B5EF4-FFF2-40B4-BE49-F238E27FC236}">
              <a16:creationId xmlns="" xmlns:a16="http://schemas.microsoft.com/office/drawing/2014/main" id="{00000000-0008-0000-1700-00002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44" name="Line 102">
          <a:extLst>
            <a:ext uri="{FF2B5EF4-FFF2-40B4-BE49-F238E27FC236}">
              <a16:creationId xmlns="" xmlns:a16="http://schemas.microsoft.com/office/drawing/2014/main" id="{00000000-0008-0000-1700-00002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45" name="Line 103">
          <a:extLst>
            <a:ext uri="{FF2B5EF4-FFF2-40B4-BE49-F238E27FC236}">
              <a16:creationId xmlns="" xmlns:a16="http://schemas.microsoft.com/office/drawing/2014/main" id="{00000000-0008-0000-1700-00002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6" name="Line 100">
          <a:extLst>
            <a:ext uri="{FF2B5EF4-FFF2-40B4-BE49-F238E27FC236}">
              <a16:creationId xmlns="" xmlns:a16="http://schemas.microsoft.com/office/drawing/2014/main" id="{00000000-0008-0000-1700-00002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7" name="Line 101">
          <a:extLst>
            <a:ext uri="{FF2B5EF4-FFF2-40B4-BE49-F238E27FC236}">
              <a16:creationId xmlns="" xmlns:a16="http://schemas.microsoft.com/office/drawing/2014/main" id="{00000000-0008-0000-1700-00002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8" name="Line 102">
          <a:extLst>
            <a:ext uri="{FF2B5EF4-FFF2-40B4-BE49-F238E27FC236}">
              <a16:creationId xmlns="" xmlns:a16="http://schemas.microsoft.com/office/drawing/2014/main" id="{00000000-0008-0000-1700-00003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9" name="Line 103">
          <a:extLst>
            <a:ext uri="{FF2B5EF4-FFF2-40B4-BE49-F238E27FC236}">
              <a16:creationId xmlns="" xmlns:a16="http://schemas.microsoft.com/office/drawing/2014/main" id="{00000000-0008-0000-1700-00003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0" name="Line 100">
          <a:extLst>
            <a:ext uri="{FF2B5EF4-FFF2-40B4-BE49-F238E27FC236}">
              <a16:creationId xmlns="" xmlns:a16="http://schemas.microsoft.com/office/drawing/2014/main" id="{00000000-0008-0000-1700-00003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1" name="Line 101">
          <a:extLst>
            <a:ext uri="{FF2B5EF4-FFF2-40B4-BE49-F238E27FC236}">
              <a16:creationId xmlns="" xmlns:a16="http://schemas.microsoft.com/office/drawing/2014/main" id="{00000000-0008-0000-1700-00003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2" name="Line 102">
          <a:extLst>
            <a:ext uri="{FF2B5EF4-FFF2-40B4-BE49-F238E27FC236}">
              <a16:creationId xmlns="" xmlns:a16="http://schemas.microsoft.com/office/drawing/2014/main" id="{00000000-0008-0000-1700-00003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3" name="Line 103">
          <a:extLst>
            <a:ext uri="{FF2B5EF4-FFF2-40B4-BE49-F238E27FC236}">
              <a16:creationId xmlns="" xmlns:a16="http://schemas.microsoft.com/office/drawing/2014/main" id="{00000000-0008-0000-1700-00003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4" name="Line 100">
          <a:extLst>
            <a:ext uri="{FF2B5EF4-FFF2-40B4-BE49-F238E27FC236}">
              <a16:creationId xmlns="" xmlns:a16="http://schemas.microsoft.com/office/drawing/2014/main" id="{00000000-0008-0000-1700-00003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5" name="Line 101">
          <a:extLst>
            <a:ext uri="{FF2B5EF4-FFF2-40B4-BE49-F238E27FC236}">
              <a16:creationId xmlns="" xmlns:a16="http://schemas.microsoft.com/office/drawing/2014/main" id="{00000000-0008-0000-1700-00003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6" name="Line 102">
          <a:extLst>
            <a:ext uri="{FF2B5EF4-FFF2-40B4-BE49-F238E27FC236}">
              <a16:creationId xmlns="" xmlns:a16="http://schemas.microsoft.com/office/drawing/2014/main" id="{00000000-0008-0000-1700-00003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7" name="Line 103">
          <a:extLst>
            <a:ext uri="{FF2B5EF4-FFF2-40B4-BE49-F238E27FC236}">
              <a16:creationId xmlns="" xmlns:a16="http://schemas.microsoft.com/office/drawing/2014/main" id="{00000000-0008-0000-1700-00003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58" name="Line 100">
          <a:extLst>
            <a:ext uri="{FF2B5EF4-FFF2-40B4-BE49-F238E27FC236}">
              <a16:creationId xmlns="" xmlns:a16="http://schemas.microsoft.com/office/drawing/2014/main" id="{00000000-0008-0000-1700-00003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59" name="Line 101">
          <a:extLst>
            <a:ext uri="{FF2B5EF4-FFF2-40B4-BE49-F238E27FC236}">
              <a16:creationId xmlns="" xmlns:a16="http://schemas.microsoft.com/office/drawing/2014/main" id="{00000000-0008-0000-1700-00003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60" name="Line 102">
          <a:extLst>
            <a:ext uri="{FF2B5EF4-FFF2-40B4-BE49-F238E27FC236}">
              <a16:creationId xmlns="" xmlns:a16="http://schemas.microsoft.com/office/drawing/2014/main" id="{00000000-0008-0000-1700-00003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61" name="Line 103">
          <a:extLst>
            <a:ext uri="{FF2B5EF4-FFF2-40B4-BE49-F238E27FC236}">
              <a16:creationId xmlns="" xmlns:a16="http://schemas.microsoft.com/office/drawing/2014/main" id="{00000000-0008-0000-1700-00003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62" name="Line 100">
          <a:extLst>
            <a:ext uri="{FF2B5EF4-FFF2-40B4-BE49-F238E27FC236}">
              <a16:creationId xmlns="" xmlns:a16="http://schemas.microsoft.com/office/drawing/2014/main" id="{00000000-0008-0000-1700-00003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63" name="Line 101">
          <a:extLst>
            <a:ext uri="{FF2B5EF4-FFF2-40B4-BE49-F238E27FC236}">
              <a16:creationId xmlns="" xmlns:a16="http://schemas.microsoft.com/office/drawing/2014/main" id="{00000000-0008-0000-1700-00003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64" name="Line 102">
          <a:extLst>
            <a:ext uri="{FF2B5EF4-FFF2-40B4-BE49-F238E27FC236}">
              <a16:creationId xmlns="" xmlns:a16="http://schemas.microsoft.com/office/drawing/2014/main" id="{00000000-0008-0000-1700-00004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65" name="Line 103">
          <a:extLst>
            <a:ext uri="{FF2B5EF4-FFF2-40B4-BE49-F238E27FC236}">
              <a16:creationId xmlns="" xmlns:a16="http://schemas.microsoft.com/office/drawing/2014/main" id="{00000000-0008-0000-1700-00004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66" name="Line 100">
          <a:extLst>
            <a:ext uri="{FF2B5EF4-FFF2-40B4-BE49-F238E27FC236}">
              <a16:creationId xmlns="" xmlns:a16="http://schemas.microsoft.com/office/drawing/2014/main" id="{00000000-0008-0000-1700-00004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67" name="Line 101">
          <a:extLst>
            <a:ext uri="{FF2B5EF4-FFF2-40B4-BE49-F238E27FC236}">
              <a16:creationId xmlns="" xmlns:a16="http://schemas.microsoft.com/office/drawing/2014/main" id="{00000000-0008-0000-1700-00004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68" name="Line 102">
          <a:extLst>
            <a:ext uri="{FF2B5EF4-FFF2-40B4-BE49-F238E27FC236}">
              <a16:creationId xmlns="" xmlns:a16="http://schemas.microsoft.com/office/drawing/2014/main" id="{00000000-0008-0000-1700-00004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69" name="Line 103">
          <a:extLst>
            <a:ext uri="{FF2B5EF4-FFF2-40B4-BE49-F238E27FC236}">
              <a16:creationId xmlns="" xmlns:a16="http://schemas.microsoft.com/office/drawing/2014/main" id="{00000000-0008-0000-1700-00004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0" name="Line 100">
          <a:extLst>
            <a:ext uri="{FF2B5EF4-FFF2-40B4-BE49-F238E27FC236}">
              <a16:creationId xmlns="" xmlns:a16="http://schemas.microsoft.com/office/drawing/2014/main" id="{00000000-0008-0000-1700-00004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1" name="Line 101">
          <a:extLst>
            <a:ext uri="{FF2B5EF4-FFF2-40B4-BE49-F238E27FC236}">
              <a16:creationId xmlns="" xmlns:a16="http://schemas.microsoft.com/office/drawing/2014/main" id="{00000000-0008-0000-1700-00004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2" name="Line 102">
          <a:extLst>
            <a:ext uri="{FF2B5EF4-FFF2-40B4-BE49-F238E27FC236}">
              <a16:creationId xmlns="" xmlns:a16="http://schemas.microsoft.com/office/drawing/2014/main" id="{00000000-0008-0000-1700-00004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3" name="Line 103">
          <a:extLst>
            <a:ext uri="{FF2B5EF4-FFF2-40B4-BE49-F238E27FC236}">
              <a16:creationId xmlns="" xmlns:a16="http://schemas.microsoft.com/office/drawing/2014/main" id="{00000000-0008-0000-1700-00004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74" name="Line 100">
          <a:extLst>
            <a:ext uri="{FF2B5EF4-FFF2-40B4-BE49-F238E27FC236}">
              <a16:creationId xmlns="" xmlns:a16="http://schemas.microsoft.com/office/drawing/2014/main" id="{00000000-0008-0000-1700-00004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75" name="Line 101">
          <a:extLst>
            <a:ext uri="{FF2B5EF4-FFF2-40B4-BE49-F238E27FC236}">
              <a16:creationId xmlns="" xmlns:a16="http://schemas.microsoft.com/office/drawing/2014/main" id="{00000000-0008-0000-1700-00004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76" name="Line 102">
          <a:extLst>
            <a:ext uri="{FF2B5EF4-FFF2-40B4-BE49-F238E27FC236}">
              <a16:creationId xmlns="" xmlns:a16="http://schemas.microsoft.com/office/drawing/2014/main" id="{00000000-0008-0000-1700-00004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77" name="Line 103">
          <a:extLst>
            <a:ext uri="{FF2B5EF4-FFF2-40B4-BE49-F238E27FC236}">
              <a16:creationId xmlns="" xmlns:a16="http://schemas.microsoft.com/office/drawing/2014/main" id="{00000000-0008-0000-1700-00004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8" name="Line 100">
          <a:extLst>
            <a:ext uri="{FF2B5EF4-FFF2-40B4-BE49-F238E27FC236}">
              <a16:creationId xmlns="" xmlns:a16="http://schemas.microsoft.com/office/drawing/2014/main" id="{00000000-0008-0000-1700-00004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9" name="Line 101">
          <a:extLst>
            <a:ext uri="{FF2B5EF4-FFF2-40B4-BE49-F238E27FC236}">
              <a16:creationId xmlns="" xmlns:a16="http://schemas.microsoft.com/office/drawing/2014/main" id="{00000000-0008-0000-1700-00004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80" name="Line 102">
          <a:extLst>
            <a:ext uri="{FF2B5EF4-FFF2-40B4-BE49-F238E27FC236}">
              <a16:creationId xmlns="" xmlns:a16="http://schemas.microsoft.com/office/drawing/2014/main" id="{00000000-0008-0000-1700-00005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81" name="Line 103">
          <a:extLst>
            <a:ext uri="{FF2B5EF4-FFF2-40B4-BE49-F238E27FC236}">
              <a16:creationId xmlns="" xmlns:a16="http://schemas.microsoft.com/office/drawing/2014/main" id="{00000000-0008-0000-1700-00005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2" name="Line 100">
          <a:extLst>
            <a:ext uri="{FF2B5EF4-FFF2-40B4-BE49-F238E27FC236}">
              <a16:creationId xmlns="" xmlns:a16="http://schemas.microsoft.com/office/drawing/2014/main" id="{00000000-0008-0000-1700-00005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3" name="Line 101">
          <a:extLst>
            <a:ext uri="{FF2B5EF4-FFF2-40B4-BE49-F238E27FC236}">
              <a16:creationId xmlns="" xmlns:a16="http://schemas.microsoft.com/office/drawing/2014/main" id="{00000000-0008-0000-1700-00005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4" name="Line 102">
          <a:extLst>
            <a:ext uri="{FF2B5EF4-FFF2-40B4-BE49-F238E27FC236}">
              <a16:creationId xmlns="" xmlns:a16="http://schemas.microsoft.com/office/drawing/2014/main" id="{00000000-0008-0000-1700-00005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5" name="Line 103">
          <a:extLst>
            <a:ext uri="{FF2B5EF4-FFF2-40B4-BE49-F238E27FC236}">
              <a16:creationId xmlns="" xmlns:a16="http://schemas.microsoft.com/office/drawing/2014/main" id="{00000000-0008-0000-1700-00005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6" name="Line 100">
          <a:extLst>
            <a:ext uri="{FF2B5EF4-FFF2-40B4-BE49-F238E27FC236}">
              <a16:creationId xmlns="" xmlns:a16="http://schemas.microsoft.com/office/drawing/2014/main" id="{00000000-0008-0000-1700-00005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7" name="Line 101">
          <a:extLst>
            <a:ext uri="{FF2B5EF4-FFF2-40B4-BE49-F238E27FC236}">
              <a16:creationId xmlns="" xmlns:a16="http://schemas.microsoft.com/office/drawing/2014/main" id="{00000000-0008-0000-1700-00005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8" name="Line 102">
          <a:extLst>
            <a:ext uri="{FF2B5EF4-FFF2-40B4-BE49-F238E27FC236}">
              <a16:creationId xmlns="" xmlns:a16="http://schemas.microsoft.com/office/drawing/2014/main" id="{00000000-0008-0000-1700-00005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9" name="Line 103">
          <a:extLst>
            <a:ext uri="{FF2B5EF4-FFF2-40B4-BE49-F238E27FC236}">
              <a16:creationId xmlns="" xmlns:a16="http://schemas.microsoft.com/office/drawing/2014/main" id="{00000000-0008-0000-1700-00005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90" name="Line 100">
          <a:extLst>
            <a:ext uri="{FF2B5EF4-FFF2-40B4-BE49-F238E27FC236}">
              <a16:creationId xmlns="" xmlns:a16="http://schemas.microsoft.com/office/drawing/2014/main" id="{00000000-0008-0000-1700-00005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91" name="Line 101">
          <a:extLst>
            <a:ext uri="{FF2B5EF4-FFF2-40B4-BE49-F238E27FC236}">
              <a16:creationId xmlns="" xmlns:a16="http://schemas.microsoft.com/office/drawing/2014/main" id="{00000000-0008-0000-1700-00005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92" name="Line 102">
          <a:extLst>
            <a:ext uri="{FF2B5EF4-FFF2-40B4-BE49-F238E27FC236}">
              <a16:creationId xmlns="" xmlns:a16="http://schemas.microsoft.com/office/drawing/2014/main" id="{00000000-0008-0000-1700-00005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93" name="Line 103">
          <a:extLst>
            <a:ext uri="{FF2B5EF4-FFF2-40B4-BE49-F238E27FC236}">
              <a16:creationId xmlns="" xmlns:a16="http://schemas.microsoft.com/office/drawing/2014/main" id="{00000000-0008-0000-1700-00005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94" name="Line 100">
          <a:extLst>
            <a:ext uri="{FF2B5EF4-FFF2-40B4-BE49-F238E27FC236}">
              <a16:creationId xmlns="" xmlns:a16="http://schemas.microsoft.com/office/drawing/2014/main" id="{00000000-0008-0000-1700-00005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95" name="Line 101">
          <a:extLst>
            <a:ext uri="{FF2B5EF4-FFF2-40B4-BE49-F238E27FC236}">
              <a16:creationId xmlns="" xmlns:a16="http://schemas.microsoft.com/office/drawing/2014/main" id="{00000000-0008-0000-1700-00005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96" name="Line 102">
          <a:extLst>
            <a:ext uri="{FF2B5EF4-FFF2-40B4-BE49-F238E27FC236}">
              <a16:creationId xmlns="" xmlns:a16="http://schemas.microsoft.com/office/drawing/2014/main" id="{00000000-0008-0000-1700-00006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97" name="Line 103">
          <a:extLst>
            <a:ext uri="{FF2B5EF4-FFF2-40B4-BE49-F238E27FC236}">
              <a16:creationId xmlns="" xmlns:a16="http://schemas.microsoft.com/office/drawing/2014/main" id="{00000000-0008-0000-1700-00006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98" name="Line 100">
          <a:extLst>
            <a:ext uri="{FF2B5EF4-FFF2-40B4-BE49-F238E27FC236}">
              <a16:creationId xmlns="" xmlns:a16="http://schemas.microsoft.com/office/drawing/2014/main" id="{00000000-0008-0000-1700-00006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99" name="Line 101">
          <a:extLst>
            <a:ext uri="{FF2B5EF4-FFF2-40B4-BE49-F238E27FC236}">
              <a16:creationId xmlns="" xmlns:a16="http://schemas.microsoft.com/office/drawing/2014/main" id="{00000000-0008-0000-1700-00006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0" name="Line 102">
          <a:extLst>
            <a:ext uri="{FF2B5EF4-FFF2-40B4-BE49-F238E27FC236}">
              <a16:creationId xmlns="" xmlns:a16="http://schemas.microsoft.com/office/drawing/2014/main" id="{00000000-0008-0000-1700-00006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1" name="Line 103">
          <a:extLst>
            <a:ext uri="{FF2B5EF4-FFF2-40B4-BE49-F238E27FC236}">
              <a16:creationId xmlns="" xmlns:a16="http://schemas.microsoft.com/office/drawing/2014/main" id="{00000000-0008-0000-1700-00006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2" name="Line 100">
          <a:extLst>
            <a:ext uri="{FF2B5EF4-FFF2-40B4-BE49-F238E27FC236}">
              <a16:creationId xmlns="" xmlns:a16="http://schemas.microsoft.com/office/drawing/2014/main" id="{00000000-0008-0000-1700-00006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3" name="Line 101">
          <a:extLst>
            <a:ext uri="{FF2B5EF4-FFF2-40B4-BE49-F238E27FC236}">
              <a16:creationId xmlns="" xmlns:a16="http://schemas.microsoft.com/office/drawing/2014/main" id="{00000000-0008-0000-1700-00006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4" name="Line 102">
          <a:extLst>
            <a:ext uri="{FF2B5EF4-FFF2-40B4-BE49-F238E27FC236}">
              <a16:creationId xmlns="" xmlns:a16="http://schemas.microsoft.com/office/drawing/2014/main" id="{00000000-0008-0000-1700-00006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5" name="Line 103">
          <a:extLst>
            <a:ext uri="{FF2B5EF4-FFF2-40B4-BE49-F238E27FC236}">
              <a16:creationId xmlns="" xmlns:a16="http://schemas.microsoft.com/office/drawing/2014/main" id="{00000000-0008-0000-1700-00006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06" name="Line 100">
          <a:extLst>
            <a:ext uri="{FF2B5EF4-FFF2-40B4-BE49-F238E27FC236}">
              <a16:creationId xmlns="" xmlns:a16="http://schemas.microsoft.com/office/drawing/2014/main" id="{00000000-0008-0000-1700-00006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07" name="Line 101">
          <a:extLst>
            <a:ext uri="{FF2B5EF4-FFF2-40B4-BE49-F238E27FC236}">
              <a16:creationId xmlns="" xmlns:a16="http://schemas.microsoft.com/office/drawing/2014/main" id="{00000000-0008-0000-1700-00006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08" name="Line 102">
          <a:extLst>
            <a:ext uri="{FF2B5EF4-FFF2-40B4-BE49-F238E27FC236}">
              <a16:creationId xmlns="" xmlns:a16="http://schemas.microsoft.com/office/drawing/2014/main" id="{00000000-0008-0000-1700-00006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09" name="Line 103">
          <a:extLst>
            <a:ext uri="{FF2B5EF4-FFF2-40B4-BE49-F238E27FC236}">
              <a16:creationId xmlns="" xmlns:a16="http://schemas.microsoft.com/office/drawing/2014/main" id="{00000000-0008-0000-1700-00006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10" name="Line 100">
          <a:extLst>
            <a:ext uri="{FF2B5EF4-FFF2-40B4-BE49-F238E27FC236}">
              <a16:creationId xmlns="" xmlns:a16="http://schemas.microsoft.com/office/drawing/2014/main" id="{00000000-0008-0000-1700-00006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11" name="Line 101">
          <a:extLst>
            <a:ext uri="{FF2B5EF4-FFF2-40B4-BE49-F238E27FC236}">
              <a16:creationId xmlns="" xmlns:a16="http://schemas.microsoft.com/office/drawing/2014/main" id="{00000000-0008-0000-1700-00006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12" name="Line 102">
          <a:extLst>
            <a:ext uri="{FF2B5EF4-FFF2-40B4-BE49-F238E27FC236}">
              <a16:creationId xmlns="" xmlns:a16="http://schemas.microsoft.com/office/drawing/2014/main" id="{00000000-0008-0000-1700-00007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13" name="Line 103">
          <a:extLst>
            <a:ext uri="{FF2B5EF4-FFF2-40B4-BE49-F238E27FC236}">
              <a16:creationId xmlns="" xmlns:a16="http://schemas.microsoft.com/office/drawing/2014/main" id="{00000000-0008-0000-1700-00007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4" name="Line 100">
          <a:extLst>
            <a:ext uri="{FF2B5EF4-FFF2-40B4-BE49-F238E27FC236}">
              <a16:creationId xmlns="" xmlns:a16="http://schemas.microsoft.com/office/drawing/2014/main" id="{00000000-0008-0000-1700-00007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5" name="Line 101">
          <a:extLst>
            <a:ext uri="{FF2B5EF4-FFF2-40B4-BE49-F238E27FC236}">
              <a16:creationId xmlns="" xmlns:a16="http://schemas.microsoft.com/office/drawing/2014/main" id="{00000000-0008-0000-1700-00007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6" name="Line 102">
          <a:extLst>
            <a:ext uri="{FF2B5EF4-FFF2-40B4-BE49-F238E27FC236}">
              <a16:creationId xmlns="" xmlns:a16="http://schemas.microsoft.com/office/drawing/2014/main" id="{00000000-0008-0000-1700-00007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7" name="Line 103">
          <a:extLst>
            <a:ext uri="{FF2B5EF4-FFF2-40B4-BE49-F238E27FC236}">
              <a16:creationId xmlns="" xmlns:a16="http://schemas.microsoft.com/office/drawing/2014/main" id="{00000000-0008-0000-1700-00007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8" name="Line 100">
          <a:extLst>
            <a:ext uri="{FF2B5EF4-FFF2-40B4-BE49-F238E27FC236}">
              <a16:creationId xmlns="" xmlns:a16="http://schemas.microsoft.com/office/drawing/2014/main" id="{00000000-0008-0000-1700-00007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9" name="Line 101">
          <a:extLst>
            <a:ext uri="{FF2B5EF4-FFF2-40B4-BE49-F238E27FC236}">
              <a16:creationId xmlns="" xmlns:a16="http://schemas.microsoft.com/office/drawing/2014/main" id="{00000000-0008-0000-1700-00007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20" name="Line 102">
          <a:extLst>
            <a:ext uri="{FF2B5EF4-FFF2-40B4-BE49-F238E27FC236}">
              <a16:creationId xmlns="" xmlns:a16="http://schemas.microsoft.com/office/drawing/2014/main" id="{00000000-0008-0000-1700-00007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21" name="Line 103">
          <a:extLst>
            <a:ext uri="{FF2B5EF4-FFF2-40B4-BE49-F238E27FC236}">
              <a16:creationId xmlns="" xmlns:a16="http://schemas.microsoft.com/office/drawing/2014/main" id="{00000000-0008-0000-1700-00007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22" name="Line 100">
          <a:extLst>
            <a:ext uri="{FF2B5EF4-FFF2-40B4-BE49-F238E27FC236}">
              <a16:creationId xmlns="" xmlns:a16="http://schemas.microsoft.com/office/drawing/2014/main" id="{00000000-0008-0000-1700-00007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23" name="Line 101">
          <a:extLst>
            <a:ext uri="{FF2B5EF4-FFF2-40B4-BE49-F238E27FC236}">
              <a16:creationId xmlns="" xmlns:a16="http://schemas.microsoft.com/office/drawing/2014/main" id="{00000000-0008-0000-1700-00007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24" name="Line 102">
          <a:extLst>
            <a:ext uri="{FF2B5EF4-FFF2-40B4-BE49-F238E27FC236}">
              <a16:creationId xmlns="" xmlns:a16="http://schemas.microsoft.com/office/drawing/2014/main" id="{00000000-0008-0000-1700-00007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25" name="Line 103">
          <a:extLst>
            <a:ext uri="{FF2B5EF4-FFF2-40B4-BE49-F238E27FC236}">
              <a16:creationId xmlns="" xmlns:a16="http://schemas.microsoft.com/office/drawing/2014/main" id="{00000000-0008-0000-1700-00007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26" name="Line 100">
          <a:extLst>
            <a:ext uri="{FF2B5EF4-FFF2-40B4-BE49-F238E27FC236}">
              <a16:creationId xmlns="" xmlns:a16="http://schemas.microsoft.com/office/drawing/2014/main" id="{00000000-0008-0000-1700-00007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27" name="Line 101">
          <a:extLst>
            <a:ext uri="{FF2B5EF4-FFF2-40B4-BE49-F238E27FC236}">
              <a16:creationId xmlns="" xmlns:a16="http://schemas.microsoft.com/office/drawing/2014/main" id="{00000000-0008-0000-1700-00007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28" name="Line 102">
          <a:extLst>
            <a:ext uri="{FF2B5EF4-FFF2-40B4-BE49-F238E27FC236}">
              <a16:creationId xmlns="" xmlns:a16="http://schemas.microsoft.com/office/drawing/2014/main" id="{00000000-0008-0000-1700-00008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29" name="Line 103">
          <a:extLst>
            <a:ext uri="{FF2B5EF4-FFF2-40B4-BE49-F238E27FC236}">
              <a16:creationId xmlns="" xmlns:a16="http://schemas.microsoft.com/office/drawing/2014/main" id="{00000000-0008-0000-1700-00008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0" name="Line 100">
          <a:extLst>
            <a:ext uri="{FF2B5EF4-FFF2-40B4-BE49-F238E27FC236}">
              <a16:creationId xmlns="" xmlns:a16="http://schemas.microsoft.com/office/drawing/2014/main" id="{00000000-0008-0000-1700-00008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1" name="Line 101">
          <a:extLst>
            <a:ext uri="{FF2B5EF4-FFF2-40B4-BE49-F238E27FC236}">
              <a16:creationId xmlns="" xmlns:a16="http://schemas.microsoft.com/office/drawing/2014/main" id="{00000000-0008-0000-1700-00008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2" name="Line 102">
          <a:extLst>
            <a:ext uri="{FF2B5EF4-FFF2-40B4-BE49-F238E27FC236}">
              <a16:creationId xmlns="" xmlns:a16="http://schemas.microsoft.com/office/drawing/2014/main" id="{00000000-0008-0000-1700-00008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3" name="Line 103">
          <a:extLst>
            <a:ext uri="{FF2B5EF4-FFF2-40B4-BE49-F238E27FC236}">
              <a16:creationId xmlns="" xmlns:a16="http://schemas.microsoft.com/office/drawing/2014/main" id="{00000000-0008-0000-1700-00008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4" name="Line 100">
          <a:extLst>
            <a:ext uri="{FF2B5EF4-FFF2-40B4-BE49-F238E27FC236}">
              <a16:creationId xmlns="" xmlns:a16="http://schemas.microsoft.com/office/drawing/2014/main" id="{00000000-0008-0000-1700-00008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5" name="Line 101">
          <a:extLst>
            <a:ext uri="{FF2B5EF4-FFF2-40B4-BE49-F238E27FC236}">
              <a16:creationId xmlns="" xmlns:a16="http://schemas.microsoft.com/office/drawing/2014/main" id="{00000000-0008-0000-1700-00008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6" name="Line 102">
          <a:extLst>
            <a:ext uri="{FF2B5EF4-FFF2-40B4-BE49-F238E27FC236}">
              <a16:creationId xmlns="" xmlns:a16="http://schemas.microsoft.com/office/drawing/2014/main" id="{00000000-0008-0000-1700-00008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7" name="Line 103">
          <a:extLst>
            <a:ext uri="{FF2B5EF4-FFF2-40B4-BE49-F238E27FC236}">
              <a16:creationId xmlns="" xmlns:a16="http://schemas.microsoft.com/office/drawing/2014/main" id="{00000000-0008-0000-1700-00008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38" name="Line 100">
          <a:extLst>
            <a:ext uri="{FF2B5EF4-FFF2-40B4-BE49-F238E27FC236}">
              <a16:creationId xmlns="" xmlns:a16="http://schemas.microsoft.com/office/drawing/2014/main" id="{00000000-0008-0000-1700-00008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39" name="Line 101">
          <a:extLst>
            <a:ext uri="{FF2B5EF4-FFF2-40B4-BE49-F238E27FC236}">
              <a16:creationId xmlns="" xmlns:a16="http://schemas.microsoft.com/office/drawing/2014/main" id="{00000000-0008-0000-1700-00008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0" name="Line 102">
          <a:extLst>
            <a:ext uri="{FF2B5EF4-FFF2-40B4-BE49-F238E27FC236}">
              <a16:creationId xmlns="" xmlns:a16="http://schemas.microsoft.com/office/drawing/2014/main" id="{00000000-0008-0000-1700-00008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1" name="Line 103">
          <a:extLst>
            <a:ext uri="{FF2B5EF4-FFF2-40B4-BE49-F238E27FC236}">
              <a16:creationId xmlns="" xmlns:a16="http://schemas.microsoft.com/office/drawing/2014/main" id="{00000000-0008-0000-1700-00008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42" name="Line 100">
          <a:extLst>
            <a:ext uri="{FF2B5EF4-FFF2-40B4-BE49-F238E27FC236}">
              <a16:creationId xmlns="" xmlns:a16="http://schemas.microsoft.com/office/drawing/2014/main" id="{00000000-0008-0000-1700-00008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43" name="Line 101">
          <a:extLst>
            <a:ext uri="{FF2B5EF4-FFF2-40B4-BE49-F238E27FC236}">
              <a16:creationId xmlns="" xmlns:a16="http://schemas.microsoft.com/office/drawing/2014/main" id="{00000000-0008-0000-1700-00008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44" name="Line 102">
          <a:extLst>
            <a:ext uri="{FF2B5EF4-FFF2-40B4-BE49-F238E27FC236}">
              <a16:creationId xmlns="" xmlns:a16="http://schemas.microsoft.com/office/drawing/2014/main" id="{00000000-0008-0000-1700-00009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45" name="Line 103">
          <a:extLst>
            <a:ext uri="{FF2B5EF4-FFF2-40B4-BE49-F238E27FC236}">
              <a16:creationId xmlns="" xmlns:a16="http://schemas.microsoft.com/office/drawing/2014/main" id="{00000000-0008-0000-1700-00009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6" name="Line 100">
          <a:extLst>
            <a:ext uri="{FF2B5EF4-FFF2-40B4-BE49-F238E27FC236}">
              <a16:creationId xmlns="" xmlns:a16="http://schemas.microsoft.com/office/drawing/2014/main" id="{00000000-0008-0000-1700-00009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7" name="Line 101">
          <a:extLst>
            <a:ext uri="{FF2B5EF4-FFF2-40B4-BE49-F238E27FC236}">
              <a16:creationId xmlns="" xmlns:a16="http://schemas.microsoft.com/office/drawing/2014/main" id="{00000000-0008-0000-1700-00009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8" name="Line 102">
          <a:extLst>
            <a:ext uri="{FF2B5EF4-FFF2-40B4-BE49-F238E27FC236}">
              <a16:creationId xmlns="" xmlns:a16="http://schemas.microsoft.com/office/drawing/2014/main" id="{00000000-0008-0000-1700-00009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9" name="Line 103">
          <a:extLst>
            <a:ext uri="{FF2B5EF4-FFF2-40B4-BE49-F238E27FC236}">
              <a16:creationId xmlns="" xmlns:a16="http://schemas.microsoft.com/office/drawing/2014/main" id="{00000000-0008-0000-1700-00009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50" name="Line 100">
          <a:extLst>
            <a:ext uri="{FF2B5EF4-FFF2-40B4-BE49-F238E27FC236}">
              <a16:creationId xmlns="" xmlns:a16="http://schemas.microsoft.com/office/drawing/2014/main" id="{00000000-0008-0000-1700-00009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51" name="Line 101">
          <a:extLst>
            <a:ext uri="{FF2B5EF4-FFF2-40B4-BE49-F238E27FC236}">
              <a16:creationId xmlns="" xmlns:a16="http://schemas.microsoft.com/office/drawing/2014/main" id="{00000000-0008-0000-1700-00009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52" name="Line 102">
          <a:extLst>
            <a:ext uri="{FF2B5EF4-FFF2-40B4-BE49-F238E27FC236}">
              <a16:creationId xmlns="" xmlns:a16="http://schemas.microsoft.com/office/drawing/2014/main" id="{00000000-0008-0000-1700-00009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53" name="Line 103">
          <a:extLst>
            <a:ext uri="{FF2B5EF4-FFF2-40B4-BE49-F238E27FC236}">
              <a16:creationId xmlns="" xmlns:a16="http://schemas.microsoft.com/office/drawing/2014/main" id="{00000000-0008-0000-1700-00009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54" name="Line 100">
          <a:extLst>
            <a:ext uri="{FF2B5EF4-FFF2-40B4-BE49-F238E27FC236}">
              <a16:creationId xmlns="" xmlns:a16="http://schemas.microsoft.com/office/drawing/2014/main" id="{00000000-0008-0000-1700-00009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55" name="Line 101">
          <a:extLst>
            <a:ext uri="{FF2B5EF4-FFF2-40B4-BE49-F238E27FC236}">
              <a16:creationId xmlns="" xmlns:a16="http://schemas.microsoft.com/office/drawing/2014/main" id="{00000000-0008-0000-1700-00009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56" name="Line 102">
          <a:extLst>
            <a:ext uri="{FF2B5EF4-FFF2-40B4-BE49-F238E27FC236}">
              <a16:creationId xmlns="" xmlns:a16="http://schemas.microsoft.com/office/drawing/2014/main" id="{00000000-0008-0000-1700-00009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57" name="Line 103">
          <a:extLst>
            <a:ext uri="{FF2B5EF4-FFF2-40B4-BE49-F238E27FC236}">
              <a16:creationId xmlns="" xmlns:a16="http://schemas.microsoft.com/office/drawing/2014/main" id="{00000000-0008-0000-1700-00009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58" name="Line 100">
          <a:extLst>
            <a:ext uri="{FF2B5EF4-FFF2-40B4-BE49-F238E27FC236}">
              <a16:creationId xmlns="" xmlns:a16="http://schemas.microsoft.com/office/drawing/2014/main" id="{00000000-0008-0000-1700-00009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59" name="Line 101">
          <a:extLst>
            <a:ext uri="{FF2B5EF4-FFF2-40B4-BE49-F238E27FC236}">
              <a16:creationId xmlns="" xmlns:a16="http://schemas.microsoft.com/office/drawing/2014/main" id="{00000000-0008-0000-1700-00009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60" name="Line 102">
          <a:extLst>
            <a:ext uri="{FF2B5EF4-FFF2-40B4-BE49-F238E27FC236}">
              <a16:creationId xmlns="" xmlns:a16="http://schemas.microsoft.com/office/drawing/2014/main" id="{00000000-0008-0000-1700-0000A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61" name="Line 103">
          <a:extLst>
            <a:ext uri="{FF2B5EF4-FFF2-40B4-BE49-F238E27FC236}">
              <a16:creationId xmlns="" xmlns:a16="http://schemas.microsoft.com/office/drawing/2014/main" id="{00000000-0008-0000-1700-0000A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2" name="Line 100">
          <a:extLst>
            <a:ext uri="{FF2B5EF4-FFF2-40B4-BE49-F238E27FC236}">
              <a16:creationId xmlns="" xmlns:a16="http://schemas.microsoft.com/office/drawing/2014/main" id="{00000000-0008-0000-1700-0000A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3" name="Line 101">
          <a:extLst>
            <a:ext uri="{FF2B5EF4-FFF2-40B4-BE49-F238E27FC236}">
              <a16:creationId xmlns="" xmlns:a16="http://schemas.microsoft.com/office/drawing/2014/main" id="{00000000-0008-0000-1700-0000A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4" name="Line 102">
          <a:extLst>
            <a:ext uri="{FF2B5EF4-FFF2-40B4-BE49-F238E27FC236}">
              <a16:creationId xmlns="" xmlns:a16="http://schemas.microsoft.com/office/drawing/2014/main" id="{00000000-0008-0000-1700-0000A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5" name="Line 103">
          <a:extLst>
            <a:ext uri="{FF2B5EF4-FFF2-40B4-BE49-F238E27FC236}">
              <a16:creationId xmlns="" xmlns:a16="http://schemas.microsoft.com/office/drawing/2014/main" id="{00000000-0008-0000-1700-0000A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6" name="Line 100">
          <a:extLst>
            <a:ext uri="{FF2B5EF4-FFF2-40B4-BE49-F238E27FC236}">
              <a16:creationId xmlns="" xmlns:a16="http://schemas.microsoft.com/office/drawing/2014/main" id="{00000000-0008-0000-1700-0000A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7" name="Line 101">
          <a:extLst>
            <a:ext uri="{FF2B5EF4-FFF2-40B4-BE49-F238E27FC236}">
              <a16:creationId xmlns="" xmlns:a16="http://schemas.microsoft.com/office/drawing/2014/main" id="{00000000-0008-0000-1700-0000A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8" name="Line 102">
          <a:extLst>
            <a:ext uri="{FF2B5EF4-FFF2-40B4-BE49-F238E27FC236}">
              <a16:creationId xmlns="" xmlns:a16="http://schemas.microsoft.com/office/drawing/2014/main" id="{00000000-0008-0000-1700-0000A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9" name="Line 103">
          <a:extLst>
            <a:ext uri="{FF2B5EF4-FFF2-40B4-BE49-F238E27FC236}">
              <a16:creationId xmlns="" xmlns:a16="http://schemas.microsoft.com/office/drawing/2014/main" id="{00000000-0008-0000-1700-0000A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0" name="Line 100">
          <a:extLst>
            <a:ext uri="{FF2B5EF4-FFF2-40B4-BE49-F238E27FC236}">
              <a16:creationId xmlns="" xmlns:a16="http://schemas.microsoft.com/office/drawing/2014/main" id="{00000000-0008-0000-1700-0000A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1" name="Line 101">
          <a:extLst>
            <a:ext uri="{FF2B5EF4-FFF2-40B4-BE49-F238E27FC236}">
              <a16:creationId xmlns="" xmlns:a16="http://schemas.microsoft.com/office/drawing/2014/main" id="{00000000-0008-0000-1700-0000A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2" name="Line 102">
          <a:extLst>
            <a:ext uri="{FF2B5EF4-FFF2-40B4-BE49-F238E27FC236}">
              <a16:creationId xmlns="" xmlns:a16="http://schemas.microsoft.com/office/drawing/2014/main" id="{00000000-0008-0000-1700-0000A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3" name="Line 103">
          <a:extLst>
            <a:ext uri="{FF2B5EF4-FFF2-40B4-BE49-F238E27FC236}">
              <a16:creationId xmlns="" xmlns:a16="http://schemas.microsoft.com/office/drawing/2014/main" id="{00000000-0008-0000-1700-0000A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74" name="Line 100">
          <a:extLst>
            <a:ext uri="{FF2B5EF4-FFF2-40B4-BE49-F238E27FC236}">
              <a16:creationId xmlns="" xmlns:a16="http://schemas.microsoft.com/office/drawing/2014/main" id="{00000000-0008-0000-1700-0000A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75" name="Line 101">
          <a:extLst>
            <a:ext uri="{FF2B5EF4-FFF2-40B4-BE49-F238E27FC236}">
              <a16:creationId xmlns="" xmlns:a16="http://schemas.microsoft.com/office/drawing/2014/main" id="{00000000-0008-0000-1700-0000A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76" name="Line 102">
          <a:extLst>
            <a:ext uri="{FF2B5EF4-FFF2-40B4-BE49-F238E27FC236}">
              <a16:creationId xmlns="" xmlns:a16="http://schemas.microsoft.com/office/drawing/2014/main" id="{00000000-0008-0000-1700-0000B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77" name="Line 103">
          <a:extLst>
            <a:ext uri="{FF2B5EF4-FFF2-40B4-BE49-F238E27FC236}">
              <a16:creationId xmlns="" xmlns:a16="http://schemas.microsoft.com/office/drawing/2014/main" id="{00000000-0008-0000-1700-0000B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8" name="Line 100">
          <a:extLst>
            <a:ext uri="{FF2B5EF4-FFF2-40B4-BE49-F238E27FC236}">
              <a16:creationId xmlns="" xmlns:a16="http://schemas.microsoft.com/office/drawing/2014/main" id="{00000000-0008-0000-1700-0000B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9" name="Line 101">
          <a:extLst>
            <a:ext uri="{FF2B5EF4-FFF2-40B4-BE49-F238E27FC236}">
              <a16:creationId xmlns="" xmlns:a16="http://schemas.microsoft.com/office/drawing/2014/main" id="{00000000-0008-0000-1700-0000B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0" name="Line 102">
          <a:extLst>
            <a:ext uri="{FF2B5EF4-FFF2-40B4-BE49-F238E27FC236}">
              <a16:creationId xmlns="" xmlns:a16="http://schemas.microsoft.com/office/drawing/2014/main" id="{00000000-0008-0000-1700-0000B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1" name="Line 103">
          <a:extLst>
            <a:ext uri="{FF2B5EF4-FFF2-40B4-BE49-F238E27FC236}">
              <a16:creationId xmlns="" xmlns:a16="http://schemas.microsoft.com/office/drawing/2014/main" id="{00000000-0008-0000-1700-0000B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2" name="Line 100">
          <a:extLst>
            <a:ext uri="{FF2B5EF4-FFF2-40B4-BE49-F238E27FC236}">
              <a16:creationId xmlns="" xmlns:a16="http://schemas.microsoft.com/office/drawing/2014/main" id="{00000000-0008-0000-1700-0000B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3" name="Line 101">
          <a:extLst>
            <a:ext uri="{FF2B5EF4-FFF2-40B4-BE49-F238E27FC236}">
              <a16:creationId xmlns="" xmlns:a16="http://schemas.microsoft.com/office/drawing/2014/main" id="{00000000-0008-0000-1700-0000B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4" name="Line 102">
          <a:extLst>
            <a:ext uri="{FF2B5EF4-FFF2-40B4-BE49-F238E27FC236}">
              <a16:creationId xmlns="" xmlns:a16="http://schemas.microsoft.com/office/drawing/2014/main" id="{00000000-0008-0000-1700-0000B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5" name="Line 103">
          <a:extLst>
            <a:ext uri="{FF2B5EF4-FFF2-40B4-BE49-F238E27FC236}">
              <a16:creationId xmlns="" xmlns:a16="http://schemas.microsoft.com/office/drawing/2014/main" id="{00000000-0008-0000-1700-0000B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86" name="Line 100">
          <a:extLst>
            <a:ext uri="{FF2B5EF4-FFF2-40B4-BE49-F238E27FC236}">
              <a16:creationId xmlns="" xmlns:a16="http://schemas.microsoft.com/office/drawing/2014/main" id="{00000000-0008-0000-1700-0000B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87" name="Line 101">
          <a:extLst>
            <a:ext uri="{FF2B5EF4-FFF2-40B4-BE49-F238E27FC236}">
              <a16:creationId xmlns="" xmlns:a16="http://schemas.microsoft.com/office/drawing/2014/main" id="{00000000-0008-0000-1700-0000B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88" name="Line 102">
          <a:extLst>
            <a:ext uri="{FF2B5EF4-FFF2-40B4-BE49-F238E27FC236}">
              <a16:creationId xmlns="" xmlns:a16="http://schemas.microsoft.com/office/drawing/2014/main" id="{00000000-0008-0000-1700-0000B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89" name="Line 103">
          <a:extLst>
            <a:ext uri="{FF2B5EF4-FFF2-40B4-BE49-F238E27FC236}">
              <a16:creationId xmlns="" xmlns:a16="http://schemas.microsoft.com/office/drawing/2014/main" id="{00000000-0008-0000-1700-0000B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90" name="Line 100">
          <a:extLst>
            <a:ext uri="{FF2B5EF4-FFF2-40B4-BE49-F238E27FC236}">
              <a16:creationId xmlns="" xmlns:a16="http://schemas.microsoft.com/office/drawing/2014/main" id="{00000000-0008-0000-1700-0000B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91" name="Line 101">
          <a:extLst>
            <a:ext uri="{FF2B5EF4-FFF2-40B4-BE49-F238E27FC236}">
              <a16:creationId xmlns="" xmlns:a16="http://schemas.microsoft.com/office/drawing/2014/main" id="{00000000-0008-0000-1700-0000B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92" name="Line 102">
          <a:extLst>
            <a:ext uri="{FF2B5EF4-FFF2-40B4-BE49-F238E27FC236}">
              <a16:creationId xmlns="" xmlns:a16="http://schemas.microsoft.com/office/drawing/2014/main" id="{00000000-0008-0000-1700-0000C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93" name="Line 103">
          <a:extLst>
            <a:ext uri="{FF2B5EF4-FFF2-40B4-BE49-F238E27FC236}">
              <a16:creationId xmlns="" xmlns:a16="http://schemas.microsoft.com/office/drawing/2014/main" id="{00000000-0008-0000-1700-0000C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4" name="Line 100">
          <a:extLst>
            <a:ext uri="{FF2B5EF4-FFF2-40B4-BE49-F238E27FC236}">
              <a16:creationId xmlns="" xmlns:a16="http://schemas.microsoft.com/office/drawing/2014/main" id="{00000000-0008-0000-1700-0000C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5" name="Line 101">
          <a:extLst>
            <a:ext uri="{FF2B5EF4-FFF2-40B4-BE49-F238E27FC236}">
              <a16:creationId xmlns="" xmlns:a16="http://schemas.microsoft.com/office/drawing/2014/main" id="{00000000-0008-0000-1700-0000C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6" name="Line 102">
          <a:extLst>
            <a:ext uri="{FF2B5EF4-FFF2-40B4-BE49-F238E27FC236}">
              <a16:creationId xmlns="" xmlns:a16="http://schemas.microsoft.com/office/drawing/2014/main" id="{00000000-0008-0000-1700-0000C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7" name="Line 103">
          <a:extLst>
            <a:ext uri="{FF2B5EF4-FFF2-40B4-BE49-F238E27FC236}">
              <a16:creationId xmlns="" xmlns:a16="http://schemas.microsoft.com/office/drawing/2014/main" id="{00000000-0008-0000-1700-0000C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8" name="Line 100">
          <a:extLst>
            <a:ext uri="{FF2B5EF4-FFF2-40B4-BE49-F238E27FC236}">
              <a16:creationId xmlns="" xmlns:a16="http://schemas.microsoft.com/office/drawing/2014/main" id="{00000000-0008-0000-1700-0000C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9" name="Line 101">
          <a:extLst>
            <a:ext uri="{FF2B5EF4-FFF2-40B4-BE49-F238E27FC236}">
              <a16:creationId xmlns="" xmlns:a16="http://schemas.microsoft.com/office/drawing/2014/main" id="{00000000-0008-0000-1700-0000C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0" name="Line 102">
          <a:extLst>
            <a:ext uri="{FF2B5EF4-FFF2-40B4-BE49-F238E27FC236}">
              <a16:creationId xmlns="" xmlns:a16="http://schemas.microsoft.com/office/drawing/2014/main" id="{00000000-0008-0000-1700-0000C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1" name="Line 103">
          <a:extLst>
            <a:ext uri="{FF2B5EF4-FFF2-40B4-BE49-F238E27FC236}">
              <a16:creationId xmlns="" xmlns:a16="http://schemas.microsoft.com/office/drawing/2014/main" id="{00000000-0008-0000-1700-0000C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02" name="Line 100">
          <a:extLst>
            <a:ext uri="{FF2B5EF4-FFF2-40B4-BE49-F238E27FC236}">
              <a16:creationId xmlns="" xmlns:a16="http://schemas.microsoft.com/office/drawing/2014/main" id="{00000000-0008-0000-1700-0000C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03" name="Line 101">
          <a:extLst>
            <a:ext uri="{FF2B5EF4-FFF2-40B4-BE49-F238E27FC236}">
              <a16:creationId xmlns="" xmlns:a16="http://schemas.microsoft.com/office/drawing/2014/main" id="{00000000-0008-0000-1700-0000C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04" name="Line 102">
          <a:extLst>
            <a:ext uri="{FF2B5EF4-FFF2-40B4-BE49-F238E27FC236}">
              <a16:creationId xmlns="" xmlns:a16="http://schemas.microsoft.com/office/drawing/2014/main" id="{00000000-0008-0000-1700-0000C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05" name="Line 103">
          <a:extLst>
            <a:ext uri="{FF2B5EF4-FFF2-40B4-BE49-F238E27FC236}">
              <a16:creationId xmlns="" xmlns:a16="http://schemas.microsoft.com/office/drawing/2014/main" id="{00000000-0008-0000-1700-0000C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6" name="Line 100">
          <a:extLst>
            <a:ext uri="{FF2B5EF4-FFF2-40B4-BE49-F238E27FC236}">
              <a16:creationId xmlns="" xmlns:a16="http://schemas.microsoft.com/office/drawing/2014/main" id="{00000000-0008-0000-1700-0000C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7" name="Line 101">
          <a:extLst>
            <a:ext uri="{FF2B5EF4-FFF2-40B4-BE49-F238E27FC236}">
              <a16:creationId xmlns="" xmlns:a16="http://schemas.microsoft.com/office/drawing/2014/main" id="{00000000-0008-0000-1700-0000C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8" name="Line 102">
          <a:extLst>
            <a:ext uri="{FF2B5EF4-FFF2-40B4-BE49-F238E27FC236}">
              <a16:creationId xmlns="" xmlns:a16="http://schemas.microsoft.com/office/drawing/2014/main" id="{00000000-0008-0000-1700-0000D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9" name="Line 103">
          <a:extLst>
            <a:ext uri="{FF2B5EF4-FFF2-40B4-BE49-F238E27FC236}">
              <a16:creationId xmlns="" xmlns:a16="http://schemas.microsoft.com/office/drawing/2014/main" id="{00000000-0008-0000-1700-0000D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0" name="Line 100">
          <a:extLst>
            <a:ext uri="{FF2B5EF4-FFF2-40B4-BE49-F238E27FC236}">
              <a16:creationId xmlns="" xmlns:a16="http://schemas.microsoft.com/office/drawing/2014/main" id="{00000000-0008-0000-1700-0000D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1" name="Line 101">
          <a:extLst>
            <a:ext uri="{FF2B5EF4-FFF2-40B4-BE49-F238E27FC236}">
              <a16:creationId xmlns="" xmlns:a16="http://schemas.microsoft.com/office/drawing/2014/main" id="{00000000-0008-0000-1700-0000D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2" name="Line 102">
          <a:extLst>
            <a:ext uri="{FF2B5EF4-FFF2-40B4-BE49-F238E27FC236}">
              <a16:creationId xmlns="" xmlns:a16="http://schemas.microsoft.com/office/drawing/2014/main" id="{00000000-0008-0000-1700-0000D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3" name="Line 103">
          <a:extLst>
            <a:ext uri="{FF2B5EF4-FFF2-40B4-BE49-F238E27FC236}">
              <a16:creationId xmlns="" xmlns:a16="http://schemas.microsoft.com/office/drawing/2014/main" id="{00000000-0008-0000-1700-0000D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4" name="Line 100">
          <a:extLst>
            <a:ext uri="{FF2B5EF4-FFF2-40B4-BE49-F238E27FC236}">
              <a16:creationId xmlns="" xmlns:a16="http://schemas.microsoft.com/office/drawing/2014/main" id="{00000000-0008-0000-1700-0000D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5" name="Line 101">
          <a:extLst>
            <a:ext uri="{FF2B5EF4-FFF2-40B4-BE49-F238E27FC236}">
              <a16:creationId xmlns="" xmlns:a16="http://schemas.microsoft.com/office/drawing/2014/main" id="{00000000-0008-0000-1700-0000D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6" name="Line 102">
          <a:extLst>
            <a:ext uri="{FF2B5EF4-FFF2-40B4-BE49-F238E27FC236}">
              <a16:creationId xmlns="" xmlns:a16="http://schemas.microsoft.com/office/drawing/2014/main" id="{00000000-0008-0000-1700-0000D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7" name="Line 103">
          <a:extLst>
            <a:ext uri="{FF2B5EF4-FFF2-40B4-BE49-F238E27FC236}">
              <a16:creationId xmlns="" xmlns:a16="http://schemas.microsoft.com/office/drawing/2014/main" id="{00000000-0008-0000-1700-0000D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218" name="Line 100">
          <a:extLst>
            <a:ext uri="{FF2B5EF4-FFF2-40B4-BE49-F238E27FC236}">
              <a16:creationId xmlns="" xmlns:a16="http://schemas.microsoft.com/office/drawing/2014/main" id="{00000000-0008-0000-1700-0000D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219" name="Line 101">
          <a:extLst>
            <a:ext uri="{FF2B5EF4-FFF2-40B4-BE49-F238E27FC236}">
              <a16:creationId xmlns="" xmlns:a16="http://schemas.microsoft.com/office/drawing/2014/main" id="{00000000-0008-0000-1700-0000D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220" name="Line 102">
          <a:extLst>
            <a:ext uri="{FF2B5EF4-FFF2-40B4-BE49-F238E27FC236}">
              <a16:creationId xmlns="" xmlns:a16="http://schemas.microsoft.com/office/drawing/2014/main" id="{00000000-0008-0000-1700-0000D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221" name="Line 103">
          <a:extLst>
            <a:ext uri="{FF2B5EF4-FFF2-40B4-BE49-F238E27FC236}">
              <a16:creationId xmlns="" xmlns:a16="http://schemas.microsoft.com/office/drawing/2014/main" id="{00000000-0008-0000-1700-0000D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2" name="Line 100">
          <a:extLst>
            <a:ext uri="{FF2B5EF4-FFF2-40B4-BE49-F238E27FC236}">
              <a16:creationId xmlns="" xmlns:a16="http://schemas.microsoft.com/office/drawing/2014/main" id="{00000000-0008-0000-1800-000002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" name="Line 101">
          <a:extLst>
            <a:ext uri="{FF2B5EF4-FFF2-40B4-BE49-F238E27FC236}">
              <a16:creationId xmlns="" xmlns:a16="http://schemas.microsoft.com/office/drawing/2014/main" id="{00000000-0008-0000-1800-000003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4" name="Line 102">
          <a:extLst>
            <a:ext uri="{FF2B5EF4-FFF2-40B4-BE49-F238E27FC236}">
              <a16:creationId xmlns="" xmlns:a16="http://schemas.microsoft.com/office/drawing/2014/main" id="{00000000-0008-0000-1800-000004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5" name="Line 103">
          <a:extLst>
            <a:ext uri="{FF2B5EF4-FFF2-40B4-BE49-F238E27FC236}">
              <a16:creationId xmlns="" xmlns:a16="http://schemas.microsoft.com/office/drawing/2014/main" id="{00000000-0008-0000-1800-000005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6" name="Line 100">
          <a:extLst>
            <a:ext uri="{FF2B5EF4-FFF2-40B4-BE49-F238E27FC236}">
              <a16:creationId xmlns="" xmlns:a16="http://schemas.microsoft.com/office/drawing/2014/main" id="{00000000-0008-0000-1800-000006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7" name="Line 101">
          <a:extLst>
            <a:ext uri="{FF2B5EF4-FFF2-40B4-BE49-F238E27FC236}">
              <a16:creationId xmlns="" xmlns:a16="http://schemas.microsoft.com/office/drawing/2014/main" id="{00000000-0008-0000-1800-000007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8" name="Line 102">
          <a:extLst>
            <a:ext uri="{FF2B5EF4-FFF2-40B4-BE49-F238E27FC236}">
              <a16:creationId xmlns="" xmlns:a16="http://schemas.microsoft.com/office/drawing/2014/main" id="{00000000-0008-0000-1800-000008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9" name="Line 103">
          <a:extLst>
            <a:ext uri="{FF2B5EF4-FFF2-40B4-BE49-F238E27FC236}">
              <a16:creationId xmlns="" xmlns:a16="http://schemas.microsoft.com/office/drawing/2014/main" id="{00000000-0008-0000-1800-000009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0" name="Line 100">
          <a:extLst>
            <a:ext uri="{FF2B5EF4-FFF2-40B4-BE49-F238E27FC236}">
              <a16:creationId xmlns="" xmlns:a16="http://schemas.microsoft.com/office/drawing/2014/main" id="{00000000-0008-0000-18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1" name="Line 101">
          <a:extLst>
            <a:ext uri="{FF2B5EF4-FFF2-40B4-BE49-F238E27FC236}">
              <a16:creationId xmlns="" xmlns:a16="http://schemas.microsoft.com/office/drawing/2014/main" id="{00000000-0008-0000-18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2" name="Line 102">
          <a:extLst>
            <a:ext uri="{FF2B5EF4-FFF2-40B4-BE49-F238E27FC236}">
              <a16:creationId xmlns="" xmlns:a16="http://schemas.microsoft.com/office/drawing/2014/main" id="{00000000-0008-0000-18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3" name="Line 103">
          <a:extLst>
            <a:ext uri="{FF2B5EF4-FFF2-40B4-BE49-F238E27FC236}">
              <a16:creationId xmlns="" xmlns:a16="http://schemas.microsoft.com/office/drawing/2014/main" id="{00000000-0008-0000-1800-00000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14" name="Line 100">
          <a:extLst>
            <a:ext uri="{FF2B5EF4-FFF2-40B4-BE49-F238E27FC236}">
              <a16:creationId xmlns="" xmlns:a16="http://schemas.microsoft.com/office/drawing/2014/main" id="{00000000-0008-0000-1800-00000E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15" name="Line 101">
          <a:extLst>
            <a:ext uri="{FF2B5EF4-FFF2-40B4-BE49-F238E27FC236}">
              <a16:creationId xmlns="" xmlns:a16="http://schemas.microsoft.com/office/drawing/2014/main" id="{00000000-0008-0000-1800-00000F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16" name="Line 102">
          <a:extLst>
            <a:ext uri="{FF2B5EF4-FFF2-40B4-BE49-F238E27FC236}">
              <a16:creationId xmlns="" xmlns:a16="http://schemas.microsoft.com/office/drawing/2014/main" id="{00000000-0008-0000-1800-000010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17" name="Line 103">
          <a:extLst>
            <a:ext uri="{FF2B5EF4-FFF2-40B4-BE49-F238E27FC236}">
              <a16:creationId xmlns="" xmlns:a16="http://schemas.microsoft.com/office/drawing/2014/main" id="{00000000-0008-0000-1800-000011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8" name="Line 100">
          <a:extLst>
            <a:ext uri="{FF2B5EF4-FFF2-40B4-BE49-F238E27FC236}">
              <a16:creationId xmlns="" xmlns:a16="http://schemas.microsoft.com/office/drawing/2014/main" id="{00000000-0008-0000-1800-00001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9" name="Line 101">
          <a:extLst>
            <a:ext uri="{FF2B5EF4-FFF2-40B4-BE49-F238E27FC236}">
              <a16:creationId xmlns="" xmlns:a16="http://schemas.microsoft.com/office/drawing/2014/main" id="{00000000-0008-0000-1800-00001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0" name="Line 102">
          <a:extLst>
            <a:ext uri="{FF2B5EF4-FFF2-40B4-BE49-F238E27FC236}">
              <a16:creationId xmlns="" xmlns:a16="http://schemas.microsoft.com/office/drawing/2014/main" id="{00000000-0008-0000-1800-00001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1" name="Line 103">
          <a:extLst>
            <a:ext uri="{FF2B5EF4-FFF2-40B4-BE49-F238E27FC236}">
              <a16:creationId xmlns="" xmlns:a16="http://schemas.microsoft.com/office/drawing/2014/main" id="{00000000-0008-0000-1800-00001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2" name="Line 100">
          <a:extLst>
            <a:ext uri="{FF2B5EF4-FFF2-40B4-BE49-F238E27FC236}">
              <a16:creationId xmlns="" xmlns:a16="http://schemas.microsoft.com/office/drawing/2014/main" id="{00000000-0008-0000-1800-00001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3" name="Line 101">
          <a:extLst>
            <a:ext uri="{FF2B5EF4-FFF2-40B4-BE49-F238E27FC236}">
              <a16:creationId xmlns="" xmlns:a16="http://schemas.microsoft.com/office/drawing/2014/main" id="{00000000-0008-0000-1800-00001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4" name="Line 102">
          <a:extLst>
            <a:ext uri="{FF2B5EF4-FFF2-40B4-BE49-F238E27FC236}">
              <a16:creationId xmlns="" xmlns:a16="http://schemas.microsoft.com/office/drawing/2014/main" id="{00000000-0008-0000-1800-00001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5" name="Line 103">
          <a:extLst>
            <a:ext uri="{FF2B5EF4-FFF2-40B4-BE49-F238E27FC236}">
              <a16:creationId xmlns="" xmlns:a16="http://schemas.microsoft.com/office/drawing/2014/main" id="{00000000-0008-0000-1800-00001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26" name="Line 100">
          <a:extLst>
            <a:ext uri="{FF2B5EF4-FFF2-40B4-BE49-F238E27FC236}">
              <a16:creationId xmlns="" xmlns:a16="http://schemas.microsoft.com/office/drawing/2014/main" id="{00000000-0008-0000-1800-00001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27" name="Line 101">
          <a:extLst>
            <a:ext uri="{FF2B5EF4-FFF2-40B4-BE49-F238E27FC236}">
              <a16:creationId xmlns="" xmlns:a16="http://schemas.microsoft.com/office/drawing/2014/main" id="{00000000-0008-0000-1800-00001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28" name="Line 102">
          <a:extLst>
            <a:ext uri="{FF2B5EF4-FFF2-40B4-BE49-F238E27FC236}">
              <a16:creationId xmlns="" xmlns:a16="http://schemas.microsoft.com/office/drawing/2014/main" id="{00000000-0008-0000-1800-00001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29" name="Line 103">
          <a:extLst>
            <a:ext uri="{FF2B5EF4-FFF2-40B4-BE49-F238E27FC236}">
              <a16:creationId xmlns="" xmlns:a16="http://schemas.microsoft.com/office/drawing/2014/main" id="{00000000-0008-0000-1800-00001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0" name="Line 100">
          <a:extLst>
            <a:ext uri="{FF2B5EF4-FFF2-40B4-BE49-F238E27FC236}">
              <a16:creationId xmlns="" xmlns:a16="http://schemas.microsoft.com/office/drawing/2014/main" id="{00000000-0008-0000-1800-00001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" name="Line 101">
          <a:extLst>
            <a:ext uri="{FF2B5EF4-FFF2-40B4-BE49-F238E27FC236}">
              <a16:creationId xmlns="" xmlns:a16="http://schemas.microsoft.com/office/drawing/2014/main" id="{00000000-0008-0000-1800-00001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2" name="Line 102">
          <a:extLst>
            <a:ext uri="{FF2B5EF4-FFF2-40B4-BE49-F238E27FC236}">
              <a16:creationId xmlns="" xmlns:a16="http://schemas.microsoft.com/office/drawing/2014/main" id="{00000000-0008-0000-1800-00002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3" name="Line 103">
          <a:extLst>
            <a:ext uri="{FF2B5EF4-FFF2-40B4-BE49-F238E27FC236}">
              <a16:creationId xmlns="" xmlns:a16="http://schemas.microsoft.com/office/drawing/2014/main" id="{00000000-0008-0000-1800-00002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4" name="Line 100">
          <a:extLst>
            <a:ext uri="{FF2B5EF4-FFF2-40B4-BE49-F238E27FC236}">
              <a16:creationId xmlns="" xmlns:a16="http://schemas.microsoft.com/office/drawing/2014/main" id="{00000000-0008-0000-1800-00002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5" name="Line 101">
          <a:extLst>
            <a:ext uri="{FF2B5EF4-FFF2-40B4-BE49-F238E27FC236}">
              <a16:creationId xmlns="" xmlns:a16="http://schemas.microsoft.com/office/drawing/2014/main" id="{00000000-0008-0000-1800-00002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6" name="Line 102">
          <a:extLst>
            <a:ext uri="{FF2B5EF4-FFF2-40B4-BE49-F238E27FC236}">
              <a16:creationId xmlns="" xmlns:a16="http://schemas.microsoft.com/office/drawing/2014/main" id="{00000000-0008-0000-1800-00002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7" name="Line 103">
          <a:extLst>
            <a:ext uri="{FF2B5EF4-FFF2-40B4-BE49-F238E27FC236}">
              <a16:creationId xmlns="" xmlns:a16="http://schemas.microsoft.com/office/drawing/2014/main" id="{00000000-0008-0000-1800-00002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8" name="Line 100">
          <a:extLst>
            <a:ext uri="{FF2B5EF4-FFF2-40B4-BE49-F238E27FC236}">
              <a16:creationId xmlns="" xmlns:a16="http://schemas.microsoft.com/office/drawing/2014/main" id="{00000000-0008-0000-1800-00002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9" name="Line 101">
          <a:extLst>
            <a:ext uri="{FF2B5EF4-FFF2-40B4-BE49-F238E27FC236}">
              <a16:creationId xmlns="" xmlns:a16="http://schemas.microsoft.com/office/drawing/2014/main" id="{00000000-0008-0000-1800-00002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0" name="Line 102">
          <a:extLst>
            <a:ext uri="{FF2B5EF4-FFF2-40B4-BE49-F238E27FC236}">
              <a16:creationId xmlns="" xmlns:a16="http://schemas.microsoft.com/office/drawing/2014/main" id="{00000000-0008-0000-1800-00002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1" name="Line 103">
          <a:extLst>
            <a:ext uri="{FF2B5EF4-FFF2-40B4-BE49-F238E27FC236}">
              <a16:creationId xmlns="" xmlns:a16="http://schemas.microsoft.com/office/drawing/2014/main" id="{00000000-0008-0000-1800-00002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42" name="Line 100">
          <a:extLst>
            <a:ext uri="{FF2B5EF4-FFF2-40B4-BE49-F238E27FC236}">
              <a16:creationId xmlns="" xmlns:a16="http://schemas.microsoft.com/office/drawing/2014/main" id="{00000000-0008-0000-1800-00002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43" name="Line 101">
          <a:extLst>
            <a:ext uri="{FF2B5EF4-FFF2-40B4-BE49-F238E27FC236}">
              <a16:creationId xmlns="" xmlns:a16="http://schemas.microsoft.com/office/drawing/2014/main" id="{00000000-0008-0000-1800-00002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44" name="Line 102">
          <a:extLst>
            <a:ext uri="{FF2B5EF4-FFF2-40B4-BE49-F238E27FC236}">
              <a16:creationId xmlns="" xmlns:a16="http://schemas.microsoft.com/office/drawing/2014/main" id="{00000000-0008-0000-1800-00002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45" name="Line 103">
          <a:extLst>
            <a:ext uri="{FF2B5EF4-FFF2-40B4-BE49-F238E27FC236}">
              <a16:creationId xmlns="" xmlns:a16="http://schemas.microsoft.com/office/drawing/2014/main" id="{00000000-0008-0000-1800-00002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6" name="Line 100">
          <a:extLst>
            <a:ext uri="{FF2B5EF4-FFF2-40B4-BE49-F238E27FC236}">
              <a16:creationId xmlns="" xmlns:a16="http://schemas.microsoft.com/office/drawing/2014/main" id="{00000000-0008-0000-1800-00002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7" name="Line 101">
          <a:extLst>
            <a:ext uri="{FF2B5EF4-FFF2-40B4-BE49-F238E27FC236}">
              <a16:creationId xmlns="" xmlns:a16="http://schemas.microsoft.com/office/drawing/2014/main" id="{00000000-0008-0000-1800-00002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8" name="Line 102">
          <a:extLst>
            <a:ext uri="{FF2B5EF4-FFF2-40B4-BE49-F238E27FC236}">
              <a16:creationId xmlns="" xmlns:a16="http://schemas.microsoft.com/office/drawing/2014/main" id="{00000000-0008-0000-1800-00003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9" name="Line 103">
          <a:extLst>
            <a:ext uri="{FF2B5EF4-FFF2-40B4-BE49-F238E27FC236}">
              <a16:creationId xmlns="" xmlns:a16="http://schemas.microsoft.com/office/drawing/2014/main" id="{00000000-0008-0000-1800-00003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0" name="Line 100">
          <a:extLst>
            <a:ext uri="{FF2B5EF4-FFF2-40B4-BE49-F238E27FC236}">
              <a16:creationId xmlns="" xmlns:a16="http://schemas.microsoft.com/office/drawing/2014/main" id="{00000000-0008-0000-1800-00003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1" name="Line 101">
          <a:extLst>
            <a:ext uri="{FF2B5EF4-FFF2-40B4-BE49-F238E27FC236}">
              <a16:creationId xmlns="" xmlns:a16="http://schemas.microsoft.com/office/drawing/2014/main" id="{00000000-0008-0000-1800-00003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2" name="Line 102">
          <a:extLst>
            <a:ext uri="{FF2B5EF4-FFF2-40B4-BE49-F238E27FC236}">
              <a16:creationId xmlns="" xmlns:a16="http://schemas.microsoft.com/office/drawing/2014/main" id="{00000000-0008-0000-1800-00003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3" name="Line 103">
          <a:extLst>
            <a:ext uri="{FF2B5EF4-FFF2-40B4-BE49-F238E27FC236}">
              <a16:creationId xmlns="" xmlns:a16="http://schemas.microsoft.com/office/drawing/2014/main" id="{00000000-0008-0000-1800-00003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4" name="Line 100">
          <a:extLst>
            <a:ext uri="{FF2B5EF4-FFF2-40B4-BE49-F238E27FC236}">
              <a16:creationId xmlns="" xmlns:a16="http://schemas.microsoft.com/office/drawing/2014/main" id="{00000000-0008-0000-1800-00003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5" name="Line 101">
          <a:extLst>
            <a:ext uri="{FF2B5EF4-FFF2-40B4-BE49-F238E27FC236}">
              <a16:creationId xmlns="" xmlns:a16="http://schemas.microsoft.com/office/drawing/2014/main" id="{00000000-0008-0000-1800-00003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6" name="Line 102">
          <a:extLst>
            <a:ext uri="{FF2B5EF4-FFF2-40B4-BE49-F238E27FC236}">
              <a16:creationId xmlns="" xmlns:a16="http://schemas.microsoft.com/office/drawing/2014/main" id="{00000000-0008-0000-1800-00003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7" name="Line 103">
          <a:extLst>
            <a:ext uri="{FF2B5EF4-FFF2-40B4-BE49-F238E27FC236}">
              <a16:creationId xmlns="" xmlns:a16="http://schemas.microsoft.com/office/drawing/2014/main" id="{00000000-0008-0000-1800-00003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58" name="Line 100">
          <a:extLst>
            <a:ext uri="{FF2B5EF4-FFF2-40B4-BE49-F238E27FC236}">
              <a16:creationId xmlns="" xmlns:a16="http://schemas.microsoft.com/office/drawing/2014/main" id="{00000000-0008-0000-1800-00003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59" name="Line 101">
          <a:extLst>
            <a:ext uri="{FF2B5EF4-FFF2-40B4-BE49-F238E27FC236}">
              <a16:creationId xmlns="" xmlns:a16="http://schemas.microsoft.com/office/drawing/2014/main" id="{00000000-0008-0000-1800-00003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60" name="Line 102">
          <a:extLst>
            <a:ext uri="{FF2B5EF4-FFF2-40B4-BE49-F238E27FC236}">
              <a16:creationId xmlns="" xmlns:a16="http://schemas.microsoft.com/office/drawing/2014/main" id="{00000000-0008-0000-1800-00003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61" name="Line 103">
          <a:extLst>
            <a:ext uri="{FF2B5EF4-FFF2-40B4-BE49-F238E27FC236}">
              <a16:creationId xmlns="" xmlns:a16="http://schemas.microsoft.com/office/drawing/2014/main" id="{00000000-0008-0000-1800-00003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62" name="Line 100">
          <a:extLst>
            <a:ext uri="{FF2B5EF4-FFF2-40B4-BE49-F238E27FC236}">
              <a16:creationId xmlns="" xmlns:a16="http://schemas.microsoft.com/office/drawing/2014/main" id="{00000000-0008-0000-1800-00003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63" name="Line 101">
          <a:extLst>
            <a:ext uri="{FF2B5EF4-FFF2-40B4-BE49-F238E27FC236}">
              <a16:creationId xmlns="" xmlns:a16="http://schemas.microsoft.com/office/drawing/2014/main" id="{00000000-0008-0000-1800-00003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64" name="Line 102">
          <a:extLst>
            <a:ext uri="{FF2B5EF4-FFF2-40B4-BE49-F238E27FC236}">
              <a16:creationId xmlns="" xmlns:a16="http://schemas.microsoft.com/office/drawing/2014/main" id="{00000000-0008-0000-1800-00004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65" name="Line 103">
          <a:extLst>
            <a:ext uri="{FF2B5EF4-FFF2-40B4-BE49-F238E27FC236}">
              <a16:creationId xmlns="" xmlns:a16="http://schemas.microsoft.com/office/drawing/2014/main" id="{00000000-0008-0000-1800-00004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66" name="Line 100">
          <a:extLst>
            <a:ext uri="{FF2B5EF4-FFF2-40B4-BE49-F238E27FC236}">
              <a16:creationId xmlns="" xmlns:a16="http://schemas.microsoft.com/office/drawing/2014/main" id="{00000000-0008-0000-1800-00004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67" name="Line 101">
          <a:extLst>
            <a:ext uri="{FF2B5EF4-FFF2-40B4-BE49-F238E27FC236}">
              <a16:creationId xmlns="" xmlns:a16="http://schemas.microsoft.com/office/drawing/2014/main" id="{00000000-0008-0000-1800-00004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68" name="Line 102">
          <a:extLst>
            <a:ext uri="{FF2B5EF4-FFF2-40B4-BE49-F238E27FC236}">
              <a16:creationId xmlns="" xmlns:a16="http://schemas.microsoft.com/office/drawing/2014/main" id="{00000000-0008-0000-1800-00004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69" name="Line 103">
          <a:extLst>
            <a:ext uri="{FF2B5EF4-FFF2-40B4-BE49-F238E27FC236}">
              <a16:creationId xmlns="" xmlns:a16="http://schemas.microsoft.com/office/drawing/2014/main" id="{00000000-0008-0000-1800-00004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0" name="Line 100">
          <a:extLst>
            <a:ext uri="{FF2B5EF4-FFF2-40B4-BE49-F238E27FC236}">
              <a16:creationId xmlns="" xmlns:a16="http://schemas.microsoft.com/office/drawing/2014/main" id="{00000000-0008-0000-1800-00004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1" name="Line 101">
          <a:extLst>
            <a:ext uri="{FF2B5EF4-FFF2-40B4-BE49-F238E27FC236}">
              <a16:creationId xmlns="" xmlns:a16="http://schemas.microsoft.com/office/drawing/2014/main" id="{00000000-0008-0000-1800-00004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2" name="Line 102">
          <a:extLst>
            <a:ext uri="{FF2B5EF4-FFF2-40B4-BE49-F238E27FC236}">
              <a16:creationId xmlns="" xmlns:a16="http://schemas.microsoft.com/office/drawing/2014/main" id="{00000000-0008-0000-1800-00004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3" name="Line 103">
          <a:extLst>
            <a:ext uri="{FF2B5EF4-FFF2-40B4-BE49-F238E27FC236}">
              <a16:creationId xmlns="" xmlns:a16="http://schemas.microsoft.com/office/drawing/2014/main" id="{00000000-0008-0000-1800-00004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74" name="Line 100">
          <a:extLst>
            <a:ext uri="{FF2B5EF4-FFF2-40B4-BE49-F238E27FC236}">
              <a16:creationId xmlns="" xmlns:a16="http://schemas.microsoft.com/office/drawing/2014/main" id="{00000000-0008-0000-1800-00004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75" name="Line 101">
          <a:extLst>
            <a:ext uri="{FF2B5EF4-FFF2-40B4-BE49-F238E27FC236}">
              <a16:creationId xmlns="" xmlns:a16="http://schemas.microsoft.com/office/drawing/2014/main" id="{00000000-0008-0000-1800-00004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76" name="Line 102">
          <a:extLst>
            <a:ext uri="{FF2B5EF4-FFF2-40B4-BE49-F238E27FC236}">
              <a16:creationId xmlns="" xmlns:a16="http://schemas.microsoft.com/office/drawing/2014/main" id="{00000000-0008-0000-1800-00004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77" name="Line 103">
          <a:extLst>
            <a:ext uri="{FF2B5EF4-FFF2-40B4-BE49-F238E27FC236}">
              <a16:creationId xmlns="" xmlns:a16="http://schemas.microsoft.com/office/drawing/2014/main" id="{00000000-0008-0000-1800-00004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8" name="Line 100">
          <a:extLst>
            <a:ext uri="{FF2B5EF4-FFF2-40B4-BE49-F238E27FC236}">
              <a16:creationId xmlns="" xmlns:a16="http://schemas.microsoft.com/office/drawing/2014/main" id="{00000000-0008-0000-1800-00004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9" name="Line 101">
          <a:extLst>
            <a:ext uri="{FF2B5EF4-FFF2-40B4-BE49-F238E27FC236}">
              <a16:creationId xmlns="" xmlns:a16="http://schemas.microsoft.com/office/drawing/2014/main" id="{00000000-0008-0000-1800-00004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80" name="Line 102">
          <a:extLst>
            <a:ext uri="{FF2B5EF4-FFF2-40B4-BE49-F238E27FC236}">
              <a16:creationId xmlns="" xmlns:a16="http://schemas.microsoft.com/office/drawing/2014/main" id="{00000000-0008-0000-1800-00005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81" name="Line 103">
          <a:extLst>
            <a:ext uri="{FF2B5EF4-FFF2-40B4-BE49-F238E27FC236}">
              <a16:creationId xmlns="" xmlns:a16="http://schemas.microsoft.com/office/drawing/2014/main" id="{00000000-0008-0000-1800-00005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2" name="Line 100">
          <a:extLst>
            <a:ext uri="{FF2B5EF4-FFF2-40B4-BE49-F238E27FC236}">
              <a16:creationId xmlns="" xmlns:a16="http://schemas.microsoft.com/office/drawing/2014/main" id="{00000000-0008-0000-1800-00005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3" name="Line 101">
          <a:extLst>
            <a:ext uri="{FF2B5EF4-FFF2-40B4-BE49-F238E27FC236}">
              <a16:creationId xmlns="" xmlns:a16="http://schemas.microsoft.com/office/drawing/2014/main" id="{00000000-0008-0000-1800-00005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4" name="Line 102">
          <a:extLst>
            <a:ext uri="{FF2B5EF4-FFF2-40B4-BE49-F238E27FC236}">
              <a16:creationId xmlns="" xmlns:a16="http://schemas.microsoft.com/office/drawing/2014/main" id="{00000000-0008-0000-1800-00005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5" name="Line 103">
          <a:extLst>
            <a:ext uri="{FF2B5EF4-FFF2-40B4-BE49-F238E27FC236}">
              <a16:creationId xmlns="" xmlns:a16="http://schemas.microsoft.com/office/drawing/2014/main" id="{00000000-0008-0000-1800-00005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6" name="Line 100">
          <a:extLst>
            <a:ext uri="{FF2B5EF4-FFF2-40B4-BE49-F238E27FC236}">
              <a16:creationId xmlns="" xmlns:a16="http://schemas.microsoft.com/office/drawing/2014/main" id="{00000000-0008-0000-1800-00005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7" name="Line 101">
          <a:extLst>
            <a:ext uri="{FF2B5EF4-FFF2-40B4-BE49-F238E27FC236}">
              <a16:creationId xmlns="" xmlns:a16="http://schemas.microsoft.com/office/drawing/2014/main" id="{00000000-0008-0000-1800-00005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8" name="Line 102">
          <a:extLst>
            <a:ext uri="{FF2B5EF4-FFF2-40B4-BE49-F238E27FC236}">
              <a16:creationId xmlns="" xmlns:a16="http://schemas.microsoft.com/office/drawing/2014/main" id="{00000000-0008-0000-1800-00005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9" name="Line 103">
          <a:extLst>
            <a:ext uri="{FF2B5EF4-FFF2-40B4-BE49-F238E27FC236}">
              <a16:creationId xmlns="" xmlns:a16="http://schemas.microsoft.com/office/drawing/2014/main" id="{00000000-0008-0000-1800-00005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90" name="Line 100">
          <a:extLst>
            <a:ext uri="{FF2B5EF4-FFF2-40B4-BE49-F238E27FC236}">
              <a16:creationId xmlns="" xmlns:a16="http://schemas.microsoft.com/office/drawing/2014/main" id="{00000000-0008-0000-1800-00005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91" name="Line 101">
          <a:extLst>
            <a:ext uri="{FF2B5EF4-FFF2-40B4-BE49-F238E27FC236}">
              <a16:creationId xmlns="" xmlns:a16="http://schemas.microsoft.com/office/drawing/2014/main" id="{00000000-0008-0000-1800-00005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92" name="Line 102">
          <a:extLst>
            <a:ext uri="{FF2B5EF4-FFF2-40B4-BE49-F238E27FC236}">
              <a16:creationId xmlns="" xmlns:a16="http://schemas.microsoft.com/office/drawing/2014/main" id="{00000000-0008-0000-1800-00005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93" name="Line 103">
          <a:extLst>
            <a:ext uri="{FF2B5EF4-FFF2-40B4-BE49-F238E27FC236}">
              <a16:creationId xmlns="" xmlns:a16="http://schemas.microsoft.com/office/drawing/2014/main" id="{00000000-0008-0000-1800-00005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94" name="Line 100">
          <a:extLst>
            <a:ext uri="{FF2B5EF4-FFF2-40B4-BE49-F238E27FC236}">
              <a16:creationId xmlns="" xmlns:a16="http://schemas.microsoft.com/office/drawing/2014/main" id="{00000000-0008-0000-1800-00005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95" name="Line 101">
          <a:extLst>
            <a:ext uri="{FF2B5EF4-FFF2-40B4-BE49-F238E27FC236}">
              <a16:creationId xmlns="" xmlns:a16="http://schemas.microsoft.com/office/drawing/2014/main" id="{00000000-0008-0000-1800-00005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96" name="Line 102">
          <a:extLst>
            <a:ext uri="{FF2B5EF4-FFF2-40B4-BE49-F238E27FC236}">
              <a16:creationId xmlns="" xmlns:a16="http://schemas.microsoft.com/office/drawing/2014/main" id="{00000000-0008-0000-1800-00006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97" name="Line 103">
          <a:extLst>
            <a:ext uri="{FF2B5EF4-FFF2-40B4-BE49-F238E27FC236}">
              <a16:creationId xmlns="" xmlns:a16="http://schemas.microsoft.com/office/drawing/2014/main" id="{00000000-0008-0000-1800-00006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98" name="Line 100">
          <a:extLst>
            <a:ext uri="{FF2B5EF4-FFF2-40B4-BE49-F238E27FC236}">
              <a16:creationId xmlns="" xmlns:a16="http://schemas.microsoft.com/office/drawing/2014/main" id="{00000000-0008-0000-1800-00006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99" name="Line 101">
          <a:extLst>
            <a:ext uri="{FF2B5EF4-FFF2-40B4-BE49-F238E27FC236}">
              <a16:creationId xmlns="" xmlns:a16="http://schemas.microsoft.com/office/drawing/2014/main" id="{00000000-0008-0000-1800-00006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0" name="Line 102">
          <a:extLst>
            <a:ext uri="{FF2B5EF4-FFF2-40B4-BE49-F238E27FC236}">
              <a16:creationId xmlns="" xmlns:a16="http://schemas.microsoft.com/office/drawing/2014/main" id="{00000000-0008-0000-1800-00006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1" name="Line 103">
          <a:extLst>
            <a:ext uri="{FF2B5EF4-FFF2-40B4-BE49-F238E27FC236}">
              <a16:creationId xmlns="" xmlns:a16="http://schemas.microsoft.com/office/drawing/2014/main" id="{00000000-0008-0000-1800-00006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2" name="Line 100">
          <a:extLst>
            <a:ext uri="{FF2B5EF4-FFF2-40B4-BE49-F238E27FC236}">
              <a16:creationId xmlns="" xmlns:a16="http://schemas.microsoft.com/office/drawing/2014/main" id="{00000000-0008-0000-1800-00006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3" name="Line 101">
          <a:extLst>
            <a:ext uri="{FF2B5EF4-FFF2-40B4-BE49-F238E27FC236}">
              <a16:creationId xmlns="" xmlns:a16="http://schemas.microsoft.com/office/drawing/2014/main" id="{00000000-0008-0000-1800-00006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4" name="Line 102">
          <a:extLst>
            <a:ext uri="{FF2B5EF4-FFF2-40B4-BE49-F238E27FC236}">
              <a16:creationId xmlns="" xmlns:a16="http://schemas.microsoft.com/office/drawing/2014/main" id="{00000000-0008-0000-1800-00006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5" name="Line 103">
          <a:extLst>
            <a:ext uri="{FF2B5EF4-FFF2-40B4-BE49-F238E27FC236}">
              <a16:creationId xmlns="" xmlns:a16="http://schemas.microsoft.com/office/drawing/2014/main" id="{00000000-0008-0000-1800-00006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06" name="Line 100">
          <a:extLst>
            <a:ext uri="{FF2B5EF4-FFF2-40B4-BE49-F238E27FC236}">
              <a16:creationId xmlns="" xmlns:a16="http://schemas.microsoft.com/office/drawing/2014/main" id="{00000000-0008-0000-1800-00006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07" name="Line 101">
          <a:extLst>
            <a:ext uri="{FF2B5EF4-FFF2-40B4-BE49-F238E27FC236}">
              <a16:creationId xmlns="" xmlns:a16="http://schemas.microsoft.com/office/drawing/2014/main" id="{00000000-0008-0000-1800-00006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08" name="Line 102">
          <a:extLst>
            <a:ext uri="{FF2B5EF4-FFF2-40B4-BE49-F238E27FC236}">
              <a16:creationId xmlns="" xmlns:a16="http://schemas.microsoft.com/office/drawing/2014/main" id="{00000000-0008-0000-1800-00006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09" name="Line 103">
          <a:extLst>
            <a:ext uri="{FF2B5EF4-FFF2-40B4-BE49-F238E27FC236}">
              <a16:creationId xmlns="" xmlns:a16="http://schemas.microsoft.com/office/drawing/2014/main" id="{00000000-0008-0000-1800-00006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10" name="Line 100">
          <a:extLst>
            <a:ext uri="{FF2B5EF4-FFF2-40B4-BE49-F238E27FC236}">
              <a16:creationId xmlns="" xmlns:a16="http://schemas.microsoft.com/office/drawing/2014/main" id="{00000000-0008-0000-1800-00006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11" name="Line 101">
          <a:extLst>
            <a:ext uri="{FF2B5EF4-FFF2-40B4-BE49-F238E27FC236}">
              <a16:creationId xmlns="" xmlns:a16="http://schemas.microsoft.com/office/drawing/2014/main" id="{00000000-0008-0000-1800-00006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12" name="Line 102">
          <a:extLst>
            <a:ext uri="{FF2B5EF4-FFF2-40B4-BE49-F238E27FC236}">
              <a16:creationId xmlns="" xmlns:a16="http://schemas.microsoft.com/office/drawing/2014/main" id="{00000000-0008-0000-1800-00007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13" name="Line 103">
          <a:extLst>
            <a:ext uri="{FF2B5EF4-FFF2-40B4-BE49-F238E27FC236}">
              <a16:creationId xmlns="" xmlns:a16="http://schemas.microsoft.com/office/drawing/2014/main" id="{00000000-0008-0000-1800-00007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4" name="Line 100">
          <a:extLst>
            <a:ext uri="{FF2B5EF4-FFF2-40B4-BE49-F238E27FC236}">
              <a16:creationId xmlns="" xmlns:a16="http://schemas.microsoft.com/office/drawing/2014/main" id="{00000000-0008-0000-1800-00007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5" name="Line 101">
          <a:extLst>
            <a:ext uri="{FF2B5EF4-FFF2-40B4-BE49-F238E27FC236}">
              <a16:creationId xmlns="" xmlns:a16="http://schemas.microsoft.com/office/drawing/2014/main" id="{00000000-0008-0000-1800-00007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6" name="Line 102">
          <a:extLst>
            <a:ext uri="{FF2B5EF4-FFF2-40B4-BE49-F238E27FC236}">
              <a16:creationId xmlns="" xmlns:a16="http://schemas.microsoft.com/office/drawing/2014/main" id="{00000000-0008-0000-1800-00007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7" name="Line 103">
          <a:extLst>
            <a:ext uri="{FF2B5EF4-FFF2-40B4-BE49-F238E27FC236}">
              <a16:creationId xmlns="" xmlns:a16="http://schemas.microsoft.com/office/drawing/2014/main" id="{00000000-0008-0000-1800-00007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8" name="Line 100">
          <a:extLst>
            <a:ext uri="{FF2B5EF4-FFF2-40B4-BE49-F238E27FC236}">
              <a16:creationId xmlns="" xmlns:a16="http://schemas.microsoft.com/office/drawing/2014/main" id="{00000000-0008-0000-1800-00007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9" name="Line 101">
          <a:extLst>
            <a:ext uri="{FF2B5EF4-FFF2-40B4-BE49-F238E27FC236}">
              <a16:creationId xmlns="" xmlns:a16="http://schemas.microsoft.com/office/drawing/2014/main" id="{00000000-0008-0000-1800-00007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20" name="Line 102">
          <a:extLst>
            <a:ext uri="{FF2B5EF4-FFF2-40B4-BE49-F238E27FC236}">
              <a16:creationId xmlns="" xmlns:a16="http://schemas.microsoft.com/office/drawing/2014/main" id="{00000000-0008-0000-1800-00007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21" name="Line 103">
          <a:extLst>
            <a:ext uri="{FF2B5EF4-FFF2-40B4-BE49-F238E27FC236}">
              <a16:creationId xmlns="" xmlns:a16="http://schemas.microsoft.com/office/drawing/2014/main" id="{00000000-0008-0000-1800-00007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22" name="Line 100">
          <a:extLst>
            <a:ext uri="{FF2B5EF4-FFF2-40B4-BE49-F238E27FC236}">
              <a16:creationId xmlns="" xmlns:a16="http://schemas.microsoft.com/office/drawing/2014/main" id="{00000000-0008-0000-1800-00007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23" name="Line 101">
          <a:extLst>
            <a:ext uri="{FF2B5EF4-FFF2-40B4-BE49-F238E27FC236}">
              <a16:creationId xmlns="" xmlns:a16="http://schemas.microsoft.com/office/drawing/2014/main" id="{00000000-0008-0000-1800-00007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24" name="Line 102">
          <a:extLst>
            <a:ext uri="{FF2B5EF4-FFF2-40B4-BE49-F238E27FC236}">
              <a16:creationId xmlns="" xmlns:a16="http://schemas.microsoft.com/office/drawing/2014/main" id="{00000000-0008-0000-1800-00007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25" name="Line 103">
          <a:extLst>
            <a:ext uri="{FF2B5EF4-FFF2-40B4-BE49-F238E27FC236}">
              <a16:creationId xmlns="" xmlns:a16="http://schemas.microsoft.com/office/drawing/2014/main" id="{00000000-0008-0000-1800-00007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26" name="Line 100">
          <a:extLst>
            <a:ext uri="{FF2B5EF4-FFF2-40B4-BE49-F238E27FC236}">
              <a16:creationId xmlns="" xmlns:a16="http://schemas.microsoft.com/office/drawing/2014/main" id="{00000000-0008-0000-1800-00007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27" name="Line 101">
          <a:extLst>
            <a:ext uri="{FF2B5EF4-FFF2-40B4-BE49-F238E27FC236}">
              <a16:creationId xmlns="" xmlns:a16="http://schemas.microsoft.com/office/drawing/2014/main" id="{00000000-0008-0000-1800-00007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28" name="Line 102">
          <a:extLst>
            <a:ext uri="{FF2B5EF4-FFF2-40B4-BE49-F238E27FC236}">
              <a16:creationId xmlns="" xmlns:a16="http://schemas.microsoft.com/office/drawing/2014/main" id="{00000000-0008-0000-1800-00008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29" name="Line 103">
          <a:extLst>
            <a:ext uri="{FF2B5EF4-FFF2-40B4-BE49-F238E27FC236}">
              <a16:creationId xmlns="" xmlns:a16="http://schemas.microsoft.com/office/drawing/2014/main" id="{00000000-0008-0000-1800-00008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0" name="Line 100">
          <a:extLst>
            <a:ext uri="{FF2B5EF4-FFF2-40B4-BE49-F238E27FC236}">
              <a16:creationId xmlns="" xmlns:a16="http://schemas.microsoft.com/office/drawing/2014/main" id="{00000000-0008-0000-1800-00008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1" name="Line 101">
          <a:extLst>
            <a:ext uri="{FF2B5EF4-FFF2-40B4-BE49-F238E27FC236}">
              <a16:creationId xmlns="" xmlns:a16="http://schemas.microsoft.com/office/drawing/2014/main" id="{00000000-0008-0000-1800-00008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2" name="Line 102">
          <a:extLst>
            <a:ext uri="{FF2B5EF4-FFF2-40B4-BE49-F238E27FC236}">
              <a16:creationId xmlns="" xmlns:a16="http://schemas.microsoft.com/office/drawing/2014/main" id="{00000000-0008-0000-1800-00008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3" name="Line 103">
          <a:extLst>
            <a:ext uri="{FF2B5EF4-FFF2-40B4-BE49-F238E27FC236}">
              <a16:creationId xmlns="" xmlns:a16="http://schemas.microsoft.com/office/drawing/2014/main" id="{00000000-0008-0000-1800-00008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4" name="Line 100">
          <a:extLst>
            <a:ext uri="{FF2B5EF4-FFF2-40B4-BE49-F238E27FC236}">
              <a16:creationId xmlns="" xmlns:a16="http://schemas.microsoft.com/office/drawing/2014/main" id="{00000000-0008-0000-1800-00008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5" name="Line 101">
          <a:extLst>
            <a:ext uri="{FF2B5EF4-FFF2-40B4-BE49-F238E27FC236}">
              <a16:creationId xmlns="" xmlns:a16="http://schemas.microsoft.com/office/drawing/2014/main" id="{00000000-0008-0000-1800-00008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6" name="Line 102">
          <a:extLst>
            <a:ext uri="{FF2B5EF4-FFF2-40B4-BE49-F238E27FC236}">
              <a16:creationId xmlns="" xmlns:a16="http://schemas.microsoft.com/office/drawing/2014/main" id="{00000000-0008-0000-1800-00008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7" name="Line 103">
          <a:extLst>
            <a:ext uri="{FF2B5EF4-FFF2-40B4-BE49-F238E27FC236}">
              <a16:creationId xmlns="" xmlns:a16="http://schemas.microsoft.com/office/drawing/2014/main" id="{00000000-0008-0000-1800-00008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38" name="Line 100">
          <a:extLst>
            <a:ext uri="{FF2B5EF4-FFF2-40B4-BE49-F238E27FC236}">
              <a16:creationId xmlns="" xmlns:a16="http://schemas.microsoft.com/office/drawing/2014/main" id="{00000000-0008-0000-1800-00008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39" name="Line 101">
          <a:extLst>
            <a:ext uri="{FF2B5EF4-FFF2-40B4-BE49-F238E27FC236}">
              <a16:creationId xmlns="" xmlns:a16="http://schemas.microsoft.com/office/drawing/2014/main" id="{00000000-0008-0000-1800-00008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0" name="Line 102">
          <a:extLst>
            <a:ext uri="{FF2B5EF4-FFF2-40B4-BE49-F238E27FC236}">
              <a16:creationId xmlns="" xmlns:a16="http://schemas.microsoft.com/office/drawing/2014/main" id="{00000000-0008-0000-1800-00008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1" name="Line 103">
          <a:extLst>
            <a:ext uri="{FF2B5EF4-FFF2-40B4-BE49-F238E27FC236}">
              <a16:creationId xmlns="" xmlns:a16="http://schemas.microsoft.com/office/drawing/2014/main" id="{00000000-0008-0000-1800-00008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42" name="Line 100">
          <a:extLst>
            <a:ext uri="{FF2B5EF4-FFF2-40B4-BE49-F238E27FC236}">
              <a16:creationId xmlns="" xmlns:a16="http://schemas.microsoft.com/office/drawing/2014/main" id="{00000000-0008-0000-1800-00008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43" name="Line 101">
          <a:extLst>
            <a:ext uri="{FF2B5EF4-FFF2-40B4-BE49-F238E27FC236}">
              <a16:creationId xmlns="" xmlns:a16="http://schemas.microsoft.com/office/drawing/2014/main" id="{00000000-0008-0000-1800-00008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44" name="Line 102">
          <a:extLst>
            <a:ext uri="{FF2B5EF4-FFF2-40B4-BE49-F238E27FC236}">
              <a16:creationId xmlns="" xmlns:a16="http://schemas.microsoft.com/office/drawing/2014/main" id="{00000000-0008-0000-1800-00009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45" name="Line 103">
          <a:extLst>
            <a:ext uri="{FF2B5EF4-FFF2-40B4-BE49-F238E27FC236}">
              <a16:creationId xmlns="" xmlns:a16="http://schemas.microsoft.com/office/drawing/2014/main" id="{00000000-0008-0000-1800-00009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6" name="Line 100">
          <a:extLst>
            <a:ext uri="{FF2B5EF4-FFF2-40B4-BE49-F238E27FC236}">
              <a16:creationId xmlns="" xmlns:a16="http://schemas.microsoft.com/office/drawing/2014/main" id="{00000000-0008-0000-1800-00009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7" name="Line 101">
          <a:extLst>
            <a:ext uri="{FF2B5EF4-FFF2-40B4-BE49-F238E27FC236}">
              <a16:creationId xmlns="" xmlns:a16="http://schemas.microsoft.com/office/drawing/2014/main" id="{00000000-0008-0000-1800-00009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8" name="Line 102">
          <a:extLst>
            <a:ext uri="{FF2B5EF4-FFF2-40B4-BE49-F238E27FC236}">
              <a16:creationId xmlns="" xmlns:a16="http://schemas.microsoft.com/office/drawing/2014/main" id="{00000000-0008-0000-1800-00009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9" name="Line 103">
          <a:extLst>
            <a:ext uri="{FF2B5EF4-FFF2-40B4-BE49-F238E27FC236}">
              <a16:creationId xmlns="" xmlns:a16="http://schemas.microsoft.com/office/drawing/2014/main" id="{00000000-0008-0000-1800-00009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50" name="Line 100">
          <a:extLst>
            <a:ext uri="{FF2B5EF4-FFF2-40B4-BE49-F238E27FC236}">
              <a16:creationId xmlns="" xmlns:a16="http://schemas.microsoft.com/office/drawing/2014/main" id="{00000000-0008-0000-1800-00009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51" name="Line 101">
          <a:extLst>
            <a:ext uri="{FF2B5EF4-FFF2-40B4-BE49-F238E27FC236}">
              <a16:creationId xmlns="" xmlns:a16="http://schemas.microsoft.com/office/drawing/2014/main" id="{00000000-0008-0000-1800-00009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52" name="Line 102">
          <a:extLst>
            <a:ext uri="{FF2B5EF4-FFF2-40B4-BE49-F238E27FC236}">
              <a16:creationId xmlns="" xmlns:a16="http://schemas.microsoft.com/office/drawing/2014/main" id="{00000000-0008-0000-1800-00009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53" name="Line 103">
          <a:extLst>
            <a:ext uri="{FF2B5EF4-FFF2-40B4-BE49-F238E27FC236}">
              <a16:creationId xmlns="" xmlns:a16="http://schemas.microsoft.com/office/drawing/2014/main" id="{00000000-0008-0000-1800-00009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54" name="Line 100">
          <a:extLst>
            <a:ext uri="{FF2B5EF4-FFF2-40B4-BE49-F238E27FC236}">
              <a16:creationId xmlns="" xmlns:a16="http://schemas.microsoft.com/office/drawing/2014/main" id="{00000000-0008-0000-1800-00009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55" name="Line 101">
          <a:extLst>
            <a:ext uri="{FF2B5EF4-FFF2-40B4-BE49-F238E27FC236}">
              <a16:creationId xmlns="" xmlns:a16="http://schemas.microsoft.com/office/drawing/2014/main" id="{00000000-0008-0000-1800-00009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56" name="Line 102">
          <a:extLst>
            <a:ext uri="{FF2B5EF4-FFF2-40B4-BE49-F238E27FC236}">
              <a16:creationId xmlns="" xmlns:a16="http://schemas.microsoft.com/office/drawing/2014/main" id="{00000000-0008-0000-1800-00009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57" name="Line 103">
          <a:extLst>
            <a:ext uri="{FF2B5EF4-FFF2-40B4-BE49-F238E27FC236}">
              <a16:creationId xmlns="" xmlns:a16="http://schemas.microsoft.com/office/drawing/2014/main" id="{00000000-0008-0000-1800-00009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58" name="Line 100">
          <a:extLst>
            <a:ext uri="{FF2B5EF4-FFF2-40B4-BE49-F238E27FC236}">
              <a16:creationId xmlns="" xmlns:a16="http://schemas.microsoft.com/office/drawing/2014/main" id="{00000000-0008-0000-1800-00009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59" name="Line 101">
          <a:extLst>
            <a:ext uri="{FF2B5EF4-FFF2-40B4-BE49-F238E27FC236}">
              <a16:creationId xmlns="" xmlns:a16="http://schemas.microsoft.com/office/drawing/2014/main" id="{00000000-0008-0000-1800-00009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60" name="Line 102">
          <a:extLst>
            <a:ext uri="{FF2B5EF4-FFF2-40B4-BE49-F238E27FC236}">
              <a16:creationId xmlns="" xmlns:a16="http://schemas.microsoft.com/office/drawing/2014/main" id="{00000000-0008-0000-1800-0000A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61" name="Line 103">
          <a:extLst>
            <a:ext uri="{FF2B5EF4-FFF2-40B4-BE49-F238E27FC236}">
              <a16:creationId xmlns="" xmlns:a16="http://schemas.microsoft.com/office/drawing/2014/main" id="{00000000-0008-0000-1800-0000A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2" name="Line 100">
          <a:extLst>
            <a:ext uri="{FF2B5EF4-FFF2-40B4-BE49-F238E27FC236}">
              <a16:creationId xmlns="" xmlns:a16="http://schemas.microsoft.com/office/drawing/2014/main" id="{00000000-0008-0000-1800-0000A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3" name="Line 101">
          <a:extLst>
            <a:ext uri="{FF2B5EF4-FFF2-40B4-BE49-F238E27FC236}">
              <a16:creationId xmlns="" xmlns:a16="http://schemas.microsoft.com/office/drawing/2014/main" id="{00000000-0008-0000-1800-0000A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4" name="Line 102">
          <a:extLst>
            <a:ext uri="{FF2B5EF4-FFF2-40B4-BE49-F238E27FC236}">
              <a16:creationId xmlns="" xmlns:a16="http://schemas.microsoft.com/office/drawing/2014/main" id="{00000000-0008-0000-1800-0000A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5" name="Line 103">
          <a:extLst>
            <a:ext uri="{FF2B5EF4-FFF2-40B4-BE49-F238E27FC236}">
              <a16:creationId xmlns="" xmlns:a16="http://schemas.microsoft.com/office/drawing/2014/main" id="{00000000-0008-0000-1800-0000A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6" name="Line 100">
          <a:extLst>
            <a:ext uri="{FF2B5EF4-FFF2-40B4-BE49-F238E27FC236}">
              <a16:creationId xmlns="" xmlns:a16="http://schemas.microsoft.com/office/drawing/2014/main" id="{00000000-0008-0000-1800-0000A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7" name="Line 101">
          <a:extLst>
            <a:ext uri="{FF2B5EF4-FFF2-40B4-BE49-F238E27FC236}">
              <a16:creationId xmlns="" xmlns:a16="http://schemas.microsoft.com/office/drawing/2014/main" id="{00000000-0008-0000-1800-0000A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8" name="Line 102">
          <a:extLst>
            <a:ext uri="{FF2B5EF4-FFF2-40B4-BE49-F238E27FC236}">
              <a16:creationId xmlns="" xmlns:a16="http://schemas.microsoft.com/office/drawing/2014/main" id="{00000000-0008-0000-1800-0000A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9" name="Line 103">
          <a:extLst>
            <a:ext uri="{FF2B5EF4-FFF2-40B4-BE49-F238E27FC236}">
              <a16:creationId xmlns="" xmlns:a16="http://schemas.microsoft.com/office/drawing/2014/main" id="{00000000-0008-0000-1800-0000A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0" name="Line 100">
          <a:extLst>
            <a:ext uri="{FF2B5EF4-FFF2-40B4-BE49-F238E27FC236}">
              <a16:creationId xmlns="" xmlns:a16="http://schemas.microsoft.com/office/drawing/2014/main" id="{00000000-0008-0000-1800-0000A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1" name="Line 101">
          <a:extLst>
            <a:ext uri="{FF2B5EF4-FFF2-40B4-BE49-F238E27FC236}">
              <a16:creationId xmlns="" xmlns:a16="http://schemas.microsoft.com/office/drawing/2014/main" id="{00000000-0008-0000-1800-0000A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2" name="Line 102">
          <a:extLst>
            <a:ext uri="{FF2B5EF4-FFF2-40B4-BE49-F238E27FC236}">
              <a16:creationId xmlns="" xmlns:a16="http://schemas.microsoft.com/office/drawing/2014/main" id="{00000000-0008-0000-1800-0000A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3" name="Line 103">
          <a:extLst>
            <a:ext uri="{FF2B5EF4-FFF2-40B4-BE49-F238E27FC236}">
              <a16:creationId xmlns="" xmlns:a16="http://schemas.microsoft.com/office/drawing/2014/main" id="{00000000-0008-0000-1800-0000A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74" name="Line 100">
          <a:extLst>
            <a:ext uri="{FF2B5EF4-FFF2-40B4-BE49-F238E27FC236}">
              <a16:creationId xmlns="" xmlns:a16="http://schemas.microsoft.com/office/drawing/2014/main" id="{00000000-0008-0000-1800-0000A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75" name="Line 101">
          <a:extLst>
            <a:ext uri="{FF2B5EF4-FFF2-40B4-BE49-F238E27FC236}">
              <a16:creationId xmlns="" xmlns:a16="http://schemas.microsoft.com/office/drawing/2014/main" id="{00000000-0008-0000-1800-0000A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76" name="Line 102">
          <a:extLst>
            <a:ext uri="{FF2B5EF4-FFF2-40B4-BE49-F238E27FC236}">
              <a16:creationId xmlns="" xmlns:a16="http://schemas.microsoft.com/office/drawing/2014/main" id="{00000000-0008-0000-1800-0000B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77" name="Line 103">
          <a:extLst>
            <a:ext uri="{FF2B5EF4-FFF2-40B4-BE49-F238E27FC236}">
              <a16:creationId xmlns="" xmlns:a16="http://schemas.microsoft.com/office/drawing/2014/main" id="{00000000-0008-0000-1800-0000B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8" name="Line 100">
          <a:extLst>
            <a:ext uri="{FF2B5EF4-FFF2-40B4-BE49-F238E27FC236}">
              <a16:creationId xmlns="" xmlns:a16="http://schemas.microsoft.com/office/drawing/2014/main" id="{00000000-0008-0000-1800-0000B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9" name="Line 101">
          <a:extLst>
            <a:ext uri="{FF2B5EF4-FFF2-40B4-BE49-F238E27FC236}">
              <a16:creationId xmlns="" xmlns:a16="http://schemas.microsoft.com/office/drawing/2014/main" id="{00000000-0008-0000-1800-0000B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0" name="Line 102">
          <a:extLst>
            <a:ext uri="{FF2B5EF4-FFF2-40B4-BE49-F238E27FC236}">
              <a16:creationId xmlns="" xmlns:a16="http://schemas.microsoft.com/office/drawing/2014/main" id="{00000000-0008-0000-1800-0000B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1" name="Line 103">
          <a:extLst>
            <a:ext uri="{FF2B5EF4-FFF2-40B4-BE49-F238E27FC236}">
              <a16:creationId xmlns="" xmlns:a16="http://schemas.microsoft.com/office/drawing/2014/main" id="{00000000-0008-0000-1800-0000B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2" name="Line 100">
          <a:extLst>
            <a:ext uri="{FF2B5EF4-FFF2-40B4-BE49-F238E27FC236}">
              <a16:creationId xmlns="" xmlns:a16="http://schemas.microsoft.com/office/drawing/2014/main" id="{00000000-0008-0000-1800-0000B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3" name="Line 101">
          <a:extLst>
            <a:ext uri="{FF2B5EF4-FFF2-40B4-BE49-F238E27FC236}">
              <a16:creationId xmlns="" xmlns:a16="http://schemas.microsoft.com/office/drawing/2014/main" id="{00000000-0008-0000-1800-0000B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4" name="Line 102">
          <a:extLst>
            <a:ext uri="{FF2B5EF4-FFF2-40B4-BE49-F238E27FC236}">
              <a16:creationId xmlns="" xmlns:a16="http://schemas.microsoft.com/office/drawing/2014/main" id="{00000000-0008-0000-1800-0000B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5" name="Line 103">
          <a:extLst>
            <a:ext uri="{FF2B5EF4-FFF2-40B4-BE49-F238E27FC236}">
              <a16:creationId xmlns="" xmlns:a16="http://schemas.microsoft.com/office/drawing/2014/main" id="{00000000-0008-0000-1800-0000B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86" name="Line 100">
          <a:extLst>
            <a:ext uri="{FF2B5EF4-FFF2-40B4-BE49-F238E27FC236}">
              <a16:creationId xmlns="" xmlns:a16="http://schemas.microsoft.com/office/drawing/2014/main" id="{00000000-0008-0000-1800-0000B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87" name="Line 101">
          <a:extLst>
            <a:ext uri="{FF2B5EF4-FFF2-40B4-BE49-F238E27FC236}">
              <a16:creationId xmlns="" xmlns:a16="http://schemas.microsoft.com/office/drawing/2014/main" id="{00000000-0008-0000-1800-0000B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88" name="Line 102">
          <a:extLst>
            <a:ext uri="{FF2B5EF4-FFF2-40B4-BE49-F238E27FC236}">
              <a16:creationId xmlns="" xmlns:a16="http://schemas.microsoft.com/office/drawing/2014/main" id="{00000000-0008-0000-1800-0000B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89" name="Line 103">
          <a:extLst>
            <a:ext uri="{FF2B5EF4-FFF2-40B4-BE49-F238E27FC236}">
              <a16:creationId xmlns="" xmlns:a16="http://schemas.microsoft.com/office/drawing/2014/main" id="{00000000-0008-0000-1800-0000B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90" name="Line 100">
          <a:extLst>
            <a:ext uri="{FF2B5EF4-FFF2-40B4-BE49-F238E27FC236}">
              <a16:creationId xmlns="" xmlns:a16="http://schemas.microsoft.com/office/drawing/2014/main" id="{00000000-0008-0000-1800-0000B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91" name="Line 101">
          <a:extLst>
            <a:ext uri="{FF2B5EF4-FFF2-40B4-BE49-F238E27FC236}">
              <a16:creationId xmlns="" xmlns:a16="http://schemas.microsoft.com/office/drawing/2014/main" id="{00000000-0008-0000-1800-0000B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92" name="Line 102">
          <a:extLst>
            <a:ext uri="{FF2B5EF4-FFF2-40B4-BE49-F238E27FC236}">
              <a16:creationId xmlns="" xmlns:a16="http://schemas.microsoft.com/office/drawing/2014/main" id="{00000000-0008-0000-1800-0000C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93" name="Line 103">
          <a:extLst>
            <a:ext uri="{FF2B5EF4-FFF2-40B4-BE49-F238E27FC236}">
              <a16:creationId xmlns="" xmlns:a16="http://schemas.microsoft.com/office/drawing/2014/main" id="{00000000-0008-0000-1800-0000C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4" name="Line 100">
          <a:extLst>
            <a:ext uri="{FF2B5EF4-FFF2-40B4-BE49-F238E27FC236}">
              <a16:creationId xmlns="" xmlns:a16="http://schemas.microsoft.com/office/drawing/2014/main" id="{00000000-0008-0000-1800-0000C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5" name="Line 101">
          <a:extLst>
            <a:ext uri="{FF2B5EF4-FFF2-40B4-BE49-F238E27FC236}">
              <a16:creationId xmlns="" xmlns:a16="http://schemas.microsoft.com/office/drawing/2014/main" id="{00000000-0008-0000-1800-0000C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6" name="Line 102">
          <a:extLst>
            <a:ext uri="{FF2B5EF4-FFF2-40B4-BE49-F238E27FC236}">
              <a16:creationId xmlns="" xmlns:a16="http://schemas.microsoft.com/office/drawing/2014/main" id="{00000000-0008-0000-1800-0000C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7" name="Line 103">
          <a:extLst>
            <a:ext uri="{FF2B5EF4-FFF2-40B4-BE49-F238E27FC236}">
              <a16:creationId xmlns="" xmlns:a16="http://schemas.microsoft.com/office/drawing/2014/main" id="{00000000-0008-0000-1800-0000C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8" name="Line 100">
          <a:extLst>
            <a:ext uri="{FF2B5EF4-FFF2-40B4-BE49-F238E27FC236}">
              <a16:creationId xmlns="" xmlns:a16="http://schemas.microsoft.com/office/drawing/2014/main" id="{00000000-0008-0000-1800-0000C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9" name="Line 101">
          <a:extLst>
            <a:ext uri="{FF2B5EF4-FFF2-40B4-BE49-F238E27FC236}">
              <a16:creationId xmlns="" xmlns:a16="http://schemas.microsoft.com/office/drawing/2014/main" id="{00000000-0008-0000-1800-0000C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0" name="Line 102">
          <a:extLst>
            <a:ext uri="{FF2B5EF4-FFF2-40B4-BE49-F238E27FC236}">
              <a16:creationId xmlns="" xmlns:a16="http://schemas.microsoft.com/office/drawing/2014/main" id="{00000000-0008-0000-1800-0000C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1" name="Line 103">
          <a:extLst>
            <a:ext uri="{FF2B5EF4-FFF2-40B4-BE49-F238E27FC236}">
              <a16:creationId xmlns="" xmlns:a16="http://schemas.microsoft.com/office/drawing/2014/main" id="{00000000-0008-0000-1800-0000C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02" name="Line 100">
          <a:extLst>
            <a:ext uri="{FF2B5EF4-FFF2-40B4-BE49-F238E27FC236}">
              <a16:creationId xmlns="" xmlns:a16="http://schemas.microsoft.com/office/drawing/2014/main" id="{00000000-0008-0000-1800-0000C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03" name="Line 101">
          <a:extLst>
            <a:ext uri="{FF2B5EF4-FFF2-40B4-BE49-F238E27FC236}">
              <a16:creationId xmlns="" xmlns:a16="http://schemas.microsoft.com/office/drawing/2014/main" id="{00000000-0008-0000-1800-0000C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04" name="Line 102">
          <a:extLst>
            <a:ext uri="{FF2B5EF4-FFF2-40B4-BE49-F238E27FC236}">
              <a16:creationId xmlns="" xmlns:a16="http://schemas.microsoft.com/office/drawing/2014/main" id="{00000000-0008-0000-1800-0000C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05" name="Line 103">
          <a:extLst>
            <a:ext uri="{FF2B5EF4-FFF2-40B4-BE49-F238E27FC236}">
              <a16:creationId xmlns="" xmlns:a16="http://schemas.microsoft.com/office/drawing/2014/main" id="{00000000-0008-0000-1800-0000C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6" name="Line 100">
          <a:extLst>
            <a:ext uri="{FF2B5EF4-FFF2-40B4-BE49-F238E27FC236}">
              <a16:creationId xmlns="" xmlns:a16="http://schemas.microsoft.com/office/drawing/2014/main" id="{00000000-0008-0000-1800-0000C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7" name="Line 101">
          <a:extLst>
            <a:ext uri="{FF2B5EF4-FFF2-40B4-BE49-F238E27FC236}">
              <a16:creationId xmlns="" xmlns:a16="http://schemas.microsoft.com/office/drawing/2014/main" id="{00000000-0008-0000-1800-0000C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8" name="Line 102">
          <a:extLst>
            <a:ext uri="{FF2B5EF4-FFF2-40B4-BE49-F238E27FC236}">
              <a16:creationId xmlns="" xmlns:a16="http://schemas.microsoft.com/office/drawing/2014/main" id="{00000000-0008-0000-1800-0000D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9" name="Line 103">
          <a:extLst>
            <a:ext uri="{FF2B5EF4-FFF2-40B4-BE49-F238E27FC236}">
              <a16:creationId xmlns="" xmlns:a16="http://schemas.microsoft.com/office/drawing/2014/main" id="{00000000-0008-0000-1800-0000D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0" name="Line 100">
          <a:extLst>
            <a:ext uri="{FF2B5EF4-FFF2-40B4-BE49-F238E27FC236}">
              <a16:creationId xmlns="" xmlns:a16="http://schemas.microsoft.com/office/drawing/2014/main" id="{00000000-0008-0000-1800-0000D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1" name="Line 101">
          <a:extLst>
            <a:ext uri="{FF2B5EF4-FFF2-40B4-BE49-F238E27FC236}">
              <a16:creationId xmlns="" xmlns:a16="http://schemas.microsoft.com/office/drawing/2014/main" id="{00000000-0008-0000-1800-0000D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2" name="Line 102">
          <a:extLst>
            <a:ext uri="{FF2B5EF4-FFF2-40B4-BE49-F238E27FC236}">
              <a16:creationId xmlns="" xmlns:a16="http://schemas.microsoft.com/office/drawing/2014/main" id="{00000000-0008-0000-1800-0000D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3" name="Line 103">
          <a:extLst>
            <a:ext uri="{FF2B5EF4-FFF2-40B4-BE49-F238E27FC236}">
              <a16:creationId xmlns="" xmlns:a16="http://schemas.microsoft.com/office/drawing/2014/main" id="{00000000-0008-0000-1800-0000D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4" name="Line 100">
          <a:extLst>
            <a:ext uri="{FF2B5EF4-FFF2-40B4-BE49-F238E27FC236}">
              <a16:creationId xmlns="" xmlns:a16="http://schemas.microsoft.com/office/drawing/2014/main" id="{00000000-0008-0000-1800-0000D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5" name="Line 101">
          <a:extLst>
            <a:ext uri="{FF2B5EF4-FFF2-40B4-BE49-F238E27FC236}">
              <a16:creationId xmlns="" xmlns:a16="http://schemas.microsoft.com/office/drawing/2014/main" id="{00000000-0008-0000-1800-0000D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6" name="Line 102">
          <a:extLst>
            <a:ext uri="{FF2B5EF4-FFF2-40B4-BE49-F238E27FC236}">
              <a16:creationId xmlns="" xmlns:a16="http://schemas.microsoft.com/office/drawing/2014/main" id="{00000000-0008-0000-1800-0000D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7" name="Line 103">
          <a:extLst>
            <a:ext uri="{FF2B5EF4-FFF2-40B4-BE49-F238E27FC236}">
              <a16:creationId xmlns="" xmlns:a16="http://schemas.microsoft.com/office/drawing/2014/main" id="{00000000-0008-0000-1800-0000D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218" name="Line 100">
          <a:extLst>
            <a:ext uri="{FF2B5EF4-FFF2-40B4-BE49-F238E27FC236}">
              <a16:creationId xmlns="" xmlns:a16="http://schemas.microsoft.com/office/drawing/2014/main" id="{00000000-0008-0000-1800-0000D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219" name="Line 101">
          <a:extLst>
            <a:ext uri="{FF2B5EF4-FFF2-40B4-BE49-F238E27FC236}">
              <a16:creationId xmlns="" xmlns:a16="http://schemas.microsoft.com/office/drawing/2014/main" id="{00000000-0008-0000-1800-0000D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220" name="Line 102">
          <a:extLst>
            <a:ext uri="{FF2B5EF4-FFF2-40B4-BE49-F238E27FC236}">
              <a16:creationId xmlns="" xmlns:a16="http://schemas.microsoft.com/office/drawing/2014/main" id="{00000000-0008-0000-1800-0000D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221" name="Line 103">
          <a:extLst>
            <a:ext uri="{FF2B5EF4-FFF2-40B4-BE49-F238E27FC236}">
              <a16:creationId xmlns="" xmlns:a16="http://schemas.microsoft.com/office/drawing/2014/main" id="{00000000-0008-0000-1800-0000D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2" name="Line 100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3" name="Line 101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4" name="Line 102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5" name="Line 103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6" name="Line 100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7" name="Line 101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8" name="Line 102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9" name="Line 103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10" name="Line 100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11" name="Line 101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12" name="Line 102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13" name="Line 103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273</xdr:row>
      <xdr:rowOff>0</xdr:rowOff>
    </xdr:from>
    <xdr:to>
      <xdr:col>2</xdr:col>
      <xdr:colOff>1285875</xdr:colOff>
      <xdr:row>273</xdr:row>
      <xdr:rowOff>0</xdr:rowOff>
    </xdr:to>
    <xdr:pic>
      <xdr:nvPicPr>
        <xdr:cNvPr id="14" name="Line 100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95475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273</xdr:row>
      <xdr:rowOff>0</xdr:rowOff>
    </xdr:from>
    <xdr:to>
      <xdr:col>2</xdr:col>
      <xdr:colOff>1285875</xdr:colOff>
      <xdr:row>273</xdr:row>
      <xdr:rowOff>0</xdr:rowOff>
    </xdr:to>
    <xdr:pic>
      <xdr:nvPicPr>
        <xdr:cNvPr id="15" name="Line 101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95475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273</xdr:row>
      <xdr:rowOff>0</xdr:rowOff>
    </xdr:from>
    <xdr:to>
      <xdr:col>2</xdr:col>
      <xdr:colOff>1285875</xdr:colOff>
      <xdr:row>273</xdr:row>
      <xdr:rowOff>0</xdr:rowOff>
    </xdr:to>
    <xdr:pic>
      <xdr:nvPicPr>
        <xdr:cNvPr id="16" name="Line 102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95475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273</xdr:row>
      <xdr:rowOff>0</xdr:rowOff>
    </xdr:from>
    <xdr:to>
      <xdr:col>2</xdr:col>
      <xdr:colOff>1285875</xdr:colOff>
      <xdr:row>273</xdr:row>
      <xdr:rowOff>0</xdr:rowOff>
    </xdr:to>
    <xdr:pic>
      <xdr:nvPicPr>
        <xdr:cNvPr id="17" name="Line 103">
          <a:extLst>
            <a:ext uri="{FF2B5EF4-FFF2-40B4-BE49-F238E27FC236}">
              <a16:creationId xmlns="" xmlns:a16="http://schemas.microsoft.com/office/drawing/2014/main" id="{00000000-0008-0000-0200-00001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95475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2" name="Line 1">
          <a:extLst>
            <a:ext uri="{FF2B5EF4-FFF2-40B4-BE49-F238E27FC236}">
              <a16:creationId xmlns="" xmlns:a16="http://schemas.microsoft.com/office/drawing/2014/main" id="{00000000-0008-0000-1900-000002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="" xmlns:a16="http://schemas.microsoft.com/office/drawing/2014/main" id="{00000000-0008-0000-1900-000003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4" name="Line 3">
          <a:extLst>
            <a:ext uri="{FF2B5EF4-FFF2-40B4-BE49-F238E27FC236}">
              <a16:creationId xmlns="" xmlns:a16="http://schemas.microsoft.com/office/drawing/2014/main" id="{00000000-0008-0000-1900-000004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5" name="Line 4">
          <a:extLst>
            <a:ext uri="{FF2B5EF4-FFF2-40B4-BE49-F238E27FC236}">
              <a16:creationId xmlns="" xmlns:a16="http://schemas.microsoft.com/office/drawing/2014/main" id="{00000000-0008-0000-1900-000005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6" name="Line 5">
          <a:extLst>
            <a:ext uri="{FF2B5EF4-FFF2-40B4-BE49-F238E27FC236}">
              <a16:creationId xmlns="" xmlns:a16="http://schemas.microsoft.com/office/drawing/2014/main" id="{00000000-0008-0000-1900-000006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7" name="Line 6">
          <a:extLst>
            <a:ext uri="{FF2B5EF4-FFF2-40B4-BE49-F238E27FC236}">
              <a16:creationId xmlns="" xmlns:a16="http://schemas.microsoft.com/office/drawing/2014/main" id="{00000000-0008-0000-1900-000007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8" name="Line 7">
          <a:extLst>
            <a:ext uri="{FF2B5EF4-FFF2-40B4-BE49-F238E27FC236}">
              <a16:creationId xmlns="" xmlns:a16="http://schemas.microsoft.com/office/drawing/2014/main" id="{00000000-0008-0000-1900-000008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9" name="Line 8">
          <a:extLst>
            <a:ext uri="{FF2B5EF4-FFF2-40B4-BE49-F238E27FC236}">
              <a16:creationId xmlns="" xmlns:a16="http://schemas.microsoft.com/office/drawing/2014/main" id="{00000000-0008-0000-1900-000009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10" name="Line 9">
          <a:extLst>
            <a:ext uri="{FF2B5EF4-FFF2-40B4-BE49-F238E27FC236}">
              <a16:creationId xmlns="" xmlns:a16="http://schemas.microsoft.com/office/drawing/2014/main" id="{00000000-0008-0000-1900-00000A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1" name="Line 10">
          <a:extLst>
            <a:ext uri="{FF2B5EF4-FFF2-40B4-BE49-F238E27FC236}">
              <a16:creationId xmlns="" xmlns:a16="http://schemas.microsoft.com/office/drawing/2014/main" id="{00000000-0008-0000-1900-00000B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2" name="Line 11">
          <a:extLst>
            <a:ext uri="{FF2B5EF4-FFF2-40B4-BE49-F238E27FC236}">
              <a16:creationId xmlns="" xmlns:a16="http://schemas.microsoft.com/office/drawing/2014/main" id="{00000000-0008-0000-1900-00000C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3" name="Line 12">
          <a:extLst>
            <a:ext uri="{FF2B5EF4-FFF2-40B4-BE49-F238E27FC236}">
              <a16:creationId xmlns="" xmlns:a16="http://schemas.microsoft.com/office/drawing/2014/main" id="{00000000-0008-0000-1900-00000D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4" name="Line 13">
          <a:extLst>
            <a:ext uri="{FF2B5EF4-FFF2-40B4-BE49-F238E27FC236}">
              <a16:creationId xmlns="" xmlns:a16="http://schemas.microsoft.com/office/drawing/2014/main" id="{00000000-0008-0000-1900-00000E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15" name="Line 14">
          <a:extLst>
            <a:ext uri="{FF2B5EF4-FFF2-40B4-BE49-F238E27FC236}">
              <a16:creationId xmlns="" xmlns:a16="http://schemas.microsoft.com/office/drawing/2014/main" id="{00000000-0008-0000-1900-00000F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276224</xdr:colOff>
      <xdr:row>31</xdr:row>
      <xdr:rowOff>0</xdr:rowOff>
    </xdr:from>
    <xdr:to>
      <xdr:col>17</xdr:col>
      <xdr:colOff>304799</xdr:colOff>
      <xdr:row>54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1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</xdr:row>
      <xdr:rowOff>0</xdr:rowOff>
    </xdr:from>
    <xdr:to>
      <xdr:col>18</xdr:col>
      <xdr:colOff>28575</xdr:colOff>
      <xdr:row>25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47625</xdr:colOff>
      <xdr:row>8</xdr:row>
      <xdr:rowOff>76200</xdr:rowOff>
    </xdr:from>
    <xdr:to>
      <xdr:col>5</xdr:col>
      <xdr:colOff>28575</xdr:colOff>
      <xdr:row>30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00000000-0008-0000-1A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570</xdr:row>
      <xdr:rowOff>0</xdr:rowOff>
    </xdr:from>
    <xdr:to>
      <xdr:col>8</xdr:col>
      <xdr:colOff>9525</xdr:colOff>
      <xdr:row>570</xdr:row>
      <xdr:rowOff>0</xdr:rowOff>
    </xdr:to>
    <xdr:sp macro="" textlink="">
      <xdr:nvSpPr>
        <xdr:cNvPr id="3143615" name="Line 30">
          <a:extLst>
            <a:ext uri="{FF2B5EF4-FFF2-40B4-BE49-F238E27FC236}">
              <a16:creationId xmlns="" xmlns:a16="http://schemas.microsoft.com/office/drawing/2014/main" id="{00000000-0008-0000-1B00-0000BFF72F00}"/>
            </a:ext>
          </a:extLst>
        </xdr:cNvPr>
        <xdr:cNvSpPr>
          <a:spLocks noChangeShapeType="1"/>
        </xdr:cNvSpPr>
      </xdr:nvSpPr>
      <xdr:spPr>
        <a:xfrm>
          <a:off x="2841625" y="67394455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570</xdr:row>
      <xdr:rowOff>0</xdr:rowOff>
    </xdr:from>
    <xdr:to>
      <xdr:col>8</xdr:col>
      <xdr:colOff>9525</xdr:colOff>
      <xdr:row>570</xdr:row>
      <xdr:rowOff>0</xdr:rowOff>
    </xdr:to>
    <xdr:sp macro="" textlink="">
      <xdr:nvSpPr>
        <xdr:cNvPr id="3143616" name="Line 31">
          <a:extLst>
            <a:ext uri="{FF2B5EF4-FFF2-40B4-BE49-F238E27FC236}">
              <a16:creationId xmlns="" xmlns:a16="http://schemas.microsoft.com/office/drawing/2014/main" id="{00000000-0008-0000-1B00-0000C0F72F00}"/>
            </a:ext>
          </a:extLst>
        </xdr:cNvPr>
        <xdr:cNvSpPr>
          <a:spLocks noChangeShapeType="1"/>
        </xdr:cNvSpPr>
      </xdr:nvSpPr>
      <xdr:spPr>
        <a:xfrm>
          <a:off x="2841625" y="67394455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570</xdr:row>
      <xdr:rowOff>0</xdr:rowOff>
    </xdr:from>
    <xdr:to>
      <xdr:col>8</xdr:col>
      <xdr:colOff>9525</xdr:colOff>
      <xdr:row>570</xdr:row>
      <xdr:rowOff>0</xdr:rowOff>
    </xdr:to>
    <xdr:sp macro="" textlink="">
      <xdr:nvSpPr>
        <xdr:cNvPr id="3143617" name="Line 32">
          <a:extLst>
            <a:ext uri="{FF2B5EF4-FFF2-40B4-BE49-F238E27FC236}">
              <a16:creationId xmlns="" xmlns:a16="http://schemas.microsoft.com/office/drawing/2014/main" id="{00000000-0008-0000-1B00-0000C1F72F00}"/>
            </a:ext>
          </a:extLst>
        </xdr:cNvPr>
        <xdr:cNvSpPr>
          <a:spLocks noChangeShapeType="1"/>
        </xdr:cNvSpPr>
      </xdr:nvSpPr>
      <xdr:spPr>
        <a:xfrm>
          <a:off x="2841625" y="67394455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570</xdr:row>
      <xdr:rowOff>0</xdr:rowOff>
    </xdr:from>
    <xdr:to>
      <xdr:col>8</xdr:col>
      <xdr:colOff>9525</xdr:colOff>
      <xdr:row>570</xdr:row>
      <xdr:rowOff>0</xdr:rowOff>
    </xdr:to>
    <xdr:sp macro="" textlink="">
      <xdr:nvSpPr>
        <xdr:cNvPr id="3143618" name="Line 33">
          <a:extLst>
            <a:ext uri="{FF2B5EF4-FFF2-40B4-BE49-F238E27FC236}">
              <a16:creationId xmlns="" xmlns:a16="http://schemas.microsoft.com/office/drawing/2014/main" id="{00000000-0008-0000-1B00-0000C2F72F00}"/>
            </a:ext>
          </a:extLst>
        </xdr:cNvPr>
        <xdr:cNvSpPr>
          <a:spLocks noChangeShapeType="1"/>
        </xdr:cNvSpPr>
      </xdr:nvSpPr>
      <xdr:spPr>
        <a:xfrm>
          <a:off x="2841625" y="67394455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570</xdr:row>
      <xdr:rowOff>0</xdr:rowOff>
    </xdr:from>
    <xdr:to>
      <xdr:col>8</xdr:col>
      <xdr:colOff>9525</xdr:colOff>
      <xdr:row>570</xdr:row>
      <xdr:rowOff>0</xdr:rowOff>
    </xdr:to>
    <xdr:sp macro="" textlink="">
      <xdr:nvSpPr>
        <xdr:cNvPr id="3143619" name="Line 34">
          <a:extLst>
            <a:ext uri="{FF2B5EF4-FFF2-40B4-BE49-F238E27FC236}">
              <a16:creationId xmlns="" xmlns:a16="http://schemas.microsoft.com/office/drawing/2014/main" id="{00000000-0008-0000-1B00-0000C3F72F00}"/>
            </a:ext>
          </a:extLst>
        </xdr:cNvPr>
        <xdr:cNvSpPr>
          <a:spLocks noChangeShapeType="1"/>
        </xdr:cNvSpPr>
      </xdr:nvSpPr>
      <xdr:spPr>
        <a:xfrm>
          <a:off x="2841625" y="67394455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570</xdr:row>
      <xdr:rowOff>0</xdr:rowOff>
    </xdr:from>
    <xdr:to>
      <xdr:col>8</xdr:col>
      <xdr:colOff>9525</xdr:colOff>
      <xdr:row>570</xdr:row>
      <xdr:rowOff>0</xdr:rowOff>
    </xdr:to>
    <xdr:sp macro="" textlink="">
      <xdr:nvSpPr>
        <xdr:cNvPr id="3143620" name="Line 35">
          <a:extLst>
            <a:ext uri="{FF2B5EF4-FFF2-40B4-BE49-F238E27FC236}">
              <a16:creationId xmlns="" xmlns:a16="http://schemas.microsoft.com/office/drawing/2014/main" id="{00000000-0008-0000-1B00-0000C4F72F00}"/>
            </a:ext>
          </a:extLst>
        </xdr:cNvPr>
        <xdr:cNvSpPr>
          <a:spLocks noChangeShapeType="1"/>
        </xdr:cNvSpPr>
      </xdr:nvSpPr>
      <xdr:spPr>
        <a:xfrm>
          <a:off x="2841625" y="67394455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570</xdr:row>
      <xdr:rowOff>0</xdr:rowOff>
    </xdr:from>
    <xdr:to>
      <xdr:col>8</xdr:col>
      <xdr:colOff>9525</xdr:colOff>
      <xdr:row>570</xdr:row>
      <xdr:rowOff>0</xdr:rowOff>
    </xdr:to>
    <xdr:sp macro="" textlink="">
      <xdr:nvSpPr>
        <xdr:cNvPr id="3143621" name="Line 36">
          <a:extLst>
            <a:ext uri="{FF2B5EF4-FFF2-40B4-BE49-F238E27FC236}">
              <a16:creationId xmlns="" xmlns:a16="http://schemas.microsoft.com/office/drawing/2014/main" id="{00000000-0008-0000-1B00-0000C5F72F00}"/>
            </a:ext>
          </a:extLst>
        </xdr:cNvPr>
        <xdr:cNvSpPr>
          <a:spLocks noChangeShapeType="1"/>
        </xdr:cNvSpPr>
      </xdr:nvSpPr>
      <xdr:spPr>
        <a:xfrm>
          <a:off x="2841625" y="67394455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570</xdr:row>
      <xdr:rowOff>0</xdr:rowOff>
    </xdr:from>
    <xdr:to>
      <xdr:col>8</xdr:col>
      <xdr:colOff>9525</xdr:colOff>
      <xdr:row>570</xdr:row>
      <xdr:rowOff>0</xdr:rowOff>
    </xdr:to>
    <xdr:sp macro="" textlink="">
      <xdr:nvSpPr>
        <xdr:cNvPr id="3143622" name="Line 37">
          <a:extLst>
            <a:ext uri="{FF2B5EF4-FFF2-40B4-BE49-F238E27FC236}">
              <a16:creationId xmlns="" xmlns:a16="http://schemas.microsoft.com/office/drawing/2014/main" id="{00000000-0008-0000-1B00-0000C6F72F00}"/>
            </a:ext>
          </a:extLst>
        </xdr:cNvPr>
        <xdr:cNvSpPr>
          <a:spLocks noChangeShapeType="1"/>
        </xdr:cNvSpPr>
      </xdr:nvSpPr>
      <xdr:spPr>
        <a:xfrm>
          <a:off x="2841625" y="67394455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2" name="Line 1">
          <a:extLst>
            <a:ext uri="{FF2B5EF4-FFF2-40B4-BE49-F238E27FC236}">
              <a16:creationId xmlns="" xmlns:a16="http://schemas.microsoft.com/office/drawing/2014/main" id="{00000000-0008-0000-1C00-000002000000}"/>
            </a:ext>
          </a:extLst>
        </xdr:cNvPr>
        <xdr:cNvSpPr>
          <a:spLocks noChangeShapeType="1"/>
        </xdr:cNvSpPr>
      </xdr:nvSpPr>
      <xdr:spPr>
        <a:xfrm>
          <a:off x="3790950" y="6362700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="" xmlns:a16="http://schemas.microsoft.com/office/drawing/2014/main" id="{00000000-0008-0000-1C00-000003000000}"/>
            </a:ext>
          </a:extLst>
        </xdr:cNvPr>
        <xdr:cNvSpPr>
          <a:spLocks noChangeShapeType="1"/>
        </xdr:cNvSpPr>
      </xdr:nvSpPr>
      <xdr:spPr>
        <a:xfrm>
          <a:off x="3790950" y="1095375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4" name="Line 3">
          <a:extLst>
            <a:ext uri="{FF2B5EF4-FFF2-40B4-BE49-F238E27FC236}">
              <a16:creationId xmlns="" xmlns:a16="http://schemas.microsoft.com/office/drawing/2014/main" id="{00000000-0008-0000-1C00-000004000000}"/>
            </a:ext>
          </a:extLst>
        </xdr:cNvPr>
        <xdr:cNvSpPr>
          <a:spLocks noChangeShapeType="1"/>
        </xdr:cNvSpPr>
      </xdr:nvSpPr>
      <xdr:spPr>
        <a:xfrm>
          <a:off x="3790950" y="1095375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5" name="Line 4">
          <a:extLst>
            <a:ext uri="{FF2B5EF4-FFF2-40B4-BE49-F238E27FC236}">
              <a16:creationId xmlns="" xmlns:a16="http://schemas.microsoft.com/office/drawing/2014/main" id="{00000000-0008-0000-1C00-000005000000}"/>
            </a:ext>
          </a:extLst>
        </xdr:cNvPr>
        <xdr:cNvSpPr>
          <a:spLocks noChangeShapeType="1"/>
        </xdr:cNvSpPr>
      </xdr:nvSpPr>
      <xdr:spPr>
        <a:xfrm>
          <a:off x="3790950" y="1095375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6" name="Line 5">
          <a:extLst>
            <a:ext uri="{FF2B5EF4-FFF2-40B4-BE49-F238E27FC236}">
              <a16:creationId xmlns="" xmlns:a16="http://schemas.microsoft.com/office/drawing/2014/main" id="{00000000-0008-0000-1C00-000006000000}"/>
            </a:ext>
          </a:extLst>
        </xdr:cNvPr>
        <xdr:cNvSpPr>
          <a:spLocks noChangeShapeType="1"/>
        </xdr:cNvSpPr>
      </xdr:nvSpPr>
      <xdr:spPr>
        <a:xfrm>
          <a:off x="3790950" y="1095375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7" name="Line 6">
          <a:extLst>
            <a:ext uri="{FF2B5EF4-FFF2-40B4-BE49-F238E27FC236}">
              <a16:creationId xmlns="" xmlns:a16="http://schemas.microsoft.com/office/drawing/2014/main" id="{00000000-0008-0000-1C00-000007000000}"/>
            </a:ext>
          </a:extLst>
        </xdr:cNvPr>
        <xdr:cNvSpPr>
          <a:spLocks noChangeShapeType="1"/>
        </xdr:cNvSpPr>
      </xdr:nvSpPr>
      <xdr:spPr>
        <a:xfrm>
          <a:off x="3790950" y="6362700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8" name="Line 7">
          <a:extLst>
            <a:ext uri="{FF2B5EF4-FFF2-40B4-BE49-F238E27FC236}">
              <a16:creationId xmlns="" xmlns:a16="http://schemas.microsoft.com/office/drawing/2014/main" id="{00000000-0008-0000-1C00-000008000000}"/>
            </a:ext>
          </a:extLst>
        </xdr:cNvPr>
        <xdr:cNvSpPr>
          <a:spLocks noChangeShapeType="1"/>
        </xdr:cNvSpPr>
      </xdr:nvSpPr>
      <xdr:spPr>
        <a:xfrm>
          <a:off x="3790950" y="6362700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9" name="Line 8">
          <a:extLst>
            <a:ext uri="{FF2B5EF4-FFF2-40B4-BE49-F238E27FC236}">
              <a16:creationId xmlns="" xmlns:a16="http://schemas.microsoft.com/office/drawing/2014/main" id="{00000000-0008-0000-1C00-000009000000}"/>
            </a:ext>
          </a:extLst>
        </xdr:cNvPr>
        <xdr:cNvSpPr>
          <a:spLocks noChangeShapeType="1"/>
        </xdr:cNvSpPr>
      </xdr:nvSpPr>
      <xdr:spPr>
        <a:xfrm>
          <a:off x="3790950" y="6362700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10" name="Line 9">
          <a:extLst>
            <a:ext uri="{FF2B5EF4-FFF2-40B4-BE49-F238E27FC236}">
              <a16:creationId xmlns="" xmlns:a16="http://schemas.microsoft.com/office/drawing/2014/main" id="{00000000-0008-0000-1C00-00000A000000}"/>
            </a:ext>
          </a:extLst>
        </xdr:cNvPr>
        <xdr:cNvSpPr>
          <a:spLocks noChangeShapeType="1"/>
        </xdr:cNvSpPr>
      </xdr:nvSpPr>
      <xdr:spPr>
        <a:xfrm>
          <a:off x="3790950" y="6362700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1" name="Line 10">
          <a:extLst>
            <a:ext uri="{FF2B5EF4-FFF2-40B4-BE49-F238E27FC236}">
              <a16:creationId xmlns="" xmlns:a16="http://schemas.microsoft.com/office/drawing/2014/main" id="{00000000-0008-0000-1C00-00000B000000}"/>
            </a:ext>
          </a:extLst>
        </xdr:cNvPr>
        <xdr:cNvSpPr>
          <a:spLocks noChangeShapeType="1"/>
        </xdr:cNvSpPr>
      </xdr:nvSpPr>
      <xdr:spPr>
        <a:xfrm>
          <a:off x="3790950" y="1095375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2" name="Line 11">
          <a:extLst>
            <a:ext uri="{FF2B5EF4-FFF2-40B4-BE49-F238E27FC236}">
              <a16:creationId xmlns="" xmlns:a16="http://schemas.microsoft.com/office/drawing/2014/main" id="{00000000-0008-0000-1C00-00000C000000}"/>
            </a:ext>
          </a:extLst>
        </xdr:cNvPr>
        <xdr:cNvSpPr>
          <a:spLocks noChangeShapeType="1"/>
        </xdr:cNvSpPr>
      </xdr:nvSpPr>
      <xdr:spPr>
        <a:xfrm>
          <a:off x="3790950" y="1095375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3" name="Line 12">
          <a:extLst>
            <a:ext uri="{FF2B5EF4-FFF2-40B4-BE49-F238E27FC236}">
              <a16:creationId xmlns="" xmlns:a16="http://schemas.microsoft.com/office/drawing/2014/main" id="{00000000-0008-0000-1C00-00000D000000}"/>
            </a:ext>
          </a:extLst>
        </xdr:cNvPr>
        <xdr:cNvSpPr>
          <a:spLocks noChangeShapeType="1"/>
        </xdr:cNvSpPr>
      </xdr:nvSpPr>
      <xdr:spPr>
        <a:xfrm>
          <a:off x="3790950" y="1095375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4" name="Line 13">
          <a:extLst>
            <a:ext uri="{FF2B5EF4-FFF2-40B4-BE49-F238E27FC236}">
              <a16:creationId xmlns="" xmlns:a16="http://schemas.microsoft.com/office/drawing/2014/main" id="{00000000-0008-0000-1C00-00000E000000}"/>
            </a:ext>
          </a:extLst>
        </xdr:cNvPr>
        <xdr:cNvSpPr>
          <a:spLocks noChangeShapeType="1"/>
        </xdr:cNvSpPr>
      </xdr:nvSpPr>
      <xdr:spPr>
        <a:xfrm>
          <a:off x="3790950" y="1095375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15" name="Line 14">
          <a:extLst>
            <a:ext uri="{FF2B5EF4-FFF2-40B4-BE49-F238E27FC236}">
              <a16:creationId xmlns="" xmlns:a16="http://schemas.microsoft.com/office/drawing/2014/main" id="{00000000-0008-0000-1C00-00000F000000}"/>
            </a:ext>
          </a:extLst>
        </xdr:cNvPr>
        <xdr:cNvSpPr>
          <a:spLocks noChangeShapeType="1"/>
        </xdr:cNvSpPr>
      </xdr:nvSpPr>
      <xdr:spPr>
        <a:xfrm>
          <a:off x="3790950" y="6362700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572</xdr:row>
      <xdr:rowOff>0</xdr:rowOff>
    </xdr:from>
    <xdr:to>
      <xdr:col>11</xdr:col>
      <xdr:colOff>0</xdr:colOff>
      <xdr:row>572</xdr:row>
      <xdr:rowOff>0</xdr:rowOff>
    </xdr:to>
    <xdr:sp macro="" textlink="">
      <xdr:nvSpPr>
        <xdr:cNvPr id="2" name="Line 1">
          <a:extLst>
            <a:ext uri="{FF2B5EF4-FFF2-40B4-BE49-F238E27FC236}">
              <a16:creationId xmlns="" xmlns:a16="http://schemas.microsoft.com/office/drawing/2014/main" id="{00000000-0008-0000-2200-000002000000}"/>
            </a:ext>
          </a:extLst>
        </xdr:cNvPr>
        <xdr:cNvSpPr>
          <a:spLocks noChangeShapeType="1"/>
        </xdr:cNvSpPr>
      </xdr:nvSpPr>
      <xdr:spPr bwMode="auto">
        <a:xfrm>
          <a:off x="3905250" y="42138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572</xdr:row>
      <xdr:rowOff>0</xdr:rowOff>
    </xdr:from>
    <xdr:to>
      <xdr:col>11</xdr:col>
      <xdr:colOff>0</xdr:colOff>
      <xdr:row>572</xdr:row>
      <xdr:rowOff>0</xdr:rowOff>
    </xdr:to>
    <xdr:sp macro="" textlink="">
      <xdr:nvSpPr>
        <xdr:cNvPr id="3" name="Line 2">
          <a:extLst>
            <a:ext uri="{FF2B5EF4-FFF2-40B4-BE49-F238E27FC236}">
              <a16:creationId xmlns="" xmlns:a16="http://schemas.microsoft.com/office/drawing/2014/main" id="{00000000-0008-0000-2200-000003000000}"/>
            </a:ext>
          </a:extLst>
        </xdr:cNvPr>
        <xdr:cNvSpPr>
          <a:spLocks noChangeShapeType="1"/>
        </xdr:cNvSpPr>
      </xdr:nvSpPr>
      <xdr:spPr bwMode="auto">
        <a:xfrm>
          <a:off x="3905250" y="42138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572</xdr:row>
      <xdr:rowOff>0</xdr:rowOff>
    </xdr:from>
    <xdr:to>
      <xdr:col>11</xdr:col>
      <xdr:colOff>0</xdr:colOff>
      <xdr:row>572</xdr:row>
      <xdr:rowOff>0</xdr:rowOff>
    </xdr:to>
    <xdr:sp macro="" textlink="">
      <xdr:nvSpPr>
        <xdr:cNvPr id="4" name="Line 3">
          <a:extLst>
            <a:ext uri="{FF2B5EF4-FFF2-40B4-BE49-F238E27FC236}">
              <a16:creationId xmlns="" xmlns:a16="http://schemas.microsoft.com/office/drawing/2014/main" id="{00000000-0008-0000-2200-000004000000}"/>
            </a:ext>
          </a:extLst>
        </xdr:cNvPr>
        <xdr:cNvSpPr>
          <a:spLocks noChangeShapeType="1"/>
        </xdr:cNvSpPr>
      </xdr:nvSpPr>
      <xdr:spPr bwMode="auto">
        <a:xfrm>
          <a:off x="3905250" y="42138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572</xdr:row>
      <xdr:rowOff>0</xdr:rowOff>
    </xdr:from>
    <xdr:to>
      <xdr:col>11</xdr:col>
      <xdr:colOff>0</xdr:colOff>
      <xdr:row>572</xdr:row>
      <xdr:rowOff>0</xdr:rowOff>
    </xdr:to>
    <xdr:sp macro="" textlink="">
      <xdr:nvSpPr>
        <xdr:cNvPr id="5" name="Line 4">
          <a:extLst>
            <a:ext uri="{FF2B5EF4-FFF2-40B4-BE49-F238E27FC236}">
              <a16:creationId xmlns="" xmlns:a16="http://schemas.microsoft.com/office/drawing/2014/main" id="{00000000-0008-0000-2200-000005000000}"/>
            </a:ext>
          </a:extLst>
        </xdr:cNvPr>
        <xdr:cNvSpPr>
          <a:spLocks noChangeShapeType="1"/>
        </xdr:cNvSpPr>
      </xdr:nvSpPr>
      <xdr:spPr bwMode="auto">
        <a:xfrm>
          <a:off x="3905250" y="42138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702</xdr:row>
      <xdr:rowOff>0</xdr:rowOff>
    </xdr:from>
    <xdr:to>
      <xdr:col>11</xdr:col>
      <xdr:colOff>0</xdr:colOff>
      <xdr:row>702</xdr:row>
      <xdr:rowOff>0</xdr:rowOff>
    </xdr:to>
    <xdr:sp macro="" textlink="">
      <xdr:nvSpPr>
        <xdr:cNvPr id="6" name="Line 5">
          <a:extLst>
            <a:ext uri="{FF2B5EF4-FFF2-40B4-BE49-F238E27FC236}">
              <a16:creationId xmlns="" xmlns:a16="http://schemas.microsoft.com/office/drawing/2014/main" id="{00000000-0008-0000-2200-000006000000}"/>
            </a:ext>
          </a:extLst>
        </xdr:cNvPr>
        <xdr:cNvSpPr>
          <a:spLocks noChangeShapeType="1"/>
        </xdr:cNvSpPr>
      </xdr:nvSpPr>
      <xdr:spPr bwMode="auto">
        <a:xfrm>
          <a:off x="3905250" y="5527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702</xdr:row>
      <xdr:rowOff>0</xdr:rowOff>
    </xdr:from>
    <xdr:to>
      <xdr:col>11</xdr:col>
      <xdr:colOff>0</xdr:colOff>
      <xdr:row>702</xdr:row>
      <xdr:rowOff>0</xdr:rowOff>
    </xdr:to>
    <xdr:sp macro="" textlink="">
      <xdr:nvSpPr>
        <xdr:cNvPr id="7" name="Line 6">
          <a:extLst>
            <a:ext uri="{FF2B5EF4-FFF2-40B4-BE49-F238E27FC236}">
              <a16:creationId xmlns="" xmlns:a16="http://schemas.microsoft.com/office/drawing/2014/main" id="{00000000-0008-0000-2200-000007000000}"/>
            </a:ext>
          </a:extLst>
        </xdr:cNvPr>
        <xdr:cNvSpPr>
          <a:spLocks noChangeShapeType="1"/>
        </xdr:cNvSpPr>
      </xdr:nvSpPr>
      <xdr:spPr bwMode="auto">
        <a:xfrm>
          <a:off x="3905250" y="5527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702</xdr:row>
      <xdr:rowOff>0</xdr:rowOff>
    </xdr:from>
    <xdr:to>
      <xdr:col>11</xdr:col>
      <xdr:colOff>0</xdr:colOff>
      <xdr:row>702</xdr:row>
      <xdr:rowOff>0</xdr:rowOff>
    </xdr:to>
    <xdr:sp macro="" textlink="">
      <xdr:nvSpPr>
        <xdr:cNvPr id="8" name="Line 7">
          <a:extLst>
            <a:ext uri="{FF2B5EF4-FFF2-40B4-BE49-F238E27FC236}">
              <a16:creationId xmlns="" xmlns:a16="http://schemas.microsoft.com/office/drawing/2014/main" id="{00000000-0008-0000-2200-000008000000}"/>
            </a:ext>
          </a:extLst>
        </xdr:cNvPr>
        <xdr:cNvSpPr>
          <a:spLocks noChangeShapeType="1"/>
        </xdr:cNvSpPr>
      </xdr:nvSpPr>
      <xdr:spPr bwMode="auto">
        <a:xfrm>
          <a:off x="3905250" y="5527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702</xdr:row>
      <xdr:rowOff>0</xdr:rowOff>
    </xdr:from>
    <xdr:to>
      <xdr:col>11</xdr:col>
      <xdr:colOff>0</xdr:colOff>
      <xdr:row>702</xdr:row>
      <xdr:rowOff>0</xdr:rowOff>
    </xdr:to>
    <xdr:sp macro="" textlink="">
      <xdr:nvSpPr>
        <xdr:cNvPr id="9" name="Line 8">
          <a:extLst>
            <a:ext uri="{FF2B5EF4-FFF2-40B4-BE49-F238E27FC236}">
              <a16:creationId xmlns="" xmlns:a16="http://schemas.microsoft.com/office/drawing/2014/main" id="{00000000-0008-0000-2200-000009000000}"/>
            </a:ext>
          </a:extLst>
        </xdr:cNvPr>
        <xdr:cNvSpPr>
          <a:spLocks noChangeShapeType="1"/>
        </xdr:cNvSpPr>
      </xdr:nvSpPr>
      <xdr:spPr bwMode="auto">
        <a:xfrm>
          <a:off x="3905250" y="5527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734</xdr:row>
      <xdr:rowOff>0</xdr:rowOff>
    </xdr:from>
    <xdr:to>
      <xdr:col>11</xdr:col>
      <xdr:colOff>0</xdr:colOff>
      <xdr:row>734</xdr:row>
      <xdr:rowOff>0</xdr:rowOff>
    </xdr:to>
    <xdr:sp macro="" textlink="">
      <xdr:nvSpPr>
        <xdr:cNvPr id="10" name="Line 91">
          <a:extLst>
            <a:ext uri="{FF2B5EF4-FFF2-40B4-BE49-F238E27FC236}">
              <a16:creationId xmlns="" xmlns:a16="http://schemas.microsoft.com/office/drawing/2014/main" id="{00000000-0008-0000-2200-00000A000000}"/>
            </a:ext>
          </a:extLst>
        </xdr:cNvPr>
        <xdr:cNvSpPr>
          <a:spLocks noChangeShapeType="1"/>
        </xdr:cNvSpPr>
      </xdr:nvSpPr>
      <xdr:spPr bwMode="auto">
        <a:xfrm>
          <a:off x="3905250" y="56083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734</xdr:row>
      <xdr:rowOff>0</xdr:rowOff>
    </xdr:from>
    <xdr:to>
      <xdr:col>11</xdr:col>
      <xdr:colOff>0</xdr:colOff>
      <xdr:row>734</xdr:row>
      <xdr:rowOff>0</xdr:rowOff>
    </xdr:to>
    <xdr:sp macro="" textlink="">
      <xdr:nvSpPr>
        <xdr:cNvPr id="11" name="Line 92">
          <a:extLst>
            <a:ext uri="{FF2B5EF4-FFF2-40B4-BE49-F238E27FC236}">
              <a16:creationId xmlns="" xmlns:a16="http://schemas.microsoft.com/office/drawing/2014/main" id="{00000000-0008-0000-2200-00000B000000}"/>
            </a:ext>
          </a:extLst>
        </xdr:cNvPr>
        <xdr:cNvSpPr>
          <a:spLocks noChangeShapeType="1"/>
        </xdr:cNvSpPr>
      </xdr:nvSpPr>
      <xdr:spPr bwMode="auto">
        <a:xfrm>
          <a:off x="3905250" y="56083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734</xdr:row>
      <xdr:rowOff>0</xdr:rowOff>
    </xdr:from>
    <xdr:to>
      <xdr:col>11</xdr:col>
      <xdr:colOff>0</xdr:colOff>
      <xdr:row>734</xdr:row>
      <xdr:rowOff>0</xdr:rowOff>
    </xdr:to>
    <xdr:sp macro="" textlink="">
      <xdr:nvSpPr>
        <xdr:cNvPr id="12" name="Line 93">
          <a:extLst>
            <a:ext uri="{FF2B5EF4-FFF2-40B4-BE49-F238E27FC236}">
              <a16:creationId xmlns="" xmlns:a16="http://schemas.microsoft.com/office/drawing/2014/main" id="{00000000-0008-0000-2200-00000C000000}"/>
            </a:ext>
          </a:extLst>
        </xdr:cNvPr>
        <xdr:cNvSpPr>
          <a:spLocks noChangeShapeType="1"/>
        </xdr:cNvSpPr>
      </xdr:nvSpPr>
      <xdr:spPr bwMode="auto">
        <a:xfrm>
          <a:off x="3905250" y="56083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734</xdr:row>
      <xdr:rowOff>0</xdr:rowOff>
    </xdr:from>
    <xdr:to>
      <xdr:col>11</xdr:col>
      <xdr:colOff>0</xdr:colOff>
      <xdr:row>734</xdr:row>
      <xdr:rowOff>0</xdr:rowOff>
    </xdr:to>
    <xdr:sp macro="" textlink="">
      <xdr:nvSpPr>
        <xdr:cNvPr id="13" name="Line 94">
          <a:extLst>
            <a:ext uri="{FF2B5EF4-FFF2-40B4-BE49-F238E27FC236}">
              <a16:creationId xmlns="" xmlns:a16="http://schemas.microsoft.com/office/drawing/2014/main" id="{00000000-0008-0000-2200-00000D000000}"/>
            </a:ext>
          </a:extLst>
        </xdr:cNvPr>
        <xdr:cNvSpPr>
          <a:spLocks noChangeShapeType="1"/>
        </xdr:cNvSpPr>
      </xdr:nvSpPr>
      <xdr:spPr bwMode="auto">
        <a:xfrm>
          <a:off x="3905250" y="56083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723</xdr:row>
      <xdr:rowOff>0</xdr:rowOff>
    </xdr:from>
    <xdr:to>
      <xdr:col>11</xdr:col>
      <xdr:colOff>0</xdr:colOff>
      <xdr:row>723</xdr:row>
      <xdr:rowOff>0</xdr:rowOff>
    </xdr:to>
    <xdr:sp macro="" textlink="">
      <xdr:nvSpPr>
        <xdr:cNvPr id="14" name="Line 100">
          <a:extLst>
            <a:ext uri="{FF2B5EF4-FFF2-40B4-BE49-F238E27FC236}">
              <a16:creationId xmlns="" xmlns:a16="http://schemas.microsoft.com/office/drawing/2014/main" id="{00000000-0008-0000-2200-00000E000000}"/>
            </a:ext>
          </a:extLst>
        </xdr:cNvPr>
        <xdr:cNvSpPr>
          <a:spLocks noChangeShapeType="1"/>
        </xdr:cNvSpPr>
      </xdr:nvSpPr>
      <xdr:spPr bwMode="auto">
        <a:xfrm>
          <a:off x="3905250" y="5581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723</xdr:row>
      <xdr:rowOff>0</xdr:rowOff>
    </xdr:from>
    <xdr:to>
      <xdr:col>11</xdr:col>
      <xdr:colOff>0</xdr:colOff>
      <xdr:row>723</xdr:row>
      <xdr:rowOff>0</xdr:rowOff>
    </xdr:to>
    <xdr:sp macro="" textlink="">
      <xdr:nvSpPr>
        <xdr:cNvPr id="15" name="Line 101">
          <a:extLst>
            <a:ext uri="{FF2B5EF4-FFF2-40B4-BE49-F238E27FC236}">
              <a16:creationId xmlns="" xmlns:a16="http://schemas.microsoft.com/office/drawing/2014/main" id="{00000000-0008-0000-2200-00000F000000}"/>
            </a:ext>
          </a:extLst>
        </xdr:cNvPr>
        <xdr:cNvSpPr>
          <a:spLocks noChangeShapeType="1"/>
        </xdr:cNvSpPr>
      </xdr:nvSpPr>
      <xdr:spPr bwMode="auto">
        <a:xfrm>
          <a:off x="3905250" y="5581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723</xdr:row>
      <xdr:rowOff>0</xdr:rowOff>
    </xdr:from>
    <xdr:to>
      <xdr:col>11</xdr:col>
      <xdr:colOff>0</xdr:colOff>
      <xdr:row>723</xdr:row>
      <xdr:rowOff>0</xdr:rowOff>
    </xdr:to>
    <xdr:sp macro="" textlink="">
      <xdr:nvSpPr>
        <xdr:cNvPr id="16" name="Line 102">
          <a:extLst>
            <a:ext uri="{FF2B5EF4-FFF2-40B4-BE49-F238E27FC236}">
              <a16:creationId xmlns="" xmlns:a16="http://schemas.microsoft.com/office/drawing/2014/main" id="{00000000-0008-0000-2200-000010000000}"/>
            </a:ext>
          </a:extLst>
        </xdr:cNvPr>
        <xdr:cNvSpPr>
          <a:spLocks noChangeShapeType="1"/>
        </xdr:cNvSpPr>
      </xdr:nvSpPr>
      <xdr:spPr bwMode="auto">
        <a:xfrm>
          <a:off x="3905250" y="5581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723</xdr:row>
      <xdr:rowOff>0</xdr:rowOff>
    </xdr:from>
    <xdr:to>
      <xdr:col>11</xdr:col>
      <xdr:colOff>0</xdr:colOff>
      <xdr:row>723</xdr:row>
      <xdr:rowOff>0</xdr:rowOff>
    </xdr:to>
    <xdr:sp macro="" textlink="">
      <xdr:nvSpPr>
        <xdr:cNvPr id="17" name="Line 103">
          <a:extLst>
            <a:ext uri="{FF2B5EF4-FFF2-40B4-BE49-F238E27FC236}">
              <a16:creationId xmlns="" xmlns:a16="http://schemas.microsoft.com/office/drawing/2014/main" id="{00000000-0008-0000-2200-000011000000}"/>
            </a:ext>
          </a:extLst>
        </xdr:cNvPr>
        <xdr:cNvSpPr>
          <a:spLocks noChangeShapeType="1"/>
        </xdr:cNvSpPr>
      </xdr:nvSpPr>
      <xdr:spPr bwMode="auto">
        <a:xfrm>
          <a:off x="3905250" y="5581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714</xdr:row>
      <xdr:rowOff>0</xdr:rowOff>
    </xdr:from>
    <xdr:to>
      <xdr:col>11</xdr:col>
      <xdr:colOff>0</xdr:colOff>
      <xdr:row>714</xdr:row>
      <xdr:rowOff>0</xdr:rowOff>
    </xdr:to>
    <xdr:sp macro="" textlink="">
      <xdr:nvSpPr>
        <xdr:cNvPr id="18" name="Line 108">
          <a:extLst>
            <a:ext uri="{FF2B5EF4-FFF2-40B4-BE49-F238E27FC236}">
              <a16:creationId xmlns="" xmlns:a16="http://schemas.microsoft.com/office/drawing/2014/main" id="{00000000-0008-0000-2200-000012000000}"/>
            </a:ext>
          </a:extLst>
        </xdr:cNvPr>
        <xdr:cNvSpPr>
          <a:spLocks noChangeShapeType="1"/>
        </xdr:cNvSpPr>
      </xdr:nvSpPr>
      <xdr:spPr bwMode="auto">
        <a:xfrm>
          <a:off x="3905250" y="5554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714</xdr:row>
      <xdr:rowOff>0</xdr:rowOff>
    </xdr:from>
    <xdr:to>
      <xdr:col>11</xdr:col>
      <xdr:colOff>0</xdr:colOff>
      <xdr:row>714</xdr:row>
      <xdr:rowOff>0</xdr:rowOff>
    </xdr:to>
    <xdr:sp macro="" textlink="">
      <xdr:nvSpPr>
        <xdr:cNvPr id="19" name="Line 109">
          <a:extLst>
            <a:ext uri="{FF2B5EF4-FFF2-40B4-BE49-F238E27FC236}">
              <a16:creationId xmlns="" xmlns:a16="http://schemas.microsoft.com/office/drawing/2014/main" id="{00000000-0008-0000-2200-000013000000}"/>
            </a:ext>
          </a:extLst>
        </xdr:cNvPr>
        <xdr:cNvSpPr>
          <a:spLocks noChangeShapeType="1"/>
        </xdr:cNvSpPr>
      </xdr:nvSpPr>
      <xdr:spPr bwMode="auto">
        <a:xfrm>
          <a:off x="3905250" y="5554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714</xdr:row>
      <xdr:rowOff>0</xdr:rowOff>
    </xdr:from>
    <xdr:to>
      <xdr:col>11</xdr:col>
      <xdr:colOff>0</xdr:colOff>
      <xdr:row>714</xdr:row>
      <xdr:rowOff>0</xdr:rowOff>
    </xdr:to>
    <xdr:sp macro="" textlink="">
      <xdr:nvSpPr>
        <xdr:cNvPr id="20" name="Line 110">
          <a:extLst>
            <a:ext uri="{FF2B5EF4-FFF2-40B4-BE49-F238E27FC236}">
              <a16:creationId xmlns="" xmlns:a16="http://schemas.microsoft.com/office/drawing/2014/main" id="{00000000-0008-0000-2200-000014000000}"/>
            </a:ext>
          </a:extLst>
        </xdr:cNvPr>
        <xdr:cNvSpPr>
          <a:spLocks noChangeShapeType="1"/>
        </xdr:cNvSpPr>
      </xdr:nvSpPr>
      <xdr:spPr bwMode="auto">
        <a:xfrm>
          <a:off x="3905250" y="5554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714</xdr:row>
      <xdr:rowOff>0</xdr:rowOff>
    </xdr:from>
    <xdr:to>
      <xdr:col>11</xdr:col>
      <xdr:colOff>0</xdr:colOff>
      <xdr:row>714</xdr:row>
      <xdr:rowOff>0</xdr:rowOff>
    </xdr:to>
    <xdr:sp macro="" textlink="">
      <xdr:nvSpPr>
        <xdr:cNvPr id="21" name="Line 111">
          <a:extLst>
            <a:ext uri="{FF2B5EF4-FFF2-40B4-BE49-F238E27FC236}">
              <a16:creationId xmlns="" xmlns:a16="http://schemas.microsoft.com/office/drawing/2014/main" id="{00000000-0008-0000-2200-000015000000}"/>
            </a:ext>
          </a:extLst>
        </xdr:cNvPr>
        <xdr:cNvSpPr>
          <a:spLocks noChangeShapeType="1"/>
        </xdr:cNvSpPr>
      </xdr:nvSpPr>
      <xdr:spPr bwMode="auto">
        <a:xfrm>
          <a:off x="3905250" y="5554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33</xdr:col>
      <xdr:colOff>28575</xdr:colOff>
      <xdr:row>1076</xdr:row>
      <xdr:rowOff>19050</xdr:rowOff>
    </xdr:from>
    <xdr:to>
      <xdr:col>34</xdr:col>
      <xdr:colOff>438912</xdr:colOff>
      <xdr:row>1076</xdr:row>
      <xdr:rowOff>25908</xdr:rowOff>
    </xdr:to>
    <xdr:pic>
      <xdr:nvPicPr>
        <xdr:cNvPr id="22" name="Picture 1" descr="ttD mamiq.jpg">
          <a:extLst>
            <a:ext uri="{FF2B5EF4-FFF2-40B4-BE49-F238E27FC236}">
              <a16:creationId xmlns="" xmlns:a16="http://schemas.microsoft.com/office/drawing/2014/main" id="{00000000-0008-0000-2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10000" contrast="10000"/>
        </a:blip>
        <a:srcRect l="33302" t="31056" r="30606" b="37903"/>
        <a:stretch>
          <a:fillRect/>
        </a:stretch>
      </xdr:blipFill>
      <xdr:spPr bwMode="auto">
        <a:xfrm>
          <a:off x="14957425" y="80264000"/>
          <a:ext cx="1051687" cy="68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2" name="Line 100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3" name="Line 101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4" name="Line 102"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5" name="Line 103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6" name="Line 100">
          <a:extLst>
            <a:ext uri="{FF2B5EF4-FFF2-40B4-BE49-F238E27FC236}">
              <a16:creationId xmlns="" xmlns:a16="http://schemas.microsoft.com/office/drawing/2014/main" id="{00000000-0008-0000-0800-00000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7" name="Line 101">
          <a:extLst>
            <a:ext uri="{FF2B5EF4-FFF2-40B4-BE49-F238E27FC236}">
              <a16:creationId xmlns="" xmlns:a16="http://schemas.microsoft.com/office/drawing/2014/main" id="{00000000-0008-0000-0800-00000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8" name="Line 102">
          <a:extLst>
            <a:ext uri="{FF2B5EF4-FFF2-40B4-BE49-F238E27FC236}">
              <a16:creationId xmlns="" xmlns:a16="http://schemas.microsoft.com/office/drawing/2014/main" id="{00000000-0008-0000-08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9" name="Line 103">
          <a:extLst>
            <a:ext uri="{FF2B5EF4-FFF2-40B4-BE49-F238E27FC236}">
              <a16:creationId xmlns="" xmlns:a16="http://schemas.microsoft.com/office/drawing/2014/main" id="{00000000-0008-0000-08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0" name="Line 100">
          <a:extLst>
            <a:ext uri="{FF2B5EF4-FFF2-40B4-BE49-F238E27FC236}">
              <a16:creationId xmlns="" xmlns:a16="http://schemas.microsoft.com/office/drawing/2014/main" id="{00000000-0008-0000-08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1" name="Line 101">
          <a:extLst>
            <a:ext uri="{FF2B5EF4-FFF2-40B4-BE49-F238E27FC236}">
              <a16:creationId xmlns="" xmlns:a16="http://schemas.microsoft.com/office/drawing/2014/main" id="{00000000-0008-0000-08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2" name="Line 102">
          <a:extLst>
            <a:ext uri="{FF2B5EF4-FFF2-40B4-BE49-F238E27FC236}">
              <a16:creationId xmlns="" xmlns:a16="http://schemas.microsoft.com/office/drawing/2014/main" id="{00000000-0008-0000-08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3" name="Line 103">
          <a:extLst>
            <a:ext uri="{FF2B5EF4-FFF2-40B4-BE49-F238E27FC236}">
              <a16:creationId xmlns="" xmlns:a16="http://schemas.microsoft.com/office/drawing/2014/main" id="{00000000-0008-0000-0800-00000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4" name="Line 100">
          <a:extLst>
            <a:ext uri="{FF2B5EF4-FFF2-40B4-BE49-F238E27FC236}">
              <a16:creationId xmlns="" xmlns:a16="http://schemas.microsoft.com/office/drawing/2014/main" id="{00000000-0008-0000-0800-00000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381375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5" name="Line 101">
          <a:extLst>
            <a:ext uri="{FF2B5EF4-FFF2-40B4-BE49-F238E27FC236}">
              <a16:creationId xmlns="" xmlns:a16="http://schemas.microsoft.com/office/drawing/2014/main" id="{00000000-0008-0000-0800-00000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381375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6" name="Line 102">
          <a:extLst>
            <a:ext uri="{FF2B5EF4-FFF2-40B4-BE49-F238E27FC236}">
              <a16:creationId xmlns="" xmlns:a16="http://schemas.microsoft.com/office/drawing/2014/main" id="{00000000-0008-0000-0800-00001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381375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7" name="Line 103">
          <a:extLst>
            <a:ext uri="{FF2B5EF4-FFF2-40B4-BE49-F238E27FC236}">
              <a16:creationId xmlns="" xmlns:a16="http://schemas.microsoft.com/office/drawing/2014/main" id="{00000000-0008-0000-0800-00001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381375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2" name="Line 30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3" name="Line 31">
          <a:extLs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4" name="Line 32">
          <a:extLst>
            <a:ext uri="{FF2B5EF4-FFF2-40B4-BE49-F238E27FC236}">
              <a16:creationId xmlns="" xmlns:a16="http://schemas.microsoft.com/office/drawing/2014/main" id="{00000000-0008-0000-0900-000004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5" name="Line 33">
          <a:extLst>
            <a:ext uri="{FF2B5EF4-FFF2-40B4-BE49-F238E27FC236}">
              <a16:creationId xmlns="" xmlns:a16="http://schemas.microsoft.com/office/drawing/2014/main" id="{00000000-0008-0000-0900-000005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6" name="Line 34">
          <a:extLst>
            <a:ext uri="{FF2B5EF4-FFF2-40B4-BE49-F238E27FC236}">
              <a16:creationId xmlns="" xmlns:a16="http://schemas.microsoft.com/office/drawing/2014/main" id="{00000000-0008-0000-0900-000006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7" name="Line 35">
          <a:extLst>
            <a:ext uri="{FF2B5EF4-FFF2-40B4-BE49-F238E27FC236}">
              <a16:creationId xmlns="" xmlns:a16="http://schemas.microsoft.com/office/drawing/2014/main" id="{00000000-0008-0000-0900-000007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8" name="Line 36">
          <a:extLst>
            <a:ext uri="{FF2B5EF4-FFF2-40B4-BE49-F238E27FC236}">
              <a16:creationId xmlns="" xmlns:a16="http://schemas.microsoft.com/office/drawing/2014/main" id="{00000000-0008-0000-0900-000008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9" name="Line 37">
          <a:extLst>
            <a:ext uri="{FF2B5EF4-FFF2-40B4-BE49-F238E27FC236}">
              <a16:creationId xmlns="" xmlns:a16="http://schemas.microsoft.com/office/drawing/2014/main" id="{00000000-0008-0000-0900-000009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2" name="Line 1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="" xmlns:a16="http://schemas.microsoft.com/office/drawing/2014/main" id="{00000000-0008-0000-0A00-000003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4" name="Line 3">
          <a:extLst>
            <a:ext uri="{FF2B5EF4-FFF2-40B4-BE49-F238E27FC236}">
              <a16:creationId xmlns="" xmlns:a16="http://schemas.microsoft.com/office/drawing/2014/main" id="{00000000-0008-0000-0A00-000004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5" name="Line 4">
          <a:extLst>
            <a:ext uri="{FF2B5EF4-FFF2-40B4-BE49-F238E27FC236}">
              <a16:creationId xmlns="" xmlns:a16="http://schemas.microsoft.com/office/drawing/2014/main" id="{00000000-0008-0000-0A00-000005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6" name="Line 5">
          <a:extLst>
            <a:ext uri="{FF2B5EF4-FFF2-40B4-BE49-F238E27FC236}">
              <a16:creationId xmlns="" xmlns:a16="http://schemas.microsoft.com/office/drawing/2014/main" id="{00000000-0008-0000-0A00-000006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7" name="Line 6">
          <a:extLst>
            <a:ext uri="{FF2B5EF4-FFF2-40B4-BE49-F238E27FC236}">
              <a16:creationId xmlns="" xmlns:a16="http://schemas.microsoft.com/office/drawing/2014/main" id="{00000000-0008-0000-0A00-000007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8" name="Line 7">
          <a:extLst>
            <a:ext uri="{FF2B5EF4-FFF2-40B4-BE49-F238E27FC236}">
              <a16:creationId xmlns="" xmlns:a16="http://schemas.microsoft.com/office/drawing/2014/main" id="{00000000-0008-0000-0A00-000008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9" name="Line 8">
          <a:extLst>
            <a:ext uri="{FF2B5EF4-FFF2-40B4-BE49-F238E27FC236}">
              <a16:creationId xmlns="" xmlns:a16="http://schemas.microsoft.com/office/drawing/2014/main" id="{00000000-0008-0000-0A00-000009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10" name="Line 9">
          <a:extLst>
            <a:ext uri="{FF2B5EF4-FFF2-40B4-BE49-F238E27FC236}">
              <a16:creationId xmlns="" xmlns:a16="http://schemas.microsoft.com/office/drawing/2014/main" id="{00000000-0008-0000-0A00-00000A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1" name="Line 10">
          <a:extLst>
            <a:ext uri="{FF2B5EF4-FFF2-40B4-BE49-F238E27FC236}">
              <a16:creationId xmlns="" xmlns:a16="http://schemas.microsoft.com/office/drawing/2014/main" id="{00000000-0008-0000-0A00-00000B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2" name="Line 11">
          <a:extLst>
            <a:ext uri="{FF2B5EF4-FFF2-40B4-BE49-F238E27FC236}">
              <a16:creationId xmlns="" xmlns:a16="http://schemas.microsoft.com/office/drawing/2014/main" id="{00000000-0008-0000-0A00-00000C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3" name="Line 12">
          <a:extLst>
            <a:ext uri="{FF2B5EF4-FFF2-40B4-BE49-F238E27FC236}">
              <a16:creationId xmlns="" xmlns:a16="http://schemas.microsoft.com/office/drawing/2014/main" id="{00000000-0008-0000-0A00-00000D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4" name="Line 13">
          <a:extLst>
            <a:ext uri="{FF2B5EF4-FFF2-40B4-BE49-F238E27FC236}">
              <a16:creationId xmlns="" xmlns:a16="http://schemas.microsoft.com/office/drawing/2014/main" id="{00000000-0008-0000-0A00-00000E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15" name="Line 14">
          <a:extLst>
            <a:ext uri="{FF2B5EF4-FFF2-40B4-BE49-F238E27FC236}">
              <a16:creationId xmlns="" xmlns:a16="http://schemas.microsoft.com/office/drawing/2014/main" id="{00000000-0008-0000-0A00-00000F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584</xdr:row>
      <xdr:rowOff>0</xdr:rowOff>
    </xdr:from>
    <xdr:to>
      <xdr:col>8</xdr:col>
      <xdr:colOff>9525</xdr:colOff>
      <xdr:row>584</xdr:row>
      <xdr:rowOff>0</xdr:rowOff>
    </xdr:to>
    <xdr:sp macro="" textlink="">
      <xdr:nvSpPr>
        <xdr:cNvPr id="2" name="Line 30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9525</xdr:colOff>
      <xdr:row>584</xdr:row>
      <xdr:rowOff>0</xdr:rowOff>
    </xdr:to>
    <xdr:sp macro="" textlink="">
      <xdr:nvSpPr>
        <xdr:cNvPr id="3" name="Line 31"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9525</xdr:colOff>
      <xdr:row>584</xdr:row>
      <xdr:rowOff>0</xdr:rowOff>
    </xdr:to>
    <xdr:sp macro="" textlink="">
      <xdr:nvSpPr>
        <xdr:cNvPr id="4" name="Line 32">
          <a:extLst>
            <a:ext uri="{FF2B5EF4-FFF2-40B4-BE49-F238E27FC236}">
              <a16:creationId xmlns="" xmlns:a16="http://schemas.microsoft.com/office/drawing/2014/main" id="{00000000-0008-0000-0B00-000004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9525</xdr:colOff>
      <xdr:row>584</xdr:row>
      <xdr:rowOff>0</xdr:rowOff>
    </xdr:to>
    <xdr:sp macro="" textlink="">
      <xdr:nvSpPr>
        <xdr:cNvPr id="5" name="Line 33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9525</xdr:colOff>
      <xdr:row>584</xdr:row>
      <xdr:rowOff>0</xdr:rowOff>
    </xdr:to>
    <xdr:sp macro="" textlink="">
      <xdr:nvSpPr>
        <xdr:cNvPr id="6" name="Line 34">
          <a:extLst>
            <a:ext uri="{FF2B5EF4-FFF2-40B4-BE49-F238E27FC236}">
              <a16:creationId xmlns="" xmlns:a16="http://schemas.microsoft.com/office/drawing/2014/main" id="{00000000-0008-0000-0B00-000006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9525</xdr:colOff>
      <xdr:row>584</xdr:row>
      <xdr:rowOff>0</xdr:rowOff>
    </xdr:to>
    <xdr:sp macro="" textlink="">
      <xdr:nvSpPr>
        <xdr:cNvPr id="7" name="Line 35">
          <a:extLst>
            <a:ext uri="{FF2B5EF4-FFF2-40B4-BE49-F238E27FC236}">
              <a16:creationId xmlns="" xmlns:a16="http://schemas.microsoft.com/office/drawing/2014/main" id="{00000000-0008-0000-0B00-000007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9525</xdr:colOff>
      <xdr:row>584</xdr:row>
      <xdr:rowOff>0</xdr:rowOff>
    </xdr:to>
    <xdr:sp macro="" textlink="">
      <xdr:nvSpPr>
        <xdr:cNvPr id="8" name="Line 36">
          <a:extLst>
            <a:ext uri="{FF2B5EF4-FFF2-40B4-BE49-F238E27FC236}">
              <a16:creationId xmlns="" xmlns:a16="http://schemas.microsoft.com/office/drawing/2014/main" id="{00000000-0008-0000-0B00-000008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9525</xdr:colOff>
      <xdr:row>584</xdr:row>
      <xdr:rowOff>0</xdr:rowOff>
    </xdr:to>
    <xdr:sp macro="" textlink="">
      <xdr:nvSpPr>
        <xdr:cNvPr id="9" name="Line 37">
          <a:extLst>
            <a:ext uri="{FF2B5EF4-FFF2-40B4-BE49-F238E27FC236}">
              <a16:creationId xmlns="" xmlns:a16="http://schemas.microsoft.com/office/drawing/2014/main" id="{00000000-0008-0000-0B00-000009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1724025</xdr:colOff>
      <xdr:row>44</xdr:row>
      <xdr:rowOff>0</xdr:rowOff>
    </xdr:from>
    <xdr:to>
      <xdr:col>10</xdr:col>
      <xdr:colOff>0</xdr:colOff>
      <xdr:row>44</xdr:row>
      <xdr:rowOff>0</xdr:rowOff>
    </xdr:to>
    <xdr:sp macro="" textlink="">
      <xdr:nvSpPr>
        <xdr:cNvPr id="2" name="Line 1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7</xdr:row>
      <xdr:rowOff>0</xdr:rowOff>
    </xdr:from>
    <xdr:to>
      <xdr:col>10</xdr:col>
      <xdr:colOff>0</xdr:colOff>
      <xdr:row>7</xdr:row>
      <xdr:rowOff>0</xdr:rowOff>
    </xdr:to>
    <xdr:sp macro="" textlink="">
      <xdr:nvSpPr>
        <xdr:cNvPr id="3" name="Line 2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7</xdr:row>
      <xdr:rowOff>0</xdr:rowOff>
    </xdr:from>
    <xdr:to>
      <xdr:col>10</xdr:col>
      <xdr:colOff>0</xdr:colOff>
      <xdr:row>7</xdr:row>
      <xdr:rowOff>0</xdr:rowOff>
    </xdr:to>
    <xdr:sp macro="" textlink="">
      <xdr:nvSpPr>
        <xdr:cNvPr id="4" name="Line 3">
          <a:extLst>
            <a:ext uri="{FF2B5EF4-FFF2-40B4-BE49-F238E27FC236}">
              <a16:creationId xmlns="" xmlns:a16="http://schemas.microsoft.com/office/drawing/2014/main" id="{00000000-0008-0000-0C00-000004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7</xdr:row>
      <xdr:rowOff>0</xdr:rowOff>
    </xdr:from>
    <xdr:to>
      <xdr:col>10</xdr:col>
      <xdr:colOff>0</xdr:colOff>
      <xdr:row>7</xdr:row>
      <xdr:rowOff>0</xdr:rowOff>
    </xdr:to>
    <xdr:sp macro="" textlink="">
      <xdr:nvSpPr>
        <xdr:cNvPr id="5" name="Line 4">
          <a:extLst>
            <a:ext uri="{FF2B5EF4-FFF2-40B4-BE49-F238E27FC236}">
              <a16:creationId xmlns="" xmlns:a16="http://schemas.microsoft.com/office/drawing/2014/main" id="{00000000-0008-0000-0C00-000005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7</xdr:row>
      <xdr:rowOff>0</xdr:rowOff>
    </xdr:from>
    <xdr:to>
      <xdr:col>10</xdr:col>
      <xdr:colOff>0</xdr:colOff>
      <xdr:row>7</xdr:row>
      <xdr:rowOff>0</xdr:rowOff>
    </xdr:to>
    <xdr:sp macro="" textlink="">
      <xdr:nvSpPr>
        <xdr:cNvPr id="6" name="Line 5">
          <a:extLst>
            <a:ext uri="{FF2B5EF4-FFF2-40B4-BE49-F238E27FC236}">
              <a16:creationId xmlns="" xmlns:a16="http://schemas.microsoft.com/office/drawing/2014/main" id="{00000000-0008-0000-0C00-000006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44</xdr:row>
      <xdr:rowOff>0</xdr:rowOff>
    </xdr:from>
    <xdr:to>
      <xdr:col>10</xdr:col>
      <xdr:colOff>0</xdr:colOff>
      <xdr:row>44</xdr:row>
      <xdr:rowOff>0</xdr:rowOff>
    </xdr:to>
    <xdr:sp macro="" textlink="">
      <xdr:nvSpPr>
        <xdr:cNvPr id="7" name="Line 6">
          <a:extLst>
            <a:ext uri="{FF2B5EF4-FFF2-40B4-BE49-F238E27FC236}">
              <a16:creationId xmlns="" xmlns:a16="http://schemas.microsoft.com/office/drawing/2014/main" id="{00000000-0008-0000-0C00-000007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44</xdr:row>
      <xdr:rowOff>0</xdr:rowOff>
    </xdr:from>
    <xdr:to>
      <xdr:col>10</xdr:col>
      <xdr:colOff>0</xdr:colOff>
      <xdr:row>44</xdr:row>
      <xdr:rowOff>0</xdr:rowOff>
    </xdr:to>
    <xdr:sp macro="" textlink="">
      <xdr:nvSpPr>
        <xdr:cNvPr id="8" name="Line 7">
          <a:extLst>
            <a:ext uri="{FF2B5EF4-FFF2-40B4-BE49-F238E27FC236}">
              <a16:creationId xmlns="" xmlns:a16="http://schemas.microsoft.com/office/drawing/2014/main" id="{00000000-0008-0000-0C00-000008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44</xdr:row>
      <xdr:rowOff>0</xdr:rowOff>
    </xdr:from>
    <xdr:to>
      <xdr:col>10</xdr:col>
      <xdr:colOff>0</xdr:colOff>
      <xdr:row>44</xdr:row>
      <xdr:rowOff>0</xdr:rowOff>
    </xdr:to>
    <xdr:sp macro="" textlink="">
      <xdr:nvSpPr>
        <xdr:cNvPr id="9" name="Line 8">
          <a:extLst>
            <a:ext uri="{FF2B5EF4-FFF2-40B4-BE49-F238E27FC236}">
              <a16:creationId xmlns="" xmlns:a16="http://schemas.microsoft.com/office/drawing/2014/main" id="{00000000-0008-0000-0C00-000009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44</xdr:row>
      <xdr:rowOff>0</xdr:rowOff>
    </xdr:from>
    <xdr:to>
      <xdr:col>10</xdr:col>
      <xdr:colOff>0</xdr:colOff>
      <xdr:row>44</xdr:row>
      <xdr:rowOff>0</xdr:rowOff>
    </xdr:to>
    <xdr:sp macro="" textlink="">
      <xdr:nvSpPr>
        <xdr:cNvPr id="10" name="Line 9">
          <a:extLst>
            <a:ext uri="{FF2B5EF4-FFF2-40B4-BE49-F238E27FC236}">
              <a16:creationId xmlns="" xmlns:a16="http://schemas.microsoft.com/office/drawing/2014/main" id="{00000000-0008-0000-0C00-00000A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7</xdr:row>
      <xdr:rowOff>0</xdr:rowOff>
    </xdr:from>
    <xdr:to>
      <xdr:col>10</xdr:col>
      <xdr:colOff>0</xdr:colOff>
      <xdr:row>7</xdr:row>
      <xdr:rowOff>0</xdr:rowOff>
    </xdr:to>
    <xdr:sp macro="" textlink="">
      <xdr:nvSpPr>
        <xdr:cNvPr id="11" name="Line 10">
          <a:extLst>
            <a:ext uri="{FF2B5EF4-FFF2-40B4-BE49-F238E27FC236}">
              <a16:creationId xmlns="" xmlns:a16="http://schemas.microsoft.com/office/drawing/2014/main" id="{00000000-0008-0000-0C00-00000B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7</xdr:row>
      <xdr:rowOff>0</xdr:rowOff>
    </xdr:from>
    <xdr:to>
      <xdr:col>10</xdr:col>
      <xdr:colOff>0</xdr:colOff>
      <xdr:row>7</xdr:row>
      <xdr:rowOff>0</xdr:rowOff>
    </xdr:to>
    <xdr:sp macro="" textlink="">
      <xdr:nvSpPr>
        <xdr:cNvPr id="12" name="Line 11">
          <a:extLst>
            <a:ext uri="{FF2B5EF4-FFF2-40B4-BE49-F238E27FC236}">
              <a16:creationId xmlns="" xmlns:a16="http://schemas.microsoft.com/office/drawing/2014/main" id="{00000000-0008-0000-0C00-00000C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7</xdr:row>
      <xdr:rowOff>0</xdr:rowOff>
    </xdr:from>
    <xdr:to>
      <xdr:col>10</xdr:col>
      <xdr:colOff>0</xdr:colOff>
      <xdr:row>7</xdr:row>
      <xdr:rowOff>0</xdr:rowOff>
    </xdr:to>
    <xdr:sp macro="" textlink="">
      <xdr:nvSpPr>
        <xdr:cNvPr id="13" name="Line 12">
          <a:extLst>
            <a:ext uri="{FF2B5EF4-FFF2-40B4-BE49-F238E27FC236}">
              <a16:creationId xmlns="" xmlns:a16="http://schemas.microsoft.com/office/drawing/2014/main" id="{00000000-0008-0000-0C00-00000D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7</xdr:row>
      <xdr:rowOff>0</xdr:rowOff>
    </xdr:from>
    <xdr:to>
      <xdr:col>10</xdr:col>
      <xdr:colOff>0</xdr:colOff>
      <xdr:row>7</xdr:row>
      <xdr:rowOff>0</xdr:rowOff>
    </xdr:to>
    <xdr:sp macro="" textlink="">
      <xdr:nvSpPr>
        <xdr:cNvPr id="14" name="Line 13">
          <a:extLst>
            <a:ext uri="{FF2B5EF4-FFF2-40B4-BE49-F238E27FC236}">
              <a16:creationId xmlns="" xmlns:a16="http://schemas.microsoft.com/office/drawing/2014/main" id="{00000000-0008-0000-0C00-00000E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44</xdr:row>
      <xdr:rowOff>0</xdr:rowOff>
    </xdr:from>
    <xdr:to>
      <xdr:col>10</xdr:col>
      <xdr:colOff>0</xdr:colOff>
      <xdr:row>44</xdr:row>
      <xdr:rowOff>0</xdr:rowOff>
    </xdr:to>
    <xdr:sp macro="" textlink="">
      <xdr:nvSpPr>
        <xdr:cNvPr id="15" name="Line 14">
          <a:extLst>
            <a:ext uri="{FF2B5EF4-FFF2-40B4-BE49-F238E27FC236}">
              <a16:creationId xmlns="" xmlns:a16="http://schemas.microsoft.com/office/drawing/2014/main" id="{00000000-0008-0000-0C00-00000F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2" name="Line 30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SpPr>
          <a:spLocks noChangeShapeType="1"/>
        </xdr:cNvSpPr>
      </xdr:nvSpPr>
      <xdr:spPr>
        <a:xfrm>
          <a:off x="2984500" y="936053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3" name="Line 31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SpPr>
          <a:spLocks noChangeShapeType="1"/>
        </xdr:cNvSpPr>
      </xdr:nvSpPr>
      <xdr:spPr>
        <a:xfrm>
          <a:off x="2984500" y="936053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4" name="Line 32">
          <a:extLst>
            <a:ext uri="{FF2B5EF4-FFF2-40B4-BE49-F238E27FC236}">
              <a16:creationId xmlns="" xmlns:a16="http://schemas.microsoft.com/office/drawing/2014/main" id="{00000000-0008-0000-0D00-000004000000}"/>
            </a:ext>
          </a:extLst>
        </xdr:cNvPr>
        <xdr:cNvSpPr>
          <a:spLocks noChangeShapeType="1"/>
        </xdr:cNvSpPr>
      </xdr:nvSpPr>
      <xdr:spPr>
        <a:xfrm>
          <a:off x="2984500" y="936053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5" name="Line 33">
          <a:extLst>
            <a:ext uri="{FF2B5EF4-FFF2-40B4-BE49-F238E27FC236}">
              <a16:creationId xmlns="" xmlns:a16="http://schemas.microsoft.com/office/drawing/2014/main" id="{00000000-0008-0000-0D00-000005000000}"/>
            </a:ext>
          </a:extLst>
        </xdr:cNvPr>
        <xdr:cNvSpPr>
          <a:spLocks noChangeShapeType="1"/>
        </xdr:cNvSpPr>
      </xdr:nvSpPr>
      <xdr:spPr>
        <a:xfrm>
          <a:off x="2984500" y="936053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6" name="Line 34">
          <a:extLst>
            <a:ext uri="{FF2B5EF4-FFF2-40B4-BE49-F238E27FC236}">
              <a16:creationId xmlns="" xmlns:a16="http://schemas.microsoft.com/office/drawing/2014/main" id="{00000000-0008-0000-0D00-000006000000}"/>
            </a:ext>
          </a:extLst>
        </xdr:cNvPr>
        <xdr:cNvSpPr>
          <a:spLocks noChangeShapeType="1"/>
        </xdr:cNvSpPr>
      </xdr:nvSpPr>
      <xdr:spPr>
        <a:xfrm>
          <a:off x="2984500" y="936053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7" name="Line 35">
          <a:extLst>
            <a:ext uri="{FF2B5EF4-FFF2-40B4-BE49-F238E27FC236}">
              <a16:creationId xmlns="" xmlns:a16="http://schemas.microsoft.com/office/drawing/2014/main" id="{00000000-0008-0000-0D00-000007000000}"/>
            </a:ext>
          </a:extLst>
        </xdr:cNvPr>
        <xdr:cNvSpPr>
          <a:spLocks noChangeShapeType="1"/>
        </xdr:cNvSpPr>
      </xdr:nvSpPr>
      <xdr:spPr>
        <a:xfrm>
          <a:off x="2984500" y="936053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8" name="Line 36">
          <a:extLst>
            <a:ext uri="{FF2B5EF4-FFF2-40B4-BE49-F238E27FC236}">
              <a16:creationId xmlns="" xmlns:a16="http://schemas.microsoft.com/office/drawing/2014/main" id="{00000000-0008-0000-0D00-000008000000}"/>
            </a:ext>
          </a:extLst>
        </xdr:cNvPr>
        <xdr:cNvSpPr>
          <a:spLocks noChangeShapeType="1"/>
        </xdr:cNvSpPr>
      </xdr:nvSpPr>
      <xdr:spPr>
        <a:xfrm>
          <a:off x="2984500" y="936053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9" name="Line 37">
          <a:extLst>
            <a:ext uri="{FF2B5EF4-FFF2-40B4-BE49-F238E27FC236}">
              <a16:creationId xmlns="" xmlns:a16="http://schemas.microsoft.com/office/drawing/2014/main" id="{00000000-0008-0000-0D00-000009000000}"/>
            </a:ext>
          </a:extLst>
        </xdr:cNvPr>
        <xdr:cNvSpPr>
          <a:spLocks noChangeShapeType="1"/>
        </xdr:cNvSpPr>
      </xdr:nvSpPr>
      <xdr:spPr>
        <a:xfrm>
          <a:off x="2984500" y="936053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2" name="Line 1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="" xmlns:a16="http://schemas.microsoft.com/office/drawing/2014/main" id="{00000000-0008-0000-0E00-000003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4" name="Line 3">
          <a:extLst>
            <a:ext uri="{FF2B5EF4-FFF2-40B4-BE49-F238E27FC236}">
              <a16:creationId xmlns="" xmlns:a16="http://schemas.microsoft.com/office/drawing/2014/main" id="{00000000-0008-0000-0E00-000004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5" name="Line 4">
          <a:extLst>
            <a:ext uri="{FF2B5EF4-FFF2-40B4-BE49-F238E27FC236}">
              <a16:creationId xmlns="" xmlns:a16="http://schemas.microsoft.com/office/drawing/2014/main" id="{00000000-0008-0000-0E00-000005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6" name="Line 5">
          <a:extLst>
            <a:ext uri="{FF2B5EF4-FFF2-40B4-BE49-F238E27FC236}">
              <a16:creationId xmlns="" xmlns:a16="http://schemas.microsoft.com/office/drawing/2014/main" id="{00000000-0008-0000-0E00-000006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7" name="Line 6">
          <a:extLst>
            <a:ext uri="{FF2B5EF4-FFF2-40B4-BE49-F238E27FC236}">
              <a16:creationId xmlns="" xmlns:a16="http://schemas.microsoft.com/office/drawing/2014/main" id="{00000000-0008-0000-0E00-000007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8" name="Line 7">
          <a:extLst>
            <a:ext uri="{FF2B5EF4-FFF2-40B4-BE49-F238E27FC236}">
              <a16:creationId xmlns="" xmlns:a16="http://schemas.microsoft.com/office/drawing/2014/main" id="{00000000-0008-0000-0E00-000008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9" name="Line 8">
          <a:extLst>
            <a:ext uri="{FF2B5EF4-FFF2-40B4-BE49-F238E27FC236}">
              <a16:creationId xmlns="" xmlns:a16="http://schemas.microsoft.com/office/drawing/2014/main" id="{00000000-0008-0000-0E00-000009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10" name="Line 9">
          <a:extLst>
            <a:ext uri="{FF2B5EF4-FFF2-40B4-BE49-F238E27FC236}">
              <a16:creationId xmlns="" xmlns:a16="http://schemas.microsoft.com/office/drawing/2014/main" id="{00000000-0008-0000-0E00-00000A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1" name="Line 10">
          <a:extLst>
            <a:ext uri="{FF2B5EF4-FFF2-40B4-BE49-F238E27FC236}">
              <a16:creationId xmlns="" xmlns:a16="http://schemas.microsoft.com/office/drawing/2014/main" id="{00000000-0008-0000-0E00-00000B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2" name="Line 11">
          <a:extLst>
            <a:ext uri="{FF2B5EF4-FFF2-40B4-BE49-F238E27FC236}">
              <a16:creationId xmlns="" xmlns:a16="http://schemas.microsoft.com/office/drawing/2014/main" id="{00000000-0008-0000-0E00-00000C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3" name="Line 12">
          <a:extLst>
            <a:ext uri="{FF2B5EF4-FFF2-40B4-BE49-F238E27FC236}">
              <a16:creationId xmlns="" xmlns:a16="http://schemas.microsoft.com/office/drawing/2014/main" id="{00000000-0008-0000-0E00-00000D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4" name="Line 13">
          <a:extLst>
            <a:ext uri="{FF2B5EF4-FFF2-40B4-BE49-F238E27FC236}">
              <a16:creationId xmlns="" xmlns:a16="http://schemas.microsoft.com/office/drawing/2014/main" id="{00000000-0008-0000-0E00-00000E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15" name="Line 14">
          <a:extLst>
            <a:ext uri="{FF2B5EF4-FFF2-40B4-BE49-F238E27FC236}">
              <a16:creationId xmlns="" xmlns:a16="http://schemas.microsoft.com/office/drawing/2014/main" id="{00000000-0008-0000-0E00-00000F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Target%20Pendapatan%20Murni%202017%20untuk%20RAPBD%202017%20NOVEMBER%20Komisi%20TERAKHIR%20-%20Copy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PTKM%202016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AKPER%202016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KMM%202016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RSUP%20PROV.%20NTB%202016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RSJ%20PROV.%20NTB%202016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NAS%20PU%202016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APPEDA%202016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SHUBKOMINFO%202016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LHP%202016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P3AKB%2020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2017%20retribusi\Perbandingan%20dan%20rencana%20target%202017%20pembahasan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NAS%20SOSIAL%202016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SNAKER%202016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NAS%20KOPERASI%202016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SBUDPAR%202016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SATPOL%20PP%202016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IRO%20UMUM%202016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IRO%20KEUANGAN%202016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ADAN%20ARSIP%202016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PRD%202016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PENDA%202016\DISPENDA%20201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EDIT%20PAK%20KABID%20REALISASI%20RETRBUSI%202017-MARET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PENDA%202016\MATARAM%202016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PENDA%202016\PRAYA%202016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PENDA%202016\SELONG%202016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PENDA%202016\SUMBAWA%202016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PENDA%202016\BIMA%202016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PENDA%202016\DOMPU%202016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PENDA%202016\GERUNG%202016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PENDA%202016\KSB%202016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PENDA%202016\TANJUNG%202016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SBUN%20201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7\REALISASI%20PERBULAN%202017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SNAKWAN%202016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KPD%202016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SHUT%202016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STAMBEN%202016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SLUTKAN%202016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SPERINDAG%202016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INSPEKTORAT%202016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KANTOR%20PENGHUBUNG%202016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KD%20DAN%20DIKLAT%202016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NAS%20PERTANIAN%20201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KPORA%202016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PM%20DESA%202016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KPMPT%202016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AKORLUH%202016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KPID%202016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AKESBANGPOLDAGRI%202016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EALISASI%20PERBULAN%202016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5.%20REALISASI%202016_Edit%20terbaru_2.2.17\3.%20REKAP%202016\REKAP%202016\NOVEMBER%202016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5\REALISASI%20PERBULAN%202015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5.%20REALISASI%202016_Edit%20terbaru_2.2.17\3.%20REKAP%202016\REKAP%202016\AGUSTUS%202016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5\REKAP%202015\OKTOBER%202015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KES%202016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4\REALISASI%20PERBULAN%202014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5\RINCIAN%20DATA%202015\DISBUDPAR%202015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5.%20REALISASI%202016_Edit%20terbaru_2.2.17\3.%20REKAP%202016\REKAP%202016\NOPEMBER%202015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5.%20REALISASI%202016_Edit%20terbaru_2.2.17\3.%20REKAP%202016\REKAP%202016\OKTOBER%202015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PENDAPATAN\Target%20Pendapatan%20Murni%202017%20untuk%20RAPBD%202017%20NOVEMBER%20Komisi%20TERAKHIR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ALABKES%20PULAU%20LOMBOK%20201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ALABKES%20PULAU%20SUMBAWA%202016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RSUD%20SUMBAWA%20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-DESEMB"/>
      <sheetName val="PEMBATAS"/>
      <sheetName val="Perdinas"/>
      <sheetName val="REKAP30Okt"/>
      <sheetName val="komponen"/>
      <sheetName val=" COBA 2017"/>
      <sheetName val="data sementara"/>
      <sheetName val="Sheet1"/>
    </sheetNames>
    <sheetDataSet>
      <sheetData sheetId="0"/>
      <sheetData sheetId="1"/>
      <sheetData sheetId="2">
        <row r="457">
          <cell r="W457">
            <v>3471628553484</v>
          </cell>
        </row>
        <row r="483">
          <cell r="W483">
            <v>13374571865</v>
          </cell>
        </row>
        <row r="484">
          <cell r="W484">
            <v>59958450102</v>
          </cell>
        </row>
        <row r="485">
          <cell r="W485">
            <v>1000000000</v>
          </cell>
        </row>
        <row r="486">
          <cell r="W486">
            <v>16000000000</v>
          </cell>
        </row>
        <row r="487">
          <cell r="W487">
            <v>0</v>
          </cell>
        </row>
        <row r="488">
          <cell r="W488">
            <v>136702012</v>
          </cell>
        </row>
        <row r="489">
          <cell r="W489">
            <v>88761211</v>
          </cell>
        </row>
        <row r="493">
          <cell r="W493">
            <v>87048412584</v>
          </cell>
        </row>
        <row r="525">
          <cell r="W525">
            <v>73939763650</v>
          </cell>
        </row>
        <row r="615">
          <cell r="W615">
            <v>1496972549710</v>
          </cell>
        </row>
        <row r="621">
          <cell r="W621">
            <v>1372422968000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3">
        <row r="35">
          <cell r="D35">
            <v>33200000</v>
          </cell>
          <cell r="E35">
            <v>0</v>
          </cell>
          <cell r="F35">
            <v>0</v>
          </cell>
          <cell r="G35">
            <v>0</v>
          </cell>
          <cell r="H35">
            <v>427500</v>
          </cell>
          <cell r="I35">
            <v>0</v>
          </cell>
        </row>
      </sheetData>
      <sheetData sheetId="4">
        <row r="35">
          <cell r="D35">
            <v>24600000</v>
          </cell>
          <cell r="E35">
            <v>0</v>
          </cell>
          <cell r="F35">
            <v>0</v>
          </cell>
          <cell r="G35">
            <v>0</v>
          </cell>
          <cell r="H35">
            <v>427500</v>
          </cell>
          <cell r="I35">
            <v>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8">
        <row r="35">
          <cell r="D35">
            <v>30700000</v>
          </cell>
          <cell r="E35">
            <v>0</v>
          </cell>
          <cell r="F35">
            <v>0</v>
          </cell>
          <cell r="G35">
            <v>0</v>
          </cell>
          <cell r="H35">
            <v>427500</v>
          </cell>
          <cell r="I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0">
        <row r="35">
          <cell r="D35">
            <v>23975000</v>
          </cell>
          <cell r="E35">
            <v>0</v>
          </cell>
          <cell r="F35">
            <v>30800000</v>
          </cell>
          <cell r="G35">
            <v>0</v>
          </cell>
          <cell r="H35">
            <v>0</v>
          </cell>
          <cell r="I35">
            <v>0</v>
          </cell>
        </row>
      </sheetData>
      <sheetData sheetId="11">
        <row r="35">
          <cell r="D35">
            <v>36300000</v>
          </cell>
          <cell r="E35">
            <v>0</v>
          </cell>
          <cell r="F35">
            <v>15000000</v>
          </cell>
          <cell r="G35">
            <v>0</v>
          </cell>
          <cell r="H35">
            <v>427500</v>
          </cell>
          <cell r="I35">
            <v>0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2">
        <row r="35">
          <cell r="D35">
            <v>372348081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5">
        <row r="35">
          <cell r="D35">
            <v>160422838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8">
        <row r="35">
          <cell r="D35">
            <v>868841176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9">
        <row r="35">
          <cell r="D35">
            <v>274738264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0">
        <row r="35">
          <cell r="D35">
            <v>94645373</v>
          </cell>
          <cell r="E35">
            <v>0</v>
          </cell>
          <cell r="F35">
            <v>0</v>
          </cell>
          <cell r="G35">
            <v>0</v>
          </cell>
          <cell r="H35">
            <v>26522000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5775000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34687000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491222700</v>
          </cell>
        </row>
      </sheetData>
      <sheetData sheetId="1">
        <row r="35">
          <cell r="D35">
            <v>58438500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393778900</v>
          </cell>
        </row>
      </sheetData>
      <sheetData sheetId="2">
        <row r="35">
          <cell r="D35">
            <v>366261700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3">
        <row r="35">
          <cell r="D35">
            <v>528200900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4">
        <row r="35">
          <cell r="D35">
            <v>523833600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1036215</v>
          </cell>
        </row>
      </sheetData>
      <sheetData sheetId="5">
        <row r="35">
          <cell r="D35">
            <v>357281100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6">
        <row r="35">
          <cell r="D35">
            <v>433969400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7">
        <row r="35">
          <cell r="D35">
            <v>487592900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3465680</v>
          </cell>
        </row>
      </sheetData>
      <sheetData sheetId="8">
        <row r="35">
          <cell r="D35">
            <v>322884300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9">
        <row r="35">
          <cell r="D35">
            <v>706705200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0">
        <row r="35">
          <cell r="D35">
            <v>286795400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1">
        <row r="35">
          <cell r="D35">
            <v>464634000</v>
          </cell>
          <cell r="E35">
            <v>0</v>
          </cell>
          <cell r="F35">
            <v>0</v>
          </cell>
          <cell r="G35">
            <v>0</v>
          </cell>
          <cell r="H35">
            <v>4059015</v>
          </cell>
          <cell r="I35">
            <v>0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7271263070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">
        <row r="35">
          <cell r="D35">
            <v>6074136510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2">
        <row r="35">
          <cell r="D35">
            <v>9583304524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3">
        <row r="35">
          <cell r="D35">
            <v>7765726409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4">
        <row r="35">
          <cell r="D35">
            <v>11975931939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5">
        <row r="35">
          <cell r="D35">
            <v>12668457674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6">
        <row r="35">
          <cell r="D35">
            <v>9264095389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7">
        <row r="35">
          <cell r="D35">
            <v>10645644585.360001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8">
        <row r="35">
          <cell r="D35">
            <v>9608145972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9">
        <row r="35">
          <cell r="D35">
            <v>7653751231</v>
          </cell>
          <cell r="E35">
            <v>178187151</v>
          </cell>
          <cell r="F35">
            <v>0</v>
          </cell>
          <cell r="G35">
            <v>0</v>
          </cell>
          <cell r="H35">
            <v>0</v>
          </cell>
        </row>
      </sheetData>
      <sheetData sheetId="10">
        <row r="35">
          <cell r="D35">
            <v>13415988330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1">
        <row r="35">
          <cell r="D35">
            <v>9368011668.2000008</v>
          </cell>
          <cell r="E35">
            <v>0</v>
          </cell>
          <cell r="F35">
            <v>0</v>
          </cell>
          <cell r="G35">
            <v>0</v>
          </cell>
          <cell r="H35">
            <v>22520000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1016783988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">
        <row r="35">
          <cell r="D35">
            <v>755597758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2">
        <row r="35">
          <cell r="D35">
            <v>727764792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3">
        <row r="35">
          <cell r="D35">
            <v>2560344524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4">
        <row r="35">
          <cell r="D35">
            <v>739297353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5">
        <row r="35">
          <cell r="D35">
            <v>1222403795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6">
        <row r="35">
          <cell r="D35">
            <v>769448304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7">
        <row r="35">
          <cell r="D35">
            <v>1093342037</v>
          </cell>
          <cell r="E35">
            <v>0</v>
          </cell>
          <cell r="F35">
            <v>0</v>
          </cell>
          <cell r="G35">
            <v>0</v>
          </cell>
          <cell r="H35">
            <v>3882000</v>
          </cell>
          <cell r="I35">
            <v>0</v>
          </cell>
        </row>
      </sheetData>
      <sheetData sheetId="8">
        <row r="35">
          <cell r="D35">
            <v>790053119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9">
        <row r="35">
          <cell r="D35">
            <v>898009180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0">
        <row r="35">
          <cell r="D35">
            <v>1311893451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1">
        <row r="35">
          <cell r="D35">
            <v>1167987154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9950400</v>
          </cell>
          <cell r="G35">
            <v>56865914.07</v>
          </cell>
          <cell r="H35">
            <v>0</v>
          </cell>
          <cell r="I35">
            <v>0</v>
          </cell>
          <cell r="J35">
            <v>276853924.01999998</v>
          </cell>
          <cell r="K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37127000</v>
          </cell>
          <cell r="G35">
            <v>29161776.48</v>
          </cell>
          <cell r="H35">
            <v>0</v>
          </cell>
          <cell r="I35">
            <v>0</v>
          </cell>
          <cell r="J35">
            <v>42225755.719999999</v>
          </cell>
          <cell r="K35">
            <v>0</v>
          </cell>
        </row>
      </sheetData>
      <sheetData sheetId="2">
        <row r="35">
          <cell r="D35">
            <v>0</v>
          </cell>
          <cell r="E35">
            <v>0</v>
          </cell>
          <cell r="F35">
            <v>23013800</v>
          </cell>
          <cell r="G35">
            <v>22409680.16</v>
          </cell>
          <cell r="H35">
            <v>0</v>
          </cell>
          <cell r="I35">
            <v>0</v>
          </cell>
          <cell r="J35">
            <v>57903125.369999997</v>
          </cell>
          <cell r="K35">
            <v>1500000</v>
          </cell>
        </row>
      </sheetData>
      <sheetData sheetId="3">
        <row r="35">
          <cell r="D35">
            <v>0</v>
          </cell>
          <cell r="E35">
            <v>0</v>
          </cell>
          <cell r="F35">
            <v>68494900</v>
          </cell>
          <cell r="G35">
            <v>0</v>
          </cell>
          <cell r="H35">
            <v>0</v>
          </cell>
          <cell r="I35">
            <v>0</v>
          </cell>
          <cell r="J35">
            <v>12706500</v>
          </cell>
          <cell r="K35">
            <v>750000</v>
          </cell>
        </row>
      </sheetData>
      <sheetData sheetId="4">
        <row r="35">
          <cell r="D35">
            <v>0</v>
          </cell>
          <cell r="E35">
            <v>0</v>
          </cell>
          <cell r="F35">
            <v>33614800</v>
          </cell>
          <cell r="G35">
            <v>73790090.049999997</v>
          </cell>
          <cell r="H35">
            <v>0</v>
          </cell>
          <cell r="I35">
            <v>0</v>
          </cell>
          <cell r="J35">
            <v>46591281</v>
          </cell>
          <cell r="K35">
            <v>1500000</v>
          </cell>
        </row>
      </sheetData>
      <sheetData sheetId="5">
        <row r="35">
          <cell r="D35">
            <v>0</v>
          </cell>
          <cell r="E35">
            <v>6090000</v>
          </cell>
          <cell r="F35">
            <v>37775900</v>
          </cell>
          <cell r="G35">
            <v>0</v>
          </cell>
          <cell r="H35">
            <v>0</v>
          </cell>
          <cell r="I35">
            <v>0</v>
          </cell>
          <cell r="J35">
            <v>27665858.190000001</v>
          </cell>
          <cell r="K35">
            <v>0</v>
          </cell>
        </row>
      </sheetData>
      <sheetData sheetId="6">
        <row r="35">
          <cell r="D35">
            <v>0</v>
          </cell>
          <cell r="E35">
            <v>32530000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51424161.219999999</v>
          </cell>
          <cell r="K35">
            <v>1700000</v>
          </cell>
        </row>
      </sheetData>
      <sheetData sheetId="7">
        <row r="35">
          <cell r="D35">
            <v>0</v>
          </cell>
          <cell r="E35">
            <v>0</v>
          </cell>
          <cell r="F35">
            <v>4878700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17150000</v>
          </cell>
        </row>
      </sheetData>
      <sheetData sheetId="8">
        <row r="35">
          <cell r="D35">
            <v>0</v>
          </cell>
          <cell r="E35">
            <v>19450000</v>
          </cell>
          <cell r="F35">
            <v>12854300</v>
          </cell>
          <cell r="G35">
            <v>0</v>
          </cell>
          <cell r="H35">
            <v>0</v>
          </cell>
          <cell r="I35">
            <v>0</v>
          </cell>
          <cell r="J35">
            <v>1130000</v>
          </cell>
          <cell r="K35">
            <v>20700000</v>
          </cell>
        </row>
      </sheetData>
      <sheetData sheetId="9">
        <row r="35">
          <cell r="D35">
            <v>0</v>
          </cell>
          <cell r="E35">
            <v>0</v>
          </cell>
          <cell r="F35">
            <v>13392900</v>
          </cell>
          <cell r="G35">
            <v>4887560.9800000004</v>
          </cell>
          <cell r="H35">
            <v>0</v>
          </cell>
          <cell r="I35">
            <v>0</v>
          </cell>
          <cell r="J35">
            <v>8181080</v>
          </cell>
          <cell r="K35">
            <v>11950000</v>
          </cell>
        </row>
      </sheetData>
      <sheetData sheetId="10">
        <row r="35">
          <cell r="D35">
            <v>0</v>
          </cell>
          <cell r="E35">
            <v>6696000</v>
          </cell>
          <cell r="F35">
            <v>37776900</v>
          </cell>
          <cell r="G35">
            <v>0</v>
          </cell>
          <cell r="H35">
            <v>0</v>
          </cell>
          <cell r="I35">
            <v>0</v>
          </cell>
          <cell r="J35">
            <v>5650000</v>
          </cell>
          <cell r="K35">
            <v>46050000</v>
          </cell>
        </row>
      </sheetData>
      <sheetData sheetId="11">
        <row r="35">
          <cell r="D35">
            <v>0</v>
          </cell>
          <cell r="E35">
            <v>17400000</v>
          </cell>
          <cell r="F35">
            <v>50314400</v>
          </cell>
          <cell r="G35">
            <v>1559000</v>
          </cell>
          <cell r="H35">
            <v>0</v>
          </cell>
          <cell r="I35">
            <v>0</v>
          </cell>
          <cell r="J35">
            <v>103465825.84999999</v>
          </cell>
          <cell r="K35">
            <v>25830000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200000</v>
          </cell>
          <cell r="I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200000</v>
          </cell>
          <cell r="I35">
            <v>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1027500</v>
          </cell>
          <cell r="I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3588000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3455000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1797000</v>
          </cell>
        </row>
      </sheetData>
      <sheetData sheetId="1">
        <row r="35">
          <cell r="D35">
            <v>5490000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2000000</v>
          </cell>
          <cell r="K35">
            <v>1050000</v>
          </cell>
        </row>
      </sheetData>
      <sheetData sheetId="2">
        <row r="35">
          <cell r="D35">
            <v>8225000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1300000</v>
          </cell>
        </row>
      </sheetData>
      <sheetData sheetId="3">
        <row r="35">
          <cell r="D35">
            <v>5930000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1090000</v>
          </cell>
          <cell r="K35">
            <v>2800000</v>
          </cell>
        </row>
      </sheetData>
      <sheetData sheetId="4">
        <row r="35">
          <cell r="D35">
            <v>11000000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560000</v>
          </cell>
          <cell r="K35">
            <v>2050000</v>
          </cell>
        </row>
      </sheetData>
      <sheetData sheetId="5">
        <row r="35">
          <cell r="D35">
            <v>4000000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4700000</v>
          </cell>
        </row>
      </sheetData>
      <sheetData sheetId="6">
        <row r="35">
          <cell r="D35">
            <v>10120000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450000</v>
          </cell>
        </row>
      </sheetData>
      <sheetData sheetId="7">
        <row r="35">
          <cell r="D35">
            <v>3290000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1550000</v>
          </cell>
        </row>
      </sheetData>
      <sheetData sheetId="8">
        <row r="35">
          <cell r="D35">
            <v>9850000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700000</v>
          </cell>
          <cell r="K35">
            <v>100000</v>
          </cell>
        </row>
      </sheetData>
      <sheetData sheetId="9">
        <row r="35">
          <cell r="D35">
            <v>8195000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300000</v>
          </cell>
          <cell r="K35">
            <v>800000</v>
          </cell>
        </row>
      </sheetData>
      <sheetData sheetId="10">
        <row r="35">
          <cell r="D35">
            <v>4370000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2150000</v>
          </cell>
          <cell r="K35">
            <v>500000</v>
          </cell>
        </row>
      </sheetData>
      <sheetData sheetId="11">
        <row r="35">
          <cell r="D35">
            <v>1325000</v>
          </cell>
          <cell r="E35">
            <v>0</v>
          </cell>
          <cell r="F35">
            <v>0</v>
          </cell>
          <cell r="G35">
            <v>7295582</v>
          </cell>
          <cell r="H35">
            <v>0</v>
          </cell>
          <cell r="I35">
            <v>0</v>
          </cell>
          <cell r="J35">
            <v>19580806</v>
          </cell>
          <cell r="K35">
            <v>3128025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2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3">
        <row r="35">
          <cell r="E35">
            <v>0</v>
          </cell>
          <cell r="F35">
            <v>0</v>
          </cell>
          <cell r="G35">
            <v>0</v>
          </cell>
          <cell r="H35">
            <v>3730000</v>
          </cell>
        </row>
      </sheetData>
      <sheetData sheetId="4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5">
        <row r="35">
          <cell r="E35">
            <v>0</v>
          </cell>
          <cell r="F35">
            <v>0</v>
          </cell>
          <cell r="G35">
            <v>0</v>
          </cell>
          <cell r="H35">
            <v>1987000</v>
          </cell>
        </row>
      </sheetData>
      <sheetData sheetId="6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7">
        <row r="35">
          <cell r="E35">
            <v>0</v>
          </cell>
          <cell r="F35">
            <v>0</v>
          </cell>
          <cell r="G35">
            <v>0</v>
          </cell>
          <cell r="H35">
            <v>912500</v>
          </cell>
        </row>
      </sheetData>
      <sheetData sheetId="8">
        <row r="35">
          <cell r="E35">
            <v>0</v>
          </cell>
          <cell r="F35">
            <v>0</v>
          </cell>
          <cell r="G35">
            <v>0</v>
          </cell>
          <cell r="H35">
            <v>25000000</v>
          </cell>
        </row>
      </sheetData>
      <sheetData sheetId="9">
        <row r="35">
          <cell r="E35">
            <v>0</v>
          </cell>
          <cell r="F35">
            <v>0</v>
          </cell>
          <cell r="G35">
            <v>0</v>
          </cell>
          <cell r="H35">
            <v>13437400</v>
          </cell>
        </row>
      </sheetData>
      <sheetData sheetId="10">
        <row r="35">
          <cell r="E35">
            <v>0</v>
          </cell>
          <cell r="F35">
            <v>0</v>
          </cell>
          <cell r="G35">
            <v>0</v>
          </cell>
          <cell r="H35">
            <v>10288800</v>
          </cell>
        </row>
      </sheetData>
      <sheetData sheetId="11">
        <row r="35">
          <cell r="E35">
            <v>0</v>
          </cell>
          <cell r="F35">
            <v>0</v>
          </cell>
          <cell r="G35">
            <v>0</v>
          </cell>
          <cell r="H35">
            <v>55132027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2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3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4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5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6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7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8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9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0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322000</v>
          </cell>
        </row>
      </sheetData>
      <sheetData sheetId="11">
        <row r="35">
          <cell r="E35">
            <v>0</v>
          </cell>
          <cell r="F35">
            <v>0</v>
          </cell>
          <cell r="G35">
            <v>0</v>
          </cell>
          <cell r="H35">
            <v>1482800</v>
          </cell>
          <cell r="I35">
            <v>141017557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NCIAN JENIS RETRIBUSI"/>
      <sheetName val="TARGET"/>
      <sheetName val="ALL BULAN"/>
      <sheetName val="MAR"/>
      <sheetName val="KOM"/>
      <sheetName val="PERBULAN2"/>
      <sheetName val="JAN1"/>
      <sheetName val="PerDinas"/>
      <sheetName val="PerDinas PEBRUARI"/>
      <sheetName val="PerDinas (2)"/>
      <sheetName val="REKAPOK"/>
      <sheetName val="REKAP"/>
      <sheetName val="Rekaf SIMDA"/>
    </sheetNames>
    <sheetDataSet>
      <sheetData sheetId="0"/>
      <sheetData sheetId="1"/>
      <sheetData sheetId="2">
        <row r="19">
          <cell r="E19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33">
          <cell r="E33">
            <v>0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8">
          <cell r="E48">
            <v>0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71">
          <cell r="E71">
            <v>0</v>
          </cell>
        </row>
        <row r="72">
          <cell r="E72">
            <v>0</v>
          </cell>
        </row>
        <row r="74">
          <cell r="E74">
            <v>0</v>
          </cell>
        </row>
        <row r="75">
          <cell r="E75">
            <v>0</v>
          </cell>
        </row>
        <row r="76">
          <cell r="E76">
            <v>0</v>
          </cell>
        </row>
        <row r="80">
          <cell r="E80">
            <v>0</v>
          </cell>
        </row>
        <row r="82">
          <cell r="E82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9">
          <cell r="E89">
            <v>0</v>
          </cell>
        </row>
        <row r="95">
          <cell r="E95">
            <v>0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10">
          <cell r="E110">
            <v>0</v>
          </cell>
        </row>
        <row r="111">
          <cell r="E111">
            <v>0</v>
          </cell>
        </row>
        <row r="112">
          <cell r="E112">
            <v>0</v>
          </cell>
        </row>
        <row r="113">
          <cell r="E113">
            <v>0</v>
          </cell>
        </row>
        <row r="114">
          <cell r="E114">
            <v>0</v>
          </cell>
        </row>
        <row r="122">
          <cell r="E122">
            <v>0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27">
          <cell r="E127">
            <v>0</v>
          </cell>
        </row>
        <row r="132">
          <cell r="E132">
            <v>0</v>
          </cell>
        </row>
        <row r="141">
          <cell r="E141">
            <v>0</v>
          </cell>
        </row>
        <row r="142">
          <cell r="E142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  <row r="151">
          <cell r="E151">
            <v>0</v>
          </cell>
        </row>
        <row r="152">
          <cell r="E152">
            <v>0</v>
          </cell>
        </row>
        <row r="159">
          <cell r="E159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0</v>
          </cell>
        </row>
        <row r="166">
          <cell r="E166">
            <v>0</v>
          </cell>
        </row>
        <row r="167">
          <cell r="E167">
            <v>0</v>
          </cell>
        </row>
        <row r="173">
          <cell r="C173" t="str">
            <v>- TEMPAT WISATA DAN OLAH RAGA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5">
          <cell r="E195">
            <v>0</v>
          </cell>
        </row>
        <row r="203">
          <cell r="E203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0</v>
          </cell>
        </row>
        <row r="209">
          <cell r="E209">
            <v>0</v>
          </cell>
        </row>
        <row r="210">
          <cell r="E210">
            <v>0</v>
          </cell>
        </row>
        <row r="213">
          <cell r="E213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9">
          <cell r="E229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7">
          <cell r="E287">
            <v>0</v>
          </cell>
        </row>
        <row r="292">
          <cell r="E292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65">
          <cell r="E365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3">
          <cell r="E383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401">
          <cell r="E401">
            <v>0</v>
          </cell>
        </row>
        <row r="402">
          <cell r="E402">
            <v>0</v>
          </cell>
        </row>
        <row r="405">
          <cell r="E405">
            <v>0</v>
          </cell>
        </row>
        <row r="408">
          <cell r="E408">
            <v>0</v>
          </cell>
        </row>
        <row r="409">
          <cell r="E409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22">
          <cell r="E422">
            <v>0</v>
          </cell>
        </row>
        <row r="424">
          <cell r="E424">
            <v>0</v>
          </cell>
        </row>
        <row r="425">
          <cell r="E425">
            <v>0</v>
          </cell>
        </row>
        <row r="431">
          <cell r="E431">
            <v>0</v>
          </cell>
        </row>
        <row r="433">
          <cell r="E433">
            <v>0</v>
          </cell>
        </row>
        <row r="444">
          <cell r="E444">
            <v>0</v>
          </cell>
        </row>
        <row r="449">
          <cell r="E449">
            <v>0</v>
          </cell>
        </row>
        <row r="453">
          <cell r="E453">
            <v>0</v>
          </cell>
        </row>
        <row r="454">
          <cell r="E454">
            <v>0</v>
          </cell>
        </row>
        <row r="459">
          <cell r="E459">
            <v>0</v>
          </cell>
        </row>
        <row r="463">
          <cell r="E463">
            <v>0</v>
          </cell>
        </row>
        <row r="465">
          <cell r="E465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5">
          <cell r="E485">
            <v>0</v>
          </cell>
        </row>
        <row r="486">
          <cell r="E486">
            <v>0</v>
          </cell>
        </row>
        <row r="488">
          <cell r="E488">
            <v>0</v>
          </cell>
        </row>
        <row r="497">
          <cell r="E497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46">
          <cell r="E546">
            <v>0</v>
          </cell>
        </row>
        <row r="547">
          <cell r="E547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62">
          <cell r="E562">
            <v>0</v>
          </cell>
        </row>
        <row r="573">
          <cell r="E573">
            <v>0</v>
          </cell>
        </row>
        <row r="575">
          <cell r="E575">
            <v>0</v>
          </cell>
        </row>
        <row r="584">
          <cell r="E584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7">
          <cell r="E597">
            <v>0</v>
          </cell>
        </row>
        <row r="598">
          <cell r="E598">
            <v>0</v>
          </cell>
        </row>
        <row r="600">
          <cell r="E600">
            <v>0</v>
          </cell>
        </row>
        <row r="601">
          <cell r="E601">
            <v>0</v>
          </cell>
        </row>
        <row r="605">
          <cell r="E605">
            <v>0</v>
          </cell>
        </row>
        <row r="606">
          <cell r="E606">
            <v>0</v>
          </cell>
        </row>
        <row r="608">
          <cell r="E608">
            <v>0</v>
          </cell>
        </row>
        <row r="609">
          <cell r="E60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5">
          <cell r="E635">
            <v>0</v>
          </cell>
        </row>
        <row r="646">
          <cell r="E646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79">
          <cell r="E679">
            <v>0</v>
          </cell>
        </row>
        <row r="681">
          <cell r="E681">
            <v>0</v>
          </cell>
        </row>
        <row r="682">
          <cell r="E682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705">
          <cell r="E705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</sheetData>
      <sheetData sheetId="3"/>
      <sheetData sheetId="4">
        <row r="9">
          <cell r="N9">
            <v>274245621027.19</v>
          </cell>
          <cell r="O9">
            <v>912090529794.71997</v>
          </cell>
        </row>
        <row r="111">
          <cell r="L111">
            <v>2547125000</v>
          </cell>
        </row>
        <row r="132">
          <cell r="L132">
            <v>2113387000</v>
          </cell>
        </row>
        <row r="196">
          <cell r="N196">
            <v>19237073227.190002</v>
          </cell>
        </row>
        <row r="393">
          <cell r="N393">
            <v>26697155000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1906500</v>
          </cell>
          <cell r="I35">
            <v>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4295000</v>
          </cell>
          <cell r="I35">
            <v>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2728000</v>
          </cell>
          <cell r="I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876000</v>
          </cell>
          <cell r="I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6548996.96</v>
          </cell>
          <cell r="I35">
            <v>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11907450</v>
          </cell>
          <cell r="I35">
            <v>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5734000</v>
          </cell>
          <cell r="I35">
            <v>0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58272600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4736000</v>
          </cell>
        </row>
      </sheetData>
      <sheetData sheetId="1">
        <row r="35">
          <cell r="D35">
            <v>170370600</v>
          </cell>
          <cell r="E35">
            <v>122600</v>
          </cell>
          <cell r="F35">
            <v>0</v>
          </cell>
          <cell r="G35">
            <v>7680000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4736000</v>
          </cell>
        </row>
      </sheetData>
      <sheetData sheetId="2">
        <row r="35">
          <cell r="D35">
            <v>142515600</v>
          </cell>
          <cell r="E35">
            <v>0</v>
          </cell>
          <cell r="F35">
            <v>0</v>
          </cell>
          <cell r="G35">
            <v>5760000</v>
          </cell>
          <cell r="H35">
            <v>0</v>
          </cell>
          <cell r="I35">
            <v>0</v>
          </cell>
          <cell r="J35">
            <v>0</v>
          </cell>
          <cell r="K35">
            <v>20850410</v>
          </cell>
          <cell r="L35">
            <v>548830</v>
          </cell>
          <cell r="M35">
            <v>0</v>
          </cell>
          <cell r="N35">
            <v>0</v>
          </cell>
          <cell r="O35">
            <v>4736000</v>
          </cell>
        </row>
      </sheetData>
      <sheetData sheetId="3">
        <row r="35">
          <cell r="D35">
            <v>150673800</v>
          </cell>
          <cell r="E35">
            <v>2822600</v>
          </cell>
          <cell r="F35">
            <v>0</v>
          </cell>
          <cell r="G35">
            <v>6480000</v>
          </cell>
          <cell r="H35">
            <v>0</v>
          </cell>
          <cell r="I35">
            <v>0</v>
          </cell>
          <cell r="J35">
            <v>0</v>
          </cell>
          <cell r="K35">
            <v>5585049</v>
          </cell>
          <cell r="L35">
            <v>0</v>
          </cell>
          <cell r="M35">
            <v>0</v>
          </cell>
          <cell r="N35">
            <v>0</v>
          </cell>
          <cell r="O35">
            <v>4736000</v>
          </cell>
        </row>
      </sheetData>
      <sheetData sheetId="4">
        <row r="35">
          <cell r="D35">
            <v>152823000</v>
          </cell>
          <cell r="E35">
            <v>0</v>
          </cell>
          <cell r="F35">
            <v>0</v>
          </cell>
          <cell r="G35">
            <v>8640000</v>
          </cell>
          <cell r="H35">
            <v>0</v>
          </cell>
          <cell r="I35">
            <v>0</v>
          </cell>
          <cell r="J35">
            <v>0</v>
          </cell>
          <cell r="K35">
            <v>9210000</v>
          </cell>
          <cell r="L35">
            <v>0</v>
          </cell>
          <cell r="M35">
            <v>0</v>
          </cell>
          <cell r="N35">
            <v>0</v>
          </cell>
          <cell r="O35">
            <v>4736000</v>
          </cell>
        </row>
      </sheetData>
      <sheetData sheetId="5">
        <row r="35">
          <cell r="D35">
            <v>95566800</v>
          </cell>
          <cell r="E35">
            <v>122600</v>
          </cell>
          <cell r="F35">
            <v>0</v>
          </cell>
          <cell r="G35">
            <v>8280000</v>
          </cell>
          <cell r="H35">
            <v>0</v>
          </cell>
          <cell r="I35">
            <v>0</v>
          </cell>
          <cell r="J35">
            <v>0</v>
          </cell>
          <cell r="K35">
            <v>9703357.75</v>
          </cell>
          <cell r="L35">
            <v>0</v>
          </cell>
          <cell r="M35">
            <v>0</v>
          </cell>
          <cell r="N35">
            <v>0</v>
          </cell>
          <cell r="O35">
            <v>4736000</v>
          </cell>
        </row>
      </sheetData>
      <sheetData sheetId="6">
        <row r="35">
          <cell r="D35">
            <v>141649200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1887500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</sheetData>
      <sheetData sheetId="7">
        <row r="35">
          <cell r="D35">
            <v>189079200</v>
          </cell>
          <cell r="E35">
            <v>122600</v>
          </cell>
          <cell r="F35">
            <v>21445500</v>
          </cell>
          <cell r="G35">
            <v>9600000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</sheetData>
      <sheetData sheetId="8">
        <row r="35">
          <cell r="D35">
            <v>173862000</v>
          </cell>
          <cell r="E35">
            <v>0</v>
          </cell>
          <cell r="F35">
            <v>5647900</v>
          </cell>
          <cell r="G35">
            <v>17930000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</sheetData>
      <sheetData sheetId="9">
        <row r="35">
          <cell r="D35">
            <v>164173200</v>
          </cell>
          <cell r="E35">
            <v>122600</v>
          </cell>
          <cell r="F35">
            <v>0</v>
          </cell>
          <cell r="G35">
            <v>4480000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</sheetData>
      <sheetData sheetId="10">
        <row r="35">
          <cell r="D35">
            <v>87033600</v>
          </cell>
          <cell r="E35">
            <v>122600</v>
          </cell>
          <cell r="F35">
            <v>3435370</v>
          </cell>
          <cell r="G35">
            <v>9600000</v>
          </cell>
          <cell r="H35">
            <v>0</v>
          </cell>
          <cell r="I35">
            <v>0</v>
          </cell>
          <cell r="J35">
            <v>0</v>
          </cell>
          <cell r="K35">
            <v>4500000</v>
          </cell>
          <cell r="L35">
            <v>0</v>
          </cell>
          <cell r="M35">
            <v>0</v>
          </cell>
          <cell r="N35">
            <v>9600000</v>
          </cell>
          <cell r="O35">
            <v>0</v>
          </cell>
        </row>
      </sheetData>
      <sheetData sheetId="11">
        <row r="35">
          <cell r="D35">
            <v>96558000</v>
          </cell>
          <cell r="E35">
            <v>0</v>
          </cell>
          <cell r="F35">
            <v>8723230</v>
          </cell>
          <cell r="G35">
            <v>4800000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1000000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5350000</v>
          </cell>
          <cell r="L35">
            <v>6594300</v>
          </cell>
        </row>
      </sheetData>
      <sheetData sheetId="1">
        <row r="35">
          <cell r="D35">
            <v>3200000</v>
          </cell>
          <cell r="E35">
            <v>150000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2750000</v>
          </cell>
          <cell r="L35">
            <v>33606500</v>
          </cell>
        </row>
      </sheetData>
      <sheetData sheetId="2">
        <row r="35">
          <cell r="D35">
            <v>6600000</v>
          </cell>
          <cell r="E35">
            <v>65250000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2500000</v>
          </cell>
          <cell r="L35">
            <v>12325000</v>
          </cell>
        </row>
      </sheetData>
      <sheetData sheetId="3">
        <row r="35">
          <cell r="D35">
            <v>3600000</v>
          </cell>
          <cell r="E35">
            <v>45000000</v>
          </cell>
          <cell r="F35">
            <v>0</v>
          </cell>
          <cell r="G35">
            <v>0</v>
          </cell>
          <cell r="H35">
            <v>0</v>
          </cell>
          <cell r="I35">
            <v>600000</v>
          </cell>
          <cell r="J35">
            <v>0</v>
          </cell>
          <cell r="K35">
            <v>450000</v>
          </cell>
          <cell r="L35">
            <v>7147000</v>
          </cell>
        </row>
      </sheetData>
      <sheetData sheetId="4">
        <row r="35">
          <cell r="D35">
            <v>4500000</v>
          </cell>
          <cell r="E35">
            <v>52700000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3700000</v>
          </cell>
          <cell r="L35">
            <v>720000</v>
          </cell>
        </row>
      </sheetData>
      <sheetData sheetId="5">
        <row r="35">
          <cell r="D35">
            <v>2400000</v>
          </cell>
          <cell r="E35">
            <v>37500000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1000000</v>
          </cell>
          <cell r="L35">
            <v>270000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1750000</v>
          </cell>
          <cell r="L35">
            <v>2000000</v>
          </cell>
        </row>
      </sheetData>
      <sheetData sheetId="7">
        <row r="35">
          <cell r="D35">
            <v>2900000</v>
          </cell>
          <cell r="E35">
            <v>68500000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1200000</v>
          </cell>
          <cell r="K35">
            <v>0</v>
          </cell>
          <cell r="L35">
            <v>131500</v>
          </cell>
        </row>
      </sheetData>
      <sheetData sheetId="8">
        <row r="35">
          <cell r="D35">
            <v>6000000</v>
          </cell>
          <cell r="E35">
            <v>75000000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500000</v>
          </cell>
          <cell r="L35">
            <v>0</v>
          </cell>
        </row>
      </sheetData>
      <sheetData sheetId="9">
        <row r="35">
          <cell r="D35">
            <v>3000000</v>
          </cell>
          <cell r="E35">
            <v>38700000</v>
          </cell>
          <cell r="F35">
            <v>0</v>
          </cell>
          <cell r="G35">
            <v>0</v>
          </cell>
          <cell r="H35">
            <v>0</v>
          </cell>
          <cell r="I35">
            <v>10000000</v>
          </cell>
          <cell r="J35">
            <v>0</v>
          </cell>
          <cell r="K35">
            <v>0</v>
          </cell>
          <cell r="L35">
            <v>0</v>
          </cell>
        </row>
      </sheetData>
      <sheetData sheetId="10">
        <row r="35">
          <cell r="D35">
            <v>3600000</v>
          </cell>
          <cell r="E35">
            <v>46200000</v>
          </cell>
          <cell r="F35">
            <v>0</v>
          </cell>
          <cell r="G35">
            <v>0</v>
          </cell>
          <cell r="H35">
            <v>0</v>
          </cell>
          <cell r="I35">
            <v>18279400</v>
          </cell>
          <cell r="J35">
            <v>16962400</v>
          </cell>
          <cell r="K35">
            <v>8667350</v>
          </cell>
          <cell r="L35">
            <v>578000</v>
          </cell>
        </row>
      </sheetData>
      <sheetData sheetId="11">
        <row r="35">
          <cell r="D35">
            <v>5100000</v>
          </cell>
          <cell r="E35">
            <v>65000000</v>
          </cell>
          <cell r="F35">
            <v>0</v>
          </cell>
          <cell r="G35">
            <v>0</v>
          </cell>
          <cell r="H35">
            <v>0</v>
          </cell>
          <cell r="I35">
            <v>19790200</v>
          </cell>
          <cell r="J35">
            <v>0</v>
          </cell>
          <cell r="K35">
            <v>0</v>
          </cell>
          <cell r="L35">
            <v>0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1200000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</sheetData>
      <sheetData sheetId="1">
        <row r="35">
          <cell r="D35">
            <v>0</v>
          </cell>
          <cell r="E35">
            <v>1319500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</sheetData>
      <sheetData sheetId="2">
        <row r="35">
          <cell r="D35">
            <v>0</v>
          </cell>
          <cell r="E35">
            <v>2019000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</sheetData>
      <sheetData sheetId="3">
        <row r="35">
          <cell r="D35">
            <v>0</v>
          </cell>
          <cell r="E35">
            <v>1614000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1410507</v>
          </cell>
        </row>
      </sheetData>
      <sheetData sheetId="4">
        <row r="35">
          <cell r="D35">
            <v>0</v>
          </cell>
          <cell r="E35">
            <v>15000000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1000000</v>
          </cell>
        </row>
      </sheetData>
      <sheetData sheetId="5">
        <row r="35">
          <cell r="D35">
            <v>1000000</v>
          </cell>
          <cell r="E35">
            <v>3222000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</sheetData>
      <sheetData sheetId="6">
        <row r="35">
          <cell r="D35">
            <v>0</v>
          </cell>
          <cell r="E35">
            <v>1200000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</sheetData>
      <sheetData sheetId="7">
        <row r="35">
          <cell r="D35">
            <v>0</v>
          </cell>
          <cell r="E35">
            <v>1522000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</sheetData>
      <sheetData sheetId="8">
        <row r="35">
          <cell r="D35">
            <v>0</v>
          </cell>
          <cell r="E35">
            <v>1703000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</sheetData>
      <sheetData sheetId="9">
        <row r="35">
          <cell r="D35">
            <v>0</v>
          </cell>
          <cell r="E35">
            <v>3231000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</sheetData>
      <sheetData sheetId="10">
        <row r="35">
          <cell r="D35">
            <v>0</v>
          </cell>
          <cell r="E35">
            <v>4009500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</sheetData>
      <sheetData sheetId="11">
        <row r="35">
          <cell r="D35">
            <v>1500000</v>
          </cell>
          <cell r="E35">
            <v>3992000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131995452.15000001</v>
          </cell>
          <cell r="K35">
            <v>1200000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2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3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4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5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6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7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8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9">
        <row r="35">
          <cell r="E35">
            <v>0</v>
          </cell>
          <cell r="F35">
            <v>0</v>
          </cell>
          <cell r="G35">
            <v>0</v>
          </cell>
          <cell r="H35">
            <v>1000000</v>
          </cell>
          <cell r="I35">
            <v>0</v>
          </cell>
        </row>
      </sheetData>
      <sheetData sheetId="10">
        <row r="35">
          <cell r="E35">
            <v>0</v>
          </cell>
          <cell r="F35">
            <v>0</v>
          </cell>
          <cell r="G35">
            <v>0</v>
          </cell>
          <cell r="H35">
            <v>2240000</v>
          </cell>
          <cell r="I35">
            <v>0</v>
          </cell>
        </row>
      </sheetData>
      <sheetData sheetId="11">
        <row r="35">
          <cell r="E35">
            <v>0</v>
          </cell>
          <cell r="F35">
            <v>0</v>
          </cell>
          <cell r="G35">
            <v>0</v>
          </cell>
          <cell r="H35">
            <v>1600000</v>
          </cell>
          <cell r="I35">
            <v>0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70">
          <cell r="D70">
            <v>1300000</v>
          </cell>
          <cell r="E70">
            <v>1300000</v>
          </cell>
          <cell r="F70">
            <v>910000</v>
          </cell>
          <cell r="G70">
            <v>22800000</v>
          </cell>
          <cell r="H70">
            <v>295000</v>
          </cell>
          <cell r="I70">
            <v>99727935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2039686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E70">
            <v>0</v>
          </cell>
        </row>
      </sheetData>
      <sheetData sheetId="1">
        <row r="70">
          <cell r="D70">
            <v>1300000</v>
          </cell>
          <cell r="E70">
            <v>650000</v>
          </cell>
          <cell r="F70">
            <v>3705000</v>
          </cell>
          <cell r="G70">
            <v>34806130</v>
          </cell>
          <cell r="H70">
            <v>5500000</v>
          </cell>
          <cell r="I70">
            <v>47220690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426887</v>
          </cell>
          <cell r="Z70">
            <v>0</v>
          </cell>
          <cell r="AA70">
            <v>0</v>
          </cell>
          <cell r="AB70">
            <v>23627534</v>
          </cell>
          <cell r="AC70">
            <v>0</v>
          </cell>
          <cell r="AE70">
            <v>6967100</v>
          </cell>
        </row>
      </sheetData>
      <sheetData sheetId="2">
        <row r="70">
          <cell r="D70">
            <v>1300000</v>
          </cell>
          <cell r="E70">
            <v>1300000</v>
          </cell>
          <cell r="F70">
            <v>0</v>
          </cell>
          <cell r="G70">
            <v>13320200</v>
          </cell>
          <cell r="H70">
            <v>2000000</v>
          </cell>
          <cell r="I70">
            <v>59102610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404483</v>
          </cell>
          <cell r="Z70">
            <v>0</v>
          </cell>
          <cell r="AA70">
            <v>0</v>
          </cell>
          <cell r="AB70">
            <v>1200000</v>
          </cell>
          <cell r="AC70">
            <v>0</v>
          </cell>
          <cell r="AE70">
            <v>1975000</v>
          </cell>
        </row>
      </sheetData>
      <sheetData sheetId="3">
        <row r="70">
          <cell r="D70">
            <v>0</v>
          </cell>
          <cell r="E70">
            <v>1300000</v>
          </cell>
          <cell r="F70">
            <v>650000</v>
          </cell>
          <cell r="G70">
            <v>97541700</v>
          </cell>
          <cell r="H70">
            <v>12057400</v>
          </cell>
          <cell r="I70">
            <v>54040181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5364000</v>
          </cell>
          <cell r="X70">
            <v>0</v>
          </cell>
          <cell r="Y70">
            <v>517680</v>
          </cell>
          <cell r="Z70">
            <v>0</v>
          </cell>
          <cell r="AA70">
            <v>0</v>
          </cell>
          <cell r="AB70">
            <v>3800913</v>
          </cell>
          <cell r="AC70">
            <v>0</v>
          </cell>
          <cell r="AE70">
            <v>1775000</v>
          </cell>
        </row>
      </sheetData>
      <sheetData sheetId="4">
        <row r="70">
          <cell r="D70">
            <v>6500000</v>
          </cell>
          <cell r="E70">
            <v>5200000</v>
          </cell>
          <cell r="F70">
            <v>455000</v>
          </cell>
          <cell r="G70">
            <v>19684365</v>
          </cell>
          <cell r="H70">
            <v>40000000</v>
          </cell>
          <cell r="I70">
            <v>98693273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27735345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451953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E70">
            <v>1430000</v>
          </cell>
        </row>
      </sheetData>
      <sheetData sheetId="5">
        <row r="70">
          <cell r="D70">
            <v>3900000</v>
          </cell>
          <cell r="E70">
            <v>1300000</v>
          </cell>
          <cell r="F70">
            <v>0</v>
          </cell>
          <cell r="G70">
            <v>76275700</v>
          </cell>
          <cell r="H70">
            <v>41875455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1174124</v>
          </cell>
          <cell r="Z70">
            <v>0</v>
          </cell>
          <cell r="AA70">
            <v>0</v>
          </cell>
          <cell r="AB70">
            <v>800000</v>
          </cell>
          <cell r="AC70">
            <v>0</v>
          </cell>
          <cell r="AE70">
            <v>0</v>
          </cell>
        </row>
      </sheetData>
      <sheetData sheetId="6">
        <row r="70">
          <cell r="D70">
            <v>0</v>
          </cell>
          <cell r="E70">
            <v>0</v>
          </cell>
          <cell r="F70">
            <v>1300000</v>
          </cell>
          <cell r="G70">
            <v>50024000</v>
          </cell>
          <cell r="H70">
            <v>0</v>
          </cell>
          <cell r="I70">
            <v>47436510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348616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E70">
            <v>1250000</v>
          </cell>
        </row>
      </sheetData>
      <sheetData sheetId="7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114292400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15000000</v>
          </cell>
          <cell r="X70">
            <v>0</v>
          </cell>
          <cell r="Y70">
            <v>624216</v>
          </cell>
          <cell r="Z70">
            <v>0</v>
          </cell>
          <cell r="AA70">
            <v>0</v>
          </cell>
          <cell r="AB70">
            <v>4463700</v>
          </cell>
          <cell r="AC70">
            <v>0</v>
          </cell>
          <cell r="AE70">
            <v>400000</v>
          </cell>
        </row>
      </sheetData>
      <sheetData sheetId="8">
        <row r="70">
          <cell r="D70">
            <v>2600000</v>
          </cell>
          <cell r="E70">
            <v>650000</v>
          </cell>
          <cell r="F70">
            <v>455000</v>
          </cell>
          <cell r="G70">
            <v>39280745</v>
          </cell>
          <cell r="H70">
            <v>0</v>
          </cell>
          <cell r="I70">
            <v>40447721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5000000</v>
          </cell>
          <cell r="X70">
            <v>0</v>
          </cell>
          <cell r="Y70">
            <v>3862665</v>
          </cell>
          <cell r="Z70">
            <v>0</v>
          </cell>
          <cell r="AA70">
            <v>0</v>
          </cell>
          <cell r="AB70">
            <v>2000000</v>
          </cell>
          <cell r="AC70">
            <v>0</v>
          </cell>
          <cell r="AE70">
            <v>72007500</v>
          </cell>
        </row>
      </sheetData>
      <sheetData sheetId="9">
        <row r="70">
          <cell r="D70">
            <v>1300000</v>
          </cell>
          <cell r="E70">
            <v>1950000</v>
          </cell>
          <cell r="F70">
            <v>0</v>
          </cell>
          <cell r="G70">
            <v>23792445</v>
          </cell>
          <cell r="H70">
            <v>0</v>
          </cell>
          <cell r="I70">
            <v>45430938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6516050</v>
          </cell>
          <cell r="AC70">
            <v>0</v>
          </cell>
          <cell r="AE70">
            <v>2038000</v>
          </cell>
        </row>
      </sheetData>
      <sheetData sheetId="10">
        <row r="70">
          <cell r="D70">
            <v>3900000</v>
          </cell>
          <cell r="E70">
            <v>0</v>
          </cell>
          <cell r="F70">
            <v>0</v>
          </cell>
          <cell r="G70">
            <v>325174426</v>
          </cell>
          <cell r="H70">
            <v>5813218</v>
          </cell>
          <cell r="I70">
            <v>335993895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100000</v>
          </cell>
          <cell r="AC70">
            <v>0</v>
          </cell>
          <cell r="AE70">
            <v>1650000</v>
          </cell>
        </row>
      </sheetData>
      <sheetData sheetId="11">
        <row r="70">
          <cell r="D70">
            <v>1300000</v>
          </cell>
          <cell r="E70">
            <v>650000</v>
          </cell>
          <cell r="F70">
            <v>0</v>
          </cell>
          <cell r="G70">
            <v>77184905</v>
          </cell>
          <cell r="H70">
            <v>23278601</v>
          </cell>
          <cell r="I70">
            <v>93375535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2928037</v>
          </cell>
          <cell r="Z70">
            <v>0</v>
          </cell>
          <cell r="AA70">
            <v>0</v>
          </cell>
          <cell r="AB70">
            <v>18067287</v>
          </cell>
          <cell r="AC70">
            <v>0</v>
          </cell>
          <cell r="AE70">
            <v>7874810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  <sheetName val="BIRO KEUANGAN SKPKD"/>
    </sheetNames>
    <sheetDataSet>
      <sheetData sheetId="0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968889825</v>
          </cell>
          <cell r="L70">
            <v>1044870</v>
          </cell>
          <cell r="M70">
            <v>0</v>
          </cell>
          <cell r="N70">
            <v>0</v>
          </cell>
          <cell r="O70">
            <v>1000000</v>
          </cell>
          <cell r="P70">
            <v>0</v>
          </cell>
          <cell r="Q70">
            <v>0</v>
          </cell>
          <cell r="R70">
            <v>0</v>
          </cell>
          <cell r="T70">
            <v>0</v>
          </cell>
          <cell r="V70">
            <v>0</v>
          </cell>
        </row>
      </sheetData>
      <sheetData sheetId="1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1401414610</v>
          </cell>
          <cell r="L70">
            <v>17456305</v>
          </cell>
          <cell r="M70">
            <v>0</v>
          </cell>
          <cell r="N70">
            <v>66000000</v>
          </cell>
          <cell r="O70">
            <v>3300000</v>
          </cell>
          <cell r="P70">
            <v>0</v>
          </cell>
          <cell r="Q70">
            <v>0</v>
          </cell>
          <cell r="R70">
            <v>33617500</v>
          </cell>
          <cell r="T70">
            <v>0</v>
          </cell>
          <cell r="V70">
            <v>221648885</v>
          </cell>
        </row>
      </sheetData>
      <sheetData sheetId="2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1009123325</v>
          </cell>
          <cell r="L70">
            <v>14460719</v>
          </cell>
          <cell r="M70">
            <v>625000000</v>
          </cell>
          <cell r="N70">
            <v>0</v>
          </cell>
          <cell r="O70">
            <v>3700000</v>
          </cell>
          <cell r="P70">
            <v>0</v>
          </cell>
          <cell r="Q70">
            <v>0</v>
          </cell>
          <cell r="R70">
            <v>58230355</v>
          </cell>
          <cell r="T70">
            <v>0</v>
          </cell>
          <cell r="V70">
            <v>113538900</v>
          </cell>
        </row>
      </sheetData>
      <sheetData sheetId="3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1523176163</v>
          </cell>
          <cell r="L70">
            <v>16023283</v>
          </cell>
          <cell r="M70">
            <v>625000000</v>
          </cell>
          <cell r="N70">
            <v>267768064.22999999</v>
          </cell>
          <cell r="O70">
            <v>2000000</v>
          </cell>
          <cell r="P70">
            <v>0</v>
          </cell>
          <cell r="Q70">
            <v>0</v>
          </cell>
          <cell r="R70">
            <v>1000000</v>
          </cell>
          <cell r="S70">
            <v>1171936350</v>
          </cell>
          <cell r="T70">
            <v>0</v>
          </cell>
          <cell r="V70">
            <v>0</v>
          </cell>
        </row>
      </sheetData>
      <sheetData sheetId="4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1400964128</v>
          </cell>
          <cell r="L70">
            <v>28425088</v>
          </cell>
          <cell r="M70">
            <v>625000000</v>
          </cell>
          <cell r="N70">
            <v>2000000</v>
          </cell>
          <cell r="O70">
            <v>200000</v>
          </cell>
          <cell r="P70">
            <v>0</v>
          </cell>
          <cell r="Q70">
            <v>0</v>
          </cell>
          <cell r="R70">
            <v>1000000</v>
          </cell>
          <cell r="T70">
            <v>0</v>
          </cell>
          <cell r="V70">
            <v>0</v>
          </cell>
        </row>
      </sheetData>
      <sheetData sheetId="5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100634661</v>
          </cell>
          <cell r="J70">
            <v>136702012</v>
          </cell>
          <cell r="K70">
            <v>1320025908</v>
          </cell>
          <cell r="L70">
            <v>0</v>
          </cell>
          <cell r="M70">
            <v>625000000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5546950.8399999999</v>
          </cell>
          <cell r="T70">
            <v>0</v>
          </cell>
          <cell r="V70">
            <v>0</v>
          </cell>
        </row>
      </sheetData>
      <sheetData sheetId="6">
        <row r="70">
          <cell r="D70">
            <v>880874986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1222857960</v>
          </cell>
          <cell r="L70">
            <v>1745337</v>
          </cell>
          <cell r="M70">
            <v>625000000</v>
          </cell>
          <cell r="N70">
            <v>0</v>
          </cell>
          <cell r="O70">
            <v>617000</v>
          </cell>
          <cell r="P70">
            <v>0</v>
          </cell>
          <cell r="Q70">
            <v>0</v>
          </cell>
          <cell r="R70">
            <v>1000000</v>
          </cell>
          <cell r="T70">
            <v>0</v>
          </cell>
          <cell r="V70">
            <v>0</v>
          </cell>
        </row>
      </sheetData>
      <sheetData sheetId="7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1007304802.33</v>
          </cell>
          <cell r="L70">
            <v>613714</v>
          </cell>
          <cell r="M70">
            <v>1250000000</v>
          </cell>
          <cell r="N70">
            <v>0</v>
          </cell>
          <cell r="O70">
            <v>617000</v>
          </cell>
          <cell r="P70">
            <v>0</v>
          </cell>
          <cell r="Q70">
            <v>0</v>
          </cell>
          <cell r="R70">
            <v>1000000</v>
          </cell>
          <cell r="T70">
            <v>0</v>
          </cell>
          <cell r="V70">
            <v>0</v>
          </cell>
        </row>
      </sheetData>
      <sheetData sheetId="8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446459534</v>
          </cell>
          <cell r="L70">
            <v>27879671</v>
          </cell>
          <cell r="M70">
            <v>1250000000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2200000</v>
          </cell>
          <cell r="T70">
            <v>0</v>
          </cell>
          <cell r="V70">
            <v>0</v>
          </cell>
        </row>
      </sheetData>
      <sheetData sheetId="9">
        <row r="70">
          <cell r="D70">
            <v>6005610891</v>
          </cell>
          <cell r="E70">
            <v>0</v>
          </cell>
          <cell r="F70">
            <v>750000000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1250000000</v>
          </cell>
          <cell r="N70">
            <v>0</v>
          </cell>
          <cell r="O70">
            <v>200000</v>
          </cell>
          <cell r="P70">
            <v>0</v>
          </cell>
          <cell r="Q70">
            <v>0</v>
          </cell>
          <cell r="R70">
            <v>2000000</v>
          </cell>
          <cell r="T70">
            <v>0</v>
          </cell>
          <cell r="V70">
            <v>0</v>
          </cell>
        </row>
      </sheetData>
      <sheetData sheetId="10">
        <row r="70">
          <cell r="D70">
            <v>4745279092</v>
          </cell>
          <cell r="E70">
            <v>59958510102</v>
          </cell>
          <cell r="F70">
            <v>250000000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1508045671</v>
          </cell>
          <cell r="L70">
            <v>108217501</v>
          </cell>
          <cell r="M70">
            <v>1250000000</v>
          </cell>
          <cell r="N70">
            <v>0</v>
          </cell>
          <cell r="O70">
            <v>617000</v>
          </cell>
          <cell r="P70">
            <v>0</v>
          </cell>
          <cell r="Q70">
            <v>0</v>
          </cell>
          <cell r="R70">
            <v>9711597</v>
          </cell>
          <cell r="T70">
            <v>0</v>
          </cell>
          <cell r="V70">
            <v>427092700</v>
          </cell>
        </row>
      </sheetData>
      <sheetData sheetId="11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440193434</v>
          </cell>
          <cell r="L70">
            <v>70840427</v>
          </cell>
          <cell r="M70">
            <v>1250000000</v>
          </cell>
          <cell r="N70">
            <v>0</v>
          </cell>
          <cell r="O70">
            <v>3945000</v>
          </cell>
          <cell r="P70">
            <v>0</v>
          </cell>
          <cell r="Q70">
            <v>0</v>
          </cell>
          <cell r="R70">
            <v>3200000</v>
          </cell>
          <cell r="S70">
            <v>59385377870</v>
          </cell>
          <cell r="T70">
            <v>2000189000</v>
          </cell>
          <cell r="V70">
            <v>349635969</v>
          </cell>
        </row>
      </sheetData>
      <sheetData sheetId="12"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2761343193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210000</v>
          </cell>
          <cell r="H35">
            <v>0</v>
          </cell>
          <cell r="I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2360000</v>
          </cell>
          <cell r="H35">
            <v>0</v>
          </cell>
          <cell r="I35">
            <v>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721500</v>
          </cell>
          <cell r="H35">
            <v>0</v>
          </cell>
          <cell r="I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200000</v>
          </cell>
          <cell r="H35">
            <v>0</v>
          </cell>
          <cell r="I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250000</v>
          </cell>
          <cell r="H35">
            <v>0</v>
          </cell>
          <cell r="I35">
            <v>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95000</v>
          </cell>
          <cell r="H35">
            <v>0</v>
          </cell>
          <cell r="I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4500000</v>
          </cell>
          <cell r="H35">
            <v>0</v>
          </cell>
          <cell r="I35">
            <v>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3063000</v>
          </cell>
          <cell r="H35">
            <v>0</v>
          </cell>
          <cell r="I35">
            <v>0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F35">
            <v>0</v>
          </cell>
          <cell r="G35">
            <v>0</v>
          </cell>
          <cell r="H35">
            <v>1300000</v>
          </cell>
          <cell r="I35">
            <v>0</v>
          </cell>
        </row>
      </sheetData>
      <sheetData sheetId="1">
        <row r="35">
          <cell r="E35">
            <v>0</v>
          </cell>
          <cell r="F35">
            <v>0</v>
          </cell>
          <cell r="G35">
            <v>0</v>
          </cell>
          <cell r="H35">
            <v>30750000</v>
          </cell>
          <cell r="I35">
            <v>0</v>
          </cell>
        </row>
      </sheetData>
      <sheetData sheetId="2">
        <row r="35">
          <cell r="E35">
            <v>0</v>
          </cell>
          <cell r="F35">
            <v>0</v>
          </cell>
          <cell r="G35">
            <v>0</v>
          </cell>
          <cell r="H35">
            <v>5844158</v>
          </cell>
          <cell r="I35">
            <v>0</v>
          </cell>
        </row>
      </sheetData>
      <sheetData sheetId="3">
        <row r="35">
          <cell r="E35">
            <v>0</v>
          </cell>
          <cell r="F35">
            <v>0</v>
          </cell>
          <cell r="G35">
            <v>0</v>
          </cell>
          <cell r="H35">
            <v>16770000</v>
          </cell>
          <cell r="I35">
            <v>0</v>
          </cell>
        </row>
      </sheetData>
      <sheetData sheetId="4">
        <row r="35">
          <cell r="E35">
            <v>0</v>
          </cell>
          <cell r="F35">
            <v>0</v>
          </cell>
          <cell r="G35">
            <v>0</v>
          </cell>
          <cell r="H35">
            <v>26725000</v>
          </cell>
          <cell r="I35">
            <v>2839900</v>
          </cell>
        </row>
      </sheetData>
      <sheetData sheetId="5">
        <row r="35">
          <cell r="E35">
            <v>0</v>
          </cell>
          <cell r="F35">
            <v>0</v>
          </cell>
          <cell r="G35">
            <v>0</v>
          </cell>
          <cell r="H35">
            <v>20617570</v>
          </cell>
          <cell r="I35">
            <v>0</v>
          </cell>
        </row>
      </sheetData>
      <sheetData sheetId="6">
        <row r="35">
          <cell r="E35">
            <v>0</v>
          </cell>
          <cell r="F35">
            <v>0</v>
          </cell>
          <cell r="G35">
            <v>0</v>
          </cell>
          <cell r="H35">
            <v>17000000</v>
          </cell>
          <cell r="I35">
            <v>0</v>
          </cell>
        </row>
      </sheetData>
      <sheetData sheetId="7">
        <row r="35">
          <cell r="E35">
            <v>0</v>
          </cell>
          <cell r="F35">
            <v>0</v>
          </cell>
          <cell r="G35">
            <v>0</v>
          </cell>
          <cell r="H35">
            <v>9400000</v>
          </cell>
          <cell r="I35">
            <v>0</v>
          </cell>
        </row>
      </sheetData>
      <sheetData sheetId="8">
        <row r="35">
          <cell r="E35">
            <v>0</v>
          </cell>
          <cell r="F35">
            <v>0</v>
          </cell>
          <cell r="G35">
            <v>0</v>
          </cell>
          <cell r="H35">
            <v>13093200</v>
          </cell>
          <cell r="I35">
            <v>0</v>
          </cell>
        </row>
      </sheetData>
      <sheetData sheetId="9">
        <row r="35">
          <cell r="E35">
            <v>0</v>
          </cell>
          <cell r="F35">
            <v>0</v>
          </cell>
          <cell r="G35">
            <v>0</v>
          </cell>
          <cell r="H35">
            <v>8694910</v>
          </cell>
          <cell r="I35">
            <v>0</v>
          </cell>
        </row>
      </sheetData>
      <sheetData sheetId="10">
        <row r="35">
          <cell r="E35">
            <v>0</v>
          </cell>
          <cell r="F35">
            <v>0</v>
          </cell>
          <cell r="G35">
            <v>0</v>
          </cell>
          <cell r="H35">
            <v>30463559</v>
          </cell>
          <cell r="I35">
            <v>0</v>
          </cell>
        </row>
      </sheetData>
      <sheetData sheetId="11">
        <row r="35">
          <cell r="E35">
            <v>0</v>
          </cell>
          <cell r="F35">
            <v>0</v>
          </cell>
          <cell r="G35">
            <v>0</v>
          </cell>
          <cell r="H35">
            <v>41968368</v>
          </cell>
          <cell r="I35">
            <v>0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6300000</v>
          </cell>
          <cell r="H35">
            <v>131100000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3988000</v>
          </cell>
          <cell r="H35">
            <v>131100000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708000</v>
          </cell>
          <cell r="H35">
            <v>131100000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1006523</v>
          </cell>
          <cell r="H35">
            <v>131100000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64148507.340000004</v>
          </cell>
          <cell r="H35">
            <v>131100000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708000</v>
          </cell>
          <cell r="H35">
            <v>131100000</v>
          </cell>
        </row>
      </sheetData>
      <sheetData sheetId="6">
        <row r="35">
          <cell r="D35">
            <v>127500</v>
          </cell>
          <cell r="E35">
            <v>0</v>
          </cell>
          <cell r="F35">
            <v>0</v>
          </cell>
          <cell r="G35">
            <v>708000</v>
          </cell>
          <cell r="H35">
            <v>131100000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131100000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1416000</v>
          </cell>
          <cell r="H35">
            <v>131100000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708000</v>
          </cell>
          <cell r="H35">
            <v>131100000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5725710</v>
          </cell>
          <cell r="H35">
            <v>131100000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2523163.02</v>
          </cell>
          <cell r="H35">
            <v>131100000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NCIAN JENIS RETRIBUSI"/>
      <sheetName val="TARGET"/>
      <sheetName val="ALL BULAN"/>
      <sheetName val="MAR"/>
      <sheetName val="KOM"/>
      <sheetName val="PERBULAN2"/>
      <sheetName val="JAN1"/>
      <sheetName val="PerDinas"/>
      <sheetName val="PerDinas PEBRUARI"/>
      <sheetName val="PerDinas (2)"/>
      <sheetName val="REKAP MINGGUAN"/>
      <sheetName val="REKAP"/>
      <sheetName val="Rekaf SIMDA"/>
    </sheetNames>
    <sheetDataSet>
      <sheetData sheetId="0"/>
      <sheetData sheetId="1"/>
      <sheetData sheetId="2"/>
      <sheetData sheetId="3">
        <row r="416">
          <cell r="I416" t="str">
            <v>- Insentif Prem Indi Fase I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443861406</v>
          </cell>
          <cell r="E35">
            <v>16581156</v>
          </cell>
          <cell r="F35">
            <v>0</v>
          </cell>
          <cell r="G35">
            <v>58325000</v>
          </cell>
        </row>
      </sheetData>
      <sheetData sheetId="1">
        <row r="35">
          <cell r="D35">
            <v>422608032</v>
          </cell>
          <cell r="E35">
            <v>15108687</v>
          </cell>
          <cell r="F35">
            <v>0</v>
          </cell>
          <cell r="G35">
            <v>61925000</v>
          </cell>
        </row>
      </sheetData>
      <sheetData sheetId="2">
        <row r="35">
          <cell r="D35">
            <v>515721653</v>
          </cell>
          <cell r="E35">
            <v>6045974</v>
          </cell>
          <cell r="F35">
            <v>0</v>
          </cell>
          <cell r="G35">
            <v>56250000</v>
          </cell>
        </row>
      </sheetData>
      <sheetData sheetId="3">
        <row r="35">
          <cell r="D35">
            <v>483664265</v>
          </cell>
          <cell r="E35">
            <v>4623354</v>
          </cell>
          <cell r="F35">
            <v>0</v>
          </cell>
          <cell r="G35">
            <v>52550000</v>
          </cell>
        </row>
      </sheetData>
      <sheetData sheetId="4">
        <row r="35">
          <cell r="D35">
            <v>488519596</v>
          </cell>
          <cell r="E35">
            <v>1846000</v>
          </cell>
          <cell r="F35">
            <v>0</v>
          </cell>
          <cell r="G35">
            <v>50775000</v>
          </cell>
        </row>
      </sheetData>
      <sheetData sheetId="5">
        <row r="35">
          <cell r="D35">
            <v>465855133</v>
          </cell>
          <cell r="E35">
            <v>2474975</v>
          </cell>
          <cell r="F35">
            <v>0</v>
          </cell>
          <cell r="G35">
            <v>63025000</v>
          </cell>
        </row>
      </sheetData>
      <sheetData sheetId="6">
        <row r="35">
          <cell r="D35">
            <v>429649475</v>
          </cell>
          <cell r="E35">
            <v>24032637</v>
          </cell>
          <cell r="F35">
            <v>0</v>
          </cell>
          <cell r="G35">
            <v>46125000</v>
          </cell>
        </row>
      </sheetData>
      <sheetData sheetId="7">
        <row r="35">
          <cell r="D35">
            <v>529846615</v>
          </cell>
          <cell r="E35">
            <v>3860787</v>
          </cell>
          <cell r="F35">
            <v>0</v>
          </cell>
          <cell r="G35">
            <v>69175000</v>
          </cell>
        </row>
      </sheetData>
      <sheetData sheetId="8">
        <row r="35">
          <cell r="D35">
            <v>495007609</v>
          </cell>
          <cell r="E35">
            <v>8406200</v>
          </cell>
          <cell r="F35">
            <v>0</v>
          </cell>
          <cell r="G35">
            <v>56675000</v>
          </cell>
        </row>
      </sheetData>
      <sheetData sheetId="9">
        <row r="35">
          <cell r="D35">
            <v>437994656</v>
          </cell>
          <cell r="E35">
            <v>13358917</v>
          </cell>
          <cell r="F35">
            <v>0</v>
          </cell>
          <cell r="G35">
            <v>57025000</v>
          </cell>
        </row>
      </sheetData>
      <sheetData sheetId="10">
        <row r="35">
          <cell r="D35">
            <v>631349238</v>
          </cell>
          <cell r="E35">
            <v>21584032</v>
          </cell>
          <cell r="F35">
            <v>0</v>
          </cell>
          <cell r="G35">
            <v>54350000</v>
          </cell>
        </row>
      </sheetData>
      <sheetData sheetId="11">
        <row r="35">
          <cell r="D35">
            <v>556916803</v>
          </cell>
          <cell r="E35">
            <v>8385077</v>
          </cell>
          <cell r="F35">
            <v>2109403</v>
          </cell>
          <cell r="G35">
            <v>56275000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193258575</v>
          </cell>
          <cell r="E35">
            <v>11698118</v>
          </cell>
          <cell r="F35">
            <v>0</v>
          </cell>
          <cell r="G35">
            <v>44250000</v>
          </cell>
        </row>
      </sheetData>
      <sheetData sheetId="1">
        <row r="35">
          <cell r="D35">
            <v>196572055</v>
          </cell>
          <cell r="E35">
            <v>5248412</v>
          </cell>
          <cell r="F35">
            <v>0</v>
          </cell>
          <cell r="G35">
            <v>36025000</v>
          </cell>
        </row>
      </sheetData>
      <sheetData sheetId="2">
        <row r="35">
          <cell r="D35">
            <v>222194349</v>
          </cell>
          <cell r="E35">
            <v>2463125</v>
          </cell>
          <cell r="F35">
            <v>0</v>
          </cell>
          <cell r="G35">
            <v>35450000</v>
          </cell>
        </row>
      </sheetData>
      <sheetData sheetId="3">
        <row r="35">
          <cell r="D35">
            <v>198749306</v>
          </cell>
          <cell r="E35">
            <v>6512072</v>
          </cell>
          <cell r="F35">
            <v>0</v>
          </cell>
          <cell r="G35">
            <v>36275000</v>
          </cell>
        </row>
      </sheetData>
      <sheetData sheetId="4">
        <row r="35">
          <cell r="D35">
            <v>226061911</v>
          </cell>
          <cell r="E35">
            <v>178500</v>
          </cell>
          <cell r="F35">
            <v>0</v>
          </cell>
          <cell r="G35">
            <v>39400000</v>
          </cell>
        </row>
      </sheetData>
      <sheetData sheetId="5">
        <row r="35">
          <cell r="D35">
            <v>213189820</v>
          </cell>
          <cell r="E35">
            <v>1085350</v>
          </cell>
          <cell r="F35">
            <v>0</v>
          </cell>
          <cell r="G35">
            <v>44700000</v>
          </cell>
        </row>
      </sheetData>
      <sheetData sheetId="6">
        <row r="35">
          <cell r="D35">
            <v>190098650</v>
          </cell>
          <cell r="E35">
            <v>7638000</v>
          </cell>
          <cell r="F35">
            <v>0</v>
          </cell>
          <cell r="G35">
            <v>38000000</v>
          </cell>
        </row>
      </sheetData>
      <sheetData sheetId="7">
        <row r="35">
          <cell r="D35">
            <v>262306450</v>
          </cell>
          <cell r="E35">
            <v>1015425</v>
          </cell>
          <cell r="F35">
            <v>0</v>
          </cell>
          <cell r="G35">
            <v>43275000</v>
          </cell>
        </row>
      </sheetData>
      <sheetData sheetId="8">
        <row r="35">
          <cell r="D35">
            <v>223693554</v>
          </cell>
          <cell r="E35">
            <v>731900</v>
          </cell>
          <cell r="F35">
            <v>0</v>
          </cell>
          <cell r="G35">
            <v>39625000</v>
          </cell>
        </row>
      </sheetData>
      <sheetData sheetId="9">
        <row r="35">
          <cell r="D35">
            <v>288091706</v>
          </cell>
          <cell r="E35">
            <v>921800</v>
          </cell>
          <cell r="F35">
            <v>0</v>
          </cell>
          <cell r="G35">
            <v>47125000</v>
          </cell>
        </row>
      </sheetData>
      <sheetData sheetId="10">
        <row r="35">
          <cell r="D35">
            <v>312061270</v>
          </cell>
          <cell r="E35">
            <v>9262425</v>
          </cell>
          <cell r="F35">
            <v>0</v>
          </cell>
          <cell r="G35">
            <v>45400000</v>
          </cell>
        </row>
      </sheetData>
      <sheetData sheetId="11">
        <row r="35">
          <cell r="D35">
            <v>254642520</v>
          </cell>
          <cell r="E35">
            <v>2202050</v>
          </cell>
          <cell r="F35">
            <v>2488750</v>
          </cell>
          <cell r="G35">
            <v>42675000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247579964</v>
          </cell>
          <cell r="E35">
            <v>6323755</v>
          </cell>
          <cell r="F35">
            <v>0</v>
          </cell>
          <cell r="G35">
            <v>62575000</v>
          </cell>
        </row>
      </sheetData>
      <sheetData sheetId="1">
        <row r="35">
          <cell r="D35">
            <v>224749542</v>
          </cell>
          <cell r="E35">
            <v>9400526</v>
          </cell>
          <cell r="F35">
            <v>0</v>
          </cell>
          <cell r="G35">
            <v>45275000</v>
          </cell>
        </row>
      </sheetData>
      <sheetData sheetId="2">
        <row r="35">
          <cell r="D35">
            <v>223222081</v>
          </cell>
          <cell r="E35">
            <v>7001403</v>
          </cell>
          <cell r="F35">
            <v>0</v>
          </cell>
          <cell r="G35">
            <v>50975000</v>
          </cell>
        </row>
      </sheetData>
      <sheetData sheetId="3">
        <row r="35">
          <cell r="D35">
            <v>220890307</v>
          </cell>
          <cell r="E35">
            <v>3624251</v>
          </cell>
          <cell r="F35">
            <v>0</v>
          </cell>
          <cell r="G35">
            <v>47050000</v>
          </cell>
        </row>
      </sheetData>
      <sheetData sheetId="4">
        <row r="35">
          <cell r="D35">
            <v>261737181</v>
          </cell>
          <cell r="E35">
            <v>1899248</v>
          </cell>
          <cell r="F35">
            <v>0</v>
          </cell>
          <cell r="G35">
            <v>47100000</v>
          </cell>
        </row>
      </sheetData>
      <sheetData sheetId="5">
        <row r="35">
          <cell r="D35">
            <v>236485848</v>
          </cell>
          <cell r="E35">
            <v>696923</v>
          </cell>
          <cell r="F35">
            <v>0</v>
          </cell>
          <cell r="G35">
            <v>60125000</v>
          </cell>
        </row>
      </sheetData>
      <sheetData sheetId="6">
        <row r="35">
          <cell r="D35">
            <v>231514405</v>
          </cell>
          <cell r="E35">
            <v>852850</v>
          </cell>
          <cell r="F35">
            <v>0</v>
          </cell>
          <cell r="G35">
            <v>41500000</v>
          </cell>
        </row>
      </sheetData>
      <sheetData sheetId="7">
        <row r="35">
          <cell r="D35">
            <v>266987959</v>
          </cell>
          <cell r="E35">
            <v>866825</v>
          </cell>
          <cell r="F35">
            <v>0</v>
          </cell>
          <cell r="G35">
            <v>55425000</v>
          </cell>
        </row>
      </sheetData>
      <sheetData sheetId="8">
        <row r="35">
          <cell r="D35">
            <v>244545371</v>
          </cell>
          <cell r="E35">
            <v>1389300</v>
          </cell>
          <cell r="F35">
            <v>0</v>
          </cell>
          <cell r="G35">
            <v>46450000</v>
          </cell>
        </row>
      </sheetData>
      <sheetData sheetId="9">
        <row r="35">
          <cell r="D35">
            <v>256004175</v>
          </cell>
          <cell r="E35">
            <v>1722250</v>
          </cell>
          <cell r="F35">
            <v>0</v>
          </cell>
          <cell r="G35">
            <v>54825000</v>
          </cell>
        </row>
      </sheetData>
      <sheetData sheetId="10">
        <row r="35">
          <cell r="D35">
            <v>341571736</v>
          </cell>
          <cell r="E35">
            <v>3018407</v>
          </cell>
          <cell r="F35">
            <v>0</v>
          </cell>
          <cell r="G35">
            <v>61625000</v>
          </cell>
        </row>
      </sheetData>
      <sheetData sheetId="11">
        <row r="35">
          <cell r="D35">
            <v>334374917</v>
          </cell>
          <cell r="E35">
            <v>5148225</v>
          </cell>
          <cell r="F35">
            <v>0</v>
          </cell>
          <cell r="G35">
            <v>63550000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90850585</v>
          </cell>
          <cell r="E35">
            <v>3810125</v>
          </cell>
          <cell r="F35">
            <v>0</v>
          </cell>
          <cell r="G35">
            <v>18950000</v>
          </cell>
        </row>
      </sheetData>
      <sheetData sheetId="1">
        <row r="35">
          <cell r="D35">
            <v>93092047</v>
          </cell>
          <cell r="E35">
            <v>2110525</v>
          </cell>
          <cell r="F35">
            <v>0</v>
          </cell>
          <cell r="G35">
            <v>15825000</v>
          </cell>
        </row>
      </sheetData>
      <sheetData sheetId="2">
        <row r="35">
          <cell r="D35">
            <v>101197728</v>
          </cell>
          <cell r="E35">
            <v>3610375</v>
          </cell>
          <cell r="F35">
            <v>0</v>
          </cell>
          <cell r="G35">
            <v>13575000</v>
          </cell>
        </row>
      </sheetData>
      <sheetData sheetId="3">
        <row r="35">
          <cell r="D35">
            <v>113305818</v>
          </cell>
          <cell r="E35">
            <v>1772715</v>
          </cell>
          <cell r="F35">
            <v>0</v>
          </cell>
          <cell r="G35">
            <v>17625000</v>
          </cell>
        </row>
      </sheetData>
      <sheetData sheetId="4">
        <row r="35">
          <cell r="D35">
            <v>132816453</v>
          </cell>
          <cell r="E35">
            <v>833400</v>
          </cell>
          <cell r="F35">
            <v>0</v>
          </cell>
          <cell r="G35">
            <v>25550000</v>
          </cell>
        </row>
      </sheetData>
      <sheetData sheetId="5">
        <row r="35">
          <cell r="D35">
            <v>153242124</v>
          </cell>
          <cell r="E35">
            <v>700750</v>
          </cell>
          <cell r="F35">
            <v>0</v>
          </cell>
          <cell r="G35">
            <v>30325000</v>
          </cell>
        </row>
      </sheetData>
      <sheetData sheetId="6">
        <row r="35">
          <cell r="D35">
            <v>128705473</v>
          </cell>
          <cell r="E35">
            <v>447250</v>
          </cell>
          <cell r="F35">
            <v>0</v>
          </cell>
          <cell r="G35">
            <v>24975000</v>
          </cell>
        </row>
      </sheetData>
      <sheetData sheetId="7">
        <row r="35">
          <cell r="D35">
            <v>177230340</v>
          </cell>
          <cell r="E35">
            <v>2246700</v>
          </cell>
          <cell r="F35">
            <v>0</v>
          </cell>
          <cell r="G35">
            <v>24250000</v>
          </cell>
        </row>
      </sheetData>
      <sheetData sheetId="8">
        <row r="35">
          <cell r="D35">
            <v>147531565</v>
          </cell>
          <cell r="E35">
            <v>230450</v>
          </cell>
          <cell r="F35">
            <v>0</v>
          </cell>
          <cell r="G35">
            <v>26200000</v>
          </cell>
        </row>
      </sheetData>
      <sheetData sheetId="9">
        <row r="35">
          <cell r="D35">
            <v>138360713</v>
          </cell>
          <cell r="E35">
            <v>666950</v>
          </cell>
          <cell r="F35">
            <v>0</v>
          </cell>
          <cell r="G35">
            <v>21375000</v>
          </cell>
        </row>
      </sheetData>
      <sheetData sheetId="10">
        <row r="35">
          <cell r="D35">
            <v>171152681</v>
          </cell>
          <cell r="E35">
            <v>1589775</v>
          </cell>
          <cell r="F35">
            <v>0</v>
          </cell>
          <cell r="G35">
            <v>22150000</v>
          </cell>
        </row>
      </sheetData>
      <sheetData sheetId="11">
        <row r="35">
          <cell r="D35">
            <v>168640967</v>
          </cell>
          <cell r="E35">
            <v>2464175</v>
          </cell>
          <cell r="F35">
            <v>0</v>
          </cell>
          <cell r="G35">
            <v>74050000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110304287</v>
          </cell>
          <cell r="E35">
            <v>6694750</v>
          </cell>
          <cell r="F35">
            <v>0</v>
          </cell>
          <cell r="G35">
            <v>18375000</v>
          </cell>
        </row>
      </sheetData>
      <sheetData sheetId="1">
        <row r="35">
          <cell r="D35">
            <v>128612161</v>
          </cell>
          <cell r="E35">
            <v>4251015</v>
          </cell>
          <cell r="F35">
            <v>0</v>
          </cell>
          <cell r="G35">
            <v>17525000</v>
          </cell>
        </row>
      </sheetData>
      <sheetData sheetId="2">
        <row r="35">
          <cell r="D35">
            <v>122402241</v>
          </cell>
          <cell r="E35">
            <v>4532717</v>
          </cell>
          <cell r="F35">
            <v>0</v>
          </cell>
          <cell r="G35">
            <v>14675000</v>
          </cell>
        </row>
      </sheetData>
      <sheetData sheetId="3">
        <row r="35">
          <cell r="D35">
            <v>98008232</v>
          </cell>
          <cell r="E35">
            <v>1587925</v>
          </cell>
          <cell r="F35">
            <v>0</v>
          </cell>
          <cell r="G35">
            <v>12625000</v>
          </cell>
        </row>
      </sheetData>
      <sheetData sheetId="4">
        <row r="35">
          <cell r="D35">
            <v>139917182</v>
          </cell>
          <cell r="E35">
            <v>140000</v>
          </cell>
          <cell r="F35">
            <v>0</v>
          </cell>
          <cell r="G35">
            <v>12225000</v>
          </cell>
        </row>
      </sheetData>
      <sheetData sheetId="5">
        <row r="35">
          <cell r="D35">
            <v>145719767</v>
          </cell>
          <cell r="E35">
            <v>2308662</v>
          </cell>
          <cell r="F35">
            <v>2000000</v>
          </cell>
          <cell r="G35">
            <v>23600000</v>
          </cell>
        </row>
      </sheetData>
      <sheetData sheetId="6">
        <row r="35">
          <cell r="D35">
            <v>121615156</v>
          </cell>
          <cell r="E35">
            <v>12307050</v>
          </cell>
          <cell r="F35">
            <v>0</v>
          </cell>
          <cell r="G35">
            <v>18875000</v>
          </cell>
        </row>
      </sheetData>
      <sheetData sheetId="7">
        <row r="35">
          <cell r="D35">
            <v>161414001</v>
          </cell>
          <cell r="E35">
            <v>1654400</v>
          </cell>
          <cell r="F35">
            <v>0</v>
          </cell>
          <cell r="G35">
            <v>24100000</v>
          </cell>
        </row>
      </sheetData>
      <sheetData sheetId="8">
        <row r="35">
          <cell r="D35">
            <v>161852676</v>
          </cell>
          <cell r="E35">
            <v>2092150</v>
          </cell>
          <cell r="F35">
            <v>0</v>
          </cell>
          <cell r="G35">
            <v>23175000</v>
          </cell>
        </row>
      </sheetData>
      <sheetData sheetId="9">
        <row r="35">
          <cell r="D35">
            <v>146650156</v>
          </cell>
          <cell r="E35">
            <v>1446000</v>
          </cell>
          <cell r="F35">
            <v>0</v>
          </cell>
          <cell r="G35">
            <v>21350000</v>
          </cell>
        </row>
      </sheetData>
      <sheetData sheetId="10">
        <row r="35">
          <cell r="D35">
            <v>200935108</v>
          </cell>
          <cell r="E35">
            <v>4453600</v>
          </cell>
          <cell r="F35">
            <v>8972500</v>
          </cell>
          <cell r="G35">
            <v>21625000</v>
          </cell>
        </row>
      </sheetData>
      <sheetData sheetId="11">
        <row r="35">
          <cell r="D35">
            <v>154003162</v>
          </cell>
          <cell r="E35">
            <v>3225904</v>
          </cell>
          <cell r="F35">
            <v>0</v>
          </cell>
          <cell r="G35">
            <v>15175000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31104130</v>
          </cell>
          <cell r="E35">
            <v>660000</v>
          </cell>
          <cell r="F35">
            <v>0</v>
          </cell>
          <cell r="G35">
            <v>6750000</v>
          </cell>
        </row>
      </sheetData>
      <sheetData sheetId="1">
        <row r="35">
          <cell r="D35">
            <v>41952403</v>
          </cell>
          <cell r="E35">
            <v>528250</v>
          </cell>
          <cell r="F35">
            <v>0</v>
          </cell>
          <cell r="G35">
            <v>5925000</v>
          </cell>
        </row>
      </sheetData>
      <sheetData sheetId="2">
        <row r="35">
          <cell r="D35">
            <v>41790558</v>
          </cell>
          <cell r="E35">
            <v>656250</v>
          </cell>
          <cell r="F35">
            <v>0</v>
          </cell>
          <cell r="G35">
            <v>6400000</v>
          </cell>
        </row>
      </sheetData>
      <sheetData sheetId="3">
        <row r="35">
          <cell r="D35">
            <v>37872177</v>
          </cell>
          <cell r="E35">
            <v>122586</v>
          </cell>
          <cell r="F35">
            <v>0</v>
          </cell>
          <cell r="G35">
            <v>9375000</v>
          </cell>
        </row>
      </sheetData>
      <sheetData sheetId="4">
        <row r="35">
          <cell r="D35">
            <v>52305080</v>
          </cell>
          <cell r="E35">
            <v>145000</v>
          </cell>
          <cell r="F35">
            <v>0</v>
          </cell>
          <cell r="G35">
            <v>7575000</v>
          </cell>
        </row>
      </sheetData>
      <sheetData sheetId="5">
        <row r="35">
          <cell r="D35">
            <v>59639330</v>
          </cell>
          <cell r="E35">
            <v>181750</v>
          </cell>
          <cell r="F35">
            <v>0</v>
          </cell>
          <cell r="G35">
            <v>10700000</v>
          </cell>
        </row>
      </sheetData>
      <sheetData sheetId="6">
        <row r="35">
          <cell r="D35">
            <v>56689748</v>
          </cell>
          <cell r="E35">
            <v>0</v>
          </cell>
          <cell r="F35">
            <v>0</v>
          </cell>
          <cell r="G35">
            <v>9275000</v>
          </cell>
        </row>
      </sheetData>
      <sheetData sheetId="7">
        <row r="35">
          <cell r="D35">
            <v>55581090</v>
          </cell>
          <cell r="E35">
            <v>0</v>
          </cell>
          <cell r="F35">
            <v>0</v>
          </cell>
          <cell r="G35">
            <v>9825000</v>
          </cell>
        </row>
      </sheetData>
      <sheetData sheetId="8">
        <row r="35">
          <cell r="D35">
            <v>55093945</v>
          </cell>
          <cell r="E35">
            <v>943200</v>
          </cell>
          <cell r="F35">
            <v>2664500</v>
          </cell>
          <cell r="G35">
            <v>6975000</v>
          </cell>
        </row>
      </sheetData>
      <sheetData sheetId="9">
        <row r="35">
          <cell r="D35">
            <v>47040275</v>
          </cell>
          <cell r="E35">
            <v>426300</v>
          </cell>
          <cell r="F35">
            <v>0</v>
          </cell>
          <cell r="G35">
            <v>6475000</v>
          </cell>
        </row>
      </sheetData>
      <sheetData sheetId="10">
        <row r="35">
          <cell r="D35">
            <v>68491622</v>
          </cell>
          <cell r="E35">
            <v>439000</v>
          </cell>
          <cell r="F35">
            <v>0</v>
          </cell>
          <cell r="G35">
            <v>7825000</v>
          </cell>
        </row>
      </sheetData>
      <sheetData sheetId="11">
        <row r="35">
          <cell r="D35">
            <v>54492878</v>
          </cell>
          <cell r="E35">
            <v>2209635</v>
          </cell>
          <cell r="F35">
            <v>0</v>
          </cell>
          <cell r="G35">
            <v>6525000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148938755</v>
          </cell>
          <cell r="E35">
            <v>7013500</v>
          </cell>
          <cell r="F35">
            <v>0</v>
          </cell>
          <cell r="G35">
            <v>54925000</v>
          </cell>
        </row>
      </sheetData>
      <sheetData sheetId="1">
        <row r="35">
          <cell r="D35">
            <v>157882369</v>
          </cell>
          <cell r="E35">
            <v>14076300</v>
          </cell>
          <cell r="F35">
            <v>0</v>
          </cell>
          <cell r="G35">
            <v>49850000</v>
          </cell>
        </row>
      </sheetData>
      <sheetData sheetId="2">
        <row r="35">
          <cell r="D35">
            <v>153586425</v>
          </cell>
          <cell r="E35">
            <v>3255202</v>
          </cell>
          <cell r="F35">
            <v>0</v>
          </cell>
          <cell r="G35">
            <v>53600000</v>
          </cell>
        </row>
      </sheetData>
      <sheetData sheetId="3">
        <row r="35">
          <cell r="D35">
            <v>136441650</v>
          </cell>
          <cell r="E35">
            <v>1238325</v>
          </cell>
          <cell r="F35">
            <v>0</v>
          </cell>
          <cell r="G35">
            <v>46400000</v>
          </cell>
        </row>
      </sheetData>
      <sheetData sheetId="4">
        <row r="35">
          <cell r="D35">
            <v>150828325</v>
          </cell>
          <cell r="E35">
            <v>0</v>
          </cell>
          <cell r="F35">
            <v>0</v>
          </cell>
          <cell r="G35">
            <v>42250000</v>
          </cell>
        </row>
      </sheetData>
      <sheetData sheetId="5">
        <row r="35">
          <cell r="D35">
            <v>157086510</v>
          </cell>
          <cell r="E35">
            <v>1959495</v>
          </cell>
          <cell r="F35">
            <v>0</v>
          </cell>
          <cell r="G35">
            <v>57750000</v>
          </cell>
        </row>
      </sheetData>
      <sheetData sheetId="6">
        <row r="35">
          <cell r="D35">
            <v>133249990</v>
          </cell>
          <cell r="E35">
            <v>0</v>
          </cell>
          <cell r="F35">
            <v>0</v>
          </cell>
          <cell r="G35">
            <v>40575000</v>
          </cell>
        </row>
      </sheetData>
      <sheetData sheetId="7">
        <row r="35">
          <cell r="D35">
            <v>164101175</v>
          </cell>
          <cell r="E35">
            <v>1039400</v>
          </cell>
          <cell r="F35">
            <v>0</v>
          </cell>
          <cell r="G35">
            <v>53900000</v>
          </cell>
        </row>
      </sheetData>
      <sheetData sheetId="8">
        <row r="35">
          <cell r="D35">
            <v>156532902</v>
          </cell>
          <cell r="E35">
            <v>474491</v>
          </cell>
          <cell r="F35">
            <v>0</v>
          </cell>
          <cell r="G35">
            <v>49975000</v>
          </cell>
        </row>
      </sheetData>
      <sheetData sheetId="9">
        <row r="35">
          <cell r="D35">
            <v>159720917</v>
          </cell>
          <cell r="E35">
            <v>1100100</v>
          </cell>
          <cell r="F35">
            <v>0</v>
          </cell>
          <cell r="G35">
            <v>55100000</v>
          </cell>
        </row>
      </sheetData>
      <sheetData sheetId="10">
        <row r="35">
          <cell r="D35">
            <v>214010251</v>
          </cell>
          <cell r="E35">
            <v>1973486</v>
          </cell>
          <cell r="F35">
            <v>2605000</v>
          </cell>
          <cell r="G35">
            <v>53825000</v>
          </cell>
        </row>
      </sheetData>
      <sheetData sheetId="11">
        <row r="35">
          <cell r="D35">
            <v>192544268</v>
          </cell>
          <cell r="E35">
            <v>3085373</v>
          </cell>
          <cell r="F35">
            <v>0</v>
          </cell>
          <cell r="G35">
            <v>51250000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266327748</v>
          </cell>
          <cell r="E35">
            <v>1861873</v>
          </cell>
          <cell r="F35">
            <v>0</v>
          </cell>
          <cell r="G35">
            <v>9500000</v>
          </cell>
        </row>
      </sheetData>
      <sheetData sheetId="1">
        <row r="35">
          <cell r="D35">
            <v>51116949</v>
          </cell>
          <cell r="E35">
            <v>882500</v>
          </cell>
          <cell r="F35">
            <v>0</v>
          </cell>
          <cell r="G35">
            <v>6500000</v>
          </cell>
        </row>
      </sheetData>
      <sheetData sheetId="2">
        <row r="35">
          <cell r="D35">
            <v>61725718</v>
          </cell>
          <cell r="E35">
            <v>1479750</v>
          </cell>
          <cell r="F35">
            <v>0</v>
          </cell>
          <cell r="G35">
            <v>7025000</v>
          </cell>
        </row>
      </sheetData>
      <sheetData sheetId="3">
        <row r="35">
          <cell r="D35">
            <v>71248716</v>
          </cell>
          <cell r="E35">
            <v>9448</v>
          </cell>
          <cell r="F35">
            <v>0</v>
          </cell>
          <cell r="G35">
            <v>6500000</v>
          </cell>
        </row>
      </sheetData>
      <sheetData sheetId="4">
        <row r="35">
          <cell r="D35">
            <v>72850030</v>
          </cell>
          <cell r="E35">
            <v>667500</v>
          </cell>
          <cell r="F35">
            <v>0</v>
          </cell>
          <cell r="G35">
            <v>7500000</v>
          </cell>
        </row>
      </sheetData>
      <sheetData sheetId="5">
        <row r="35">
          <cell r="D35">
            <v>92587190</v>
          </cell>
          <cell r="E35">
            <v>33007500</v>
          </cell>
          <cell r="F35">
            <v>0</v>
          </cell>
          <cell r="G35">
            <v>12345000</v>
          </cell>
        </row>
      </sheetData>
      <sheetData sheetId="6">
        <row r="35">
          <cell r="D35">
            <v>62525725</v>
          </cell>
          <cell r="E35">
            <v>667500</v>
          </cell>
          <cell r="F35">
            <v>0</v>
          </cell>
          <cell r="G35">
            <v>8725000</v>
          </cell>
        </row>
      </sheetData>
      <sheetData sheetId="7">
        <row r="35">
          <cell r="D35">
            <v>61974000</v>
          </cell>
          <cell r="E35">
            <v>693800</v>
          </cell>
          <cell r="F35">
            <v>0</v>
          </cell>
          <cell r="G35">
            <v>8650000</v>
          </cell>
        </row>
      </sheetData>
      <sheetData sheetId="8">
        <row r="35">
          <cell r="D35">
            <v>63107900</v>
          </cell>
          <cell r="E35">
            <v>0</v>
          </cell>
          <cell r="F35">
            <v>0</v>
          </cell>
          <cell r="G35">
            <v>8075000</v>
          </cell>
        </row>
      </sheetData>
      <sheetData sheetId="9">
        <row r="35">
          <cell r="D35">
            <v>55449350</v>
          </cell>
          <cell r="E35">
            <v>772500</v>
          </cell>
          <cell r="F35">
            <v>0</v>
          </cell>
          <cell r="G35">
            <v>11025000</v>
          </cell>
        </row>
      </sheetData>
      <sheetData sheetId="10">
        <row r="35">
          <cell r="D35">
            <v>87627642</v>
          </cell>
          <cell r="E35">
            <v>729000</v>
          </cell>
          <cell r="F35">
            <v>3670000</v>
          </cell>
          <cell r="G35">
            <v>8050000</v>
          </cell>
        </row>
      </sheetData>
      <sheetData sheetId="11">
        <row r="35">
          <cell r="D35">
            <v>27298375</v>
          </cell>
          <cell r="E35">
            <v>39500</v>
          </cell>
          <cell r="F35">
            <v>0</v>
          </cell>
          <cell r="G35">
            <v>2175000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42688010</v>
          </cell>
          <cell r="E35">
            <v>0</v>
          </cell>
          <cell r="F35">
            <v>0</v>
          </cell>
          <cell r="G35">
            <v>0</v>
          </cell>
        </row>
      </sheetData>
      <sheetData sheetId="1">
        <row r="35">
          <cell r="D35">
            <v>47377418</v>
          </cell>
          <cell r="E35">
            <v>0</v>
          </cell>
          <cell r="F35">
            <v>0</v>
          </cell>
          <cell r="G35">
            <v>0</v>
          </cell>
        </row>
      </sheetData>
      <sheetData sheetId="2">
        <row r="35">
          <cell r="D35">
            <v>45492263</v>
          </cell>
          <cell r="E35">
            <v>0</v>
          </cell>
          <cell r="F35">
            <v>0</v>
          </cell>
          <cell r="G35">
            <v>0</v>
          </cell>
        </row>
      </sheetData>
      <sheetData sheetId="3">
        <row r="35">
          <cell r="D35">
            <v>39225732</v>
          </cell>
          <cell r="E35">
            <v>0</v>
          </cell>
          <cell r="F35">
            <v>0</v>
          </cell>
          <cell r="G35">
            <v>0</v>
          </cell>
        </row>
      </sheetData>
      <sheetData sheetId="4">
        <row r="35">
          <cell r="D35">
            <v>45142700</v>
          </cell>
          <cell r="E35">
            <v>0</v>
          </cell>
          <cell r="F35">
            <v>0</v>
          </cell>
          <cell r="G35">
            <v>0</v>
          </cell>
        </row>
      </sheetData>
      <sheetData sheetId="5">
        <row r="35">
          <cell r="D35">
            <v>49164400</v>
          </cell>
          <cell r="E35">
            <v>0</v>
          </cell>
          <cell r="F35">
            <v>0</v>
          </cell>
          <cell r="G35">
            <v>0</v>
          </cell>
        </row>
      </sheetData>
      <sheetData sheetId="6">
        <row r="35">
          <cell r="D35">
            <v>49156400</v>
          </cell>
          <cell r="E35">
            <v>0</v>
          </cell>
          <cell r="F35">
            <v>0</v>
          </cell>
          <cell r="G35">
            <v>0</v>
          </cell>
        </row>
      </sheetData>
      <sheetData sheetId="7">
        <row r="35">
          <cell r="D35">
            <v>71969700</v>
          </cell>
          <cell r="E35">
            <v>0</v>
          </cell>
          <cell r="F35">
            <v>8957000</v>
          </cell>
          <cell r="G35">
            <v>0</v>
          </cell>
        </row>
      </sheetData>
      <sheetData sheetId="8">
        <row r="35">
          <cell r="D35">
            <v>64055900</v>
          </cell>
          <cell r="E35">
            <v>0</v>
          </cell>
          <cell r="F35">
            <v>0</v>
          </cell>
          <cell r="G35">
            <v>0</v>
          </cell>
        </row>
      </sheetData>
      <sheetData sheetId="9">
        <row r="35">
          <cell r="D35">
            <v>67214000</v>
          </cell>
          <cell r="E35">
            <v>0</v>
          </cell>
          <cell r="F35">
            <v>0</v>
          </cell>
          <cell r="G35">
            <v>0</v>
          </cell>
        </row>
      </sheetData>
      <sheetData sheetId="10">
        <row r="35">
          <cell r="D35">
            <v>70849100</v>
          </cell>
          <cell r="E35">
            <v>0</v>
          </cell>
          <cell r="F35">
            <v>4606430</v>
          </cell>
          <cell r="G35">
            <v>0</v>
          </cell>
        </row>
      </sheetData>
      <sheetData sheetId="11">
        <row r="35">
          <cell r="D35">
            <v>65016225</v>
          </cell>
          <cell r="E35">
            <v>0</v>
          </cell>
          <cell r="F35">
            <v>0</v>
          </cell>
          <cell r="G35">
            <v>0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34375000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2914625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113520200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</sheetData>
      <sheetData sheetId="3">
        <row r="35">
          <cell r="D35">
            <v>0</v>
          </cell>
          <cell r="E35">
            <v>543750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896125</v>
          </cell>
          <cell r="L35">
            <v>0</v>
          </cell>
        </row>
      </sheetData>
      <sheetData sheetId="4">
        <row r="35">
          <cell r="D35">
            <v>0</v>
          </cell>
          <cell r="E35">
            <v>250000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7622303</v>
          </cell>
          <cell r="L35">
            <v>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</sheetData>
      <sheetData sheetId="7">
        <row r="35">
          <cell r="D35">
            <v>0</v>
          </cell>
          <cell r="E35">
            <v>180000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1224679</v>
          </cell>
          <cell r="L35">
            <v>0</v>
          </cell>
        </row>
      </sheetData>
      <sheetData sheetId="8">
        <row r="35">
          <cell r="D35">
            <v>0</v>
          </cell>
          <cell r="E35">
            <v>270000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5589162</v>
          </cell>
          <cell r="L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377500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</sheetData>
      <sheetData sheetId="10">
        <row r="35">
          <cell r="D35">
            <v>0</v>
          </cell>
          <cell r="E35">
            <v>8820000</v>
          </cell>
          <cell r="F35">
            <v>0</v>
          </cell>
          <cell r="G35">
            <v>9542500</v>
          </cell>
          <cell r="H35">
            <v>0</v>
          </cell>
          <cell r="I35">
            <v>0</v>
          </cell>
          <cell r="J35">
            <v>0</v>
          </cell>
          <cell r="K35">
            <v>100000</v>
          </cell>
          <cell r="L35">
            <v>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32369500</v>
          </cell>
          <cell r="H35">
            <v>12541200</v>
          </cell>
          <cell r="I35">
            <v>0</v>
          </cell>
          <cell r="J35">
            <v>0</v>
          </cell>
          <cell r="K35">
            <v>10212000</v>
          </cell>
          <cell r="L35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 My Hand"/>
      <sheetName val="Perubahan 2015"/>
      <sheetName val="TARGET MURNI DAN PERUBAHAN"/>
      <sheetName val="TARGET VERSI LAMA"/>
      <sheetName val="Perdinas"/>
    </sheetNames>
    <sheetDataSet>
      <sheetData sheetId="0"/>
      <sheetData sheetId="1"/>
      <sheetData sheetId="2">
        <row r="9">
          <cell r="D9">
            <v>383634542450</v>
          </cell>
        </row>
        <row r="15">
          <cell r="D15">
            <v>60000000</v>
          </cell>
        </row>
        <row r="16">
          <cell r="D16">
            <v>8500000</v>
          </cell>
        </row>
        <row r="21">
          <cell r="D21">
            <v>0</v>
          </cell>
        </row>
        <row r="27">
          <cell r="D27">
            <v>0</v>
          </cell>
        </row>
        <row r="36">
          <cell r="D36">
            <v>1000000000</v>
          </cell>
        </row>
        <row r="44">
          <cell r="D44">
            <v>116000000</v>
          </cell>
        </row>
        <row r="52">
          <cell r="D52">
            <v>12000000000</v>
          </cell>
        </row>
        <row r="60">
          <cell r="D60">
            <v>0</v>
          </cell>
        </row>
        <row r="64">
          <cell r="D64">
            <v>0</v>
          </cell>
        </row>
        <row r="68">
          <cell r="D68">
            <v>2197286650</v>
          </cell>
        </row>
        <row r="73">
          <cell r="D73">
            <v>3500000000</v>
          </cell>
        </row>
        <row r="77">
          <cell r="D77">
            <v>0</v>
          </cell>
        </row>
        <row r="81">
          <cell r="D81">
            <v>80365000000</v>
          </cell>
        </row>
        <row r="87">
          <cell r="D87">
            <v>14000000000</v>
          </cell>
        </row>
        <row r="89">
          <cell r="D89">
            <v>0</v>
          </cell>
        </row>
        <row r="93">
          <cell r="D93">
            <v>19250000</v>
          </cell>
        </row>
        <row r="96">
          <cell r="D96">
            <v>216750000</v>
          </cell>
        </row>
        <row r="97">
          <cell r="D97">
            <v>200000000</v>
          </cell>
        </row>
        <row r="102">
          <cell r="D102">
            <v>0</v>
          </cell>
        </row>
        <row r="106">
          <cell r="D106">
            <v>0</v>
          </cell>
        </row>
        <row r="111">
          <cell r="D111">
            <v>0</v>
          </cell>
        </row>
        <row r="116">
          <cell r="D116">
            <v>103889500</v>
          </cell>
        </row>
        <row r="117">
          <cell r="D117">
            <v>90000000</v>
          </cell>
        </row>
        <row r="120">
          <cell r="D120">
            <v>18000000</v>
          </cell>
        </row>
        <row r="123">
          <cell r="D123">
            <v>0</v>
          </cell>
        </row>
        <row r="130">
          <cell r="D130">
            <v>0</v>
          </cell>
        </row>
        <row r="135">
          <cell r="D135">
            <v>0</v>
          </cell>
        </row>
        <row r="139">
          <cell r="D139">
            <v>2000000</v>
          </cell>
        </row>
        <row r="144">
          <cell r="D144">
            <v>0</v>
          </cell>
        </row>
        <row r="148">
          <cell r="D148">
            <v>1445000000</v>
          </cell>
        </row>
        <row r="152">
          <cell r="D152">
            <v>28047000</v>
          </cell>
        </row>
        <row r="153">
          <cell r="D153">
            <v>0</v>
          </cell>
        </row>
        <row r="155">
          <cell r="D155">
            <v>55000000</v>
          </cell>
        </row>
        <row r="159">
          <cell r="D159">
            <v>0</v>
          </cell>
        </row>
        <row r="160">
          <cell r="D160">
            <v>0</v>
          </cell>
        </row>
        <row r="161">
          <cell r="D161">
            <v>0</v>
          </cell>
        </row>
        <row r="162">
          <cell r="D162">
            <v>0</v>
          </cell>
        </row>
        <row r="163">
          <cell r="D163">
            <v>0</v>
          </cell>
        </row>
        <row r="167">
          <cell r="D167">
            <v>152500000</v>
          </cell>
        </row>
        <row r="170">
          <cell r="D170">
            <v>348625000</v>
          </cell>
        </row>
        <row r="175">
          <cell r="D175">
            <v>0</v>
          </cell>
        </row>
        <row r="177">
          <cell r="D177">
            <v>0</v>
          </cell>
        </row>
        <row r="178">
          <cell r="D178">
            <v>0</v>
          </cell>
        </row>
        <row r="183">
          <cell r="D183">
            <v>16500000</v>
          </cell>
        </row>
        <row r="184">
          <cell r="D184">
            <v>40000000</v>
          </cell>
        </row>
        <row r="187">
          <cell r="D187">
            <v>3500000</v>
          </cell>
        </row>
        <row r="197">
          <cell r="D197">
            <v>0</v>
          </cell>
        </row>
        <row r="202">
          <cell r="D202">
            <v>0</v>
          </cell>
        </row>
        <row r="210">
          <cell r="D210">
            <v>30000000</v>
          </cell>
        </row>
        <row r="211">
          <cell r="D211">
            <v>20000000</v>
          </cell>
        </row>
        <row r="212">
          <cell r="D212">
            <v>75000000</v>
          </cell>
        </row>
        <row r="219">
          <cell r="D219">
            <v>322246100</v>
          </cell>
        </row>
        <row r="220">
          <cell r="D220">
            <v>406911500</v>
          </cell>
        </row>
        <row r="221">
          <cell r="D221">
            <v>250000000</v>
          </cell>
        </row>
        <row r="223">
          <cell r="D223">
            <v>22500000</v>
          </cell>
        </row>
        <row r="224">
          <cell r="D224">
            <v>28000000</v>
          </cell>
        </row>
        <row r="225">
          <cell r="D225">
            <v>17250000</v>
          </cell>
        </row>
        <row r="226">
          <cell r="D226">
            <v>30000000</v>
          </cell>
        </row>
        <row r="227">
          <cell r="D227">
            <v>50000000</v>
          </cell>
        </row>
        <row r="228">
          <cell r="D228">
            <v>0</v>
          </cell>
        </row>
        <row r="229">
          <cell r="D229">
            <v>0</v>
          </cell>
        </row>
        <row r="230">
          <cell r="D230">
            <v>0</v>
          </cell>
        </row>
        <row r="231">
          <cell r="D231">
            <v>675855000</v>
          </cell>
        </row>
        <row r="236">
          <cell r="D236">
            <v>51904261900</v>
          </cell>
        </row>
        <row r="237">
          <cell r="D237">
            <v>10050000000</v>
          </cell>
        </row>
        <row r="238">
          <cell r="D238">
            <v>1000000000</v>
          </cell>
        </row>
        <row r="239">
          <cell r="D239">
            <v>51382400000</v>
          </cell>
        </row>
        <row r="240">
          <cell r="D240">
            <v>0</v>
          </cell>
        </row>
        <row r="241">
          <cell r="D241">
            <v>150000000</v>
          </cell>
        </row>
        <row r="242">
          <cell r="D242">
            <v>22000000</v>
          </cell>
        </row>
        <row r="246">
          <cell r="D246">
            <v>0</v>
          </cell>
        </row>
        <row r="247">
          <cell r="D247">
            <v>50000000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200000000</v>
          </cell>
        </row>
        <row r="253">
          <cell r="D253">
            <v>4500000000</v>
          </cell>
        </row>
        <row r="254">
          <cell r="D254">
            <v>0</v>
          </cell>
        </row>
        <row r="257">
          <cell r="D257">
            <v>12000000000</v>
          </cell>
        </row>
        <row r="260">
          <cell r="D260">
            <v>6000000000</v>
          </cell>
        </row>
        <row r="261">
          <cell r="D261">
            <v>15000000</v>
          </cell>
        </row>
        <row r="264">
          <cell r="D264">
            <v>0</v>
          </cell>
        </row>
        <row r="265">
          <cell r="D265">
            <v>0</v>
          </cell>
        </row>
        <row r="266">
          <cell r="D266">
            <v>0</v>
          </cell>
        </row>
        <row r="267">
          <cell r="D267">
            <v>0</v>
          </cell>
        </row>
        <row r="268">
          <cell r="D268">
            <v>0</v>
          </cell>
        </row>
        <row r="269">
          <cell r="D269">
            <v>0</v>
          </cell>
        </row>
        <row r="270">
          <cell r="D270">
            <v>0</v>
          </cell>
        </row>
        <row r="271">
          <cell r="D271">
            <v>0</v>
          </cell>
        </row>
        <row r="272">
          <cell r="D272">
            <v>0</v>
          </cell>
        </row>
        <row r="275">
          <cell r="D275">
            <v>0</v>
          </cell>
        </row>
        <row r="276">
          <cell r="D276">
            <v>0</v>
          </cell>
        </row>
        <row r="277">
          <cell r="D277">
            <v>3000000000</v>
          </cell>
        </row>
        <row r="279">
          <cell r="D279">
            <v>71000000000</v>
          </cell>
        </row>
        <row r="280">
          <cell r="D280">
            <v>5000000000</v>
          </cell>
        </row>
        <row r="281">
          <cell r="D281">
            <v>4000000000</v>
          </cell>
        </row>
        <row r="284">
          <cell r="D284">
            <v>0</v>
          </cell>
        </row>
        <row r="287">
          <cell r="D287">
            <v>12035600</v>
          </cell>
        </row>
        <row r="289">
          <cell r="D289">
            <v>4492800</v>
          </cell>
        </row>
        <row r="290">
          <cell r="D290">
            <v>44372400</v>
          </cell>
        </row>
        <row r="293">
          <cell r="D293">
            <v>0</v>
          </cell>
        </row>
        <row r="297">
          <cell r="D297">
            <v>1250000</v>
          </cell>
        </row>
        <row r="298">
          <cell r="D298">
            <v>0</v>
          </cell>
        </row>
        <row r="299">
          <cell r="D299">
            <v>2950000</v>
          </cell>
        </row>
        <row r="300">
          <cell r="D300">
            <v>2876300</v>
          </cell>
        </row>
        <row r="301">
          <cell r="D301">
            <v>11845000</v>
          </cell>
        </row>
        <row r="302">
          <cell r="D302">
            <v>4200000</v>
          </cell>
        </row>
        <row r="303">
          <cell r="D303">
            <v>342158400</v>
          </cell>
        </row>
        <row r="304">
          <cell r="D304">
            <v>3291945800</v>
          </cell>
        </row>
        <row r="306">
          <cell r="D306">
            <v>51419400</v>
          </cell>
        </row>
        <row r="307">
          <cell r="D307">
            <v>335291000</v>
          </cell>
        </row>
        <row r="308">
          <cell r="D308">
            <v>55355000</v>
          </cell>
        </row>
        <row r="309">
          <cell r="D309">
            <v>57136000</v>
          </cell>
        </row>
        <row r="310">
          <cell r="D310">
            <v>24760000</v>
          </cell>
        </row>
        <row r="311">
          <cell r="D311">
            <v>198040000</v>
          </cell>
        </row>
        <row r="313">
          <cell r="D313">
            <v>0</v>
          </cell>
        </row>
        <row r="314">
          <cell r="D314">
            <v>63698000</v>
          </cell>
        </row>
        <row r="315">
          <cell r="D315">
            <v>285233000</v>
          </cell>
        </row>
        <row r="316">
          <cell r="D316">
            <v>51783300</v>
          </cell>
        </row>
        <row r="317">
          <cell r="D317">
            <v>25741600</v>
          </cell>
        </row>
        <row r="318">
          <cell r="D318">
            <v>1100000</v>
          </cell>
        </row>
        <row r="319">
          <cell r="D319">
            <v>0</v>
          </cell>
        </row>
        <row r="320">
          <cell r="D320">
            <v>0</v>
          </cell>
        </row>
        <row r="321">
          <cell r="D321">
            <v>0</v>
          </cell>
        </row>
        <row r="323">
          <cell r="D323">
            <v>0</v>
          </cell>
        </row>
        <row r="324">
          <cell r="D324">
            <v>0</v>
          </cell>
        </row>
        <row r="325">
          <cell r="D325">
            <v>50953800</v>
          </cell>
        </row>
        <row r="327">
          <cell r="D327">
            <v>1274512000</v>
          </cell>
        </row>
        <row r="328">
          <cell r="D328">
            <v>3123018400</v>
          </cell>
        </row>
        <row r="329">
          <cell r="D329">
            <v>0</v>
          </cell>
        </row>
        <row r="330">
          <cell r="D330">
            <v>880000</v>
          </cell>
        </row>
        <row r="331">
          <cell r="D331">
            <v>1508491400</v>
          </cell>
        </row>
        <row r="332">
          <cell r="D332">
            <v>650000</v>
          </cell>
        </row>
        <row r="334">
          <cell r="D334">
            <v>0</v>
          </cell>
        </row>
        <row r="335">
          <cell r="D335">
            <v>0</v>
          </cell>
        </row>
        <row r="336">
          <cell r="D336">
            <v>25900000</v>
          </cell>
        </row>
        <row r="337">
          <cell r="D337">
            <v>20783000</v>
          </cell>
        </row>
        <row r="338">
          <cell r="D338">
            <v>500000</v>
          </cell>
        </row>
        <row r="339">
          <cell r="D339">
            <v>0</v>
          </cell>
        </row>
        <row r="340">
          <cell r="D340">
            <v>2006500</v>
          </cell>
        </row>
        <row r="341">
          <cell r="D341">
            <v>18851300</v>
          </cell>
        </row>
        <row r="345">
          <cell r="D345">
            <v>54165800</v>
          </cell>
        </row>
        <row r="346">
          <cell r="D346">
            <v>0</v>
          </cell>
        </row>
        <row r="348">
          <cell r="D348">
            <v>3688800000</v>
          </cell>
        </row>
        <row r="354">
          <cell r="D354">
            <v>1400000000</v>
          </cell>
        </row>
        <row r="366">
          <cell r="D366">
            <v>18448560000</v>
          </cell>
        </row>
        <row r="367">
          <cell r="D367">
            <v>0</v>
          </cell>
        </row>
        <row r="368">
          <cell r="D368">
            <v>0</v>
          </cell>
        </row>
        <row r="369">
          <cell r="D369">
            <v>0</v>
          </cell>
        </row>
        <row r="370">
          <cell r="D370">
            <v>0</v>
          </cell>
        </row>
        <row r="371">
          <cell r="D371">
            <v>0</v>
          </cell>
        </row>
        <row r="372">
          <cell r="D372">
            <v>0</v>
          </cell>
        </row>
        <row r="373">
          <cell r="D373">
            <v>0</v>
          </cell>
        </row>
        <row r="374">
          <cell r="D374">
            <v>0</v>
          </cell>
        </row>
        <row r="376">
          <cell r="D376">
            <v>100000000</v>
          </cell>
        </row>
        <row r="377">
          <cell r="D377">
            <v>0</v>
          </cell>
        </row>
        <row r="378">
          <cell r="D378">
            <v>0</v>
          </cell>
        </row>
        <row r="379">
          <cell r="D379">
            <v>0</v>
          </cell>
        </row>
        <row r="380">
          <cell r="D380">
            <v>0</v>
          </cell>
        </row>
        <row r="381">
          <cell r="D381">
            <v>0</v>
          </cell>
        </row>
        <row r="382">
          <cell r="D382">
            <v>0</v>
          </cell>
        </row>
        <row r="383">
          <cell r="D383">
            <v>0</v>
          </cell>
        </row>
        <row r="384">
          <cell r="D384">
            <v>0</v>
          </cell>
        </row>
        <row r="386">
          <cell r="D386">
            <v>0</v>
          </cell>
        </row>
        <row r="387">
          <cell r="D387">
            <v>0</v>
          </cell>
        </row>
        <row r="389">
          <cell r="D389">
            <v>0</v>
          </cell>
        </row>
        <row r="390">
          <cell r="D390">
            <v>0</v>
          </cell>
        </row>
        <row r="391">
          <cell r="D391">
            <v>0</v>
          </cell>
        </row>
        <row r="392">
          <cell r="D392">
            <v>0</v>
          </cell>
        </row>
        <row r="393">
          <cell r="D393">
            <v>0</v>
          </cell>
        </row>
        <row r="394">
          <cell r="D394">
            <v>0</v>
          </cell>
        </row>
        <row r="395">
          <cell r="D395">
            <v>0</v>
          </cell>
        </row>
        <row r="396">
          <cell r="D396">
            <v>0</v>
          </cell>
        </row>
        <row r="397">
          <cell r="D397">
            <v>0</v>
          </cell>
        </row>
        <row r="398">
          <cell r="D398">
            <v>0</v>
          </cell>
        </row>
        <row r="402">
          <cell r="D402">
            <v>0</v>
          </cell>
        </row>
        <row r="405">
          <cell r="D405">
            <v>0</v>
          </cell>
        </row>
        <row r="406">
          <cell r="D406">
            <v>0</v>
          </cell>
        </row>
        <row r="407">
          <cell r="D407">
            <v>0</v>
          </cell>
        </row>
        <row r="408">
          <cell r="D408">
            <v>0</v>
          </cell>
        </row>
        <row r="409">
          <cell r="D409">
            <v>0</v>
          </cell>
        </row>
        <row r="410">
          <cell r="D410">
            <v>0</v>
          </cell>
        </row>
        <row r="411">
          <cell r="D411">
            <v>0</v>
          </cell>
        </row>
        <row r="412">
          <cell r="D412">
            <v>0</v>
          </cell>
        </row>
        <row r="413">
          <cell r="D413">
            <v>0</v>
          </cell>
        </row>
        <row r="415">
          <cell r="D415">
            <v>0</v>
          </cell>
        </row>
        <row r="419">
          <cell r="D419">
            <v>80000000</v>
          </cell>
        </row>
        <row r="420">
          <cell r="D420">
            <v>85000000</v>
          </cell>
        </row>
        <row r="426">
          <cell r="D426">
            <v>6711738000</v>
          </cell>
        </row>
        <row r="433">
          <cell r="D433">
            <v>0</v>
          </cell>
        </row>
        <row r="434">
          <cell r="D434">
            <v>0</v>
          </cell>
        </row>
        <row r="441">
          <cell r="D441">
            <v>0</v>
          </cell>
        </row>
        <row r="442">
          <cell r="D442">
            <v>0</v>
          </cell>
        </row>
        <row r="446">
          <cell r="D446">
            <v>259229500</v>
          </cell>
        </row>
        <row r="447">
          <cell r="D447">
            <v>374739500</v>
          </cell>
        </row>
        <row r="448">
          <cell r="D448">
            <v>271618000</v>
          </cell>
        </row>
        <row r="449">
          <cell r="D449">
            <v>0</v>
          </cell>
        </row>
        <row r="450">
          <cell r="D450">
            <v>0</v>
          </cell>
        </row>
        <row r="451">
          <cell r="D451">
            <v>46200000</v>
          </cell>
        </row>
        <row r="452">
          <cell r="D452">
            <v>88200000</v>
          </cell>
        </row>
        <row r="453">
          <cell r="D453">
            <v>24400000</v>
          </cell>
        </row>
        <row r="454">
          <cell r="D454">
            <v>300000000</v>
          </cell>
        </row>
        <row r="461">
          <cell r="D461">
            <v>0</v>
          </cell>
        </row>
        <row r="462">
          <cell r="D462">
            <v>0</v>
          </cell>
        </row>
        <row r="467">
          <cell r="D467">
            <v>0</v>
          </cell>
        </row>
        <row r="468">
          <cell r="D468">
            <v>0</v>
          </cell>
        </row>
        <row r="471">
          <cell r="D471">
            <v>0</v>
          </cell>
        </row>
        <row r="474">
          <cell r="D474">
            <v>37000000</v>
          </cell>
        </row>
        <row r="481">
          <cell r="D481">
            <v>0</v>
          </cell>
        </row>
        <row r="486">
          <cell r="D486">
            <v>40000000</v>
          </cell>
        </row>
        <row r="487">
          <cell r="D487">
            <v>18000000</v>
          </cell>
        </row>
        <row r="488">
          <cell r="D488">
            <v>722500000</v>
          </cell>
        </row>
        <row r="489">
          <cell r="D489">
            <v>5000000</v>
          </cell>
        </row>
        <row r="492">
          <cell r="D492">
            <v>0</v>
          </cell>
        </row>
        <row r="493">
          <cell r="D493">
            <v>75000000</v>
          </cell>
        </row>
        <row r="494">
          <cell r="D494">
            <v>19000000</v>
          </cell>
        </row>
        <row r="495">
          <cell r="D495">
            <v>125000000</v>
          </cell>
        </row>
        <row r="496">
          <cell r="D496">
            <v>26000000</v>
          </cell>
        </row>
        <row r="497">
          <cell r="D497">
            <v>0</v>
          </cell>
        </row>
        <row r="498">
          <cell r="D498">
            <v>0</v>
          </cell>
        </row>
        <row r="504">
          <cell r="D504">
            <v>0</v>
          </cell>
        </row>
        <row r="513">
          <cell r="D513">
            <v>0</v>
          </cell>
        </row>
        <row r="524">
          <cell r="D524">
            <v>0</v>
          </cell>
        </row>
        <row r="532">
          <cell r="D532">
            <v>428430000</v>
          </cell>
        </row>
        <row r="533">
          <cell r="D533">
            <v>14500000</v>
          </cell>
        </row>
        <row r="534">
          <cell r="D534">
            <v>50000000</v>
          </cell>
        </row>
        <row r="535">
          <cell r="D535">
            <v>40250000</v>
          </cell>
        </row>
        <row r="536">
          <cell r="D536">
            <v>25000000</v>
          </cell>
        </row>
        <row r="537">
          <cell r="D537">
            <v>0</v>
          </cell>
        </row>
        <row r="538">
          <cell r="D538">
            <v>60000000</v>
          </cell>
        </row>
        <row r="539">
          <cell r="D539">
            <v>0</v>
          </cell>
        </row>
        <row r="540">
          <cell r="D540">
            <v>0</v>
          </cell>
        </row>
        <row r="543">
          <cell r="D543">
            <v>185000000</v>
          </cell>
        </row>
        <row r="544">
          <cell r="D544">
            <v>155000000</v>
          </cell>
        </row>
        <row r="545">
          <cell r="D545">
            <v>85000000</v>
          </cell>
        </row>
        <row r="546">
          <cell r="D546">
            <v>335000000</v>
          </cell>
        </row>
        <row r="547">
          <cell r="D547">
            <v>15000000</v>
          </cell>
        </row>
        <row r="548">
          <cell r="D548">
            <v>30000000</v>
          </cell>
        </row>
        <row r="549">
          <cell r="D549">
            <v>0</v>
          </cell>
        </row>
        <row r="550">
          <cell r="D550">
            <v>0</v>
          </cell>
        </row>
        <row r="554">
          <cell r="D554">
            <v>0</v>
          </cell>
        </row>
        <row r="557">
          <cell r="D557">
            <v>0</v>
          </cell>
        </row>
        <row r="563">
          <cell r="D563">
            <v>315000000</v>
          </cell>
        </row>
        <row r="568">
          <cell r="D568">
            <v>0</v>
          </cell>
        </row>
        <row r="569">
          <cell r="D569">
            <v>0</v>
          </cell>
        </row>
        <row r="578">
          <cell r="D578">
            <v>0</v>
          </cell>
        </row>
        <row r="586">
          <cell r="D586">
            <v>0</v>
          </cell>
        </row>
        <row r="587">
          <cell r="D587">
            <v>0</v>
          </cell>
        </row>
        <row r="591">
          <cell r="D591">
            <v>150000000</v>
          </cell>
        </row>
        <row r="605">
          <cell r="D605">
            <v>0</v>
          </cell>
        </row>
        <row r="613">
          <cell r="D613">
            <v>0</v>
          </cell>
        </row>
        <row r="621">
          <cell r="D621">
            <v>0</v>
          </cell>
        </row>
      </sheetData>
      <sheetData sheetId="3"/>
      <sheetData sheetId="4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70">
          <cell r="D70">
            <v>1721100</v>
          </cell>
          <cell r="E70">
            <v>1765500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12770780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5099010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</sheetData>
      <sheetData sheetId="1">
        <row r="70">
          <cell r="D70">
            <v>0</v>
          </cell>
          <cell r="E70">
            <v>975000</v>
          </cell>
          <cell r="F70">
            <v>0</v>
          </cell>
          <cell r="G70">
            <v>0</v>
          </cell>
          <cell r="H70">
            <v>0</v>
          </cell>
          <cell r="I70">
            <v>4585000</v>
          </cell>
          <cell r="J70">
            <v>6485870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</sheetData>
      <sheetData sheetId="2">
        <row r="70">
          <cell r="D70">
            <v>23000</v>
          </cell>
          <cell r="E70">
            <v>2557000</v>
          </cell>
          <cell r="F70">
            <v>0</v>
          </cell>
          <cell r="G70">
            <v>0</v>
          </cell>
          <cell r="H70">
            <v>0</v>
          </cell>
          <cell r="I70">
            <v>6550000</v>
          </cell>
          <cell r="J70">
            <v>9847250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</sheetData>
      <sheetData sheetId="3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2672400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5247700</v>
          </cell>
        </row>
      </sheetData>
      <sheetData sheetId="4">
        <row r="70">
          <cell r="D70">
            <v>367500</v>
          </cell>
          <cell r="E70">
            <v>1304000</v>
          </cell>
          <cell r="F70">
            <v>1500000</v>
          </cell>
          <cell r="G70">
            <v>0</v>
          </cell>
          <cell r="H70">
            <v>0</v>
          </cell>
          <cell r="I70">
            <v>4093750</v>
          </cell>
          <cell r="J70">
            <v>847250</v>
          </cell>
          <cell r="K70">
            <v>1250000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</sheetData>
      <sheetData sheetId="5">
        <row r="70">
          <cell r="D70">
            <v>6195000</v>
          </cell>
          <cell r="E70">
            <v>2056000</v>
          </cell>
          <cell r="F70">
            <v>1500000</v>
          </cell>
          <cell r="G70">
            <v>0</v>
          </cell>
          <cell r="H70">
            <v>0</v>
          </cell>
          <cell r="I70">
            <v>2947500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</sheetData>
      <sheetData sheetId="6">
        <row r="70">
          <cell r="D70">
            <v>4462000</v>
          </cell>
          <cell r="E70">
            <v>2003000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-8092000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6920000</v>
          </cell>
          <cell r="S70">
            <v>0</v>
          </cell>
        </row>
      </sheetData>
      <sheetData sheetId="7">
        <row r="70">
          <cell r="D70">
            <v>11069060</v>
          </cell>
          <cell r="E70">
            <v>1270000</v>
          </cell>
          <cell r="F70">
            <v>0</v>
          </cell>
          <cell r="G70">
            <v>0</v>
          </cell>
          <cell r="H70">
            <v>0</v>
          </cell>
          <cell r="I70">
            <v>6550000</v>
          </cell>
          <cell r="J70">
            <v>2430380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25990000</v>
          </cell>
          <cell r="S70">
            <v>800000</v>
          </cell>
        </row>
      </sheetData>
      <sheetData sheetId="8">
        <row r="70">
          <cell r="D70">
            <v>716000</v>
          </cell>
          <cell r="E70">
            <v>2126000</v>
          </cell>
          <cell r="F70">
            <v>7335000</v>
          </cell>
          <cell r="G70">
            <v>0</v>
          </cell>
          <cell r="H70">
            <v>0</v>
          </cell>
          <cell r="I70">
            <v>14737500</v>
          </cell>
          <cell r="J70">
            <v>508350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12946025</v>
          </cell>
          <cell r="S70">
            <v>0</v>
          </cell>
        </row>
      </sheetData>
      <sheetData sheetId="9">
        <row r="70">
          <cell r="D70">
            <v>324500</v>
          </cell>
          <cell r="E70">
            <v>1451000</v>
          </cell>
          <cell r="F70">
            <v>0</v>
          </cell>
          <cell r="G70">
            <v>0</v>
          </cell>
          <cell r="H70">
            <v>0</v>
          </cell>
          <cell r="I70">
            <v>11790000</v>
          </cell>
          <cell r="J70">
            <v>677800</v>
          </cell>
          <cell r="K70">
            <v>366090000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8996000</v>
          </cell>
          <cell r="S70">
            <v>17613150</v>
          </cell>
        </row>
      </sheetData>
      <sheetData sheetId="10">
        <row r="70">
          <cell r="D70">
            <v>11475000</v>
          </cell>
          <cell r="E70">
            <v>706000</v>
          </cell>
          <cell r="F70">
            <v>342000</v>
          </cell>
          <cell r="G70">
            <v>517000</v>
          </cell>
          <cell r="H70">
            <v>0</v>
          </cell>
          <cell r="I70">
            <v>12772500</v>
          </cell>
          <cell r="J70">
            <v>677800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1470400</v>
          </cell>
          <cell r="P70">
            <v>0</v>
          </cell>
          <cell r="Q70">
            <v>0</v>
          </cell>
          <cell r="R70">
            <v>1662000</v>
          </cell>
          <cell r="S70">
            <v>10978000</v>
          </cell>
        </row>
      </sheetData>
      <sheetData sheetId="11">
        <row r="70">
          <cell r="D70">
            <v>1156000</v>
          </cell>
          <cell r="E70">
            <v>1536000</v>
          </cell>
          <cell r="F70">
            <v>8820000</v>
          </cell>
          <cell r="G70">
            <v>0</v>
          </cell>
          <cell r="H70">
            <v>777000</v>
          </cell>
          <cell r="I70">
            <v>9825000</v>
          </cell>
          <cell r="J70">
            <v>33421200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5221000</v>
          </cell>
          <cell r="P70">
            <v>0</v>
          </cell>
          <cell r="Q70">
            <v>0</v>
          </cell>
          <cell r="R70">
            <v>1251500</v>
          </cell>
          <cell r="S70">
            <v>19919500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250000</v>
          </cell>
          <cell r="I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13311200</v>
          </cell>
          <cell r="H35">
            <v>0</v>
          </cell>
          <cell r="I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10359650</v>
          </cell>
          <cell r="H35">
            <v>0</v>
          </cell>
          <cell r="I35">
            <v>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250000</v>
          </cell>
          <cell r="I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750000</v>
          </cell>
          <cell r="I35">
            <v>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6704000</v>
          </cell>
          <cell r="H35">
            <v>5050000</v>
          </cell>
          <cell r="I35">
            <v>0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2000000</v>
          </cell>
          <cell r="H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2475000</v>
          </cell>
          <cell r="H35">
            <v>80000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24487400</v>
          </cell>
          <cell r="H35">
            <v>1257968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250000</v>
          </cell>
          <cell r="H35">
            <v>200000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90900000</v>
          </cell>
          <cell r="H35">
            <v>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700000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300000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16256250</v>
          </cell>
          <cell r="H35">
            <v>300000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5276940</v>
          </cell>
          <cell r="H35">
            <v>7701200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33319348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480000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5220000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1950000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9885757</v>
          </cell>
          <cell r="H35">
            <v>0</v>
          </cell>
          <cell r="I35">
            <v>0</v>
          </cell>
          <cell r="J35">
            <v>2325000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6066667</v>
          </cell>
          <cell r="H35">
            <v>0</v>
          </cell>
          <cell r="I35">
            <v>0</v>
          </cell>
          <cell r="J35">
            <v>7325000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500000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300000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500000</v>
          </cell>
        </row>
      </sheetData>
      <sheetData sheetId="8">
        <row r="35">
          <cell r="D35">
            <v>15841175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14100000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</sheetData>
      <sheetData sheetId="11">
        <row r="35">
          <cell r="D35">
            <v>115338466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11385000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70">
          <cell r="D70">
            <v>10655000</v>
          </cell>
          <cell r="E70">
            <v>0</v>
          </cell>
          <cell r="F70">
            <v>0</v>
          </cell>
          <cell r="G70">
            <v>0</v>
          </cell>
          <cell r="H70">
            <v>600000</v>
          </cell>
          <cell r="I70">
            <v>10440000</v>
          </cell>
          <cell r="J70">
            <v>0</v>
          </cell>
          <cell r="K70">
            <v>0</v>
          </cell>
          <cell r="L70">
            <v>0</v>
          </cell>
          <cell r="M70">
            <v>10000000</v>
          </cell>
          <cell r="N70">
            <v>1140000</v>
          </cell>
          <cell r="O70">
            <v>4600000</v>
          </cell>
          <cell r="P70">
            <v>0</v>
          </cell>
          <cell r="Q70">
            <v>900000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2000000</v>
          </cell>
          <cell r="X70">
            <v>0</v>
          </cell>
        </row>
      </sheetData>
      <sheetData sheetId="1">
        <row r="70">
          <cell r="D70">
            <v>6460000</v>
          </cell>
          <cell r="E70">
            <v>0</v>
          </cell>
          <cell r="F70">
            <v>3500000</v>
          </cell>
          <cell r="G70">
            <v>5175000</v>
          </cell>
          <cell r="H70">
            <v>500000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17400000</v>
          </cell>
          <cell r="N70">
            <v>14500000</v>
          </cell>
          <cell r="O70">
            <v>12550000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2739900</v>
          </cell>
          <cell r="X70">
            <v>0</v>
          </cell>
        </row>
      </sheetData>
      <sheetData sheetId="2">
        <row r="70">
          <cell r="D70">
            <v>29689200</v>
          </cell>
          <cell r="E70">
            <v>2000000</v>
          </cell>
          <cell r="F70">
            <v>480000</v>
          </cell>
          <cell r="G70">
            <v>0</v>
          </cell>
          <cell r="H70">
            <v>650000</v>
          </cell>
          <cell r="I70">
            <v>39750000</v>
          </cell>
          <cell r="J70">
            <v>1000000</v>
          </cell>
          <cell r="K70">
            <v>0</v>
          </cell>
          <cell r="L70">
            <v>0</v>
          </cell>
          <cell r="M70">
            <v>9750000</v>
          </cell>
          <cell r="N70">
            <v>11401000</v>
          </cell>
          <cell r="O70">
            <v>9000000</v>
          </cell>
          <cell r="P70">
            <v>0</v>
          </cell>
          <cell r="Q70">
            <v>2385000</v>
          </cell>
          <cell r="R70">
            <v>2000000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773721.63</v>
          </cell>
          <cell r="X70">
            <v>0</v>
          </cell>
        </row>
      </sheetData>
      <sheetData sheetId="3">
        <row r="70">
          <cell r="D70">
            <v>16315000</v>
          </cell>
          <cell r="E70">
            <v>0</v>
          </cell>
          <cell r="F70">
            <v>3000000</v>
          </cell>
          <cell r="G70">
            <v>5000000</v>
          </cell>
          <cell r="H70">
            <v>700000</v>
          </cell>
          <cell r="I70">
            <v>16000000</v>
          </cell>
          <cell r="J70">
            <v>0</v>
          </cell>
          <cell r="K70">
            <v>0</v>
          </cell>
          <cell r="L70">
            <v>0</v>
          </cell>
          <cell r="M70">
            <v>11900000</v>
          </cell>
          <cell r="N70">
            <v>18397500</v>
          </cell>
          <cell r="O70">
            <v>9720000</v>
          </cell>
          <cell r="P70">
            <v>0</v>
          </cell>
          <cell r="Q70">
            <v>1000000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</sheetData>
      <sheetData sheetId="4">
        <row r="70">
          <cell r="D70">
            <v>12876000</v>
          </cell>
          <cell r="E70">
            <v>0</v>
          </cell>
          <cell r="F70">
            <v>13000000</v>
          </cell>
          <cell r="G70">
            <v>0</v>
          </cell>
          <cell r="H70">
            <v>500000</v>
          </cell>
          <cell r="I70">
            <v>77550000</v>
          </cell>
          <cell r="J70">
            <v>25000000</v>
          </cell>
          <cell r="K70">
            <v>0</v>
          </cell>
          <cell r="L70">
            <v>0</v>
          </cell>
          <cell r="M70">
            <v>8200000</v>
          </cell>
          <cell r="N70">
            <v>23619500</v>
          </cell>
          <cell r="O70">
            <v>6600000</v>
          </cell>
          <cell r="P70">
            <v>0</v>
          </cell>
          <cell r="Q70">
            <v>1500000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4526800</v>
          </cell>
          <cell r="X70">
            <v>230</v>
          </cell>
        </row>
      </sheetData>
      <sheetData sheetId="5">
        <row r="70">
          <cell r="D70">
            <v>26121000</v>
          </cell>
          <cell r="E70">
            <v>3000000</v>
          </cell>
          <cell r="F70">
            <v>7000000</v>
          </cell>
          <cell r="G70">
            <v>3500000</v>
          </cell>
          <cell r="H70">
            <v>750000</v>
          </cell>
          <cell r="I70">
            <v>31950000</v>
          </cell>
          <cell r="J70">
            <v>0</v>
          </cell>
          <cell r="K70">
            <v>0</v>
          </cell>
          <cell r="L70">
            <v>0</v>
          </cell>
          <cell r="M70">
            <v>10750000</v>
          </cell>
          <cell r="N70">
            <v>9455000</v>
          </cell>
          <cell r="O70">
            <v>5475000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2715000</v>
          </cell>
          <cell r="X70">
            <v>0</v>
          </cell>
        </row>
      </sheetData>
      <sheetData sheetId="6">
        <row r="70">
          <cell r="D70">
            <v>16450000</v>
          </cell>
          <cell r="E70">
            <v>1000000</v>
          </cell>
          <cell r="F70">
            <v>0</v>
          </cell>
          <cell r="G70">
            <v>5000000</v>
          </cell>
          <cell r="H70">
            <v>650000</v>
          </cell>
          <cell r="I70">
            <v>22500000</v>
          </cell>
          <cell r="J70">
            <v>0</v>
          </cell>
          <cell r="K70">
            <v>0</v>
          </cell>
          <cell r="L70">
            <v>0</v>
          </cell>
          <cell r="M70">
            <v>19000000</v>
          </cell>
          <cell r="N70">
            <v>6047000</v>
          </cell>
          <cell r="O70">
            <v>2750000</v>
          </cell>
          <cell r="P70">
            <v>0</v>
          </cell>
          <cell r="Q70">
            <v>2230000</v>
          </cell>
          <cell r="R70">
            <v>2000000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2440000</v>
          </cell>
          <cell r="X70">
            <v>0</v>
          </cell>
        </row>
      </sheetData>
      <sheetData sheetId="7">
        <row r="70">
          <cell r="D70">
            <v>5450000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21300000</v>
          </cell>
          <cell r="J70">
            <v>0</v>
          </cell>
          <cell r="K70">
            <v>0</v>
          </cell>
          <cell r="L70">
            <v>0</v>
          </cell>
          <cell r="M70">
            <v>14100000</v>
          </cell>
          <cell r="N70">
            <v>11658500</v>
          </cell>
          <cell r="O70">
            <v>11727500</v>
          </cell>
          <cell r="P70">
            <v>0</v>
          </cell>
          <cell r="Q70">
            <v>1510000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6578750</v>
          </cell>
          <cell r="X70">
            <v>0</v>
          </cell>
        </row>
      </sheetData>
      <sheetData sheetId="8">
        <row r="70">
          <cell r="D70">
            <v>9450000</v>
          </cell>
          <cell r="E70">
            <v>3000000</v>
          </cell>
          <cell r="F70">
            <v>2700000</v>
          </cell>
          <cell r="G70">
            <v>3500000</v>
          </cell>
          <cell r="H70">
            <v>1800000</v>
          </cell>
          <cell r="I70">
            <v>72025000</v>
          </cell>
          <cell r="J70">
            <v>0</v>
          </cell>
          <cell r="K70">
            <v>0</v>
          </cell>
          <cell r="L70">
            <v>0</v>
          </cell>
          <cell r="M70">
            <v>16100000</v>
          </cell>
          <cell r="N70">
            <v>5556000</v>
          </cell>
          <cell r="O70">
            <v>5300000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2110000</v>
          </cell>
          <cell r="X70">
            <v>0</v>
          </cell>
        </row>
      </sheetData>
      <sheetData sheetId="9">
        <row r="70">
          <cell r="D70">
            <v>4750000</v>
          </cell>
          <cell r="E70">
            <v>2000000</v>
          </cell>
          <cell r="F70">
            <v>18250000</v>
          </cell>
          <cell r="G70">
            <v>6500000</v>
          </cell>
          <cell r="H70">
            <v>750000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18600000</v>
          </cell>
          <cell r="N70">
            <v>21295000</v>
          </cell>
          <cell r="O70">
            <v>3550000</v>
          </cell>
          <cell r="P70">
            <v>0</v>
          </cell>
          <cell r="Q70">
            <v>1325000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2700000</v>
          </cell>
          <cell r="X70">
            <v>0</v>
          </cell>
        </row>
      </sheetData>
      <sheetData sheetId="10">
        <row r="70">
          <cell r="D70">
            <v>4075000</v>
          </cell>
          <cell r="E70">
            <v>2000000</v>
          </cell>
          <cell r="F70">
            <v>0</v>
          </cell>
          <cell r="G70">
            <v>4525000</v>
          </cell>
          <cell r="H70">
            <v>42550000</v>
          </cell>
          <cell r="I70">
            <v>30100000</v>
          </cell>
          <cell r="J70">
            <v>0</v>
          </cell>
          <cell r="K70">
            <v>0</v>
          </cell>
          <cell r="L70">
            <v>0</v>
          </cell>
          <cell r="M70">
            <v>16200000</v>
          </cell>
          <cell r="N70">
            <v>17265000</v>
          </cell>
          <cell r="O70">
            <v>3000000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18937099.960000001</v>
          </cell>
          <cell r="X70">
            <v>0</v>
          </cell>
        </row>
      </sheetData>
      <sheetData sheetId="11">
        <row r="70">
          <cell r="D70">
            <v>24550000</v>
          </cell>
          <cell r="E70">
            <v>3000000</v>
          </cell>
          <cell r="F70">
            <v>7000000</v>
          </cell>
          <cell r="G70">
            <v>0</v>
          </cell>
          <cell r="H70">
            <v>1000000</v>
          </cell>
          <cell r="I70">
            <v>114400000</v>
          </cell>
          <cell r="J70">
            <v>1000000</v>
          </cell>
          <cell r="K70">
            <v>0</v>
          </cell>
          <cell r="L70">
            <v>0</v>
          </cell>
          <cell r="M70">
            <v>33000000</v>
          </cell>
          <cell r="N70">
            <v>19819000</v>
          </cell>
          <cell r="O70">
            <v>16500000</v>
          </cell>
          <cell r="P70">
            <v>0</v>
          </cell>
          <cell r="Q70">
            <v>4150000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46749550</v>
          </cell>
          <cell r="X70">
            <v>2742664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18004600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">
        <row r="35">
          <cell r="D35">
            <v>51683750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2">
        <row r="35">
          <cell r="D35">
            <v>45704050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3">
        <row r="35">
          <cell r="D35">
            <v>35075000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4">
        <row r="35">
          <cell r="D35">
            <v>44371050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5">
        <row r="35">
          <cell r="D35">
            <v>16606950</v>
          </cell>
          <cell r="E35">
            <v>0</v>
          </cell>
          <cell r="F35">
            <v>0</v>
          </cell>
          <cell r="G35">
            <v>0</v>
          </cell>
          <cell r="H35">
            <v>9229550</v>
          </cell>
          <cell r="I35">
            <v>0</v>
          </cell>
        </row>
      </sheetData>
      <sheetData sheetId="6">
        <row r="35">
          <cell r="D35">
            <v>24969700</v>
          </cell>
          <cell r="E35">
            <v>0</v>
          </cell>
          <cell r="F35">
            <v>0</v>
          </cell>
          <cell r="G35">
            <v>0</v>
          </cell>
          <cell r="H35">
            <v>820000</v>
          </cell>
          <cell r="I35">
            <v>0</v>
          </cell>
        </row>
      </sheetData>
      <sheetData sheetId="7">
        <row r="35">
          <cell r="D35">
            <v>14837650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8">
        <row r="35">
          <cell r="D35">
            <v>31223500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9">
        <row r="35">
          <cell r="D35">
            <v>4390500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18634700</v>
          </cell>
          <cell r="I35">
            <v>3038300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19815000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450000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36150000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">
        <row r="35">
          <cell r="D35">
            <v>68800000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2">
        <row r="35">
          <cell r="D35">
            <v>66150000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3">
        <row r="35">
          <cell r="D35">
            <v>105500000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4">
        <row r="35">
          <cell r="D35">
            <v>106100000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5">
        <row r="35">
          <cell r="D35">
            <v>79900000</v>
          </cell>
          <cell r="E35">
            <v>0</v>
          </cell>
          <cell r="F35">
            <v>0</v>
          </cell>
          <cell r="G35">
            <v>0</v>
          </cell>
          <cell r="H35">
            <v>11959750</v>
          </cell>
        </row>
      </sheetData>
      <sheetData sheetId="6">
        <row r="35">
          <cell r="D35">
            <v>64500000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7">
        <row r="35">
          <cell r="D35">
            <v>81550000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8">
        <row r="35">
          <cell r="D35">
            <v>72600000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9">
        <row r="35">
          <cell r="D35">
            <v>95100000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0">
        <row r="35">
          <cell r="D35">
            <v>148700000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1">
        <row r="35">
          <cell r="D35">
            <v>148850000</v>
          </cell>
          <cell r="E35">
            <v>0</v>
          </cell>
          <cell r="F35">
            <v>0</v>
          </cell>
          <cell r="G35">
            <v>0</v>
          </cell>
          <cell r="H35">
            <v>11779447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7000000</v>
          </cell>
          <cell r="F35">
            <v>0</v>
          </cell>
          <cell r="G35">
            <v>0</v>
          </cell>
          <cell r="H35">
            <v>0</v>
          </cell>
          <cell r="I35">
            <v>6724929</v>
          </cell>
          <cell r="J35">
            <v>26080582.199999999</v>
          </cell>
          <cell r="K35">
            <v>0</v>
          </cell>
        </row>
      </sheetData>
      <sheetData sheetId="1">
        <row r="35">
          <cell r="D35">
            <v>11250000</v>
          </cell>
          <cell r="E35">
            <v>12880000</v>
          </cell>
          <cell r="F35">
            <v>1835685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</sheetData>
      <sheetData sheetId="2">
        <row r="35">
          <cell r="D35">
            <v>34350000</v>
          </cell>
          <cell r="E35">
            <v>25100000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1202798000</v>
          </cell>
        </row>
      </sheetData>
      <sheetData sheetId="3">
        <row r="35">
          <cell r="D35">
            <v>0</v>
          </cell>
          <cell r="E35">
            <v>8350000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210710000</v>
          </cell>
        </row>
      </sheetData>
      <sheetData sheetId="4">
        <row r="35">
          <cell r="D35">
            <v>102600000</v>
          </cell>
          <cell r="E35">
            <v>45445000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741655000</v>
          </cell>
        </row>
      </sheetData>
      <sheetData sheetId="5">
        <row r="35">
          <cell r="D35">
            <v>15300000</v>
          </cell>
          <cell r="E35">
            <v>5050000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458605000</v>
          </cell>
        </row>
      </sheetData>
      <sheetData sheetId="6">
        <row r="35">
          <cell r="D35">
            <v>0</v>
          </cell>
          <cell r="E35">
            <v>3000000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26820000</v>
          </cell>
        </row>
      </sheetData>
      <sheetData sheetId="7">
        <row r="35">
          <cell r="D35">
            <v>16900000</v>
          </cell>
          <cell r="E35">
            <v>17850000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404600000</v>
          </cell>
        </row>
      </sheetData>
      <sheetData sheetId="8">
        <row r="35">
          <cell r="D35">
            <v>44325000</v>
          </cell>
          <cell r="E35">
            <v>22800000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242760000</v>
          </cell>
        </row>
      </sheetData>
      <sheetData sheetId="9">
        <row r="35">
          <cell r="D35">
            <v>50250000</v>
          </cell>
          <cell r="E35">
            <v>18830000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1013475000</v>
          </cell>
        </row>
      </sheetData>
      <sheetData sheetId="10">
        <row r="35">
          <cell r="D35">
            <v>0</v>
          </cell>
          <cell r="E35">
            <v>17125000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2540966000</v>
          </cell>
        </row>
      </sheetData>
      <sheetData sheetId="11">
        <row r="35">
          <cell r="D35">
            <v>259500000</v>
          </cell>
          <cell r="E35">
            <v>85835000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206090000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70">
          <cell r="D70">
            <v>121770000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41440000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15251000</v>
          </cell>
        </row>
      </sheetData>
      <sheetData sheetId="1">
        <row r="70">
          <cell r="D70">
            <v>13260000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5200000</v>
          </cell>
          <cell r="J70">
            <v>1470000</v>
          </cell>
          <cell r="K70">
            <v>6500000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2896000</v>
          </cell>
        </row>
      </sheetData>
      <sheetData sheetId="2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3840000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</sheetData>
      <sheetData sheetId="3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20000000</v>
          </cell>
          <cell r="J70">
            <v>0</v>
          </cell>
          <cell r="K70">
            <v>5200000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16382568</v>
          </cell>
        </row>
      </sheetData>
      <sheetData sheetId="4">
        <row r="70">
          <cell r="D70">
            <v>0</v>
          </cell>
          <cell r="E70">
            <v>0</v>
          </cell>
          <cell r="F70">
            <v>15900000</v>
          </cell>
          <cell r="G70">
            <v>0</v>
          </cell>
          <cell r="H70">
            <v>0</v>
          </cell>
          <cell r="I70">
            <v>7000000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</sheetData>
      <sheetData sheetId="5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3760000</v>
          </cell>
        </row>
      </sheetData>
      <sheetData sheetId="6">
        <row r="70">
          <cell r="D70">
            <v>21630000</v>
          </cell>
          <cell r="E70">
            <v>7000000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</sheetData>
      <sheetData sheetId="7">
        <row r="70">
          <cell r="D70">
            <v>31100000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399512</v>
          </cell>
          <cell r="O70">
            <v>0</v>
          </cell>
          <cell r="P70">
            <v>0</v>
          </cell>
          <cell r="Q70">
            <v>0</v>
          </cell>
          <cell r="R70">
            <v>2507140</v>
          </cell>
        </row>
      </sheetData>
      <sheetData sheetId="8">
        <row r="70">
          <cell r="D70">
            <v>14000000</v>
          </cell>
          <cell r="E70">
            <v>8400000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9048000</v>
          </cell>
          <cell r="L70">
            <v>0</v>
          </cell>
          <cell r="M70">
            <v>0</v>
          </cell>
          <cell r="N70">
            <v>15928</v>
          </cell>
          <cell r="O70">
            <v>0</v>
          </cell>
          <cell r="P70">
            <v>0</v>
          </cell>
          <cell r="Q70">
            <v>0</v>
          </cell>
        </row>
      </sheetData>
      <sheetData sheetId="9">
        <row r="70">
          <cell r="D70">
            <v>79480000</v>
          </cell>
          <cell r="E70">
            <v>67200000</v>
          </cell>
          <cell r="F70">
            <v>74750000</v>
          </cell>
          <cell r="G70">
            <v>0</v>
          </cell>
          <cell r="H70">
            <v>0</v>
          </cell>
          <cell r="I70">
            <v>0</v>
          </cell>
          <cell r="J70">
            <v>7490000</v>
          </cell>
          <cell r="K70">
            <v>0</v>
          </cell>
          <cell r="L70">
            <v>5000000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3428200</v>
          </cell>
          <cell r="R70">
            <v>0</v>
          </cell>
        </row>
      </sheetData>
      <sheetData sheetId="10">
        <row r="70">
          <cell r="D70">
            <v>5500000</v>
          </cell>
          <cell r="E70">
            <v>127410000</v>
          </cell>
          <cell r="F70">
            <v>85590000</v>
          </cell>
          <cell r="G70">
            <v>0</v>
          </cell>
          <cell r="H70">
            <v>0</v>
          </cell>
          <cell r="I70">
            <v>14400000</v>
          </cell>
          <cell r="J70">
            <v>20700000</v>
          </cell>
          <cell r="K70">
            <v>3705000</v>
          </cell>
          <cell r="L70">
            <v>5036000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5039300</v>
          </cell>
        </row>
      </sheetData>
      <sheetData sheetId="11">
        <row r="70">
          <cell r="D70">
            <v>128575000</v>
          </cell>
          <cell r="E70">
            <v>0</v>
          </cell>
          <cell r="F70">
            <v>17100000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17577750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1078800</v>
          </cell>
          <cell r="G35">
            <v>0</v>
          </cell>
          <cell r="H35">
            <v>0</v>
          </cell>
          <cell r="I35">
            <v>5537475</v>
          </cell>
          <cell r="J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4490000</v>
          </cell>
          <cell r="J35">
            <v>0</v>
          </cell>
        </row>
      </sheetData>
      <sheetData sheetId="2">
        <row r="35">
          <cell r="D35">
            <v>0</v>
          </cell>
          <cell r="E35">
            <v>250000</v>
          </cell>
          <cell r="F35">
            <v>0</v>
          </cell>
          <cell r="G35">
            <v>0</v>
          </cell>
          <cell r="H35">
            <v>0</v>
          </cell>
          <cell r="I35">
            <v>16539200</v>
          </cell>
          <cell r="J35">
            <v>0</v>
          </cell>
        </row>
      </sheetData>
      <sheetData sheetId="3">
        <row r="35">
          <cell r="D35">
            <v>0</v>
          </cell>
          <cell r="E35">
            <v>2500000</v>
          </cell>
          <cell r="F35">
            <v>13090000</v>
          </cell>
          <cell r="G35">
            <v>0</v>
          </cell>
          <cell r="H35">
            <v>0</v>
          </cell>
          <cell r="I35">
            <v>1927200</v>
          </cell>
          <cell r="J35">
            <v>0</v>
          </cell>
        </row>
      </sheetData>
      <sheetData sheetId="4">
        <row r="35">
          <cell r="D35">
            <v>0</v>
          </cell>
          <cell r="E35">
            <v>1000000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</sheetData>
      <sheetData sheetId="5">
        <row r="35">
          <cell r="D35">
            <v>36632400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</sheetData>
      <sheetData sheetId="7">
        <row r="35">
          <cell r="D35">
            <v>26166000</v>
          </cell>
          <cell r="E35">
            <v>17181824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</sheetData>
      <sheetData sheetId="8">
        <row r="35">
          <cell r="D35">
            <v>1280000</v>
          </cell>
          <cell r="E35">
            <v>4295456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</sheetData>
      <sheetData sheetId="9">
        <row r="35">
          <cell r="D35">
            <v>2600000</v>
          </cell>
          <cell r="E35">
            <v>8590912</v>
          </cell>
          <cell r="F35">
            <v>0</v>
          </cell>
          <cell r="G35">
            <v>0</v>
          </cell>
          <cell r="H35">
            <v>0</v>
          </cell>
          <cell r="I35">
            <v>75000</v>
          </cell>
          <cell r="J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4580000</v>
          </cell>
          <cell r="G35">
            <v>0</v>
          </cell>
          <cell r="H35">
            <v>0</v>
          </cell>
          <cell r="I35">
            <v>16770600</v>
          </cell>
          <cell r="J35">
            <v>13894000</v>
          </cell>
        </row>
      </sheetData>
      <sheetData sheetId="11">
        <row r="35">
          <cell r="D35">
            <v>0</v>
          </cell>
          <cell r="E35">
            <v>2638638</v>
          </cell>
          <cell r="F35">
            <v>71943321</v>
          </cell>
          <cell r="G35">
            <v>0</v>
          </cell>
          <cell r="H35">
            <v>0</v>
          </cell>
          <cell r="I35">
            <v>6301700</v>
          </cell>
          <cell r="J35">
            <v>0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17314100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2323200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491000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2991000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5">
        <row r="35">
          <cell r="D35">
            <v>5213500</v>
          </cell>
          <cell r="E35">
            <v>0</v>
          </cell>
          <cell r="F35">
            <v>32000000</v>
          </cell>
          <cell r="G35">
            <v>0</v>
          </cell>
          <cell r="H35">
            <v>1500000</v>
          </cell>
          <cell r="I35">
            <v>1754662</v>
          </cell>
        </row>
      </sheetData>
      <sheetData sheetId="6">
        <row r="35">
          <cell r="D35">
            <v>4150000</v>
          </cell>
          <cell r="E35">
            <v>0</v>
          </cell>
          <cell r="F35">
            <v>0</v>
          </cell>
          <cell r="G35">
            <v>0</v>
          </cell>
          <cell r="H35">
            <v>3865000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9">
        <row r="35">
          <cell r="D35">
            <v>5880500</v>
          </cell>
          <cell r="E35">
            <v>0</v>
          </cell>
          <cell r="F35">
            <v>0</v>
          </cell>
          <cell r="G35">
            <v>0</v>
          </cell>
          <cell r="H35">
            <v>208000</v>
          </cell>
        </row>
      </sheetData>
      <sheetData sheetId="10">
        <row r="35">
          <cell r="D35">
            <v>15720000</v>
          </cell>
          <cell r="E35">
            <v>0</v>
          </cell>
          <cell r="F35">
            <v>350000</v>
          </cell>
          <cell r="G35">
            <v>0</v>
          </cell>
          <cell r="H35">
            <v>11957227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5392200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91500000</v>
          </cell>
          <cell r="E35">
            <v>0</v>
          </cell>
          <cell r="F35">
            <v>0</v>
          </cell>
          <cell r="G35">
            <v>0</v>
          </cell>
          <cell r="H35">
            <v>1246000</v>
          </cell>
        </row>
      </sheetData>
      <sheetData sheetId="1">
        <row r="35">
          <cell r="D35">
            <v>5700000</v>
          </cell>
          <cell r="E35">
            <v>0</v>
          </cell>
          <cell r="F35">
            <v>0</v>
          </cell>
          <cell r="G35">
            <v>0</v>
          </cell>
          <cell r="H35">
            <v>2000000</v>
          </cell>
        </row>
      </sheetData>
      <sheetData sheetId="2">
        <row r="35">
          <cell r="D35">
            <v>1700000</v>
          </cell>
          <cell r="E35">
            <v>0</v>
          </cell>
          <cell r="F35">
            <v>0</v>
          </cell>
          <cell r="G35">
            <v>0</v>
          </cell>
          <cell r="H35">
            <v>1888000</v>
          </cell>
        </row>
      </sheetData>
      <sheetData sheetId="3">
        <row r="35">
          <cell r="D35">
            <v>26750000</v>
          </cell>
          <cell r="E35">
            <v>0</v>
          </cell>
          <cell r="F35">
            <v>0</v>
          </cell>
          <cell r="G35">
            <v>0</v>
          </cell>
          <cell r="H35">
            <v>3100000</v>
          </cell>
        </row>
      </sheetData>
      <sheetData sheetId="4">
        <row r="35">
          <cell r="D35">
            <v>44100000</v>
          </cell>
          <cell r="E35">
            <v>0</v>
          </cell>
          <cell r="F35">
            <v>0</v>
          </cell>
          <cell r="G35">
            <v>0</v>
          </cell>
          <cell r="H35">
            <v>2465000</v>
          </cell>
        </row>
      </sheetData>
      <sheetData sheetId="5">
        <row r="35">
          <cell r="D35">
            <v>4550000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6">
        <row r="35">
          <cell r="D35">
            <v>600000</v>
          </cell>
          <cell r="E35">
            <v>0</v>
          </cell>
          <cell r="F35">
            <v>0</v>
          </cell>
          <cell r="G35">
            <v>0</v>
          </cell>
          <cell r="H35">
            <v>2613200</v>
          </cell>
        </row>
      </sheetData>
      <sheetData sheetId="7">
        <row r="35">
          <cell r="D35">
            <v>30550000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8">
        <row r="35">
          <cell r="D35">
            <v>58450000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9">
        <row r="35">
          <cell r="D35">
            <v>36550000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0">
        <row r="35">
          <cell r="D35">
            <v>11750000</v>
          </cell>
          <cell r="E35">
            <v>0</v>
          </cell>
          <cell r="F35">
            <v>12450000</v>
          </cell>
          <cell r="G35">
            <v>0</v>
          </cell>
          <cell r="H35">
            <v>11716998</v>
          </cell>
        </row>
      </sheetData>
      <sheetData sheetId="11">
        <row r="35">
          <cell r="D35">
            <v>20650000</v>
          </cell>
          <cell r="E35">
            <v>0</v>
          </cell>
          <cell r="F35">
            <v>0</v>
          </cell>
          <cell r="G35">
            <v>0</v>
          </cell>
          <cell r="H35">
            <v>36590500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500000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500000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500000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15104597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dinas"/>
      <sheetName val="In My Hand"/>
      <sheetName val="Perubahan 2015"/>
      <sheetName val="TARGET MURNI DAN PERUBAHAN"/>
      <sheetName val="TARGET VERSI LAMA"/>
    </sheetNames>
    <sheetDataSet>
      <sheetData sheetId="0">
        <row r="9">
          <cell r="P9">
            <v>77920526502.479996</v>
          </cell>
          <cell r="Q9">
            <v>351078113004.34003</v>
          </cell>
        </row>
        <row r="15">
          <cell r="E15">
            <v>0</v>
          </cell>
          <cell r="P15">
            <v>0</v>
          </cell>
        </row>
        <row r="16">
          <cell r="E16">
            <v>0</v>
          </cell>
          <cell r="P16">
            <v>0</v>
          </cell>
        </row>
        <row r="19">
          <cell r="E19">
            <v>1078800</v>
          </cell>
          <cell r="P19">
            <v>71943321</v>
          </cell>
        </row>
        <row r="21">
          <cell r="E21">
            <v>0</v>
          </cell>
          <cell r="P21">
            <v>0</v>
          </cell>
        </row>
        <row r="22">
          <cell r="E22">
            <v>5537475</v>
          </cell>
          <cell r="P22">
            <v>6301700</v>
          </cell>
        </row>
        <row r="23">
          <cell r="E23">
            <v>0</v>
          </cell>
        </row>
        <row r="25">
          <cell r="Q25">
            <v>20254043354.259998</v>
          </cell>
        </row>
        <row r="29">
          <cell r="E29">
            <v>0</v>
          </cell>
          <cell r="P29">
            <v>0</v>
          </cell>
        </row>
        <row r="32">
          <cell r="E32">
            <v>0</v>
          </cell>
          <cell r="P32">
            <v>0</v>
          </cell>
        </row>
        <row r="33">
          <cell r="E33">
            <v>0</v>
          </cell>
          <cell r="P33">
            <v>0</v>
          </cell>
        </row>
        <row r="34">
          <cell r="E34">
            <v>0</v>
          </cell>
          <cell r="P34">
            <v>0</v>
          </cell>
        </row>
        <row r="35">
          <cell r="E35">
            <v>0</v>
          </cell>
          <cell r="P35">
            <v>5798056.2599999998</v>
          </cell>
        </row>
        <row r="36">
          <cell r="E36">
            <v>0</v>
          </cell>
          <cell r="P36">
            <v>1276300</v>
          </cell>
        </row>
        <row r="40">
          <cell r="E40">
            <v>70874000</v>
          </cell>
          <cell r="P40">
            <v>157662000</v>
          </cell>
        </row>
        <row r="44">
          <cell r="E44">
            <v>0</v>
          </cell>
          <cell r="P44">
            <v>0</v>
          </cell>
        </row>
        <row r="45">
          <cell r="E45">
            <v>0</v>
          </cell>
          <cell r="P45">
            <v>0</v>
          </cell>
        </row>
        <row r="46">
          <cell r="E46">
            <v>0</v>
          </cell>
          <cell r="P46">
            <v>0</v>
          </cell>
        </row>
        <row r="47">
          <cell r="E47">
            <v>0</v>
          </cell>
          <cell r="P47">
            <v>0</v>
          </cell>
        </row>
        <row r="51">
          <cell r="E51">
            <v>26386500</v>
          </cell>
          <cell r="P51">
            <v>22679000</v>
          </cell>
        </row>
        <row r="55">
          <cell r="E55">
            <v>0</v>
          </cell>
          <cell r="P55">
            <v>0</v>
          </cell>
        </row>
        <row r="56">
          <cell r="E56">
            <v>0</v>
          </cell>
          <cell r="P56">
            <v>0</v>
          </cell>
        </row>
        <row r="57">
          <cell r="E57">
            <v>0</v>
          </cell>
          <cell r="P57">
            <v>0</v>
          </cell>
        </row>
        <row r="58">
          <cell r="E58">
            <v>0</v>
          </cell>
          <cell r="P58">
            <v>0</v>
          </cell>
        </row>
        <row r="60">
          <cell r="Q60">
            <v>12025318466</v>
          </cell>
        </row>
        <row r="62">
          <cell r="E62">
            <v>242894763</v>
          </cell>
          <cell r="P62">
            <v>224522166</v>
          </cell>
        </row>
        <row r="65">
          <cell r="E65">
            <v>307400</v>
          </cell>
          <cell r="P65">
            <v>0</v>
          </cell>
        </row>
        <row r="66">
          <cell r="P66">
            <v>0</v>
          </cell>
        </row>
        <row r="67">
          <cell r="P67">
            <v>0</v>
          </cell>
        </row>
        <row r="68">
          <cell r="E68">
            <v>0</v>
          </cell>
          <cell r="P68">
            <v>45316000</v>
          </cell>
        </row>
        <row r="69">
          <cell r="E69">
            <v>0</v>
          </cell>
          <cell r="P69">
            <v>0</v>
          </cell>
        </row>
        <row r="73">
          <cell r="E73">
            <v>0</v>
          </cell>
          <cell r="P73">
            <v>36300000</v>
          </cell>
        </row>
        <row r="74">
          <cell r="P74">
            <v>15000000</v>
          </cell>
        </row>
        <row r="77">
          <cell r="E77">
            <v>0</v>
          </cell>
        </row>
        <row r="78">
          <cell r="E78">
            <v>0</v>
          </cell>
          <cell r="P78">
            <v>0</v>
          </cell>
        </row>
        <row r="79">
          <cell r="E79">
            <v>0</v>
          </cell>
          <cell r="P79">
            <v>427500</v>
          </cell>
        </row>
        <row r="80">
          <cell r="E80">
            <v>0</v>
          </cell>
          <cell r="P80">
            <v>0</v>
          </cell>
        </row>
        <row r="84">
          <cell r="E84">
            <v>0</v>
          </cell>
          <cell r="P84">
            <v>0</v>
          </cell>
        </row>
        <row r="86">
          <cell r="E86">
            <v>0</v>
          </cell>
          <cell r="P86">
            <v>0</v>
          </cell>
        </row>
        <row r="87">
          <cell r="E87">
            <v>0</v>
          </cell>
          <cell r="P87">
            <v>0</v>
          </cell>
        </row>
        <row r="88">
          <cell r="E88">
            <v>0</v>
          </cell>
          <cell r="P88">
            <v>5775000</v>
          </cell>
        </row>
        <row r="89">
          <cell r="E89">
            <v>0</v>
          </cell>
          <cell r="P89">
            <v>0</v>
          </cell>
        </row>
        <row r="93">
          <cell r="E93">
            <v>34687000</v>
          </cell>
          <cell r="P93">
            <v>464634000</v>
          </cell>
        </row>
        <row r="96">
          <cell r="E96">
            <v>0</v>
          </cell>
          <cell r="P96">
            <v>0</v>
          </cell>
        </row>
        <row r="97">
          <cell r="E97">
            <v>0</v>
          </cell>
          <cell r="P97">
            <v>0</v>
          </cell>
        </row>
        <row r="98">
          <cell r="E98">
            <v>0</v>
          </cell>
          <cell r="P98">
            <v>0</v>
          </cell>
        </row>
        <row r="99">
          <cell r="E99">
            <v>0</v>
          </cell>
          <cell r="P99">
            <v>0</v>
          </cell>
        </row>
        <row r="100">
          <cell r="E100">
            <v>0</v>
          </cell>
        </row>
        <row r="102">
          <cell r="Q102">
            <v>115495164452.56</v>
          </cell>
        </row>
        <row r="104">
          <cell r="E104">
            <v>7271263070</v>
          </cell>
          <cell r="P104">
            <v>9368011668.2000008</v>
          </cell>
        </row>
        <row r="105">
          <cell r="P105">
            <v>0</v>
          </cell>
        </row>
        <row r="106">
          <cell r="E106">
            <v>0</v>
          </cell>
          <cell r="P106">
            <v>0</v>
          </cell>
        </row>
        <row r="107">
          <cell r="E107">
            <v>0</v>
          </cell>
        </row>
        <row r="108">
          <cell r="E108">
            <v>0</v>
          </cell>
          <cell r="P108">
            <v>22520000</v>
          </cell>
        </row>
        <row r="109">
          <cell r="E109">
            <v>0</v>
          </cell>
          <cell r="P109">
            <v>0</v>
          </cell>
        </row>
        <row r="111">
          <cell r="Q111">
            <v>13056807455</v>
          </cell>
        </row>
        <row r="113">
          <cell r="E113">
            <v>1016783988</v>
          </cell>
          <cell r="P113">
            <v>1167987154</v>
          </cell>
        </row>
        <row r="114">
          <cell r="E114">
            <v>0</v>
          </cell>
          <cell r="P114">
            <v>0</v>
          </cell>
        </row>
        <row r="117">
          <cell r="P117">
            <v>0</v>
          </cell>
        </row>
        <row r="118">
          <cell r="E118">
            <v>0</v>
          </cell>
          <cell r="P118">
            <v>0</v>
          </cell>
        </row>
        <row r="120">
          <cell r="Q120">
            <v>1233831533.1099999</v>
          </cell>
        </row>
        <row r="122">
          <cell r="E122">
            <v>0</v>
          </cell>
          <cell r="P122">
            <v>0</v>
          </cell>
        </row>
        <row r="125">
          <cell r="E125">
            <v>0</v>
          </cell>
          <cell r="P125">
            <v>17400000</v>
          </cell>
        </row>
        <row r="126">
          <cell r="E126">
            <v>9950400</v>
          </cell>
          <cell r="P126">
            <v>50314400</v>
          </cell>
        </row>
        <row r="129">
          <cell r="E129">
            <v>56865914.07</v>
          </cell>
          <cell r="P129">
            <v>1559000</v>
          </cell>
        </row>
        <row r="130">
          <cell r="E130">
            <v>0</v>
          </cell>
          <cell r="P130">
            <v>0</v>
          </cell>
        </row>
        <row r="131">
          <cell r="E131">
            <v>0</v>
          </cell>
          <cell r="P131">
            <v>0</v>
          </cell>
        </row>
        <row r="132">
          <cell r="E132">
            <v>276853924.01999998</v>
          </cell>
          <cell r="P132">
            <v>103465825.84999999</v>
          </cell>
        </row>
        <row r="133">
          <cell r="E133">
            <v>0</v>
          </cell>
          <cell r="P133">
            <v>0</v>
          </cell>
        </row>
        <row r="137">
          <cell r="E137">
            <v>0</v>
          </cell>
          <cell r="P137">
            <v>0</v>
          </cell>
        </row>
        <row r="140">
          <cell r="E140">
            <v>0</v>
          </cell>
          <cell r="P140">
            <v>0</v>
          </cell>
        </row>
        <row r="141">
          <cell r="E141">
            <v>0</v>
          </cell>
          <cell r="P141">
            <v>0</v>
          </cell>
        </row>
        <row r="142">
          <cell r="E142">
            <v>0</v>
          </cell>
          <cell r="P142">
            <v>0</v>
          </cell>
        </row>
        <row r="143">
          <cell r="E143">
            <v>200000</v>
          </cell>
          <cell r="P143">
            <v>0</v>
          </cell>
        </row>
        <row r="144">
          <cell r="E144">
            <v>0</v>
          </cell>
          <cell r="P144">
            <v>0</v>
          </cell>
        </row>
        <row r="149">
          <cell r="E149">
            <v>3455000</v>
          </cell>
          <cell r="P149">
            <v>1325000</v>
          </cell>
        </row>
        <row r="150">
          <cell r="E150">
            <v>0</v>
          </cell>
          <cell r="P150">
            <v>0</v>
          </cell>
        </row>
        <row r="153">
          <cell r="E153">
            <v>0</v>
          </cell>
          <cell r="P153">
            <v>0</v>
          </cell>
        </row>
        <row r="154">
          <cell r="E154">
            <v>0</v>
          </cell>
          <cell r="P154">
            <v>7295582</v>
          </cell>
        </row>
        <row r="155">
          <cell r="E155">
            <v>0</v>
          </cell>
          <cell r="P155">
            <v>0</v>
          </cell>
        </row>
        <row r="156">
          <cell r="E156">
            <v>0</v>
          </cell>
          <cell r="P156">
            <v>0</v>
          </cell>
        </row>
        <row r="157">
          <cell r="E157">
            <v>0</v>
          </cell>
          <cell r="P157">
            <v>19580806</v>
          </cell>
        </row>
        <row r="158">
          <cell r="E158">
            <v>0</v>
          </cell>
        </row>
        <row r="164">
          <cell r="E164">
            <v>0</v>
          </cell>
          <cell r="P164">
            <v>0</v>
          </cell>
        </row>
        <row r="165">
          <cell r="E165">
            <v>0</v>
          </cell>
          <cell r="P165">
            <v>0</v>
          </cell>
        </row>
        <row r="166">
          <cell r="E166">
            <v>0</v>
          </cell>
          <cell r="P166">
            <v>55132027</v>
          </cell>
        </row>
        <row r="167">
          <cell r="E167">
            <v>0</v>
          </cell>
          <cell r="P167">
            <v>0</v>
          </cell>
        </row>
        <row r="172">
          <cell r="E172">
            <v>0</v>
          </cell>
          <cell r="P172">
            <v>0</v>
          </cell>
        </row>
        <row r="173">
          <cell r="E173">
            <v>0</v>
          </cell>
          <cell r="P173">
            <v>0</v>
          </cell>
        </row>
        <row r="174">
          <cell r="E174">
            <v>0</v>
          </cell>
          <cell r="P174">
            <v>1482000</v>
          </cell>
        </row>
        <row r="175">
          <cell r="E175">
            <v>0</v>
          </cell>
        </row>
        <row r="179">
          <cell r="E179">
            <v>0</v>
          </cell>
          <cell r="P179">
            <v>0</v>
          </cell>
        </row>
        <row r="182">
          <cell r="P182">
            <v>0</v>
          </cell>
        </row>
        <row r="183">
          <cell r="E183">
            <v>0</v>
          </cell>
          <cell r="P183">
            <v>0</v>
          </cell>
        </row>
        <row r="184">
          <cell r="E184">
            <v>0</v>
          </cell>
          <cell r="P184">
            <v>0</v>
          </cell>
        </row>
        <row r="185">
          <cell r="E185">
            <v>0</v>
          </cell>
          <cell r="P185">
            <v>5734000</v>
          </cell>
        </row>
        <row r="186">
          <cell r="E186">
            <v>0</v>
          </cell>
          <cell r="P186">
            <v>0</v>
          </cell>
        </row>
        <row r="188">
          <cell r="Q188">
            <v>1800251516.75</v>
          </cell>
        </row>
        <row r="190">
          <cell r="E190">
            <v>58272600</v>
          </cell>
          <cell r="P190">
            <v>96558000</v>
          </cell>
        </row>
        <row r="194">
          <cell r="E194">
            <v>0</v>
          </cell>
          <cell r="P194">
            <v>0</v>
          </cell>
        </row>
        <row r="195">
          <cell r="E195">
            <v>0</v>
          </cell>
          <cell r="P195">
            <v>8723230</v>
          </cell>
        </row>
        <row r="198">
          <cell r="E198">
            <v>0</v>
          </cell>
          <cell r="P198">
            <v>4800000</v>
          </cell>
        </row>
        <row r="201">
          <cell r="E201">
            <v>0</v>
          </cell>
          <cell r="P201">
            <v>0</v>
          </cell>
        </row>
        <row r="203">
          <cell r="E203">
            <v>0</v>
          </cell>
          <cell r="P203">
            <v>0</v>
          </cell>
        </row>
        <row r="204">
          <cell r="E204">
            <v>0</v>
          </cell>
          <cell r="P204">
            <v>0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0</v>
          </cell>
        </row>
        <row r="213">
          <cell r="E213">
            <v>1000000</v>
          </cell>
          <cell r="P213">
            <v>5100000</v>
          </cell>
        </row>
        <row r="216">
          <cell r="E216">
            <v>0</v>
          </cell>
          <cell r="P216">
            <v>65000000</v>
          </cell>
        </row>
        <row r="219">
          <cell r="E219">
            <v>0</v>
          </cell>
          <cell r="P219">
            <v>0</v>
          </cell>
        </row>
        <row r="220">
          <cell r="E220">
            <v>0</v>
          </cell>
          <cell r="P220">
            <v>0</v>
          </cell>
        </row>
        <row r="221">
          <cell r="E221">
            <v>0</v>
          </cell>
          <cell r="P221">
            <v>0</v>
          </cell>
        </row>
        <row r="222">
          <cell r="E222">
            <v>0</v>
          </cell>
          <cell r="P222">
            <v>19790200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  <cell r="P225">
            <v>0</v>
          </cell>
        </row>
        <row r="230">
          <cell r="E230">
            <v>0</v>
          </cell>
          <cell r="P230">
            <v>1500000</v>
          </cell>
        </row>
        <row r="231">
          <cell r="E231">
            <v>1200000</v>
          </cell>
          <cell r="P231">
            <v>3992000</v>
          </cell>
        </row>
        <row r="234">
          <cell r="E234">
            <v>0</v>
          </cell>
          <cell r="P234">
            <v>0</v>
          </cell>
        </row>
        <row r="238">
          <cell r="E238">
            <v>0</v>
          </cell>
          <cell r="P238">
            <v>0</v>
          </cell>
        </row>
        <row r="239">
          <cell r="E239">
            <v>0</v>
          </cell>
          <cell r="P239">
            <v>0</v>
          </cell>
        </row>
        <row r="240">
          <cell r="E240">
            <v>0</v>
          </cell>
          <cell r="P240">
            <v>131995452.15000001</v>
          </cell>
        </row>
        <row r="241">
          <cell r="E241">
            <v>0</v>
          </cell>
          <cell r="P241">
            <v>0</v>
          </cell>
        </row>
        <row r="246">
          <cell r="E246">
            <v>0</v>
          </cell>
          <cell r="P246">
            <v>0</v>
          </cell>
        </row>
        <row r="247">
          <cell r="E247">
            <v>0</v>
          </cell>
          <cell r="P247">
            <v>0</v>
          </cell>
        </row>
        <row r="248">
          <cell r="E248">
            <v>0</v>
          </cell>
          <cell r="P248">
            <v>1600000</v>
          </cell>
        </row>
        <row r="249">
          <cell r="E249">
            <v>0</v>
          </cell>
          <cell r="P249">
            <v>0</v>
          </cell>
        </row>
        <row r="261">
          <cell r="E261">
            <v>1300000</v>
          </cell>
          <cell r="P261">
            <v>1300000</v>
          </cell>
        </row>
        <row r="262">
          <cell r="E262">
            <v>1300000</v>
          </cell>
          <cell r="P262">
            <v>650000</v>
          </cell>
        </row>
        <row r="263">
          <cell r="E263">
            <v>910000</v>
          </cell>
          <cell r="P263">
            <v>0</v>
          </cell>
        </row>
        <row r="266">
          <cell r="P266">
            <v>0</v>
          </cell>
        </row>
        <row r="267">
          <cell r="P267">
            <v>0</v>
          </cell>
        </row>
        <row r="268">
          <cell r="P268">
            <v>0</v>
          </cell>
        </row>
        <row r="269">
          <cell r="P269">
            <v>24487097</v>
          </cell>
        </row>
        <row r="270">
          <cell r="P270">
            <v>0</v>
          </cell>
        </row>
        <row r="272">
          <cell r="Q272">
            <v>164540425668.39999</v>
          </cell>
        </row>
        <row r="275">
          <cell r="Q275">
            <v>1341095908</v>
          </cell>
        </row>
        <row r="278">
          <cell r="E278">
            <v>22800000</v>
          </cell>
          <cell r="P278">
            <v>77184905</v>
          </cell>
        </row>
        <row r="279">
          <cell r="E279">
            <v>295000</v>
          </cell>
          <cell r="P279">
            <v>23278601</v>
          </cell>
        </row>
        <row r="280">
          <cell r="E280">
            <v>99727935</v>
          </cell>
          <cell r="P280">
            <v>93375535</v>
          </cell>
        </row>
        <row r="282">
          <cell r="E282">
            <v>0</v>
          </cell>
          <cell r="P282">
            <v>0</v>
          </cell>
        </row>
        <row r="283">
          <cell r="E283">
            <v>0</v>
          </cell>
          <cell r="P283">
            <v>0</v>
          </cell>
        </row>
        <row r="284">
          <cell r="E284">
            <v>0</v>
          </cell>
          <cell r="P284">
            <v>0</v>
          </cell>
        </row>
        <row r="285">
          <cell r="E285">
            <v>0</v>
          </cell>
          <cell r="P285">
            <v>0</v>
          </cell>
        </row>
        <row r="286">
          <cell r="E286">
            <v>0</v>
          </cell>
          <cell r="P286">
            <v>0</v>
          </cell>
        </row>
        <row r="287">
          <cell r="E287">
            <v>0</v>
          </cell>
          <cell r="P287">
            <v>0</v>
          </cell>
        </row>
        <row r="288">
          <cell r="E288">
            <v>0</v>
          </cell>
          <cell r="P288">
            <v>0</v>
          </cell>
        </row>
        <row r="289">
          <cell r="E289">
            <v>0</v>
          </cell>
          <cell r="P289">
            <v>0</v>
          </cell>
        </row>
        <row r="290">
          <cell r="E290">
            <v>0</v>
          </cell>
          <cell r="P290">
            <v>0</v>
          </cell>
        </row>
        <row r="292">
          <cell r="Q292">
            <v>72827611744</v>
          </cell>
        </row>
        <row r="295">
          <cell r="P295">
            <v>0</v>
          </cell>
        </row>
        <row r="296">
          <cell r="P296">
            <v>0</v>
          </cell>
        </row>
        <row r="297">
          <cell r="P297">
            <v>0</v>
          </cell>
        </row>
        <row r="298">
          <cell r="P298">
            <v>0</v>
          </cell>
        </row>
        <row r="299">
          <cell r="P299">
            <v>0</v>
          </cell>
        </row>
        <row r="300">
          <cell r="P300">
            <v>0</v>
          </cell>
        </row>
        <row r="301">
          <cell r="P301">
            <v>0</v>
          </cell>
        </row>
        <row r="303">
          <cell r="Q303">
            <v>84082673015.399994</v>
          </cell>
        </row>
        <row r="305">
          <cell r="E305">
            <v>0</v>
          </cell>
          <cell r="P305">
            <v>0</v>
          </cell>
        </row>
        <row r="306">
          <cell r="E306">
            <v>0</v>
          </cell>
          <cell r="P306">
            <v>0</v>
          </cell>
        </row>
        <row r="307">
          <cell r="E307">
            <v>0</v>
          </cell>
          <cell r="P307">
            <v>0</v>
          </cell>
        </row>
        <row r="308">
          <cell r="E308">
            <v>0</v>
          </cell>
          <cell r="P308">
            <v>0</v>
          </cell>
        </row>
        <row r="309">
          <cell r="E309">
            <v>0</v>
          </cell>
          <cell r="P309">
            <v>0</v>
          </cell>
        </row>
        <row r="312">
          <cell r="P312">
            <v>440193434</v>
          </cell>
        </row>
        <row r="313">
          <cell r="P313">
            <v>70840427</v>
          </cell>
          <cell r="Q313">
            <v>286706915</v>
          </cell>
        </row>
        <row r="316">
          <cell r="P316">
            <v>1250000000</v>
          </cell>
        </row>
        <row r="319">
          <cell r="P319">
            <v>0</v>
          </cell>
        </row>
        <row r="320">
          <cell r="P320">
            <v>825000</v>
          </cell>
        </row>
        <row r="323">
          <cell r="P323">
            <v>2915289</v>
          </cell>
        </row>
        <row r="334">
          <cell r="P334">
            <v>0</v>
          </cell>
        </row>
        <row r="335">
          <cell r="P335">
            <v>0</v>
          </cell>
        </row>
        <row r="336">
          <cell r="P336">
            <v>1000000</v>
          </cell>
        </row>
        <row r="337">
          <cell r="P337">
            <v>59385377870</v>
          </cell>
        </row>
        <row r="343">
          <cell r="P343">
            <v>0</v>
          </cell>
        </row>
        <row r="346">
          <cell r="E346">
            <v>0</v>
          </cell>
          <cell r="P346">
            <v>0</v>
          </cell>
        </row>
        <row r="347">
          <cell r="E347">
            <v>0</v>
          </cell>
        </row>
        <row r="348">
          <cell r="P348">
            <v>0</v>
          </cell>
        </row>
        <row r="349">
          <cell r="P349">
            <v>0</v>
          </cell>
        </row>
        <row r="352">
          <cell r="E352">
            <v>0</v>
          </cell>
          <cell r="P352">
            <v>349635969</v>
          </cell>
        </row>
        <row r="354">
          <cell r="Q354">
            <v>6289045001</v>
          </cell>
        </row>
        <row r="356">
          <cell r="P356">
            <v>0</v>
          </cell>
        </row>
        <row r="357">
          <cell r="P357">
            <v>0</v>
          </cell>
        </row>
        <row r="358">
          <cell r="P358">
            <v>0</v>
          </cell>
        </row>
        <row r="359">
          <cell r="P359">
            <v>0</v>
          </cell>
        </row>
        <row r="360">
          <cell r="P360">
            <v>25830000</v>
          </cell>
        </row>
        <row r="361">
          <cell r="P361">
            <v>0</v>
          </cell>
        </row>
        <row r="362">
          <cell r="P362">
            <v>3128025</v>
          </cell>
        </row>
        <row r="365">
          <cell r="P365">
            <v>0</v>
          </cell>
        </row>
        <row r="367">
          <cell r="P367">
            <v>0</v>
          </cell>
        </row>
        <row r="368">
          <cell r="P368">
            <v>0</v>
          </cell>
        </row>
        <row r="369">
          <cell r="P369">
            <v>0</v>
          </cell>
        </row>
        <row r="370">
          <cell r="P370">
            <v>0</v>
          </cell>
        </row>
        <row r="373">
          <cell r="P373">
            <v>0</v>
          </cell>
        </row>
        <row r="374">
          <cell r="P374">
            <v>0</v>
          </cell>
        </row>
        <row r="375">
          <cell r="P375">
            <v>0</v>
          </cell>
        </row>
        <row r="376">
          <cell r="P376">
            <v>1200000</v>
          </cell>
        </row>
        <row r="377">
          <cell r="P377">
            <v>141017557</v>
          </cell>
        </row>
        <row r="383">
          <cell r="P383">
            <v>0</v>
          </cell>
        </row>
        <row r="384">
          <cell r="P384">
            <v>0</v>
          </cell>
        </row>
        <row r="386">
          <cell r="P386">
            <v>131100000</v>
          </cell>
        </row>
        <row r="388">
          <cell r="P388">
            <v>56275000</v>
          </cell>
        </row>
        <row r="389">
          <cell r="P389">
            <v>42675000</v>
          </cell>
        </row>
        <row r="390">
          <cell r="P390">
            <v>63550000</v>
          </cell>
        </row>
        <row r="391">
          <cell r="P391">
            <v>21400000</v>
          </cell>
        </row>
        <row r="392">
          <cell r="P392">
            <v>15175000</v>
          </cell>
        </row>
        <row r="393">
          <cell r="P393">
            <v>6525000</v>
          </cell>
        </row>
        <row r="394">
          <cell r="P394">
            <v>51250000</v>
          </cell>
        </row>
        <row r="395">
          <cell r="P395">
            <v>2175000</v>
          </cell>
        </row>
        <row r="396">
          <cell r="P396">
            <v>0</v>
          </cell>
        </row>
        <row r="398">
          <cell r="P398">
            <v>0</v>
          </cell>
        </row>
        <row r="399">
          <cell r="P399">
            <v>0</v>
          </cell>
        </row>
        <row r="400">
          <cell r="P400">
            <v>19919500</v>
          </cell>
        </row>
        <row r="402">
          <cell r="P402">
            <v>5050000</v>
          </cell>
        </row>
        <row r="403">
          <cell r="P403">
            <v>0</v>
          </cell>
        </row>
        <row r="404">
          <cell r="P404">
            <v>7701200</v>
          </cell>
        </row>
        <row r="405">
          <cell r="P405">
            <v>11385000</v>
          </cell>
        </row>
        <row r="406">
          <cell r="P406">
            <v>7192664</v>
          </cell>
        </row>
        <row r="407">
          <cell r="P407">
            <v>0</v>
          </cell>
        </row>
        <row r="408">
          <cell r="P408">
            <v>0</v>
          </cell>
        </row>
        <row r="409">
          <cell r="P409">
            <v>1455000</v>
          </cell>
        </row>
        <row r="413">
          <cell r="P413">
            <v>0</v>
          </cell>
        </row>
        <row r="414">
          <cell r="P414">
            <v>0</v>
          </cell>
        </row>
        <row r="416">
          <cell r="P416">
            <v>0</v>
          </cell>
        </row>
        <row r="418">
          <cell r="P418">
            <v>2761343193</v>
          </cell>
        </row>
        <row r="423">
          <cell r="E423">
            <v>0</v>
          </cell>
          <cell r="P423">
            <v>0</v>
          </cell>
        </row>
        <row r="424">
          <cell r="E424">
            <v>0</v>
          </cell>
          <cell r="P424">
            <v>0</v>
          </cell>
        </row>
        <row r="425">
          <cell r="E425">
            <v>1300000</v>
          </cell>
          <cell r="P425">
            <v>41968368</v>
          </cell>
        </row>
        <row r="426">
          <cell r="E426">
            <v>0</v>
          </cell>
          <cell r="P426">
            <v>0</v>
          </cell>
        </row>
        <row r="431">
          <cell r="E431">
            <v>36150000</v>
          </cell>
          <cell r="P431">
            <v>148850000</v>
          </cell>
        </row>
        <row r="437">
          <cell r="E437">
            <v>0</v>
          </cell>
          <cell r="P437">
            <v>11779447</v>
          </cell>
        </row>
        <row r="438">
          <cell r="E438">
            <v>0</v>
          </cell>
        </row>
        <row r="446">
          <cell r="E446">
            <v>443861406</v>
          </cell>
          <cell r="P446">
            <v>556916803</v>
          </cell>
        </row>
        <row r="447">
          <cell r="E447">
            <v>193258575</v>
          </cell>
          <cell r="P447">
            <v>254642520</v>
          </cell>
        </row>
        <row r="448">
          <cell r="E448">
            <v>247579964</v>
          </cell>
          <cell r="P448">
            <v>334374917</v>
          </cell>
        </row>
        <row r="449">
          <cell r="E449">
            <v>90850585</v>
          </cell>
          <cell r="P449">
            <v>168640967</v>
          </cell>
        </row>
        <row r="450">
          <cell r="E450">
            <v>110304287</v>
          </cell>
          <cell r="P450">
            <v>154003162</v>
          </cell>
        </row>
        <row r="451">
          <cell r="E451">
            <v>31104130</v>
          </cell>
          <cell r="P451">
            <v>54492878</v>
          </cell>
        </row>
        <row r="452">
          <cell r="E452">
            <v>148938755</v>
          </cell>
          <cell r="P452">
            <v>192544268</v>
          </cell>
        </row>
        <row r="453">
          <cell r="E453">
            <v>266327748</v>
          </cell>
          <cell r="P453">
            <v>27298375</v>
          </cell>
        </row>
        <row r="454">
          <cell r="E454">
            <v>42688010</v>
          </cell>
          <cell r="P454">
            <v>65016225</v>
          </cell>
        </row>
        <row r="456">
          <cell r="E456">
            <v>16581156</v>
          </cell>
          <cell r="P456">
            <v>8385077</v>
          </cell>
        </row>
        <row r="457">
          <cell r="E457">
            <v>11698118</v>
          </cell>
          <cell r="P457">
            <v>2202050</v>
          </cell>
        </row>
        <row r="458">
          <cell r="E458">
            <v>6323755</v>
          </cell>
          <cell r="P458">
            <v>5148225</v>
          </cell>
        </row>
        <row r="459">
          <cell r="E459">
            <v>3810125</v>
          </cell>
          <cell r="P459">
            <v>2464175</v>
          </cell>
        </row>
        <row r="460">
          <cell r="E460">
            <v>6694750</v>
          </cell>
          <cell r="P460">
            <v>3225904</v>
          </cell>
        </row>
        <row r="461">
          <cell r="E461">
            <v>660000</v>
          </cell>
          <cell r="P461">
            <v>2209635</v>
          </cell>
        </row>
        <row r="462">
          <cell r="E462">
            <v>7013500</v>
          </cell>
          <cell r="P462">
            <v>3085373</v>
          </cell>
        </row>
        <row r="463">
          <cell r="E463">
            <v>1861873</v>
          </cell>
          <cell r="P463">
            <v>39500</v>
          </cell>
        </row>
        <row r="464">
          <cell r="E464">
            <v>0</v>
          </cell>
          <cell r="P464">
            <v>0</v>
          </cell>
        </row>
        <row r="466">
          <cell r="E466">
            <v>0</v>
          </cell>
          <cell r="P466">
            <v>0</v>
          </cell>
        </row>
        <row r="467">
          <cell r="E467">
            <v>0</v>
          </cell>
          <cell r="P467">
            <v>0</v>
          </cell>
        </row>
        <row r="468">
          <cell r="E468">
            <v>0</v>
          </cell>
          <cell r="P468">
            <v>0</v>
          </cell>
        </row>
        <row r="470">
          <cell r="E470">
            <v>6300000</v>
          </cell>
          <cell r="P470">
            <v>2523163.02</v>
          </cell>
        </row>
        <row r="471">
          <cell r="E471">
            <v>0</v>
          </cell>
          <cell r="P471">
            <v>2109403</v>
          </cell>
        </row>
        <row r="472">
          <cell r="E472">
            <v>0</v>
          </cell>
          <cell r="P472">
            <v>0</v>
          </cell>
        </row>
        <row r="473">
          <cell r="E473">
            <v>0</v>
          </cell>
          <cell r="P473">
            <v>0</v>
          </cell>
        </row>
        <row r="474">
          <cell r="E474">
            <v>0</v>
          </cell>
          <cell r="P474">
            <v>0</v>
          </cell>
        </row>
        <row r="475">
          <cell r="E475">
            <v>0</v>
          </cell>
          <cell r="P475">
            <v>0</v>
          </cell>
        </row>
        <row r="476">
          <cell r="E476">
            <v>0</v>
          </cell>
          <cell r="P476">
            <v>0</v>
          </cell>
        </row>
        <row r="477">
          <cell r="E477">
            <v>0</v>
          </cell>
          <cell r="P477">
            <v>0</v>
          </cell>
        </row>
        <row r="478">
          <cell r="E478">
            <v>0</v>
          </cell>
          <cell r="P478">
            <v>0</v>
          </cell>
        </row>
        <row r="479">
          <cell r="E479">
            <v>0</v>
          </cell>
          <cell r="P479">
            <v>0</v>
          </cell>
        </row>
        <row r="483">
          <cell r="E483">
            <v>0</v>
          </cell>
          <cell r="P483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500">
          <cell r="E500">
            <v>0</v>
          </cell>
          <cell r="P500">
            <v>259500000</v>
          </cell>
        </row>
        <row r="501">
          <cell r="E501">
            <v>7000000</v>
          </cell>
          <cell r="P501">
            <v>85835000</v>
          </cell>
        </row>
        <row r="505">
          <cell r="E505">
            <v>0</v>
          </cell>
          <cell r="P505">
            <v>0</v>
          </cell>
        </row>
        <row r="506">
          <cell r="E506">
            <v>0</v>
          </cell>
          <cell r="P506">
            <v>0</v>
          </cell>
        </row>
        <row r="507">
          <cell r="E507">
            <v>6724929</v>
          </cell>
          <cell r="P507">
            <v>0</v>
          </cell>
        </row>
        <row r="509">
          <cell r="E509">
            <v>0</v>
          </cell>
          <cell r="P509">
            <v>206090000</v>
          </cell>
        </row>
        <row r="514">
          <cell r="E514">
            <v>0</v>
          </cell>
          <cell r="P514">
            <v>0</v>
          </cell>
        </row>
        <row r="515">
          <cell r="E515">
            <v>0</v>
          </cell>
          <cell r="P515">
            <v>0</v>
          </cell>
        </row>
        <row r="516">
          <cell r="E516">
            <v>0</v>
          </cell>
          <cell r="P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22">
          <cell r="P522">
            <v>0</v>
          </cell>
        </row>
        <row r="523">
          <cell r="E523">
            <v>0</v>
          </cell>
          <cell r="P523">
            <v>0</v>
          </cell>
        </row>
        <row r="524">
          <cell r="E524">
            <v>0</v>
          </cell>
          <cell r="P524">
            <v>0</v>
          </cell>
        </row>
        <row r="525">
          <cell r="E525">
            <v>210000</v>
          </cell>
          <cell r="P525">
            <v>3063000</v>
          </cell>
        </row>
        <row r="526">
          <cell r="E526">
            <v>0</v>
          </cell>
        </row>
        <row r="527">
          <cell r="E527">
            <v>0</v>
          </cell>
        </row>
        <row r="531">
          <cell r="E531">
            <v>121770000</v>
          </cell>
          <cell r="P531">
            <v>128575000</v>
          </cell>
        </row>
        <row r="532">
          <cell r="E532">
            <v>0</v>
          </cell>
          <cell r="P532">
            <v>0</v>
          </cell>
        </row>
        <row r="533">
          <cell r="E533">
            <v>0</v>
          </cell>
          <cell r="P533">
            <v>17100000</v>
          </cell>
        </row>
        <row r="534">
          <cell r="E534">
            <v>0</v>
          </cell>
          <cell r="P534">
            <v>0</v>
          </cell>
        </row>
        <row r="535">
          <cell r="E535">
            <v>0</v>
          </cell>
          <cell r="P535">
            <v>0</v>
          </cell>
        </row>
        <row r="536">
          <cell r="E536">
            <v>0</v>
          </cell>
          <cell r="P536">
            <v>0</v>
          </cell>
        </row>
        <row r="537">
          <cell r="E537">
            <v>41440000</v>
          </cell>
          <cell r="P537">
            <v>0</v>
          </cell>
        </row>
        <row r="538">
          <cell r="E538">
            <v>0</v>
          </cell>
          <cell r="P538">
            <v>0</v>
          </cell>
        </row>
        <row r="539">
          <cell r="E539">
            <v>0</v>
          </cell>
          <cell r="P539">
            <v>0</v>
          </cell>
        </row>
        <row r="543">
          <cell r="P543">
            <v>0</v>
          </cell>
        </row>
        <row r="544">
          <cell r="E544">
            <v>0</v>
          </cell>
        </row>
        <row r="545">
          <cell r="E545">
            <v>0</v>
          </cell>
          <cell r="P545">
            <v>0</v>
          </cell>
        </row>
        <row r="546">
          <cell r="E546">
            <v>15251000</v>
          </cell>
          <cell r="P546">
            <v>17577750</v>
          </cell>
        </row>
        <row r="547">
          <cell r="E547">
            <v>0</v>
          </cell>
          <cell r="P547">
            <v>0</v>
          </cell>
        </row>
        <row r="549">
          <cell r="Q549">
            <v>204058919</v>
          </cell>
        </row>
        <row r="552">
          <cell r="E552">
            <v>0</v>
          </cell>
          <cell r="P552">
            <v>0</v>
          </cell>
        </row>
        <row r="553">
          <cell r="E553">
            <v>0</v>
          </cell>
          <cell r="P553">
            <v>0</v>
          </cell>
        </row>
        <row r="556">
          <cell r="E556">
            <v>0</v>
          </cell>
          <cell r="P556">
            <v>0</v>
          </cell>
        </row>
        <row r="557">
          <cell r="E557">
            <v>0</v>
          </cell>
          <cell r="P557">
            <v>32369500</v>
          </cell>
        </row>
        <row r="560">
          <cell r="E560">
            <v>0</v>
          </cell>
          <cell r="P560">
            <v>12541200</v>
          </cell>
        </row>
        <row r="561">
          <cell r="E561">
            <v>0</v>
          </cell>
          <cell r="P561">
            <v>0</v>
          </cell>
        </row>
        <row r="562">
          <cell r="E562">
            <v>0</v>
          </cell>
          <cell r="P562">
            <v>0</v>
          </cell>
        </row>
        <row r="563">
          <cell r="E563">
            <v>0</v>
          </cell>
          <cell r="P563">
            <v>10212000</v>
          </cell>
        </row>
        <row r="564">
          <cell r="E564">
            <v>0</v>
          </cell>
          <cell r="P564">
            <v>0</v>
          </cell>
        </row>
        <row r="569">
          <cell r="E569">
            <v>1721100</v>
          </cell>
          <cell r="P569">
            <v>1156000</v>
          </cell>
        </row>
        <row r="570">
          <cell r="E570">
            <v>1765500</v>
          </cell>
          <cell r="P570">
            <v>1536000</v>
          </cell>
        </row>
        <row r="571">
          <cell r="E571">
            <v>0</v>
          </cell>
          <cell r="P571">
            <v>8820000</v>
          </cell>
        </row>
        <row r="572">
          <cell r="E572">
            <v>0</v>
          </cell>
          <cell r="P572">
            <v>0</v>
          </cell>
        </row>
        <row r="575">
          <cell r="E575">
            <v>0</v>
          </cell>
          <cell r="P575">
            <v>777000</v>
          </cell>
        </row>
        <row r="576">
          <cell r="E576">
            <v>0</v>
          </cell>
          <cell r="P576">
            <v>9825000</v>
          </cell>
        </row>
        <row r="577">
          <cell r="E577">
            <v>12770780</v>
          </cell>
          <cell r="P577">
            <v>33421200</v>
          </cell>
        </row>
        <row r="578">
          <cell r="E578">
            <v>0</v>
          </cell>
          <cell r="P578">
            <v>0</v>
          </cell>
        </row>
        <row r="579">
          <cell r="E579">
            <v>0</v>
          </cell>
          <cell r="P579">
            <v>0</v>
          </cell>
        </row>
        <row r="580">
          <cell r="E580">
            <v>0</v>
          </cell>
          <cell r="P580">
            <v>0</v>
          </cell>
        </row>
        <row r="581">
          <cell r="E581">
            <v>0</v>
          </cell>
          <cell r="P581">
            <v>0</v>
          </cell>
        </row>
        <row r="584">
          <cell r="E584">
            <v>5099010</v>
          </cell>
          <cell r="P584">
            <v>5221000</v>
          </cell>
        </row>
        <row r="586">
          <cell r="E586">
            <v>0</v>
          </cell>
          <cell r="P586">
            <v>0</v>
          </cell>
        </row>
        <row r="587">
          <cell r="E587">
            <v>0</v>
          </cell>
          <cell r="P587">
            <v>1251500</v>
          </cell>
        </row>
        <row r="588">
          <cell r="E588">
            <v>0</v>
          </cell>
        </row>
        <row r="592">
          <cell r="E592">
            <v>0</v>
          </cell>
          <cell r="P592">
            <v>0</v>
          </cell>
        </row>
        <row r="593">
          <cell r="E593">
            <v>0</v>
          </cell>
          <cell r="P593">
            <v>0</v>
          </cell>
        </row>
        <row r="594">
          <cell r="E594">
            <v>0</v>
          </cell>
          <cell r="P594">
            <v>0</v>
          </cell>
        </row>
        <row r="595">
          <cell r="E595">
            <v>2000000</v>
          </cell>
          <cell r="P595">
            <v>5276940</v>
          </cell>
        </row>
        <row r="596">
          <cell r="E596">
            <v>0</v>
          </cell>
        </row>
        <row r="602">
          <cell r="E602">
            <v>33319348</v>
          </cell>
          <cell r="P602">
            <v>115338466</v>
          </cell>
        </row>
        <row r="603">
          <cell r="E603">
            <v>0</v>
          </cell>
          <cell r="P603">
            <v>0</v>
          </cell>
        </row>
        <row r="604">
          <cell r="E604">
            <v>0</v>
          </cell>
          <cell r="P604">
            <v>0</v>
          </cell>
        </row>
        <row r="605">
          <cell r="E605">
            <v>0</v>
          </cell>
          <cell r="P605">
            <v>0</v>
          </cell>
        </row>
        <row r="606">
          <cell r="E606">
            <v>0</v>
          </cell>
          <cell r="P606">
            <v>0</v>
          </cell>
        </row>
        <row r="607">
          <cell r="E607">
            <v>0</v>
          </cell>
          <cell r="P607">
            <v>0</v>
          </cell>
        </row>
        <row r="608">
          <cell r="E608">
            <v>0</v>
          </cell>
        </row>
        <row r="616">
          <cell r="E616">
            <v>10655000</v>
          </cell>
          <cell r="P616">
            <v>24550000</v>
          </cell>
        </row>
        <row r="617">
          <cell r="E617">
            <v>0</v>
          </cell>
          <cell r="P617">
            <v>3000000</v>
          </cell>
        </row>
        <row r="618">
          <cell r="E618">
            <v>0</v>
          </cell>
          <cell r="P618">
            <v>7000000</v>
          </cell>
        </row>
        <row r="619">
          <cell r="E619">
            <v>0</v>
          </cell>
          <cell r="P619">
            <v>0</v>
          </cell>
        </row>
        <row r="620">
          <cell r="E620">
            <v>600000</v>
          </cell>
          <cell r="P620">
            <v>1000000</v>
          </cell>
        </row>
        <row r="622">
          <cell r="E622">
            <v>0</v>
          </cell>
          <cell r="P622">
            <v>1000000</v>
          </cell>
        </row>
        <row r="623">
          <cell r="E623">
            <v>0</v>
          </cell>
          <cell r="P623">
            <v>0</v>
          </cell>
        </row>
        <row r="624">
          <cell r="E624">
            <v>0</v>
          </cell>
          <cell r="P624">
            <v>0</v>
          </cell>
        </row>
        <row r="627">
          <cell r="E627">
            <v>10000000</v>
          </cell>
          <cell r="P627">
            <v>33000000</v>
          </cell>
        </row>
        <row r="628">
          <cell r="E628">
            <v>1140000</v>
          </cell>
          <cell r="P628">
            <v>19819000</v>
          </cell>
        </row>
        <row r="629">
          <cell r="E629">
            <v>4600000</v>
          </cell>
          <cell r="P629">
            <v>16500000</v>
          </cell>
        </row>
        <row r="630">
          <cell r="E630">
            <v>0</v>
          </cell>
          <cell r="P630">
            <v>0</v>
          </cell>
        </row>
        <row r="631">
          <cell r="E631">
            <v>900000</v>
          </cell>
          <cell r="P631">
            <v>4150000</v>
          </cell>
        </row>
        <row r="632">
          <cell r="E632">
            <v>0</v>
          </cell>
          <cell r="P632">
            <v>0</v>
          </cell>
        </row>
        <row r="633">
          <cell r="E633">
            <v>10440000</v>
          </cell>
          <cell r="P633">
            <v>114200000</v>
          </cell>
        </row>
        <row r="635">
          <cell r="E635">
            <v>0</v>
          </cell>
          <cell r="P635">
            <v>0</v>
          </cell>
        </row>
        <row r="638">
          <cell r="E638">
            <v>0</v>
          </cell>
          <cell r="P638">
            <v>0</v>
          </cell>
        </row>
        <row r="641">
          <cell r="E641">
            <v>2000000</v>
          </cell>
          <cell r="P641">
            <v>46749550</v>
          </cell>
        </row>
        <row r="642">
          <cell r="E642">
            <v>0</v>
          </cell>
        </row>
        <row r="648">
          <cell r="E648">
            <v>18004600</v>
          </cell>
          <cell r="P648">
            <v>0</v>
          </cell>
        </row>
        <row r="651">
          <cell r="P651">
            <v>0</v>
          </cell>
        </row>
        <row r="652">
          <cell r="E652">
            <v>0</v>
          </cell>
        </row>
        <row r="653">
          <cell r="E653">
            <v>0</v>
          </cell>
          <cell r="P653">
            <v>0</v>
          </cell>
        </row>
        <row r="654">
          <cell r="E654">
            <v>0</v>
          </cell>
          <cell r="P654">
            <v>18634700</v>
          </cell>
        </row>
        <row r="655">
          <cell r="E655">
            <v>0</v>
          </cell>
        </row>
        <row r="661">
          <cell r="E661">
            <v>0</v>
          </cell>
          <cell r="P661">
            <v>0</v>
          </cell>
        </row>
        <row r="662">
          <cell r="E662">
            <v>0</v>
          </cell>
          <cell r="P662">
            <v>0</v>
          </cell>
        </row>
        <row r="663">
          <cell r="E663">
            <v>0</v>
          </cell>
          <cell r="P663">
            <v>17314100</v>
          </cell>
        </row>
        <row r="664">
          <cell r="E664">
            <v>0</v>
          </cell>
          <cell r="P664">
            <v>0</v>
          </cell>
        </row>
        <row r="666">
          <cell r="Q666">
            <v>93796289</v>
          </cell>
        </row>
        <row r="669">
          <cell r="E669">
            <v>0</v>
          </cell>
          <cell r="P669">
            <v>0</v>
          </cell>
        </row>
        <row r="670">
          <cell r="P670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2323200</v>
          </cell>
          <cell r="P676">
            <v>5392200</v>
          </cell>
        </row>
        <row r="677">
          <cell r="P677">
            <v>0</v>
          </cell>
        </row>
        <row r="682">
          <cell r="E682">
            <v>91500000</v>
          </cell>
          <cell r="P682">
            <v>20650000</v>
          </cell>
        </row>
        <row r="683">
          <cell r="E683">
            <v>0</v>
          </cell>
          <cell r="P683">
            <v>0</v>
          </cell>
        </row>
        <row r="685">
          <cell r="E685">
            <v>0</v>
          </cell>
          <cell r="P685">
            <v>0</v>
          </cell>
        </row>
        <row r="687">
          <cell r="E687">
            <v>0</v>
          </cell>
          <cell r="P687">
            <v>0</v>
          </cell>
        </row>
        <row r="688">
          <cell r="E688">
            <v>1246000</v>
          </cell>
          <cell r="P688">
            <v>36590500</v>
          </cell>
        </row>
        <row r="689">
          <cell r="E689">
            <v>0</v>
          </cell>
        </row>
        <row r="695">
          <cell r="E695">
            <v>0</v>
          </cell>
          <cell r="P695">
            <v>0</v>
          </cell>
        </row>
        <row r="696">
          <cell r="E696">
            <v>0</v>
          </cell>
          <cell r="P696">
            <v>0</v>
          </cell>
        </row>
        <row r="697">
          <cell r="E697">
            <v>0</v>
          </cell>
          <cell r="P697">
            <v>0</v>
          </cell>
        </row>
        <row r="698">
          <cell r="E698">
            <v>0</v>
          </cell>
        </row>
        <row r="704">
          <cell r="E704">
            <v>0</v>
          </cell>
          <cell r="P704">
            <v>0</v>
          </cell>
        </row>
        <row r="705">
          <cell r="E705">
            <v>0</v>
          </cell>
          <cell r="P705">
            <v>0</v>
          </cell>
        </row>
        <row r="706">
          <cell r="E706">
            <v>0</v>
          </cell>
          <cell r="P706">
            <v>0</v>
          </cell>
        </row>
        <row r="707">
          <cell r="E707">
            <v>0</v>
          </cell>
        </row>
        <row r="713">
          <cell r="E713">
            <v>0</v>
          </cell>
          <cell r="P713">
            <v>0</v>
          </cell>
        </row>
        <row r="714">
          <cell r="E714">
            <v>0</v>
          </cell>
          <cell r="P714">
            <v>0</v>
          </cell>
        </row>
        <row r="715">
          <cell r="E715">
            <v>0</v>
          </cell>
          <cell r="P715">
            <v>0</v>
          </cell>
        </row>
        <row r="716">
          <cell r="E716">
            <v>0</v>
          </cell>
        </row>
      </sheetData>
      <sheetData sheetId="1"/>
      <sheetData sheetId="2"/>
      <sheetData sheetId="3">
        <row r="15">
          <cell r="E15">
            <v>60000000</v>
          </cell>
        </row>
        <row r="16">
          <cell r="E16">
            <v>33395000</v>
          </cell>
        </row>
        <row r="19">
          <cell r="E19">
            <v>0</v>
          </cell>
        </row>
        <row r="21">
          <cell r="E21">
            <v>0</v>
          </cell>
        </row>
        <row r="27">
          <cell r="E27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6">
          <cell r="E36">
            <v>1100000000</v>
          </cell>
        </row>
        <row r="39">
          <cell r="E39">
            <v>0</v>
          </cell>
        </row>
        <row r="44">
          <cell r="E44">
            <v>200000000</v>
          </cell>
        </row>
        <row r="47">
          <cell r="E47">
            <v>0</v>
          </cell>
        </row>
        <row r="48">
          <cell r="E48">
            <v>0</v>
          </cell>
        </row>
        <row r="52">
          <cell r="E52">
            <v>13500000000</v>
          </cell>
        </row>
        <row r="55">
          <cell r="E55">
            <v>0</v>
          </cell>
        </row>
        <row r="56">
          <cell r="E56">
            <v>0</v>
          </cell>
        </row>
        <row r="60">
          <cell r="E60">
            <v>75000000</v>
          </cell>
        </row>
        <row r="61">
          <cell r="E61">
            <v>175000000</v>
          </cell>
        </row>
        <row r="63">
          <cell r="E63">
            <v>0</v>
          </cell>
        </row>
        <row r="64">
          <cell r="E64">
            <v>0</v>
          </cell>
        </row>
        <row r="68">
          <cell r="E68">
            <v>2197286650</v>
          </cell>
        </row>
        <row r="73">
          <cell r="E73">
            <v>4000000000</v>
          </cell>
        </row>
        <row r="76">
          <cell r="E76">
            <v>0</v>
          </cell>
        </row>
        <row r="77">
          <cell r="E77">
            <v>0</v>
          </cell>
        </row>
        <row r="81">
          <cell r="E81">
            <v>100000000000</v>
          </cell>
        </row>
        <row r="82">
          <cell r="E82">
            <v>0</v>
          </cell>
        </row>
        <row r="87">
          <cell r="E87">
            <v>14000000000</v>
          </cell>
        </row>
        <row r="88">
          <cell r="E88">
            <v>0</v>
          </cell>
        </row>
        <row r="89">
          <cell r="E89">
            <v>0</v>
          </cell>
        </row>
        <row r="93">
          <cell r="E93">
            <v>19250000</v>
          </cell>
        </row>
        <row r="96">
          <cell r="E96">
            <v>216750000</v>
          </cell>
        </row>
        <row r="97">
          <cell r="E97">
            <v>250000000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06">
          <cell r="E106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6">
          <cell r="E116">
            <v>103889500</v>
          </cell>
        </row>
        <row r="117">
          <cell r="E117">
            <v>90000000</v>
          </cell>
        </row>
        <row r="120">
          <cell r="E120">
            <v>18000000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0</v>
          </cell>
        </row>
        <row r="129">
          <cell r="E129">
            <v>0</v>
          </cell>
        </row>
        <row r="130">
          <cell r="E130">
            <v>0</v>
          </cell>
        </row>
        <row r="134">
          <cell r="E134">
            <v>0</v>
          </cell>
        </row>
        <row r="135">
          <cell r="E135">
            <v>0</v>
          </cell>
        </row>
        <row r="139">
          <cell r="E139">
            <v>2000000</v>
          </cell>
        </row>
        <row r="144">
          <cell r="E144">
            <v>0</v>
          </cell>
        </row>
        <row r="148">
          <cell r="E148">
            <v>1455000000</v>
          </cell>
        </row>
        <row r="152">
          <cell r="E152">
            <v>0</v>
          </cell>
        </row>
        <row r="155">
          <cell r="E155">
            <v>75000000</v>
          </cell>
        </row>
        <row r="158">
          <cell r="E158">
            <v>0</v>
          </cell>
        </row>
        <row r="159">
          <cell r="E159">
            <v>0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7">
          <cell r="E167">
            <v>152500000</v>
          </cell>
        </row>
        <row r="170">
          <cell r="E170">
            <v>348625000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0</v>
          </cell>
        </row>
        <row r="183">
          <cell r="E183">
            <v>16500000</v>
          </cell>
        </row>
        <row r="184">
          <cell r="E184">
            <v>40000000</v>
          </cell>
        </row>
        <row r="187">
          <cell r="E187">
            <v>3500000</v>
          </cell>
        </row>
        <row r="191">
          <cell r="E191">
            <v>0</v>
          </cell>
        </row>
        <row r="197">
          <cell r="E197">
            <v>0</v>
          </cell>
        </row>
        <row r="201">
          <cell r="E201">
            <v>0</v>
          </cell>
        </row>
        <row r="202">
          <cell r="E202">
            <v>0</v>
          </cell>
        </row>
        <row r="210">
          <cell r="E210">
            <v>30000000</v>
          </cell>
        </row>
        <row r="211">
          <cell r="E211">
            <v>26250000</v>
          </cell>
        </row>
        <row r="212">
          <cell r="E212">
            <v>75000000</v>
          </cell>
        </row>
        <row r="219">
          <cell r="E219">
            <v>1043101100</v>
          </cell>
        </row>
        <row r="220">
          <cell r="E220">
            <v>532280400</v>
          </cell>
        </row>
        <row r="221">
          <cell r="E221">
            <v>500000000</v>
          </cell>
        </row>
        <row r="223">
          <cell r="E223">
            <v>35000000</v>
          </cell>
        </row>
        <row r="224">
          <cell r="E224">
            <v>28000000</v>
          </cell>
        </row>
        <row r="225">
          <cell r="E225">
            <v>17250000</v>
          </cell>
        </row>
        <row r="226">
          <cell r="E226">
            <v>30000000</v>
          </cell>
        </row>
        <row r="227">
          <cell r="E227">
            <v>50000000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6">
          <cell r="E236">
            <v>59958450102</v>
          </cell>
        </row>
        <row r="237">
          <cell r="E237">
            <v>11374571865</v>
          </cell>
        </row>
        <row r="238">
          <cell r="E238">
            <v>1000000000</v>
          </cell>
        </row>
        <row r="239">
          <cell r="E239">
            <v>85406400000</v>
          </cell>
        </row>
        <row r="240">
          <cell r="E240">
            <v>0</v>
          </cell>
        </row>
        <row r="241">
          <cell r="E241">
            <v>136702012</v>
          </cell>
        </row>
        <row r="242">
          <cell r="E242">
            <v>88761211</v>
          </cell>
        </row>
        <row r="246">
          <cell r="E246">
            <v>0</v>
          </cell>
        </row>
        <row r="247">
          <cell r="E247">
            <v>50000000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200000000</v>
          </cell>
        </row>
        <row r="253">
          <cell r="E253">
            <v>4500000000</v>
          </cell>
        </row>
        <row r="254">
          <cell r="D254">
            <v>0</v>
          </cell>
          <cell r="E254">
            <v>0</v>
          </cell>
        </row>
        <row r="257">
          <cell r="E257">
            <v>6875000000</v>
          </cell>
        </row>
        <row r="260">
          <cell r="E260">
            <v>1190211975</v>
          </cell>
        </row>
        <row r="261">
          <cell r="E261">
            <v>15000000</v>
          </cell>
        </row>
        <row r="264">
          <cell r="E264">
            <v>217536159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3000000000</v>
          </cell>
        </row>
        <row r="278">
          <cell r="E278">
            <v>65944925050</v>
          </cell>
        </row>
        <row r="284">
          <cell r="E284">
            <v>0</v>
          </cell>
        </row>
        <row r="287">
          <cell r="E287">
            <v>0</v>
          </cell>
        </row>
        <row r="289">
          <cell r="E289">
            <v>13170000</v>
          </cell>
        </row>
        <row r="290">
          <cell r="E290">
            <v>64064295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3291945800</v>
          </cell>
        </row>
        <row r="306">
          <cell r="E306">
            <v>51419400</v>
          </cell>
        </row>
        <row r="308">
          <cell r="E308">
            <v>55355000</v>
          </cell>
        </row>
        <row r="309">
          <cell r="E309">
            <v>57136000</v>
          </cell>
        </row>
        <row r="310">
          <cell r="E310">
            <v>24760000</v>
          </cell>
        </row>
        <row r="311">
          <cell r="E311">
            <v>198040000</v>
          </cell>
        </row>
        <row r="313">
          <cell r="E313">
            <v>0</v>
          </cell>
        </row>
        <row r="314">
          <cell r="E314">
            <v>63698000</v>
          </cell>
        </row>
        <row r="315">
          <cell r="E315">
            <v>285233000</v>
          </cell>
        </row>
        <row r="316">
          <cell r="E316">
            <v>51783300</v>
          </cell>
        </row>
        <row r="317">
          <cell r="E317">
            <v>25741600</v>
          </cell>
        </row>
        <row r="318">
          <cell r="E318">
            <v>1100000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7">
          <cell r="E327">
            <v>1439364000</v>
          </cell>
        </row>
        <row r="328">
          <cell r="E328">
            <v>3123018400</v>
          </cell>
        </row>
        <row r="330">
          <cell r="E330">
            <v>0</v>
          </cell>
        </row>
        <row r="331">
          <cell r="E331">
            <v>1508491400</v>
          </cell>
        </row>
        <row r="332">
          <cell r="E332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5">
          <cell r="E345">
            <v>4625000</v>
          </cell>
        </row>
        <row r="348">
          <cell r="E348">
            <v>3688800000</v>
          </cell>
        </row>
        <row r="354">
          <cell r="E354">
            <v>1500000000</v>
          </cell>
        </row>
        <row r="356">
          <cell r="E356">
            <v>0</v>
          </cell>
        </row>
        <row r="357">
          <cell r="E357">
            <v>0</v>
          </cell>
        </row>
        <row r="366">
          <cell r="E366">
            <v>18448560000</v>
          </cell>
        </row>
        <row r="376">
          <cell r="E376">
            <v>100000000</v>
          </cell>
        </row>
        <row r="385">
          <cell r="E385">
            <v>0</v>
          </cell>
        </row>
        <row r="386">
          <cell r="E386">
            <v>0</v>
          </cell>
        </row>
        <row r="419">
          <cell r="E419">
            <v>150000000</v>
          </cell>
        </row>
        <row r="420">
          <cell r="E420">
            <v>100000000</v>
          </cell>
        </row>
        <row r="425">
          <cell r="E425">
            <v>0</v>
          </cell>
        </row>
        <row r="426">
          <cell r="E426">
            <v>7805834000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41">
          <cell r="E441">
            <v>0</v>
          </cell>
        </row>
        <row r="442">
          <cell r="E442">
            <v>0</v>
          </cell>
        </row>
        <row r="446">
          <cell r="E446">
            <v>259229500</v>
          </cell>
        </row>
        <row r="447">
          <cell r="E447">
            <v>374739500</v>
          </cell>
        </row>
        <row r="448">
          <cell r="E448">
            <v>271618000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46200000</v>
          </cell>
        </row>
        <row r="452">
          <cell r="E452">
            <v>88200000</v>
          </cell>
        </row>
        <row r="453">
          <cell r="E453">
            <v>24400000</v>
          </cell>
        </row>
        <row r="454">
          <cell r="E454">
            <v>0</v>
          </cell>
        </row>
        <row r="460">
          <cell r="E460">
            <v>0</v>
          </cell>
        </row>
        <row r="461">
          <cell r="E461">
            <v>0</v>
          </cell>
        </row>
        <row r="467">
          <cell r="E467">
            <v>0</v>
          </cell>
        </row>
        <row r="468">
          <cell r="E468">
            <v>0</v>
          </cell>
        </row>
        <row r="474">
          <cell r="E474">
            <v>10000000</v>
          </cell>
        </row>
        <row r="479">
          <cell r="E479">
            <v>0</v>
          </cell>
        </row>
        <row r="481">
          <cell r="E481">
            <v>0</v>
          </cell>
        </row>
        <row r="486">
          <cell r="E486">
            <v>40000000</v>
          </cell>
        </row>
        <row r="487">
          <cell r="E487">
            <v>23000000</v>
          </cell>
        </row>
        <row r="488">
          <cell r="E488">
            <v>722500000</v>
          </cell>
        </row>
        <row r="489">
          <cell r="E489">
            <v>0</v>
          </cell>
        </row>
        <row r="493">
          <cell r="E493">
            <v>75000000</v>
          </cell>
        </row>
        <row r="494">
          <cell r="E494">
            <v>19000000</v>
          </cell>
        </row>
        <row r="495">
          <cell r="E495">
            <v>125000000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521">
          <cell r="E521">
            <v>0</v>
          </cell>
        </row>
        <row r="524">
          <cell r="E524">
            <v>0</v>
          </cell>
        </row>
        <row r="532">
          <cell r="E532">
            <v>328430000</v>
          </cell>
        </row>
        <row r="533">
          <cell r="E533">
            <v>15000000</v>
          </cell>
        </row>
        <row r="534">
          <cell r="E534">
            <v>50000000</v>
          </cell>
        </row>
        <row r="535">
          <cell r="E535">
            <v>40250000</v>
          </cell>
        </row>
        <row r="536">
          <cell r="E536">
            <v>25000000</v>
          </cell>
        </row>
        <row r="537">
          <cell r="E537">
            <v>0</v>
          </cell>
        </row>
        <row r="538">
          <cell r="E538">
            <v>60000000</v>
          </cell>
        </row>
        <row r="539">
          <cell r="E539">
            <v>0</v>
          </cell>
        </row>
        <row r="540">
          <cell r="E540">
            <v>0</v>
          </cell>
        </row>
        <row r="543">
          <cell r="E543">
            <v>190000000</v>
          </cell>
        </row>
        <row r="544">
          <cell r="E544">
            <v>160000000</v>
          </cell>
        </row>
        <row r="545">
          <cell r="E545">
            <v>90000000</v>
          </cell>
        </row>
        <row r="546">
          <cell r="E546">
            <v>335000000</v>
          </cell>
        </row>
        <row r="547">
          <cell r="E547">
            <v>15000000</v>
          </cell>
        </row>
        <row r="548">
          <cell r="E548">
            <v>30000000</v>
          </cell>
        </row>
        <row r="549">
          <cell r="E549">
            <v>0</v>
          </cell>
        </row>
        <row r="550">
          <cell r="E550">
            <v>0</v>
          </cell>
        </row>
        <row r="553">
          <cell r="E553">
            <v>0</v>
          </cell>
        </row>
        <row r="557">
          <cell r="E557">
            <v>0</v>
          </cell>
        </row>
        <row r="563">
          <cell r="E563">
            <v>240000000</v>
          </cell>
        </row>
        <row r="568">
          <cell r="E568">
            <v>0</v>
          </cell>
        </row>
        <row r="569">
          <cell r="E569">
            <v>0</v>
          </cell>
        </row>
        <row r="577">
          <cell r="E577">
            <v>0</v>
          </cell>
        </row>
        <row r="583">
          <cell r="E583">
            <v>0</v>
          </cell>
        </row>
        <row r="585">
          <cell r="E585">
            <v>0</v>
          </cell>
        </row>
        <row r="591">
          <cell r="E591">
            <v>200000000</v>
          </cell>
        </row>
        <row r="596">
          <cell r="E596">
            <v>0</v>
          </cell>
        </row>
        <row r="602">
          <cell r="E602">
            <v>0</v>
          </cell>
        </row>
        <row r="604">
          <cell r="E604">
            <v>0</v>
          </cell>
        </row>
        <row r="605">
          <cell r="E605">
            <v>0</v>
          </cell>
        </row>
        <row r="612">
          <cell r="E612">
            <v>0</v>
          </cell>
        </row>
        <row r="620">
          <cell r="E620">
            <v>0</v>
          </cell>
        </row>
      </sheetData>
      <sheetData sheetId="4">
        <row r="19">
          <cell r="E19">
            <v>0</v>
          </cell>
        </row>
        <row r="21">
          <cell r="E21">
            <v>0</v>
          </cell>
        </row>
        <row r="27">
          <cell r="E27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6">
          <cell r="E36">
            <v>1100000000</v>
          </cell>
        </row>
        <row r="39">
          <cell r="E39">
            <v>0</v>
          </cell>
        </row>
        <row r="44">
          <cell r="E44">
            <v>200000000</v>
          </cell>
        </row>
        <row r="47">
          <cell r="E47">
            <v>0</v>
          </cell>
        </row>
        <row r="48">
          <cell r="E48">
            <v>0</v>
          </cell>
        </row>
        <row r="52">
          <cell r="E52">
            <v>13500000000</v>
          </cell>
        </row>
        <row r="55">
          <cell r="E55">
            <v>0</v>
          </cell>
        </row>
        <row r="56">
          <cell r="E56">
            <v>0</v>
          </cell>
        </row>
        <row r="63">
          <cell r="E63">
            <v>0</v>
          </cell>
        </row>
        <row r="64">
          <cell r="E64">
            <v>0</v>
          </cell>
        </row>
        <row r="68">
          <cell r="E68">
            <v>2197286650</v>
          </cell>
        </row>
        <row r="73">
          <cell r="E73">
            <v>4000000000</v>
          </cell>
        </row>
        <row r="76">
          <cell r="E76">
            <v>0</v>
          </cell>
        </row>
        <row r="77">
          <cell r="E77">
            <v>0</v>
          </cell>
        </row>
        <row r="81">
          <cell r="E81">
            <v>100000000000</v>
          </cell>
        </row>
        <row r="82">
          <cell r="E82">
            <v>0</v>
          </cell>
        </row>
        <row r="87">
          <cell r="E87">
            <v>14000000000</v>
          </cell>
        </row>
        <row r="88">
          <cell r="E88">
            <v>0</v>
          </cell>
        </row>
        <row r="89">
          <cell r="E89">
            <v>0</v>
          </cell>
        </row>
        <row r="93">
          <cell r="E93">
            <v>19250000</v>
          </cell>
        </row>
        <row r="96">
          <cell r="E96">
            <v>216750000</v>
          </cell>
        </row>
        <row r="97">
          <cell r="E97">
            <v>250000000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06">
          <cell r="E106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6">
          <cell r="E116">
            <v>103889500</v>
          </cell>
        </row>
        <row r="117">
          <cell r="E117">
            <v>90000000</v>
          </cell>
        </row>
        <row r="120">
          <cell r="E120">
            <v>18000000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0</v>
          </cell>
        </row>
        <row r="129">
          <cell r="E129">
            <v>0</v>
          </cell>
        </row>
        <row r="130">
          <cell r="E130">
            <v>0</v>
          </cell>
        </row>
        <row r="134">
          <cell r="E134">
            <v>0</v>
          </cell>
        </row>
        <row r="135">
          <cell r="E135">
            <v>1100000</v>
          </cell>
        </row>
        <row r="139">
          <cell r="E139">
            <v>2000000</v>
          </cell>
        </row>
        <row r="142">
          <cell r="E142">
            <v>0</v>
          </cell>
        </row>
        <row r="144">
          <cell r="E144">
            <v>51419400</v>
          </cell>
        </row>
        <row r="148">
          <cell r="E148">
            <v>1455000000</v>
          </cell>
        </row>
        <row r="152">
          <cell r="E152">
            <v>0</v>
          </cell>
        </row>
        <row r="155">
          <cell r="E155">
            <v>75000000</v>
          </cell>
        </row>
        <row r="158">
          <cell r="E158">
            <v>0</v>
          </cell>
        </row>
        <row r="159">
          <cell r="E159">
            <v>55355000</v>
          </cell>
        </row>
        <row r="160">
          <cell r="E160">
            <v>57136000</v>
          </cell>
        </row>
        <row r="161">
          <cell r="E161">
            <v>24760000</v>
          </cell>
        </row>
        <row r="162">
          <cell r="E162">
            <v>198040000</v>
          </cell>
        </row>
        <row r="167">
          <cell r="E167">
            <v>152500000</v>
          </cell>
        </row>
        <row r="170">
          <cell r="E170">
            <v>348625000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63698000</v>
          </cell>
        </row>
        <row r="176">
          <cell r="E176">
            <v>0</v>
          </cell>
        </row>
        <row r="177">
          <cell r="E177">
            <v>285233000</v>
          </cell>
        </row>
        <row r="178">
          <cell r="E178">
            <v>51783300</v>
          </cell>
        </row>
        <row r="183">
          <cell r="E183">
            <v>16500000</v>
          </cell>
        </row>
        <row r="184">
          <cell r="E184">
            <v>40000000</v>
          </cell>
        </row>
        <row r="187">
          <cell r="E187">
            <v>3500000</v>
          </cell>
        </row>
        <row r="191">
          <cell r="E191">
            <v>0</v>
          </cell>
        </row>
        <row r="197">
          <cell r="E197">
            <v>25741600</v>
          </cell>
        </row>
        <row r="201">
          <cell r="E201">
            <v>0</v>
          </cell>
        </row>
        <row r="202">
          <cell r="E202">
            <v>0</v>
          </cell>
        </row>
        <row r="214">
          <cell r="E214">
            <v>30000000</v>
          </cell>
        </row>
        <row r="215">
          <cell r="E215">
            <v>26250000</v>
          </cell>
        </row>
        <row r="216">
          <cell r="E216">
            <v>75000000</v>
          </cell>
        </row>
        <row r="288">
          <cell r="E288">
            <v>0</v>
          </cell>
        </row>
        <row r="290">
          <cell r="E290">
            <v>0</v>
          </cell>
        </row>
        <row r="301">
          <cell r="E301">
            <v>1043101100</v>
          </cell>
        </row>
        <row r="302">
          <cell r="E302">
            <v>532280400</v>
          </cell>
        </row>
        <row r="303">
          <cell r="E303">
            <v>500000000</v>
          </cell>
        </row>
        <row r="305">
          <cell r="E305">
            <v>35000000</v>
          </cell>
        </row>
        <row r="306">
          <cell r="E306">
            <v>28000000</v>
          </cell>
        </row>
        <row r="307">
          <cell r="E307">
            <v>17250000</v>
          </cell>
        </row>
        <row r="308">
          <cell r="E308">
            <v>30000000</v>
          </cell>
        </row>
        <row r="309">
          <cell r="E309">
            <v>50000000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8">
          <cell r="E318">
            <v>59958450102</v>
          </cell>
        </row>
        <row r="319">
          <cell r="E319">
            <v>11374571865</v>
          </cell>
        </row>
        <row r="320">
          <cell r="E320">
            <v>1000000000</v>
          </cell>
        </row>
        <row r="321">
          <cell r="E321">
            <v>85406400000</v>
          </cell>
        </row>
        <row r="322">
          <cell r="E322">
            <v>0</v>
          </cell>
        </row>
        <row r="323">
          <cell r="E323">
            <v>136702012</v>
          </cell>
        </row>
        <row r="324">
          <cell r="E324">
            <v>88761211</v>
          </cell>
        </row>
        <row r="328">
          <cell r="E328">
            <v>0</v>
          </cell>
        </row>
        <row r="329">
          <cell r="E329">
            <v>50000000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200000000</v>
          </cell>
        </row>
        <row r="335">
          <cell r="E335">
            <v>4500000000</v>
          </cell>
        </row>
        <row r="336">
          <cell r="E336">
            <v>0</v>
          </cell>
        </row>
        <row r="339">
          <cell r="E339">
            <v>6875000000</v>
          </cell>
        </row>
        <row r="342">
          <cell r="E342">
            <v>1190211975</v>
          </cell>
        </row>
        <row r="343">
          <cell r="E343">
            <v>15000000</v>
          </cell>
        </row>
        <row r="346">
          <cell r="E346">
            <v>217536159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3000000000</v>
          </cell>
        </row>
        <row r="360">
          <cell r="E360">
            <v>65944925050</v>
          </cell>
        </row>
        <row r="366">
          <cell r="E366">
            <v>0</v>
          </cell>
        </row>
        <row r="369">
          <cell r="E369">
            <v>0</v>
          </cell>
        </row>
        <row r="371">
          <cell r="E371">
            <v>13170000</v>
          </cell>
        </row>
        <row r="372">
          <cell r="E372">
            <v>64064295</v>
          </cell>
        </row>
        <row r="375">
          <cell r="E375">
            <v>0</v>
          </cell>
        </row>
        <row r="376">
          <cell r="E376">
            <v>3688800000</v>
          </cell>
        </row>
        <row r="377">
          <cell r="E377">
            <v>3291945800</v>
          </cell>
        </row>
        <row r="379">
          <cell r="E379">
            <v>0</v>
          </cell>
        </row>
        <row r="383">
          <cell r="E383">
            <v>1500000000</v>
          </cell>
        </row>
        <row r="386">
          <cell r="E386">
            <v>0</v>
          </cell>
        </row>
        <row r="387">
          <cell r="E387">
            <v>0</v>
          </cell>
        </row>
        <row r="395">
          <cell r="E395">
            <v>18448560000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5">
          <cell r="E405">
            <v>100000000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31">
          <cell r="E431">
            <v>1439364000</v>
          </cell>
        </row>
        <row r="434">
          <cell r="E434">
            <v>722763972</v>
          </cell>
        </row>
        <row r="435">
          <cell r="E435">
            <v>503240012</v>
          </cell>
        </row>
        <row r="436">
          <cell r="E436">
            <v>610938973</v>
          </cell>
        </row>
        <row r="437">
          <cell r="E437">
            <v>308961000</v>
          </cell>
        </row>
        <row r="438">
          <cell r="E438">
            <v>221200000</v>
          </cell>
        </row>
        <row r="439">
          <cell r="E439">
            <v>91660431</v>
          </cell>
        </row>
        <row r="440">
          <cell r="E440">
            <v>588729012</v>
          </cell>
        </row>
        <row r="441">
          <cell r="E441">
            <v>75525000</v>
          </cell>
        </row>
        <row r="442">
          <cell r="E442">
            <v>0</v>
          </cell>
        </row>
        <row r="444">
          <cell r="E444">
            <v>0</v>
          </cell>
        </row>
        <row r="448">
          <cell r="E448">
            <v>150000000</v>
          </cell>
        </row>
        <row r="449">
          <cell r="E449">
            <v>100000000</v>
          </cell>
        </row>
        <row r="454">
          <cell r="E454">
            <v>0</v>
          </cell>
        </row>
        <row r="455">
          <cell r="E455">
            <v>7805834000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9">
          <cell r="E469">
            <v>0</v>
          </cell>
        </row>
        <row r="470">
          <cell r="E470">
            <v>4625000</v>
          </cell>
        </row>
        <row r="471">
          <cell r="E471">
            <v>0</v>
          </cell>
        </row>
        <row r="475">
          <cell r="E475">
            <v>259229500</v>
          </cell>
        </row>
        <row r="476">
          <cell r="E476">
            <v>374739500</v>
          </cell>
        </row>
        <row r="477">
          <cell r="E477">
            <v>271618000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46200000</v>
          </cell>
        </row>
        <row r="481">
          <cell r="E481">
            <v>88200000</v>
          </cell>
        </row>
        <row r="482">
          <cell r="E482">
            <v>24400000</v>
          </cell>
        </row>
        <row r="483">
          <cell r="E483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6">
          <cell r="E496">
            <v>0</v>
          </cell>
        </row>
        <row r="497">
          <cell r="E497">
            <v>0</v>
          </cell>
        </row>
        <row r="503">
          <cell r="E503">
            <v>10000000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1508491400</v>
          </cell>
        </row>
        <row r="515">
          <cell r="E515">
            <v>40000000</v>
          </cell>
        </row>
        <row r="516">
          <cell r="E516">
            <v>23000000</v>
          </cell>
        </row>
        <row r="517">
          <cell r="E517">
            <v>722500000</v>
          </cell>
        </row>
        <row r="518">
          <cell r="E518">
            <v>0</v>
          </cell>
        </row>
        <row r="521">
          <cell r="E521">
            <v>0</v>
          </cell>
        </row>
        <row r="522">
          <cell r="E522">
            <v>75000000</v>
          </cell>
        </row>
        <row r="523">
          <cell r="E523">
            <v>19000000</v>
          </cell>
        </row>
        <row r="524">
          <cell r="E524">
            <v>125000000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32">
          <cell r="E532">
            <v>0</v>
          </cell>
        </row>
        <row r="533">
          <cell r="E533">
            <v>0</v>
          </cell>
        </row>
        <row r="537">
          <cell r="E537">
            <v>0</v>
          </cell>
        </row>
        <row r="538">
          <cell r="E538">
            <v>0</v>
          </cell>
        </row>
        <row r="540">
          <cell r="E540">
            <v>0</v>
          </cell>
        </row>
        <row r="541">
          <cell r="E541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3">
          <cell r="E553">
            <v>0</v>
          </cell>
        </row>
        <row r="561">
          <cell r="E561">
            <v>328430000</v>
          </cell>
        </row>
        <row r="562">
          <cell r="E562">
            <v>15000000</v>
          </cell>
        </row>
        <row r="563">
          <cell r="E563">
            <v>50000000</v>
          </cell>
        </row>
        <row r="564">
          <cell r="E564">
            <v>40250000</v>
          </cell>
        </row>
        <row r="565">
          <cell r="E565">
            <v>25000000</v>
          </cell>
        </row>
        <row r="566">
          <cell r="E566">
            <v>0</v>
          </cell>
        </row>
        <row r="567">
          <cell r="E567">
            <v>60000000</v>
          </cell>
        </row>
        <row r="568">
          <cell r="E568">
            <v>0</v>
          </cell>
        </row>
        <row r="569">
          <cell r="E569">
            <v>0</v>
          </cell>
        </row>
        <row r="572">
          <cell r="E572">
            <v>190000000</v>
          </cell>
        </row>
        <row r="573">
          <cell r="E573">
            <v>160000000</v>
          </cell>
        </row>
        <row r="574">
          <cell r="E574">
            <v>90000000</v>
          </cell>
        </row>
        <row r="576">
          <cell r="E576">
            <v>15000000</v>
          </cell>
        </row>
        <row r="577">
          <cell r="E577">
            <v>30000000</v>
          </cell>
        </row>
        <row r="578">
          <cell r="E578">
            <v>335000000</v>
          </cell>
        </row>
        <row r="579">
          <cell r="E579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92">
          <cell r="E592">
            <v>240000000</v>
          </cell>
        </row>
        <row r="597">
          <cell r="E597">
            <v>0</v>
          </cell>
        </row>
        <row r="598">
          <cell r="E598">
            <v>0</v>
          </cell>
        </row>
        <row r="606">
          <cell r="E606">
            <v>0</v>
          </cell>
        </row>
        <row r="607">
          <cell r="E607">
            <v>0</v>
          </cell>
        </row>
        <row r="614">
          <cell r="E614">
            <v>0</v>
          </cell>
        </row>
        <row r="615">
          <cell r="E615">
            <v>0</v>
          </cell>
        </row>
        <row r="620">
          <cell r="E620">
            <v>200000000</v>
          </cell>
        </row>
        <row r="625">
          <cell r="E625">
            <v>0</v>
          </cell>
        </row>
        <row r="626">
          <cell r="E626">
            <v>0</v>
          </cell>
        </row>
        <row r="631">
          <cell r="E631">
            <v>0</v>
          </cell>
        </row>
        <row r="633">
          <cell r="E633">
            <v>0</v>
          </cell>
        </row>
        <row r="634">
          <cell r="E634">
            <v>0</v>
          </cell>
        </row>
        <row r="641">
          <cell r="E641">
            <v>0</v>
          </cell>
        </row>
        <row r="642">
          <cell r="E642">
            <v>0</v>
          </cell>
        </row>
        <row r="649">
          <cell r="E649">
            <v>0</v>
          </cell>
        </row>
        <row r="650">
          <cell r="E650">
            <v>0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NCIAN JENIS RETRIBUSI"/>
      <sheetName val="PERDINAS VERSI LAMA"/>
      <sheetName val="PerDinas"/>
      <sheetName val="Komponen"/>
      <sheetName val="PerDinas PEBRUARI"/>
      <sheetName val="PerDinas (2)"/>
      <sheetName val="Penjelasan"/>
      <sheetName val="ESTIMASI 2015"/>
      <sheetName val="REKAP MINGGUAN"/>
      <sheetName val="Rekaf"/>
      <sheetName val="GRAFIK"/>
      <sheetName val="ESTIMASI 2016"/>
      <sheetName val="Komponen SIMDA"/>
      <sheetName val="Penjelasan SIMDA"/>
      <sheetName val="Rekaf SIMDA"/>
      <sheetName val="COVER (2)"/>
      <sheetName val="COVER"/>
    </sheetNames>
    <sheetDataSet>
      <sheetData sheetId="0"/>
      <sheetData sheetId="1">
        <row r="119">
          <cell r="N119">
            <v>30800000</v>
          </cell>
        </row>
        <row r="308">
          <cell r="N308">
            <v>0</v>
          </cell>
        </row>
        <row r="885">
          <cell r="N885">
            <v>32350000</v>
          </cell>
        </row>
        <row r="899">
          <cell r="N899">
            <v>25029198</v>
          </cell>
        </row>
        <row r="936">
          <cell r="N936">
            <v>15104597</v>
          </cell>
        </row>
      </sheetData>
      <sheetData sheetId="2">
        <row r="21">
          <cell r="N21">
            <v>66678400</v>
          </cell>
        </row>
        <row r="22">
          <cell r="N22">
            <v>33818192</v>
          </cell>
        </row>
        <row r="26">
          <cell r="N26">
            <v>18748800</v>
          </cell>
        </row>
        <row r="29">
          <cell r="N29">
            <v>0</v>
          </cell>
        </row>
        <row r="30">
          <cell r="N30">
            <v>45339475</v>
          </cell>
        </row>
        <row r="46">
          <cell r="N46">
            <v>0</v>
          </cell>
        </row>
        <row r="50">
          <cell r="N50">
            <v>0</v>
          </cell>
        </row>
        <row r="52">
          <cell r="N52">
            <v>3000000</v>
          </cell>
        </row>
        <row r="53">
          <cell r="N53">
            <v>0</v>
          </cell>
        </row>
        <row r="54">
          <cell r="N54">
            <v>2629000</v>
          </cell>
        </row>
        <row r="56">
          <cell r="N56">
            <v>0</v>
          </cell>
        </row>
        <row r="63">
          <cell r="N63">
            <v>1193820500</v>
          </cell>
        </row>
        <row r="70">
          <cell r="N70">
            <v>0</v>
          </cell>
        </row>
        <row r="73">
          <cell r="N73">
            <v>0</v>
          </cell>
        </row>
        <row r="80">
          <cell r="N80">
            <v>268434500</v>
          </cell>
        </row>
        <row r="86">
          <cell r="N86">
            <v>380300</v>
          </cell>
        </row>
        <row r="90">
          <cell r="N90">
            <v>2183500</v>
          </cell>
        </row>
        <row r="96">
          <cell r="N96">
            <v>9879544900</v>
          </cell>
        </row>
        <row r="99">
          <cell r="N99">
            <v>19410100</v>
          </cell>
        </row>
        <row r="102">
          <cell r="N102">
            <v>5682000</v>
          </cell>
        </row>
        <row r="106">
          <cell r="N106">
            <v>1850843300</v>
          </cell>
        </row>
        <row r="107">
          <cell r="N107">
            <v>0</v>
          </cell>
        </row>
        <row r="115">
          <cell r="N115">
            <v>112475000</v>
          </cell>
        </row>
        <row r="121">
          <cell r="N121">
            <v>1282500</v>
          </cell>
        </row>
        <row r="124">
          <cell r="N124">
            <v>0</v>
          </cell>
        </row>
        <row r="130">
          <cell r="N130">
            <v>1770995732</v>
          </cell>
        </row>
        <row r="135">
          <cell r="N135">
            <v>26522000</v>
          </cell>
        </row>
        <row r="138">
          <cell r="N138">
            <v>0</v>
          </cell>
        </row>
        <row r="145">
          <cell r="N145">
            <v>4106650000</v>
          </cell>
        </row>
        <row r="149">
          <cell r="N149">
            <v>0</v>
          </cell>
        </row>
        <row r="154">
          <cell r="N154">
            <v>0</v>
          </cell>
        </row>
        <row r="163">
          <cell r="N163">
            <v>105926445633.36</v>
          </cell>
        </row>
        <row r="166">
          <cell r="N166">
            <v>178187151</v>
          </cell>
        </row>
        <row r="167">
          <cell r="N167">
            <v>0</v>
          </cell>
        </row>
        <row r="168">
          <cell r="N168">
            <v>0</v>
          </cell>
        </row>
        <row r="172">
          <cell r="N172">
            <v>0</v>
          </cell>
        </row>
        <row r="179">
          <cell r="N179">
            <v>3882000</v>
          </cell>
        </row>
        <row r="182">
          <cell r="N182">
            <v>0</v>
          </cell>
        </row>
        <row r="185">
          <cell r="N185">
            <v>11884938301</v>
          </cell>
        </row>
        <row r="188">
          <cell r="N188">
            <v>0</v>
          </cell>
        </row>
        <row r="196">
          <cell r="N196">
            <v>0</v>
          </cell>
        </row>
        <row r="200">
          <cell r="N200">
            <v>64766000</v>
          </cell>
        </row>
        <row r="201">
          <cell r="N201">
            <v>278879600</v>
          </cell>
        </row>
        <row r="205">
          <cell r="N205">
            <v>187115021.74000001</v>
          </cell>
        </row>
        <row r="208">
          <cell r="N208">
            <v>0</v>
          </cell>
        </row>
        <row r="209">
          <cell r="N209">
            <v>0</v>
          </cell>
        </row>
        <row r="210">
          <cell r="N210">
            <v>530331685.51999998</v>
          </cell>
        </row>
        <row r="213">
          <cell r="N213">
            <v>0</v>
          </cell>
        </row>
        <row r="220">
          <cell r="N220">
            <v>0</v>
          </cell>
        </row>
        <row r="224">
          <cell r="N224">
            <v>0</v>
          </cell>
        </row>
        <row r="229">
          <cell r="N229">
            <v>1427500</v>
          </cell>
        </row>
        <row r="240">
          <cell r="N240">
            <v>73925000</v>
          </cell>
        </row>
        <row r="241">
          <cell r="N241">
            <v>0</v>
          </cell>
        </row>
        <row r="245">
          <cell r="N245">
            <v>0</v>
          </cell>
        </row>
        <row r="249">
          <cell r="N249">
            <v>0</v>
          </cell>
        </row>
        <row r="254">
          <cell r="N254">
            <v>6800000</v>
          </cell>
        </row>
        <row r="259">
          <cell r="N259">
            <v>0</v>
          </cell>
        </row>
        <row r="267">
          <cell r="N267">
            <v>55355700</v>
          </cell>
        </row>
        <row r="271">
          <cell r="N271">
            <v>0</v>
          </cell>
        </row>
        <row r="282">
          <cell r="N282">
            <v>0</v>
          </cell>
        </row>
        <row r="296">
          <cell r="N296">
            <v>0</v>
          </cell>
        </row>
        <row r="302">
          <cell r="N302">
            <v>28261946.960000001</v>
          </cell>
        </row>
        <row r="316">
          <cell r="N316">
            <v>1526019600</v>
          </cell>
        </row>
        <row r="320">
          <cell r="N320">
            <v>3435600</v>
          </cell>
        </row>
        <row r="323">
          <cell r="N323">
            <v>78450000</v>
          </cell>
        </row>
        <row r="328">
          <cell r="N328">
            <v>0</v>
          </cell>
        </row>
        <row r="329">
          <cell r="N329">
            <v>51736316.75</v>
          </cell>
        </row>
        <row r="337">
          <cell r="N337">
            <v>30528770</v>
          </cell>
        </row>
        <row r="345">
          <cell r="N345">
            <v>36800000</v>
          </cell>
        </row>
        <row r="348">
          <cell r="N348">
            <v>429000000</v>
          </cell>
        </row>
        <row r="354">
          <cell r="N354">
            <v>28879400</v>
          </cell>
        </row>
        <row r="355">
          <cell r="N355">
            <v>0</v>
          </cell>
        </row>
        <row r="371">
          <cell r="N371">
            <v>1000000</v>
          </cell>
        </row>
        <row r="372">
          <cell r="N372">
            <v>36040000</v>
          </cell>
        </row>
        <row r="375">
          <cell r="N375">
            <v>0</v>
          </cell>
        </row>
        <row r="381">
          <cell r="N381">
            <v>0</v>
          </cell>
        </row>
        <row r="383">
          <cell r="N383">
            <v>0</v>
          </cell>
        </row>
        <row r="384">
          <cell r="N384">
            <v>0</v>
          </cell>
        </row>
        <row r="387">
          <cell r="N387">
            <v>0</v>
          </cell>
        </row>
        <row r="388">
          <cell r="N388">
            <v>0</v>
          </cell>
        </row>
        <row r="398">
          <cell r="N398">
            <v>3240000</v>
          </cell>
        </row>
        <row r="401">
          <cell r="N401">
            <v>0</v>
          </cell>
        </row>
        <row r="413">
          <cell r="N413">
            <v>22100000</v>
          </cell>
        </row>
        <row r="414">
          <cell r="N414">
            <v>13650000</v>
          </cell>
        </row>
        <row r="415">
          <cell r="N415">
            <v>7475000</v>
          </cell>
        </row>
        <row r="418">
          <cell r="N418">
            <v>0</v>
          </cell>
        </row>
        <row r="419">
          <cell r="N419">
            <v>0</v>
          </cell>
        </row>
        <row r="421">
          <cell r="N421">
            <v>42508197</v>
          </cell>
        </row>
        <row r="491">
          <cell r="N491">
            <v>0</v>
          </cell>
        </row>
        <row r="494">
          <cell r="N494">
            <v>180658397</v>
          </cell>
        </row>
        <row r="508">
          <cell r="N508">
            <v>702699711</v>
          </cell>
        </row>
        <row r="509">
          <cell r="N509">
            <v>107541073</v>
          </cell>
        </row>
        <row r="510">
          <cell r="N510">
            <v>942386153</v>
          </cell>
        </row>
        <row r="512">
          <cell r="N512">
            <v>0</v>
          </cell>
        </row>
        <row r="513">
          <cell r="N513">
            <v>0</v>
          </cell>
        </row>
        <row r="514">
          <cell r="N514">
            <v>0</v>
          </cell>
        </row>
        <row r="515">
          <cell r="N515">
            <v>0</v>
          </cell>
        </row>
        <row r="516">
          <cell r="N516">
            <v>0</v>
          </cell>
        </row>
        <row r="517">
          <cell r="N517">
            <v>27735345</v>
          </cell>
        </row>
        <row r="518">
          <cell r="N518">
            <v>0</v>
          </cell>
        </row>
        <row r="519">
          <cell r="N519">
            <v>0</v>
          </cell>
        </row>
        <row r="520">
          <cell r="N520">
            <v>0</v>
          </cell>
        </row>
        <row r="525">
          <cell r="N525">
            <v>59958510102</v>
          </cell>
        </row>
        <row r="526">
          <cell r="N526">
            <v>11631764969</v>
          </cell>
        </row>
        <row r="527">
          <cell r="N527">
            <v>1000000000</v>
          </cell>
        </row>
        <row r="528">
          <cell r="N528">
            <v>0</v>
          </cell>
        </row>
        <row r="529">
          <cell r="N529">
            <v>0</v>
          </cell>
        </row>
        <row r="530">
          <cell r="N530">
            <v>136702012</v>
          </cell>
        </row>
        <row r="531">
          <cell r="N531">
            <v>100634661</v>
          </cell>
        </row>
        <row r="535">
          <cell r="N535">
            <v>0</v>
          </cell>
        </row>
        <row r="536">
          <cell r="N536">
            <v>0</v>
          </cell>
        </row>
        <row r="537">
          <cell r="N537">
            <v>0</v>
          </cell>
        </row>
        <row r="538">
          <cell r="N538">
            <v>0</v>
          </cell>
        </row>
        <row r="539">
          <cell r="N539">
            <v>25364000</v>
          </cell>
        </row>
        <row r="542">
          <cell r="N542">
            <v>11808261926.33</v>
          </cell>
        </row>
        <row r="543">
          <cell r="N543">
            <v>215866488</v>
          </cell>
        </row>
        <row r="546">
          <cell r="N546">
            <v>8125000000</v>
          </cell>
        </row>
        <row r="549">
          <cell r="N549">
            <v>335768064.23000002</v>
          </cell>
        </row>
        <row r="550">
          <cell r="N550">
            <v>12251000</v>
          </cell>
        </row>
        <row r="553">
          <cell r="N553">
            <v>9850310</v>
          </cell>
        </row>
        <row r="554">
          <cell r="N554">
            <v>0</v>
          </cell>
        </row>
        <row r="556">
          <cell r="N556">
            <v>0</v>
          </cell>
        </row>
        <row r="557">
          <cell r="N557">
            <v>0</v>
          </cell>
        </row>
        <row r="558">
          <cell r="N558">
            <v>0</v>
          </cell>
        </row>
        <row r="559">
          <cell r="N559">
            <v>0</v>
          </cell>
        </row>
        <row r="560">
          <cell r="N560">
            <v>0</v>
          </cell>
        </row>
        <row r="561">
          <cell r="N561">
            <v>0</v>
          </cell>
        </row>
        <row r="564">
          <cell r="N564">
            <v>0</v>
          </cell>
        </row>
        <row r="565">
          <cell r="N565">
            <v>0</v>
          </cell>
        </row>
        <row r="566">
          <cell r="N566">
            <v>115306402.84</v>
          </cell>
        </row>
        <row r="567">
          <cell r="N567">
            <v>1171936350</v>
          </cell>
        </row>
        <row r="570">
          <cell r="N570">
            <v>0</v>
          </cell>
        </row>
        <row r="573">
          <cell r="N573">
            <v>0</v>
          </cell>
        </row>
        <row r="575">
          <cell r="N575">
            <v>0</v>
          </cell>
        </row>
        <row r="576">
          <cell r="N576">
            <v>0</v>
          </cell>
        </row>
        <row r="580">
          <cell r="N580">
            <v>13894000</v>
          </cell>
        </row>
        <row r="581">
          <cell r="N581">
            <v>0</v>
          </cell>
        </row>
        <row r="582">
          <cell r="N582">
            <v>0</v>
          </cell>
        </row>
        <row r="583">
          <cell r="N583">
            <v>0</v>
          </cell>
        </row>
        <row r="584">
          <cell r="N584">
            <v>101300000</v>
          </cell>
        </row>
        <row r="585">
          <cell r="N585">
            <v>3588000</v>
          </cell>
        </row>
        <row r="586">
          <cell r="N586">
            <v>17097000</v>
          </cell>
        </row>
        <row r="587">
          <cell r="N587">
            <v>762280485</v>
          </cell>
        </row>
        <row r="589">
          <cell r="N589">
            <v>0</v>
          </cell>
        </row>
        <row r="591">
          <cell r="N591">
            <v>548830</v>
          </cell>
        </row>
        <row r="592">
          <cell r="N592">
            <v>0</v>
          </cell>
        </row>
        <row r="593">
          <cell r="N593">
            <v>9600000</v>
          </cell>
        </row>
        <row r="594">
          <cell r="N594">
            <v>28416000</v>
          </cell>
        </row>
        <row r="596">
          <cell r="N596">
            <v>0</v>
          </cell>
        </row>
        <row r="597">
          <cell r="N597">
            <v>18162400</v>
          </cell>
        </row>
        <row r="598">
          <cell r="N598">
            <v>26667350</v>
          </cell>
        </row>
        <row r="599">
          <cell r="N599">
            <v>63372300</v>
          </cell>
        </row>
        <row r="600">
          <cell r="N600">
            <v>2410507</v>
          </cell>
        </row>
        <row r="601">
          <cell r="N601">
            <v>322000</v>
          </cell>
        </row>
        <row r="603">
          <cell r="N603">
            <v>0</v>
          </cell>
        </row>
        <row r="604">
          <cell r="N604">
            <v>0</v>
          </cell>
        </row>
        <row r="606">
          <cell r="N606">
            <v>0</v>
          </cell>
        </row>
        <row r="607">
          <cell r="N607">
            <v>0</v>
          </cell>
        </row>
        <row r="608">
          <cell r="N608">
            <v>2839900</v>
          </cell>
        </row>
        <row r="610">
          <cell r="N610">
            <v>1442100000</v>
          </cell>
        </row>
        <row r="612">
          <cell r="N612">
            <v>626200000</v>
          </cell>
        </row>
        <row r="613">
          <cell r="N613">
            <v>449525000</v>
          </cell>
        </row>
        <row r="614">
          <cell r="N614">
            <v>572925000</v>
          </cell>
        </row>
        <row r="615">
          <cell r="N615">
            <v>240800000</v>
          </cell>
        </row>
        <row r="616">
          <cell r="N616">
            <v>208150000</v>
          </cell>
        </row>
        <row r="617">
          <cell r="N617">
            <v>87100000</v>
          </cell>
        </row>
        <row r="618">
          <cell r="N618">
            <v>558150000</v>
          </cell>
        </row>
        <row r="619">
          <cell r="N619">
            <v>93895000</v>
          </cell>
        </row>
        <row r="620">
          <cell r="N620">
            <v>0</v>
          </cell>
        </row>
        <row r="621">
          <cell r="N621">
            <v>0</v>
          </cell>
        </row>
        <row r="622">
          <cell r="N622">
            <v>889503495</v>
          </cell>
        </row>
        <row r="623">
          <cell r="N623">
            <v>37289625</v>
          </cell>
        </row>
        <row r="624">
          <cell r="N624">
            <v>34638850</v>
          </cell>
        </row>
        <row r="626">
          <cell r="N626">
            <v>1250000</v>
          </cell>
        </row>
        <row r="627">
          <cell r="N627">
            <v>0</v>
          </cell>
        </row>
        <row r="628">
          <cell r="N628">
            <v>2837968</v>
          </cell>
        </row>
        <row r="629">
          <cell r="N629">
            <v>32700000</v>
          </cell>
        </row>
        <row r="630">
          <cell r="N630">
            <v>230</v>
          </cell>
        </row>
        <row r="631">
          <cell r="N631">
            <v>0</v>
          </cell>
        </row>
        <row r="632">
          <cell r="N632">
            <v>20265000</v>
          </cell>
        </row>
        <row r="633">
          <cell r="N633">
            <v>89492600</v>
          </cell>
        </row>
        <row r="637">
          <cell r="N637">
            <v>0</v>
          </cell>
        </row>
        <row r="638">
          <cell r="N638">
            <v>0</v>
          </cell>
        </row>
        <row r="640">
          <cell r="N640">
            <v>0</v>
          </cell>
        </row>
        <row r="643">
          <cell r="N643">
            <v>0</v>
          </cell>
        </row>
        <row r="651">
          <cell r="N651">
            <v>925050000</v>
          </cell>
        </row>
        <row r="655">
          <cell r="N655">
            <v>11959750</v>
          </cell>
        </row>
        <row r="656">
          <cell r="N656">
            <v>0</v>
          </cell>
        </row>
        <row r="667">
          <cell r="N667">
            <v>127500</v>
          </cell>
        </row>
        <row r="671">
          <cell r="N671">
            <v>5344077678</v>
          </cell>
        </row>
        <row r="672">
          <cell r="N672">
            <v>2526277646</v>
          </cell>
        </row>
        <row r="673">
          <cell r="N673">
            <v>2755288569</v>
          </cell>
        </row>
        <row r="674">
          <cell r="N674">
            <v>1447485527</v>
          </cell>
        </row>
        <row r="675">
          <cell r="N675">
            <v>1537430967</v>
          </cell>
        </row>
        <row r="676">
          <cell r="N676">
            <v>547560358</v>
          </cell>
        </row>
        <row r="677">
          <cell r="N677">
            <v>1732379269</v>
          </cell>
        </row>
        <row r="678">
          <cell r="N678">
            <v>946540968</v>
          </cell>
        </row>
        <row r="679">
          <cell r="N679">
            <v>592335623</v>
          </cell>
        </row>
        <row r="681">
          <cell r="N681">
            <v>117922719</v>
          </cell>
        </row>
        <row r="682">
          <cell r="N682">
            <v>46755127</v>
          </cell>
        </row>
        <row r="683">
          <cell r="N683">
            <v>36795738</v>
          </cell>
        </row>
        <row r="684">
          <cell r="N684">
            <v>18019015</v>
          </cell>
        </row>
        <row r="685">
          <cell r="N685">
            <v>41468269</v>
          </cell>
        </row>
        <row r="686">
          <cell r="N686">
            <v>4102336</v>
          </cell>
        </row>
        <row r="687">
          <cell r="N687">
            <v>32130299</v>
          </cell>
        </row>
        <row r="688">
          <cell r="N688">
            <v>40771371</v>
          </cell>
        </row>
        <row r="689">
          <cell r="N689">
            <v>0</v>
          </cell>
        </row>
        <row r="694">
          <cell r="N694">
            <v>85416740.340000004</v>
          </cell>
        </row>
        <row r="695">
          <cell r="N695">
            <v>0</v>
          </cell>
        </row>
        <row r="696">
          <cell r="N696">
            <v>0</v>
          </cell>
        </row>
        <row r="697">
          <cell r="N697">
            <v>0</v>
          </cell>
        </row>
        <row r="698">
          <cell r="N698">
            <v>0</v>
          </cell>
        </row>
        <row r="699">
          <cell r="N699">
            <v>10972500</v>
          </cell>
        </row>
        <row r="700">
          <cell r="N700">
            <v>2664500</v>
          </cell>
        </row>
        <row r="701">
          <cell r="N701">
            <v>2605000</v>
          </cell>
        </row>
        <row r="702">
          <cell r="N702">
            <v>3670000</v>
          </cell>
        </row>
        <row r="703">
          <cell r="N703">
            <v>13563430</v>
          </cell>
        </row>
        <row r="739">
          <cell r="N739">
            <v>274975000</v>
          </cell>
        </row>
        <row r="740">
          <cell r="N740">
            <v>183430000</v>
          </cell>
        </row>
        <row r="744">
          <cell r="N744">
            <v>1835685</v>
          </cell>
        </row>
        <row r="746">
          <cell r="N746">
            <v>6724929</v>
          </cell>
        </row>
        <row r="749">
          <cell r="N749">
            <v>26080582.199999999</v>
          </cell>
        </row>
        <row r="750">
          <cell r="N750">
            <v>6842389000</v>
          </cell>
        </row>
        <row r="761">
          <cell r="N761">
            <v>23670850</v>
          </cell>
        </row>
        <row r="765">
          <cell r="N765">
            <v>0</v>
          </cell>
        </row>
        <row r="777">
          <cell r="N777">
            <v>8336500</v>
          </cell>
        </row>
        <row r="795">
          <cell r="N795">
            <v>286740000</v>
          </cell>
        </row>
        <row r="796">
          <cell r="N796">
            <v>210010000</v>
          </cell>
        </row>
        <row r="797">
          <cell r="N797">
            <v>176240000</v>
          </cell>
        </row>
        <row r="798">
          <cell r="N798">
            <v>0</v>
          </cell>
        </row>
        <row r="799">
          <cell r="N799">
            <v>0</v>
          </cell>
        </row>
        <row r="800">
          <cell r="N800">
            <v>46600000</v>
          </cell>
        </row>
        <row r="801">
          <cell r="N801">
            <v>74940000</v>
          </cell>
        </row>
        <row r="802">
          <cell r="N802">
            <v>24453000</v>
          </cell>
        </row>
        <row r="803">
          <cell r="N803">
            <v>10036000</v>
          </cell>
        </row>
        <row r="808">
          <cell r="N808">
            <v>415440</v>
          </cell>
        </row>
        <row r="810">
          <cell r="N810">
            <v>46757068</v>
          </cell>
        </row>
        <row r="814">
          <cell r="N814">
            <v>2507140</v>
          </cell>
        </row>
        <row r="824">
          <cell r="N824">
            <v>0</v>
          </cell>
        </row>
        <row r="825">
          <cell r="N825">
            <v>10063750</v>
          </cell>
        </row>
        <row r="831">
          <cell r="N831">
            <v>9920000</v>
          </cell>
        </row>
        <row r="837">
          <cell r="N837">
            <v>15432269</v>
          </cell>
        </row>
        <row r="841">
          <cell r="N841">
            <v>113520200</v>
          </cell>
        </row>
        <row r="853">
          <cell r="N853">
            <v>36353160</v>
          </cell>
        </row>
        <row r="854">
          <cell r="N854">
            <v>16213500</v>
          </cell>
        </row>
        <row r="855">
          <cell r="N855">
            <v>10677000</v>
          </cell>
        </row>
        <row r="856">
          <cell r="N856">
            <v>517000</v>
          </cell>
        </row>
        <row r="859">
          <cell r="N859">
            <v>0</v>
          </cell>
        </row>
        <row r="860">
          <cell r="N860">
            <v>66698650</v>
          </cell>
        </row>
        <row r="861">
          <cell r="N861">
            <v>26153480</v>
          </cell>
        </row>
        <row r="862">
          <cell r="N862">
            <v>367340000</v>
          </cell>
        </row>
        <row r="863">
          <cell r="N863">
            <v>0</v>
          </cell>
        </row>
        <row r="864">
          <cell r="N864">
            <v>0</v>
          </cell>
        </row>
        <row r="865">
          <cell r="N865">
            <v>0</v>
          </cell>
        </row>
        <row r="869">
          <cell r="N869">
            <v>6569410</v>
          </cell>
        </row>
        <row r="870">
          <cell r="N870">
            <v>0</v>
          </cell>
        </row>
        <row r="871">
          <cell r="N871">
            <v>56514025</v>
          </cell>
        </row>
        <row r="887">
          <cell r="N887">
            <v>0</v>
          </cell>
        </row>
        <row r="890">
          <cell r="N890">
            <v>0</v>
          </cell>
        </row>
        <row r="892">
          <cell r="N892">
            <v>136368650</v>
          </cell>
        </row>
        <row r="895">
          <cell r="N895">
            <v>0</v>
          </cell>
        </row>
        <row r="911">
          <cell r="N911">
            <v>49160523</v>
          </cell>
        </row>
        <row r="915">
          <cell r="N915">
            <v>15952424</v>
          </cell>
        </row>
        <row r="920">
          <cell r="N920">
            <v>0</v>
          </cell>
        </row>
        <row r="921">
          <cell r="N921">
            <v>0</v>
          </cell>
        </row>
        <row r="930">
          <cell r="N930">
            <v>142291200</v>
          </cell>
        </row>
        <row r="931">
          <cell r="N931">
            <v>13000000</v>
          </cell>
        </row>
        <row r="932">
          <cell r="N932">
            <v>47930000</v>
          </cell>
        </row>
        <row r="933">
          <cell r="N933">
            <v>33200000</v>
          </cell>
        </row>
        <row r="934">
          <cell r="N934">
            <v>49450000</v>
          </cell>
        </row>
        <row r="935">
          <cell r="N935">
            <v>26000000</v>
          </cell>
        </row>
        <row r="936">
          <cell r="N936">
            <v>0</v>
          </cell>
        </row>
        <row r="937">
          <cell r="N937">
            <v>0</v>
          </cell>
        </row>
        <row r="938">
          <cell r="N938">
            <v>0</v>
          </cell>
        </row>
        <row r="941">
          <cell r="N941">
            <v>152000000</v>
          </cell>
        </row>
        <row r="942">
          <cell r="N942">
            <v>140334500</v>
          </cell>
        </row>
        <row r="943">
          <cell r="N943">
            <v>74272500</v>
          </cell>
        </row>
        <row r="944">
          <cell r="N944">
            <v>0</v>
          </cell>
        </row>
        <row r="945">
          <cell r="N945">
            <v>10850000</v>
          </cell>
        </row>
        <row r="946">
          <cell r="N946">
            <v>4000000</v>
          </cell>
        </row>
        <row r="947">
          <cell r="N947">
            <v>321615000</v>
          </cell>
        </row>
        <row r="949">
          <cell r="N949">
            <v>0</v>
          </cell>
        </row>
        <row r="954">
          <cell r="N954">
            <v>0</v>
          </cell>
        </row>
        <row r="955">
          <cell r="N955">
            <v>45521271.590000004</v>
          </cell>
        </row>
        <row r="967">
          <cell r="N967">
            <v>286866750</v>
          </cell>
        </row>
        <row r="976">
          <cell r="N976">
            <v>0</v>
          </cell>
        </row>
        <row r="978">
          <cell r="N978">
            <v>10049550</v>
          </cell>
        </row>
        <row r="991">
          <cell r="N991">
            <v>0</v>
          </cell>
        </row>
        <row r="992">
          <cell r="N992">
            <v>0</v>
          </cell>
        </row>
        <row r="996">
          <cell r="N996">
            <v>0</v>
          </cell>
        </row>
        <row r="1004">
          <cell r="N1004">
            <v>1754662</v>
          </cell>
        </row>
        <row r="1005">
          <cell r="N1005">
            <v>23335427</v>
          </cell>
        </row>
        <row r="1009">
          <cell r="N1009">
            <v>30964000</v>
          </cell>
        </row>
        <row r="1010">
          <cell r="N1010">
            <v>32350000</v>
          </cell>
        </row>
        <row r="1017">
          <cell r="N1017">
            <v>312200000</v>
          </cell>
        </row>
        <row r="1018">
          <cell r="N1018">
            <v>12450000</v>
          </cell>
        </row>
        <row r="1021">
          <cell r="N1021">
            <v>0</v>
          </cell>
        </row>
        <row r="1025">
          <cell r="N1025">
            <v>25029198</v>
          </cell>
        </row>
        <row r="1026">
          <cell r="N1026">
            <v>0</v>
          </cell>
        </row>
        <row r="1028">
          <cell r="N1028">
            <v>0</v>
          </cell>
        </row>
        <row r="1032">
          <cell r="N1032">
            <v>0</v>
          </cell>
        </row>
        <row r="1033">
          <cell r="N1033">
            <v>0</v>
          </cell>
        </row>
        <row r="1034">
          <cell r="N1034">
            <v>0</v>
          </cell>
        </row>
        <row r="1038">
          <cell r="N1038">
            <v>0</v>
          </cell>
        </row>
        <row r="1049">
          <cell r="N1049">
            <v>1500000</v>
          </cell>
        </row>
        <row r="1050">
          <cell r="N1050">
            <v>0</v>
          </cell>
        </row>
        <row r="1057">
          <cell r="N1057">
            <v>0</v>
          </cell>
        </row>
        <row r="1059">
          <cell r="N1059">
            <v>15104597</v>
          </cell>
        </row>
        <row r="1075">
          <cell r="N1075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dinas"/>
      <sheetName val="In My Hand"/>
      <sheetName val="Perubahan 2015"/>
      <sheetName val="TARGET MURNI DAN PERUBAHAN"/>
    </sheetNames>
    <sheetDataSet>
      <sheetData sheetId="0">
        <row r="20">
          <cell r="D20">
            <v>0</v>
          </cell>
        </row>
        <row r="111">
          <cell r="P111">
            <v>2642552968</v>
          </cell>
        </row>
        <row r="188">
          <cell r="P188">
            <v>165428900</v>
          </cell>
        </row>
        <row r="227">
          <cell r="Q227">
            <v>250045369.09</v>
          </cell>
        </row>
        <row r="458">
          <cell r="P458">
            <v>979902731</v>
          </cell>
        </row>
        <row r="489">
          <cell r="Q489">
            <v>1145118354.1099999</v>
          </cell>
        </row>
        <row r="638">
          <cell r="Q638">
            <v>497283322</v>
          </cell>
        </row>
      </sheetData>
      <sheetData sheetId="1"/>
      <sheetData sheetId="2"/>
      <sheetData sheetId="3">
        <row r="15">
          <cell r="E15">
            <v>60000000</v>
          </cell>
        </row>
        <row r="16">
          <cell r="E16">
            <v>8500000</v>
          </cell>
        </row>
        <row r="19">
          <cell r="E19">
            <v>0</v>
          </cell>
        </row>
        <row r="21">
          <cell r="E21">
            <v>1250000</v>
          </cell>
        </row>
        <row r="27">
          <cell r="E27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6">
          <cell r="E36">
            <v>1000000000</v>
          </cell>
        </row>
        <row r="39">
          <cell r="E39">
            <v>0</v>
          </cell>
        </row>
        <row r="44">
          <cell r="E44">
            <v>110000000</v>
          </cell>
        </row>
        <row r="47">
          <cell r="E47">
            <v>0</v>
          </cell>
        </row>
        <row r="48">
          <cell r="E48">
            <v>0</v>
          </cell>
        </row>
        <row r="52">
          <cell r="E52">
            <v>9001557650</v>
          </cell>
        </row>
        <row r="55">
          <cell r="E55">
            <v>0</v>
          </cell>
        </row>
        <row r="56">
          <cell r="E56">
            <v>2485622.44</v>
          </cell>
        </row>
        <row r="60">
          <cell r="E60">
            <v>150000000</v>
          </cell>
        </row>
        <row r="63">
          <cell r="E63">
            <v>0</v>
          </cell>
        </row>
        <row r="64">
          <cell r="E64">
            <v>2950000</v>
          </cell>
        </row>
        <row r="68">
          <cell r="E68">
            <v>2197286650</v>
          </cell>
        </row>
        <row r="73">
          <cell r="E73">
            <v>3000000000</v>
          </cell>
        </row>
        <row r="76">
          <cell r="E76">
            <v>0</v>
          </cell>
        </row>
        <row r="77">
          <cell r="E77">
            <v>880000</v>
          </cell>
        </row>
        <row r="81">
          <cell r="E81">
            <v>105181111701</v>
          </cell>
        </row>
        <row r="82">
          <cell r="E82">
            <v>0</v>
          </cell>
        </row>
        <row r="83">
          <cell r="E83">
            <v>0</v>
          </cell>
        </row>
        <row r="87">
          <cell r="E87">
            <v>16016065500</v>
          </cell>
        </row>
        <row r="88">
          <cell r="E88">
            <v>0</v>
          </cell>
        </row>
        <row r="89">
          <cell r="E89">
            <v>2876300</v>
          </cell>
        </row>
        <row r="93">
          <cell r="E93">
            <v>19250000</v>
          </cell>
        </row>
        <row r="96">
          <cell r="E96">
            <v>216750000</v>
          </cell>
        </row>
        <row r="97">
          <cell r="E97">
            <v>200000000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11845000</v>
          </cell>
        </row>
        <row r="106">
          <cell r="E106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4200000</v>
          </cell>
        </row>
        <row r="116">
          <cell r="E116">
            <v>103889500</v>
          </cell>
        </row>
        <row r="117">
          <cell r="E117">
            <v>90000000</v>
          </cell>
        </row>
        <row r="120">
          <cell r="E120">
            <v>18000000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17782000</v>
          </cell>
        </row>
        <row r="129">
          <cell r="E129">
            <v>0</v>
          </cell>
        </row>
        <row r="130">
          <cell r="E130">
            <v>0</v>
          </cell>
        </row>
        <row r="134">
          <cell r="E134">
            <v>0</v>
          </cell>
        </row>
        <row r="135">
          <cell r="E135">
            <v>1100000</v>
          </cell>
        </row>
        <row r="139">
          <cell r="E139">
            <v>2000000</v>
          </cell>
        </row>
        <row r="142">
          <cell r="E142">
            <v>0</v>
          </cell>
        </row>
        <row r="144">
          <cell r="E144">
            <v>51419400</v>
          </cell>
        </row>
        <row r="148">
          <cell r="E148">
            <v>700000000</v>
          </cell>
        </row>
        <row r="152">
          <cell r="E152">
            <v>28047000</v>
          </cell>
        </row>
        <row r="155">
          <cell r="E155">
            <v>55000000</v>
          </cell>
        </row>
        <row r="158">
          <cell r="E158">
            <v>0</v>
          </cell>
        </row>
        <row r="159">
          <cell r="E159">
            <v>26880000</v>
          </cell>
        </row>
        <row r="160">
          <cell r="E160">
            <v>57136000</v>
          </cell>
        </row>
        <row r="161">
          <cell r="E161">
            <v>24760000</v>
          </cell>
        </row>
        <row r="162">
          <cell r="E162">
            <v>163076000</v>
          </cell>
        </row>
        <row r="163">
          <cell r="E163">
            <v>414550000</v>
          </cell>
        </row>
        <row r="167">
          <cell r="E167">
            <v>152500000</v>
          </cell>
        </row>
        <row r="170">
          <cell r="E170">
            <v>348625000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26286000</v>
          </cell>
        </row>
        <row r="176">
          <cell r="E176">
            <v>1477514304</v>
          </cell>
        </row>
        <row r="177">
          <cell r="E177">
            <v>122639000</v>
          </cell>
        </row>
        <row r="178">
          <cell r="E178">
            <v>49558000</v>
          </cell>
        </row>
        <row r="183">
          <cell r="E183">
            <v>16500000</v>
          </cell>
        </row>
        <row r="184">
          <cell r="E184">
            <v>35000000</v>
          </cell>
        </row>
        <row r="187">
          <cell r="E187">
            <v>3500000</v>
          </cell>
        </row>
        <row r="191">
          <cell r="E191">
            <v>0</v>
          </cell>
        </row>
        <row r="197">
          <cell r="E197">
            <v>25741600</v>
          </cell>
        </row>
        <row r="201">
          <cell r="E201">
            <v>0</v>
          </cell>
        </row>
        <row r="202">
          <cell r="E202">
            <v>0</v>
          </cell>
        </row>
        <row r="214">
          <cell r="E214">
            <v>30000000</v>
          </cell>
        </row>
        <row r="215">
          <cell r="E215">
            <v>20000000</v>
          </cell>
        </row>
        <row r="216">
          <cell r="E216">
            <v>75000000</v>
          </cell>
        </row>
        <row r="218">
          <cell r="E218">
            <v>1043101100</v>
          </cell>
        </row>
        <row r="219">
          <cell r="E219">
            <v>532280400</v>
          </cell>
        </row>
        <row r="220">
          <cell r="E220">
            <v>500000000</v>
          </cell>
        </row>
        <row r="222">
          <cell r="E222">
            <v>22500000</v>
          </cell>
        </row>
        <row r="223">
          <cell r="E223">
            <v>28000000</v>
          </cell>
        </row>
        <row r="224">
          <cell r="E224">
            <v>17250000</v>
          </cell>
        </row>
        <row r="225">
          <cell r="E225">
            <v>30000000</v>
          </cell>
        </row>
        <row r="226">
          <cell r="E226">
            <v>50000000</v>
          </cell>
        </row>
        <row r="230">
          <cell r="E230">
            <v>0</v>
          </cell>
        </row>
        <row r="234">
          <cell r="E234">
            <v>0</v>
          </cell>
        </row>
        <row r="235">
          <cell r="E235">
            <v>1050000000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200000000</v>
          </cell>
        </row>
        <row r="244">
          <cell r="E244">
            <v>190263530</v>
          </cell>
        </row>
        <row r="249">
          <cell r="E249">
            <v>0</v>
          </cell>
        </row>
        <row r="252">
          <cell r="E252">
            <v>12035600</v>
          </cell>
        </row>
        <row r="253">
          <cell r="E253">
            <v>48865200</v>
          </cell>
        </row>
        <row r="256">
          <cell r="E256">
            <v>18851300</v>
          </cell>
        </row>
        <row r="257">
          <cell r="E257">
            <v>0</v>
          </cell>
        </row>
        <row r="260">
          <cell r="E260">
            <v>0</v>
          </cell>
        </row>
        <row r="261">
          <cell r="E261">
            <v>0</v>
          </cell>
        </row>
        <row r="266">
          <cell r="E266">
            <v>0</v>
          </cell>
        </row>
        <row r="271">
          <cell r="E271">
            <v>0</v>
          </cell>
        </row>
        <row r="281">
          <cell r="E281">
            <v>0</v>
          </cell>
        </row>
        <row r="289">
          <cell r="E289">
            <v>0</v>
          </cell>
        </row>
        <row r="290">
          <cell r="E290">
            <v>50953800</v>
          </cell>
        </row>
        <row r="305">
          <cell r="E305">
            <v>48904261900</v>
          </cell>
        </row>
        <row r="306">
          <cell r="E306">
            <v>8123179200</v>
          </cell>
        </row>
        <row r="307">
          <cell r="E307">
            <v>750000000</v>
          </cell>
        </row>
        <row r="308">
          <cell r="E308">
            <v>65782409997</v>
          </cell>
        </row>
        <row r="309">
          <cell r="E309">
            <v>247359679</v>
          </cell>
        </row>
        <row r="310">
          <cell r="E310">
            <v>30331900</v>
          </cell>
        </row>
        <row r="311">
          <cell r="E311">
            <v>0</v>
          </cell>
        </row>
        <row r="315">
          <cell r="E315">
            <v>4500000000</v>
          </cell>
        </row>
        <row r="319">
          <cell r="E319">
            <v>9000000000</v>
          </cell>
        </row>
        <row r="322">
          <cell r="E322">
            <v>6000000000</v>
          </cell>
        </row>
        <row r="323">
          <cell r="E323">
            <v>15000000</v>
          </cell>
        </row>
        <row r="328">
          <cell r="E328">
            <v>4824290450</v>
          </cell>
        </row>
        <row r="329">
          <cell r="E329">
            <v>82000000000</v>
          </cell>
        </row>
        <row r="332">
          <cell r="E332">
            <v>3688800000</v>
          </cell>
        </row>
        <row r="335">
          <cell r="E335">
            <v>750000000</v>
          </cell>
        </row>
        <row r="336">
          <cell r="E336">
            <v>3100000000</v>
          </cell>
        </row>
        <row r="338">
          <cell r="E338">
            <v>0</v>
          </cell>
        </row>
        <row r="342">
          <cell r="E342">
            <v>800000000</v>
          </cell>
        </row>
        <row r="345">
          <cell r="E345">
            <v>0</v>
          </cell>
        </row>
        <row r="346">
          <cell r="E346">
            <v>0</v>
          </cell>
        </row>
        <row r="354">
          <cell r="E354">
            <v>24138987800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4">
          <cell r="E364">
            <v>100000000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90">
          <cell r="E390">
            <v>1500000000</v>
          </cell>
        </row>
        <row r="393">
          <cell r="E393">
            <v>3123018400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3">
          <cell r="E403">
            <v>0</v>
          </cell>
        </row>
        <row r="407">
          <cell r="E407">
            <v>70000000</v>
          </cell>
        </row>
        <row r="408">
          <cell r="E408">
            <v>80000000</v>
          </cell>
        </row>
        <row r="413">
          <cell r="E413">
            <v>0</v>
          </cell>
        </row>
        <row r="414">
          <cell r="E414">
            <v>6688151500</v>
          </cell>
        </row>
        <row r="420">
          <cell r="E420">
            <v>0</v>
          </cell>
        </row>
        <row r="421">
          <cell r="E421">
            <v>220076362</v>
          </cell>
        </row>
        <row r="422">
          <cell r="E422">
            <v>4100000</v>
          </cell>
        </row>
        <row r="428">
          <cell r="E428">
            <v>0</v>
          </cell>
        </row>
        <row r="429">
          <cell r="E429">
            <v>54165800</v>
          </cell>
        </row>
        <row r="430">
          <cell r="E430">
            <v>0</v>
          </cell>
        </row>
        <row r="434">
          <cell r="E434">
            <v>259229500</v>
          </cell>
        </row>
        <row r="435">
          <cell r="E435">
            <v>374739500</v>
          </cell>
        </row>
        <row r="436">
          <cell r="E436">
            <v>271618000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46200000</v>
          </cell>
        </row>
        <row r="440">
          <cell r="E440">
            <v>88200000</v>
          </cell>
        </row>
        <row r="441">
          <cell r="E441">
            <v>24400000</v>
          </cell>
        </row>
        <row r="442">
          <cell r="E442">
            <v>300000000</v>
          </cell>
        </row>
        <row r="448">
          <cell r="E448">
            <v>0</v>
          </cell>
        </row>
        <row r="449">
          <cell r="E449">
            <v>0</v>
          </cell>
        </row>
        <row r="455">
          <cell r="E455">
            <v>0</v>
          </cell>
        </row>
        <row r="456">
          <cell r="E456">
            <v>0</v>
          </cell>
        </row>
        <row r="462">
          <cell r="E462">
            <v>37000000</v>
          </cell>
        </row>
        <row r="467">
          <cell r="E467">
            <v>0</v>
          </cell>
        </row>
        <row r="469">
          <cell r="E469">
            <v>184000000</v>
          </cell>
        </row>
        <row r="474">
          <cell r="E474">
            <v>40000000</v>
          </cell>
        </row>
        <row r="475">
          <cell r="E475">
            <v>18000000</v>
          </cell>
        </row>
        <row r="476">
          <cell r="E476">
            <v>722500000</v>
          </cell>
        </row>
        <row r="477">
          <cell r="E477">
            <v>5000000</v>
          </cell>
        </row>
        <row r="481">
          <cell r="E481">
            <v>75000000</v>
          </cell>
        </row>
        <row r="482">
          <cell r="E482">
            <v>19000000</v>
          </cell>
        </row>
        <row r="483">
          <cell r="E483">
            <v>125000000</v>
          </cell>
        </row>
        <row r="484">
          <cell r="E484">
            <v>26000000</v>
          </cell>
        </row>
        <row r="485">
          <cell r="E485">
            <v>0</v>
          </cell>
        </row>
        <row r="486">
          <cell r="E486">
            <v>0</v>
          </cell>
        </row>
        <row r="489">
          <cell r="E489">
            <v>84140000</v>
          </cell>
        </row>
        <row r="491">
          <cell r="E491">
            <v>0</v>
          </cell>
        </row>
        <row r="492">
          <cell r="E492">
            <v>650000</v>
          </cell>
        </row>
        <row r="496">
          <cell r="E496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25900000</v>
          </cell>
        </row>
        <row r="506">
          <cell r="E506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20783000</v>
          </cell>
        </row>
        <row r="520">
          <cell r="E520">
            <v>428430000</v>
          </cell>
        </row>
        <row r="521">
          <cell r="E521">
            <v>12500000</v>
          </cell>
        </row>
        <row r="522">
          <cell r="E522">
            <v>50000000</v>
          </cell>
        </row>
        <row r="523">
          <cell r="E523">
            <v>40250000</v>
          </cell>
        </row>
        <row r="524">
          <cell r="E524">
            <v>25000000</v>
          </cell>
        </row>
        <row r="526">
          <cell r="E526">
            <v>60000000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1">
          <cell r="E531">
            <v>180000000</v>
          </cell>
        </row>
        <row r="532">
          <cell r="E532">
            <v>150000000</v>
          </cell>
        </row>
        <row r="533">
          <cell r="E533">
            <v>80000000</v>
          </cell>
        </row>
        <row r="534">
          <cell r="E534">
            <v>335000000</v>
          </cell>
        </row>
        <row r="535">
          <cell r="E535">
            <v>15000000</v>
          </cell>
        </row>
        <row r="536">
          <cell r="E536">
            <v>30000000</v>
          </cell>
        </row>
        <row r="538">
          <cell r="E538">
            <v>0</v>
          </cell>
        </row>
        <row r="541">
          <cell r="E541">
            <v>16250000</v>
          </cell>
        </row>
        <row r="542">
          <cell r="E542">
            <v>0</v>
          </cell>
        </row>
        <row r="543">
          <cell r="E543">
            <v>0</v>
          </cell>
        </row>
        <row r="545">
          <cell r="E545">
            <v>500000</v>
          </cell>
        </row>
        <row r="551">
          <cell r="E551">
            <v>315000000</v>
          </cell>
        </row>
        <row r="556">
          <cell r="E556">
            <v>0</v>
          </cell>
        </row>
        <row r="557">
          <cell r="E557">
            <v>0</v>
          </cell>
        </row>
        <row r="565">
          <cell r="E565">
            <v>0</v>
          </cell>
        </row>
        <row r="566">
          <cell r="E566">
            <v>0</v>
          </cell>
        </row>
        <row r="571">
          <cell r="E571">
            <v>137900000</v>
          </cell>
        </row>
        <row r="573">
          <cell r="E573">
            <v>0</v>
          </cell>
        </row>
        <row r="574">
          <cell r="E574">
            <v>0</v>
          </cell>
        </row>
        <row r="579">
          <cell r="E579">
            <v>150000000</v>
          </cell>
        </row>
        <row r="584">
          <cell r="E584">
            <v>0</v>
          </cell>
        </row>
        <row r="585">
          <cell r="E585">
            <v>0</v>
          </cell>
        </row>
        <row r="590">
          <cell r="E590">
            <v>7965633</v>
          </cell>
        </row>
        <row r="592">
          <cell r="E592">
            <v>0</v>
          </cell>
        </row>
        <row r="593">
          <cell r="E593">
            <v>2006500</v>
          </cell>
        </row>
        <row r="600">
          <cell r="E600">
            <v>0</v>
          </cell>
        </row>
        <row r="601">
          <cell r="E601">
            <v>0</v>
          </cell>
        </row>
        <row r="608">
          <cell r="E608">
            <v>0</v>
          </cell>
        </row>
        <row r="609">
          <cell r="E609">
            <v>0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DINAS VERSI LAMA"/>
      <sheetName val="PerDinas"/>
      <sheetName val="Komponen"/>
      <sheetName val="PerDinas PEBRUARI"/>
      <sheetName val="PerDinas (2)"/>
      <sheetName val="Penjelasan"/>
      <sheetName val="ESTIMASI 2015"/>
      <sheetName val="Rekaf"/>
      <sheetName val="RINCIAN JENIS RETRIBUSI"/>
      <sheetName val="Komponen SIMDA"/>
      <sheetName val="Penjelasan SIMDA"/>
      <sheetName val="Rekaf SIMDA"/>
      <sheetName val="COVER (2)"/>
      <sheetName val="COVER"/>
    </sheetNames>
    <sheetDataSet>
      <sheetData sheetId="0">
        <row r="106">
          <cell r="N106">
            <v>1850843300</v>
          </cell>
        </row>
        <row r="179">
          <cell r="N179">
            <v>3882000</v>
          </cell>
        </row>
        <row r="543">
          <cell r="N543">
            <v>11959750</v>
          </cell>
        </row>
        <row r="879">
          <cell r="N879">
            <v>1754662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Dinas"/>
      <sheetName val="Komponen"/>
      <sheetName val="Penjelasan"/>
      <sheetName val="ESTIMASI 2015"/>
      <sheetName val="Rekaf"/>
      <sheetName val="Komponen SIMDA"/>
      <sheetName val="Penjelasan SIMDA"/>
      <sheetName val="Rekaf SIMDA"/>
      <sheetName val="COVER"/>
      <sheetName val="COVER (2)"/>
    </sheetNames>
    <sheetDataSet>
      <sheetData sheetId="0">
        <row r="253">
          <cell r="M253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3000000</v>
          </cell>
          <cell r="G35">
            <v>0</v>
          </cell>
          <cell r="H35">
            <v>2629000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5798056.2599999998</v>
          </cell>
          <cell r="I35">
            <v>1276300</v>
          </cell>
        </row>
      </sheetData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dinas"/>
      <sheetName val="In My Hand"/>
      <sheetName val="Sheet1"/>
      <sheetName val="TARGET MURNI DAN PERUBAHAN"/>
    </sheetNames>
    <sheetDataSet>
      <sheetData sheetId="0"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257">
          <cell r="E257">
            <v>0</v>
          </cell>
        </row>
      </sheetData>
      <sheetData sheetId="1"/>
      <sheetData sheetId="2"/>
      <sheetData sheetId="3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5">
          <cell r="G35">
            <v>0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Dinas"/>
      <sheetName val="Komponen"/>
      <sheetName val="Penjelasan"/>
      <sheetName val="ESTIMASI 2015"/>
      <sheetName val="Rekaf"/>
      <sheetName val="Komponen SIMDA"/>
      <sheetName val="Penjelasan SIMDA"/>
      <sheetName val="Rekaf SIMDA"/>
      <sheetName val="COVER"/>
      <sheetName val="COVER (2)"/>
    </sheetNames>
    <sheetDataSet>
      <sheetData sheetId="0" refreshError="1">
        <row r="21">
          <cell r="N21">
            <v>15840000</v>
          </cell>
        </row>
        <row r="22">
          <cell r="N22">
            <v>32595000</v>
          </cell>
        </row>
        <row r="26">
          <cell r="N26">
            <v>0</v>
          </cell>
        </row>
        <row r="29">
          <cell r="N29">
            <v>0</v>
          </cell>
        </row>
        <row r="30">
          <cell r="N30">
            <v>37508400</v>
          </cell>
        </row>
        <row r="33">
          <cell r="N33">
            <v>0</v>
          </cell>
        </row>
        <row r="46">
          <cell r="N46">
            <v>0</v>
          </cell>
        </row>
        <row r="50">
          <cell r="N50">
            <v>0</v>
          </cell>
        </row>
        <row r="54">
          <cell r="N54">
            <v>8350000</v>
          </cell>
        </row>
        <row r="56">
          <cell r="N56">
            <v>0</v>
          </cell>
        </row>
        <row r="63">
          <cell r="N63">
            <v>1059100240</v>
          </cell>
        </row>
        <row r="70">
          <cell r="N70">
            <v>3336000</v>
          </cell>
        </row>
        <row r="73">
          <cell r="N73">
            <v>0</v>
          </cell>
        </row>
        <row r="80">
          <cell r="N80">
            <v>142666500</v>
          </cell>
        </row>
        <row r="86">
          <cell r="N86">
            <v>224000</v>
          </cell>
        </row>
        <row r="90">
          <cell r="N90">
            <v>7000</v>
          </cell>
        </row>
        <row r="96">
          <cell r="N96">
            <v>7646411489.8599997</v>
          </cell>
        </row>
        <row r="102">
          <cell r="N102">
            <v>0</v>
          </cell>
        </row>
        <row r="106">
          <cell r="N106">
            <v>0</v>
          </cell>
        </row>
        <row r="115">
          <cell r="N115">
            <v>170060000</v>
          </cell>
        </row>
        <row r="121">
          <cell r="N121">
            <v>0</v>
          </cell>
        </row>
        <row r="124">
          <cell r="N124">
            <v>0</v>
          </cell>
        </row>
        <row r="130">
          <cell r="N130">
            <v>2247705750</v>
          </cell>
        </row>
        <row r="135">
          <cell r="N135">
            <v>0</v>
          </cell>
        </row>
        <row r="138">
          <cell r="N138">
            <v>0</v>
          </cell>
        </row>
        <row r="145">
          <cell r="N145">
            <v>3642487600</v>
          </cell>
        </row>
        <row r="149">
          <cell r="N149">
            <v>0</v>
          </cell>
        </row>
        <row r="154">
          <cell r="N154">
            <v>2659000</v>
          </cell>
        </row>
        <row r="156">
          <cell r="N156">
            <v>350000</v>
          </cell>
        </row>
        <row r="163">
          <cell r="N163">
            <v>74834002587.880005</v>
          </cell>
        </row>
        <row r="168">
          <cell r="N168">
            <v>0</v>
          </cell>
        </row>
        <row r="172">
          <cell r="N172">
            <v>0</v>
          </cell>
        </row>
        <row r="182">
          <cell r="N182">
            <v>0</v>
          </cell>
        </row>
        <row r="185">
          <cell r="N185">
            <v>9021267945</v>
          </cell>
        </row>
        <row r="188">
          <cell r="N188">
            <v>485954798</v>
          </cell>
        </row>
        <row r="196">
          <cell r="N196">
            <v>0</v>
          </cell>
        </row>
        <row r="200">
          <cell r="N200">
            <v>117676364</v>
          </cell>
        </row>
        <row r="201">
          <cell r="N201">
            <v>359712545</v>
          </cell>
        </row>
        <row r="205">
          <cell r="N205">
            <v>39519520.170000002</v>
          </cell>
        </row>
        <row r="208">
          <cell r="N208">
            <v>19394618</v>
          </cell>
        </row>
        <row r="209">
          <cell r="N209">
            <v>0</v>
          </cell>
        </row>
        <row r="210">
          <cell r="N210">
            <v>380449873.89999998</v>
          </cell>
        </row>
        <row r="213">
          <cell r="N213">
            <v>77318182</v>
          </cell>
        </row>
        <row r="220">
          <cell r="N220">
            <v>0</v>
          </cell>
        </row>
        <row r="224">
          <cell r="N224">
            <v>0</v>
          </cell>
        </row>
        <row r="229">
          <cell r="N229">
            <v>0</v>
          </cell>
        </row>
        <row r="230">
          <cell r="N230">
            <v>0</v>
          </cell>
        </row>
        <row r="240">
          <cell r="N240">
            <v>87940000</v>
          </cell>
        </row>
        <row r="241">
          <cell r="N241">
            <v>58900000</v>
          </cell>
        </row>
        <row r="245">
          <cell r="N245">
            <v>94500</v>
          </cell>
        </row>
        <row r="249">
          <cell r="N249">
            <v>0</v>
          </cell>
        </row>
        <row r="254">
          <cell r="N254">
            <v>4807500</v>
          </cell>
        </row>
        <row r="258">
          <cell r="N258">
            <v>21769250</v>
          </cell>
        </row>
        <row r="267">
          <cell r="N267">
            <v>0</v>
          </cell>
        </row>
        <row r="271">
          <cell r="N271">
            <v>0</v>
          </cell>
        </row>
        <row r="282">
          <cell r="N282">
            <v>334400</v>
          </cell>
        </row>
        <row r="286">
          <cell r="N286">
            <v>0</v>
          </cell>
        </row>
        <row r="296">
          <cell r="N296">
            <v>0</v>
          </cell>
        </row>
        <row r="302">
          <cell r="N302">
            <v>55093076</v>
          </cell>
        </row>
        <row r="308">
          <cell r="N308">
            <v>32217600</v>
          </cell>
        </row>
        <row r="316">
          <cell r="N316">
            <v>1539326800</v>
          </cell>
        </row>
        <row r="320">
          <cell r="N320">
            <v>30466590</v>
          </cell>
        </row>
        <row r="321">
          <cell r="N321">
            <v>22302500</v>
          </cell>
        </row>
        <row r="323">
          <cell r="N323">
            <v>98996700</v>
          </cell>
        </row>
        <row r="328">
          <cell r="N328">
            <v>0</v>
          </cell>
        </row>
        <row r="329">
          <cell r="N329">
            <v>7384300</v>
          </cell>
        </row>
        <row r="333">
          <cell r="N333">
            <v>23863675</v>
          </cell>
        </row>
        <row r="334">
          <cell r="N334">
            <v>60896000</v>
          </cell>
        </row>
        <row r="335">
          <cell r="N335">
            <v>4688750</v>
          </cell>
        </row>
        <row r="336">
          <cell r="N336">
            <v>0</v>
          </cell>
        </row>
        <row r="345">
          <cell r="N345">
            <v>44640000</v>
          </cell>
        </row>
        <row r="348">
          <cell r="N348">
            <v>320760000</v>
          </cell>
        </row>
        <row r="354">
          <cell r="N354">
            <v>8407800</v>
          </cell>
        </row>
        <row r="355">
          <cell r="N355">
            <v>0</v>
          </cell>
        </row>
        <row r="358">
          <cell r="N358">
            <v>24000000</v>
          </cell>
        </row>
        <row r="359">
          <cell r="N359">
            <v>0</v>
          </cell>
        </row>
        <row r="360">
          <cell r="N360">
            <v>95070000</v>
          </cell>
        </row>
        <row r="361">
          <cell r="N361">
            <v>90619320</v>
          </cell>
        </row>
        <row r="371">
          <cell r="N371">
            <v>6600000</v>
          </cell>
        </row>
        <row r="372">
          <cell r="N372">
            <v>29779200</v>
          </cell>
        </row>
        <row r="375">
          <cell r="N375">
            <v>2750000</v>
          </cell>
        </row>
        <row r="382">
          <cell r="N382">
            <v>3603000</v>
          </cell>
        </row>
        <row r="383">
          <cell r="N383">
            <v>0</v>
          </cell>
        </row>
        <row r="384">
          <cell r="N384">
            <v>0</v>
          </cell>
        </row>
        <row r="387">
          <cell r="N387">
            <v>57329052.329999998</v>
          </cell>
        </row>
        <row r="388">
          <cell r="N388">
            <v>146397918.44</v>
          </cell>
        </row>
        <row r="398">
          <cell r="N398">
            <v>0</v>
          </cell>
        </row>
        <row r="401">
          <cell r="N401">
            <v>0</v>
          </cell>
        </row>
        <row r="413">
          <cell r="N413">
            <v>23594831</v>
          </cell>
        </row>
        <row r="414">
          <cell r="N414">
            <v>43030700</v>
          </cell>
        </row>
        <row r="415">
          <cell r="N415">
            <v>1137500</v>
          </cell>
        </row>
        <row r="417">
          <cell r="N417">
            <v>714167969</v>
          </cell>
        </row>
        <row r="418">
          <cell r="N418">
            <v>241515902</v>
          </cell>
        </row>
        <row r="419">
          <cell r="N419">
            <v>491906571</v>
          </cell>
        </row>
        <row r="421">
          <cell r="N421">
            <v>81875000</v>
          </cell>
        </row>
        <row r="422">
          <cell r="N422">
            <v>0</v>
          </cell>
        </row>
        <row r="423">
          <cell r="N423">
            <v>27812500</v>
          </cell>
        </row>
        <row r="424">
          <cell r="N424">
            <v>0</v>
          </cell>
        </row>
        <row r="425">
          <cell r="N425">
            <v>56250000</v>
          </cell>
        </row>
        <row r="428">
          <cell r="N428">
            <v>0</v>
          </cell>
        </row>
        <row r="433">
          <cell r="N433">
            <v>0</v>
          </cell>
        </row>
        <row r="434">
          <cell r="N434">
            <v>6875000</v>
          </cell>
        </row>
        <row r="435">
          <cell r="N435">
            <v>0</v>
          </cell>
        </row>
        <row r="436">
          <cell r="N436">
            <v>62500000</v>
          </cell>
        </row>
        <row r="437">
          <cell r="N437">
            <v>235449500</v>
          </cell>
        </row>
        <row r="440">
          <cell r="N440">
            <v>7480001</v>
          </cell>
        </row>
        <row r="443">
          <cell r="N443">
            <v>0</v>
          </cell>
        </row>
        <row r="445">
          <cell r="N445">
            <v>84314622</v>
          </cell>
        </row>
        <row r="455">
          <cell r="N455">
            <v>0</v>
          </cell>
        </row>
        <row r="456">
          <cell r="N456">
            <v>0</v>
          </cell>
        </row>
        <row r="461">
          <cell r="N461">
            <v>1078897630</v>
          </cell>
        </row>
        <row r="462">
          <cell r="N462">
            <v>0</v>
          </cell>
        </row>
        <row r="485">
          <cell r="N485">
            <v>0</v>
          </cell>
        </row>
        <row r="533">
          <cell r="N533">
            <v>134620261</v>
          </cell>
        </row>
        <row r="537">
          <cell r="N537">
            <v>21654020</v>
          </cell>
        </row>
        <row r="551">
          <cell r="N551">
            <v>59771875733</v>
          </cell>
        </row>
        <row r="552">
          <cell r="N552">
            <v>9337100098</v>
          </cell>
        </row>
        <row r="553">
          <cell r="N553">
            <v>0</v>
          </cell>
        </row>
        <row r="554">
          <cell r="N554">
            <v>0</v>
          </cell>
        </row>
        <row r="555">
          <cell r="N555">
            <v>0</v>
          </cell>
        </row>
        <row r="556">
          <cell r="N556">
            <v>108485925</v>
          </cell>
        </row>
        <row r="560">
          <cell r="N560">
            <v>9591772872.6299992</v>
          </cell>
        </row>
        <row r="565">
          <cell r="N565">
            <v>10837037026</v>
          </cell>
        </row>
        <row r="568">
          <cell r="N568">
            <v>32731920.120000001</v>
          </cell>
        </row>
        <row r="569">
          <cell r="N569">
            <v>0</v>
          </cell>
        </row>
        <row r="572">
          <cell r="N572">
            <v>0</v>
          </cell>
        </row>
        <row r="573">
          <cell r="N573">
            <v>0</v>
          </cell>
        </row>
        <row r="574">
          <cell r="N574">
            <v>0</v>
          </cell>
        </row>
        <row r="575">
          <cell r="N575">
            <v>21717390566</v>
          </cell>
        </row>
        <row r="579">
          <cell r="N579">
            <v>0</v>
          </cell>
        </row>
        <row r="580">
          <cell r="N580">
            <v>4995834</v>
          </cell>
        </row>
        <row r="581">
          <cell r="N581">
            <v>30702430</v>
          </cell>
        </row>
        <row r="584">
          <cell r="N584">
            <v>0</v>
          </cell>
        </row>
        <row r="592">
          <cell r="N592">
            <v>400015000</v>
          </cell>
        </row>
        <row r="596">
          <cell r="N596">
            <v>0</v>
          </cell>
        </row>
        <row r="597">
          <cell r="N597">
            <v>0</v>
          </cell>
        </row>
        <row r="604">
          <cell r="N604">
            <v>1382176070</v>
          </cell>
        </row>
        <row r="608">
          <cell r="N608">
            <v>0</v>
          </cell>
        </row>
        <row r="612">
          <cell r="N612">
            <v>4542824734</v>
          </cell>
        </row>
        <row r="613">
          <cell r="N613">
            <v>2109524088</v>
          </cell>
        </row>
        <row r="614">
          <cell r="N614">
            <v>2427740986</v>
          </cell>
        </row>
        <row r="615">
          <cell r="N615">
            <v>1308652085</v>
          </cell>
        </row>
        <row r="616">
          <cell r="N616">
            <v>1170577238</v>
          </cell>
        </row>
        <row r="617">
          <cell r="N617">
            <v>504081973</v>
          </cell>
        </row>
        <row r="618">
          <cell r="N618">
            <v>1492733414</v>
          </cell>
        </row>
        <row r="619">
          <cell r="N619">
            <v>601473385.70000005</v>
          </cell>
        </row>
        <row r="620">
          <cell r="N620">
            <v>553048189</v>
          </cell>
        </row>
        <row r="622">
          <cell r="N622">
            <v>88769590</v>
          </cell>
        </row>
        <row r="623">
          <cell r="N623">
            <v>14302266</v>
          </cell>
        </row>
        <row r="624">
          <cell r="N624">
            <v>26013610</v>
          </cell>
        </row>
        <row r="625">
          <cell r="N625">
            <v>18998539</v>
          </cell>
        </row>
        <row r="626">
          <cell r="N626">
            <v>21404794</v>
          </cell>
        </row>
        <row r="627">
          <cell r="N627">
            <v>4315464</v>
          </cell>
        </row>
        <row r="628">
          <cell r="N628">
            <v>24775154</v>
          </cell>
        </row>
        <row r="629">
          <cell r="N629">
            <v>31999217.800000001</v>
          </cell>
        </row>
        <row r="630">
          <cell r="N630">
            <v>864262</v>
          </cell>
        </row>
        <row r="635">
          <cell r="N635">
            <v>20455556</v>
          </cell>
        </row>
        <row r="636">
          <cell r="N636">
            <v>5229550</v>
          </cell>
        </row>
        <row r="637">
          <cell r="N637">
            <v>0</v>
          </cell>
        </row>
        <row r="638">
          <cell r="N638">
            <v>0</v>
          </cell>
        </row>
        <row r="639">
          <cell r="N639">
            <v>1178000</v>
          </cell>
        </row>
        <row r="640">
          <cell r="N640">
            <v>7166275</v>
          </cell>
        </row>
        <row r="641">
          <cell r="N641">
            <v>0</v>
          </cell>
        </row>
        <row r="642">
          <cell r="N642">
            <v>0</v>
          </cell>
        </row>
        <row r="643">
          <cell r="N643">
            <v>0</v>
          </cell>
        </row>
        <row r="644">
          <cell r="N644">
            <v>0</v>
          </cell>
        </row>
        <row r="648">
          <cell r="N648">
            <v>667260000</v>
          </cell>
        </row>
        <row r="649">
          <cell r="N649">
            <v>483120000</v>
          </cell>
        </row>
        <row r="650">
          <cell r="N650">
            <v>565317500</v>
          </cell>
        </row>
        <row r="651">
          <cell r="N651">
            <v>219368600</v>
          </cell>
        </row>
        <row r="652">
          <cell r="N652">
            <v>189007500</v>
          </cell>
        </row>
        <row r="653">
          <cell r="N653">
            <v>73205040</v>
          </cell>
        </row>
        <row r="654">
          <cell r="N654">
            <v>549587500</v>
          </cell>
        </row>
        <row r="655">
          <cell r="N655">
            <v>73205003</v>
          </cell>
        </row>
        <row r="656">
          <cell r="N656">
            <v>0</v>
          </cell>
        </row>
        <row r="680">
          <cell r="N680">
            <v>318900000</v>
          </cell>
        </row>
        <row r="681">
          <cell r="N681">
            <v>138280000</v>
          </cell>
        </row>
        <row r="687">
          <cell r="N687">
            <v>0</v>
          </cell>
        </row>
        <row r="691">
          <cell r="N691">
            <v>3924064290</v>
          </cell>
        </row>
        <row r="702">
          <cell r="N702">
            <v>8137464</v>
          </cell>
        </row>
        <row r="706">
          <cell r="N706">
            <v>0</v>
          </cell>
        </row>
        <row r="707">
          <cell r="N707">
            <v>800000</v>
          </cell>
        </row>
        <row r="718">
          <cell r="N718">
            <v>21392515</v>
          </cell>
        </row>
        <row r="722">
          <cell r="N722">
            <v>4430000</v>
          </cell>
        </row>
        <row r="723">
          <cell r="N723">
            <v>0</v>
          </cell>
        </row>
        <row r="736">
          <cell r="N736">
            <v>222547200</v>
          </cell>
        </row>
        <row r="737">
          <cell r="N737">
            <v>119736000</v>
          </cell>
        </row>
        <row r="738">
          <cell r="N738">
            <v>196188000</v>
          </cell>
        </row>
        <row r="739">
          <cell r="N739">
            <v>0</v>
          </cell>
        </row>
        <row r="740">
          <cell r="N740">
            <v>0</v>
          </cell>
        </row>
        <row r="741">
          <cell r="N741">
            <v>29688000</v>
          </cell>
        </row>
        <row r="742">
          <cell r="N742">
            <v>47184000</v>
          </cell>
        </row>
        <row r="743">
          <cell r="N743">
            <v>20298000</v>
          </cell>
        </row>
        <row r="744">
          <cell r="N744">
            <v>74040000</v>
          </cell>
        </row>
        <row r="749">
          <cell r="N749">
            <v>0</v>
          </cell>
        </row>
        <row r="751">
          <cell r="N751">
            <v>49899487.119999997</v>
          </cell>
        </row>
        <row r="755">
          <cell r="N755">
            <v>9244351</v>
          </cell>
        </row>
        <row r="765">
          <cell r="N765">
            <v>6900000</v>
          </cell>
        </row>
        <row r="766">
          <cell r="N766">
            <v>48000000</v>
          </cell>
        </row>
        <row r="772">
          <cell r="N772">
            <v>31134406</v>
          </cell>
        </row>
        <row r="778">
          <cell r="N778">
            <v>31157915</v>
          </cell>
        </row>
        <row r="782">
          <cell r="N782">
            <v>35309520</v>
          </cell>
        </row>
        <row r="783">
          <cell r="N783">
            <v>53984407</v>
          </cell>
        </row>
        <row r="794">
          <cell r="N794">
            <v>43126500</v>
          </cell>
        </row>
        <row r="795">
          <cell r="N795">
            <v>22957100</v>
          </cell>
        </row>
        <row r="796">
          <cell r="N796">
            <v>113306000</v>
          </cell>
        </row>
        <row r="797">
          <cell r="N797">
            <v>6825000</v>
          </cell>
        </row>
        <row r="800">
          <cell r="N800">
            <v>0</v>
          </cell>
        </row>
        <row r="801">
          <cell r="N801">
            <v>47723500</v>
          </cell>
        </row>
        <row r="802">
          <cell r="N802">
            <v>25729805</v>
          </cell>
        </row>
        <row r="803">
          <cell r="N803">
            <v>4500000</v>
          </cell>
        </row>
        <row r="804">
          <cell r="N804">
            <v>0</v>
          </cell>
        </row>
        <row r="805">
          <cell r="N805">
            <v>0</v>
          </cell>
        </row>
        <row r="806">
          <cell r="N806">
            <v>0</v>
          </cell>
        </row>
        <row r="810">
          <cell r="N810">
            <v>11624100</v>
          </cell>
        </row>
        <row r="812">
          <cell r="N812">
            <v>16067500</v>
          </cell>
        </row>
        <row r="816">
          <cell r="N816">
            <v>14003200</v>
          </cell>
        </row>
        <row r="828">
          <cell r="N828">
            <v>0</v>
          </cell>
        </row>
        <row r="833">
          <cell r="N833">
            <v>56190401.5</v>
          </cell>
        </row>
        <row r="837">
          <cell r="N837">
            <v>2900000</v>
          </cell>
        </row>
        <row r="852">
          <cell r="N852">
            <v>39017317</v>
          </cell>
        </row>
        <row r="856">
          <cell r="N856">
            <v>5373000</v>
          </cell>
        </row>
        <row r="860">
          <cell r="N860">
            <v>113826480</v>
          </cell>
        </row>
        <row r="861">
          <cell r="N861">
            <v>0</v>
          </cell>
        </row>
        <row r="862">
          <cell r="N862">
            <v>0</v>
          </cell>
        </row>
        <row r="871">
          <cell r="N871">
            <v>335936920</v>
          </cell>
        </row>
        <row r="872">
          <cell r="N872">
            <v>10560000</v>
          </cell>
        </row>
        <row r="873">
          <cell r="N873">
            <v>50901004</v>
          </cell>
        </row>
        <row r="874">
          <cell r="N874">
            <v>29425000</v>
          </cell>
        </row>
        <row r="875">
          <cell r="N875">
            <v>7392000</v>
          </cell>
        </row>
        <row r="876">
          <cell r="N876">
            <v>29040000</v>
          </cell>
        </row>
        <row r="877">
          <cell r="N877">
            <v>0</v>
          </cell>
        </row>
        <row r="878">
          <cell r="N878">
            <v>0</v>
          </cell>
        </row>
        <row r="879">
          <cell r="N879">
            <v>0</v>
          </cell>
        </row>
        <row r="882">
          <cell r="N882">
            <v>151640500</v>
          </cell>
        </row>
        <row r="883">
          <cell r="N883">
            <v>121886600</v>
          </cell>
        </row>
        <row r="884">
          <cell r="N884">
            <v>73634000</v>
          </cell>
        </row>
        <row r="885">
          <cell r="N885">
            <v>0</v>
          </cell>
        </row>
        <row r="886">
          <cell r="N886">
            <v>11033000</v>
          </cell>
        </row>
        <row r="887">
          <cell r="N887">
            <v>19800000</v>
          </cell>
        </row>
        <row r="888">
          <cell r="N888">
            <v>273913750</v>
          </cell>
        </row>
        <row r="890">
          <cell r="N890">
            <v>0</v>
          </cell>
        </row>
        <row r="895">
          <cell r="N895">
            <v>0</v>
          </cell>
        </row>
        <row r="896">
          <cell r="N896">
            <v>15472185</v>
          </cell>
        </row>
        <row r="900">
          <cell r="N900">
            <v>610720</v>
          </cell>
        </row>
        <row r="908">
          <cell r="N908">
            <v>296098650</v>
          </cell>
        </row>
        <row r="919">
          <cell r="N919">
            <v>29696600</v>
          </cell>
        </row>
        <row r="923">
          <cell r="N923">
            <v>15634253</v>
          </cell>
        </row>
        <row r="933">
          <cell r="N933">
            <v>0</v>
          </cell>
        </row>
        <row r="937">
          <cell r="N937">
            <v>0</v>
          </cell>
        </row>
        <row r="946">
          <cell r="N946">
            <v>29456000</v>
          </cell>
        </row>
        <row r="950">
          <cell r="N950">
            <v>6674500</v>
          </cell>
        </row>
        <row r="955">
          <cell r="N955">
            <v>303052530</v>
          </cell>
        </row>
        <row r="956">
          <cell r="N956">
            <v>0</v>
          </cell>
        </row>
        <row r="959">
          <cell r="N959">
            <v>0</v>
          </cell>
        </row>
        <row r="963">
          <cell r="N963">
            <v>10000000</v>
          </cell>
        </row>
        <row r="967">
          <cell r="N967">
            <v>0</v>
          </cell>
        </row>
        <row r="973">
          <cell r="N973">
            <v>0</v>
          </cell>
        </row>
        <row r="974">
          <cell r="N974">
            <v>0</v>
          </cell>
        </row>
        <row r="975">
          <cell r="N975">
            <v>0</v>
          </cell>
        </row>
        <row r="979">
          <cell r="N979">
            <v>0</v>
          </cell>
        </row>
        <row r="987">
          <cell r="N987">
            <v>0</v>
          </cell>
        </row>
        <row r="991">
          <cell r="N991">
            <v>0</v>
          </cell>
        </row>
        <row r="1000">
          <cell r="N1000">
            <v>0</v>
          </cell>
        </row>
        <row r="1016">
          <cell r="N1016">
            <v>0</v>
          </cell>
        </row>
        <row r="1024">
          <cell r="N1024">
            <v>0</v>
          </cell>
        </row>
        <row r="1028">
          <cell r="N1028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Dinas"/>
      <sheetName val="Komponen"/>
      <sheetName val="Penjelasan"/>
      <sheetName val="ESTIMASI 2015"/>
      <sheetName val="Rekaf"/>
      <sheetName val="Komponen SIMDA"/>
      <sheetName val="Penjelasan SIMDA"/>
      <sheetName val="Rekaf SIMDA"/>
      <sheetName val="COVER"/>
      <sheetName val="COVER (2)"/>
    </sheetNames>
    <sheetDataSet>
      <sheetData sheetId="0">
        <row r="253">
          <cell r="M253">
            <v>720000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-DESEMB"/>
      <sheetName val="PEMBATAS"/>
      <sheetName val="Perdinas"/>
      <sheetName val="komponen"/>
      <sheetName val="REKAP30Okt"/>
      <sheetName val="orekan April 17"/>
      <sheetName val="Sheet1"/>
      <sheetName val="Sheet2"/>
    </sheetNames>
    <sheetDataSet>
      <sheetData sheetId="0"/>
      <sheetData sheetId="1"/>
      <sheetData sheetId="2"/>
      <sheetData sheetId="3">
        <row r="11">
          <cell r="M11" t="e">
            <v>#REF!</v>
          </cell>
          <cell r="N11" t="e">
            <v>#REF!</v>
          </cell>
          <cell r="O11" t="e">
            <v>#REF!</v>
          </cell>
          <cell r="P11" t="e">
            <v>#REF!</v>
          </cell>
          <cell r="S11">
            <v>3802933445799</v>
          </cell>
          <cell r="V11" t="e">
            <v>#REF!</v>
          </cell>
          <cell r="AA11">
            <v>988463913770</v>
          </cell>
          <cell r="AD11" t="e">
            <v>#REF!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70874000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">
        <row r="35">
          <cell r="D35">
            <v>88166000</v>
          </cell>
        </row>
      </sheetData>
      <sheetData sheetId="2">
        <row r="35">
          <cell r="D35">
            <v>116453500</v>
          </cell>
        </row>
      </sheetData>
      <sheetData sheetId="3">
        <row r="35">
          <cell r="D35">
            <v>145755000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4">
        <row r="35">
          <cell r="D35">
            <v>106150000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5">
        <row r="35">
          <cell r="D35">
            <v>126871000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6">
        <row r="35">
          <cell r="D35">
            <v>72809500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7">
        <row r="35">
          <cell r="D35">
            <v>99279000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8">
        <row r="35">
          <cell r="D35">
            <v>88798500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9">
        <row r="35">
          <cell r="D35">
            <v>149947500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0">
        <row r="35">
          <cell r="D35">
            <v>128716500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1">
        <row r="35">
          <cell r="D35">
            <v>157662000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26386500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">
        <row r="35">
          <cell r="D35">
            <v>23952000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1378500</v>
          </cell>
        </row>
      </sheetData>
      <sheetData sheetId="2">
        <row r="35">
          <cell r="D35">
            <v>22165500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200000</v>
          </cell>
        </row>
      </sheetData>
      <sheetData sheetId="3">
        <row r="35">
          <cell r="D35">
            <v>23904000</v>
          </cell>
          <cell r="E35">
            <v>0</v>
          </cell>
          <cell r="F35">
            <v>0</v>
          </cell>
          <cell r="G35">
            <v>0</v>
          </cell>
          <cell r="H35">
            <v>380300</v>
          </cell>
          <cell r="I35">
            <v>200000</v>
          </cell>
        </row>
      </sheetData>
      <sheetData sheetId="4">
        <row r="35">
          <cell r="D35">
            <v>19841000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200000</v>
          </cell>
        </row>
      </sheetData>
      <sheetData sheetId="5">
        <row r="35">
          <cell r="D35">
            <v>18534500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100000</v>
          </cell>
        </row>
      </sheetData>
      <sheetData sheetId="6">
        <row r="35">
          <cell r="D35">
            <v>14925000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100000</v>
          </cell>
        </row>
      </sheetData>
      <sheetData sheetId="7">
        <row r="35">
          <cell r="D35">
            <v>21486500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8">
        <row r="35">
          <cell r="D35">
            <v>30288500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9">
        <row r="35">
          <cell r="D35">
            <v>32349000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5000</v>
          </cell>
        </row>
      </sheetData>
      <sheetData sheetId="10">
        <row r="35">
          <cell r="D35">
            <v>34602000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1">
        <row r="35">
          <cell r="D35">
            <v>22679000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242894763</v>
          </cell>
          <cell r="E35">
            <v>307400</v>
          </cell>
          <cell r="H35">
            <v>0</v>
          </cell>
          <cell r="I35">
            <v>0</v>
          </cell>
        </row>
      </sheetData>
      <sheetData sheetId="1">
        <row r="35">
          <cell r="D35">
            <v>283425114</v>
          </cell>
          <cell r="E35">
            <v>19102700</v>
          </cell>
          <cell r="H35">
            <v>0</v>
          </cell>
          <cell r="I35">
            <v>1617779700</v>
          </cell>
        </row>
      </sheetData>
      <sheetData sheetId="2">
        <row r="35">
          <cell r="D35">
            <v>677859003</v>
          </cell>
          <cell r="E35">
            <v>0</v>
          </cell>
          <cell r="H35">
            <v>0</v>
          </cell>
          <cell r="I35">
            <v>233063600</v>
          </cell>
        </row>
      </sheetData>
      <sheetData sheetId="3">
        <row r="35">
          <cell r="D35">
            <v>1175336815</v>
          </cell>
          <cell r="E35">
            <v>0</v>
          </cell>
          <cell r="H35">
            <v>0</v>
          </cell>
          <cell r="I35">
            <v>0</v>
          </cell>
        </row>
      </sheetData>
      <sheetData sheetId="4">
        <row r="35">
          <cell r="D35">
            <v>979549352</v>
          </cell>
          <cell r="E35">
            <v>0</v>
          </cell>
          <cell r="H35">
            <v>0</v>
          </cell>
        </row>
      </sheetData>
      <sheetData sheetId="5">
        <row r="35">
          <cell r="D35">
            <v>302848630</v>
          </cell>
          <cell r="E35">
            <v>0</v>
          </cell>
          <cell r="H35">
            <v>0</v>
          </cell>
        </row>
      </sheetData>
      <sheetData sheetId="6">
        <row r="35">
          <cell r="D35">
            <v>1169642069</v>
          </cell>
          <cell r="E35">
            <v>0</v>
          </cell>
          <cell r="H35">
            <v>0</v>
          </cell>
        </row>
      </sheetData>
      <sheetData sheetId="7">
        <row r="35">
          <cell r="D35">
            <v>350430748</v>
          </cell>
          <cell r="E35">
            <v>0</v>
          </cell>
          <cell r="H35">
            <v>5682000</v>
          </cell>
        </row>
      </sheetData>
      <sheetData sheetId="8">
        <row r="35">
          <cell r="D35">
            <v>2072093095</v>
          </cell>
          <cell r="E35">
            <v>0</v>
          </cell>
          <cell r="H35">
            <v>0</v>
          </cell>
        </row>
      </sheetData>
      <sheetData sheetId="9">
        <row r="35">
          <cell r="D35">
            <v>1182188847</v>
          </cell>
          <cell r="E35">
            <v>0</v>
          </cell>
          <cell r="H35">
            <v>0</v>
          </cell>
        </row>
      </sheetData>
      <sheetData sheetId="10">
        <row r="35">
          <cell r="D35">
            <v>1443276464</v>
          </cell>
          <cell r="E35">
            <v>0</v>
          </cell>
          <cell r="H35">
            <v>0</v>
          </cell>
        </row>
      </sheetData>
      <sheetData sheetId="11">
        <row r="35">
          <cell r="D35">
            <v>2747406652</v>
          </cell>
          <cell r="E35">
            <v>0</v>
          </cell>
          <cell r="H35">
            <v>45316000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9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0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2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3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4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5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1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53"/>
  <sheetViews>
    <sheetView view="pageBreakPreview" zoomScale="90" zoomScaleSheetLayoutView="90" workbookViewId="0">
      <selection activeCell="A2" sqref="A2"/>
    </sheetView>
  </sheetViews>
  <sheetFormatPr defaultColWidth="9.109375" defaultRowHeight="13.15"/>
  <cols>
    <col min="1" max="1" width="4.33203125" style="2686" customWidth="1"/>
    <col min="2" max="2" width="26.33203125" style="2687" customWidth="1"/>
    <col min="3" max="3" width="24" style="2687" customWidth="1"/>
    <col min="4" max="4" width="18.33203125" style="2687" customWidth="1"/>
    <col min="5" max="6" width="17.5546875" style="2688" customWidth="1"/>
    <col min="7" max="7" width="9.88671875" style="2689" customWidth="1"/>
    <col min="8" max="8" width="42.88671875" style="2687" customWidth="1"/>
    <col min="9" max="16384" width="9.109375" style="2687"/>
  </cols>
  <sheetData>
    <row r="1" spans="1:9" s="2685" customFormat="1" ht="27.7" customHeight="1">
      <c r="A1" s="2690" t="s">
        <v>0</v>
      </c>
      <c r="B1" s="2690" t="s">
        <v>1</v>
      </c>
      <c r="C1" s="2690" t="s">
        <v>2</v>
      </c>
      <c r="D1" s="2690" t="s">
        <v>3</v>
      </c>
      <c r="E1" s="2691" t="s">
        <v>4</v>
      </c>
      <c r="F1" s="2691" t="s">
        <v>5</v>
      </c>
      <c r="G1" s="2691" t="s">
        <v>6</v>
      </c>
      <c r="H1" s="2690" t="s">
        <v>7</v>
      </c>
    </row>
    <row r="2" spans="1:9" ht="39.450000000000003">
      <c r="A2" s="2692">
        <v>1</v>
      </c>
      <c r="B2" s="2693" t="str">
        <f>'JAN1'!G13</f>
        <v>DINAS PENDIDIKAN DAN KEBUDAYAAN</v>
      </c>
      <c r="C2" s="2719" t="s">
        <v>8</v>
      </c>
      <c r="D2" s="2694" t="s">
        <v>9</v>
      </c>
      <c r="E2" s="2695">
        <f>'JAN1'!K22</f>
        <v>25000000</v>
      </c>
      <c r="F2" s="2696">
        <f>'JAN1'!N22</f>
        <v>33818192</v>
      </c>
      <c r="G2" s="2697">
        <f>F2/E2*100</f>
        <v>135.27276800000001</v>
      </c>
      <c r="H2" s="2720" t="s">
        <v>10</v>
      </c>
      <c r="I2" s="2718">
        <f>SUM(G2:G3)/2</f>
        <v>167.46929311813147</v>
      </c>
    </row>
    <row r="3" spans="1:9" ht="14.25" customHeight="1">
      <c r="A3" s="2698"/>
      <c r="B3" s="2699"/>
      <c r="C3" s="2721" t="s">
        <v>11</v>
      </c>
      <c r="D3" s="2701" t="s">
        <v>9</v>
      </c>
      <c r="E3" s="2702">
        <f>'JAN1'!K21</f>
        <v>33395000</v>
      </c>
      <c r="F3" s="2702">
        <f>'JAN1'!N21</f>
        <v>66678400</v>
      </c>
      <c r="G3" s="2702">
        <f>F3/E3*100</f>
        <v>199.66581823626291</v>
      </c>
      <c r="H3" s="2722" t="s">
        <v>12</v>
      </c>
    </row>
    <row r="4" spans="1:9" ht="26.3">
      <c r="A4" s="2703">
        <v>2</v>
      </c>
      <c r="B4" s="2700" t="str">
        <f>'JAN1'!G57</f>
        <v>BALAI LABORATORIUM KESEHATAN P. LOMBOK</v>
      </c>
      <c r="C4" s="2721" t="s">
        <v>13</v>
      </c>
      <c r="D4" s="2701" t="s">
        <v>14</v>
      </c>
      <c r="E4" s="2702">
        <f>'JAN1'!K63</f>
        <v>1100000000</v>
      </c>
      <c r="F4" s="2702">
        <f>'JAN1'!N63</f>
        <v>1351482500</v>
      </c>
      <c r="G4" s="2702">
        <f>F4/E4*100</f>
        <v>122.86204545454547</v>
      </c>
      <c r="H4" s="2721" t="s">
        <v>15</v>
      </c>
    </row>
    <row r="5" spans="1:9" ht="26.3">
      <c r="A5" s="2703">
        <v>3</v>
      </c>
      <c r="B5" s="2700" t="str">
        <f>'JAN1'!G75</f>
        <v>BALAI LAB. KESEHATAN PULAU SUMBAWA</v>
      </c>
      <c r="C5" s="2721" t="s">
        <v>13</v>
      </c>
      <c r="D5" s="2701" t="s">
        <v>14</v>
      </c>
      <c r="E5" s="2702">
        <f>'JAN1'!K80</f>
        <v>200000000</v>
      </c>
      <c r="F5" s="2702">
        <f>'JAN1'!N80</f>
        <v>291113500</v>
      </c>
      <c r="G5" s="2702">
        <f t="shared" ref="G5:G36" si="0">F5/E5*100</f>
        <v>145.55674999999999</v>
      </c>
      <c r="H5" s="2721" t="s">
        <v>16</v>
      </c>
    </row>
    <row r="6" spans="1:9">
      <c r="A6" s="2703">
        <v>4</v>
      </c>
      <c r="B6" s="2700" t="str">
        <f>'JAN1'!G91</f>
        <v>RUMAH SAKIT RUJUKAN PROVINSI</v>
      </c>
      <c r="C6" s="2721" t="s">
        <v>13</v>
      </c>
      <c r="D6" s="2701" t="s">
        <v>14</v>
      </c>
      <c r="E6" s="2702">
        <f>'JAN1'!K96</f>
        <v>13500000000</v>
      </c>
      <c r="F6" s="2702">
        <f>'JAN1'!N96</f>
        <v>10104067066</v>
      </c>
      <c r="G6" s="2702">
        <f t="shared" si="0"/>
        <v>74.844941229629626</v>
      </c>
      <c r="H6" s="2723" t="s">
        <v>17</v>
      </c>
    </row>
    <row r="7" spans="1:9" ht="26.3">
      <c r="A7" s="2703">
        <v>5</v>
      </c>
      <c r="B7" s="2700" t="str">
        <f>'JAN1'!G108</f>
        <v>BALAI PENGEMBANGAN TENAGA KESEHATAN MTR</v>
      </c>
      <c r="C7" s="2721" t="s">
        <v>18</v>
      </c>
      <c r="D7" s="2701" t="s">
        <v>9</v>
      </c>
      <c r="E7" s="2702">
        <f>'JAN1'!K115</f>
        <v>175000000</v>
      </c>
      <c r="F7" s="2702">
        <f>'JAN1'!N115</f>
        <v>148775000</v>
      </c>
      <c r="G7" s="2702">
        <f t="shared" si="0"/>
        <v>85.014285714285705</v>
      </c>
      <c r="H7" s="2721" t="s">
        <v>19</v>
      </c>
    </row>
    <row r="8" spans="1:9" ht="26.3">
      <c r="A8" s="2703">
        <v>6</v>
      </c>
      <c r="B8" s="2704" t="str">
        <f>'JAN1'!G139</f>
        <v xml:space="preserve">BALAI KESEHATAN MATA MATARAM   </v>
      </c>
      <c r="C8" s="2721" t="s">
        <v>13</v>
      </c>
      <c r="D8" s="2701" t="s">
        <v>14</v>
      </c>
      <c r="E8" s="2702">
        <f>'JAN1'!K145</f>
        <v>4000000000</v>
      </c>
      <c r="F8" s="2702">
        <f>'JAN1'!N145</f>
        <v>4571284000</v>
      </c>
      <c r="G8" s="2702">
        <f t="shared" si="0"/>
        <v>114.28210000000001</v>
      </c>
      <c r="H8" s="2721" t="s">
        <v>20</v>
      </c>
    </row>
    <row r="9" spans="1:9" ht="52.6">
      <c r="A9" s="2705">
        <v>7</v>
      </c>
      <c r="B9" s="2704" t="str">
        <f>'JAN1'!G190</f>
        <v>DINAS PEKERJAAN UMUM</v>
      </c>
      <c r="C9" s="2721" t="s">
        <v>8</v>
      </c>
      <c r="D9" s="2701" t="s">
        <v>9</v>
      </c>
      <c r="E9" s="2702">
        <f>'JAN1'!K199</f>
        <v>466750000</v>
      </c>
      <c r="F9" s="2702">
        <f>'JAN1'!N199</f>
        <v>411360000</v>
      </c>
      <c r="G9" s="2702">
        <f t="shared" si="0"/>
        <v>88.132833422603113</v>
      </c>
      <c r="H9" s="2721" t="s">
        <v>21</v>
      </c>
    </row>
    <row r="10" spans="1:9" ht="26.3">
      <c r="A10" s="2698"/>
      <c r="B10" s="2699"/>
      <c r="C10" s="2721" t="s">
        <v>22</v>
      </c>
      <c r="D10" s="2701" t="s">
        <v>9</v>
      </c>
      <c r="E10" s="2702">
        <f>'JAN1'!K196</f>
        <v>19250000</v>
      </c>
      <c r="F10" s="2702">
        <f>'JAN1'!N196</f>
        <v>0</v>
      </c>
      <c r="G10" s="2702">
        <f t="shared" si="0"/>
        <v>0</v>
      </c>
      <c r="H10" s="2721" t="s">
        <v>23</v>
      </c>
    </row>
    <row r="11" spans="1:9" ht="26.3">
      <c r="A11" s="2698">
        <v>8</v>
      </c>
      <c r="B11" s="2700" t="str">
        <f>'JAN1'!G214</f>
        <v>BADAN PERENC. PEMBANGUNAN DAERAH</v>
      </c>
      <c r="C11" s="2721" t="s">
        <v>22</v>
      </c>
      <c r="D11" s="2701" t="s">
        <v>9</v>
      </c>
      <c r="E11" s="2702">
        <f>'JAN1'!K220</f>
        <v>0</v>
      </c>
      <c r="F11" s="2702">
        <f>'JAN1'!N220</f>
        <v>0</v>
      </c>
      <c r="G11" s="2702">
        <v>0</v>
      </c>
      <c r="H11" s="2721" t="s">
        <v>24</v>
      </c>
    </row>
    <row r="12" spans="1:9" ht="26.3">
      <c r="A12" s="2703">
        <v>9</v>
      </c>
      <c r="B12" s="2700" t="str">
        <f>'JAN1'!G232</f>
        <v>DINAS PERHUB. KOMUNIKASI &amp; INFORMATIKA</v>
      </c>
      <c r="C12" s="2721" t="s">
        <v>25</v>
      </c>
      <c r="D12" s="2701" t="s">
        <v>26</v>
      </c>
      <c r="E12" s="2702">
        <f>'JAN1'!K239</f>
        <v>193889500</v>
      </c>
      <c r="F12" s="2702">
        <f>'JAN1'!N239</f>
        <v>75250000</v>
      </c>
      <c r="G12" s="2702">
        <f t="shared" si="0"/>
        <v>38.810765925952666</v>
      </c>
      <c r="H12" s="2721" t="s">
        <v>27</v>
      </c>
    </row>
    <row r="13" spans="1:9" ht="26.3">
      <c r="A13" s="2703">
        <v>10</v>
      </c>
      <c r="B13" s="2700" t="str">
        <f>'JAN1'!G288</f>
        <v>DINAS SOSIAL KEPENDUDUKAN &amp; CATPIL</v>
      </c>
      <c r="C13" s="2721" t="s">
        <v>8</v>
      </c>
      <c r="D13" s="2701" t="s">
        <v>9</v>
      </c>
      <c r="E13" s="2702">
        <f>'JAN1'!K296</f>
        <v>2000000</v>
      </c>
      <c r="F13" s="2702">
        <f>'JAN1'!N296</f>
        <v>0</v>
      </c>
      <c r="G13" s="2702">
        <f t="shared" si="0"/>
        <v>0</v>
      </c>
      <c r="H13" s="2721" t="s">
        <v>28</v>
      </c>
    </row>
    <row r="14" spans="1:9" ht="26.3">
      <c r="A14" s="2705">
        <v>11</v>
      </c>
      <c r="B14" s="2704" t="str">
        <f>'JAN1'!G310</f>
        <v>DINAS TENAGA KERJA DAN TRANSMIGRASI</v>
      </c>
      <c r="C14" s="2721" t="s">
        <v>29</v>
      </c>
      <c r="D14" s="2701" t="s">
        <v>30</v>
      </c>
      <c r="E14" s="2702">
        <f>'JAN1'!K316</f>
        <v>1455000000</v>
      </c>
      <c r="F14" s="2702">
        <f>'JAN1'!N316</f>
        <v>1622577600</v>
      </c>
      <c r="G14" s="2702">
        <f t="shared" si="0"/>
        <v>111.51736082474227</v>
      </c>
      <c r="H14" s="2721" t="s">
        <v>31</v>
      </c>
    </row>
    <row r="15" spans="1:9" ht="26.3">
      <c r="A15" s="2706"/>
      <c r="B15" s="2707"/>
      <c r="C15" s="2721" t="s">
        <v>8</v>
      </c>
      <c r="D15" s="2701" t="s">
        <v>9</v>
      </c>
      <c r="E15" s="2702">
        <f>'JAN1'!K319</f>
        <v>0</v>
      </c>
      <c r="F15" s="2702">
        <f>'JAN1'!N319</f>
        <v>42687600</v>
      </c>
      <c r="G15" s="2702" t="e">
        <f t="shared" si="0"/>
        <v>#DIV/0!</v>
      </c>
      <c r="H15" s="2721" t="s">
        <v>32</v>
      </c>
    </row>
    <row r="16" spans="1:9" ht="14.25" customHeight="1">
      <c r="A16" s="2706"/>
      <c r="B16" s="2707"/>
      <c r="C16" s="2721" t="s">
        <v>18</v>
      </c>
      <c r="D16" s="2701" t="s">
        <v>9</v>
      </c>
      <c r="E16" s="2702">
        <f>'JAN1'!K323</f>
        <v>75000000</v>
      </c>
      <c r="F16" s="2702">
        <f>'JAN1'!N323</f>
        <v>83250000</v>
      </c>
      <c r="G16" s="2702">
        <f t="shared" si="0"/>
        <v>111.00000000000001</v>
      </c>
      <c r="H16" s="2721" t="s">
        <v>33</v>
      </c>
    </row>
    <row r="17" spans="1:8" ht="26.3">
      <c r="A17" s="2705">
        <v>12</v>
      </c>
      <c r="B17" s="2704" t="str">
        <f>'JAN1'!G338</f>
        <v xml:space="preserve">DINAS KOPERASI DAN UKM </v>
      </c>
      <c r="C17" s="2721" t="s">
        <v>8</v>
      </c>
      <c r="D17" s="2701" t="s">
        <v>9</v>
      </c>
      <c r="E17" s="2702">
        <f>'JAN1'!K344</f>
        <v>152500000</v>
      </c>
      <c r="F17" s="2702">
        <f>'JAN1'!N344</f>
        <v>41900000</v>
      </c>
      <c r="G17" s="2702">
        <f t="shared" si="0"/>
        <v>27.475409836065573</v>
      </c>
      <c r="H17" s="2721" t="s">
        <v>34</v>
      </c>
    </row>
    <row r="18" spans="1:8" ht="14.25" customHeight="1">
      <c r="A18" s="2706"/>
      <c r="B18" s="2707"/>
      <c r="C18" s="2721" t="s">
        <v>18</v>
      </c>
      <c r="D18" s="2701" t="s">
        <v>9</v>
      </c>
      <c r="E18" s="2702">
        <f>'JAN1'!K347</f>
        <v>348625000</v>
      </c>
      <c r="F18" s="2702">
        <f>'JAN1'!N347</f>
        <v>494000000</v>
      </c>
      <c r="G18" s="2702">
        <f t="shared" si="0"/>
        <v>141.69953388311222</v>
      </c>
      <c r="H18" s="2721" t="s">
        <v>35</v>
      </c>
    </row>
    <row r="19" spans="1:8" ht="39.450000000000003">
      <c r="A19" s="2705">
        <v>13</v>
      </c>
      <c r="B19" s="2704" t="str">
        <f>'JAN1'!G363</f>
        <v xml:space="preserve">DINAS KEBUDAYAAN &amp; PARIWISATA       </v>
      </c>
      <c r="C19" s="2724" t="s">
        <v>8</v>
      </c>
      <c r="D19" s="2708" t="s">
        <v>9</v>
      </c>
      <c r="E19" s="2709">
        <f>'JAN1'!K370</f>
        <v>56500000</v>
      </c>
      <c r="F19" s="2709">
        <f>'JAN1'!N370</f>
        <v>42532000</v>
      </c>
      <c r="G19" s="2709">
        <f t="shared" si="0"/>
        <v>75.277876106194682</v>
      </c>
      <c r="H19" s="2724" t="s">
        <v>36</v>
      </c>
    </row>
    <row r="20" spans="1:8" ht="26.3">
      <c r="A20" s="2710"/>
      <c r="B20" s="2711"/>
      <c r="C20" s="2725" t="s">
        <v>18</v>
      </c>
      <c r="D20" s="2712" t="s">
        <v>9</v>
      </c>
      <c r="E20" s="2713">
        <f>'JAN1'!K374</f>
        <v>3500000</v>
      </c>
      <c r="F20" s="2713">
        <f>'JAN1'!N374</f>
        <v>0</v>
      </c>
      <c r="G20" s="2713">
        <f t="shared" si="0"/>
        <v>0</v>
      </c>
      <c r="H20" s="2725" t="s">
        <v>37</v>
      </c>
    </row>
    <row r="21" spans="1:8" ht="40.549999999999997" customHeight="1">
      <c r="A21" s="2698">
        <v>14</v>
      </c>
      <c r="B21" s="2699" t="str">
        <f>'JAN1'!G405</f>
        <v>BIRO UMUM</v>
      </c>
      <c r="C21" s="2726" t="s">
        <v>8</v>
      </c>
      <c r="D21" s="2714" t="s">
        <v>9</v>
      </c>
      <c r="E21" s="2715">
        <f>'JAN1'!K412</f>
        <v>131250000</v>
      </c>
      <c r="F21" s="2715">
        <f>'JAN1'!N412</f>
        <v>45175000</v>
      </c>
      <c r="G21" s="2715">
        <f t="shared" si="0"/>
        <v>34.419047619047625</v>
      </c>
      <c r="H21" s="2726" t="s">
        <v>38</v>
      </c>
    </row>
    <row r="22" spans="1:8" ht="39.450000000000003">
      <c r="A22" s="2703">
        <v>15</v>
      </c>
      <c r="B22" s="2700" t="str">
        <f>'JAN1'!G447</f>
        <v>BADAN PENGELOLAAN KEUANGAN DAERAH (BPKAD)</v>
      </c>
      <c r="C22" s="2721" t="s">
        <v>8</v>
      </c>
      <c r="D22" s="2701" t="s">
        <v>9</v>
      </c>
      <c r="E22" s="2702">
        <f>'JAN1'!K453</f>
        <v>2235631500</v>
      </c>
      <c r="F22" s="2702">
        <f>'JAN1'!N453</f>
        <v>1974201323</v>
      </c>
      <c r="G22" s="2702">
        <f t="shared" si="0"/>
        <v>88.306204443800326</v>
      </c>
      <c r="H22" s="2721" t="s">
        <v>39</v>
      </c>
    </row>
    <row r="23" spans="1:8" ht="39.450000000000003">
      <c r="A23" s="2703">
        <v>16</v>
      </c>
      <c r="B23" s="2700" t="str">
        <f>'JAN1'!G533</f>
        <v xml:space="preserve">KANTOR PENGHUBUNG PROVINSI NTB  </v>
      </c>
      <c r="C23" s="2721" t="s">
        <v>18</v>
      </c>
      <c r="D23" s="2701" t="s">
        <v>9</v>
      </c>
      <c r="E23" s="2702">
        <f>'JAN1'!K539</f>
        <v>1500000000</v>
      </c>
      <c r="F23" s="2702">
        <f>'JAN1'!N539</f>
        <v>1073900000</v>
      </c>
      <c r="G23" s="2702">
        <f t="shared" si="0"/>
        <v>71.593333333333334</v>
      </c>
      <c r="H23" s="2721" t="s">
        <v>40</v>
      </c>
    </row>
    <row r="24" spans="1:8">
      <c r="A24" s="2705">
        <v>17</v>
      </c>
      <c r="B24" s="2704" t="str">
        <f>'JAN1'!G607</f>
        <v>BADAN KEPEGAWAIAN DAERAH</v>
      </c>
      <c r="C24" s="2721" t="s">
        <v>8</v>
      </c>
      <c r="D24" s="2701" t="s">
        <v>9</v>
      </c>
      <c r="E24" s="2702">
        <f>'JAN1'!K615</f>
        <v>100000000</v>
      </c>
      <c r="F24" s="2702">
        <f>'JAN1'!N615</f>
        <v>269265000</v>
      </c>
      <c r="G24" s="2702">
        <f t="shared" si="0"/>
        <v>269.26499999999999</v>
      </c>
      <c r="H24" s="2723" t="s">
        <v>41</v>
      </c>
    </row>
    <row r="25" spans="1:8" ht="14.25" customHeight="1">
      <c r="A25" s="2706"/>
      <c r="B25" s="2707"/>
      <c r="C25" s="2721" t="s">
        <v>18</v>
      </c>
      <c r="D25" s="2701" t="s">
        <v>9</v>
      </c>
      <c r="E25" s="2702">
        <f>'JAN1'!K614</f>
        <v>150000000</v>
      </c>
      <c r="F25" s="2702">
        <f>'JAN1'!N614</f>
        <v>534475000</v>
      </c>
      <c r="G25" s="2702">
        <f t="shared" si="0"/>
        <v>356.31666666666666</v>
      </c>
      <c r="H25" s="2723" t="s">
        <v>41</v>
      </c>
    </row>
    <row r="26" spans="1:8" ht="26.3">
      <c r="A26" s="2703">
        <v>18</v>
      </c>
      <c r="B26" s="2700" t="str">
        <f>'JAN1'!G659</f>
        <v xml:space="preserve">DINAS PERTANIAN DAN HORTIKULTURA     </v>
      </c>
      <c r="C26" s="2721" t="s">
        <v>42</v>
      </c>
      <c r="D26" s="2701" t="s">
        <v>9</v>
      </c>
      <c r="E26" s="2702">
        <f>'JAN1'!K669</f>
        <v>1064387000</v>
      </c>
      <c r="F26" s="2702">
        <f>'JAN1'!N669</f>
        <v>974694000</v>
      </c>
      <c r="G26" s="2702">
        <f t="shared" si="0"/>
        <v>91.57327175172189</v>
      </c>
      <c r="H26" s="2721" t="s">
        <v>43</v>
      </c>
    </row>
    <row r="27" spans="1:8" ht="26.3">
      <c r="A27" s="2703">
        <v>19</v>
      </c>
      <c r="B27" s="2700" t="str">
        <f>'JAN1'!G691</f>
        <v xml:space="preserve">DINAS PERKEBUNAN      </v>
      </c>
      <c r="C27" s="2721" t="s">
        <v>42</v>
      </c>
      <c r="D27" s="2701" t="s">
        <v>9</v>
      </c>
      <c r="E27" s="2702">
        <f>'JAN1'!K702</f>
        <v>10000000</v>
      </c>
      <c r="F27" s="2702">
        <f>'JAN1'!N702</f>
        <v>42289500</v>
      </c>
      <c r="G27" s="2702">
        <f t="shared" si="0"/>
        <v>422.89500000000004</v>
      </c>
      <c r="H27" s="2721" t="s">
        <v>44</v>
      </c>
    </row>
    <row r="28" spans="1:8" ht="26.3">
      <c r="A28" s="2705">
        <v>20</v>
      </c>
      <c r="B28" s="2704" t="str">
        <f>'JAN1'!G720</f>
        <v>DINAS PETERNAKAN DAN KESEHATAN HEWAN</v>
      </c>
      <c r="C28" s="2721" t="s">
        <v>8</v>
      </c>
      <c r="D28" s="2701" t="s">
        <v>9</v>
      </c>
      <c r="E28" s="2702">
        <f>'JAN1'!K727</f>
        <v>785500000</v>
      </c>
      <c r="F28" s="2702">
        <f>'JAN1'!N727</f>
        <v>75272660</v>
      </c>
      <c r="G28" s="2702">
        <f t="shared" si="0"/>
        <v>9.5827702100572889</v>
      </c>
      <c r="H28" s="2721" t="s">
        <v>45</v>
      </c>
    </row>
    <row r="29" spans="1:8" ht="26.3">
      <c r="A29" s="2706"/>
      <c r="B29" s="2707"/>
      <c r="C29" s="2721" t="s">
        <v>42</v>
      </c>
      <c r="D29" s="2701" t="s">
        <v>9</v>
      </c>
      <c r="E29" s="2702">
        <f>'JAN1'!K733</f>
        <v>219000000</v>
      </c>
      <c r="F29" s="2702">
        <f>'JAN1'!N733</f>
        <v>504215330</v>
      </c>
      <c r="G29" s="2702">
        <f t="shared" si="0"/>
        <v>230.23531050228308</v>
      </c>
      <c r="H29" s="2723" t="s">
        <v>17</v>
      </c>
    </row>
    <row r="30" spans="1:8" ht="14.25" customHeight="1">
      <c r="A30" s="2705">
        <v>21</v>
      </c>
      <c r="B30" s="2704" t="str">
        <f>'JAN1'!G797</f>
        <v>DINAS KELAUTAN DAN PERIKANAN</v>
      </c>
      <c r="C30" s="2721" t="s">
        <v>8</v>
      </c>
      <c r="D30" s="2701" t="s">
        <v>9</v>
      </c>
      <c r="E30" s="2702">
        <f>'JAN1'!K804</f>
        <v>518680000</v>
      </c>
      <c r="F30" s="2702">
        <f>'JAN1'!N804</f>
        <v>348421200</v>
      </c>
      <c r="G30" s="2702">
        <f t="shared" si="0"/>
        <v>67.1745970540603</v>
      </c>
      <c r="H30" s="2723" t="s">
        <v>17</v>
      </c>
    </row>
    <row r="31" spans="1:8" ht="14.25" customHeight="1">
      <c r="A31" s="2706"/>
      <c r="B31" s="2707"/>
      <c r="C31" s="2721" t="s">
        <v>42</v>
      </c>
      <c r="D31" s="2701" t="s">
        <v>9</v>
      </c>
      <c r="E31" s="2702">
        <f>'JAN1'!K815</f>
        <v>820000000</v>
      </c>
      <c r="F31" s="2702">
        <f>'JAN1'!N815</f>
        <v>890741000</v>
      </c>
      <c r="G31" s="2702">
        <f t="shared" si="0"/>
        <v>108.62695121951221</v>
      </c>
      <c r="H31" s="2723" t="s">
        <v>17</v>
      </c>
    </row>
    <row r="32" spans="1:8" ht="26.3">
      <c r="A32" s="2703">
        <v>22</v>
      </c>
      <c r="B32" s="2700" t="str">
        <f>'JAN1'!G836</f>
        <v xml:space="preserve">DINAS PERINDUSTRIAN DAN PERDAGANGAN     </v>
      </c>
      <c r="C32" s="2721" t="s">
        <v>46</v>
      </c>
      <c r="D32" s="2701" t="s">
        <v>47</v>
      </c>
      <c r="E32" s="2702">
        <f>'JAN1'!K842</f>
        <v>240000000</v>
      </c>
      <c r="F32" s="2702">
        <f>'JAN1'!N842</f>
        <v>286866750</v>
      </c>
      <c r="G32" s="2702">
        <f t="shared" si="0"/>
        <v>119.5278125</v>
      </c>
      <c r="H32" s="2723" t="s">
        <v>41</v>
      </c>
    </row>
    <row r="33" spans="1:8">
      <c r="A33" s="2705">
        <v>23</v>
      </c>
      <c r="B33" s="2704" t="str">
        <f>'JAN1'!G873</f>
        <v>BADAN PENANAMAN MODAL</v>
      </c>
      <c r="C33" s="2721" t="s">
        <v>48</v>
      </c>
      <c r="D33" s="2701" t="s">
        <v>49</v>
      </c>
      <c r="E33" s="2702">
        <f>'JAN1'!K884</f>
        <v>0</v>
      </c>
      <c r="F33" s="2702">
        <f>'JAN1'!N884</f>
        <v>30964000</v>
      </c>
      <c r="G33" s="2702" t="e">
        <f t="shared" si="0"/>
        <v>#DIV/0!</v>
      </c>
      <c r="H33" s="2723" t="s">
        <v>41</v>
      </c>
    </row>
    <row r="34" spans="1:8" ht="14.25" customHeight="1">
      <c r="A34" s="2706"/>
      <c r="B34" s="2707"/>
      <c r="C34" s="2721" t="s">
        <v>25</v>
      </c>
      <c r="D34" s="2701" t="s">
        <v>26</v>
      </c>
      <c r="E34" s="2702">
        <f>'JAN1'!K885</f>
        <v>0</v>
      </c>
      <c r="F34" s="2702">
        <f>'JAN1'!N885</f>
        <v>32350000</v>
      </c>
      <c r="G34" s="2702" t="e">
        <f t="shared" si="0"/>
        <v>#DIV/0!</v>
      </c>
      <c r="H34" s="2723" t="s">
        <v>41</v>
      </c>
    </row>
    <row r="35" spans="1:8">
      <c r="A35" s="2705">
        <v>24</v>
      </c>
      <c r="B35" s="2704" t="str">
        <f>'JAN1'!G887</f>
        <v>SEKRETARIAT BAKORLUH</v>
      </c>
      <c r="C35" s="2721" t="s">
        <v>8</v>
      </c>
      <c r="D35" s="2701" t="s">
        <v>9</v>
      </c>
      <c r="E35" s="2702">
        <f>'JAN1'!K892</f>
        <v>0</v>
      </c>
      <c r="F35" s="2702">
        <f>'JAN1'!N892</f>
        <v>12450000</v>
      </c>
      <c r="G35" s="2702" t="e">
        <f t="shared" si="0"/>
        <v>#DIV/0!</v>
      </c>
      <c r="H35" s="2721" t="s">
        <v>50</v>
      </c>
    </row>
    <row r="36" spans="1:8" ht="26.3">
      <c r="A36" s="2716"/>
      <c r="B36" s="2717"/>
      <c r="C36" s="2725" t="s">
        <v>18</v>
      </c>
      <c r="D36" s="2701" t="s">
        <v>9</v>
      </c>
      <c r="E36" s="2713">
        <f>'JAN1'!K891</f>
        <v>200000000</v>
      </c>
      <c r="F36" s="2713">
        <f>'JAN1'!N891</f>
        <v>332850000</v>
      </c>
      <c r="G36" s="2713">
        <f t="shared" si="0"/>
        <v>166.42500000000001</v>
      </c>
      <c r="H36" s="2725" t="s">
        <v>51</v>
      </c>
    </row>
    <row r="37" spans="1:8">
      <c r="F37" s="2688">
        <f>SUM(F2:F36)</f>
        <v>26808906621</v>
      </c>
    </row>
    <row r="52" spans="1:8" ht="15.05">
      <c r="A52" s="5728" t="s">
        <v>52</v>
      </c>
      <c r="B52" s="5728"/>
      <c r="C52" s="5728"/>
      <c r="D52" s="5728"/>
      <c r="E52" s="5728"/>
      <c r="F52" s="5728"/>
      <c r="G52" s="5728"/>
      <c r="H52" s="5728"/>
    </row>
    <row r="53" spans="1:8" ht="15.05">
      <c r="A53" s="5728" t="s">
        <v>53</v>
      </c>
      <c r="B53" s="5728"/>
      <c r="C53" s="5728"/>
      <c r="D53" s="5728"/>
      <c r="E53" s="5728"/>
      <c r="F53" s="5728"/>
      <c r="G53" s="5728"/>
      <c r="H53" s="5728"/>
    </row>
  </sheetData>
  <mergeCells count="2">
    <mergeCell ref="A52:H52"/>
    <mergeCell ref="A53:H53"/>
  </mergeCells>
  <pageMargins left="0.35416666666666702" right="0.27500000000000002" top="0.39305555555555599" bottom="0.25" header="0.31458333333333299" footer="0.219444444444444"/>
  <pageSetup paperSize="128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L92"/>
  <sheetViews>
    <sheetView view="pageBreakPreview" topLeftCell="A4" zoomScale="98" zoomScaleNormal="120" zoomScaleSheetLayoutView="98" workbookViewId="0">
      <pane ySplit="6" topLeftCell="A32" activePane="bottomLeft" state="frozen"/>
      <selection activeCell="A4" sqref="A4"/>
      <selection pane="bottomLeft" activeCell="H34" sqref="H34"/>
    </sheetView>
  </sheetViews>
  <sheetFormatPr defaultColWidth="9.109375" defaultRowHeight="13.15"/>
  <cols>
    <col min="1" max="1" width="6.44140625" style="189" customWidth="1"/>
    <col min="2" max="7" width="2.6640625" style="193" customWidth="1"/>
    <col min="8" max="8" width="2.33203125" style="189" customWidth="1"/>
    <col min="9" max="9" width="6" style="189" customWidth="1"/>
    <col min="10" max="10" width="32.109375" style="189" customWidth="1"/>
    <col min="11" max="11" width="20.109375" style="189" hidden="1" customWidth="1"/>
    <col min="12" max="12" width="20" style="189" hidden="1" customWidth="1"/>
    <col min="13" max="13" width="19.5546875" style="189" customWidth="1"/>
    <col min="14" max="14" width="18.6640625" style="189" hidden="1" customWidth="1"/>
    <col min="15" max="15" width="20.44140625" style="189" customWidth="1"/>
    <col min="16" max="16" width="17.33203125" style="189" customWidth="1"/>
    <col min="17" max="17" width="8" style="189" customWidth="1"/>
    <col min="18" max="18" width="7.5546875" style="189" customWidth="1"/>
    <col min="19" max="19" width="20.109375" style="189" customWidth="1"/>
    <col min="20" max="20" width="17.5546875" style="189" bestFit="1" customWidth="1"/>
    <col min="21" max="16384" width="9.109375" style="189"/>
  </cols>
  <sheetData>
    <row r="1" spans="1:21" ht="18.2">
      <c r="A1" s="5808" t="s">
        <v>1184</v>
      </c>
      <c r="B1" s="5809"/>
      <c r="C1" s="5809"/>
      <c r="D1" s="5809"/>
      <c r="E1" s="5809"/>
      <c r="F1" s="5809"/>
      <c r="G1" s="5809"/>
      <c r="H1" s="5809"/>
      <c r="I1" s="5809"/>
      <c r="J1" s="5809"/>
      <c r="K1" s="5809"/>
      <c r="L1" s="5809"/>
      <c r="M1" s="5809"/>
      <c r="N1" s="5809"/>
      <c r="O1" s="5809"/>
      <c r="P1" s="5809"/>
      <c r="Q1" s="5809"/>
      <c r="R1" s="5809"/>
    </row>
    <row r="2" spans="1:21" ht="18.2">
      <c r="A2" s="5809" t="s">
        <v>1077</v>
      </c>
      <c r="B2" s="5809"/>
      <c r="C2" s="5809"/>
      <c r="D2" s="5809"/>
      <c r="E2" s="5809"/>
      <c r="F2" s="5809"/>
      <c r="G2" s="5809"/>
      <c r="H2" s="5809"/>
      <c r="I2" s="5809"/>
      <c r="J2" s="5809"/>
      <c r="K2" s="5809"/>
      <c r="L2" s="5809"/>
      <c r="M2" s="5809"/>
      <c r="N2" s="5809"/>
      <c r="O2" s="5809"/>
      <c r="P2" s="5809"/>
      <c r="Q2" s="5809"/>
      <c r="R2" s="5809"/>
    </row>
    <row r="3" spans="1:21">
      <c r="A3" s="194"/>
      <c r="B3" s="195"/>
      <c r="C3" s="195"/>
      <c r="D3" s="195"/>
      <c r="E3" s="195"/>
      <c r="F3" s="195"/>
      <c r="G3" s="195"/>
      <c r="H3" s="194"/>
      <c r="I3" s="194"/>
      <c r="J3" s="194"/>
      <c r="K3" s="194"/>
      <c r="L3" s="194"/>
      <c r="M3" s="194"/>
      <c r="N3" s="194"/>
      <c r="O3" s="194"/>
      <c r="P3" s="194"/>
      <c r="Q3" s="5810"/>
      <c r="R3" s="5810"/>
    </row>
    <row r="4" spans="1:21" ht="18.95" customHeight="1">
      <c r="A4" s="5826" t="str">
        <f>'Kom Kua PPAS'!A3:R3</f>
        <v>Draft KUA PPAS</v>
      </c>
      <c r="B4" s="5826"/>
      <c r="C4" s="5826"/>
      <c r="D4" s="5826"/>
      <c r="E4" s="5826"/>
      <c r="F4" s="5826"/>
      <c r="G4" s="5826"/>
      <c r="H4" s="5826"/>
      <c r="I4" s="5826"/>
      <c r="J4" s="5826"/>
      <c r="K4" s="5826"/>
      <c r="L4" s="5826"/>
      <c r="M4" s="5826"/>
      <c r="N4" s="5826"/>
      <c r="O4" s="5826"/>
      <c r="P4" s="5826"/>
      <c r="Q4" s="5826"/>
      <c r="R4" s="5826"/>
    </row>
    <row r="5" spans="1:21" ht="7.55" customHeight="1">
      <c r="A5" s="194"/>
      <c r="B5" s="195"/>
      <c r="C5" s="195"/>
      <c r="D5" s="195"/>
      <c r="E5" s="195"/>
      <c r="F5" s="195"/>
      <c r="G5" s="195"/>
      <c r="H5" s="194"/>
      <c r="I5" s="194"/>
      <c r="J5" s="194"/>
      <c r="K5" s="194"/>
      <c r="L5" s="194"/>
      <c r="M5" s="194"/>
      <c r="N5" s="194"/>
      <c r="O5" s="194"/>
      <c r="P5" s="194"/>
      <c r="Q5" s="5198"/>
      <c r="R5" s="5198"/>
    </row>
    <row r="6" spans="1:21" ht="15.85" customHeight="1">
      <c r="A6" s="196" t="s">
        <v>937</v>
      </c>
      <c r="B6" s="5811" t="s">
        <v>938</v>
      </c>
      <c r="C6" s="5812"/>
      <c r="D6" s="5812"/>
      <c r="E6" s="5812"/>
      <c r="F6" s="5812"/>
      <c r="G6" s="5813"/>
      <c r="H6" s="5817" t="s">
        <v>56</v>
      </c>
      <c r="I6" s="5817"/>
      <c r="J6" s="5817"/>
      <c r="K6" s="5818" t="s">
        <v>474</v>
      </c>
      <c r="L6" s="5818" t="s">
        <v>475</v>
      </c>
      <c r="M6" s="5818" t="s">
        <v>416</v>
      </c>
      <c r="N6" s="5820" t="s">
        <v>1078</v>
      </c>
      <c r="O6" s="214" t="s">
        <v>476</v>
      </c>
      <c r="P6" s="5821" t="s">
        <v>477</v>
      </c>
      <c r="Q6" s="5823" t="s">
        <v>6</v>
      </c>
      <c r="R6" s="5747" t="s">
        <v>704</v>
      </c>
    </row>
    <row r="7" spans="1:21" ht="14.25" customHeight="1">
      <c r="A7" s="197" t="s">
        <v>942</v>
      </c>
      <c r="B7" s="5814"/>
      <c r="C7" s="5815"/>
      <c r="D7" s="5815"/>
      <c r="E7" s="5815"/>
      <c r="F7" s="5815"/>
      <c r="G7" s="5816"/>
      <c r="H7" s="5824" t="s">
        <v>1080</v>
      </c>
      <c r="I7" s="5824"/>
      <c r="J7" s="5824"/>
      <c r="K7" s="5819"/>
      <c r="L7" s="5819"/>
      <c r="M7" s="5819"/>
      <c r="N7" s="5820"/>
      <c r="O7" s="215" t="s">
        <v>481</v>
      </c>
      <c r="P7" s="5822"/>
      <c r="Q7" s="5823"/>
      <c r="R7" s="5748"/>
    </row>
    <row r="8" spans="1:21" ht="12.7" customHeight="1">
      <c r="A8" s="198">
        <v>1</v>
      </c>
      <c r="B8" s="5806">
        <v>2</v>
      </c>
      <c r="C8" s="5806"/>
      <c r="D8" s="5806"/>
      <c r="E8" s="5806"/>
      <c r="F8" s="5806"/>
      <c r="G8" s="5806"/>
      <c r="H8" s="5807">
        <v>3</v>
      </c>
      <c r="I8" s="5807"/>
      <c r="J8" s="5807"/>
      <c r="K8" s="198">
        <v>4</v>
      </c>
      <c r="L8" s="198">
        <v>5</v>
      </c>
      <c r="M8" s="198">
        <v>6</v>
      </c>
      <c r="N8" s="198">
        <v>7</v>
      </c>
      <c r="O8" s="2777" t="s">
        <v>485</v>
      </c>
      <c r="P8" s="2777" t="s">
        <v>486</v>
      </c>
      <c r="Q8" s="2777" t="s">
        <v>444</v>
      </c>
      <c r="R8" s="2777" t="s">
        <v>969</v>
      </c>
      <c r="S8" s="3483"/>
      <c r="T8" s="226"/>
      <c r="U8" s="226"/>
    </row>
    <row r="9" spans="1:21" s="3433" customFormat="1" ht="15.85" customHeight="1">
      <c r="A9" s="3424"/>
      <c r="B9" s="3425">
        <v>6</v>
      </c>
      <c r="C9" s="3425">
        <v>1</v>
      </c>
      <c r="D9" s="3425">
        <v>1</v>
      </c>
      <c r="E9" s="3425" t="s">
        <v>445</v>
      </c>
      <c r="F9" s="3425" t="s">
        <v>440</v>
      </c>
      <c r="G9" s="3426"/>
      <c r="H9" s="3427" t="s">
        <v>1081</v>
      </c>
      <c r="I9" s="3428"/>
      <c r="J9" s="3429"/>
      <c r="K9" s="3519">
        <f t="shared" ref="K9:P9" si="0">K10+K57+K63</f>
        <v>3794636377504</v>
      </c>
      <c r="L9" s="3519">
        <f t="shared" si="0"/>
        <v>3946978987678.9697</v>
      </c>
      <c r="M9" s="3519">
        <f t="shared" si="0"/>
        <v>4791397359569</v>
      </c>
      <c r="N9" s="3519">
        <f t="shared" si="0"/>
        <v>1163476630856.72</v>
      </c>
      <c r="O9" s="3519">
        <f t="shared" si="0"/>
        <v>4838907185241</v>
      </c>
      <c r="P9" s="3999">
        <f t="shared" si="0"/>
        <v>47509825672</v>
      </c>
      <c r="Q9" s="3430">
        <f>O9/M9*100-100</f>
        <v>0.99156513448247097</v>
      </c>
      <c r="R9" s="3431"/>
      <c r="S9" s="436">
        <f>+O9-M9</f>
        <v>47509825672</v>
      </c>
      <c r="T9" s="3432">
        <f>+S9-P9</f>
        <v>0</v>
      </c>
    </row>
    <row r="10" spans="1:21" s="3408" customFormat="1" ht="17.100000000000001" customHeight="1">
      <c r="A10" s="3417" t="s">
        <v>61</v>
      </c>
      <c r="B10" s="3418"/>
      <c r="C10" s="3418"/>
      <c r="D10" s="3418"/>
      <c r="E10" s="3418"/>
      <c r="F10" s="3418"/>
      <c r="G10" s="3419"/>
      <c r="H10" s="4495" t="s">
        <v>180</v>
      </c>
      <c r="I10" s="3420"/>
      <c r="J10" s="3421"/>
      <c r="K10" s="3520">
        <f>K11+K17+K33+K44</f>
        <v>1442161862024</v>
      </c>
      <c r="L10" s="3520">
        <f>L11+L17+L33+L44</f>
        <v>1341792732792.4299</v>
      </c>
      <c r="M10" s="3520">
        <f>M11+M17+M33+M44</f>
        <v>1501611335359</v>
      </c>
      <c r="N10" s="3520">
        <f>N11+N17+N33+N44</f>
        <v>287722965598.72998</v>
      </c>
      <c r="O10" s="3520">
        <f>O11+O17+O33+O44</f>
        <v>1541880058011</v>
      </c>
      <c r="P10" s="4000">
        <f>O10-M10</f>
        <v>40268722652</v>
      </c>
      <c r="Q10" s="3406">
        <f t="shared" ref="Q10:Q69" si="1">O10/M10*100-100</f>
        <v>2.6817007639578634</v>
      </c>
      <c r="R10" s="3422"/>
      <c r="S10" s="436">
        <f>+O10-M10</f>
        <v>40268722652</v>
      </c>
      <c r="T10" s="3407">
        <f>+S10-P10</f>
        <v>0</v>
      </c>
    </row>
    <row r="11" spans="1:21" s="3493" customFormat="1" ht="17.100000000000001" customHeight="1">
      <c r="A11" s="3484" t="s">
        <v>1185</v>
      </c>
      <c r="B11" s="3485">
        <v>4</v>
      </c>
      <c r="C11" s="3485">
        <v>1</v>
      </c>
      <c r="D11" s="3485">
        <v>1</v>
      </c>
      <c r="E11" s="3485"/>
      <c r="F11" s="3485"/>
      <c r="G11" s="3486" t="s">
        <v>1082</v>
      </c>
      <c r="H11" s="3496" t="s">
        <v>1141</v>
      </c>
      <c r="I11" s="3488"/>
      <c r="J11" s="3489"/>
      <c r="K11" s="3521">
        <f t="shared" ref="K11:P11" si="2">SUM(K12:K16)</f>
        <v>1037549599000</v>
      </c>
      <c r="L11" s="3521">
        <f t="shared" si="2"/>
        <v>1003260953668</v>
      </c>
      <c r="M11" s="3521">
        <f t="shared" si="2"/>
        <v>1122139007935</v>
      </c>
      <c r="N11" s="3521">
        <f t="shared" si="2"/>
        <v>233266101062</v>
      </c>
      <c r="O11" s="3521">
        <f t="shared" si="2"/>
        <v>1140499313935</v>
      </c>
      <c r="P11" s="4001">
        <f t="shared" si="2"/>
        <v>18360306000</v>
      </c>
      <c r="Q11" s="3490">
        <f t="shared" si="1"/>
        <v>1.6361881968426815</v>
      </c>
      <c r="R11" s="3491"/>
      <c r="S11" s="436"/>
      <c r="T11" s="3492"/>
    </row>
    <row r="12" spans="1:21" ht="17.100000000000001" customHeight="1">
      <c r="A12" s="3340"/>
      <c r="B12" s="3667">
        <v>4</v>
      </c>
      <c r="C12" s="3667">
        <v>1</v>
      </c>
      <c r="D12" s="3667">
        <v>1</v>
      </c>
      <c r="E12" s="3668" t="s">
        <v>437</v>
      </c>
      <c r="F12" s="3667"/>
      <c r="G12" s="3350"/>
      <c r="H12" s="3669" t="s">
        <v>1142</v>
      </c>
      <c r="I12" s="2113"/>
      <c r="J12" s="3670"/>
      <c r="K12" s="3504">
        <f>'KOM opsi 1'!J14</f>
        <v>248153000000</v>
      </c>
      <c r="L12" s="3504">
        <f>'KOM opsi 1'!K14</f>
        <v>269187973631</v>
      </c>
      <c r="M12" s="3504">
        <f>'KOM opsi 1'!L14</f>
        <v>311893723935</v>
      </c>
      <c r="N12" s="3504">
        <f>'KOM opsi 1'!O14</f>
        <v>69415566816</v>
      </c>
      <c r="O12" s="4007">
        <f>'Kom Kua PPAS'!P13</f>
        <v>311893723935</v>
      </c>
      <c r="P12" s="3864">
        <f>O12-M12</f>
        <v>0</v>
      </c>
      <c r="Q12" s="3673">
        <f t="shared" si="1"/>
        <v>0</v>
      </c>
      <c r="R12" s="3674"/>
      <c r="S12" s="436"/>
      <c r="T12" s="436"/>
    </row>
    <row r="13" spans="1:21" ht="17.100000000000001" customHeight="1">
      <c r="A13" s="3343"/>
      <c r="B13" s="3343">
        <v>4</v>
      </c>
      <c r="C13" s="3343">
        <v>1</v>
      </c>
      <c r="D13" s="3343">
        <v>1</v>
      </c>
      <c r="E13" s="3675" t="s">
        <v>440</v>
      </c>
      <c r="F13" s="3343"/>
      <c r="G13" s="3352"/>
      <c r="H13" s="3676" t="s">
        <v>1153</v>
      </c>
      <c r="I13" s="202"/>
      <c r="J13" s="218"/>
      <c r="K13" s="3506">
        <f>'KOM opsi 1'!J26</f>
        <v>318503155000</v>
      </c>
      <c r="L13" s="3506">
        <f>'KOM opsi 1'!K26</f>
        <v>322208887701</v>
      </c>
      <c r="M13" s="3506">
        <f>'KOM opsi 1'!L26</f>
        <v>321503155000</v>
      </c>
      <c r="N13" s="3506">
        <f>'KOM opsi 1'!O26</f>
        <v>72721445555</v>
      </c>
      <c r="O13" s="3506">
        <f>'KOM sementara'!P25</f>
        <v>299817600000</v>
      </c>
      <c r="P13" s="4002">
        <f>O13-M13</f>
        <v>-21685555000</v>
      </c>
      <c r="Q13" s="3678">
        <f t="shared" si="1"/>
        <v>-6.7450520042330595</v>
      </c>
      <c r="R13" s="3679"/>
      <c r="S13" s="436"/>
      <c r="T13" s="436"/>
    </row>
    <row r="14" spans="1:21" ht="17.100000000000001" customHeight="1">
      <c r="A14" s="3343"/>
      <c r="B14" s="3343">
        <v>4</v>
      </c>
      <c r="C14" s="3343">
        <v>1</v>
      </c>
      <c r="D14" s="3343">
        <v>1</v>
      </c>
      <c r="E14" s="3675" t="s">
        <v>451</v>
      </c>
      <c r="F14" s="3343"/>
      <c r="G14" s="3352"/>
      <c r="H14" s="3676" t="s">
        <v>1154</v>
      </c>
      <c r="I14" s="202"/>
      <c r="J14" s="218"/>
      <c r="K14" s="3506">
        <f>'KOM opsi 1'!J38</f>
        <v>192900000000</v>
      </c>
      <c r="L14" s="3506">
        <f>'KOM opsi 1'!K38</f>
        <v>188945861622</v>
      </c>
      <c r="M14" s="3506">
        <f>'KOM opsi 1'!L38</f>
        <v>192900000000</v>
      </c>
      <c r="N14" s="3506">
        <f>'KOM opsi 1'!O38</f>
        <v>46114131883</v>
      </c>
      <c r="O14" s="3506">
        <f>'KOM sementara'!P37</f>
        <v>188945861000</v>
      </c>
      <c r="P14" s="4002">
        <f>O14-M14</f>
        <v>-3954139000</v>
      </c>
      <c r="Q14" s="3678">
        <f t="shared" si="1"/>
        <v>-2.0498387765681656</v>
      </c>
      <c r="R14" s="3679"/>
      <c r="S14" s="436"/>
      <c r="T14" s="436"/>
    </row>
    <row r="15" spans="1:21" ht="15.85" customHeight="1">
      <c r="A15" s="3343"/>
      <c r="B15" s="3343">
        <v>4</v>
      </c>
      <c r="C15" s="3343">
        <v>1</v>
      </c>
      <c r="D15" s="3343">
        <v>1</v>
      </c>
      <c r="E15" s="3675" t="s">
        <v>441</v>
      </c>
      <c r="F15" s="3343"/>
      <c r="G15" s="3352"/>
      <c r="H15" s="3676" t="s">
        <v>1156</v>
      </c>
      <c r="I15" s="202"/>
      <c r="J15" s="218"/>
      <c r="K15" s="3506">
        <f>'KOM opsi 1'!J40</f>
        <v>300000000</v>
      </c>
      <c r="L15" s="3506">
        <f>'KOM opsi 1'!K40</f>
        <v>361290857</v>
      </c>
      <c r="M15" s="3506">
        <f>'KOM opsi 1'!L40</f>
        <v>1000000000</v>
      </c>
      <c r="N15" s="3506">
        <f>'KOM opsi 1'!O40</f>
        <v>228953247</v>
      </c>
      <c r="O15" s="3506">
        <f>'KOM sementara'!P39</f>
        <v>1000000000</v>
      </c>
      <c r="P15" s="3677">
        <f>O15-M15</f>
        <v>0</v>
      </c>
      <c r="Q15" s="3678">
        <f t="shared" si="1"/>
        <v>0</v>
      </c>
      <c r="R15" s="3679"/>
      <c r="S15" s="436"/>
      <c r="T15" s="436"/>
    </row>
    <row r="16" spans="1:21" ht="15.85" customHeight="1">
      <c r="A16" s="3680"/>
      <c r="B16" s="3680">
        <v>4</v>
      </c>
      <c r="C16" s="3680">
        <v>1</v>
      </c>
      <c r="D16" s="3680">
        <v>1</v>
      </c>
      <c r="E16" s="4512" t="s">
        <v>456</v>
      </c>
      <c r="F16" s="3680"/>
      <c r="G16" s="3682"/>
      <c r="H16" s="3683" t="s">
        <v>1157</v>
      </c>
      <c r="I16" s="3684"/>
      <c r="J16" s="3685"/>
      <c r="K16" s="3686">
        <f>'KOM opsi 1'!J42</f>
        <v>277693444000</v>
      </c>
      <c r="L16" s="3686">
        <f>'KOM opsi 1'!K42</f>
        <v>222556939857</v>
      </c>
      <c r="M16" s="3686">
        <f>'KOM opsi 1'!L42</f>
        <v>294842129000</v>
      </c>
      <c r="N16" s="3686">
        <f>'KOM opsi 1'!O42</f>
        <v>44786003561</v>
      </c>
      <c r="O16" s="3686">
        <f>'KOM sementara'!P41</f>
        <v>338842129000</v>
      </c>
      <c r="P16" s="3687">
        <f>O16-M16</f>
        <v>44000000000</v>
      </c>
      <c r="Q16" s="3688">
        <f t="shared" si="1"/>
        <v>14.923240497968322</v>
      </c>
      <c r="R16" s="3689"/>
      <c r="S16" s="436"/>
      <c r="T16" s="436"/>
    </row>
    <row r="17" spans="1:20" s="3493" customFormat="1" ht="16.45" customHeight="1">
      <c r="A17" s="3494" t="s">
        <v>1186</v>
      </c>
      <c r="B17" s="3485">
        <v>4</v>
      </c>
      <c r="C17" s="3485">
        <v>1</v>
      </c>
      <c r="D17" s="3485">
        <v>2</v>
      </c>
      <c r="E17" s="3485"/>
      <c r="F17" s="3485"/>
      <c r="G17" s="3495" t="s">
        <v>1082</v>
      </c>
      <c r="H17" s="3496" t="s">
        <v>106</v>
      </c>
      <c r="I17" s="3488"/>
      <c r="J17" s="3497"/>
      <c r="K17" s="3503">
        <f>SUM(K18:K32)-K18-K23-K29</f>
        <v>29890858000</v>
      </c>
      <c r="L17" s="3503">
        <f>SUM(L18:L32)-L18-L23-L29</f>
        <v>29792038549</v>
      </c>
      <c r="M17" s="3503">
        <f>SUM(M18:M32)-M18-M23-M29</f>
        <v>18459358000</v>
      </c>
      <c r="N17" s="3503">
        <f>SUM(N18:N32)-N18-N23-N29</f>
        <v>4448558476</v>
      </c>
      <c r="O17" s="3503">
        <f>O18+O23+O29</f>
        <v>18259089000</v>
      </c>
      <c r="P17" s="3863">
        <f>SUM(P18:P32)-P18-P23-P29</f>
        <v>-200269000</v>
      </c>
      <c r="Q17" s="3490">
        <f t="shared" si="1"/>
        <v>-1.0849185545889526</v>
      </c>
      <c r="R17" s="3491"/>
      <c r="S17" s="436">
        <f t="shared" ref="S17:S71" si="3">+O17-M17</f>
        <v>-200269000</v>
      </c>
      <c r="T17" s="3492">
        <f t="shared" ref="T17:T71" si="4">+S17-P17</f>
        <v>0</v>
      </c>
    </row>
    <row r="18" spans="1:20">
      <c r="A18" s="3339"/>
      <c r="B18" s="3340">
        <v>4</v>
      </c>
      <c r="C18" s="3340">
        <v>1</v>
      </c>
      <c r="D18" s="3340">
        <v>2</v>
      </c>
      <c r="E18" s="3340" t="s">
        <v>437</v>
      </c>
      <c r="F18" s="3340"/>
      <c r="G18" s="3341"/>
      <c r="H18" s="3089" t="s">
        <v>107</v>
      </c>
      <c r="I18" s="212"/>
      <c r="J18" s="3088"/>
      <c r="K18" s="3504">
        <f>SUM(K19:K21)</f>
        <v>19059250000</v>
      </c>
      <c r="L18" s="3504">
        <f>SUM(L19:L21)</f>
        <v>19214538092</v>
      </c>
      <c r="M18" s="3504">
        <f>SUM(M19:M21)</f>
        <v>7519250000</v>
      </c>
      <c r="N18" s="3504">
        <f>SUM(N19:N21)</f>
        <v>2714722900</v>
      </c>
      <c r="O18" s="3504">
        <f>SUM(O19:O21)</f>
        <v>7519250000</v>
      </c>
      <c r="P18" s="3504">
        <f>O18-M18</f>
        <v>0</v>
      </c>
      <c r="Q18" s="3690">
        <f t="shared" si="1"/>
        <v>0</v>
      </c>
      <c r="R18" s="3083"/>
      <c r="S18" s="436">
        <f t="shared" si="3"/>
        <v>0</v>
      </c>
      <c r="T18" s="436">
        <f t="shared" si="4"/>
        <v>0</v>
      </c>
    </row>
    <row r="19" spans="1:20" ht="12.7" customHeight="1">
      <c r="A19" s="3342"/>
      <c r="B19" s="3343">
        <v>4</v>
      </c>
      <c r="C19" s="3343">
        <v>1</v>
      </c>
      <c r="D19" s="3343">
        <v>2</v>
      </c>
      <c r="E19" s="3343" t="s">
        <v>437</v>
      </c>
      <c r="F19" s="3343" t="s">
        <v>437</v>
      </c>
      <c r="G19" s="3344">
        <v>1</v>
      </c>
      <c r="H19" s="2214" t="s">
        <v>1083</v>
      </c>
      <c r="I19" s="200"/>
      <c r="J19" s="217"/>
      <c r="K19" s="3505">
        <f>+'KOM opsi 1'!J46</f>
        <v>18800000000</v>
      </c>
      <c r="L19" s="3505">
        <f>+'KOM opsi 1'!K46</f>
        <v>18927671342</v>
      </c>
      <c r="M19" s="3505">
        <f>+'KOM opsi 1'!L46</f>
        <v>7500000000</v>
      </c>
      <c r="N19" s="3505">
        <f>'KOM opsi 1'!O46</f>
        <v>2714722900</v>
      </c>
      <c r="O19" s="3505">
        <f>'KOM sementara'!P45</f>
        <v>7500000000</v>
      </c>
      <c r="P19" s="3505">
        <f>O19-M19</f>
        <v>0</v>
      </c>
      <c r="Q19" s="3691">
        <f t="shared" si="1"/>
        <v>0</v>
      </c>
      <c r="R19" s="2842"/>
      <c r="S19" s="436">
        <f t="shared" si="3"/>
        <v>0</v>
      </c>
      <c r="T19" s="436">
        <f t="shared" si="4"/>
        <v>0</v>
      </c>
    </row>
    <row r="20" spans="1:20">
      <c r="A20" s="3342"/>
      <c r="B20" s="3343">
        <v>4</v>
      </c>
      <c r="C20" s="3343">
        <v>1</v>
      </c>
      <c r="D20" s="3343">
        <v>2</v>
      </c>
      <c r="E20" s="3343" t="s">
        <v>437</v>
      </c>
      <c r="F20" s="3343" t="s">
        <v>445</v>
      </c>
      <c r="G20" s="3344">
        <v>2</v>
      </c>
      <c r="H20" s="2214" t="s">
        <v>1084</v>
      </c>
      <c r="I20" s="200"/>
      <c r="J20" s="217"/>
      <c r="K20" s="3505">
        <f>+'KOM opsi 1'!J51</f>
        <v>240000000</v>
      </c>
      <c r="L20" s="3505">
        <f>+'KOM opsi 1'!K51</f>
        <v>286866750</v>
      </c>
      <c r="M20" s="3505">
        <f>+'KOM opsi 1'!L51</f>
        <v>0</v>
      </c>
      <c r="N20" s="3505">
        <f>'KOM opsi 1'!P51</f>
        <v>0</v>
      </c>
      <c r="O20" s="3505">
        <f>'KOM sementara'!P50</f>
        <v>0</v>
      </c>
      <c r="P20" s="3505">
        <f>O20-M20</f>
        <v>0</v>
      </c>
      <c r="Q20" s="3691"/>
      <c r="R20" s="2842"/>
      <c r="S20" s="436">
        <f t="shared" si="3"/>
        <v>0</v>
      </c>
      <c r="T20" s="436">
        <f t="shared" si="4"/>
        <v>0</v>
      </c>
    </row>
    <row r="21" spans="1:20">
      <c r="A21" s="3342"/>
      <c r="B21" s="3343">
        <v>4</v>
      </c>
      <c r="C21" s="3343">
        <v>1</v>
      </c>
      <c r="D21" s="3343">
        <v>2</v>
      </c>
      <c r="E21" s="3343" t="s">
        <v>437</v>
      </c>
      <c r="F21" s="3343" t="s">
        <v>445</v>
      </c>
      <c r="G21" s="3344">
        <v>3</v>
      </c>
      <c r="H21" s="2214" t="s">
        <v>1011</v>
      </c>
      <c r="I21" s="200"/>
      <c r="J21" s="217"/>
      <c r="K21" s="3505">
        <f>+'KOM opsi 1'!J52</f>
        <v>19250000</v>
      </c>
      <c r="L21" s="3505">
        <f>+'KOM opsi 1'!K52</f>
        <v>0</v>
      </c>
      <c r="M21" s="3505">
        <f>+'KOM opsi 1'!L52</f>
        <v>19250000</v>
      </c>
      <c r="N21" s="3505">
        <f>'KOM opsi 1'!P52</f>
        <v>0</v>
      </c>
      <c r="O21" s="3505">
        <f>'KOM sementara'!P51</f>
        <v>19250000</v>
      </c>
      <c r="P21" s="3862">
        <f>O21-M21</f>
        <v>0</v>
      </c>
      <c r="Q21" s="3691">
        <f t="shared" si="1"/>
        <v>0</v>
      </c>
      <c r="R21" s="2842"/>
      <c r="S21" s="436">
        <f t="shared" si="3"/>
        <v>0</v>
      </c>
      <c r="T21" s="436">
        <f t="shared" si="4"/>
        <v>0</v>
      </c>
    </row>
    <row r="22" spans="1:20" ht="6.75" customHeight="1">
      <c r="A22" s="3342"/>
      <c r="B22" s="3343"/>
      <c r="C22" s="3343"/>
      <c r="D22" s="3343"/>
      <c r="E22" s="3343"/>
      <c r="F22" s="3343"/>
      <c r="G22" s="3344"/>
      <c r="H22" s="2214"/>
      <c r="I22" s="200"/>
      <c r="J22" s="217"/>
      <c r="K22" s="3505"/>
      <c r="L22" s="3505"/>
      <c r="M22" s="3505"/>
      <c r="N22" s="3505"/>
      <c r="O22" s="3505"/>
      <c r="P22" s="3500"/>
      <c r="Q22" s="3692"/>
      <c r="R22" s="2842"/>
      <c r="S22" s="436">
        <f t="shared" si="3"/>
        <v>0</v>
      </c>
      <c r="T22" s="436">
        <f t="shared" si="4"/>
        <v>0</v>
      </c>
    </row>
    <row r="23" spans="1:20">
      <c r="A23" s="3342"/>
      <c r="B23" s="3343">
        <v>4</v>
      </c>
      <c r="C23" s="3343">
        <v>1</v>
      </c>
      <c r="D23" s="3343">
        <v>2</v>
      </c>
      <c r="E23" s="3343" t="s">
        <v>438</v>
      </c>
      <c r="F23" s="3343"/>
      <c r="G23" s="3344"/>
      <c r="H23" s="1856" t="s">
        <v>109</v>
      </c>
      <c r="I23" s="202"/>
      <c r="J23" s="217"/>
      <c r="K23" s="3506">
        <f>SUM(K24:K27)</f>
        <v>9182718500</v>
      </c>
      <c r="L23" s="3506">
        <f>SUM(L24:L27)</f>
        <v>8816358857</v>
      </c>
      <c r="M23" s="3506">
        <f>SUM(M24:M27)</f>
        <v>9291218500</v>
      </c>
      <c r="N23" s="3506">
        <f>SUM(N24:N27)</f>
        <v>1256530576</v>
      </c>
      <c r="O23" s="3506">
        <f>SUM(O24:O27)</f>
        <v>8895949500</v>
      </c>
      <c r="P23" s="3524">
        <f>O23-M23</f>
        <v>-395269000</v>
      </c>
      <c r="Q23" s="3692">
        <f t="shared" si="1"/>
        <v>-4.2542213381377252</v>
      </c>
      <c r="R23" s="2842"/>
      <c r="S23" s="436">
        <f t="shared" si="3"/>
        <v>-395269000</v>
      </c>
      <c r="T23" s="436">
        <f t="shared" si="4"/>
        <v>0</v>
      </c>
    </row>
    <row r="24" spans="1:20">
      <c r="A24" s="3342"/>
      <c r="B24" s="3343">
        <v>4</v>
      </c>
      <c r="C24" s="3343">
        <v>1</v>
      </c>
      <c r="D24" s="3343">
        <v>2</v>
      </c>
      <c r="E24" s="3343" t="s">
        <v>438</v>
      </c>
      <c r="F24" s="3343" t="s">
        <v>437</v>
      </c>
      <c r="G24" s="3344">
        <v>1</v>
      </c>
      <c r="H24" s="2214" t="s">
        <v>986</v>
      </c>
      <c r="I24" s="200"/>
      <c r="J24" s="217"/>
      <c r="K24" s="3505">
        <f>+'KOM opsi 1'!J57</f>
        <v>4557206500</v>
      </c>
      <c r="L24" s="3505">
        <f>+'KOM opsi 1'!K57</f>
        <v>3676781427</v>
      </c>
      <c r="M24" s="3505">
        <f>+'KOM opsi 1'!L57</f>
        <v>4630706500</v>
      </c>
      <c r="N24" s="3505">
        <f>'KOM opsi 1'!O57</f>
        <v>376759526</v>
      </c>
      <c r="O24" s="3505">
        <f>'KOM sementara'!P56</f>
        <v>3861806500</v>
      </c>
      <c r="P24" s="3500">
        <f>O24-M24</f>
        <v>-768900000</v>
      </c>
      <c r="Q24" s="3691">
        <f t="shared" si="1"/>
        <v>-16.604377755316605</v>
      </c>
      <c r="R24" s="2842"/>
      <c r="S24" s="436"/>
      <c r="T24" s="436">
        <f t="shared" si="4"/>
        <v>768900000</v>
      </c>
    </row>
    <row r="25" spans="1:20">
      <c r="A25" s="3342"/>
      <c r="B25" s="3343">
        <v>4</v>
      </c>
      <c r="C25" s="3343">
        <v>1</v>
      </c>
      <c r="D25" s="3343">
        <v>2</v>
      </c>
      <c r="E25" s="3343" t="s">
        <v>438</v>
      </c>
      <c r="F25" s="3343" t="s">
        <v>440</v>
      </c>
      <c r="G25" s="3344">
        <v>2</v>
      </c>
      <c r="H25" s="2214" t="s">
        <v>1085</v>
      </c>
      <c r="I25" s="200"/>
      <c r="J25" s="217"/>
      <c r="K25" s="3505">
        <f>+'KOM opsi 1'!J137</f>
        <v>2512125000</v>
      </c>
      <c r="L25" s="3505">
        <f>+'KOM opsi 1'!K137</f>
        <v>2733928400</v>
      </c>
      <c r="M25" s="3505">
        <f>+'KOM opsi 1'!L137</f>
        <v>2547125000</v>
      </c>
      <c r="N25" s="3505">
        <f>'KOM opsi 1'!O137</f>
        <v>311760000</v>
      </c>
      <c r="O25" s="3505">
        <f>'Kom Kua PPAS'!P139</f>
        <v>2667125000</v>
      </c>
      <c r="P25" s="3500">
        <f>O25-M25</f>
        <v>120000000</v>
      </c>
      <c r="Q25" s="3691">
        <f t="shared" si="1"/>
        <v>4.7111939932276528</v>
      </c>
      <c r="R25" s="2842"/>
      <c r="S25" s="436">
        <f t="shared" si="3"/>
        <v>120000000</v>
      </c>
      <c r="T25" s="436">
        <f t="shared" si="4"/>
        <v>0</v>
      </c>
    </row>
    <row r="26" spans="1:20">
      <c r="A26" s="3342"/>
      <c r="B26" s="3343">
        <v>4</v>
      </c>
      <c r="C26" s="3343">
        <v>1</v>
      </c>
      <c r="D26" s="3343">
        <v>2</v>
      </c>
      <c r="E26" s="3343" t="s">
        <v>438</v>
      </c>
      <c r="F26" s="3345" t="s">
        <v>451</v>
      </c>
      <c r="G26" s="3344"/>
      <c r="H26" s="2214" t="s">
        <v>1086</v>
      </c>
      <c r="I26" s="200"/>
      <c r="J26" s="217"/>
      <c r="K26" s="3505"/>
      <c r="L26" s="3505"/>
      <c r="M26" s="3505">
        <v>0</v>
      </c>
      <c r="N26" s="3505">
        <f>'KOM opsi 1'!O156</f>
        <v>97365000</v>
      </c>
      <c r="O26" s="3505">
        <f>'KOM sementara'!P159</f>
        <v>375000000</v>
      </c>
      <c r="P26" s="3500">
        <f>O26-M26</f>
        <v>375000000</v>
      </c>
      <c r="Q26" s="3691" t="e">
        <f t="shared" si="1"/>
        <v>#DIV/0!</v>
      </c>
      <c r="R26" s="2842"/>
      <c r="S26" s="436">
        <f t="shared" si="3"/>
        <v>375000000</v>
      </c>
      <c r="T26" s="436">
        <f t="shared" si="4"/>
        <v>0</v>
      </c>
    </row>
    <row r="27" spans="1:20">
      <c r="A27" s="3342"/>
      <c r="B27" s="3343">
        <v>4</v>
      </c>
      <c r="C27" s="3343">
        <v>1</v>
      </c>
      <c r="D27" s="3343">
        <v>2</v>
      </c>
      <c r="E27" s="3343" t="s">
        <v>438</v>
      </c>
      <c r="F27" s="3343" t="s">
        <v>448</v>
      </c>
      <c r="G27" s="3344">
        <v>3</v>
      </c>
      <c r="H27" s="2214" t="s">
        <v>1087</v>
      </c>
      <c r="I27" s="200"/>
      <c r="J27" s="217"/>
      <c r="K27" s="3505">
        <f>+'KOM opsi 1'!J162</f>
        <v>2113387000</v>
      </c>
      <c r="L27" s="3505">
        <f>+'KOM opsi 1'!K162</f>
        <v>2405649030</v>
      </c>
      <c r="M27" s="3505">
        <f>+'KOM opsi 1'!L162</f>
        <v>2113387000</v>
      </c>
      <c r="N27" s="3505">
        <f>'KOM opsi 1'!O162</f>
        <v>470646050</v>
      </c>
      <c r="O27" s="3505">
        <f>'KOM sementara'!P165</f>
        <v>1992018000</v>
      </c>
      <c r="P27" s="3500">
        <f>O27-M27</f>
        <v>-121369000</v>
      </c>
      <c r="Q27" s="3691">
        <f t="shared" si="1"/>
        <v>-5.7428667820896067</v>
      </c>
      <c r="R27" s="2842"/>
      <c r="S27" s="436">
        <f t="shared" si="3"/>
        <v>-121369000</v>
      </c>
      <c r="T27" s="436">
        <f t="shared" si="4"/>
        <v>0</v>
      </c>
    </row>
    <row r="28" spans="1:20" ht="6.75" customHeight="1">
      <c r="A28" s="3342"/>
      <c r="B28" s="3343"/>
      <c r="C28" s="3343"/>
      <c r="D28" s="3343"/>
      <c r="E28" s="3343"/>
      <c r="F28" s="3343"/>
      <c r="G28" s="3344"/>
      <c r="H28" s="2214"/>
      <c r="I28" s="200"/>
      <c r="J28" s="217"/>
      <c r="K28" s="3505"/>
      <c r="L28" s="3505"/>
      <c r="M28" s="3505"/>
      <c r="N28" s="3505"/>
      <c r="O28" s="3505"/>
      <c r="P28" s="3505"/>
      <c r="Q28" s="3691"/>
      <c r="R28" s="2842"/>
      <c r="S28" s="436">
        <f t="shared" si="3"/>
        <v>0</v>
      </c>
      <c r="T28" s="436">
        <f t="shared" si="4"/>
        <v>0</v>
      </c>
    </row>
    <row r="29" spans="1:20">
      <c r="A29" s="3342"/>
      <c r="B29" s="3343">
        <v>4</v>
      </c>
      <c r="C29" s="3343">
        <v>1</v>
      </c>
      <c r="D29" s="3343">
        <v>2</v>
      </c>
      <c r="E29" s="3343" t="s">
        <v>440</v>
      </c>
      <c r="F29" s="3343"/>
      <c r="G29" s="3344"/>
      <c r="H29" s="1856" t="s">
        <v>116</v>
      </c>
      <c r="I29" s="202"/>
      <c r="J29" s="218"/>
      <c r="K29" s="3506">
        <f>SUM(K30:K32)</f>
        <v>1648889500</v>
      </c>
      <c r="L29" s="3506">
        <f>SUM(L30:L32)</f>
        <v>1761141600</v>
      </c>
      <c r="M29" s="3506">
        <f>SUM(M30:M32)</f>
        <v>1648889500</v>
      </c>
      <c r="N29" s="3506">
        <f>SUM(N30:N32)</f>
        <v>477305000</v>
      </c>
      <c r="O29" s="3506">
        <f>SUM(O30:O32)</f>
        <v>1843889500</v>
      </c>
      <c r="P29" s="3506">
        <f t="shared" ref="P29:P35" si="5">O29-M29</f>
        <v>195000000</v>
      </c>
      <c r="Q29" s="3692">
        <f t="shared" si="1"/>
        <v>11.826141169556848</v>
      </c>
      <c r="R29" s="2842"/>
      <c r="S29" s="436">
        <f t="shared" si="3"/>
        <v>195000000</v>
      </c>
      <c r="T29" s="436">
        <f t="shared" si="4"/>
        <v>0</v>
      </c>
    </row>
    <row r="30" spans="1:20">
      <c r="A30" s="3342"/>
      <c r="B30" s="3343">
        <v>4</v>
      </c>
      <c r="C30" s="3343">
        <v>1</v>
      </c>
      <c r="D30" s="3343">
        <v>2</v>
      </c>
      <c r="E30" s="3343" t="s">
        <v>440</v>
      </c>
      <c r="F30" s="3343" t="s">
        <v>437</v>
      </c>
      <c r="G30" s="3344">
        <v>1</v>
      </c>
      <c r="H30" s="2214" t="s">
        <v>1088</v>
      </c>
      <c r="I30" s="202"/>
      <c r="J30" s="218"/>
      <c r="K30" s="3505">
        <f>+'KOM opsi 1'!J202</f>
        <v>193889500</v>
      </c>
      <c r="L30" s="3505">
        <f>+'KOM opsi 1'!K202</f>
        <v>122160000</v>
      </c>
      <c r="M30" s="3505">
        <f>+'KOM opsi 1'!L202</f>
        <v>193889500</v>
      </c>
      <c r="N30" s="3505">
        <f>+'KOM opsi 1'!O202</f>
        <v>28565000</v>
      </c>
      <c r="O30" s="3505">
        <f>'KOM sementara'!P205</f>
        <v>193889500</v>
      </c>
      <c r="P30" s="3507">
        <f t="shared" si="5"/>
        <v>0</v>
      </c>
      <c r="Q30" s="3691">
        <f t="shared" si="1"/>
        <v>0</v>
      </c>
      <c r="R30" s="2842"/>
      <c r="S30" s="436">
        <f t="shared" si="3"/>
        <v>0</v>
      </c>
      <c r="T30" s="436">
        <f t="shared" si="4"/>
        <v>0</v>
      </c>
    </row>
    <row r="31" spans="1:20">
      <c r="A31" s="3342"/>
      <c r="B31" s="3343">
        <v>4</v>
      </c>
      <c r="C31" s="3343">
        <v>1</v>
      </c>
      <c r="D31" s="3343">
        <v>2</v>
      </c>
      <c r="E31" s="3343" t="s">
        <v>440</v>
      </c>
      <c r="F31" s="3343">
        <v>2</v>
      </c>
      <c r="G31" s="3344">
        <v>2</v>
      </c>
      <c r="H31" s="199" t="s">
        <v>1089</v>
      </c>
      <c r="I31" s="202"/>
      <c r="J31" s="218"/>
      <c r="K31" s="3505">
        <f>+'KOM opsi 1'!J207</f>
        <v>0</v>
      </c>
      <c r="L31" s="3505">
        <f>+'KOM opsi 1'!K207</f>
        <v>16404000</v>
      </c>
      <c r="M31" s="3505">
        <f>+'KOM opsi 1'!L207</f>
        <v>0</v>
      </c>
      <c r="N31" s="3505">
        <f>+'KOM opsi 1'!O207</f>
        <v>0</v>
      </c>
      <c r="O31" s="3505">
        <f>'KOM sementara'!P210</f>
        <v>0</v>
      </c>
      <c r="P31" s="3507">
        <f t="shared" si="5"/>
        <v>0</v>
      </c>
      <c r="Q31" s="3691" t="e">
        <f t="shared" si="1"/>
        <v>#DIV/0!</v>
      </c>
      <c r="R31" s="2842"/>
      <c r="S31" s="436">
        <f t="shared" si="3"/>
        <v>0</v>
      </c>
      <c r="T31" s="436">
        <f t="shared" si="4"/>
        <v>0</v>
      </c>
    </row>
    <row r="32" spans="1:20">
      <c r="A32" s="3346"/>
      <c r="B32" s="3343">
        <v>4</v>
      </c>
      <c r="C32" s="3343">
        <v>1</v>
      </c>
      <c r="D32" s="3343">
        <v>2</v>
      </c>
      <c r="E32" s="3343" t="s">
        <v>437</v>
      </c>
      <c r="F32" s="3343">
        <v>16</v>
      </c>
      <c r="G32" s="3344">
        <v>4</v>
      </c>
      <c r="H32" s="2214" t="s">
        <v>971</v>
      </c>
      <c r="I32" s="200"/>
      <c r="J32" s="217"/>
      <c r="K32" s="3505">
        <f>+'KOM opsi 1'!J210</f>
        <v>1455000000</v>
      </c>
      <c r="L32" s="3505">
        <f>+'KOM opsi 1'!K210</f>
        <v>1622577600</v>
      </c>
      <c r="M32" s="3505">
        <f>+'KOM opsi 1'!L210</f>
        <v>1455000000</v>
      </c>
      <c r="N32" s="3505">
        <f>+'KOM opsi 1'!O210</f>
        <v>448740000</v>
      </c>
      <c r="O32" s="3505">
        <f>'KOM sementara'!P213</f>
        <v>1650000000</v>
      </c>
      <c r="P32" s="3507">
        <f t="shared" si="5"/>
        <v>195000000</v>
      </c>
      <c r="Q32" s="3691">
        <f t="shared" si="1"/>
        <v>13.402061855670098</v>
      </c>
      <c r="R32" s="2842"/>
      <c r="S32" s="436">
        <f t="shared" si="3"/>
        <v>195000000</v>
      </c>
      <c r="T32" s="436">
        <f t="shared" si="4"/>
        <v>0</v>
      </c>
    </row>
    <row r="33" spans="1:20" s="3493" customFormat="1" ht="16.45" customHeight="1">
      <c r="A33" s="3498" t="s">
        <v>78</v>
      </c>
      <c r="B33" s="3485">
        <v>4</v>
      </c>
      <c r="C33" s="3485">
        <v>1</v>
      </c>
      <c r="D33" s="3485">
        <v>3</v>
      </c>
      <c r="E33" s="3485"/>
      <c r="F33" s="3485"/>
      <c r="G33" s="3495" t="s">
        <v>1082</v>
      </c>
      <c r="H33" s="3496" t="str">
        <f>'rekap sementara'!H31</f>
        <v>HSL PENGELOLAAN KEKAYAAN DRH YG DIPISAHKAN</v>
      </c>
      <c r="I33" s="3488"/>
      <c r="J33" s="3489"/>
      <c r="K33" s="3503">
        <f>K34+K42</f>
        <v>157964885190</v>
      </c>
      <c r="L33" s="3503">
        <f>L34+L42</f>
        <v>72827611744</v>
      </c>
      <c r="M33" s="3503">
        <f>M34+M42</f>
        <v>92558485190</v>
      </c>
      <c r="N33" s="3503">
        <f>N34+N42</f>
        <v>0</v>
      </c>
      <c r="O33" s="3503">
        <f>O34+O42</f>
        <v>93009585651</v>
      </c>
      <c r="P33" s="3863">
        <f t="shared" si="5"/>
        <v>451100461</v>
      </c>
      <c r="Q33" s="3490">
        <f t="shared" si="1"/>
        <v>0.48736802474024898</v>
      </c>
      <c r="R33" s="3499"/>
      <c r="S33" s="436">
        <f t="shared" si="3"/>
        <v>451100461</v>
      </c>
      <c r="T33" s="3492">
        <f t="shared" si="4"/>
        <v>0</v>
      </c>
    </row>
    <row r="34" spans="1:20">
      <c r="A34" s="3339"/>
      <c r="B34" s="3340">
        <v>4</v>
      </c>
      <c r="C34" s="3340">
        <v>1</v>
      </c>
      <c r="D34" s="3340">
        <v>3</v>
      </c>
      <c r="E34" s="3340" t="s">
        <v>437</v>
      </c>
      <c r="F34" s="3340"/>
      <c r="G34" s="3350"/>
      <c r="H34" s="3089" t="s">
        <v>1091</v>
      </c>
      <c r="I34" s="212"/>
      <c r="J34" s="225"/>
      <c r="K34" s="3504">
        <f>SUM(K35:K41)</f>
        <v>157964885190</v>
      </c>
      <c r="L34" s="3504">
        <f>SUM(L35:L41)</f>
        <v>72827611744</v>
      </c>
      <c r="M34" s="3504">
        <f>SUM(M35:M41)</f>
        <v>90558485190</v>
      </c>
      <c r="N34" s="3504">
        <f>SUM(N35:N41)</f>
        <v>0</v>
      </c>
      <c r="O34" s="3504">
        <f>SUM(O35:O41)</f>
        <v>91009585651</v>
      </c>
      <c r="P34" s="3864">
        <f t="shared" si="5"/>
        <v>451100461</v>
      </c>
      <c r="Q34" s="3690">
        <f t="shared" si="1"/>
        <v>0.49813163289287843</v>
      </c>
      <c r="R34" s="3351"/>
      <c r="S34" s="436">
        <f t="shared" si="3"/>
        <v>451100461</v>
      </c>
      <c r="T34" s="436">
        <f t="shared" si="4"/>
        <v>0</v>
      </c>
    </row>
    <row r="35" spans="1:20">
      <c r="A35" s="3342"/>
      <c r="B35" s="3343"/>
      <c r="C35" s="3343"/>
      <c r="D35" s="3343"/>
      <c r="E35" s="3343"/>
      <c r="F35" s="3343"/>
      <c r="G35" s="3352">
        <v>1</v>
      </c>
      <c r="H35" s="199" t="s">
        <v>197</v>
      </c>
      <c r="I35" s="200"/>
      <c r="J35" s="217"/>
      <c r="K35" s="3505">
        <f>+'KOM opsi 1'!J217</f>
        <v>59958450102</v>
      </c>
      <c r="L35" s="3505">
        <f>+'KOM opsi 1'!K217</f>
        <v>59958510102</v>
      </c>
      <c r="M35" s="3505">
        <f>+'KOM opsi 1'!L217</f>
        <v>59958450102</v>
      </c>
      <c r="N35" s="3505">
        <f>+'KOM opsi 1'!O217</f>
        <v>0</v>
      </c>
      <c r="O35" s="3505">
        <f>'KOM sementara'!P220</f>
        <v>62065732074</v>
      </c>
      <c r="P35" s="3505">
        <f t="shared" si="5"/>
        <v>2107281972</v>
      </c>
      <c r="Q35" s="3692">
        <f t="shared" si="1"/>
        <v>3.5145704540646676</v>
      </c>
      <c r="R35" s="3353"/>
      <c r="S35" s="436">
        <f t="shared" si="3"/>
        <v>2107281972</v>
      </c>
      <c r="T35" s="436">
        <f t="shared" si="4"/>
        <v>0</v>
      </c>
    </row>
    <row r="36" spans="1:20">
      <c r="A36" s="3342"/>
      <c r="B36" s="3343"/>
      <c r="C36" s="3343"/>
      <c r="D36" s="3343"/>
      <c r="E36" s="3343"/>
      <c r="F36" s="3343"/>
      <c r="G36" s="3352">
        <v>2</v>
      </c>
      <c r="H36" s="199" t="s">
        <v>1092</v>
      </c>
      <c r="I36" s="200"/>
      <c r="J36" s="217"/>
      <c r="K36" s="3505">
        <f>+'KOM opsi 1'!J216</f>
        <v>11374571865</v>
      </c>
      <c r="L36" s="3505">
        <f>+'KOM opsi 1'!K216</f>
        <v>11631764969</v>
      </c>
      <c r="M36" s="3505">
        <f>+'KOM opsi 1'!L216</f>
        <v>13374571865</v>
      </c>
      <c r="N36" s="3505">
        <f>+'KOM opsi 1'!O216</f>
        <v>0</v>
      </c>
      <c r="O36" s="3505">
        <f>'KOM sementara'!P219</f>
        <v>11305220112</v>
      </c>
      <c r="P36" s="3862">
        <f t="shared" ref="P36:P42" si="6">O36-M36</f>
        <v>-2069351753</v>
      </c>
      <c r="Q36" s="3692">
        <f t="shared" si="1"/>
        <v>-15.472284076735946</v>
      </c>
      <c r="R36" s="3353"/>
      <c r="S36" s="436">
        <f t="shared" si="3"/>
        <v>-2069351753</v>
      </c>
      <c r="T36" s="436">
        <f t="shared" si="4"/>
        <v>0</v>
      </c>
    </row>
    <row r="37" spans="1:20">
      <c r="A37" s="3342"/>
      <c r="B37" s="3343"/>
      <c r="C37" s="3343"/>
      <c r="D37" s="3343"/>
      <c r="E37" s="3343"/>
      <c r="F37" s="3343"/>
      <c r="G37" s="3352">
        <v>3</v>
      </c>
      <c r="H37" s="199" t="s">
        <v>769</v>
      </c>
      <c r="I37" s="200"/>
      <c r="J37" s="217"/>
      <c r="K37" s="3505">
        <f>+'KOM opsi 1'!J218</f>
        <v>1000000000</v>
      </c>
      <c r="L37" s="3505">
        <f>+'KOM opsi 1'!K218</f>
        <v>1000000000</v>
      </c>
      <c r="M37" s="3505">
        <f>+'KOM opsi 1'!L218</f>
        <v>1000000000</v>
      </c>
      <c r="N37" s="3505">
        <f>+'KOM opsi 1'!O218</f>
        <v>0</v>
      </c>
      <c r="O37" s="3505">
        <f>'KOM sementara'!P221</f>
        <v>1100000000</v>
      </c>
      <c r="P37" s="3505">
        <f t="shared" si="6"/>
        <v>100000000</v>
      </c>
      <c r="Q37" s="3692">
        <f t="shared" si="1"/>
        <v>10.000000000000014</v>
      </c>
      <c r="R37" s="3353"/>
      <c r="S37" s="436">
        <f t="shared" si="3"/>
        <v>100000000</v>
      </c>
      <c r="T37" s="436">
        <f t="shared" si="4"/>
        <v>0</v>
      </c>
    </row>
    <row r="38" spans="1:20">
      <c r="A38" s="3342"/>
      <c r="B38" s="3343"/>
      <c r="C38" s="3343"/>
      <c r="D38" s="3343"/>
      <c r="E38" s="3343"/>
      <c r="F38" s="3343"/>
      <c r="G38" s="3352">
        <v>4</v>
      </c>
      <c r="H38" s="199" t="s">
        <v>199</v>
      </c>
      <c r="I38" s="200"/>
      <c r="J38" s="217"/>
      <c r="K38" s="3505">
        <f>+'KOM opsi 1'!J219</f>
        <v>85406400000</v>
      </c>
      <c r="L38" s="3505">
        <f>+'KOM opsi 1'!K219</f>
        <v>0</v>
      </c>
      <c r="M38" s="3505">
        <f>+'KOM opsi 1'!L219</f>
        <v>16000000000</v>
      </c>
      <c r="N38" s="3505">
        <f>+'KOM opsi 1'!O219</f>
        <v>0</v>
      </c>
      <c r="O38" s="3505">
        <f>'KOM sementara'!P222</f>
        <v>16000000000</v>
      </c>
      <c r="P38" s="3505">
        <f t="shared" si="6"/>
        <v>0</v>
      </c>
      <c r="Q38" s="3692">
        <f t="shared" si="1"/>
        <v>0</v>
      </c>
      <c r="R38" s="3353"/>
      <c r="S38" s="436">
        <f t="shared" si="3"/>
        <v>0</v>
      </c>
      <c r="T38" s="436">
        <f t="shared" si="4"/>
        <v>0</v>
      </c>
    </row>
    <row r="39" spans="1:20">
      <c r="A39" s="3342"/>
      <c r="B39" s="3343"/>
      <c r="C39" s="3343"/>
      <c r="D39" s="3343"/>
      <c r="E39" s="3343"/>
      <c r="F39" s="3343"/>
      <c r="G39" s="3352">
        <v>5</v>
      </c>
      <c r="H39" s="199" t="s">
        <v>200</v>
      </c>
      <c r="I39" s="200"/>
      <c r="J39" s="217"/>
      <c r="K39" s="3505" t="str">
        <f>+'KOM opsi 1'!J220</f>
        <v>-</v>
      </c>
      <c r="L39" s="3505">
        <f>+'KOM opsi 1'!K220</f>
        <v>0</v>
      </c>
      <c r="M39" s="3505">
        <f>+'KOM opsi 1'!L220</f>
        <v>0</v>
      </c>
      <c r="N39" s="3505">
        <f>+'KOM opsi 1'!O220</f>
        <v>0</v>
      </c>
      <c r="O39" s="3505">
        <f>'KOM opsi 2'!P219</f>
        <v>0</v>
      </c>
      <c r="P39" s="3505">
        <f t="shared" si="6"/>
        <v>0</v>
      </c>
      <c r="Q39" s="3692"/>
      <c r="R39" s="3353"/>
      <c r="S39" s="436">
        <f t="shared" si="3"/>
        <v>0</v>
      </c>
      <c r="T39" s="436">
        <f t="shared" si="4"/>
        <v>0</v>
      </c>
    </row>
    <row r="40" spans="1:20">
      <c r="A40" s="3342"/>
      <c r="B40" s="3343"/>
      <c r="C40" s="3343"/>
      <c r="D40" s="3343"/>
      <c r="E40" s="3343"/>
      <c r="F40" s="3343"/>
      <c r="G40" s="3352">
        <v>6</v>
      </c>
      <c r="H40" s="199" t="s">
        <v>1093</v>
      </c>
      <c r="I40" s="200"/>
      <c r="J40" s="217"/>
      <c r="K40" s="3505">
        <f>+'KOM opsi 1'!J221</f>
        <v>136702012</v>
      </c>
      <c r="L40" s="3505">
        <f>+'KOM opsi 1'!K221</f>
        <v>136702012</v>
      </c>
      <c r="M40" s="3505">
        <f>+'KOM opsi 1'!L221</f>
        <v>136702012</v>
      </c>
      <c r="N40" s="3505">
        <f>+'KOM opsi 1'!O221</f>
        <v>0</v>
      </c>
      <c r="O40" s="3505">
        <f>'KOM sementara'!P224</f>
        <v>437998804</v>
      </c>
      <c r="P40" s="3505">
        <f t="shared" si="6"/>
        <v>301296792</v>
      </c>
      <c r="Q40" s="3692">
        <f t="shared" si="1"/>
        <v>220.40406545003884</v>
      </c>
      <c r="R40" s="3353"/>
      <c r="S40" s="436">
        <f t="shared" si="3"/>
        <v>301296792</v>
      </c>
      <c r="T40" s="436">
        <f t="shared" si="4"/>
        <v>0</v>
      </c>
    </row>
    <row r="41" spans="1:20">
      <c r="A41" s="3342"/>
      <c r="B41" s="3343"/>
      <c r="C41" s="3343"/>
      <c r="D41" s="3343"/>
      <c r="E41" s="3343"/>
      <c r="F41" s="3343"/>
      <c r="G41" s="3352">
        <v>7</v>
      </c>
      <c r="H41" s="199" t="s">
        <v>770</v>
      </c>
      <c r="I41" s="200"/>
      <c r="J41" s="217"/>
      <c r="K41" s="3505">
        <f>+'KOM opsi 1'!J222</f>
        <v>88761211</v>
      </c>
      <c r="L41" s="3505">
        <f>+'KOM opsi 1'!K222</f>
        <v>100634661</v>
      </c>
      <c r="M41" s="3505">
        <f>+'KOM opsi 1'!L222</f>
        <v>88761211</v>
      </c>
      <c r="N41" s="3505">
        <f>+'KOM opsi 1'!O222</f>
        <v>0</v>
      </c>
      <c r="O41" s="3505">
        <f>'KOM sementara'!P225</f>
        <v>100634661</v>
      </c>
      <c r="P41" s="3505">
        <f t="shared" si="6"/>
        <v>11873450</v>
      </c>
      <c r="Q41" s="3692">
        <f t="shared" si="1"/>
        <v>13.376845433079993</v>
      </c>
      <c r="R41" s="3353"/>
      <c r="S41" s="436">
        <f t="shared" si="3"/>
        <v>11873450</v>
      </c>
      <c r="T41" s="436">
        <f t="shared" si="4"/>
        <v>0</v>
      </c>
    </row>
    <row r="42" spans="1:20" s="190" customFormat="1">
      <c r="A42" s="3342"/>
      <c r="B42" s="3343">
        <v>4</v>
      </c>
      <c r="C42" s="3343">
        <v>1</v>
      </c>
      <c r="D42" s="3343">
        <v>3</v>
      </c>
      <c r="E42" s="3345" t="s">
        <v>438</v>
      </c>
      <c r="F42" s="3343"/>
      <c r="G42" s="3344"/>
      <c r="H42" s="1856" t="s">
        <v>203</v>
      </c>
      <c r="I42" s="202"/>
      <c r="J42" s="218"/>
      <c r="K42" s="3506">
        <v>0</v>
      </c>
      <c r="L42" s="3506">
        <v>0</v>
      </c>
      <c r="M42" s="3506">
        <f>+'KOM opsi 1'!L224</f>
        <v>2000000000</v>
      </c>
      <c r="N42" s="3506">
        <f>+'KOM opsi 1'!O224</f>
        <v>0</v>
      </c>
      <c r="O42" s="3506">
        <f>'KOM sementara'!P226</f>
        <v>2000000000</v>
      </c>
      <c r="P42" s="3506">
        <f t="shared" si="6"/>
        <v>0</v>
      </c>
      <c r="Q42" s="3692">
        <f t="shared" si="1"/>
        <v>0</v>
      </c>
      <c r="R42" s="3354"/>
      <c r="S42" s="3389">
        <f t="shared" si="3"/>
        <v>0</v>
      </c>
      <c r="T42" s="3389">
        <f t="shared" si="4"/>
        <v>0</v>
      </c>
    </row>
    <row r="43" spans="1:20" ht="7.55" customHeight="1">
      <c r="A43" s="3533"/>
      <c r="B43" s="3534"/>
      <c r="C43" s="3534"/>
      <c r="D43" s="3534"/>
      <c r="E43" s="3534"/>
      <c r="F43" s="3534"/>
      <c r="G43" s="3535"/>
      <c r="H43" s="3536"/>
      <c r="I43" s="3537"/>
      <c r="J43" s="3538"/>
      <c r="K43" s="3539"/>
      <c r="L43" s="3539"/>
      <c r="M43" s="3539"/>
      <c r="N43" s="3539"/>
      <c r="O43" s="3539"/>
      <c r="P43" s="3539"/>
      <c r="Q43" s="3540"/>
      <c r="R43" s="3541"/>
      <c r="S43" s="436">
        <f t="shared" si="3"/>
        <v>0</v>
      </c>
      <c r="T43" s="436">
        <f t="shared" si="4"/>
        <v>0</v>
      </c>
    </row>
    <row r="44" spans="1:20" s="3493" customFormat="1" ht="16.45" customHeight="1">
      <c r="A44" s="3526" t="s">
        <v>100</v>
      </c>
      <c r="B44" s="3527">
        <v>4</v>
      </c>
      <c r="C44" s="3527">
        <v>1</v>
      </c>
      <c r="D44" s="3527">
        <v>4</v>
      </c>
      <c r="E44" s="3527"/>
      <c r="F44" s="3527"/>
      <c r="G44" s="3528" t="s">
        <v>1082</v>
      </c>
      <c r="H44" s="3529" t="s">
        <v>71</v>
      </c>
      <c r="I44" s="3530"/>
      <c r="J44" s="3531"/>
      <c r="K44" s="3521">
        <f>SUM(K45:K56)</f>
        <v>216756519834</v>
      </c>
      <c r="L44" s="3521">
        <f>SUM(L45:L56)</f>
        <v>235912128831.42999</v>
      </c>
      <c r="M44" s="3521">
        <f>SUM(M45:M56)</f>
        <v>268454484234</v>
      </c>
      <c r="N44" s="3521">
        <f>SUM(N45:N56)</f>
        <v>50008306060.729996</v>
      </c>
      <c r="O44" s="3521">
        <f>SUM(O45:O56)</f>
        <v>290112069425</v>
      </c>
      <c r="P44" s="3521">
        <f>O44-M44</f>
        <v>21657585191</v>
      </c>
      <c r="Q44" s="3490">
        <f t="shared" si="1"/>
        <v>8.0675073291463661</v>
      </c>
      <c r="R44" s="3532"/>
      <c r="S44" s="436">
        <f t="shared" si="3"/>
        <v>21657585191</v>
      </c>
      <c r="T44" s="3492">
        <f t="shared" si="4"/>
        <v>0</v>
      </c>
    </row>
    <row r="45" spans="1:20">
      <c r="A45" s="3355"/>
      <c r="B45" s="3356">
        <v>4</v>
      </c>
      <c r="C45" s="3356">
        <v>1</v>
      </c>
      <c r="D45" s="3356">
        <v>4</v>
      </c>
      <c r="E45" s="3356" t="s">
        <v>437</v>
      </c>
      <c r="F45" s="3356"/>
      <c r="G45" s="3356"/>
      <c r="H45" s="224" t="s">
        <v>1094</v>
      </c>
      <c r="I45" s="224"/>
      <c r="J45" s="3088"/>
      <c r="K45" s="3509">
        <f>+'KOM opsi 1'!J227</f>
        <v>250000000</v>
      </c>
      <c r="L45" s="3509">
        <f>+'KOM opsi 1'!K227</f>
        <v>25364000</v>
      </c>
      <c r="M45" s="3509">
        <f>+'KOM opsi 1'!L227</f>
        <v>250000000</v>
      </c>
      <c r="N45" s="3509">
        <f>+'KOM opsi 1'!O227</f>
        <v>0</v>
      </c>
      <c r="O45" s="3509">
        <f>'KOM sementara'!P230</f>
        <v>250000000</v>
      </c>
      <c r="P45" s="3505">
        <f t="shared" ref="P45:P56" si="7">O45-M45</f>
        <v>0</v>
      </c>
      <c r="Q45" s="3693">
        <f t="shared" si="1"/>
        <v>0</v>
      </c>
      <c r="R45" s="3357"/>
      <c r="S45" s="436">
        <f t="shared" si="3"/>
        <v>0</v>
      </c>
      <c r="T45" s="436">
        <f t="shared" si="4"/>
        <v>0</v>
      </c>
    </row>
    <row r="46" spans="1:20">
      <c r="A46" s="3358"/>
      <c r="B46" s="3359">
        <v>4</v>
      </c>
      <c r="C46" s="3359">
        <v>1</v>
      </c>
      <c r="D46" s="3359">
        <v>4</v>
      </c>
      <c r="E46" s="3359" t="s">
        <v>438</v>
      </c>
      <c r="F46" s="3359"/>
      <c r="G46" s="3359"/>
      <c r="H46" s="200" t="s">
        <v>212</v>
      </c>
      <c r="I46" s="200"/>
      <c r="J46" s="217"/>
      <c r="K46" s="3505">
        <f>+'KOM opsi 1'!J234</f>
        <v>4500000000</v>
      </c>
      <c r="L46" s="3505">
        <f>+'KOM opsi 1'!K234</f>
        <v>12549664258.33</v>
      </c>
      <c r="M46" s="3505">
        <f>+'KOM opsi 1'!L234</f>
        <v>4500000000</v>
      </c>
      <c r="N46" s="3505">
        <f>+'KOM opsi 1'!O234</f>
        <v>3095128647</v>
      </c>
      <c r="O46" s="3505">
        <f>'KOM sementara'!P237</f>
        <v>7037000000</v>
      </c>
      <c r="P46" s="3505">
        <f t="shared" si="7"/>
        <v>2537000000</v>
      </c>
      <c r="Q46" s="3691">
        <f t="shared" si="1"/>
        <v>56.377777777777766</v>
      </c>
      <c r="R46" s="3353"/>
      <c r="S46" s="436">
        <f t="shared" si="3"/>
        <v>2537000000</v>
      </c>
      <c r="T46" s="436">
        <f t="shared" si="4"/>
        <v>0</v>
      </c>
    </row>
    <row r="47" spans="1:20">
      <c r="A47" s="3358"/>
      <c r="B47" s="3359">
        <v>4</v>
      </c>
      <c r="C47" s="3359">
        <v>1</v>
      </c>
      <c r="D47" s="3359">
        <v>4</v>
      </c>
      <c r="E47" s="3359" t="s">
        <v>440</v>
      </c>
      <c r="F47" s="3359"/>
      <c r="G47" s="3359"/>
      <c r="H47" s="200" t="s">
        <v>1095</v>
      </c>
      <c r="I47" s="200"/>
      <c r="J47" s="217"/>
      <c r="K47" s="3505">
        <f>+'KOM opsi 1'!J240</f>
        <v>6875000000</v>
      </c>
      <c r="L47" s="3505">
        <f>+'KOM opsi 1'!K240</f>
        <v>9375000000</v>
      </c>
      <c r="M47" s="3505">
        <f>+'KOM opsi 1'!L240</f>
        <v>6875000000</v>
      </c>
      <c r="N47" s="3505">
        <f>+'KOM opsi 1'!O240</f>
        <v>875000000</v>
      </c>
      <c r="O47" s="3505">
        <f>'KOM sementara'!P243</f>
        <v>7000000000</v>
      </c>
      <c r="P47" s="3505">
        <f t="shared" si="7"/>
        <v>125000000</v>
      </c>
      <c r="Q47" s="3691">
        <f t="shared" si="1"/>
        <v>1.818181818181813</v>
      </c>
      <c r="R47" s="3353"/>
      <c r="S47" s="436">
        <f t="shared" si="3"/>
        <v>125000000</v>
      </c>
      <c r="T47" s="436">
        <f t="shared" si="4"/>
        <v>0</v>
      </c>
    </row>
    <row r="48" spans="1:20">
      <c r="A48" s="3358"/>
      <c r="B48" s="3359">
        <v>4</v>
      </c>
      <c r="C48" s="3359">
        <v>1</v>
      </c>
      <c r="D48" s="3359">
        <v>4</v>
      </c>
      <c r="E48" s="3359" t="s">
        <v>445</v>
      </c>
      <c r="F48" s="3359"/>
      <c r="G48" s="3359"/>
      <c r="H48" s="200" t="s">
        <v>1096</v>
      </c>
      <c r="I48" s="200"/>
      <c r="J48" s="217"/>
      <c r="K48" s="3505">
        <f>+'KOM opsi 1'!J243</f>
        <v>1205211975</v>
      </c>
      <c r="L48" s="3505">
        <f>+'KOM opsi 1'!K243</f>
        <v>354139064.23000002</v>
      </c>
      <c r="M48" s="3505">
        <f>+'KOM opsi 1'!L243</f>
        <v>1205211975</v>
      </c>
      <c r="N48" s="3505">
        <f>+'KOM opsi 1'!O243</f>
        <v>200000</v>
      </c>
      <c r="O48" s="3505">
        <f>'KOM sementara'!P246</f>
        <v>1205211975</v>
      </c>
      <c r="P48" s="3505">
        <f t="shared" si="7"/>
        <v>0</v>
      </c>
      <c r="Q48" s="3691">
        <f t="shared" si="1"/>
        <v>0</v>
      </c>
      <c r="R48" s="3353"/>
      <c r="S48" s="436">
        <f t="shared" si="3"/>
        <v>0</v>
      </c>
      <c r="T48" s="436">
        <f t="shared" si="4"/>
        <v>0</v>
      </c>
    </row>
    <row r="49" spans="1:38">
      <c r="A49" s="3358"/>
      <c r="B49" s="3359">
        <v>4</v>
      </c>
      <c r="C49" s="3359">
        <v>1</v>
      </c>
      <c r="D49" s="3359">
        <v>4</v>
      </c>
      <c r="E49" s="3359" t="s">
        <v>441</v>
      </c>
      <c r="F49" s="3359"/>
      <c r="G49" s="3359"/>
      <c r="H49" s="200" t="s">
        <v>1097</v>
      </c>
      <c r="I49" s="200"/>
      <c r="J49" s="218"/>
      <c r="K49" s="3505">
        <f>+'KOM opsi 1'!J247</f>
        <v>0</v>
      </c>
      <c r="L49" s="3505">
        <f>+'KOM opsi 1'!K247</f>
        <v>810940665.47000003</v>
      </c>
      <c r="M49" s="3505">
        <f>+'KOM opsi 1'!L247</f>
        <v>0</v>
      </c>
      <c r="N49" s="3505">
        <f>+'KOM opsi 1'!O247</f>
        <v>82408456.790000007</v>
      </c>
      <c r="O49" s="3505">
        <f>'KOM sementara'!P250</f>
        <v>82408000</v>
      </c>
      <c r="P49" s="3505">
        <f t="shared" si="7"/>
        <v>82408000</v>
      </c>
      <c r="Q49" s="3691"/>
      <c r="R49" s="3353"/>
      <c r="S49" s="436">
        <f t="shared" si="3"/>
        <v>82408000</v>
      </c>
      <c r="T49" s="436">
        <f t="shared" si="4"/>
        <v>0</v>
      </c>
    </row>
    <row r="50" spans="1:38">
      <c r="A50" s="3358"/>
      <c r="B50" s="3359">
        <v>4</v>
      </c>
      <c r="C50" s="3359">
        <v>1</v>
      </c>
      <c r="D50" s="3359">
        <v>4</v>
      </c>
      <c r="E50" s="3359" t="s">
        <v>456</v>
      </c>
      <c r="F50" s="3359"/>
      <c r="G50" s="3359"/>
      <c r="H50" s="200" t="s">
        <v>1098</v>
      </c>
      <c r="I50" s="200"/>
      <c r="J50" s="218"/>
      <c r="K50" s="3505">
        <f>+'KOM opsi 1'!J265</f>
        <v>18548560000</v>
      </c>
      <c r="L50" s="3505">
        <f>+'KOM opsi 1'!K265</f>
        <v>19634060483</v>
      </c>
      <c r="M50" s="3505">
        <f>+'KOM opsi 1'!L265</f>
        <v>18548560000</v>
      </c>
      <c r="N50" s="3505">
        <f>+'KOM opsi 1'!O265</f>
        <v>5482717061</v>
      </c>
      <c r="O50" s="3505">
        <f>'KOM sementara'!P268</f>
        <v>18798560000</v>
      </c>
      <c r="P50" s="3505">
        <f t="shared" si="7"/>
        <v>250000000</v>
      </c>
      <c r="Q50" s="3691">
        <f t="shared" si="1"/>
        <v>1.3478135229904638</v>
      </c>
      <c r="R50" s="3353"/>
      <c r="S50" s="436">
        <f t="shared" si="3"/>
        <v>250000000</v>
      </c>
      <c r="T50" s="436">
        <f t="shared" si="4"/>
        <v>0</v>
      </c>
    </row>
    <row r="51" spans="1:38">
      <c r="A51" s="3358"/>
      <c r="B51" s="3359">
        <v>4</v>
      </c>
      <c r="C51" s="3359">
        <v>1</v>
      </c>
      <c r="D51" s="3359">
        <v>4</v>
      </c>
      <c r="E51" s="3359" t="s">
        <v>448</v>
      </c>
      <c r="F51" s="3359"/>
      <c r="G51" s="3359"/>
      <c r="H51" s="200" t="s">
        <v>1070</v>
      </c>
      <c r="I51" s="200"/>
      <c r="J51" s="218"/>
      <c r="K51" s="3505">
        <f>+'KOM opsi 1'!J288</f>
        <v>235536159</v>
      </c>
      <c r="L51" s="3505">
        <f>+'KOM opsi 1'!K288</f>
        <v>12930312</v>
      </c>
      <c r="M51" s="3505">
        <f>+'KOM opsi 1'!L288</f>
        <v>235536159</v>
      </c>
      <c r="N51" s="3505">
        <f>+'KOM opsi 1'!O288</f>
        <v>1253496</v>
      </c>
      <c r="O51" s="3505">
        <f>'KOM sementara'!P291</f>
        <v>31000000</v>
      </c>
      <c r="P51" s="3505">
        <f t="shared" si="7"/>
        <v>-204536159</v>
      </c>
      <c r="Q51" s="3691">
        <f t="shared" si="1"/>
        <v>-86.838538875892937</v>
      </c>
      <c r="R51" s="3353"/>
      <c r="S51" s="436">
        <f t="shared" si="3"/>
        <v>-204536159</v>
      </c>
      <c r="T51" s="436">
        <f t="shared" si="4"/>
        <v>0</v>
      </c>
    </row>
    <row r="52" spans="1:38">
      <c r="A52" s="4506"/>
      <c r="B52" s="4507">
        <v>4</v>
      </c>
      <c r="C52" s="4507">
        <v>1</v>
      </c>
      <c r="D52" s="4507">
        <v>4</v>
      </c>
      <c r="E52" s="4507">
        <v>10</v>
      </c>
      <c r="F52" s="4507"/>
      <c r="G52" s="4507"/>
      <c r="H52" s="200" t="str">
        <f>'KOM sementara'!F299</f>
        <v>Pendapatan dari pengembalian</v>
      </c>
      <c r="I52" s="200"/>
      <c r="J52" s="4508"/>
      <c r="K52" s="4509"/>
      <c r="L52" s="4509"/>
      <c r="M52" s="4509">
        <f>'KOM sementara'!L299</f>
        <v>73939763650</v>
      </c>
      <c r="N52" s="4509"/>
      <c r="O52" s="4509">
        <f>'KOM sementara'!P299</f>
        <v>73954763650</v>
      </c>
      <c r="P52" s="3505">
        <f t="shared" si="7"/>
        <v>15000000</v>
      </c>
      <c r="Q52" s="3691">
        <f t="shared" si="1"/>
        <v>2.0286783808231235E-2</v>
      </c>
      <c r="R52" s="4510"/>
      <c r="S52" s="436"/>
      <c r="T52" s="436"/>
    </row>
    <row r="53" spans="1:38">
      <c r="A53" s="3358"/>
      <c r="B53" s="3359">
        <v>4</v>
      </c>
      <c r="C53" s="3359">
        <v>1</v>
      </c>
      <c r="D53" s="3359">
        <v>4</v>
      </c>
      <c r="E53" s="3359">
        <v>12</v>
      </c>
      <c r="F53" s="3359"/>
      <c r="G53" s="3359"/>
      <c r="H53" s="200" t="str">
        <f>'KOM sementara'!F366</f>
        <v>Pendapatan dari penyelenggaraan pendidikan</v>
      </c>
      <c r="I53" s="200"/>
      <c r="J53" s="218"/>
      <c r="K53" s="3505">
        <f>'KOM opsi 1'!L293</f>
        <v>0</v>
      </c>
      <c r="L53" s="3505">
        <f>'KOM opsi 1'!M293</f>
        <v>0</v>
      </c>
      <c r="M53" s="3505">
        <f>'KOM sementara'!L366</f>
        <v>4392225000</v>
      </c>
      <c r="N53" s="3505">
        <f>'KOM opsi 1'!P293</f>
        <v>0</v>
      </c>
      <c r="O53" s="3505">
        <f>'KOM sementara'!P366</f>
        <v>4392225000</v>
      </c>
      <c r="P53" s="3505">
        <f t="shared" si="7"/>
        <v>0</v>
      </c>
      <c r="Q53" s="3691"/>
      <c r="R53" s="3353"/>
      <c r="S53" s="436">
        <f t="shared" si="3"/>
        <v>0</v>
      </c>
      <c r="T53" s="436">
        <f t="shared" si="4"/>
        <v>0</v>
      </c>
    </row>
    <row r="54" spans="1:38" s="191" customFormat="1">
      <c r="A54" s="3358"/>
      <c r="B54" s="3359">
        <v>4</v>
      </c>
      <c r="C54" s="3359">
        <v>1</v>
      </c>
      <c r="D54" s="3359">
        <v>4</v>
      </c>
      <c r="E54" s="3359">
        <v>13</v>
      </c>
      <c r="F54" s="3359"/>
      <c r="G54" s="3359"/>
      <c r="H54" s="200" t="str">
        <f>'KOM sementara'!F373</f>
        <v>Pendapatan dari Angsuran/Cicilan Penjualan</v>
      </c>
      <c r="I54" s="200"/>
      <c r="J54" s="218"/>
      <c r="K54" s="3505">
        <f>+'KOM opsi 1'!J296</f>
        <v>68944925050</v>
      </c>
      <c r="L54" s="3505">
        <f>+'KOM opsi 1'!K296</f>
        <v>62912738507.940002</v>
      </c>
      <c r="M54" s="3505">
        <f>'KOM sementara'!L373</f>
        <v>60900800</v>
      </c>
      <c r="N54" s="3505">
        <f>+'KOM opsi 1'!O296</f>
        <v>50207140</v>
      </c>
      <c r="O54" s="3505">
        <f>'KOM sementara'!P373</f>
        <v>60900800</v>
      </c>
      <c r="P54" s="3505">
        <f t="shared" si="7"/>
        <v>0</v>
      </c>
      <c r="Q54" s="3691">
        <f t="shared" si="1"/>
        <v>0</v>
      </c>
      <c r="R54" s="3360"/>
      <c r="S54" s="436">
        <f t="shared" si="3"/>
        <v>0</v>
      </c>
      <c r="T54" s="436">
        <f t="shared" si="4"/>
        <v>0</v>
      </c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</row>
    <row r="55" spans="1:38" ht="14.25" customHeight="1">
      <c r="A55" s="4004"/>
      <c r="B55" s="3359">
        <v>4</v>
      </c>
      <c r="C55" s="3359">
        <v>1</v>
      </c>
      <c r="D55" s="3359">
        <v>4</v>
      </c>
      <c r="E55" s="3359">
        <v>15</v>
      </c>
      <c r="F55" s="3359"/>
      <c r="G55" s="3361" t="s">
        <v>437</v>
      </c>
      <c r="H55" s="200" t="s">
        <v>1100</v>
      </c>
      <c r="I55" s="200"/>
      <c r="J55" s="217"/>
      <c r="K55" s="3505">
        <f>+'KOM opsi 1'!J387</f>
        <v>0</v>
      </c>
      <c r="L55" s="3505">
        <f>+'KOM opsi 1'!K387</f>
        <v>0</v>
      </c>
      <c r="M55" s="3505">
        <f>+'KOM opsi 1'!L387</f>
        <v>0</v>
      </c>
      <c r="N55" s="3505">
        <f>+'KOM opsi 1'!O387</f>
        <v>3135000</v>
      </c>
      <c r="O55" s="3505">
        <f>+'KOM opsi 1'!P387</f>
        <v>0</v>
      </c>
      <c r="P55" s="3505">
        <f t="shared" si="7"/>
        <v>0</v>
      </c>
      <c r="Q55" s="4003"/>
      <c r="R55" s="3353"/>
      <c r="S55" s="436">
        <f t="shared" si="3"/>
        <v>0</v>
      </c>
      <c r="T55" s="436">
        <f t="shared" si="4"/>
        <v>0</v>
      </c>
    </row>
    <row r="56" spans="1:38" ht="18.8" customHeight="1">
      <c r="A56" s="3362"/>
      <c r="B56" s="3363">
        <v>4</v>
      </c>
      <c r="C56" s="3363">
        <v>1</v>
      </c>
      <c r="D56" s="3363">
        <v>4</v>
      </c>
      <c r="E56" s="3363">
        <v>16</v>
      </c>
      <c r="F56" s="3363"/>
      <c r="G56" s="3364" t="s">
        <v>437</v>
      </c>
      <c r="H56" s="203" t="s">
        <v>89</v>
      </c>
      <c r="I56" s="203"/>
      <c r="J56" s="219"/>
      <c r="K56" s="3510">
        <f>+'KOM opsi 1'!J373</f>
        <v>116197286650</v>
      </c>
      <c r="L56" s="3510">
        <f>+'KOM opsi 1'!K373</f>
        <v>130237291540.46001</v>
      </c>
      <c r="M56" s="3510">
        <f>+'KOM opsi 1'!L373</f>
        <v>158447286650</v>
      </c>
      <c r="N56" s="3510">
        <f>+'KOM opsi 1'!O373</f>
        <v>40418256259.939995</v>
      </c>
      <c r="O56" s="3510">
        <f>'KOM sementara'!P380</f>
        <v>177300000000</v>
      </c>
      <c r="P56" s="3505">
        <f t="shared" si="7"/>
        <v>18852713350</v>
      </c>
      <c r="Q56" s="5199">
        <f t="shared" si="1"/>
        <v>11.89841350306267</v>
      </c>
      <c r="R56" s="3365"/>
      <c r="S56" s="436">
        <f t="shared" si="3"/>
        <v>18852713350</v>
      </c>
      <c r="T56" s="436">
        <f>SUM(P45:P56)</f>
        <v>21657585191</v>
      </c>
    </row>
    <row r="57" spans="1:38" s="3416" customFormat="1" ht="16.45" customHeight="1">
      <c r="A57" s="3409" t="s">
        <v>78</v>
      </c>
      <c r="B57" s="3410" t="s">
        <v>443</v>
      </c>
      <c r="C57" s="3410" t="s">
        <v>460</v>
      </c>
      <c r="D57" s="3410"/>
      <c r="E57" s="3410"/>
      <c r="F57" s="3411"/>
      <c r="G57" s="3412"/>
      <c r="H57" s="3413" t="s">
        <v>236</v>
      </c>
      <c r="I57" s="3414"/>
      <c r="J57" s="3414"/>
      <c r="K57" s="3511">
        <f>K58+K61+K62</f>
        <v>2333604004580</v>
      </c>
      <c r="L57" s="3511">
        <f>L58+L61+L62</f>
        <v>2587184362905</v>
      </c>
      <c r="M57" s="3511">
        <f>M58+M61+M62</f>
        <v>3222521202310</v>
      </c>
      <c r="N57" s="3511">
        <f>N58+N61+N62</f>
        <v>829709441911</v>
      </c>
      <c r="O57" s="3511">
        <f>O58+O61+O62</f>
        <v>3211428669330</v>
      </c>
      <c r="P57" s="4005">
        <f t="shared" ref="P57:P63" si="8">O57-M57</f>
        <v>-11092532980</v>
      </c>
      <c r="Q57" s="5200">
        <f t="shared" si="1"/>
        <v>-0.34421908448727834</v>
      </c>
      <c r="R57" s="3415"/>
      <c r="S57" s="436">
        <f t="shared" si="3"/>
        <v>-11092532980</v>
      </c>
      <c r="T57" s="3407">
        <f t="shared" si="4"/>
        <v>0</v>
      </c>
    </row>
    <row r="58" spans="1:38">
      <c r="A58" s="3368"/>
      <c r="B58" s="3369">
        <v>4</v>
      </c>
      <c r="C58" s="3369">
        <v>2</v>
      </c>
      <c r="D58" s="3369">
        <v>1</v>
      </c>
      <c r="E58" s="3369"/>
      <c r="F58" s="3369"/>
      <c r="G58" s="3370"/>
      <c r="H58" s="204" t="s">
        <v>1102</v>
      </c>
      <c r="I58" s="204"/>
      <c r="J58" s="220"/>
      <c r="K58" s="3512">
        <f>SUM(K59:K60)</f>
        <v>247954406000</v>
      </c>
      <c r="L58" s="3512">
        <f>SUM(L59:L60)</f>
        <v>375036424549</v>
      </c>
      <c r="M58" s="3512">
        <f>SUM(M59:M60)</f>
        <v>353125684600</v>
      </c>
      <c r="N58" s="3512">
        <f>SUM(N59:N60)</f>
        <v>120779891911</v>
      </c>
      <c r="O58" s="3512">
        <f>SUM(O59:O60)</f>
        <v>328125684600</v>
      </c>
      <c r="P58" s="3862">
        <f t="shared" si="8"/>
        <v>-25000000000</v>
      </c>
      <c r="Q58" s="3693">
        <f t="shared" si="1"/>
        <v>-7.0796322924849022</v>
      </c>
      <c r="R58" s="3371"/>
      <c r="S58" s="436">
        <f t="shared" si="3"/>
        <v>-25000000000</v>
      </c>
      <c r="T58" s="436">
        <f t="shared" si="4"/>
        <v>0</v>
      </c>
    </row>
    <row r="59" spans="1:38">
      <c r="A59" s="3372"/>
      <c r="B59" s="3373"/>
      <c r="C59" s="3373"/>
      <c r="D59" s="3373"/>
      <c r="E59" s="3373"/>
      <c r="F59" s="3373"/>
      <c r="G59" s="3374"/>
      <c r="H59" s="2740" t="s">
        <v>50</v>
      </c>
      <c r="I59" s="205" t="s">
        <v>1103</v>
      </c>
      <c r="J59" s="221"/>
      <c r="K59" s="3513">
        <f>+'KOM opsi 1'!J399</f>
        <v>165277884000</v>
      </c>
      <c r="L59" s="3513">
        <f>+'KOM opsi 1'!K399</f>
        <v>165676022293</v>
      </c>
      <c r="M59" s="3513">
        <f>+'KOM opsi 1'!L399</f>
        <v>185190481600</v>
      </c>
      <c r="N59" s="3513">
        <f>+'KOM opsi 1'!O399</f>
        <v>58788864800</v>
      </c>
      <c r="O59" s="3513">
        <f>'KOM sementara'!P407</f>
        <v>176690481600</v>
      </c>
      <c r="P59" s="3862">
        <f t="shared" si="8"/>
        <v>-8500000000</v>
      </c>
      <c r="Q59" s="3691">
        <f t="shared" si="1"/>
        <v>-4.5898687268168885</v>
      </c>
      <c r="R59" s="3375"/>
      <c r="S59" s="436">
        <f t="shared" si="3"/>
        <v>-8500000000</v>
      </c>
      <c r="T59" s="436">
        <f t="shared" si="4"/>
        <v>0</v>
      </c>
    </row>
    <row r="60" spans="1:38">
      <c r="A60" s="3372"/>
      <c r="B60" s="3373"/>
      <c r="C60" s="3373"/>
      <c r="D60" s="3373"/>
      <c r="E60" s="3373"/>
      <c r="F60" s="3373"/>
      <c r="G60" s="3374"/>
      <c r="H60" s="2740" t="s">
        <v>50</v>
      </c>
      <c r="I60" s="205" t="s">
        <v>1104</v>
      </c>
      <c r="J60" s="221"/>
      <c r="K60" s="3514">
        <f>+'KOM opsi 1'!J405</f>
        <v>82676522000</v>
      </c>
      <c r="L60" s="3514">
        <f>+'KOM opsi 1'!K405</f>
        <v>209360402256</v>
      </c>
      <c r="M60" s="3514">
        <f>+'KOM opsi 1'!L405</f>
        <v>167935203000</v>
      </c>
      <c r="N60" s="3514">
        <f>+'KOM opsi 1'!O405</f>
        <v>61991027111</v>
      </c>
      <c r="O60" s="3514">
        <f>'KOM sementara'!P415</f>
        <v>151435203000</v>
      </c>
      <c r="P60" s="3862">
        <f t="shared" si="8"/>
        <v>-16500000000</v>
      </c>
      <c r="Q60" s="3691">
        <f t="shared" si="1"/>
        <v>-9.8252181229685362</v>
      </c>
      <c r="R60" s="3375"/>
      <c r="S60" s="436">
        <f t="shared" si="3"/>
        <v>-16500000000</v>
      </c>
      <c r="T60" s="436">
        <f t="shared" si="4"/>
        <v>0</v>
      </c>
    </row>
    <row r="61" spans="1:38">
      <c r="A61" s="3376"/>
      <c r="B61" s="3377">
        <v>4</v>
      </c>
      <c r="C61" s="3377">
        <v>2</v>
      </c>
      <c r="D61" s="3377">
        <v>2</v>
      </c>
      <c r="E61" s="3377"/>
      <c r="F61" s="3377"/>
      <c r="G61" s="3378"/>
      <c r="H61" s="206" t="s">
        <v>1105</v>
      </c>
      <c r="I61" s="206"/>
      <c r="J61" s="222"/>
      <c r="K61" s="3515">
        <f>+'KOM opsi 1'!J410</f>
        <v>955792513580</v>
      </c>
      <c r="L61" s="3515">
        <f>+'KOM opsi 1'!K410</f>
        <v>1117691709000</v>
      </c>
      <c r="M61" s="3515">
        <f>+'KOM opsi 1'!L410</f>
        <v>1496972549710</v>
      </c>
      <c r="N61" s="3515">
        <f>+'KOM opsi 1'!O410</f>
        <v>472007632000</v>
      </c>
      <c r="O61" s="3515">
        <f>'Kom Kua PPAS'!P422</f>
        <v>1491522952000</v>
      </c>
      <c r="P61" s="3862">
        <f t="shared" si="8"/>
        <v>-5449597710</v>
      </c>
      <c r="Q61" s="3691">
        <f t="shared" si="1"/>
        <v>-0.36404125854249969</v>
      </c>
      <c r="R61" s="3379"/>
      <c r="S61" s="436">
        <f t="shared" si="3"/>
        <v>-5449597710</v>
      </c>
      <c r="T61" s="436">
        <f t="shared" si="4"/>
        <v>0</v>
      </c>
    </row>
    <row r="62" spans="1:38">
      <c r="A62" s="3376"/>
      <c r="B62" s="3377">
        <v>4</v>
      </c>
      <c r="C62" s="3377">
        <v>2</v>
      </c>
      <c r="D62" s="3377">
        <v>3</v>
      </c>
      <c r="E62" s="3377"/>
      <c r="F62" s="3377"/>
      <c r="G62" s="3378"/>
      <c r="H62" s="206" t="s">
        <v>256</v>
      </c>
      <c r="I62" s="206"/>
      <c r="J62" s="222"/>
      <c r="K62" s="3515">
        <f>+'KOM opsi 1'!J415</f>
        <v>1129857085000</v>
      </c>
      <c r="L62" s="3515">
        <f>+'KOM opsi 1'!K415</f>
        <v>1094456229356</v>
      </c>
      <c r="M62" s="3515">
        <f>+'KOM opsi 1'!L415</f>
        <v>1372422968000</v>
      </c>
      <c r="N62" s="3515">
        <f>+'KOM opsi 1'!O415</f>
        <v>236921918000</v>
      </c>
      <c r="O62" s="3515">
        <f>'Kom Kua PPAS'!P427</f>
        <v>1391780032730</v>
      </c>
      <c r="P62" s="3862">
        <f t="shared" si="8"/>
        <v>19357064730</v>
      </c>
      <c r="Q62" s="5199">
        <f t="shared" si="1"/>
        <v>1.4104299608311379</v>
      </c>
      <c r="R62" s="3379"/>
      <c r="S62" s="436">
        <f t="shared" si="3"/>
        <v>19357064730</v>
      </c>
      <c r="T62" s="436">
        <f t="shared" si="4"/>
        <v>0</v>
      </c>
    </row>
    <row r="63" spans="1:38" s="3408" customFormat="1" ht="16.45" customHeight="1">
      <c r="A63" s="3400" t="s">
        <v>100</v>
      </c>
      <c r="B63" s="3401">
        <v>4</v>
      </c>
      <c r="C63" s="3401">
        <v>3</v>
      </c>
      <c r="D63" s="3401"/>
      <c r="E63" s="3401"/>
      <c r="F63" s="3401"/>
      <c r="G63" s="3401"/>
      <c r="H63" s="3402" t="s">
        <v>265</v>
      </c>
      <c r="I63" s="3403"/>
      <c r="J63" s="3404"/>
      <c r="K63" s="3522">
        <f>K64+K69</f>
        <v>18870510900</v>
      </c>
      <c r="L63" s="3522">
        <f>L64+L69</f>
        <v>18001891981.540001</v>
      </c>
      <c r="M63" s="3522">
        <f>M64+M69</f>
        <v>67264821900</v>
      </c>
      <c r="N63" s="3522">
        <f>N64+N69</f>
        <v>46044223346.990005</v>
      </c>
      <c r="O63" s="3522">
        <f>O64+O69</f>
        <v>85598457900</v>
      </c>
      <c r="P63" s="3522">
        <f t="shared" si="8"/>
        <v>18333636000</v>
      </c>
      <c r="Q63" s="5201">
        <f t="shared" si="1"/>
        <v>27.255905066181413</v>
      </c>
      <c r="R63" s="3405"/>
      <c r="S63" s="436">
        <f t="shared" si="3"/>
        <v>18333636000</v>
      </c>
      <c r="T63" s="3407">
        <f t="shared" si="4"/>
        <v>0</v>
      </c>
    </row>
    <row r="64" spans="1:38" ht="15.05" customHeight="1">
      <c r="A64" s="211"/>
      <c r="B64" s="3356">
        <v>4</v>
      </c>
      <c r="C64" s="3356">
        <v>3</v>
      </c>
      <c r="D64" s="3356">
        <v>1</v>
      </c>
      <c r="E64" s="3356"/>
      <c r="F64" s="3356"/>
      <c r="G64" s="3340"/>
      <c r="H64" s="212" t="s">
        <v>1106</v>
      </c>
      <c r="I64" s="224"/>
      <c r="J64" s="225"/>
      <c r="K64" s="3504">
        <f t="shared" ref="K64:P64" si="9">SUM(K65:K67)</f>
        <v>13870510900</v>
      </c>
      <c r="L64" s="3504">
        <f t="shared" si="9"/>
        <v>13001891981.540001</v>
      </c>
      <c r="M64" s="3504">
        <f t="shared" si="9"/>
        <v>13870510900</v>
      </c>
      <c r="N64" s="3504">
        <f t="shared" si="9"/>
        <v>19347068346.990002</v>
      </c>
      <c r="O64" s="3504">
        <f t="shared" si="9"/>
        <v>32204146900</v>
      </c>
      <c r="P64" s="3504">
        <f t="shared" si="9"/>
        <v>18333636000</v>
      </c>
      <c r="Q64" s="3690">
        <f t="shared" si="1"/>
        <v>132.17707791859348</v>
      </c>
      <c r="R64" s="3351"/>
      <c r="S64" s="436">
        <f t="shared" si="3"/>
        <v>18333636000</v>
      </c>
      <c r="T64" s="436">
        <f t="shared" si="4"/>
        <v>0</v>
      </c>
    </row>
    <row r="65" spans="1:20">
      <c r="A65" s="3380"/>
      <c r="B65" s="3359"/>
      <c r="C65" s="3359"/>
      <c r="D65" s="3359"/>
      <c r="E65" s="3359"/>
      <c r="F65" s="3359"/>
      <c r="G65" s="3343"/>
      <c r="H65" s="2778" t="s">
        <v>50</v>
      </c>
      <c r="I65" s="2727" t="s">
        <v>267</v>
      </c>
      <c r="J65" s="218"/>
      <c r="K65" s="3505">
        <f>'KOM opsi 1'!L430</f>
        <v>0</v>
      </c>
      <c r="L65" s="3505">
        <f>'KOM opsi 1'!M430</f>
        <v>0</v>
      </c>
      <c r="M65" s="3505">
        <f>'KOM opsi 1'!N430</f>
        <v>0</v>
      </c>
      <c r="N65" s="3505">
        <f>'KOM opsi 1'!P430</f>
        <v>0</v>
      </c>
      <c r="O65" s="3505">
        <f>'KOM opsi 2'!P431</f>
        <v>0</v>
      </c>
      <c r="P65" s="3505">
        <f>'KOM opsi 1'!R430</f>
        <v>0</v>
      </c>
      <c r="Q65" s="3692"/>
      <c r="R65" s="3353"/>
      <c r="S65" s="436">
        <f t="shared" si="3"/>
        <v>0</v>
      </c>
      <c r="T65" s="436">
        <f t="shared" si="4"/>
        <v>0</v>
      </c>
    </row>
    <row r="66" spans="1:20">
      <c r="A66" s="3381"/>
      <c r="B66" s="3359"/>
      <c r="C66" s="3359"/>
      <c r="D66" s="3359"/>
      <c r="E66" s="3359"/>
      <c r="F66" s="3359"/>
      <c r="G66" s="3343"/>
      <c r="H66" s="2778" t="s">
        <v>50</v>
      </c>
      <c r="I66" s="200" t="s">
        <v>1107</v>
      </c>
      <c r="J66" s="218"/>
      <c r="K66" s="3505">
        <f>+'KOM opsi 1'!J429</f>
        <v>13870510900</v>
      </c>
      <c r="L66" s="3505">
        <f>+'KOM opsi 1'!K429</f>
        <v>13001891981.540001</v>
      </c>
      <c r="M66" s="3505">
        <f>+'KOM opsi 1'!L429</f>
        <v>13870510900</v>
      </c>
      <c r="N66" s="3505">
        <f>'KOM opsi 2'!O432</f>
        <v>19347068346.990002</v>
      </c>
      <c r="O66" s="4514">
        <f>'KOM sementara'!P439</f>
        <v>32204146900</v>
      </c>
      <c r="P66" s="3505">
        <f>'KOM opsi 2'!Q432</f>
        <v>18333636000</v>
      </c>
      <c r="Q66" s="3691">
        <f t="shared" si="1"/>
        <v>132.17707791859348</v>
      </c>
      <c r="R66" s="3353"/>
      <c r="S66" s="436">
        <f>+O66-M66</f>
        <v>18333636000</v>
      </c>
      <c r="T66" s="436">
        <f t="shared" si="4"/>
        <v>0</v>
      </c>
    </row>
    <row r="67" spans="1:20">
      <c r="A67" s="3381"/>
      <c r="B67" s="3359"/>
      <c r="C67" s="3359"/>
      <c r="D67" s="3359"/>
      <c r="E67" s="3359"/>
      <c r="F67" s="3359"/>
      <c r="G67" s="3343"/>
      <c r="H67" s="213"/>
      <c r="I67" s="200" t="s">
        <v>1108</v>
      </c>
      <c r="J67" s="218"/>
      <c r="K67" s="3505"/>
      <c r="L67" s="3505"/>
      <c r="M67" s="3505"/>
      <c r="N67" s="3505"/>
      <c r="O67" s="3505"/>
      <c r="P67" s="3505"/>
      <c r="Q67" s="3692"/>
      <c r="R67" s="3353"/>
      <c r="S67" s="436">
        <f t="shared" si="3"/>
        <v>0</v>
      </c>
      <c r="T67" s="436">
        <f t="shared" si="4"/>
        <v>0</v>
      </c>
    </row>
    <row r="68" spans="1:20" ht="9.1" customHeight="1">
      <c r="A68" s="3382"/>
      <c r="B68" s="3383"/>
      <c r="C68" s="3383"/>
      <c r="D68" s="3383"/>
      <c r="E68" s="3383"/>
      <c r="F68" s="3383"/>
      <c r="G68" s="3384"/>
      <c r="H68" s="2844"/>
      <c r="I68" s="856"/>
      <c r="J68" s="1907"/>
      <c r="K68" s="3517"/>
      <c r="L68" s="3517"/>
      <c r="M68" s="3517"/>
      <c r="N68" s="3517"/>
      <c r="O68" s="3517"/>
      <c r="P68" s="3517"/>
      <c r="Q68" s="3692"/>
      <c r="R68" s="3385"/>
      <c r="S68" s="436">
        <f t="shared" si="3"/>
        <v>0</v>
      </c>
      <c r="T68" s="436">
        <f t="shared" si="4"/>
        <v>0</v>
      </c>
    </row>
    <row r="69" spans="1:20" s="190" customFormat="1" ht="12.7" customHeight="1">
      <c r="A69" s="228"/>
      <c r="B69" s="228" t="s">
        <v>443</v>
      </c>
      <c r="C69" s="228" t="s">
        <v>457</v>
      </c>
      <c r="D69" s="228" t="s">
        <v>443</v>
      </c>
      <c r="E69" s="228"/>
      <c r="F69" s="229"/>
      <c r="G69" s="230"/>
      <c r="H69" s="231" t="s">
        <v>652</v>
      </c>
      <c r="I69" s="202"/>
      <c r="J69" s="218"/>
      <c r="K69" s="3506">
        <f t="shared" ref="K69:P69" si="10">SUM(K70)</f>
        <v>5000000000</v>
      </c>
      <c r="L69" s="3506">
        <f t="shared" si="10"/>
        <v>5000000000</v>
      </c>
      <c r="M69" s="3506">
        <f t="shared" si="10"/>
        <v>53394311000</v>
      </c>
      <c r="N69" s="3506">
        <f t="shared" si="10"/>
        <v>26697155000</v>
      </c>
      <c r="O69" s="3506">
        <f t="shared" si="10"/>
        <v>53394311000</v>
      </c>
      <c r="P69" s="3506">
        <f t="shared" si="10"/>
        <v>0</v>
      </c>
      <c r="Q69" s="3692">
        <f t="shared" si="1"/>
        <v>0</v>
      </c>
      <c r="R69" s="3354"/>
      <c r="S69" s="436">
        <f t="shared" si="3"/>
        <v>0</v>
      </c>
      <c r="T69" s="436">
        <f t="shared" si="4"/>
        <v>0</v>
      </c>
    </row>
    <row r="70" spans="1:20" ht="12.7" customHeight="1">
      <c r="A70" s="232"/>
      <c r="B70" s="232"/>
      <c r="C70" s="232"/>
      <c r="D70" s="232"/>
      <c r="E70" s="232"/>
      <c r="F70" s="232"/>
      <c r="G70" s="230"/>
      <c r="H70" s="233" t="s">
        <v>293</v>
      </c>
      <c r="I70" s="200"/>
      <c r="J70" s="218"/>
      <c r="K70" s="3505">
        <f>+'KOM opsi 1'!J566</f>
        <v>5000000000</v>
      </c>
      <c r="L70" s="3505">
        <f>+'KOM opsi 1'!K566</f>
        <v>5000000000</v>
      </c>
      <c r="M70" s="3505">
        <f>+'KOM opsi 1'!L566</f>
        <v>53394311000</v>
      </c>
      <c r="N70" s="3505">
        <f>+'KOM opsi 1'!O562</f>
        <v>26697155000</v>
      </c>
      <c r="O70" s="3505">
        <f>'KOM sementara'!P574</f>
        <v>53394311000</v>
      </c>
      <c r="P70" s="3505">
        <f>+'KOM opsi 1'!Q562</f>
        <v>0</v>
      </c>
      <c r="Q70" s="5202">
        <f>O70/M70*100-100</f>
        <v>0</v>
      </c>
      <c r="R70" s="3353"/>
      <c r="S70" s="436">
        <f t="shared" si="3"/>
        <v>0</v>
      </c>
      <c r="T70" s="436">
        <f t="shared" si="4"/>
        <v>0</v>
      </c>
    </row>
    <row r="71" spans="1:20" s="3433" customFormat="1" ht="17.25" customHeight="1">
      <c r="A71" s="3434"/>
      <c r="B71" s="3435"/>
      <c r="C71" s="3435"/>
      <c r="D71" s="3435"/>
      <c r="E71" s="3435"/>
      <c r="F71" s="3435"/>
      <c r="G71" s="3435"/>
      <c r="H71" s="3436" t="s">
        <v>1109</v>
      </c>
      <c r="I71" s="3428"/>
      <c r="J71" s="3429"/>
      <c r="K71" s="3523">
        <f t="shared" ref="K71:P71" si="11">K63+K57+K10</f>
        <v>3794636377504</v>
      </c>
      <c r="L71" s="3523">
        <f t="shared" si="11"/>
        <v>3946978987678.9697</v>
      </c>
      <c r="M71" s="3523">
        <f t="shared" si="11"/>
        <v>4791397359569</v>
      </c>
      <c r="N71" s="3523">
        <f t="shared" si="11"/>
        <v>1163476630856.72</v>
      </c>
      <c r="O71" s="3523">
        <f t="shared" si="11"/>
        <v>4838907185241</v>
      </c>
      <c r="P71" s="4006">
        <f t="shared" si="11"/>
        <v>47509825672</v>
      </c>
      <c r="Q71" s="5203">
        <f>O71/M71*100-100</f>
        <v>0.99156513448247097</v>
      </c>
      <c r="R71" s="3437"/>
      <c r="S71" s="436">
        <f t="shared" si="3"/>
        <v>47509825672</v>
      </c>
      <c r="T71" s="3432">
        <f t="shared" si="4"/>
        <v>0</v>
      </c>
    </row>
    <row r="72" spans="1:20" ht="12.7" customHeight="1">
      <c r="J72" s="436"/>
      <c r="K72" s="3387"/>
      <c r="L72" s="3387"/>
      <c r="M72" s="3387"/>
      <c r="N72" s="240"/>
      <c r="O72" s="240"/>
      <c r="P72" s="240"/>
      <c r="R72" s="3388"/>
    </row>
    <row r="73" spans="1:20" ht="15.05">
      <c r="K73" s="3389"/>
      <c r="L73" s="3389"/>
      <c r="M73" s="1142"/>
      <c r="N73" s="1142"/>
      <c r="O73" s="4015" t="str">
        <f>'Kom Kua PPAS'!P587</f>
        <v>Mataram,         Juni  2017</v>
      </c>
      <c r="P73" s="1142"/>
    </row>
    <row r="74" spans="1:20" ht="15.05">
      <c r="K74" s="436"/>
      <c r="L74" s="436"/>
      <c r="M74" s="436"/>
      <c r="N74" s="422"/>
      <c r="O74" s="4017" t="s">
        <v>1213</v>
      </c>
      <c r="P74" s="422"/>
      <c r="Q74" s="422"/>
    </row>
    <row r="75" spans="1:20" ht="15.05">
      <c r="H75" s="819"/>
      <c r="I75" s="819"/>
      <c r="N75" s="422"/>
      <c r="O75" s="4017" t="s">
        <v>929</v>
      </c>
      <c r="P75" s="422"/>
      <c r="Q75" s="422"/>
    </row>
    <row r="76" spans="1:20" ht="15.05">
      <c r="J76" s="190"/>
      <c r="K76" s="3391"/>
      <c r="L76" s="3391"/>
      <c r="M76" s="3391"/>
      <c r="N76" s="3391"/>
      <c r="O76" s="4016"/>
      <c r="P76" s="3391"/>
    </row>
    <row r="77" spans="1:20" ht="15.05">
      <c r="H77" s="3393"/>
      <c r="I77" s="3393"/>
      <c r="N77" s="1829"/>
      <c r="O77" s="4016"/>
      <c r="P77" s="1829"/>
      <c r="Q77" s="1829"/>
    </row>
    <row r="78" spans="1:20" ht="15.05">
      <c r="H78" s="3394"/>
      <c r="I78" s="3394"/>
      <c r="N78" s="3395"/>
      <c r="O78" s="4017"/>
      <c r="P78" s="3395"/>
      <c r="Q78" s="3395"/>
    </row>
    <row r="79" spans="1:20" ht="15.05">
      <c r="O79" s="4018" t="s">
        <v>1214</v>
      </c>
    </row>
    <row r="80" spans="1:20" ht="15.05">
      <c r="J80" s="3396"/>
      <c r="K80" s="3389"/>
      <c r="L80" s="3389"/>
      <c r="M80" s="3389"/>
      <c r="N80" s="3389"/>
      <c r="O80" s="4019" t="s">
        <v>1215</v>
      </c>
      <c r="P80" s="3389"/>
      <c r="Q80" s="3397"/>
    </row>
    <row r="83" spans="10:13">
      <c r="K83" s="3398"/>
      <c r="L83" s="3398"/>
      <c r="M83" s="3398"/>
    </row>
    <row r="92" spans="10:13">
      <c r="J92" s="63"/>
    </row>
  </sheetData>
  <sheetProtection selectLockedCells="1" selectUnlockedCells="1"/>
  <mergeCells count="16">
    <mergeCell ref="B8:G8"/>
    <mergeCell ref="H8:J8"/>
    <mergeCell ref="A4:R4"/>
    <mergeCell ref="A1:R1"/>
    <mergeCell ref="A2:R2"/>
    <mergeCell ref="Q3:R3"/>
    <mergeCell ref="B6:G7"/>
    <mergeCell ref="H6:J6"/>
    <mergeCell ref="K6:K7"/>
    <mergeCell ref="L6:L7"/>
    <mergeCell ref="M6:M7"/>
    <mergeCell ref="N6:N7"/>
    <mergeCell ref="P6:P7"/>
    <mergeCell ref="Q6:Q7"/>
    <mergeCell ref="R6:R7"/>
    <mergeCell ref="H7:J7"/>
  </mergeCells>
  <pageMargins left="0.54" right="0.15748031496062992" top="0.28999999999999998" bottom="0.43" header="0.2" footer="0.19"/>
  <pageSetup paperSize="9" scale="70" orientation="portrait" useFirstPageNumber="1" horizontalDpi="1200" verticalDpi="1200" r:id="rId1"/>
  <headerFooter alignWithMargins="0">
    <oddFooter>&amp;LRekapitulasi Rencana Perubahan Target Pendapatan TA 2017 - BAPPENDA PROVINSI NTB&amp;RHal. 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E730"/>
  <sheetViews>
    <sheetView view="pageBreakPreview" zoomScaleNormal="90" zoomScaleSheetLayoutView="100" workbookViewId="0">
      <pane ySplit="6" topLeftCell="A354" activePane="bottomLeft" state="frozen"/>
      <selection pane="bottomLeft" activeCell="P225" sqref="P225"/>
    </sheetView>
  </sheetViews>
  <sheetFormatPr defaultColWidth="9.109375" defaultRowHeight="13.15"/>
  <cols>
    <col min="1" max="2" width="3.44140625" style="1843" customWidth="1"/>
    <col min="3" max="5" width="3.44140625" style="1844" customWidth="1"/>
    <col min="6" max="6" width="2.5546875" style="1845" customWidth="1"/>
    <col min="7" max="7" width="2.109375" style="1845" customWidth="1"/>
    <col min="8" max="8" width="20.6640625" style="1844" customWidth="1"/>
    <col min="9" max="9" width="19.5546875" style="1844" customWidth="1"/>
    <col min="10" max="10" width="22.5546875" style="1844" hidden="1" customWidth="1"/>
    <col min="11" max="11" width="22.44140625" style="1844" hidden="1" customWidth="1"/>
    <col min="12" max="12" width="22.5546875" style="1844" customWidth="1"/>
    <col min="13" max="13" width="20.33203125" style="1844" hidden="1" customWidth="1"/>
    <col min="14" max="14" width="20.109375" style="1844" hidden="1" customWidth="1"/>
    <col min="15" max="15" width="22.109375" style="1844" hidden="1" customWidth="1"/>
    <col min="16" max="16" width="22.44140625" style="1844" customWidth="1"/>
    <col min="17" max="17" width="21.44140625" style="1844" customWidth="1"/>
    <col min="18" max="18" width="8" style="3649" customWidth="1"/>
    <col min="19" max="19" width="15.5546875" style="2883" customWidth="1"/>
    <col min="20" max="20" width="21" style="2883" bestFit="1" customWidth="1"/>
    <col min="21" max="21" width="7.44140625" style="1844" customWidth="1"/>
    <col min="22" max="22" width="21.6640625" style="1846" customWidth="1"/>
    <col min="23" max="23" width="20.33203125" style="1844" customWidth="1"/>
    <col min="24" max="16384" width="9.109375" style="1844"/>
  </cols>
  <sheetData>
    <row r="1" spans="1:22" s="1831" customFormat="1" ht="9.6999999999999993" customHeight="1">
      <c r="A1" s="1847"/>
      <c r="B1" s="1847"/>
      <c r="C1" s="1840"/>
      <c r="D1" s="1840"/>
      <c r="E1" s="1840"/>
      <c r="F1" s="1848"/>
      <c r="G1" s="1848"/>
      <c r="H1" s="1840"/>
      <c r="I1" s="1840"/>
      <c r="J1" s="1840"/>
      <c r="K1" s="1840"/>
      <c r="L1" s="1840"/>
      <c r="M1" s="1840"/>
      <c r="N1" s="1840"/>
      <c r="O1" s="1840"/>
      <c r="P1" s="1840"/>
      <c r="Q1" s="1840"/>
      <c r="R1" s="3596"/>
      <c r="S1" s="2990"/>
      <c r="T1" s="2990"/>
      <c r="U1" s="1840"/>
      <c r="V1" s="1846"/>
    </row>
    <row r="2" spans="1:22" ht="18" customHeight="1">
      <c r="A2" s="5785" t="s">
        <v>1182</v>
      </c>
      <c r="B2" s="5785"/>
      <c r="C2" s="5785"/>
      <c r="D2" s="5785"/>
      <c r="E2" s="5785"/>
      <c r="F2" s="5785"/>
      <c r="G2" s="5785"/>
      <c r="H2" s="5785"/>
      <c r="I2" s="5785"/>
      <c r="J2" s="5785"/>
      <c r="K2" s="5785"/>
      <c r="L2" s="5785"/>
      <c r="M2" s="5785"/>
      <c r="N2" s="5785"/>
      <c r="O2" s="5785"/>
      <c r="P2" s="5785"/>
      <c r="Q2" s="5785"/>
      <c r="R2" s="5785"/>
      <c r="S2" s="3891"/>
      <c r="T2" s="3891"/>
      <c r="U2" s="3891"/>
    </row>
    <row r="3" spans="1:22" ht="18" customHeight="1">
      <c r="B3" s="1849"/>
      <c r="C3" s="1849"/>
      <c r="D3" s="1849"/>
      <c r="E3" s="1849"/>
      <c r="F3" s="1849"/>
      <c r="G3" s="1849"/>
      <c r="H3" s="1840"/>
      <c r="I3" s="1864"/>
      <c r="J3" s="1864"/>
      <c r="K3" s="1864"/>
      <c r="L3" s="1849"/>
      <c r="M3" s="1865"/>
      <c r="N3" s="1849"/>
      <c r="O3" s="1849"/>
      <c r="P3" s="1849"/>
      <c r="Q3" s="1849"/>
      <c r="R3" s="3597"/>
      <c r="S3" s="2991"/>
      <c r="T3" s="2991"/>
      <c r="U3" s="1849"/>
    </row>
    <row r="4" spans="1:22" ht="18" customHeight="1">
      <c r="A4" s="1850" t="s">
        <v>473</v>
      </c>
      <c r="B4" s="1847"/>
      <c r="C4" s="1847"/>
      <c r="D4" s="1847"/>
      <c r="E4" s="1847"/>
      <c r="F4" s="1840"/>
      <c r="G4" s="1840"/>
      <c r="H4" s="1840"/>
      <c r="I4" s="1840"/>
      <c r="J4" s="1840"/>
      <c r="K4" s="1840"/>
      <c r="L4" s="1866"/>
      <c r="M4" s="1866"/>
      <c r="N4" s="1866"/>
      <c r="O4" s="1866"/>
      <c r="P4" s="1867"/>
      <c r="Q4" s="1867"/>
      <c r="R4" s="3911"/>
      <c r="S4" s="3590"/>
      <c r="T4" s="3590"/>
      <c r="U4" s="1878"/>
    </row>
    <row r="5" spans="1:22" s="257" customFormat="1" ht="13" customHeight="1">
      <c r="A5" s="5786" t="s">
        <v>435</v>
      </c>
      <c r="B5" s="5786"/>
      <c r="C5" s="5786"/>
      <c r="D5" s="5786"/>
      <c r="E5" s="5786"/>
      <c r="F5" s="5787" t="s">
        <v>56</v>
      </c>
      <c r="G5" s="5787"/>
      <c r="H5" s="5787"/>
      <c r="I5" s="5787"/>
      <c r="J5" s="5788" t="s">
        <v>474</v>
      </c>
      <c r="K5" s="5788" t="s">
        <v>475</v>
      </c>
      <c r="L5" s="5790" t="str">
        <f>PerDinas!K5</f>
        <v>TARGET 2017</v>
      </c>
      <c r="M5" s="5791" t="s">
        <v>5</v>
      </c>
      <c r="N5" s="5792"/>
      <c r="O5" s="5793"/>
      <c r="P5" s="1869" t="s">
        <v>476</v>
      </c>
      <c r="Q5" s="5794" t="s">
        <v>477</v>
      </c>
      <c r="R5" s="5796" t="s">
        <v>6</v>
      </c>
      <c r="S5" s="5804" t="s">
        <v>1195</v>
      </c>
      <c r="T5" s="5794" t="s">
        <v>477</v>
      </c>
      <c r="U5" s="5781" t="s">
        <v>478</v>
      </c>
      <c r="V5" s="1846"/>
    </row>
    <row r="6" spans="1:22" s="257" customFormat="1" ht="13" customHeight="1">
      <c r="A6" s="5786"/>
      <c r="B6" s="5786"/>
      <c r="C6" s="5786"/>
      <c r="D6" s="5786"/>
      <c r="E6" s="5786"/>
      <c r="F6" s="5787"/>
      <c r="G6" s="5787"/>
      <c r="H6" s="5787"/>
      <c r="I6" s="5787"/>
      <c r="J6" s="5789"/>
      <c r="K6" s="5789"/>
      <c r="L6" s="5790"/>
      <c r="M6" s="1868" t="s">
        <v>479</v>
      </c>
      <c r="N6" s="1868" t="s">
        <v>433</v>
      </c>
      <c r="O6" s="1868" t="s">
        <v>480</v>
      </c>
      <c r="P6" s="1870" t="s">
        <v>481</v>
      </c>
      <c r="Q6" s="5795"/>
      <c r="R6" s="5797"/>
      <c r="S6" s="5805"/>
      <c r="T6" s="5795"/>
      <c r="U6" s="5781"/>
      <c r="V6" s="1846"/>
    </row>
    <row r="7" spans="1:22" s="257" customFormat="1" ht="12.05" customHeight="1">
      <c r="A7" s="5782" t="s">
        <v>58</v>
      </c>
      <c r="B7" s="5782"/>
      <c r="C7" s="5782"/>
      <c r="D7" s="5782"/>
      <c r="E7" s="5782"/>
      <c r="F7" s="5783" t="s">
        <v>460</v>
      </c>
      <c r="G7" s="5783"/>
      <c r="H7" s="5783"/>
      <c r="I7" s="5783"/>
      <c r="J7" s="2754" t="s">
        <v>457</v>
      </c>
      <c r="K7" s="2754" t="s">
        <v>443</v>
      </c>
      <c r="L7" s="2755" t="s">
        <v>482</v>
      </c>
      <c r="M7" s="1871" t="s">
        <v>443</v>
      </c>
      <c r="N7" s="1871" t="s">
        <v>482</v>
      </c>
      <c r="O7" s="2755" t="s">
        <v>483</v>
      </c>
      <c r="P7" s="2755" t="s">
        <v>484</v>
      </c>
      <c r="Q7" s="2755" t="s">
        <v>485</v>
      </c>
      <c r="R7" s="3912" t="s">
        <v>486</v>
      </c>
      <c r="S7" s="3767"/>
      <c r="T7" s="3814"/>
      <c r="U7" s="3769" t="s">
        <v>444</v>
      </c>
      <c r="V7" s="1879"/>
    </row>
    <row r="8" spans="1:22" s="2899" customFormat="1" ht="15.05" customHeight="1">
      <c r="A8" s="2893" t="s">
        <v>443</v>
      </c>
      <c r="B8" s="2893"/>
      <c r="C8" s="2893"/>
      <c r="D8" s="2893"/>
      <c r="E8" s="2893"/>
      <c r="F8" s="2894" t="s">
        <v>60</v>
      </c>
      <c r="G8" s="2895"/>
      <c r="H8" s="2895"/>
      <c r="I8" s="2896"/>
      <c r="J8" s="3121">
        <f t="shared" ref="J8:Q8" si="0">J10+J405+J438</f>
        <v>3802933445799</v>
      </c>
      <c r="K8" s="3121">
        <f t="shared" si="0"/>
        <v>3954156416678.9697</v>
      </c>
      <c r="L8" s="3121">
        <f t="shared" si="0"/>
        <v>4791397359569</v>
      </c>
      <c r="M8" s="3121">
        <f t="shared" si="0"/>
        <v>728312659711.53003</v>
      </c>
      <c r="N8" s="3121">
        <f t="shared" si="0"/>
        <v>274653040527.19</v>
      </c>
      <c r="O8" s="3121">
        <f t="shared" si="0"/>
        <v>1163476630856.72</v>
      </c>
      <c r="P8" s="3121">
        <f t="shared" si="0"/>
        <v>4736449075576</v>
      </c>
      <c r="Q8" s="3121">
        <f t="shared" si="0"/>
        <v>-54948283993</v>
      </c>
      <c r="R8" s="3600">
        <f>+P8/L8*100-100</f>
        <v>-1.1468112508611199</v>
      </c>
      <c r="S8" s="3765"/>
      <c r="T8" s="3815"/>
      <c r="U8" s="3770"/>
      <c r="V8" s="2898">
        <f>O8-L8</f>
        <v>-3627920728712.2803</v>
      </c>
    </row>
    <row r="9" spans="1:22" s="257" customFormat="1" ht="15.05" customHeight="1">
      <c r="A9" s="1855"/>
      <c r="B9" s="1855"/>
      <c r="C9" s="1855"/>
      <c r="D9" s="1855"/>
      <c r="E9" s="1855"/>
      <c r="F9" s="1856"/>
      <c r="G9" s="202"/>
      <c r="H9" s="202"/>
      <c r="I9" s="218"/>
      <c r="J9" s="3123"/>
      <c r="K9" s="3123"/>
      <c r="L9" s="3123"/>
      <c r="M9" s="3124"/>
      <c r="N9" s="3125"/>
      <c r="O9" s="3125"/>
      <c r="P9" s="3125"/>
      <c r="Q9" s="3125"/>
      <c r="R9" s="3601"/>
      <c r="S9" s="3697"/>
      <c r="T9" s="3816"/>
      <c r="U9" s="3771"/>
      <c r="V9" s="1846"/>
    </row>
    <row r="10" spans="1:22" s="2899" customFormat="1" ht="15.05" customHeight="1">
      <c r="A10" s="2893">
        <v>4</v>
      </c>
      <c r="B10" s="2893">
        <v>1</v>
      </c>
      <c r="C10" s="2893"/>
      <c r="D10" s="2893"/>
      <c r="E10" s="2893"/>
      <c r="F10" s="2900" t="s">
        <v>180</v>
      </c>
      <c r="G10" s="2901"/>
      <c r="H10" s="2895"/>
      <c r="I10" s="2896"/>
      <c r="J10" s="3127">
        <f t="shared" ref="J10:Q10" si="1">J12+J43+J216+J229</f>
        <v>1450044930319</v>
      </c>
      <c r="K10" s="3127">
        <f t="shared" si="1"/>
        <v>1348970161792.4299</v>
      </c>
      <c r="L10" s="3127">
        <f>L12+L43+L216+L229</f>
        <v>1501611335359</v>
      </c>
      <c r="M10" s="3127">
        <f t="shared" si="1"/>
        <v>124612682553.54001</v>
      </c>
      <c r="N10" s="3127">
        <f t="shared" si="1"/>
        <v>20719352427.190002</v>
      </c>
      <c r="O10" s="3127">
        <f t="shared" si="1"/>
        <v>287722965598.72998</v>
      </c>
      <c r="P10" s="3127">
        <f t="shared" si="1"/>
        <v>1534279709076</v>
      </c>
      <c r="Q10" s="3127">
        <f t="shared" si="1"/>
        <v>32668373717</v>
      </c>
      <c r="R10" s="3600">
        <f>+P10/L10*100-100</f>
        <v>2.1755545491530199</v>
      </c>
      <c r="S10" s="3698"/>
      <c r="T10" s="3815"/>
      <c r="U10" s="3770"/>
      <c r="V10" s="2898"/>
    </row>
    <row r="11" spans="1:22" s="257" customFormat="1" ht="15.05" customHeight="1">
      <c r="A11" s="1854"/>
      <c r="B11" s="1854"/>
      <c r="C11" s="1854"/>
      <c r="D11" s="1854"/>
      <c r="E11" s="1854"/>
      <c r="F11" s="1464"/>
      <c r="G11" s="1860"/>
      <c r="H11" s="202"/>
      <c r="I11" s="218"/>
      <c r="J11" s="3128"/>
      <c r="K11" s="3128"/>
      <c r="L11" s="3123"/>
      <c r="M11" s="3129"/>
      <c r="N11" s="3123"/>
      <c r="O11" s="3123"/>
      <c r="P11" s="3123"/>
      <c r="Q11" s="3123"/>
      <c r="R11" s="3601"/>
      <c r="S11" s="3697"/>
      <c r="T11" s="3816"/>
      <c r="U11" s="3771"/>
      <c r="V11" s="1846"/>
    </row>
    <row r="12" spans="1:22" s="2905" customFormat="1" ht="15.05" customHeight="1">
      <c r="A12" s="3012" t="s">
        <v>443</v>
      </c>
      <c r="B12" s="3012" t="s">
        <v>58</v>
      </c>
      <c r="C12" s="3012" t="s">
        <v>58</v>
      </c>
      <c r="D12" s="2918"/>
      <c r="E12" s="2918"/>
      <c r="F12" s="4651" t="s">
        <v>1141</v>
      </c>
      <c r="G12" s="3014"/>
      <c r="H12" s="2919"/>
      <c r="I12" s="3015"/>
      <c r="J12" s="3130">
        <f>J13+J25+J37+J39+J41</f>
        <v>1037549599000</v>
      </c>
      <c r="K12" s="3130">
        <f t="shared" ref="K12:Q12" si="2">K13+K25+K37+K39+K41</f>
        <v>1003260953668</v>
      </c>
      <c r="L12" s="3130">
        <f>SUM(L13+L25+L37+L39+L41)</f>
        <v>1122139007935</v>
      </c>
      <c r="M12" s="3130">
        <f t="shared" si="2"/>
        <v>90900135444</v>
      </c>
      <c r="N12" s="3130">
        <f t="shared" si="2"/>
        <v>0</v>
      </c>
      <c r="O12" s="3130">
        <f t="shared" si="2"/>
        <v>233266101062</v>
      </c>
      <c r="P12" s="3130">
        <f t="shared" si="2"/>
        <v>1132922590000</v>
      </c>
      <c r="Q12" s="3130">
        <f t="shared" si="2"/>
        <v>10783582065</v>
      </c>
      <c r="R12" s="3602">
        <f>+P12/L12*100-100</f>
        <v>0.96098451161093124</v>
      </c>
      <c r="S12" s="3699"/>
      <c r="T12" s="3817"/>
      <c r="U12" s="3772"/>
      <c r="V12" s="2904"/>
    </row>
    <row r="13" spans="1:22" s="2947" customFormat="1" ht="15.05" customHeight="1">
      <c r="A13" s="3021" t="s">
        <v>443</v>
      </c>
      <c r="B13" s="3021" t="s">
        <v>58</v>
      </c>
      <c r="C13" s="3021" t="s">
        <v>58</v>
      </c>
      <c r="D13" s="3022" t="s">
        <v>437</v>
      </c>
      <c r="E13" s="3021"/>
      <c r="F13" s="4652" t="s">
        <v>1142</v>
      </c>
      <c r="G13" s="3024"/>
      <c r="H13" s="3025"/>
      <c r="I13" s="3337"/>
      <c r="J13" s="3132">
        <f t="shared" ref="J13:O13" si="3">SUM(J14:J23)</f>
        <v>248153000000</v>
      </c>
      <c r="K13" s="3132">
        <f t="shared" si="3"/>
        <v>269187973631</v>
      </c>
      <c r="L13" s="3132">
        <f>SUM(L14:L23)</f>
        <v>311893723935</v>
      </c>
      <c r="M13" s="3132">
        <f t="shared" si="3"/>
        <v>0</v>
      </c>
      <c r="N13" s="3132">
        <f t="shared" si="3"/>
        <v>0</v>
      </c>
      <c r="O13" s="3132">
        <f t="shared" si="3"/>
        <v>69415566816</v>
      </c>
      <c r="P13" s="3132">
        <f>SUM(P14:P23)</f>
        <v>304317000000</v>
      </c>
      <c r="Q13" s="3335">
        <f>P13-L13</f>
        <v>-7576723935</v>
      </c>
      <c r="R13" s="3603">
        <f>+P13/L13*100-100</f>
        <v>-2.4292646352124194</v>
      </c>
      <c r="S13" s="3700">
        <f>SUM(S14:S23)</f>
        <v>344030368500</v>
      </c>
      <c r="T13" s="3818"/>
      <c r="U13" s="3773"/>
      <c r="V13" s="2944"/>
    </row>
    <row r="14" spans="1:22" s="2883" customFormat="1" ht="15.05" customHeight="1">
      <c r="A14" s="2984"/>
      <c r="B14" s="2984"/>
      <c r="C14" s="2984"/>
      <c r="D14" s="3016"/>
      <c r="E14" s="2984"/>
      <c r="F14" s="3017" t="s">
        <v>1143</v>
      </c>
      <c r="G14" s="3018"/>
      <c r="H14" s="3019"/>
      <c r="I14" s="3020"/>
      <c r="J14" s="3134">
        <v>86036572000</v>
      </c>
      <c r="K14" s="3134">
        <v>88888793805</v>
      </c>
      <c r="L14" s="3135">
        <v>103905461339</v>
      </c>
      <c r="M14" s="3136"/>
      <c r="N14" s="3135"/>
      <c r="O14" s="3135">
        <v>23394301628</v>
      </c>
      <c r="P14" s="3135">
        <v>100488781000</v>
      </c>
      <c r="Q14" s="3135">
        <f>P14-L14</f>
        <v>-3416680339</v>
      </c>
      <c r="R14" s="4008">
        <f>+P14/L14*100-100</f>
        <v>-3.2882586679951373</v>
      </c>
      <c r="S14" s="3701">
        <f>P14*13.05%+P14</f>
        <v>113602566920.5</v>
      </c>
      <c r="T14" s="3819"/>
      <c r="U14" s="3774"/>
      <c r="V14" s="2882"/>
    </row>
    <row r="15" spans="1:22" s="2883" customFormat="1" ht="15.05" customHeight="1">
      <c r="A15" s="2875"/>
      <c r="B15" s="2875"/>
      <c r="C15" s="2875"/>
      <c r="D15" s="2876"/>
      <c r="E15" s="2875"/>
      <c r="F15" s="2877" t="s">
        <v>1144</v>
      </c>
      <c r="G15" s="2878"/>
      <c r="H15" s="2879"/>
      <c r="I15" s="2880"/>
      <c r="J15" s="3138">
        <v>28423220000</v>
      </c>
      <c r="K15" s="3138">
        <v>30126889110</v>
      </c>
      <c r="L15" s="3139">
        <v>34714931659</v>
      </c>
      <c r="M15" s="3136"/>
      <c r="N15" s="3139"/>
      <c r="O15" s="3139">
        <v>8078866798</v>
      </c>
      <c r="P15" s="3139">
        <v>34058448000</v>
      </c>
      <c r="Q15" s="3135">
        <f t="shared" ref="Q15:Q23" si="4">P15-L15</f>
        <v>-656483659</v>
      </c>
      <c r="R15" s="4010">
        <f t="shared" ref="R15:R23" si="5">+P15/L15*100-100</f>
        <v>-1.8910700025238469</v>
      </c>
      <c r="S15" s="3701">
        <f t="shared" ref="S15:S23" si="6">P15*13.05%+P15</f>
        <v>38503075464</v>
      </c>
      <c r="T15" s="3820"/>
      <c r="U15" s="3774"/>
      <c r="V15" s="2882"/>
    </row>
    <row r="16" spans="1:22" s="2883" customFormat="1" ht="15.05" customHeight="1">
      <c r="A16" s="2875"/>
      <c r="B16" s="2875"/>
      <c r="C16" s="2875"/>
      <c r="D16" s="2876"/>
      <c r="E16" s="2875"/>
      <c r="F16" s="2877" t="s">
        <v>1146</v>
      </c>
      <c r="G16" s="2878"/>
      <c r="H16" s="2879"/>
      <c r="I16" s="2880"/>
      <c r="J16" s="3138">
        <v>6651423000</v>
      </c>
      <c r="K16" s="3138">
        <v>8477225617</v>
      </c>
      <c r="L16" s="3139">
        <v>9610012775</v>
      </c>
      <c r="M16" s="3136"/>
      <c r="N16" s="3139"/>
      <c r="O16" s="3139">
        <v>2157193100</v>
      </c>
      <c r="P16" s="3139">
        <v>9583503000</v>
      </c>
      <c r="Q16" s="3135">
        <f t="shared" si="4"/>
        <v>-26509775</v>
      </c>
      <c r="R16" s="4010">
        <f t="shared" si="5"/>
        <v>-0.27585577273075046</v>
      </c>
      <c r="S16" s="3701">
        <f t="shared" si="6"/>
        <v>10834150141.5</v>
      </c>
      <c r="T16" s="3820"/>
      <c r="U16" s="3774"/>
      <c r="V16" s="2882"/>
    </row>
    <row r="17" spans="1:22" s="2883" customFormat="1" ht="15.05" customHeight="1">
      <c r="A17" s="2875"/>
      <c r="B17" s="2875"/>
      <c r="C17" s="2875"/>
      <c r="D17" s="2876"/>
      <c r="E17" s="2875"/>
      <c r="F17" s="2877" t="s">
        <v>1145</v>
      </c>
      <c r="G17" s="2878"/>
      <c r="H17" s="2879"/>
      <c r="I17" s="2880"/>
      <c r="J17" s="3138">
        <v>33246442000</v>
      </c>
      <c r="K17" s="3138">
        <v>37055803776</v>
      </c>
      <c r="L17" s="3139">
        <v>42614528606</v>
      </c>
      <c r="M17" s="3136"/>
      <c r="N17" s="3139"/>
      <c r="O17" s="3139">
        <v>9536539453</v>
      </c>
      <c r="P17" s="3139">
        <v>41891586000</v>
      </c>
      <c r="Q17" s="3135">
        <f t="shared" si="4"/>
        <v>-722942606</v>
      </c>
      <c r="R17" s="4010">
        <f t="shared" si="5"/>
        <v>-1.6964697948065748</v>
      </c>
      <c r="S17" s="3701">
        <f t="shared" si="6"/>
        <v>47358437973</v>
      </c>
      <c r="T17" s="3820"/>
      <c r="U17" s="3774"/>
      <c r="V17" s="2882"/>
    </row>
    <row r="18" spans="1:22" s="2883" customFormat="1" ht="15.05" customHeight="1">
      <c r="A18" s="2875"/>
      <c r="B18" s="2875"/>
      <c r="C18" s="2875"/>
      <c r="D18" s="2876"/>
      <c r="E18" s="2875"/>
      <c r="F18" s="2877" t="s">
        <v>1147</v>
      </c>
      <c r="G18" s="2878"/>
      <c r="H18" s="2879"/>
      <c r="I18" s="2880"/>
      <c r="J18" s="3138">
        <v>36492414000</v>
      </c>
      <c r="K18" s="3138">
        <v>40134619809</v>
      </c>
      <c r="L18" s="3139">
        <v>45159023780</v>
      </c>
      <c r="M18" s="3136"/>
      <c r="N18" s="3139"/>
      <c r="O18" s="3139">
        <v>10944515392</v>
      </c>
      <c r="P18" s="3139">
        <v>45372187000</v>
      </c>
      <c r="Q18" s="3135">
        <f t="shared" si="4"/>
        <v>213163220</v>
      </c>
      <c r="R18" s="4010">
        <f t="shared" si="5"/>
        <v>0.47202796286842386</v>
      </c>
      <c r="S18" s="3701">
        <f t="shared" si="6"/>
        <v>51293257403.5</v>
      </c>
      <c r="T18" s="3820"/>
      <c r="U18" s="3774"/>
      <c r="V18" s="2882"/>
    </row>
    <row r="19" spans="1:22" s="2883" customFormat="1" ht="15.05" customHeight="1">
      <c r="A19" s="2875"/>
      <c r="B19" s="2875"/>
      <c r="C19" s="2875"/>
      <c r="D19" s="2876"/>
      <c r="E19" s="2875"/>
      <c r="F19" s="2877" t="s">
        <v>1149</v>
      </c>
      <c r="G19" s="2878"/>
      <c r="H19" s="2879"/>
      <c r="I19" s="2880"/>
      <c r="J19" s="3138">
        <v>19330379000</v>
      </c>
      <c r="K19" s="3138">
        <v>21077352223</v>
      </c>
      <c r="L19" s="3139">
        <v>24602495136</v>
      </c>
      <c r="M19" s="3136"/>
      <c r="N19" s="3139"/>
      <c r="O19" s="3139">
        <v>4726131862</v>
      </c>
      <c r="P19" s="3139">
        <v>23827946000</v>
      </c>
      <c r="Q19" s="3135">
        <f t="shared" si="4"/>
        <v>-774549136</v>
      </c>
      <c r="R19" s="4010">
        <f t="shared" si="5"/>
        <v>-3.1482544015083533</v>
      </c>
      <c r="S19" s="3701">
        <f t="shared" si="6"/>
        <v>26937492953</v>
      </c>
      <c r="T19" s="3820"/>
      <c r="U19" s="3774"/>
      <c r="V19" s="2882"/>
    </row>
    <row r="20" spans="1:22" s="2883" customFormat="1" ht="15.05" customHeight="1">
      <c r="A20" s="2875"/>
      <c r="B20" s="2875"/>
      <c r="C20" s="2875"/>
      <c r="D20" s="2876"/>
      <c r="E20" s="2875"/>
      <c r="F20" s="2877" t="s">
        <v>1148</v>
      </c>
      <c r="G20" s="2878"/>
      <c r="H20" s="2879"/>
      <c r="I20" s="2880"/>
      <c r="J20" s="3138">
        <v>13063598000</v>
      </c>
      <c r="K20" s="3138">
        <v>15637707858</v>
      </c>
      <c r="L20" s="3139">
        <v>19282915315</v>
      </c>
      <c r="M20" s="3136"/>
      <c r="N20" s="3139"/>
      <c r="O20" s="3139">
        <v>3363555821</v>
      </c>
      <c r="P20" s="3139">
        <v>17678428000</v>
      </c>
      <c r="Q20" s="3135">
        <f t="shared" si="4"/>
        <v>-1604487315</v>
      </c>
      <c r="R20" s="4010">
        <f t="shared" si="5"/>
        <v>-8.320771464218808</v>
      </c>
      <c r="S20" s="3701">
        <f t="shared" si="6"/>
        <v>19985462854</v>
      </c>
      <c r="T20" s="3820"/>
      <c r="U20" s="3774"/>
      <c r="V20" s="2882"/>
    </row>
    <row r="21" spans="1:22" s="2883" customFormat="1" ht="15.05" customHeight="1">
      <c r="A21" s="2875"/>
      <c r="B21" s="2875"/>
      <c r="C21" s="2875"/>
      <c r="D21" s="2876"/>
      <c r="E21" s="2875"/>
      <c r="F21" s="2877" t="s">
        <v>1150</v>
      </c>
      <c r="G21" s="2878"/>
      <c r="H21" s="2879"/>
      <c r="I21" s="2880"/>
      <c r="J21" s="3138">
        <v>7135313000</v>
      </c>
      <c r="K21" s="3138">
        <v>7530942967</v>
      </c>
      <c r="L21" s="3139">
        <v>8832161493</v>
      </c>
      <c r="M21" s="3136"/>
      <c r="N21" s="3139"/>
      <c r="O21" s="3139">
        <v>1894855705</v>
      </c>
      <c r="P21" s="3139">
        <v>8513731000</v>
      </c>
      <c r="Q21" s="3135">
        <f t="shared" si="4"/>
        <v>-318430493</v>
      </c>
      <c r="R21" s="4010">
        <f t="shared" si="5"/>
        <v>-3.6053517958471986</v>
      </c>
      <c r="S21" s="3701">
        <f t="shared" si="6"/>
        <v>9624772895.5</v>
      </c>
      <c r="T21" s="3820"/>
      <c r="U21" s="3774"/>
      <c r="V21" s="2882"/>
    </row>
    <row r="22" spans="1:22" s="2883" customFormat="1" ht="15.05" customHeight="1">
      <c r="A22" s="2875"/>
      <c r="B22" s="2875"/>
      <c r="C22" s="2875"/>
      <c r="D22" s="2876"/>
      <c r="E22" s="2875"/>
      <c r="F22" s="2877" t="s">
        <v>1151</v>
      </c>
      <c r="G22" s="2878"/>
      <c r="H22" s="2879"/>
      <c r="I22" s="2880"/>
      <c r="J22" s="3138">
        <v>7455885000</v>
      </c>
      <c r="K22" s="3138">
        <v>8793651686</v>
      </c>
      <c r="L22" s="3139">
        <v>9908631964</v>
      </c>
      <c r="M22" s="3136"/>
      <c r="N22" s="3139"/>
      <c r="O22" s="3139">
        <v>1892159075</v>
      </c>
      <c r="P22" s="3139">
        <v>9941223000</v>
      </c>
      <c r="Q22" s="3135">
        <f t="shared" si="4"/>
        <v>32591036</v>
      </c>
      <c r="R22" s="4010">
        <f t="shared" si="5"/>
        <v>0.32891559721271335</v>
      </c>
      <c r="S22" s="3701">
        <f t="shared" si="6"/>
        <v>11238552601.5</v>
      </c>
      <c r="T22" s="3820"/>
      <c r="U22" s="3774"/>
      <c r="V22" s="2882"/>
    </row>
    <row r="23" spans="1:22" s="2883" customFormat="1" ht="15.05" customHeight="1">
      <c r="A23" s="2875"/>
      <c r="B23" s="2875"/>
      <c r="C23" s="2875"/>
      <c r="D23" s="2876"/>
      <c r="E23" s="2875"/>
      <c r="F23" s="2877" t="s">
        <v>1152</v>
      </c>
      <c r="G23" s="2878"/>
      <c r="H23" s="2879"/>
      <c r="I23" s="2880"/>
      <c r="J23" s="3138">
        <v>10317754000</v>
      </c>
      <c r="K23" s="3138">
        <v>11464986780</v>
      </c>
      <c r="L23" s="3139">
        <v>13263561868</v>
      </c>
      <c r="M23" s="3136"/>
      <c r="N23" s="3139"/>
      <c r="O23" s="3139">
        <v>3427447982</v>
      </c>
      <c r="P23" s="3139">
        <v>12961167000</v>
      </c>
      <c r="Q23" s="3135">
        <f t="shared" si="4"/>
        <v>-302394868</v>
      </c>
      <c r="R23" s="4010">
        <f t="shared" si="5"/>
        <v>-2.2798918647151964</v>
      </c>
      <c r="S23" s="3701">
        <f t="shared" si="6"/>
        <v>14652599293.5</v>
      </c>
      <c r="T23" s="3820"/>
      <c r="U23" s="3774"/>
      <c r="V23" s="2882"/>
    </row>
    <row r="24" spans="1:22" s="257" customFormat="1" ht="15.05" customHeight="1">
      <c r="A24" s="3027"/>
      <c r="B24" s="3027"/>
      <c r="C24" s="3027"/>
      <c r="D24" s="3028"/>
      <c r="E24" s="1902"/>
      <c r="F24" s="3029"/>
      <c r="G24" s="2831"/>
      <c r="H24" s="2322"/>
      <c r="I24" s="1907"/>
      <c r="J24" s="3141"/>
      <c r="K24" s="3141"/>
      <c r="L24" s="3142"/>
      <c r="M24" s="3129"/>
      <c r="N24" s="3142"/>
      <c r="O24" s="3142"/>
      <c r="P24" s="3142"/>
      <c r="Q24" s="3142"/>
      <c r="R24" s="4011"/>
      <c r="S24" s="3703"/>
      <c r="T24" s="3821"/>
      <c r="U24" s="3771"/>
      <c r="V24" s="1846"/>
    </row>
    <row r="25" spans="1:22" s="2947" customFormat="1" ht="15.05" customHeight="1">
      <c r="A25" s="3021" t="s">
        <v>443</v>
      </c>
      <c r="B25" s="3021" t="s">
        <v>58</v>
      </c>
      <c r="C25" s="3021" t="s">
        <v>58</v>
      </c>
      <c r="D25" s="3022" t="s">
        <v>440</v>
      </c>
      <c r="E25" s="3021"/>
      <c r="F25" s="3023" t="s">
        <v>1153</v>
      </c>
      <c r="G25" s="3024"/>
      <c r="H25" s="3025"/>
      <c r="I25" s="3026"/>
      <c r="J25" s="3132">
        <f t="shared" ref="J25:P25" si="7">SUM(J26:J35)</f>
        <v>318503155000</v>
      </c>
      <c r="K25" s="3132">
        <f t="shared" si="7"/>
        <v>322208887701</v>
      </c>
      <c r="L25" s="3132">
        <f t="shared" si="7"/>
        <v>321503155000</v>
      </c>
      <c r="M25" s="3132">
        <f t="shared" si="7"/>
        <v>0</v>
      </c>
      <c r="N25" s="3132">
        <f t="shared" si="7"/>
        <v>0</v>
      </c>
      <c r="O25" s="3132">
        <f t="shared" si="7"/>
        <v>72721445555</v>
      </c>
      <c r="P25" s="3132">
        <f t="shared" si="7"/>
        <v>299817600000</v>
      </c>
      <c r="Q25" s="3994">
        <f>P25-L25</f>
        <v>-21685555000</v>
      </c>
      <c r="R25" s="3603">
        <f>+P25/L25*100-100</f>
        <v>-6.7450520042330595</v>
      </c>
      <c r="S25" s="3700">
        <f>SUM(S26:S35)</f>
        <v>287824896000</v>
      </c>
      <c r="T25" s="3818"/>
      <c r="U25" s="3773"/>
      <c r="V25" s="2944"/>
    </row>
    <row r="26" spans="1:22" s="2883" customFormat="1" ht="15.05" customHeight="1">
      <c r="A26" s="2984"/>
      <c r="B26" s="2984"/>
      <c r="C26" s="2984"/>
      <c r="D26" s="3016"/>
      <c r="E26" s="2984"/>
      <c r="F26" s="3017" t="s">
        <v>1143</v>
      </c>
      <c r="G26" s="3018"/>
      <c r="H26" s="3019"/>
      <c r="I26" s="3020"/>
      <c r="J26" s="3134">
        <v>88217042000</v>
      </c>
      <c r="K26" s="3134">
        <v>88750043334</v>
      </c>
      <c r="L26" s="3135">
        <v>89048587600</v>
      </c>
      <c r="M26" s="3136"/>
      <c r="N26" s="3135"/>
      <c r="O26" s="3135">
        <v>21008364305</v>
      </c>
      <c r="P26" s="3135">
        <v>85210794910</v>
      </c>
      <c r="Q26" s="3135">
        <f>P26-L26</f>
        <v>-3837792690</v>
      </c>
      <c r="R26" s="4008">
        <f>+P26/L26*100-100</f>
        <v>-4.3097737914037424</v>
      </c>
      <c r="S26" s="4009">
        <f>P26-(P26*4%)</f>
        <v>81802363113.600006</v>
      </c>
      <c r="T26" s="3819"/>
      <c r="U26" s="3774"/>
      <c r="V26" s="2882"/>
    </row>
    <row r="27" spans="1:22" s="2883" customFormat="1" ht="15.05" customHeight="1">
      <c r="A27" s="2875"/>
      <c r="B27" s="2875"/>
      <c r="C27" s="2875"/>
      <c r="D27" s="2876"/>
      <c r="E27" s="2875"/>
      <c r="F27" s="2877" t="s">
        <v>1144</v>
      </c>
      <c r="G27" s="2878"/>
      <c r="H27" s="2879"/>
      <c r="I27" s="2880"/>
      <c r="J27" s="3138">
        <v>44806080000</v>
      </c>
      <c r="K27" s="3138">
        <v>58359055747</v>
      </c>
      <c r="L27" s="3139">
        <v>43050445200</v>
      </c>
      <c r="M27" s="3136"/>
      <c r="N27" s="3139"/>
      <c r="O27" s="3139">
        <v>12974559000</v>
      </c>
      <c r="P27" s="3139">
        <v>38687005933</v>
      </c>
      <c r="Q27" s="3135">
        <f t="shared" ref="Q27:Q35" si="8">P27-L27</f>
        <v>-4363439267</v>
      </c>
      <c r="R27" s="4010">
        <f t="shared" ref="R27:R35" si="9">+P27/L27*100-100</f>
        <v>-10.135642608871322</v>
      </c>
      <c r="S27" s="4009">
        <f t="shared" ref="S27:S35" si="10">P27-(P27*4%)</f>
        <v>37139525695.68</v>
      </c>
      <c r="T27" s="3820"/>
      <c r="U27" s="3774"/>
      <c r="V27" s="2882"/>
    </row>
    <row r="28" spans="1:22" s="2883" customFormat="1" ht="15.05" customHeight="1">
      <c r="A28" s="2875"/>
      <c r="B28" s="2875"/>
      <c r="C28" s="2875"/>
      <c r="D28" s="2876"/>
      <c r="E28" s="2875"/>
      <c r="F28" s="2877" t="s">
        <v>1145</v>
      </c>
      <c r="G28" s="2878"/>
      <c r="H28" s="2879"/>
      <c r="I28" s="2880"/>
      <c r="J28" s="3138">
        <v>13188012000</v>
      </c>
      <c r="K28" s="3138">
        <v>0</v>
      </c>
      <c r="L28" s="3139">
        <v>15367063100</v>
      </c>
      <c r="M28" s="3136"/>
      <c r="N28" s="3139"/>
      <c r="O28" s="3139">
        <v>0</v>
      </c>
      <c r="P28" s="3139">
        <v>15451217308</v>
      </c>
      <c r="Q28" s="3135">
        <f t="shared" si="8"/>
        <v>84154208</v>
      </c>
      <c r="R28" s="4010">
        <f t="shared" si="9"/>
        <v>0.54762713898142579</v>
      </c>
      <c r="S28" s="4009">
        <f t="shared" si="10"/>
        <v>14833168615.68</v>
      </c>
      <c r="T28" s="3820"/>
      <c r="U28" s="3774"/>
      <c r="V28" s="2882"/>
    </row>
    <row r="29" spans="1:22" s="2883" customFormat="1" ht="15.05" customHeight="1">
      <c r="A29" s="2875"/>
      <c r="B29" s="2875"/>
      <c r="C29" s="2875"/>
      <c r="D29" s="2876"/>
      <c r="E29" s="2875"/>
      <c r="F29" s="2877" t="s">
        <v>1146</v>
      </c>
      <c r="G29" s="2878"/>
      <c r="H29" s="2879"/>
      <c r="I29" s="2880"/>
      <c r="J29" s="3138">
        <v>46143610000</v>
      </c>
      <c r="K29" s="3138">
        <v>46642700157</v>
      </c>
      <c r="L29" s="3139">
        <v>46313162500</v>
      </c>
      <c r="M29" s="3136"/>
      <c r="N29" s="3139"/>
      <c r="O29" s="3139">
        <v>10590982300</v>
      </c>
      <c r="P29" s="3139">
        <v>41540262518</v>
      </c>
      <c r="Q29" s="3135">
        <f t="shared" si="8"/>
        <v>-4772899982</v>
      </c>
      <c r="R29" s="4010">
        <f t="shared" si="9"/>
        <v>-10.305709488096397</v>
      </c>
      <c r="S29" s="4009">
        <f t="shared" si="10"/>
        <v>39878652017.279999</v>
      </c>
      <c r="T29" s="3820"/>
      <c r="U29" s="3774"/>
      <c r="V29" s="2882"/>
    </row>
    <row r="30" spans="1:22" s="2883" customFormat="1" ht="15.05" customHeight="1">
      <c r="A30" s="2875"/>
      <c r="B30" s="2875"/>
      <c r="C30" s="2875"/>
      <c r="D30" s="2876"/>
      <c r="E30" s="2875"/>
      <c r="F30" s="2877" t="s">
        <v>1147</v>
      </c>
      <c r="G30" s="2878"/>
      <c r="H30" s="2879"/>
      <c r="I30" s="2880"/>
      <c r="J30" s="3138">
        <v>55404156000</v>
      </c>
      <c r="K30" s="3138">
        <v>55757219048</v>
      </c>
      <c r="L30" s="3139">
        <v>54297917400</v>
      </c>
      <c r="M30" s="3136"/>
      <c r="N30" s="3139"/>
      <c r="O30" s="3139">
        <v>13243838750</v>
      </c>
      <c r="P30" s="3139">
        <v>54925491645</v>
      </c>
      <c r="Q30" s="3135">
        <f t="shared" si="8"/>
        <v>627574245</v>
      </c>
      <c r="R30" s="4010">
        <f t="shared" si="9"/>
        <v>1.1557980030372192</v>
      </c>
      <c r="S30" s="4009">
        <f t="shared" si="10"/>
        <v>52728471979.199997</v>
      </c>
      <c r="T30" s="3820"/>
      <c r="U30" s="3774"/>
      <c r="V30" s="2882"/>
    </row>
    <row r="31" spans="1:22" s="2883" customFormat="1" ht="15.05" customHeight="1">
      <c r="A31" s="2875"/>
      <c r="B31" s="2875"/>
      <c r="C31" s="2875"/>
      <c r="D31" s="2876"/>
      <c r="E31" s="2875"/>
      <c r="F31" s="2877" t="s">
        <v>1149</v>
      </c>
      <c r="G31" s="2878"/>
      <c r="H31" s="2879"/>
      <c r="I31" s="2880"/>
      <c r="J31" s="3138">
        <v>24530826000</v>
      </c>
      <c r="K31" s="3138">
        <v>26280750366</v>
      </c>
      <c r="L31" s="3139">
        <v>26331859300</v>
      </c>
      <c r="M31" s="3136"/>
      <c r="N31" s="3139"/>
      <c r="O31" s="3139">
        <v>4970869900</v>
      </c>
      <c r="P31" s="3139">
        <v>21656173662</v>
      </c>
      <c r="Q31" s="3135">
        <f t="shared" si="8"/>
        <v>-4675685638</v>
      </c>
      <c r="R31" s="4010">
        <f t="shared" si="9"/>
        <v>-17.756762197191293</v>
      </c>
      <c r="S31" s="4009">
        <f t="shared" si="10"/>
        <v>20789926715.52</v>
      </c>
      <c r="T31" s="3820"/>
      <c r="U31" s="3774"/>
      <c r="V31" s="2882"/>
    </row>
    <row r="32" spans="1:22" s="2883" customFormat="1" ht="15.05" customHeight="1">
      <c r="A32" s="2875"/>
      <c r="B32" s="2875"/>
      <c r="C32" s="2875"/>
      <c r="D32" s="2876"/>
      <c r="E32" s="2875"/>
      <c r="F32" s="2877" t="s">
        <v>1148</v>
      </c>
      <c r="G32" s="2878"/>
      <c r="H32" s="2879"/>
      <c r="I32" s="2880"/>
      <c r="J32" s="3138">
        <v>13229500000</v>
      </c>
      <c r="K32" s="3138">
        <v>14055787009</v>
      </c>
      <c r="L32" s="3139">
        <v>14367919300</v>
      </c>
      <c r="M32" s="3136"/>
      <c r="N32" s="3139"/>
      <c r="O32" s="3139">
        <v>2888678800</v>
      </c>
      <c r="P32" s="3139">
        <v>10870384670</v>
      </c>
      <c r="Q32" s="3135">
        <f t="shared" si="8"/>
        <v>-3497534630</v>
      </c>
      <c r="R32" s="4010">
        <f t="shared" si="9"/>
        <v>-24.342666164612993</v>
      </c>
      <c r="S32" s="4009">
        <f t="shared" si="10"/>
        <v>10435569283.200001</v>
      </c>
      <c r="T32" s="3820"/>
      <c r="U32" s="3774"/>
      <c r="V32" s="2882"/>
    </row>
    <row r="33" spans="1:26" s="2883" customFormat="1" ht="15.05" customHeight="1">
      <c r="A33" s="2875"/>
      <c r="B33" s="2875"/>
      <c r="C33" s="2875"/>
      <c r="D33" s="2876"/>
      <c r="E33" s="2875"/>
      <c r="F33" s="2877" t="s">
        <v>1150</v>
      </c>
      <c r="G33" s="2878"/>
      <c r="H33" s="2879"/>
      <c r="I33" s="2880"/>
      <c r="J33" s="3138">
        <v>11200800000</v>
      </c>
      <c r="K33" s="3138">
        <v>9869342560</v>
      </c>
      <c r="L33" s="3139">
        <v>10029004300</v>
      </c>
      <c r="M33" s="3136"/>
      <c r="N33" s="3139"/>
      <c r="O33" s="3139">
        <v>1741245300</v>
      </c>
      <c r="P33" s="3139">
        <v>10682242857</v>
      </c>
      <c r="Q33" s="3135">
        <f t="shared" si="8"/>
        <v>653238557</v>
      </c>
      <c r="R33" s="4010">
        <f t="shared" si="9"/>
        <v>6.5134936376485513</v>
      </c>
      <c r="S33" s="4009">
        <f t="shared" si="10"/>
        <v>10254953142.719999</v>
      </c>
      <c r="T33" s="3820"/>
      <c r="U33" s="3774"/>
      <c r="V33" s="2882"/>
    </row>
    <row r="34" spans="1:26" s="2883" customFormat="1" ht="15.05" customHeight="1">
      <c r="A34" s="2875"/>
      <c r="B34" s="2875"/>
      <c r="C34" s="2875"/>
      <c r="D34" s="2876"/>
      <c r="E34" s="2875"/>
      <c r="F34" s="2877" t="s">
        <v>1151</v>
      </c>
      <c r="G34" s="2878"/>
      <c r="H34" s="2879"/>
      <c r="I34" s="2880"/>
      <c r="J34" s="3138">
        <v>9976046000</v>
      </c>
      <c r="K34" s="3138">
        <v>10667507201</v>
      </c>
      <c r="L34" s="3139">
        <v>10866726200</v>
      </c>
      <c r="M34" s="3136"/>
      <c r="N34" s="3139"/>
      <c r="O34" s="3139">
        <v>2296433100</v>
      </c>
      <c r="P34" s="3139">
        <v>10114515498</v>
      </c>
      <c r="Q34" s="3135">
        <f t="shared" si="8"/>
        <v>-752210702</v>
      </c>
      <c r="R34" s="4010">
        <f t="shared" si="9"/>
        <v>-6.9221464510626873</v>
      </c>
      <c r="S34" s="4009">
        <f t="shared" si="10"/>
        <v>9709934878.0799999</v>
      </c>
      <c r="T34" s="3820"/>
      <c r="U34" s="3774"/>
      <c r="V34" s="2882"/>
    </row>
    <row r="35" spans="1:26" s="2883" customFormat="1" ht="15.05" customHeight="1">
      <c r="A35" s="2875"/>
      <c r="B35" s="2875"/>
      <c r="C35" s="2875"/>
      <c r="D35" s="2876"/>
      <c r="E35" s="2875"/>
      <c r="F35" s="2877" t="s">
        <v>1152</v>
      </c>
      <c r="G35" s="2878"/>
      <c r="H35" s="2879"/>
      <c r="I35" s="2880"/>
      <c r="J35" s="3138">
        <v>11807083000</v>
      </c>
      <c r="K35" s="3138">
        <v>11826482279</v>
      </c>
      <c r="L35" s="3139">
        <v>11830470100</v>
      </c>
      <c r="M35" s="3136"/>
      <c r="N35" s="3139"/>
      <c r="O35" s="3139">
        <v>3006474100</v>
      </c>
      <c r="P35" s="3139">
        <v>10679510999</v>
      </c>
      <c r="Q35" s="3135">
        <f t="shared" si="8"/>
        <v>-1150959101</v>
      </c>
      <c r="R35" s="3606">
        <f t="shared" si="9"/>
        <v>-9.7287689438477969</v>
      </c>
      <c r="S35" s="4009">
        <f t="shared" si="10"/>
        <v>10252330559.040001</v>
      </c>
      <c r="T35" s="3820"/>
      <c r="U35" s="3774"/>
      <c r="V35" s="2882"/>
    </row>
    <row r="36" spans="1:26" s="257" customFormat="1" ht="15.05" customHeight="1">
      <c r="A36" s="3027"/>
      <c r="B36" s="3027"/>
      <c r="C36" s="3027"/>
      <c r="D36" s="3028"/>
      <c r="E36" s="1902"/>
      <c r="F36" s="3029"/>
      <c r="G36" s="2831"/>
      <c r="H36" s="2322"/>
      <c r="I36" s="1907"/>
      <c r="J36" s="3141"/>
      <c r="K36" s="3141"/>
      <c r="L36" s="3142"/>
      <c r="M36" s="3129"/>
      <c r="N36" s="3142"/>
      <c r="O36" s="3142"/>
      <c r="P36" s="3142"/>
      <c r="Q36" s="3142"/>
      <c r="R36" s="4011"/>
      <c r="S36" s="3703"/>
      <c r="T36" s="3821"/>
      <c r="U36" s="3771"/>
      <c r="V36" s="1846"/>
    </row>
    <row r="37" spans="1:26" s="2947" customFormat="1" ht="15.05" customHeight="1">
      <c r="A37" s="3021" t="s">
        <v>443</v>
      </c>
      <c r="B37" s="3021" t="s">
        <v>58</v>
      </c>
      <c r="C37" s="3021" t="s">
        <v>58</v>
      </c>
      <c r="D37" s="3022" t="s">
        <v>451</v>
      </c>
      <c r="E37" s="3021"/>
      <c r="F37" s="3023" t="s">
        <v>1154</v>
      </c>
      <c r="G37" s="3024"/>
      <c r="H37" s="3025"/>
      <c r="I37" s="3026"/>
      <c r="J37" s="3132">
        <v>192900000000</v>
      </c>
      <c r="K37" s="3132">
        <v>188945861622</v>
      </c>
      <c r="L37" s="3144">
        <v>192900000000</v>
      </c>
      <c r="M37" s="3145">
        <v>46114131883</v>
      </c>
      <c r="N37" s="3144"/>
      <c r="O37" s="3144">
        <v>46114131883</v>
      </c>
      <c r="P37" s="3144">
        <v>188945861000</v>
      </c>
      <c r="Q37" s="3334">
        <f>P37-L37</f>
        <v>-3954139000</v>
      </c>
      <c r="R37" s="3603">
        <f>+P37/L37*100-100</f>
        <v>-2.0498387765681656</v>
      </c>
      <c r="S37" s="3700"/>
      <c r="T37" s="3818"/>
      <c r="U37" s="3773"/>
      <c r="V37" s="2944"/>
      <c r="Z37" s="2947">
        <f>3+8+8+5+2+1+7+8+9</f>
        <v>51</v>
      </c>
    </row>
    <row r="38" spans="1:26" s="257" customFormat="1" ht="15.05" customHeight="1">
      <c r="A38" s="3031"/>
      <c r="B38" s="3031"/>
      <c r="C38" s="3031"/>
      <c r="D38" s="3032"/>
      <c r="E38" s="1725"/>
      <c r="F38" s="3033"/>
      <c r="G38" s="3034"/>
      <c r="H38" s="1318"/>
      <c r="I38" s="3035"/>
      <c r="J38" s="3146"/>
      <c r="K38" s="3146"/>
      <c r="L38" s="3147"/>
      <c r="M38" s="3129"/>
      <c r="N38" s="3147"/>
      <c r="O38" s="3147"/>
      <c r="P38" s="3147"/>
      <c r="Q38" s="3147"/>
      <c r="R38" s="3607"/>
      <c r="S38" s="3700"/>
      <c r="T38" s="3818"/>
      <c r="U38" s="3771"/>
      <c r="V38" s="1846"/>
    </row>
    <row r="39" spans="1:26" s="2947" customFormat="1" ht="15.05" customHeight="1">
      <c r="A39" s="3021" t="s">
        <v>443</v>
      </c>
      <c r="B39" s="3021" t="s">
        <v>58</v>
      </c>
      <c r="C39" s="3021" t="s">
        <v>58</v>
      </c>
      <c r="D39" s="3022" t="s">
        <v>441</v>
      </c>
      <c r="E39" s="3021"/>
      <c r="F39" s="3023" t="s">
        <v>1156</v>
      </c>
      <c r="G39" s="3024"/>
      <c r="H39" s="3025"/>
      <c r="I39" s="3026"/>
      <c r="J39" s="3149">
        <v>300000000</v>
      </c>
      <c r="K39" s="3150">
        <v>361290857</v>
      </c>
      <c r="L39" s="3144">
        <v>1000000000</v>
      </c>
      <c r="M39" s="3145"/>
      <c r="N39" s="3144"/>
      <c r="O39" s="3144">
        <v>228953247</v>
      </c>
      <c r="P39" s="3144">
        <v>1000000000</v>
      </c>
      <c r="Q39" s="3144">
        <f>P39-L39</f>
        <v>0</v>
      </c>
      <c r="R39" s="3603">
        <f>+P39/L39*100-100</f>
        <v>0</v>
      </c>
      <c r="S39" s="3700"/>
      <c r="T39" s="3818"/>
      <c r="U39" s="3773"/>
      <c r="V39" s="2944"/>
    </row>
    <row r="40" spans="1:26" s="257" customFormat="1" ht="15.05" customHeight="1">
      <c r="A40" s="3036"/>
      <c r="B40" s="3036"/>
      <c r="C40" s="3036"/>
      <c r="D40" s="3037"/>
      <c r="E40" s="1944"/>
      <c r="F40" s="3038"/>
      <c r="G40" s="3039"/>
      <c r="H40" s="3040"/>
      <c r="I40" s="3041"/>
      <c r="J40" s="3151"/>
      <c r="K40" s="3151"/>
      <c r="L40" s="3152"/>
      <c r="M40" s="3153"/>
      <c r="N40" s="3152"/>
      <c r="O40" s="3152"/>
      <c r="P40" s="3152"/>
      <c r="Q40" s="3152"/>
      <c r="R40" s="3603"/>
      <c r="S40" s="3700"/>
      <c r="T40" s="3818"/>
      <c r="U40" s="3771"/>
      <c r="V40" s="1846"/>
    </row>
    <row r="41" spans="1:26" s="2947" customFormat="1" ht="15.05" customHeight="1">
      <c r="A41" s="3021" t="s">
        <v>443</v>
      </c>
      <c r="B41" s="3021" t="s">
        <v>58</v>
      </c>
      <c r="C41" s="3021" t="s">
        <v>58</v>
      </c>
      <c r="D41" s="4511" t="s">
        <v>456</v>
      </c>
      <c r="E41" s="3021"/>
      <c r="F41" s="3023" t="s">
        <v>1157</v>
      </c>
      <c r="G41" s="3024"/>
      <c r="H41" s="3025"/>
      <c r="I41" s="3026"/>
      <c r="J41" s="3132">
        <v>277693444000</v>
      </c>
      <c r="K41" s="3132">
        <v>222556939857</v>
      </c>
      <c r="L41" s="3144">
        <v>294842129000</v>
      </c>
      <c r="M41" s="3145">
        <v>44786003561</v>
      </c>
      <c r="N41" s="3144"/>
      <c r="O41" s="3144">
        <v>44786003561</v>
      </c>
      <c r="P41" s="3144">
        <v>338842129000</v>
      </c>
      <c r="Q41" s="3144">
        <f>P41-L41</f>
        <v>44000000000</v>
      </c>
      <c r="R41" s="3603">
        <f>+P41/L41*100-100</f>
        <v>14.923240497968322</v>
      </c>
      <c r="S41" s="3700"/>
      <c r="T41" s="3818"/>
      <c r="U41" s="3773"/>
      <c r="V41" s="2944"/>
    </row>
    <row r="42" spans="1:26" s="257" customFormat="1" ht="15.05" customHeight="1">
      <c r="A42" s="2985"/>
      <c r="B42" s="2985"/>
      <c r="C42" s="2985"/>
      <c r="D42" s="3030"/>
      <c r="E42" s="1905"/>
      <c r="F42" s="2986"/>
      <c r="G42" s="2828"/>
      <c r="H42" s="212"/>
      <c r="I42" s="225"/>
      <c r="J42" s="3154"/>
      <c r="K42" s="3154"/>
      <c r="L42" s="3155"/>
      <c r="M42" s="3129"/>
      <c r="N42" s="3155"/>
      <c r="O42" s="3155"/>
      <c r="P42" s="3155"/>
      <c r="Q42" s="3155"/>
      <c r="R42" s="3608"/>
      <c r="S42" s="3704"/>
      <c r="T42" s="3822"/>
      <c r="U42" s="3771"/>
      <c r="V42" s="1846"/>
    </row>
    <row r="43" spans="1:26" s="2908" customFormat="1" ht="15.05" customHeight="1">
      <c r="A43" s="3042">
        <v>4</v>
      </c>
      <c r="B43" s="3042">
        <v>1</v>
      </c>
      <c r="C43" s="3042">
        <v>2</v>
      </c>
      <c r="D43" s="3042"/>
      <c r="E43" s="3042"/>
      <c r="F43" s="3043" t="s">
        <v>106</v>
      </c>
      <c r="G43" s="3044"/>
      <c r="H43" s="3045"/>
      <c r="I43" s="3046"/>
      <c r="J43" s="3157">
        <f t="shared" ref="J43:P43" si="11">J44+J55+J204</f>
        <v>29890858000</v>
      </c>
      <c r="K43" s="3157">
        <f t="shared" si="11"/>
        <v>29792038549</v>
      </c>
      <c r="L43" s="3157">
        <f t="shared" si="11"/>
        <v>18459358000</v>
      </c>
      <c r="M43" s="3157">
        <f t="shared" si="11"/>
        <v>2868914276</v>
      </c>
      <c r="N43" s="3157">
        <f t="shared" si="11"/>
        <v>1482279200</v>
      </c>
      <c r="O43" s="3157">
        <f t="shared" si="11"/>
        <v>4448558476</v>
      </c>
      <c r="P43" s="3157">
        <f t="shared" si="11"/>
        <v>18235464000</v>
      </c>
      <c r="Q43" s="3158">
        <f t="shared" ref="Q43:Q50" si="12">+P43-L43</f>
        <v>-223894000</v>
      </c>
      <c r="R43" s="3609">
        <f>+P43/L43*100-100</f>
        <v>-1.2129024205500514</v>
      </c>
      <c r="S43" s="3705"/>
      <c r="T43" s="3823"/>
      <c r="U43" s="3775"/>
      <c r="V43" s="2907"/>
    </row>
    <row r="44" spans="1:26" s="2947" customFormat="1" ht="15.05" customHeight="1">
      <c r="A44" s="3021">
        <v>4</v>
      </c>
      <c r="B44" s="3021">
        <v>1</v>
      </c>
      <c r="C44" s="3021">
        <v>2</v>
      </c>
      <c r="D44" s="3021" t="s">
        <v>437</v>
      </c>
      <c r="E44" s="3021"/>
      <c r="F44" s="3023" t="s">
        <v>107</v>
      </c>
      <c r="G44" s="3024"/>
      <c r="H44" s="3025"/>
      <c r="I44" s="3026"/>
      <c r="J44" s="3132">
        <f>J45+J50+J51+J53</f>
        <v>19059250000</v>
      </c>
      <c r="K44" s="3132">
        <f t="shared" ref="K44:P44" si="13">K45+K50+K51+K53</f>
        <v>19214538092</v>
      </c>
      <c r="L44" s="3132">
        <f t="shared" si="13"/>
        <v>7519250000</v>
      </c>
      <c r="M44" s="3132">
        <f t="shared" si="13"/>
        <v>1772108700</v>
      </c>
      <c r="N44" s="3132">
        <f t="shared" si="13"/>
        <v>942614200</v>
      </c>
      <c r="O44" s="3132">
        <f t="shared" si="13"/>
        <v>2714722900</v>
      </c>
      <c r="P44" s="3132">
        <f t="shared" si="13"/>
        <v>7519250000</v>
      </c>
      <c r="Q44" s="3160">
        <f t="shared" si="12"/>
        <v>0</v>
      </c>
      <c r="R44" s="3603">
        <f>+P44/L44*100-100</f>
        <v>0</v>
      </c>
      <c r="S44" s="3706"/>
      <c r="T44" s="3824"/>
      <c r="U44" s="3773"/>
      <c r="V44" s="2944"/>
    </row>
    <row r="45" spans="1:26" s="2932" customFormat="1" ht="15.05" customHeight="1">
      <c r="A45" s="3047">
        <v>4</v>
      </c>
      <c r="B45" s="3047">
        <v>1</v>
      </c>
      <c r="C45" s="3047">
        <v>2</v>
      </c>
      <c r="D45" s="3047" t="s">
        <v>437</v>
      </c>
      <c r="E45" s="3047" t="s">
        <v>437</v>
      </c>
      <c r="F45" s="3048" t="s">
        <v>84</v>
      </c>
      <c r="G45" s="3049"/>
      <c r="H45" s="3050"/>
      <c r="I45" s="3051"/>
      <c r="J45" s="3162">
        <f>SUM(J46:J49)</f>
        <v>18800000000</v>
      </c>
      <c r="K45" s="3162">
        <f t="shared" ref="K45:P45" si="14">SUM(K46:K49)</f>
        <v>18927671342</v>
      </c>
      <c r="L45" s="3162">
        <f t="shared" si="14"/>
        <v>7500000000</v>
      </c>
      <c r="M45" s="3162">
        <f t="shared" si="14"/>
        <v>1772108700</v>
      </c>
      <c r="N45" s="3162">
        <f t="shared" si="14"/>
        <v>942614200</v>
      </c>
      <c r="O45" s="3162">
        <f t="shared" si="14"/>
        <v>2714722900</v>
      </c>
      <c r="P45" s="3162">
        <f t="shared" si="14"/>
        <v>7500000000</v>
      </c>
      <c r="Q45" s="3163">
        <f t="shared" si="12"/>
        <v>0</v>
      </c>
      <c r="R45" s="3610">
        <f>+P45/L45*100-100</f>
        <v>0</v>
      </c>
      <c r="S45" s="3707"/>
      <c r="T45" s="3825"/>
      <c r="U45" s="3776"/>
      <c r="V45" s="2931"/>
    </row>
    <row r="46" spans="1:26" s="1832" customFormat="1" ht="15.05" customHeight="1">
      <c r="A46" s="1855"/>
      <c r="B46" s="1855"/>
      <c r="C46" s="1855"/>
      <c r="D46" s="1855"/>
      <c r="E46" s="1855"/>
      <c r="F46" s="1857" t="s">
        <v>82</v>
      </c>
      <c r="G46" s="1858"/>
      <c r="H46" s="200"/>
      <c r="I46" s="217"/>
      <c r="J46" s="3165">
        <v>4000000000</v>
      </c>
      <c r="K46" s="3165">
        <v>4571728000</v>
      </c>
      <c r="L46" s="3125">
        <v>4500000000</v>
      </c>
      <c r="M46" s="3124">
        <v>1633527700</v>
      </c>
      <c r="N46" s="3125">
        <v>818193200</v>
      </c>
      <c r="O46" s="3125">
        <v>2451720900</v>
      </c>
      <c r="P46" s="3125">
        <v>5500000000</v>
      </c>
      <c r="Q46" s="3125">
        <f t="shared" si="12"/>
        <v>1000000000</v>
      </c>
      <c r="R46" s="3605">
        <f>+P46/L46*100-100</f>
        <v>22.222222222222229</v>
      </c>
      <c r="S46" s="3275"/>
      <c r="T46" s="3826"/>
      <c r="U46" s="3771"/>
      <c r="V46" s="1882">
        <f t="shared" ref="V46:V107" si="15">O46*4</f>
        <v>9806883600</v>
      </c>
    </row>
    <row r="47" spans="1:26" s="1832" customFormat="1" ht="15.05" customHeight="1">
      <c r="A47" s="1855"/>
      <c r="B47" s="1855"/>
      <c r="C47" s="1855"/>
      <c r="D47" s="1855"/>
      <c r="E47" s="1855"/>
      <c r="F47" s="1857" t="s">
        <v>487</v>
      </c>
      <c r="G47" s="1858"/>
      <c r="H47" s="200"/>
      <c r="I47" s="217"/>
      <c r="J47" s="3165">
        <v>1100000000</v>
      </c>
      <c r="K47" s="3165">
        <v>1352812500</v>
      </c>
      <c r="L47" s="3125">
        <v>3000000000</v>
      </c>
      <c r="M47" s="3124">
        <v>138581000</v>
      </c>
      <c r="N47" s="3125">
        <v>124421000</v>
      </c>
      <c r="O47" s="3125">
        <v>263002000</v>
      </c>
      <c r="P47" s="3125">
        <v>2000000000</v>
      </c>
      <c r="Q47" s="3125">
        <f t="shared" si="12"/>
        <v>-1000000000</v>
      </c>
      <c r="R47" s="3605">
        <f>+P47/L47*100-100</f>
        <v>-33.333333333333343</v>
      </c>
      <c r="S47" s="3275"/>
      <c r="T47" s="3826"/>
      <c r="U47" s="3771"/>
      <c r="V47" s="1882">
        <f t="shared" si="15"/>
        <v>1052008000</v>
      </c>
    </row>
    <row r="48" spans="1:26" s="257" customFormat="1" ht="15.05" customHeight="1">
      <c r="A48" s="1855"/>
      <c r="B48" s="1855"/>
      <c r="C48" s="1855"/>
      <c r="D48" s="1855"/>
      <c r="E48" s="1855"/>
      <c r="F48" s="2884" t="s">
        <v>1158</v>
      </c>
      <c r="G48" s="2885"/>
      <c r="H48" s="2886"/>
      <c r="I48" s="217"/>
      <c r="J48" s="3167">
        <v>200000000</v>
      </c>
      <c r="K48" s="3167">
        <v>291113500</v>
      </c>
      <c r="L48" s="3125">
        <v>0</v>
      </c>
      <c r="M48" s="3124">
        <v>0</v>
      </c>
      <c r="N48" s="3125">
        <v>0</v>
      </c>
      <c r="O48" s="3125">
        <v>0</v>
      </c>
      <c r="P48" s="3125">
        <v>0</v>
      </c>
      <c r="Q48" s="3125">
        <f t="shared" si="12"/>
        <v>0</v>
      </c>
      <c r="R48" s="3605">
        <v>0</v>
      </c>
      <c r="S48" s="3275"/>
      <c r="T48" s="3826"/>
      <c r="U48" s="3771"/>
      <c r="V48" s="1846">
        <f t="shared" si="15"/>
        <v>0</v>
      </c>
    </row>
    <row r="49" spans="1:22" s="257" customFormat="1" ht="15.05" customHeight="1">
      <c r="A49" s="1855"/>
      <c r="B49" s="1855"/>
      <c r="C49" s="1855"/>
      <c r="D49" s="1855"/>
      <c r="E49" s="1855"/>
      <c r="F49" s="2884" t="s">
        <v>1159</v>
      </c>
      <c r="G49" s="2885"/>
      <c r="H49" s="2886"/>
      <c r="I49" s="217"/>
      <c r="J49" s="3167">
        <v>13500000000</v>
      </c>
      <c r="K49" s="3167">
        <v>12712017342</v>
      </c>
      <c r="L49" s="3125">
        <v>0</v>
      </c>
      <c r="M49" s="3124">
        <v>0</v>
      </c>
      <c r="N49" s="3125">
        <v>0</v>
      </c>
      <c r="O49" s="3125">
        <v>0</v>
      </c>
      <c r="P49" s="3125">
        <v>0</v>
      </c>
      <c r="Q49" s="3125">
        <f t="shared" si="12"/>
        <v>0</v>
      </c>
      <c r="R49" s="3605">
        <v>0</v>
      </c>
      <c r="S49" s="3275"/>
      <c r="T49" s="3826"/>
      <c r="U49" s="3771"/>
      <c r="V49" s="1846">
        <f t="shared" si="15"/>
        <v>0</v>
      </c>
    </row>
    <row r="50" spans="1:22" s="2932" customFormat="1" ht="15.05" customHeight="1">
      <c r="A50" s="2925">
        <v>4</v>
      </c>
      <c r="B50" s="2925">
        <v>1</v>
      </c>
      <c r="C50" s="2925">
        <v>2</v>
      </c>
      <c r="D50" s="2925" t="s">
        <v>437</v>
      </c>
      <c r="E50" s="2925" t="s">
        <v>445</v>
      </c>
      <c r="F50" s="2926" t="s">
        <v>488</v>
      </c>
      <c r="G50" s="2927"/>
      <c r="H50" s="2933"/>
      <c r="I50" s="2934"/>
      <c r="J50" s="3168">
        <v>240000000</v>
      </c>
      <c r="K50" s="3168">
        <v>286866750</v>
      </c>
      <c r="L50" s="3169">
        <v>0</v>
      </c>
      <c r="M50" s="3170">
        <v>0</v>
      </c>
      <c r="N50" s="3169">
        <v>0</v>
      </c>
      <c r="O50" s="3169">
        <v>0</v>
      </c>
      <c r="P50" s="3169">
        <f>MAR!N708</f>
        <v>0</v>
      </c>
      <c r="Q50" s="3169">
        <f t="shared" si="12"/>
        <v>0</v>
      </c>
      <c r="R50" s="3611">
        <v>0</v>
      </c>
      <c r="S50" s="3708"/>
      <c r="T50" s="3827"/>
      <c r="U50" s="3776"/>
      <c r="V50" s="2931">
        <f t="shared" si="15"/>
        <v>0</v>
      </c>
    </row>
    <row r="51" spans="1:22" s="2932" customFormat="1" ht="15.05" customHeight="1">
      <c r="A51" s="2925" t="s">
        <v>443</v>
      </c>
      <c r="B51" s="2925" t="s">
        <v>58</v>
      </c>
      <c r="C51" s="2925" t="s">
        <v>460</v>
      </c>
      <c r="D51" s="2925" t="s">
        <v>437</v>
      </c>
      <c r="E51" s="2925" t="s">
        <v>440</v>
      </c>
      <c r="F51" s="2926" t="s">
        <v>489</v>
      </c>
      <c r="G51" s="2927"/>
      <c r="H51" s="2928"/>
      <c r="I51" s="2934"/>
      <c r="J51" s="3168">
        <v>19250000</v>
      </c>
      <c r="K51" s="3168">
        <v>0</v>
      </c>
      <c r="L51" s="3169">
        <v>19250000</v>
      </c>
      <c r="M51" s="3170">
        <v>0</v>
      </c>
      <c r="N51" s="3169">
        <v>0</v>
      </c>
      <c r="O51" s="3169">
        <v>0</v>
      </c>
      <c r="P51" s="3169">
        <f>P52</f>
        <v>19250000</v>
      </c>
      <c r="Q51" s="3169">
        <f>+P51-L51</f>
        <v>0</v>
      </c>
      <c r="R51" s="3611">
        <f>+P51/L51*100-100</f>
        <v>0</v>
      </c>
      <c r="S51" s="3708"/>
      <c r="T51" s="3827"/>
      <c r="U51" s="3776"/>
      <c r="V51" s="2931">
        <f t="shared" si="15"/>
        <v>0</v>
      </c>
    </row>
    <row r="52" spans="1:22" s="3941" customFormat="1" ht="15.05" customHeight="1">
      <c r="A52" s="3928"/>
      <c r="B52" s="3928"/>
      <c r="C52" s="3928"/>
      <c r="D52" s="3928"/>
      <c r="E52" s="3928"/>
      <c r="F52" s="3929" t="s">
        <v>50</v>
      </c>
      <c r="G52" s="3930" t="s">
        <v>490</v>
      </c>
      <c r="H52" s="3931"/>
      <c r="I52" s="3932"/>
      <c r="J52" s="3933">
        <v>19250000</v>
      </c>
      <c r="K52" s="3933">
        <v>0</v>
      </c>
      <c r="L52" s="3934">
        <v>19250000</v>
      </c>
      <c r="M52" s="3935">
        <v>0</v>
      </c>
      <c r="N52" s="3934">
        <v>0</v>
      </c>
      <c r="O52" s="3934">
        <v>0</v>
      </c>
      <c r="P52" s="3934">
        <v>19250000</v>
      </c>
      <c r="Q52" s="3934">
        <f>+P52-L52</f>
        <v>0</v>
      </c>
      <c r="R52" s="3936">
        <f>+P52/L52*100-100</f>
        <v>0</v>
      </c>
      <c r="S52" s="3937"/>
      <c r="T52" s="3938"/>
      <c r="U52" s="3939"/>
      <c r="V52" s="3940">
        <f t="shared" si="15"/>
        <v>0</v>
      </c>
    </row>
    <row r="53" spans="1:22" s="2932" customFormat="1" ht="15.05" customHeight="1">
      <c r="A53" s="2925">
        <v>4</v>
      </c>
      <c r="B53" s="2925">
        <v>1</v>
      </c>
      <c r="C53" s="2925">
        <v>2</v>
      </c>
      <c r="D53" s="2925" t="s">
        <v>437</v>
      </c>
      <c r="E53" s="2935" t="s">
        <v>451</v>
      </c>
      <c r="F53" s="2926" t="s">
        <v>1180</v>
      </c>
      <c r="G53" s="2927"/>
      <c r="H53" s="2928"/>
      <c r="I53" s="2929"/>
      <c r="J53" s="3172"/>
      <c r="K53" s="3172">
        <v>0</v>
      </c>
      <c r="L53" s="3169">
        <v>0</v>
      </c>
      <c r="M53" s="3170">
        <v>0</v>
      </c>
      <c r="N53" s="3169">
        <v>0</v>
      </c>
      <c r="O53" s="3169">
        <v>0</v>
      </c>
      <c r="P53" s="3169">
        <f>O53-L53</f>
        <v>0</v>
      </c>
      <c r="Q53" s="3169">
        <f>+P53-L53</f>
        <v>0</v>
      </c>
      <c r="R53" s="3611" t="e">
        <f>+P53/L53*100-100</f>
        <v>#DIV/0!</v>
      </c>
      <c r="S53" s="3708"/>
      <c r="T53" s="3827"/>
      <c r="U53" s="3776"/>
      <c r="V53" s="2931">
        <f t="shared" si="15"/>
        <v>0</v>
      </c>
    </row>
    <row r="54" spans="1:22" s="257" customFormat="1" ht="15.05" customHeight="1">
      <c r="A54" s="1886"/>
      <c r="B54" s="1886"/>
      <c r="C54" s="1886"/>
      <c r="D54" s="1886"/>
      <c r="E54" s="1886"/>
      <c r="F54" s="1887"/>
      <c r="G54" s="1888"/>
      <c r="H54" s="856"/>
      <c r="I54" s="1894"/>
      <c r="J54" s="3173"/>
      <c r="K54" s="3173">
        <f>K56-3676781427</f>
        <v>0</v>
      </c>
      <c r="L54" s="3174"/>
      <c r="M54" s="3175"/>
      <c r="N54" s="3174"/>
      <c r="O54" s="3174"/>
      <c r="P54" s="3174"/>
      <c r="Q54" s="3174"/>
      <c r="R54" s="3612"/>
      <c r="S54" s="3709"/>
      <c r="T54" s="3828"/>
      <c r="U54" s="3771"/>
      <c r="V54" s="1846">
        <f t="shared" si="15"/>
        <v>0</v>
      </c>
    </row>
    <row r="55" spans="1:22" s="2947" customFormat="1" ht="15.05" customHeight="1">
      <c r="A55" s="3053">
        <v>4</v>
      </c>
      <c r="B55" s="3054">
        <v>1</v>
      </c>
      <c r="C55" s="3054">
        <v>2</v>
      </c>
      <c r="D55" s="3054" t="s">
        <v>438</v>
      </c>
      <c r="E55" s="3055"/>
      <c r="F55" s="3056" t="s">
        <v>374</v>
      </c>
      <c r="G55" s="3057"/>
      <c r="H55" s="3058"/>
      <c r="I55" s="3059"/>
      <c r="J55" s="3177">
        <f t="shared" ref="J55:P55" si="16">J56+J139+J159+J165</f>
        <v>9182718500</v>
      </c>
      <c r="K55" s="3177">
        <f t="shared" si="16"/>
        <v>8816358857</v>
      </c>
      <c r="L55" s="3177">
        <f t="shared" si="16"/>
        <v>9291218500</v>
      </c>
      <c r="M55" s="3177">
        <f t="shared" si="16"/>
        <v>773060576</v>
      </c>
      <c r="N55" s="3177">
        <f t="shared" si="16"/>
        <v>386105000</v>
      </c>
      <c r="O55" s="3177">
        <f t="shared" si="16"/>
        <v>1256530576</v>
      </c>
      <c r="P55" s="3177">
        <f t="shared" si="16"/>
        <v>8872324500</v>
      </c>
      <c r="Q55" s="3178">
        <f>+P55-L55</f>
        <v>-418894000</v>
      </c>
      <c r="R55" s="3613">
        <f t="shared" ref="R55:R67" si="17">+P55/L55*100-100</f>
        <v>-4.5084936921890346</v>
      </c>
      <c r="S55" s="3700"/>
      <c r="T55" s="3818"/>
      <c r="U55" s="3773"/>
      <c r="V55" s="2944">
        <f t="shared" si="15"/>
        <v>5026122304</v>
      </c>
    </row>
    <row r="56" spans="1:22" s="2932" customFormat="1" ht="15.05" customHeight="1">
      <c r="A56" s="3047">
        <v>4</v>
      </c>
      <c r="B56" s="3047">
        <v>1</v>
      </c>
      <c r="C56" s="3047">
        <v>2</v>
      </c>
      <c r="D56" s="3047" t="s">
        <v>438</v>
      </c>
      <c r="E56" s="3047" t="s">
        <v>437</v>
      </c>
      <c r="F56" s="3048" t="s">
        <v>64</v>
      </c>
      <c r="G56" s="3049"/>
      <c r="H56" s="3050"/>
      <c r="I56" s="3052"/>
      <c r="J56" s="3181">
        <f>J57+J61+J64+J66+J72+J78+J95+J112+J115+J120+J130+J133</f>
        <v>4557206500</v>
      </c>
      <c r="K56" s="3181">
        <f>K57+K61+K64+K66+K72+K78+K95+K112+K115+K120+K130+K133+K137</f>
        <v>3676781427</v>
      </c>
      <c r="L56" s="3181">
        <f t="shared" ref="L56:Q56" si="18">L57+L61+L64+L66+L72+L78+L95+L112+L115+L120+L130+L133</f>
        <v>4630706500</v>
      </c>
      <c r="M56" s="3181">
        <f t="shared" si="18"/>
        <v>285659026</v>
      </c>
      <c r="N56" s="3181">
        <f t="shared" si="18"/>
        <v>91100500</v>
      </c>
      <c r="O56" s="3181">
        <f t="shared" si="18"/>
        <v>376759526</v>
      </c>
      <c r="P56" s="3181">
        <f t="shared" si="18"/>
        <v>3861806500</v>
      </c>
      <c r="Q56" s="3163">
        <f t="shared" si="18"/>
        <v>-768900000</v>
      </c>
      <c r="R56" s="3610">
        <f t="shared" si="17"/>
        <v>-16.604377755316605</v>
      </c>
      <c r="S56" s="3707"/>
      <c r="T56" s="3825"/>
      <c r="U56" s="3776"/>
      <c r="V56" s="2931">
        <f t="shared" si="15"/>
        <v>1507038104</v>
      </c>
    </row>
    <row r="57" spans="1:22" s="1833" customFormat="1" ht="15.05" customHeight="1">
      <c r="A57" s="1854"/>
      <c r="B57" s="1854"/>
      <c r="C57" s="1854"/>
      <c r="D57" s="1854"/>
      <c r="E57" s="1854"/>
      <c r="F57" s="1464" t="s">
        <v>62</v>
      </c>
      <c r="G57" s="1860"/>
      <c r="H57" s="202"/>
      <c r="I57" s="218"/>
      <c r="J57" s="3123">
        <f>SUM(J58:J60)</f>
        <v>89895000</v>
      </c>
      <c r="K57" s="3123">
        <f t="shared" ref="K57:P57" si="19">SUM(K58:K60)</f>
        <v>78988830</v>
      </c>
      <c r="L57" s="3123">
        <f t="shared" si="19"/>
        <v>98395000</v>
      </c>
      <c r="M57" s="3123">
        <f t="shared" si="19"/>
        <v>4949500</v>
      </c>
      <c r="N57" s="3123">
        <f t="shared" si="19"/>
        <v>4782000</v>
      </c>
      <c r="O57" s="3123">
        <f t="shared" si="19"/>
        <v>9731500</v>
      </c>
      <c r="P57" s="3123">
        <f t="shared" si="19"/>
        <v>98395000</v>
      </c>
      <c r="Q57" s="3182">
        <f t="shared" ref="Q57:Q107" si="20">+P57-L57</f>
        <v>0</v>
      </c>
      <c r="R57" s="3601">
        <f t="shared" si="17"/>
        <v>0</v>
      </c>
      <c r="S57" s="3710"/>
      <c r="T57" s="3829"/>
      <c r="U57" s="3777"/>
      <c r="V57" s="1882">
        <f t="shared" si="15"/>
        <v>38926000</v>
      </c>
    </row>
    <row r="58" spans="1:22" s="3945" customFormat="1" ht="15.05" customHeight="1">
      <c r="A58" s="3942"/>
      <c r="B58" s="3942"/>
      <c r="C58" s="3942"/>
      <c r="D58" s="3942"/>
      <c r="E58" s="3942"/>
      <c r="F58" s="3943" t="s">
        <v>50</v>
      </c>
      <c r="G58" s="3930"/>
      <c r="H58" s="3931" t="s">
        <v>1205</v>
      </c>
      <c r="I58" s="3932"/>
      <c r="J58" s="3933">
        <v>33395000</v>
      </c>
      <c r="K58" s="3933">
        <v>36456830</v>
      </c>
      <c r="L58" s="3934">
        <v>33395000</v>
      </c>
      <c r="M58" s="3935">
        <v>0</v>
      </c>
      <c r="N58" s="3934">
        <v>750000</v>
      </c>
      <c r="O58" s="3934">
        <v>750000</v>
      </c>
      <c r="P58" s="3934">
        <v>33395000</v>
      </c>
      <c r="Q58" s="3934">
        <f t="shared" si="20"/>
        <v>0</v>
      </c>
      <c r="R58" s="3936">
        <f t="shared" si="17"/>
        <v>0</v>
      </c>
      <c r="S58" s="3937"/>
      <c r="T58" s="3938"/>
      <c r="U58" s="3939"/>
      <c r="V58" s="3944">
        <f t="shared" si="15"/>
        <v>3000000</v>
      </c>
    </row>
    <row r="59" spans="1:22" s="3945" customFormat="1" ht="15.05" customHeight="1">
      <c r="A59" s="3942"/>
      <c r="B59" s="3942"/>
      <c r="C59" s="3942"/>
      <c r="D59" s="3942"/>
      <c r="E59" s="3942"/>
      <c r="F59" s="3943" t="s">
        <v>50</v>
      </c>
      <c r="G59" s="3930"/>
      <c r="H59" s="3931" t="str">
        <f>MAR!I14</f>
        <v>Aula Taman Budaya (Eks Dinas Pariwisata)</v>
      </c>
      <c r="I59" s="3932"/>
      <c r="J59" s="3933">
        <v>16500000</v>
      </c>
      <c r="K59" s="3933">
        <v>2500000</v>
      </c>
      <c r="L59" s="3934">
        <v>25000000</v>
      </c>
      <c r="M59" s="3935">
        <v>0</v>
      </c>
      <c r="N59" s="3934">
        <v>2000000</v>
      </c>
      <c r="O59" s="3934">
        <v>2000000</v>
      </c>
      <c r="P59" s="3934">
        <v>25000000</v>
      </c>
      <c r="Q59" s="3934">
        <f t="shared" si="20"/>
        <v>0</v>
      </c>
      <c r="R59" s="3936">
        <f t="shared" si="17"/>
        <v>0</v>
      </c>
      <c r="S59" s="3937"/>
      <c r="T59" s="3938"/>
      <c r="U59" s="3939"/>
      <c r="V59" s="3944">
        <f t="shared" si="15"/>
        <v>8000000</v>
      </c>
    </row>
    <row r="60" spans="1:22" s="3945" customFormat="1" ht="15.05" customHeight="1">
      <c r="A60" s="3942"/>
      <c r="B60" s="3942"/>
      <c r="C60" s="3942"/>
      <c r="D60" s="3942"/>
      <c r="E60" s="3942"/>
      <c r="F60" s="3943" t="s">
        <v>50</v>
      </c>
      <c r="G60" s="3930"/>
      <c r="H60" s="3931" t="str">
        <f>MAR!I15</f>
        <v>Museum (Eks Dinas Pariwisata)</v>
      </c>
      <c r="I60" s="3932"/>
      <c r="J60" s="3933">
        <v>40000000</v>
      </c>
      <c r="K60" s="3933">
        <v>40032000</v>
      </c>
      <c r="L60" s="3934">
        <v>40000000</v>
      </c>
      <c r="M60" s="3935">
        <v>4949500</v>
      </c>
      <c r="N60" s="3934">
        <v>2032000</v>
      </c>
      <c r="O60" s="3934">
        <v>6981500</v>
      </c>
      <c r="P60" s="3934">
        <v>40000000</v>
      </c>
      <c r="Q60" s="3934">
        <f t="shared" si="20"/>
        <v>0</v>
      </c>
      <c r="R60" s="3936">
        <f t="shared" si="17"/>
        <v>0</v>
      </c>
      <c r="S60" s="3937"/>
      <c r="T60" s="3938"/>
      <c r="U60" s="3939"/>
      <c r="V60" s="3944">
        <f t="shared" si="15"/>
        <v>27926000</v>
      </c>
    </row>
    <row r="61" spans="1:22" s="3955" customFormat="1" ht="15.05" customHeight="1">
      <c r="A61" s="3942"/>
      <c r="B61" s="3942"/>
      <c r="C61" s="3942"/>
      <c r="D61" s="3942"/>
      <c r="E61" s="3942"/>
      <c r="F61" s="2825" t="s">
        <v>491</v>
      </c>
      <c r="G61" s="3946"/>
      <c r="H61" s="3947"/>
      <c r="I61" s="3948"/>
      <c r="J61" s="3949">
        <f>SUM(J62:J63)</f>
        <v>466750000</v>
      </c>
      <c r="K61" s="3949">
        <f t="shared" ref="K61:P61" si="21">SUM(K62:K63)</f>
        <v>411360000</v>
      </c>
      <c r="L61" s="3949">
        <f t="shared" si="21"/>
        <v>466750000</v>
      </c>
      <c r="M61" s="3949">
        <f t="shared" si="21"/>
        <v>22406900</v>
      </c>
      <c r="N61" s="3949">
        <f t="shared" si="21"/>
        <v>26657500</v>
      </c>
      <c r="O61" s="3949">
        <f t="shared" si="21"/>
        <v>49064400</v>
      </c>
      <c r="P61" s="3949">
        <f t="shared" si="21"/>
        <v>466750000</v>
      </c>
      <c r="Q61" s="3950">
        <f t="shared" si="20"/>
        <v>0</v>
      </c>
      <c r="R61" s="3951">
        <f t="shared" si="17"/>
        <v>0</v>
      </c>
      <c r="S61" s="3952"/>
      <c r="T61" s="3953"/>
      <c r="U61" s="3954"/>
      <c r="V61" s="3940">
        <f t="shared" si="15"/>
        <v>196257600</v>
      </c>
    </row>
    <row r="62" spans="1:22" s="3941" customFormat="1" ht="15.05" customHeight="1">
      <c r="A62" s="3928"/>
      <c r="B62" s="3928"/>
      <c r="C62" s="3928"/>
      <c r="D62" s="3928"/>
      <c r="E62" s="3928"/>
      <c r="F62" s="3943" t="s">
        <v>50</v>
      </c>
      <c r="G62" s="3930"/>
      <c r="H62" s="3931" t="s">
        <v>492</v>
      </c>
      <c r="I62" s="3956"/>
      <c r="J62" s="3957">
        <v>216750000</v>
      </c>
      <c r="K62" s="3957">
        <v>82166000</v>
      </c>
      <c r="L62" s="3934">
        <v>216750000</v>
      </c>
      <c r="M62" s="3935">
        <v>1400000</v>
      </c>
      <c r="N62" s="3934">
        <v>0</v>
      </c>
      <c r="O62" s="3934">
        <v>1400000</v>
      </c>
      <c r="P62" s="3934">
        <v>216750000</v>
      </c>
      <c r="Q62" s="3934">
        <f t="shared" si="20"/>
        <v>0</v>
      </c>
      <c r="R62" s="3936">
        <f t="shared" si="17"/>
        <v>0</v>
      </c>
      <c r="S62" s="3937"/>
      <c r="T62" s="3938"/>
      <c r="U62" s="3939"/>
      <c r="V62" s="3940">
        <f t="shared" si="15"/>
        <v>5600000</v>
      </c>
    </row>
    <row r="63" spans="1:22" s="3941" customFormat="1" ht="15.05" customHeight="1">
      <c r="A63" s="3928"/>
      <c r="B63" s="3928"/>
      <c r="C63" s="3928"/>
      <c r="D63" s="3928"/>
      <c r="E63" s="3928"/>
      <c r="F63" s="3943" t="s">
        <v>50</v>
      </c>
      <c r="G63" s="3930"/>
      <c r="H63" s="3931" t="s">
        <v>493</v>
      </c>
      <c r="I63" s="3956"/>
      <c r="J63" s="3957">
        <v>250000000</v>
      </c>
      <c r="K63" s="3957">
        <v>329194000</v>
      </c>
      <c r="L63" s="3934">
        <v>250000000</v>
      </c>
      <c r="M63" s="3935">
        <v>21006900</v>
      </c>
      <c r="N63" s="3934">
        <v>26657500</v>
      </c>
      <c r="O63" s="3934">
        <v>47664400</v>
      </c>
      <c r="P63" s="3934">
        <v>250000000</v>
      </c>
      <c r="Q63" s="3934">
        <f t="shared" si="20"/>
        <v>0</v>
      </c>
      <c r="R63" s="3936">
        <f t="shared" si="17"/>
        <v>0</v>
      </c>
      <c r="S63" s="3937"/>
      <c r="T63" s="3938"/>
      <c r="U63" s="3939"/>
      <c r="V63" s="3940">
        <f t="shared" si="15"/>
        <v>190657600</v>
      </c>
    </row>
    <row r="64" spans="1:22" s="1318" customFormat="1" ht="15.05" customHeight="1">
      <c r="A64" s="1854"/>
      <c r="B64" s="1854"/>
      <c r="C64" s="1854"/>
      <c r="D64" s="1854"/>
      <c r="E64" s="1854"/>
      <c r="F64" s="1464" t="s">
        <v>494</v>
      </c>
      <c r="G64" s="1860"/>
      <c r="H64" s="202"/>
      <c r="I64" s="2824"/>
      <c r="J64" s="3185">
        <v>2000000</v>
      </c>
      <c r="K64" s="3185">
        <v>0</v>
      </c>
      <c r="L64" s="3182">
        <v>2000000</v>
      </c>
      <c r="M64" s="3183">
        <v>0</v>
      </c>
      <c r="N64" s="3182">
        <v>200000</v>
      </c>
      <c r="O64" s="3182">
        <v>200000</v>
      </c>
      <c r="P64" s="3182">
        <v>2000000</v>
      </c>
      <c r="Q64" s="3182">
        <f t="shared" si="20"/>
        <v>0</v>
      </c>
      <c r="R64" s="3601">
        <f t="shared" si="17"/>
        <v>0</v>
      </c>
      <c r="S64" s="3710"/>
      <c r="T64" s="3829"/>
      <c r="U64" s="3777"/>
      <c r="V64" s="1846">
        <f t="shared" si="15"/>
        <v>800000</v>
      </c>
    </row>
    <row r="65" spans="1:22" s="257" customFormat="1" ht="15.05" customHeight="1">
      <c r="A65" s="1855"/>
      <c r="B65" s="1855"/>
      <c r="C65" s="1855"/>
      <c r="D65" s="1855"/>
      <c r="E65" s="1855"/>
      <c r="F65" s="1857" t="s">
        <v>50</v>
      </c>
      <c r="G65" s="1858"/>
      <c r="H65" s="200" t="s">
        <v>495</v>
      </c>
      <c r="I65" s="217"/>
      <c r="J65" s="3171">
        <v>2000000</v>
      </c>
      <c r="K65" s="3171">
        <v>0</v>
      </c>
      <c r="L65" s="3125">
        <v>2000000</v>
      </c>
      <c r="M65" s="3124">
        <v>0</v>
      </c>
      <c r="N65" s="3125">
        <v>200000</v>
      </c>
      <c r="O65" s="3125">
        <v>200000</v>
      </c>
      <c r="P65" s="3125">
        <v>2000000</v>
      </c>
      <c r="Q65" s="3125">
        <f t="shared" si="20"/>
        <v>0</v>
      </c>
      <c r="R65" s="3605">
        <f t="shared" si="17"/>
        <v>0</v>
      </c>
      <c r="S65" s="3275"/>
      <c r="T65" s="3826"/>
      <c r="U65" s="3771"/>
      <c r="V65" s="1846">
        <f t="shared" si="15"/>
        <v>800000</v>
      </c>
    </row>
    <row r="66" spans="1:22" s="1318" customFormat="1" ht="15.05" customHeight="1">
      <c r="A66" s="1854"/>
      <c r="B66" s="1854"/>
      <c r="C66" s="1854"/>
      <c r="D66" s="1854"/>
      <c r="E66" s="1854"/>
      <c r="F66" s="1464" t="s">
        <v>496</v>
      </c>
      <c r="G66" s="1860"/>
      <c r="H66" s="202"/>
      <c r="I66" s="218"/>
      <c r="J66" s="3123">
        <v>152500000</v>
      </c>
      <c r="K66" s="3123">
        <v>41900000</v>
      </c>
      <c r="L66" s="3182">
        <v>152500000</v>
      </c>
      <c r="M66" s="3183">
        <v>2850000</v>
      </c>
      <c r="N66" s="3182">
        <v>6950000</v>
      </c>
      <c r="O66" s="3182">
        <v>9800000</v>
      </c>
      <c r="P66" s="3182">
        <f>SUM(P67)</f>
        <v>31500000</v>
      </c>
      <c r="Q66" s="3182">
        <f t="shared" si="20"/>
        <v>-121000000</v>
      </c>
      <c r="R66" s="3601">
        <f t="shared" si="17"/>
        <v>-79.344262295081961</v>
      </c>
      <c r="S66" s="3710"/>
      <c r="T66" s="3829"/>
      <c r="U66" s="3777"/>
      <c r="V66" s="1846">
        <f t="shared" si="15"/>
        <v>39200000</v>
      </c>
    </row>
    <row r="67" spans="1:22" s="257" customFormat="1" ht="15.05" customHeight="1">
      <c r="A67" s="1855"/>
      <c r="B67" s="1855"/>
      <c r="C67" s="1855"/>
      <c r="D67" s="1855"/>
      <c r="E67" s="1855"/>
      <c r="F67" s="1857" t="s">
        <v>50</v>
      </c>
      <c r="G67" s="1858"/>
      <c r="H67" s="200" t="s">
        <v>143</v>
      </c>
      <c r="I67" s="217"/>
      <c r="J67" s="3171">
        <v>152500000</v>
      </c>
      <c r="K67" s="3171">
        <v>41900000</v>
      </c>
      <c r="L67" s="3125">
        <v>152500000</v>
      </c>
      <c r="M67" s="3124">
        <v>2850000</v>
      </c>
      <c r="N67" s="3125">
        <v>6950000</v>
      </c>
      <c r="O67" s="3125">
        <v>9800000</v>
      </c>
      <c r="P67" s="3125">
        <v>31500000</v>
      </c>
      <c r="Q67" s="3125">
        <f t="shared" si="20"/>
        <v>-121000000</v>
      </c>
      <c r="R67" s="3605">
        <f t="shared" si="17"/>
        <v>-79.344262295081961</v>
      </c>
      <c r="S67" s="3275"/>
      <c r="T67" s="3826"/>
      <c r="U67" s="3771"/>
      <c r="V67" s="1846">
        <f t="shared" si="15"/>
        <v>39200000</v>
      </c>
    </row>
    <row r="68" spans="1:22" s="1318" customFormat="1" ht="15.05" hidden="1" customHeight="1">
      <c r="A68" s="1854"/>
      <c r="B68" s="1854"/>
      <c r="C68" s="1854"/>
      <c r="D68" s="1854"/>
      <c r="E68" s="1854"/>
      <c r="F68" s="1464" t="s">
        <v>497</v>
      </c>
      <c r="G68" s="1860"/>
      <c r="H68" s="202"/>
      <c r="I68" s="218"/>
      <c r="J68" s="3123">
        <v>56500000</v>
      </c>
      <c r="K68" s="3123">
        <v>42532000</v>
      </c>
      <c r="L68" s="3182">
        <v>0</v>
      </c>
      <c r="M68" s="3183">
        <v>0</v>
      </c>
      <c r="N68" s="3182">
        <v>0</v>
      </c>
      <c r="O68" s="3182">
        <v>0</v>
      </c>
      <c r="P68" s="3182">
        <v>0</v>
      </c>
      <c r="Q68" s="3182">
        <f t="shared" si="20"/>
        <v>0</v>
      </c>
      <c r="R68" s="3601">
        <v>0</v>
      </c>
      <c r="S68" s="3710"/>
      <c r="T68" s="3829"/>
      <c r="U68" s="3777"/>
      <c r="V68" s="1846">
        <f t="shared" si="15"/>
        <v>0</v>
      </c>
    </row>
    <row r="69" spans="1:22" s="257" customFormat="1" ht="15.05" hidden="1" customHeight="1">
      <c r="A69" s="1855"/>
      <c r="B69" s="1855"/>
      <c r="C69" s="1855"/>
      <c r="D69" s="1855"/>
      <c r="E69" s="1855"/>
      <c r="F69" s="2756" t="s">
        <v>50</v>
      </c>
      <c r="G69" s="1858" t="s">
        <v>498</v>
      </c>
      <c r="H69" s="200"/>
      <c r="I69" s="217"/>
      <c r="J69" s="3171">
        <v>16500000</v>
      </c>
      <c r="K69" s="3171">
        <v>2500000</v>
      </c>
      <c r="L69" s="3125">
        <v>0</v>
      </c>
      <c r="M69" s="3124">
        <v>0</v>
      </c>
      <c r="N69" s="3125">
        <v>0</v>
      </c>
      <c r="O69" s="3125">
        <v>0</v>
      </c>
      <c r="P69" s="3125">
        <v>0</v>
      </c>
      <c r="Q69" s="3125">
        <f t="shared" si="20"/>
        <v>0</v>
      </c>
      <c r="R69" s="3605">
        <v>0</v>
      </c>
      <c r="S69" s="3275"/>
      <c r="T69" s="3826"/>
      <c r="U69" s="3771"/>
      <c r="V69" s="1846">
        <f t="shared" si="15"/>
        <v>0</v>
      </c>
    </row>
    <row r="70" spans="1:22" s="257" customFormat="1" ht="15.05" hidden="1" customHeight="1">
      <c r="A70" s="1855"/>
      <c r="B70" s="1855"/>
      <c r="C70" s="1855"/>
      <c r="D70" s="1855"/>
      <c r="E70" s="1855"/>
      <c r="F70" s="2756" t="s">
        <v>50</v>
      </c>
      <c r="G70" s="1858" t="s">
        <v>499</v>
      </c>
      <c r="H70" s="200"/>
      <c r="I70" s="217"/>
      <c r="J70" s="3171">
        <v>40000000</v>
      </c>
      <c r="K70" s="3171">
        <v>40032000</v>
      </c>
      <c r="L70" s="3125">
        <v>0</v>
      </c>
      <c r="M70" s="3124">
        <v>0</v>
      </c>
      <c r="N70" s="3125">
        <v>0</v>
      </c>
      <c r="O70" s="3125">
        <v>0</v>
      </c>
      <c r="P70" s="3125">
        <v>0</v>
      </c>
      <c r="Q70" s="3125">
        <f t="shared" si="20"/>
        <v>0</v>
      </c>
      <c r="R70" s="3605">
        <v>0</v>
      </c>
      <c r="S70" s="3748"/>
      <c r="T70" s="3826"/>
      <c r="U70" s="3778">
        <f>PerDinas!Q372</f>
        <v>0</v>
      </c>
      <c r="V70" s="1846">
        <f t="shared" si="15"/>
        <v>0</v>
      </c>
    </row>
    <row r="71" spans="1:22" s="257" customFormat="1" ht="15.05" hidden="1" customHeight="1">
      <c r="A71" s="1855"/>
      <c r="B71" s="1855"/>
      <c r="C71" s="1855"/>
      <c r="D71" s="1855"/>
      <c r="E71" s="1855"/>
      <c r="F71" s="2756" t="s">
        <v>50</v>
      </c>
      <c r="G71" s="1858" t="s">
        <v>500</v>
      </c>
      <c r="H71" s="200"/>
      <c r="I71" s="217"/>
      <c r="J71" s="3171">
        <v>0</v>
      </c>
      <c r="K71" s="3171">
        <v>0</v>
      </c>
      <c r="L71" s="3125">
        <v>0</v>
      </c>
      <c r="M71" s="3124">
        <v>0</v>
      </c>
      <c r="N71" s="3125">
        <v>0</v>
      </c>
      <c r="O71" s="3125">
        <v>0</v>
      </c>
      <c r="P71" s="3125">
        <v>0</v>
      </c>
      <c r="Q71" s="3125">
        <f t="shared" si="20"/>
        <v>0</v>
      </c>
      <c r="R71" s="3605">
        <v>0</v>
      </c>
      <c r="S71" s="3275"/>
      <c r="T71" s="3826"/>
      <c r="U71" s="3778">
        <v>0</v>
      </c>
      <c r="V71" s="1846">
        <f t="shared" si="15"/>
        <v>0</v>
      </c>
    </row>
    <row r="72" spans="1:22" s="257" customFormat="1" ht="15.05" customHeight="1">
      <c r="A72" s="1855"/>
      <c r="B72" s="1855"/>
      <c r="C72" s="1855"/>
      <c r="D72" s="1855"/>
      <c r="E72" s="1855"/>
      <c r="F72" s="1901" t="s">
        <v>326</v>
      </c>
      <c r="G72" s="1858"/>
      <c r="H72" s="200"/>
      <c r="I72" s="217"/>
      <c r="J72" s="3256">
        <f t="shared" ref="J72:O72" si="22">SUM(J73:J75)</f>
        <v>100000000</v>
      </c>
      <c r="K72" s="3256">
        <f t="shared" si="22"/>
        <v>271265000</v>
      </c>
      <c r="L72" s="3256">
        <f t="shared" si="22"/>
        <v>150000000</v>
      </c>
      <c r="M72" s="3256">
        <f t="shared" si="22"/>
        <v>26950000</v>
      </c>
      <c r="N72" s="3256">
        <f t="shared" si="22"/>
        <v>10625000</v>
      </c>
      <c r="O72" s="3256">
        <f t="shared" si="22"/>
        <v>37575000</v>
      </c>
      <c r="P72" s="3256">
        <f>SUM(P73:P77)</f>
        <v>240600000</v>
      </c>
      <c r="Q72" s="3256">
        <f>SUM(Q73:Q77)</f>
        <v>90600000</v>
      </c>
      <c r="R72" s="3601">
        <f t="shared" ref="R72:R81" si="23">+P72/L72*100-100</f>
        <v>60.400000000000006</v>
      </c>
      <c r="S72" s="3710"/>
      <c r="T72" s="3829"/>
      <c r="U72" s="3771"/>
      <c r="V72" s="1846">
        <f t="shared" si="15"/>
        <v>150300000</v>
      </c>
    </row>
    <row r="73" spans="1:22" s="257" customFormat="1" ht="15.05" customHeight="1">
      <c r="A73" s="1855"/>
      <c r="B73" s="1855"/>
      <c r="C73" s="1855"/>
      <c r="D73" s="1855"/>
      <c r="E73" s="1855"/>
      <c r="F73" s="2756" t="s">
        <v>50</v>
      </c>
      <c r="G73" s="1858" t="s">
        <v>501</v>
      </c>
      <c r="H73" s="200"/>
      <c r="I73" s="217"/>
      <c r="J73" s="3171">
        <v>100000000</v>
      </c>
      <c r="K73" s="3171">
        <v>271265000</v>
      </c>
      <c r="L73" s="3125">
        <v>100000000</v>
      </c>
      <c r="M73" s="3124">
        <v>26950000</v>
      </c>
      <c r="N73" s="3125">
        <v>10625000</v>
      </c>
      <c r="O73" s="3125">
        <v>37575000</v>
      </c>
      <c r="P73" s="3125">
        <v>95000000</v>
      </c>
      <c r="Q73" s="3125">
        <f t="shared" si="20"/>
        <v>-5000000</v>
      </c>
      <c r="R73" s="3926">
        <f t="shared" si="23"/>
        <v>-5</v>
      </c>
      <c r="S73" s="3971"/>
      <c r="T73" s="3927"/>
      <c r="U73" s="3778">
        <f>MAR!P586</f>
        <v>0</v>
      </c>
      <c r="V73" s="1846">
        <f t="shared" si="15"/>
        <v>150300000</v>
      </c>
    </row>
    <row r="74" spans="1:22" s="3989" customFormat="1" ht="15.05" customHeight="1">
      <c r="A74" s="3976"/>
      <c r="B74" s="3976"/>
      <c r="C74" s="3976"/>
      <c r="D74" s="3976"/>
      <c r="E74" s="3976"/>
      <c r="F74" s="3977" t="s">
        <v>50</v>
      </c>
      <c r="G74" s="3978" t="s">
        <v>1207</v>
      </c>
      <c r="H74" s="3979"/>
      <c r="I74" s="3980"/>
      <c r="J74" s="3981"/>
      <c r="K74" s="3981"/>
      <c r="L74" s="3982"/>
      <c r="M74" s="3983"/>
      <c r="N74" s="3982"/>
      <c r="O74" s="3982"/>
      <c r="P74" s="3982">
        <v>50000000</v>
      </c>
      <c r="Q74" s="3982">
        <f>+P74-L74</f>
        <v>50000000</v>
      </c>
      <c r="R74" s="3984" t="e">
        <f>+P74/L74*100-100</f>
        <v>#DIV/0!</v>
      </c>
      <c r="S74" s="3985"/>
      <c r="T74" s="3986"/>
      <c r="U74" s="3987"/>
      <c r="V74" s="3988"/>
    </row>
    <row r="75" spans="1:22" s="257" customFormat="1" ht="15.05" customHeight="1">
      <c r="A75" s="1855"/>
      <c r="B75" s="1855"/>
      <c r="C75" s="1855"/>
      <c r="D75" s="1855"/>
      <c r="E75" s="1855"/>
      <c r="F75" s="2756" t="s">
        <v>50</v>
      </c>
      <c r="G75" s="1858" t="s">
        <v>502</v>
      </c>
      <c r="H75" s="200"/>
      <c r="I75" s="217"/>
      <c r="J75" s="3171">
        <v>0</v>
      </c>
      <c r="K75" s="3171">
        <v>0</v>
      </c>
      <c r="L75" s="3125">
        <v>50000000</v>
      </c>
      <c r="M75" s="3124">
        <v>0</v>
      </c>
      <c r="N75" s="3125">
        <v>0</v>
      </c>
      <c r="O75" s="3125">
        <v>0</v>
      </c>
      <c r="P75" s="3125">
        <v>85000000</v>
      </c>
      <c r="Q75" s="3125">
        <f t="shared" si="20"/>
        <v>35000000</v>
      </c>
      <c r="R75" s="3926">
        <f t="shared" si="23"/>
        <v>70</v>
      </c>
      <c r="S75" s="3274"/>
      <c r="T75" s="3927"/>
      <c r="U75" s="3778"/>
      <c r="V75" s="1846">
        <f t="shared" si="15"/>
        <v>0</v>
      </c>
    </row>
    <row r="76" spans="1:22" s="3989" customFormat="1" ht="15.05" customHeight="1">
      <c r="A76" s="3976"/>
      <c r="B76" s="3976"/>
      <c r="C76" s="3976"/>
      <c r="D76" s="3976"/>
      <c r="E76" s="3976"/>
      <c r="F76" s="3977" t="s">
        <v>50</v>
      </c>
      <c r="G76" s="3978" t="s">
        <v>1208</v>
      </c>
      <c r="H76" s="3979"/>
      <c r="I76" s="3980"/>
      <c r="J76" s="3981"/>
      <c r="K76" s="3981"/>
      <c r="L76" s="3990"/>
      <c r="M76" s="3991"/>
      <c r="N76" s="3990"/>
      <c r="O76" s="3990"/>
      <c r="P76" s="3990">
        <v>7000000</v>
      </c>
      <c r="Q76" s="3958">
        <f>+P76-L76</f>
        <v>7000000</v>
      </c>
      <c r="R76" s="3616" t="e">
        <f>+P76/L76*100-100</f>
        <v>#DIV/0!</v>
      </c>
      <c r="S76" s="3985"/>
      <c r="T76" s="3986"/>
      <c r="U76" s="3987"/>
      <c r="V76" s="3988"/>
    </row>
    <row r="77" spans="1:22" s="3989" customFormat="1" ht="15.05" customHeight="1">
      <c r="A77" s="3976"/>
      <c r="B77" s="3976"/>
      <c r="C77" s="3976"/>
      <c r="D77" s="3976"/>
      <c r="E77" s="3976"/>
      <c r="F77" s="3977" t="s">
        <v>50</v>
      </c>
      <c r="G77" s="3978" t="s">
        <v>1209</v>
      </c>
      <c r="H77" s="3979"/>
      <c r="I77" s="3980"/>
      <c r="J77" s="3981"/>
      <c r="K77" s="3981"/>
      <c r="L77" s="3990"/>
      <c r="M77" s="3991"/>
      <c r="N77" s="3990"/>
      <c r="O77" s="3990"/>
      <c r="P77" s="3990">
        <v>3600000</v>
      </c>
      <c r="Q77" s="3958">
        <f>+P77-L77</f>
        <v>3600000</v>
      </c>
      <c r="R77" s="3616" t="e">
        <f>+P77/L77*100-100</f>
        <v>#DIV/0!</v>
      </c>
      <c r="S77" s="3985"/>
      <c r="T77" s="3986"/>
      <c r="U77" s="3987"/>
      <c r="V77" s="3988"/>
    </row>
    <row r="78" spans="1:22" s="257" customFormat="1" ht="15.05" customHeight="1">
      <c r="A78" s="1855"/>
      <c r="B78" s="1855"/>
      <c r="C78" s="1855"/>
      <c r="D78" s="1855"/>
      <c r="E78" s="1855"/>
      <c r="F78" s="1464" t="s">
        <v>157</v>
      </c>
      <c r="G78" s="1860"/>
      <c r="H78" s="202"/>
      <c r="I78" s="218"/>
      <c r="J78" s="3123">
        <f>SUM(J79:J81)</f>
        <v>131250000</v>
      </c>
      <c r="K78" s="3123">
        <f t="shared" ref="K78:P78" si="24">SUM(K79:K81)</f>
        <v>45175000</v>
      </c>
      <c r="L78" s="3123">
        <f t="shared" si="24"/>
        <v>131250000</v>
      </c>
      <c r="M78" s="3123">
        <f t="shared" si="24"/>
        <v>2500000</v>
      </c>
      <c r="N78" s="3123">
        <f t="shared" si="24"/>
        <v>5500000</v>
      </c>
      <c r="O78" s="3123">
        <f t="shared" si="24"/>
        <v>8000000</v>
      </c>
      <c r="P78" s="3123">
        <f t="shared" si="24"/>
        <v>131250000</v>
      </c>
      <c r="Q78" s="3182">
        <f t="shared" si="20"/>
        <v>0</v>
      </c>
      <c r="R78" s="3601">
        <f t="shared" si="23"/>
        <v>0</v>
      </c>
      <c r="S78" s="3710"/>
      <c r="T78" s="3829"/>
      <c r="U78" s="3771"/>
      <c r="V78" s="1846">
        <f t="shared" si="15"/>
        <v>32000000</v>
      </c>
    </row>
    <row r="79" spans="1:22" s="257" customFormat="1" ht="15.05" customHeight="1">
      <c r="A79" s="1855"/>
      <c r="B79" s="1855"/>
      <c r="C79" s="1855"/>
      <c r="D79" s="1855"/>
      <c r="E79" s="1855"/>
      <c r="F79" s="1863" t="s">
        <v>50</v>
      </c>
      <c r="G79" s="200"/>
      <c r="H79" s="200" t="s">
        <v>503</v>
      </c>
      <c r="I79" s="217"/>
      <c r="J79" s="3171">
        <v>30000000</v>
      </c>
      <c r="K79" s="3171">
        <v>23400000</v>
      </c>
      <c r="L79" s="3125">
        <v>30000000</v>
      </c>
      <c r="M79" s="3124">
        <v>0</v>
      </c>
      <c r="N79" s="3125">
        <v>0</v>
      </c>
      <c r="O79" s="3125">
        <v>0</v>
      </c>
      <c r="P79" s="3125">
        <v>30000000</v>
      </c>
      <c r="Q79" s="3125">
        <f t="shared" si="20"/>
        <v>0</v>
      </c>
      <c r="R79" s="3605">
        <f t="shared" si="23"/>
        <v>0</v>
      </c>
      <c r="S79" s="3748"/>
      <c r="T79" s="3826"/>
      <c r="U79" s="3778">
        <f>MAR!P286</f>
        <v>0</v>
      </c>
      <c r="V79" s="1846">
        <f t="shared" si="15"/>
        <v>0</v>
      </c>
    </row>
    <row r="80" spans="1:22" s="257" customFormat="1" ht="15.05" customHeight="1">
      <c r="A80" s="1855"/>
      <c r="B80" s="1855"/>
      <c r="C80" s="1855"/>
      <c r="D80" s="1855"/>
      <c r="E80" s="1855"/>
      <c r="F80" s="1863" t="s">
        <v>50</v>
      </c>
      <c r="G80" s="200"/>
      <c r="H80" s="200" t="s">
        <v>504</v>
      </c>
      <c r="I80" s="217"/>
      <c r="J80" s="3171">
        <v>26250000</v>
      </c>
      <c r="K80" s="3171">
        <v>14300000</v>
      </c>
      <c r="L80" s="3125">
        <v>26250000</v>
      </c>
      <c r="M80" s="3124">
        <v>1500000</v>
      </c>
      <c r="N80" s="3125">
        <v>0</v>
      </c>
      <c r="O80" s="3125">
        <v>1500000</v>
      </c>
      <c r="P80" s="3125">
        <v>26250000</v>
      </c>
      <c r="Q80" s="3125">
        <f t="shared" si="20"/>
        <v>0</v>
      </c>
      <c r="R80" s="3605">
        <f t="shared" si="23"/>
        <v>0</v>
      </c>
      <c r="S80" s="3748"/>
      <c r="T80" s="3826"/>
      <c r="U80" s="3778">
        <f>MAR!P287</f>
        <v>0</v>
      </c>
      <c r="V80" s="1846">
        <f t="shared" si="15"/>
        <v>6000000</v>
      </c>
    </row>
    <row r="81" spans="1:22" s="257" customFormat="1" ht="15.05" customHeight="1">
      <c r="A81" s="1855"/>
      <c r="B81" s="1855"/>
      <c r="C81" s="1855"/>
      <c r="D81" s="1855"/>
      <c r="E81" s="1855"/>
      <c r="F81" s="1863" t="s">
        <v>50</v>
      </c>
      <c r="G81" s="200"/>
      <c r="H81" s="200" t="s">
        <v>505</v>
      </c>
      <c r="I81" s="217"/>
      <c r="J81" s="3171">
        <v>75000000</v>
      </c>
      <c r="K81" s="3171">
        <v>7475000</v>
      </c>
      <c r="L81" s="3125">
        <v>75000000</v>
      </c>
      <c r="M81" s="3124">
        <v>1000000</v>
      </c>
      <c r="N81" s="3125">
        <v>5500000</v>
      </c>
      <c r="O81" s="3125">
        <v>6500000</v>
      </c>
      <c r="P81" s="3125">
        <v>75000000</v>
      </c>
      <c r="Q81" s="3125">
        <f t="shared" si="20"/>
        <v>0</v>
      </c>
      <c r="R81" s="3605">
        <f t="shared" si="23"/>
        <v>0</v>
      </c>
      <c r="S81" s="3748"/>
      <c r="T81" s="3826"/>
      <c r="U81" s="3778">
        <f>MAR!P288</f>
        <v>0</v>
      </c>
      <c r="V81" s="1846">
        <f t="shared" si="15"/>
        <v>26000000</v>
      </c>
    </row>
    <row r="82" spans="1:22" s="257" customFormat="1" ht="15.05" hidden="1" customHeight="1">
      <c r="A82" s="1855"/>
      <c r="B82" s="1855"/>
      <c r="C82" s="1855"/>
      <c r="D82" s="1855"/>
      <c r="E82" s="1855"/>
      <c r="F82" s="1863" t="s">
        <v>50</v>
      </c>
      <c r="G82" s="200"/>
      <c r="H82" s="202" t="s">
        <v>182</v>
      </c>
      <c r="I82" s="217"/>
      <c r="J82" s="3171"/>
      <c r="K82" s="3171"/>
      <c r="L82" s="3125">
        <v>0</v>
      </c>
      <c r="M82" s="3124">
        <v>0</v>
      </c>
      <c r="N82" s="3125">
        <v>0</v>
      </c>
      <c r="O82" s="3125">
        <v>0</v>
      </c>
      <c r="P82" s="3125">
        <v>0</v>
      </c>
      <c r="Q82" s="3125">
        <f t="shared" si="20"/>
        <v>0</v>
      </c>
      <c r="R82" s="3605">
        <v>0</v>
      </c>
      <c r="S82" s="3275"/>
      <c r="T82" s="3826"/>
      <c r="U82" s="3771"/>
      <c r="V82" s="1846">
        <f t="shared" si="15"/>
        <v>0</v>
      </c>
    </row>
    <row r="83" spans="1:22" s="257" customFormat="1" ht="15.05" hidden="1" customHeight="1">
      <c r="A83" s="1855"/>
      <c r="B83" s="1855"/>
      <c r="C83" s="1855"/>
      <c r="D83" s="1855"/>
      <c r="E83" s="1855"/>
      <c r="F83" s="1863"/>
      <c r="G83" s="2727" t="s">
        <v>50</v>
      </c>
      <c r="H83" s="200" t="s">
        <v>506</v>
      </c>
      <c r="I83" s="217"/>
      <c r="J83" s="3171"/>
      <c r="K83" s="3171"/>
      <c r="L83" s="3125">
        <v>0</v>
      </c>
      <c r="M83" s="3124">
        <v>0</v>
      </c>
      <c r="N83" s="3125">
        <v>0</v>
      </c>
      <c r="O83" s="3125">
        <v>0</v>
      </c>
      <c r="P83" s="3125">
        <v>0</v>
      </c>
      <c r="Q83" s="3125">
        <f t="shared" si="20"/>
        <v>0</v>
      </c>
      <c r="R83" s="3605">
        <v>0</v>
      </c>
      <c r="S83" s="3275"/>
      <c r="T83" s="3826"/>
      <c r="U83" s="3771"/>
      <c r="V83" s="1846">
        <f t="shared" si="15"/>
        <v>0</v>
      </c>
    </row>
    <row r="84" spans="1:22" s="257" customFormat="1" ht="15.05" hidden="1" customHeight="1">
      <c r="A84" s="1855"/>
      <c r="B84" s="1855"/>
      <c r="C84" s="1855"/>
      <c r="D84" s="1855"/>
      <c r="E84" s="1855"/>
      <c r="F84" s="1863"/>
      <c r="G84" s="2727" t="s">
        <v>50</v>
      </c>
      <c r="H84" s="200" t="s">
        <v>182</v>
      </c>
      <c r="I84" s="217"/>
      <c r="J84" s="3171"/>
      <c r="K84" s="3171"/>
      <c r="L84" s="3125">
        <v>0</v>
      </c>
      <c r="M84" s="3124">
        <v>0</v>
      </c>
      <c r="N84" s="3125">
        <v>0</v>
      </c>
      <c r="O84" s="3125">
        <v>0</v>
      </c>
      <c r="P84" s="3125">
        <v>0</v>
      </c>
      <c r="Q84" s="3125">
        <f t="shared" si="20"/>
        <v>0</v>
      </c>
      <c r="R84" s="3605">
        <v>0</v>
      </c>
      <c r="S84" s="3275"/>
      <c r="T84" s="3826"/>
      <c r="U84" s="3771"/>
      <c r="V84" s="1846">
        <f t="shared" si="15"/>
        <v>0</v>
      </c>
    </row>
    <row r="85" spans="1:22" s="257" customFormat="1" ht="15.05" hidden="1" customHeight="1">
      <c r="A85" s="1855"/>
      <c r="B85" s="1855"/>
      <c r="C85" s="1855"/>
      <c r="D85" s="1855"/>
      <c r="E85" s="1855"/>
      <c r="F85" s="1863"/>
      <c r="G85" s="2727" t="s">
        <v>50</v>
      </c>
      <c r="H85" s="200" t="s">
        <v>185</v>
      </c>
      <c r="I85" s="217"/>
      <c r="J85" s="3171"/>
      <c r="K85" s="3171"/>
      <c r="L85" s="3125">
        <v>0</v>
      </c>
      <c r="M85" s="3124">
        <v>0</v>
      </c>
      <c r="N85" s="3125">
        <v>0</v>
      </c>
      <c r="O85" s="3125">
        <v>0</v>
      </c>
      <c r="P85" s="3125">
        <v>0</v>
      </c>
      <c r="Q85" s="3125">
        <f t="shared" si="20"/>
        <v>0</v>
      </c>
      <c r="R85" s="3605">
        <v>0</v>
      </c>
      <c r="S85" s="3275"/>
      <c r="T85" s="3826"/>
      <c r="U85" s="3771"/>
      <c r="V85" s="1846">
        <f t="shared" si="15"/>
        <v>0</v>
      </c>
    </row>
    <row r="86" spans="1:22" s="257" customFormat="1" ht="15.05" hidden="1" customHeight="1">
      <c r="A86" s="1855"/>
      <c r="B86" s="1855"/>
      <c r="C86" s="1855"/>
      <c r="D86" s="1855"/>
      <c r="E86" s="1855"/>
      <c r="F86" s="1863" t="s">
        <v>50</v>
      </c>
      <c r="G86" s="200"/>
      <c r="H86" s="202" t="s">
        <v>507</v>
      </c>
      <c r="I86" s="217"/>
      <c r="J86" s="3171"/>
      <c r="K86" s="3171"/>
      <c r="L86" s="3125">
        <v>0</v>
      </c>
      <c r="M86" s="3124">
        <v>0</v>
      </c>
      <c r="N86" s="3125">
        <v>0</v>
      </c>
      <c r="O86" s="3125">
        <v>0</v>
      </c>
      <c r="P86" s="3125">
        <v>0</v>
      </c>
      <c r="Q86" s="3125">
        <f t="shared" si="20"/>
        <v>0</v>
      </c>
      <c r="R86" s="3605">
        <v>0</v>
      </c>
      <c r="S86" s="3275"/>
      <c r="T86" s="3826"/>
      <c r="U86" s="3771"/>
      <c r="V86" s="1846">
        <f t="shared" si="15"/>
        <v>0</v>
      </c>
    </row>
    <row r="87" spans="1:22" s="257" customFormat="1" ht="15.05" hidden="1" customHeight="1">
      <c r="A87" s="1855"/>
      <c r="B87" s="1855"/>
      <c r="C87" s="1855"/>
      <c r="D87" s="1855"/>
      <c r="E87" s="1855"/>
      <c r="F87" s="1863"/>
      <c r="G87" s="2727" t="s">
        <v>50</v>
      </c>
      <c r="H87" s="200" t="s">
        <v>508</v>
      </c>
      <c r="I87" s="217"/>
      <c r="J87" s="3171"/>
      <c r="K87" s="3171"/>
      <c r="L87" s="3125">
        <v>0</v>
      </c>
      <c r="M87" s="3124">
        <v>0</v>
      </c>
      <c r="N87" s="3125">
        <v>0</v>
      </c>
      <c r="O87" s="3125">
        <v>0</v>
      </c>
      <c r="P87" s="3125">
        <v>0</v>
      </c>
      <c r="Q87" s="3125">
        <f t="shared" si="20"/>
        <v>0</v>
      </c>
      <c r="R87" s="3605">
        <v>0</v>
      </c>
      <c r="S87" s="3275"/>
      <c r="T87" s="3826"/>
      <c r="U87" s="3771"/>
      <c r="V87" s="1846">
        <f t="shared" si="15"/>
        <v>0</v>
      </c>
    </row>
    <row r="88" spans="1:22" s="257" customFormat="1" ht="15.05" hidden="1" customHeight="1">
      <c r="A88" s="1855"/>
      <c r="B88" s="1855"/>
      <c r="C88" s="1855"/>
      <c r="D88" s="1855"/>
      <c r="E88" s="1855"/>
      <c r="F88" s="1863"/>
      <c r="G88" s="2727" t="s">
        <v>50</v>
      </c>
      <c r="H88" s="200" t="s">
        <v>509</v>
      </c>
      <c r="I88" s="217"/>
      <c r="J88" s="3171"/>
      <c r="K88" s="3171"/>
      <c r="L88" s="3125">
        <v>0</v>
      </c>
      <c r="M88" s="3124">
        <v>0</v>
      </c>
      <c r="N88" s="3125">
        <v>0</v>
      </c>
      <c r="O88" s="3125">
        <v>0</v>
      </c>
      <c r="P88" s="3125">
        <v>0</v>
      </c>
      <c r="Q88" s="3125">
        <f t="shared" si="20"/>
        <v>0</v>
      </c>
      <c r="R88" s="3605">
        <v>0</v>
      </c>
      <c r="S88" s="3275"/>
      <c r="T88" s="3826"/>
      <c r="U88" s="3771"/>
      <c r="V88" s="1846">
        <f t="shared" si="15"/>
        <v>0</v>
      </c>
    </row>
    <row r="89" spans="1:22" s="257" customFormat="1" ht="15.05" hidden="1" customHeight="1">
      <c r="A89" s="1855"/>
      <c r="B89" s="1855"/>
      <c r="C89" s="1855"/>
      <c r="D89" s="1855"/>
      <c r="E89" s="1855"/>
      <c r="F89" s="1863"/>
      <c r="G89" s="2727" t="s">
        <v>50</v>
      </c>
      <c r="H89" s="200" t="s">
        <v>510</v>
      </c>
      <c r="I89" s="217"/>
      <c r="J89" s="3171"/>
      <c r="K89" s="3171"/>
      <c r="L89" s="3125">
        <v>0</v>
      </c>
      <c r="M89" s="3124">
        <v>0</v>
      </c>
      <c r="N89" s="3125">
        <v>0</v>
      </c>
      <c r="O89" s="3125">
        <v>0</v>
      </c>
      <c r="P89" s="3125">
        <v>0</v>
      </c>
      <c r="Q89" s="3125">
        <f t="shared" si="20"/>
        <v>0</v>
      </c>
      <c r="R89" s="3605">
        <v>0</v>
      </c>
      <c r="S89" s="3275"/>
      <c r="T89" s="3826"/>
      <c r="U89" s="3771"/>
      <c r="V89" s="1846">
        <f t="shared" si="15"/>
        <v>0</v>
      </c>
    </row>
    <row r="90" spans="1:22" s="257" customFormat="1" ht="15.05" hidden="1" customHeight="1">
      <c r="A90" s="1855"/>
      <c r="B90" s="1855"/>
      <c r="C90" s="1855"/>
      <c r="D90" s="1855"/>
      <c r="E90" s="1855"/>
      <c r="F90" s="1863"/>
      <c r="G90" s="2727" t="s">
        <v>50</v>
      </c>
      <c r="H90" s="200" t="s">
        <v>511</v>
      </c>
      <c r="I90" s="217"/>
      <c r="J90" s="3171"/>
      <c r="K90" s="3171"/>
      <c r="L90" s="3125">
        <v>0</v>
      </c>
      <c r="M90" s="3124">
        <v>0</v>
      </c>
      <c r="N90" s="3125">
        <v>0</v>
      </c>
      <c r="O90" s="3125">
        <v>0</v>
      </c>
      <c r="P90" s="3125">
        <v>0</v>
      </c>
      <c r="Q90" s="3125">
        <f t="shared" si="20"/>
        <v>0</v>
      </c>
      <c r="R90" s="3605">
        <v>0</v>
      </c>
      <c r="S90" s="3275"/>
      <c r="T90" s="3826"/>
      <c r="U90" s="3771"/>
      <c r="V90" s="1846">
        <f t="shared" si="15"/>
        <v>0</v>
      </c>
    </row>
    <row r="91" spans="1:22" s="257" customFormat="1" ht="15.05" hidden="1" customHeight="1">
      <c r="A91" s="1855"/>
      <c r="B91" s="1855"/>
      <c r="C91" s="1855"/>
      <c r="D91" s="1855"/>
      <c r="E91" s="1855"/>
      <c r="F91" s="1863"/>
      <c r="G91" s="2727" t="s">
        <v>50</v>
      </c>
      <c r="H91" s="200" t="s">
        <v>512</v>
      </c>
      <c r="I91" s="217"/>
      <c r="J91" s="3171"/>
      <c r="K91" s="3171"/>
      <c r="L91" s="3125">
        <v>0</v>
      </c>
      <c r="M91" s="3124">
        <v>0</v>
      </c>
      <c r="N91" s="3125">
        <v>0</v>
      </c>
      <c r="O91" s="3125">
        <v>0</v>
      </c>
      <c r="P91" s="3125">
        <v>0</v>
      </c>
      <c r="Q91" s="3125">
        <f t="shared" si="20"/>
        <v>0</v>
      </c>
      <c r="R91" s="3605">
        <v>0</v>
      </c>
      <c r="S91" s="3275"/>
      <c r="T91" s="3826"/>
      <c r="U91" s="3771"/>
      <c r="V91" s="1846">
        <f t="shared" si="15"/>
        <v>0</v>
      </c>
    </row>
    <row r="92" spans="1:22" s="257" customFormat="1" ht="15.05" hidden="1" customHeight="1">
      <c r="A92" s="1855"/>
      <c r="B92" s="1855"/>
      <c r="C92" s="1855"/>
      <c r="D92" s="1855"/>
      <c r="E92" s="1855"/>
      <c r="F92" s="2757" t="s">
        <v>50</v>
      </c>
      <c r="G92" s="202"/>
      <c r="H92" s="200" t="s">
        <v>513</v>
      </c>
      <c r="I92" s="217"/>
      <c r="J92" s="3171"/>
      <c r="K92" s="3171"/>
      <c r="L92" s="3125">
        <v>0</v>
      </c>
      <c r="M92" s="3124">
        <v>0</v>
      </c>
      <c r="N92" s="3125">
        <v>0</v>
      </c>
      <c r="O92" s="3125">
        <v>0</v>
      </c>
      <c r="P92" s="3125">
        <v>0</v>
      </c>
      <c r="Q92" s="3125">
        <f t="shared" si="20"/>
        <v>0</v>
      </c>
      <c r="R92" s="3605">
        <v>0</v>
      </c>
      <c r="S92" s="3275"/>
      <c r="T92" s="3826"/>
      <c r="U92" s="3771"/>
      <c r="V92" s="1846">
        <f t="shared" si="15"/>
        <v>0</v>
      </c>
    </row>
    <row r="93" spans="1:22" s="257" customFormat="1" ht="15.05" hidden="1" customHeight="1">
      <c r="A93" s="1855"/>
      <c r="B93" s="1855"/>
      <c r="C93" s="1855"/>
      <c r="D93" s="1855"/>
      <c r="E93" s="1855"/>
      <c r="F93" s="2757" t="s">
        <v>50</v>
      </c>
      <c r="G93" s="202"/>
      <c r="H93" s="200" t="s">
        <v>514</v>
      </c>
      <c r="I93" s="217"/>
      <c r="J93" s="3171"/>
      <c r="K93" s="3171"/>
      <c r="L93" s="3125">
        <v>0</v>
      </c>
      <c r="M93" s="3124">
        <v>0</v>
      </c>
      <c r="N93" s="3125">
        <v>0</v>
      </c>
      <c r="O93" s="3125">
        <v>0</v>
      </c>
      <c r="P93" s="3125">
        <v>0</v>
      </c>
      <c r="Q93" s="3125">
        <f t="shared" si="20"/>
        <v>0</v>
      </c>
      <c r="R93" s="3605">
        <v>0</v>
      </c>
      <c r="S93" s="3275"/>
      <c r="T93" s="3826"/>
      <c r="U93" s="3771"/>
      <c r="V93" s="1846">
        <f t="shared" si="15"/>
        <v>0</v>
      </c>
    </row>
    <row r="94" spans="1:22" s="257" customFormat="1" ht="15.05" hidden="1" customHeight="1">
      <c r="A94" s="1855"/>
      <c r="B94" s="1855"/>
      <c r="C94" s="1855"/>
      <c r="D94" s="1855"/>
      <c r="E94" s="1855"/>
      <c r="F94" s="2757" t="s">
        <v>50</v>
      </c>
      <c r="G94" s="202"/>
      <c r="H94" s="202" t="s">
        <v>515</v>
      </c>
      <c r="I94" s="218"/>
      <c r="J94" s="3123"/>
      <c r="K94" s="3123"/>
      <c r="L94" s="3182">
        <v>0</v>
      </c>
      <c r="M94" s="3183">
        <v>0</v>
      </c>
      <c r="N94" s="3182">
        <v>0</v>
      </c>
      <c r="O94" s="3182">
        <v>0</v>
      </c>
      <c r="P94" s="3182">
        <v>0</v>
      </c>
      <c r="Q94" s="3182">
        <f t="shared" si="20"/>
        <v>0</v>
      </c>
      <c r="R94" s="3601">
        <v>0</v>
      </c>
      <c r="S94" s="3710"/>
      <c r="T94" s="3829"/>
      <c r="U94" s="3779">
        <v>0</v>
      </c>
      <c r="V94" s="1846">
        <f t="shared" si="15"/>
        <v>0</v>
      </c>
    </row>
    <row r="95" spans="1:22" s="4329" customFormat="1" ht="15.05" customHeight="1">
      <c r="A95" s="4283"/>
      <c r="B95" s="4283"/>
      <c r="C95" s="4283"/>
      <c r="D95" s="4283"/>
      <c r="E95" s="4283"/>
      <c r="F95" s="2865" t="s">
        <v>516</v>
      </c>
      <c r="G95" s="4284"/>
      <c r="H95" s="4285"/>
      <c r="I95" s="4420"/>
      <c r="J95" s="4348">
        <f t="shared" ref="J95:P95" si="25">J96</f>
        <v>2235631500</v>
      </c>
      <c r="K95" s="4348">
        <f t="shared" si="25"/>
        <v>2302353487</v>
      </c>
      <c r="L95" s="4348">
        <f t="shared" si="25"/>
        <v>2235631500</v>
      </c>
      <c r="M95" s="4348">
        <f t="shared" si="25"/>
        <v>181908726</v>
      </c>
      <c r="N95" s="4348">
        <f t="shared" si="25"/>
        <v>0</v>
      </c>
      <c r="O95" s="4348">
        <f t="shared" si="25"/>
        <v>181908726</v>
      </c>
      <c r="P95" s="4348">
        <f t="shared" si="25"/>
        <v>2235631500</v>
      </c>
      <c r="Q95" s="4288">
        <f t="shared" si="20"/>
        <v>0</v>
      </c>
      <c r="R95" s="4290">
        <f t="shared" ref="R95:R106" si="26">+P95/L95*100-100</f>
        <v>0</v>
      </c>
      <c r="S95" s="4356"/>
      <c r="T95" s="4357"/>
      <c r="U95" s="4421">
        <v>0</v>
      </c>
      <c r="V95" s="3925">
        <f t="shared" si="15"/>
        <v>727634904</v>
      </c>
    </row>
    <row r="96" spans="1:22" s="3896" customFormat="1" ht="15.05" customHeight="1">
      <c r="A96" s="3924"/>
      <c r="B96" s="3924"/>
      <c r="C96" s="3924"/>
      <c r="D96" s="3924"/>
      <c r="E96" s="3924"/>
      <c r="F96" s="4388" t="s">
        <v>50</v>
      </c>
      <c r="G96" s="3917" t="s">
        <v>517</v>
      </c>
      <c r="I96" s="4422"/>
      <c r="J96" s="3918">
        <f>J97+J101</f>
        <v>2235631500</v>
      </c>
      <c r="K96" s="3918">
        <f t="shared" ref="K96:P96" si="27">K97+K101</f>
        <v>2302353487</v>
      </c>
      <c r="L96" s="3918">
        <f t="shared" si="27"/>
        <v>2235631500</v>
      </c>
      <c r="M96" s="3918">
        <f t="shared" si="27"/>
        <v>181908726</v>
      </c>
      <c r="N96" s="3918">
        <f t="shared" si="27"/>
        <v>0</v>
      </c>
      <c r="O96" s="3918">
        <f t="shared" si="27"/>
        <v>181908726</v>
      </c>
      <c r="P96" s="3918">
        <f t="shared" si="27"/>
        <v>2235631500</v>
      </c>
      <c r="Q96" s="4423">
        <f t="shared" si="20"/>
        <v>0</v>
      </c>
      <c r="R96" s="3920">
        <f t="shared" si="26"/>
        <v>0</v>
      </c>
      <c r="S96" s="4335"/>
      <c r="T96" s="3922"/>
      <c r="U96" s="4353">
        <f>PerDinas!Q506</f>
        <v>0</v>
      </c>
      <c r="V96" s="3925">
        <f t="shared" si="15"/>
        <v>727634904</v>
      </c>
    </row>
    <row r="97" spans="1:22" s="3896" customFormat="1" ht="15.05" customHeight="1">
      <c r="A97" s="3924"/>
      <c r="B97" s="3924"/>
      <c r="C97" s="3924"/>
      <c r="D97" s="3924"/>
      <c r="E97" s="3924"/>
      <c r="F97" s="3917"/>
      <c r="G97" s="4285" t="s">
        <v>518</v>
      </c>
      <c r="H97" s="3917"/>
      <c r="I97" s="4422"/>
      <c r="J97" s="3918">
        <f t="shared" ref="J97:O97" si="28">SUM(J98:J100)</f>
        <v>2075381500</v>
      </c>
      <c r="K97" s="3918">
        <f t="shared" si="28"/>
        <v>2275353487</v>
      </c>
      <c r="L97" s="3918">
        <f t="shared" si="28"/>
        <v>2075381500</v>
      </c>
      <c r="M97" s="3918">
        <f t="shared" si="28"/>
        <v>142158726</v>
      </c>
      <c r="N97" s="3918">
        <f t="shared" si="28"/>
        <v>0</v>
      </c>
      <c r="O97" s="3918">
        <f t="shared" si="28"/>
        <v>142158726</v>
      </c>
      <c r="P97" s="3919">
        <f>SUM(P98:P100)</f>
        <v>2075381500</v>
      </c>
      <c r="Q97" s="3919">
        <f t="shared" si="20"/>
        <v>0</v>
      </c>
      <c r="R97" s="3920">
        <f t="shared" si="26"/>
        <v>0</v>
      </c>
      <c r="S97" s="4335"/>
      <c r="T97" s="3922"/>
      <c r="U97" s="4353">
        <f>MAR!P358</f>
        <v>0</v>
      </c>
      <c r="V97" s="3925">
        <f t="shared" si="15"/>
        <v>568634904</v>
      </c>
    </row>
    <row r="98" spans="1:22" s="3896" customFormat="1" ht="15.05" customHeight="1">
      <c r="A98" s="3924"/>
      <c r="B98" s="3924"/>
      <c r="C98" s="3924"/>
      <c r="D98" s="3924"/>
      <c r="E98" s="3924"/>
      <c r="F98" s="3917"/>
      <c r="G98" s="4424" t="s">
        <v>519</v>
      </c>
      <c r="H98" s="3917"/>
      <c r="I98" s="4422"/>
      <c r="J98" s="3918">
        <v>1043101100</v>
      </c>
      <c r="K98" s="3918">
        <v>885184616</v>
      </c>
      <c r="L98" s="3919">
        <v>1043101100</v>
      </c>
      <c r="M98" s="3265">
        <v>6500000</v>
      </c>
      <c r="N98" s="3919">
        <v>0</v>
      </c>
      <c r="O98" s="3919">
        <v>6500000</v>
      </c>
      <c r="P98" s="3919">
        <v>1043101100</v>
      </c>
      <c r="Q98" s="3919">
        <f t="shared" si="20"/>
        <v>0</v>
      </c>
      <c r="R98" s="3920">
        <f t="shared" si="26"/>
        <v>0</v>
      </c>
      <c r="S98" s="4335"/>
      <c r="T98" s="3922"/>
      <c r="U98" s="4353">
        <f>MAR!P359</f>
        <v>0</v>
      </c>
      <c r="V98" s="3925">
        <f t="shared" si="15"/>
        <v>26000000</v>
      </c>
    </row>
    <row r="99" spans="1:22" s="3896" customFormat="1" ht="15.05" customHeight="1">
      <c r="A99" s="3924"/>
      <c r="B99" s="3924"/>
      <c r="C99" s="3924"/>
      <c r="D99" s="3924"/>
      <c r="E99" s="3924"/>
      <c r="F99" s="3917"/>
      <c r="G99" s="4424" t="s">
        <v>520</v>
      </c>
      <c r="H99" s="3917"/>
      <c r="I99" s="4422"/>
      <c r="J99" s="3918">
        <v>532280400</v>
      </c>
      <c r="K99" s="3918">
        <v>131086220</v>
      </c>
      <c r="L99" s="3919">
        <v>532280400</v>
      </c>
      <c r="M99" s="3265">
        <v>23000000</v>
      </c>
      <c r="N99" s="3919">
        <v>0</v>
      </c>
      <c r="O99" s="3919">
        <v>23000000</v>
      </c>
      <c r="P99" s="3919">
        <v>532280400</v>
      </c>
      <c r="Q99" s="3919">
        <f t="shared" si="20"/>
        <v>0</v>
      </c>
      <c r="R99" s="3920">
        <f t="shared" si="26"/>
        <v>0</v>
      </c>
      <c r="S99" s="4335"/>
      <c r="T99" s="3922"/>
      <c r="U99" s="4353">
        <f>MAR!P360</f>
        <v>0</v>
      </c>
      <c r="V99" s="3925">
        <f t="shared" si="15"/>
        <v>92000000</v>
      </c>
    </row>
    <row r="100" spans="1:22" s="3896" customFormat="1" ht="15.05" customHeight="1">
      <c r="A100" s="3924"/>
      <c r="B100" s="3924"/>
      <c r="C100" s="3924"/>
      <c r="D100" s="3924"/>
      <c r="E100" s="3924"/>
      <c r="F100" s="3917"/>
      <c r="G100" s="4424" t="s">
        <v>521</v>
      </c>
      <c r="H100" s="3917"/>
      <c r="I100" s="4422"/>
      <c r="J100" s="3918">
        <v>500000000</v>
      </c>
      <c r="K100" s="3918">
        <v>1259082651</v>
      </c>
      <c r="L100" s="3919">
        <v>500000000</v>
      </c>
      <c r="M100" s="3265">
        <v>112658726</v>
      </c>
      <c r="N100" s="3919">
        <v>0</v>
      </c>
      <c r="O100" s="3919">
        <v>112658726</v>
      </c>
      <c r="P100" s="3919">
        <v>500000000</v>
      </c>
      <c r="Q100" s="3919">
        <f t="shared" si="20"/>
        <v>0</v>
      </c>
      <c r="R100" s="3920">
        <f t="shared" si="26"/>
        <v>0</v>
      </c>
      <c r="S100" s="4335"/>
      <c r="T100" s="3922"/>
      <c r="U100" s="4353">
        <f>MAR!P361</f>
        <v>0</v>
      </c>
      <c r="V100" s="3925">
        <f t="shared" si="15"/>
        <v>450634904</v>
      </c>
    </row>
    <row r="101" spans="1:22" s="3896" customFormat="1" ht="15.05" customHeight="1">
      <c r="A101" s="3924"/>
      <c r="B101" s="3924"/>
      <c r="C101" s="3924"/>
      <c r="D101" s="3924"/>
      <c r="E101" s="3924"/>
      <c r="F101" s="3917"/>
      <c r="G101" s="4285" t="s">
        <v>522</v>
      </c>
      <c r="H101" s="3917"/>
      <c r="I101" s="4422"/>
      <c r="J101" s="3918">
        <f>SUM(J102:J107)</f>
        <v>160250000</v>
      </c>
      <c r="K101" s="3918">
        <v>27000000</v>
      </c>
      <c r="L101" s="3918">
        <f>SUM(L102:L107)</f>
        <v>160250000</v>
      </c>
      <c r="M101" s="3918">
        <f>SUM(M102:M107)</f>
        <v>39750000</v>
      </c>
      <c r="N101" s="3918">
        <f>SUM(N102:N107)</f>
        <v>0</v>
      </c>
      <c r="O101" s="3918">
        <f>SUM(O102:O107)</f>
        <v>39750000</v>
      </c>
      <c r="P101" s="3918">
        <f>SUM(P102:P107)</f>
        <v>160250000</v>
      </c>
      <c r="Q101" s="3919">
        <f t="shared" si="20"/>
        <v>0</v>
      </c>
      <c r="R101" s="3920">
        <f t="shared" si="26"/>
        <v>0</v>
      </c>
      <c r="S101" s="3921"/>
      <c r="T101" s="3922"/>
      <c r="U101" s="4353"/>
      <c r="V101" s="3925">
        <f t="shared" si="15"/>
        <v>159000000</v>
      </c>
    </row>
    <row r="102" spans="1:22" s="3896" customFormat="1" ht="15.05" customHeight="1">
      <c r="A102" s="3924"/>
      <c r="B102" s="3924"/>
      <c r="C102" s="3924"/>
      <c r="D102" s="3924"/>
      <c r="E102" s="3924"/>
      <c r="F102" s="3917"/>
      <c r="G102" s="4425" t="s">
        <v>187</v>
      </c>
      <c r="H102" s="3917"/>
      <c r="I102" s="4422"/>
      <c r="J102" s="4426">
        <v>35000000</v>
      </c>
      <c r="K102" s="3918">
        <v>0</v>
      </c>
      <c r="L102" s="3919">
        <v>35000000</v>
      </c>
      <c r="M102" s="3265">
        <v>22500000</v>
      </c>
      <c r="N102" s="3919">
        <v>0</v>
      </c>
      <c r="O102" s="3919">
        <v>22500000</v>
      </c>
      <c r="P102" s="3919">
        <v>35000000</v>
      </c>
      <c r="Q102" s="3919">
        <f t="shared" si="20"/>
        <v>0</v>
      </c>
      <c r="R102" s="3920">
        <f t="shared" si="26"/>
        <v>0</v>
      </c>
      <c r="S102" s="4335"/>
      <c r="T102" s="3922"/>
      <c r="U102" s="4353">
        <f>MAR!P363</f>
        <v>0</v>
      </c>
      <c r="V102" s="3925">
        <f t="shared" si="15"/>
        <v>90000000</v>
      </c>
    </row>
    <row r="103" spans="1:22" s="3896" customFormat="1" ht="15.05" customHeight="1">
      <c r="A103" s="3924"/>
      <c r="B103" s="3924"/>
      <c r="C103" s="3924"/>
      <c r="D103" s="3924"/>
      <c r="E103" s="3924"/>
      <c r="F103" s="3917"/>
      <c r="G103" s="4425" t="s">
        <v>188</v>
      </c>
      <c r="H103" s="3917"/>
      <c r="I103" s="4422"/>
      <c r="J103" s="4426">
        <v>28000000</v>
      </c>
      <c r="K103" s="3918">
        <v>0</v>
      </c>
      <c r="L103" s="3919">
        <v>28000000</v>
      </c>
      <c r="M103" s="3265">
        <v>0</v>
      </c>
      <c r="N103" s="3919">
        <v>0</v>
      </c>
      <c r="O103" s="3919">
        <v>0</v>
      </c>
      <c r="P103" s="3919">
        <v>28000000</v>
      </c>
      <c r="Q103" s="3919">
        <f t="shared" si="20"/>
        <v>0</v>
      </c>
      <c r="R103" s="3920">
        <f t="shared" si="26"/>
        <v>0</v>
      </c>
      <c r="S103" s="4335"/>
      <c r="T103" s="3922"/>
      <c r="U103" s="4353">
        <f>MAR!P364</f>
        <v>0</v>
      </c>
      <c r="V103" s="3925">
        <f t="shared" si="15"/>
        <v>0</v>
      </c>
    </row>
    <row r="104" spans="1:22" s="3896" customFormat="1" ht="15.05" customHeight="1">
      <c r="A104" s="3924"/>
      <c r="B104" s="3924"/>
      <c r="C104" s="3924"/>
      <c r="D104" s="3924"/>
      <c r="E104" s="3924"/>
      <c r="F104" s="3917"/>
      <c r="G104" s="4425" t="s">
        <v>189</v>
      </c>
      <c r="H104" s="3917"/>
      <c r="I104" s="4422"/>
      <c r="J104" s="4426">
        <v>17250000</v>
      </c>
      <c r="K104" s="3918">
        <v>0</v>
      </c>
      <c r="L104" s="3919">
        <v>17250000</v>
      </c>
      <c r="M104" s="3265">
        <v>17250000</v>
      </c>
      <c r="N104" s="3919">
        <v>0</v>
      </c>
      <c r="O104" s="3919">
        <v>17250000</v>
      </c>
      <c r="P104" s="3919">
        <v>17250000</v>
      </c>
      <c r="Q104" s="3919">
        <f t="shared" si="20"/>
        <v>0</v>
      </c>
      <c r="R104" s="3920">
        <f t="shared" si="26"/>
        <v>0</v>
      </c>
      <c r="S104" s="4335"/>
      <c r="T104" s="3922"/>
      <c r="U104" s="4353">
        <f>MAR!P365</f>
        <v>0</v>
      </c>
      <c r="V104" s="3925">
        <f t="shared" si="15"/>
        <v>69000000</v>
      </c>
    </row>
    <row r="105" spans="1:22" s="3896" customFormat="1" ht="15.05" customHeight="1">
      <c r="A105" s="3924"/>
      <c r="B105" s="3924"/>
      <c r="C105" s="3924"/>
      <c r="D105" s="3924"/>
      <c r="E105" s="3924"/>
      <c r="F105" s="4285"/>
      <c r="G105" s="4425" t="s">
        <v>190</v>
      </c>
      <c r="H105" s="3917"/>
      <c r="I105" s="4422"/>
      <c r="J105" s="4426">
        <v>30000000</v>
      </c>
      <c r="K105" s="3918">
        <v>0</v>
      </c>
      <c r="L105" s="3919">
        <v>30000000</v>
      </c>
      <c r="M105" s="3265">
        <v>0</v>
      </c>
      <c r="N105" s="3919">
        <v>0</v>
      </c>
      <c r="O105" s="3919">
        <v>0</v>
      </c>
      <c r="P105" s="3919">
        <v>30000000</v>
      </c>
      <c r="Q105" s="3919">
        <f t="shared" si="20"/>
        <v>0</v>
      </c>
      <c r="R105" s="3920">
        <f t="shared" si="26"/>
        <v>0</v>
      </c>
      <c r="S105" s="4335"/>
      <c r="T105" s="3922"/>
      <c r="U105" s="4353">
        <f>MAR!P366</f>
        <v>0</v>
      </c>
      <c r="V105" s="3925">
        <f t="shared" si="15"/>
        <v>0</v>
      </c>
    </row>
    <row r="106" spans="1:22" s="3896" customFormat="1" ht="15.05" customHeight="1">
      <c r="A106" s="3924"/>
      <c r="B106" s="3924"/>
      <c r="C106" s="3924"/>
      <c r="D106" s="3924"/>
      <c r="E106" s="3924"/>
      <c r="F106" s="4285"/>
      <c r="G106" s="4425" t="s">
        <v>191</v>
      </c>
      <c r="H106" s="3917"/>
      <c r="I106" s="4422"/>
      <c r="J106" s="4426">
        <v>50000000</v>
      </c>
      <c r="K106" s="3918">
        <v>0</v>
      </c>
      <c r="L106" s="3919">
        <v>50000000</v>
      </c>
      <c r="M106" s="3265">
        <v>0</v>
      </c>
      <c r="N106" s="3919">
        <v>0</v>
      </c>
      <c r="O106" s="3919">
        <v>0</v>
      </c>
      <c r="P106" s="3919">
        <v>50000000</v>
      </c>
      <c r="Q106" s="3919">
        <f t="shared" si="20"/>
        <v>0</v>
      </c>
      <c r="R106" s="3920">
        <f t="shared" si="26"/>
        <v>0</v>
      </c>
      <c r="S106" s="4335"/>
      <c r="T106" s="3922"/>
      <c r="U106" s="4353">
        <f>MAR!P367</f>
        <v>0</v>
      </c>
      <c r="V106" s="3925">
        <f t="shared" si="15"/>
        <v>0</v>
      </c>
    </row>
    <row r="107" spans="1:22" s="3896" customFormat="1" ht="15.05" customHeight="1">
      <c r="A107" s="3924"/>
      <c r="B107" s="3924"/>
      <c r="C107" s="3924"/>
      <c r="D107" s="3924"/>
      <c r="E107" s="3924"/>
      <c r="F107" s="3917"/>
      <c r="G107" s="3963" t="s">
        <v>192</v>
      </c>
      <c r="H107" s="3917"/>
      <c r="I107" s="4422"/>
      <c r="J107" s="3918"/>
      <c r="K107" s="3918"/>
      <c r="L107" s="3919">
        <v>0</v>
      </c>
      <c r="M107" s="3265">
        <v>0</v>
      </c>
      <c r="N107" s="3919">
        <v>0</v>
      </c>
      <c r="O107" s="3919">
        <v>0</v>
      </c>
      <c r="P107" s="3919">
        <v>0</v>
      </c>
      <c r="Q107" s="3919">
        <f t="shared" si="20"/>
        <v>0</v>
      </c>
      <c r="R107" s="3920">
        <v>0</v>
      </c>
      <c r="S107" s="4335"/>
      <c r="T107" s="3922"/>
      <c r="U107" s="4353">
        <f>MAR!P368</f>
        <v>0</v>
      </c>
      <c r="V107" s="3925">
        <f t="shared" si="15"/>
        <v>0</v>
      </c>
    </row>
    <row r="108" spans="1:22" s="257" customFormat="1" ht="15.05" customHeight="1">
      <c r="A108" s="1855"/>
      <c r="B108" s="1855"/>
      <c r="C108" s="1855"/>
      <c r="D108" s="1855"/>
      <c r="E108" s="1855"/>
      <c r="F108" s="200"/>
      <c r="G108" s="847"/>
      <c r="H108" s="200"/>
      <c r="I108" s="217"/>
      <c r="J108" s="3171"/>
      <c r="K108" s="3171"/>
      <c r="L108" s="3125"/>
      <c r="M108" s="3124"/>
      <c r="N108" s="3189"/>
      <c r="O108" s="3125"/>
      <c r="P108" s="3125"/>
      <c r="Q108" s="3125"/>
      <c r="R108" s="3605"/>
      <c r="S108" s="3275"/>
      <c r="T108" s="3826"/>
      <c r="U108" s="3778"/>
      <c r="V108" s="1846"/>
    </row>
    <row r="109" spans="1:22" s="257" customFormat="1" ht="15.05" hidden="1" customHeight="1">
      <c r="A109" s="1855"/>
      <c r="B109" s="1855"/>
      <c r="C109" s="1855"/>
      <c r="D109" s="1855"/>
      <c r="E109" s="1855"/>
      <c r="F109" s="1856" t="s">
        <v>411</v>
      </c>
      <c r="G109" s="847"/>
      <c r="H109" s="200"/>
      <c r="I109" s="217"/>
      <c r="J109" s="3171"/>
      <c r="K109" s="3171"/>
      <c r="L109" s="3125"/>
      <c r="M109" s="3190">
        <v>9495000</v>
      </c>
      <c r="N109" s="3191">
        <v>15445000</v>
      </c>
      <c r="O109" s="3128">
        <v>24940000</v>
      </c>
      <c r="P109" s="3128">
        <f>+P110</f>
        <v>75000000</v>
      </c>
      <c r="Q109" s="3128">
        <f>+P109-L109</f>
        <v>75000000</v>
      </c>
      <c r="R109" s="3605">
        <v>0</v>
      </c>
      <c r="S109" s="3275"/>
      <c r="T109" s="3826"/>
      <c r="U109" s="3778"/>
      <c r="V109" s="1846">
        <f t="shared" ref="V109:V173" si="29">O109*4</f>
        <v>99760000</v>
      </c>
    </row>
    <row r="110" spans="1:22" s="257" customFormat="1" ht="15.05" hidden="1" customHeight="1">
      <c r="A110" s="1855"/>
      <c r="B110" s="1855"/>
      <c r="C110" s="1855"/>
      <c r="D110" s="1855"/>
      <c r="E110" s="1855"/>
      <c r="F110" s="2744" t="s">
        <v>50</v>
      </c>
      <c r="G110" s="224" t="s">
        <v>413</v>
      </c>
      <c r="H110" s="200"/>
      <c r="I110" s="217"/>
      <c r="J110" s="3171"/>
      <c r="K110" s="3171"/>
      <c r="L110" s="3125"/>
      <c r="M110" s="3190">
        <v>9495000</v>
      </c>
      <c r="N110" s="3192">
        <v>15445000</v>
      </c>
      <c r="O110" s="3165">
        <v>24940000</v>
      </c>
      <c r="P110" s="3165">
        <v>75000000</v>
      </c>
      <c r="Q110" s="3165">
        <f>+P110-L110</f>
        <v>75000000</v>
      </c>
      <c r="R110" s="3605">
        <v>0</v>
      </c>
      <c r="S110" s="3275"/>
      <c r="T110" s="3826"/>
      <c r="U110" s="3778"/>
      <c r="V110" s="1846">
        <f t="shared" si="29"/>
        <v>99760000</v>
      </c>
    </row>
    <row r="111" spans="1:22" s="257" customFormat="1" ht="15.05" hidden="1" customHeight="1">
      <c r="A111" s="1855"/>
      <c r="B111" s="1855"/>
      <c r="C111" s="1855"/>
      <c r="D111" s="1855"/>
      <c r="E111" s="1855"/>
      <c r="F111" s="1857"/>
      <c r="G111" s="1858"/>
      <c r="H111" s="200"/>
      <c r="I111" s="217"/>
      <c r="J111" s="3171"/>
      <c r="K111" s="3171"/>
      <c r="L111" s="3125"/>
      <c r="M111" s="3124"/>
      <c r="N111" s="3125"/>
      <c r="O111" s="3125"/>
      <c r="P111" s="3125"/>
      <c r="Q111" s="3125"/>
      <c r="R111" s="3605"/>
      <c r="S111" s="3275"/>
      <c r="T111" s="3826"/>
      <c r="U111" s="3778"/>
      <c r="V111" s="1846">
        <f t="shared" si="29"/>
        <v>0</v>
      </c>
    </row>
    <row r="112" spans="1:22" s="1318" customFormat="1" ht="15.05" customHeight="1">
      <c r="A112" s="1854"/>
      <c r="B112" s="1854"/>
      <c r="C112" s="1854"/>
      <c r="D112" s="1854"/>
      <c r="E112" s="1854"/>
      <c r="F112" s="2825" t="s">
        <v>523</v>
      </c>
      <c r="G112" s="1860"/>
      <c r="H112" s="202"/>
      <c r="I112" s="218"/>
      <c r="J112" s="3123">
        <f>SUM(J113:J114)</f>
        <v>0</v>
      </c>
      <c r="K112" s="3123">
        <f t="shared" ref="K112:P112" si="30">SUM(K113:K114)</f>
        <v>10063750</v>
      </c>
      <c r="L112" s="3123">
        <f t="shared" si="30"/>
        <v>0</v>
      </c>
      <c r="M112" s="3123">
        <f t="shared" si="30"/>
        <v>0</v>
      </c>
      <c r="N112" s="3123">
        <f t="shared" si="30"/>
        <v>0</v>
      </c>
      <c r="O112" s="3123">
        <f t="shared" si="30"/>
        <v>0</v>
      </c>
      <c r="P112" s="3123">
        <f t="shared" si="30"/>
        <v>0</v>
      </c>
      <c r="Q112" s="3182">
        <f t="shared" ref="Q112:Q136" si="31">+P112-L112</f>
        <v>0</v>
      </c>
      <c r="R112" s="3601">
        <v>0</v>
      </c>
      <c r="S112" s="3710"/>
      <c r="T112" s="3829"/>
      <c r="U112" s="3777"/>
      <c r="V112" s="1846">
        <f t="shared" si="29"/>
        <v>0</v>
      </c>
    </row>
    <row r="113" spans="1:22" s="257" customFormat="1" ht="15.05" customHeight="1">
      <c r="A113" s="1855"/>
      <c r="B113" s="1855"/>
      <c r="C113" s="1855"/>
      <c r="D113" s="1855"/>
      <c r="E113" s="1855"/>
      <c r="F113" s="1857" t="s">
        <v>50</v>
      </c>
      <c r="G113" s="1858"/>
      <c r="H113" s="200" t="s">
        <v>524</v>
      </c>
      <c r="I113" s="217"/>
      <c r="J113" s="3171">
        <v>0</v>
      </c>
      <c r="K113" s="3171">
        <v>0</v>
      </c>
      <c r="L113" s="3125"/>
      <c r="M113" s="3124"/>
      <c r="N113" s="3125"/>
      <c r="O113" s="3125"/>
      <c r="P113" s="3125"/>
      <c r="Q113" s="3125">
        <f t="shared" si="31"/>
        <v>0</v>
      </c>
      <c r="R113" s="3605">
        <v>0</v>
      </c>
      <c r="S113" s="3275"/>
      <c r="T113" s="3826"/>
      <c r="U113" s="3771"/>
      <c r="V113" s="1846">
        <f t="shared" si="29"/>
        <v>0</v>
      </c>
    </row>
    <row r="114" spans="1:22" s="257" customFormat="1" ht="15.05" customHeight="1">
      <c r="A114" s="1855"/>
      <c r="B114" s="1855"/>
      <c r="C114" s="1855"/>
      <c r="D114" s="1855"/>
      <c r="E114" s="1855"/>
      <c r="F114" s="1857" t="s">
        <v>50</v>
      </c>
      <c r="G114" s="1858"/>
      <c r="H114" s="200" t="s">
        <v>525</v>
      </c>
      <c r="I114" s="217"/>
      <c r="J114" s="3171">
        <v>0</v>
      </c>
      <c r="K114" s="3171">
        <v>10063750</v>
      </c>
      <c r="L114" s="3125"/>
      <c r="M114" s="3124"/>
      <c r="N114" s="3125"/>
      <c r="O114" s="3125"/>
      <c r="P114" s="3125"/>
      <c r="Q114" s="3125">
        <f t="shared" si="31"/>
        <v>0</v>
      </c>
      <c r="R114" s="3605">
        <v>0</v>
      </c>
      <c r="S114" s="3275"/>
      <c r="T114" s="3826"/>
      <c r="U114" s="3771"/>
      <c r="V114" s="1846">
        <f t="shared" si="29"/>
        <v>0</v>
      </c>
    </row>
    <row r="115" spans="1:22" s="1318" customFormat="1" ht="15.05" customHeight="1">
      <c r="A115" s="1854"/>
      <c r="B115" s="1854"/>
      <c r="C115" s="1854"/>
      <c r="D115" s="1854"/>
      <c r="E115" s="1854"/>
      <c r="F115" s="1464" t="s">
        <v>356</v>
      </c>
      <c r="G115" s="1860"/>
      <c r="H115" s="202"/>
      <c r="I115" s="218"/>
      <c r="J115" s="3123">
        <f t="shared" ref="J115:P115" si="32">SUM(J116:J119)</f>
        <v>785500000</v>
      </c>
      <c r="K115" s="3123">
        <f t="shared" si="32"/>
        <v>69752160</v>
      </c>
      <c r="L115" s="3123">
        <f t="shared" si="32"/>
        <v>785500000</v>
      </c>
      <c r="M115" s="3123">
        <f t="shared" si="32"/>
        <v>13303900</v>
      </c>
      <c r="N115" s="3123">
        <f t="shared" si="32"/>
        <v>120000</v>
      </c>
      <c r="O115" s="3123">
        <f t="shared" si="32"/>
        <v>13423900</v>
      </c>
      <c r="P115" s="3182">
        <f t="shared" si="32"/>
        <v>72000000</v>
      </c>
      <c r="Q115" s="3182">
        <f t="shared" si="31"/>
        <v>-713500000</v>
      </c>
      <c r="R115" s="3601">
        <f>+P115/L115*100-100</f>
        <v>-90.833863781031198</v>
      </c>
      <c r="S115" s="3710"/>
      <c r="T115" s="3829"/>
      <c r="U115" s="3777"/>
      <c r="V115" s="1846">
        <f t="shared" si="29"/>
        <v>53695600</v>
      </c>
    </row>
    <row r="116" spans="1:22" s="257" customFormat="1" ht="15.05" customHeight="1">
      <c r="A116" s="1855"/>
      <c r="B116" s="1855"/>
      <c r="C116" s="1855"/>
      <c r="D116" s="1855"/>
      <c r="E116" s="1855"/>
      <c r="F116" s="1857" t="s">
        <v>50</v>
      </c>
      <c r="G116" s="1858"/>
      <c r="H116" s="200" t="s">
        <v>1206</v>
      </c>
      <c r="I116" s="217"/>
      <c r="J116" s="3171">
        <v>40000000</v>
      </c>
      <c r="K116" s="3171">
        <v>31988660</v>
      </c>
      <c r="L116" s="3125">
        <v>40000000</v>
      </c>
      <c r="M116" s="3124">
        <v>7487600</v>
      </c>
      <c r="N116" s="3125">
        <v>0</v>
      </c>
      <c r="O116" s="3125">
        <v>7487600</v>
      </c>
      <c r="P116" s="3125">
        <v>45000000</v>
      </c>
      <c r="Q116" s="3125">
        <f t="shared" si="31"/>
        <v>5000000</v>
      </c>
      <c r="R116" s="3605">
        <f>+P116/L116*100-100</f>
        <v>12.5</v>
      </c>
      <c r="S116" s="3748"/>
      <c r="T116" s="3826"/>
      <c r="U116" s="3778">
        <f>MAR!P643</f>
        <v>0</v>
      </c>
      <c r="V116" s="1846">
        <f t="shared" si="29"/>
        <v>29950400</v>
      </c>
    </row>
    <row r="117" spans="1:22" s="3970" customFormat="1" ht="15.05" customHeight="1">
      <c r="A117" s="3961"/>
      <c r="B117" s="3961"/>
      <c r="C117" s="3961"/>
      <c r="D117" s="3961"/>
      <c r="E117" s="3961"/>
      <c r="F117" s="3972" t="s">
        <v>50</v>
      </c>
      <c r="G117" s="3962"/>
      <c r="H117" s="3963" t="s">
        <v>526</v>
      </c>
      <c r="I117" s="3973"/>
      <c r="J117" s="3974">
        <v>23000000</v>
      </c>
      <c r="K117" s="3974">
        <v>17749500</v>
      </c>
      <c r="L117" s="3964">
        <v>23000000</v>
      </c>
      <c r="M117" s="3965">
        <v>2276300</v>
      </c>
      <c r="N117" s="3964">
        <v>0</v>
      </c>
      <c r="O117" s="3964">
        <v>2276300</v>
      </c>
      <c r="P117" s="3964">
        <v>0</v>
      </c>
      <c r="Q117" s="3964">
        <f t="shared" si="31"/>
        <v>-23000000</v>
      </c>
      <c r="R117" s="3966">
        <f>+P117/L117*100-100</f>
        <v>-100</v>
      </c>
      <c r="S117" s="3975"/>
      <c r="T117" s="3967"/>
      <c r="U117" s="3968">
        <f>MAR!P644</f>
        <v>0</v>
      </c>
      <c r="V117" s="3969">
        <f t="shared" si="29"/>
        <v>9105200</v>
      </c>
    </row>
    <row r="118" spans="1:22" s="257" customFormat="1" ht="15.05" customHeight="1">
      <c r="A118" s="1855"/>
      <c r="B118" s="1855"/>
      <c r="C118" s="1855"/>
      <c r="D118" s="1855"/>
      <c r="E118" s="1855"/>
      <c r="F118" s="1857" t="s">
        <v>50</v>
      </c>
      <c r="G118" s="1858"/>
      <c r="H118" s="200" t="s">
        <v>527</v>
      </c>
      <c r="I118" s="217"/>
      <c r="J118" s="3171">
        <v>722500000</v>
      </c>
      <c r="K118" s="3171">
        <v>19497000</v>
      </c>
      <c r="L118" s="3125">
        <v>722500000</v>
      </c>
      <c r="M118" s="3124">
        <v>0</v>
      </c>
      <c r="N118" s="3125">
        <v>120000</v>
      </c>
      <c r="O118" s="3125">
        <v>120000</v>
      </c>
      <c r="P118" s="3125">
        <v>27000000</v>
      </c>
      <c r="Q118" s="3125">
        <f t="shared" si="31"/>
        <v>-695500000</v>
      </c>
      <c r="R118" s="3605">
        <f>+P118/L118*100-100</f>
        <v>-96.262975778546718</v>
      </c>
      <c r="S118" s="3748"/>
      <c r="T118" s="3826"/>
      <c r="U118" s="3778">
        <f>MAR!P645</f>
        <v>0</v>
      </c>
      <c r="V118" s="1846">
        <f t="shared" si="29"/>
        <v>480000</v>
      </c>
    </row>
    <row r="119" spans="1:22" s="257" customFormat="1" ht="15.05" customHeight="1">
      <c r="A119" s="1855"/>
      <c r="B119" s="1855"/>
      <c r="C119" s="1855"/>
      <c r="D119" s="1855"/>
      <c r="E119" s="1855"/>
      <c r="F119" s="1857" t="s">
        <v>50</v>
      </c>
      <c r="G119" s="1858"/>
      <c r="H119" s="200" t="s">
        <v>360</v>
      </c>
      <c r="I119" s="217"/>
      <c r="J119" s="3171">
        <v>0</v>
      </c>
      <c r="K119" s="3171">
        <v>517000</v>
      </c>
      <c r="L119" s="3125">
        <v>0</v>
      </c>
      <c r="M119" s="3124">
        <v>3540000</v>
      </c>
      <c r="N119" s="3125">
        <v>0</v>
      </c>
      <c r="O119" s="3125">
        <v>3540000</v>
      </c>
      <c r="P119" s="3125">
        <v>0</v>
      </c>
      <c r="Q119" s="3125">
        <f t="shared" si="31"/>
        <v>0</v>
      </c>
      <c r="R119" s="3605">
        <v>0</v>
      </c>
      <c r="S119" s="3748"/>
      <c r="T119" s="3826"/>
      <c r="U119" s="3778">
        <f>MAR!P646</f>
        <v>0</v>
      </c>
      <c r="V119" s="1846">
        <f t="shared" si="29"/>
        <v>14160000</v>
      </c>
    </row>
    <row r="120" spans="1:22" s="1318" customFormat="1" ht="15.05" customHeight="1">
      <c r="A120" s="1854"/>
      <c r="B120" s="1854"/>
      <c r="C120" s="1854"/>
      <c r="D120" s="1854"/>
      <c r="E120" s="1854"/>
      <c r="F120" s="1464" t="s">
        <v>528</v>
      </c>
      <c r="G120" s="1860"/>
      <c r="H120" s="202"/>
      <c r="I120" s="218"/>
      <c r="J120" s="3123">
        <f t="shared" ref="J120:P120" si="33">SUM(J121:J129)</f>
        <v>518680000</v>
      </c>
      <c r="K120" s="3123">
        <f t="shared" si="33"/>
        <v>348421200</v>
      </c>
      <c r="L120" s="3123">
        <f>SUM(L121:L129)</f>
        <v>518680000</v>
      </c>
      <c r="M120" s="3123">
        <f t="shared" si="33"/>
        <v>26025000</v>
      </c>
      <c r="N120" s="3123">
        <f t="shared" si="33"/>
        <v>27371000</v>
      </c>
      <c r="O120" s="3123">
        <f t="shared" si="33"/>
        <v>53396000</v>
      </c>
      <c r="P120" s="3182">
        <f t="shared" si="33"/>
        <v>443680000</v>
      </c>
      <c r="Q120" s="3182">
        <f t="shared" si="31"/>
        <v>-75000000</v>
      </c>
      <c r="R120" s="3601">
        <f t="shared" ref="R120:R125" si="34">+P120/L120*100-100</f>
        <v>-14.459782524870818</v>
      </c>
      <c r="S120" s="3710"/>
      <c r="T120" s="3829"/>
      <c r="U120" s="3777"/>
      <c r="V120" s="1846">
        <f t="shared" si="29"/>
        <v>213584000</v>
      </c>
    </row>
    <row r="121" spans="1:22" s="257" customFormat="1" ht="15.05" customHeight="1">
      <c r="A121" s="1855"/>
      <c r="B121" s="1855"/>
      <c r="C121" s="1855"/>
      <c r="D121" s="1855"/>
      <c r="E121" s="1855"/>
      <c r="F121" s="1857" t="s">
        <v>50</v>
      </c>
      <c r="G121" s="1858"/>
      <c r="H121" s="200" t="s">
        <v>375</v>
      </c>
      <c r="I121" s="217"/>
      <c r="J121" s="3171">
        <v>328430000</v>
      </c>
      <c r="K121" s="3171">
        <v>166841200</v>
      </c>
      <c r="L121" s="3125">
        <v>328430000</v>
      </c>
      <c r="M121" s="3124">
        <v>11650000</v>
      </c>
      <c r="N121" s="3125">
        <v>13471000</v>
      </c>
      <c r="O121" s="3125">
        <v>25121000</v>
      </c>
      <c r="P121" s="3125">
        <v>328430000</v>
      </c>
      <c r="Q121" s="3125">
        <f t="shared" si="31"/>
        <v>0</v>
      </c>
      <c r="R121" s="3605">
        <f t="shared" si="34"/>
        <v>0</v>
      </c>
      <c r="S121" s="3748"/>
      <c r="T121" s="3826"/>
      <c r="U121" s="3778">
        <f>MAR!P677</f>
        <v>0</v>
      </c>
      <c r="V121" s="1846">
        <f t="shared" si="29"/>
        <v>100484000</v>
      </c>
    </row>
    <row r="122" spans="1:22" s="257" customFormat="1" ht="15.05" customHeight="1">
      <c r="A122" s="1855"/>
      <c r="B122" s="1855"/>
      <c r="C122" s="1855"/>
      <c r="D122" s="1855"/>
      <c r="E122" s="1855"/>
      <c r="F122" s="1857" t="s">
        <v>50</v>
      </c>
      <c r="G122" s="1858"/>
      <c r="H122" s="200" t="s">
        <v>376</v>
      </c>
      <c r="I122" s="217"/>
      <c r="J122" s="3171">
        <v>15000000</v>
      </c>
      <c r="K122" s="3171">
        <v>16000000</v>
      </c>
      <c r="L122" s="3125">
        <v>15000000</v>
      </c>
      <c r="M122" s="3124">
        <v>2000000</v>
      </c>
      <c r="N122" s="3125">
        <v>0</v>
      </c>
      <c r="O122" s="3125">
        <v>2000000</v>
      </c>
      <c r="P122" s="3125">
        <v>15000000</v>
      </c>
      <c r="Q122" s="3125">
        <f t="shared" si="31"/>
        <v>0</v>
      </c>
      <c r="R122" s="3605">
        <f t="shared" si="34"/>
        <v>0</v>
      </c>
      <c r="S122" s="3748"/>
      <c r="T122" s="3826"/>
      <c r="U122" s="3778">
        <f>MAR!P678</f>
        <v>0</v>
      </c>
      <c r="V122" s="1846">
        <f t="shared" si="29"/>
        <v>8000000</v>
      </c>
    </row>
    <row r="123" spans="1:22" s="257" customFormat="1" ht="15.05" customHeight="1">
      <c r="A123" s="1855"/>
      <c r="B123" s="1855"/>
      <c r="C123" s="1855"/>
      <c r="D123" s="1855"/>
      <c r="E123" s="1855"/>
      <c r="F123" s="1857" t="s">
        <v>50</v>
      </c>
      <c r="G123" s="1858"/>
      <c r="H123" s="200" t="s">
        <v>377</v>
      </c>
      <c r="I123" s="217"/>
      <c r="J123" s="3171">
        <v>50000000</v>
      </c>
      <c r="K123" s="3171">
        <v>54930000</v>
      </c>
      <c r="L123" s="3125">
        <v>50000000</v>
      </c>
      <c r="M123" s="3124">
        <v>0</v>
      </c>
      <c r="N123" s="3125">
        <v>1500000</v>
      </c>
      <c r="O123" s="3125">
        <v>1500000</v>
      </c>
      <c r="P123" s="3125">
        <v>25000000</v>
      </c>
      <c r="Q123" s="3125">
        <f t="shared" si="31"/>
        <v>-25000000</v>
      </c>
      <c r="R123" s="3605">
        <f t="shared" si="34"/>
        <v>-50</v>
      </c>
      <c r="S123" s="3748"/>
      <c r="T123" s="3826"/>
      <c r="U123" s="3778">
        <f>MAR!P679</f>
        <v>0</v>
      </c>
      <c r="V123" s="1846">
        <f t="shared" si="29"/>
        <v>6000000</v>
      </c>
    </row>
    <row r="124" spans="1:22" s="257" customFormat="1" ht="15.05" customHeight="1">
      <c r="A124" s="1855"/>
      <c r="B124" s="1855"/>
      <c r="C124" s="1855"/>
      <c r="D124" s="1855"/>
      <c r="E124" s="1855"/>
      <c r="F124" s="1857" t="s">
        <v>50</v>
      </c>
      <c r="G124" s="1858"/>
      <c r="H124" s="200" t="s">
        <v>378</v>
      </c>
      <c r="I124" s="217"/>
      <c r="J124" s="3171">
        <v>40250000</v>
      </c>
      <c r="K124" s="3171">
        <v>33200000</v>
      </c>
      <c r="L124" s="3125">
        <v>40250000</v>
      </c>
      <c r="M124" s="3124">
        <v>1375000</v>
      </c>
      <c r="N124" s="3125">
        <v>0</v>
      </c>
      <c r="O124" s="3125">
        <v>1375000</v>
      </c>
      <c r="P124" s="3125">
        <v>40250000</v>
      </c>
      <c r="Q124" s="3125">
        <f t="shared" si="31"/>
        <v>0</v>
      </c>
      <c r="R124" s="3605">
        <f t="shared" si="34"/>
        <v>0</v>
      </c>
      <c r="S124" s="3748"/>
      <c r="T124" s="3826"/>
      <c r="U124" s="3778">
        <f>MAR!P680</f>
        <v>0</v>
      </c>
      <c r="V124" s="1846">
        <f t="shared" si="29"/>
        <v>5500000</v>
      </c>
    </row>
    <row r="125" spans="1:22" s="257" customFormat="1" ht="15.05" customHeight="1">
      <c r="A125" s="1855"/>
      <c r="B125" s="1855"/>
      <c r="C125" s="1855"/>
      <c r="D125" s="1855"/>
      <c r="E125" s="1855"/>
      <c r="F125" s="1857" t="s">
        <v>50</v>
      </c>
      <c r="G125" s="1858"/>
      <c r="H125" s="200" t="s">
        <v>379</v>
      </c>
      <c r="I125" s="217"/>
      <c r="J125" s="3171">
        <v>25000000</v>
      </c>
      <c r="K125" s="3171">
        <v>50450000</v>
      </c>
      <c r="L125" s="3125">
        <v>25000000</v>
      </c>
      <c r="M125" s="3124">
        <v>10000000</v>
      </c>
      <c r="N125" s="3125">
        <v>10900000</v>
      </c>
      <c r="O125" s="3125">
        <v>20900000</v>
      </c>
      <c r="P125" s="3125">
        <v>5000000</v>
      </c>
      <c r="Q125" s="3125">
        <f t="shared" si="31"/>
        <v>-20000000</v>
      </c>
      <c r="R125" s="3605">
        <f t="shared" si="34"/>
        <v>-80</v>
      </c>
      <c r="S125" s="3748"/>
      <c r="T125" s="3826"/>
      <c r="U125" s="3778">
        <f>MAR!P681</f>
        <v>0</v>
      </c>
      <c r="V125" s="1846">
        <f t="shared" si="29"/>
        <v>83600000</v>
      </c>
    </row>
    <row r="126" spans="1:22" s="257" customFormat="1" ht="15.05" customHeight="1">
      <c r="A126" s="1855"/>
      <c r="B126" s="1855"/>
      <c r="C126" s="1855"/>
      <c r="D126" s="1855"/>
      <c r="E126" s="1855"/>
      <c r="F126" s="1857" t="s">
        <v>50</v>
      </c>
      <c r="G126" s="1858"/>
      <c r="H126" s="200" t="s">
        <v>380</v>
      </c>
      <c r="I126" s="217"/>
      <c r="J126" s="3171">
        <v>0</v>
      </c>
      <c r="K126" s="3171">
        <v>0</v>
      </c>
      <c r="L126" s="3125">
        <v>0</v>
      </c>
      <c r="M126" s="3124">
        <v>0</v>
      </c>
      <c r="N126" s="3125">
        <v>0</v>
      </c>
      <c r="O126" s="3125">
        <v>0</v>
      </c>
      <c r="P126" s="3125">
        <v>0</v>
      </c>
      <c r="Q126" s="3125">
        <f t="shared" si="31"/>
        <v>0</v>
      </c>
      <c r="R126" s="3605">
        <v>0</v>
      </c>
      <c r="S126" s="3748"/>
      <c r="T126" s="3826"/>
      <c r="U126" s="3778">
        <f>MAR!P682</f>
        <v>0</v>
      </c>
      <c r="V126" s="1846">
        <f t="shared" si="29"/>
        <v>0</v>
      </c>
    </row>
    <row r="127" spans="1:22" s="257" customFormat="1" ht="15.05" customHeight="1">
      <c r="A127" s="1855"/>
      <c r="B127" s="1855"/>
      <c r="C127" s="1855"/>
      <c r="D127" s="1855"/>
      <c r="E127" s="1855"/>
      <c r="F127" s="1857" t="s">
        <v>50</v>
      </c>
      <c r="G127" s="1858"/>
      <c r="H127" s="200" t="s">
        <v>381</v>
      </c>
      <c r="I127" s="217"/>
      <c r="J127" s="3171">
        <v>60000000</v>
      </c>
      <c r="K127" s="3193">
        <v>27000000</v>
      </c>
      <c r="L127" s="3125">
        <v>60000000</v>
      </c>
      <c r="M127" s="3124">
        <v>1000000</v>
      </c>
      <c r="N127" s="3125">
        <v>1500000</v>
      </c>
      <c r="O127" s="3125">
        <v>2500000</v>
      </c>
      <c r="P127" s="3125">
        <v>30000000</v>
      </c>
      <c r="Q127" s="3125">
        <f t="shared" si="31"/>
        <v>-30000000</v>
      </c>
      <c r="R127" s="3605">
        <f>+P127/L127*100-100</f>
        <v>-50</v>
      </c>
      <c r="S127" s="3748"/>
      <c r="T127" s="3826"/>
      <c r="U127" s="3778">
        <f>MAR!P683</f>
        <v>0</v>
      </c>
      <c r="V127" s="1846">
        <f t="shared" si="29"/>
        <v>10000000</v>
      </c>
    </row>
    <row r="128" spans="1:22" s="257" customFormat="1" ht="15.05" customHeight="1">
      <c r="A128" s="1855"/>
      <c r="B128" s="1855"/>
      <c r="C128" s="1855"/>
      <c r="D128" s="1855"/>
      <c r="E128" s="1855"/>
      <c r="F128" s="1857" t="s">
        <v>50</v>
      </c>
      <c r="G128" s="1858"/>
      <c r="H128" s="200" t="s">
        <v>382</v>
      </c>
      <c r="I128" s="217"/>
      <c r="J128" s="3193">
        <v>0</v>
      </c>
      <c r="K128" s="3193">
        <v>0</v>
      </c>
      <c r="L128" s="3125">
        <v>0</v>
      </c>
      <c r="M128" s="3124">
        <v>0</v>
      </c>
      <c r="N128" s="3125">
        <v>0</v>
      </c>
      <c r="O128" s="3125">
        <v>0</v>
      </c>
      <c r="P128" s="3125">
        <v>0</v>
      </c>
      <c r="Q128" s="3125">
        <f t="shared" si="31"/>
        <v>0</v>
      </c>
      <c r="R128" s="3605">
        <v>0</v>
      </c>
      <c r="S128" s="3748"/>
      <c r="T128" s="3826"/>
      <c r="U128" s="3778">
        <f>MAR!P684</f>
        <v>0</v>
      </c>
      <c r="V128" s="1846">
        <f t="shared" si="29"/>
        <v>0</v>
      </c>
    </row>
    <row r="129" spans="1:22" s="257" customFormat="1" ht="15.05" customHeight="1">
      <c r="A129" s="1855"/>
      <c r="B129" s="1855"/>
      <c r="C129" s="1855"/>
      <c r="D129" s="1855"/>
      <c r="E129" s="1855"/>
      <c r="F129" s="1857" t="s">
        <v>50</v>
      </c>
      <c r="G129" s="1858"/>
      <c r="H129" s="200" t="s">
        <v>383</v>
      </c>
      <c r="I129" s="217"/>
      <c r="J129" s="3193">
        <v>0</v>
      </c>
      <c r="K129" s="3193">
        <v>0</v>
      </c>
      <c r="L129" s="3125">
        <v>0</v>
      </c>
      <c r="M129" s="3124">
        <v>0</v>
      </c>
      <c r="N129" s="3125">
        <v>0</v>
      </c>
      <c r="O129" s="3125">
        <v>0</v>
      </c>
      <c r="P129" s="3125">
        <v>0</v>
      </c>
      <c r="Q129" s="3125">
        <f t="shared" si="31"/>
        <v>0</v>
      </c>
      <c r="R129" s="3605">
        <v>0</v>
      </c>
      <c r="S129" s="3748"/>
      <c r="T129" s="3826"/>
      <c r="U129" s="3778">
        <f>MAR!P685</f>
        <v>0</v>
      </c>
      <c r="V129" s="1846">
        <f t="shared" si="29"/>
        <v>0</v>
      </c>
    </row>
    <row r="130" spans="1:22" s="1318" customFormat="1" ht="15.05" customHeight="1">
      <c r="A130" s="1854"/>
      <c r="B130" s="1854"/>
      <c r="C130" s="1854"/>
      <c r="D130" s="1854"/>
      <c r="E130" s="1854"/>
      <c r="F130" s="1464" t="s">
        <v>529</v>
      </c>
      <c r="G130" s="1860"/>
      <c r="H130" s="202"/>
      <c r="I130" s="218"/>
      <c r="J130" s="3123">
        <v>0</v>
      </c>
      <c r="K130" s="3123">
        <v>39252000</v>
      </c>
      <c r="L130" s="3182">
        <v>0</v>
      </c>
      <c r="M130" s="3183">
        <v>4765000</v>
      </c>
      <c r="N130" s="3182">
        <v>8895000</v>
      </c>
      <c r="O130" s="3182">
        <v>13660000</v>
      </c>
      <c r="P130" s="3182">
        <f>SUM(P131:P132)</f>
        <v>50000000</v>
      </c>
      <c r="Q130" s="3182">
        <f t="shared" si="31"/>
        <v>50000000</v>
      </c>
      <c r="R130" s="3601">
        <v>0</v>
      </c>
      <c r="S130" s="3710"/>
      <c r="T130" s="3829"/>
      <c r="U130" s="3777"/>
      <c r="V130" s="1846">
        <f t="shared" si="29"/>
        <v>54640000</v>
      </c>
    </row>
    <row r="131" spans="1:22" s="257" customFormat="1" ht="15.05" customHeight="1">
      <c r="A131" s="1855"/>
      <c r="B131" s="1855"/>
      <c r="C131" s="1855"/>
      <c r="D131" s="1855"/>
      <c r="E131" s="1855"/>
      <c r="F131" s="1857" t="s">
        <v>50</v>
      </c>
      <c r="G131" s="1858"/>
      <c r="H131" s="200" t="s">
        <v>185</v>
      </c>
      <c r="I131" s="217"/>
      <c r="J131" s="3171">
        <v>0</v>
      </c>
      <c r="K131" s="3171"/>
      <c r="L131" s="3125">
        <v>0</v>
      </c>
      <c r="M131" s="3124">
        <v>0</v>
      </c>
      <c r="N131" s="3125">
        <v>0</v>
      </c>
      <c r="O131" s="3125">
        <v>0</v>
      </c>
      <c r="P131" s="3125">
        <v>0</v>
      </c>
      <c r="Q131" s="3125">
        <f t="shared" si="31"/>
        <v>0</v>
      </c>
      <c r="R131" s="3605">
        <v>0</v>
      </c>
      <c r="S131" s="3748"/>
      <c r="T131" s="3826"/>
      <c r="U131" s="3778">
        <v>0</v>
      </c>
      <c r="V131" s="1846">
        <f t="shared" si="29"/>
        <v>0</v>
      </c>
    </row>
    <row r="132" spans="1:22" s="257" customFormat="1" ht="15.05" customHeight="1">
      <c r="A132" s="1855"/>
      <c r="B132" s="1855"/>
      <c r="C132" s="1855"/>
      <c r="D132" s="1855"/>
      <c r="E132" s="1855"/>
      <c r="F132" s="1857" t="s">
        <v>50</v>
      </c>
      <c r="G132" s="1860"/>
      <c r="H132" s="200" t="s">
        <v>530</v>
      </c>
      <c r="I132" s="218"/>
      <c r="J132" s="3123">
        <v>0</v>
      </c>
      <c r="K132" s="3123"/>
      <c r="L132" s="3125">
        <v>0</v>
      </c>
      <c r="M132" s="3124">
        <v>4765000</v>
      </c>
      <c r="N132" s="3125">
        <v>8895000</v>
      </c>
      <c r="O132" s="3125">
        <v>13660000</v>
      </c>
      <c r="P132" s="3125">
        <v>50000000</v>
      </c>
      <c r="Q132" s="3125">
        <f t="shared" si="31"/>
        <v>50000000</v>
      </c>
      <c r="R132" s="3605">
        <v>0</v>
      </c>
      <c r="S132" s="3748"/>
      <c r="T132" s="3826"/>
      <c r="U132" s="3778">
        <f>MAR!P217</f>
        <v>0</v>
      </c>
      <c r="V132" s="1846">
        <f t="shared" si="29"/>
        <v>54640000</v>
      </c>
    </row>
    <row r="133" spans="1:22" s="1318" customFormat="1" ht="15.05" customHeight="1">
      <c r="A133" s="1854"/>
      <c r="B133" s="1854"/>
      <c r="C133" s="1854"/>
      <c r="D133" s="1854"/>
      <c r="E133" s="1854"/>
      <c r="F133" s="1464" t="s">
        <v>531</v>
      </c>
      <c r="G133" s="1860"/>
      <c r="H133" s="202"/>
      <c r="I133" s="218"/>
      <c r="J133" s="3123">
        <v>75000000</v>
      </c>
      <c r="K133" s="3123">
        <f>K134</f>
        <v>45800000</v>
      </c>
      <c r="L133" s="3182">
        <f>L134</f>
        <v>90000000</v>
      </c>
      <c r="M133" s="3183">
        <v>0</v>
      </c>
      <c r="N133" s="3182">
        <v>0</v>
      </c>
      <c r="O133" s="3182">
        <v>0</v>
      </c>
      <c r="P133" s="3182">
        <v>90000000</v>
      </c>
      <c r="Q133" s="3182">
        <f t="shared" si="31"/>
        <v>0</v>
      </c>
      <c r="R133" s="3601">
        <f>+P133/L133*100-100</f>
        <v>0</v>
      </c>
      <c r="S133" s="3710"/>
      <c r="T133" s="3829"/>
      <c r="U133" s="3781"/>
      <c r="V133" s="1846">
        <f t="shared" si="29"/>
        <v>0</v>
      </c>
    </row>
    <row r="134" spans="1:22" s="257" customFormat="1" ht="15.05" customHeight="1">
      <c r="A134" s="1855"/>
      <c r="B134" s="1855"/>
      <c r="C134" s="1855"/>
      <c r="D134" s="1855"/>
      <c r="E134" s="1855"/>
      <c r="F134" s="1857" t="s">
        <v>50</v>
      </c>
      <c r="G134" s="2826"/>
      <c r="H134" s="200" t="s">
        <v>532</v>
      </c>
      <c r="I134" s="217"/>
      <c r="J134" s="3171"/>
      <c r="K134" s="3171">
        <v>45800000</v>
      </c>
      <c r="L134" s="3125">
        <v>90000000</v>
      </c>
      <c r="M134" s="3124">
        <v>0</v>
      </c>
      <c r="N134" s="3125">
        <v>0</v>
      </c>
      <c r="O134" s="3125">
        <v>0</v>
      </c>
      <c r="P134" s="3125">
        <v>90000000</v>
      </c>
      <c r="Q134" s="3125">
        <f t="shared" si="31"/>
        <v>0</v>
      </c>
      <c r="R134" s="3605">
        <f>+P134/L134*100-100</f>
        <v>0</v>
      </c>
      <c r="S134" s="3748"/>
      <c r="T134" s="3826"/>
      <c r="U134" s="3778">
        <f>MAR!P80</f>
        <v>0</v>
      </c>
      <c r="V134" s="1846">
        <f t="shared" si="29"/>
        <v>0</v>
      </c>
    </row>
    <row r="135" spans="1:22" s="1318" customFormat="1" ht="15.05" hidden="1" customHeight="1">
      <c r="A135" s="1885" t="s">
        <v>443</v>
      </c>
      <c r="B135" s="1885">
        <v>1</v>
      </c>
      <c r="C135" s="1885">
        <v>2</v>
      </c>
      <c r="D135" s="1885" t="s">
        <v>438</v>
      </c>
      <c r="E135" s="1885"/>
      <c r="F135" s="1856" t="str">
        <f>MAR!H169</f>
        <v>DINAS LINGKUNGAN HIDUP DAN KEHUTANAN</v>
      </c>
      <c r="G135" s="1860"/>
      <c r="H135" s="202"/>
      <c r="I135" s="218"/>
      <c r="J135" s="3123"/>
      <c r="K135" s="3123"/>
      <c r="L135" s="3182">
        <v>0</v>
      </c>
      <c r="M135" s="3183">
        <v>72425000</v>
      </c>
      <c r="N135" s="3182">
        <v>0</v>
      </c>
      <c r="O135" s="3182">
        <v>72425000</v>
      </c>
      <c r="P135" s="3182">
        <f>P136</f>
        <v>300000000</v>
      </c>
      <c r="Q135" s="3182">
        <f t="shared" si="31"/>
        <v>300000000</v>
      </c>
      <c r="R135" s="3601">
        <v>0</v>
      </c>
      <c r="S135" s="3710"/>
      <c r="T135" s="3829"/>
      <c r="U135" s="3781"/>
      <c r="V135" s="1846">
        <f t="shared" si="29"/>
        <v>289700000</v>
      </c>
    </row>
    <row r="136" spans="1:22" s="257" customFormat="1" ht="15.05" hidden="1" customHeight="1">
      <c r="A136" s="3875">
        <v>4</v>
      </c>
      <c r="B136" s="3875">
        <v>1</v>
      </c>
      <c r="C136" s="3875">
        <v>2</v>
      </c>
      <c r="D136" s="3875" t="s">
        <v>438</v>
      </c>
      <c r="E136" s="1885" t="s">
        <v>440</v>
      </c>
      <c r="F136" s="2214" t="str">
        <f>MAR!I173</f>
        <v>- TEMPAT WISATA DAN OLAH RAGA</v>
      </c>
      <c r="G136" s="200"/>
      <c r="H136" s="200"/>
      <c r="I136" s="217"/>
      <c r="J136" s="3171"/>
      <c r="K136" s="3171"/>
      <c r="L136" s="3125">
        <v>0</v>
      </c>
      <c r="M136" s="3124">
        <v>72425000</v>
      </c>
      <c r="N136" s="3125">
        <v>0</v>
      </c>
      <c r="O136" s="3125">
        <v>72425000</v>
      </c>
      <c r="P136" s="3125">
        <v>300000000</v>
      </c>
      <c r="Q136" s="3125">
        <f t="shared" si="31"/>
        <v>300000000</v>
      </c>
      <c r="R136" s="3605">
        <v>0</v>
      </c>
      <c r="S136" s="3748"/>
      <c r="T136" s="3826"/>
      <c r="U136" s="3778">
        <f>MAR!P618</f>
        <v>0</v>
      </c>
      <c r="V136" s="1846">
        <f t="shared" si="29"/>
        <v>289700000</v>
      </c>
    </row>
    <row r="137" spans="1:22" s="2920" customFormat="1" ht="15.05" customHeight="1">
      <c r="A137" s="3594"/>
      <c r="B137" s="3594"/>
      <c r="C137" s="3594"/>
      <c r="D137" s="3594"/>
      <c r="E137" s="3457"/>
      <c r="F137" s="3458" t="s">
        <v>1189</v>
      </c>
      <c r="G137" s="3459"/>
      <c r="H137" s="3459"/>
      <c r="I137" s="3460"/>
      <c r="J137" s="3461"/>
      <c r="K137" s="3461">
        <v>12450000</v>
      </c>
      <c r="L137" s="3291"/>
      <c r="M137" s="3462"/>
      <c r="N137" s="3291"/>
      <c r="O137" s="3291"/>
      <c r="P137" s="3291"/>
      <c r="Q137" s="3291"/>
      <c r="R137" s="3606"/>
      <c r="S137" s="3711"/>
      <c r="T137" s="3830"/>
      <c r="U137" s="3782"/>
      <c r="V137" s="2923"/>
    </row>
    <row r="138" spans="1:22" s="257" customFormat="1" ht="15.05" customHeight="1">
      <c r="A138" s="1886"/>
      <c r="B138" s="1886"/>
      <c r="C138" s="1886"/>
      <c r="D138" s="1886"/>
      <c r="E138" s="1886"/>
      <c r="F138" s="3456" t="s">
        <v>50</v>
      </c>
      <c r="G138" s="1888"/>
      <c r="H138" s="3455" t="s">
        <v>1190</v>
      </c>
      <c r="I138" s="1894"/>
      <c r="J138" s="3173"/>
      <c r="K138" s="3173">
        <v>12450000</v>
      </c>
      <c r="L138" s="3174"/>
      <c r="M138" s="3175">
        <v>0</v>
      </c>
      <c r="N138" s="3174"/>
      <c r="O138" s="3174"/>
      <c r="P138" s="3174"/>
      <c r="Q138" s="3174"/>
      <c r="R138" s="3612"/>
      <c r="S138" s="3712"/>
      <c r="T138" s="3831"/>
      <c r="U138" s="1899"/>
      <c r="V138" s="1846">
        <f t="shared" si="29"/>
        <v>0</v>
      </c>
    </row>
    <row r="139" spans="1:22" s="2932" customFormat="1" ht="15.05" customHeight="1">
      <c r="A139" s="3060">
        <v>4</v>
      </c>
      <c r="B139" s="3060">
        <v>1</v>
      </c>
      <c r="C139" s="3060">
        <v>2</v>
      </c>
      <c r="D139" s="3060" t="s">
        <v>438</v>
      </c>
      <c r="E139" s="3060" t="s">
        <v>440</v>
      </c>
      <c r="F139" s="3061" t="s">
        <v>304</v>
      </c>
      <c r="G139" s="3061"/>
      <c r="H139" s="3062"/>
      <c r="I139" s="3062"/>
      <c r="J139" s="3195">
        <v>2512125000</v>
      </c>
      <c r="K139" s="3195">
        <f t="shared" ref="K139:P139" si="35">K140+K143+K145+K147+K151+K153+K156</f>
        <v>2733928400</v>
      </c>
      <c r="L139" s="3195">
        <f t="shared" si="35"/>
        <v>2547125000</v>
      </c>
      <c r="M139" s="3195">
        <f t="shared" si="35"/>
        <v>174860000</v>
      </c>
      <c r="N139" s="3195">
        <f t="shared" si="35"/>
        <v>136900000</v>
      </c>
      <c r="O139" s="3195">
        <f t="shared" si="35"/>
        <v>311760000</v>
      </c>
      <c r="P139" s="3195">
        <f t="shared" si="35"/>
        <v>2643500000</v>
      </c>
      <c r="Q139" s="3196">
        <f t="shared" ref="Q139:Q158" si="36">+P139-L139</f>
        <v>96375000</v>
      </c>
      <c r="R139" s="3614">
        <f t="shared" ref="R139:R148" si="37">+P139/L139*100-100</f>
        <v>3.7836776758109636</v>
      </c>
      <c r="S139" s="3766"/>
      <c r="T139" s="3196"/>
      <c r="U139" s="3783"/>
      <c r="V139" s="2931">
        <f t="shared" si="29"/>
        <v>1247040000</v>
      </c>
    </row>
    <row r="140" spans="1:22" s="257" customFormat="1" ht="15.05" customHeight="1">
      <c r="A140" s="1889"/>
      <c r="B140" s="1889"/>
      <c r="C140" s="1889"/>
      <c r="D140" s="1889"/>
      <c r="E140" s="1889"/>
      <c r="F140" s="2827" t="s">
        <v>62</v>
      </c>
      <c r="G140" s="2828"/>
      <c r="H140" s="212"/>
      <c r="I140" s="225"/>
      <c r="J140" s="3155">
        <f>SUM(J141:J142)</f>
        <v>63500000</v>
      </c>
      <c r="K140" s="3155">
        <f t="shared" ref="K140:P140" si="38">SUM(K141:K142)</f>
        <v>66678400</v>
      </c>
      <c r="L140" s="3155">
        <f>SUM(L141:L142)</f>
        <v>63500000</v>
      </c>
      <c r="M140" s="3155">
        <f t="shared" si="38"/>
        <v>3480000</v>
      </c>
      <c r="N140" s="3155">
        <f t="shared" si="38"/>
        <v>0</v>
      </c>
      <c r="O140" s="3155">
        <f t="shared" si="38"/>
        <v>3480000</v>
      </c>
      <c r="P140" s="3155">
        <f t="shared" si="38"/>
        <v>68500000</v>
      </c>
      <c r="Q140" s="3197">
        <f t="shared" si="36"/>
        <v>5000000</v>
      </c>
      <c r="R140" s="3608">
        <f t="shared" si="37"/>
        <v>7.8740157480315105</v>
      </c>
      <c r="S140" s="3713"/>
      <c r="T140" s="3832"/>
      <c r="U140" s="1900"/>
      <c r="V140" s="1846">
        <f t="shared" si="29"/>
        <v>13920000</v>
      </c>
    </row>
    <row r="141" spans="1:22" s="257" customFormat="1" ht="15.05" customHeight="1">
      <c r="A141" s="1855"/>
      <c r="B141" s="1855"/>
      <c r="C141" s="1855"/>
      <c r="D141" s="1855"/>
      <c r="E141" s="1855"/>
      <c r="F141" s="1857" t="s">
        <v>50</v>
      </c>
      <c r="G141" s="1858"/>
      <c r="H141" s="200" t="str">
        <f>MAR!I18</f>
        <v>Wisma Seruni</v>
      </c>
      <c r="I141" s="217"/>
      <c r="J141" s="3171">
        <v>60000000</v>
      </c>
      <c r="K141" s="3171">
        <v>66678400</v>
      </c>
      <c r="L141" s="3125">
        <v>60000000</v>
      </c>
      <c r="M141" s="3124">
        <v>3480000</v>
      </c>
      <c r="N141" s="3125">
        <v>0</v>
      </c>
      <c r="O141" s="3125">
        <v>3480000</v>
      </c>
      <c r="P141" s="3125">
        <v>65000000</v>
      </c>
      <c r="Q141" s="3125">
        <f t="shared" si="36"/>
        <v>5000000</v>
      </c>
      <c r="R141" s="3605">
        <f t="shared" si="37"/>
        <v>8.3333333333333286</v>
      </c>
      <c r="S141" s="3275"/>
      <c r="T141" s="3826"/>
      <c r="U141" s="3771"/>
      <c r="V141" s="1846">
        <f t="shared" si="29"/>
        <v>13920000</v>
      </c>
    </row>
    <row r="142" spans="1:22" s="257" customFormat="1" ht="15.05" customHeight="1">
      <c r="A142" s="1855"/>
      <c r="B142" s="1855"/>
      <c r="C142" s="1855"/>
      <c r="D142" s="1855"/>
      <c r="E142" s="1855"/>
      <c r="F142" s="1857" t="s">
        <v>50</v>
      </c>
      <c r="G142" s="1858"/>
      <c r="H142" s="200" t="str">
        <f>MAR!I19</f>
        <v>Penginapan Taman Budaya (Eks Dinas Pariwisata)</v>
      </c>
      <c r="I142" s="217"/>
      <c r="J142" s="3171">
        <v>3500000</v>
      </c>
      <c r="K142" s="3171"/>
      <c r="L142" s="3125">
        <v>3500000</v>
      </c>
      <c r="M142" s="3124">
        <v>0</v>
      </c>
      <c r="N142" s="3125">
        <v>0</v>
      </c>
      <c r="O142" s="3125">
        <v>0</v>
      </c>
      <c r="P142" s="3125">
        <v>3500000</v>
      </c>
      <c r="Q142" s="3125">
        <f t="shared" si="36"/>
        <v>0</v>
      </c>
      <c r="R142" s="3605">
        <f t="shared" si="37"/>
        <v>0</v>
      </c>
      <c r="S142" s="3275"/>
      <c r="T142" s="3826"/>
      <c r="U142" s="3771"/>
      <c r="V142" s="1846">
        <f t="shared" si="29"/>
        <v>0</v>
      </c>
    </row>
    <row r="143" spans="1:22" s="257" customFormat="1" ht="15.05" customHeight="1">
      <c r="A143" s="1855"/>
      <c r="B143" s="1855"/>
      <c r="C143" s="1855"/>
      <c r="D143" s="1855"/>
      <c r="E143" s="1855"/>
      <c r="F143" s="1464" t="s">
        <v>531</v>
      </c>
      <c r="G143" s="1860"/>
      <c r="H143" s="202"/>
      <c r="I143" s="218"/>
      <c r="J143" s="3123">
        <v>175000000</v>
      </c>
      <c r="K143" s="3123">
        <v>148775000</v>
      </c>
      <c r="L143" s="3182">
        <v>210000000</v>
      </c>
      <c r="M143" s="3183">
        <v>0</v>
      </c>
      <c r="N143" s="3182">
        <v>0</v>
      </c>
      <c r="O143" s="3182">
        <v>0</v>
      </c>
      <c r="P143" s="3182">
        <v>210000000</v>
      </c>
      <c r="Q143" s="3182">
        <f t="shared" si="36"/>
        <v>0</v>
      </c>
      <c r="R143" s="3601">
        <f t="shared" si="37"/>
        <v>0</v>
      </c>
      <c r="S143" s="3710"/>
      <c r="T143" s="3829"/>
      <c r="U143" s="3771"/>
      <c r="V143" s="1846">
        <f t="shared" si="29"/>
        <v>0</v>
      </c>
    </row>
    <row r="144" spans="1:22" s="257" customFormat="1" ht="15.05" customHeight="1">
      <c r="A144" s="1855"/>
      <c r="B144" s="1855"/>
      <c r="C144" s="1855"/>
      <c r="D144" s="1855"/>
      <c r="E144" s="1855"/>
      <c r="F144" s="1857" t="s">
        <v>50</v>
      </c>
      <c r="G144" s="1858"/>
      <c r="H144" s="200" t="str">
        <f>PerDinas!G115</f>
        <v>Retribusi Tempat Penginapan/Pesanggrahan/Villa</v>
      </c>
      <c r="I144" s="217"/>
      <c r="J144" s="3171">
        <v>175000000</v>
      </c>
      <c r="K144" s="3171">
        <v>148775000</v>
      </c>
      <c r="L144" s="3125">
        <v>210000000</v>
      </c>
      <c r="M144" s="3124">
        <v>0</v>
      </c>
      <c r="N144" s="3125">
        <v>0</v>
      </c>
      <c r="O144" s="3125">
        <v>0</v>
      </c>
      <c r="P144" s="3125">
        <v>210000000</v>
      </c>
      <c r="Q144" s="3125">
        <f t="shared" si="36"/>
        <v>0</v>
      </c>
      <c r="R144" s="3605">
        <f t="shared" si="37"/>
        <v>0</v>
      </c>
      <c r="S144" s="3275"/>
      <c r="T144" s="3826"/>
      <c r="U144" s="3771"/>
      <c r="V144" s="1846">
        <f t="shared" si="29"/>
        <v>0</v>
      </c>
    </row>
    <row r="145" spans="1:22" s="257" customFormat="1" ht="15.05" customHeight="1">
      <c r="A145" s="1855"/>
      <c r="B145" s="1855"/>
      <c r="C145" s="1855"/>
      <c r="D145" s="1855"/>
      <c r="E145" s="1855"/>
      <c r="F145" s="1464" t="s">
        <v>133</v>
      </c>
      <c r="G145" s="1860"/>
      <c r="H145" s="202"/>
      <c r="I145" s="218"/>
      <c r="J145" s="3123">
        <v>75000000</v>
      </c>
      <c r="K145" s="3123">
        <v>83250000</v>
      </c>
      <c r="L145" s="3182">
        <v>75000000</v>
      </c>
      <c r="M145" s="3183">
        <v>9880000</v>
      </c>
      <c r="N145" s="3182">
        <v>0</v>
      </c>
      <c r="O145" s="3182">
        <v>9880000</v>
      </c>
      <c r="P145" s="3182">
        <v>75000000</v>
      </c>
      <c r="Q145" s="3182">
        <f t="shared" si="36"/>
        <v>0</v>
      </c>
      <c r="R145" s="3601">
        <f t="shared" si="37"/>
        <v>0</v>
      </c>
      <c r="S145" s="3710"/>
      <c r="T145" s="3829"/>
      <c r="U145" s="3771"/>
      <c r="V145" s="1846">
        <f t="shared" si="29"/>
        <v>39520000</v>
      </c>
    </row>
    <row r="146" spans="1:22" s="257" customFormat="1" ht="15.05" customHeight="1">
      <c r="A146" s="1855"/>
      <c r="B146" s="1855"/>
      <c r="C146" s="1855"/>
      <c r="D146" s="1855"/>
      <c r="E146" s="1855"/>
      <c r="F146" s="1857" t="s">
        <v>50</v>
      </c>
      <c r="G146" s="1858"/>
      <c r="H146" s="200" t="s">
        <v>533</v>
      </c>
      <c r="I146" s="217"/>
      <c r="J146" s="3171">
        <v>75000000</v>
      </c>
      <c r="K146" s="3171">
        <v>83250000</v>
      </c>
      <c r="L146" s="3125">
        <v>75000000</v>
      </c>
      <c r="M146" s="3124">
        <v>9880000</v>
      </c>
      <c r="N146" s="3125">
        <v>0</v>
      </c>
      <c r="O146" s="3125">
        <v>9880000</v>
      </c>
      <c r="P146" s="3125">
        <v>75000000</v>
      </c>
      <c r="Q146" s="3125">
        <f t="shared" si="36"/>
        <v>0</v>
      </c>
      <c r="R146" s="3605">
        <f t="shared" si="37"/>
        <v>0</v>
      </c>
      <c r="S146" s="3275"/>
      <c r="T146" s="3826"/>
      <c r="U146" s="3771"/>
      <c r="V146" s="1846">
        <f t="shared" si="29"/>
        <v>39520000</v>
      </c>
    </row>
    <row r="147" spans="1:22" s="257" customFormat="1" ht="15.05" customHeight="1">
      <c r="A147" s="1855"/>
      <c r="B147" s="1855"/>
      <c r="C147" s="1855"/>
      <c r="D147" s="1855"/>
      <c r="E147" s="1855"/>
      <c r="F147" s="1464" t="s">
        <v>496</v>
      </c>
      <c r="G147" s="1860"/>
      <c r="H147" s="202"/>
      <c r="I147" s="218"/>
      <c r="J147" s="3123">
        <v>348625000</v>
      </c>
      <c r="K147" s="3123">
        <v>494000000</v>
      </c>
      <c r="L147" s="3182">
        <v>348625000</v>
      </c>
      <c r="M147" s="3183">
        <v>16500000</v>
      </c>
      <c r="N147" s="3182">
        <v>67100000</v>
      </c>
      <c r="O147" s="3182">
        <v>83600000</v>
      </c>
      <c r="P147" s="3182">
        <f>P148</f>
        <v>325000000</v>
      </c>
      <c r="Q147" s="3182">
        <f t="shared" si="36"/>
        <v>-23625000</v>
      </c>
      <c r="R147" s="3601">
        <f t="shared" si="37"/>
        <v>-6.7766224453208963</v>
      </c>
      <c r="S147" s="3710"/>
      <c r="T147" s="3829"/>
      <c r="U147" s="3771"/>
      <c r="V147" s="1846">
        <f t="shared" si="29"/>
        <v>334400000</v>
      </c>
    </row>
    <row r="148" spans="1:22" s="257" customFormat="1" ht="15.05" customHeight="1">
      <c r="A148" s="1855"/>
      <c r="B148" s="1855"/>
      <c r="C148" s="1855"/>
      <c r="D148" s="1855"/>
      <c r="E148" s="1855"/>
      <c r="F148" s="1857" t="s">
        <v>50</v>
      </c>
      <c r="G148" s="1858"/>
      <c r="H148" s="200" t="s">
        <v>144</v>
      </c>
      <c r="I148" s="217"/>
      <c r="J148" s="3171">
        <v>348625000</v>
      </c>
      <c r="K148" s="3171">
        <v>494000000</v>
      </c>
      <c r="L148" s="3125">
        <v>348625000</v>
      </c>
      <c r="M148" s="3124">
        <v>16500000</v>
      </c>
      <c r="N148" s="3125">
        <v>67100000</v>
      </c>
      <c r="O148" s="3125">
        <v>83600000</v>
      </c>
      <c r="P148" s="3125">
        <v>325000000</v>
      </c>
      <c r="Q148" s="3125">
        <f t="shared" si="36"/>
        <v>-23625000</v>
      </c>
      <c r="R148" s="3605">
        <f t="shared" si="37"/>
        <v>-6.7766224453208963</v>
      </c>
      <c r="S148" s="3748"/>
      <c r="T148" s="3826"/>
      <c r="U148" s="3778">
        <f>PerDinas!Q348</f>
        <v>0</v>
      </c>
      <c r="V148" s="1846">
        <f t="shared" si="29"/>
        <v>334400000</v>
      </c>
    </row>
    <row r="149" spans="1:22" s="257" customFormat="1" ht="15.05" hidden="1" customHeight="1">
      <c r="A149" s="1855"/>
      <c r="B149" s="1855"/>
      <c r="C149" s="1855"/>
      <c r="D149" s="1855"/>
      <c r="E149" s="1855"/>
      <c r="F149" s="1464" t="s">
        <v>534</v>
      </c>
      <c r="G149" s="1860"/>
      <c r="H149" s="202"/>
      <c r="I149" s="218"/>
      <c r="J149" s="3123" t="s">
        <v>50</v>
      </c>
      <c r="K149" s="3123"/>
      <c r="L149" s="3182">
        <v>0</v>
      </c>
      <c r="M149" s="3183">
        <v>0</v>
      </c>
      <c r="N149" s="3182">
        <v>0</v>
      </c>
      <c r="O149" s="3182">
        <v>0</v>
      </c>
      <c r="P149" s="3182">
        <v>0</v>
      </c>
      <c r="Q149" s="3182">
        <f t="shared" si="36"/>
        <v>0</v>
      </c>
      <c r="R149" s="3601">
        <v>0</v>
      </c>
      <c r="S149" s="3710"/>
      <c r="T149" s="3829"/>
      <c r="U149" s="3771"/>
      <c r="V149" s="1846">
        <f t="shared" si="29"/>
        <v>0</v>
      </c>
    </row>
    <row r="150" spans="1:22" s="257" customFormat="1" ht="15.05" hidden="1" customHeight="1">
      <c r="A150" s="1855"/>
      <c r="B150" s="1855"/>
      <c r="C150" s="1855"/>
      <c r="D150" s="1855"/>
      <c r="E150" s="1855"/>
      <c r="F150" s="1857" t="s">
        <v>50</v>
      </c>
      <c r="G150" s="1858"/>
      <c r="H150" s="200" t="s">
        <v>500</v>
      </c>
      <c r="I150" s="217"/>
      <c r="J150" s="3171">
        <v>3500000</v>
      </c>
      <c r="K150" s="3171">
        <v>0</v>
      </c>
      <c r="L150" s="3125">
        <v>0</v>
      </c>
      <c r="M150" s="3124">
        <v>0</v>
      </c>
      <c r="N150" s="3125">
        <v>0</v>
      </c>
      <c r="O150" s="3125">
        <v>0</v>
      </c>
      <c r="P150" s="3125">
        <v>0</v>
      </c>
      <c r="Q150" s="3125">
        <f t="shared" si="36"/>
        <v>0</v>
      </c>
      <c r="R150" s="3605">
        <v>0</v>
      </c>
      <c r="S150" s="3748"/>
      <c r="T150" s="3826"/>
      <c r="U150" s="3778">
        <f>PerDinas!Q375</f>
        <v>0</v>
      </c>
      <c r="V150" s="1846">
        <f t="shared" si="29"/>
        <v>0</v>
      </c>
    </row>
    <row r="151" spans="1:22" s="257" customFormat="1" ht="15.05" customHeight="1">
      <c r="A151" s="1855"/>
      <c r="B151" s="1855"/>
      <c r="C151" s="1855"/>
      <c r="D151" s="1855"/>
      <c r="E151" s="1855"/>
      <c r="F151" s="1464" t="s">
        <v>535</v>
      </c>
      <c r="G151" s="1860"/>
      <c r="H151" s="202"/>
      <c r="I151" s="218"/>
      <c r="J151" s="3123">
        <v>1500000000</v>
      </c>
      <c r="K151" s="3123">
        <v>1073900000</v>
      </c>
      <c r="L151" s="3182">
        <v>1500000000</v>
      </c>
      <c r="M151" s="3183">
        <v>131950000</v>
      </c>
      <c r="N151" s="3182">
        <v>69400000</v>
      </c>
      <c r="O151" s="3182">
        <v>201350000</v>
      </c>
      <c r="P151" s="3182">
        <v>1500000000</v>
      </c>
      <c r="Q151" s="3182">
        <f t="shared" si="36"/>
        <v>0</v>
      </c>
      <c r="R151" s="3601">
        <f t="shared" ref="R151:R157" si="39">+P151/L151*100-100</f>
        <v>0</v>
      </c>
      <c r="S151" s="3710"/>
      <c r="T151" s="3829"/>
      <c r="U151" s="3771"/>
      <c r="V151" s="1846">
        <f t="shared" si="29"/>
        <v>805400000</v>
      </c>
    </row>
    <row r="152" spans="1:22" s="257" customFormat="1" ht="15.05" customHeight="1">
      <c r="A152" s="1855"/>
      <c r="B152" s="1855"/>
      <c r="C152" s="1855"/>
      <c r="D152" s="1855"/>
      <c r="E152" s="1855"/>
      <c r="F152" s="1857" t="s">
        <v>50</v>
      </c>
      <c r="G152" s="1858"/>
      <c r="H152" s="200" t="str">
        <f>PerDinas!G645</f>
        <v xml:space="preserve">KANTOR PENGHUBUNG PROVINSI NTB  </v>
      </c>
      <c r="I152" s="217"/>
      <c r="J152" s="3171">
        <v>1500000000</v>
      </c>
      <c r="K152" s="3171">
        <v>1073900000</v>
      </c>
      <c r="L152" s="3125">
        <v>1500000000</v>
      </c>
      <c r="M152" s="3124">
        <v>131950000</v>
      </c>
      <c r="N152" s="3125">
        <v>69400000</v>
      </c>
      <c r="O152" s="3125">
        <v>201350000</v>
      </c>
      <c r="P152" s="3125">
        <v>1500000000</v>
      </c>
      <c r="Q152" s="3125">
        <f t="shared" si="36"/>
        <v>0</v>
      </c>
      <c r="R152" s="3605">
        <f t="shared" si="39"/>
        <v>0</v>
      </c>
      <c r="S152" s="3275"/>
      <c r="T152" s="3826"/>
      <c r="U152" s="3771"/>
      <c r="V152" s="1846">
        <f t="shared" si="29"/>
        <v>805400000</v>
      </c>
    </row>
    <row r="153" spans="1:22" s="257" customFormat="1" ht="15.05" customHeight="1">
      <c r="A153" s="1855"/>
      <c r="B153" s="1855"/>
      <c r="C153" s="1855"/>
      <c r="D153" s="1855"/>
      <c r="E153" s="1855"/>
      <c r="F153" s="1464" t="s">
        <v>326</v>
      </c>
      <c r="G153" s="1860"/>
      <c r="H153" s="202"/>
      <c r="I153" s="218"/>
      <c r="J153" s="3123">
        <f>J154</f>
        <v>150000000</v>
      </c>
      <c r="K153" s="3123">
        <f>K154</f>
        <v>534475000</v>
      </c>
      <c r="L153" s="3182">
        <f t="shared" ref="L153:Q153" si="40">SUM(L154:L155)</f>
        <v>150000000</v>
      </c>
      <c r="M153" s="3182">
        <f t="shared" si="40"/>
        <v>13050000</v>
      </c>
      <c r="N153" s="3182">
        <f t="shared" si="40"/>
        <v>0</v>
      </c>
      <c r="O153" s="3182">
        <f t="shared" si="40"/>
        <v>13050000</v>
      </c>
      <c r="P153" s="3182">
        <f t="shared" si="40"/>
        <v>265000000</v>
      </c>
      <c r="Q153" s="3182">
        <f t="shared" si="40"/>
        <v>115000000</v>
      </c>
      <c r="R153" s="3601">
        <f t="shared" si="39"/>
        <v>76.666666666666657</v>
      </c>
      <c r="S153" s="3710"/>
      <c r="T153" s="3829"/>
      <c r="U153" s="3771"/>
      <c r="V153" s="1846">
        <f t="shared" si="29"/>
        <v>52200000</v>
      </c>
    </row>
    <row r="154" spans="1:22" s="257" customFormat="1" ht="15.05" customHeight="1">
      <c r="A154" s="1855"/>
      <c r="B154" s="1855"/>
      <c r="C154" s="1855"/>
      <c r="D154" s="1855"/>
      <c r="E154" s="1855"/>
      <c r="F154" s="1857" t="s">
        <v>50</v>
      </c>
      <c r="G154" s="1858"/>
      <c r="H154" s="200" t="s">
        <v>1210</v>
      </c>
      <c r="I154" s="217"/>
      <c r="J154" s="3171">
        <v>150000000</v>
      </c>
      <c r="K154" s="3171">
        <v>534475000</v>
      </c>
      <c r="L154" s="3125">
        <v>125000000</v>
      </c>
      <c r="M154" s="3124">
        <v>13050000</v>
      </c>
      <c r="N154" s="3125">
        <v>0</v>
      </c>
      <c r="O154" s="3125">
        <v>13050000</v>
      </c>
      <c r="P154" s="3125">
        <v>265000000</v>
      </c>
      <c r="Q154" s="3125">
        <f t="shared" si="36"/>
        <v>140000000</v>
      </c>
      <c r="R154" s="3605">
        <f t="shared" si="39"/>
        <v>112</v>
      </c>
      <c r="S154" s="3275"/>
      <c r="T154" s="3826"/>
      <c r="U154" s="3771"/>
      <c r="V154" s="1846">
        <f t="shared" si="29"/>
        <v>52200000</v>
      </c>
    </row>
    <row r="155" spans="1:22" s="257" customFormat="1" ht="15.05" customHeight="1">
      <c r="A155" s="1855"/>
      <c r="B155" s="1855"/>
      <c r="C155" s="1855"/>
      <c r="D155" s="1855"/>
      <c r="E155" s="1855"/>
      <c r="F155" s="1857" t="s">
        <v>50</v>
      </c>
      <c r="G155" s="1858"/>
      <c r="H155" s="200" t="s">
        <v>1211</v>
      </c>
      <c r="I155" s="3959"/>
      <c r="J155" s="3960"/>
      <c r="K155" s="3960"/>
      <c r="L155" s="3125">
        <v>25000000</v>
      </c>
      <c r="M155" s="3124"/>
      <c r="N155" s="3125"/>
      <c r="O155" s="3125"/>
      <c r="P155" s="3125">
        <v>0</v>
      </c>
      <c r="Q155" s="3125">
        <f t="shared" si="36"/>
        <v>-25000000</v>
      </c>
      <c r="R155" s="3605">
        <f t="shared" si="39"/>
        <v>-100</v>
      </c>
      <c r="S155" s="3275"/>
      <c r="T155" s="3826"/>
      <c r="U155" s="3771"/>
      <c r="V155" s="1846"/>
    </row>
    <row r="156" spans="1:22" s="257" customFormat="1" ht="15.05" customHeight="1">
      <c r="A156" s="1855"/>
      <c r="B156" s="1855"/>
      <c r="C156" s="1855"/>
      <c r="D156" s="1855"/>
      <c r="E156" s="1855"/>
      <c r="F156" s="1464" t="s">
        <v>463</v>
      </c>
      <c r="G156" s="1860"/>
      <c r="H156" s="202"/>
      <c r="I156" s="218"/>
      <c r="J156" s="3123">
        <f>J157</f>
        <v>200000000</v>
      </c>
      <c r="K156" s="3123">
        <f>K157</f>
        <v>332850000</v>
      </c>
      <c r="L156" s="3182">
        <v>200000000</v>
      </c>
      <c r="M156" s="3183">
        <v>0</v>
      </c>
      <c r="N156" s="3182">
        <v>400000</v>
      </c>
      <c r="O156" s="3182">
        <v>400000</v>
      </c>
      <c r="P156" s="3182">
        <v>200000000</v>
      </c>
      <c r="Q156" s="3182">
        <f t="shared" si="36"/>
        <v>0</v>
      </c>
      <c r="R156" s="3601">
        <f t="shared" si="39"/>
        <v>0</v>
      </c>
      <c r="S156" s="3710"/>
      <c r="T156" s="3829"/>
      <c r="U156" s="3771"/>
      <c r="V156" s="1846">
        <f t="shared" si="29"/>
        <v>1600000</v>
      </c>
    </row>
    <row r="157" spans="1:22" s="257" customFormat="1" ht="15.05" customHeight="1">
      <c r="A157" s="1855"/>
      <c r="B157" s="1855"/>
      <c r="C157" s="1855"/>
      <c r="D157" s="1855"/>
      <c r="E157" s="1855"/>
      <c r="F157" s="1857" t="s">
        <v>50</v>
      </c>
      <c r="G157" s="1858"/>
      <c r="H157" s="200" t="s">
        <v>536</v>
      </c>
      <c r="I157" s="217"/>
      <c r="J157" s="3171">
        <v>200000000</v>
      </c>
      <c r="K157" s="3171">
        <v>332850000</v>
      </c>
      <c r="L157" s="3125">
        <v>200000000</v>
      </c>
      <c r="M157" s="3124">
        <v>0</v>
      </c>
      <c r="N157" s="3125">
        <v>400000</v>
      </c>
      <c r="O157" s="3125">
        <v>400000</v>
      </c>
      <c r="P157" s="3125">
        <v>200000000</v>
      </c>
      <c r="Q157" s="3125">
        <f t="shared" si="36"/>
        <v>0</v>
      </c>
      <c r="R157" s="3605">
        <f t="shared" si="39"/>
        <v>0</v>
      </c>
      <c r="S157" s="3748"/>
      <c r="T157" s="3826"/>
      <c r="U157" s="3778">
        <f>PerDinas!Q1017</f>
        <v>0</v>
      </c>
      <c r="V157" s="1846">
        <f t="shared" si="29"/>
        <v>1600000</v>
      </c>
    </row>
    <row r="158" spans="1:22" s="257" customFormat="1" ht="15.05" customHeight="1">
      <c r="A158" s="1855"/>
      <c r="B158" s="1855"/>
      <c r="C158" s="1855"/>
      <c r="D158" s="1855"/>
      <c r="E158" s="1855"/>
      <c r="F158" s="1901"/>
      <c r="G158" s="1858"/>
      <c r="H158" s="200"/>
      <c r="I158" s="217"/>
      <c r="J158" s="3171"/>
      <c r="K158" s="3171"/>
      <c r="L158" s="3182">
        <v>0</v>
      </c>
      <c r="M158" s="3183">
        <v>0</v>
      </c>
      <c r="N158" s="3182">
        <v>0</v>
      </c>
      <c r="O158" s="3182">
        <v>0</v>
      </c>
      <c r="P158" s="3182">
        <v>0</v>
      </c>
      <c r="Q158" s="3182">
        <f t="shared" si="36"/>
        <v>0</v>
      </c>
      <c r="R158" s="3601">
        <v>0</v>
      </c>
      <c r="S158" s="3710"/>
      <c r="T158" s="3829"/>
      <c r="U158" s="3771"/>
      <c r="V158" s="1846">
        <f t="shared" si="29"/>
        <v>0</v>
      </c>
    </row>
    <row r="159" spans="1:22" s="2936" customFormat="1" ht="15.05" customHeight="1">
      <c r="A159" s="3047" t="s">
        <v>443</v>
      </c>
      <c r="B159" s="3047" t="s">
        <v>58</v>
      </c>
      <c r="C159" s="3047" t="s">
        <v>460</v>
      </c>
      <c r="D159" s="3878" t="s">
        <v>438</v>
      </c>
      <c r="E159" s="3878" t="s">
        <v>451</v>
      </c>
      <c r="F159" s="2926" t="s">
        <v>1179</v>
      </c>
      <c r="H159" s="2927"/>
      <c r="I159" s="2929"/>
      <c r="J159" s="3172">
        <f>J160+J162</f>
        <v>0</v>
      </c>
      <c r="K159" s="3172">
        <f>K160+K162</f>
        <v>0</v>
      </c>
      <c r="L159" s="3172">
        <f>L160+L162</f>
        <v>0</v>
      </c>
      <c r="M159" s="3170">
        <v>0</v>
      </c>
      <c r="N159" s="3169">
        <v>0</v>
      </c>
      <c r="O159" s="3169">
        <f>O160+O162</f>
        <v>97365000</v>
      </c>
      <c r="P159" s="3169">
        <f>P160+P162</f>
        <v>375000000</v>
      </c>
      <c r="Q159" s="3169">
        <f>Q160+Q162</f>
        <v>375000000</v>
      </c>
      <c r="R159" s="3611">
        <v>0</v>
      </c>
      <c r="S159" s="3708"/>
      <c r="T159" s="3827"/>
      <c r="U159" s="3784"/>
      <c r="V159" s="2938">
        <f t="shared" si="29"/>
        <v>389460000</v>
      </c>
    </row>
    <row r="160" spans="1:22" s="257" customFormat="1" ht="15.05" customHeight="1">
      <c r="A160" s="2875"/>
      <c r="B160" s="2875"/>
      <c r="C160" s="2875"/>
      <c r="D160" s="2876"/>
      <c r="E160" s="2876"/>
      <c r="F160" s="1856" t="s">
        <v>411</v>
      </c>
      <c r="G160" s="847"/>
      <c r="H160" s="200"/>
      <c r="I160" s="217"/>
      <c r="J160" s="3171"/>
      <c r="K160" s="3171"/>
      <c r="L160" s="3125">
        <v>0</v>
      </c>
      <c r="M160" s="3190">
        <v>9495000</v>
      </c>
      <c r="N160" s="3191">
        <v>15445000</v>
      </c>
      <c r="O160" s="3128">
        <v>24940000</v>
      </c>
      <c r="P160" s="3128">
        <f>+P161</f>
        <v>75000000</v>
      </c>
      <c r="Q160" s="3128">
        <f>+P160-L160</f>
        <v>75000000</v>
      </c>
      <c r="R160" s="3605">
        <v>0</v>
      </c>
      <c r="S160" s="3275"/>
      <c r="T160" s="3826"/>
      <c r="U160" s="3778"/>
      <c r="V160" s="1846"/>
    </row>
    <row r="161" spans="1:22" s="257" customFormat="1" ht="15.05" customHeight="1">
      <c r="A161" s="2875"/>
      <c r="B161" s="2875"/>
      <c r="C161" s="2875"/>
      <c r="D161" s="2876"/>
      <c r="E161" s="2876"/>
      <c r="F161" s="2744" t="s">
        <v>50</v>
      </c>
      <c r="G161" s="224" t="s">
        <v>1239</v>
      </c>
      <c r="H161" s="200"/>
      <c r="I161" s="217"/>
      <c r="J161" s="3171"/>
      <c r="K161" s="3171"/>
      <c r="L161" s="3125">
        <v>0</v>
      </c>
      <c r="M161" s="3190">
        <v>9495000</v>
      </c>
      <c r="N161" s="3192">
        <v>15445000</v>
      </c>
      <c r="O161" s="3165">
        <v>24940000</v>
      </c>
      <c r="P161" s="3165">
        <v>75000000</v>
      </c>
      <c r="Q161" s="3165">
        <f>+P161-L161</f>
        <v>75000000</v>
      </c>
      <c r="R161" s="3605">
        <v>0</v>
      </c>
      <c r="S161" s="3275"/>
      <c r="T161" s="3826"/>
      <c r="U161" s="3778"/>
      <c r="V161" s="1846"/>
    </row>
    <row r="162" spans="1:22" s="257" customFormat="1" ht="14.1" customHeight="1">
      <c r="A162" s="1855"/>
      <c r="B162" s="1855"/>
      <c r="C162" s="1855"/>
      <c r="D162" s="4020"/>
      <c r="E162" s="4020"/>
      <c r="F162" s="1856" t="s">
        <v>122</v>
      </c>
      <c r="G162" s="1860"/>
      <c r="H162" s="202"/>
      <c r="I162" s="218"/>
      <c r="J162" s="3123"/>
      <c r="K162" s="3123"/>
      <c r="L162" s="3182">
        <v>0</v>
      </c>
      <c r="M162" s="3183">
        <v>72425000</v>
      </c>
      <c r="N162" s="3182">
        <v>0</v>
      </c>
      <c r="O162" s="3182">
        <v>72425000</v>
      </c>
      <c r="P162" s="3182">
        <f>P163</f>
        <v>300000000</v>
      </c>
      <c r="Q162" s="3182">
        <f>Q163</f>
        <v>300000000</v>
      </c>
      <c r="R162" s="3914">
        <v>0</v>
      </c>
      <c r="S162" s="3915"/>
      <c r="T162" s="3916"/>
      <c r="U162" s="3781"/>
      <c r="V162" s="1846"/>
    </row>
    <row r="163" spans="1:22" s="257" customFormat="1" ht="15.05" customHeight="1">
      <c r="A163" s="1855"/>
      <c r="B163" s="1855"/>
      <c r="C163" s="1855"/>
      <c r="D163" s="4020"/>
      <c r="E163" s="4020"/>
      <c r="F163" s="2744" t="s">
        <v>50</v>
      </c>
      <c r="G163" s="224" t="s">
        <v>413</v>
      </c>
      <c r="H163" s="200"/>
      <c r="I163" s="217"/>
      <c r="J163" s="3171"/>
      <c r="K163" s="3171"/>
      <c r="L163" s="3125">
        <v>0</v>
      </c>
      <c r="M163" s="3124">
        <v>72425000</v>
      </c>
      <c r="N163" s="3125">
        <v>0</v>
      </c>
      <c r="O163" s="3125">
        <v>72425000</v>
      </c>
      <c r="P163" s="3125">
        <v>300000000</v>
      </c>
      <c r="Q163" s="3125">
        <v>300000000</v>
      </c>
      <c r="R163" s="3926">
        <v>0</v>
      </c>
      <c r="S163" s="3971"/>
      <c r="T163" s="3927"/>
      <c r="U163" s="3778">
        <v>0</v>
      </c>
      <c r="V163" s="1846"/>
    </row>
    <row r="164" spans="1:22" s="257" customFormat="1" ht="15.05" customHeight="1">
      <c r="A164" s="1855"/>
      <c r="B164" s="1855"/>
      <c r="C164" s="1855"/>
      <c r="D164" s="1855"/>
      <c r="E164" s="1855"/>
      <c r="F164" s="1857"/>
      <c r="G164" s="1858"/>
      <c r="H164" s="200"/>
      <c r="I164" s="217"/>
      <c r="J164" s="3171"/>
      <c r="K164" s="3171"/>
      <c r="L164" s="3125"/>
      <c r="M164" s="3124">
        <v>0</v>
      </c>
      <c r="N164" s="3125"/>
      <c r="O164" s="3125">
        <v>0</v>
      </c>
      <c r="P164" s="3125"/>
      <c r="Q164" s="3125"/>
      <c r="R164" s="3605"/>
      <c r="S164" s="3702"/>
      <c r="T164" s="3820"/>
      <c r="U164" s="3771"/>
      <c r="V164" s="1846">
        <f t="shared" si="29"/>
        <v>0</v>
      </c>
    </row>
    <row r="165" spans="1:22" s="2932" customFormat="1" ht="15.05" customHeight="1">
      <c r="A165" s="2925">
        <v>4</v>
      </c>
      <c r="B165" s="2925">
        <v>1</v>
      </c>
      <c r="C165" s="2925">
        <v>2</v>
      </c>
      <c r="D165" s="2925" t="s">
        <v>438</v>
      </c>
      <c r="E165" s="2925" t="s">
        <v>448</v>
      </c>
      <c r="F165" s="2926" t="s">
        <v>361</v>
      </c>
      <c r="G165" s="2927"/>
      <c r="H165" s="2933"/>
      <c r="I165" s="2934"/>
      <c r="J165" s="3172">
        <f t="shared" ref="J165:P165" si="41">J166+J168+J180+J182+J187+J195</f>
        <v>2113387000</v>
      </c>
      <c r="K165" s="3172">
        <f t="shared" si="41"/>
        <v>2405649030</v>
      </c>
      <c r="L165" s="3172">
        <f t="shared" si="41"/>
        <v>2113387000</v>
      </c>
      <c r="M165" s="3172">
        <f t="shared" si="41"/>
        <v>312541550</v>
      </c>
      <c r="N165" s="3172">
        <f t="shared" si="41"/>
        <v>158104500</v>
      </c>
      <c r="O165" s="3172">
        <f t="shared" si="41"/>
        <v>470646050</v>
      </c>
      <c r="P165" s="3172">
        <f t="shared" si="41"/>
        <v>1992018000</v>
      </c>
      <c r="Q165" s="3169">
        <f>+P165-L165</f>
        <v>-121369000</v>
      </c>
      <c r="R165" s="3611">
        <f t="shared" ref="R165:R171" si="42">+P165/L165*100-100</f>
        <v>-5.7428667820896067</v>
      </c>
      <c r="S165" s="3708"/>
      <c r="T165" s="3827"/>
      <c r="U165" s="3776"/>
      <c r="V165" s="2931">
        <f t="shared" si="29"/>
        <v>1882584200</v>
      </c>
    </row>
    <row r="166" spans="1:22" s="257" customFormat="1" ht="15.05" customHeight="1">
      <c r="A166" s="1855"/>
      <c r="B166" s="1855"/>
      <c r="C166" s="1855"/>
      <c r="D166" s="1855"/>
      <c r="E166" s="1855"/>
      <c r="F166" s="1464" t="s">
        <v>537</v>
      </c>
      <c r="G166" s="1860"/>
      <c r="H166" s="202"/>
      <c r="I166" s="218"/>
      <c r="J166" s="3200">
        <f>J167</f>
        <v>0</v>
      </c>
      <c r="K166" s="3123">
        <v>0</v>
      </c>
      <c r="L166" s="3182">
        <v>0</v>
      </c>
      <c r="M166" s="3183">
        <v>0</v>
      </c>
      <c r="N166" s="3182">
        <v>0</v>
      </c>
      <c r="O166" s="3182">
        <v>0</v>
      </c>
      <c r="P166" s="3182">
        <v>0</v>
      </c>
      <c r="Q166" s="3182">
        <f t="shared" ref="Q166:Q202" si="43">+P166-L166</f>
        <v>0</v>
      </c>
      <c r="R166" s="3601">
        <v>0</v>
      </c>
      <c r="S166" s="3710"/>
      <c r="T166" s="3829"/>
      <c r="U166" s="3771"/>
      <c r="V166" s="1846">
        <f t="shared" si="29"/>
        <v>0</v>
      </c>
    </row>
    <row r="167" spans="1:22" s="257" customFormat="1" ht="15.05" customHeight="1">
      <c r="A167" s="1855"/>
      <c r="B167" s="1855"/>
      <c r="C167" s="1855"/>
      <c r="D167" s="1855"/>
      <c r="E167" s="1855"/>
      <c r="F167" s="1857" t="s">
        <v>50</v>
      </c>
      <c r="G167" s="1858"/>
      <c r="H167" s="200" t="s">
        <v>538</v>
      </c>
      <c r="I167" s="217"/>
      <c r="J167" s="3193">
        <v>0</v>
      </c>
      <c r="K167" s="3171">
        <v>0</v>
      </c>
      <c r="L167" s="3125">
        <v>0</v>
      </c>
      <c r="M167" s="3124">
        <v>0</v>
      </c>
      <c r="N167" s="3125">
        <v>0</v>
      </c>
      <c r="O167" s="3125">
        <v>0</v>
      </c>
      <c r="P167" s="3125">
        <v>0</v>
      </c>
      <c r="Q167" s="3125">
        <f t="shared" si="43"/>
        <v>0</v>
      </c>
      <c r="R167" s="3605">
        <v>0</v>
      </c>
      <c r="S167" s="3275"/>
      <c r="T167" s="3826"/>
      <c r="U167" s="3771"/>
      <c r="V167" s="1846">
        <f t="shared" si="29"/>
        <v>0</v>
      </c>
    </row>
    <row r="168" spans="1:22" s="257" customFormat="1" ht="15.05" customHeight="1">
      <c r="A168" s="1855"/>
      <c r="B168" s="1855"/>
      <c r="C168" s="1855"/>
      <c r="D168" s="1855"/>
      <c r="E168" s="1855"/>
      <c r="F168" s="1464" t="s">
        <v>463</v>
      </c>
      <c r="G168" s="1860"/>
      <c r="H168" s="202"/>
      <c r="I168" s="218"/>
      <c r="J168" s="3200">
        <f t="shared" ref="J168:P168" si="44">SUM(J169:J179)</f>
        <v>1064387000</v>
      </c>
      <c r="K168" s="3200">
        <f t="shared" si="44"/>
        <v>969658000</v>
      </c>
      <c r="L168" s="3200">
        <f t="shared" si="44"/>
        <v>1074387000</v>
      </c>
      <c r="M168" s="3200">
        <f t="shared" si="44"/>
        <v>256284000</v>
      </c>
      <c r="N168" s="3200">
        <f t="shared" si="44"/>
        <v>37860000</v>
      </c>
      <c r="O168" s="3200">
        <f t="shared" si="44"/>
        <v>294144000</v>
      </c>
      <c r="P168" s="3200">
        <f t="shared" si="44"/>
        <v>953018000</v>
      </c>
      <c r="Q168" s="3182">
        <f t="shared" si="43"/>
        <v>-121369000</v>
      </c>
      <c r="R168" s="3601">
        <f t="shared" si="42"/>
        <v>-11.296581213287197</v>
      </c>
      <c r="S168" s="3710"/>
      <c r="T168" s="3829"/>
      <c r="U168" s="3771"/>
      <c r="V168" s="1846">
        <f t="shared" si="29"/>
        <v>1176576000</v>
      </c>
    </row>
    <row r="169" spans="1:22" s="257" customFormat="1" ht="15.05" customHeight="1">
      <c r="A169" s="1855"/>
      <c r="B169" s="1855"/>
      <c r="C169" s="1855"/>
      <c r="D169" s="1855"/>
      <c r="E169" s="1855"/>
      <c r="F169" s="1857" t="s">
        <v>50</v>
      </c>
      <c r="G169" s="1858"/>
      <c r="H169" s="200" t="str">
        <f>MAR!I621</f>
        <v>UPB Peninjauan</v>
      </c>
      <c r="I169" s="217"/>
      <c r="J169" s="3193">
        <v>259229500</v>
      </c>
      <c r="K169" s="3171">
        <v>410279000</v>
      </c>
      <c r="L169" s="3125">
        <v>259229500</v>
      </c>
      <c r="M169" s="3124">
        <v>133580000</v>
      </c>
      <c r="N169" s="3125">
        <v>11430000</v>
      </c>
      <c r="O169" s="3125">
        <v>145010000</v>
      </c>
      <c r="P169" s="3125">
        <v>281240000</v>
      </c>
      <c r="Q169" s="3125">
        <f t="shared" si="43"/>
        <v>22010500</v>
      </c>
      <c r="R169" s="3605">
        <f t="shared" si="42"/>
        <v>8.4907389012438728</v>
      </c>
      <c r="S169" s="3275"/>
      <c r="T169" s="3826"/>
      <c r="U169" s="3771"/>
      <c r="V169" s="1846">
        <f t="shared" si="29"/>
        <v>580040000</v>
      </c>
    </row>
    <row r="170" spans="1:22" s="257" customFormat="1" ht="15.05" customHeight="1">
      <c r="A170" s="1855"/>
      <c r="B170" s="1855"/>
      <c r="C170" s="1855"/>
      <c r="D170" s="1855"/>
      <c r="E170" s="1855"/>
      <c r="F170" s="1857" t="s">
        <v>50</v>
      </c>
      <c r="G170" s="1858"/>
      <c r="H170" s="200" t="str">
        <f>MAR!I622</f>
        <v>UPB Puyung</v>
      </c>
      <c r="I170" s="217"/>
      <c r="J170" s="3193">
        <v>374739500</v>
      </c>
      <c r="K170" s="3171">
        <v>210010000</v>
      </c>
      <c r="L170" s="3125">
        <v>374739500</v>
      </c>
      <c r="M170" s="3124">
        <v>28650000</v>
      </c>
      <c r="N170" s="3125">
        <v>2310000</v>
      </c>
      <c r="O170" s="3125">
        <v>30960000</v>
      </c>
      <c r="P170" s="3125">
        <v>246440000</v>
      </c>
      <c r="Q170" s="3125">
        <f t="shared" si="43"/>
        <v>-128299500</v>
      </c>
      <c r="R170" s="3605">
        <f t="shared" si="42"/>
        <v>-34.236983291059516</v>
      </c>
      <c r="S170" s="3275"/>
      <c r="T170" s="3826"/>
      <c r="U170" s="3771"/>
      <c r="V170" s="1846">
        <f t="shared" si="29"/>
        <v>123840000</v>
      </c>
    </row>
    <row r="171" spans="1:22" s="257" customFormat="1" ht="15.05" customHeight="1">
      <c r="A171" s="1855"/>
      <c r="B171" s="1855"/>
      <c r="C171" s="1855"/>
      <c r="D171" s="1855"/>
      <c r="E171" s="1855"/>
      <c r="F171" s="1857" t="s">
        <v>50</v>
      </c>
      <c r="G171" s="1858"/>
      <c r="H171" s="200" t="str">
        <f>MAR!I623</f>
        <v>UPB Uthan</v>
      </c>
      <c r="I171" s="217"/>
      <c r="J171" s="3193">
        <v>271618000</v>
      </c>
      <c r="K171" s="3171">
        <v>193340000</v>
      </c>
      <c r="L171" s="3125">
        <v>271618000</v>
      </c>
      <c r="M171" s="3124">
        <v>32440000</v>
      </c>
      <c r="N171" s="3125">
        <v>0</v>
      </c>
      <c r="O171" s="3125">
        <v>32440000</v>
      </c>
      <c r="P171" s="3125">
        <v>271985000</v>
      </c>
      <c r="Q171" s="3125">
        <f t="shared" si="43"/>
        <v>367000</v>
      </c>
      <c r="R171" s="3605">
        <f t="shared" si="42"/>
        <v>0.13511622941042845</v>
      </c>
      <c r="S171" s="3275"/>
      <c r="T171" s="3826"/>
      <c r="U171" s="3771"/>
      <c r="V171" s="1846">
        <f t="shared" si="29"/>
        <v>129760000</v>
      </c>
    </row>
    <row r="172" spans="1:22" s="257" customFormat="1" ht="15.05" customHeight="1">
      <c r="A172" s="1855"/>
      <c r="B172" s="1855"/>
      <c r="C172" s="1855"/>
      <c r="D172" s="1855"/>
      <c r="E172" s="1855"/>
      <c r="F172" s="1857" t="s">
        <v>50</v>
      </c>
      <c r="G172" s="1858"/>
      <c r="H172" s="200" t="str">
        <f>MAR!I624</f>
        <v>BKUT Kotaraja</v>
      </c>
      <c r="I172" s="217"/>
      <c r="J172" s="3193" t="s">
        <v>50</v>
      </c>
      <c r="K172" s="3171" t="s">
        <v>50</v>
      </c>
      <c r="L172" s="3125">
        <v>0</v>
      </c>
      <c r="M172" s="3124">
        <v>0</v>
      </c>
      <c r="N172" s="3125">
        <v>0</v>
      </c>
      <c r="O172" s="3125">
        <v>0</v>
      </c>
      <c r="P172" s="3125">
        <v>0</v>
      </c>
      <c r="Q172" s="3125">
        <f t="shared" si="43"/>
        <v>0</v>
      </c>
      <c r="R172" s="3605">
        <v>0</v>
      </c>
      <c r="S172" s="3275"/>
      <c r="T172" s="3826"/>
      <c r="U172" s="3771"/>
      <c r="V172" s="1846">
        <f t="shared" si="29"/>
        <v>0</v>
      </c>
    </row>
    <row r="173" spans="1:22" s="257" customFormat="1" ht="15.05" customHeight="1">
      <c r="A173" s="1855"/>
      <c r="B173" s="1855"/>
      <c r="C173" s="1855"/>
      <c r="D173" s="1855"/>
      <c r="E173" s="1855"/>
      <c r="F173" s="1857" t="s">
        <v>50</v>
      </c>
      <c r="G173" s="1858"/>
      <c r="H173" s="200" t="str">
        <f>MAR!I625</f>
        <v>UPB Kesik</v>
      </c>
      <c r="I173" s="217"/>
      <c r="J173" s="3193" t="s">
        <v>50</v>
      </c>
      <c r="K173" s="3171" t="s">
        <v>50</v>
      </c>
      <c r="L173" s="3125">
        <v>0</v>
      </c>
      <c r="M173" s="3124">
        <v>0</v>
      </c>
      <c r="N173" s="3125">
        <v>0</v>
      </c>
      <c r="O173" s="3125">
        <v>0</v>
      </c>
      <c r="P173" s="3125">
        <v>0</v>
      </c>
      <c r="Q173" s="3125">
        <f t="shared" si="43"/>
        <v>0</v>
      </c>
      <c r="R173" s="3605">
        <v>0</v>
      </c>
      <c r="S173" s="3275"/>
      <c r="T173" s="3826"/>
      <c r="U173" s="3771"/>
      <c r="V173" s="1846">
        <f t="shared" si="29"/>
        <v>0</v>
      </c>
    </row>
    <row r="174" spans="1:22" s="257" customFormat="1" ht="15.05" customHeight="1">
      <c r="A174" s="1855"/>
      <c r="B174" s="1855"/>
      <c r="C174" s="1855"/>
      <c r="D174" s="1855"/>
      <c r="E174" s="1855"/>
      <c r="F174" s="1857" t="s">
        <v>50</v>
      </c>
      <c r="G174" s="1858"/>
      <c r="H174" s="200" t="str">
        <f>MAR!I626</f>
        <v>UPB Sedau</v>
      </c>
      <c r="I174" s="217"/>
      <c r="J174" s="3193">
        <v>46200000</v>
      </c>
      <c r="K174" s="3171">
        <v>46600000</v>
      </c>
      <c r="L174" s="3125">
        <v>46200000</v>
      </c>
      <c r="M174" s="3124">
        <v>29700000</v>
      </c>
      <c r="N174" s="3125">
        <v>0</v>
      </c>
      <c r="O174" s="3125">
        <v>29700000</v>
      </c>
      <c r="P174" s="3125">
        <v>50200000</v>
      </c>
      <c r="Q174" s="3125">
        <f t="shared" si="43"/>
        <v>4000000</v>
      </c>
      <c r="R174" s="3605">
        <f>+P174/L174*100-100</f>
        <v>8.6580086580086544</v>
      </c>
      <c r="S174" s="3275"/>
      <c r="T174" s="3826"/>
      <c r="U174" s="3771"/>
      <c r="V174" s="1846">
        <f t="shared" ref="V174:V214" si="45">O174*4</f>
        <v>118800000</v>
      </c>
    </row>
    <row r="175" spans="1:22" s="257" customFormat="1" ht="15.05" customHeight="1">
      <c r="A175" s="1855"/>
      <c r="B175" s="1855"/>
      <c r="C175" s="1855"/>
      <c r="D175" s="1855"/>
      <c r="E175" s="1855"/>
      <c r="F175" s="1857" t="s">
        <v>50</v>
      </c>
      <c r="G175" s="1858"/>
      <c r="H175" s="200" t="str">
        <f>MAR!I627</f>
        <v>UPB Santong</v>
      </c>
      <c r="I175" s="217"/>
      <c r="J175" s="3193">
        <v>88200000</v>
      </c>
      <c r="K175" s="3171">
        <v>74940000</v>
      </c>
      <c r="L175" s="3125">
        <v>88200000</v>
      </c>
      <c r="M175" s="3124">
        <v>16920000</v>
      </c>
      <c r="N175" s="3125">
        <v>24120000</v>
      </c>
      <c r="O175" s="3125">
        <v>41040000</v>
      </c>
      <c r="P175" s="3125">
        <v>68200000</v>
      </c>
      <c r="Q175" s="3125">
        <f t="shared" si="43"/>
        <v>-20000000</v>
      </c>
      <c r="R175" s="3605">
        <f>+P175/L175*100-100</f>
        <v>-22.675736961451236</v>
      </c>
      <c r="S175" s="3275"/>
      <c r="T175" s="3826"/>
      <c r="U175" s="3771"/>
      <c r="V175" s="1846">
        <f t="shared" si="45"/>
        <v>164160000</v>
      </c>
    </row>
    <row r="176" spans="1:22" s="257" customFormat="1" ht="15.05" customHeight="1">
      <c r="A176" s="1855"/>
      <c r="B176" s="1855"/>
      <c r="C176" s="1855"/>
      <c r="D176" s="1855"/>
      <c r="E176" s="1855"/>
      <c r="F176" s="1857" t="s">
        <v>50</v>
      </c>
      <c r="G176" s="1858"/>
      <c r="H176" s="200" t="str">
        <f>MAR!I628</f>
        <v>Kebun Timbanuh</v>
      </c>
      <c r="I176" s="217"/>
      <c r="J176" s="3193">
        <v>24400000</v>
      </c>
      <c r="K176" s="3171">
        <v>24453000</v>
      </c>
      <c r="L176" s="3125">
        <v>24400000</v>
      </c>
      <c r="M176" s="3124">
        <v>14994000</v>
      </c>
      <c r="N176" s="3125">
        <v>0</v>
      </c>
      <c r="O176" s="3125">
        <v>14994000</v>
      </c>
      <c r="P176" s="3125">
        <v>24453000</v>
      </c>
      <c r="Q176" s="3125">
        <f t="shared" si="43"/>
        <v>53000</v>
      </c>
      <c r="R176" s="3605">
        <f>+P176/L176*100-100</f>
        <v>0.21721311475408811</v>
      </c>
      <c r="S176" s="3275"/>
      <c r="T176" s="3826"/>
      <c r="U176" s="3771"/>
      <c r="V176" s="1846">
        <f t="shared" si="45"/>
        <v>59976000</v>
      </c>
    </row>
    <row r="177" spans="1:22" s="257" customFormat="1" ht="15.05" customHeight="1">
      <c r="A177" s="1855"/>
      <c r="B177" s="1855"/>
      <c r="C177" s="1855"/>
      <c r="D177" s="1855"/>
      <c r="E177" s="1855"/>
      <c r="F177" s="1857" t="s">
        <v>50</v>
      </c>
      <c r="G177" s="1858"/>
      <c r="H177" s="200" t="str">
        <f>MAR!I629</f>
        <v>Kerjasama dengan penangkar</v>
      </c>
      <c r="I177" s="217"/>
      <c r="J177" s="3193" t="s">
        <v>50</v>
      </c>
      <c r="K177" s="3171">
        <v>10036000</v>
      </c>
      <c r="L177" s="3125">
        <v>0</v>
      </c>
      <c r="M177" s="3124">
        <v>0</v>
      </c>
      <c r="N177" s="3125">
        <v>0</v>
      </c>
      <c r="O177" s="3125">
        <v>0</v>
      </c>
      <c r="P177" s="3125">
        <v>0</v>
      </c>
      <c r="Q177" s="3125">
        <f t="shared" si="43"/>
        <v>0</v>
      </c>
      <c r="R177" s="3605">
        <v>0</v>
      </c>
      <c r="S177" s="3275"/>
      <c r="T177" s="3826"/>
      <c r="U177" s="3771"/>
      <c r="V177" s="1846">
        <f t="shared" si="45"/>
        <v>0</v>
      </c>
    </row>
    <row r="178" spans="1:22" s="257" customFormat="1" ht="15.05" customHeight="1">
      <c r="A178" s="1855"/>
      <c r="B178" s="1855"/>
      <c r="C178" s="1855"/>
      <c r="D178" s="1855"/>
      <c r="E178" s="1855"/>
      <c r="F178" s="1857" t="s">
        <v>50</v>
      </c>
      <c r="G178" s="1858"/>
      <c r="H178" s="200" t="str">
        <f>MAR!I630</f>
        <v>Hasil Kebun (SPPN Mataram)</v>
      </c>
      <c r="I178" s="217"/>
      <c r="J178" s="3171"/>
      <c r="K178" s="3171"/>
      <c r="L178" s="3125">
        <v>0</v>
      </c>
      <c r="M178" s="3124">
        <v>0</v>
      </c>
      <c r="N178" s="3125">
        <v>0</v>
      </c>
      <c r="O178" s="3125">
        <v>0</v>
      </c>
      <c r="P178" s="3125">
        <v>0</v>
      </c>
      <c r="Q178" s="3125">
        <f t="shared" si="43"/>
        <v>0</v>
      </c>
      <c r="R178" s="3605">
        <v>0</v>
      </c>
      <c r="S178" s="3275"/>
      <c r="T178" s="3826"/>
      <c r="U178" s="3771"/>
      <c r="V178" s="1846">
        <f t="shared" si="45"/>
        <v>0</v>
      </c>
    </row>
    <row r="179" spans="1:22" s="257" customFormat="1" ht="15.05" customHeight="1">
      <c r="A179" s="1855"/>
      <c r="B179" s="1855"/>
      <c r="C179" s="1855"/>
      <c r="D179" s="1855"/>
      <c r="E179" s="1855"/>
      <c r="F179" s="1857" t="s">
        <v>50</v>
      </c>
      <c r="G179" s="1858"/>
      <c r="H179" s="200" t="str">
        <f>MAR!I631</f>
        <v>Lain-lain (Sertifikasi Benih)</v>
      </c>
      <c r="I179" s="217"/>
      <c r="J179" s="3171"/>
      <c r="K179" s="3171"/>
      <c r="L179" s="3125">
        <v>10000000</v>
      </c>
      <c r="M179" s="3124">
        <v>0</v>
      </c>
      <c r="N179" s="3125">
        <v>0</v>
      </c>
      <c r="O179" s="3125">
        <v>0</v>
      </c>
      <c r="P179" s="3125">
        <v>10500000</v>
      </c>
      <c r="Q179" s="3125">
        <f t="shared" si="43"/>
        <v>500000</v>
      </c>
      <c r="R179" s="3605">
        <f>+P179/L179*100-100</f>
        <v>5</v>
      </c>
      <c r="S179" s="3275"/>
      <c r="T179" s="3826"/>
      <c r="U179" s="3771"/>
      <c r="V179" s="1846">
        <f t="shared" si="45"/>
        <v>0</v>
      </c>
    </row>
    <row r="180" spans="1:22" s="257" customFormat="1" ht="15.05" customHeight="1">
      <c r="A180" s="1855"/>
      <c r="B180" s="1855"/>
      <c r="C180" s="1855"/>
      <c r="D180" s="1855"/>
      <c r="E180" s="1855"/>
      <c r="F180" s="1464" t="s">
        <v>463</v>
      </c>
      <c r="G180" s="1858"/>
      <c r="H180" s="200"/>
      <c r="I180" s="217"/>
      <c r="J180" s="3171"/>
      <c r="K180" s="3171"/>
      <c r="L180" s="3125">
        <v>0</v>
      </c>
      <c r="M180" s="3124">
        <v>0</v>
      </c>
      <c r="N180" s="3125">
        <v>0</v>
      </c>
      <c r="O180" s="3125">
        <v>0</v>
      </c>
      <c r="P180" s="3125">
        <v>0</v>
      </c>
      <c r="Q180" s="3125">
        <f t="shared" si="43"/>
        <v>0</v>
      </c>
      <c r="R180" s="3605">
        <v>0</v>
      </c>
      <c r="S180" s="3275"/>
      <c r="T180" s="3826"/>
      <c r="U180" s="3771"/>
      <c r="V180" s="1846">
        <f t="shared" si="45"/>
        <v>0</v>
      </c>
    </row>
    <row r="181" spans="1:22" s="257" customFormat="1" ht="15.05" customHeight="1">
      <c r="A181" s="1855"/>
      <c r="B181" s="1855"/>
      <c r="C181" s="1855"/>
      <c r="D181" s="1855"/>
      <c r="E181" s="1855"/>
      <c r="F181" s="1857" t="s">
        <v>50</v>
      </c>
      <c r="G181" s="1858"/>
      <c r="H181" s="200" t="s">
        <v>539</v>
      </c>
      <c r="I181" s="217"/>
      <c r="J181" s="3171"/>
      <c r="K181" s="3171"/>
      <c r="L181" s="3125">
        <v>0</v>
      </c>
      <c r="M181" s="3124">
        <v>0</v>
      </c>
      <c r="N181" s="3125">
        <v>0</v>
      </c>
      <c r="O181" s="3125">
        <v>0</v>
      </c>
      <c r="P181" s="3125">
        <v>0</v>
      </c>
      <c r="Q181" s="3125">
        <f t="shared" si="43"/>
        <v>0</v>
      </c>
      <c r="R181" s="3605">
        <v>0</v>
      </c>
      <c r="S181" s="3275"/>
      <c r="T181" s="3826"/>
      <c r="U181" s="3771"/>
      <c r="V181" s="1846">
        <f t="shared" si="45"/>
        <v>0</v>
      </c>
    </row>
    <row r="182" spans="1:22" s="257" customFormat="1" ht="15.05" customHeight="1">
      <c r="A182" s="1855"/>
      <c r="B182" s="1855"/>
      <c r="C182" s="1855"/>
      <c r="D182" s="1855"/>
      <c r="E182" s="1855"/>
      <c r="F182" s="1464" t="s">
        <v>523</v>
      </c>
      <c r="G182" s="1860"/>
      <c r="H182" s="202"/>
      <c r="I182" s="218"/>
      <c r="J182" s="3123">
        <f>SUM(J183:J186)</f>
        <v>10000000</v>
      </c>
      <c r="K182" s="3123">
        <f t="shared" ref="K182:P182" si="46">SUM(K183:K186)</f>
        <v>42289500</v>
      </c>
      <c r="L182" s="3123">
        <f t="shared" si="46"/>
        <v>0</v>
      </c>
      <c r="M182" s="3123">
        <f t="shared" si="46"/>
        <v>0</v>
      </c>
      <c r="N182" s="3123">
        <f t="shared" si="46"/>
        <v>0</v>
      </c>
      <c r="O182" s="3123">
        <f t="shared" si="46"/>
        <v>0</v>
      </c>
      <c r="P182" s="3123">
        <f t="shared" si="46"/>
        <v>0</v>
      </c>
      <c r="Q182" s="3182">
        <f t="shared" si="43"/>
        <v>0</v>
      </c>
      <c r="R182" s="3601">
        <v>0</v>
      </c>
      <c r="S182" s="3710"/>
      <c r="T182" s="3829"/>
      <c r="U182" s="3771"/>
      <c r="V182" s="1846">
        <f t="shared" si="45"/>
        <v>0</v>
      </c>
    </row>
    <row r="183" spans="1:22" s="257" customFormat="1" ht="15.05" customHeight="1">
      <c r="A183" s="1855"/>
      <c r="B183" s="1855"/>
      <c r="C183" s="1855"/>
      <c r="D183" s="1855"/>
      <c r="E183" s="1855"/>
      <c r="F183" s="1857" t="s">
        <v>50</v>
      </c>
      <c r="G183" s="1858"/>
      <c r="H183" s="200" t="s">
        <v>540</v>
      </c>
      <c r="I183" s="217"/>
      <c r="J183" s="3193" t="s">
        <v>50</v>
      </c>
      <c r="K183" s="3193" t="s">
        <v>50</v>
      </c>
      <c r="L183" s="3125">
        <v>0</v>
      </c>
      <c r="M183" s="3124">
        <v>0</v>
      </c>
      <c r="N183" s="3125">
        <v>0</v>
      </c>
      <c r="O183" s="3125">
        <v>0</v>
      </c>
      <c r="P183" s="3125">
        <v>0</v>
      </c>
      <c r="Q183" s="3125">
        <f t="shared" si="43"/>
        <v>0</v>
      </c>
      <c r="R183" s="3605">
        <v>0</v>
      </c>
      <c r="S183" s="3275"/>
      <c r="T183" s="3826"/>
      <c r="U183" s="3771"/>
      <c r="V183" s="1846">
        <f t="shared" si="45"/>
        <v>0</v>
      </c>
    </row>
    <row r="184" spans="1:22" s="257" customFormat="1" ht="15.05" customHeight="1">
      <c r="A184" s="1855"/>
      <c r="B184" s="1855"/>
      <c r="C184" s="1855"/>
      <c r="D184" s="1855"/>
      <c r="E184" s="1855"/>
      <c r="F184" s="1857" t="s">
        <v>50</v>
      </c>
      <c r="G184" s="1858"/>
      <c r="H184" s="200" t="s">
        <v>541</v>
      </c>
      <c r="I184" s="217"/>
      <c r="J184" s="3193" t="s">
        <v>50</v>
      </c>
      <c r="K184" s="3193" t="s">
        <v>50</v>
      </c>
      <c r="L184" s="3125">
        <v>0</v>
      </c>
      <c r="M184" s="3124">
        <v>0</v>
      </c>
      <c r="N184" s="3125">
        <v>0</v>
      </c>
      <c r="O184" s="3125">
        <v>0</v>
      </c>
      <c r="P184" s="3125">
        <v>0</v>
      </c>
      <c r="Q184" s="3125">
        <f t="shared" si="43"/>
        <v>0</v>
      </c>
      <c r="R184" s="3605">
        <v>0</v>
      </c>
      <c r="S184" s="3275"/>
      <c r="T184" s="3826"/>
      <c r="U184" s="3771"/>
      <c r="V184" s="1846">
        <f t="shared" si="45"/>
        <v>0</v>
      </c>
    </row>
    <row r="185" spans="1:22" s="257" customFormat="1" ht="15.05" customHeight="1">
      <c r="A185" s="1855"/>
      <c r="B185" s="1855"/>
      <c r="C185" s="1855"/>
      <c r="D185" s="1855"/>
      <c r="E185" s="1855"/>
      <c r="F185" s="1857" t="s">
        <v>50</v>
      </c>
      <c r="G185" s="1858"/>
      <c r="H185" s="200" t="s">
        <v>542</v>
      </c>
      <c r="I185" s="217"/>
      <c r="J185" s="3193" t="s">
        <v>50</v>
      </c>
      <c r="K185" s="3193" t="s">
        <v>50</v>
      </c>
      <c r="L185" s="3125">
        <v>0</v>
      </c>
      <c r="M185" s="3124">
        <v>0</v>
      </c>
      <c r="N185" s="3125">
        <v>0</v>
      </c>
      <c r="O185" s="3125">
        <v>0</v>
      </c>
      <c r="P185" s="3125">
        <v>0</v>
      </c>
      <c r="Q185" s="3125">
        <f t="shared" si="43"/>
        <v>0</v>
      </c>
      <c r="R185" s="3605">
        <v>0</v>
      </c>
      <c r="S185" s="3275"/>
      <c r="T185" s="3826"/>
      <c r="U185" s="3771"/>
      <c r="V185" s="1846">
        <f t="shared" si="45"/>
        <v>0</v>
      </c>
    </row>
    <row r="186" spans="1:22" s="257" customFormat="1" ht="15.05" customHeight="1">
      <c r="A186" s="1855"/>
      <c r="B186" s="1855"/>
      <c r="C186" s="1855"/>
      <c r="D186" s="1855"/>
      <c r="E186" s="1855"/>
      <c r="F186" s="1857" t="s">
        <v>50</v>
      </c>
      <c r="G186" s="1858"/>
      <c r="H186" s="200" t="s">
        <v>543</v>
      </c>
      <c r="I186" s="217"/>
      <c r="J186" s="3193">
        <v>10000000</v>
      </c>
      <c r="K186" s="3193">
        <v>42289500</v>
      </c>
      <c r="L186" s="3125">
        <v>0</v>
      </c>
      <c r="M186" s="3124">
        <v>0</v>
      </c>
      <c r="N186" s="3125">
        <v>0</v>
      </c>
      <c r="O186" s="3125">
        <v>0</v>
      </c>
      <c r="P186" s="3125">
        <v>0</v>
      </c>
      <c r="Q186" s="3125">
        <f t="shared" si="43"/>
        <v>0</v>
      </c>
      <c r="R186" s="3605">
        <v>0</v>
      </c>
      <c r="S186" s="3275"/>
      <c r="T186" s="3826"/>
      <c r="U186" s="3771"/>
      <c r="V186" s="1846">
        <f t="shared" si="45"/>
        <v>0</v>
      </c>
    </row>
    <row r="187" spans="1:22" s="257" customFormat="1" ht="15.05" customHeight="1">
      <c r="A187" s="1855"/>
      <c r="B187" s="1855"/>
      <c r="C187" s="1855"/>
      <c r="D187" s="1855"/>
      <c r="E187" s="1855"/>
      <c r="F187" s="1464" t="s">
        <v>544</v>
      </c>
      <c r="G187" s="1860"/>
      <c r="H187" s="202"/>
      <c r="I187" s="218"/>
      <c r="J187" s="3123">
        <f t="shared" ref="J187:P187" si="47">SUM(J188:J194)</f>
        <v>219000000</v>
      </c>
      <c r="K187" s="3123">
        <f t="shared" si="47"/>
        <v>502760530</v>
      </c>
      <c r="L187" s="3123">
        <f t="shared" si="47"/>
        <v>219000000</v>
      </c>
      <c r="M187" s="3123">
        <f t="shared" si="47"/>
        <v>858050</v>
      </c>
      <c r="N187" s="3123">
        <f t="shared" si="47"/>
        <v>0</v>
      </c>
      <c r="O187" s="3123">
        <f t="shared" si="47"/>
        <v>858050</v>
      </c>
      <c r="P187" s="3123">
        <f t="shared" si="47"/>
        <v>219000000</v>
      </c>
      <c r="Q187" s="3182">
        <f t="shared" si="43"/>
        <v>0</v>
      </c>
      <c r="R187" s="3601">
        <f>+P187/L187*100-100</f>
        <v>0</v>
      </c>
      <c r="S187" s="3710"/>
      <c r="T187" s="3829"/>
      <c r="U187" s="3771"/>
      <c r="V187" s="1846">
        <f t="shared" si="45"/>
        <v>3432200</v>
      </c>
    </row>
    <row r="188" spans="1:22" s="1538" customFormat="1" ht="15.05" customHeight="1">
      <c r="A188" s="1855"/>
      <c r="B188" s="1855"/>
      <c r="C188" s="1855"/>
      <c r="D188" s="1855"/>
      <c r="E188" s="1855"/>
      <c r="F188" s="1857" t="s">
        <v>50</v>
      </c>
      <c r="G188" s="1858"/>
      <c r="H188" s="200" t="str">
        <f>MAR!I649</f>
        <v>Penj. Sapi fetening</v>
      </c>
      <c r="I188" s="217"/>
      <c r="J188" s="3171">
        <v>0</v>
      </c>
      <c r="K188" s="3171">
        <v>777000</v>
      </c>
      <c r="L188" s="3125">
        <v>0</v>
      </c>
      <c r="M188" s="3124">
        <v>0</v>
      </c>
      <c r="N188" s="3125">
        <v>0</v>
      </c>
      <c r="O188" s="3125">
        <v>0</v>
      </c>
      <c r="P188" s="3125">
        <v>0</v>
      </c>
      <c r="Q188" s="3125">
        <f t="shared" si="43"/>
        <v>0</v>
      </c>
      <c r="R188" s="3605">
        <v>0</v>
      </c>
      <c r="S188" s="3275"/>
      <c r="T188" s="3826"/>
      <c r="U188" s="3771"/>
      <c r="V188" s="1846">
        <f t="shared" si="45"/>
        <v>0</v>
      </c>
    </row>
    <row r="189" spans="1:22" s="1538" customFormat="1" ht="15.05" customHeight="1">
      <c r="A189" s="1855"/>
      <c r="B189" s="1855"/>
      <c r="C189" s="1855"/>
      <c r="D189" s="1855"/>
      <c r="E189" s="1855"/>
      <c r="F189" s="1857" t="s">
        <v>50</v>
      </c>
      <c r="G189" s="1858"/>
      <c r="H189" s="200" t="str">
        <f>MAR!I650</f>
        <v>Inseminasi buatan BLPKH Banyumulek</v>
      </c>
      <c r="I189" s="217"/>
      <c r="J189" s="3171">
        <v>75000000</v>
      </c>
      <c r="K189" s="3171">
        <v>76523650</v>
      </c>
      <c r="L189" s="3125">
        <v>75000000</v>
      </c>
      <c r="M189" s="3124">
        <v>858050</v>
      </c>
      <c r="N189" s="3125">
        <v>0</v>
      </c>
      <c r="O189" s="3125">
        <v>858050</v>
      </c>
      <c r="P189" s="3125">
        <v>75000000</v>
      </c>
      <c r="Q189" s="3125">
        <f t="shared" si="43"/>
        <v>0</v>
      </c>
      <c r="R189" s="3605">
        <f>+P189/L189*100-100</f>
        <v>0</v>
      </c>
      <c r="S189" s="3275"/>
      <c r="T189" s="3826"/>
      <c r="U189" s="3771"/>
      <c r="V189" s="1846">
        <f t="shared" si="45"/>
        <v>3432200</v>
      </c>
    </row>
    <row r="190" spans="1:22" s="1538" customFormat="1" ht="15.05" customHeight="1">
      <c r="A190" s="1855"/>
      <c r="B190" s="1855"/>
      <c r="C190" s="1855"/>
      <c r="D190" s="1855"/>
      <c r="E190" s="1855"/>
      <c r="F190" s="1857" t="s">
        <v>50</v>
      </c>
      <c r="G190" s="1858"/>
      <c r="H190" s="200" t="str">
        <f>MAR!I651</f>
        <v>Penj. HMT BPTHMT Serading Sumbawa</v>
      </c>
      <c r="I190" s="217"/>
      <c r="J190" s="3171">
        <v>19000000</v>
      </c>
      <c r="K190" s="3171">
        <v>58119880</v>
      </c>
      <c r="L190" s="3125">
        <v>19000000</v>
      </c>
      <c r="M190" s="3124">
        <v>0</v>
      </c>
      <c r="N190" s="3125">
        <v>0</v>
      </c>
      <c r="O190" s="3125">
        <v>0</v>
      </c>
      <c r="P190" s="3125">
        <v>19000000</v>
      </c>
      <c r="Q190" s="3125">
        <f t="shared" si="43"/>
        <v>0</v>
      </c>
      <c r="R190" s="3605">
        <f>+P190/L190*100-100</f>
        <v>0</v>
      </c>
      <c r="S190" s="3275"/>
      <c r="T190" s="3826"/>
      <c r="U190" s="3771"/>
      <c r="V190" s="1846">
        <f t="shared" si="45"/>
        <v>0</v>
      </c>
    </row>
    <row r="191" spans="1:22" s="1538" customFormat="1" ht="15.05" customHeight="1">
      <c r="A191" s="1855"/>
      <c r="B191" s="1855"/>
      <c r="C191" s="1855"/>
      <c r="D191" s="1855"/>
      <c r="E191" s="1855"/>
      <c r="F191" s="1857" t="s">
        <v>50</v>
      </c>
      <c r="G191" s="1858"/>
      <c r="H191" s="200" t="str">
        <f>MAR!I652</f>
        <v>Penj.Ternak tdk layak bibit Serading</v>
      </c>
      <c r="I191" s="217"/>
      <c r="J191" s="3171">
        <v>125000000</v>
      </c>
      <c r="K191" s="3171">
        <v>367340000</v>
      </c>
      <c r="L191" s="3125">
        <v>125000000</v>
      </c>
      <c r="M191" s="3124">
        <v>0</v>
      </c>
      <c r="N191" s="3125">
        <v>0</v>
      </c>
      <c r="O191" s="3125">
        <v>0</v>
      </c>
      <c r="P191" s="3125">
        <v>125000000</v>
      </c>
      <c r="Q191" s="3125">
        <f t="shared" si="43"/>
        <v>0</v>
      </c>
      <c r="R191" s="3605">
        <f>+P191/L191*100-100</f>
        <v>0</v>
      </c>
      <c r="S191" s="3275"/>
      <c r="T191" s="3826"/>
      <c r="U191" s="3771"/>
      <c r="V191" s="1846">
        <f t="shared" si="45"/>
        <v>0</v>
      </c>
    </row>
    <row r="192" spans="1:22" s="1538" customFormat="1" ht="15.05" customHeight="1">
      <c r="A192" s="1855"/>
      <c r="B192" s="1855"/>
      <c r="C192" s="1855"/>
      <c r="D192" s="1855"/>
      <c r="E192" s="1855"/>
      <c r="F192" s="1857" t="s">
        <v>50</v>
      </c>
      <c r="G192" s="1858"/>
      <c r="H192" s="200" t="str">
        <f>MAR!I653</f>
        <v xml:space="preserve">Penj. Susu &amp; Sapi perah non produktif BIB </v>
      </c>
      <c r="I192" s="217"/>
      <c r="J192" s="3193" t="s">
        <v>50</v>
      </c>
      <c r="K192" s="3193" t="s">
        <v>50</v>
      </c>
      <c r="L192" s="3125">
        <v>0</v>
      </c>
      <c r="M192" s="3124">
        <v>0</v>
      </c>
      <c r="N192" s="3125">
        <v>0</v>
      </c>
      <c r="O192" s="3125">
        <v>0</v>
      </c>
      <c r="P192" s="3125">
        <v>0</v>
      </c>
      <c r="Q192" s="3125">
        <f t="shared" si="43"/>
        <v>0</v>
      </c>
      <c r="R192" s="3605">
        <v>0</v>
      </c>
      <c r="S192" s="3275"/>
      <c r="T192" s="3826"/>
      <c r="U192" s="3771"/>
      <c r="V192" s="1846">
        <f t="shared" si="45"/>
        <v>0</v>
      </c>
    </row>
    <row r="193" spans="1:22" s="1538" customFormat="1" ht="15.05" customHeight="1">
      <c r="A193" s="1855"/>
      <c r="B193" s="1855"/>
      <c r="C193" s="1855"/>
      <c r="D193" s="1855"/>
      <c r="E193" s="1855"/>
      <c r="F193" s="1857" t="s">
        <v>50</v>
      </c>
      <c r="G193" s="1858"/>
      <c r="H193" s="200" t="str">
        <f>MAR!I654</f>
        <v>Penj. Ayam Pedaging BIB Banyumulek</v>
      </c>
      <c r="I193" s="217"/>
      <c r="J193" s="3193" t="s">
        <v>50</v>
      </c>
      <c r="K193" s="3193" t="s">
        <v>50</v>
      </c>
      <c r="L193" s="3125">
        <v>0</v>
      </c>
      <c r="M193" s="3124">
        <v>0</v>
      </c>
      <c r="N193" s="3125">
        <v>0</v>
      </c>
      <c r="O193" s="3125">
        <v>0</v>
      </c>
      <c r="P193" s="3125">
        <v>0</v>
      </c>
      <c r="Q193" s="3125">
        <f t="shared" si="43"/>
        <v>0</v>
      </c>
      <c r="R193" s="3605">
        <v>0</v>
      </c>
      <c r="S193" s="3275"/>
      <c r="T193" s="3826"/>
      <c r="U193" s="3771"/>
      <c r="V193" s="1846">
        <f t="shared" si="45"/>
        <v>0</v>
      </c>
    </row>
    <row r="194" spans="1:22" s="1538" customFormat="1" ht="15.05" customHeight="1">
      <c r="A194" s="1855"/>
      <c r="B194" s="1855"/>
      <c r="C194" s="1855"/>
      <c r="D194" s="1855"/>
      <c r="E194" s="1855"/>
      <c r="F194" s="1857" t="s">
        <v>50</v>
      </c>
      <c r="G194" s="1858"/>
      <c r="H194" s="200" t="str">
        <f>MAR!I655</f>
        <v>Penj. Daging RPH Banyumulek</v>
      </c>
      <c r="I194" s="217"/>
      <c r="J194" s="3193" t="s">
        <v>50</v>
      </c>
      <c r="K194" s="3193" t="s">
        <v>50</v>
      </c>
      <c r="L194" s="3125">
        <v>0</v>
      </c>
      <c r="M194" s="3124">
        <v>0</v>
      </c>
      <c r="N194" s="3125">
        <v>0</v>
      </c>
      <c r="O194" s="3125">
        <v>0</v>
      </c>
      <c r="P194" s="3125">
        <v>0</v>
      </c>
      <c r="Q194" s="3125">
        <f t="shared" si="43"/>
        <v>0</v>
      </c>
      <c r="R194" s="3605">
        <v>0</v>
      </c>
      <c r="S194" s="3275"/>
      <c r="T194" s="3826"/>
      <c r="U194" s="3771"/>
      <c r="V194" s="1846">
        <f t="shared" si="45"/>
        <v>0</v>
      </c>
    </row>
    <row r="195" spans="1:22" s="1538" customFormat="1" ht="15.05" customHeight="1">
      <c r="A195" s="1855"/>
      <c r="B195" s="1855"/>
      <c r="C195" s="1855"/>
      <c r="D195" s="1855"/>
      <c r="E195" s="1855"/>
      <c r="F195" s="1464" t="s">
        <v>528</v>
      </c>
      <c r="G195" s="1860"/>
      <c r="H195" s="202"/>
      <c r="I195" s="218"/>
      <c r="J195" s="3123">
        <f>SUM(J196:J202)</f>
        <v>820000000</v>
      </c>
      <c r="K195" s="3123">
        <f t="shared" ref="K195:P195" si="48">SUM(K196:K202)</f>
        <v>890941000</v>
      </c>
      <c r="L195" s="3123">
        <f>SUM(L196:L202)</f>
        <v>820000000</v>
      </c>
      <c r="M195" s="3123">
        <f t="shared" si="48"/>
        <v>55399500</v>
      </c>
      <c r="N195" s="3123">
        <f t="shared" si="48"/>
        <v>120244500</v>
      </c>
      <c r="O195" s="3123">
        <f t="shared" si="48"/>
        <v>175644000</v>
      </c>
      <c r="P195" s="3123">
        <f t="shared" si="48"/>
        <v>820000000</v>
      </c>
      <c r="Q195" s="3182">
        <f t="shared" si="43"/>
        <v>0</v>
      </c>
      <c r="R195" s="3601">
        <f>+P195/L195*100-100</f>
        <v>0</v>
      </c>
      <c r="S195" s="3731"/>
      <c r="T195" s="3829"/>
      <c r="U195" s="3781">
        <f>SUM(U196:U202)</f>
        <v>0</v>
      </c>
      <c r="V195" s="1846">
        <f t="shared" si="45"/>
        <v>702576000</v>
      </c>
    </row>
    <row r="196" spans="1:22" s="1538" customFormat="1" ht="15.05" customHeight="1">
      <c r="A196" s="1855"/>
      <c r="B196" s="1855"/>
      <c r="C196" s="1855"/>
      <c r="D196" s="1855"/>
      <c r="E196" s="1855"/>
      <c r="F196" s="1857" t="s">
        <v>50</v>
      </c>
      <c r="G196" s="1858"/>
      <c r="H196" s="200" t="str">
        <f>MAR!I688</f>
        <v>BPBIAT Aikmel</v>
      </c>
      <c r="I196" s="217"/>
      <c r="J196" s="3171">
        <v>190000000</v>
      </c>
      <c r="K196" s="3171">
        <v>185000000</v>
      </c>
      <c r="L196" s="3125">
        <v>190000000</v>
      </c>
      <c r="M196" s="3124">
        <v>30000000</v>
      </c>
      <c r="N196" s="3125">
        <v>19500000</v>
      </c>
      <c r="O196" s="3125">
        <v>49500000</v>
      </c>
      <c r="P196" s="3125">
        <v>190000000</v>
      </c>
      <c r="Q196" s="3125">
        <f t="shared" si="43"/>
        <v>0</v>
      </c>
      <c r="R196" s="3605">
        <f>+P196/L196*100-100</f>
        <v>0</v>
      </c>
      <c r="S196" s="3275"/>
      <c r="T196" s="3826"/>
      <c r="U196" s="3771"/>
      <c r="V196" s="1846">
        <f t="shared" si="45"/>
        <v>198000000</v>
      </c>
    </row>
    <row r="197" spans="1:22" s="1538" customFormat="1" ht="15.05" customHeight="1">
      <c r="A197" s="1855"/>
      <c r="B197" s="1855"/>
      <c r="C197" s="1855"/>
      <c r="D197" s="1855"/>
      <c r="E197" s="1855"/>
      <c r="F197" s="1857" t="s">
        <v>50</v>
      </c>
      <c r="G197" s="1858"/>
      <c r="H197" s="200" t="str">
        <f>MAR!I689</f>
        <v>BBI Batu kumbung</v>
      </c>
      <c r="I197" s="217"/>
      <c r="J197" s="3171">
        <v>160000000</v>
      </c>
      <c r="K197" s="3171">
        <v>160153500</v>
      </c>
      <c r="L197" s="3125">
        <v>160000000</v>
      </c>
      <c r="M197" s="3124">
        <v>6528500</v>
      </c>
      <c r="N197" s="3125">
        <v>15425500</v>
      </c>
      <c r="O197" s="3125">
        <v>21954000</v>
      </c>
      <c r="P197" s="3125">
        <v>160000000</v>
      </c>
      <c r="Q197" s="3125">
        <f t="shared" si="43"/>
        <v>0</v>
      </c>
      <c r="R197" s="3605">
        <f>+P197/L197*100-100</f>
        <v>0</v>
      </c>
      <c r="S197" s="3275"/>
      <c r="T197" s="3826"/>
      <c r="U197" s="3771"/>
      <c r="V197" s="1846">
        <f t="shared" si="45"/>
        <v>87816000</v>
      </c>
    </row>
    <row r="198" spans="1:22" s="1538" customFormat="1" ht="15.05" customHeight="1">
      <c r="A198" s="1855"/>
      <c r="B198" s="1855"/>
      <c r="C198" s="1855"/>
      <c r="D198" s="1855"/>
      <c r="E198" s="1855"/>
      <c r="F198" s="1857" t="s">
        <v>50</v>
      </c>
      <c r="G198" s="1858"/>
      <c r="H198" s="200" t="str">
        <f>MAR!I690</f>
        <v>BBI Lingsar</v>
      </c>
      <c r="I198" s="217"/>
      <c r="J198" s="3171">
        <v>90000000</v>
      </c>
      <c r="K198" s="3171">
        <v>90772500</v>
      </c>
      <c r="L198" s="3125">
        <v>90000000</v>
      </c>
      <c r="M198" s="3124">
        <v>16191000</v>
      </c>
      <c r="N198" s="3125">
        <v>11950000</v>
      </c>
      <c r="O198" s="3125">
        <v>28141000</v>
      </c>
      <c r="P198" s="3125">
        <v>90000000</v>
      </c>
      <c r="Q198" s="3125">
        <f t="shared" si="43"/>
        <v>0</v>
      </c>
      <c r="R198" s="3605">
        <f>+P198/L198*100-100</f>
        <v>0</v>
      </c>
      <c r="S198" s="3275"/>
      <c r="T198" s="3826"/>
      <c r="U198" s="3771"/>
      <c r="V198" s="1846">
        <f t="shared" si="45"/>
        <v>112564000</v>
      </c>
    </row>
    <row r="199" spans="1:22" s="1538" customFormat="1" ht="15.05" customHeight="1">
      <c r="A199" s="1855"/>
      <c r="B199" s="1855"/>
      <c r="C199" s="1855"/>
      <c r="D199" s="1855"/>
      <c r="E199" s="1855"/>
      <c r="F199" s="1857" t="s">
        <v>50</v>
      </c>
      <c r="G199" s="1858"/>
      <c r="H199" s="200" t="str">
        <f>MAR!I691</f>
        <v>Matua</v>
      </c>
      <c r="I199" s="217"/>
      <c r="J199" s="3193" t="s">
        <v>50</v>
      </c>
      <c r="K199" s="3193" t="s">
        <v>50</v>
      </c>
      <c r="L199" s="3125">
        <v>0</v>
      </c>
      <c r="M199" s="3124">
        <v>0</v>
      </c>
      <c r="N199" s="3125">
        <v>0</v>
      </c>
      <c r="O199" s="3125">
        <v>0</v>
      </c>
      <c r="P199" s="3125">
        <v>0</v>
      </c>
      <c r="Q199" s="3125">
        <f t="shared" si="43"/>
        <v>0</v>
      </c>
      <c r="R199" s="3605">
        <v>0</v>
      </c>
      <c r="S199" s="3275"/>
      <c r="T199" s="3826"/>
      <c r="U199" s="3771"/>
      <c r="V199" s="1846">
        <f t="shared" si="45"/>
        <v>0</v>
      </c>
    </row>
    <row r="200" spans="1:22" s="1538" customFormat="1" ht="15.05" customHeight="1">
      <c r="A200" s="1855"/>
      <c r="B200" s="1855"/>
      <c r="C200" s="1855"/>
      <c r="D200" s="1855"/>
      <c r="E200" s="1855"/>
      <c r="F200" s="1857" t="s">
        <v>50</v>
      </c>
      <c r="G200" s="1858"/>
      <c r="H200" s="200" t="str">
        <f>MAR!I692</f>
        <v>BBI Rade Bima</v>
      </c>
      <c r="I200" s="217"/>
      <c r="J200" s="3171">
        <v>15000000</v>
      </c>
      <c r="K200" s="3193">
        <v>15000000</v>
      </c>
      <c r="L200" s="3125">
        <v>15000000</v>
      </c>
      <c r="M200" s="3124">
        <v>1200000</v>
      </c>
      <c r="N200" s="3125">
        <v>1400000</v>
      </c>
      <c r="O200" s="3125">
        <v>2600000</v>
      </c>
      <c r="P200" s="3125">
        <v>15000000</v>
      </c>
      <c r="Q200" s="3125">
        <f t="shared" si="43"/>
        <v>0</v>
      </c>
      <c r="R200" s="3605">
        <f>+P200/L200*100-100</f>
        <v>0</v>
      </c>
      <c r="S200" s="3275"/>
      <c r="T200" s="3826"/>
      <c r="U200" s="3771"/>
      <c r="V200" s="1846">
        <f t="shared" si="45"/>
        <v>10400000</v>
      </c>
    </row>
    <row r="201" spans="1:22" s="1538" customFormat="1" ht="15.05" customHeight="1">
      <c r="A201" s="1855"/>
      <c r="B201" s="1855"/>
      <c r="C201" s="1855"/>
      <c r="D201" s="1855"/>
      <c r="E201" s="1855"/>
      <c r="F201" s="1857" t="s">
        <v>50</v>
      </c>
      <c r="G201" s="1858"/>
      <c r="H201" s="200" t="str">
        <f>MAR!I693</f>
        <v>BBI Taliwang</v>
      </c>
      <c r="I201" s="217"/>
      <c r="J201" s="3171">
        <v>30000000</v>
      </c>
      <c r="K201" s="3193">
        <v>4000000</v>
      </c>
      <c r="L201" s="3125">
        <v>30000000</v>
      </c>
      <c r="M201" s="3124">
        <v>1480000</v>
      </c>
      <c r="N201" s="3125">
        <v>569000</v>
      </c>
      <c r="O201" s="3125">
        <v>2049000</v>
      </c>
      <c r="P201" s="3125">
        <v>30000000</v>
      </c>
      <c r="Q201" s="3125">
        <f t="shared" si="43"/>
        <v>0</v>
      </c>
      <c r="R201" s="3605">
        <f>+P201/L201*100-100</f>
        <v>0</v>
      </c>
      <c r="S201" s="3275"/>
      <c r="T201" s="3826"/>
      <c r="U201" s="3771"/>
      <c r="V201" s="1846">
        <f t="shared" si="45"/>
        <v>8196000</v>
      </c>
    </row>
    <row r="202" spans="1:22" s="1538" customFormat="1" ht="15.05" customHeight="1">
      <c r="A202" s="1855"/>
      <c r="B202" s="1855"/>
      <c r="C202" s="1855"/>
      <c r="D202" s="1855"/>
      <c r="E202" s="1855"/>
      <c r="F202" s="1857" t="s">
        <v>50</v>
      </c>
      <c r="G202" s="1858"/>
      <c r="H202" s="200" t="str">
        <f>MAR!I694</f>
        <v>BPBPP Sekotong</v>
      </c>
      <c r="I202" s="217"/>
      <c r="J202" s="3171">
        <v>335000000</v>
      </c>
      <c r="K202" s="3193">
        <v>436015000</v>
      </c>
      <c r="L202" s="3125">
        <v>335000000</v>
      </c>
      <c r="M202" s="3124">
        <v>0</v>
      </c>
      <c r="N202" s="3125">
        <v>71400000</v>
      </c>
      <c r="O202" s="3125">
        <v>71400000</v>
      </c>
      <c r="P202" s="3125">
        <v>335000000</v>
      </c>
      <c r="Q202" s="3125">
        <f t="shared" si="43"/>
        <v>0</v>
      </c>
      <c r="R202" s="3605">
        <f>+P202/L202*100-100</f>
        <v>0</v>
      </c>
      <c r="S202" s="3748"/>
      <c r="T202" s="3826"/>
      <c r="U202" s="3778">
        <f>PerDinas!Q947</f>
        <v>0</v>
      </c>
      <c r="V202" s="1846">
        <f t="shared" si="45"/>
        <v>285600000</v>
      </c>
    </row>
    <row r="203" spans="1:22" s="1538" customFormat="1" ht="15.05" customHeight="1">
      <c r="A203" s="3573"/>
      <c r="B203" s="3573"/>
      <c r="C203" s="3573"/>
      <c r="D203" s="3573"/>
      <c r="E203" s="3573"/>
      <c r="F203" s="3574"/>
      <c r="G203" s="3581"/>
      <c r="H203" s="3575"/>
      <c r="I203" s="3582"/>
      <c r="J203" s="3577"/>
      <c r="K203" s="3583"/>
      <c r="L203" s="3578"/>
      <c r="M203" s="3579"/>
      <c r="N203" s="3578"/>
      <c r="O203" s="3578"/>
      <c r="P203" s="3578"/>
      <c r="Q203" s="3578"/>
      <c r="R203" s="3615"/>
      <c r="S203" s="3709"/>
      <c r="T203" s="3828"/>
      <c r="U203" s="3771"/>
      <c r="V203" s="1846">
        <f t="shared" si="45"/>
        <v>0</v>
      </c>
    </row>
    <row r="204" spans="1:22" s="2945" customFormat="1" ht="15.05" customHeight="1">
      <c r="A204" s="3053">
        <v>4</v>
      </c>
      <c r="B204" s="3054">
        <v>1</v>
      </c>
      <c r="C204" s="3054">
        <v>2</v>
      </c>
      <c r="D204" s="3054" t="s">
        <v>440</v>
      </c>
      <c r="E204" s="3054"/>
      <c r="F204" s="3056" t="s">
        <v>545</v>
      </c>
      <c r="G204" s="3057"/>
      <c r="H204" s="3064"/>
      <c r="I204" s="3065"/>
      <c r="J204" s="3202">
        <f>+J205+J210+J213</f>
        <v>1648889500</v>
      </c>
      <c r="K204" s="3202">
        <f>+K205+K210+K213</f>
        <v>1761141600</v>
      </c>
      <c r="L204" s="3178">
        <f>+L205+L210+L213</f>
        <v>1648889500</v>
      </c>
      <c r="M204" s="3179">
        <v>323745000</v>
      </c>
      <c r="N204" s="3178">
        <f>+N205+N210+N213</f>
        <v>153560000</v>
      </c>
      <c r="O204" s="3178">
        <f>+O205+O210+O213</f>
        <v>477305000</v>
      </c>
      <c r="P204" s="3178">
        <f>+P205+P210+P213</f>
        <v>1843889500</v>
      </c>
      <c r="Q204" s="3178">
        <f>+Q205+Q210+Q213</f>
        <v>195000000</v>
      </c>
      <c r="R204" s="3613">
        <f>+P204/L204*100-100</f>
        <v>11.826141169556848</v>
      </c>
      <c r="S204" s="3700"/>
      <c r="T204" s="3818"/>
      <c r="U204" s="3773"/>
      <c r="V204" s="2944">
        <f t="shared" si="45"/>
        <v>1909220000</v>
      </c>
    </row>
    <row r="205" spans="1:22" s="2932" customFormat="1" ht="15.05" customHeight="1">
      <c r="A205" s="3047">
        <v>4</v>
      </c>
      <c r="B205" s="3047">
        <v>1</v>
      </c>
      <c r="C205" s="3047">
        <v>2</v>
      </c>
      <c r="D205" s="3047" t="s">
        <v>440</v>
      </c>
      <c r="E205" s="3047" t="s">
        <v>437</v>
      </c>
      <c r="F205" s="3048" t="s">
        <v>117</v>
      </c>
      <c r="G205" s="3049"/>
      <c r="H205" s="3050"/>
      <c r="I205" s="3051"/>
      <c r="J205" s="3441">
        <f>SUM(J206:J208)</f>
        <v>193889500</v>
      </c>
      <c r="K205" s="3442">
        <f>SUM(K206:K208)</f>
        <v>122160000</v>
      </c>
      <c r="L205" s="3163">
        <f>SUM(L206:L209)</f>
        <v>193889500</v>
      </c>
      <c r="M205" s="3164">
        <v>3165000</v>
      </c>
      <c r="N205" s="3163">
        <f>SUM(N206:N209)</f>
        <v>25400000</v>
      </c>
      <c r="O205" s="3163">
        <f>N205+M205</f>
        <v>28565000</v>
      </c>
      <c r="P205" s="3163">
        <f>SUM(P206:P208)</f>
        <v>193889500</v>
      </c>
      <c r="Q205" s="3163">
        <f>+P205-L205</f>
        <v>0</v>
      </c>
      <c r="R205" s="3610">
        <f>+P205/L205*100-100</f>
        <v>0</v>
      </c>
      <c r="S205" s="3714"/>
      <c r="T205" s="3833"/>
      <c r="U205" s="3784"/>
      <c r="V205" s="2931">
        <f t="shared" si="45"/>
        <v>114260000</v>
      </c>
    </row>
    <row r="206" spans="1:22" s="1538" customFormat="1" ht="15.05" customHeight="1">
      <c r="A206" s="1855"/>
      <c r="B206" s="1855"/>
      <c r="C206" s="1855"/>
      <c r="D206" s="1855"/>
      <c r="E206" s="1855"/>
      <c r="F206" s="1857" t="s">
        <v>50</v>
      </c>
      <c r="G206" s="1858"/>
      <c r="H206" s="200" t="s">
        <v>546</v>
      </c>
      <c r="I206" s="217"/>
      <c r="J206" s="3171">
        <v>103889500</v>
      </c>
      <c r="K206" s="3193">
        <v>75250000</v>
      </c>
      <c r="L206" s="3125">
        <f>MAR!J158</f>
        <v>103889500</v>
      </c>
      <c r="M206" s="3124">
        <v>230000</v>
      </c>
      <c r="N206" s="3125">
        <f>MAR!L158</f>
        <v>24900000</v>
      </c>
      <c r="O206" s="3125">
        <f>MAR!M158</f>
        <v>25130000</v>
      </c>
      <c r="P206" s="3125">
        <v>103889500</v>
      </c>
      <c r="Q206" s="3125">
        <f>+P206-L206</f>
        <v>0</v>
      </c>
      <c r="R206" s="3605">
        <f>+P206/L206*100-100</f>
        <v>0</v>
      </c>
      <c r="S206" s="3275"/>
      <c r="T206" s="3826"/>
      <c r="U206" s="3771"/>
      <c r="V206" s="1846">
        <f t="shared" si="45"/>
        <v>100520000</v>
      </c>
    </row>
    <row r="207" spans="1:22" s="1538" customFormat="1" ht="15.05" customHeight="1">
      <c r="A207" s="1855"/>
      <c r="B207" s="1855"/>
      <c r="C207" s="1855"/>
      <c r="D207" s="1855"/>
      <c r="E207" s="1855"/>
      <c r="F207" s="1857" t="s">
        <v>50</v>
      </c>
      <c r="G207" s="1858"/>
      <c r="H207" s="200" t="s">
        <v>547</v>
      </c>
      <c r="I207" s="217"/>
      <c r="J207" s="3171">
        <v>90000000</v>
      </c>
      <c r="K207" s="3193" t="s">
        <v>50</v>
      </c>
      <c r="L207" s="3125">
        <f>MAR!J159</f>
        <v>90000000</v>
      </c>
      <c r="M207" s="3124">
        <v>0</v>
      </c>
      <c r="N207" s="3125">
        <f>MAR!L159</f>
        <v>0</v>
      </c>
      <c r="O207" s="3125">
        <f>MAR!M159</f>
        <v>0</v>
      </c>
      <c r="P207" s="3125">
        <v>90000000</v>
      </c>
      <c r="Q207" s="3125">
        <f>+P207-L207</f>
        <v>0</v>
      </c>
      <c r="R207" s="3605">
        <f>+P207/L207*100-100</f>
        <v>0</v>
      </c>
      <c r="S207" s="3275"/>
      <c r="T207" s="3826"/>
      <c r="U207" s="3771"/>
      <c r="V207" s="1846">
        <f t="shared" si="45"/>
        <v>0</v>
      </c>
    </row>
    <row r="208" spans="1:22" s="1538" customFormat="1" ht="15.05" customHeight="1">
      <c r="A208" s="1855"/>
      <c r="B208" s="1855"/>
      <c r="C208" s="1855"/>
      <c r="D208" s="1855"/>
      <c r="E208" s="1855"/>
      <c r="F208" s="1857" t="s">
        <v>50</v>
      </c>
      <c r="G208" s="1858"/>
      <c r="H208" s="200" t="s">
        <v>548</v>
      </c>
      <c r="I208" s="217"/>
      <c r="J208" s="3193" t="s">
        <v>50</v>
      </c>
      <c r="K208" s="3171">
        <v>46910000</v>
      </c>
      <c r="L208" s="3125">
        <f>MAR!J185</f>
        <v>0</v>
      </c>
      <c r="M208" s="3124">
        <v>2935000</v>
      </c>
      <c r="N208" s="3125">
        <f>MAR!L185</f>
        <v>500000</v>
      </c>
      <c r="O208" s="3125">
        <f>MAR!M185</f>
        <v>3435000</v>
      </c>
      <c r="P208" s="3125">
        <v>0</v>
      </c>
      <c r="Q208" s="3125">
        <f>+P208-L208</f>
        <v>0</v>
      </c>
      <c r="R208" s="3605">
        <v>0</v>
      </c>
      <c r="S208" s="3275"/>
      <c r="T208" s="3826"/>
      <c r="U208" s="3771"/>
      <c r="V208" s="1846">
        <f t="shared" si="45"/>
        <v>13740000</v>
      </c>
    </row>
    <row r="209" spans="1:22" s="1538" customFormat="1" ht="15.05" customHeight="1">
      <c r="A209" s="1855"/>
      <c r="B209" s="1855"/>
      <c r="C209" s="1855"/>
      <c r="D209" s="1855"/>
      <c r="E209" s="1855"/>
      <c r="F209" s="1857"/>
      <c r="G209" s="1858"/>
      <c r="H209" s="200"/>
      <c r="I209" s="217"/>
      <c r="J209" s="3171"/>
      <c r="K209" s="3171"/>
      <c r="L209" s="3125"/>
      <c r="M209" s="3124"/>
      <c r="N209" s="3125"/>
      <c r="O209" s="3125"/>
      <c r="P209" s="3125"/>
      <c r="Q209" s="3125"/>
      <c r="R209" s="3605"/>
      <c r="S209" s="3702"/>
      <c r="T209" s="3820"/>
      <c r="U209" s="3771"/>
      <c r="V209" s="1846">
        <f t="shared" si="45"/>
        <v>0</v>
      </c>
    </row>
    <row r="210" spans="1:22" s="2932" customFormat="1" ht="15.05" customHeight="1">
      <c r="A210" s="2925">
        <v>4</v>
      </c>
      <c r="B210" s="2925">
        <v>1</v>
      </c>
      <c r="C210" s="2925">
        <v>2</v>
      </c>
      <c r="D210" s="2925" t="s">
        <v>440</v>
      </c>
      <c r="E210" s="2925" t="s">
        <v>438</v>
      </c>
      <c r="F210" s="2926" t="s">
        <v>391</v>
      </c>
      <c r="G210" s="2927"/>
      <c r="H210" s="2928"/>
      <c r="I210" s="2929"/>
      <c r="J210" s="3444">
        <f>+J211</f>
        <v>0</v>
      </c>
      <c r="K210" s="3444">
        <f>+K211</f>
        <v>16404000</v>
      </c>
      <c r="L210" s="3169">
        <f>SUM(L211:L212)</f>
        <v>0</v>
      </c>
      <c r="M210" s="3170">
        <v>0</v>
      </c>
      <c r="N210" s="3169">
        <f>SUM(N211:N212)</f>
        <v>0</v>
      </c>
      <c r="O210" s="3169">
        <f>N210+M210</f>
        <v>0</v>
      </c>
      <c r="P210" s="3169">
        <f>+P211</f>
        <v>0</v>
      </c>
      <c r="Q210" s="3169">
        <f>+P210-L210</f>
        <v>0</v>
      </c>
      <c r="R210" s="3616">
        <v>0</v>
      </c>
      <c r="S210" s="3715"/>
      <c r="T210" s="3834"/>
      <c r="U210" s="3760"/>
      <c r="V210" s="2931">
        <f t="shared" si="45"/>
        <v>0</v>
      </c>
    </row>
    <row r="211" spans="1:22" s="1538" customFormat="1" ht="15.05" customHeight="1">
      <c r="A211" s="1854"/>
      <c r="B211" s="1854"/>
      <c r="C211" s="1854"/>
      <c r="D211" s="1854"/>
      <c r="E211" s="1854"/>
      <c r="F211" s="2829" t="s">
        <v>50</v>
      </c>
      <c r="G211" s="1860"/>
      <c r="H211" s="200" t="s">
        <v>549</v>
      </c>
      <c r="I211" s="218"/>
      <c r="J211" s="3200"/>
      <c r="K211" s="3171">
        <v>16404000</v>
      </c>
      <c r="L211" s="3125">
        <f>MAR!J695</f>
        <v>0</v>
      </c>
      <c r="M211" s="3124">
        <v>0</v>
      </c>
      <c r="N211" s="3125">
        <f>MAR!L695</f>
        <v>0</v>
      </c>
      <c r="O211" s="3125">
        <f>MAR!M695</f>
        <v>0</v>
      </c>
      <c r="P211" s="3125">
        <v>0</v>
      </c>
      <c r="Q211" s="3125">
        <f>+P211-L211</f>
        <v>0</v>
      </c>
      <c r="R211" s="3605">
        <v>0</v>
      </c>
      <c r="S211" s="3275"/>
      <c r="T211" s="3835"/>
      <c r="U211" s="3785"/>
      <c r="V211" s="1846">
        <f t="shared" si="45"/>
        <v>0</v>
      </c>
    </row>
    <row r="212" spans="1:22" s="1538" customFormat="1" ht="15.05" customHeight="1">
      <c r="A212" s="1902"/>
      <c r="B212" s="1902"/>
      <c r="C212" s="1902"/>
      <c r="D212" s="1902"/>
      <c r="E212" s="1902"/>
      <c r="F212" s="2830"/>
      <c r="G212" s="2831"/>
      <c r="H212" s="200"/>
      <c r="I212" s="1907"/>
      <c r="J212" s="3203"/>
      <c r="K212" s="3142"/>
      <c r="L212" s="3174"/>
      <c r="M212" s="3175"/>
      <c r="N212" s="3174"/>
      <c r="O212" s="3174"/>
      <c r="P212" s="3174"/>
      <c r="Q212" s="3174"/>
      <c r="R212" s="3612"/>
      <c r="S212" s="3741"/>
      <c r="T212" s="3828"/>
      <c r="U212" s="3786"/>
      <c r="V212" s="1846">
        <f t="shared" si="45"/>
        <v>0</v>
      </c>
    </row>
    <row r="213" spans="1:22" s="2932" customFormat="1" ht="15.05" customHeight="1">
      <c r="A213" s="3446"/>
      <c r="B213" s="3446"/>
      <c r="C213" s="3446"/>
      <c r="D213" s="3446"/>
      <c r="E213" s="3447" t="s">
        <v>440</v>
      </c>
      <c r="F213" s="3448" t="s">
        <v>550</v>
      </c>
      <c r="G213" s="3448"/>
      <c r="H213" s="3449"/>
      <c r="I213" s="3450"/>
      <c r="J213" s="3451">
        <f>+J214</f>
        <v>1455000000</v>
      </c>
      <c r="K213" s="3451">
        <f>+K214</f>
        <v>1622577600</v>
      </c>
      <c r="L213" s="3452">
        <f>L214</f>
        <v>1455000000</v>
      </c>
      <c r="M213" s="3453">
        <v>320580000</v>
      </c>
      <c r="N213" s="3452">
        <f t="shared" ref="N213:U213" si="49">N214</f>
        <v>128160000</v>
      </c>
      <c r="O213" s="3452">
        <f t="shared" si="49"/>
        <v>448740000</v>
      </c>
      <c r="P213" s="3452">
        <f t="shared" si="49"/>
        <v>1650000000</v>
      </c>
      <c r="Q213" s="3452">
        <f>+P213-L213</f>
        <v>195000000</v>
      </c>
      <c r="R213" s="3617">
        <f>+P213/L213*100-100</f>
        <v>13.402061855670098</v>
      </c>
      <c r="S213" s="3742"/>
      <c r="T213" s="3452"/>
      <c r="U213" s="3787">
        <f t="shared" si="49"/>
        <v>0</v>
      </c>
      <c r="V213" s="2931">
        <f t="shared" si="45"/>
        <v>1794960000</v>
      </c>
    </row>
    <row r="214" spans="1:22" s="1538" customFormat="1" ht="15.05" customHeight="1">
      <c r="A214" s="1902"/>
      <c r="B214" s="1902"/>
      <c r="C214" s="1902"/>
      <c r="D214" s="1902"/>
      <c r="E214" s="2832"/>
      <c r="F214" s="2833" t="s">
        <v>50</v>
      </c>
      <c r="G214" s="2834"/>
      <c r="H214" s="206" t="s">
        <v>551</v>
      </c>
      <c r="I214" s="2835"/>
      <c r="J214" s="3204">
        <v>1455000000</v>
      </c>
      <c r="K214" s="3204">
        <v>1622577600</v>
      </c>
      <c r="L214" s="3205">
        <f>MAR!J221</f>
        <v>1455000000</v>
      </c>
      <c r="M214" s="3205">
        <v>320580000</v>
      </c>
      <c r="N214" s="3205">
        <f>MAR!L221</f>
        <v>128160000</v>
      </c>
      <c r="O214" s="3205">
        <f>MAR!M221</f>
        <v>448740000</v>
      </c>
      <c r="P214" s="3205">
        <v>1650000000</v>
      </c>
      <c r="Q214" s="3205">
        <f>+P214-L214</f>
        <v>195000000</v>
      </c>
      <c r="R214" s="3618">
        <f>+P214/L214*100-100</f>
        <v>13.402061855670098</v>
      </c>
      <c r="S214" s="3743"/>
      <c r="T214" s="3206"/>
      <c r="U214" s="3788">
        <f>PerDinas!Q316</f>
        <v>0</v>
      </c>
      <c r="V214" s="1846">
        <f t="shared" si="45"/>
        <v>1794960000</v>
      </c>
    </row>
    <row r="215" spans="1:22" s="1538" customFormat="1" ht="15.05" customHeight="1">
      <c r="A215" s="3876"/>
      <c r="B215" s="3876"/>
      <c r="C215" s="3876"/>
      <c r="D215" s="3876"/>
      <c r="E215" s="3876"/>
      <c r="F215" s="2836"/>
      <c r="G215" s="2837"/>
      <c r="H215" s="2127"/>
      <c r="I215" s="2838"/>
      <c r="J215" s="3207"/>
      <c r="K215" s="3207"/>
      <c r="L215" s="3208"/>
      <c r="M215" s="3208"/>
      <c r="N215" s="3208"/>
      <c r="O215" s="3208"/>
      <c r="P215" s="3208"/>
      <c r="Q215" s="3208"/>
      <c r="R215" s="3619"/>
      <c r="S215" s="3744"/>
      <c r="T215" s="3836"/>
      <c r="U215" s="3789"/>
      <c r="V215" s="1846"/>
    </row>
    <row r="216" spans="1:22" s="2955" customFormat="1" ht="15.05" customHeight="1">
      <c r="A216" s="2949">
        <v>4</v>
      </c>
      <c r="B216" s="2949">
        <v>1</v>
      </c>
      <c r="C216" s="2949">
        <v>3</v>
      </c>
      <c r="D216" s="2949"/>
      <c r="E216" s="2949"/>
      <c r="F216" s="2950" t="s">
        <v>552</v>
      </c>
      <c r="G216" s="2951"/>
      <c r="H216" s="2952"/>
      <c r="I216" s="2952"/>
      <c r="J216" s="3210">
        <f>+J217</f>
        <v>157964885190</v>
      </c>
      <c r="K216" s="3210">
        <f>+K217</f>
        <v>72827611744</v>
      </c>
      <c r="L216" s="3211">
        <f>+L217+L226</f>
        <v>92558485190</v>
      </c>
      <c r="M216" s="3211">
        <f>+M217+M226</f>
        <v>0</v>
      </c>
      <c r="N216" s="3211">
        <f>+N217+N226</f>
        <v>0</v>
      </c>
      <c r="O216" s="3211">
        <f>+O217+O226</f>
        <v>0</v>
      </c>
      <c r="P216" s="3211">
        <f>+P217+P226</f>
        <v>93009585651</v>
      </c>
      <c r="Q216" s="3867">
        <f>P216-L216</f>
        <v>451100461</v>
      </c>
      <c r="R216" s="3620">
        <f>+P216/L216*100-100</f>
        <v>0.48736802474024898</v>
      </c>
      <c r="S216" s="3745"/>
      <c r="T216" s="3837"/>
      <c r="U216" s="3117"/>
      <c r="V216" s="2954">
        <f t="shared" ref="V216:V279" si="50">O216*4</f>
        <v>0</v>
      </c>
    </row>
    <row r="217" spans="1:22" s="2956" customFormat="1" ht="15.05" customHeight="1">
      <c r="A217" s="3053">
        <v>4</v>
      </c>
      <c r="B217" s="3054">
        <v>1</v>
      </c>
      <c r="C217" s="3054">
        <v>3</v>
      </c>
      <c r="D217" s="3054" t="s">
        <v>437</v>
      </c>
      <c r="E217" s="3054"/>
      <c r="F217" s="3056" t="s">
        <v>553</v>
      </c>
      <c r="G217" s="3057"/>
      <c r="H217" s="3064"/>
      <c r="I217" s="3064"/>
      <c r="J217" s="3212">
        <f>+J218</f>
        <v>157964885190</v>
      </c>
      <c r="K217" s="3212">
        <f>+K218</f>
        <v>72827611744</v>
      </c>
      <c r="L217" s="3178">
        <f>SUM(L218)</f>
        <v>90558485190</v>
      </c>
      <c r="M217" s="3179">
        <v>0</v>
      </c>
      <c r="N217" s="3178">
        <f>SUM(N218)</f>
        <v>0</v>
      </c>
      <c r="O217" s="3178">
        <f>SUM(O218)</f>
        <v>0</v>
      </c>
      <c r="P217" s="3178">
        <f>P218</f>
        <v>91009585651</v>
      </c>
      <c r="Q217" s="3866">
        <f t="shared" ref="Q217:Q227" si="51">+P217-L217</f>
        <v>451100461</v>
      </c>
      <c r="R217" s="3621">
        <f t="shared" ref="R217:R222" si="52">+P217/L217*100-100</f>
        <v>0.49813163289287843</v>
      </c>
      <c r="S217" s="3716"/>
      <c r="T217" s="3838"/>
      <c r="U217" s="3066"/>
      <c r="V217" s="2944">
        <f t="shared" si="50"/>
        <v>0</v>
      </c>
    </row>
    <row r="218" spans="1:22" s="1834" customFormat="1" ht="15.05" customHeight="1">
      <c r="A218" s="1905">
        <v>4</v>
      </c>
      <c r="B218" s="1905">
        <v>1</v>
      </c>
      <c r="C218" s="1905">
        <v>3</v>
      </c>
      <c r="D218" s="1905" t="s">
        <v>437</v>
      </c>
      <c r="E218" s="1905" t="s">
        <v>437</v>
      </c>
      <c r="F218" s="2827" t="s">
        <v>554</v>
      </c>
      <c r="G218" s="2828"/>
      <c r="H218" s="212"/>
      <c r="I218" s="212"/>
      <c r="J218" s="3214">
        <f>SUM(J219:J227)</f>
        <v>157964885190</v>
      </c>
      <c r="K218" s="3214">
        <f>SUM(K219:K227)</f>
        <v>72827611744</v>
      </c>
      <c r="L218" s="3197">
        <f>SUM(L219:L225)</f>
        <v>90558485190</v>
      </c>
      <c r="M218" s="3198">
        <v>0</v>
      </c>
      <c r="N218" s="3197">
        <f>SUM(N219:N225)</f>
        <v>0</v>
      </c>
      <c r="O218" s="3197">
        <f>N218+M218</f>
        <v>0</v>
      </c>
      <c r="P218" s="3197">
        <f>SUM(P219:P225)</f>
        <v>91009585651</v>
      </c>
      <c r="Q218" s="3865">
        <f t="shared" si="51"/>
        <v>451100461</v>
      </c>
      <c r="R218" s="3608">
        <f t="shared" si="52"/>
        <v>0.49813163289287843</v>
      </c>
      <c r="S218" s="3704"/>
      <c r="T218" s="3822"/>
      <c r="U218" s="1911"/>
      <c r="V218" s="1846">
        <f t="shared" si="50"/>
        <v>0</v>
      </c>
    </row>
    <row r="219" spans="1:22" s="1538" customFormat="1" ht="15.05" customHeight="1">
      <c r="A219" s="1855"/>
      <c r="B219" s="1855"/>
      <c r="C219" s="1855"/>
      <c r="D219" s="1855"/>
      <c r="E219" s="1855"/>
      <c r="F219" s="1857" t="s">
        <v>50</v>
      </c>
      <c r="G219" s="200" t="str">
        <f>MAR!I373</f>
        <v>PD. BPR NTB</v>
      </c>
      <c r="H219" s="1906"/>
      <c r="I219" s="200"/>
      <c r="J219" s="3215">
        <v>11374571865</v>
      </c>
      <c r="K219" s="3216">
        <v>11631764969</v>
      </c>
      <c r="L219" s="3125">
        <v>13374571865</v>
      </c>
      <c r="M219" s="3124">
        <v>0</v>
      </c>
      <c r="N219" s="3125">
        <v>0</v>
      </c>
      <c r="O219" s="3125">
        <v>0</v>
      </c>
      <c r="P219" s="3125">
        <v>11305220112</v>
      </c>
      <c r="Q219" s="3696">
        <f t="shared" si="51"/>
        <v>-2069351753</v>
      </c>
      <c r="R219" s="3605">
        <f t="shared" si="52"/>
        <v>-15.472284076735946</v>
      </c>
      <c r="S219" s="3275">
        <v>13601303170</v>
      </c>
      <c r="T219" s="3826">
        <f>S219-P219</f>
        <v>2296083058</v>
      </c>
      <c r="U219" s="3771"/>
      <c r="V219" s="1846">
        <f t="shared" si="50"/>
        <v>0</v>
      </c>
    </row>
    <row r="220" spans="1:22" s="1538" customFormat="1" ht="15.05" customHeight="1">
      <c r="A220" s="1855"/>
      <c r="B220" s="1855"/>
      <c r="C220" s="1855"/>
      <c r="D220" s="1855"/>
      <c r="E220" s="1855"/>
      <c r="F220" s="1857" t="s">
        <v>50</v>
      </c>
      <c r="G220" s="200" t="str">
        <f>MAR!I374</f>
        <v>Bank NTB/Deviden</v>
      </c>
      <c r="H220" s="1906"/>
      <c r="I220" s="2839"/>
      <c r="J220" s="3217">
        <v>59958450102</v>
      </c>
      <c r="K220" s="3186">
        <v>59958510102</v>
      </c>
      <c r="L220" s="3125">
        <v>59958450102</v>
      </c>
      <c r="M220" s="3124">
        <v>0</v>
      </c>
      <c r="N220" s="3125">
        <v>0</v>
      </c>
      <c r="O220" s="3125">
        <v>0</v>
      </c>
      <c r="P220" s="3125">
        <v>62065732074</v>
      </c>
      <c r="Q220" s="3125">
        <f t="shared" si="51"/>
        <v>2107281972</v>
      </c>
      <c r="R220" s="3605">
        <f t="shared" si="52"/>
        <v>3.5145704540646676</v>
      </c>
      <c r="S220" s="3275">
        <v>60000000000</v>
      </c>
      <c r="T220" s="3826">
        <f t="shared" ref="T220:T225" si="53">S220-P220</f>
        <v>-2065732074</v>
      </c>
      <c r="U220" s="3771"/>
      <c r="V220" s="1846">
        <f t="shared" si="50"/>
        <v>0</v>
      </c>
    </row>
    <row r="221" spans="1:22" s="1538" customFormat="1" ht="15.05" customHeight="1">
      <c r="A221" s="1855"/>
      <c r="B221" s="1855"/>
      <c r="C221" s="1855"/>
      <c r="D221" s="1855"/>
      <c r="E221" s="1855"/>
      <c r="F221" s="1857" t="s">
        <v>50</v>
      </c>
      <c r="G221" s="200" t="str">
        <f>MAR!I375</f>
        <v>PT. Gerbang NTB Emas</v>
      </c>
      <c r="H221" s="1906"/>
      <c r="I221" s="2839"/>
      <c r="J221" s="3217">
        <v>1000000000</v>
      </c>
      <c r="K221" s="3186">
        <v>1000000000</v>
      </c>
      <c r="L221" s="3125">
        <v>1000000000</v>
      </c>
      <c r="M221" s="3124">
        <v>0</v>
      </c>
      <c r="N221" s="3125">
        <v>0</v>
      </c>
      <c r="O221" s="3125">
        <v>0</v>
      </c>
      <c r="P221" s="3125">
        <v>1100000000</v>
      </c>
      <c r="Q221" s="3125">
        <f t="shared" si="51"/>
        <v>100000000</v>
      </c>
      <c r="R221" s="3605">
        <f t="shared" si="52"/>
        <v>10.000000000000014</v>
      </c>
      <c r="S221" s="3275">
        <v>1100000000</v>
      </c>
      <c r="T221" s="3826">
        <f t="shared" si="53"/>
        <v>0</v>
      </c>
      <c r="U221" s="3771"/>
      <c r="V221" s="1846">
        <f t="shared" si="50"/>
        <v>0</v>
      </c>
    </row>
    <row r="222" spans="1:22" s="1538" customFormat="1" ht="15.05" customHeight="1">
      <c r="A222" s="1855"/>
      <c r="B222" s="1855"/>
      <c r="C222" s="1855"/>
      <c r="D222" s="1855"/>
      <c r="E222" s="1855"/>
      <c r="F222" s="1857" t="s">
        <v>50</v>
      </c>
      <c r="G222" s="200" t="str">
        <f>MAR!I376</f>
        <v>PT. Daerah Mandiri Bersaing (DMB)</v>
      </c>
      <c r="H222" s="1906"/>
      <c r="I222" s="2839"/>
      <c r="J222" s="3217">
        <v>85406400000</v>
      </c>
      <c r="K222" s="3186">
        <v>0</v>
      </c>
      <c r="L222" s="3125">
        <v>16000000000</v>
      </c>
      <c r="M222" s="3124">
        <v>0</v>
      </c>
      <c r="N222" s="3125">
        <v>0</v>
      </c>
      <c r="O222" s="3125">
        <v>0</v>
      </c>
      <c r="P222" s="3125">
        <v>16000000000</v>
      </c>
      <c r="Q222" s="3125">
        <f t="shared" si="51"/>
        <v>0</v>
      </c>
      <c r="R222" s="3605">
        <f t="shared" si="52"/>
        <v>0</v>
      </c>
      <c r="S222" s="3275">
        <v>16000000000</v>
      </c>
      <c r="T222" s="3826">
        <f t="shared" si="53"/>
        <v>0</v>
      </c>
      <c r="U222" s="3771"/>
      <c r="V222" s="1846">
        <f t="shared" si="50"/>
        <v>0</v>
      </c>
    </row>
    <row r="223" spans="1:22" s="1538" customFormat="1" ht="15.05" customHeight="1">
      <c r="A223" s="1855"/>
      <c r="B223" s="1855"/>
      <c r="C223" s="1855"/>
      <c r="D223" s="1855"/>
      <c r="E223" s="1855"/>
      <c r="F223" s="1857" t="s">
        <v>50</v>
      </c>
      <c r="G223" s="200" t="str">
        <f>MAR!I377</f>
        <v>Deviden PT. Suara Nusa Media Pratama</v>
      </c>
      <c r="H223" s="1906"/>
      <c r="I223" s="2823"/>
      <c r="J223" s="3218" t="s">
        <v>50</v>
      </c>
      <c r="K223" s="3186">
        <v>0</v>
      </c>
      <c r="L223" s="3125">
        <v>0</v>
      </c>
      <c r="M223" s="3124">
        <v>0</v>
      </c>
      <c r="N223" s="3125">
        <v>0</v>
      </c>
      <c r="O223" s="3125">
        <v>0</v>
      </c>
      <c r="P223" s="3125">
        <v>0</v>
      </c>
      <c r="Q223" s="3125">
        <f t="shared" si="51"/>
        <v>0</v>
      </c>
      <c r="R223" s="3605">
        <v>0</v>
      </c>
      <c r="S223" s="3275"/>
      <c r="T223" s="3826">
        <f t="shared" si="53"/>
        <v>0</v>
      </c>
      <c r="U223" s="3771"/>
      <c r="V223" s="1846">
        <f t="shared" si="50"/>
        <v>0</v>
      </c>
    </row>
    <row r="224" spans="1:22" s="1538" customFormat="1" ht="15.05" customHeight="1">
      <c r="A224" s="1855"/>
      <c r="B224" s="1855"/>
      <c r="C224" s="1855"/>
      <c r="D224" s="1855"/>
      <c r="E224" s="1855"/>
      <c r="F224" s="1857" t="s">
        <v>50</v>
      </c>
      <c r="G224" s="200" t="str">
        <f>MAR!I378</f>
        <v>PT. Jam Krida</v>
      </c>
      <c r="H224" s="1906"/>
      <c r="I224" s="2823"/>
      <c r="J224" s="3186">
        <v>136702012</v>
      </c>
      <c r="K224" s="3186">
        <v>136702012</v>
      </c>
      <c r="L224" s="3125">
        <v>136702012</v>
      </c>
      <c r="M224" s="3124">
        <v>0</v>
      </c>
      <c r="N224" s="3125">
        <v>0</v>
      </c>
      <c r="O224" s="3125">
        <v>0</v>
      </c>
      <c r="P224" s="3125">
        <v>437998804</v>
      </c>
      <c r="Q224" s="3125">
        <f t="shared" si="51"/>
        <v>301296792</v>
      </c>
      <c r="R224" s="3605">
        <f>+P224/L224*100-100</f>
        <v>220.40406545003884</v>
      </c>
      <c r="S224" s="3275">
        <v>692000000</v>
      </c>
      <c r="T224" s="3826">
        <f t="shared" si="53"/>
        <v>254001196</v>
      </c>
      <c r="U224" s="3771"/>
      <c r="V224" s="1846">
        <f t="shared" si="50"/>
        <v>0</v>
      </c>
    </row>
    <row r="225" spans="1:23" s="1538" customFormat="1" ht="15.05" customHeight="1">
      <c r="A225" s="1886"/>
      <c r="B225" s="1886"/>
      <c r="C225" s="1886"/>
      <c r="D225" s="1886"/>
      <c r="E225" s="1886"/>
      <c r="F225" s="1887" t="s">
        <v>50</v>
      </c>
      <c r="G225" s="856" t="str">
        <f>MAR!I379</f>
        <v>PT. Bangun Askrida</v>
      </c>
      <c r="H225" s="3067"/>
      <c r="I225" s="3068"/>
      <c r="J225" s="3219">
        <v>88761211</v>
      </c>
      <c r="K225" s="3219">
        <v>100634661</v>
      </c>
      <c r="L225" s="3174">
        <v>88761211</v>
      </c>
      <c r="M225" s="3175">
        <v>0</v>
      </c>
      <c r="N225" s="3174">
        <v>0</v>
      </c>
      <c r="O225" s="3174">
        <v>0</v>
      </c>
      <c r="P225" s="3174">
        <v>100634661</v>
      </c>
      <c r="Q225" s="3174">
        <f t="shared" si="51"/>
        <v>11873450</v>
      </c>
      <c r="R225" s="3612">
        <f>+P225/L225*100-100</f>
        <v>13.376845433079993</v>
      </c>
      <c r="S225" s="3709">
        <v>100634661</v>
      </c>
      <c r="T225" s="3826">
        <f t="shared" si="53"/>
        <v>0</v>
      </c>
      <c r="U225" s="1899"/>
      <c r="V225" s="1846">
        <f t="shared" si="50"/>
        <v>0</v>
      </c>
    </row>
    <row r="226" spans="1:23" s="4406" customFormat="1" ht="16" customHeight="1">
      <c r="A226" s="4394">
        <v>4</v>
      </c>
      <c r="B226" s="4394">
        <v>1</v>
      </c>
      <c r="C226" s="4394">
        <v>3</v>
      </c>
      <c r="D226" s="4395" t="s">
        <v>438</v>
      </c>
      <c r="E226" s="4394"/>
      <c r="F226" s="4396" t="s">
        <v>203</v>
      </c>
      <c r="G226" s="4397"/>
      <c r="H226" s="4398"/>
      <c r="I226" s="4399"/>
      <c r="J226" s="4400" t="s">
        <v>50</v>
      </c>
      <c r="K226" s="4400" t="s">
        <v>50</v>
      </c>
      <c r="L226" s="4401">
        <v>2000000000</v>
      </c>
      <c r="M226" s="4382">
        <v>0</v>
      </c>
      <c r="N226" s="4401">
        <v>0</v>
      </c>
      <c r="O226" s="4401">
        <v>0</v>
      </c>
      <c r="P226" s="4401">
        <v>2000000000</v>
      </c>
      <c r="Q226" s="4401">
        <f t="shared" si="51"/>
        <v>0</v>
      </c>
      <c r="R226" s="4402">
        <f>+P226/L226*100-100</f>
        <v>0</v>
      </c>
      <c r="S226" s="4403"/>
      <c r="T226" s="4404"/>
      <c r="U226" s="4405"/>
      <c r="V226" s="4269">
        <f t="shared" si="50"/>
        <v>0</v>
      </c>
    </row>
    <row r="227" spans="1:23" s="4419" customFormat="1" ht="15.05" customHeight="1">
      <c r="A227" s="4407">
        <v>4</v>
      </c>
      <c r="B227" s="4407">
        <v>1</v>
      </c>
      <c r="C227" s="4407">
        <v>3</v>
      </c>
      <c r="D227" s="4408" t="s">
        <v>438</v>
      </c>
      <c r="E227" s="4408" t="s">
        <v>437</v>
      </c>
      <c r="F227" s="4409" t="s">
        <v>555</v>
      </c>
      <c r="G227" s="4410"/>
      <c r="H227" s="4411"/>
      <c r="I227" s="4412"/>
      <c r="J227" s="4413" t="s">
        <v>50</v>
      </c>
      <c r="K227" s="4413" t="s">
        <v>50</v>
      </c>
      <c r="L227" s="4414">
        <v>2000000000</v>
      </c>
      <c r="M227" s="4307">
        <v>0</v>
      </c>
      <c r="N227" s="4414">
        <v>0</v>
      </c>
      <c r="O227" s="4414">
        <v>0</v>
      </c>
      <c r="P227" s="4414">
        <v>2000000000</v>
      </c>
      <c r="Q227" s="4414">
        <f t="shared" si="51"/>
        <v>0</v>
      </c>
      <c r="R227" s="4415">
        <f>+P227/L227*100-100</f>
        <v>0</v>
      </c>
      <c r="S227" s="4416"/>
      <c r="T227" s="4417"/>
      <c r="U227" s="4418"/>
      <c r="V227" s="3925">
        <f t="shared" si="50"/>
        <v>0</v>
      </c>
    </row>
    <row r="228" spans="1:23" s="1538" customFormat="1" ht="15.05" customHeight="1">
      <c r="A228" s="1913"/>
      <c r="B228" s="1913"/>
      <c r="C228" s="1913"/>
      <c r="D228" s="1913"/>
      <c r="E228" s="1913"/>
      <c r="F228" s="1942"/>
      <c r="G228" s="1943"/>
      <c r="H228" s="238"/>
      <c r="I228" s="2840"/>
      <c r="J228" s="3227"/>
      <c r="K228" s="3227"/>
      <c r="L228" s="3228"/>
      <c r="M228" s="3229"/>
      <c r="N228" s="3228"/>
      <c r="O228" s="3228"/>
      <c r="P228" s="3228"/>
      <c r="Q228" s="3228"/>
      <c r="R228" s="3624"/>
      <c r="S228" s="3719"/>
      <c r="T228" s="3841"/>
      <c r="U228" s="3790"/>
      <c r="V228" s="1846">
        <f t="shared" si="50"/>
        <v>0</v>
      </c>
    </row>
    <row r="229" spans="1:23" s="2916" customFormat="1" ht="15.05" customHeight="1">
      <c r="A229" s="2909">
        <v>4</v>
      </c>
      <c r="B229" s="2909">
        <v>1</v>
      </c>
      <c r="C229" s="2909">
        <v>4</v>
      </c>
      <c r="D229" s="2909"/>
      <c r="E229" s="2909"/>
      <c r="F229" s="2910" t="s">
        <v>71</v>
      </c>
      <c r="G229" s="2911"/>
      <c r="H229" s="2912"/>
      <c r="I229" s="2913"/>
      <c r="J229" s="3231">
        <v>224639588129</v>
      </c>
      <c r="K229" s="3231">
        <v>243089557831.42999</v>
      </c>
      <c r="L229" s="3231">
        <f>L230+L237+L243+L246+L250+L268+L291+L299+L373+L380+L366+L395</f>
        <v>268454484234</v>
      </c>
      <c r="M229" s="3231">
        <f>M230+M237+M243+M246+M250+M268+M291+M299+M373+M380+M389+M395</f>
        <v>30843632833.540001</v>
      </c>
      <c r="N229" s="3231">
        <f>N230+N237+N243+N246+N250+N268+N291+N299+N373+N380+N389+N395</f>
        <v>19237073227.190002</v>
      </c>
      <c r="O229" s="3231">
        <f>O230+O237+O243+O246+O250+O268+O291+O299+O373+O380+O389+O395</f>
        <v>50008306060.729996</v>
      </c>
      <c r="P229" s="3231">
        <f>P230+P237+P243+P246+P250+P268+P291+P299+P373+P380+P389+P395</f>
        <v>290112069425</v>
      </c>
      <c r="Q229" s="3231">
        <f t="shared" ref="Q229:Q235" si="54">+P229-L229</f>
        <v>21657585191</v>
      </c>
      <c r="R229" s="3625">
        <f>+P229/L229*100-100</f>
        <v>8.0675073291463661</v>
      </c>
      <c r="S229" s="3746"/>
      <c r="T229" s="3842"/>
      <c r="U229" s="2914"/>
      <c r="V229" s="2904">
        <f t="shared" si="50"/>
        <v>200033224242.91998</v>
      </c>
      <c r="W229" s="2915">
        <f>+O229-REKAPOK!N43</f>
        <v>0</v>
      </c>
    </row>
    <row r="230" spans="1:23" s="4270" customFormat="1" ht="15.05" customHeight="1">
      <c r="A230" s="4257">
        <v>4</v>
      </c>
      <c r="B230" s="4258">
        <v>1</v>
      </c>
      <c r="C230" s="4258">
        <v>4</v>
      </c>
      <c r="D230" s="4258" t="s">
        <v>437</v>
      </c>
      <c r="E230" s="4258"/>
      <c r="F230" s="4259" t="s">
        <v>206</v>
      </c>
      <c r="G230" s="4260"/>
      <c r="H230" s="4261"/>
      <c r="I230" s="4262"/>
      <c r="J230" s="4263">
        <f>SUM(J231:J235)</f>
        <v>250000000</v>
      </c>
      <c r="K230" s="4263">
        <f>SUM(K231:K235)</f>
        <v>25364000</v>
      </c>
      <c r="L230" s="4264">
        <f>SUM(L231:L235)</f>
        <v>250000000</v>
      </c>
      <c r="M230" s="4382">
        <v>0</v>
      </c>
      <c r="N230" s="4264">
        <f>SUM(N231:N235)</f>
        <v>0</v>
      </c>
      <c r="O230" s="4264">
        <f>N230+M230</f>
        <v>0</v>
      </c>
      <c r="P230" s="4264">
        <f>SUM(P231:P235)</f>
        <v>250000000</v>
      </c>
      <c r="Q230" s="4264">
        <f t="shared" si="54"/>
        <v>0</v>
      </c>
      <c r="R230" s="4265">
        <f>+P230/L230*100-100</f>
        <v>0</v>
      </c>
      <c r="S230" s="4266"/>
      <c r="T230" s="4267"/>
      <c r="U230" s="4268"/>
      <c r="V230" s="4269">
        <f t="shared" si="50"/>
        <v>0</v>
      </c>
    </row>
    <row r="231" spans="1:23" s="3896" customFormat="1" ht="15.05" customHeight="1">
      <c r="A231" s="4300">
        <v>4</v>
      </c>
      <c r="B231" s="4300">
        <v>1</v>
      </c>
      <c r="C231" s="4300">
        <v>4</v>
      </c>
      <c r="D231" s="4300" t="s">
        <v>437</v>
      </c>
      <c r="E231" s="4300" t="s">
        <v>437</v>
      </c>
      <c r="F231" s="4389" t="str">
        <f>MAR!I386</f>
        <v>Pelepasan Hak Atas Tanah</v>
      </c>
      <c r="G231" s="4302"/>
      <c r="H231" s="4303"/>
      <c r="I231" s="4390"/>
      <c r="J231" s="4391">
        <v>0</v>
      </c>
      <c r="K231" s="4391">
        <v>0</v>
      </c>
      <c r="L231" s="4306">
        <v>0</v>
      </c>
      <c r="M231" s="4307">
        <v>0</v>
      </c>
      <c r="N231" s="4306">
        <v>0</v>
      </c>
      <c r="O231" s="4306">
        <v>0</v>
      </c>
      <c r="P231" s="4306">
        <v>0</v>
      </c>
      <c r="Q231" s="4306">
        <f t="shared" si="54"/>
        <v>0</v>
      </c>
      <c r="R231" s="4308">
        <v>0</v>
      </c>
      <c r="S231" s="4392"/>
      <c r="T231" s="4310"/>
      <c r="U231" s="4353">
        <f>PerDinas!Q534</f>
        <v>0</v>
      </c>
      <c r="V231" s="3925">
        <f t="shared" si="50"/>
        <v>0</v>
      </c>
    </row>
    <row r="232" spans="1:23" s="3896" customFormat="1" ht="15.05" customHeight="1">
      <c r="A232" s="3924">
        <v>4</v>
      </c>
      <c r="B232" s="3924">
        <v>1</v>
      </c>
      <c r="C232" s="3924">
        <v>4</v>
      </c>
      <c r="D232" s="3924" t="s">
        <v>437</v>
      </c>
      <c r="E232" s="3924" t="s">
        <v>438</v>
      </c>
      <c r="F232" s="4393" t="str">
        <f>MAR!I387</f>
        <v>Penjualan Peralatan/Perlengkapan Kantor Tdk Terpakai</v>
      </c>
      <c r="G232" s="2826"/>
      <c r="H232" s="3917"/>
      <c r="I232" s="4294"/>
      <c r="J232" s="4295">
        <v>50000000</v>
      </c>
      <c r="K232" s="4295">
        <v>0</v>
      </c>
      <c r="L232" s="3919">
        <v>50000000</v>
      </c>
      <c r="M232" s="3265">
        <v>0</v>
      </c>
      <c r="N232" s="3919">
        <v>0</v>
      </c>
      <c r="O232" s="3919">
        <v>0</v>
      </c>
      <c r="P232" s="3919">
        <v>50000000</v>
      </c>
      <c r="Q232" s="3919">
        <f t="shared" si="54"/>
        <v>0</v>
      </c>
      <c r="R232" s="3920">
        <f>+P232/L232*100-100</f>
        <v>0</v>
      </c>
      <c r="S232" s="3921"/>
      <c r="T232" s="3922"/>
      <c r="U232" s="3923"/>
      <c r="V232" s="3925">
        <f t="shared" si="50"/>
        <v>0</v>
      </c>
    </row>
    <row r="233" spans="1:23" s="3896" customFormat="1" ht="15.05" customHeight="1">
      <c r="A233" s="3924">
        <v>4</v>
      </c>
      <c r="B233" s="3924">
        <v>1</v>
      </c>
      <c r="C233" s="3924">
        <v>4</v>
      </c>
      <c r="D233" s="3924" t="s">
        <v>437</v>
      </c>
      <c r="E233" s="3924" t="s">
        <v>440</v>
      </c>
      <c r="F233" s="4393" t="str">
        <f>MAR!I388</f>
        <v>Penjualan Mesin/Alat Berat Tidak Terpakai</v>
      </c>
      <c r="G233" s="2826"/>
      <c r="H233" s="3917"/>
      <c r="I233" s="4294"/>
      <c r="J233" s="4295"/>
      <c r="K233" s="4295"/>
      <c r="L233" s="3919">
        <v>0</v>
      </c>
      <c r="M233" s="3265">
        <v>0</v>
      </c>
      <c r="N233" s="3919">
        <v>0</v>
      </c>
      <c r="O233" s="3919">
        <v>0</v>
      </c>
      <c r="P233" s="3919">
        <v>0</v>
      </c>
      <c r="Q233" s="3919">
        <f t="shared" si="54"/>
        <v>0</v>
      </c>
      <c r="R233" s="3920">
        <v>0</v>
      </c>
      <c r="S233" s="3921"/>
      <c r="T233" s="3922"/>
      <c r="U233" s="3923"/>
      <c r="V233" s="3925">
        <f t="shared" si="50"/>
        <v>0</v>
      </c>
    </row>
    <row r="234" spans="1:23" s="3896" customFormat="1" ht="15.05" customHeight="1">
      <c r="A234" s="3924">
        <v>4</v>
      </c>
      <c r="B234" s="3924">
        <v>1</v>
      </c>
      <c r="C234" s="3924">
        <v>4</v>
      </c>
      <c r="D234" s="3924" t="s">
        <v>437</v>
      </c>
      <c r="E234" s="3924" t="s">
        <v>445</v>
      </c>
      <c r="F234" s="4393" t="str">
        <f>MAR!I389</f>
        <v>Penjualan Rumah Jabatan/Rumah Dinas</v>
      </c>
      <c r="G234" s="2826"/>
      <c r="H234" s="3917"/>
      <c r="I234" s="4294"/>
      <c r="J234" s="4295"/>
      <c r="K234" s="4295"/>
      <c r="L234" s="3919">
        <v>0</v>
      </c>
      <c r="M234" s="3265">
        <v>0</v>
      </c>
      <c r="N234" s="3919">
        <v>0</v>
      </c>
      <c r="O234" s="3919">
        <v>0</v>
      </c>
      <c r="P234" s="3919">
        <v>0</v>
      </c>
      <c r="Q234" s="3919">
        <f t="shared" si="54"/>
        <v>0</v>
      </c>
      <c r="R234" s="3920">
        <v>0</v>
      </c>
      <c r="S234" s="3921"/>
      <c r="T234" s="3922"/>
      <c r="U234" s="3923"/>
      <c r="V234" s="3925">
        <f t="shared" si="50"/>
        <v>0</v>
      </c>
    </row>
    <row r="235" spans="1:23" s="3896" customFormat="1" ht="15.05" customHeight="1">
      <c r="A235" s="3924">
        <v>4</v>
      </c>
      <c r="B235" s="3924">
        <v>1</v>
      </c>
      <c r="C235" s="3924">
        <v>4</v>
      </c>
      <c r="D235" s="3924" t="s">
        <v>437</v>
      </c>
      <c r="E235" s="3924" t="s">
        <v>444</v>
      </c>
      <c r="F235" s="4393" t="str">
        <f>MAR!I390</f>
        <v>Penjualan Bahan-Bahan Bekas bangunan</v>
      </c>
      <c r="G235" s="2826"/>
      <c r="H235" s="3917"/>
      <c r="I235" s="4294"/>
      <c r="J235" s="4295">
        <v>200000000</v>
      </c>
      <c r="K235" s="4295">
        <v>25364000</v>
      </c>
      <c r="L235" s="3919">
        <v>200000000</v>
      </c>
      <c r="M235" s="3265">
        <v>0</v>
      </c>
      <c r="N235" s="3919">
        <v>0</v>
      </c>
      <c r="O235" s="3919">
        <v>0</v>
      </c>
      <c r="P235" s="3919">
        <v>200000000</v>
      </c>
      <c r="Q235" s="3919">
        <f t="shared" si="54"/>
        <v>0</v>
      </c>
      <c r="R235" s="3920">
        <f t="shared" ref="R235:R240" si="55">+P235/L235*100-100</f>
        <v>0</v>
      </c>
      <c r="S235" s="3921"/>
      <c r="T235" s="3922"/>
      <c r="U235" s="3923"/>
      <c r="V235" s="3925">
        <f t="shared" si="50"/>
        <v>0</v>
      </c>
    </row>
    <row r="236" spans="1:23" s="1538" customFormat="1" ht="15.05" customHeight="1">
      <c r="A236" s="1886"/>
      <c r="B236" s="1886"/>
      <c r="C236" s="1886"/>
      <c r="D236" s="1886"/>
      <c r="E236" s="1886"/>
      <c r="F236" s="2356"/>
      <c r="G236" s="1888"/>
      <c r="H236" s="856"/>
      <c r="I236" s="3068"/>
      <c r="J236" s="3219"/>
      <c r="K236" s="3219"/>
      <c r="L236" s="3174"/>
      <c r="M236" s="3175"/>
      <c r="N236" s="3174"/>
      <c r="O236" s="3174"/>
      <c r="P236" s="3174"/>
      <c r="Q236" s="3174"/>
      <c r="R236" s="3612"/>
      <c r="S236" s="3712"/>
      <c r="T236" s="3831"/>
      <c r="U236" s="3771"/>
      <c r="V236" s="1846">
        <f t="shared" si="50"/>
        <v>0</v>
      </c>
    </row>
    <row r="237" spans="1:23" s="4270" customFormat="1" ht="15.05" customHeight="1">
      <c r="A237" s="4257">
        <v>4</v>
      </c>
      <c r="B237" s="4258">
        <v>1</v>
      </c>
      <c r="C237" s="4258">
        <v>4</v>
      </c>
      <c r="D237" s="4258" t="s">
        <v>438</v>
      </c>
      <c r="E237" s="4258"/>
      <c r="F237" s="4259" t="s">
        <v>212</v>
      </c>
      <c r="G237" s="4260"/>
      <c r="H237" s="4261"/>
      <c r="I237" s="4262"/>
      <c r="J237" s="4263">
        <f>SUM(J238:J239)</f>
        <v>4500000000</v>
      </c>
      <c r="K237" s="4263">
        <f t="shared" ref="K237:P237" si="56">SUM(K238:K239)</f>
        <v>12549664258.33</v>
      </c>
      <c r="L237" s="4263">
        <f t="shared" si="56"/>
        <v>4500000000</v>
      </c>
      <c r="M237" s="4263">
        <f t="shared" si="56"/>
        <v>3094595763</v>
      </c>
      <c r="N237" s="4263">
        <f t="shared" si="56"/>
        <v>532884</v>
      </c>
      <c r="O237" s="4263">
        <f t="shared" si="56"/>
        <v>3095128647</v>
      </c>
      <c r="P237" s="4263">
        <f t="shared" si="56"/>
        <v>7037000000</v>
      </c>
      <c r="Q237" s="4264">
        <f>+P237-L237</f>
        <v>2537000000</v>
      </c>
      <c r="R237" s="4265">
        <f t="shared" si="55"/>
        <v>56.377777777777766</v>
      </c>
      <c r="S237" s="4266"/>
      <c r="T237" s="4267"/>
      <c r="U237" s="4268"/>
      <c r="V237" s="4269">
        <f t="shared" si="50"/>
        <v>12380514588</v>
      </c>
    </row>
    <row r="238" spans="1:23" s="3896" customFormat="1" ht="15.05" customHeight="1">
      <c r="A238" s="4271">
        <v>4</v>
      </c>
      <c r="B238" s="4271">
        <v>1</v>
      </c>
      <c r="C238" s="4271">
        <v>4</v>
      </c>
      <c r="D238" s="4271" t="s">
        <v>438</v>
      </c>
      <c r="E238" s="4271" t="s">
        <v>437</v>
      </c>
      <c r="F238" s="4272" t="s">
        <v>214</v>
      </c>
      <c r="G238" s="4273"/>
      <c r="H238" s="4274"/>
      <c r="I238" s="4275"/>
      <c r="J238" s="4276">
        <v>0</v>
      </c>
      <c r="K238" s="4276">
        <v>0</v>
      </c>
      <c r="L238" s="4277">
        <v>0</v>
      </c>
      <c r="M238" s="4278">
        <v>36875929</v>
      </c>
      <c r="N238" s="4277">
        <v>496972</v>
      </c>
      <c r="O238" s="4277">
        <v>37372901</v>
      </c>
      <c r="P238" s="4277">
        <v>37000000</v>
      </c>
      <c r="Q238" s="4277">
        <f>+P238-L238</f>
        <v>37000000</v>
      </c>
      <c r="R238" s="4279">
        <v>0</v>
      </c>
      <c r="S238" s="4280"/>
      <c r="T238" s="4281"/>
      <c r="U238" s="4282"/>
      <c r="V238" s="3925">
        <f t="shared" si="50"/>
        <v>149491604</v>
      </c>
    </row>
    <row r="239" spans="1:23" s="3896" customFormat="1" ht="15.05" customHeight="1">
      <c r="A239" s="4283">
        <v>4</v>
      </c>
      <c r="B239" s="4283">
        <v>1</v>
      </c>
      <c r="C239" s="4283">
        <v>4</v>
      </c>
      <c r="D239" s="4283" t="s">
        <v>438</v>
      </c>
      <c r="E239" s="4283" t="s">
        <v>438</v>
      </c>
      <c r="F239" s="2865" t="s">
        <v>213</v>
      </c>
      <c r="G239" s="4284"/>
      <c r="H239" s="4285"/>
      <c r="I239" s="4286"/>
      <c r="J239" s="4287">
        <v>4500000000</v>
      </c>
      <c r="K239" s="4287">
        <v>12549664258.33</v>
      </c>
      <c r="L239" s="4288">
        <v>4500000000</v>
      </c>
      <c r="M239" s="4289">
        <v>3057719834</v>
      </c>
      <c r="N239" s="4288">
        <v>35912</v>
      </c>
      <c r="O239" s="4288">
        <v>3057755746</v>
      </c>
      <c r="P239" s="4288">
        <f>+P240</f>
        <v>7000000000</v>
      </c>
      <c r="Q239" s="4288">
        <f>+P239-L239</f>
        <v>2500000000</v>
      </c>
      <c r="R239" s="4290">
        <f t="shared" si="55"/>
        <v>55.555555555555571</v>
      </c>
      <c r="S239" s="4291"/>
      <c r="T239" s="4292"/>
      <c r="U239" s="4282"/>
      <c r="V239" s="3925">
        <f t="shared" si="50"/>
        <v>12231022984</v>
      </c>
    </row>
    <row r="240" spans="1:23" s="3896" customFormat="1" ht="15.05" customHeight="1">
      <c r="A240" s="3924"/>
      <c r="B240" s="3924"/>
      <c r="C240" s="3924"/>
      <c r="D240" s="3924"/>
      <c r="E240" s="3924"/>
      <c r="F240" s="4293" t="s">
        <v>50</v>
      </c>
      <c r="G240" s="2826" t="s">
        <v>223</v>
      </c>
      <c r="H240" s="3917"/>
      <c r="I240" s="4294"/>
      <c r="J240" s="4295">
        <v>4500000000</v>
      </c>
      <c r="K240" s="4295">
        <v>12549664258.33</v>
      </c>
      <c r="L240" s="3919">
        <v>4500000000</v>
      </c>
      <c r="M240" s="3265">
        <v>3057719834</v>
      </c>
      <c r="N240" s="3919">
        <v>35912</v>
      </c>
      <c r="O240" s="3919">
        <v>3057755746</v>
      </c>
      <c r="P240" s="3919">
        <v>7000000000</v>
      </c>
      <c r="Q240" s="3919">
        <f>+P240-L240</f>
        <v>2500000000</v>
      </c>
      <c r="R240" s="3920">
        <f t="shared" si="55"/>
        <v>55.555555555555571</v>
      </c>
      <c r="S240" s="3921"/>
      <c r="T240" s="3922"/>
      <c r="U240" s="3923"/>
      <c r="V240" s="3925">
        <f t="shared" si="50"/>
        <v>12231022984</v>
      </c>
    </row>
    <row r="241" spans="1:22" s="1538" customFormat="1" ht="15.05" hidden="1" customHeight="1">
      <c r="A241" s="1855"/>
      <c r="B241" s="1855"/>
      <c r="C241" s="1855"/>
      <c r="D241" s="1855"/>
      <c r="E241" s="1855"/>
      <c r="F241" s="1857"/>
      <c r="G241" s="1858"/>
      <c r="H241" s="200"/>
      <c r="I241" s="2823"/>
      <c r="J241" s="3186"/>
      <c r="K241" s="3186"/>
      <c r="L241" s="3125"/>
      <c r="M241" s="3124"/>
      <c r="N241" s="3125"/>
      <c r="O241" s="3125"/>
      <c r="P241" s="3125"/>
      <c r="Q241" s="3125"/>
      <c r="R241" s="3605"/>
      <c r="S241" s="3702"/>
      <c r="T241" s="3820"/>
      <c r="U241" s="3771"/>
      <c r="V241" s="1846">
        <f t="shared" si="50"/>
        <v>0</v>
      </c>
    </row>
    <row r="242" spans="1:22" s="1538" customFormat="1" ht="15.05" customHeight="1">
      <c r="A242" s="1886"/>
      <c r="B242" s="1886"/>
      <c r="C242" s="1886"/>
      <c r="D242" s="1886"/>
      <c r="E242" s="1886"/>
      <c r="F242" s="1887"/>
      <c r="G242" s="1888"/>
      <c r="H242" s="856"/>
      <c r="I242" s="3068"/>
      <c r="J242" s="3219"/>
      <c r="K242" s="3219"/>
      <c r="L242" s="3174"/>
      <c r="M242" s="3175"/>
      <c r="N242" s="3174"/>
      <c r="O242" s="3174"/>
      <c r="P242" s="3174"/>
      <c r="Q242" s="3174"/>
      <c r="R242" s="3612"/>
      <c r="S242" s="3712"/>
      <c r="T242" s="3831"/>
      <c r="U242" s="1899"/>
      <c r="V242" s="1846">
        <f t="shared" si="50"/>
        <v>0</v>
      </c>
    </row>
    <row r="243" spans="1:22" s="4270" customFormat="1" ht="15.05" customHeight="1">
      <c r="A243" s="4257">
        <v>4</v>
      </c>
      <c r="B243" s="4258">
        <v>1</v>
      </c>
      <c r="C243" s="4258">
        <v>4</v>
      </c>
      <c r="D243" s="4258" t="s">
        <v>440</v>
      </c>
      <c r="E243" s="4258"/>
      <c r="F243" s="4259" t="s">
        <v>215</v>
      </c>
      <c r="G243" s="4260"/>
      <c r="H243" s="4261"/>
      <c r="I243" s="4262"/>
      <c r="J243" s="4263">
        <f>+J244</f>
        <v>6875000000</v>
      </c>
      <c r="K243" s="4263">
        <f t="shared" ref="K243:P243" si="57">+K244</f>
        <v>9375000000</v>
      </c>
      <c r="L243" s="4263">
        <f t="shared" si="57"/>
        <v>6875000000</v>
      </c>
      <c r="M243" s="4263">
        <f t="shared" si="57"/>
        <v>0</v>
      </c>
      <c r="N243" s="4263">
        <f t="shared" si="57"/>
        <v>875000000</v>
      </c>
      <c r="O243" s="4263">
        <f t="shared" si="57"/>
        <v>875000000</v>
      </c>
      <c r="P243" s="4264">
        <f t="shared" si="57"/>
        <v>7000000000</v>
      </c>
      <c r="Q243" s="4264">
        <f t="shared" ref="Q243:Q248" si="58">+P243-L243</f>
        <v>125000000</v>
      </c>
      <c r="R243" s="4296">
        <f t="shared" ref="R243:R248" si="59">+P243/L243*100-100</f>
        <v>1.818181818181813</v>
      </c>
      <c r="S243" s="4297"/>
      <c r="T243" s="4298"/>
      <c r="U243" s="4299"/>
      <c r="V243" s="4269">
        <f t="shared" si="50"/>
        <v>3500000000</v>
      </c>
    </row>
    <row r="244" spans="1:22" s="3896" customFormat="1" ht="15.05" customHeight="1">
      <c r="A244" s="4300">
        <v>4</v>
      </c>
      <c r="B244" s="4300">
        <v>1</v>
      </c>
      <c r="C244" s="4300">
        <v>4</v>
      </c>
      <c r="D244" s="4300" t="s">
        <v>440</v>
      </c>
      <c r="E244" s="4300" t="s">
        <v>437</v>
      </c>
      <c r="F244" s="4301" t="s">
        <v>216</v>
      </c>
      <c r="G244" s="4302"/>
      <c r="H244" s="4303"/>
      <c r="I244" s="4304"/>
      <c r="J244" s="4305">
        <v>6875000000</v>
      </c>
      <c r="K244" s="4305">
        <v>9375000000</v>
      </c>
      <c r="L244" s="4306">
        <v>6875000000</v>
      </c>
      <c r="M244" s="4307">
        <v>0</v>
      </c>
      <c r="N244" s="4306">
        <v>875000000</v>
      </c>
      <c r="O244" s="4306">
        <v>875000000</v>
      </c>
      <c r="P244" s="4306">
        <v>7000000000</v>
      </c>
      <c r="Q244" s="4306">
        <f t="shared" si="58"/>
        <v>125000000</v>
      </c>
      <c r="R244" s="4308">
        <f t="shared" si="59"/>
        <v>1.818181818181813</v>
      </c>
      <c r="S244" s="4309"/>
      <c r="T244" s="4310"/>
      <c r="U244" s="4311"/>
      <c r="V244" s="3925">
        <f t="shared" si="50"/>
        <v>3500000000</v>
      </c>
    </row>
    <row r="245" spans="1:22" s="257" customFormat="1" ht="15.05" customHeight="1">
      <c r="A245" s="1886"/>
      <c r="B245" s="1886"/>
      <c r="C245" s="1886"/>
      <c r="D245" s="1886"/>
      <c r="E245" s="1886"/>
      <c r="F245" s="1887"/>
      <c r="G245" s="1888"/>
      <c r="H245" s="856"/>
      <c r="I245" s="1894"/>
      <c r="J245" s="3173"/>
      <c r="K245" s="3173"/>
      <c r="L245" s="3174"/>
      <c r="M245" s="3175">
        <v>0</v>
      </c>
      <c r="N245" s="3174"/>
      <c r="O245" s="3174">
        <f>+N245+M245</f>
        <v>0</v>
      </c>
      <c r="P245" s="3174" t="s">
        <v>556</v>
      </c>
      <c r="Q245" s="3174"/>
      <c r="R245" s="3612"/>
      <c r="S245" s="3712"/>
      <c r="T245" s="3831"/>
      <c r="U245" s="3771"/>
      <c r="V245" s="1846">
        <f t="shared" si="50"/>
        <v>0</v>
      </c>
    </row>
    <row r="246" spans="1:22" s="4270" customFormat="1" ht="15.05" customHeight="1">
      <c r="A246" s="4257">
        <v>4</v>
      </c>
      <c r="B246" s="4258">
        <v>1</v>
      </c>
      <c r="C246" s="4258">
        <v>4</v>
      </c>
      <c r="D246" s="4258" t="s">
        <v>445</v>
      </c>
      <c r="E246" s="4258"/>
      <c r="F246" s="4259" t="s">
        <v>217</v>
      </c>
      <c r="G246" s="4260"/>
      <c r="H246" s="4261"/>
      <c r="I246" s="4386"/>
      <c r="J246" s="4387">
        <f t="shared" ref="J246:P246" si="60">SUM(J247:J248)</f>
        <v>1205211975</v>
      </c>
      <c r="K246" s="4387">
        <f t="shared" si="60"/>
        <v>354139064.23000002</v>
      </c>
      <c r="L246" s="4387">
        <f t="shared" si="60"/>
        <v>1205211975</v>
      </c>
      <c r="M246" s="4387">
        <f t="shared" si="60"/>
        <v>200000</v>
      </c>
      <c r="N246" s="4387">
        <f t="shared" si="60"/>
        <v>0</v>
      </c>
      <c r="O246" s="4387">
        <f t="shared" si="60"/>
        <v>200000</v>
      </c>
      <c r="P246" s="4264">
        <f t="shared" si="60"/>
        <v>1205211975</v>
      </c>
      <c r="Q246" s="4264">
        <f t="shared" si="58"/>
        <v>0</v>
      </c>
      <c r="R246" s="4265">
        <f t="shared" si="59"/>
        <v>0</v>
      </c>
      <c r="S246" s="4266"/>
      <c r="T246" s="4267"/>
      <c r="U246" s="4268"/>
      <c r="V246" s="4269">
        <f t="shared" si="50"/>
        <v>800000</v>
      </c>
    </row>
    <row r="247" spans="1:22" s="3896" customFormat="1" ht="15.05" customHeight="1">
      <c r="A247" s="4300">
        <v>4</v>
      </c>
      <c r="B247" s="4300">
        <v>1</v>
      </c>
      <c r="C247" s="4300">
        <v>4</v>
      </c>
      <c r="D247" s="4300" t="s">
        <v>445</v>
      </c>
      <c r="E247" s="4300" t="s">
        <v>437</v>
      </c>
      <c r="F247" s="4301" t="s">
        <v>218</v>
      </c>
      <c r="G247" s="4302"/>
      <c r="H247" s="4303"/>
      <c r="I247" s="4304"/>
      <c r="J247" s="4305">
        <v>1190211975</v>
      </c>
      <c r="K247" s="4305">
        <v>340768064.23000002</v>
      </c>
      <c r="L247" s="4306">
        <v>1190211975</v>
      </c>
      <c r="M247" s="4307">
        <v>0</v>
      </c>
      <c r="N247" s="4306">
        <v>0</v>
      </c>
      <c r="O247" s="4306">
        <v>0</v>
      </c>
      <c r="P247" s="4306">
        <v>1190211975</v>
      </c>
      <c r="Q247" s="4306">
        <f t="shared" si="58"/>
        <v>0</v>
      </c>
      <c r="R247" s="4308">
        <f t="shared" si="59"/>
        <v>0</v>
      </c>
      <c r="S247" s="4309"/>
      <c r="T247" s="4310"/>
      <c r="U247" s="3923"/>
      <c r="V247" s="3925">
        <f t="shared" si="50"/>
        <v>0</v>
      </c>
    </row>
    <row r="248" spans="1:22" s="3896" customFormat="1" ht="15.05" customHeight="1">
      <c r="A248" s="3924">
        <v>4</v>
      </c>
      <c r="B248" s="3924">
        <v>1</v>
      </c>
      <c r="C248" s="3924">
        <v>4</v>
      </c>
      <c r="D248" s="3924" t="s">
        <v>445</v>
      </c>
      <c r="E248" s="3924" t="s">
        <v>438</v>
      </c>
      <c r="F248" s="4388" t="s">
        <v>219</v>
      </c>
      <c r="G248" s="2826"/>
      <c r="H248" s="3917"/>
      <c r="I248" s="3917"/>
      <c r="J248" s="3993">
        <v>15000000</v>
      </c>
      <c r="K248" s="3918">
        <v>13371000</v>
      </c>
      <c r="L248" s="3919">
        <v>15000000</v>
      </c>
      <c r="M248" s="3265">
        <v>200000</v>
      </c>
      <c r="N248" s="3919">
        <v>0</v>
      </c>
      <c r="O248" s="3919">
        <v>200000</v>
      </c>
      <c r="P248" s="3919">
        <v>15000000</v>
      </c>
      <c r="Q248" s="3919">
        <f t="shared" si="58"/>
        <v>0</v>
      </c>
      <c r="R248" s="3920">
        <f t="shared" si="59"/>
        <v>0</v>
      </c>
      <c r="S248" s="3921"/>
      <c r="T248" s="3922"/>
      <c r="U248" s="3923"/>
      <c r="V248" s="3925">
        <f t="shared" si="50"/>
        <v>800000</v>
      </c>
    </row>
    <row r="249" spans="1:22" s="257" customFormat="1" ht="15.05" customHeight="1">
      <c r="A249" s="1886"/>
      <c r="B249" s="1886"/>
      <c r="C249" s="1886"/>
      <c r="D249" s="1886"/>
      <c r="E249" s="1886"/>
      <c r="F249" s="1887"/>
      <c r="G249" s="1888"/>
      <c r="H249" s="856"/>
      <c r="I249" s="856"/>
      <c r="J249" s="3238"/>
      <c r="K249" s="3173"/>
      <c r="L249" s="3174"/>
      <c r="M249" s="3175"/>
      <c r="N249" s="3174"/>
      <c r="O249" s="3174"/>
      <c r="P249" s="3174"/>
      <c r="Q249" s="3174"/>
      <c r="R249" s="3612"/>
      <c r="S249" s="3712"/>
      <c r="T249" s="3831"/>
      <c r="U249" s="1899"/>
      <c r="V249" s="1846">
        <f t="shared" si="50"/>
        <v>0</v>
      </c>
    </row>
    <row r="250" spans="1:22" s="4270" customFormat="1" ht="15.05" customHeight="1">
      <c r="A250" s="4257">
        <v>4</v>
      </c>
      <c r="B250" s="4258">
        <v>1</v>
      </c>
      <c r="C250" s="4258">
        <v>4</v>
      </c>
      <c r="D250" s="4258" t="s">
        <v>441</v>
      </c>
      <c r="E250" s="4258"/>
      <c r="F250" s="4312" t="s">
        <v>557</v>
      </c>
      <c r="G250" s="4261"/>
      <c r="H250" s="4261"/>
      <c r="I250" s="4261"/>
      <c r="J250" s="4313">
        <v>0</v>
      </c>
      <c r="K250" s="4314">
        <f t="shared" ref="K250:P250" si="61">K251</f>
        <v>810940665.47000003</v>
      </c>
      <c r="L250" s="4314">
        <f t="shared" si="61"/>
        <v>0</v>
      </c>
      <c r="M250" s="4314">
        <f t="shared" si="61"/>
        <v>81048456.790000007</v>
      </c>
      <c r="N250" s="4314">
        <f t="shared" si="61"/>
        <v>73760000</v>
      </c>
      <c r="O250" s="4314">
        <f t="shared" si="61"/>
        <v>82408456.790000007</v>
      </c>
      <c r="P250" s="4314">
        <f t="shared" si="61"/>
        <v>82408000</v>
      </c>
      <c r="Q250" s="4315">
        <f t="shared" ref="Q250:Q266" si="62">+P250-L250</f>
        <v>82408000</v>
      </c>
      <c r="R250" s="4316">
        <v>0</v>
      </c>
      <c r="S250" s="4317"/>
      <c r="T250" s="4318"/>
      <c r="U250" s="4319"/>
      <c r="V250" s="4269">
        <f t="shared" si="50"/>
        <v>329633827.16000003</v>
      </c>
    </row>
    <row r="251" spans="1:22" s="4329" customFormat="1" ht="15.05" customHeight="1">
      <c r="A251" s="4271">
        <v>4</v>
      </c>
      <c r="B251" s="4271">
        <v>1</v>
      </c>
      <c r="C251" s="4271">
        <v>4</v>
      </c>
      <c r="D251" s="4271" t="s">
        <v>441</v>
      </c>
      <c r="E251" s="4271" t="s">
        <v>437</v>
      </c>
      <c r="F251" s="4320" t="s">
        <v>72</v>
      </c>
      <c r="G251" s="4274"/>
      <c r="H251" s="4274"/>
      <c r="I251" s="4274"/>
      <c r="J251" s="4321" t="s">
        <v>50</v>
      </c>
      <c r="K251" s="4322">
        <f>SUM(K252:K266)</f>
        <v>810940665.47000003</v>
      </c>
      <c r="L251" s="4323">
        <v>0</v>
      </c>
      <c r="M251" s="4324">
        <v>81048456.790000007</v>
      </c>
      <c r="N251" s="4323">
        <v>73760000</v>
      </c>
      <c r="O251" s="4323">
        <v>82408456.790000007</v>
      </c>
      <c r="P251" s="4323">
        <f>SUM(P252:P266)</f>
        <v>82408000</v>
      </c>
      <c r="Q251" s="4323">
        <f t="shared" si="62"/>
        <v>82408000</v>
      </c>
      <c r="R251" s="4325">
        <v>0</v>
      </c>
      <c r="S251" s="4326"/>
      <c r="T251" s="4327"/>
      <c r="U251" s="4328"/>
      <c r="V251" s="3925">
        <f t="shared" si="50"/>
        <v>329633827.16000003</v>
      </c>
    </row>
    <row r="252" spans="1:22" s="3896" customFormat="1" ht="15.05" customHeight="1">
      <c r="A252" s="3924"/>
      <c r="B252" s="3924"/>
      <c r="C252" s="3924"/>
      <c r="D252" s="3924"/>
      <c r="E252" s="3924"/>
      <c r="F252" s="4330" t="s">
        <v>50</v>
      </c>
      <c r="G252" s="3917" t="s">
        <v>558</v>
      </c>
      <c r="H252" s="3917"/>
      <c r="I252" s="3917"/>
      <c r="J252" s="4331" t="s">
        <v>50</v>
      </c>
      <c r="K252" s="4332">
        <v>188674021.74000001</v>
      </c>
      <c r="L252" s="4333">
        <v>0</v>
      </c>
      <c r="M252" s="4334">
        <v>81048456.790000007</v>
      </c>
      <c r="N252" s="4333">
        <v>1360000</v>
      </c>
      <c r="O252" s="4333">
        <v>82408456.790000007</v>
      </c>
      <c r="P252" s="4333">
        <v>82408000</v>
      </c>
      <c r="Q252" s="4333">
        <f t="shared" si="62"/>
        <v>82408000</v>
      </c>
      <c r="R252" s="3920">
        <v>0</v>
      </c>
      <c r="S252" s="4335"/>
      <c r="T252" s="3922"/>
      <c r="U252" s="4336"/>
      <c r="V252" s="3925">
        <f t="shared" si="50"/>
        <v>329633827.16000003</v>
      </c>
    </row>
    <row r="253" spans="1:22" s="257" customFormat="1" ht="15.05" customHeight="1">
      <c r="A253" s="1855"/>
      <c r="B253" s="1855"/>
      <c r="C253" s="1855"/>
      <c r="D253" s="1855"/>
      <c r="E253" s="1855"/>
      <c r="F253" s="2359" t="s">
        <v>50</v>
      </c>
      <c r="G253" s="200" t="s">
        <v>559</v>
      </c>
      <c r="H253" s="200"/>
      <c r="I253" s="200"/>
      <c r="J253" s="3248" t="s">
        <v>50</v>
      </c>
      <c r="K253" s="3216">
        <v>0</v>
      </c>
      <c r="L253" s="3249"/>
      <c r="M253" s="3250"/>
      <c r="N253" s="3249">
        <v>72400000</v>
      </c>
      <c r="O253" s="3249"/>
      <c r="P253" s="3249"/>
      <c r="Q253" s="3249">
        <f t="shared" si="62"/>
        <v>0</v>
      </c>
      <c r="R253" s="3605">
        <v>0</v>
      </c>
      <c r="S253" s="3748"/>
      <c r="T253" s="3826"/>
      <c r="U253" s="3794"/>
      <c r="V253" s="1846">
        <f t="shared" si="50"/>
        <v>0</v>
      </c>
    </row>
    <row r="254" spans="1:22" s="257" customFormat="1" ht="15.05" customHeight="1">
      <c r="A254" s="1855"/>
      <c r="B254" s="1855"/>
      <c r="C254" s="1855"/>
      <c r="D254" s="1855"/>
      <c r="E254" s="1855"/>
      <c r="F254" s="2359" t="s">
        <v>50</v>
      </c>
      <c r="G254" s="253" t="s">
        <v>1160</v>
      </c>
      <c r="H254" s="253"/>
      <c r="I254" s="200"/>
      <c r="J254" s="3248" t="s">
        <v>50</v>
      </c>
      <c r="K254" s="3216">
        <v>7295582</v>
      </c>
      <c r="L254" s="3249"/>
      <c r="M254" s="3250"/>
      <c r="N254" s="3249"/>
      <c r="O254" s="3249"/>
      <c r="P254" s="3249"/>
      <c r="Q254" s="3249">
        <f t="shared" si="62"/>
        <v>0</v>
      </c>
      <c r="R254" s="3605">
        <v>0</v>
      </c>
      <c r="S254" s="3748"/>
      <c r="T254" s="3826"/>
      <c r="U254" s="3794"/>
      <c r="V254" s="1846">
        <f t="shared" si="50"/>
        <v>0</v>
      </c>
    </row>
    <row r="255" spans="1:22" s="257" customFormat="1" ht="15.05" customHeight="1">
      <c r="A255" s="1855"/>
      <c r="B255" s="1855"/>
      <c r="C255" s="1855"/>
      <c r="D255" s="1855"/>
      <c r="E255" s="1855"/>
      <c r="F255" s="2359" t="s">
        <v>50</v>
      </c>
      <c r="G255" s="200" t="s">
        <v>1161</v>
      </c>
      <c r="H255" s="2329"/>
      <c r="I255" s="200"/>
      <c r="J255" s="3248" t="s">
        <v>50</v>
      </c>
      <c r="K255" s="3216">
        <v>0</v>
      </c>
      <c r="L255" s="3249"/>
      <c r="M255" s="3250"/>
      <c r="N255" s="3249"/>
      <c r="O255" s="3249"/>
      <c r="P255" s="3249"/>
      <c r="Q255" s="3249">
        <f t="shared" si="62"/>
        <v>0</v>
      </c>
      <c r="R255" s="3605">
        <v>0</v>
      </c>
      <c r="S255" s="3748"/>
      <c r="T255" s="3826"/>
      <c r="U255" s="3794"/>
      <c r="V255" s="1846">
        <f t="shared" si="50"/>
        <v>0</v>
      </c>
    </row>
    <row r="256" spans="1:22" s="257" customFormat="1" ht="15.05" customHeight="1">
      <c r="A256" s="1855"/>
      <c r="B256" s="1855"/>
      <c r="C256" s="1855"/>
      <c r="D256" s="1855"/>
      <c r="E256" s="1855"/>
      <c r="F256" s="2359" t="s">
        <v>50</v>
      </c>
      <c r="G256" s="200" t="s">
        <v>681</v>
      </c>
      <c r="H256" s="200"/>
      <c r="I256" s="200"/>
      <c r="J256" s="3248" t="s">
        <v>50</v>
      </c>
      <c r="K256" s="3216">
        <v>164498989</v>
      </c>
      <c r="L256" s="3249"/>
      <c r="M256" s="3250"/>
      <c r="N256" s="3249"/>
      <c r="O256" s="3249"/>
      <c r="P256" s="3249"/>
      <c r="Q256" s="3249">
        <f t="shared" si="62"/>
        <v>0</v>
      </c>
      <c r="R256" s="3605">
        <v>0</v>
      </c>
      <c r="S256" s="3275"/>
      <c r="T256" s="3826"/>
      <c r="U256" s="3794"/>
      <c r="V256" s="1846">
        <f t="shared" si="50"/>
        <v>0</v>
      </c>
    </row>
    <row r="257" spans="1:22" s="257" customFormat="1" ht="15.05" customHeight="1">
      <c r="A257" s="1855"/>
      <c r="B257" s="1855"/>
      <c r="C257" s="1855"/>
      <c r="D257" s="1855"/>
      <c r="E257" s="1855"/>
      <c r="F257" s="2359" t="s">
        <v>50</v>
      </c>
      <c r="G257" s="200" t="s">
        <v>1162</v>
      </c>
      <c r="H257" s="200"/>
      <c r="I257" s="200"/>
      <c r="J257" s="3248" t="s">
        <v>50</v>
      </c>
      <c r="K257" s="3216">
        <v>19560365.73</v>
      </c>
      <c r="L257" s="3249"/>
      <c r="M257" s="3250"/>
      <c r="N257" s="3249"/>
      <c r="O257" s="3249"/>
      <c r="P257" s="3249"/>
      <c r="Q257" s="3249">
        <f t="shared" si="62"/>
        <v>0</v>
      </c>
      <c r="R257" s="3605">
        <v>0</v>
      </c>
      <c r="S257" s="3748"/>
      <c r="T257" s="3826"/>
      <c r="U257" s="3794"/>
      <c r="V257" s="1846">
        <f t="shared" si="50"/>
        <v>0</v>
      </c>
    </row>
    <row r="258" spans="1:22" s="257" customFormat="1" ht="15.05" customHeight="1">
      <c r="A258" s="1855"/>
      <c r="B258" s="1855"/>
      <c r="C258" s="1855"/>
      <c r="D258" s="1855"/>
      <c r="E258" s="1855"/>
      <c r="F258" s="2359" t="s">
        <v>50</v>
      </c>
      <c r="G258" s="200" t="s">
        <v>544</v>
      </c>
      <c r="H258" s="200"/>
      <c r="I258" s="200"/>
      <c r="J258" s="3248" t="s">
        <v>50</v>
      </c>
      <c r="K258" s="3216">
        <v>11790410</v>
      </c>
      <c r="L258" s="3249"/>
      <c r="M258" s="3250"/>
      <c r="N258" s="3249"/>
      <c r="O258" s="3249"/>
      <c r="P258" s="3249"/>
      <c r="Q258" s="3249">
        <f t="shared" si="62"/>
        <v>0</v>
      </c>
      <c r="R258" s="3605">
        <v>0</v>
      </c>
      <c r="S258" s="3748"/>
      <c r="T258" s="3826"/>
      <c r="U258" s="3794"/>
      <c r="V258" s="1846">
        <f t="shared" si="50"/>
        <v>0</v>
      </c>
    </row>
    <row r="259" spans="1:22" s="257" customFormat="1" ht="15.05" customHeight="1">
      <c r="A259" s="1855"/>
      <c r="B259" s="1855"/>
      <c r="C259" s="1855"/>
      <c r="D259" s="1855"/>
      <c r="E259" s="1855"/>
      <c r="F259" s="2359" t="s">
        <v>50</v>
      </c>
      <c r="G259" s="200" t="s">
        <v>1163</v>
      </c>
      <c r="H259" s="2329"/>
      <c r="I259" s="200"/>
      <c r="J259" s="3248" t="s">
        <v>50</v>
      </c>
      <c r="K259" s="3216">
        <v>90692121</v>
      </c>
      <c r="L259" s="3249"/>
      <c r="M259" s="3250"/>
      <c r="N259" s="3249"/>
      <c r="O259" s="3249"/>
      <c r="P259" s="3249"/>
      <c r="Q259" s="3249">
        <f t="shared" si="62"/>
        <v>0</v>
      </c>
      <c r="R259" s="3605">
        <v>0</v>
      </c>
      <c r="S259" s="3748"/>
      <c r="T259" s="3826"/>
      <c r="U259" s="3794"/>
      <c r="V259" s="1846">
        <f t="shared" si="50"/>
        <v>0</v>
      </c>
    </row>
    <row r="260" spans="1:22" s="257" customFormat="1" ht="15.05" customHeight="1">
      <c r="A260" s="1855"/>
      <c r="B260" s="1855"/>
      <c r="C260" s="1855"/>
      <c r="D260" s="1855"/>
      <c r="E260" s="1855"/>
      <c r="F260" s="2359" t="s">
        <v>50</v>
      </c>
      <c r="G260" s="200" t="s">
        <v>1164</v>
      </c>
      <c r="H260" s="2329"/>
      <c r="I260" s="200"/>
      <c r="J260" s="3248" t="s">
        <v>50</v>
      </c>
      <c r="K260" s="3216">
        <v>126061400</v>
      </c>
      <c r="L260" s="3249"/>
      <c r="M260" s="3250"/>
      <c r="N260" s="3249"/>
      <c r="O260" s="3249"/>
      <c r="P260" s="3249"/>
      <c r="Q260" s="3249">
        <f t="shared" si="62"/>
        <v>0</v>
      </c>
      <c r="R260" s="3605">
        <v>0</v>
      </c>
      <c r="S260" s="3748"/>
      <c r="T260" s="3826"/>
      <c r="U260" s="3794"/>
      <c r="V260" s="1846">
        <f t="shared" si="50"/>
        <v>0</v>
      </c>
    </row>
    <row r="261" spans="1:22" s="257" customFormat="1" ht="15.05" customHeight="1">
      <c r="A261" s="1855"/>
      <c r="B261" s="1855"/>
      <c r="C261" s="1855"/>
      <c r="D261" s="1855"/>
      <c r="E261" s="1855"/>
      <c r="F261" s="2359" t="s">
        <v>50</v>
      </c>
      <c r="G261" s="200" t="s">
        <v>1165</v>
      </c>
      <c r="H261" s="200"/>
      <c r="I261" s="200"/>
      <c r="J261" s="3248" t="s">
        <v>50</v>
      </c>
      <c r="K261" s="3216">
        <v>1835685</v>
      </c>
      <c r="L261" s="3249"/>
      <c r="M261" s="3250"/>
      <c r="N261" s="3249"/>
      <c r="O261" s="3249"/>
      <c r="P261" s="3249"/>
      <c r="Q261" s="3249">
        <f t="shared" si="62"/>
        <v>0</v>
      </c>
      <c r="R261" s="3605">
        <v>0</v>
      </c>
      <c r="S261" s="3748"/>
      <c r="T261" s="3826"/>
      <c r="U261" s="3794"/>
      <c r="V261" s="1846">
        <f t="shared" si="50"/>
        <v>0</v>
      </c>
    </row>
    <row r="262" spans="1:22" s="257" customFormat="1" ht="15.05" customHeight="1">
      <c r="A262" s="1855"/>
      <c r="B262" s="1855"/>
      <c r="C262" s="1855"/>
      <c r="D262" s="1855"/>
      <c r="E262" s="1855"/>
      <c r="F262" s="2359" t="s">
        <v>50</v>
      </c>
      <c r="G262" s="200" t="s">
        <v>924</v>
      </c>
      <c r="H262" s="2329"/>
      <c r="I262" s="200"/>
      <c r="J262" s="3248" t="s">
        <v>50</v>
      </c>
      <c r="K262" s="3216">
        <v>0</v>
      </c>
      <c r="L262" s="3249"/>
      <c r="M262" s="3250"/>
      <c r="N262" s="3249"/>
      <c r="O262" s="3249"/>
      <c r="P262" s="3249"/>
      <c r="Q262" s="3249">
        <f t="shared" si="62"/>
        <v>0</v>
      </c>
      <c r="R262" s="3605">
        <v>0</v>
      </c>
      <c r="S262" s="3748"/>
      <c r="T262" s="3826"/>
      <c r="U262" s="3794"/>
      <c r="V262" s="1846">
        <f t="shared" si="50"/>
        <v>0</v>
      </c>
    </row>
    <row r="263" spans="1:22" s="257" customFormat="1" ht="15.05" customHeight="1">
      <c r="A263" s="1855"/>
      <c r="B263" s="1855"/>
      <c r="C263" s="1855"/>
      <c r="D263" s="1855"/>
      <c r="E263" s="1855"/>
      <c r="F263" s="2359" t="s">
        <v>50</v>
      </c>
      <c r="G263" s="200" t="s">
        <v>1166</v>
      </c>
      <c r="H263" s="2329"/>
      <c r="I263" s="200"/>
      <c r="J263" s="3248" t="s">
        <v>50</v>
      </c>
      <c r="K263" s="3216">
        <v>21802000</v>
      </c>
      <c r="L263" s="3249"/>
      <c r="M263" s="3250"/>
      <c r="N263" s="3249"/>
      <c r="O263" s="3249"/>
      <c r="P263" s="3249"/>
      <c r="Q263" s="3249">
        <f t="shared" si="62"/>
        <v>0</v>
      </c>
      <c r="R263" s="3605">
        <v>0</v>
      </c>
      <c r="S263" s="3748"/>
      <c r="T263" s="3826"/>
      <c r="U263" s="3794"/>
      <c r="V263" s="1846">
        <f t="shared" si="50"/>
        <v>0</v>
      </c>
    </row>
    <row r="264" spans="1:22" s="257" customFormat="1" ht="15.05" customHeight="1">
      <c r="A264" s="1855"/>
      <c r="B264" s="1855"/>
      <c r="C264" s="1855"/>
      <c r="D264" s="1855"/>
      <c r="E264" s="1855"/>
      <c r="F264" s="2359" t="s">
        <v>50</v>
      </c>
      <c r="G264" s="200" t="s">
        <v>1167</v>
      </c>
      <c r="H264" s="2329"/>
      <c r="I264" s="200"/>
      <c r="J264" s="3248" t="s">
        <v>50</v>
      </c>
      <c r="K264" s="3216">
        <v>415440</v>
      </c>
      <c r="L264" s="3249"/>
      <c r="M264" s="3250"/>
      <c r="N264" s="3249"/>
      <c r="O264" s="3249"/>
      <c r="P264" s="3249"/>
      <c r="Q264" s="3249">
        <f t="shared" si="62"/>
        <v>0</v>
      </c>
      <c r="R264" s="3605">
        <v>0</v>
      </c>
      <c r="S264" s="3748"/>
      <c r="T264" s="3826"/>
      <c r="U264" s="3794"/>
      <c r="V264" s="1846">
        <f t="shared" si="50"/>
        <v>0</v>
      </c>
    </row>
    <row r="265" spans="1:22" s="257" customFormat="1" ht="15.05" customHeight="1">
      <c r="A265" s="1855"/>
      <c r="B265" s="1855"/>
      <c r="C265" s="1855"/>
      <c r="D265" s="1855"/>
      <c r="E265" s="1855"/>
      <c r="F265" s="2359" t="s">
        <v>50</v>
      </c>
      <c r="G265" s="200" t="s">
        <v>99</v>
      </c>
      <c r="H265" s="2329"/>
      <c r="I265" s="200"/>
      <c r="J265" s="3248" t="s">
        <v>50</v>
      </c>
      <c r="K265" s="3216">
        <v>178187151</v>
      </c>
      <c r="L265" s="3249"/>
      <c r="M265" s="3250"/>
      <c r="N265" s="3249"/>
      <c r="O265" s="3249"/>
      <c r="P265" s="3249"/>
      <c r="Q265" s="3249">
        <f t="shared" si="62"/>
        <v>0</v>
      </c>
      <c r="R265" s="3605">
        <v>0</v>
      </c>
      <c r="S265" s="3748"/>
      <c r="T265" s="3826"/>
      <c r="U265" s="3794"/>
      <c r="V265" s="1846">
        <f t="shared" si="50"/>
        <v>0</v>
      </c>
    </row>
    <row r="266" spans="1:22" s="257" customFormat="1" ht="15.05" customHeight="1">
      <c r="A266" s="1855"/>
      <c r="B266" s="1855"/>
      <c r="C266" s="1855"/>
      <c r="D266" s="1855"/>
      <c r="E266" s="1855"/>
      <c r="F266" s="2359" t="s">
        <v>50</v>
      </c>
      <c r="G266" s="200" t="s">
        <v>1168</v>
      </c>
      <c r="H266" s="2329"/>
      <c r="I266" s="200"/>
      <c r="J266" s="3215"/>
      <c r="K266" s="3216">
        <v>127500</v>
      </c>
      <c r="L266" s="3249"/>
      <c r="M266" s="3250"/>
      <c r="N266" s="3249"/>
      <c r="O266" s="3249"/>
      <c r="P266" s="3249"/>
      <c r="Q266" s="3249">
        <f t="shared" si="62"/>
        <v>0</v>
      </c>
      <c r="R266" s="3605">
        <v>0</v>
      </c>
      <c r="S266" s="3275"/>
      <c r="T266" s="3826"/>
      <c r="U266" s="3794"/>
      <c r="V266" s="1846">
        <f t="shared" si="50"/>
        <v>0</v>
      </c>
    </row>
    <row r="267" spans="1:22" s="257" customFormat="1" ht="15.05" customHeight="1">
      <c r="A267" s="1886"/>
      <c r="B267" s="1886"/>
      <c r="C267" s="1886"/>
      <c r="D267" s="1886"/>
      <c r="E267" s="1886"/>
      <c r="F267" s="2843"/>
      <c r="G267" s="2844"/>
      <c r="H267" s="856"/>
      <c r="I267" s="856"/>
      <c r="J267" s="3238"/>
      <c r="K267" s="3251"/>
      <c r="L267" s="3252"/>
      <c r="M267" s="3253"/>
      <c r="N267" s="3252"/>
      <c r="O267" s="3252"/>
      <c r="P267" s="3174"/>
      <c r="Q267" s="3174"/>
      <c r="R267" s="3612"/>
      <c r="S267" s="3712"/>
      <c r="T267" s="3831"/>
      <c r="U267" s="1899"/>
      <c r="V267" s="1846">
        <f t="shared" si="50"/>
        <v>0</v>
      </c>
    </row>
    <row r="268" spans="1:22" s="2947" customFormat="1" ht="15.05" customHeight="1">
      <c r="A268" s="3053">
        <v>4</v>
      </c>
      <c r="B268" s="3054">
        <v>1</v>
      </c>
      <c r="C268" s="3054">
        <v>4</v>
      </c>
      <c r="D268" s="3054" t="s">
        <v>456</v>
      </c>
      <c r="E268" s="3054"/>
      <c r="F268" s="3056" t="s">
        <v>307</v>
      </c>
      <c r="G268" s="3057"/>
      <c r="H268" s="3064"/>
      <c r="I268" s="3064"/>
      <c r="J268" s="3212">
        <f>J269+J280</f>
        <v>18548560000</v>
      </c>
      <c r="K268" s="3212">
        <f t="shared" ref="K268:P268" si="63">K269+K280</f>
        <v>19634060483</v>
      </c>
      <c r="L268" s="3212">
        <f>L269+L280</f>
        <v>18548560000</v>
      </c>
      <c r="M268" s="3212">
        <f t="shared" si="63"/>
        <v>3186070400</v>
      </c>
      <c r="N268" s="3212">
        <f t="shared" si="63"/>
        <v>2296646661</v>
      </c>
      <c r="O268" s="3212">
        <f t="shared" si="63"/>
        <v>5482717061</v>
      </c>
      <c r="P268" s="3212">
        <f t="shared" si="63"/>
        <v>18798560000</v>
      </c>
      <c r="Q268" s="3178">
        <f t="shared" ref="Q268:Q294" si="64">+P268-L268</f>
        <v>250000000</v>
      </c>
      <c r="R268" s="3621">
        <f>+P268/L268*100-100</f>
        <v>1.3478135229904638</v>
      </c>
      <c r="S268" s="3716"/>
      <c r="T268" s="3838"/>
      <c r="U268" s="3066"/>
      <c r="V268" s="2944">
        <f t="shared" si="50"/>
        <v>21930868244</v>
      </c>
    </row>
    <row r="269" spans="1:22" s="257" customFormat="1" ht="15.05" customHeight="1">
      <c r="A269" s="1889">
        <v>4</v>
      </c>
      <c r="B269" s="1889">
        <v>1</v>
      </c>
      <c r="C269" s="1889">
        <v>4</v>
      </c>
      <c r="D269" s="1889" t="s">
        <v>456</v>
      </c>
      <c r="E269" s="1889" t="s">
        <v>437</v>
      </c>
      <c r="F269" s="3087" t="s">
        <v>309</v>
      </c>
      <c r="G269" s="3084"/>
      <c r="H269" s="224"/>
      <c r="I269" s="224"/>
      <c r="J269" s="3254">
        <v>18448560000</v>
      </c>
      <c r="K269" s="3237">
        <v>19268531170</v>
      </c>
      <c r="L269" s="3234">
        <v>18448560000</v>
      </c>
      <c r="M269" s="3225">
        <v>3064125447</v>
      </c>
      <c r="N269" s="3234">
        <v>2223238906</v>
      </c>
      <c r="O269" s="3234">
        <v>5287364353</v>
      </c>
      <c r="P269" s="3234">
        <v>18448560000</v>
      </c>
      <c r="Q269" s="3234">
        <f t="shared" si="64"/>
        <v>0</v>
      </c>
      <c r="R269" s="3604">
        <f>+P269/L269*100-100</f>
        <v>0</v>
      </c>
      <c r="S269" s="3701"/>
      <c r="T269" s="3819"/>
      <c r="U269" s="1900"/>
      <c r="V269" s="1846">
        <f t="shared" si="50"/>
        <v>21149457412</v>
      </c>
    </row>
    <row r="270" spans="1:22" s="257" customFormat="1" ht="15.05" customHeight="1">
      <c r="A270" s="1855"/>
      <c r="B270" s="1855"/>
      <c r="C270" s="1855"/>
      <c r="D270" s="1855"/>
      <c r="E270" s="1855"/>
      <c r="F270" s="2359" t="s">
        <v>50</v>
      </c>
      <c r="G270" s="213"/>
      <c r="H270" s="200" t="str">
        <f>MAR!I523</f>
        <v>Samsat Mataram</v>
      </c>
      <c r="I270" s="200"/>
      <c r="J270" s="3215">
        <v>18448560000</v>
      </c>
      <c r="K270" s="3171">
        <v>5900994481</v>
      </c>
      <c r="L270" s="3125">
        <v>0</v>
      </c>
      <c r="M270" s="3124">
        <v>950178232</v>
      </c>
      <c r="N270" s="3125">
        <v>483669403</v>
      </c>
      <c r="O270" s="3125">
        <v>1433847635</v>
      </c>
      <c r="P270" s="3125">
        <v>0</v>
      </c>
      <c r="Q270" s="3125">
        <f t="shared" si="64"/>
        <v>0</v>
      </c>
      <c r="R270" s="3605">
        <v>0</v>
      </c>
      <c r="S270" s="3275"/>
      <c r="T270" s="3826"/>
      <c r="U270" s="3771"/>
      <c r="V270" s="1846">
        <f t="shared" si="50"/>
        <v>5735390540</v>
      </c>
    </row>
    <row r="271" spans="1:22" s="257" customFormat="1" ht="15.05" customHeight="1">
      <c r="A271" s="1855"/>
      <c r="B271" s="1855"/>
      <c r="C271" s="1855"/>
      <c r="D271" s="1855"/>
      <c r="E271" s="1855"/>
      <c r="F271" s="2359" t="s">
        <v>50</v>
      </c>
      <c r="G271" s="213"/>
      <c r="H271" s="200" t="str">
        <f>MAR!I524</f>
        <v>Samsat Praya</v>
      </c>
      <c r="I271" s="200"/>
      <c r="J271" s="3215"/>
      <c r="K271" s="3171">
        <v>2780920166</v>
      </c>
      <c r="L271" s="3125">
        <v>0</v>
      </c>
      <c r="M271" s="3124">
        <v>464483071</v>
      </c>
      <c r="N271" s="3125">
        <v>700930596</v>
      </c>
      <c r="O271" s="3125">
        <v>1165413667</v>
      </c>
      <c r="P271" s="3125">
        <v>0</v>
      </c>
      <c r="Q271" s="3125">
        <f t="shared" si="64"/>
        <v>0</v>
      </c>
      <c r="R271" s="3605">
        <v>0</v>
      </c>
      <c r="S271" s="3275"/>
      <c r="T271" s="3826"/>
      <c r="U271" s="3771"/>
      <c r="V271" s="1846">
        <f t="shared" si="50"/>
        <v>4661654668</v>
      </c>
    </row>
    <row r="272" spans="1:22" s="257" customFormat="1" ht="15.05" customHeight="1">
      <c r="A272" s="1855"/>
      <c r="B272" s="1855"/>
      <c r="C272" s="1855"/>
      <c r="D272" s="1855"/>
      <c r="E272" s="1855"/>
      <c r="F272" s="2359" t="s">
        <v>50</v>
      </c>
      <c r="G272" s="213"/>
      <c r="H272" s="200" t="str">
        <f>MAR!I525</f>
        <v>Samsat Selong</v>
      </c>
      <c r="I272" s="200"/>
      <c r="J272" s="3215"/>
      <c r="K272" s="3171">
        <v>334374917</v>
      </c>
      <c r="L272" s="3125">
        <v>0</v>
      </c>
      <c r="M272" s="3124">
        <v>526640801</v>
      </c>
      <c r="N272" s="3125">
        <v>257640400</v>
      </c>
      <c r="O272" s="3125">
        <v>784281201</v>
      </c>
      <c r="P272" s="3125">
        <v>0</v>
      </c>
      <c r="Q272" s="3125">
        <f t="shared" si="64"/>
        <v>0</v>
      </c>
      <c r="R272" s="3605">
        <v>0</v>
      </c>
      <c r="S272" s="3275"/>
      <c r="T272" s="3826"/>
      <c r="U272" s="3771"/>
      <c r="V272" s="1846">
        <f t="shared" si="50"/>
        <v>3137124804</v>
      </c>
    </row>
    <row r="273" spans="1:22" s="257" customFormat="1" ht="15.05" customHeight="1">
      <c r="A273" s="1855"/>
      <c r="B273" s="1855"/>
      <c r="C273" s="1855"/>
      <c r="D273" s="1855"/>
      <c r="E273" s="1855"/>
      <c r="F273" s="2359" t="s">
        <v>50</v>
      </c>
      <c r="G273" s="213"/>
      <c r="H273" s="200" t="str">
        <f>MAR!I526</f>
        <v>Samsat Sumbawa</v>
      </c>
      <c r="I273" s="200"/>
      <c r="J273" s="3215"/>
      <c r="K273" s="3171">
        <v>1616126594</v>
      </c>
      <c r="L273" s="3125">
        <v>0</v>
      </c>
      <c r="M273" s="3124">
        <v>210189810</v>
      </c>
      <c r="N273" s="3125">
        <v>117317727</v>
      </c>
      <c r="O273" s="3125">
        <v>327507537</v>
      </c>
      <c r="P273" s="3125">
        <v>0</v>
      </c>
      <c r="Q273" s="3125">
        <f t="shared" si="64"/>
        <v>0</v>
      </c>
      <c r="R273" s="3605">
        <v>0</v>
      </c>
      <c r="S273" s="3275"/>
      <c r="T273" s="3826"/>
      <c r="U273" s="3771"/>
      <c r="V273" s="1846">
        <f t="shared" si="50"/>
        <v>1310030148</v>
      </c>
    </row>
    <row r="274" spans="1:22" s="257" customFormat="1" ht="15.05" customHeight="1">
      <c r="A274" s="1855"/>
      <c r="B274" s="1855"/>
      <c r="C274" s="1855"/>
      <c r="D274" s="1855"/>
      <c r="E274" s="1855"/>
      <c r="F274" s="2359" t="s">
        <v>50</v>
      </c>
      <c r="G274" s="213"/>
      <c r="H274" s="200" t="str">
        <f>MAR!I527</f>
        <v>Samsat Kota Bima</v>
      </c>
      <c r="I274" s="200"/>
      <c r="J274" s="3215"/>
      <c r="K274" s="3171">
        <v>154003162</v>
      </c>
      <c r="L274" s="3125">
        <v>0</v>
      </c>
      <c r="M274" s="3124">
        <v>198751703</v>
      </c>
      <c r="N274" s="3125">
        <v>92358050</v>
      </c>
      <c r="O274" s="3125">
        <v>291109753</v>
      </c>
      <c r="P274" s="3125">
        <v>0</v>
      </c>
      <c r="Q274" s="3125">
        <f t="shared" si="64"/>
        <v>0</v>
      </c>
      <c r="R274" s="3605">
        <v>0</v>
      </c>
      <c r="S274" s="3275"/>
      <c r="T274" s="3826"/>
      <c r="U274" s="3771"/>
      <c r="V274" s="1846">
        <f t="shared" si="50"/>
        <v>1164439012</v>
      </c>
    </row>
    <row r="275" spans="1:22" s="257" customFormat="1" ht="15.05" customHeight="1">
      <c r="A275" s="1855"/>
      <c r="B275" s="1855"/>
      <c r="C275" s="1855"/>
      <c r="D275" s="1855"/>
      <c r="E275" s="1855"/>
      <c r="F275" s="2359"/>
      <c r="G275" s="213"/>
      <c r="H275" s="200" t="str">
        <f>MAR!I528</f>
        <v>Samsat Kab. Bima</v>
      </c>
      <c r="I275" s="200"/>
      <c r="J275" s="3215"/>
      <c r="K275" s="3193">
        <v>0</v>
      </c>
      <c r="L275" s="3125"/>
      <c r="M275" s="3124">
        <v>96723700</v>
      </c>
      <c r="N275" s="3125">
        <v>51092666</v>
      </c>
      <c r="O275" s="3125">
        <v>147816366</v>
      </c>
      <c r="P275" s="3125"/>
      <c r="Q275" s="3125">
        <f t="shared" si="64"/>
        <v>0</v>
      </c>
      <c r="R275" s="3605">
        <v>0</v>
      </c>
      <c r="S275" s="3275"/>
      <c r="T275" s="3826"/>
      <c r="U275" s="3771"/>
      <c r="V275" s="1846">
        <f t="shared" si="50"/>
        <v>591265464</v>
      </c>
    </row>
    <row r="276" spans="1:22" s="257" customFormat="1" ht="15.05" customHeight="1">
      <c r="A276" s="1855"/>
      <c r="B276" s="1855"/>
      <c r="C276" s="1855"/>
      <c r="D276" s="1855"/>
      <c r="E276" s="1855"/>
      <c r="F276" s="2359" t="s">
        <v>50</v>
      </c>
      <c r="G276" s="213"/>
      <c r="H276" s="200" t="str">
        <f>MAR!I529</f>
        <v>Samsat Dompu</v>
      </c>
      <c r="I276" s="200"/>
      <c r="J276" s="3215"/>
      <c r="K276" s="3171">
        <v>602053236</v>
      </c>
      <c r="L276" s="3125">
        <v>0</v>
      </c>
      <c r="M276" s="3124">
        <v>94411077</v>
      </c>
      <c r="N276" s="3125">
        <v>45850047</v>
      </c>
      <c r="O276" s="3125">
        <v>140261124</v>
      </c>
      <c r="P276" s="3125">
        <v>0</v>
      </c>
      <c r="Q276" s="3125">
        <f t="shared" si="64"/>
        <v>0</v>
      </c>
      <c r="R276" s="3605">
        <v>0</v>
      </c>
      <c r="S276" s="3275"/>
      <c r="T276" s="3826"/>
      <c r="U276" s="3771"/>
      <c r="V276" s="1846">
        <f t="shared" si="50"/>
        <v>561044496</v>
      </c>
    </row>
    <row r="277" spans="1:22" s="257" customFormat="1" ht="15.05" customHeight="1">
      <c r="A277" s="1855"/>
      <c r="B277" s="1855"/>
      <c r="C277" s="1855"/>
      <c r="D277" s="1855"/>
      <c r="E277" s="1855"/>
      <c r="F277" s="2359" t="s">
        <v>50</v>
      </c>
      <c r="G277" s="213"/>
      <c r="H277" s="200" t="str">
        <f>MAR!I530</f>
        <v>Samsat Lombok Barat</v>
      </c>
      <c r="I277" s="200"/>
      <c r="J277" s="3215"/>
      <c r="K277" s="3171">
        <v>1924735337</v>
      </c>
      <c r="L277" s="3125">
        <v>0</v>
      </c>
      <c r="M277" s="3124">
        <v>310303928</v>
      </c>
      <c r="N277" s="3125">
        <v>180694105</v>
      </c>
      <c r="O277" s="3125">
        <v>490998033</v>
      </c>
      <c r="P277" s="3125">
        <v>0</v>
      </c>
      <c r="Q277" s="3125">
        <f t="shared" si="64"/>
        <v>0</v>
      </c>
      <c r="R277" s="3605">
        <v>0</v>
      </c>
      <c r="S277" s="3275"/>
      <c r="T277" s="3826"/>
      <c r="U277" s="3771"/>
      <c r="V277" s="1846">
        <f t="shared" si="50"/>
        <v>1963992132</v>
      </c>
    </row>
    <row r="278" spans="1:22" s="257" customFormat="1" ht="15.05" customHeight="1">
      <c r="A278" s="1855"/>
      <c r="B278" s="1855"/>
      <c r="C278" s="1855"/>
      <c r="D278" s="1855"/>
      <c r="E278" s="1855"/>
      <c r="F278" s="2359" t="s">
        <v>50</v>
      </c>
      <c r="G278" s="213"/>
      <c r="H278" s="200" t="str">
        <f>MAR!I531</f>
        <v>Samsat Sumbawa Barat</v>
      </c>
      <c r="I278" s="200"/>
      <c r="J278" s="3215"/>
      <c r="K278" s="3171">
        <v>1005251893</v>
      </c>
      <c r="L278" s="3125">
        <v>0</v>
      </c>
      <c r="M278" s="3124">
        <v>107538725</v>
      </c>
      <c r="N278" s="3125">
        <v>242828712</v>
      </c>
      <c r="O278" s="3125">
        <v>350367437</v>
      </c>
      <c r="P278" s="3125">
        <v>0</v>
      </c>
      <c r="Q278" s="3125">
        <f t="shared" si="64"/>
        <v>0</v>
      </c>
      <c r="R278" s="3605">
        <v>0</v>
      </c>
      <c r="S278" s="3275"/>
      <c r="T278" s="3826"/>
      <c r="U278" s="3771"/>
      <c r="V278" s="1846">
        <f t="shared" si="50"/>
        <v>1401469748</v>
      </c>
    </row>
    <row r="279" spans="1:22" s="257" customFormat="1" ht="15.05" customHeight="1">
      <c r="A279" s="1855"/>
      <c r="B279" s="1855"/>
      <c r="C279" s="1855"/>
      <c r="D279" s="1855"/>
      <c r="E279" s="1855"/>
      <c r="F279" s="2359" t="s">
        <v>50</v>
      </c>
      <c r="G279" s="213"/>
      <c r="H279" s="200" t="str">
        <f>MAR!I532</f>
        <v>Samsat Kab.Lombok Utara</v>
      </c>
      <c r="I279" s="200"/>
      <c r="J279" s="3215"/>
      <c r="K279" s="3171">
        <v>657351848</v>
      </c>
      <c r="L279" s="3125">
        <v>0</v>
      </c>
      <c r="M279" s="3124">
        <v>104904400</v>
      </c>
      <c r="N279" s="3125">
        <v>50857200</v>
      </c>
      <c r="O279" s="3125">
        <v>155761600</v>
      </c>
      <c r="P279" s="3125">
        <v>0</v>
      </c>
      <c r="Q279" s="3125">
        <f t="shared" si="64"/>
        <v>0</v>
      </c>
      <c r="R279" s="3605">
        <v>0</v>
      </c>
      <c r="S279" s="3275"/>
      <c r="T279" s="3826"/>
      <c r="U279" s="3771"/>
      <c r="V279" s="1846">
        <f t="shared" si="50"/>
        <v>623046400</v>
      </c>
    </row>
    <row r="280" spans="1:22" s="2883" customFormat="1" ht="15.05" customHeight="1">
      <c r="A280" s="2873">
        <v>4</v>
      </c>
      <c r="B280" s="2873">
        <v>1</v>
      </c>
      <c r="C280" s="2873">
        <v>4</v>
      </c>
      <c r="D280" s="2873" t="s">
        <v>456</v>
      </c>
      <c r="E280" s="2873" t="s">
        <v>438</v>
      </c>
      <c r="F280" s="2874" t="s">
        <v>319</v>
      </c>
      <c r="G280" s="2921"/>
      <c r="H280" s="2961"/>
      <c r="I280" s="2961"/>
      <c r="J280" s="3255">
        <v>100000000</v>
      </c>
      <c r="K280" s="3256">
        <f>SUM(K281:K290)</f>
        <v>365529313</v>
      </c>
      <c r="L280" s="3184">
        <v>100000000</v>
      </c>
      <c r="M280" s="3440">
        <v>121944953</v>
      </c>
      <c r="N280" s="3184">
        <v>73407755</v>
      </c>
      <c r="O280" s="3184">
        <f>SUM(O281:O290)</f>
        <v>195352708</v>
      </c>
      <c r="P280" s="3184">
        <v>350000000</v>
      </c>
      <c r="Q280" s="3184">
        <f t="shared" si="64"/>
        <v>250000000</v>
      </c>
      <c r="R280" s="3601">
        <f>+P280/L280*100-100</f>
        <v>250</v>
      </c>
      <c r="S280" s="3697"/>
      <c r="T280" s="3816"/>
      <c r="U280" s="3795"/>
      <c r="V280" s="2882">
        <f t="shared" ref="V280:V343" si="65">O280*4</f>
        <v>781410832</v>
      </c>
    </row>
    <row r="281" spans="1:22" s="257" customFormat="1" ht="15.05" customHeight="1">
      <c r="A281" s="1855"/>
      <c r="B281" s="1855"/>
      <c r="C281" s="1855"/>
      <c r="D281" s="1855"/>
      <c r="E281" s="1855"/>
      <c r="F281" s="2359" t="s">
        <v>50</v>
      </c>
      <c r="G281" s="213"/>
      <c r="H281" s="200" t="str">
        <f>MAR!I535</f>
        <v>Samsat Mataram</v>
      </c>
      <c r="I281" s="200"/>
      <c r="J281" s="3215"/>
      <c r="K281" s="3171">
        <v>126307796</v>
      </c>
      <c r="L281" s="3125">
        <v>0</v>
      </c>
      <c r="M281" s="3124">
        <v>51221268</v>
      </c>
      <c r="N281" s="3125">
        <v>9587463</v>
      </c>
      <c r="O281" s="3125">
        <v>60808731</v>
      </c>
      <c r="P281" s="3125">
        <v>0</v>
      </c>
      <c r="Q281" s="3125">
        <f t="shared" si="64"/>
        <v>0</v>
      </c>
      <c r="R281" s="3605">
        <v>0</v>
      </c>
      <c r="S281" s="3275"/>
      <c r="T281" s="3826"/>
      <c r="U281" s="3771"/>
      <c r="V281" s="1846">
        <f t="shared" si="65"/>
        <v>243234924</v>
      </c>
    </row>
    <row r="282" spans="1:22" s="257" customFormat="1" ht="15.05" customHeight="1">
      <c r="A282" s="1855"/>
      <c r="B282" s="1855"/>
      <c r="C282" s="1855"/>
      <c r="D282" s="1855"/>
      <c r="E282" s="1855"/>
      <c r="F282" s="2359" t="s">
        <v>50</v>
      </c>
      <c r="G282" s="213"/>
      <c r="H282" s="200" t="str">
        <f>MAR!I536</f>
        <v>Samsat Praya</v>
      </c>
      <c r="I282" s="200"/>
      <c r="J282" s="3215"/>
      <c r="K282" s="3171">
        <v>48957177</v>
      </c>
      <c r="L282" s="3125">
        <v>0</v>
      </c>
      <c r="M282" s="3124">
        <v>14910125</v>
      </c>
      <c r="N282" s="3125">
        <v>23481425</v>
      </c>
      <c r="O282" s="3125">
        <v>38391550</v>
      </c>
      <c r="P282" s="3125">
        <v>0</v>
      </c>
      <c r="Q282" s="3125">
        <f t="shared" si="64"/>
        <v>0</v>
      </c>
      <c r="R282" s="3605">
        <v>0</v>
      </c>
      <c r="S282" s="3275"/>
      <c r="T282" s="3826"/>
      <c r="U282" s="3771"/>
      <c r="V282" s="1846">
        <f t="shared" si="65"/>
        <v>153566200</v>
      </c>
    </row>
    <row r="283" spans="1:22" s="257" customFormat="1" ht="15.05" customHeight="1">
      <c r="A283" s="1855"/>
      <c r="B283" s="1855"/>
      <c r="C283" s="1855"/>
      <c r="D283" s="1855"/>
      <c r="E283" s="1855"/>
      <c r="F283" s="2359" t="s">
        <v>50</v>
      </c>
      <c r="G283" s="213"/>
      <c r="H283" s="200" t="str">
        <f>MAR!I537</f>
        <v>Samsat Selong</v>
      </c>
      <c r="I283" s="200"/>
      <c r="J283" s="3215"/>
      <c r="K283" s="3171">
        <v>41943963</v>
      </c>
      <c r="L283" s="3125">
        <v>0</v>
      </c>
      <c r="M283" s="3124">
        <v>11853570</v>
      </c>
      <c r="N283" s="3125">
        <v>8988200</v>
      </c>
      <c r="O283" s="3125">
        <v>20841770</v>
      </c>
      <c r="P283" s="3125">
        <v>0</v>
      </c>
      <c r="Q283" s="3125">
        <f t="shared" si="64"/>
        <v>0</v>
      </c>
      <c r="R283" s="3605">
        <v>0</v>
      </c>
      <c r="S283" s="3275"/>
      <c r="T283" s="3826"/>
      <c r="U283" s="3771"/>
      <c r="V283" s="1846">
        <f t="shared" si="65"/>
        <v>83367080</v>
      </c>
    </row>
    <row r="284" spans="1:22" s="257" customFormat="1" ht="15.05" customHeight="1">
      <c r="A284" s="1855"/>
      <c r="B284" s="1855"/>
      <c r="C284" s="1855"/>
      <c r="D284" s="1855"/>
      <c r="E284" s="1855"/>
      <c r="F284" s="2359" t="s">
        <v>50</v>
      </c>
      <c r="G284" s="213"/>
      <c r="H284" s="200" t="str">
        <f>MAR!I538</f>
        <v>Samsat Sumbawa</v>
      </c>
      <c r="I284" s="200"/>
      <c r="J284" s="3215"/>
      <c r="K284" s="3171">
        <v>20483190</v>
      </c>
      <c r="L284" s="3125">
        <v>0</v>
      </c>
      <c r="M284" s="3124">
        <v>8483975</v>
      </c>
      <c r="N284" s="3125">
        <v>4618600</v>
      </c>
      <c r="O284" s="3125">
        <v>13102575</v>
      </c>
      <c r="P284" s="3125">
        <v>0</v>
      </c>
      <c r="Q284" s="3125">
        <f t="shared" si="64"/>
        <v>0</v>
      </c>
      <c r="R284" s="3605">
        <v>0</v>
      </c>
      <c r="S284" s="3275"/>
      <c r="T284" s="3826"/>
      <c r="U284" s="3771"/>
      <c r="V284" s="1846">
        <f t="shared" si="65"/>
        <v>52410300</v>
      </c>
    </row>
    <row r="285" spans="1:22" s="257" customFormat="1" ht="15.05" customHeight="1">
      <c r="A285" s="1855"/>
      <c r="B285" s="1855"/>
      <c r="C285" s="1855"/>
      <c r="D285" s="1855"/>
      <c r="E285" s="1855"/>
      <c r="F285" s="2359" t="s">
        <v>50</v>
      </c>
      <c r="G285" s="213"/>
      <c r="H285" s="200" t="str">
        <f>MAR!I539</f>
        <v>Samsat Kota Bima</v>
      </c>
      <c r="I285" s="200"/>
      <c r="J285" s="3215"/>
      <c r="K285" s="3171">
        <v>44694173</v>
      </c>
      <c r="L285" s="3125">
        <v>0</v>
      </c>
      <c r="M285" s="3124">
        <v>10865555</v>
      </c>
      <c r="N285" s="3125">
        <v>3584900</v>
      </c>
      <c r="O285" s="3125">
        <v>14450455</v>
      </c>
      <c r="P285" s="3125">
        <v>0</v>
      </c>
      <c r="Q285" s="3125">
        <f t="shared" si="64"/>
        <v>0</v>
      </c>
      <c r="R285" s="3605">
        <v>0</v>
      </c>
      <c r="S285" s="3275"/>
      <c r="T285" s="3826"/>
      <c r="U285" s="3771"/>
      <c r="V285" s="1846">
        <f t="shared" si="65"/>
        <v>57801820</v>
      </c>
    </row>
    <row r="286" spans="1:22" s="257" customFormat="1" ht="15.05" customHeight="1">
      <c r="A286" s="1855"/>
      <c r="B286" s="1855"/>
      <c r="C286" s="1855"/>
      <c r="D286" s="1855"/>
      <c r="E286" s="1855"/>
      <c r="F286" s="2359" t="s">
        <v>50</v>
      </c>
      <c r="G286" s="213"/>
      <c r="H286" s="200" t="str">
        <f>MAR!I540</f>
        <v>Samsat Kab. Bima</v>
      </c>
      <c r="I286" s="200"/>
      <c r="J286" s="3215"/>
      <c r="K286" s="3193">
        <v>0</v>
      </c>
      <c r="L286" s="3125">
        <v>0</v>
      </c>
      <c r="M286" s="3124">
        <v>3475300</v>
      </c>
      <c r="N286" s="3125">
        <v>7300390</v>
      </c>
      <c r="O286" s="3125">
        <v>10775690</v>
      </c>
      <c r="P286" s="3125">
        <v>0</v>
      </c>
      <c r="Q286" s="3125">
        <f t="shared" si="64"/>
        <v>0</v>
      </c>
      <c r="R286" s="3605">
        <v>0</v>
      </c>
      <c r="S286" s="3275"/>
      <c r="T286" s="3826"/>
      <c r="U286" s="3771"/>
      <c r="V286" s="1846">
        <f t="shared" si="65"/>
        <v>43102760</v>
      </c>
    </row>
    <row r="287" spans="1:22" s="257" customFormat="1" ht="15.05" customHeight="1">
      <c r="A287" s="1855"/>
      <c r="B287" s="1855"/>
      <c r="C287" s="1855"/>
      <c r="D287" s="1855"/>
      <c r="E287" s="1855"/>
      <c r="F287" s="2359" t="s">
        <v>50</v>
      </c>
      <c r="G287" s="213"/>
      <c r="H287" s="200" t="str">
        <f>MAR!I541</f>
        <v>Samsat Dompu</v>
      </c>
      <c r="I287" s="200"/>
      <c r="J287" s="3215"/>
      <c r="K287" s="3171">
        <v>6311971</v>
      </c>
      <c r="L287" s="3125">
        <v>0</v>
      </c>
      <c r="M287" s="3124">
        <v>4177145</v>
      </c>
      <c r="N287" s="3125">
        <v>2170250</v>
      </c>
      <c r="O287" s="3125">
        <v>6347395</v>
      </c>
      <c r="P287" s="3125">
        <v>0</v>
      </c>
      <c r="Q287" s="3125">
        <f t="shared" si="64"/>
        <v>0</v>
      </c>
      <c r="R287" s="3605">
        <v>0</v>
      </c>
      <c r="S287" s="3275"/>
      <c r="T287" s="3826"/>
      <c r="U287" s="3771"/>
      <c r="V287" s="1846">
        <f t="shared" si="65"/>
        <v>25389580</v>
      </c>
    </row>
    <row r="288" spans="1:22" s="257" customFormat="1" ht="15.05" customHeight="1">
      <c r="A288" s="1886"/>
      <c r="B288" s="1886"/>
      <c r="C288" s="1886"/>
      <c r="D288" s="1886"/>
      <c r="E288" s="1886"/>
      <c r="F288" s="2843" t="s">
        <v>50</v>
      </c>
      <c r="G288" s="2844"/>
      <c r="H288" s="200" t="str">
        <f>MAR!I542</f>
        <v>Samsat Lombok Barat</v>
      </c>
      <c r="I288" s="856"/>
      <c r="J288" s="3238"/>
      <c r="K288" s="3173">
        <v>35215672</v>
      </c>
      <c r="L288" s="3125">
        <v>0</v>
      </c>
      <c r="M288" s="3124">
        <v>12073539</v>
      </c>
      <c r="N288" s="3125">
        <v>9903007</v>
      </c>
      <c r="O288" s="3125">
        <v>21976546</v>
      </c>
      <c r="P288" s="3125">
        <v>0</v>
      </c>
      <c r="Q288" s="3125">
        <f t="shared" si="64"/>
        <v>0</v>
      </c>
      <c r="R288" s="3605">
        <v>0</v>
      </c>
      <c r="S288" s="3709"/>
      <c r="T288" s="3828"/>
      <c r="U288" s="1899"/>
      <c r="V288" s="1846">
        <f t="shared" si="65"/>
        <v>87906184</v>
      </c>
    </row>
    <row r="289" spans="1:22" s="257" customFormat="1" ht="15.05" customHeight="1">
      <c r="A289" s="1919"/>
      <c r="B289" s="1919"/>
      <c r="C289" s="1919"/>
      <c r="D289" s="1919"/>
      <c r="E289" s="1919"/>
      <c r="F289" s="2845" t="s">
        <v>50</v>
      </c>
      <c r="G289" s="1945"/>
      <c r="H289" s="200" t="str">
        <f>MAR!I543</f>
        <v>Samsat Sumbawa Barat</v>
      </c>
      <c r="J289" s="3257"/>
      <c r="K289" s="3258">
        <v>41615371</v>
      </c>
      <c r="L289" s="3125">
        <v>0</v>
      </c>
      <c r="M289" s="3124">
        <v>2760945</v>
      </c>
      <c r="N289" s="3125">
        <v>2402495</v>
      </c>
      <c r="O289" s="3125">
        <v>5163440</v>
      </c>
      <c r="P289" s="3125">
        <v>0</v>
      </c>
      <c r="Q289" s="3125">
        <f t="shared" si="64"/>
        <v>0</v>
      </c>
      <c r="R289" s="3605">
        <v>0</v>
      </c>
      <c r="S289" s="3723"/>
      <c r="T289" s="3845"/>
      <c r="U289" s="3796"/>
      <c r="V289" s="1846">
        <f t="shared" si="65"/>
        <v>20653760</v>
      </c>
    </row>
    <row r="290" spans="1:22" s="257" customFormat="1" ht="15.05" customHeight="1">
      <c r="A290" s="3573"/>
      <c r="B290" s="3573"/>
      <c r="C290" s="3573"/>
      <c r="D290" s="3573"/>
      <c r="E290" s="3573"/>
      <c r="F290" s="3588" t="s">
        <v>50</v>
      </c>
      <c r="G290" s="3589"/>
      <c r="H290" s="3575" t="str">
        <f>MAR!I544</f>
        <v>Samsat Kab.Lombok Utara</v>
      </c>
      <c r="I290" s="3575"/>
      <c r="J290" s="3576"/>
      <c r="K290" s="3583">
        <v>0</v>
      </c>
      <c r="L290" s="3578">
        <v>0</v>
      </c>
      <c r="M290" s="3579">
        <v>2123531</v>
      </c>
      <c r="N290" s="3578">
        <v>1371025</v>
      </c>
      <c r="O290" s="3578">
        <v>3494556</v>
      </c>
      <c r="P290" s="3578">
        <v>0</v>
      </c>
      <c r="Q290" s="3578">
        <f t="shared" si="64"/>
        <v>0</v>
      </c>
      <c r="R290" s="3615">
        <v>0</v>
      </c>
      <c r="S290" s="3709"/>
      <c r="T290" s="3828"/>
      <c r="U290" s="1899"/>
      <c r="V290" s="1846">
        <f t="shared" si="65"/>
        <v>13978224</v>
      </c>
    </row>
    <row r="291" spans="1:22" s="4270" customFormat="1" ht="15.05" customHeight="1">
      <c r="A291" s="4257">
        <v>4</v>
      </c>
      <c r="B291" s="4258">
        <v>1</v>
      </c>
      <c r="C291" s="4258">
        <v>4</v>
      </c>
      <c r="D291" s="4258" t="s">
        <v>448</v>
      </c>
      <c r="E291" s="4258"/>
      <c r="F291" s="4259" t="s">
        <v>220</v>
      </c>
      <c r="G291" s="4260"/>
      <c r="H291" s="4261"/>
      <c r="I291" s="4261"/>
      <c r="J291" s="4337">
        <f>J292+J293</f>
        <v>235536159</v>
      </c>
      <c r="K291" s="4337">
        <f t="shared" ref="K291:P291" si="66">K292+K293</f>
        <v>12930312</v>
      </c>
      <c r="L291" s="4337">
        <f t="shared" si="66"/>
        <v>235536159</v>
      </c>
      <c r="M291" s="4337">
        <f t="shared" si="66"/>
        <v>558496</v>
      </c>
      <c r="N291" s="4337">
        <f t="shared" si="66"/>
        <v>695000</v>
      </c>
      <c r="O291" s="4337">
        <f t="shared" si="66"/>
        <v>1253496</v>
      </c>
      <c r="P291" s="4337">
        <f t="shared" si="66"/>
        <v>31000000</v>
      </c>
      <c r="Q291" s="4264">
        <f t="shared" si="64"/>
        <v>-204536159</v>
      </c>
      <c r="R291" s="4296">
        <f>+P291/L291*100-100</f>
        <v>-86.838538875892937</v>
      </c>
      <c r="S291" s="4297"/>
      <c r="T291" s="4298"/>
      <c r="U291" s="4299"/>
      <c r="V291" s="4269">
        <f t="shared" si="65"/>
        <v>5013984</v>
      </c>
    </row>
    <row r="292" spans="1:22" s="3896" customFormat="1" ht="15.05" customHeight="1">
      <c r="A292" s="4300">
        <v>4</v>
      </c>
      <c r="B292" s="4300">
        <v>1</v>
      </c>
      <c r="C292" s="4300">
        <v>4</v>
      </c>
      <c r="D292" s="4300" t="s">
        <v>448</v>
      </c>
      <c r="E292" s="4300" t="s">
        <v>438</v>
      </c>
      <c r="F292" s="4338" t="s">
        <v>50</v>
      </c>
      <c r="G292" s="4302" t="s">
        <v>1238</v>
      </c>
      <c r="H292" s="4274"/>
      <c r="I292" s="4274"/>
      <c r="J292" s="4339">
        <v>217536159</v>
      </c>
      <c r="K292" s="4340">
        <v>12930312</v>
      </c>
      <c r="L292" s="4306">
        <v>217536159</v>
      </c>
      <c r="M292" s="4307">
        <v>558496</v>
      </c>
      <c r="N292" s="4306">
        <v>0</v>
      </c>
      <c r="O292" s="4306">
        <v>558496</v>
      </c>
      <c r="P292" s="4306">
        <v>13000000</v>
      </c>
      <c r="Q292" s="4306">
        <f t="shared" si="64"/>
        <v>-204536159</v>
      </c>
      <c r="R292" s="4308">
        <f>+P292/L292*100-100</f>
        <v>-94.023982008434743</v>
      </c>
      <c r="S292" s="4309"/>
      <c r="T292" s="4310"/>
      <c r="U292" s="4341"/>
      <c r="V292" s="3925">
        <f t="shared" si="65"/>
        <v>2233984</v>
      </c>
    </row>
    <row r="293" spans="1:22" s="257" customFormat="1" ht="15.05" customHeight="1">
      <c r="A293" s="1854">
        <v>4</v>
      </c>
      <c r="B293" s="1854">
        <v>1</v>
      </c>
      <c r="C293" s="1854">
        <v>4</v>
      </c>
      <c r="D293" s="1854" t="s">
        <v>448</v>
      </c>
      <c r="E293" s="1854" t="s">
        <v>440</v>
      </c>
      <c r="F293" s="1464" t="s">
        <v>561</v>
      </c>
      <c r="G293" s="1860"/>
      <c r="H293" s="202"/>
      <c r="I293" s="202"/>
      <c r="J293" s="3259">
        <v>18000000</v>
      </c>
      <c r="K293" s="3123">
        <v>0</v>
      </c>
      <c r="L293" s="3182">
        <v>18000000</v>
      </c>
      <c r="M293" s="3183">
        <v>0</v>
      </c>
      <c r="N293" s="3182">
        <v>695000</v>
      </c>
      <c r="O293" s="3182">
        <v>695000</v>
      </c>
      <c r="P293" s="3182">
        <v>18000000</v>
      </c>
      <c r="Q293" s="3182">
        <f t="shared" si="64"/>
        <v>0</v>
      </c>
      <c r="R293" s="3601">
        <f>+P293/L293*100-100</f>
        <v>0</v>
      </c>
      <c r="S293" s="3697"/>
      <c r="T293" s="3816"/>
      <c r="U293" s="3777"/>
      <c r="V293" s="1846">
        <f t="shared" si="65"/>
        <v>2780000</v>
      </c>
    </row>
    <row r="294" spans="1:22" s="257" customFormat="1" ht="15.05" customHeight="1">
      <c r="A294" s="1855">
        <v>4</v>
      </c>
      <c r="B294" s="1855">
        <v>1</v>
      </c>
      <c r="C294" s="1855">
        <v>4</v>
      </c>
      <c r="D294" s="1855" t="s">
        <v>448</v>
      </c>
      <c r="E294" s="1855" t="s">
        <v>440</v>
      </c>
      <c r="F294" s="1857" t="s">
        <v>50</v>
      </c>
      <c r="G294" s="200" t="s">
        <v>562</v>
      </c>
      <c r="I294" s="200"/>
      <c r="J294" s="3215">
        <v>18000000</v>
      </c>
      <c r="K294" s="3171">
        <v>0</v>
      </c>
      <c r="L294" s="3125">
        <v>18000000</v>
      </c>
      <c r="M294" s="3124">
        <v>0</v>
      </c>
      <c r="N294" s="3125">
        <v>695000</v>
      </c>
      <c r="O294" s="3125">
        <v>695000</v>
      </c>
      <c r="P294" s="3125">
        <v>18000000</v>
      </c>
      <c r="Q294" s="3125">
        <f t="shared" si="64"/>
        <v>0</v>
      </c>
      <c r="R294" s="3605">
        <f>+P294/L294*100-100</f>
        <v>0</v>
      </c>
      <c r="S294" s="3275"/>
      <c r="T294" s="3826"/>
      <c r="U294" s="3771"/>
      <c r="V294" s="1846">
        <f t="shared" si="65"/>
        <v>2780000</v>
      </c>
    </row>
    <row r="295" spans="1:22" s="257" customFormat="1" ht="15.05" customHeight="1">
      <c r="A295" s="1886"/>
      <c r="B295" s="1886"/>
      <c r="C295" s="1886"/>
      <c r="D295" s="1886"/>
      <c r="E295" s="1886"/>
      <c r="F295" s="1887"/>
      <c r="G295" s="1888"/>
      <c r="H295" s="856"/>
      <c r="I295" s="856"/>
      <c r="J295" s="3238"/>
      <c r="K295" s="3173"/>
      <c r="L295" s="3174"/>
      <c r="M295" s="3175"/>
      <c r="N295" s="3174"/>
      <c r="O295" s="3174"/>
      <c r="P295" s="3174"/>
      <c r="Q295" s="3174"/>
      <c r="R295" s="3612"/>
      <c r="S295" s="3712"/>
      <c r="T295" s="3831"/>
      <c r="U295" s="1899"/>
      <c r="V295" s="1846">
        <f t="shared" si="65"/>
        <v>0</v>
      </c>
    </row>
    <row r="296" spans="1:22" s="2947" customFormat="1" ht="14.4" hidden="1" customHeight="1">
      <c r="A296" s="3053">
        <v>4</v>
      </c>
      <c r="B296" s="3054">
        <v>1</v>
      </c>
      <c r="C296" s="3054">
        <v>4</v>
      </c>
      <c r="D296" s="3054" t="s">
        <v>563</v>
      </c>
      <c r="E296" s="3054"/>
      <c r="F296" s="3056" t="s">
        <v>564</v>
      </c>
      <c r="G296" s="3057"/>
      <c r="H296" s="3064"/>
      <c r="I296" s="3064"/>
      <c r="J296" s="3212" t="e">
        <f>+#REF!</f>
        <v>#REF!</v>
      </c>
      <c r="K296" s="3202" t="e">
        <f>+#REF!</f>
        <v>#REF!</v>
      </c>
      <c r="L296" s="3178">
        <f>SUM(L297)</f>
        <v>0</v>
      </c>
      <c r="M296" s="3179">
        <v>0</v>
      </c>
      <c r="N296" s="3178">
        <f>SUM(N297)</f>
        <v>0</v>
      </c>
      <c r="O296" s="3178">
        <f>+N296+M296</f>
        <v>0</v>
      </c>
      <c r="P296" s="3178">
        <v>0</v>
      </c>
      <c r="Q296" s="3178">
        <f>+P296-L296</f>
        <v>0</v>
      </c>
      <c r="R296" s="3621">
        <v>0</v>
      </c>
      <c r="S296" s="3716"/>
      <c r="T296" s="3838"/>
      <c r="U296" s="3066"/>
      <c r="V296" s="2944">
        <f t="shared" si="65"/>
        <v>0</v>
      </c>
    </row>
    <row r="297" spans="1:22" s="257" customFormat="1" ht="15.05" hidden="1" customHeight="1">
      <c r="A297" s="1889">
        <v>4</v>
      </c>
      <c r="B297" s="1889">
        <v>1</v>
      </c>
      <c r="C297" s="1889">
        <v>4</v>
      </c>
      <c r="D297" s="1905" t="s">
        <v>563</v>
      </c>
      <c r="E297" s="1889" t="s">
        <v>437</v>
      </c>
      <c r="F297" s="3087" t="s">
        <v>50</v>
      </c>
      <c r="G297" s="3084" t="s">
        <v>565</v>
      </c>
      <c r="H297" s="224"/>
      <c r="I297" s="224"/>
      <c r="J297" s="3254" t="e">
        <f>+#REF!</f>
        <v>#REF!</v>
      </c>
      <c r="K297" s="3237" t="e">
        <f>+#REF!</f>
        <v>#REF!</v>
      </c>
      <c r="L297" s="3234">
        <v>0</v>
      </c>
      <c r="M297" s="3225">
        <v>0</v>
      </c>
      <c r="N297" s="3234">
        <v>0</v>
      </c>
      <c r="O297" s="3234">
        <v>0</v>
      </c>
      <c r="P297" s="3234">
        <v>0</v>
      </c>
      <c r="Q297" s="3234">
        <f>+P297-L297</f>
        <v>0</v>
      </c>
      <c r="R297" s="3604">
        <v>0</v>
      </c>
      <c r="S297" s="3747"/>
      <c r="T297" s="3835"/>
      <c r="U297" s="3797">
        <f>PerDinas!Q167</f>
        <v>0</v>
      </c>
      <c r="V297" s="1846">
        <f t="shared" si="65"/>
        <v>0</v>
      </c>
    </row>
    <row r="298" spans="1:22" s="257" customFormat="1" ht="15.05" hidden="1" customHeight="1">
      <c r="A298" s="1886"/>
      <c r="B298" s="1886"/>
      <c r="C298" s="1886"/>
      <c r="D298" s="1886"/>
      <c r="E298" s="1886"/>
      <c r="F298" s="1887"/>
      <c r="G298" s="1888"/>
      <c r="H298" s="856"/>
      <c r="I298" s="856"/>
      <c r="J298" s="3238"/>
      <c r="K298" s="3173"/>
      <c r="L298" s="3174"/>
      <c r="M298" s="3175"/>
      <c r="N298" s="3174"/>
      <c r="O298" s="3174"/>
      <c r="P298" s="3174"/>
      <c r="Q298" s="3174"/>
      <c r="R298" s="3612"/>
      <c r="S298" s="3712"/>
      <c r="T298" s="3831"/>
      <c r="U298" s="3771"/>
      <c r="V298" s="1846">
        <f t="shared" si="65"/>
        <v>0</v>
      </c>
    </row>
    <row r="299" spans="1:22" s="4343" customFormat="1" ht="15.05" customHeight="1">
      <c r="A299" s="4257">
        <v>4</v>
      </c>
      <c r="B299" s="4258">
        <v>1</v>
      </c>
      <c r="C299" s="4258">
        <v>4</v>
      </c>
      <c r="D299" s="4258" t="s">
        <v>444</v>
      </c>
      <c r="E299" s="4258"/>
      <c r="F299" s="4312" t="s">
        <v>1246</v>
      </c>
      <c r="G299" s="4261"/>
      <c r="H299" s="4261"/>
      <c r="I299" s="4261"/>
      <c r="J299" s="4337">
        <f>J300+J304+J312+J316</f>
        <v>68944925050</v>
      </c>
      <c r="K299" s="4337">
        <f t="shared" ref="K299:P299" si="67">K300+K304+K312+K316</f>
        <v>62912738507.940002</v>
      </c>
      <c r="L299" s="4337">
        <f t="shared" si="67"/>
        <v>73939763650</v>
      </c>
      <c r="M299" s="4337">
        <f t="shared" si="67"/>
        <v>29397490</v>
      </c>
      <c r="N299" s="4337">
        <f t="shared" si="67"/>
        <v>20809650</v>
      </c>
      <c r="O299" s="4337">
        <f t="shared" si="67"/>
        <v>50207140</v>
      </c>
      <c r="P299" s="4337">
        <f t="shared" si="67"/>
        <v>73954763650</v>
      </c>
      <c r="Q299" s="4264">
        <f t="shared" ref="Q299:Q314" si="68">+P299-L299</f>
        <v>15000000</v>
      </c>
      <c r="R299" s="4265">
        <f>+P299/L299*100-100</f>
        <v>2.0286783808231235E-2</v>
      </c>
      <c r="S299" s="4266"/>
      <c r="T299" s="4267"/>
      <c r="U299" s="4268"/>
      <c r="V299" s="4342">
        <f t="shared" si="65"/>
        <v>200828560</v>
      </c>
    </row>
    <row r="300" spans="1:22" s="3917" customFormat="1" ht="15.05" customHeight="1">
      <c r="A300" s="4300">
        <v>4</v>
      </c>
      <c r="B300" s="4300">
        <v>1</v>
      </c>
      <c r="C300" s="4300">
        <v>4</v>
      </c>
      <c r="D300" s="4300" t="s">
        <v>444</v>
      </c>
      <c r="E300" s="4271" t="s">
        <v>438</v>
      </c>
      <c r="F300" s="4320" t="s">
        <v>567</v>
      </c>
      <c r="G300" s="4303"/>
      <c r="H300" s="4303"/>
      <c r="I300" s="4274"/>
      <c r="J300" s="4339">
        <v>0</v>
      </c>
      <c r="K300" s="4340">
        <v>0</v>
      </c>
      <c r="L300" s="4306">
        <v>0</v>
      </c>
      <c r="M300" s="4307">
        <v>0</v>
      </c>
      <c r="N300" s="4306">
        <v>0</v>
      </c>
      <c r="O300" s="4306">
        <v>0</v>
      </c>
      <c r="P300" s="4306">
        <v>0</v>
      </c>
      <c r="Q300" s="4306">
        <f t="shared" si="68"/>
        <v>0</v>
      </c>
      <c r="R300" s="4279">
        <v>0</v>
      </c>
      <c r="S300" s="4344"/>
      <c r="T300" s="4345"/>
      <c r="U300" s="4282"/>
      <c r="V300" s="4346">
        <f t="shared" si="65"/>
        <v>0</v>
      </c>
    </row>
    <row r="301" spans="1:22" s="4350" customFormat="1" ht="15.05" hidden="1" customHeight="1">
      <c r="A301" s="4283"/>
      <c r="B301" s="4283"/>
      <c r="C301" s="4283"/>
      <c r="D301" s="4283"/>
      <c r="E301" s="4283"/>
      <c r="F301" s="3992" t="s">
        <v>50</v>
      </c>
      <c r="G301" s="3917"/>
      <c r="H301" s="3917" t="s">
        <v>568</v>
      </c>
      <c r="I301" s="4285"/>
      <c r="J301" s="4347"/>
      <c r="K301" s="4348"/>
      <c r="L301" s="3919">
        <v>0</v>
      </c>
      <c r="M301" s="3265">
        <v>0</v>
      </c>
      <c r="N301" s="3919">
        <v>0</v>
      </c>
      <c r="O301" s="3919">
        <v>0</v>
      </c>
      <c r="P301" s="3919">
        <v>0</v>
      </c>
      <c r="Q301" s="3919">
        <f t="shared" si="68"/>
        <v>0</v>
      </c>
      <c r="R301" s="4290" t="e">
        <f>+P301/L301*100-100</f>
        <v>#DIV/0!</v>
      </c>
      <c r="S301" s="4291"/>
      <c r="T301" s="4292"/>
      <c r="U301" s="4282"/>
      <c r="V301" s="4349">
        <f t="shared" si="65"/>
        <v>0</v>
      </c>
    </row>
    <row r="302" spans="1:22" s="3917" customFormat="1" ht="15.05" hidden="1" customHeight="1">
      <c r="A302" s="4283"/>
      <c r="B302" s="4283"/>
      <c r="C302" s="4283"/>
      <c r="D302" s="4283"/>
      <c r="E302" s="4283"/>
      <c r="F302" s="4351"/>
      <c r="G302" s="4285"/>
      <c r="H302" s="4285"/>
      <c r="I302" s="4285"/>
      <c r="J302" s="4347"/>
      <c r="K302" s="4348"/>
      <c r="L302" s="4288"/>
      <c r="M302" s="4289"/>
      <c r="N302" s="4288"/>
      <c r="O302" s="4288"/>
      <c r="P302" s="4288"/>
      <c r="Q302" s="4288">
        <f t="shared" si="68"/>
        <v>0</v>
      </c>
      <c r="R302" s="4290" t="e">
        <f>+P302/L302*100-100</f>
        <v>#DIV/0!</v>
      </c>
      <c r="S302" s="4291"/>
      <c r="T302" s="4292"/>
      <c r="U302" s="4282"/>
      <c r="V302" s="4346">
        <f t="shared" si="65"/>
        <v>0</v>
      </c>
    </row>
    <row r="303" spans="1:22" s="3917" customFormat="1" ht="15.05" hidden="1" customHeight="1">
      <c r="A303" s="4283"/>
      <c r="B303" s="4283"/>
      <c r="C303" s="4283"/>
      <c r="D303" s="4283"/>
      <c r="E303" s="4283"/>
      <c r="F303" s="4351"/>
      <c r="G303" s="4285"/>
      <c r="H303" s="4285"/>
      <c r="I303" s="4285"/>
      <c r="J303" s="4347"/>
      <c r="K303" s="4348"/>
      <c r="L303" s="4288"/>
      <c r="M303" s="4289"/>
      <c r="N303" s="4288"/>
      <c r="O303" s="4288"/>
      <c r="P303" s="4288"/>
      <c r="Q303" s="4288">
        <f t="shared" si="68"/>
        <v>0</v>
      </c>
      <c r="R303" s="4290" t="e">
        <f>+P303/L303*100-100</f>
        <v>#DIV/0!</v>
      </c>
      <c r="S303" s="4291"/>
      <c r="T303" s="4292"/>
      <c r="U303" s="4282"/>
      <c r="V303" s="4346">
        <f t="shared" si="65"/>
        <v>0</v>
      </c>
    </row>
    <row r="304" spans="1:22" s="3896" customFormat="1" ht="15.05" customHeight="1">
      <c r="A304" s="3924">
        <v>4</v>
      </c>
      <c r="B304" s="3924">
        <v>1</v>
      </c>
      <c r="C304" s="3924">
        <v>4</v>
      </c>
      <c r="D304" s="3924" t="s">
        <v>444</v>
      </c>
      <c r="E304" s="4283" t="s">
        <v>440</v>
      </c>
      <c r="F304" s="4351" t="s">
        <v>569</v>
      </c>
      <c r="G304" s="4285"/>
      <c r="H304" s="4285"/>
      <c r="I304" s="4285"/>
      <c r="J304" s="4347">
        <v>0</v>
      </c>
      <c r="K304" s="4348">
        <v>30600000</v>
      </c>
      <c r="L304" s="4288">
        <v>0</v>
      </c>
      <c r="M304" s="4289">
        <v>0</v>
      </c>
      <c r="N304" s="4288">
        <v>11463600</v>
      </c>
      <c r="O304" s="4288">
        <v>11463600</v>
      </c>
      <c r="P304" s="4288">
        <f>+P305</f>
        <v>15000000</v>
      </c>
      <c r="Q304" s="4288">
        <f t="shared" si="68"/>
        <v>15000000</v>
      </c>
      <c r="R304" s="4290">
        <v>0</v>
      </c>
      <c r="S304" s="4291"/>
      <c r="T304" s="4292"/>
      <c r="U304" s="3923"/>
      <c r="V304" s="3925">
        <f t="shared" si="65"/>
        <v>45854400</v>
      </c>
    </row>
    <row r="305" spans="1:22" s="3896" customFormat="1" ht="15.05" customHeight="1">
      <c r="A305" s="3924"/>
      <c r="B305" s="3924"/>
      <c r="C305" s="3924"/>
      <c r="D305" s="3924"/>
      <c r="E305" s="3924"/>
      <c r="F305" s="4352" t="s">
        <v>50</v>
      </c>
      <c r="G305" s="3917" t="s">
        <v>570</v>
      </c>
      <c r="H305" s="3917"/>
      <c r="I305" s="3917"/>
      <c r="J305" s="3993"/>
      <c r="K305" s="3918"/>
      <c r="L305" s="3919">
        <v>0</v>
      </c>
      <c r="M305" s="3265"/>
      <c r="N305" s="3265">
        <v>11463600</v>
      </c>
      <c r="O305" s="3265">
        <v>11463600</v>
      </c>
      <c r="P305" s="3919">
        <v>15000000</v>
      </c>
      <c r="Q305" s="3919">
        <f t="shared" si="68"/>
        <v>15000000</v>
      </c>
      <c r="R305" s="3920">
        <v>0</v>
      </c>
      <c r="S305" s="3921"/>
      <c r="T305" s="3922"/>
      <c r="U305" s="3923"/>
      <c r="V305" s="3925">
        <f t="shared" si="65"/>
        <v>45854400</v>
      </c>
    </row>
    <row r="306" spans="1:22" s="3896" customFormat="1" ht="15.05" hidden="1" customHeight="1">
      <c r="A306" s="3924"/>
      <c r="B306" s="3924"/>
      <c r="C306" s="3924"/>
      <c r="D306" s="3924"/>
      <c r="E306" s="3924"/>
      <c r="F306" s="4352" t="s">
        <v>50</v>
      </c>
      <c r="G306" s="3917"/>
      <c r="H306" s="3917" t="s">
        <v>570</v>
      </c>
      <c r="I306" s="3917"/>
      <c r="J306" s="3993"/>
      <c r="K306" s="3918"/>
      <c r="L306" s="3919">
        <v>0</v>
      </c>
      <c r="M306" s="3265">
        <v>0</v>
      </c>
      <c r="N306" s="3919">
        <v>0</v>
      </c>
      <c r="O306" s="3919">
        <v>0</v>
      </c>
      <c r="P306" s="3919">
        <v>0</v>
      </c>
      <c r="Q306" s="3919">
        <f t="shared" si="68"/>
        <v>0</v>
      </c>
      <c r="R306" s="3920" t="e">
        <f>+P306/L306*100-100</f>
        <v>#DIV/0!</v>
      </c>
      <c r="S306" s="3921"/>
      <c r="T306" s="3922"/>
      <c r="U306" s="3923"/>
      <c r="V306" s="3925">
        <f t="shared" si="65"/>
        <v>0</v>
      </c>
    </row>
    <row r="307" spans="1:22" s="3896" customFormat="1" ht="15.05" hidden="1" customHeight="1">
      <c r="A307" s="3924"/>
      <c r="B307" s="3924"/>
      <c r="C307" s="3924"/>
      <c r="D307" s="3924"/>
      <c r="E307" s="3924"/>
      <c r="F307" s="4352" t="s">
        <v>50</v>
      </c>
      <c r="G307" s="3917"/>
      <c r="H307" s="3917" t="s">
        <v>571</v>
      </c>
      <c r="I307" s="3917"/>
      <c r="J307" s="3993"/>
      <c r="K307" s="3918"/>
      <c r="L307" s="3919">
        <f>PerDinas!K208</f>
        <v>0</v>
      </c>
      <c r="M307" s="3265">
        <v>0</v>
      </c>
      <c r="N307" s="3919">
        <f>PerDinas!M208</f>
        <v>0</v>
      </c>
      <c r="O307" s="3919">
        <f>PerDinas!N208</f>
        <v>0</v>
      </c>
      <c r="P307" s="3919">
        <v>0</v>
      </c>
      <c r="Q307" s="3919">
        <f t="shared" si="68"/>
        <v>0</v>
      </c>
      <c r="R307" s="3920" t="e">
        <f>+P307/L307*100-100</f>
        <v>#DIV/0!</v>
      </c>
      <c r="S307" s="4335"/>
      <c r="T307" s="3922"/>
      <c r="U307" s="4353">
        <f>PerDinas!Q208</f>
        <v>0</v>
      </c>
      <c r="V307" s="3925">
        <f t="shared" si="65"/>
        <v>0</v>
      </c>
    </row>
    <row r="308" spans="1:22" s="3896" customFormat="1" ht="15.05" customHeight="1">
      <c r="A308" s="3924">
        <v>4</v>
      </c>
      <c r="B308" s="3924">
        <v>1</v>
      </c>
      <c r="C308" s="3924">
        <v>4</v>
      </c>
      <c r="D308" s="3924" t="s">
        <v>444</v>
      </c>
      <c r="E308" s="4283" t="s">
        <v>445</v>
      </c>
      <c r="F308" s="4351" t="s">
        <v>572</v>
      </c>
      <c r="G308" s="4285"/>
      <c r="H308" s="4285"/>
      <c r="I308" s="4285"/>
      <c r="J308" s="4347"/>
      <c r="K308" s="4348"/>
      <c r="L308" s="4288">
        <f>SUM(L309:L311)</f>
        <v>0</v>
      </c>
      <c r="M308" s="4289">
        <v>0</v>
      </c>
      <c r="N308" s="4288">
        <f>SUM(N309:N311)</f>
        <v>0</v>
      </c>
      <c r="O308" s="4288">
        <f>SUM(O309:O311)</f>
        <v>0</v>
      </c>
      <c r="P308" s="4288">
        <v>0</v>
      </c>
      <c r="Q308" s="4288">
        <f t="shared" si="68"/>
        <v>0</v>
      </c>
      <c r="R308" s="4290">
        <v>0</v>
      </c>
      <c r="S308" s="4291"/>
      <c r="T308" s="4292"/>
      <c r="U308" s="4282"/>
      <c r="V308" s="3925">
        <f t="shared" si="65"/>
        <v>0</v>
      </c>
    </row>
    <row r="309" spans="1:22" s="3896" customFormat="1" ht="15.05" hidden="1" customHeight="1">
      <c r="A309" s="3924"/>
      <c r="B309" s="3924"/>
      <c r="C309" s="3924"/>
      <c r="D309" s="3924"/>
      <c r="E309" s="3924"/>
      <c r="F309" s="3992"/>
      <c r="G309" s="3917"/>
      <c r="H309" s="3917"/>
      <c r="I309" s="3917"/>
      <c r="J309" s="3993"/>
      <c r="K309" s="3918"/>
      <c r="L309" s="3919"/>
      <c r="M309" s="3265"/>
      <c r="N309" s="3919"/>
      <c r="O309" s="3919"/>
      <c r="P309" s="3919"/>
      <c r="Q309" s="3919">
        <f t="shared" si="68"/>
        <v>0</v>
      </c>
      <c r="R309" s="3920" t="e">
        <f t="shared" ref="R309:R314" si="69">+P309/L309*100-100</f>
        <v>#DIV/0!</v>
      </c>
      <c r="S309" s="3921"/>
      <c r="T309" s="3922"/>
      <c r="U309" s="3923"/>
      <c r="V309" s="3925">
        <f t="shared" si="65"/>
        <v>0</v>
      </c>
    </row>
    <row r="310" spans="1:22" s="3896" customFormat="1" ht="15.05" hidden="1" customHeight="1">
      <c r="A310" s="3924"/>
      <c r="B310" s="3924"/>
      <c r="C310" s="3924"/>
      <c r="D310" s="3924"/>
      <c r="E310" s="3924"/>
      <c r="F310" s="3992" t="s">
        <v>50</v>
      </c>
      <c r="G310" s="3917"/>
      <c r="H310" s="3917" t="s">
        <v>570</v>
      </c>
      <c r="I310" s="3917"/>
      <c r="J310" s="3993"/>
      <c r="K310" s="3918"/>
      <c r="L310" s="3919">
        <v>0</v>
      </c>
      <c r="M310" s="3265">
        <v>0</v>
      </c>
      <c r="N310" s="3919">
        <v>0</v>
      </c>
      <c r="O310" s="3919">
        <v>0</v>
      </c>
      <c r="P310" s="3919">
        <v>0</v>
      </c>
      <c r="Q310" s="3919">
        <f t="shared" si="68"/>
        <v>0</v>
      </c>
      <c r="R310" s="3920" t="e">
        <f t="shared" si="69"/>
        <v>#DIV/0!</v>
      </c>
      <c r="S310" s="4354"/>
      <c r="T310" s="4355"/>
      <c r="U310" s="3923"/>
      <c r="V310" s="3925">
        <f t="shared" si="65"/>
        <v>0</v>
      </c>
    </row>
    <row r="311" spans="1:22" s="3896" customFormat="1" ht="15.05" hidden="1" customHeight="1">
      <c r="A311" s="3924"/>
      <c r="B311" s="3924"/>
      <c r="C311" s="3924"/>
      <c r="D311" s="3924"/>
      <c r="E311" s="3924"/>
      <c r="F311" s="3992" t="s">
        <v>50</v>
      </c>
      <c r="G311" s="3917"/>
      <c r="H311" s="3917" t="s">
        <v>573</v>
      </c>
      <c r="I311" s="3917"/>
      <c r="J311" s="3993"/>
      <c r="K311" s="3918"/>
      <c r="L311" s="3919">
        <f>PerDinas!K253</f>
        <v>0</v>
      </c>
      <c r="M311" s="3265">
        <v>0</v>
      </c>
      <c r="N311" s="3919">
        <f>PerDinas!M253</f>
        <v>0</v>
      </c>
      <c r="O311" s="3919">
        <f>PerDinas!N253</f>
        <v>0</v>
      </c>
      <c r="P311" s="3919">
        <v>0</v>
      </c>
      <c r="Q311" s="3919">
        <f t="shared" si="68"/>
        <v>0</v>
      </c>
      <c r="R311" s="3920" t="e">
        <f t="shared" si="69"/>
        <v>#DIV/0!</v>
      </c>
      <c r="S311" s="4335"/>
      <c r="T311" s="3922"/>
      <c r="U311" s="4353">
        <f>PerDinas!Q253</f>
        <v>0</v>
      </c>
      <c r="V311" s="3925">
        <f t="shared" si="65"/>
        <v>0</v>
      </c>
    </row>
    <row r="312" spans="1:22" s="3896" customFormat="1" ht="15.05" customHeight="1">
      <c r="A312" s="3924">
        <v>4</v>
      </c>
      <c r="B312" s="3924">
        <v>1</v>
      </c>
      <c r="C312" s="3924">
        <v>4</v>
      </c>
      <c r="D312" s="3924" t="s">
        <v>444</v>
      </c>
      <c r="E312" s="4283" t="s">
        <v>456</v>
      </c>
      <c r="F312" s="4285" t="s">
        <v>574</v>
      </c>
      <c r="G312" s="4285"/>
      <c r="H312" s="4285"/>
      <c r="I312" s="4285"/>
      <c r="J312" s="4347">
        <f>+J313</f>
        <v>65944925050</v>
      </c>
      <c r="K312" s="4347">
        <f>+K313</f>
        <v>60557314220</v>
      </c>
      <c r="L312" s="4347">
        <f>+L313</f>
        <v>70939763650</v>
      </c>
      <c r="M312" s="4289">
        <v>0</v>
      </c>
      <c r="N312" s="4288">
        <f>SUM(N313:N315)</f>
        <v>0</v>
      </c>
      <c r="O312" s="4288">
        <f>SUM(O313:O315)</f>
        <v>0</v>
      </c>
      <c r="P312" s="4288">
        <v>70939763650</v>
      </c>
      <c r="Q312" s="4288">
        <f t="shared" si="68"/>
        <v>0</v>
      </c>
      <c r="R312" s="4290">
        <f t="shared" si="69"/>
        <v>0</v>
      </c>
      <c r="S312" s="4356"/>
      <c r="T312" s="4357"/>
      <c r="U312" s="4282"/>
      <c r="V312" s="3925">
        <f t="shared" si="65"/>
        <v>0</v>
      </c>
    </row>
    <row r="313" spans="1:22" s="3896" customFormat="1" ht="15.05" customHeight="1">
      <c r="A313" s="3924"/>
      <c r="B313" s="3924"/>
      <c r="C313" s="3924"/>
      <c r="D313" s="3924"/>
      <c r="E313" s="3924"/>
      <c r="F313" s="3992" t="s">
        <v>50</v>
      </c>
      <c r="G313" s="3917" t="e">
        <f>+#REF!</f>
        <v>#REF!</v>
      </c>
      <c r="H313" s="3917"/>
      <c r="I313" s="3917"/>
      <c r="J313" s="3993">
        <v>65944925050</v>
      </c>
      <c r="K313" s="3918">
        <v>60557314220</v>
      </c>
      <c r="L313" s="3919">
        <v>70939763650</v>
      </c>
      <c r="M313" s="3265">
        <v>0</v>
      </c>
      <c r="N313" s="3919">
        <v>0</v>
      </c>
      <c r="O313" s="3919">
        <v>0</v>
      </c>
      <c r="P313" s="3919">
        <v>70939763650</v>
      </c>
      <c r="Q313" s="3919">
        <f t="shared" si="68"/>
        <v>0</v>
      </c>
      <c r="R313" s="3920">
        <f t="shared" si="69"/>
        <v>0</v>
      </c>
      <c r="S313" s="3921"/>
      <c r="T313" s="3922"/>
      <c r="U313" s="3923"/>
      <c r="V313" s="3925">
        <f t="shared" si="65"/>
        <v>0</v>
      </c>
    </row>
    <row r="314" spans="1:22" s="3896" customFormat="1" ht="15.05" customHeight="1">
      <c r="A314" s="3924"/>
      <c r="B314" s="3924"/>
      <c r="C314" s="3924"/>
      <c r="D314" s="3924"/>
      <c r="E314" s="3924"/>
      <c r="F314" s="3992"/>
      <c r="G314" s="3917" t="str">
        <f>[3]MAR!I416</f>
        <v>- Insentif Prem Indi Fase I</v>
      </c>
      <c r="H314" s="3917"/>
      <c r="I314" s="3917"/>
      <c r="J314" s="3993"/>
      <c r="K314" s="3918"/>
      <c r="L314" s="3919">
        <f>MAR!J416</f>
        <v>0</v>
      </c>
      <c r="M314" s="3265">
        <v>0</v>
      </c>
      <c r="N314" s="3919">
        <f>MAR!L416</f>
        <v>0</v>
      </c>
      <c r="O314" s="3919">
        <f>MAR!M416</f>
        <v>0</v>
      </c>
      <c r="P314" s="3919">
        <v>0</v>
      </c>
      <c r="Q314" s="3919">
        <f t="shared" si="68"/>
        <v>0</v>
      </c>
      <c r="R314" s="3920" t="e">
        <f t="shared" si="69"/>
        <v>#DIV/0!</v>
      </c>
      <c r="S314" s="3921"/>
      <c r="T314" s="3922"/>
      <c r="U314" s="3923"/>
      <c r="V314" s="3925">
        <f t="shared" si="65"/>
        <v>0</v>
      </c>
    </row>
    <row r="315" spans="1:22" s="3896" customFormat="1" ht="15.05" customHeight="1">
      <c r="A315" s="3924"/>
      <c r="B315" s="3924"/>
      <c r="C315" s="3924"/>
      <c r="D315" s="3924"/>
      <c r="E315" s="3924"/>
      <c r="F315" s="3992"/>
      <c r="G315" s="3917" t="str">
        <f>MAR!I417</f>
        <v>- Kekurangan Fase I</v>
      </c>
      <c r="H315" s="3917"/>
      <c r="I315" s="3917"/>
      <c r="J315" s="3993"/>
      <c r="K315" s="3918"/>
      <c r="L315" s="3919"/>
      <c r="M315" s="3265"/>
      <c r="N315" s="3919"/>
      <c r="O315" s="3919"/>
      <c r="P315" s="3919"/>
      <c r="Q315" s="3919"/>
      <c r="R315" s="3920"/>
      <c r="S315" s="3921"/>
      <c r="T315" s="3922"/>
      <c r="U315" s="3923"/>
      <c r="V315" s="3925">
        <f t="shared" si="65"/>
        <v>0</v>
      </c>
    </row>
    <row r="316" spans="1:22" s="3896" customFormat="1" ht="15.05" customHeight="1">
      <c r="A316" s="3924">
        <v>4</v>
      </c>
      <c r="B316" s="3924">
        <v>1</v>
      </c>
      <c r="C316" s="3924">
        <v>4</v>
      </c>
      <c r="D316" s="3924" t="s">
        <v>444</v>
      </c>
      <c r="E316" s="4283" t="s">
        <v>441</v>
      </c>
      <c r="F316" s="4351" t="s">
        <v>75</v>
      </c>
      <c r="G316" s="4285"/>
      <c r="H316" s="4285"/>
      <c r="I316" s="4285"/>
      <c r="J316" s="4347">
        <v>3000000000</v>
      </c>
      <c r="K316" s="4348">
        <v>2324824287.9400001</v>
      </c>
      <c r="L316" s="4288">
        <f>SUM(L317:L364)</f>
        <v>3000000000</v>
      </c>
      <c r="M316" s="4289">
        <v>29397490</v>
      </c>
      <c r="N316" s="4288">
        <f>SUM(N317:N364)</f>
        <v>9346050</v>
      </c>
      <c r="O316" s="4288">
        <f>SUM(O317:O364)</f>
        <v>38743540</v>
      </c>
      <c r="P316" s="4288">
        <v>3000000000</v>
      </c>
      <c r="Q316" s="4288">
        <f t="shared" ref="Q316:Q377" si="70">+P316-L316</f>
        <v>0</v>
      </c>
      <c r="R316" s="4290">
        <f>+P316/L316*100-100</f>
        <v>0</v>
      </c>
      <c r="S316" s="4291"/>
      <c r="T316" s="4292"/>
      <c r="U316" s="3923"/>
      <c r="V316" s="3925">
        <f t="shared" si="65"/>
        <v>154974160</v>
      </c>
    </row>
    <row r="317" spans="1:22" s="3896" customFormat="1" ht="15.05" customHeight="1">
      <c r="A317" s="3924"/>
      <c r="B317" s="3924"/>
      <c r="C317" s="3924"/>
      <c r="D317" s="3924"/>
      <c r="E317" s="3924"/>
      <c r="F317" s="3992" t="s">
        <v>50</v>
      </c>
      <c r="G317" s="3917" t="s">
        <v>1169</v>
      </c>
      <c r="H317" s="3917"/>
      <c r="I317" s="3917"/>
      <c r="J317" s="3993"/>
      <c r="K317" s="3918">
        <v>51341175</v>
      </c>
      <c r="L317" s="3919">
        <v>3000000000</v>
      </c>
      <c r="M317" s="3265">
        <v>0</v>
      </c>
      <c r="N317" s="3919">
        <v>0</v>
      </c>
      <c r="O317" s="3919">
        <v>0</v>
      </c>
      <c r="P317" s="3919">
        <v>3000000000</v>
      </c>
      <c r="Q317" s="3919">
        <f t="shared" si="70"/>
        <v>0</v>
      </c>
      <c r="R317" s="3920">
        <f>+P317/L317*100-100</f>
        <v>0</v>
      </c>
      <c r="S317" s="3921"/>
      <c r="T317" s="3922"/>
      <c r="U317" s="3923"/>
      <c r="V317" s="3925">
        <f t="shared" si="65"/>
        <v>0</v>
      </c>
    </row>
    <row r="318" spans="1:22" s="3896" customFormat="1" ht="15.05" customHeight="1">
      <c r="A318" s="3924"/>
      <c r="B318" s="3924"/>
      <c r="C318" s="3924"/>
      <c r="D318" s="3924"/>
      <c r="E318" s="3924"/>
      <c r="F318" s="3992" t="s">
        <v>50</v>
      </c>
      <c r="G318" s="3917" t="s">
        <v>1170</v>
      </c>
      <c r="H318" s="3917"/>
      <c r="I318" s="3917"/>
      <c r="J318" s="3993"/>
      <c r="K318" s="3918">
        <v>9703356.2599999998</v>
      </c>
      <c r="L318" s="3919">
        <v>0</v>
      </c>
      <c r="M318" s="3265">
        <v>0</v>
      </c>
      <c r="N318" s="3919">
        <v>0</v>
      </c>
      <c r="O318" s="3919">
        <v>0</v>
      </c>
      <c r="P318" s="3919">
        <v>0</v>
      </c>
      <c r="Q318" s="3919">
        <f t="shared" si="70"/>
        <v>0</v>
      </c>
      <c r="R318" s="3920">
        <v>0</v>
      </c>
      <c r="S318" s="3921"/>
      <c r="T318" s="3922"/>
      <c r="U318" s="3923"/>
      <c r="V318" s="3925">
        <f t="shared" si="65"/>
        <v>0</v>
      </c>
    </row>
    <row r="319" spans="1:22" s="3896" customFormat="1" ht="15.05" customHeight="1">
      <c r="A319" s="3924"/>
      <c r="B319" s="3924"/>
      <c r="C319" s="3924"/>
      <c r="D319" s="3924"/>
      <c r="E319" s="3924"/>
      <c r="F319" s="3992" t="s">
        <v>50</v>
      </c>
      <c r="G319" s="3917" t="s">
        <v>1171</v>
      </c>
      <c r="H319" s="3917"/>
      <c r="I319" s="3917"/>
      <c r="J319" s="3993"/>
      <c r="K319" s="3918">
        <v>50998000</v>
      </c>
      <c r="L319" s="3919">
        <v>0</v>
      </c>
      <c r="M319" s="3265">
        <v>0</v>
      </c>
      <c r="N319" s="3919">
        <v>0</v>
      </c>
      <c r="O319" s="3919">
        <v>0</v>
      </c>
      <c r="P319" s="3919">
        <v>0</v>
      </c>
      <c r="Q319" s="3919">
        <f t="shared" si="70"/>
        <v>0</v>
      </c>
      <c r="R319" s="3920">
        <v>0</v>
      </c>
      <c r="S319" s="3921"/>
      <c r="T319" s="3922"/>
      <c r="U319" s="3923"/>
      <c r="V319" s="3925">
        <f t="shared" si="65"/>
        <v>0</v>
      </c>
    </row>
    <row r="320" spans="1:22" s="3896" customFormat="1" ht="15.05" customHeight="1">
      <c r="A320" s="3924"/>
      <c r="B320" s="3924"/>
      <c r="C320" s="3924"/>
      <c r="D320" s="3924"/>
      <c r="E320" s="3924"/>
      <c r="F320" s="3992" t="s">
        <v>50</v>
      </c>
      <c r="G320" s="3917" t="s">
        <v>1172</v>
      </c>
      <c r="H320" s="3917"/>
      <c r="I320" s="3917"/>
      <c r="J320" s="3993"/>
      <c r="K320" s="3918">
        <v>3088075</v>
      </c>
      <c r="L320" s="3919">
        <v>0</v>
      </c>
      <c r="M320" s="3265">
        <v>0</v>
      </c>
      <c r="N320" s="3919">
        <v>0</v>
      </c>
      <c r="O320" s="3919">
        <v>0</v>
      </c>
      <c r="P320" s="3919">
        <v>0</v>
      </c>
      <c r="Q320" s="3919">
        <f t="shared" si="70"/>
        <v>0</v>
      </c>
      <c r="R320" s="3920">
        <v>0</v>
      </c>
      <c r="S320" s="3921"/>
      <c r="T320" s="3922"/>
      <c r="U320" s="3923"/>
      <c r="V320" s="3925">
        <f t="shared" si="65"/>
        <v>0</v>
      </c>
    </row>
    <row r="321" spans="1:22" s="3896" customFormat="1" ht="15.05" customHeight="1">
      <c r="A321" s="3924"/>
      <c r="B321" s="3924"/>
      <c r="C321" s="3924"/>
      <c r="D321" s="3924"/>
      <c r="E321" s="3924"/>
      <c r="F321" s="3992" t="s">
        <v>50</v>
      </c>
      <c r="G321" s="3917" t="s">
        <v>571</v>
      </c>
      <c r="H321" s="3917"/>
      <c r="I321" s="3917"/>
      <c r="J321" s="3993"/>
      <c r="K321" s="3918">
        <v>633797511.37</v>
      </c>
      <c r="L321" s="3919">
        <v>0</v>
      </c>
      <c r="M321" s="3265">
        <v>0</v>
      </c>
      <c r="N321" s="3919">
        <v>0</v>
      </c>
      <c r="O321" s="3919">
        <v>0</v>
      </c>
      <c r="P321" s="3919">
        <v>0</v>
      </c>
      <c r="Q321" s="3919">
        <f t="shared" si="70"/>
        <v>0</v>
      </c>
      <c r="R321" s="3920">
        <v>0</v>
      </c>
      <c r="S321" s="3921"/>
      <c r="T321" s="4358"/>
      <c r="U321" s="4359"/>
      <c r="V321" s="3925">
        <f t="shared" si="65"/>
        <v>0</v>
      </c>
    </row>
    <row r="322" spans="1:22" s="3896" customFormat="1" ht="15.05" customHeight="1">
      <c r="A322" s="3924"/>
      <c r="B322" s="3924"/>
      <c r="C322" s="3924"/>
      <c r="D322" s="3924"/>
      <c r="E322" s="3924"/>
      <c r="F322" s="3992" t="s">
        <v>50</v>
      </c>
      <c r="G322" s="3917" t="s">
        <v>1173</v>
      </c>
      <c r="H322" s="4360"/>
      <c r="I322" s="4360"/>
      <c r="J322" s="4361"/>
      <c r="K322" s="4348">
        <v>23739197</v>
      </c>
      <c r="L322" s="4288">
        <v>0</v>
      </c>
      <c r="M322" s="4289">
        <v>0</v>
      </c>
      <c r="N322" s="4288">
        <v>0</v>
      </c>
      <c r="O322" s="4288">
        <v>0</v>
      </c>
      <c r="P322" s="4288">
        <v>0</v>
      </c>
      <c r="Q322" s="4288">
        <f t="shared" si="70"/>
        <v>0</v>
      </c>
      <c r="R322" s="3920">
        <v>0</v>
      </c>
      <c r="S322" s="4335"/>
      <c r="T322" s="4310"/>
      <c r="U322" s="4362">
        <f>PerDinas!Q655</f>
        <v>0</v>
      </c>
      <c r="V322" s="3925">
        <f t="shared" si="65"/>
        <v>0</v>
      </c>
    </row>
    <row r="323" spans="1:22" s="3896" customFormat="1" ht="15.05" customHeight="1">
      <c r="A323" s="3924"/>
      <c r="B323" s="3924"/>
      <c r="C323" s="3924"/>
      <c r="D323" s="3924"/>
      <c r="E323" s="3924"/>
      <c r="F323" s="3992" t="s">
        <v>50</v>
      </c>
      <c r="G323" s="3917" t="s">
        <v>1174</v>
      </c>
      <c r="H323" s="3917"/>
      <c r="I323" s="3917"/>
      <c r="J323" s="3993"/>
      <c r="K323" s="3918">
        <v>32297000</v>
      </c>
      <c r="L323" s="3919">
        <v>0</v>
      </c>
      <c r="M323" s="3265">
        <v>855000</v>
      </c>
      <c r="N323" s="3919">
        <v>0</v>
      </c>
      <c r="O323" s="3919">
        <v>855000</v>
      </c>
      <c r="P323" s="3919">
        <v>0</v>
      </c>
      <c r="Q323" s="3919">
        <f t="shared" si="70"/>
        <v>0</v>
      </c>
      <c r="R323" s="3920">
        <v>0</v>
      </c>
      <c r="S323" s="3921"/>
      <c r="T323" s="3922"/>
      <c r="U323" s="3923"/>
      <c r="V323" s="3925">
        <f t="shared" si="65"/>
        <v>3420000</v>
      </c>
    </row>
    <row r="324" spans="1:22" s="3896" customFormat="1" ht="15.05" customHeight="1">
      <c r="A324" s="3924"/>
      <c r="B324" s="3924"/>
      <c r="C324" s="3924"/>
      <c r="D324" s="3924"/>
      <c r="E324" s="3924"/>
      <c r="F324" s="3992" t="s">
        <v>50</v>
      </c>
      <c r="G324" s="3917" t="s">
        <v>1175</v>
      </c>
      <c r="H324" s="3917"/>
      <c r="I324" s="3917"/>
      <c r="J324" s="3993"/>
      <c r="K324" s="3918">
        <v>26480806</v>
      </c>
      <c r="L324" s="3919">
        <v>0</v>
      </c>
      <c r="M324" s="3265">
        <v>0</v>
      </c>
      <c r="N324" s="3919">
        <v>0</v>
      </c>
      <c r="O324" s="3919">
        <v>0</v>
      </c>
      <c r="P324" s="3919">
        <v>0</v>
      </c>
      <c r="Q324" s="3919">
        <f t="shared" si="70"/>
        <v>0</v>
      </c>
      <c r="R324" s="3920">
        <v>0</v>
      </c>
      <c r="S324" s="3921"/>
      <c r="T324" s="3922"/>
      <c r="U324" s="3923"/>
      <c r="V324" s="3925">
        <f t="shared" si="65"/>
        <v>0</v>
      </c>
    </row>
    <row r="325" spans="1:22" s="3896" customFormat="1" ht="15.05" customHeight="1">
      <c r="A325" s="3924"/>
      <c r="B325" s="3924"/>
      <c r="C325" s="3924"/>
      <c r="D325" s="3924"/>
      <c r="E325" s="3924"/>
      <c r="F325" s="3992" t="s">
        <v>50</v>
      </c>
      <c r="G325" s="3917" t="s">
        <v>1176</v>
      </c>
      <c r="H325" s="3917"/>
      <c r="I325" s="3917"/>
      <c r="J325" s="3993"/>
      <c r="K325" s="3918">
        <v>33995946.960000001</v>
      </c>
      <c r="L325" s="3919">
        <v>0</v>
      </c>
      <c r="M325" s="3265">
        <v>0</v>
      </c>
      <c r="N325" s="3919">
        <v>0</v>
      </c>
      <c r="O325" s="3919">
        <v>0</v>
      </c>
      <c r="P325" s="3919">
        <v>0</v>
      </c>
      <c r="Q325" s="3919">
        <f t="shared" si="70"/>
        <v>0</v>
      </c>
      <c r="R325" s="3920">
        <v>0</v>
      </c>
      <c r="S325" s="3921"/>
      <c r="T325" s="3922"/>
      <c r="U325" s="3923"/>
      <c r="V325" s="3925">
        <f t="shared" si="65"/>
        <v>0</v>
      </c>
    </row>
    <row r="326" spans="1:22" s="3896" customFormat="1" ht="15.05" customHeight="1">
      <c r="A326" s="3924"/>
      <c r="B326" s="3924"/>
      <c r="C326" s="3924"/>
      <c r="D326" s="3924"/>
      <c r="E326" s="3924"/>
      <c r="F326" s="3992" t="s">
        <v>50</v>
      </c>
      <c r="G326" s="3917" t="s">
        <v>1177</v>
      </c>
      <c r="H326" s="3917"/>
      <c r="I326" s="3917"/>
      <c r="J326" s="3993"/>
      <c r="K326" s="3918">
        <v>110487727</v>
      </c>
      <c r="L326" s="3919">
        <v>0</v>
      </c>
      <c r="M326" s="3265">
        <v>0</v>
      </c>
      <c r="N326" s="3919">
        <v>0</v>
      </c>
      <c r="O326" s="3919">
        <v>0</v>
      </c>
      <c r="P326" s="3919">
        <v>0</v>
      </c>
      <c r="Q326" s="3919">
        <f t="shared" si="70"/>
        <v>0</v>
      </c>
      <c r="R326" s="3920">
        <v>0</v>
      </c>
      <c r="S326" s="3921"/>
      <c r="T326" s="3922"/>
      <c r="U326" s="3923"/>
      <c r="V326" s="3925">
        <f t="shared" si="65"/>
        <v>0</v>
      </c>
    </row>
    <row r="327" spans="1:22" s="3896" customFormat="1" ht="15.05" customHeight="1">
      <c r="A327" s="3924"/>
      <c r="B327" s="3924"/>
      <c r="C327" s="3924"/>
      <c r="D327" s="3924"/>
      <c r="E327" s="3924"/>
      <c r="F327" s="3992" t="s">
        <v>50</v>
      </c>
      <c r="G327" s="3917" t="s">
        <v>643</v>
      </c>
      <c r="H327" s="3917"/>
      <c r="I327" s="3917"/>
      <c r="J327" s="3993"/>
      <c r="K327" s="3918">
        <v>6650000</v>
      </c>
      <c r="L327" s="3919">
        <v>0</v>
      </c>
      <c r="M327" s="3265">
        <v>0</v>
      </c>
      <c r="N327" s="3919">
        <v>0</v>
      </c>
      <c r="O327" s="3919">
        <v>0</v>
      </c>
      <c r="P327" s="3919">
        <v>0</v>
      </c>
      <c r="Q327" s="3919">
        <f t="shared" si="70"/>
        <v>0</v>
      </c>
      <c r="R327" s="3920">
        <v>0</v>
      </c>
      <c r="S327" s="3921"/>
      <c r="T327" s="3922"/>
      <c r="U327" s="3923"/>
      <c r="V327" s="3925">
        <f t="shared" si="65"/>
        <v>0</v>
      </c>
    </row>
    <row r="328" spans="1:22" s="3896" customFormat="1" ht="15.05" customHeight="1">
      <c r="A328" s="3924"/>
      <c r="B328" s="3924"/>
      <c r="C328" s="3924"/>
      <c r="D328" s="3924"/>
      <c r="E328" s="3924"/>
      <c r="F328" s="3992" t="s">
        <v>50</v>
      </c>
      <c r="G328" s="3917" t="s">
        <v>224</v>
      </c>
      <c r="H328" s="3917"/>
      <c r="I328" s="3917"/>
      <c r="J328" s="3993"/>
      <c r="K328" s="3918">
        <v>19604200</v>
      </c>
      <c r="L328" s="3919">
        <v>0</v>
      </c>
      <c r="M328" s="3265">
        <v>0</v>
      </c>
      <c r="N328" s="3919">
        <v>0</v>
      </c>
      <c r="O328" s="3919">
        <v>0</v>
      </c>
      <c r="P328" s="3919">
        <v>0</v>
      </c>
      <c r="Q328" s="3919">
        <f t="shared" si="70"/>
        <v>0</v>
      </c>
      <c r="R328" s="3920">
        <v>0</v>
      </c>
      <c r="S328" s="3921"/>
      <c r="T328" s="3922"/>
      <c r="U328" s="3923"/>
      <c r="V328" s="3925">
        <f t="shared" si="65"/>
        <v>0</v>
      </c>
    </row>
    <row r="329" spans="1:22" s="3896" customFormat="1" ht="15.05" customHeight="1">
      <c r="A329" s="3924"/>
      <c r="B329" s="3924"/>
      <c r="C329" s="3924"/>
      <c r="D329" s="3924"/>
      <c r="E329" s="3924"/>
      <c r="F329" s="3992" t="s">
        <v>50</v>
      </c>
      <c r="G329" s="3917" t="s">
        <v>1178</v>
      </c>
      <c r="H329" s="3917"/>
      <c r="I329" s="3917"/>
      <c r="J329" s="3993"/>
      <c r="K329" s="3918">
        <v>33004350</v>
      </c>
      <c r="L329" s="3919">
        <v>0</v>
      </c>
      <c r="M329" s="3265">
        <v>0</v>
      </c>
      <c r="N329" s="3919">
        <v>0</v>
      </c>
      <c r="O329" s="3919">
        <v>0</v>
      </c>
      <c r="P329" s="3919">
        <v>0</v>
      </c>
      <c r="Q329" s="3919">
        <f t="shared" si="70"/>
        <v>0</v>
      </c>
      <c r="R329" s="3920">
        <v>0</v>
      </c>
      <c r="S329" s="3921"/>
      <c r="T329" s="3922"/>
      <c r="U329" s="3923"/>
      <c r="V329" s="3925">
        <f t="shared" si="65"/>
        <v>0</v>
      </c>
    </row>
    <row r="330" spans="1:22" s="3896" customFormat="1" ht="15.05" customHeight="1">
      <c r="A330" s="3924"/>
      <c r="B330" s="3924"/>
      <c r="C330" s="3924"/>
      <c r="D330" s="3924"/>
      <c r="E330" s="3924"/>
      <c r="F330" s="3992" t="s">
        <v>50</v>
      </c>
      <c r="G330" s="1814" t="s">
        <v>575</v>
      </c>
      <c r="H330" s="3917"/>
      <c r="I330" s="3917"/>
      <c r="J330" s="3993"/>
      <c r="K330" s="3918">
        <v>17971900</v>
      </c>
      <c r="L330" s="3919">
        <v>0</v>
      </c>
      <c r="M330" s="3265">
        <v>7967600</v>
      </c>
      <c r="N330" s="3919">
        <v>0</v>
      </c>
      <c r="O330" s="3919">
        <v>7967600</v>
      </c>
      <c r="P330" s="3919">
        <v>0</v>
      </c>
      <c r="Q330" s="3919">
        <f t="shared" si="70"/>
        <v>0</v>
      </c>
      <c r="R330" s="3920">
        <v>0</v>
      </c>
      <c r="S330" s="4335"/>
      <c r="T330" s="3922"/>
      <c r="U330" s="4353"/>
      <c r="V330" s="3925">
        <f t="shared" si="65"/>
        <v>31870400</v>
      </c>
    </row>
    <row r="331" spans="1:22" s="3896" customFormat="1" ht="15.05" customHeight="1">
      <c r="A331" s="3924"/>
      <c r="B331" s="3924"/>
      <c r="C331" s="3924"/>
      <c r="D331" s="3924"/>
      <c r="E331" s="3924"/>
      <c r="F331" s="3992" t="s">
        <v>50</v>
      </c>
      <c r="G331" s="1814" t="s">
        <v>576</v>
      </c>
      <c r="H331" s="3917"/>
      <c r="I331" s="3917"/>
      <c r="J331" s="3993"/>
      <c r="K331" s="3918">
        <v>131995452.15000001</v>
      </c>
      <c r="L331" s="3919">
        <v>0</v>
      </c>
      <c r="M331" s="3265">
        <v>0</v>
      </c>
      <c r="N331" s="3919">
        <v>0</v>
      </c>
      <c r="O331" s="3919">
        <v>0</v>
      </c>
      <c r="P331" s="3919">
        <v>0</v>
      </c>
      <c r="Q331" s="3919">
        <f t="shared" si="70"/>
        <v>0</v>
      </c>
      <c r="R331" s="3920">
        <v>0</v>
      </c>
      <c r="S331" s="3921"/>
      <c r="T331" s="3922"/>
      <c r="U331" s="3923"/>
      <c r="V331" s="3925">
        <f t="shared" si="65"/>
        <v>0</v>
      </c>
    </row>
    <row r="332" spans="1:22" s="3896" customFormat="1" ht="15.05" customHeight="1">
      <c r="A332" s="3924"/>
      <c r="B332" s="3924"/>
      <c r="C332" s="3924"/>
      <c r="D332" s="3924"/>
      <c r="E332" s="3924"/>
      <c r="F332" s="3992" t="s">
        <v>50</v>
      </c>
      <c r="G332" s="1814" t="s">
        <v>577</v>
      </c>
      <c r="H332" s="3917"/>
      <c r="I332" s="4285"/>
      <c r="J332" s="4347"/>
      <c r="K332" s="4348">
        <v>80279296.019999996</v>
      </c>
      <c r="L332" s="3919">
        <v>0</v>
      </c>
      <c r="M332" s="3265">
        <v>0</v>
      </c>
      <c r="N332" s="3919">
        <v>0</v>
      </c>
      <c r="O332" s="3919">
        <v>0</v>
      </c>
      <c r="P332" s="3919">
        <v>0</v>
      </c>
      <c r="Q332" s="3919">
        <f t="shared" si="70"/>
        <v>0</v>
      </c>
      <c r="R332" s="3920">
        <v>0</v>
      </c>
      <c r="S332" s="3921"/>
      <c r="T332" s="3922"/>
      <c r="U332" s="3923"/>
      <c r="V332" s="3925">
        <f t="shared" si="65"/>
        <v>0</v>
      </c>
    </row>
    <row r="333" spans="1:22" s="3896" customFormat="1" ht="15.05" customHeight="1">
      <c r="A333" s="3924"/>
      <c r="B333" s="3924"/>
      <c r="C333" s="3924"/>
      <c r="D333" s="3924"/>
      <c r="E333" s="3924"/>
      <c r="F333" s="3992" t="s">
        <v>50</v>
      </c>
      <c r="G333" s="1814" t="s">
        <v>578</v>
      </c>
      <c r="H333" s="3917"/>
      <c r="I333" s="3917"/>
      <c r="J333" s="3993"/>
      <c r="K333" s="3918">
        <v>6724929</v>
      </c>
      <c r="L333" s="3919">
        <v>0</v>
      </c>
      <c r="M333" s="3265">
        <v>2220000</v>
      </c>
      <c r="N333" s="3919">
        <v>0</v>
      </c>
      <c r="O333" s="3919">
        <v>2220000</v>
      </c>
      <c r="P333" s="3919">
        <v>0</v>
      </c>
      <c r="Q333" s="3919">
        <f t="shared" si="70"/>
        <v>0</v>
      </c>
      <c r="R333" s="3920">
        <v>0</v>
      </c>
      <c r="S333" s="3921"/>
      <c r="T333" s="3922"/>
      <c r="U333" s="3923"/>
      <c r="V333" s="3925">
        <f t="shared" si="65"/>
        <v>8880000</v>
      </c>
    </row>
    <row r="334" spans="1:22" s="3896" customFormat="1" ht="15.05" customHeight="1">
      <c r="A334" s="3924"/>
      <c r="B334" s="3924"/>
      <c r="C334" s="3924"/>
      <c r="D334" s="3924"/>
      <c r="E334" s="3924"/>
      <c r="F334" s="3992" t="s">
        <v>50</v>
      </c>
      <c r="G334" s="1814" t="s">
        <v>579</v>
      </c>
      <c r="H334" s="3917"/>
      <c r="I334" s="3917"/>
      <c r="J334" s="3993"/>
      <c r="K334" s="3918">
        <v>9604597</v>
      </c>
      <c r="L334" s="3919">
        <v>0</v>
      </c>
      <c r="M334" s="3265">
        <v>0</v>
      </c>
      <c r="N334" s="3919">
        <v>0</v>
      </c>
      <c r="O334" s="3919">
        <v>0</v>
      </c>
      <c r="P334" s="3919">
        <v>0</v>
      </c>
      <c r="Q334" s="3919">
        <f t="shared" si="70"/>
        <v>0</v>
      </c>
      <c r="R334" s="3920">
        <v>0</v>
      </c>
      <c r="S334" s="3921"/>
      <c r="T334" s="3922"/>
      <c r="U334" s="3923"/>
      <c r="V334" s="3925">
        <f t="shared" si="65"/>
        <v>0</v>
      </c>
    </row>
    <row r="335" spans="1:22" s="3896" customFormat="1" ht="15.05" customHeight="1">
      <c r="A335" s="3924"/>
      <c r="B335" s="3924"/>
      <c r="C335" s="3924"/>
      <c r="D335" s="3924"/>
      <c r="E335" s="3924"/>
      <c r="F335" s="3992" t="s">
        <v>50</v>
      </c>
      <c r="G335" s="1814" t="s">
        <v>580</v>
      </c>
      <c r="H335" s="3917"/>
      <c r="I335" s="3917"/>
      <c r="J335" s="3993"/>
      <c r="K335" s="3918">
        <v>5840000</v>
      </c>
      <c r="L335" s="3919">
        <v>0</v>
      </c>
      <c r="M335" s="3265">
        <v>0</v>
      </c>
      <c r="N335" s="3919">
        <v>0</v>
      </c>
      <c r="O335" s="3919">
        <v>0</v>
      </c>
      <c r="P335" s="3919">
        <v>0</v>
      </c>
      <c r="Q335" s="3919">
        <f t="shared" si="70"/>
        <v>0</v>
      </c>
      <c r="R335" s="3920">
        <v>0</v>
      </c>
      <c r="S335" s="3921"/>
      <c r="T335" s="3922"/>
      <c r="U335" s="3923"/>
      <c r="V335" s="3925">
        <f t="shared" si="65"/>
        <v>0</v>
      </c>
    </row>
    <row r="336" spans="1:22" s="3896" customFormat="1" ht="15.05" customHeight="1">
      <c r="A336" s="3924"/>
      <c r="B336" s="3924"/>
      <c r="C336" s="3924"/>
      <c r="D336" s="3924"/>
      <c r="E336" s="3924"/>
      <c r="F336" s="3992" t="s">
        <v>50</v>
      </c>
      <c r="G336" s="1814" t="s">
        <v>581</v>
      </c>
      <c r="H336" s="3917"/>
      <c r="I336" s="3917"/>
      <c r="J336" s="3993"/>
      <c r="K336" s="3918">
        <v>75598294</v>
      </c>
      <c r="L336" s="3919">
        <v>0</v>
      </c>
      <c r="M336" s="3265">
        <v>0</v>
      </c>
      <c r="N336" s="3919">
        <v>0</v>
      </c>
      <c r="O336" s="3919">
        <v>0</v>
      </c>
      <c r="P336" s="3919">
        <v>0</v>
      </c>
      <c r="Q336" s="3919">
        <f t="shared" si="70"/>
        <v>0</v>
      </c>
      <c r="R336" s="3920">
        <v>0</v>
      </c>
      <c r="S336" s="3921"/>
      <c r="T336" s="3922"/>
      <c r="U336" s="3923"/>
      <c r="V336" s="3925">
        <f t="shared" si="65"/>
        <v>0</v>
      </c>
    </row>
    <row r="337" spans="1:22" s="3896" customFormat="1" ht="15.05" customHeight="1">
      <c r="A337" s="3924"/>
      <c r="B337" s="3924"/>
      <c r="C337" s="3924"/>
      <c r="D337" s="3924"/>
      <c r="E337" s="3924"/>
      <c r="F337" s="3992" t="s">
        <v>50</v>
      </c>
      <c r="G337" s="1814" t="s">
        <v>582</v>
      </c>
      <c r="H337" s="3917"/>
      <c r="I337" s="4285"/>
      <c r="J337" s="4347"/>
      <c r="K337" s="4348">
        <v>118736055.84</v>
      </c>
      <c r="L337" s="3919">
        <v>0</v>
      </c>
      <c r="M337" s="3265">
        <v>0</v>
      </c>
      <c r="N337" s="3919">
        <v>0</v>
      </c>
      <c r="O337" s="3919">
        <v>0</v>
      </c>
      <c r="P337" s="3919">
        <v>0</v>
      </c>
      <c r="Q337" s="3919">
        <f t="shared" si="70"/>
        <v>0</v>
      </c>
      <c r="R337" s="3920">
        <v>0</v>
      </c>
      <c r="S337" s="3921"/>
      <c r="T337" s="3922"/>
      <c r="U337" s="3923"/>
      <c r="V337" s="3925">
        <f t="shared" si="65"/>
        <v>0</v>
      </c>
    </row>
    <row r="338" spans="1:22" s="3896" customFormat="1" ht="15.05" customHeight="1">
      <c r="A338" s="3924"/>
      <c r="B338" s="3924"/>
      <c r="C338" s="3924"/>
      <c r="D338" s="3924"/>
      <c r="E338" s="3924"/>
      <c r="F338" s="3992" t="s">
        <v>50</v>
      </c>
      <c r="G338" s="1814" t="s">
        <v>583</v>
      </c>
      <c r="H338" s="3917"/>
      <c r="I338" s="4285"/>
      <c r="J338" s="4347"/>
      <c r="K338" s="4348">
        <v>3882000</v>
      </c>
      <c r="L338" s="3919">
        <v>0</v>
      </c>
      <c r="M338" s="3265">
        <v>18154890</v>
      </c>
      <c r="N338" s="3919">
        <v>0</v>
      </c>
      <c r="O338" s="3919">
        <v>18154890</v>
      </c>
      <c r="P338" s="3919">
        <v>0</v>
      </c>
      <c r="Q338" s="3919">
        <f t="shared" si="70"/>
        <v>0</v>
      </c>
      <c r="R338" s="3920">
        <v>0</v>
      </c>
      <c r="S338" s="3921"/>
      <c r="T338" s="3922"/>
      <c r="U338" s="3923"/>
      <c r="V338" s="3925">
        <f t="shared" si="65"/>
        <v>72619560</v>
      </c>
    </row>
    <row r="339" spans="1:22" s="3896" customFormat="1" ht="15.05" customHeight="1">
      <c r="A339" s="3924"/>
      <c r="B339" s="3924"/>
      <c r="C339" s="3924"/>
      <c r="D339" s="3924"/>
      <c r="E339" s="3924"/>
      <c r="F339" s="3992" t="s">
        <v>50</v>
      </c>
      <c r="G339" s="1814" t="s">
        <v>584</v>
      </c>
      <c r="H339" s="3917"/>
      <c r="I339" s="4285"/>
      <c r="J339" s="4347"/>
      <c r="K339" s="4348">
        <v>22520000</v>
      </c>
      <c r="L339" s="3919">
        <v>0</v>
      </c>
      <c r="M339" s="3265">
        <v>0</v>
      </c>
      <c r="N339" s="3919">
        <v>0</v>
      </c>
      <c r="O339" s="3919">
        <v>0</v>
      </c>
      <c r="P339" s="3919">
        <v>0</v>
      </c>
      <c r="Q339" s="3919">
        <f t="shared" si="70"/>
        <v>0</v>
      </c>
      <c r="R339" s="3920">
        <v>0</v>
      </c>
      <c r="S339" s="4335"/>
      <c r="T339" s="3922"/>
      <c r="U339" s="4353"/>
      <c r="V339" s="3925">
        <f t="shared" si="65"/>
        <v>0</v>
      </c>
    </row>
    <row r="340" spans="1:22" s="3896" customFormat="1" ht="15.05" customHeight="1">
      <c r="A340" s="3924"/>
      <c r="B340" s="3924"/>
      <c r="C340" s="3924"/>
      <c r="D340" s="3924"/>
      <c r="E340" s="3924"/>
      <c r="F340" s="3992" t="s">
        <v>50</v>
      </c>
      <c r="G340" s="1814" t="s">
        <v>585</v>
      </c>
      <c r="H340" s="3917"/>
      <c r="I340" s="4285"/>
      <c r="J340" s="4347"/>
      <c r="K340" s="4348">
        <v>0</v>
      </c>
      <c r="L340" s="3919">
        <v>0</v>
      </c>
      <c r="M340" s="3265">
        <v>0</v>
      </c>
      <c r="N340" s="3919">
        <v>0</v>
      </c>
      <c r="O340" s="3919">
        <v>0</v>
      </c>
      <c r="P340" s="3919">
        <v>0</v>
      </c>
      <c r="Q340" s="3919">
        <f t="shared" si="70"/>
        <v>0</v>
      </c>
      <c r="R340" s="3920">
        <v>0</v>
      </c>
      <c r="S340" s="3921"/>
      <c r="T340" s="3922"/>
      <c r="U340" s="4353"/>
      <c r="V340" s="3925">
        <f t="shared" si="65"/>
        <v>0</v>
      </c>
    </row>
    <row r="341" spans="1:22" s="3896" customFormat="1" ht="15.05" customHeight="1">
      <c r="A341" s="3924"/>
      <c r="B341" s="3924"/>
      <c r="C341" s="3924"/>
      <c r="D341" s="3924"/>
      <c r="E341" s="3924"/>
      <c r="F341" s="3992" t="s">
        <v>50</v>
      </c>
      <c r="G341" s="1814" t="s">
        <v>586</v>
      </c>
      <c r="H341" s="3917"/>
      <c r="I341" s="3917"/>
      <c r="J341" s="3993"/>
      <c r="K341" s="3918">
        <v>11699500</v>
      </c>
      <c r="L341" s="3919">
        <v>0</v>
      </c>
      <c r="M341" s="3265">
        <v>0</v>
      </c>
      <c r="N341" s="3919">
        <v>0</v>
      </c>
      <c r="O341" s="3919">
        <v>0</v>
      </c>
      <c r="P341" s="3919">
        <v>0</v>
      </c>
      <c r="Q341" s="3919">
        <f t="shared" si="70"/>
        <v>0</v>
      </c>
      <c r="R341" s="3920">
        <v>0</v>
      </c>
      <c r="S341" s="4335"/>
      <c r="T341" s="3922"/>
      <c r="U341" s="4353"/>
      <c r="V341" s="3925">
        <f t="shared" si="65"/>
        <v>0</v>
      </c>
    </row>
    <row r="342" spans="1:22" s="3896" customFormat="1" ht="15.05" customHeight="1">
      <c r="A342" s="3924"/>
      <c r="B342" s="3924"/>
      <c r="C342" s="3924"/>
      <c r="D342" s="3924"/>
      <c r="E342" s="3924"/>
      <c r="F342" s="3992" t="s">
        <v>50</v>
      </c>
      <c r="G342" s="1814" t="s">
        <v>587</v>
      </c>
      <c r="H342" s="3917"/>
      <c r="I342" s="3917"/>
      <c r="J342" s="4363"/>
      <c r="K342" s="4305">
        <v>66970818</v>
      </c>
      <c r="L342" s="4306">
        <v>0</v>
      </c>
      <c r="M342" s="4307">
        <v>0</v>
      </c>
      <c r="N342" s="4306">
        <v>0</v>
      </c>
      <c r="O342" s="4306">
        <v>0</v>
      </c>
      <c r="P342" s="4306">
        <v>0</v>
      </c>
      <c r="Q342" s="4306">
        <f t="shared" si="70"/>
        <v>0</v>
      </c>
      <c r="R342" s="3920">
        <v>0</v>
      </c>
      <c r="S342" s="3921"/>
      <c r="T342" s="3922"/>
      <c r="U342" s="3923"/>
      <c r="V342" s="3925">
        <f t="shared" si="65"/>
        <v>0</v>
      </c>
    </row>
    <row r="343" spans="1:22" s="3896" customFormat="1" ht="15.05" customHeight="1">
      <c r="A343" s="3924"/>
      <c r="B343" s="3924"/>
      <c r="C343" s="3924"/>
      <c r="D343" s="3924"/>
      <c r="E343" s="3924"/>
      <c r="F343" s="3992" t="s">
        <v>50</v>
      </c>
      <c r="G343" s="1814" t="s">
        <v>588</v>
      </c>
      <c r="H343" s="3917"/>
      <c r="I343" s="4285"/>
      <c r="J343" s="4347"/>
      <c r="K343" s="4348">
        <v>57329525</v>
      </c>
      <c r="L343" s="3919">
        <v>0</v>
      </c>
      <c r="M343" s="3265">
        <v>0</v>
      </c>
      <c r="N343" s="3919">
        <v>9346050</v>
      </c>
      <c r="O343" s="3919">
        <v>9346050</v>
      </c>
      <c r="P343" s="3919">
        <v>0</v>
      </c>
      <c r="Q343" s="3919">
        <f t="shared" si="70"/>
        <v>0</v>
      </c>
      <c r="R343" s="3920">
        <v>0</v>
      </c>
      <c r="S343" s="3921"/>
      <c r="T343" s="3922"/>
      <c r="U343" s="3923"/>
      <c r="V343" s="3925">
        <f t="shared" si="65"/>
        <v>37384200</v>
      </c>
    </row>
    <row r="344" spans="1:22" s="3896" customFormat="1" ht="15.05" customHeight="1">
      <c r="A344" s="3924"/>
      <c r="B344" s="3924"/>
      <c r="C344" s="3924"/>
      <c r="D344" s="3924"/>
      <c r="E344" s="3924"/>
      <c r="F344" s="3992" t="s">
        <v>50</v>
      </c>
      <c r="G344" s="1814" t="s">
        <v>284</v>
      </c>
      <c r="H344" s="3917"/>
      <c r="I344" s="3917"/>
      <c r="J344" s="3993"/>
      <c r="K344" s="3918">
        <v>25644269</v>
      </c>
      <c r="L344" s="3919">
        <v>0</v>
      </c>
      <c r="M344" s="3265">
        <v>200000</v>
      </c>
      <c r="N344" s="3919">
        <v>0</v>
      </c>
      <c r="O344" s="3919">
        <v>200000</v>
      </c>
      <c r="P344" s="3919">
        <v>0</v>
      </c>
      <c r="Q344" s="3919">
        <f t="shared" si="70"/>
        <v>0</v>
      </c>
      <c r="R344" s="3920">
        <v>0</v>
      </c>
      <c r="S344" s="3921"/>
      <c r="T344" s="3922"/>
      <c r="U344" s="3923"/>
      <c r="V344" s="3925">
        <f t="shared" ref="V344:V420" si="71">O344*4</f>
        <v>800000</v>
      </c>
    </row>
    <row r="345" spans="1:22" s="3896" customFormat="1" ht="15.05" customHeight="1">
      <c r="A345" s="3924"/>
      <c r="B345" s="3924"/>
      <c r="C345" s="3924"/>
      <c r="D345" s="3924"/>
      <c r="E345" s="3924"/>
      <c r="F345" s="3992" t="s">
        <v>50</v>
      </c>
      <c r="G345" s="1814" t="s">
        <v>589</v>
      </c>
      <c r="H345" s="3917"/>
      <c r="I345" s="3917"/>
      <c r="J345" s="3993"/>
      <c r="K345" s="3918">
        <v>141645590</v>
      </c>
      <c r="L345" s="3919">
        <v>0</v>
      </c>
      <c r="M345" s="3265">
        <v>0</v>
      </c>
      <c r="N345" s="3919">
        <v>0</v>
      </c>
      <c r="O345" s="3919">
        <v>0</v>
      </c>
      <c r="P345" s="3919">
        <v>0</v>
      </c>
      <c r="Q345" s="3919">
        <f t="shared" si="70"/>
        <v>0</v>
      </c>
      <c r="R345" s="3920">
        <v>0</v>
      </c>
      <c r="S345" s="3921"/>
      <c r="T345" s="3922"/>
      <c r="U345" s="3923"/>
      <c r="V345" s="3925">
        <f t="shared" si="71"/>
        <v>0</v>
      </c>
    </row>
    <row r="346" spans="1:22" s="3896" customFormat="1" ht="15.05" customHeight="1">
      <c r="A346" s="4364"/>
      <c r="B346" s="4364"/>
      <c r="C346" s="4364"/>
      <c r="D346" s="4364"/>
      <c r="E346" s="4364"/>
      <c r="F346" s="4365" t="s">
        <v>50</v>
      </c>
      <c r="G346" s="4366" t="s">
        <v>590</v>
      </c>
      <c r="H346" s="4367"/>
      <c r="J346" s="4368"/>
      <c r="K346" s="4369">
        <v>15952424</v>
      </c>
      <c r="L346" s="4370">
        <v>0</v>
      </c>
      <c r="M346" s="4371">
        <v>0</v>
      </c>
      <c r="N346" s="4370">
        <v>0</v>
      </c>
      <c r="O346" s="4370">
        <v>0</v>
      </c>
      <c r="P346" s="4370">
        <v>0</v>
      </c>
      <c r="Q346" s="4370">
        <f t="shared" si="70"/>
        <v>0</v>
      </c>
      <c r="R346" s="4372">
        <v>0</v>
      </c>
      <c r="S346" s="4373"/>
      <c r="T346" s="4358"/>
      <c r="U346" s="3923"/>
      <c r="V346" s="3925">
        <f t="shared" si="71"/>
        <v>0</v>
      </c>
    </row>
    <row r="347" spans="1:22" s="3896" customFormat="1" ht="15.05" customHeight="1">
      <c r="A347" s="4300"/>
      <c r="B347" s="4300"/>
      <c r="C347" s="4300"/>
      <c r="D347" s="4300"/>
      <c r="E347" s="4300"/>
      <c r="F347" s="4374" t="s">
        <v>50</v>
      </c>
      <c r="G347" s="4375" t="s">
        <v>591</v>
      </c>
      <c r="H347" s="4303"/>
      <c r="I347" s="4303"/>
      <c r="J347" s="4363"/>
      <c r="K347" s="4305">
        <v>92270821.590000004</v>
      </c>
      <c r="L347" s="4306">
        <v>0</v>
      </c>
      <c r="M347" s="4307">
        <v>0</v>
      </c>
      <c r="N347" s="4306">
        <v>0</v>
      </c>
      <c r="O347" s="4306">
        <v>0</v>
      </c>
      <c r="P347" s="4306">
        <v>0</v>
      </c>
      <c r="Q347" s="4306">
        <f t="shared" si="70"/>
        <v>0</v>
      </c>
      <c r="R347" s="4308">
        <v>0</v>
      </c>
      <c r="S347" s="4309"/>
      <c r="T347" s="4310"/>
      <c r="U347" s="3923"/>
      <c r="V347" s="3925">
        <f t="shared" si="71"/>
        <v>0</v>
      </c>
    </row>
    <row r="348" spans="1:22" s="3896" customFormat="1" ht="15.05" customHeight="1">
      <c r="A348" s="3924"/>
      <c r="B348" s="3924"/>
      <c r="C348" s="3924"/>
      <c r="D348" s="3924"/>
      <c r="E348" s="3924"/>
      <c r="F348" s="3992" t="s">
        <v>50</v>
      </c>
      <c r="G348" s="1814" t="s">
        <v>592</v>
      </c>
      <c r="H348" s="3917"/>
      <c r="I348" s="4285"/>
      <c r="J348" s="4347"/>
      <c r="K348" s="4348">
        <v>29684250</v>
      </c>
      <c r="L348" s="3919">
        <v>0</v>
      </c>
      <c r="M348" s="3265">
        <v>0</v>
      </c>
      <c r="N348" s="3919">
        <v>0</v>
      </c>
      <c r="O348" s="3919">
        <v>0</v>
      </c>
      <c r="P348" s="3919">
        <v>0</v>
      </c>
      <c r="Q348" s="3919">
        <f t="shared" si="70"/>
        <v>0</v>
      </c>
      <c r="R348" s="3920">
        <v>0</v>
      </c>
      <c r="S348" s="3921"/>
      <c r="T348" s="3922"/>
      <c r="U348" s="3923"/>
      <c r="V348" s="3925">
        <f t="shared" si="71"/>
        <v>0</v>
      </c>
    </row>
    <row r="349" spans="1:22" s="3896" customFormat="1" ht="15.05" customHeight="1">
      <c r="A349" s="3924"/>
      <c r="B349" s="3924"/>
      <c r="C349" s="3924"/>
      <c r="D349" s="3924"/>
      <c r="E349" s="3924"/>
      <c r="F349" s="3992" t="s">
        <v>50</v>
      </c>
      <c r="G349" s="1814" t="s">
        <v>593</v>
      </c>
      <c r="H349" s="3917"/>
      <c r="I349" s="3917"/>
      <c r="J349" s="3993"/>
      <c r="K349" s="3918">
        <v>28727627</v>
      </c>
      <c r="L349" s="3919">
        <v>0</v>
      </c>
      <c r="M349" s="3265">
        <v>0</v>
      </c>
      <c r="N349" s="3919">
        <v>0</v>
      </c>
      <c r="O349" s="3919">
        <v>0</v>
      </c>
      <c r="P349" s="3919">
        <v>0</v>
      </c>
      <c r="Q349" s="3919">
        <f t="shared" si="70"/>
        <v>0</v>
      </c>
      <c r="R349" s="3920">
        <v>0</v>
      </c>
      <c r="S349" s="3921"/>
      <c r="T349" s="3922"/>
      <c r="U349" s="3923"/>
      <c r="V349" s="3925">
        <f t="shared" si="71"/>
        <v>0</v>
      </c>
    </row>
    <row r="350" spans="1:22" s="3896" customFormat="1" ht="15.05" customHeight="1">
      <c r="A350" s="3924"/>
      <c r="B350" s="3924"/>
      <c r="C350" s="3924"/>
      <c r="D350" s="3924"/>
      <c r="E350" s="3924"/>
      <c r="F350" s="3992" t="s">
        <v>50</v>
      </c>
      <c r="G350" s="4366" t="s">
        <v>594</v>
      </c>
      <c r="H350" s="3917"/>
      <c r="I350" s="3917"/>
      <c r="J350" s="3993"/>
      <c r="K350" s="3918">
        <v>1710000</v>
      </c>
      <c r="L350" s="3919">
        <v>0</v>
      </c>
      <c r="M350" s="3265">
        <v>0</v>
      </c>
      <c r="N350" s="3919">
        <v>0</v>
      </c>
      <c r="O350" s="3919">
        <v>0</v>
      </c>
      <c r="P350" s="3919">
        <v>0</v>
      </c>
      <c r="Q350" s="3919">
        <f t="shared" si="70"/>
        <v>0</v>
      </c>
      <c r="R350" s="3920">
        <v>0</v>
      </c>
      <c r="S350" s="3921"/>
      <c r="T350" s="3922"/>
      <c r="U350" s="3923"/>
      <c r="V350" s="3925">
        <f t="shared" si="71"/>
        <v>0</v>
      </c>
    </row>
    <row r="351" spans="1:22" s="3896" customFormat="1" ht="15.05" customHeight="1">
      <c r="A351" s="4364"/>
      <c r="B351" s="4364"/>
      <c r="C351" s="4364"/>
      <c r="D351" s="4364"/>
      <c r="E351" s="4364"/>
      <c r="F351" s="4365" t="s">
        <v>50</v>
      </c>
      <c r="G351" s="4366" t="s">
        <v>595</v>
      </c>
      <c r="H351" s="4367"/>
      <c r="I351" s="4367"/>
      <c r="J351" s="4376"/>
      <c r="K351" s="4377">
        <v>380300</v>
      </c>
      <c r="L351" s="4370">
        <v>0</v>
      </c>
      <c r="M351" s="4371">
        <v>0</v>
      </c>
      <c r="N351" s="4370">
        <v>0</v>
      </c>
      <c r="O351" s="4370">
        <v>0</v>
      </c>
      <c r="P351" s="4370">
        <v>0</v>
      </c>
      <c r="Q351" s="4370">
        <f t="shared" si="70"/>
        <v>0</v>
      </c>
      <c r="R351" s="3920">
        <v>0</v>
      </c>
      <c r="S351" s="4378"/>
      <c r="T351" s="4358"/>
      <c r="U351" s="4379"/>
      <c r="V351" s="3925">
        <f t="shared" si="71"/>
        <v>0</v>
      </c>
    </row>
    <row r="352" spans="1:22" s="3896" customFormat="1" ht="15.05" customHeight="1">
      <c r="A352" s="4364"/>
      <c r="B352" s="4364"/>
      <c r="C352" s="4364"/>
      <c r="D352" s="4364"/>
      <c r="E352" s="4364"/>
      <c r="F352" s="4365" t="s">
        <v>50</v>
      </c>
      <c r="G352" s="1814" t="s">
        <v>596</v>
      </c>
      <c r="H352" s="4367"/>
      <c r="I352" s="4367"/>
      <c r="J352" s="4376"/>
      <c r="K352" s="4377">
        <v>61619698</v>
      </c>
      <c r="L352" s="4370">
        <v>0</v>
      </c>
      <c r="M352" s="4371">
        <v>0</v>
      </c>
      <c r="N352" s="4370">
        <v>0</v>
      </c>
      <c r="O352" s="4370">
        <v>0</v>
      </c>
      <c r="P352" s="4370">
        <v>0</v>
      </c>
      <c r="Q352" s="4370">
        <f t="shared" si="70"/>
        <v>0</v>
      </c>
      <c r="R352" s="3920">
        <v>0</v>
      </c>
      <c r="S352" s="4378"/>
      <c r="T352" s="4358"/>
      <c r="U352" s="4379"/>
      <c r="V352" s="3925">
        <f t="shared" si="71"/>
        <v>0</v>
      </c>
    </row>
    <row r="353" spans="1:22" s="3896" customFormat="1" ht="15.05" customHeight="1">
      <c r="A353" s="3924"/>
      <c r="B353" s="3924"/>
      <c r="C353" s="3924"/>
      <c r="D353" s="3924"/>
      <c r="E353" s="3924"/>
      <c r="F353" s="3992" t="s">
        <v>50</v>
      </c>
      <c r="G353" s="1814" t="s">
        <v>597</v>
      </c>
      <c r="H353" s="3917"/>
      <c r="I353" s="3917"/>
      <c r="J353" s="3993"/>
      <c r="K353" s="3918">
        <v>1427500</v>
      </c>
      <c r="L353" s="3919">
        <v>0</v>
      </c>
      <c r="M353" s="3265">
        <v>0</v>
      </c>
      <c r="N353" s="3919">
        <v>0</v>
      </c>
      <c r="O353" s="3919">
        <v>0</v>
      </c>
      <c r="P353" s="3919">
        <v>0</v>
      </c>
      <c r="Q353" s="3919">
        <f t="shared" si="70"/>
        <v>0</v>
      </c>
      <c r="R353" s="3920">
        <v>0</v>
      </c>
      <c r="S353" s="3921"/>
      <c r="T353" s="3922"/>
      <c r="U353" s="3923"/>
      <c r="V353" s="3925">
        <f t="shared" si="71"/>
        <v>0</v>
      </c>
    </row>
    <row r="354" spans="1:22" s="3896" customFormat="1" ht="15.05" customHeight="1">
      <c r="A354" s="3924"/>
      <c r="B354" s="3924"/>
      <c r="C354" s="3924"/>
      <c r="D354" s="3924"/>
      <c r="E354" s="3924"/>
      <c r="F354" s="3992" t="s">
        <v>50</v>
      </c>
      <c r="G354" s="1814" t="s">
        <v>598</v>
      </c>
      <c r="H354" s="4285"/>
      <c r="I354" s="3917"/>
      <c r="J354" s="3993"/>
      <c r="K354" s="3918">
        <v>4059015</v>
      </c>
      <c r="L354" s="3919">
        <v>0</v>
      </c>
      <c r="M354" s="3265">
        <v>0</v>
      </c>
      <c r="N354" s="3919">
        <v>0</v>
      </c>
      <c r="O354" s="3919">
        <v>0</v>
      </c>
      <c r="P354" s="3919">
        <v>0</v>
      </c>
      <c r="Q354" s="3919">
        <f t="shared" si="70"/>
        <v>0</v>
      </c>
      <c r="R354" s="3920">
        <v>0</v>
      </c>
      <c r="S354" s="4335"/>
      <c r="T354" s="3922"/>
      <c r="U354" s="4353"/>
      <c r="V354" s="3925">
        <f t="shared" si="71"/>
        <v>0</v>
      </c>
    </row>
    <row r="355" spans="1:22" s="3896" customFormat="1" ht="15.05" customHeight="1">
      <c r="A355" s="3924"/>
      <c r="B355" s="3924"/>
      <c r="C355" s="3924"/>
      <c r="D355" s="3924"/>
      <c r="E355" s="3924"/>
      <c r="F355" s="3992" t="s">
        <v>50</v>
      </c>
      <c r="G355" s="1814" t="s">
        <v>599</v>
      </c>
      <c r="H355" s="3917"/>
      <c r="I355" s="3917"/>
      <c r="J355" s="3993"/>
      <c r="K355" s="3918">
        <v>2000000</v>
      </c>
      <c r="L355" s="3919">
        <v>0</v>
      </c>
      <c r="M355" s="3265">
        <v>0</v>
      </c>
      <c r="N355" s="3919">
        <v>0</v>
      </c>
      <c r="O355" s="3919">
        <v>0</v>
      </c>
      <c r="P355" s="3919">
        <v>0</v>
      </c>
      <c r="Q355" s="3919">
        <f t="shared" si="70"/>
        <v>0</v>
      </c>
      <c r="R355" s="3920">
        <v>0</v>
      </c>
      <c r="S355" s="4335"/>
      <c r="T355" s="3922"/>
      <c r="U355" s="4353"/>
      <c r="V355" s="3925">
        <f t="shared" si="71"/>
        <v>0</v>
      </c>
    </row>
    <row r="356" spans="1:22" s="3896" customFormat="1" ht="15.05" customHeight="1">
      <c r="A356" s="3924"/>
      <c r="B356" s="3924"/>
      <c r="C356" s="3924"/>
      <c r="D356" s="3924"/>
      <c r="E356" s="3924"/>
      <c r="F356" s="3992" t="s">
        <v>50</v>
      </c>
      <c r="G356" s="1814" t="s">
        <v>600</v>
      </c>
      <c r="H356" s="3917"/>
      <c r="I356" s="3917"/>
      <c r="J356" s="3993"/>
      <c r="K356" s="3918">
        <v>222626765</v>
      </c>
      <c r="L356" s="3919">
        <v>0</v>
      </c>
      <c r="M356" s="3265">
        <v>0</v>
      </c>
      <c r="N356" s="3919">
        <v>0</v>
      </c>
      <c r="O356" s="3919">
        <v>0</v>
      </c>
      <c r="P356" s="3919">
        <v>0</v>
      </c>
      <c r="Q356" s="3919">
        <f t="shared" si="70"/>
        <v>0</v>
      </c>
      <c r="R356" s="3920">
        <v>0</v>
      </c>
      <c r="S356" s="4335"/>
      <c r="T356" s="3922"/>
      <c r="U356" s="4353"/>
      <c r="V356" s="3925">
        <f t="shared" si="71"/>
        <v>0</v>
      </c>
    </row>
    <row r="357" spans="1:22" s="3896" customFormat="1" ht="15.05" customHeight="1">
      <c r="A357" s="3924"/>
      <c r="B357" s="3924"/>
      <c r="C357" s="3924"/>
      <c r="D357" s="3924"/>
      <c r="E357" s="3924"/>
      <c r="F357" s="3992" t="s">
        <v>50</v>
      </c>
      <c r="G357" s="3917" t="str">
        <f>MAR!H780</f>
        <v>DINAS PEMUDA DAN OLAH RAGA</v>
      </c>
      <c r="H357" s="3917"/>
      <c r="I357" s="3917"/>
      <c r="J357" s="3993"/>
      <c r="K357" s="3918"/>
      <c r="L357" s="3919">
        <f>MAR!J789</f>
        <v>0</v>
      </c>
      <c r="M357" s="3265">
        <v>0</v>
      </c>
      <c r="N357" s="3919">
        <f>MAR!L789</f>
        <v>0</v>
      </c>
      <c r="O357" s="3919">
        <f>MAR!M789</f>
        <v>0</v>
      </c>
      <c r="P357" s="3919">
        <v>0</v>
      </c>
      <c r="Q357" s="3919">
        <f t="shared" si="70"/>
        <v>0</v>
      </c>
      <c r="R357" s="3920">
        <v>0</v>
      </c>
      <c r="S357" s="4335"/>
      <c r="T357" s="3922"/>
      <c r="U357" s="4353"/>
      <c r="V357" s="3925">
        <f t="shared" si="71"/>
        <v>0</v>
      </c>
    </row>
    <row r="358" spans="1:22" s="3896" customFormat="1" ht="15.05" customHeight="1">
      <c r="A358" s="3924"/>
      <c r="B358" s="3924"/>
      <c r="C358" s="3924"/>
      <c r="D358" s="3924"/>
      <c r="E358" s="3924"/>
      <c r="F358" s="3992" t="s">
        <v>50</v>
      </c>
      <c r="G358" s="3896" t="str">
        <f>MAR!I282</f>
        <v>BIRO UMUM</v>
      </c>
      <c r="H358" s="3917"/>
      <c r="I358" s="3917"/>
      <c r="J358" s="3993"/>
      <c r="K358" s="3918"/>
      <c r="L358" s="3919">
        <f>MAR!J294</f>
        <v>0</v>
      </c>
      <c r="M358" s="3265">
        <v>0</v>
      </c>
      <c r="N358" s="3919">
        <f>MAR!L294</f>
        <v>0</v>
      </c>
      <c r="O358" s="3919">
        <f>MAR!M294</f>
        <v>0</v>
      </c>
      <c r="P358" s="3919">
        <v>0</v>
      </c>
      <c r="Q358" s="3919">
        <f t="shared" si="70"/>
        <v>0</v>
      </c>
      <c r="R358" s="3920">
        <v>0</v>
      </c>
      <c r="S358" s="4335"/>
      <c r="T358" s="3922"/>
      <c r="U358" s="4353"/>
      <c r="V358" s="3925">
        <f t="shared" si="71"/>
        <v>0</v>
      </c>
    </row>
    <row r="359" spans="1:22" s="3896" customFormat="1" ht="15.05" customHeight="1">
      <c r="A359" s="3924"/>
      <c r="B359" s="3924"/>
      <c r="C359" s="3924"/>
      <c r="D359" s="3924"/>
      <c r="E359" s="3924"/>
      <c r="F359" s="3992" t="s">
        <v>50</v>
      </c>
      <c r="G359" s="3917" t="str">
        <f>MAR!I297</f>
        <v>BIRO PEMERINTAHAN</v>
      </c>
      <c r="H359" s="3917"/>
      <c r="I359" s="3917"/>
      <c r="J359" s="3993"/>
      <c r="K359" s="3918"/>
      <c r="L359" s="3919">
        <f>MAR!J302</f>
        <v>0</v>
      </c>
      <c r="M359" s="3265">
        <v>0</v>
      </c>
      <c r="N359" s="3919">
        <f>MAR!L302</f>
        <v>0</v>
      </c>
      <c r="O359" s="3919">
        <f>MAR!M302</f>
        <v>0</v>
      </c>
      <c r="P359" s="3919">
        <v>0</v>
      </c>
      <c r="Q359" s="3919">
        <f t="shared" si="70"/>
        <v>0</v>
      </c>
      <c r="R359" s="3920">
        <v>0</v>
      </c>
      <c r="S359" s="4335"/>
      <c r="T359" s="3922"/>
      <c r="U359" s="4353"/>
      <c r="V359" s="3925">
        <f t="shared" si="71"/>
        <v>0</v>
      </c>
    </row>
    <row r="360" spans="1:22" s="3896" customFormat="1" ht="15.05" customHeight="1">
      <c r="A360" s="3924"/>
      <c r="B360" s="3924"/>
      <c r="C360" s="3924"/>
      <c r="D360" s="3924"/>
      <c r="E360" s="3924"/>
      <c r="F360" s="3992" t="s">
        <v>50</v>
      </c>
      <c r="G360" s="3917" t="str">
        <f>MAR!I305</f>
        <v>BIRO KESEJAHTERAAN RAKYAT</v>
      </c>
      <c r="H360" s="3917"/>
      <c r="I360" s="3917"/>
      <c r="J360" s="3993"/>
      <c r="K360" s="3918"/>
      <c r="L360" s="3919">
        <f>MAR!J310</f>
        <v>0</v>
      </c>
      <c r="M360" s="3265">
        <v>0</v>
      </c>
      <c r="N360" s="3919">
        <f>MAR!L310</f>
        <v>0</v>
      </c>
      <c r="O360" s="3919">
        <f>MAR!M310</f>
        <v>0</v>
      </c>
      <c r="P360" s="3919">
        <v>0</v>
      </c>
      <c r="Q360" s="3919">
        <f t="shared" si="70"/>
        <v>0</v>
      </c>
      <c r="R360" s="3920">
        <v>0</v>
      </c>
      <c r="S360" s="4335"/>
      <c r="T360" s="3922"/>
      <c r="U360" s="4353"/>
      <c r="V360" s="3925">
        <f t="shared" si="71"/>
        <v>0</v>
      </c>
    </row>
    <row r="361" spans="1:22" s="3896" customFormat="1" ht="15.05" customHeight="1">
      <c r="A361" s="3924"/>
      <c r="B361" s="3924"/>
      <c r="C361" s="3924"/>
      <c r="D361" s="3924"/>
      <c r="E361" s="3924"/>
      <c r="F361" s="3992" t="s">
        <v>50</v>
      </c>
      <c r="G361" s="3917" t="str">
        <f>MAR!I313</f>
        <v>BIRO ADMINISTRASI PENGENDALIAN PEMBANGUNAN &amp; LPBJP</v>
      </c>
      <c r="H361" s="3917"/>
      <c r="I361" s="3917"/>
      <c r="J361" s="3993"/>
      <c r="K361" s="3918"/>
      <c r="L361" s="3919">
        <f>MAR!J318</f>
        <v>0</v>
      </c>
      <c r="M361" s="3265">
        <v>0</v>
      </c>
      <c r="N361" s="3919">
        <f>MAR!L318</f>
        <v>0</v>
      </c>
      <c r="O361" s="3919">
        <f>MAR!M318</f>
        <v>0</v>
      </c>
      <c r="P361" s="3919">
        <v>0</v>
      </c>
      <c r="Q361" s="3919">
        <f t="shared" si="70"/>
        <v>0</v>
      </c>
      <c r="R361" s="3920">
        <v>0</v>
      </c>
      <c r="S361" s="4335"/>
      <c r="T361" s="3922"/>
      <c r="U361" s="4353"/>
      <c r="V361" s="3925">
        <f t="shared" si="71"/>
        <v>0</v>
      </c>
    </row>
    <row r="362" spans="1:22" s="3896" customFormat="1" ht="15.05" customHeight="1">
      <c r="A362" s="3924"/>
      <c r="B362" s="3924"/>
      <c r="C362" s="3924"/>
      <c r="D362" s="3924"/>
      <c r="E362" s="3924"/>
      <c r="F362" s="3992" t="s">
        <v>50</v>
      </c>
      <c r="G362" s="3917" t="str">
        <f>MAR!I321</f>
        <v>BIRO ORGANISASI</v>
      </c>
      <c r="H362" s="3917"/>
      <c r="I362" s="3917"/>
      <c r="J362" s="3993"/>
      <c r="K362" s="3918"/>
      <c r="L362" s="3919">
        <f>MAR!J325</f>
        <v>0</v>
      </c>
      <c r="M362" s="3265">
        <v>0</v>
      </c>
      <c r="N362" s="3919">
        <f>MAR!L325</f>
        <v>0</v>
      </c>
      <c r="O362" s="3919">
        <f>MAR!M325</f>
        <v>0</v>
      </c>
      <c r="P362" s="3919">
        <v>0</v>
      </c>
      <c r="Q362" s="3919">
        <f t="shared" si="70"/>
        <v>0</v>
      </c>
      <c r="R362" s="3920">
        <v>0</v>
      </c>
      <c r="S362" s="4335"/>
      <c r="T362" s="3922"/>
      <c r="U362" s="4353"/>
      <c r="V362" s="3925">
        <f t="shared" si="71"/>
        <v>0</v>
      </c>
    </row>
    <row r="363" spans="1:22" s="3896" customFormat="1" ht="15.05" customHeight="1">
      <c r="A363" s="3924"/>
      <c r="B363" s="3924"/>
      <c r="C363" s="3924"/>
      <c r="D363" s="3924"/>
      <c r="E363" s="3924"/>
      <c r="F363" s="3992" t="s">
        <v>50</v>
      </c>
      <c r="G363" s="3917" t="str">
        <f>MAR!I329</f>
        <v>BIRO PEREKONOMIAN</v>
      </c>
      <c r="H363" s="3917"/>
      <c r="I363" s="3917"/>
      <c r="J363" s="3993"/>
      <c r="K363" s="3918"/>
      <c r="L363" s="3919">
        <f>MAR!J334</f>
        <v>0</v>
      </c>
      <c r="M363" s="3265">
        <v>0</v>
      </c>
      <c r="N363" s="3919">
        <f>MAR!L334</f>
        <v>0</v>
      </c>
      <c r="O363" s="3919">
        <f>MAR!M334</f>
        <v>0</v>
      </c>
      <c r="P363" s="3919">
        <v>0</v>
      </c>
      <c r="Q363" s="3919">
        <f t="shared" si="70"/>
        <v>0</v>
      </c>
      <c r="R363" s="3920">
        <v>0</v>
      </c>
      <c r="S363" s="4335"/>
      <c r="T363" s="3922"/>
      <c r="U363" s="4353"/>
      <c r="V363" s="3925">
        <f t="shared" si="71"/>
        <v>0</v>
      </c>
    </row>
    <row r="364" spans="1:22" s="3896" customFormat="1" ht="15.05" customHeight="1">
      <c r="A364" s="3924"/>
      <c r="B364" s="3924"/>
      <c r="C364" s="3924"/>
      <c r="D364" s="3924"/>
      <c r="E364" s="3924"/>
      <c r="F364" s="3992" t="s">
        <v>50</v>
      </c>
      <c r="G364" s="3917" t="str">
        <f>MAR!I337</f>
        <v>BIRO HUMAS DAN PROTOKOL</v>
      </c>
      <c r="H364" s="4285"/>
      <c r="I364" s="4285"/>
      <c r="J364" s="4347"/>
      <c r="K364" s="4348"/>
      <c r="L364" s="4288">
        <f>MAR!J342</f>
        <v>0</v>
      </c>
      <c r="M364" s="4289">
        <v>0</v>
      </c>
      <c r="N364" s="4288">
        <f>MAR!L342</f>
        <v>0</v>
      </c>
      <c r="O364" s="4288">
        <f>MAR!M342</f>
        <v>0</v>
      </c>
      <c r="P364" s="4288">
        <v>0</v>
      </c>
      <c r="Q364" s="4288">
        <f t="shared" si="70"/>
        <v>0</v>
      </c>
      <c r="R364" s="3920">
        <v>0</v>
      </c>
      <c r="S364" s="4335"/>
      <c r="T364" s="3922"/>
      <c r="U364" s="4380"/>
      <c r="V364" s="3925">
        <f t="shared" si="71"/>
        <v>0</v>
      </c>
    </row>
    <row r="365" spans="1:22" s="3896" customFormat="1" ht="15.05" customHeight="1">
      <c r="A365" s="4364"/>
      <c r="B365" s="4364"/>
      <c r="C365" s="4364"/>
      <c r="D365" s="4364"/>
      <c r="E365" s="4364"/>
      <c r="F365" s="4365"/>
      <c r="G365" s="4367"/>
      <c r="H365" s="4497"/>
      <c r="I365" s="4497"/>
      <c r="J365" s="4498"/>
      <c r="K365" s="4499"/>
      <c r="L365" s="4500"/>
      <c r="M365" s="4501"/>
      <c r="N365" s="4500"/>
      <c r="O365" s="4500"/>
      <c r="P365" s="4500"/>
      <c r="Q365" s="4500"/>
      <c r="R365" s="4372"/>
      <c r="S365" s="4373"/>
      <c r="T365" s="4358"/>
      <c r="U365" s="4503"/>
      <c r="V365" s="3925"/>
    </row>
    <row r="366" spans="1:22" s="3896" customFormat="1" ht="15.05" customHeight="1">
      <c r="A366" s="2939" t="s">
        <v>443</v>
      </c>
      <c r="B366" s="2939" t="s">
        <v>58</v>
      </c>
      <c r="C366" s="2939" t="s">
        <v>443</v>
      </c>
      <c r="D366" s="4496" t="s">
        <v>563</v>
      </c>
      <c r="E366" s="4496" t="s">
        <v>445</v>
      </c>
      <c r="F366" s="4505" t="s">
        <v>1245</v>
      </c>
      <c r="G366" s="2946"/>
      <c r="H366" s="2946"/>
      <c r="I366" s="2946"/>
      <c r="J366" s="3276">
        <f>J367</f>
        <v>7805834000</v>
      </c>
      <c r="K366" s="3276">
        <f>K367</f>
        <v>7177429000</v>
      </c>
      <c r="L366" s="3277">
        <f>SUM(L367:L369)</f>
        <v>4392225000</v>
      </c>
      <c r="M366" s="3278">
        <v>0</v>
      </c>
      <c r="N366" s="3277">
        <f>SUM(N367:N369)</f>
        <v>50675000</v>
      </c>
      <c r="O366" s="3277">
        <f>SUM(O367:O369)</f>
        <v>160175000</v>
      </c>
      <c r="P366" s="3277">
        <f>P367</f>
        <v>4392225000</v>
      </c>
      <c r="Q366" s="3277">
        <f>+P366-L366</f>
        <v>0</v>
      </c>
      <c r="R366" s="3633">
        <f>+P366/L366*100-100</f>
        <v>0</v>
      </c>
      <c r="S366" s="4373"/>
      <c r="T366" s="4358"/>
      <c r="U366" s="4503"/>
      <c r="V366" s="3925"/>
    </row>
    <row r="367" spans="1:22" s="3896" customFormat="1" ht="15.05" customHeight="1">
      <c r="A367" s="1855"/>
      <c r="B367" s="1855"/>
      <c r="C367" s="1855"/>
      <c r="D367" s="1855"/>
      <c r="E367" s="1855"/>
      <c r="F367" s="2214" t="s">
        <v>50</v>
      </c>
      <c r="G367" s="2727" t="s">
        <v>1244</v>
      </c>
      <c r="H367" s="200"/>
      <c r="I367" s="200"/>
      <c r="J367" s="3215">
        <v>7805834000</v>
      </c>
      <c r="K367" s="3215">
        <v>7177429000</v>
      </c>
      <c r="L367" s="3125">
        <v>4392225000</v>
      </c>
      <c r="M367" s="3124">
        <v>0</v>
      </c>
      <c r="N367" s="3125">
        <f>MAR!L572</f>
        <v>6250000</v>
      </c>
      <c r="O367" s="3125">
        <f>MAR!M572</f>
        <v>19250000</v>
      </c>
      <c r="P367" s="3125">
        <v>4392225000</v>
      </c>
      <c r="Q367" s="3125">
        <f>+P367-L367</f>
        <v>0</v>
      </c>
      <c r="R367" s="3605">
        <f>+P367/L367*100-100</f>
        <v>0</v>
      </c>
      <c r="S367" s="4373"/>
      <c r="T367" s="4358"/>
      <c r="U367" s="4503"/>
      <c r="V367" s="3925"/>
    </row>
    <row r="368" spans="1:22" s="3896" customFormat="1" ht="15.05" customHeight="1">
      <c r="A368" s="1855"/>
      <c r="B368" s="1855"/>
      <c r="C368" s="1855"/>
      <c r="D368" s="1855"/>
      <c r="E368" s="1855"/>
      <c r="F368" s="2214" t="s">
        <v>50</v>
      </c>
      <c r="G368" s="200" t="s">
        <v>331</v>
      </c>
      <c r="H368" s="200"/>
      <c r="I368" s="200"/>
      <c r="J368" s="3215"/>
      <c r="K368" s="3171"/>
      <c r="L368" s="3125">
        <f>MAR!J573</f>
        <v>0</v>
      </c>
      <c r="M368" s="3124">
        <v>0</v>
      </c>
      <c r="N368" s="3125">
        <f>MAR!L573</f>
        <v>3550000</v>
      </c>
      <c r="O368" s="3125">
        <f>MAR!M573</f>
        <v>14325000</v>
      </c>
      <c r="P368" s="3125">
        <v>0</v>
      </c>
      <c r="Q368" s="3125">
        <f>+P368-L368</f>
        <v>0</v>
      </c>
      <c r="R368" s="3605">
        <v>0</v>
      </c>
      <c r="S368" s="4373"/>
      <c r="T368" s="4358"/>
      <c r="U368" s="4502"/>
      <c r="V368" s="3925"/>
    </row>
    <row r="369" spans="1:22" s="257" customFormat="1" ht="15.05" customHeight="1">
      <c r="A369" s="1855"/>
      <c r="B369" s="1855"/>
      <c r="C369" s="1855"/>
      <c r="D369" s="1855"/>
      <c r="E369" s="1855"/>
      <c r="F369" s="2214" t="s">
        <v>50</v>
      </c>
      <c r="G369" s="200" t="s">
        <v>332</v>
      </c>
      <c r="H369" s="200"/>
      <c r="I369" s="200"/>
      <c r="J369" s="3215"/>
      <c r="K369" s="3171"/>
      <c r="L369" s="3125">
        <f>MAR!J574</f>
        <v>0</v>
      </c>
      <c r="M369" s="3124">
        <v>0</v>
      </c>
      <c r="N369" s="3125">
        <f>MAR!L574</f>
        <v>40875000</v>
      </c>
      <c r="O369" s="3125">
        <f>MAR!M574</f>
        <v>126600000</v>
      </c>
      <c r="P369" s="3125">
        <v>0</v>
      </c>
      <c r="Q369" s="3125">
        <f>+P369-L369</f>
        <v>0</v>
      </c>
      <c r="R369" s="3605">
        <v>0</v>
      </c>
      <c r="S369" s="3709"/>
      <c r="T369" s="3828"/>
      <c r="U369" s="3803"/>
      <c r="V369" s="1846"/>
    </row>
    <row r="370" spans="1:22" s="257" customFormat="1" ht="15.05" hidden="1" customHeight="1">
      <c r="A370" s="1886"/>
      <c r="B370" s="1886"/>
      <c r="C370" s="1886"/>
      <c r="D370" s="1886"/>
      <c r="E370" s="1886"/>
      <c r="F370" s="2356"/>
      <c r="G370" s="856"/>
      <c r="H370" s="2322"/>
      <c r="I370" s="2322"/>
      <c r="J370" s="3272"/>
      <c r="K370" s="3142"/>
      <c r="L370" s="3289"/>
      <c r="M370" s="3290"/>
      <c r="N370" s="3289"/>
      <c r="O370" s="3289"/>
      <c r="P370" s="3289"/>
      <c r="Q370" s="3289"/>
      <c r="R370" s="3612"/>
      <c r="S370" s="3709"/>
      <c r="T370" s="3828"/>
      <c r="U370" s="3803"/>
      <c r="V370" s="1846"/>
    </row>
    <row r="371" spans="1:22" s="257" customFormat="1" ht="15.65" hidden="1" customHeight="1">
      <c r="A371" s="1886"/>
      <c r="B371" s="1886"/>
      <c r="C371" s="1886"/>
      <c r="D371" s="1886"/>
      <c r="E371" s="1886"/>
      <c r="F371" s="2356" t="s">
        <v>50</v>
      </c>
      <c r="G371" s="856"/>
      <c r="H371" s="856"/>
      <c r="I371" s="2322"/>
      <c r="J371" s="3272"/>
      <c r="K371" s="3142"/>
      <c r="L371" s="3174"/>
      <c r="M371" s="3175"/>
      <c r="N371" s="3174"/>
      <c r="O371" s="3174"/>
      <c r="P371" s="3174"/>
      <c r="Q371" s="3174">
        <f t="shared" si="70"/>
        <v>0</v>
      </c>
      <c r="R371" s="3612">
        <v>0</v>
      </c>
      <c r="S371" s="3709"/>
      <c r="T371" s="3828"/>
      <c r="U371" s="1899"/>
      <c r="V371" s="1846">
        <f t="shared" si="71"/>
        <v>0</v>
      </c>
    </row>
    <row r="372" spans="1:22" s="257" customFormat="1" ht="15.65" customHeight="1">
      <c r="A372" s="2559"/>
      <c r="B372" s="1919"/>
      <c r="C372" s="1919"/>
      <c r="D372" s="1919"/>
      <c r="E372" s="1919"/>
      <c r="F372" s="2853"/>
      <c r="I372" s="1318"/>
      <c r="J372" s="3295"/>
      <c r="K372" s="3147"/>
      <c r="L372" s="3282"/>
      <c r="M372" s="3283"/>
      <c r="N372" s="3282"/>
      <c r="O372" s="3282"/>
      <c r="P372" s="3282"/>
      <c r="Q372" s="3282"/>
      <c r="R372" s="3628"/>
      <c r="S372" s="3723"/>
      <c r="T372" s="4504"/>
      <c r="U372" s="3796"/>
      <c r="V372" s="1846"/>
    </row>
    <row r="373" spans="1:22" s="4270" customFormat="1" ht="15.05" customHeight="1">
      <c r="A373" s="4257">
        <v>4</v>
      </c>
      <c r="B373" s="4258">
        <v>1</v>
      </c>
      <c r="C373" s="4258">
        <v>4</v>
      </c>
      <c r="D373" s="4258" t="s">
        <v>459</v>
      </c>
      <c r="E373" s="4258"/>
      <c r="F373" s="4312" t="s">
        <v>230</v>
      </c>
      <c r="G373" s="4261"/>
      <c r="H373" s="4261"/>
      <c r="I373" s="4261"/>
      <c r="J373" s="4337">
        <f>+J375</f>
        <v>77234295</v>
      </c>
      <c r="K373" s="4381">
        <f>K375</f>
        <v>0</v>
      </c>
      <c r="L373" s="4264">
        <f>+L374+L375</f>
        <v>60900800</v>
      </c>
      <c r="M373" s="4382">
        <v>0</v>
      </c>
      <c r="N373" s="4264">
        <f>+N374+N375</f>
        <v>0</v>
      </c>
      <c r="O373" s="4264">
        <f>N373+M373</f>
        <v>0</v>
      </c>
      <c r="P373" s="4264">
        <v>60900800</v>
      </c>
      <c r="Q373" s="4264">
        <f t="shared" si="70"/>
        <v>0</v>
      </c>
      <c r="R373" s="4296">
        <f>+P373/L373*100-100</f>
        <v>0</v>
      </c>
      <c r="S373" s="4297"/>
      <c r="T373" s="4298"/>
      <c r="U373" s="4299"/>
      <c r="V373" s="4269">
        <f t="shared" si="71"/>
        <v>0</v>
      </c>
    </row>
    <row r="374" spans="1:22" s="3896" customFormat="1" ht="15.05" customHeight="1">
      <c r="A374" s="4300">
        <v>4</v>
      </c>
      <c r="B374" s="4300">
        <v>1</v>
      </c>
      <c r="C374" s="4300">
        <v>4</v>
      </c>
      <c r="D374" s="4300" t="s">
        <v>459</v>
      </c>
      <c r="E374" s="4271" t="s">
        <v>437</v>
      </c>
      <c r="F374" s="4320" t="s">
        <v>231</v>
      </c>
      <c r="G374" s="4274"/>
      <c r="H374" s="4304"/>
      <c r="I374" s="4274"/>
      <c r="J374" s="4321" t="s">
        <v>50</v>
      </c>
      <c r="K374" s="4340"/>
      <c r="L374" s="4277">
        <v>12035600</v>
      </c>
      <c r="M374" s="4278">
        <v>0</v>
      </c>
      <c r="N374" s="4277">
        <v>0</v>
      </c>
      <c r="O374" s="4277">
        <v>0</v>
      </c>
      <c r="P374" s="4277">
        <v>12035600</v>
      </c>
      <c r="Q374" s="4277">
        <f t="shared" si="70"/>
        <v>0</v>
      </c>
      <c r="R374" s="4279">
        <f>+P374/L374*100-100</f>
        <v>0</v>
      </c>
      <c r="S374" s="4383"/>
      <c r="T374" s="4281"/>
      <c r="U374" s="4362">
        <f>PerDinas!Q573</f>
        <v>0</v>
      </c>
      <c r="V374" s="3925">
        <f t="shared" si="71"/>
        <v>0</v>
      </c>
    </row>
    <row r="375" spans="1:22" s="3896" customFormat="1" ht="15.05" customHeight="1">
      <c r="A375" s="3924">
        <v>4</v>
      </c>
      <c r="B375" s="3924">
        <v>1</v>
      </c>
      <c r="C375" s="3924">
        <v>4</v>
      </c>
      <c r="D375" s="3924" t="s">
        <v>459</v>
      </c>
      <c r="E375" s="4283" t="s">
        <v>438</v>
      </c>
      <c r="F375" s="4351" t="s">
        <v>601</v>
      </c>
      <c r="G375" s="4285"/>
      <c r="H375" s="4285"/>
      <c r="I375" s="4285"/>
      <c r="J375" s="4347">
        <v>77234295</v>
      </c>
      <c r="K375" s="4384">
        <v>0</v>
      </c>
      <c r="L375" s="4288">
        <f>SUM(L376:L377)</f>
        <v>48865200</v>
      </c>
      <c r="M375" s="4289">
        <v>0</v>
      </c>
      <c r="N375" s="4288">
        <f>SUM(N376:N377)</f>
        <v>0</v>
      </c>
      <c r="O375" s="4288">
        <f>SUM(O376:O377)</f>
        <v>0</v>
      </c>
      <c r="P375" s="4288">
        <v>48865200</v>
      </c>
      <c r="Q375" s="4288">
        <f t="shared" si="70"/>
        <v>0</v>
      </c>
      <c r="R375" s="4290">
        <f>+P375/L375*100-100</f>
        <v>0</v>
      </c>
      <c r="S375" s="4385"/>
      <c r="T375" s="4357"/>
      <c r="U375" s="4380">
        <f>PerDinas!Q574</f>
        <v>0</v>
      </c>
      <c r="V375" s="3925">
        <f t="shared" si="71"/>
        <v>0</v>
      </c>
    </row>
    <row r="376" spans="1:22" s="3896" customFormat="1" ht="15.05" customHeight="1">
      <c r="A376" s="3924"/>
      <c r="B376" s="3924"/>
      <c r="C376" s="3924"/>
      <c r="D376" s="3924"/>
      <c r="E376" s="3924"/>
      <c r="F376" s="3992" t="s">
        <v>50</v>
      </c>
      <c r="G376" s="3917"/>
      <c r="H376" s="3917" t="s">
        <v>234</v>
      </c>
      <c r="I376" s="3917"/>
      <c r="J376" s="3993"/>
      <c r="K376" s="3918"/>
      <c r="L376" s="3919">
        <v>4492800</v>
      </c>
      <c r="M376" s="3265">
        <v>0</v>
      </c>
      <c r="N376" s="3919">
        <v>0</v>
      </c>
      <c r="O376" s="3919">
        <v>0</v>
      </c>
      <c r="P376" s="3919">
        <v>4492800</v>
      </c>
      <c r="Q376" s="3919">
        <f t="shared" si="70"/>
        <v>0</v>
      </c>
      <c r="R376" s="3920">
        <f>+P376/L376*100-100</f>
        <v>0</v>
      </c>
      <c r="S376" s="3921"/>
      <c r="T376" s="3922"/>
      <c r="U376" s="3923"/>
      <c r="V376" s="3925">
        <f t="shared" si="71"/>
        <v>0</v>
      </c>
    </row>
    <row r="377" spans="1:22" s="3896" customFormat="1" ht="15.05" customHeight="1">
      <c r="A377" s="3924"/>
      <c r="B377" s="3924"/>
      <c r="C377" s="3924"/>
      <c r="D377" s="3924"/>
      <c r="E377" s="3924"/>
      <c r="F377" s="3992" t="s">
        <v>50</v>
      </c>
      <c r="G377" s="3917"/>
      <c r="H377" s="3917" t="s">
        <v>235</v>
      </c>
      <c r="I377" s="3917"/>
      <c r="J377" s="3993"/>
      <c r="K377" s="3918"/>
      <c r="L377" s="3919">
        <v>44372400</v>
      </c>
      <c r="M377" s="3265">
        <v>0</v>
      </c>
      <c r="N377" s="3919">
        <v>0</v>
      </c>
      <c r="O377" s="3919">
        <v>0</v>
      </c>
      <c r="P377" s="3919">
        <v>44372400</v>
      </c>
      <c r="Q377" s="3919">
        <f t="shared" si="70"/>
        <v>0</v>
      </c>
      <c r="R377" s="3920">
        <f>+P377/L377*100-100</f>
        <v>0</v>
      </c>
      <c r="S377" s="3921"/>
      <c r="T377" s="3922"/>
      <c r="U377" s="3923"/>
      <c r="V377" s="3925">
        <f t="shared" si="71"/>
        <v>0</v>
      </c>
    </row>
    <row r="378" spans="1:22" s="257" customFormat="1" ht="15.05" hidden="1" customHeight="1">
      <c r="A378" s="1855"/>
      <c r="B378" s="1855"/>
      <c r="C378" s="1855"/>
      <c r="D378" s="1855"/>
      <c r="E378" s="1855"/>
      <c r="F378" s="2214"/>
      <c r="G378" s="200"/>
      <c r="H378" s="200"/>
      <c r="I378" s="200"/>
      <c r="J378" s="3215"/>
      <c r="K378" s="3171"/>
      <c r="L378" s="3125"/>
      <c r="M378" s="3124"/>
      <c r="N378" s="3125"/>
      <c r="O378" s="3125"/>
      <c r="P378" s="3125"/>
      <c r="Q378" s="3125"/>
      <c r="R378" s="3605"/>
      <c r="S378" s="3275"/>
      <c r="T378" s="3826"/>
      <c r="U378" s="3771"/>
      <c r="V378" s="1846">
        <f t="shared" si="71"/>
        <v>0</v>
      </c>
    </row>
    <row r="379" spans="1:22" s="257" customFormat="1" ht="15.05" customHeight="1">
      <c r="A379" s="1855"/>
      <c r="B379" s="1855"/>
      <c r="C379" s="1855"/>
      <c r="D379" s="1855"/>
      <c r="E379" s="1855"/>
      <c r="F379" s="2214"/>
      <c r="G379" s="200"/>
      <c r="H379" s="200"/>
      <c r="I379" s="200"/>
      <c r="J379" s="3215"/>
      <c r="K379" s="3216"/>
      <c r="L379" s="3274"/>
      <c r="M379" s="3189"/>
      <c r="N379" s="3274"/>
      <c r="O379" s="3274"/>
      <c r="P379" s="3274"/>
      <c r="Q379" s="3274"/>
      <c r="R379" s="3631"/>
      <c r="S379" s="3275"/>
      <c r="T379" s="3826"/>
      <c r="U379" s="3771"/>
      <c r="V379" s="1846"/>
    </row>
    <row r="380" spans="1:22" s="3115" customFormat="1" ht="15.05" customHeight="1">
      <c r="A380" s="2939" t="s">
        <v>443</v>
      </c>
      <c r="B380" s="2939" t="s">
        <v>58</v>
      </c>
      <c r="C380" s="2939" t="s">
        <v>443</v>
      </c>
      <c r="D380" s="2939" t="s">
        <v>449</v>
      </c>
      <c r="E380" s="2939"/>
      <c r="F380" s="2959" t="str">
        <f>F381</f>
        <v>Pendapatan BLUD</v>
      </c>
      <c r="G380" s="2946"/>
      <c r="H380" s="2946"/>
      <c r="I380" s="2946"/>
      <c r="J380" s="3276">
        <f>J381</f>
        <v>116197286650</v>
      </c>
      <c r="K380" s="3276">
        <f t="shared" ref="K380:U380" si="72">K381</f>
        <v>130237291540.46001</v>
      </c>
      <c r="L380" s="3276">
        <f t="shared" si="72"/>
        <v>158447286650</v>
      </c>
      <c r="M380" s="3276">
        <f t="shared" si="72"/>
        <v>24449662227.75</v>
      </c>
      <c r="N380" s="3276">
        <f t="shared" si="72"/>
        <v>15968594032.190001</v>
      </c>
      <c r="O380" s="3276">
        <f t="shared" si="72"/>
        <v>40418256259.939995</v>
      </c>
      <c r="P380" s="3276">
        <f t="shared" si="72"/>
        <v>177300000000</v>
      </c>
      <c r="Q380" s="3276">
        <f t="shared" si="72"/>
        <v>18852713350</v>
      </c>
      <c r="R380" s="3632">
        <f t="shared" si="72"/>
        <v>11.89841350306267</v>
      </c>
      <c r="S380" s="3751"/>
      <c r="T380" s="3849"/>
      <c r="U380" s="3804">
        <f t="shared" si="72"/>
        <v>0</v>
      </c>
      <c r="V380" s="3114"/>
    </row>
    <row r="381" spans="1:22" s="257" customFormat="1" ht="15.05" customHeight="1">
      <c r="A381" s="2873" t="s">
        <v>443</v>
      </c>
      <c r="B381" s="2873" t="s">
        <v>58</v>
      </c>
      <c r="C381" s="2873" t="s">
        <v>443</v>
      </c>
      <c r="D381" s="2873" t="s">
        <v>449</v>
      </c>
      <c r="E381" s="1854" t="s">
        <v>437</v>
      </c>
      <c r="F381" s="1856" t="s">
        <v>89</v>
      </c>
      <c r="G381" s="202"/>
      <c r="H381" s="202"/>
      <c r="I381" s="202"/>
      <c r="J381" s="3259">
        <f>SUM(J382:J386)</f>
        <v>116197286650</v>
      </c>
      <c r="K381" s="3259">
        <f t="shared" ref="K381:P381" si="73">SUM(K382:K386)</f>
        <v>130237291540.46001</v>
      </c>
      <c r="L381" s="3259">
        <f t="shared" si="73"/>
        <v>158447286650</v>
      </c>
      <c r="M381" s="3259">
        <f t="shared" si="73"/>
        <v>24449662227.75</v>
      </c>
      <c r="N381" s="3259">
        <f t="shared" si="73"/>
        <v>15968594032.190001</v>
      </c>
      <c r="O381" s="3259">
        <f t="shared" si="73"/>
        <v>40418256259.939995</v>
      </c>
      <c r="P381" s="3259">
        <f t="shared" si="73"/>
        <v>177300000000</v>
      </c>
      <c r="Q381" s="3182">
        <f t="shared" ref="Q381:Q386" si="74">+P381-L381</f>
        <v>18852713350</v>
      </c>
      <c r="R381" s="3601">
        <f t="shared" ref="R381:R386" si="75">+P381/L381*100-100</f>
        <v>11.89841350306267</v>
      </c>
      <c r="S381" s="3710"/>
      <c r="T381" s="3829"/>
      <c r="U381" s="3771"/>
      <c r="V381" s="1846">
        <f t="shared" si="71"/>
        <v>161673025039.75998</v>
      </c>
    </row>
    <row r="382" spans="1:22" s="257" customFormat="1" ht="15.05" customHeight="1">
      <c r="A382" s="1855"/>
      <c r="B382" s="1855"/>
      <c r="C382" s="1855"/>
      <c r="D382" s="1855"/>
      <c r="E382" s="1855"/>
      <c r="F382" s="2214" t="s">
        <v>50</v>
      </c>
      <c r="G382" s="200"/>
      <c r="H382" s="200" t="s">
        <v>602</v>
      </c>
      <c r="I382" s="200"/>
      <c r="J382" s="3215">
        <v>100000000000</v>
      </c>
      <c r="K382" s="3171">
        <v>115413370353.46001</v>
      </c>
      <c r="L382" s="3125">
        <v>125000000000</v>
      </c>
      <c r="M382" s="3124">
        <v>19046122482.029999</v>
      </c>
      <c r="N382" s="3125">
        <v>12944839389.030001</v>
      </c>
      <c r="O382" s="3125">
        <v>31990961871.060001</v>
      </c>
      <c r="P382" s="3125">
        <v>141100000000</v>
      </c>
      <c r="Q382" s="3125">
        <f t="shared" si="74"/>
        <v>16100000000</v>
      </c>
      <c r="R382" s="3605">
        <f t="shared" si="75"/>
        <v>12.879999999999995</v>
      </c>
      <c r="S382" s="3275"/>
      <c r="T382" s="3826"/>
      <c r="U382" s="3771"/>
      <c r="V382" s="1846">
        <f t="shared" si="71"/>
        <v>127963847484.24001</v>
      </c>
    </row>
    <row r="383" spans="1:22" s="257" customFormat="1" ht="15.05" customHeight="1">
      <c r="A383" s="1855"/>
      <c r="B383" s="1855"/>
      <c r="C383" s="1855"/>
      <c r="D383" s="1855"/>
      <c r="E383" s="1855"/>
      <c r="F383" s="2214" t="s">
        <v>50</v>
      </c>
      <c r="G383" s="200"/>
      <c r="H383" s="200" t="s">
        <v>88</v>
      </c>
      <c r="I383" s="200"/>
      <c r="J383" s="3215">
        <v>2197286650</v>
      </c>
      <c r="K383" s="3171">
        <v>1770995732</v>
      </c>
      <c r="L383" s="3125">
        <v>2197286650</v>
      </c>
      <c r="M383" s="3124">
        <v>258576041</v>
      </c>
      <c r="N383" s="3125">
        <v>105214667</v>
      </c>
      <c r="O383" s="3125">
        <v>363790708</v>
      </c>
      <c r="P383" s="3125">
        <v>2200000000</v>
      </c>
      <c r="Q383" s="3125">
        <f t="shared" si="74"/>
        <v>2713350</v>
      </c>
      <c r="R383" s="3605">
        <f t="shared" si="75"/>
        <v>0.1234863917277238</v>
      </c>
      <c r="S383" s="3275"/>
      <c r="T383" s="3826"/>
      <c r="U383" s="3771"/>
      <c r="V383" s="1846">
        <f t="shared" si="71"/>
        <v>1455162832</v>
      </c>
    </row>
    <row r="384" spans="1:22" s="3941" customFormat="1" ht="15.05" customHeight="1">
      <c r="A384" s="3928"/>
      <c r="B384" s="3928"/>
      <c r="C384" s="3928"/>
      <c r="D384" s="3928"/>
      <c r="E384" s="3928"/>
      <c r="F384" s="4427" t="s">
        <v>50</v>
      </c>
      <c r="G384" s="3931"/>
      <c r="H384" s="3931" t="s">
        <v>603</v>
      </c>
      <c r="I384" s="3931"/>
      <c r="J384" s="4428">
        <v>14000000000</v>
      </c>
      <c r="K384" s="3933">
        <v>13052925455</v>
      </c>
      <c r="L384" s="3934">
        <v>15000000000</v>
      </c>
      <c r="M384" s="3935">
        <v>2493831376</v>
      </c>
      <c r="N384" s="3934">
        <v>1671690063</v>
      </c>
      <c r="O384" s="3934">
        <v>4165521439</v>
      </c>
      <c r="P384" s="3934">
        <v>15000000000</v>
      </c>
      <c r="Q384" s="3934">
        <f t="shared" si="74"/>
        <v>0</v>
      </c>
      <c r="R384" s="3936">
        <f t="shared" si="75"/>
        <v>0</v>
      </c>
      <c r="S384" s="3937"/>
      <c r="T384" s="3938"/>
      <c r="U384" s="3939"/>
      <c r="V384" s="3940">
        <f t="shared" si="71"/>
        <v>16662085756</v>
      </c>
    </row>
    <row r="385" spans="1:22" s="257" customFormat="1" ht="15.05" customHeight="1">
      <c r="A385" s="1855"/>
      <c r="B385" s="1855"/>
      <c r="C385" s="1855"/>
      <c r="D385" s="1855"/>
      <c r="E385" s="1855"/>
      <c r="F385" s="2214" t="s">
        <v>50</v>
      </c>
      <c r="G385" s="200"/>
      <c r="H385" s="200" t="str">
        <f>MAR!H91</f>
        <v>RUMAH SAKIT UMUM H.L MANAMBAI ABDUL KADIR</v>
      </c>
      <c r="I385" s="200"/>
      <c r="J385" s="3215"/>
      <c r="K385" s="3193">
        <v>0</v>
      </c>
      <c r="L385" s="3125">
        <v>16000000000</v>
      </c>
      <c r="M385" s="3124">
        <v>2651132328.7199998</v>
      </c>
      <c r="N385" s="3125">
        <v>1246849913.1600001</v>
      </c>
      <c r="O385" s="3125">
        <v>3897982241.8800001</v>
      </c>
      <c r="P385" s="3125">
        <v>19000000000</v>
      </c>
      <c r="Q385" s="3125">
        <f t="shared" si="74"/>
        <v>3000000000</v>
      </c>
      <c r="R385" s="3605">
        <f t="shared" si="75"/>
        <v>18.75</v>
      </c>
      <c r="S385" s="3275"/>
      <c r="T385" s="3826"/>
      <c r="U385" s="3771"/>
      <c r="V385" s="1846">
        <f t="shared" si="71"/>
        <v>15591928967.52</v>
      </c>
    </row>
    <row r="386" spans="1:22" s="257" customFormat="1" ht="15.05" customHeight="1">
      <c r="A386" s="1855"/>
      <c r="B386" s="1855"/>
      <c r="C386" s="1855"/>
      <c r="D386" s="1855"/>
      <c r="E386" s="1855"/>
      <c r="F386" s="2214" t="s">
        <v>50</v>
      </c>
      <c r="G386" s="200"/>
      <c r="H386" s="200" t="s">
        <v>1212</v>
      </c>
      <c r="I386" s="200"/>
      <c r="J386" s="3215"/>
      <c r="K386" s="3193">
        <v>0</v>
      </c>
      <c r="L386" s="3125">
        <v>250000000</v>
      </c>
      <c r="M386" s="3124">
        <v>0</v>
      </c>
      <c r="N386" s="3125">
        <v>0</v>
      </c>
      <c r="O386" s="3125">
        <v>0</v>
      </c>
      <c r="P386" s="3125">
        <v>0</v>
      </c>
      <c r="Q386" s="3125">
        <f t="shared" si="74"/>
        <v>-250000000</v>
      </c>
      <c r="R386" s="3605">
        <f t="shared" si="75"/>
        <v>-100</v>
      </c>
      <c r="S386" s="3275"/>
      <c r="T386" s="3826"/>
      <c r="U386" s="3771"/>
      <c r="V386" s="1846">
        <f t="shared" si="71"/>
        <v>0</v>
      </c>
    </row>
    <row r="387" spans="1:22" s="257" customFormat="1" ht="15.05" hidden="1" customHeight="1">
      <c r="A387" s="1855"/>
      <c r="B387" s="1855"/>
      <c r="C387" s="1855"/>
      <c r="D387" s="1855"/>
      <c r="E387" s="1855"/>
      <c r="F387" s="2214"/>
      <c r="G387" s="200"/>
      <c r="H387" s="200"/>
      <c r="I387" s="200"/>
      <c r="J387" s="3215"/>
      <c r="K387" s="3171"/>
      <c r="L387" s="3125"/>
      <c r="M387" s="3124"/>
      <c r="N387" s="3125"/>
      <c r="O387" s="3125"/>
      <c r="P387" s="3125"/>
      <c r="Q387" s="3125"/>
      <c r="R387" s="3605"/>
      <c r="S387" s="3702"/>
      <c r="T387" s="3820"/>
      <c r="U387" s="3771"/>
      <c r="V387" s="1846">
        <f t="shared" si="71"/>
        <v>0</v>
      </c>
    </row>
    <row r="388" spans="1:22" s="257" customFormat="1" ht="15.05" customHeight="1">
      <c r="A388" s="1855"/>
      <c r="B388" s="1855"/>
      <c r="C388" s="1855"/>
      <c r="D388" s="1855"/>
      <c r="E388" s="1855"/>
      <c r="F388" s="2214"/>
      <c r="G388" s="200"/>
      <c r="H388" s="200"/>
      <c r="I388" s="200"/>
      <c r="J388" s="3215"/>
      <c r="K388" s="3216"/>
      <c r="L388" s="3125"/>
      <c r="M388" s="3124"/>
      <c r="N388" s="3125"/>
      <c r="O388" s="3125"/>
      <c r="P388" s="3125"/>
      <c r="Q388" s="3125"/>
      <c r="R388" s="3605"/>
      <c r="S388" s="3702"/>
      <c r="T388" s="3820"/>
      <c r="U388" s="3771"/>
      <c r="V388" s="1846"/>
    </row>
    <row r="389" spans="1:22" s="3115" customFormat="1" ht="15.05" hidden="1" customHeight="1">
      <c r="A389" s="2939" t="s">
        <v>443</v>
      </c>
      <c r="B389" s="2939" t="s">
        <v>58</v>
      </c>
      <c r="C389" s="2939" t="s">
        <v>443</v>
      </c>
      <c r="D389" s="4496" t="s">
        <v>563</v>
      </c>
      <c r="E389" s="2939" t="s">
        <v>1155</v>
      </c>
      <c r="F389" s="2959" t="s">
        <v>1181</v>
      </c>
      <c r="G389" s="2946"/>
      <c r="H389" s="2946"/>
      <c r="I389" s="2946"/>
      <c r="J389" s="3276">
        <f>J390</f>
        <v>7805834000</v>
      </c>
      <c r="K389" s="3276">
        <f>K390</f>
        <v>7177429000</v>
      </c>
      <c r="L389" s="3277">
        <f>SUM(L390:L392)</f>
        <v>4392225000</v>
      </c>
      <c r="M389" s="3278">
        <v>0</v>
      </c>
      <c r="N389" s="3277">
        <f>SUM(N390:N392)</f>
        <v>0</v>
      </c>
      <c r="O389" s="3277">
        <f>SUM(O390:O392)</f>
        <v>0</v>
      </c>
      <c r="P389" s="3277">
        <v>4392225000</v>
      </c>
      <c r="Q389" s="3277">
        <f>+P389-L389</f>
        <v>0</v>
      </c>
      <c r="R389" s="3633">
        <f>+P389/L389*100-100</f>
        <v>0</v>
      </c>
      <c r="S389" s="3752"/>
      <c r="T389" s="3850"/>
      <c r="U389" s="3805">
        <f>PerDinas!Q750</f>
        <v>0</v>
      </c>
      <c r="V389" s="2944">
        <f t="shared" si="71"/>
        <v>0</v>
      </c>
    </row>
    <row r="390" spans="1:22" s="257" customFormat="1" ht="15.05" hidden="1" customHeight="1">
      <c r="A390" s="1855"/>
      <c r="B390" s="1855"/>
      <c r="C390" s="1855"/>
      <c r="D390" s="1855"/>
      <c r="E390" s="1855"/>
      <c r="F390" s="2214" t="s">
        <v>50</v>
      </c>
      <c r="G390" s="200" t="str">
        <f>MAR!I594</f>
        <v>- Diklat PIM III dan IV</v>
      </c>
      <c r="H390" s="200"/>
      <c r="I390" s="200"/>
      <c r="J390" s="3215">
        <v>7805834000</v>
      </c>
      <c r="K390" s="3215">
        <v>7177429000</v>
      </c>
      <c r="L390" s="3125">
        <f>MAR!J594</f>
        <v>4392225000</v>
      </c>
      <c r="M390" s="3124">
        <v>0</v>
      </c>
      <c r="N390" s="3125">
        <f>MAR!L594</f>
        <v>0</v>
      </c>
      <c r="O390" s="3125">
        <f>MAR!M594</f>
        <v>0</v>
      </c>
      <c r="P390" s="3125">
        <v>4392225000</v>
      </c>
      <c r="Q390" s="3125">
        <f>+P390-L390</f>
        <v>0</v>
      </c>
      <c r="R390" s="3605">
        <f>+P390/L390*100-100</f>
        <v>0</v>
      </c>
      <c r="S390" s="3275"/>
      <c r="T390" s="3826"/>
      <c r="U390" s="3771"/>
      <c r="V390" s="1846">
        <f t="shared" si="71"/>
        <v>0</v>
      </c>
    </row>
    <row r="391" spans="1:22" s="257" customFormat="1" ht="15.05" hidden="1" customHeight="1">
      <c r="A391" s="1855"/>
      <c r="B391" s="1855"/>
      <c r="C391" s="1855"/>
      <c r="D391" s="1855"/>
      <c r="E391" s="1855"/>
      <c r="F391" s="2214" t="s">
        <v>50</v>
      </c>
      <c r="G391" s="200" t="str">
        <f>MAR!I595</f>
        <v>- Diklat Prajabatan</v>
      </c>
      <c r="H391" s="200"/>
      <c r="I391" s="200"/>
      <c r="J391" s="3215"/>
      <c r="K391" s="3171"/>
      <c r="L391" s="3125">
        <f>MAR!J595</f>
        <v>0</v>
      </c>
      <c r="M391" s="3124">
        <v>0</v>
      </c>
      <c r="N391" s="3125">
        <f>MAR!L595</f>
        <v>0</v>
      </c>
      <c r="O391" s="3125">
        <f>MAR!M595</f>
        <v>0</v>
      </c>
      <c r="P391" s="3125">
        <v>0</v>
      </c>
      <c r="Q391" s="3125">
        <f>+P391-L391</f>
        <v>0</v>
      </c>
      <c r="R391" s="3605">
        <v>0</v>
      </c>
      <c r="S391" s="3275"/>
      <c r="T391" s="3826"/>
      <c r="U391" s="3771"/>
      <c r="V391" s="1846">
        <f t="shared" si="71"/>
        <v>0</v>
      </c>
    </row>
    <row r="392" spans="1:22" s="257" customFormat="1" ht="15.05" hidden="1" customHeight="1">
      <c r="A392" s="1855"/>
      <c r="B392" s="1855"/>
      <c r="C392" s="1855"/>
      <c r="D392" s="1855"/>
      <c r="E392" s="1855"/>
      <c r="F392" s="2214" t="s">
        <v>50</v>
      </c>
      <c r="G392" s="200" t="str">
        <f>MAR!I596</f>
        <v>- Diklat Pembentukan Arsiparis Ahli Kab/Kota</v>
      </c>
      <c r="H392" s="200"/>
      <c r="I392" s="200"/>
      <c r="J392" s="3215"/>
      <c r="K392" s="3171"/>
      <c r="L392" s="3125">
        <f>MAR!J596</f>
        <v>0</v>
      </c>
      <c r="M392" s="3124">
        <v>0</v>
      </c>
      <c r="N392" s="3125">
        <f>MAR!L596</f>
        <v>0</v>
      </c>
      <c r="O392" s="3125">
        <f>MAR!M596</f>
        <v>0</v>
      </c>
      <c r="P392" s="3125">
        <v>0</v>
      </c>
      <c r="Q392" s="3125">
        <f>+P392-L392</f>
        <v>0</v>
      </c>
      <c r="R392" s="3605">
        <v>0</v>
      </c>
      <c r="S392" s="3275"/>
      <c r="T392" s="3826"/>
      <c r="U392" s="3771"/>
      <c r="V392" s="1846">
        <f t="shared" si="71"/>
        <v>0</v>
      </c>
    </row>
    <row r="393" spans="1:22" s="257" customFormat="1" ht="15.05" hidden="1" customHeight="1">
      <c r="A393" s="1855"/>
      <c r="B393" s="1855"/>
      <c r="C393" s="1855"/>
      <c r="D393" s="1855"/>
      <c r="E393" s="1855"/>
      <c r="G393" s="200"/>
      <c r="H393" s="200"/>
      <c r="I393" s="200"/>
      <c r="J393" s="3215"/>
      <c r="K393" s="3171"/>
      <c r="L393" s="3125"/>
      <c r="M393" s="3124"/>
      <c r="N393" s="3125"/>
      <c r="O393" s="3125"/>
      <c r="P393" s="3125"/>
      <c r="Q393" s="3125"/>
      <c r="R393" s="3605"/>
      <c r="S393" s="3275"/>
      <c r="T393" s="3826"/>
      <c r="U393" s="3771"/>
      <c r="V393" s="1846">
        <f t="shared" si="71"/>
        <v>0</v>
      </c>
    </row>
    <row r="394" spans="1:22" s="257" customFormat="1" ht="15.05" hidden="1" customHeight="1">
      <c r="A394" s="1855"/>
      <c r="B394" s="1855"/>
      <c r="C394" s="1855"/>
      <c r="D394" s="1855"/>
      <c r="E394" s="1855"/>
      <c r="G394" s="200"/>
      <c r="H394" s="200"/>
      <c r="I394" s="200"/>
      <c r="J394" s="3215"/>
      <c r="K394" s="3216"/>
      <c r="L394" s="3125"/>
      <c r="M394" s="3124"/>
      <c r="N394" s="3125"/>
      <c r="O394" s="3125"/>
      <c r="P394" s="3125"/>
      <c r="Q394" s="3125"/>
      <c r="R394" s="3605"/>
      <c r="S394" s="3275"/>
      <c r="T394" s="3826"/>
      <c r="U394" s="3771"/>
      <c r="V394" s="1846"/>
    </row>
    <row r="395" spans="1:22" s="2947" customFormat="1" ht="15.05" customHeight="1">
      <c r="A395" s="2948" t="s">
        <v>443</v>
      </c>
      <c r="B395" s="2948" t="s">
        <v>58</v>
      </c>
      <c r="C395" s="2948" t="s">
        <v>443</v>
      </c>
      <c r="D395" s="4513" t="s">
        <v>447</v>
      </c>
      <c r="E395" s="2948" t="s">
        <v>437</v>
      </c>
      <c r="F395" s="2959" t="s">
        <v>605</v>
      </c>
      <c r="G395" s="2940"/>
      <c r="H395" s="2940"/>
      <c r="I395" s="2940"/>
      <c r="J395" s="3279">
        <v>0</v>
      </c>
      <c r="K395" s="3279">
        <v>0</v>
      </c>
      <c r="L395" s="3280">
        <f>SUM(L396:L403)</f>
        <v>0</v>
      </c>
      <c r="M395" s="3281">
        <v>2100000</v>
      </c>
      <c r="N395" s="3280">
        <f>SUM(N396:N403)</f>
        <v>1035000</v>
      </c>
      <c r="O395" s="3280">
        <f>N395+M395</f>
        <v>3135000</v>
      </c>
      <c r="P395" s="3280">
        <v>0</v>
      </c>
      <c r="Q395" s="3280">
        <f t="shared" ref="Q395:Q403" si="76">+P395-L395</f>
        <v>0</v>
      </c>
      <c r="R395" s="3634">
        <v>0</v>
      </c>
      <c r="S395" s="3753"/>
      <c r="T395" s="3851"/>
      <c r="U395" s="3806">
        <f>PerDinas!Q752</f>
        <v>0</v>
      </c>
      <c r="V395" s="2944">
        <f t="shared" si="71"/>
        <v>12540000</v>
      </c>
    </row>
    <row r="396" spans="1:22" s="257" customFormat="1" ht="15.05" customHeight="1">
      <c r="A396" s="1855"/>
      <c r="B396" s="1855"/>
      <c r="C396" s="1855"/>
      <c r="D396" s="1855"/>
      <c r="E396" s="1855"/>
      <c r="F396" s="2732" t="s">
        <v>50</v>
      </c>
      <c r="G396" s="200"/>
      <c r="H396" s="2849" t="s">
        <v>606</v>
      </c>
      <c r="I396" s="200"/>
      <c r="J396" s="3215"/>
      <c r="K396" s="3171"/>
      <c r="L396" s="3125">
        <v>0</v>
      </c>
      <c r="M396" s="3124">
        <v>0</v>
      </c>
      <c r="N396" s="3125">
        <v>0</v>
      </c>
      <c r="O396" s="3125">
        <v>0</v>
      </c>
      <c r="P396" s="3125">
        <v>0</v>
      </c>
      <c r="Q396" s="3125">
        <f t="shared" si="76"/>
        <v>0</v>
      </c>
      <c r="R396" s="3605" t="e">
        <f t="shared" ref="R396:R403" si="77">+P396/L396*100-100</f>
        <v>#DIV/0!</v>
      </c>
      <c r="S396" s="3702"/>
      <c r="T396" s="3820"/>
      <c r="U396" s="3771"/>
      <c r="V396" s="1846">
        <f t="shared" si="71"/>
        <v>0</v>
      </c>
    </row>
    <row r="397" spans="1:22" s="257" customFormat="1" ht="15.05" customHeight="1">
      <c r="A397" s="1855"/>
      <c r="B397" s="1855"/>
      <c r="C397" s="1855"/>
      <c r="D397" s="1855"/>
      <c r="E397" s="1855"/>
      <c r="F397" s="2732" t="s">
        <v>50</v>
      </c>
      <c r="G397" s="200"/>
      <c r="H397" s="2849" t="s">
        <v>607</v>
      </c>
      <c r="I397" s="200"/>
      <c r="J397" s="3215"/>
      <c r="K397" s="3171"/>
      <c r="L397" s="3125">
        <f>PerDinas!K106</f>
        <v>0</v>
      </c>
      <c r="M397" s="3124">
        <v>0</v>
      </c>
      <c r="N397" s="3125">
        <v>0</v>
      </c>
      <c r="O397" s="3125">
        <v>0</v>
      </c>
      <c r="P397" s="3125">
        <v>0</v>
      </c>
      <c r="Q397" s="3125">
        <f t="shared" si="76"/>
        <v>0</v>
      </c>
      <c r="R397" s="3605" t="e">
        <f t="shared" si="77"/>
        <v>#DIV/0!</v>
      </c>
      <c r="S397" s="3702"/>
      <c r="T397" s="3820"/>
      <c r="U397" s="3771"/>
      <c r="V397" s="1846">
        <f t="shared" si="71"/>
        <v>0</v>
      </c>
    </row>
    <row r="398" spans="1:22" s="257" customFormat="1" ht="15.05" customHeight="1">
      <c r="A398" s="1855"/>
      <c r="B398" s="1855"/>
      <c r="C398" s="1855"/>
      <c r="D398" s="1855"/>
      <c r="E398" s="1855"/>
      <c r="F398" s="2732" t="s">
        <v>50</v>
      </c>
      <c r="G398" s="200"/>
      <c r="H398" s="2849" t="s">
        <v>608</v>
      </c>
      <c r="I398" s="200"/>
      <c r="J398" s="3215"/>
      <c r="K398" s="3171"/>
      <c r="L398" s="3125">
        <v>0</v>
      </c>
      <c r="M398" s="3124">
        <v>2100000</v>
      </c>
      <c r="N398" s="3125">
        <v>0</v>
      </c>
      <c r="O398" s="3125">
        <v>2100000</v>
      </c>
      <c r="P398" s="3125">
        <v>0</v>
      </c>
      <c r="Q398" s="3125">
        <f t="shared" si="76"/>
        <v>0</v>
      </c>
      <c r="R398" s="3605">
        <v>0</v>
      </c>
      <c r="S398" s="3702"/>
      <c r="T398" s="3820"/>
      <c r="U398" s="3771"/>
      <c r="V398" s="1846">
        <f t="shared" si="71"/>
        <v>8400000</v>
      </c>
    </row>
    <row r="399" spans="1:22" s="257" customFormat="1" ht="15.05" customHeight="1">
      <c r="A399" s="1855"/>
      <c r="B399" s="1855"/>
      <c r="C399" s="1855"/>
      <c r="D399" s="1855"/>
      <c r="E399" s="1855"/>
      <c r="F399" s="2732" t="s">
        <v>50</v>
      </c>
      <c r="G399" s="200"/>
      <c r="H399" s="2849" t="s">
        <v>609</v>
      </c>
      <c r="I399" s="200"/>
      <c r="J399" s="3215"/>
      <c r="K399" s="3171"/>
      <c r="L399" s="3125">
        <v>0</v>
      </c>
      <c r="M399" s="3124">
        <v>0</v>
      </c>
      <c r="N399" s="3125">
        <v>1035000</v>
      </c>
      <c r="O399" s="3125">
        <v>1035000</v>
      </c>
      <c r="P399" s="3125">
        <v>0</v>
      </c>
      <c r="Q399" s="3125">
        <f t="shared" si="76"/>
        <v>0</v>
      </c>
      <c r="R399" s="3605">
        <v>0</v>
      </c>
      <c r="S399" s="3702"/>
      <c r="T399" s="3820"/>
      <c r="U399" s="3771"/>
      <c r="V399" s="1846">
        <f t="shared" si="71"/>
        <v>4140000</v>
      </c>
    </row>
    <row r="400" spans="1:22" s="257" customFormat="1" ht="15.05" hidden="1" customHeight="1">
      <c r="A400" s="1855"/>
      <c r="B400" s="1855"/>
      <c r="C400" s="1855"/>
      <c r="D400" s="1855"/>
      <c r="E400" s="1855"/>
      <c r="F400" s="2732" t="s">
        <v>50</v>
      </c>
      <c r="G400" s="200"/>
      <c r="H400" s="2849"/>
      <c r="I400" s="200"/>
      <c r="J400" s="3215"/>
      <c r="K400" s="3171"/>
      <c r="L400" s="3125">
        <f>PerDinas!K359</f>
        <v>0</v>
      </c>
      <c r="M400" s="3124">
        <v>0</v>
      </c>
      <c r="N400" s="3125">
        <f>PerDinas!M359</f>
        <v>0</v>
      </c>
      <c r="O400" s="3125">
        <f>N400+M400</f>
        <v>0</v>
      </c>
      <c r="P400" s="3125">
        <v>0</v>
      </c>
      <c r="Q400" s="3125">
        <f t="shared" si="76"/>
        <v>0</v>
      </c>
      <c r="R400" s="3605" t="e">
        <f t="shared" si="77"/>
        <v>#DIV/0!</v>
      </c>
      <c r="S400" s="3702"/>
      <c r="T400" s="3820"/>
      <c r="U400" s="3771"/>
      <c r="V400" s="1846">
        <f t="shared" si="71"/>
        <v>0</v>
      </c>
    </row>
    <row r="401" spans="1:22" s="257" customFormat="1" ht="15.05" hidden="1" customHeight="1">
      <c r="A401" s="1855"/>
      <c r="B401" s="1855"/>
      <c r="C401" s="1855"/>
      <c r="D401" s="1855"/>
      <c r="E401" s="1855"/>
      <c r="F401" s="2732" t="s">
        <v>50</v>
      </c>
      <c r="G401" s="200"/>
      <c r="H401" s="2849"/>
      <c r="I401" s="200"/>
      <c r="J401" s="3215"/>
      <c r="K401" s="3171"/>
      <c r="L401" s="3125">
        <f>PerDinas!K870</f>
        <v>0</v>
      </c>
      <c r="M401" s="3124">
        <v>0</v>
      </c>
      <c r="N401" s="3125">
        <f>PerDinas!M870</f>
        <v>0</v>
      </c>
      <c r="O401" s="3125">
        <f>N401+M401</f>
        <v>0</v>
      </c>
      <c r="P401" s="3125">
        <v>0</v>
      </c>
      <c r="Q401" s="3125">
        <f t="shared" si="76"/>
        <v>0</v>
      </c>
      <c r="R401" s="3605" t="e">
        <f t="shared" si="77"/>
        <v>#DIV/0!</v>
      </c>
      <c r="S401" s="3702"/>
      <c r="T401" s="3820"/>
      <c r="U401" s="3771"/>
      <c r="V401" s="1846">
        <f t="shared" si="71"/>
        <v>0</v>
      </c>
    </row>
    <row r="402" spans="1:22" s="257" customFormat="1" ht="15.05" hidden="1" customHeight="1">
      <c r="A402" s="1886"/>
      <c r="B402" s="1886"/>
      <c r="C402" s="1886"/>
      <c r="D402" s="1886"/>
      <c r="E402" s="1886"/>
      <c r="F402" s="2850" t="s">
        <v>50</v>
      </c>
      <c r="G402" s="856"/>
      <c r="H402" s="2851"/>
      <c r="I402" s="856"/>
      <c r="J402" s="3238"/>
      <c r="K402" s="3173"/>
      <c r="L402" s="3174">
        <f>PerDinas!K953</f>
        <v>0</v>
      </c>
      <c r="M402" s="3175">
        <v>0</v>
      </c>
      <c r="N402" s="3174">
        <f>PerDinas!M953</f>
        <v>0</v>
      </c>
      <c r="O402" s="3174">
        <f>N402+M402</f>
        <v>0</v>
      </c>
      <c r="P402" s="3174">
        <v>0</v>
      </c>
      <c r="Q402" s="3174">
        <f t="shared" si="76"/>
        <v>0</v>
      </c>
      <c r="R402" s="3605" t="e">
        <f t="shared" si="77"/>
        <v>#DIV/0!</v>
      </c>
      <c r="S402" s="3712"/>
      <c r="T402" s="3831"/>
      <c r="U402" s="1899"/>
      <c r="V402" s="1846">
        <f t="shared" si="71"/>
        <v>0</v>
      </c>
    </row>
    <row r="403" spans="1:22" s="257" customFormat="1" ht="15.05" hidden="1" customHeight="1">
      <c r="A403" s="1855"/>
      <c r="B403" s="1855"/>
      <c r="C403" s="1855"/>
      <c r="D403" s="1855"/>
      <c r="E403" s="1855"/>
      <c r="F403" s="2732" t="s">
        <v>50</v>
      </c>
      <c r="G403" s="200"/>
      <c r="H403" s="2852"/>
      <c r="I403" s="200"/>
      <c r="J403" s="3215"/>
      <c r="K403" s="3171"/>
      <c r="L403" s="3125">
        <f>PerDinas!K765</f>
        <v>0</v>
      </c>
      <c r="M403" s="3124">
        <v>0</v>
      </c>
      <c r="N403" s="3125">
        <f>PerDinas!M765</f>
        <v>0</v>
      </c>
      <c r="O403" s="3125">
        <f>N403+M403</f>
        <v>0</v>
      </c>
      <c r="P403" s="3125">
        <v>0</v>
      </c>
      <c r="Q403" s="3125">
        <f t="shared" si="76"/>
        <v>0</v>
      </c>
      <c r="R403" s="3605" t="e">
        <f t="shared" si="77"/>
        <v>#DIV/0!</v>
      </c>
      <c r="S403" s="3702"/>
      <c r="T403" s="3820"/>
      <c r="U403" s="3771"/>
      <c r="V403" s="1846">
        <f t="shared" si="71"/>
        <v>0</v>
      </c>
    </row>
    <row r="404" spans="1:22" s="257" customFormat="1" ht="15.05" customHeight="1">
      <c r="A404" s="3573"/>
      <c r="B404" s="3573"/>
      <c r="C404" s="3573"/>
      <c r="D404" s="3573"/>
      <c r="E404" s="3573"/>
      <c r="F404" s="3536"/>
      <c r="G404" s="3537"/>
      <c r="H404" s="3565"/>
      <c r="I404" s="3537"/>
      <c r="J404" s="3566"/>
      <c r="K404" s="3567"/>
      <c r="L404" s="3568"/>
      <c r="M404" s="3569"/>
      <c r="N404" s="3568"/>
      <c r="O404" s="3568"/>
      <c r="P404" s="3568"/>
      <c r="Q404" s="3568"/>
      <c r="R404" s="3635"/>
      <c r="S404" s="3727"/>
      <c r="T404" s="3852"/>
      <c r="U404" s="3796"/>
      <c r="V404" s="1846">
        <f t="shared" si="71"/>
        <v>0</v>
      </c>
    </row>
    <row r="405" spans="1:22" s="2965" customFormat="1" ht="15.05" customHeight="1">
      <c r="A405" s="3870" t="s">
        <v>443</v>
      </c>
      <c r="B405" s="3870" t="s">
        <v>460</v>
      </c>
      <c r="C405" s="3870"/>
      <c r="D405" s="3870"/>
      <c r="E405" s="3870"/>
      <c r="F405" s="3558" t="s">
        <v>236</v>
      </c>
      <c r="G405" s="3559"/>
      <c r="H405" s="3560"/>
      <c r="I405" s="3559"/>
      <c r="J405" s="3561">
        <f>J406+J420+J425</f>
        <v>2333604004580</v>
      </c>
      <c r="K405" s="3561">
        <f>K406+K420+K425</f>
        <v>2587184362905</v>
      </c>
      <c r="L405" s="3561">
        <f>L406+L420+L425</f>
        <v>3222521202310</v>
      </c>
      <c r="M405" s="3562">
        <v>602895773311</v>
      </c>
      <c r="N405" s="3561">
        <f>N406+N420+N425</f>
        <v>226813668600</v>
      </c>
      <c r="O405" s="3561">
        <f>N405+M405</f>
        <v>829709441911</v>
      </c>
      <c r="P405" s="3561">
        <f>P406+P420+P425</f>
        <v>3116570908600</v>
      </c>
      <c r="Q405" s="3561">
        <f t="shared" ref="Q405:Q423" si="78">+P405-L405</f>
        <v>-105950293710</v>
      </c>
      <c r="R405" s="3636">
        <f>+P405/L405*100-100</f>
        <v>-3.2878074978700482</v>
      </c>
      <c r="S405" s="3728"/>
      <c r="T405" s="3853"/>
      <c r="U405" s="3807"/>
      <c r="V405" s="2964">
        <f t="shared" si="71"/>
        <v>3318837767644</v>
      </c>
    </row>
    <row r="406" spans="1:22" s="2917" customFormat="1" ht="15.05" customHeight="1">
      <c r="A406" s="3108" t="s">
        <v>443</v>
      </c>
      <c r="B406" s="3108" t="s">
        <v>460</v>
      </c>
      <c r="C406" s="3108" t="s">
        <v>58</v>
      </c>
      <c r="D406" s="3108"/>
      <c r="E406" s="3108"/>
      <c r="F406" s="3109" t="str">
        <f>MAR!H427</f>
        <v>DANA BAGI HASIL PAJAK/BAGI HASIL BUKAN PAJAK</v>
      </c>
      <c r="G406" s="3110"/>
      <c r="H406" s="3111"/>
      <c r="I406" s="3110"/>
      <c r="J406" s="3284">
        <f>J407+J415</f>
        <v>247954406000</v>
      </c>
      <c r="K406" s="3285">
        <f>K407+K415</f>
        <v>375036424549</v>
      </c>
      <c r="L406" s="3285">
        <f>L407+L415</f>
        <v>353125684600</v>
      </c>
      <c r="M406" s="3286">
        <v>77134449311</v>
      </c>
      <c r="N406" s="3284">
        <f>N407+N415</f>
        <v>43645442600</v>
      </c>
      <c r="O406" s="3284">
        <f>O407+O415</f>
        <v>120779891911</v>
      </c>
      <c r="P406" s="3284">
        <f>P407+P415</f>
        <v>328125684600</v>
      </c>
      <c r="Q406" s="3284">
        <f t="shared" si="78"/>
        <v>-25000000000</v>
      </c>
      <c r="R406" s="3637">
        <f>+P406/L406*100-100</f>
        <v>-7.0796322924849022</v>
      </c>
      <c r="S406" s="3729"/>
      <c r="T406" s="3854"/>
      <c r="U406" s="3808"/>
      <c r="V406" s="2904">
        <f t="shared" si="71"/>
        <v>483119567644</v>
      </c>
    </row>
    <row r="407" spans="1:22" s="1318" customFormat="1" ht="15.05" customHeight="1">
      <c r="A407" s="1905"/>
      <c r="B407" s="1905"/>
      <c r="C407" s="1905"/>
      <c r="D407" s="1905"/>
      <c r="E407" s="1905"/>
      <c r="F407" s="3089"/>
      <c r="G407" s="212" t="str">
        <f>MAR!H428</f>
        <v>Bagi Hasil Pajak</v>
      </c>
      <c r="H407" s="3098"/>
      <c r="I407" s="212"/>
      <c r="J407" s="3197">
        <f>SUM(J408:J414)</f>
        <v>165277884000</v>
      </c>
      <c r="K407" s="3288">
        <f>SUM(K408:K414)</f>
        <v>165676022293</v>
      </c>
      <c r="L407" s="3288">
        <f>SUM(L408:L414)</f>
        <v>185190481600</v>
      </c>
      <c r="M407" s="3198">
        <v>15220097700</v>
      </c>
      <c r="N407" s="3197">
        <f>SUM(N408:N414)</f>
        <v>43568767100</v>
      </c>
      <c r="O407" s="3197">
        <f>SUM(O408:O414)</f>
        <v>58788864800</v>
      </c>
      <c r="P407" s="3197">
        <f>SUM(P408+P412+P414)</f>
        <v>176690481600</v>
      </c>
      <c r="Q407" s="3197">
        <f t="shared" si="78"/>
        <v>-8500000000</v>
      </c>
      <c r="R407" s="3608">
        <f>+P407/L407*100-100</f>
        <v>-4.5898687268168885</v>
      </c>
      <c r="S407" s="3713"/>
      <c r="T407" s="3832"/>
      <c r="U407" s="1911"/>
      <c r="V407" s="1846">
        <f t="shared" si="71"/>
        <v>235155459200</v>
      </c>
    </row>
    <row r="408" spans="1:22" s="257" customFormat="1" ht="15.05" customHeight="1">
      <c r="A408" s="1855"/>
      <c r="B408" s="1855"/>
      <c r="C408" s="1855"/>
      <c r="D408" s="1855"/>
      <c r="E408" s="1855"/>
      <c r="F408" s="2214"/>
      <c r="G408" s="2727" t="s">
        <v>50</v>
      </c>
      <c r="H408" s="2852" t="str">
        <f>MAR!I429</f>
        <v>Bagi Hasil Pajak Bumi dan Bangunan</v>
      </c>
      <c r="I408" s="200"/>
      <c r="J408" s="3215">
        <v>13045670000</v>
      </c>
      <c r="K408" s="3171">
        <v>15360944277</v>
      </c>
      <c r="L408" s="3125">
        <v>10416269000</v>
      </c>
      <c r="M408" s="3124">
        <v>2542990867</v>
      </c>
      <c r="N408" s="3125">
        <v>2000213850</v>
      </c>
      <c r="O408" s="3125">
        <v>4543204717</v>
      </c>
      <c r="P408" s="3125">
        <v>10416269000</v>
      </c>
      <c r="Q408" s="3125">
        <f t="shared" si="78"/>
        <v>0</v>
      </c>
      <c r="R408" s="3605">
        <f>+P408/L408*100-100</f>
        <v>0</v>
      </c>
      <c r="S408" s="3275"/>
      <c r="T408" s="3826"/>
      <c r="U408" s="3771"/>
      <c r="V408" s="1846">
        <f t="shared" si="71"/>
        <v>18172818868</v>
      </c>
    </row>
    <row r="409" spans="1:22" s="257" customFormat="1" ht="15.05" hidden="1" customHeight="1">
      <c r="A409" s="1855"/>
      <c r="B409" s="1855"/>
      <c r="C409" s="1855"/>
      <c r="D409" s="1855"/>
      <c r="E409" s="1855"/>
      <c r="F409" s="2214"/>
      <c r="G409" s="2727" t="s">
        <v>50</v>
      </c>
      <c r="H409" s="2852" t="str">
        <f>MAR!I430</f>
        <v>Bagi Hasil dari Bea Perolehan Hak Atas Tanah dan Bangunan</v>
      </c>
      <c r="I409" s="200"/>
      <c r="J409" s="3248" t="s">
        <v>50</v>
      </c>
      <c r="K409" s="3193" t="s">
        <v>50</v>
      </c>
      <c r="L409" s="3125">
        <v>0</v>
      </c>
      <c r="M409" s="3124">
        <v>0</v>
      </c>
      <c r="N409" s="3125">
        <v>0</v>
      </c>
      <c r="O409" s="3125">
        <v>0</v>
      </c>
      <c r="P409" s="3125">
        <v>0</v>
      </c>
      <c r="Q409" s="3125">
        <f t="shared" si="78"/>
        <v>0</v>
      </c>
      <c r="R409" s="3605">
        <v>0</v>
      </c>
      <c r="S409" s="3275"/>
      <c r="T409" s="3826"/>
      <c r="U409" s="3771"/>
      <c r="V409" s="1846">
        <f t="shared" si="71"/>
        <v>0</v>
      </c>
    </row>
    <row r="410" spans="1:22" s="257" customFormat="1" ht="15.05" customHeight="1">
      <c r="A410" s="1855"/>
      <c r="B410" s="1855"/>
      <c r="C410" s="1855"/>
      <c r="D410" s="1855"/>
      <c r="E410" s="1855"/>
      <c r="F410" s="2214"/>
      <c r="G410" s="2727"/>
      <c r="H410" s="3904" t="s">
        <v>1204</v>
      </c>
      <c r="I410" s="3905"/>
      <c r="J410" s="3906"/>
      <c r="K410" s="3907"/>
      <c r="L410" s="3908"/>
      <c r="M410" s="3909"/>
      <c r="N410" s="3908"/>
      <c r="O410" s="3908"/>
      <c r="P410" s="3908">
        <v>10134749000</v>
      </c>
      <c r="Q410" s="3125"/>
      <c r="R410" s="3605"/>
      <c r="S410" s="3275"/>
      <c r="T410" s="3826"/>
      <c r="U410" s="3771"/>
      <c r="V410" s="1846"/>
    </row>
    <row r="411" spans="1:22" s="257" customFormat="1" ht="15.05" customHeight="1">
      <c r="A411" s="1855"/>
      <c r="B411" s="1855"/>
      <c r="C411" s="1855"/>
      <c r="D411" s="1855"/>
      <c r="E411" s="1855"/>
      <c r="F411" s="2214"/>
      <c r="G411" s="2727"/>
      <c r="H411" s="3904" t="s">
        <v>1203</v>
      </c>
      <c r="I411" s="3905"/>
      <c r="J411" s="3910"/>
      <c r="K411" s="3907"/>
      <c r="L411" s="3908"/>
      <c r="M411" s="3909"/>
      <c r="N411" s="3908"/>
      <c r="O411" s="3908"/>
      <c r="P411" s="3908">
        <v>281520000</v>
      </c>
      <c r="Q411" s="3125"/>
      <c r="R411" s="3605"/>
      <c r="S411" s="3275"/>
      <c r="T411" s="3826"/>
      <c r="U411" s="3771"/>
      <c r="V411" s="1846"/>
    </row>
    <row r="412" spans="1:22" s="257" customFormat="1" ht="15.05" customHeight="1">
      <c r="A412" s="1855"/>
      <c r="B412" s="1855"/>
      <c r="C412" s="1855"/>
      <c r="D412" s="1855"/>
      <c r="E412" s="1855"/>
      <c r="F412" s="2214"/>
      <c r="G412" s="2727" t="s">
        <v>50</v>
      </c>
      <c r="H412" s="2852" t="str">
        <f>MAR!I431</f>
        <v>Bagi Hasil dari Pajak Penghasilan (PPh) Pasal 25 dan Pasal 29</v>
      </c>
      <c r="I412" s="200"/>
      <c r="J412" s="3215">
        <v>78835708000</v>
      </c>
      <c r="K412" s="3171">
        <v>75733342003</v>
      </c>
      <c r="L412" s="3125">
        <v>104034902000</v>
      </c>
      <c r="M412" s="3124">
        <v>12576808932</v>
      </c>
      <c r="N412" s="3125">
        <v>23883725500</v>
      </c>
      <c r="O412" s="3125">
        <v>36460534432</v>
      </c>
      <c r="P412" s="3125">
        <v>95534902000</v>
      </c>
      <c r="Q412" s="3125">
        <f t="shared" si="78"/>
        <v>-8500000000</v>
      </c>
      <c r="R412" s="3605">
        <f t="shared" ref="R412:R418" si="79">+P412/L412*100-100</f>
        <v>-8.1703349900786151</v>
      </c>
      <c r="S412" s="3275"/>
      <c r="T412" s="3826"/>
      <c r="U412" s="3771"/>
      <c r="V412" s="1846">
        <f t="shared" si="71"/>
        <v>145842137728</v>
      </c>
    </row>
    <row r="413" spans="1:22" s="257" customFormat="1" ht="15.05" customHeight="1">
      <c r="A413" s="1855"/>
      <c r="B413" s="1855"/>
      <c r="C413" s="1855"/>
      <c r="D413" s="1855"/>
      <c r="E413" s="1855"/>
      <c r="F413" s="2214"/>
      <c r="G413" s="2727" t="s">
        <v>50</v>
      </c>
      <c r="H413" s="2852" t="str">
        <f>MAR!I432</f>
        <v>wajb pajak orang pribadi dalam negeri dan PPh Pasal 21</v>
      </c>
      <c r="I413" s="200"/>
      <c r="J413" s="3215"/>
      <c r="K413" s="3171"/>
      <c r="L413" s="3125">
        <f>MAR!J432</f>
        <v>0</v>
      </c>
      <c r="M413" s="3124">
        <v>0</v>
      </c>
      <c r="N413" s="3125">
        <f>MAR!L432</f>
        <v>0</v>
      </c>
      <c r="O413" s="3125">
        <f>MAR!M432</f>
        <v>0</v>
      </c>
      <c r="P413" s="3125">
        <v>0</v>
      </c>
      <c r="Q413" s="3125">
        <f t="shared" si="78"/>
        <v>0</v>
      </c>
      <c r="R413" s="3605">
        <v>0</v>
      </c>
      <c r="S413" s="3275"/>
      <c r="T413" s="3826"/>
      <c r="U413" s="3771"/>
      <c r="V413" s="1846">
        <f t="shared" si="71"/>
        <v>0</v>
      </c>
    </row>
    <row r="414" spans="1:22" s="257" customFormat="1" ht="15.05" customHeight="1">
      <c r="A414" s="1855"/>
      <c r="B414" s="1855"/>
      <c r="C414" s="1855"/>
      <c r="D414" s="1855"/>
      <c r="E414" s="1855"/>
      <c r="F414" s="2214"/>
      <c r="G414" s="2727" t="s">
        <v>50</v>
      </c>
      <c r="H414" s="2852" t="str">
        <f>MAR!I433</f>
        <v>Bagi Hasil Cukai Tembakau</v>
      </c>
      <c r="I414" s="200"/>
      <c r="J414" s="3215">
        <v>73396506000</v>
      </c>
      <c r="K414" s="3171">
        <v>74581736013</v>
      </c>
      <c r="L414" s="3125">
        <v>70739310600</v>
      </c>
      <c r="M414" s="3124">
        <v>100297901</v>
      </c>
      <c r="N414" s="3125">
        <v>17684827750</v>
      </c>
      <c r="O414" s="3125">
        <v>17785125651</v>
      </c>
      <c r="P414" s="3125">
        <v>70739310600</v>
      </c>
      <c r="Q414" s="3125">
        <f t="shared" si="78"/>
        <v>0</v>
      </c>
      <c r="R414" s="3605">
        <f t="shared" si="79"/>
        <v>0</v>
      </c>
      <c r="S414" s="3275"/>
      <c r="T414" s="3826"/>
      <c r="U414" s="3771"/>
      <c r="V414" s="1846">
        <f t="shared" si="71"/>
        <v>71140502604</v>
      </c>
    </row>
    <row r="415" spans="1:22" s="1318" customFormat="1" ht="15.05" customHeight="1">
      <c r="A415" s="1902"/>
      <c r="B415" s="1902"/>
      <c r="C415" s="1902"/>
      <c r="D415" s="1902"/>
      <c r="E415" s="1902"/>
      <c r="F415" s="1856"/>
      <c r="G415" s="2728" t="str">
        <f>MAR!H435</f>
        <v>Bagi Hasil Bukan Pajak/Sumber Daya Alam</v>
      </c>
      <c r="H415" s="2854"/>
      <c r="I415" s="2322"/>
      <c r="J415" s="3272">
        <f>SUM(J416:J418)</f>
        <v>82676522000</v>
      </c>
      <c r="K415" s="3272">
        <f>SUM(K416:K418)</f>
        <v>209360402256</v>
      </c>
      <c r="L415" s="3289">
        <f>SUM(L416:L418)</f>
        <v>167935203000</v>
      </c>
      <c r="M415" s="3290">
        <v>61914351611</v>
      </c>
      <c r="N415" s="3289">
        <f>SUM(N416:N419)</f>
        <v>76675500</v>
      </c>
      <c r="O415" s="3289">
        <f>SUM(O416:O419)</f>
        <v>61991027111</v>
      </c>
      <c r="P415" s="3289">
        <f>SUM(P416:P418)</f>
        <v>151435203000</v>
      </c>
      <c r="Q415" s="3289">
        <f t="shared" si="78"/>
        <v>-16500000000</v>
      </c>
      <c r="R415" s="3606">
        <f t="shared" si="79"/>
        <v>-9.8252181229685362</v>
      </c>
      <c r="S415" s="3711"/>
      <c r="T415" s="3830"/>
      <c r="U415" s="1936"/>
      <c r="V415" s="1846">
        <f t="shared" si="71"/>
        <v>247964108444</v>
      </c>
    </row>
    <row r="416" spans="1:22" s="257" customFormat="1" ht="15.05" customHeight="1">
      <c r="A416" s="1886"/>
      <c r="B416" s="1886"/>
      <c r="C416" s="1886"/>
      <c r="D416" s="1886"/>
      <c r="E416" s="1886"/>
      <c r="F416" s="2214"/>
      <c r="G416" s="2727" t="s">
        <v>50</v>
      </c>
      <c r="H416" s="2852" t="str">
        <f>MAR!I436</f>
        <v>Bagi Hasil dari Iuran Hak Pengusahaan Hutan</v>
      </c>
      <c r="I416" s="856"/>
      <c r="J416" s="3238">
        <v>13941000</v>
      </c>
      <c r="K416" s="3173">
        <v>28170635</v>
      </c>
      <c r="L416" s="3174">
        <v>511170000</v>
      </c>
      <c r="M416" s="3175">
        <v>0</v>
      </c>
      <c r="N416" s="3174">
        <v>66556500</v>
      </c>
      <c r="O416" s="3174">
        <v>66556500</v>
      </c>
      <c r="P416" s="3174">
        <v>511170000</v>
      </c>
      <c r="Q416" s="3174">
        <f t="shared" si="78"/>
        <v>0</v>
      </c>
      <c r="R416" s="3612">
        <f t="shared" si="79"/>
        <v>0</v>
      </c>
      <c r="S416" s="3709"/>
      <c r="T416" s="3828"/>
      <c r="U416" s="1899"/>
      <c r="V416" s="1846">
        <f t="shared" si="71"/>
        <v>266226000</v>
      </c>
    </row>
    <row r="417" spans="1:22" s="257" customFormat="1" ht="15.05" customHeight="1">
      <c r="A417" s="1886"/>
      <c r="B417" s="1886"/>
      <c r="C417" s="1886"/>
      <c r="D417" s="1886"/>
      <c r="E417" s="1886"/>
      <c r="F417" s="2214"/>
      <c r="G417" s="2727" t="s">
        <v>50</v>
      </c>
      <c r="H417" s="2852" t="str">
        <f>MAR!I437</f>
        <v>Bagi Hasil dari Iuran Tetap (Land-Rent)</v>
      </c>
      <c r="I417" s="856"/>
      <c r="J417" s="3238">
        <v>4202581000</v>
      </c>
      <c r="K417" s="3173">
        <v>2669992293</v>
      </c>
      <c r="L417" s="3174">
        <v>4168131000</v>
      </c>
      <c r="M417" s="3175">
        <v>1232728624</v>
      </c>
      <c r="N417" s="3174">
        <v>0</v>
      </c>
      <c r="O417" s="3174">
        <v>1232728624</v>
      </c>
      <c r="P417" s="3174">
        <v>4168131000</v>
      </c>
      <c r="Q417" s="3174">
        <f t="shared" si="78"/>
        <v>0</v>
      </c>
      <c r="R417" s="3612">
        <f t="shared" si="79"/>
        <v>0</v>
      </c>
      <c r="S417" s="3709"/>
      <c r="T417" s="3828"/>
      <c r="U417" s="1899"/>
      <c r="V417" s="1846">
        <f t="shared" si="71"/>
        <v>4930914496</v>
      </c>
    </row>
    <row r="418" spans="1:22" s="257" customFormat="1" ht="15.05" customHeight="1">
      <c r="A418" s="1886"/>
      <c r="B418" s="1886"/>
      <c r="C418" s="1886"/>
      <c r="D418" s="1886"/>
      <c r="E418" s="1886"/>
      <c r="F418" s="2214"/>
      <c r="G418" s="2727" t="s">
        <v>50</v>
      </c>
      <c r="H418" s="2852" t="str">
        <f>MAR!I438</f>
        <v>Bagi Hasil dari Iuran Eksplorasi dan Iuran Eksploitasi (Royalty)</v>
      </c>
      <c r="I418" s="856"/>
      <c r="J418" s="3238">
        <v>78460000000</v>
      </c>
      <c r="K418" s="3173">
        <v>206662239328</v>
      </c>
      <c r="L418" s="3174">
        <v>163255902000</v>
      </c>
      <c r="M418" s="3175">
        <v>60654372288</v>
      </c>
      <c r="N418" s="3174">
        <v>0</v>
      </c>
      <c r="O418" s="3174">
        <v>60654372288</v>
      </c>
      <c r="P418" s="3174">
        <v>146755902000</v>
      </c>
      <c r="Q418" s="3174">
        <f t="shared" si="78"/>
        <v>-16500000000</v>
      </c>
      <c r="R418" s="3612">
        <f t="shared" si="79"/>
        <v>-10.1068321560589</v>
      </c>
      <c r="S418" s="3709"/>
      <c r="T418" s="3828"/>
      <c r="U418" s="1899"/>
      <c r="V418" s="1846">
        <f t="shared" si="71"/>
        <v>242617489152</v>
      </c>
    </row>
    <row r="419" spans="1:22" s="257" customFormat="1" ht="15.05" customHeight="1">
      <c r="A419" s="1886"/>
      <c r="B419" s="1886"/>
      <c r="C419" s="1886"/>
      <c r="D419" s="1886"/>
      <c r="E419" s="1886"/>
      <c r="F419" s="856"/>
      <c r="G419" s="2729" t="s">
        <v>50</v>
      </c>
      <c r="H419" s="2858" t="s">
        <v>461</v>
      </c>
      <c r="I419" s="856"/>
      <c r="J419" s="3238"/>
      <c r="K419" s="3173"/>
      <c r="L419" s="3174"/>
      <c r="M419" s="3175">
        <v>27250699</v>
      </c>
      <c r="N419" s="3174">
        <f>MAR!L439</f>
        <v>10119000</v>
      </c>
      <c r="O419" s="3174">
        <f>MAR!M439</f>
        <v>37369699</v>
      </c>
      <c r="P419" s="3174"/>
      <c r="Q419" s="3174">
        <f t="shared" si="78"/>
        <v>0</v>
      </c>
      <c r="R419" s="3612">
        <v>0</v>
      </c>
      <c r="S419" s="3709"/>
      <c r="T419" s="3828"/>
      <c r="U419" s="1899"/>
      <c r="V419" s="1846">
        <f t="shared" si="71"/>
        <v>149478796</v>
      </c>
    </row>
    <row r="420" spans="1:22" s="2917" customFormat="1" ht="15.05" customHeight="1">
      <c r="A420" s="3100" t="s">
        <v>443</v>
      </c>
      <c r="B420" s="3101" t="s">
        <v>460</v>
      </c>
      <c r="C420" s="3101" t="s">
        <v>460</v>
      </c>
      <c r="D420" s="3101"/>
      <c r="E420" s="3101"/>
      <c r="F420" s="3106" t="str">
        <f>MAR!H440</f>
        <v>DANA ALOKASI UMUM</v>
      </c>
      <c r="G420" s="3103"/>
      <c r="H420" s="3104"/>
      <c r="I420" s="3103"/>
      <c r="J420" s="3292">
        <f>J421</f>
        <v>955792513580</v>
      </c>
      <c r="K420" s="3292">
        <f>K421</f>
        <v>1117691709000</v>
      </c>
      <c r="L420" s="3292">
        <f>L421</f>
        <v>1496972549710</v>
      </c>
      <c r="M420" s="3293">
        <v>354005724000</v>
      </c>
      <c r="N420" s="3292">
        <f>N421</f>
        <v>118001908000</v>
      </c>
      <c r="O420" s="3292">
        <f>O421</f>
        <v>472007632000</v>
      </c>
      <c r="P420" s="3292">
        <f>P421</f>
        <v>1416022952000</v>
      </c>
      <c r="Q420" s="3292">
        <f t="shared" si="78"/>
        <v>-80949597710</v>
      </c>
      <c r="R420" s="3638">
        <f>+P420/L420*100-100</f>
        <v>-5.4075539144443212</v>
      </c>
      <c r="S420" s="3730"/>
      <c r="T420" s="3837"/>
      <c r="U420" s="3105"/>
      <c r="V420" s="2904">
        <f t="shared" si="71"/>
        <v>1888030528000</v>
      </c>
    </row>
    <row r="421" spans="1:22" s="1318" customFormat="1" ht="15.05" customHeight="1">
      <c r="A421" s="1725"/>
      <c r="B421" s="1725"/>
      <c r="C421" s="1725"/>
      <c r="D421" s="1725"/>
      <c r="E421" s="1725"/>
      <c r="F421" s="3089"/>
      <c r="G421" s="2744" t="str">
        <f>MAR!H441</f>
        <v>Dana Alokai Umum</v>
      </c>
      <c r="H421" s="3098"/>
      <c r="J421" s="3295">
        <v>955792513580</v>
      </c>
      <c r="K421" s="3147">
        <v>1117691709000</v>
      </c>
      <c r="L421" s="3296">
        <f>SUM(L422:L423)</f>
        <v>1496972549710</v>
      </c>
      <c r="M421" s="3297">
        <v>354005724000</v>
      </c>
      <c r="N421" s="3296">
        <f>SUM(N422:N423)</f>
        <v>118001908000</v>
      </c>
      <c r="O421" s="3296">
        <f>SUM(O422:O423)</f>
        <v>472007632000</v>
      </c>
      <c r="P421" s="3296">
        <f>P422</f>
        <v>1416022952000</v>
      </c>
      <c r="Q421" s="3296">
        <f t="shared" si="78"/>
        <v>-80949597710</v>
      </c>
      <c r="R421" s="3607">
        <f>+P421/L421*100-100</f>
        <v>-5.4075539144443212</v>
      </c>
      <c r="S421" s="3700"/>
      <c r="T421" s="3818"/>
      <c r="U421" s="3099"/>
      <c r="V421" s="1846">
        <f t="shared" ref="V421:V432" si="80">O421*4</f>
        <v>1888030528000</v>
      </c>
    </row>
    <row r="422" spans="1:22" s="257" customFormat="1" ht="15.05" customHeight="1">
      <c r="A422" s="1886"/>
      <c r="B422" s="1886"/>
      <c r="C422" s="1886"/>
      <c r="D422" s="1886"/>
      <c r="E422" s="1886"/>
      <c r="F422" s="2214"/>
      <c r="G422" s="2727" t="s">
        <v>50</v>
      </c>
      <c r="H422" s="2852" t="str">
        <f>MAR!I442</f>
        <v>DAU Murni</v>
      </c>
      <c r="I422" s="856"/>
      <c r="J422" s="3238"/>
      <c r="K422" s="3173"/>
      <c r="L422" s="3174">
        <v>1416022952000</v>
      </c>
      <c r="M422" s="3175">
        <v>354005724000</v>
      </c>
      <c r="N422" s="3174">
        <v>118001908000</v>
      </c>
      <c r="O422" s="3174">
        <v>472007632000</v>
      </c>
      <c r="P422" s="3174">
        <v>1416022952000</v>
      </c>
      <c r="Q422" s="3174">
        <f t="shared" si="78"/>
        <v>0</v>
      </c>
      <c r="R422" s="3612">
        <f>+P422/L422*100-100</f>
        <v>0</v>
      </c>
      <c r="S422" s="3709"/>
      <c r="T422" s="3828"/>
      <c r="U422" s="1899"/>
      <c r="V422" s="1846">
        <f t="shared" si="80"/>
        <v>1888030528000</v>
      </c>
    </row>
    <row r="423" spans="1:22" s="257" customFormat="1" ht="15.05" customHeight="1">
      <c r="A423" s="1886"/>
      <c r="B423" s="1886"/>
      <c r="C423" s="1886"/>
      <c r="D423" s="1886"/>
      <c r="E423" s="1886"/>
      <c r="F423" s="2214"/>
      <c r="G423" s="2727" t="s">
        <v>50</v>
      </c>
      <c r="H423" s="2852" t="str">
        <f>MAR!I443</f>
        <v>Penambahan DAU Akibat Penundaan</v>
      </c>
      <c r="I423" s="856"/>
      <c r="J423" s="3238"/>
      <c r="K423" s="3173"/>
      <c r="L423" s="3174">
        <v>80949597710</v>
      </c>
      <c r="M423" s="3175">
        <v>0</v>
      </c>
      <c r="N423" s="3174">
        <v>0</v>
      </c>
      <c r="O423" s="3174">
        <v>0</v>
      </c>
      <c r="P423" s="3174">
        <v>0</v>
      </c>
      <c r="Q423" s="3174">
        <f t="shared" si="78"/>
        <v>-80949597710</v>
      </c>
      <c r="R423" s="3612">
        <f>+P423/L423*100-100</f>
        <v>-100</v>
      </c>
      <c r="S423" s="3709"/>
      <c r="T423" s="3828"/>
      <c r="U423" s="1899"/>
      <c r="V423" s="1846">
        <f t="shared" si="80"/>
        <v>0</v>
      </c>
    </row>
    <row r="424" spans="1:22" s="257" customFormat="1" ht="15.05" customHeight="1">
      <c r="A424" s="1886"/>
      <c r="B424" s="1886"/>
      <c r="C424" s="1886"/>
      <c r="D424" s="1886"/>
      <c r="E424" s="1886"/>
      <c r="F424" s="2356"/>
      <c r="G424" s="856"/>
      <c r="H424" s="2858"/>
      <c r="I424" s="856"/>
      <c r="J424" s="3238"/>
      <c r="K424" s="3173"/>
      <c r="L424" s="3174"/>
      <c r="M424" s="3175"/>
      <c r="N424" s="3174"/>
      <c r="O424" s="3174"/>
      <c r="P424" s="3174"/>
      <c r="Q424" s="3174"/>
      <c r="R424" s="3612"/>
      <c r="S424" s="3712"/>
      <c r="T424" s="3831"/>
      <c r="U424" s="1899"/>
      <c r="V424" s="1846">
        <f t="shared" si="80"/>
        <v>0</v>
      </c>
    </row>
    <row r="425" spans="1:22" s="2917" customFormat="1" ht="15.05" customHeight="1">
      <c r="A425" s="3100" t="s">
        <v>443</v>
      </c>
      <c r="B425" s="3101" t="s">
        <v>460</v>
      </c>
      <c r="C425" s="3101" t="s">
        <v>457</v>
      </c>
      <c r="D425" s="3101"/>
      <c r="E425" s="3101"/>
      <c r="F425" s="3102" t="str">
        <f>MAR!H445</f>
        <v>DANA ALOKASI KHUSUS</v>
      </c>
      <c r="G425" s="3103"/>
      <c r="H425" s="3104"/>
      <c r="I425" s="3103"/>
      <c r="J425" s="3292">
        <f>J426</f>
        <v>1129857085000</v>
      </c>
      <c r="K425" s="3292">
        <f>K426</f>
        <v>1094456229356</v>
      </c>
      <c r="L425" s="3292">
        <f>L426</f>
        <v>1372422968000</v>
      </c>
      <c r="M425" s="3293">
        <v>171755600000</v>
      </c>
      <c r="N425" s="3292">
        <f>N426</f>
        <v>65166318000</v>
      </c>
      <c r="O425" s="3292">
        <f>O426</f>
        <v>236921918000</v>
      </c>
      <c r="P425" s="3292">
        <f>P426</f>
        <v>1372422272000</v>
      </c>
      <c r="Q425" s="3292">
        <f t="shared" ref="Q425:Q432" si="81">+P425-L425</f>
        <v>-696000</v>
      </c>
      <c r="R425" s="3638">
        <f t="shared" ref="R425:R432" si="82">+P425/L425*100-100</f>
        <v>-5.0713228802123922E-5</v>
      </c>
      <c r="S425" s="3730"/>
      <c r="T425" s="3837"/>
      <c r="U425" s="3105"/>
      <c r="V425" s="2904">
        <f t="shared" si="80"/>
        <v>947687672000</v>
      </c>
    </row>
    <row r="426" spans="1:22" s="1318" customFormat="1" ht="15.05" customHeight="1">
      <c r="A426" s="1725"/>
      <c r="B426" s="1725"/>
      <c r="C426" s="1725"/>
      <c r="D426" s="1725"/>
      <c r="E426" s="1725"/>
      <c r="F426" s="3089"/>
      <c r="G426" s="2744" t="str">
        <f>MAR!H446</f>
        <v>Dana Alokasi Khusus</v>
      </c>
      <c r="H426" s="3098"/>
      <c r="J426" s="3296">
        <f>J427+J435</f>
        <v>1129857085000</v>
      </c>
      <c r="K426" s="3296">
        <f>K427+K435</f>
        <v>1094456229356</v>
      </c>
      <c r="L426" s="3296">
        <f>L427+L435</f>
        <v>1372422968000</v>
      </c>
      <c r="M426" s="3297">
        <v>171755600000</v>
      </c>
      <c r="N426" s="3296">
        <f>N427+N435</f>
        <v>65166318000</v>
      </c>
      <c r="O426" s="3296">
        <f>O427+O435</f>
        <v>236921918000</v>
      </c>
      <c r="P426" s="3296">
        <f>P427+P435</f>
        <v>1372422272000</v>
      </c>
      <c r="Q426" s="3296">
        <f t="shared" si="81"/>
        <v>-696000</v>
      </c>
      <c r="R426" s="3607">
        <f t="shared" si="82"/>
        <v>-5.0713228802123922E-5</v>
      </c>
      <c r="S426" s="3706"/>
      <c r="T426" s="3824"/>
      <c r="U426" s="3099"/>
      <c r="V426" s="1846">
        <f t="shared" si="80"/>
        <v>947687672000</v>
      </c>
    </row>
    <row r="427" spans="1:22" s="1318" customFormat="1" ht="15.05" customHeight="1">
      <c r="A427" s="1902"/>
      <c r="B427" s="1902"/>
      <c r="C427" s="1902"/>
      <c r="D427" s="1902"/>
      <c r="E427" s="1902"/>
      <c r="F427" s="1856"/>
      <c r="G427" s="202"/>
      <c r="H427" s="2854" t="str">
        <f>MAR!I447</f>
        <v>DAK Murni Non Fisik</v>
      </c>
      <c r="I427" s="2322"/>
      <c r="J427" s="3289">
        <f>SUM(J428:J434)</f>
        <v>625147065000</v>
      </c>
      <c r="K427" s="3289">
        <f>SUM(K428:K434)</f>
        <v>840054801000</v>
      </c>
      <c r="L427" s="3289">
        <f>SUM(L428:L434)</f>
        <v>1074923968000</v>
      </c>
      <c r="M427" s="3290">
        <v>171755600000</v>
      </c>
      <c r="N427" s="3289">
        <f>SUM(N428:N432)</f>
        <v>65166318000</v>
      </c>
      <c r="O427" s="3289">
        <f>SUM(O428:O432)</f>
        <v>236921918000</v>
      </c>
      <c r="P427" s="3289">
        <v>1074923968000</v>
      </c>
      <c r="Q427" s="3289">
        <f t="shared" si="81"/>
        <v>0</v>
      </c>
      <c r="R427" s="3606">
        <f t="shared" si="82"/>
        <v>0</v>
      </c>
      <c r="S427" s="3711"/>
      <c r="T427" s="3830"/>
      <c r="U427" s="1936"/>
      <c r="V427" s="1846">
        <f t="shared" si="80"/>
        <v>947687672000</v>
      </c>
    </row>
    <row r="428" spans="1:22" s="257" customFormat="1" ht="15.05" customHeight="1">
      <c r="A428" s="1886"/>
      <c r="B428" s="1886"/>
      <c r="C428" s="1886"/>
      <c r="D428" s="1886"/>
      <c r="E428" s="1886"/>
      <c r="F428" s="2214"/>
      <c r="G428" s="200"/>
      <c r="H428" s="2852" t="str">
        <f>MAR!I448</f>
        <v>- BOS</v>
      </c>
      <c r="I428" s="856"/>
      <c r="J428" s="3238">
        <v>619824550000</v>
      </c>
      <c r="K428" s="3173">
        <v>826042895000</v>
      </c>
      <c r="L428" s="3174">
        <v>858778000000</v>
      </c>
      <c r="M428" s="3175">
        <v>171755600000</v>
      </c>
      <c r="N428" s="3174">
        <v>0</v>
      </c>
      <c r="O428" s="3174">
        <v>171755600000</v>
      </c>
      <c r="P428" s="3174">
        <v>858778000000</v>
      </c>
      <c r="Q428" s="3174">
        <f t="shared" si="81"/>
        <v>0</v>
      </c>
      <c r="R428" s="3612">
        <f t="shared" si="82"/>
        <v>0</v>
      </c>
      <c r="S428" s="3709"/>
      <c r="T428" s="3828"/>
      <c r="U428" s="1899"/>
      <c r="V428" s="1846">
        <f t="shared" si="80"/>
        <v>687022400000</v>
      </c>
    </row>
    <row r="429" spans="1:22" s="257" customFormat="1" ht="15.05" customHeight="1">
      <c r="A429" s="1886"/>
      <c r="B429" s="1886"/>
      <c r="C429" s="1886"/>
      <c r="D429" s="1886"/>
      <c r="E429" s="1886"/>
      <c r="F429" s="2214"/>
      <c r="G429" s="200"/>
      <c r="H429" s="2852" t="str">
        <f>MAR!I449</f>
        <v>- Tunjangan Profesi Guru</v>
      </c>
      <c r="I429" s="856"/>
      <c r="J429" s="3238"/>
      <c r="K429" s="3173"/>
      <c r="L429" s="3174">
        <v>207376785000</v>
      </c>
      <c r="M429" s="3175">
        <v>0</v>
      </c>
      <c r="N429" s="3174">
        <v>62213035000</v>
      </c>
      <c r="O429" s="3174">
        <v>62213035000</v>
      </c>
      <c r="P429" s="3174">
        <v>207376785000</v>
      </c>
      <c r="Q429" s="3174">
        <f t="shared" si="81"/>
        <v>0</v>
      </c>
      <c r="R429" s="3612">
        <f t="shared" si="82"/>
        <v>0</v>
      </c>
      <c r="S429" s="3709"/>
      <c r="T429" s="3828"/>
      <c r="U429" s="1899"/>
      <c r="V429" s="1846">
        <f t="shared" si="80"/>
        <v>248852140000</v>
      </c>
    </row>
    <row r="430" spans="1:22" s="257" customFormat="1" ht="15.05" customHeight="1">
      <c r="A430" s="1886"/>
      <c r="B430" s="1886"/>
      <c r="C430" s="1886"/>
      <c r="D430" s="1886"/>
      <c r="E430" s="1886"/>
      <c r="F430" s="2214"/>
      <c r="G430" s="200"/>
      <c r="H430" s="2852" t="str">
        <f>MAR!I450</f>
        <v>- Tambahan Penghasilan</v>
      </c>
      <c r="I430" s="856"/>
      <c r="J430" s="3238"/>
      <c r="K430" s="3173"/>
      <c r="L430" s="3174">
        <v>4737000000</v>
      </c>
      <c r="M430" s="3175">
        <v>0</v>
      </c>
      <c r="N430" s="3174">
        <v>1421100000</v>
      </c>
      <c r="O430" s="3174">
        <v>1421100000</v>
      </c>
      <c r="P430" s="3174">
        <v>4737000000</v>
      </c>
      <c r="Q430" s="3174">
        <f t="shared" si="81"/>
        <v>0</v>
      </c>
      <c r="R430" s="3612">
        <f t="shared" si="82"/>
        <v>0</v>
      </c>
      <c r="S430" s="3709"/>
      <c r="T430" s="3828"/>
      <c r="U430" s="1899"/>
      <c r="V430" s="1846">
        <f t="shared" si="80"/>
        <v>5684400000</v>
      </c>
    </row>
    <row r="431" spans="1:22" s="257" customFormat="1" ht="15.05" customHeight="1">
      <c r="A431" s="1886"/>
      <c r="B431" s="1886"/>
      <c r="C431" s="1886"/>
      <c r="D431" s="1886"/>
      <c r="E431" s="1886"/>
      <c r="F431" s="2214"/>
      <c r="G431" s="200"/>
      <c r="H431" s="2852" t="str">
        <f>MAR!I451</f>
        <v>- Koperasi UKM</v>
      </c>
      <c r="I431" s="856"/>
      <c r="J431" s="3238">
        <v>2500000000</v>
      </c>
      <c r="K431" s="3173">
        <v>5000000000</v>
      </c>
      <c r="L431" s="3174">
        <v>2500000000</v>
      </c>
      <c r="M431" s="3175">
        <v>0</v>
      </c>
      <c r="N431" s="3174">
        <v>1532183000</v>
      </c>
      <c r="O431" s="3174">
        <v>1532183000</v>
      </c>
      <c r="P431" s="3174">
        <v>2500000000</v>
      </c>
      <c r="Q431" s="3174">
        <f t="shared" si="81"/>
        <v>0</v>
      </c>
      <c r="R431" s="3612">
        <f t="shared" si="82"/>
        <v>0</v>
      </c>
      <c r="S431" s="3709"/>
      <c r="T431" s="3828"/>
      <c r="U431" s="1899"/>
      <c r="V431" s="1846">
        <f t="shared" si="80"/>
        <v>6128732000</v>
      </c>
    </row>
    <row r="432" spans="1:22" s="257" customFormat="1" ht="15.05" customHeight="1">
      <c r="A432" s="1886"/>
      <c r="B432" s="1886"/>
      <c r="C432" s="1886"/>
      <c r="D432" s="1886"/>
      <c r="E432" s="1886"/>
      <c r="F432" s="2214"/>
      <c r="G432" s="200"/>
      <c r="H432" s="2852" t="str">
        <f>MAR!I452</f>
        <v>- Dinas Sosial Kependudukan</v>
      </c>
      <c r="I432" s="856"/>
      <c r="J432" s="3238">
        <v>0</v>
      </c>
      <c r="K432" s="3173">
        <v>4151773000</v>
      </c>
      <c r="L432" s="3174">
        <v>1532183000</v>
      </c>
      <c r="M432" s="3175">
        <v>0</v>
      </c>
      <c r="N432" s="3174">
        <v>0</v>
      </c>
      <c r="O432" s="3174">
        <v>0</v>
      </c>
      <c r="P432" s="3174">
        <v>1532183000</v>
      </c>
      <c r="Q432" s="3174">
        <f t="shared" si="81"/>
        <v>0</v>
      </c>
      <c r="R432" s="3612">
        <f t="shared" si="82"/>
        <v>0</v>
      </c>
      <c r="S432" s="3709"/>
      <c r="T432" s="3828"/>
      <c r="U432" s="1899"/>
      <c r="V432" s="1846">
        <f t="shared" si="80"/>
        <v>0</v>
      </c>
    </row>
    <row r="433" spans="1:22" s="257" customFormat="1" ht="15.05" customHeight="1">
      <c r="A433" s="1886"/>
      <c r="B433" s="1886"/>
      <c r="C433" s="1886"/>
      <c r="D433" s="1886"/>
      <c r="E433" s="1886"/>
      <c r="F433" s="2214"/>
      <c r="G433" s="200"/>
      <c r="H433" s="2855" t="s">
        <v>610</v>
      </c>
      <c r="I433" s="856"/>
      <c r="J433" s="3238">
        <v>708360000</v>
      </c>
      <c r="K433" s="3173">
        <v>708360000</v>
      </c>
      <c r="L433" s="3174"/>
      <c r="M433" s="3175"/>
      <c r="N433" s="3174"/>
      <c r="O433" s="3182">
        <f>L461+L462</f>
        <v>51419400</v>
      </c>
      <c r="P433" s="3174"/>
      <c r="Q433" s="3174"/>
      <c r="R433" s="3612"/>
      <c r="S433" s="3709"/>
      <c r="T433" s="3828"/>
      <c r="U433" s="1899"/>
      <c r="V433" s="1846"/>
    </row>
    <row r="434" spans="1:22" s="257" customFormat="1" ht="15.05" customHeight="1">
      <c r="A434" s="1886"/>
      <c r="B434" s="1886"/>
      <c r="C434" s="1886"/>
      <c r="D434" s="1886"/>
      <c r="E434" s="1886"/>
      <c r="F434" s="2214"/>
      <c r="G434" s="200"/>
      <c r="H434" s="2855" t="s">
        <v>611</v>
      </c>
      <c r="I434" s="856"/>
      <c r="J434" s="3238">
        <v>2114155000</v>
      </c>
      <c r="K434" s="3173">
        <v>4151773000</v>
      </c>
      <c r="L434" s="3174"/>
      <c r="M434" s="3175"/>
      <c r="N434" s="3174"/>
      <c r="O434" s="3174"/>
      <c r="P434" s="3174"/>
      <c r="Q434" s="3174"/>
      <c r="R434" s="3612"/>
      <c r="S434" s="3709"/>
      <c r="T434" s="3828"/>
      <c r="U434" s="1899"/>
      <c r="V434" s="1846"/>
    </row>
    <row r="435" spans="1:22" s="1318" customFormat="1" ht="15.05" customHeight="1">
      <c r="A435" s="1902"/>
      <c r="B435" s="1902"/>
      <c r="C435" s="1902"/>
      <c r="D435" s="1902"/>
      <c r="E435" s="1902"/>
      <c r="F435" s="1856"/>
      <c r="G435" s="202"/>
      <c r="H435" s="2854" t="str">
        <f>MAR!I453</f>
        <v>DAK Fisik</v>
      </c>
      <c r="I435" s="2322"/>
      <c r="J435" s="3272">
        <f>504710020000</f>
        <v>504710020000</v>
      </c>
      <c r="K435" s="3142">
        <f>10319496286+1625920000+1450931000+28095350000+184689298167+18179605000+10040827903</f>
        <v>254401428356</v>
      </c>
      <c r="L435" s="3174">
        <f>MAR!J453</f>
        <v>297499000000</v>
      </c>
      <c r="M435" s="3175">
        <v>0</v>
      </c>
      <c r="N435" s="3174">
        <f>MAR!L453</f>
        <v>0</v>
      </c>
      <c r="O435" s="3174">
        <f>MAR!M453</f>
        <v>0</v>
      </c>
      <c r="P435" s="3174">
        <v>297498304000</v>
      </c>
      <c r="Q435" s="3174">
        <f>+P435-L435</f>
        <v>-696000</v>
      </c>
      <c r="R435" s="3612">
        <f>+P435/L435*100-100</f>
        <v>-2.3395036622275711E-4</v>
      </c>
      <c r="S435" s="3709"/>
      <c r="T435" s="3828"/>
      <c r="U435" s="1936"/>
      <c r="V435" s="1846">
        <f>O435*4</f>
        <v>0</v>
      </c>
    </row>
    <row r="436" spans="1:22" s="1318" customFormat="1" ht="15.05" hidden="1" customHeight="1">
      <c r="A436" s="1902"/>
      <c r="B436" s="1902"/>
      <c r="C436" s="1902"/>
      <c r="D436" s="1902"/>
      <c r="E436" s="1902"/>
      <c r="F436" s="2856"/>
      <c r="G436" s="2322"/>
      <c r="H436" s="2857"/>
      <c r="I436" s="2322"/>
      <c r="J436" s="3272"/>
      <c r="K436" s="3142"/>
      <c r="L436" s="3174"/>
      <c r="M436" s="3175"/>
      <c r="N436" s="3174"/>
      <c r="O436" s="3174"/>
      <c r="P436" s="3174"/>
      <c r="Q436" s="3174"/>
      <c r="R436" s="3612"/>
      <c r="S436" s="3709"/>
      <c r="T436" s="3828"/>
      <c r="U436" s="1936"/>
      <c r="V436" s="1846"/>
    </row>
    <row r="437" spans="1:22" s="257" customFormat="1" ht="15.05" customHeight="1">
      <c r="A437" s="1886"/>
      <c r="B437" s="1886"/>
      <c r="C437" s="1886"/>
      <c r="D437" s="1886"/>
      <c r="E437" s="1886"/>
      <c r="F437" s="2356"/>
      <c r="G437" s="856"/>
      <c r="H437" s="2858"/>
      <c r="I437" s="856"/>
      <c r="J437" s="3238">
        <f>13870510900-J439</f>
        <v>0</v>
      </c>
      <c r="K437" s="3173">
        <f>13001891981.54-K439</f>
        <v>0</v>
      </c>
      <c r="L437" s="3174"/>
      <c r="M437" s="3175"/>
      <c r="N437" s="3174"/>
      <c r="O437" s="3174"/>
      <c r="P437" s="3174"/>
      <c r="Q437" s="3174"/>
      <c r="R437" s="3612"/>
      <c r="S437" s="3712"/>
      <c r="T437" s="3831"/>
      <c r="U437" s="1899"/>
      <c r="V437" s="1846">
        <f t="shared" ref="V437:V467" si="83">O437*4</f>
        <v>0</v>
      </c>
    </row>
    <row r="438" spans="1:22" s="2971" customFormat="1" ht="15.05" customHeight="1">
      <c r="A438" s="2966">
        <v>4</v>
      </c>
      <c r="B438" s="2966" t="s">
        <v>457</v>
      </c>
      <c r="C438" s="2966"/>
      <c r="D438" s="2966"/>
      <c r="E438" s="2966"/>
      <c r="F438" s="2967" t="s">
        <v>612</v>
      </c>
      <c r="G438" s="2968"/>
      <c r="H438" s="2969"/>
      <c r="I438" s="2969"/>
      <c r="J438" s="3299">
        <f t="shared" ref="J438:Q438" si="84">+J439+J573</f>
        <v>19284510900</v>
      </c>
      <c r="K438" s="3299">
        <f t="shared" si="84"/>
        <v>18001891981.540001</v>
      </c>
      <c r="L438" s="3299">
        <f t="shared" si="84"/>
        <v>67264821900</v>
      </c>
      <c r="M438" s="3299">
        <f t="shared" si="84"/>
        <v>804203846.99000001</v>
      </c>
      <c r="N438" s="3299">
        <f t="shared" si="84"/>
        <v>27120019500</v>
      </c>
      <c r="O438" s="3299">
        <f t="shared" si="84"/>
        <v>46044223346.990005</v>
      </c>
      <c r="P438" s="3299">
        <f t="shared" si="84"/>
        <v>85598457900</v>
      </c>
      <c r="Q438" s="3299">
        <f t="shared" si="84"/>
        <v>18333636000</v>
      </c>
      <c r="R438" s="3439">
        <f>+P438/L438*100-100</f>
        <v>27.255905066181413</v>
      </c>
      <c r="S438" s="3754"/>
      <c r="T438" s="3855"/>
      <c r="U438" s="3809"/>
      <c r="V438" s="2964">
        <f t="shared" si="83"/>
        <v>184176893387.96002</v>
      </c>
    </row>
    <row r="439" spans="1:22" s="3119" customFormat="1" ht="15.05" customHeight="1">
      <c r="A439" s="3116">
        <v>4</v>
      </c>
      <c r="B439" s="3093" t="s">
        <v>457</v>
      </c>
      <c r="C439" s="3093" t="s">
        <v>58</v>
      </c>
      <c r="D439" s="3093"/>
      <c r="E439" s="3093"/>
      <c r="F439" s="3094" t="s">
        <v>613</v>
      </c>
      <c r="G439" s="3095"/>
      <c r="H439" s="3096"/>
      <c r="I439" s="3097"/>
      <c r="J439" s="3300">
        <f>J440+J441</f>
        <v>13870510900</v>
      </c>
      <c r="K439" s="3300">
        <f t="shared" ref="K439:P439" si="85">K440+K441</f>
        <v>13001891981.540001</v>
      </c>
      <c r="L439" s="3300">
        <f>L440+L441</f>
        <v>13870510900</v>
      </c>
      <c r="M439" s="3300">
        <f t="shared" si="85"/>
        <v>804203846.99000001</v>
      </c>
      <c r="N439" s="3300">
        <f t="shared" si="85"/>
        <v>422864500</v>
      </c>
      <c r="O439" s="3300">
        <f t="shared" si="85"/>
        <v>19347068346.990002</v>
      </c>
      <c r="P439" s="3300">
        <f t="shared" si="85"/>
        <v>32204146900</v>
      </c>
      <c r="Q439" s="3294">
        <f t="shared" ref="Q439:Q467" si="86">+P439-L439</f>
        <v>18333636000</v>
      </c>
      <c r="R439" s="3638">
        <f>+P439/L439*100-100</f>
        <v>132.17707791859348</v>
      </c>
      <c r="S439" s="3730"/>
      <c r="T439" s="3837"/>
      <c r="U439" s="3117"/>
      <c r="V439" s="3118">
        <f t="shared" si="83"/>
        <v>77388273387.960007</v>
      </c>
    </row>
    <row r="440" spans="1:22" s="257" customFormat="1" ht="15.05" customHeight="1">
      <c r="A440" s="1889">
        <v>4</v>
      </c>
      <c r="B440" s="1889" t="s">
        <v>457</v>
      </c>
      <c r="C440" s="1889" t="s">
        <v>58</v>
      </c>
      <c r="D440" s="1889" t="s">
        <v>457</v>
      </c>
      <c r="E440" s="1905" t="s">
        <v>58</v>
      </c>
      <c r="F440" s="2827" t="s">
        <v>267</v>
      </c>
      <c r="G440" s="2828"/>
      <c r="H440" s="212"/>
      <c r="I440" s="2859"/>
      <c r="J440" s="3214"/>
      <c r="K440" s="3155"/>
      <c r="L440" s="3234">
        <v>0</v>
      </c>
      <c r="M440" s="3198"/>
      <c r="N440" s="3234"/>
      <c r="O440" s="3197"/>
      <c r="P440" s="3234">
        <f>MAR!N457</f>
        <v>0</v>
      </c>
      <c r="Q440" s="3197">
        <f t="shared" si="86"/>
        <v>0</v>
      </c>
      <c r="R440" s="3608">
        <v>0</v>
      </c>
      <c r="S440" s="3713"/>
      <c r="T440" s="3832"/>
      <c r="U440" s="1900"/>
      <c r="V440" s="1846">
        <f t="shared" si="83"/>
        <v>0</v>
      </c>
    </row>
    <row r="441" spans="1:22" s="2920" customFormat="1" ht="15.05" customHeight="1">
      <c r="A441" s="2985">
        <v>4</v>
      </c>
      <c r="B441" s="2985" t="s">
        <v>457</v>
      </c>
      <c r="C441" s="2985" t="s">
        <v>58</v>
      </c>
      <c r="D441" s="2985" t="s">
        <v>457</v>
      </c>
      <c r="E441" s="2985" t="s">
        <v>460</v>
      </c>
      <c r="F441" s="2986" t="s">
        <v>269</v>
      </c>
      <c r="G441" s="2987"/>
      <c r="H441" s="2988"/>
      <c r="I441" s="2989"/>
      <c r="J441" s="3199">
        <f t="shared" ref="J441:P441" si="87">J442+J460+J457+J463+J469+J474+J479+J496+J499+J502+J505+J508+J511+J514+J517+J520+J522+J525+J527+J529+J531+J533+J537+J539+J543+J545+J548+J550+J552+J554+J556+J558+J560+J562+J565+J567+J569+J571</f>
        <v>13870510900</v>
      </c>
      <c r="K441" s="3199">
        <f t="shared" si="87"/>
        <v>13001891981.540001</v>
      </c>
      <c r="L441" s="3199">
        <f t="shared" si="87"/>
        <v>13870510900</v>
      </c>
      <c r="M441" s="3199">
        <f t="shared" si="87"/>
        <v>804203846.99000001</v>
      </c>
      <c r="N441" s="3199">
        <f t="shared" si="87"/>
        <v>422864500</v>
      </c>
      <c r="O441" s="3199">
        <f t="shared" si="87"/>
        <v>19347068346.990002</v>
      </c>
      <c r="P441" s="3199">
        <f t="shared" si="87"/>
        <v>32204146900</v>
      </c>
      <c r="Q441" s="3199">
        <f t="shared" si="86"/>
        <v>18333636000</v>
      </c>
      <c r="R441" s="3608">
        <f>+P441/L441*100-100</f>
        <v>132.17707791859348</v>
      </c>
      <c r="S441" s="3713"/>
      <c r="T441" s="3832"/>
      <c r="U441" s="3120"/>
      <c r="V441" s="2923">
        <f t="shared" si="83"/>
        <v>77388273387.960007</v>
      </c>
    </row>
    <row r="442" spans="1:22" s="3896" customFormat="1" ht="15.05" customHeight="1">
      <c r="A442" s="3924"/>
      <c r="B442" s="3924"/>
      <c r="C442" s="3924"/>
      <c r="D442" s="3924"/>
      <c r="E442" s="3924"/>
      <c r="F442" s="2865" t="s">
        <v>614</v>
      </c>
      <c r="G442" s="4284"/>
      <c r="H442" s="4285"/>
      <c r="I442" s="4285"/>
      <c r="J442" s="4347">
        <f>+J443</f>
        <v>4625000</v>
      </c>
      <c r="K442" s="4384">
        <v>0</v>
      </c>
      <c r="L442" s="4288">
        <f>SUM(L443:L444)</f>
        <v>4625000</v>
      </c>
      <c r="M442" s="4289">
        <v>0</v>
      </c>
      <c r="N442" s="4288">
        <f>SUM(N443:N444)</f>
        <v>0</v>
      </c>
      <c r="O442" s="4288">
        <f>N442+M442</f>
        <v>0</v>
      </c>
      <c r="P442" s="4288">
        <v>4625000</v>
      </c>
      <c r="Q442" s="4288">
        <f t="shared" si="86"/>
        <v>0</v>
      </c>
      <c r="R442" s="4290">
        <f>+P442/L442*100-100</f>
        <v>0</v>
      </c>
      <c r="S442" s="4356"/>
      <c r="T442" s="4357"/>
      <c r="U442" s="4282"/>
      <c r="V442" s="3925">
        <f t="shared" si="83"/>
        <v>0</v>
      </c>
    </row>
    <row r="443" spans="1:22" s="3896" customFormat="1" ht="15.05" customHeight="1">
      <c r="A443" s="3924"/>
      <c r="B443" s="3924"/>
      <c r="C443" s="3924"/>
      <c r="D443" s="3924"/>
      <c r="E443" s="3924"/>
      <c r="F443" s="4388" t="s">
        <v>50</v>
      </c>
      <c r="G443" s="2826"/>
      <c r="H443" s="3917" t="s">
        <v>615</v>
      </c>
      <c r="I443" s="3917"/>
      <c r="J443" s="3993">
        <v>4625000</v>
      </c>
      <c r="K443" s="4494">
        <v>0</v>
      </c>
      <c r="L443" s="3919">
        <v>4625000</v>
      </c>
      <c r="M443" s="3265">
        <v>0</v>
      </c>
      <c r="N443" s="3919">
        <v>0</v>
      </c>
      <c r="O443" s="3919">
        <v>0</v>
      </c>
      <c r="P443" s="3919">
        <v>4625000</v>
      </c>
      <c r="Q443" s="3919">
        <f t="shared" si="86"/>
        <v>0</v>
      </c>
      <c r="R443" s="3920">
        <f>+P443/L443*100-100</f>
        <v>0</v>
      </c>
      <c r="S443" s="4335"/>
      <c r="T443" s="3922"/>
      <c r="U443" s="4353">
        <f>PerDinas!Q637</f>
        <v>0</v>
      </c>
      <c r="V443" s="3925">
        <f t="shared" si="83"/>
        <v>0</v>
      </c>
    </row>
    <row r="444" spans="1:22" s="257" customFormat="1" ht="15.05" customHeight="1">
      <c r="A444" s="1855"/>
      <c r="B444" s="1855"/>
      <c r="C444" s="1855"/>
      <c r="D444" s="1855"/>
      <c r="E444" s="1855"/>
      <c r="F444" s="1857" t="s">
        <v>50</v>
      </c>
      <c r="G444" s="1858"/>
      <c r="H444" s="200" t="s">
        <v>85</v>
      </c>
      <c r="I444" s="200"/>
      <c r="J444" s="3482" t="s">
        <v>700</v>
      </c>
      <c r="K444" s="3302"/>
      <c r="L444" s="3125">
        <f>MAR!J485</f>
        <v>0</v>
      </c>
      <c r="M444" s="3124">
        <v>0</v>
      </c>
      <c r="N444" s="3125">
        <f>MAR!L485</f>
        <v>0</v>
      </c>
      <c r="O444" s="3125">
        <f>MAR!M485</f>
        <v>0</v>
      </c>
      <c r="P444" s="3125">
        <v>0</v>
      </c>
      <c r="Q444" s="3125">
        <f t="shared" si="86"/>
        <v>0</v>
      </c>
      <c r="R444" s="3605">
        <v>0</v>
      </c>
      <c r="S444" s="3748"/>
      <c r="T444" s="3826"/>
      <c r="U444" s="3778">
        <f>PerDinas!Q638</f>
        <v>0</v>
      </c>
      <c r="V444" s="1846">
        <f t="shared" si="83"/>
        <v>0</v>
      </c>
    </row>
    <row r="445" spans="1:22" s="257" customFormat="1" ht="15.05" hidden="1" customHeight="1">
      <c r="A445" s="1855"/>
      <c r="B445" s="1855"/>
      <c r="C445" s="1855"/>
      <c r="D445" s="1855"/>
      <c r="E445" s="1855"/>
      <c r="F445" s="1464" t="s">
        <v>616</v>
      </c>
      <c r="G445" s="1860"/>
      <c r="H445" s="202"/>
      <c r="I445" s="202"/>
      <c r="J445" s="3259"/>
      <c r="K445" s="3302"/>
      <c r="L445" s="3182">
        <f>L446+L447</f>
        <v>0</v>
      </c>
      <c r="M445" s="3183">
        <v>0</v>
      </c>
      <c r="N445" s="3182">
        <f>N446+N447</f>
        <v>0</v>
      </c>
      <c r="O445" s="3182">
        <f>N445+M445</f>
        <v>0</v>
      </c>
      <c r="P445" s="3182">
        <v>0</v>
      </c>
      <c r="Q445" s="3182">
        <f t="shared" si="86"/>
        <v>0</v>
      </c>
      <c r="R445" s="3601" t="e">
        <f t="shared" ref="R445:R461" si="88">+P445/L445*100-100</f>
        <v>#DIV/0!</v>
      </c>
      <c r="S445" s="3710"/>
      <c r="T445" s="3829"/>
      <c r="U445" s="3777"/>
      <c r="V445" s="1846">
        <f t="shared" si="83"/>
        <v>0</v>
      </c>
    </row>
    <row r="446" spans="1:22" s="257" customFormat="1" ht="15.05" hidden="1" customHeight="1">
      <c r="A446" s="1855"/>
      <c r="B446" s="1855"/>
      <c r="C446" s="1855"/>
      <c r="D446" s="1855"/>
      <c r="E446" s="1855"/>
      <c r="F446" s="1857" t="s">
        <v>50</v>
      </c>
      <c r="G446" s="1858"/>
      <c r="H446" s="200" t="s">
        <v>85</v>
      </c>
      <c r="I446" s="200"/>
      <c r="J446" s="3215"/>
      <c r="K446" s="3302"/>
      <c r="L446" s="3125">
        <f>MAR!J127</f>
        <v>0</v>
      </c>
      <c r="M446" s="3124">
        <v>0</v>
      </c>
      <c r="N446" s="3125">
        <f>MAR!L127</f>
        <v>0</v>
      </c>
      <c r="O446" s="3125">
        <f>MAR!M127</f>
        <v>0</v>
      </c>
      <c r="P446" s="3125">
        <v>0</v>
      </c>
      <c r="Q446" s="3125">
        <f t="shared" si="86"/>
        <v>0</v>
      </c>
      <c r="R446" s="3605" t="e">
        <f t="shared" si="88"/>
        <v>#DIV/0!</v>
      </c>
      <c r="S446" s="3748"/>
      <c r="T446" s="3826"/>
      <c r="U446" s="3778">
        <f>PerDinas!Q583</f>
        <v>0</v>
      </c>
      <c r="V446" s="1846">
        <f t="shared" si="83"/>
        <v>0</v>
      </c>
    </row>
    <row r="447" spans="1:22" s="257" customFormat="1" ht="15.05" hidden="1" customHeight="1">
      <c r="A447" s="1855"/>
      <c r="B447" s="1855"/>
      <c r="C447" s="1855"/>
      <c r="D447" s="1855"/>
      <c r="E447" s="1855"/>
      <c r="F447" s="1857"/>
      <c r="G447" s="1858"/>
      <c r="H447" s="200"/>
      <c r="I447" s="200"/>
      <c r="J447" s="3215"/>
      <c r="K447" s="3302"/>
      <c r="L447" s="3125"/>
      <c r="M447" s="3124"/>
      <c r="N447" s="3125"/>
      <c r="O447" s="3125"/>
      <c r="P447" s="3125"/>
      <c r="Q447" s="3125">
        <f t="shared" si="86"/>
        <v>0</v>
      </c>
      <c r="R447" s="3605" t="e">
        <f t="shared" si="88"/>
        <v>#DIV/0!</v>
      </c>
      <c r="S447" s="3275"/>
      <c r="T447" s="3826"/>
      <c r="U447" s="3771"/>
      <c r="V447" s="1846">
        <f t="shared" si="83"/>
        <v>0</v>
      </c>
    </row>
    <row r="448" spans="1:22" s="257" customFormat="1" ht="15.05" hidden="1" customHeight="1">
      <c r="A448" s="1855"/>
      <c r="B448" s="1855"/>
      <c r="C448" s="1855"/>
      <c r="D448" s="1855"/>
      <c r="E448" s="1855"/>
      <c r="F448" s="1464" t="s">
        <v>617</v>
      </c>
      <c r="G448" s="1860"/>
      <c r="H448" s="202"/>
      <c r="I448" s="202"/>
      <c r="J448" s="3259"/>
      <c r="K448" s="3302"/>
      <c r="L448" s="3182">
        <f>L449</f>
        <v>0</v>
      </c>
      <c r="M448" s="3183">
        <v>0</v>
      </c>
      <c r="N448" s="3182">
        <f>N449</f>
        <v>0</v>
      </c>
      <c r="O448" s="3182">
        <f>N448+M448</f>
        <v>0</v>
      </c>
      <c r="P448" s="3182">
        <v>0</v>
      </c>
      <c r="Q448" s="3182">
        <f t="shared" si="86"/>
        <v>0</v>
      </c>
      <c r="R448" s="3601" t="e">
        <f t="shared" si="88"/>
        <v>#DIV/0!</v>
      </c>
      <c r="S448" s="3710"/>
      <c r="T448" s="3829"/>
      <c r="U448" s="3777"/>
      <c r="V448" s="1846">
        <f t="shared" si="83"/>
        <v>0</v>
      </c>
    </row>
    <row r="449" spans="1:22" s="257" customFormat="1" ht="15.05" hidden="1" customHeight="1">
      <c r="A449" s="1855"/>
      <c r="B449" s="1855"/>
      <c r="C449" s="1855"/>
      <c r="D449" s="1855"/>
      <c r="E449" s="1855"/>
      <c r="F449" s="1857" t="s">
        <v>50</v>
      </c>
      <c r="G449" s="1858"/>
      <c r="H449" s="200" t="s">
        <v>85</v>
      </c>
      <c r="I449" s="200"/>
      <c r="J449" s="3215"/>
      <c r="K449" s="3302"/>
      <c r="L449" s="3125">
        <f>MAR!J114</f>
        <v>0</v>
      </c>
      <c r="M449" s="3124">
        <v>0</v>
      </c>
      <c r="N449" s="3125">
        <f>MAR!L114</f>
        <v>0</v>
      </c>
      <c r="O449" s="3125">
        <f>MAR!M114</f>
        <v>0</v>
      </c>
      <c r="P449" s="3125">
        <v>0</v>
      </c>
      <c r="Q449" s="3125">
        <f t="shared" si="86"/>
        <v>0</v>
      </c>
      <c r="R449" s="3605" t="e">
        <f t="shared" si="88"/>
        <v>#DIV/0!</v>
      </c>
      <c r="S449" s="3275"/>
      <c r="T449" s="3826"/>
      <c r="U449" s="3771"/>
      <c r="V449" s="1846">
        <f t="shared" si="83"/>
        <v>0</v>
      </c>
    </row>
    <row r="450" spans="1:22" s="257" customFormat="1" ht="15.05" hidden="1" customHeight="1">
      <c r="A450" s="1855"/>
      <c r="B450" s="1855"/>
      <c r="C450" s="1855"/>
      <c r="D450" s="1855"/>
      <c r="E450" s="1855"/>
      <c r="F450" s="1857"/>
      <c r="G450" s="1858"/>
      <c r="H450" s="2860"/>
      <c r="I450" s="200"/>
      <c r="J450" s="3215"/>
      <c r="K450" s="3302"/>
      <c r="L450" s="3125"/>
      <c r="M450" s="3124"/>
      <c r="N450" s="3125"/>
      <c r="O450" s="3125"/>
      <c r="P450" s="3125"/>
      <c r="Q450" s="3125">
        <f t="shared" si="86"/>
        <v>0</v>
      </c>
      <c r="R450" s="3605" t="e">
        <f t="shared" si="88"/>
        <v>#DIV/0!</v>
      </c>
      <c r="S450" s="3275"/>
      <c r="T450" s="3826"/>
      <c r="U450" s="3771"/>
      <c r="V450" s="1846">
        <f t="shared" si="83"/>
        <v>0</v>
      </c>
    </row>
    <row r="451" spans="1:22" s="257" customFormat="1" ht="15.05" hidden="1" customHeight="1">
      <c r="A451" s="1855"/>
      <c r="B451" s="1855"/>
      <c r="C451" s="1855"/>
      <c r="D451" s="1855"/>
      <c r="E451" s="1855"/>
      <c r="F451" s="1464" t="s">
        <v>618</v>
      </c>
      <c r="G451" s="1860"/>
      <c r="H451" s="202"/>
      <c r="I451" s="202"/>
      <c r="J451" s="3259"/>
      <c r="K451" s="3302"/>
      <c r="L451" s="3182">
        <f>L452</f>
        <v>0</v>
      </c>
      <c r="M451" s="3183">
        <v>0</v>
      </c>
      <c r="N451" s="3182">
        <f>N452</f>
        <v>0</v>
      </c>
      <c r="O451" s="3182">
        <f>N451+M451</f>
        <v>0</v>
      </c>
      <c r="P451" s="3182">
        <v>0</v>
      </c>
      <c r="Q451" s="3182">
        <f t="shared" si="86"/>
        <v>0</v>
      </c>
      <c r="R451" s="3601" t="e">
        <f t="shared" si="88"/>
        <v>#DIV/0!</v>
      </c>
      <c r="S451" s="3710"/>
      <c r="T451" s="3829"/>
      <c r="U451" s="3777"/>
      <c r="V451" s="1846">
        <f t="shared" si="83"/>
        <v>0</v>
      </c>
    </row>
    <row r="452" spans="1:22" s="257" customFormat="1" ht="15.05" hidden="1" customHeight="1">
      <c r="A452" s="1855"/>
      <c r="B452" s="1855"/>
      <c r="C452" s="1855"/>
      <c r="D452" s="1855"/>
      <c r="E452" s="1855"/>
      <c r="F452" s="1857" t="s">
        <v>50</v>
      </c>
      <c r="G452" s="1858"/>
      <c r="H452" s="2860" t="s">
        <v>85</v>
      </c>
      <c r="I452" s="200"/>
      <c r="J452" s="3215"/>
      <c r="K452" s="3302"/>
      <c r="L452" s="3125">
        <f>MAR!J76</f>
        <v>0</v>
      </c>
      <c r="M452" s="3124">
        <v>0</v>
      </c>
      <c r="N452" s="3125">
        <f>MAR!L76</f>
        <v>0</v>
      </c>
      <c r="O452" s="3125">
        <f>MAR!M76</f>
        <v>0</v>
      </c>
      <c r="P452" s="3125">
        <v>0</v>
      </c>
      <c r="Q452" s="3125">
        <f t="shared" si="86"/>
        <v>0</v>
      </c>
      <c r="R452" s="3605" t="e">
        <f t="shared" si="88"/>
        <v>#DIV/0!</v>
      </c>
      <c r="S452" s="3748"/>
      <c r="T452" s="3826"/>
      <c r="U452" s="3778">
        <f>PerDinas!Q138</f>
        <v>0</v>
      </c>
      <c r="V452" s="1846">
        <f t="shared" si="83"/>
        <v>0</v>
      </c>
    </row>
    <row r="453" spans="1:22" s="257" customFormat="1" ht="15.05" hidden="1" customHeight="1">
      <c r="A453" s="1855"/>
      <c r="B453" s="1855"/>
      <c r="C453" s="1855"/>
      <c r="D453" s="1855"/>
      <c r="E453" s="1855"/>
      <c r="F453" s="1857"/>
      <c r="G453" s="1858"/>
      <c r="H453" s="2860"/>
      <c r="I453" s="200"/>
      <c r="J453" s="3215"/>
      <c r="K453" s="3302"/>
      <c r="L453" s="3125"/>
      <c r="M453" s="3124"/>
      <c r="N453" s="3125"/>
      <c r="O453" s="3125"/>
      <c r="P453" s="3125"/>
      <c r="Q453" s="3125">
        <f t="shared" si="86"/>
        <v>0</v>
      </c>
      <c r="R453" s="3605" t="e">
        <f t="shared" si="88"/>
        <v>#DIV/0!</v>
      </c>
      <c r="S453" s="3275"/>
      <c r="T453" s="3826"/>
      <c r="U453" s="3771"/>
      <c r="V453" s="1846">
        <f t="shared" si="83"/>
        <v>0</v>
      </c>
    </row>
    <row r="454" spans="1:22" s="257" customFormat="1" ht="15.05" hidden="1" customHeight="1">
      <c r="A454" s="1855"/>
      <c r="B454" s="1855"/>
      <c r="C454" s="1855"/>
      <c r="D454" s="1855"/>
      <c r="E454" s="1855"/>
      <c r="F454" s="1464" t="s">
        <v>619</v>
      </c>
      <c r="G454" s="1860"/>
      <c r="H454" s="202"/>
      <c r="I454" s="202"/>
      <c r="J454" s="3259"/>
      <c r="K454" s="3302"/>
      <c r="L454" s="3182">
        <f>L455</f>
        <v>0</v>
      </c>
      <c r="M454" s="3183">
        <v>0</v>
      </c>
      <c r="N454" s="3182">
        <f>N455</f>
        <v>0</v>
      </c>
      <c r="O454" s="3182">
        <f>O455</f>
        <v>0</v>
      </c>
      <c r="P454" s="3182">
        <v>0</v>
      </c>
      <c r="Q454" s="3182">
        <f t="shared" si="86"/>
        <v>0</v>
      </c>
      <c r="R454" s="3601" t="e">
        <f t="shared" si="88"/>
        <v>#DIV/0!</v>
      </c>
      <c r="S454" s="3731"/>
      <c r="T454" s="3829"/>
      <c r="U454" s="3781">
        <f>U455</f>
        <v>0</v>
      </c>
      <c r="V454" s="1846">
        <f t="shared" si="83"/>
        <v>0</v>
      </c>
    </row>
    <row r="455" spans="1:22" s="257" customFormat="1" ht="15.05" hidden="1" customHeight="1">
      <c r="A455" s="1855"/>
      <c r="B455" s="1855"/>
      <c r="C455" s="1855"/>
      <c r="D455" s="1855"/>
      <c r="E455" s="1855"/>
      <c r="F455" s="1857" t="s">
        <v>50</v>
      </c>
      <c r="G455" s="1858"/>
      <c r="H455" s="2860" t="s">
        <v>472</v>
      </c>
      <c r="I455" s="200"/>
      <c r="J455" s="3215"/>
      <c r="K455" s="3302"/>
      <c r="L455" s="3125">
        <f>MAR!J194</f>
        <v>0</v>
      </c>
      <c r="M455" s="3124">
        <v>0</v>
      </c>
      <c r="N455" s="3125">
        <f>MAR!L194</f>
        <v>0</v>
      </c>
      <c r="O455" s="3125">
        <f>MAR!M194</f>
        <v>0</v>
      </c>
      <c r="P455" s="3125">
        <v>0</v>
      </c>
      <c r="Q455" s="3125">
        <f t="shared" si="86"/>
        <v>0</v>
      </c>
      <c r="R455" s="3605" t="e">
        <f t="shared" si="88"/>
        <v>#DIV/0!</v>
      </c>
      <c r="S455" s="3748"/>
      <c r="T455" s="3826"/>
      <c r="U455" s="3778">
        <f>PerDinas!Q1090</f>
        <v>0</v>
      </c>
      <c r="V455" s="1846">
        <f t="shared" si="83"/>
        <v>0</v>
      </c>
    </row>
    <row r="456" spans="1:22" s="257" customFormat="1" ht="15.05" hidden="1" customHeight="1">
      <c r="A456" s="1855"/>
      <c r="B456" s="1855"/>
      <c r="C456" s="1855"/>
      <c r="D456" s="1855"/>
      <c r="E456" s="1855"/>
      <c r="F456" s="1857"/>
      <c r="G456" s="1858"/>
      <c r="H456" s="2860"/>
      <c r="I456" s="200"/>
      <c r="J456" s="3215"/>
      <c r="K456" s="3302"/>
      <c r="L456" s="3125"/>
      <c r="M456" s="3124"/>
      <c r="N456" s="3125"/>
      <c r="O456" s="3125"/>
      <c r="P456" s="3125"/>
      <c r="Q456" s="3125">
        <f t="shared" si="86"/>
        <v>0</v>
      </c>
      <c r="R456" s="3605" t="e">
        <f t="shared" si="88"/>
        <v>#DIV/0!</v>
      </c>
      <c r="S456" s="3275"/>
      <c r="T456" s="3826"/>
      <c r="U456" s="3771"/>
      <c r="V456" s="1846">
        <f t="shared" si="83"/>
        <v>0</v>
      </c>
    </row>
    <row r="457" spans="1:22" s="257" customFormat="1" ht="15.05" customHeight="1">
      <c r="A457" s="1855"/>
      <c r="B457" s="1855"/>
      <c r="C457" s="1855"/>
      <c r="D457" s="1855"/>
      <c r="E457" s="1855"/>
      <c r="F457" s="1464" t="s">
        <v>620</v>
      </c>
      <c r="G457" s="1860"/>
      <c r="H457" s="202"/>
      <c r="I457" s="202"/>
      <c r="J457" s="3259"/>
      <c r="K457" s="3476">
        <f>+K458</f>
        <v>20225025</v>
      </c>
      <c r="L457" s="3182">
        <f>L458+L459</f>
        <v>0</v>
      </c>
      <c r="M457" s="3183">
        <v>0</v>
      </c>
      <c r="N457" s="3182">
        <f>N458+N459</f>
        <v>0</v>
      </c>
      <c r="O457" s="3182">
        <f>N457+M457</f>
        <v>0</v>
      </c>
      <c r="P457" s="3182">
        <v>0</v>
      </c>
      <c r="Q457" s="3182">
        <f t="shared" si="86"/>
        <v>0</v>
      </c>
      <c r="R457" s="3601" t="e">
        <f t="shared" si="88"/>
        <v>#DIV/0!</v>
      </c>
      <c r="S457" s="3710"/>
      <c r="T457" s="3829"/>
      <c r="U457" s="3777"/>
      <c r="V457" s="1846">
        <f t="shared" si="83"/>
        <v>0</v>
      </c>
    </row>
    <row r="458" spans="1:22" s="257" customFormat="1" ht="15.05" customHeight="1">
      <c r="A458" s="1855"/>
      <c r="B458" s="1855"/>
      <c r="C458" s="1855"/>
      <c r="D458" s="1855"/>
      <c r="E458" s="1855"/>
      <c r="F458" s="1857" t="s">
        <v>50</v>
      </c>
      <c r="G458" s="1858"/>
      <c r="H458" s="200" t="s">
        <v>85</v>
      </c>
      <c r="I458" s="200"/>
      <c r="J458" s="3215"/>
      <c r="K458" s="3303">
        <v>20225025</v>
      </c>
      <c r="L458" s="3125">
        <v>0</v>
      </c>
      <c r="M458" s="3124">
        <v>0</v>
      </c>
      <c r="N458" s="3125">
        <v>0</v>
      </c>
      <c r="O458" s="3125">
        <v>0</v>
      </c>
      <c r="P458" s="3125">
        <v>0</v>
      </c>
      <c r="Q458" s="3125">
        <f t="shared" si="86"/>
        <v>0</v>
      </c>
      <c r="R458" s="3605" t="e">
        <f t="shared" si="88"/>
        <v>#DIV/0!</v>
      </c>
      <c r="S458" s="3748"/>
      <c r="T458" s="3826"/>
      <c r="U458" s="3778">
        <f>PerDinas!Q586</f>
        <v>0</v>
      </c>
      <c r="V458" s="1846">
        <f t="shared" si="83"/>
        <v>0</v>
      </c>
    </row>
    <row r="459" spans="1:22" s="257" customFormat="1" ht="15.05" hidden="1" customHeight="1">
      <c r="A459" s="1855"/>
      <c r="B459" s="1855"/>
      <c r="C459" s="1855"/>
      <c r="D459" s="1855"/>
      <c r="E459" s="1855"/>
      <c r="F459" s="1857"/>
      <c r="G459" s="1858"/>
      <c r="H459" s="200"/>
      <c r="I459" s="200"/>
      <c r="J459" s="3215"/>
      <c r="K459" s="3302"/>
      <c r="L459" s="3125"/>
      <c r="M459" s="3124"/>
      <c r="N459" s="3125"/>
      <c r="O459" s="3125"/>
      <c r="P459" s="3125"/>
      <c r="Q459" s="3125">
        <f t="shared" si="86"/>
        <v>0</v>
      </c>
      <c r="R459" s="3605" t="e">
        <f t="shared" si="88"/>
        <v>#DIV/0!</v>
      </c>
      <c r="S459" s="3275"/>
      <c r="T459" s="3826"/>
      <c r="U459" s="3771"/>
      <c r="V459" s="1846">
        <f t="shared" si="83"/>
        <v>0</v>
      </c>
    </row>
    <row r="460" spans="1:22" s="3896" customFormat="1" ht="15.05" customHeight="1">
      <c r="A460" s="3924"/>
      <c r="B460" s="3924"/>
      <c r="C460" s="3924"/>
      <c r="D460" s="3924"/>
      <c r="E460" s="3924"/>
      <c r="F460" s="2865" t="s">
        <v>621</v>
      </c>
      <c r="G460" s="4284"/>
      <c r="H460" s="4285"/>
      <c r="I460" s="4285"/>
      <c r="J460" s="4288">
        <f>J461+J462</f>
        <v>51419400</v>
      </c>
      <c r="K460" s="4288">
        <f>K461+K462</f>
        <v>0</v>
      </c>
      <c r="L460" s="4369">
        <f>L461</f>
        <v>51419400</v>
      </c>
      <c r="M460" s="4289">
        <v>0</v>
      </c>
      <c r="N460" s="4288">
        <f>N461+N462</f>
        <v>0</v>
      </c>
      <c r="O460" s="4288">
        <f>N460+M460</f>
        <v>0</v>
      </c>
      <c r="P460" s="4288">
        <v>51419400</v>
      </c>
      <c r="Q460" s="4288">
        <f>+P460-O433</f>
        <v>0</v>
      </c>
      <c r="R460" s="4290">
        <f>+P460/O433*100-100</f>
        <v>0</v>
      </c>
      <c r="S460" s="4356"/>
      <c r="T460" s="4357"/>
      <c r="U460" s="4282"/>
      <c r="V460" s="3925">
        <f t="shared" si="83"/>
        <v>0</v>
      </c>
    </row>
    <row r="461" spans="1:22" s="3896" customFormat="1" ht="15.05" customHeight="1">
      <c r="A461" s="3924"/>
      <c r="B461" s="3924"/>
      <c r="C461" s="3924"/>
      <c r="D461" s="3924"/>
      <c r="E461" s="3924"/>
      <c r="F461" s="4388" t="s">
        <v>50</v>
      </c>
      <c r="G461" s="2826"/>
      <c r="H461" s="3917" t="s">
        <v>622</v>
      </c>
      <c r="I461" s="3917"/>
      <c r="J461" s="3993">
        <v>51419400</v>
      </c>
      <c r="K461" s="4494">
        <v>0</v>
      </c>
      <c r="L461" s="3919">
        <v>51419400</v>
      </c>
      <c r="M461" s="3265">
        <v>0</v>
      </c>
      <c r="N461" s="3919">
        <v>0</v>
      </c>
      <c r="O461" s="3919">
        <v>0</v>
      </c>
      <c r="P461" s="3919">
        <v>51419400</v>
      </c>
      <c r="Q461" s="3919">
        <f t="shared" si="86"/>
        <v>0</v>
      </c>
      <c r="R461" s="3920">
        <f t="shared" si="88"/>
        <v>0</v>
      </c>
      <c r="S461" s="4335"/>
      <c r="T461" s="3922"/>
      <c r="U461" s="4353">
        <f>PerDinas!Q589</f>
        <v>0</v>
      </c>
      <c r="V461" s="3925">
        <f t="shared" si="83"/>
        <v>0</v>
      </c>
    </row>
    <row r="462" spans="1:22" s="257" customFormat="1" ht="15.05" customHeight="1">
      <c r="A462" s="1855"/>
      <c r="B462" s="1855"/>
      <c r="C462" s="1855"/>
      <c r="D462" s="1855"/>
      <c r="E462" s="1855"/>
      <c r="F462" s="1857" t="s">
        <v>50</v>
      </c>
      <c r="G462" s="1858"/>
      <c r="H462" s="200" t="s">
        <v>85</v>
      </c>
      <c r="I462" s="200"/>
      <c r="J462" s="3248">
        <v>0</v>
      </c>
      <c r="K462" s="3301">
        <v>0</v>
      </c>
      <c r="L462" s="3125">
        <f>MAR!J209</f>
        <v>0</v>
      </c>
      <c r="M462" s="3124">
        <v>0</v>
      </c>
      <c r="N462" s="3125">
        <f>MAR!L209</f>
        <v>0</v>
      </c>
      <c r="O462" s="3125">
        <f>MAR!M209</f>
        <v>0</v>
      </c>
      <c r="P462" s="3125">
        <v>0</v>
      </c>
      <c r="Q462" s="3125">
        <f t="shared" si="86"/>
        <v>0</v>
      </c>
      <c r="R462" s="3605">
        <v>0</v>
      </c>
      <c r="S462" s="3275"/>
      <c r="T462" s="3826"/>
      <c r="U462" s="3771"/>
      <c r="V462" s="1846">
        <f t="shared" si="83"/>
        <v>0</v>
      </c>
    </row>
    <row r="463" spans="1:22" s="3896" customFormat="1" ht="15.05" customHeight="1">
      <c r="A463" s="3924"/>
      <c r="B463" s="3924"/>
      <c r="C463" s="3924"/>
      <c r="D463" s="3924"/>
      <c r="E463" s="3924"/>
      <c r="F463" s="2865" t="s">
        <v>273</v>
      </c>
      <c r="G463" s="4284"/>
      <c r="H463" s="4285"/>
      <c r="I463" s="4285"/>
      <c r="J463" s="4347">
        <f>SUM(J464:J467)</f>
        <v>335291000</v>
      </c>
      <c r="K463" s="4347">
        <f>SUM(K464:K467)</f>
        <v>42721830</v>
      </c>
      <c r="L463" s="4347">
        <f>SUM(L464:L467)</f>
        <v>335291000</v>
      </c>
      <c r="M463" s="4289">
        <v>0</v>
      </c>
      <c r="N463" s="4288">
        <f>SUM(N464:N468)</f>
        <v>0</v>
      </c>
      <c r="O463" s="4288">
        <f>N463+M463</f>
        <v>0</v>
      </c>
      <c r="P463" s="4288">
        <v>335291000</v>
      </c>
      <c r="Q463" s="4288">
        <f t="shared" si="86"/>
        <v>0</v>
      </c>
      <c r="R463" s="4290">
        <f>+P463/L463*100-100</f>
        <v>0</v>
      </c>
      <c r="S463" s="4356"/>
      <c r="T463" s="4357"/>
      <c r="U463" s="4282"/>
      <c r="V463" s="3925">
        <f t="shared" si="83"/>
        <v>0</v>
      </c>
    </row>
    <row r="464" spans="1:22" s="3896" customFormat="1" ht="15.05" customHeight="1">
      <c r="A464" s="3924"/>
      <c r="B464" s="3924"/>
      <c r="C464" s="3924"/>
      <c r="D464" s="3924"/>
      <c r="E464" s="3924"/>
      <c r="F464" s="4388" t="s">
        <v>50</v>
      </c>
      <c r="G464" s="2826"/>
      <c r="H464" s="3917" t="str">
        <f>MAR!I231</f>
        <v>Jasa Pengiriman TKI</v>
      </c>
      <c r="I464" s="4429"/>
      <c r="J464" s="4430">
        <v>55355000</v>
      </c>
      <c r="K464" s="4431">
        <v>4705830</v>
      </c>
      <c r="L464" s="3919">
        <v>55355000</v>
      </c>
      <c r="M464" s="3265">
        <v>0</v>
      </c>
      <c r="N464" s="3919">
        <v>0</v>
      </c>
      <c r="O464" s="3919">
        <v>0</v>
      </c>
      <c r="P464" s="3919">
        <v>55355000</v>
      </c>
      <c r="Q464" s="3919">
        <f t="shared" si="86"/>
        <v>0</v>
      </c>
      <c r="R464" s="3920">
        <f>+P464/L464*100-100</f>
        <v>0</v>
      </c>
      <c r="S464" s="4335"/>
      <c r="T464" s="3922"/>
      <c r="U464" s="4353">
        <f>PerDinas!Q591</f>
        <v>0</v>
      </c>
      <c r="V464" s="3925">
        <f t="shared" si="83"/>
        <v>0</v>
      </c>
    </row>
    <row r="465" spans="1:22" s="3896" customFormat="1" ht="15.05" customHeight="1">
      <c r="A465" s="3924"/>
      <c r="B465" s="3924"/>
      <c r="C465" s="3924"/>
      <c r="D465" s="3924"/>
      <c r="E465" s="3924"/>
      <c r="F465" s="4388" t="s">
        <v>50</v>
      </c>
      <c r="G465" s="2826"/>
      <c r="H465" s="3963" t="str">
        <f>MAR!I232</f>
        <v>Hibah Pihak Ketiga</v>
      </c>
      <c r="I465" s="4432"/>
      <c r="J465" s="4430">
        <v>57136000</v>
      </c>
      <c r="K465" s="4433">
        <v>0</v>
      </c>
      <c r="L465" s="3919">
        <v>57136000</v>
      </c>
      <c r="M465" s="3265">
        <v>0</v>
      </c>
      <c r="N465" s="3919">
        <v>0</v>
      </c>
      <c r="O465" s="3919">
        <v>0</v>
      </c>
      <c r="P465" s="3919">
        <v>57136000</v>
      </c>
      <c r="Q465" s="3919">
        <f t="shared" si="86"/>
        <v>0</v>
      </c>
      <c r="R465" s="3920">
        <f>+P465/L465*100-100</f>
        <v>0</v>
      </c>
      <c r="S465" s="4335"/>
      <c r="T465" s="3922"/>
      <c r="U465" s="4353">
        <f>PerDinas!Q592</f>
        <v>0</v>
      </c>
      <c r="V465" s="3925">
        <f t="shared" si="83"/>
        <v>0</v>
      </c>
    </row>
    <row r="466" spans="1:22" s="3896" customFormat="1" ht="15.05" customHeight="1">
      <c r="A466" s="3924"/>
      <c r="B466" s="3924"/>
      <c r="C466" s="3924"/>
      <c r="D466" s="3924"/>
      <c r="E466" s="3924"/>
      <c r="F466" s="4388" t="s">
        <v>50</v>
      </c>
      <c r="G466" s="2826"/>
      <c r="H466" s="3963" t="str">
        <f>MAR!I233</f>
        <v>Lain-lain Pendapatan yang sah (BLK)</v>
      </c>
      <c r="I466" s="4432"/>
      <c r="J466" s="4430">
        <v>24760000</v>
      </c>
      <c r="K466" s="4431">
        <v>9600000</v>
      </c>
      <c r="L466" s="3919">
        <v>24760000</v>
      </c>
      <c r="M466" s="3265">
        <v>0</v>
      </c>
      <c r="N466" s="3919">
        <v>0</v>
      </c>
      <c r="O466" s="3919">
        <v>0</v>
      </c>
      <c r="P466" s="3919">
        <v>24760000</v>
      </c>
      <c r="Q466" s="3919">
        <f t="shared" si="86"/>
        <v>0</v>
      </c>
      <c r="R466" s="3920">
        <f>+P466/L466*100-100</f>
        <v>0</v>
      </c>
      <c r="S466" s="4335"/>
      <c r="T466" s="3922"/>
      <c r="U466" s="4353">
        <f>PerDinas!Q593</f>
        <v>0</v>
      </c>
      <c r="V466" s="3925">
        <f t="shared" si="83"/>
        <v>0</v>
      </c>
    </row>
    <row r="467" spans="1:22" s="3896" customFormat="1" ht="15.05" customHeight="1">
      <c r="A467" s="3924"/>
      <c r="B467" s="3924"/>
      <c r="C467" s="3924"/>
      <c r="D467" s="3924"/>
      <c r="E467" s="3924"/>
      <c r="F467" s="4388"/>
      <c r="G467" s="2826"/>
      <c r="H467" s="3963" t="str">
        <f>MAR!I234</f>
        <v>Jasa Pelayanan TKI</v>
      </c>
      <c r="I467" s="4434"/>
      <c r="J467" s="4435">
        <v>198040000</v>
      </c>
      <c r="K467" s="4436">
        <v>28416000</v>
      </c>
      <c r="L467" s="3919">
        <v>198040000</v>
      </c>
      <c r="M467" s="3265">
        <v>0</v>
      </c>
      <c r="N467" s="3919">
        <v>0</v>
      </c>
      <c r="O467" s="3919">
        <v>0</v>
      </c>
      <c r="P467" s="3919">
        <v>198040000</v>
      </c>
      <c r="Q467" s="3919">
        <f t="shared" si="86"/>
        <v>0</v>
      </c>
      <c r="R467" s="3920">
        <f>+P467/L467*100-100</f>
        <v>0</v>
      </c>
      <c r="S467" s="4335"/>
      <c r="T467" s="3922"/>
      <c r="U467" s="4353">
        <v>0</v>
      </c>
      <c r="V467" s="3925">
        <f t="shared" si="83"/>
        <v>0</v>
      </c>
    </row>
    <row r="468" spans="1:22" s="257" customFormat="1" ht="15.05" hidden="1" customHeight="1">
      <c r="A468" s="1855"/>
      <c r="B468" s="1855"/>
      <c r="C468" s="1855"/>
      <c r="D468" s="1855"/>
      <c r="E468" s="1855"/>
      <c r="F468" s="1857"/>
      <c r="G468" s="1858"/>
      <c r="H468" s="847"/>
      <c r="I468" s="1937"/>
      <c r="J468" s="3305"/>
      <c r="K468" s="3304"/>
      <c r="L468" s="3125"/>
      <c r="M468" s="3124"/>
      <c r="N468" s="3125"/>
      <c r="O468" s="3125"/>
      <c r="P468" s="3125"/>
      <c r="Q468" s="3125"/>
      <c r="R468" s="3605"/>
      <c r="S468" s="3748"/>
      <c r="T468" s="3826"/>
      <c r="U468" s="3778"/>
      <c r="V468" s="1846"/>
    </row>
    <row r="469" spans="1:22" s="2069" customFormat="1" ht="15.05" customHeight="1">
      <c r="A469" s="3924"/>
      <c r="B469" s="3924"/>
      <c r="C469" s="3924"/>
      <c r="D469" s="3924"/>
      <c r="E469" s="3924"/>
      <c r="F469" s="2865" t="s">
        <v>224</v>
      </c>
      <c r="G469" s="4284"/>
      <c r="H469" s="4285"/>
      <c r="I469" s="4285"/>
      <c r="J469" s="4347">
        <f t="shared" ref="J469:P469" si="89">SUM(J470:J472)</f>
        <v>400714300</v>
      </c>
      <c r="K469" s="4347">
        <f t="shared" si="89"/>
        <v>115089700</v>
      </c>
      <c r="L469" s="4347">
        <f t="shared" si="89"/>
        <v>400714300</v>
      </c>
      <c r="M469" s="4347">
        <f t="shared" si="89"/>
        <v>44168718</v>
      </c>
      <c r="N469" s="4347">
        <f t="shared" si="89"/>
        <v>10589500</v>
      </c>
      <c r="O469" s="4347">
        <f t="shared" si="89"/>
        <v>54758218</v>
      </c>
      <c r="P469" s="4347">
        <f t="shared" si="89"/>
        <v>400714300</v>
      </c>
      <c r="Q469" s="4288">
        <f>+P469-L469</f>
        <v>0</v>
      </c>
      <c r="R469" s="4290">
        <f>+P469/L469*100-100</f>
        <v>0</v>
      </c>
      <c r="S469" s="4356"/>
      <c r="T469" s="4357"/>
      <c r="U469" s="4282"/>
      <c r="V469" s="3925">
        <f t="shared" ref="V469:V532" si="90">O469*4</f>
        <v>219032872</v>
      </c>
    </row>
    <row r="470" spans="1:22" s="2069" customFormat="1" ht="15.05" customHeight="1">
      <c r="A470" s="3924"/>
      <c r="B470" s="3924"/>
      <c r="C470" s="3924"/>
      <c r="D470" s="3924"/>
      <c r="E470" s="3924"/>
      <c r="F470" s="4388" t="s">
        <v>50</v>
      </c>
      <c r="G470" s="4284"/>
      <c r="H470" s="3963" t="str">
        <f>MAR!I252</f>
        <v>Hibah Pihak III</v>
      </c>
      <c r="I470" s="3917"/>
      <c r="J470" s="3993">
        <v>63698000</v>
      </c>
      <c r="K470" s="3918">
        <v>27842400</v>
      </c>
      <c r="L470" s="3919">
        <v>63698000</v>
      </c>
      <c r="M470" s="3265">
        <v>4835000</v>
      </c>
      <c r="N470" s="3919">
        <v>0</v>
      </c>
      <c r="O470" s="3919">
        <v>4835000</v>
      </c>
      <c r="P470" s="3919">
        <v>63698000</v>
      </c>
      <c r="Q470" s="3919">
        <f>+P470-L470</f>
        <v>0</v>
      </c>
      <c r="R470" s="3920">
        <f>+P470/L470*100-100</f>
        <v>0</v>
      </c>
      <c r="S470" s="4335"/>
      <c r="T470" s="3922"/>
      <c r="U470" s="4353">
        <f>PerDinas!Q596</f>
        <v>0</v>
      </c>
      <c r="V470" s="3925">
        <f t="shared" si="90"/>
        <v>19340000</v>
      </c>
    </row>
    <row r="471" spans="1:22" s="2069" customFormat="1" ht="15.05" customHeight="1">
      <c r="A471" s="3924"/>
      <c r="B471" s="3924"/>
      <c r="C471" s="3924"/>
      <c r="D471" s="3924"/>
      <c r="E471" s="3924"/>
      <c r="F471" s="4388" t="s">
        <v>50</v>
      </c>
      <c r="G471" s="2826"/>
      <c r="H471" s="3963" t="str">
        <f>MAR!I253</f>
        <v>Jasa Pelayanan Koperasi</v>
      </c>
      <c r="I471" s="3917"/>
      <c r="J471" s="3993">
        <v>285233000</v>
      </c>
      <c r="K471" s="3918">
        <v>23875000</v>
      </c>
      <c r="L471" s="3919">
        <v>285233000</v>
      </c>
      <c r="M471" s="3265">
        <v>6750000</v>
      </c>
      <c r="N471" s="3919">
        <v>0</v>
      </c>
      <c r="O471" s="3919">
        <v>6750000</v>
      </c>
      <c r="P471" s="3919">
        <v>285233000</v>
      </c>
      <c r="Q471" s="3919">
        <f>+P471-L471</f>
        <v>0</v>
      </c>
      <c r="R471" s="3920">
        <f>+P471/L471*100-100</f>
        <v>0</v>
      </c>
      <c r="S471" s="4335"/>
      <c r="T471" s="3922"/>
      <c r="U471" s="4353">
        <f>PerDinas!Q597</f>
        <v>0</v>
      </c>
      <c r="V471" s="3925">
        <f t="shared" si="90"/>
        <v>27000000</v>
      </c>
    </row>
    <row r="472" spans="1:22" s="2069" customFormat="1" ht="15.05" customHeight="1">
      <c r="A472" s="3924"/>
      <c r="B472" s="3924"/>
      <c r="C472" s="3924"/>
      <c r="D472" s="3924"/>
      <c r="E472" s="3924"/>
      <c r="F472" s="4388" t="s">
        <v>50</v>
      </c>
      <c r="G472" s="2826"/>
      <c r="H472" s="3963" t="str">
        <f>MAR!I254</f>
        <v>Dana Pembangunan Daerah Kerja</v>
      </c>
      <c r="I472" s="3917"/>
      <c r="J472" s="3993">
        <v>51783300</v>
      </c>
      <c r="K472" s="3918">
        <v>63372300</v>
      </c>
      <c r="L472" s="3919">
        <v>51783300</v>
      </c>
      <c r="M472" s="3265">
        <v>32583718</v>
      </c>
      <c r="N472" s="3919">
        <v>10589500</v>
      </c>
      <c r="O472" s="3919">
        <v>43173218</v>
      </c>
      <c r="P472" s="3919">
        <v>51783300</v>
      </c>
      <c r="Q472" s="3919">
        <f>+P472-L472</f>
        <v>0</v>
      </c>
      <c r="R472" s="3920">
        <f>+P472/L472*100-100</f>
        <v>0</v>
      </c>
      <c r="S472" s="4335"/>
      <c r="T472" s="3922"/>
      <c r="U472" s="4353">
        <f>PerDinas!Q598</f>
        <v>0</v>
      </c>
      <c r="V472" s="3925">
        <f t="shared" si="90"/>
        <v>172692872</v>
      </c>
    </row>
    <row r="473" spans="1:22" s="2069" customFormat="1" ht="15.05" hidden="1" customHeight="1">
      <c r="A473" s="3924"/>
      <c r="B473" s="3924"/>
      <c r="C473" s="3924"/>
      <c r="D473" s="3924"/>
      <c r="E473" s="3924"/>
      <c r="F473" s="4388"/>
      <c r="G473" s="2826"/>
      <c r="H473" s="3963"/>
      <c r="I473" s="3917"/>
      <c r="J473" s="3993"/>
      <c r="K473" s="3918"/>
      <c r="L473" s="3919"/>
      <c r="M473" s="3265"/>
      <c r="N473" s="3919"/>
      <c r="O473" s="3919"/>
      <c r="P473" s="3919"/>
      <c r="Q473" s="3919"/>
      <c r="R473" s="3920"/>
      <c r="S473" s="4335"/>
      <c r="T473" s="3922"/>
      <c r="U473" s="4353"/>
      <c r="V473" s="3925">
        <f t="shared" si="90"/>
        <v>0</v>
      </c>
    </row>
    <row r="474" spans="1:22" s="2069" customFormat="1" ht="15.05" customHeight="1">
      <c r="A474" s="3924"/>
      <c r="B474" s="3924"/>
      <c r="C474" s="3924"/>
      <c r="D474" s="3924"/>
      <c r="E474" s="3924"/>
      <c r="F474" s="2865" t="s">
        <v>623</v>
      </c>
      <c r="G474" s="4284"/>
      <c r="H474" s="4285"/>
      <c r="I474" s="4285"/>
      <c r="J474" s="4347">
        <f>SUM(J475:J477)</f>
        <v>6980745800</v>
      </c>
      <c r="K474" s="4347">
        <f>SUM(K475:K477)</f>
        <v>4930803205</v>
      </c>
      <c r="L474" s="4347">
        <f>SUM(L475:L477)</f>
        <v>6980745800</v>
      </c>
      <c r="M474" s="4289">
        <v>0</v>
      </c>
      <c r="N474" s="4288">
        <f>SUM(N475:N478)</f>
        <v>0</v>
      </c>
      <c r="O474" s="4288">
        <f>N474+M474</f>
        <v>0</v>
      </c>
      <c r="P474" s="4288">
        <v>6980745800</v>
      </c>
      <c r="Q474" s="4288">
        <f>+P474-L474</f>
        <v>0</v>
      </c>
      <c r="R474" s="4290">
        <f>+P474/L474*100-100</f>
        <v>0</v>
      </c>
      <c r="S474" s="4356"/>
      <c r="T474" s="4357"/>
      <c r="U474" s="4282"/>
      <c r="V474" s="3925">
        <f t="shared" si="90"/>
        <v>0</v>
      </c>
    </row>
    <row r="475" spans="1:22" s="2069" customFormat="1" ht="15.05" customHeight="1">
      <c r="A475" s="3924"/>
      <c r="B475" s="3924"/>
      <c r="C475" s="3924"/>
      <c r="D475" s="3924"/>
      <c r="E475" s="3924"/>
      <c r="F475" s="4437" t="s">
        <v>50</v>
      </c>
      <c r="G475" s="4438"/>
      <c r="H475" s="3963" t="s">
        <v>1191</v>
      </c>
      <c r="I475" s="3963"/>
      <c r="J475" s="4439">
        <v>3688800000</v>
      </c>
      <c r="K475" s="3974">
        <v>2120189000</v>
      </c>
      <c r="L475" s="3919">
        <v>3688800000</v>
      </c>
      <c r="M475" s="3265">
        <v>0</v>
      </c>
      <c r="N475" s="3919">
        <v>0</v>
      </c>
      <c r="O475" s="3919">
        <v>0</v>
      </c>
      <c r="P475" s="3919">
        <v>3688800000</v>
      </c>
      <c r="Q475" s="3919">
        <f>+P475-L475</f>
        <v>0</v>
      </c>
      <c r="R475" s="3920">
        <f>+P475/L475*100-100</f>
        <v>0</v>
      </c>
      <c r="S475" s="3921"/>
      <c r="T475" s="3922"/>
      <c r="U475" s="3923"/>
      <c r="V475" s="3925">
        <f t="shared" si="90"/>
        <v>0</v>
      </c>
    </row>
    <row r="476" spans="1:22" s="2069" customFormat="1" ht="15.05" customHeight="1">
      <c r="A476" s="3924"/>
      <c r="B476" s="3924"/>
      <c r="C476" s="3924"/>
      <c r="D476" s="3924"/>
      <c r="E476" s="3924"/>
      <c r="F476" s="4437" t="s">
        <v>50</v>
      </c>
      <c r="G476" s="4438"/>
      <c r="H476" s="5827" t="s">
        <v>85</v>
      </c>
      <c r="I476" s="5827"/>
      <c r="J476" s="4440">
        <v>0</v>
      </c>
      <c r="K476" s="4441">
        <v>1967138126</v>
      </c>
      <c r="L476" s="3919">
        <v>3291945800</v>
      </c>
      <c r="M476" s="3265">
        <v>0</v>
      </c>
      <c r="N476" s="3919">
        <v>0</v>
      </c>
      <c r="O476" s="3919">
        <v>0</v>
      </c>
      <c r="P476" s="3919">
        <v>3291945800</v>
      </c>
      <c r="Q476" s="3919">
        <f>+P476-L476</f>
        <v>0</v>
      </c>
      <c r="R476" s="3920">
        <f>+P476/L476*100-100</f>
        <v>0</v>
      </c>
      <c r="S476" s="3921"/>
      <c r="T476" s="3922"/>
      <c r="U476" s="3923"/>
      <c r="V476" s="3925">
        <f t="shared" si="90"/>
        <v>0</v>
      </c>
    </row>
    <row r="477" spans="1:22" s="3475" customFormat="1" ht="15.05" customHeight="1">
      <c r="A477" s="3465"/>
      <c r="B477" s="3465"/>
      <c r="C477" s="3465"/>
      <c r="D477" s="3465"/>
      <c r="E477" s="3465"/>
      <c r="F477" s="3466" t="s">
        <v>50</v>
      </c>
      <c r="G477" s="3467"/>
      <c r="H477" s="3468" t="s">
        <v>624</v>
      </c>
      <c r="I477" s="3468"/>
      <c r="J477" s="3469">
        <v>3291945800</v>
      </c>
      <c r="K477" s="3470">
        <v>843476079</v>
      </c>
      <c r="L477" s="3471"/>
      <c r="M477" s="3472"/>
      <c r="N477" s="3471"/>
      <c r="O477" s="3471"/>
      <c r="P477" s="3471"/>
      <c r="Q477" s="3471">
        <f>+P477-L477</f>
        <v>0</v>
      </c>
      <c r="R477" s="3639">
        <v>0</v>
      </c>
      <c r="S477" s="3755"/>
      <c r="T477" s="3856"/>
      <c r="U477" s="3810">
        <f>PerDinas!Q587</f>
        <v>0</v>
      </c>
      <c r="V477" s="3474">
        <f t="shared" si="90"/>
        <v>0</v>
      </c>
    </row>
    <row r="478" spans="1:22" ht="15.05" hidden="1" customHeight="1">
      <c r="A478" s="1855"/>
      <c r="B478" s="1855"/>
      <c r="C478" s="1855"/>
      <c r="D478" s="1855"/>
      <c r="E478" s="1855"/>
      <c r="F478" s="2861"/>
      <c r="G478" s="2862"/>
      <c r="H478" s="200"/>
      <c r="I478" s="200"/>
      <c r="J478" s="3215"/>
      <c r="K478" s="3171"/>
      <c r="L478" s="3125"/>
      <c r="M478" s="3124"/>
      <c r="N478" s="3125"/>
      <c r="O478" s="3125"/>
      <c r="P478" s="3125"/>
      <c r="Q478" s="3125"/>
      <c r="R478" s="3605"/>
      <c r="S478" s="3748"/>
      <c r="T478" s="3826"/>
      <c r="U478" s="3778"/>
      <c r="V478" s="1846">
        <f t="shared" si="90"/>
        <v>0</v>
      </c>
    </row>
    <row r="479" spans="1:22" ht="15.05" customHeight="1">
      <c r="A479" s="1855"/>
      <c r="B479" s="1855"/>
      <c r="C479" s="1855"/>
      <c r="D479" s="1855"/>
      <c r="E479" s="1855"/>
      <c r="F479" s="1464" t="s">
        <v>625</v>
      </c>
      <c r="G479" s="1860"/>
      <c r="H479" s="202"/>
      <c r="I479" s="202"/>
      <c r="J479" s="3259">
        <f>J480</f>
        <v>4562382400</v>
      </c>
      <c r="K479" s="3259">
        <f t="shared" ref="K479:P479" si="91">K480</f>
        <v>4736422507.3400002</v>
      </c>
      <c r="L479" s="3259">
        <f t="shared" si="91"/>
        <v>4562382400</v>
      </c>
      <c r="M479" s="3259">
        <f t="shared" si="91"/>
        <v>733425000</v>
      </c>
      <c r="N479" s="3259">
        <f t="shared" si="91"/>
        <v>411775000</v>
      </c>
      <c r="O479" s="3259">
        <f t="shared" si="91"/>
        <v>1145200000</v>
      </c>
      <c r="P479" s="3259">
        <f t="shared" si="91"/>
        <v>4776018400</v>
      </c>
      <c r="Q479" s="3182">
        <f t="shared" ref="Q479:Q492" si="92">+P479-L479</f>
        <v>213636000</v>
      </c>
      <c r="R479" s="3601">
        <f>+P479/L479*100-100</f>
        <v>4.6825535711342354</v>
      </c>
      <c r="S479" s="3697"/>
      <c r="T479" s="3816"/>
      <c r="U479" s="3777"/>
      <c r="V479" s="1846">
        <f t="shared" si="90"/>
        <v>4580800000</v>
      </c>
    </row>
    <row r="480" spans="1:22" ht="15.05" customHeight="1">
      <c r="A480" s="1855"/>
      <c r="B480" s="1855"/>
      <c r="C480" s="1855"/>
      <c r="D480" s="1855"/>
      <c r="E480" s="1855"/>
      <c r="F480" s="2830" t="s">
        <v>626</v>
      </c>
      <c r="G480" s="2831"/>
      <c r="H480" s="2322"/>
      <c r="I480" s="2322"/>
      <c r="J480" s="3272">
        <f>J481+J482+J494</f>
        <v>4562382400</v>
      </c>
      <c r="K480" s="3272">
        <f>K481+K482+K494</f>
        <v>4736422507.3400002</v>
      </c>
      <c r="L480" s="3272">
        <f>L481+L482+L494</f>
        <v>4562382400</v>
      </c>
      <c r="M480" s="3272">
        <f>M481+M482+M494</f>
        <v>733425000</v>
      </c>
      <c r="N480" s="3272">
        <f>N481+N482+N494</f>
        <v>411775000</v>
      </c>
      <c r="O480" s="3272">
        <f>O481+O482</f>
        <v>1145200000</v>
      </c>
      <c r="P480" s="3272">
        <f>P481+P482+P494</f>
        <v>4776018400</v>
      </c>
      <c r="Q480" s="3182">
        <f t="shared" si="92"/>
        <v>213636000</v>
      </c>
      <c r="R480" s="3601">
        <f>+P480/L480*100-100</f>
        <v>4.6825535711342354</v>
      </c>
      <c r="S480" s="3697"/>
      <c r="T480" s="3816"/>
      <c r="U480" s="3771"/>
      <c r="V480" s="1846">
        <f t="shared" si="90"/>
        <v>4580800000</v>
      </c>
    </row>
    <row r="481" spans="1:22" ht="15.05" customHeight="1">
      <c r="A481" s="1855"/>
      <c r="B481" s="1855"/>
      <c r="C481" s="1855"/>
      <c r="D481" s="1855"/>
      <c r="E481" s="1855"/>
      <c r="F481" s="2863"/>
      <c r="G481" s="1858"/>
      <c r="H481" s="2864" t="s">
        <v>627</v>
      </c>
      <c r="I481" s="200"/>
      <c r="J481" s="3215">
        <v>1439364000</v>
      </c>
      <c r="K481" s="3171">
        <v>1630820507.3399999</v>
      </c>
      <c r="L481" s="3125">
        <v>1439364000</v>
      </c>
      <c r="M481" s="3124">
        <v>0</v>
      </c>
      <c r="N481" s="3125">
        <v>0</v>
      </c>
      <c r="O481" s="3125">
        <v>413250000</v>
      </c>
      <c r="P481" s="3125">
        <v>1653000000</v>
      </c>
      <c r="Q481" s="3125">
        <f t="shared" si="92"/>
        <v>213636000</v>
      </c>
      <c r="R481" s="3605">
        <f>+P481/L481*100-100</f>
        <v>14.842388721685424</v>
      </c>
      <c r="S481" s="3748"/>
      <c r="T481" s="3826"/>
      <c r="U481" s="3778">
        <f>PerDinas!Q610</f>
        <v>0</v>
      </c>
      <c r="V481" s="1846">
        <f t="shared" si="90"/>
        <v>1653000000</v>
      </c>
    </row>
    <row r="482" spans="1:22" s="1839" customFormat="1" ht="15.05" customHeight="1">
      <c r="A482" s="1854"/>
      <c r="B482" s="1854"/>
      <c r="C482" s="1854"/>
      <c r="D482" s="1854"/>
      <c r="E482" s="1854"/>
      <c r="F482" s="1464" t="s">
        <v>50</v>
      </c>
      <c r="G482" s="1860"/>
      <c r="H482" s="202" t="s">
        <v>628</v>
      </c>
      <c r="I482" s="202"/>
      <c r="J482" s="3215">
        <v>3123018400</v>
      </c>
      <c r="K482" s="3123">
        <f>SUM(K483:K492)</f>
        <v>3105602000</v>
      </c>
      <c r="L482" s="3182">
        <v>3123018400</v>
      </c>
      <c r="M482" s="3183">
        <v>457925000</v>
      </c>
      <c r="N482" s="3182">
        <v>274025000</v>
      </c>
      <c r="O482" s="3123">
        <f>SUM(O483:O492)</f>
        <v>731950000</v>
      </c>
      <c r="P482" s="3182">
        <v>3123018400</v>
      </c>
      <c r="Q482" s="3182">
        <f t="shared" si="92"/>
        <v>0</v>
      </c>
      <c r="R482" s="3601">
        <f>+P482/L482*100-100</f>
        <v>0</v>
      </c>
      <c r="S482" s="3697"/>
      <c r="T482" s="3816"/>
      <c r="U482" s="3777"/>
      <c r="V482" s="1846">
        <f t="shared" si="90"/>
        <v>2927800000</v>
      </c>
    </row>
    <row r="483" spans="1:22" ht="15.05" customHeight="1">
      <c r="A483" s="1855"/>
      <c r="B483" s="1855"/>
      <c r="C483" s="1855"/>
      <c r="D483" s="1855"/>
      <c r="E483" s="1855"/>
      <c r="F483" s="2359"/>
      <c r="G483" s="213"/>
      <c r="H483" s="200" t="str">
        <f>MAR!I567</f>
        <v>Samsat Mataram</v>
      </c>
      <c r="I483" s="200"/>
      <c r="J483" s="3215">
        <v>0</v>
      </c>
      <c r="K483" s="3171">
        <v>687375100</v>
      </c>
      <c r="L483" s="3125">
        <v>0</v>
      </c>
      <c r="M483" s="3124">
        <v>98675000</v>
      </c>
      <c r="N483" s="3125">
        <v>46375000</v>
      </c>
      <c r="O483" s="3125">
        <v>145050000</v>
      </c>
      <c r="P483" s="3125">
        <v>0</v>
      </c>
      <c r="Q483" s="3125">
        <f t="shared" si="92"/>
        <v>0</v>
      </c>
      <c r="R483" s="3601" t="e">
        <f>+P483/L483*100-100</f>
        <v>#DIV/0!</v>
      </c>
      <c r="S483" s="3756"/>
      <c r="T483" s="3816"/>
      <c r="U483" s="3778">
        <f>PerDinas!Q612</f>
        <v>0</v>
      </c>
      <c r="V483" s="1846">
        <f t="shared" si="90"/>
        <v>580200000</v>
      </c>
    </row>
    <row r="484" spans="1:22" ht="15.05" customHeight="1">
      <c r="A484" s="1855"/>
      <c r="B484" s="1855"/>
      <c r="C484" s="1855"/>
      <c r="D484" s="1855"/>
      <c r="E484" s="1855"/>
      <c r="F484" s="2359"/>
      <c r="G484" s="213"/>
      <c r="H484" s="200" t="str">
        <f>MAR!I568</f>
        <v>Samsat Praya</v>
      </c>
      <c r="I484" s="200"/>
      <c r="J484" s="3215">
        <v>0</v>
      </c>
      <c r="K484" s="3171">
        <v>492200000</v>
      </c>
      <c r="L484" s="3125"/>
      <c r="M484" s="3124">
        <v>70250000</v>
      </c>
      <c r="N484" s="3125">
        <v>103425000</v>
      </c>
      <c r="O484" s="3125">
        <v>173675000</v>
      </c>
      <c r="P484" s="3125"/>
      <c r="Q484" s="3125">
        <f t="shared" si="92"/>
        <v>0</v>
      </c>
      <c r="R484" s="3601">
        <v>0</v>
      </c>
      <c r="S484" s="3756"/>
      <c r="T484" s="3816"/>
      <c r="U484" s="3778">
        <f>PerDinas!Q613</f>
        <v>0</v>
      </c>
      <c r="V484" s="1846">
        <f t="shared" si="90"/>
        <v>694700000</v>
      </c>
    </row>
    <row r="485" spans="1:22" ht="15.05" customHeight="1">
      <c r="A485" s="1855"/>
      <c r="B485" s="1855"/>
      <c r="C485" s="1855"/>
      <c r="D485" s="1855"/>
      <c r="E485" s="1855"/>
      <c r="F485" s="2359"/>
      <c r="G485" s="213"/>
      <c r="H485" s="200" t="str">
        <f>MAR!I569</f>
        <v>Samsat Selong</v>
      </c>
      <c r="I485" s="200"/>
      <c r="J485" s="3215">
        <v>0</v>
      </c>
      <c r="K485" s="3171">
        <v>636475000</v>
      </c>
      <c r="L485" s="3125"/>
      <c r="M485" s="3124">
        <v>95350000</v>
      </c>
      <c r="N485" s="3125">
        <v>42725000</v>
      </c>
      <c r="O485" s="3125">
        <v>138075000</v>
      </c>
      <c r="P485" s="3125"/>
      <c r="Q485" s="3125">
        <f t="shared" si="92"/>
        <v>0</v>
      </c>
      <c r="R485" s="3601">
        <v>0</v>
      </c>
      <c r="S485" s="3756"/>
      <c r="T485" s="3816"/>
      <c r="U485" s="3778">
        <f>PerDinas!Q614</f>
        <v>0</v>
      </c>
      <c r="V485" s="1846">
        <f t="shared" si="90"/>
        <v>552300000</v>
      </c>
    </row>
    <row r="486" spans="1:22" ht="15.05" customHeight="1">
      <c r="A486" s="1855"/>
      <c r="B486" s="1855"/>
      <c r="C486" s="1855"/>
      <c r="D486" s="1855"/>
      <c r="E486" s="1855"/>
      <c r="F486" s="2359"/>
      <c r="G486" s="213"/>
      <c r="H486" s="200" t="str">
        <f>MAR!I570</f>
        <v>Samsat Sumbawa</v>
      </c>
      <c r="I486" s="200"/>
      <c r="J486" s="3215">
        <v>0</v>
      </c>
      <c r="K486" s="3171">
        <v>262551900</v>
      </c>
      <c r="L486" s="3125"/>
      <c r="M486" s="3124">
        <v>49650000</v>
      </c>
      <c r="N486" s="3125">
        <v>14725000</v>
      </c>
      <c r="O486" s="3125">
        <v>64375000</v>
      </c>
      <c r="P486" s="3125"/>
      <c r="Q486" s="3125">
        <f t="shared" si="92"/>
        <v>0</v>
      </c>
      <c r="R486" s="3601">
        <v>0</v>
      </c>
      <c r="S486" s="3756"/>
      <c r="T486" s="3816"/>
      <c r="U486" s="3778">
        <f>PerDinas!Q615</f>
        <v>0</v>
      </c>
      <c r="V486" s="1846">
        <f t="shared" si="90"/>
        <v>257500000</v>
      </c>
    </row>
    <row r="487" spans="1:22" ht="15.05" customHeight="1">
      <c r="A487" s="1855"/>
      <c r="B487" s="1855"/>
      <c r="C487" s="1855"/>
      <c r="D487" s="1855"/>
      <c r="E487" s="1855"/>
      <c r="F487" s="2359"/>
      <c r="G487" s="213"/>
      <c r="H487" s="200" t="str">
        <f>MAR!I571</f>
        <v>Samsat Kota Bima</v>
      </c>
      <c r="I487" s="200"/>
      <c r="J487" s="3215">
        <v>0</v>
      </c>
      <c r="K487" s="3171">
        <v>223325000</v>
      </c>
      <c r="L487" s="3125"/>
      <c r="M487" s="3124">
        <v>16975000</v>
      </c>
      <c r="N487" s="3125">
        <v>8525000</v>
      </c>
      <c r="O487" s="3125">
        <v>25500000</v>
      </c>
      <c r="P487" s="3125"/>
      <c r="Q487" s="3125">
        <f t="shared" si="92"/>
        <v>0</v>
      </c>
      <c r="R487" s="3601">
        <v>0</v>
      </c>
      <c r="S487" s="3756"/>
      <c r="T487" s="3816"/>
      <c r="U487" s="3778">
        <f>PerDinas!Q616</f>
        <v>0</v>
      </c>
      <c r="V487" s="1846">
        <f t="shared" si="90"/>
        <v>102000000</v>
      </c>
    </row>
    <row r="488" spans="1:22" ht="15.05" customHeight="1">
      <c r="A488" s="1855"/>
      <c r="B488" s="1855"/>
      <c r="C488" s="1855"/>
      <c r="D488" s="1855"/>
      <c r="E488" s="1855"/>
      <c r="F488" s="2359"/>
      <c r="G488" s="213"/>
      <c r="H488" s="200" t="str">
        <f>MAR!I572</f>
        <v>Samsat Kab. Bima</v>
      </c>
      <c r="I488" s="200"/>
      <c r="J488" s="3215">
        <v>0</v>
      </c>
      <c r="K488" s="3193">
        <v>0</v>
      </c>
      <c r="L488" s="3125"/>
      <c r="M488" s="3124">
        <v>13000000</v>
      </c>
      <c r="N488" s="3125">
        <v>6250000</v>
      </c>
      <c r="O488" s="3125">
        <v>19250000</v>
      </c>
      <c r="P488" s="3125"/>
      <c r="Q488" s="3125">
        <f t="shared" si="92"/>
        <v>0</v>
      </c>
      <c r="R488" s="3601">
        <v>0</v>
      </c>
      <c r="S488" s="3756"/>
      <c r="T488" s="3816"/>
      <c r="U488" s="3778">
        <f>PerDinas!Q617</f>
        <v>0</v>
      </c>
      <c r="V488" s="1846">
        <f t="shared" si="90"/>
        <v>77000000</v>
      </c>
    </row>
    <row r="489" spans="1:22" ht="15.05" customHeight="1">
      <c r="A489" s="1855"/>
      <c r="B489" s="1855"/>
      <c r="C489" s="1855"/>
      <c r="D489" s="1855"/>
      <c r="E489" s="1855"/>
      <c r="F489" s="2359"/>
      <c r="G489" s="213"/>
      <c r="H489" s="200" t="str">
        <f>MAR!I573</f>
        <v>Samsat Dompu</v>
      </c>
      <c r="I489" s="200"/>
      <c r="J489" s="3215">
        <v>0</v>
      </c>
      <c r="K489" s="3171">
        <v>93625000</v>
      </c>
      <c r="L489" s="3125"/>
      <c r="M489" s="3124">
        <v>10775000</v>
      </c>
      <c r="N489" s="3125">
        <v>3550000</v>
      </c>
      <c r="O489" s="3125">
        <v>14325000</v>
      </c>
      <c r="P489" s="3125"/>
      <c r="Q489" s="3125">
        <f t="shared" si="92"/>
        <v>0</v>
      </c>
      <c r="R489" s="3601">
        <v>0</v>
      </c>
      <c r="S489" s="3756"/>
      <c r="T489" s="3816"/>
      <c r="U489" s="3778">
        <f>PerDinas!Q617</f>
        <v>0</v>
      </c>
      <c r="V489" s="1846">
        <f t="shared" si="90"/>
        <v>57300000</v>
      </c>
    </row>
    <row r="490" spans="1:22" ht="15.05" customHeight="1">
      <c r="A490" s="1855"/>
      <c r="B490" s="1855"/>
      <c r="C490" s="1855"/>
      <c r="D490" s="1855"/>
      <c r="E490" s="1855"/>
      <c r="F490" s="2359"/>
      <c r="G490" s="213"/>
      <c r="H490" s="200" t="str">
        <f>MAR!I574</f>
        <v>Samsat Lombok Barat</v>
      </c>
      <c r="I490" s="200"/>
      <c r="J490" s="3215">
        <v>0</v>
      </c>
      <c r="K490" s="3171">
        <v>609400000</v>
      </c>
      <c r="L490" s="3125"/>
      <c r="M490" s="3124">
        <v>85725000</v>
      </c>
      <c r="N490" s="3125">
        <v>40875000</v>
      </c>
      <c r="O490" s="3125">
        <v>126600000</v>
      </c>
      <c r="P490" s="3125"/>
      <c r="Q490" s="3125">
        <f t="shared" si="92"/>
        <v>0</v>
      </c>
      <c r="R490" s="3601">
        <v>0</v>
      </c>
      <c r="S490" s="3756"/>
      <c r="T490" s="3816"/>
      <c r="U490" s="3778">
        <f>PerDinas!Q618</f>
        <v>0</v>
      </c>
      <c r="V490" s="1846">
        <f t="shared" si="90"/>
        <v>506400000</v>
      </c>
    </row>
    <row r="491" spans="1:22" ht="15.05" customHeight="1">
      <c r="A491" s="1855"/>
      <c r="B491" s="1855"/>
      <c r="C491" s="1855"/>
      <c r="D491" s="1855"/>
      <c r="E491" s="1855"/>
      <c r="F491" s="2359"/>
      <c r="G491" s="213"/>
      <c r="H491" s="200" t="str">
        <f>MAR!I575</f>
        <v>Samsat Sumbawa Barat</v>
      </c>
      <c r="I491" s="200"/>
      <c r="J491" s="3215">
        <v>0</v>
      </c>
      <c r="K491" s="3171">
        <v>100650000</v>
      </c>
      <c r="L491" s="3125"/>
      <c r="M491" s="3124">
        <v>17525000</v>
      </c>
      <c r="N491" s="3125">
        <v>7575000</v>
      </c>
      <c r="O491" s="3125">
        <v>25100000</v>
      </c>
      <c r="P491" s="3125"/>
      <c r="Q491" s="3125">
        <f t="shared" si="92"/>
        <v>0</v>
      </c>
      <c r="R491" s="3601">
        <v>0</v>
      </c>
      <c r="S491" s="3756"/>
      <c r="T491" s="3816"/>
      <c r="U491" s="3778">
        <f>PerDinas!Q619</f>
        <v>0</v>
      </c>
      <c r="V491" s="1846">
        <f t="shared" si="90"/>
        <v>100400000</v>
      </c>
    </row>
    <row r="492" spans="1:22" ht="15.05" customHeight="1">
      <c r="A492" s="1855"/>
      <c r="B492" s="1855"/>
      <c r="C492" s="1855"/>
      <c r="D492" s="1855"/>
      <c r="E492" s="1855"/>
      <c r="F492" s="2359"/>
      <c r="G492" s="213"/>
      <c r="H492" s="200" t="str">
        <f>MAR!I576</f>
        <v>Samsat Kab.Lombok Utara</v>
      </c>
      <c r="I492" s="200"/>
      <c r="J492" s="3215">
        <v>0</v>
      </c>
      <c r="K492" s="3193">
        <v>0</v>
      </c>
      <c r="L492" s="3125"/>
      <c r="M492" s="3124">
        <v>0</v>
      </c>
      <c r="N492" s="3125">
        <v>0</v>
      </c>
      <c r="O492" s="3125">
        <v>0</v>
      </c>
      <c r="P492" s="3125"/>
      <c r="Q492" s="3125">
        <f t="shared" si="92"/>
        <v>0</v>
      </c>
      <c r="R492" s="3601">
        <v>0</v>
      </c>
      <c r="S492" s="3756"/>
      <c r="T492" s="3816"/>
      <c r="U492" s="3778">
        <f>PerDinas!Q620</f>
        <v>0</v>
      </c>
      <c r="V492" s="1846">
        <f t="shared" si="90"/>
        <v>0</v>
      </c>
    </row>
    <row r="493" spans="1:22" ht="15.05" hidden="1" customHeight="1">
      <c r="A493" s="1855"/>
      <c r="B493" s="1855"/>
      <c r="C493" s="1855"/>
      <c r="D493" s="1855"/>
      <c r="E493" s="1855"/>
      <c r="F493" s="2359"/>
      <c r="G493" s="213"/>
      <c r="H493" s="200"/>
      <c r="I493" s="200"/>
      <c r="J493" s="3215"/>
      <c r="K493" s="3171"/>
      <c r="L493" s="3125"/>
      <c r="M493" s="3124"/>
      <c r="N493" s="3125"/>
      <c r="O493" s="3125"/>
      <c r="P493" s="3125"/>
      <c r="Q493" s="3125"/>
      <c r="R493" s="3605"/>
      <c r="S493" s="3275"/>
      <c r="T493" s="3826"/>
      <c r="U493" s="3771"/>
      <c r="V493" s="1846">
        <f t="shared" si="90"/>
        <v>0</v>
      </c>
    </row>
    <row r="494" spans="1:22" s="1839" customFormat="1" ht="15.05" hidden="1" customHeight="1">
      <c r="A494" s="1854"/>
      <c r="B494" s="1854"/>
      <c r="C494" s="1854"/>
      <c r="D494" s="1854"/>
      <c r="E494" s="1854"/>
      <c r="F494" s="1464" t="s">
        <v>50</v>
      </c>
      <c r="G494" s="1860"/>
      <c r="H494" s="202" t="s">
        <v>85</v>
      </c>
      <c r="I494" s="202"/>
      <c r="J494" s="3259"/>
      <c r="K494" s="3123"/>
      <c r="L494" s="3182">
        <f>L495</f>
        <v>0</v>
      </c>
      <c r="M494" s="3183">
        <v>275500000</v>
      </c>
      <c r="N494" s="3182">
        <f>N495</f>
        <v>137750000</v>
      </c>
      <c r="O494" s="3182">
        <f>O495</f>
        <v>413250000</v>
      </c>
      <c r="P494" s="3182">
        <v>0</v>
      </c>
      <c r="Q494" s="3182">
        <f t="shared" ref="Q494:Q557" si="93">+P494-L494</f>
        <v>0</v>
      </c>
      <c r="R494" s="3601">
        <v>0</v>
      </c>
      <c r="S494" s="3710"/>
      <c r="T494" s="3829"/>
      <c r="U494" s="3777"/>
      <c r="V494" s="1846">
        <f t="shared" si="90"/>
        <v>1653000000</v>
      </c>
    </row>
    <row r="495" spans="1:22" ht="15.05" hidden="1" customHeight="1">
      <c r="A495" s="1855"/>
      <c r="B495" s="1855"/>
      <c r="C495" s="1855"/>
      <c r="D495" s="1855"/>
      <c r="E495" s="1855"/>
      <c r="F495" s="2359"/>
      <c r="G495" s="213"/>
      <c r="H495" s="200" t="s">
        <v>629</v>
      </c>
      <c r="I495" s="200"/>
      <c r="J495" s="3215"/>
      <c r="K495" s="3171"/>
      <c r="L495" s="3125">
        <f>MAR!J562</f>
        <v>0</v>
      </c>
      <c r="M495" s="3124">
        <v>275500000</v>
      </c>
      <c r="N495" s="3125">
        <f>MAR!L562</f>
        <v>137750000</v>
      </c>
      <c r="O495" s="3125">
        <f>MAR!M562</f>
        <v>413250000</v>
      </c>
      <c r="P495" s="3125">
        <v>0</v>
      </c>
      <c r="Q495" s="3125">
        <f t="shared" si="93"/>
        <v>0</v>
      </c>
      <c r="R495" s="3605">
        <v>0</v>
      </c>
      <c r="S495" s="3275"/>
      <c r="T495" s="3826"/>
      <c r="U495" s="3771"/>
      <c r="V495" s="1846">
        <f t="shared" si="90"/>
        <v>1653000000</v>
      </c>
    </row>
    <row r="496" spans="1:22" s="2069" customFormat="1" ht="15.05" customHeight="1">
      <c r="A496" s="3924"/>
      <c r="B496" s="3924"/>
      <c r="C496" s="3924"/>
      <c r="D496" s="3924"/>
      <c r="E496" s="3924"/>
      <c r="F496" s="2865" t="s">
        <v>630</v>
      </c>
      <c r="G496" s="4284"/>
      <c r="H496" s="4285"/>
      <c r="I496" s="4285"/>
      <c r="J496" s="4347">
        <v>1508491400</v>
      </c>
      <c r="K496" s="4348">
        <v>37289625</v>
      </c>
      <c r="L496" s="4288">
        <v>1508491400</v>
      </c>
      <c r="M496" s="4289">
        <v>0</v>
      </c>
      <c r="N496" s="4288">
        <v>0</v>
      </c>
      <c r="O496" s="4288">
        <v>0</v>
      </c>
      <c r="P496" s="4288">
        <v>1508491400</v>
      </c>
      <c r="Q496" s="4288">
        <f t="shared" si="93"/>
        <v>0</v>
      </c>
      <c r="R496" s="4290">
        <f t="shared" ref="R496:R501" si="94">+P496/L496*100-100</f>
        <v>0</v>
      </c>
      <c r="S496" s="4356"/>
      <c r="T496" s="4357"/>
      <c r="U496" s="4282"/>
      <c r="V496" s="3925">
        <f t="shared" si="90"/>
        <v>0</v>
      </c>
    </row>
    <row r="497" spans="1:31" s="2069" customFormat="1" ht="15.05" customHeight="1">
      <c r="A497" s="3924"/>
      <c r="B497" s="3924"/>
      <c r="C497" s="3924"/>
      <c r="D497" s="3924"/>
      <c r="E497" s="3924"/>
      <c r="F497" s="4388" t="s">
        <v>50</v>
      </c>
      <c r="G497" s="2826"/>
      <c r="H497" s="3917" t="s">
        <v>85</v>
      </c>
      <c r="I497" s="3917"/>
      <c r="J497" s="3993"/>
      <c r="K497" s="3918"/>
      <c r="L497" s="3919">
        <v>1508491400</v>
      </c>
      <c r="M497" s="3265">
        <v>0</v>
      </c>
      <c r="N497" s="3919">
        <v>0</v>
      </c>
      <c r="O497" s="3919">
        <v>0</v>
      </c>
      <c r="P497" s="3919">
        <v>1508491400</v>
      </c>
      <c r="Q497" s="3919">
        <f t="shared" si="93"/>
        <v>0</v>
      </c>
      <c r="R497" s="3920">
        <f t="shared" si="94"/>
        <v>0</v>
      </c>
      <c r="S497" s="3921"/>
      <c r="T497" s="3922"/>
      <c r="U497" s="3923"/>
      <c r="V497" s="3925">
        <f t="shared" si="90"/>
        <v>0</v>
      </c>
    </row>
    <row r="498" spans="1:31" s="2069" customFormat="1" ht="15.05" hidden="1" customHeight="1">
      <c r="A498" s="3924"/>
      <c r="B498" s="3924"/>
      <c r="C498" s="3924"/>
      <c r="D498" s="3924"/>
      <c r="E498" s="3924"/>
      <c r="F498" s="4388"/>
      <c r="G498" s="2826"/>
      <c r="H498" s="3917"/>
      <c r="I498" s="3917"/>
      <c r="J498" s="3993"/>
      <c r="K498" s="3918"/>
      <c r="L498" s="3919"/>
      <c r="M498" s="3265"/>
      <c r="N498" s="3919"/>
      <c r="O498" s="3919"/>
      <c r="P498" s="3919"/>
      <c r="Q498" s="3919">
        <f t="shared" si="93"/>
        <v>0</v>
      </c>
      <c r="R498" s="3920" t="e">
        <f t="shared" si="94"/>
        <v>#DIV/0!</v>
      </c>
      <c r="S498" s="3921"/>
      <c r="T498" s="3922"/>
      <c r="U498" s="3923"/>
      <c r="V498" s="3925">
        <f t="shared" si="90"/>
        <v>0</v>
      </c>
      <c r="AE498" s="4442"/>
    </row>
    <row r="499" spans="1:31" s="2069" customFormat="1" ht="15.05" customHeight="1">
      <c r="A499" s="3924"/>
      <c r="B499" s="3924"/>
      <c r="C499" s="3924"/>
      <c r="D499" s="3924"/>
      <c r="E499" s="3924"/>
      <c r="F499" s="2865" t="s">
        <v>279</v>
      </c>
      <c r="G499" s="4284"/>
      <c r="H499" s="3917"/>
      <c r="I499" s="3917"/>
      <c r="J499" s="4347">
        <f>J500</f>
        <v>25741600</v>
      </c>
      <c r="K499" s="4348">
        <f>K500</f>
        <v>3610507</v>
      </c>
      <c r="L499" s="4288">
        <v>25741600</v>
      </c>
      <c r="M499" s="4289">
        <v>0</v>
      </c>
      <c r="N499" s="4288">
        <v>0</v>
      </c>
      <c r="O499" s="4288">
        <v>0</v>
      </c>
      <c r="P499" s="4288">
        <v>25741600</v>
      </c>
      <c r="Q499" s="4288">
        <f t="shared" si="93"/>
        <v>0</v>
      </c>
      <c r="R499" s="4290">
        <f t="shared" si="94"/>
        <v>0</v>
      </c>
      <c r="S499" s="4356"/>
      <c r="T499" s="4357"/>
      <c r="U499" s="3923"/>
      <c r="V499" s="3925">
        <f t="shared" si="90"/>
        <v>0</v>
      </c>
    </row>
    <row r="500" spans="1:31" s="2069" customFormat="1" ht="15.05" customHeight="1">
      <c r="A500" s="3924"/>
      <c r="B500" s="3924"/>
      <c r="C500" s="3924"/>
      <c r="D500" s="3924"/>
      <c r="E500" s="3924"/>
      <c r="F500" s="4293" t="s">
        <v>50</v>
      </c>
      <c r="G500" s="2826" t="s">
        <v>631</v>
      </c>
      <c r="H500" s="3917"/>
      <c r="I500" s="3917"/>
      <c r="J500" s="3993">
        <v>25741600</v>
      </c>
      <c r="K500" s="3918">
        <v>3610507</v>
      </c>
      <c r="L500" s="3919">
        <v>25741600</v>
      </c>
      <c r="M500" s="3265">
        <v>0</v>
      </c>
      <c r="N500" s="3919">
        <v>0</v>
      </c>
      <c r="O500" s="3919">
        <v>0</v>
      </c>
      <c r="P500" s="3919">
        <v>25741600</v>
      </c>
      <c r="Q500" s="3919">
        <f t="shared" si="93"/>
        <v>0</v>
      </c>
      <c r="R500" s="3920">
        <f t="shared" si="94"/>
        <v>0</v>
      </c>
      <c r="S500" s="3921"/>
      <c r="T500" s="3922"/>
      <c r="U500" s="3923"/>
      <c r="V500" s="3925">
        <f t="shared" si="90"/>
        <v>0</v>
      </c>
    </row>
    <row r="501" spans="1:31" ht="15.05" hidden="1" customHeight="1">
      <c r="A501" s="1855"/>
      <c r="B501" s="1855"/>
      <c r="C501" s="1855"/>
      <c r="D501" s="1855"/>
      <c r="E501" s="1855"/>
      <c r="F501" s="1857"/>
      <c r="G501" s="1858"/>
      <c r="H501" s="200"/>
      <c r="I501" s="200"/>
      <c r="J501" s="3215"/>
      <c r="K501" s="3171"/>
      <c r="L501" s="3125"/>
      <c r="M501" s="3124"/>
      <c r="N501" s="3125"/>
      <c r="O501" s="3125"/>
      <c r="P501" s="3125"/>
      <c r="Q501" s="3125">
        <f t="shared" si="93"/>
        <v>0</v>
      </c>
      <c r="R501" s="3605" t="e">
        <f t="shared" si="94"/>
        <v>#DIV/0!</v>
      </c>
      <c r="S501" s="3748"/>
      <c r="T501" s="3826"/>
      <c r="U501" s="3778"/>
      <c r="V501" s="1846">
        <f t="shared" si="90"/>
        <v>0</v>
      </c>
    </row>
    <row r="502" spans="1:31" ht="15.05" customHeight="1">
      <c r="A502" s="1855"/>
      <c r="B502" s="1855"/>
      <c r="C502" s="1855"/>
      <c r="D502" s="1855"/>
      <c r="E502" s="1855"/>
      <c r="F502" s="1464" t="s">
        <v>122</v>
      </c>
      <c r="G502" s="1860"/>
      <c r="H502" s="202"/>
      <c r="I502" s="202"/>
      <c r="J502" s="3259"/>
      <c r="K502" s="3123">
        <f>K503</f>
        <v>10539168</v>
      </c>
      <c r="L502" s="3182">
        <v>0</v>
      </c>
      <c r="M502" s="3183">
        <v>140000</v>
      </c>
      <c r="N502" s="3182">
        <v>0</v>
      </c>
      <c r="O502" s="3182">
        <v>140000</v>
      </c>
      <c r="P502" s="3182">
        <v>0</v>
      </c>
      <c r="Q502" s="3182">
        <f t="shared" si="93"/>
        <v>0</v>
      </c>
      <c r="R502" s="3601">
        <v>0</v>
      </c>
      <c r="S502" s="3710"/>
      <c r="T502" s="3829"/>
      <c r="U502" s="3777"/>
      <c r="V502" s="1846">
        <f t="shared" si="90"/>
        <v>560000</v>
      </c>
    </row>
    <row r="503" spans="1:31" s="1840" customFormat="1" ht="15.05" customHeight="1">
      <c r="A503" s="1855"/>
      <c r="B503" s="1855"/>
      <c r="C503" s="1855"/>
      <c r="D503" s="1855"/>
      <c r="E503" s="1855"/>
      <c r="F503" s="1857" t="s">
        <v>50</v>
      </c>
      <c r="G503" s="1858"/>
      <c r="H503" s="200" t="s">
        <v>632</v>
      </c>
      <c r="I503" s="200"/>
      <c r="J503" s="3215"/>
      <c r="K503" s="3171">
        <v>10539168</v>
      </c>
      <c r="L503" s="3125">
        <v>0</v>
      </c>
      <c r="M503" s="3124">
        <v>140000</v>
      </c>
      <c r="N503" s="3125">
        <v>0</v>
      </c>
      <c r="O503" s="3125">
        <v>140000</v>
      </c>
      <c r="P503" s="3125">
        <v>0</v>
      </c>
      <c r="Q503" s="3125">
        <f t="shared" si="93"/>
        <v>0</v>
      </c>
      <c r="R503" s="3601">
        <v>0</v>
      </c>
      <c r="S503" s="3731"/>
      <c r="T503" s="3829"/>
      <c r="U503" s="3778">
        <f>PerDinas!Q628</f>
        <v>0</v>
      </c>
      <c r="V503" s="1882">
        <f t="shared" si="90"/>
        <v>560000</v>
      </c>
    </row>
    <row r="504" spans="1:31" ht="15.05" hidden="1" customHeight="1">
      <c r="A504" s="1855"/>
      <c r="B504" s="1855"/>
      <c r="C504" s="1855"/>
      <c r="D504" s="1855"/>
      <c r="E504" s="1855"/>
      <c r="F504" s="1857"/>
      <c r="G504" s="1858"/>
      <c r="H504" s="200"/>
      <c r="I504" s="200"/>
      <c r="J504" s="3215"/>
      <c r="K504" s="3171"/>
      <c r="L504" s="3125"/>
      <c r="M504" s="3124"/>
      <c r="N504" s="3125"/>
      <c r="O504" s="3125"/>
      <c r="P504" s="3125"/>
      <c r="Q504" s="3125">
        <f t="shared" si="93"/>
        <v>0</v>
      </c>
      <c r="R504" s="3601">
        <v>0</v>
      </c>
      <c r="S504" s="3710"/>
      <c r="T504" s="3829"/>
      <c r="U504" s="3771"/>
      <c r="V504" s="1846">
        <f t="shared" si="90"/>
        <v>0</v>
      </c>
    </row>
    <row r="505" spans="1:31" ht="15.05" customHeight="1">
      <c r="A505" s="1855"/>
      <c r="B505" s="1855"/>
      <c r="C505" s="1855"/>
      <c r="D505" s="1855"/>
      <c r="E505" s="1855"/>
      <c r="F505" s="2874" t="s">
        <v>1192</v>
      </c>
      <c r="G505" s="1860"/>
      <c r="H505" s="200"/>
      <c r="I505" s="200"/>
      <c r="J505" s="3215"/>
      <c r="K505" s="3171">
        <f>K506</f>
        <v>4907140</v>
      </c>
      <c r="L505" s="3182">
        <v>0</v>
      </c>
      <c r="M505" s="3183">
        <v>0</v>
      </c>
      <c r="N505" s="3182">
        <v>0</v>
      </c>
      <c r="O505" s="3182">
        <v>0</v>
      </c>
      <c r="P505" s="3182">
        <v>0</v>
      </c>
      <c r="Q505" s="3182">
        <f t="shared" si="93"/>
        <v>0</v>
      </c>
      <c r="R505" s="3601">
        <v>0</v>
      </c>
      <c r="S505" s="3710"/>
      <c r="T505" s="3829"/>
      <c r="U505" s="3771"/>
      <c r="V505" s="1846">
        <f t="shared" si="90"/>
        <v>0</v>
      </c>
    </row>
    <row r="506" spans="1:31" ht="15.05" customHeight="1">
      <c r="A506" s="1855"/>
      <c r="B506" s="1855"/>
      <c r="C506" s="1855"/>
      <c r="D506" s="1855"/>
      <c r="E506" s="1855"/>
      <c r="F506" s="1857" t="s">
        <v>50</v>
      </c>
      <c r="G506" s="1858"/>
      <c r="H506" s="200" t="s">
        <v>85</v>
      </c>
      <c r="I506" s="200"/>
      <c r="J506" s="3215"/>
      <c r="K506" s="3171">
        <v>4907140</v>
      </c>
      <c r="L506" s="3125">
        <v>0</v>
      </c>
      <c r="M506" s="3124">
        <v>0</v>
      </c>
      <c r="N506" s="3125">
        <v>0</v>
      </c>
      <c r="O506" s="3125">
        <v>0</v>
      </c>
      <c r="P506" s="3125">
        <v>0</v>
      </c>
      <c r="Q506" s="3125">
        <f t="shared" si="93"/>
        <v>0</v>
      </c>
      <c r="R506" s="3601">
        <v>0</v>
      </c>
      <c r="S506" s="3710"/>
      <c r="T506" s="3829"/>
      <c r="U506" s="3771"/>
      <c r="V506" s="1846">
        <f t="shared" si="90"/>
        <v>0</v>
      </c>
    </row>
    <row r="507" spans="1:31" ht="15.05" hidden="1" customHeight="1">
      <c r="A507" s="1855"/>
      <c r="B507" s="1855"/>
      <c r="C507" s="1855"/>
      <c r="D507" s="1855"/>
      <c r="E507" s="1855"/>
      <c r="F507" s="1857"/>
      <c r="G507" s="1858"/>
      <c r="H507" s="202"/>
      <c r="I507" s="202"/>
      <c r="J507" s="3259"/>
      <c r="K507" s="3123"/>
      <c r="L507" s="3308"/>
      <c r="M507" s="3309"/>
      <c r="N507" s="3308"/>
      <c r="O507" s="3308"/>
      <c r="P507" s="3308"/>
      <c r="Q507" s="3308">
        <f t="shared" si="93"/>
        <v>0</v>
      </c>
      <c r="R507" s="3601">
        <v>0</v>
      </c>
      <c r="S507" s="3710"/>
      <c r="T507" s="3829"/>
      <c r="U507" s="3771"/>
      <c r="V507" s="1846">
        <f t="shared" si="90"/>
        <v>0</v>
      </c>
    </row>
    <row r="508" spans="1:31" ht="15.05" customHeight="1">
      <c r="A508" s="1855"/>
      <c r="B508" s="1855"/>
      <c r="C508" s="1855"/>
      <c r="D508" s="1855"/>
      <c r="E508" s="1855"/>
      <c r="F508" s="1464" t="s">
        <v>591</v>
      </c>
      <c r="G508" s="1860"/>
      <c r="H508" s="202"/>
      <c r="I508" s="202"/>
      <c r="J508" s="3259">
        <v>0</v>
      </c>
      <c r="K508" s="3123">
        <v>5742894</v>
      </c>
      <c r="L508" s="3182">
        <v>0</v>
      </c>
      <c r="M508" s="3183">
        <v>0</v>
      </c>
      <c r="N508" s="3182">
        <v>0</v>
      </c>
      <c r="O508" s="3182">
        <v>0</v>
      </c>
      <c r="P508" s="3182">
        <v>0</v>
      </c>
      <c r="Q508" s="3182">
        <f t="shared" si="93"/>
        <v>0</v>
      </c>
      <c r="R508" s="3601">
        <v>0</v>
      </c>
      <c r="S508" s="3710"/>
      <c r="T508" s="3829"/>
      <c r="U508" s="3777"/>
      <c r="V508" s="1846">
        <f t="shared" si="90"/>
        <v>0</v>
      </c>
    </row>
    <row r="509" spans="1:31" s="1840" customFormat="1" ht="15.05" customHeight="1">
      <c r="A509" s="1855"/>
      <c r="B509" s="1855"/>
      <c r="C509" s="1855"/>
      <c r="D509" s="1855"/>
      <c r="E509" s="1855"/>
      <c r="F509" s="1857" t="s">
        <v>50</v>
      </c>
      <c r="G509" s="1858"/>
      <c r="H509" s="200" t="s">
        <v>632</v>
      </c>
      <c r="I509" s="200"/>
      <c r="J509" s="3215">
        <v>0</v>
      </c>
      <c r="K509" s="3171">
        <v>5742894</v>
      </c>
      <c r="L509" s="3125">
        <v>0</v>
      </c>
      <c r="M509" s="3124">
        <v>0</v>
      </c>
      <c r="N509" s="3125">
        <v>0</v>
      </c>
      <c r="O509" s="3125">
        <v>0</v>
      </c>
      <c r="P509" s="3125">
        <v>0</v>
      </c>
      <c r="Q509" s="3125">
        <f t="shared" si="93"/>
        <v>0</v>
      </c>
      <c r="R509" s="3601">
        <v>0</v>
      </c>
      <c r="S509" s="3731"/>
      <c r="T509" s="3829"/>
      <c r="U509" s="3778">
        <f>PerDinas!Q630</f>
        <v>0</v>
      </c>
      <c r="V509" s="1882">
        <f t="shared" si="90"/>
        <v>0</v>
      </c>
    </row>
    <row r="510" spans="1:31" ht="15.05" hidden="1" customHeight="1">
      <c r="A510" s="1855"/>
      <c r="B510" s="1855"/>
      <c r="C510" s="1855"/>
      <c r="D510" s="1855"/>
      <c r="E510" s="1855"/>
      <c r="F510" s="1857"/>
      <c r="G510" s="1858"/>
      <c r="H510" s="2329"/>
      <c r="I510" s="200"/>
      <c r="J510" s="3215"/>
      <c r="K510" s="3171"/>
      <c r="L510" s="3125"/>
      <c r="M510" s="3124"/>
      <c r="N510" s="3125"/>
      <c r="O510" s="3125"/>
      <c r="P510" s="3125"/>
      <c r="Q510" s="3125">
        <f t="shared" si="93"/>
        <v>0</v>
      </c>
      <c r="R510" s="3601">
        <v>0</v>
      </c>
      <c r="S510" s="3710"/>
      <c r="T510" s="3829"/>
      <c r="U510" s="3771"/>
      <c r="V510" s="1846">
        <f t="shared" si="90"/>
        <v>0</v>
      </c>
    </row>
    <row r="511" spans="1:31" ht="15.05" customHeight="1">
      <c r="A511" s="1855"/>
      <c r="B511" s="1855"/>
      <c r="C511" s="1855"/>
      <c r="D511" s="1855"/>
      <c r="E511" s="1855"/>
      <c r="F511" s="2874" t="s">
        <v>1193</v>
      </c>
      <c r="G511" s="1860"/>
      <c r="H511" s="202"/>
      <c r="I511" s="202"/>
      <c r="J511" s="3259">
        <v>0</v>
      </c>
      <c r="K511" s="3200">
        <f>K512</f>
        <v>32700000</v>
      </c>
      <c r="L511" s="3182">
        <v>0</v>
      </c>
      <c r="M511" s="3183">
        <v>0</v>
      </c>
      <c r="N511" s="3182">
        <v>0</v>
      </c>
      <c r="O511" s="3182">
        <v>0</v>
      </c>
      <c r="P511" s="3182">
        <v>0</v>
      </c>
      <c r="Q511" s="3182">
        <f t="shared" si="93"/>
        <v>0</v>
      </c>
      <c r="R511" s="3601">
        <v>0</v>
      </c>
      <c r="S511" s="3710"/>
      <c r="T511" s="3829"/>
      <c r="U511" s="3777"/>
      <c r="V511" s="1846">
        <f t="shared" si="90"/>
        <v>0</v>
      </c>
    </row>
    <row r="512" spans="1:31" ht="15.05" customHeight="1">
      <c r="A512" s="1855"/>
      <c r="B512" s="1855"/>
      <c r="C512" s="1855"/>
      <c r="D512" s="1855"/>
      <c r="E512" s="1855"/>
      <c r="F512" s="1857" t="s">
        <v>50</v>
      </c>
      <c r="G512" s="1858"/>
      <c r="H512" s="200" t="s">
        <v>632</v>
      </c>
      <c r="I512" s="200"/>
      <c r="J512" s="3215">
        <v>0</v>
      </c>
      <c r="K512" s="3193">
        <v>32700000</v>
      </c>
      <c r="L512" s="3125">
        <v>0</v>
      </c>
      <c r="M512" s="3124">
        <v>0</v>
      </c>
      <c r="N512" s="3125">
        <v>0</v>
      </c>
      <c r="O512" s="3125">
        <v>0</v>
      </c>
      <c r="P512" s="3125">
        <v>0</v>
      </c>
      <c r="Q512" s="3125">
        <f t="shared" si="93"/>
        <v>0</v>
      </c>
      <c r="R512" s="3601">
        <v>0</v>
      </c>
      <c r="S512" s="3731"/>
      <c r="T512" s="3829"/>
      <c r="U512" s="3778">
        <f>PerDinas!Q631</f>
        <v>0</v>
      </c>
      <c r="V512" s="1846">
        <f t="shared" si="90"/>
        <v>0</v>
      </c>
    </row>
    <row r="513" spans="1:22" ht="15.05" hidden="1" customHeight="1">
      <c r="A513" s="1855"/>
      <c r="B513" s="1855"/>
      <c r="C513" s="1855"/>
      <c r="D513" s="1855"/>
      <c r="E513" s="1855"/>
      <c r="F513" s="1857"/>
      <c r="G513" s="1858"/>
      <c r="H513" s="200"/>
      <c r="I513" s="200"/>
      <c r="J513" s="3215"/>
      <c r="K513" s="3171"/>
      <c r="L513" s="3125"/>
      <c r="M513" s="3124"/>
      <c r="N513" s="3125"/>
      <c r="O513" s="3125"/>
      <c r="P513" s="3125"/>
      <c r="Q513" s="3125">
        <f t="shared" si="93"/>
        <v>0</v>
      </c>
      <c r="R513" s="3601">
        <v>0</v>
      </c>
      <c r="S513" s="3731"/>
      <c r="T513" s="3829"/>
      <c r="U513" s="3778"/>
      <c r="V513" s="1846">
        <f t="shared" si="90"/>
        <v>0</v>
      </c>
    </row>
    <row r="514" spans="1:22" ht="15.05" customHeight="1">
      <c r="A514" s="1855"/>
      <c r="B514" s="1855"/>
      <c r="C514" s="1855"/>
      <c r="D514" s="1855"/>
      <c r="E514" s="1855"/>
      <c r="F514" s="1464" t="s">
        <v>633</v>
      </c>
      <c r="G514" s="1860"/>
      <c r="H514" s="202"/>
      <c r="I514" s="202"/>
      <c r="J514" s="3259">
        <v>0</v>
      </c>
      <c r="K514" s="3123">
        <v>46795750</v>
      </c>
      <c r="L514" s="3182">
        <v>0</v>
      </c>
      <c r="M514" s="3183">
        <v>720000</v>
      </c>
      <c r="N514" s="3182">
        <v>0</v>
      </c>
      <c r="O514" s="3182">
        <v>720000</v>
      </c>
      <c r="P514" s="3182">
        <v>0</v>
      </c>
      <c r="Q514" s="3182">
        <f t="shared" si="93"/>
        <v>0</v>
      </c>
      <c r="R514" s="3601">
        <v>0</v>
      </c>
      <c r="S514" s="3710"/>
      <c r="T514" s="3829"/>
      <c r="U514" s="3777"/>
      <c r="V514" s="1846">
        <f t="shared" si="90"/>
        <v>2880000</v>
      </c>
    </row>
    <row r="515" spans="1:22" s="1840" customFormat="1" ht="15.05" customHeight="1">
      <c r="A515" s="1855"/>
      <c r="B515" s="1855"/>
      <c r="C515" s="1855"/>
      <c r="D515" s="1855"/>
      <c r="E515" s="1855"/>
      <c r="F515" s="1857" t="s">
        <v>50</v>
      </c>
      <c r="G515" s="1858"/>
      <c r="H515" s="200" t="s">
        <v>85</v>
      </c>
      <c r="I515" s="200"/>
      <c r="J515" s="3215">
        <v>0</v>
      </c>
      <c r="K515" s="3171">
        <v>46795750</v>
      </c>
      <c r="L515" s="3125">
        <v>0</v>
      </c>
      <c r="M515" s="3124">
        <v>720000</v>
      </c>
      <c r="N515" s="3125">
        <v>0</v>
      </c>
      <c r="O515" s="3125">
        <v>720000</v>
      </c>
      <c r="P515" s="3125">
        <v>0</v>
      </c>
      <c r="Q515" s="3125">
        <f t="shared" si="93"/>
        <v>0</v>
      </c>
      <c r="R515" s="3601">
        <v>0</v>
      </c>
      <c r="S515" s="3731"/>
      <c r="T515" s="3829"/>
      <c r="U515" s="3778">
        <f>PerDinas!Q624</f>
        <v>0</v>
      </c>
      <c r="V515" s="1882">
        <f t="shared" si="90"/>
        <v>2880000</v>
      </c>
    </row>
    <row r="516" spans="1:22" ht="15.05" hidden="1" customHeight="1">
      <c r="A516" s="1855"/>
      <c r="B516" s="1855"/>
      <c r="C516" s="1855"/>
      <c r="D516" s="1855"/>
      <c r="E516" s="1855"/>
      <c r="F516" s="1857"/>
      <c r="G516" s="1858"/>
      <c r="H516" s="2329"/>
      <c r="I516" s="200"/>
      <c r="J516" s="3215"/>
      <c r="K516" s="3171"/>
      <c r="L516" s="3125"/>
      <c r="M516" s="3124"/>
      <c r="N516" s="3125"/>
      <c r="O516" s="3125"/>
      <c r="P516" s="3125"/>
      <c r="Q516" s="3125">
        <f t="shared" si="93"/>
        <v>0</v>
      </c>
      <c r="R516" s="3601">
        <v>0</v>
      </c>
      <c r="S516" s="3710"/>
      <c r="T516" s="3829"/>
      <c r="U516" s="3771"/>
      <c r="V516" s="1846">
        <f t="shared" si="90"/>
        <v>0</v>
      </c>
    </row>
    <row r="517" spans="1:22" ht="15.05" customHeight="1">
      <c r="A517" s="1855"/>
      <c r="B517" s="1855"/>
      <c r="C517" s="1855"/>
      <c r="D517" s="1855"/>
      <c r="E517" s="1855"/>
      <c r="F517" s="1464" t="s">
        <v>634</v>
      </c>
      <c r="G517" s="1860"/>
      <c r="H517" s="202"/>
      <c r="I517" s="202"/>
      <c r="J517" s="3259">
        <v>0</v>
      </c>
      <c r="K517" s="3123">
        <v>6050000</v>
      </c>
      <c r="L517" s="3182">
        <v>0</v>
      </c>
      <c r="M517" s="3183">
        <v>0</v>
      </c>
      <c r="N517" s="3182">
        <v>0</v>
      </c>
      <c r="O517" s="3182">
        <v>0</v>
      </c>
      <c r="P517" s="3182">
        <v>0</v>
      </c>
      <c r="Q517" s="3182">
        <f t="shared" si="93"/>
        <v>0</v>
      </c>
      <c r="R517" s="3601">
        <v>0</v>
      </c>
      <c r="S517" s="3710"/>
      <c r="T517" s="3829"/>
      <c r="U517" s="3777"/>
      <c r="V517" s="1846">
        <f t="shared" si="90"/>
        <v>0</v>
      </c>
    </row>
    <row r="518" spans="1:22" s="1840" customFormat="1" ht="15.05" customHeight="1">
      <c r="A518" s="1855"/>
      <c r="B518" s="1855"/>
      <c r="C518" s="1855"/>
      <c r="D518" s="1855"/>
      <c r="E518" s="1855"/>
      <c r="F518" s="1857" t="s">
        <v>50</v>
      </c>
      <c r="G518" s="1858"/>
      <c r="H518" s="200" t="s">
        <v>635</v>
      </c>
      <c r="I518" s="200"/>
      <c r="J518" s="3215">
        <v>0</v>
      </c>
      <c r="K518" s="3171">
        <v>6050000</v>
      </c>
      <c r="L518" s="3125">
        <v>0</v>
      </c>
      <c r="M518" s="3124">
        <v>0</v>
      </c>
      <c r="N518" s="3125">
        <v>0</v>
      </c>
      <c r="O518" s="3125">
        <v>0</v>
      </c>
      <c r="P518" s="3125">
        <v>0</v>
      </c>
      <c r="Q518" s="3125">
        <f t="shared" si="93"/>
        <v>0</v>
      </c>
      <c r="R518" s="3601">
        <v>0</v>
      </c>
      <c r="S518" s="3731"/>
      <c r="T518" s="3829"/>
      <c r="U518" s="3778">
        <f>PerDinas!Q626</f>
        <v>0</v>
      </c>
      <c r="V518" s="1882">
        <f t="shared" si="90"/>
        <v>0</v>
      </c>
    </row>
    <row r="519" spans="1:22" ht="15.05" customHeight="1">
      <c r="A519" s="1855"/>
      <c r="B519" s="1855"/>
      <c r="C519" s="1855"/>
      <c r="D519" s="1855"/>
      <c r="E519" s="1855"/>
      <c r="F519" s="1857" t="s">
        <v>50</v>
      </c>
      <c r="G519" s="1858"/>
      <c r="H519" s="200" t="s">
        <v>85</v>
      </c>
      <c r="I519" s="200"/>
      <c r="J519" s="3215">
        <v>0</v>
      </c>
      <c r="K519" s="3171">
        <v>0</v>
      </c>
      <c r="L519" s="3125">
        <v>0</v>
      </c>
      <c r="M519" s="3124">
        <v>0</v>
      </c>
      <c r="N519" s="3125">
        <v>0</v>
      </c>
      <c r="O519" s="3125">
        <v>0</v>
      </c>
      <c r="P519" s="3125">
        <v>0</v>
      </c>
      <c r="Q519" s="3125">
        <f t="shared" si="93"/>
        <v>0</v>
      </c>
      <c r="R519" s="3601">
        <v>0</v>
      </c>
      <c r="S519" s="3710"/>
      <c r="T519" s="3829"/>
      <c r="U519" s="3771"/>
      <c r="V519" s="1846">
        <f t="shared" si="90"/>
        <v>0</v>
      </c>
    </row>
    <row r="520" spans="1:22" ht="15.05" customHeight="1">
      <c r="A520" s="1855"/>
      <c r="B520" s="1855"/>
      <c r="C520" s="1855"/>
      <c r="D520" s="1855"/>
      <c r="E520" s="1855"/>
      <c r="F520" s="1464" t="s">
        <v>579</v>
      </c>
      <c r="G520" s="1860"/>
      <c r="H520" s="202"/>
      <c r="I520" s="202"/>
      <c r="J520" s="3259">
        <v>0</v>
      </c>
      <c r="K520" s="3123">
        <v>0</v>
      </c>
      <c r="L520" s="3182">
        <v>0</v>
      </c>
      <c r="M520" s="3183">
        <v>0</v>
      </c>
      <c r="N520" s="3182">
        <v>0</v>
      </c>
      <c r="O520" s="3182">
        <v>0</v>
      </c>
      <c r="P520" s="3182">
        <v>0</v>
      </c>
      <c r="Q520" s="3182">
        <f t="shared" si="93"/>
        <v>0</v>
      </c>
      <c r="R520" s="3601">
        <v>0</v>
      </c>
      <c r="S520" s="3710"/>
      <c r="T520" s="3829"/>
      <c r="U520" s="3777"/>
      <c r="V520" s="1846">
        <f t="shared" si="90"/>
        <v>0</v>
      </c>
    </row>
    <row r="521" spans="1:22" ht="12.05" customHeight="1">
      <c r="A521" s="1855"/>
      <c r="B521" s="1855"/>
      <c r="C521" s="1855"/>
      <c r="D521" s="1855"/>
      <c r="E521" s="1855"/>
      <c r="F521" s="1857" t="s">
        <v>50</v>
      </c>
      <c r="G521" s="1858"/>
      <c r="H521" s="200" t="s">
        <v>85</v>
      </c>
      <c r="I521" s="200"/>
      <c r="J521" s="3215">
        <v>0</v>
      </c>
      <c r="K521" s="3171">
        <v>0</v>
      </c>
      <c r="L521" s="3125">
        <v>0</v>
      </c>
      <c r="M521" s="3124">
        <v>0</v>
      </c>
      <c r="N521" s="3125">
        <v>0</v>
      </c>
      <c r="O521" s="3125">
        <v>0</v>
      </c>
      <c r="P521" s="3125">
        <v>0</v>
      </c>
      <c r="Q521" s="3125">
        <f t="shared" si="93"/>
        <v>0</v>
      </c>
      <c r="R521" s="3601">
        <v>0</v>
      </c>
      <c r="S521" s="3731"/>
      <c r="T521" s="3829"/>
      <c r="U521" s="3778">
        <f>PerDinas!Q1066</f>
        <v>0</v>
      </c>
      <c r="V521" s="1846">
        <f t="shared" si="90"/>
        <v>0</v>
      </c>
    </row>
    <row r="522" spans="1:22" ht="15.05" customHeight="1">
      <c r="A522" s="1855"/>
      <c r="B522" s="1855"/>
      <c r="C522" s="1855"/>
      <c r="D522" s="1855"/>
      <c r="E522" s="1855"/>
      <c r="F522" s="1464" t="s">
        <v>570</v>
      </c>
      <c r="G522" s="1860"/>
      <c r="H522" s="202"/>
      <c r="I522" s="202"/>
      <c r="J522" s="3259">
        <v>0</v>
      </c>
      <c r="K522" s="3123">
        <v>90592600</v>
      </c>
      <c r="L522" s="3182">
        <v>0</v>
      </c>
      <c r="M522" s="3183">
        <v>10809500</v>
      </c>
      <c r="N522" s="3182">
        <v>0</v>
      </c>
      <c r="O522" s="3182">
        <v>10809500</v>
      </c>
      <c r="P522" s="3182">
        <v>0</v>
      </c>
      <c r="Q522" s="3182">
        <f t="shared" si="93"/>
        <v>0</v>
      </c>
      <c r="R522" s="3601">
        <v>0</v>
      </c>
      <c r="S522" s="3710"/>
      <c r="T522" s="3829"/>
      <c r="U522" s="3777"/>
      <c r="V522" s="1846">
        <f t="shared" si="90"/>
        <v>43238000</v>
      </c>
    </row>
    <row r="523" spans="1:22" s="1840" customFormat="1" ht="15.05" customHeight="1">
      <c r="A523" s="1855"/>
      <c r="B523" s="1855"/>
      <c r="C523" s="1855"/>
      <c r="D523" s="1855"/>
      <c r="E523" s="1855"/>
      <c r="F523" s="1857" t="s">
        <v>50</v>
      </c>
      <c r="G523" s="1858"/>
      <c r="H523" s="200" t="s">
        <v>85</v>
      </c>
      <c r="I523" s="200"/>
      <c r="J523" s="3215">
        <v>0</v>
      </c>
      <c r="K523" s="3171">
        <v>90592600</v>
      </c>
      <c r="L523" s="3125">
        <v>0</v>
      </c>
      <c r="M523" s="3124">
        <v>10809500</v>
      </c>
      <c r="N523" s="3125">
        <v>0</v>
      </c>
      <c r="O523" s="3125">
        <v>10809500</v>
      </c>
      <c r="P523" s="3125">
        <v>0</v>
      </c>
      <c r="Q523" s="3125">
        <f t="shared" si="93"/>
        <v>0</v>
      </c>
      <c r="R523" s="3601">
        <v>0</v>
      </c>
      <c r="S523" s="3731"/>
      <c r="T523" s="3829"/>
      <c r="U523" s="3778">
        <f>PerDinas!Q633</f>
        <v>0</v>
      </c>
      <c r="V523" s="1882">
        <f t="shared" si="90"/>
        <v>43238000</v>
      </c>
    </row>
    <row r="524" spans="1:22" ht="15.05" hidden="1" customHeight="1">
      <c r="A524" s="1855"/>
      <c r="B524" s="1855"/>
      <c r="C524" s="1855"/>
      <c r="D524" s="1855"/>
      <c r="E524" s="1855"/>
      <c r="F524" s="1857"/>
      <c r="G524" s="1858"/>
      <c r="H524" s="200"/>
      <c r="I524" s="200"/>
      <c r="J524" s="3215"/>
      <c r="K524" s="3171"/>
      <c r="L524" s="3125"/>
      <c r="M524" s="3124"/>
      <c r="N524" s="3125"/>
      <c r="O524" s="3125"/>
      <c r="P524" s="3125"/>
      <c r="Q524" s="3125">
        <f t="shared" si="93"/>
        <v>0</v>
      </c>
      <c r="R524" s="3601">
        <v>0</v>
      </c>
      <c r="S524" s="3710"/>
      <c r="T524" s="3829"/>
      <c r="U524" s="3771"/>
      <c r="V524" s="1846">
        <f t="shared" si="90"/>
        <v>0</v>
      </c>
    </row>
    <row r="525" spans="1:22" ht="15.05" customHeight="1">
      <c r="A525" s="1855"/>
      <c r="B525" s="1855"/>
      <c r="C525" s="1855"/>
      <c r="D525" s="1855"/>
      <c r="E525" s="1855"/>
      <c r="F525" s="2825" t="s">
        <v>636</v>
      </c>
      <c r="G525" s="1860"/>
      <c r="H525" s="202"/>
      <c r="I525" s="202"/>
      <c r="J525" s="3259"/>
      <c r="K525" s="3123"/>
      <c r="L525" s="3182">
        <v>0</v>
      </c>
      <c r="M525" s="3183">
        <v>0</v>
      </c>
      <c r="N525" s="3182">
        <v>0</v>
      </c>
      <c r="O525" s="3182">
        <v>0</v>
      </c>
      <c r="P525" s="3182">
        <v>0</v>
      </c>
      <c r="Q525" s="3182">
        <f t="shared" si="93"/>
        <v>0</v>
      </c>
      <c r="R525" s="3601">
        <v>0</v>
      </c>
      <c r="S525" s="3710"/>
      <c r="T525" s="3829"/>
      <c r="U525" s="3777"/>
      <c r="V525" s="1846">
        <f t="shared" si="90"/>
        <v>0</v>
      </c>
    </row>
    <row r="526" spans="1:22" ht="15.05" customHeight="1">
      <c r="A526" s="1855"/>
      <c r="B526" s="1855"/>
      <c r="C526" s="1855"/>
      <c r="D526" s="1855"/>
      <c r="E526" s="1855"/>
      <c r="F526" s="1857" t="s">
        <v>50</v>
      </c>
      <c r="G526" s="1858"/>
      <c r="H526" s="200" t="s">
        <v>631</v>
      </c>
      <c r="I526" s="200"/>
      <c r="J526" s="3215"/>
      <c r="K526" s="3171"/>
      <c r="L526" s="3125">
        <v>0</v>
      </c>
      <c r="M526" s="3124">
        <v>0</v>
      </c>
      <c r="N526" s="3125">
        <v>0</v>
      </c>
      <c r="O526" s="3125">
        <v>0</v>
      </c>
      <c r="P526" s="3125">
        <v>0</v>
      </c>
      <c r="Q526" s="3125">
        <f t="shared" si="93"/>
        <v>0</v>
      </c>
      <c r="R526" s="3601">
        <v>0</v>
      </c>
      <c r="S526" s="3731"/>
      <c r="T526" s="3829"/>
      <c r="U526" s="3778">
        <f>PerDinas!Q56</f>
        <v>0</v>
      </c>
      <c r="V526" s="1846">
        <f t="shared" si="90"/>
        <v>0</v>
      </c>
    </row>
    <row r="527" spans="1:22" ht="15.05" customHeight="1">
      <c r="A527" s="1855"/>
      <c r="B527" s="1855"/>
      <c r="C527" s="1855"/>
      <c r="D527" s="1855"/>
      <c r="E527" s="1855"/>
      <c r="F527" s="1464" t="s">
        <v>637</v>
      </c>
      <c r="G527" s="1860"/>
      <c r="H527" s="202"/>
      <c r="I527" s="202"/>
      <c r="J527" s="3259"/>
      <c r="K527" s="3123"/>
      <c r="L527" s="3182">
        <v>0</v>
      </c>
      <c r="M527" s="3183">
        <v>0</v>
      </c>
      <c r="N527" s="3182">
        <v>0</v>
      </c>
      <c r="O527" s="3182">
        <v>0</v>
      </c>
      <c r="P527" s="3182">
        <v>0</v>
      </c>
      <c r="Q527" s="3182">
        <f t="shared" si="93"/>
        <v>0</v>
      </c>
      <c r="R527" s="3601">
        <v>0</v>
      </c>
      <c r="S527" s="3710"/>
      <c r="T527" s="3829"/>
      <c r="U527" s="3777"/>
      <c r="V527" s="1846">
        <f t="shared" si="90"/>
        <v>0</v>
      </c>
    </row>
    <row r="528" spans="1:22" ht="15.05" customHeight="1">
      <c r="A528" s="1855"/>
      <c r="B528" s="1855"/>
      <c r="C528" s="1855"/>
      <c r="D528" s="1855"/>
      <c r="E528" s="1855"/>
      <c r="F528" s="1857" t="s">
        <v>50</v>
      </c>
      <c r="G528" s="1858"/>
      <c r="H528" s="200" t="s">
        <v>85</v>
      </c>
      <c r="I528" s="200"/>
      <c r="J528" s="3215"/>
      <c r="K528" s="3171"/>
      <c r="L528" s="3125">
        <v>0</v>
      </c>
      <c r="M528" s="3124">
        <v>0</v>
      </c>
      <c r="N528" s="3125">
        <v>0</v>
      </c>
      <c r="O528" s="3125">
        <v>0</v>
      </c>
      <c r="P528" s="3125">
        <v>0</v>
      </c>
      <c r="Q528" s="3125">
        <f t="shared" si="93"/>
        <v>0</v>
      </c>
      <c r="R528" s="3601">
        <v>0</v>
      </c>
      <c r="S528" s="3710"/>
      <c r="T528" s="3829"/>
      <c r="U528" s="3771"/>
      <c r="V528" s="1846">
        <f t="shared" si="90"/>
        <v>0</v>
      </c>
    </row>
    <row r="529" spans="1:22" ht="15.05" customHeight="1">
      <c r="A529" s="1855"/>
      <c r="B529" s="1855"/>
      <c r="C529" s="1855"/>
      <c r="D529" s="1855"/>
      <c r="E529" s="1855"/>
      <c r="F529" s="1464" t="s">
        <v>638</v>
      </c>
      <c r="G529" s="1860"/>
      <c r="H529" s="202"/>
      <c r="I529" s="202"/>
      <c r="J529" s="3259"/>
      <c r="K529" s="3123"/>
      <c r="L529" s="3182">
        <v>0</v>
      </c>
      <c r="M529" s="3183">
        <v>0</v>
      </c>
      <c r="N529" s="3182">
        <v>0</v>
      </c>
      <c r="O529" s="3182">
        <v>0</v>
      </c>
      <c r="P529" s="3182">
        <v>0</v>
      </c>
      <c r="Q529" s="3182">
        <f t="shared" si="93"/>
        <v>0</v>
      </c>
      <c r="R529" s="3601">
        <v>0</v>
      </c>
      <c r="S529" s="3710"/>
      <c r="T529" s="3829"/>
      <c r="U529" s="3777"/>
      <c r="V529" s="1846">
        <f t="shared" si="90"/>
        <v>0</v>
      </c>
    </row>
    <row r="530" spans="1:22" ht="15.05" customHeight="1">
      <c r="A530" s="1855"/>
      <c r="B530" s="1855"/>
      <c r="C530" s="1855"/>
      <c r="D530" s="1855"/>
      <c r="E530" s="1855"/>
      <c r="F530" s="1857" t="s">
        <v>50</v>
      </c>
      <c r="G530" s="1858"/>
      <c r="H530" s="200" t="s">
        <v>85</v>
      </c>
      <c r="I530" s="200"/>
      <c r="J530" s="3215"/>
      <c r="K530" s="3171"/>
      <c r="L530" s="3125"/>
      <c r="M530" s="3124"/>
      <c r="N530" s="3125"/>
      <c r="O530" s="3125"/>
      <c r="P530" s="3125"/>
      <c r="Q530" s="3125">
        <f t="shared" si="93"/>
        <v>0</v>
      </c>
      <c r="R530" s="3601">
        <v>0</v>
      </c>
      <c r="S530" s="3710"/>
      <c r="T530" s="3829"/>
      <c r="U530" s="3771"/>
      <c r="V530" s="1846">
        <f t="shared" si="90"/>
        <v>0</v>
      </c>
    </row>
    <row r="531" spans="1:22" ht="15.05" customHeight="1">
      <c r="A531" s="1855"/>
      <c r="B531" s="1855"/>
      <c r="C531" s="1855"/>
      <c r="D531" s="1855"/>
      <c r="E531" s="1855"/>
      <c r="F531" s="1464" t="s">
        <v>639</v>
      </c>
      <c r="G531" s="1860"/>
      <c r="H531" s="202"/>
      <c r="I531" s="202"/>
      <c r="J531" s="3259"/>
      <c r="K531" s="3123"/>
      <c r="L531" s="3182">
        <v>0</v>
      </c>
      <c r="M531" s="3183">
        <v>0</v>
      </c>
      <c r="N531" s="3182">
        <v>0</v>
      </c>
      <c r="O531" s="3182">
        <v>0</v>
      </c>
      <c r="P531" s="3182">
        <v>0</v>
      </c>
      <c r="Q531" s="3182">
        <f t="shared" si="93"/>
        <v>0</v>
      </c>
      <c r="R531" s="3601">
        <v>0</v>
      </c>
      <c r="S531" s="3710"/>
      <c r="T531" s="3829"/>
      <c r="U531" s="3777"/>
      <c r="V531" s="1846">
        <f t="shared" si="90"/>
        <v>0</v>
      </c>
    </row>
    <row r="532" spans="1:22" ht="15.05" customHeight="1">
      <c r="A532" s="1855"/>
      <c r="B532" s="1855"/>
      <c r="C532" s="1855"/>
      <c r="D532" s="1855"/>
      <c r="E532" s="1855"/>
      <c r="F532" s="1857" t="s">
        <v>50</v>
      </c>
      <c r="G532" s="1858"/>
      <c r="H532" s="200" t="s">
        <v>640</v>
      </c>
      <c r="I532" s="200"/>
      <c r="J532" s="3215"/>
      <c r="K532" s="3171"/>
      <c r="L532" s="3125">
        <v>0</v>
      </c>
      <c r="M532" s="3124">
        <v>0</v>
      </c>
      <c r="N532" s="3125">
        <v>0</v>
      </c>
      <c r="O532" s="3125">
        <v>0</v>
      </c>
      <c r="P532" s="3125">
        <v>0</v>
      </c>
      <c r="Q532" s="3125">
        <f t="shared" si="93"/>
        <v>0</v>
      </c>
      <c r="R532" s="3601">
        <v>0</v>
      </c>
      <c r="S532" s="3731"/>
      <c r="T532" s="3829"/>
      <c r="U532" s="3778">
        <f>PerDinas!Q606</f>
        <v>0</v>
      </c>
      <c r="V532" s="1846">
        <f t="shared" si="90"/>
        <v>0</v>
      </c>
    </row>
    <row r="533" spans="1:22" ht="15.05" customHeight="1">
      <c r="A533" s="1855"/>
      <c r="B533" s="1855"/>
      <c r="C533" s="1855"/>
      <c r="D533" s="1855"/>
      <c r="E533" s="1855"/>
      <c r="F533" s="1464" t="s">
        <v>641</v>
      </c>
      <c r="G533" s="1860"/>
      <c r="H533" s="202"/>
      <c r="I533" s="202"/>
      <c r="J533" s="3259"/>
      <c r="K533" s="3123"/>
      <c r="L533" s="3182">
        <v>0</v>
      </c>
      <c r="M533" s="3183">
        <v>0</v>
      </c>
      <c r="N533" s="3182">
        <v>0</v>
      </c>
      <c r="O533" s="3182">
        <v>0</v>
      </c>
      <c r="P533" s="3182">
        <v>0</v>
      </c>
      <c r="Q533" s="3182">
        <f t="shared" si="93"/>
        <v>0</v>
      </c>
      <c r="R533" s="3601">
        <v>0</v>
      </c>
      <c r="S533" s="3710"/>
      <c r="T533" s="3829"/>
      <c r="U533" s="3777"/>
      <c r="V533" s="1846">
        <f t="shared" ref="V533:V582" si="95">O533*4</f>
        <v>0</v>
      </c>
    </row>
    <row r="534" spans="1:22" ht="15.05" customHeight="1">
      <c r="A534" s="1855"/>
      <c r="B534" s="1855"/>
      <c r="C534" s="1855"/>
      <c r="D534" s="1855"/>
      <c r="E534" s="1855"/>
      <c r="F534" s="1857" t="s">
        <v>50</v>
      </c>
      <c r="G534" s="1858"/>
      <c r="H534" s="200" t="s">
        <v>85</v>
      </c>
      <c r="I534" s="200"/>
      <c r="J534" s="3215"/>
      <c r="K534" s="3171"/>
      <c r="L534" s="3125">
        <v>0</v>
      </c>
      <c r="M534" s="3124">
        <v>0</v>
      </c>
      <c r="N534" s="3125">
        <v>0</v>
      </c>
      <c r="O534" s="3125">
        <v>0</v>
      </c>
      <c r="P534" s="3125">
        <v>0</v>
      </c>
      <c r="Q534" s="3125">
        <f t="shared" si="93"/>
        <v>0</v>
      </c>
      <c r="R534" s="3601">
        <v>0</v>
      </c>
      <c r="S534" s="3710"/>
      <c r="T534" s="3829"/>
      <c r="U534" s="3771"/>
      <c r="V534" s="1846">
        <f t="shared" si="95"/>
        <v>0</v>
      </c>
    </row>
    <row r="535" spans="1:22" ht="15.05" hidden="1" customHeight="1">
      <c r="A535" s="1855"/>
      <c r="B535" s="1855"/>
      <c r="C535" s="1855"/>
      <c r="D535" s="1855"/>
      <c r="E535" s="1855"/>
      <c r="F535" s="1464" t="s">
        <v>642</v>
      </c>
      <c r="G535" s="1860"/>
      <c r="H535" s="202"/>
      <c r="I535" s="202"/>
      <c r="J535" s="3259"/>
      <c r="K535" s="3123"/>
      <c r="L535" s="3182">
        <v>0</v>
      </c>
      <c r="M535" s="3183">
        <v>0</v>
      </c>
      <c r="N535" s="3182">
        <v>0</v>
      </c>
      <c r="O535" s="3182">
        <v>0</v>
      </c>
      <c r="P535" s="3182">
        <v>0</v>
      </c>
      <c r="Q535" s="3182">
        <f t="shared" si="93"/>
        <v>0</v>
      </c>
      <c r="R535" s="3601">
        <v>0</v>
      </c>
      <c r="S535" s="3710"/>
      <c r="T535" s="3829"/>
      <c r="U535" s="3777"/>
      <c r="V535" s="1846">
        <f t="shared" si="95"/>
        <v>0</v>
      </c>
    </row>
    <row r="536" spans="1:22" ht="15.05" hidden="1" customHeight="1">
      <c r="A536" s="1855"/>
      <c r="B536" s="1855"/>
      <c r="C536" s="1855"/>
      <c r="D536" s="1855"/>
      <c r="E536" s="1855"/>
      <c r="F536" s="1857"/>
      <c r="G536" s="1858"/>
      <c r="H536" s="200"/>
      <c r="I536" s="200"/>
      <c r="J536" s="3215"/>
      <c r="K536" s="3171"/>
      <c r="L536" s="3125"/>
      <c r="M536" s="3124"/>
      <c r="N536" s="3125"/>
      <c r="O536" s="3125"/>
      <c r="P536" s="3125"/>
      <c r="Q536" s="3125">
        <f t="shared" si="93"/>
        <v>0</v>
      </c>
      <c r="R536" s="3601">
        <v>0</v>
      </c>
      <c r="S536" s="3710"/>
      <c r="T536" s="3829"/>
      <c r="U536" s="3771"/>
      <c r="V536" s="1846">
        <f t="shared" si="95"/>
        <v>0</v>
      </c>
    </row>
    <row r="537" spans="1:22" s="2069" customFormat="1" ht="15.05" customHeight="1">
      <c r="A537" s="3924"/>
      <c r="B537" s="3924"/>
      <c r="C537" s="3924"/>
      <c r="D537" s="3924"/>
      <c r="E537" s="3924"/>
      <c r="F537" s="2865" t="s">
        <v>643</v>
      </c>
      <c r="G537" s="4284"/>
      <c r="H537" s="4285"/>
      <c r="I537" s="4285"/>
      <c r="J537" s="4347">
        <v>1100000</v>
      </c>
      <c r="K537" s="4348">
        <v>0</v>
      </c>
      <c r="L537" s="4288">
        <v>1100000</v>
      </c>
      <c r="M537" s="4289">
        <v>0</v>
      </c>
      <c r="N537" s="4288">
        <v>0</v>
      </c>
      <c r="O537" s="4288">
        <v>0</v>
      </c>
      <c r="P537" s="4288">
        <v>1100000</v>
      </c>
      <c r="Q537" s="4288">
        <f t="shared" si="93"/>
        <v>0</v>
      </c>
      <c r="R537" s="4290">
        <v>0</v>
      </c>
      <c r="S537" s="4356"/>
      <c r="T537" s="4357"/>
      <c r="U537" s="4282"/>
      <c r="V537" s="3925">
        <f t="shared" si="95"/>
        <v>0</v>
      </c>
    </row>
    <row r="538" spans="1:22" s="4444" customFormat="1" ht="15.05" customHeight="1">
      <c r="A538" s="3924"/>
      <c r="B538" s="3924"/>
      <c r="C538" s="3924"/>
      <c r="D538" s="3924"/>
      <c r="E538" s="3924"/>
      <c r="F538" s="4388" t="s">
        <v>50</v>
      </c>
      <c r="G538" s="2826"/>
      <c r="H538" s="3917" t="s">
        <v>85</v>
      </c>
      <c r="I538" s="3917"/>
      <c r="J538" s="3993">
        <v>1100000</v>
      </c>
      <c r="K538" s="3918">
        <v>0</v>
      </c>
      <c r="L538" s="3919">
        <v>1100000</v>
      </c>
      <c r="M538" s="3265">
        <v>0</v>
      </c>
      <c r="N538" s="3919">
        <v>0</v>
      </c>
      <c r="O538" s="3919">
        <v>0</v>
      </c>
      <c r="P538" s="3919">
        <v>1100000</v>
      </c>
      <c r="Q538" s="3919">
        <f t="shared" si="93"/>
        <v>0</v>
      </c>
      <c r="R538" s="4290">
        <v>0</v>
      </c>
      <c r="S538" s="4385"/>
      <c r="T538" s="4357"/>
      <c r="U538" s="4353">
        <f>PerDinas!Q601</f>
        <v>0</v>
      </c>
      <c r="V538" s="4443">
        <f t="shared" si="95"/>
        <v>0</v>
      </c>
    </row>
    <row r="539" spans="1:22" ht="15.05" customHeight="1">
      <c r="A539" s="1855"/>
      <c r="B539" s="1855"/>
      <c r="C539" s="1855"/>
      <c r="D539" s="1855"/>
      <c r="E539" s="1855"/>
      <c r="F539" s="1464" t="s">
        <v>62</v>
      </c>
      <c r="G539" s="1860"/>
      <c r="H539" s="202"/>
      <c r="I539" s="202"/>
      <c r="J539" s="3259"/>
      <c r="K539" s="3123"/>
      <c r="L539" s="3182">
        <v>0</v>
      </c>
      <c r="M539" s="3183">
        <v>0</v>
      </c>
      <c r="N539" s="3182">
        <v>0</v>
      </c>
      <c r="O539" s="3182">
        <v>0</v>
      </c>
      <c r="P539" s="3182">
        <v>0</v>
      </c>
      <c r="Q539" s="3182">
        <f t="shared" si="93"/>
        <v>0</v>
      </c>
      <c r="R539" s="3601">
        <v>0</v>
      </c>
      <c r="S539" s="3710"/>
      <c r="T539" s="3829"/>
      <c r="U539" s="3777"/>
      <c r="V539" s="1846">
        <f t="shared" si="95"/>
        <v>0</v>
      </c>
    </row>
    <row r="540" spans="1:22" ht="15.05" customHeight="1">
      <c r="A540" s="1855"/>
      <c r="B540" s="1855"/>
      <c r="C540" s="1855"/>
      <c r="D540" s="1855"/>
      <c r="E540" s="1855"/>
      <c r="F540" s="1857" t="s">
        <v>50</v>
      </c>
      <c r="G540" s="1858"/>
      <c r="H540" s="200" t="s">
        <v>85</v>
      </c>
      <c r="I540" s="200"/>
      <c r="J540" s="3215"/>
      <c r="K540" s="3171"/>
      <c r="L540" s="3125">
        <v>0</v>
      </c>
      <c r="M540" s="3124">
        <v>0</v>
      </c>
      <c r="N540" s="3125">
        <v>0</v>
      </c>
      <c r="O540" s="3125">
        <v>0</v>
      </c>
      <c r="P540" s="3125">
        <v>0</v>
      </c>
      <c r="Q540" s="3125">
        <f t="shared" si="93"/>
        <v>0</v>
      </c>
      <c r="R540" s="3601">
        <v>0</v>
      </c>
      <c r="S540" s="3731"/>
      <c r="T540" s="3829"/>
      <c r="U540" s="3778">
        <f>PerDinas!Q600</f>
        <v>0</v>
      </c>
      <c r="V540" s="1846">
        <f t="shared" si="95"/>
        <v>0</v>
      </c>
    </row>
    <row r="541" spans="1:22" ht="15.05" hidden="1" customHeight="1">
      <c r="A541" s="1855"/>
      <c r="B541" s="1855"/>
      <c r="C541" s="1855"/>
      <c r="D541" s="1855"/>
      <c r="E541" s="1855"/>
      <c r="F541" s="1857" t="s">
        <v>50</v>
      </c>
      <c r="G541" s="1858"/>
      <c r="H541" s="200"/>
      <c r="I541" s="1939"/>
      <c r="J541" s="3310"/>
      <c r="K541" s="3311"/>
      <c r="L541" s="3125"/>
      <c r="M541" s="3124"/>
      <c r="N541" s="3125"/>
      <c r="O541" s="3125"/>
      <c r="P541" s="3125"/>
      <c r="Q541" s="3125">
        <f t="shared" si="93"/>
        <v>0</v>
      </c>
      <c r="R541" s="3601">
        <v>0</v>
      </c>
      <c r="S541" s="3731"/>
      <c r="T541" s="3829"/>
      <c r="U541" s="3778">
        <f>PerDinas!Q388</f>
        <v>0</v>
      </c>
      <c r="V541" s="1846">
        <f t="shared" si="95"/>
        <v>0</v>
      </c>
    </row>
    <row r="542" spans="1:22" ht="15.05" hidden="1" customHeight="1">
      <c r="A542" s="1855"/>
      <c r="B542" s="1855"/>
      <c r="C542" s="1855"/>
      <c r="D542" s="1855"/>
      <c r="E542" s="1855"/>
      <c r="F542" s="1857"/>
      <c r="G542" s="1858"/>
      <c r="H542" s="200"/>
      <c r="I542" s="1939"/>
      <c r="J542" s="3310"/>
      <c r="K542" s="3311"/>
      <c r="L542" s="3125"/>
      <c r="M542" s="3124"/>
      <c r="N542" s="3125"/>
      <c r="O542" s="3125"/>
      <c r="P542" s="3125"/>
      <c r="Q542" s="3125">
        <f t="shared" si="93"/>
        <v>0</v>
      </c>
      <c r="R542" s="3601">
        <v>0</v>
      </c>
      <c r="S542" s="3710"/>
      <c r="T542" s="3829"/>
      <c r="U542" s="3778"/>
      <c r="V542" s="1846">
        <f t="shared" si="95"/>
        <v>0</v>
      </c>
    </row>
    <row r="543" spans="1:22" ht="15.05" customHeight="1">
      <c r="A543" s="1855"/>
      <c r="B543" s="1855"/>
      <c r="C543" s="1855"/>
      <c r="D543" s="1855"/>
      <c r="E543" s="1855"/>
      <c r="F543" s="1464" t="s">
        <v>580</v>
      </c>
      <c r="G543" s="1860"/>
      <c r="H543" s="202"/>
      <c r="I543" s="202"/>
      <c r="J543" s="3259"/>
      <c r="K543" s="3123"/>
      <c r="L543" s="3182">
        <v>0</v>
      </c>
      <c r="M543" s="3183">
        <v>0</v>
      </c>
      <c r="N543" s="3182">
        <v>0</v>
      </c>
      <c r="O543" s="3182">
        <v>0</v>
      </c>
      <c r="P543" s="3182">
        <v>0</v>
      </c>
      <c r="Q543" s="3182">
        <f t="shared" si="93"/>
        <v>0</v>
      </c>
      <c r="R543" s="3601">
        <v>0</v>
      </c>
      <c r="S543" s="3710"/>
      <c r="T543" s="3829"/>
      <c r="U543" s="3777"/>
      <c r="V543" s="1846">
        <f t="shared" si="95"/>
        <v>0</v>
      </c>
    </row>
    <row r="544" spans="1:22" ht="15.05" customHeight="1">
      <c r="A544" s="1855"/>
      <c r="B544" s="1855"/>
      <c r="C544" s="1855"/>
      <c r="D544" s="1855"/>
      <c r="E544" s="1855"/>
      <c r="F544" s="1857" t="s">
        <v>50</v>
      </c>
      <c r="G544" s="1858"/>
      <c r="H544" s="200" t="s">
        <v>85</v>
      </c>
      <c r="I544" s="200"/>
      <c r="J544" s="3215"/>
      <c r="K544" s="3171"/>
      <c r="L544" s="3125">
        <v>0</v>
      </c>
      <c r="M544" s="3124">
        <v>0</v>
      </c>
      <c r="N544" s="3125">
        <v>0</v>
      </c>
      <c r="O544" s="3125">
        <v>0</v>
      </c>
      <c r="P544" s="3125">
        <v>0</v>
      </c>
      <c r="Q544" s="3125">
        <f t="shared" si="93"/>
        <v>0</v>
      </c>
      <c r="R544" s="3601">
        <v>0</v>
      </c>
      <c r="S544" s="3731"/>
      <c r="T544" s="3829"/>
      <c r="U544" s="3778">
        <f>PerDinas!Q607</f>
        <v>0</v>
      </c>
      <c r="V544" s="1846">
        <f t="shared" si="95"/>
        <v>0</v>
      </c>
    </row>
    <row r="545" spans="1:22" ht="15.05" customHeight="1">
      <c r="A545" s="1855"/>
      <c r="B545" s="1855"/>
      <c r="C545" s="1855"/>
      <c r="D545" s="1855"/>
      <c r="E545" s="1855"/>
      <c r="F545" s="1464" t="s">
        <v>644</v>
      </c>
      <c r="G545" s="1860"/>
      <c r="H545" s="202"/>
      <c r="I545" s="202"/>
      <c r="J545" s="3259">
        <v>0</v>
      </c>
      <c r="K545" s="3123">
        <v>13894000</v>
      </c>
      <c r="L545" s="3182">
        <v>0</v>
      </c>
      <c r="M545" s="3183">
        <v>0</v>
      </c>
      <c r="N545" s="3182">
        <v>0</v>
      </c>
      <c r="O545" s="3182">
        <v>0</v>
      </c>
      <c r="P545" s="3182">
        <v>0</v>
      </c>
      <c r="Q545" s="3182">
        <f t="shared" si="93"/>
        <v>0</v>
      </c>
      <c r="R545" s="3601">
        <v>0</v>
      </c>
      <c r="S545" s="3710"/>
      <c r="T545" s="3829"/>
      <c r="U545" s="3777"/>
      <c r="V545" s="1846">
        <f t="shared" si="95"/>
        <v>0</v>
      </c>
    </row>
    <row r="546" spans="1:22" s="1840" customFormat="1" ht="15.05" customHeight="1">
      <c r="A546" s="1855"/>
      <c r="B546" s="1855"/>
      <c r="C546" s="1855"/>
      <c r="D546" s="1855"/>
      <c r="E546" s="1855"/>
      <c r="F546" s="1857" t="s">
        <v>50</v>
      </c>
      <c r="G546" s="1858" t="s">
        <v>624</v>
      </c>
      <c r="H546" s="200"/>
      <c r="I546" s="200"/>
      <c r="J546" s="3215">
        <v>0</v>
      </c>
      <c r="K546" s="3171">
        <v>13894000</v>
      </c>
      <c r="L546" s="3125"/>
      <c r="M546" s="3124"/>
      <c r="N546" s="3125"/>
      <c r="O546" s="3125"/>
      <c r="P546" s="3125"/>
      <c r="Q546" s="3125">
        <f t="shared" si="93"/>
        <v>0</v>
      </c>
      <c r="R546" s="3601">
        <v>0</v>
      </c>
      <c r="S546" s="3731"/>
      <c r="T546" s="3829"/>
      <c r="U546" s="3778"/>
      <c r="V546" s="1882">
        <f t="shared" si="95"/>
        <v>0</v>
      </c>
    </row>
    <row r="547" spans="1:22" ht="15.05" hidden="1" customHeight="1">
      <c r="A547" s="1855"/>
      <c r="B547" s="1855"/>
      <c r="C547" s="1855"/>
      <c r="D547" s="1855"/>
      <c r="E547" s="1855"/>
      <c r="F547" s="1857"/>
      <c r="G547" s="1858"/>
      <c r="H547" s="200"/>
      <c r="I547" s="200"/>
      <c r="J547" s="3215"/>
      <c r="K547" s="3171"/>
      <c r="L547" s="3125"/>
      <c r="M547" s="3124"/>
      <c r="N547" s="3125"/>
      <c r="O547" s="3125"/>
      <c r="P547" s="3125"/>
      <c r="Q547" s="3125">
        <f t="shared" si="93"/>
        <v>0</v>
      </c>
      <c r="R547" s="3601">
        <v>0</v>
      </c>
      <c r="S547" s="3710"/>
      <c r="T547" s="3829"/>
      <c r="U547" s="3771"/>
      <c r="V547" s="1846">
        <f t="shared" si="95"/>
        <v>0</v>
      </c>
    </row>
    <row r="548" spans="1:22" ht="15.05" customHeight="1">
      <c r="A548" s="1855"/>
      <c r="B548" s="1855"/>
      <c r="C548" s="1855"/>
      <c r="D548" s="1855"/>
      <c r="E548" s="1855"/>
      <c r="F548" s="1464" t="s">
        <v>571</v>
      </c>
      <c r="G548" s="1860"/>
      <c r="H548" s="202"/>
      <c r="I548" s="202"/>
      <c r="J548" s="3259">
        <v>0</v>
      </c>
      <c r="K548" s="3123">
        <v>99530000</v>
      </c>
      <c r="L548" s="3182">
        <v>0</v>
      </c>
      <c r="M548" s="3183">
        <v>14027628.99</v>
      </c>
      <c r="N548" s="3182">
        <v>500000</v>
      </c>
      <c r="O548" s="3182">
        <v>14527628.99</v>
      </c>
      <c r="P548" s="3182">
        <v>0</v>
      </c>
      <c r="Q548" s="3182">
        <f t="shared" si="93"/>
        <v>0</v>
      </c>
      <c r="R548" s="3601">
        <v>0</v>
      </c>
      <c r="S548" s="3710"/>
      <c r="T548" s="3829"/>
      <c r="U548" s="3777"/>
      <c r="V548" s="1846">
        <f t="shared" si="95"/>
        <v>58110515.960000001</v>
      </c>
    </row>
    <row r="549" spans="1:22" s="1840" customFormat="1" ht="15.05" customHeight="1">
      <c r="A549" s="1855"/>
      <c r="B549" s="1855"/>
      <c r="C549" s="1855"/>
      <c r="D549" s="1855"/>
      <c r="E549" s="1855"/>
      <c r="F549" s="1857" t="s">
        <v>50</v>
      </c>
      <c r="G549" s="1858"/>
      <c r="H549" s="200" t="s">
        <v>85</v>
      </c>
      <c r="I549" s="200"/>
      <c r="J549" s="3215">
        <v>0</v>
      </c>
      <c r="K549" s="3171">
        <v>99530000</v>
      </c>
      <c r="L549" s="3125">
        <v>0</v>
      </c>
      <c r="M549" s="3124">
        <v>14027628.99</v>
      </c>
      <c r="N549" s="3125">
        <v>500000</v>
      </c>
      <c r="O549" s="3125">
        <v>14527628.99</v>
      </c>
      <c r="P549" s="3125">
        <v>0</v>
      </c>
      <c r="Q549" s="3125">
        <f t="shared" si="93"/>
        <v>0</v>
      </c>
      <c r="R549" s="3601">
        <v>0</v>
      </c>
      <c r="S549" s="3731"/>
      <c r="T549" s="3829"/>
      <c r="U549" s="3778">
        <f>PerDinas!Q584</f>
        <v>0</v>
      </c>
      <c r="V549" s="1882">
        <f t="shared" si="95"/>
        <v>58110515.960000001</v>
      </c>
    </row>
    <row r="550" spans="1:22" ht="15.05" customHeight="1">
      <c r="A550" s="1855"/>
      <c r="B550" s="1855"/>
      <c r="C550" s="1855"/>
      <c r="D550" s="1855"/>
      <c r="E550" s="1855"/>
      <c r="F550" s="1464" t="s">
        <v>645</v>
      </c>
      <c r="G550" s="1860"/>
      <c r="H550" s="202"/>
      <c r="I550" s="202"/>
      <c r="J550" s="3259">
        <v>0</v>
      </c>
      <c r="K550" s="3123">
        <v>0</v>
      </c>
      <c r="L550" s="3182">
        <v>0</v>
      </c>
      <c r="M550" s="3183">
        <v>0</v>
      </c>
      <c r="N550" s="3182">
        <v>0</v>
      </c>
      <c r="O550" s="3182">
        <v>0</v>
      </c>
      <c r="P550" s="3182">
        <v>0</v>
      </c>
      <c r="Q550" s="3182">
        <f t="shared" si="93"/>
        <v>0</v>
      </c>
      <c r="R550" s="3601">
        <v>0</v>
      </c>
      <c r="S550" s="3710"/>
      <c r="T550" s="3829"/>
      <c r="U550" s="3777"/>
      <c r="V550" s="1846">
        <f t="shared" si="95"/>
        <v>0</v>
      </c>
    </row>
    <row r="551" spans="1:22" ht="15.05" customHeight="1">
      <c r="A551" s="1855"/>
      <c r="B551" s="1855"/>
      <c r="C551" s="1855"/>
      <c r="D551" s="1855"/>
      <c r="E551" s="1855"/>
      <c r="F551" s="1857" t="s">
        <v>50</v>
      </c>
      <c r="G551" s="1858"/>
      <c r="H551" s="200" t="s">
        <v>85</v>
      </c>
      <c r="I551" s="200"/>
      <c r="J551" s="3215">
        <v>0</v>
      </c>
      <c r="K551" s="3171">
        <v>0</v>
      </c>
      <c r="L551" s="3125">
        <v>0</v>
      </c>
      <c r="M551" s="3124">
        <v>0</v>
      </c>
      <c r="N551" s="3125">
        <v>0</v>
      </c>
      <c r="O551" s="3125">
        <v>0</v>
      </c>
      <c r="P551" s="3125">
        <v>0</v>
      </c>
      <c r="Q551" s="3125">
        <f t="shared" si="93"/>
        <v>0</v>
      </c>
      <c r="R551" s="3601">
        <v>0</v>
      </c>
      <c r="S551" s="3710"/>
      <c r="T551" s="3829"/>
      <c r="U551" s="3771"/>
      <c r="V551" s="1846">
        <f t="shared" si="95"/>
        <v>0</v>
      </c>
    </row>
    <row r="552" spans="1:22" ht="15.05" customHeight="1">
      <c r="A552" s="1855"/>
      <c r="B552" s="1855"/>
      <c r="C552" s="1855"/>
      <c r="D552" s="1855"/>
      <c r="E552" s="1855"/>
      <c r="F552" s="1464" t="s">
        <v>113</v>
      </c>
      <c r="G552" s="1860"/>
      <c r="H552" s="202"/>
      <c r="I552" s="202"/>
      <c r="J552" s="3259">
        <v>0</v>
      </c>
      <c r="K552" s="3123">
        <v>3588000</v>
      </c>
      <c r="L552" s="3182">
        <v>0</v>
      </c>
      <c r="M552" s="3183">
        <v>0</v>
      </c>
      <c r="N552" s="3182">
        <v>0</v>
      </c>
      <c r="O552" s="3182">
        <v>0</v>
      </c>
      <c r="P552" s="3182">
        <v>0</v>
      </c>
      <c r="Q552" s="3182">
        <f t="shared" si="93"/>
        <v>0</v>
      </c>
      <c r="R552" s="3601">
        <v>0</v>
      </c>
      <c r="S552" s="3710"/>
      <c r="T552" s="3829"/>
      <c r="U552" s="3777"/>
      <c r="V552" s="1846">
        <f t="shared" si="95"/>
        <v>0</v>
      </c>
    </row>
    <row r="553" spans="1:22" s="1840" customFormat="1" ht="15.05" customHeight="1">
      <c r="A553" s="1855"/>
      <c r="B553" s="1855"/>
      <c r="C553" s="1855"/>
      <c r="D553" s="1855"/>
      <c r="E553" s="1855"/>
      <c r="F553" s="1857" t="s">
        <v>50</v>
      </c>
      <c r="G553" s="1858"/>
      <c r="H553" s="200" t="s">
        <v>85</v>
      </c>
      <c r="I553" s="200"/>
      <c r="J553" s="3215">
        <v>0</v>
      </c>
      <c r="K553" s="3171">
        <v>3588000</v>
      </c>
      <c r="L553" s="3125">
        <v>0</v>
      </c>
      <c r="M553" s="3124">
        <v>0</v>
      </c>
      <c r="N553" s="3125">
        <v>0</v>
      </c>
      <c r="O553" s="3125">
        <v>0</v>
      </c>
      <c r="P553" s="3125">
        <v>0</v>
      </c>
      <c r="Q553" s="3125">
        <f t="shared" si="93"/>
        <v>0</v>
      </c>
      <c r="R553" s="3601">
        <v>0</v>
      </c>
      <c r="S553" s="3710"/>
      <c r="T553" s="3829"/>
      <c r="U553" s="3771"/>
      <c r="V553" s="1882">
        <f t="shared" si="95"/>
        <v>0</v>
      </c>
    </row>
    <row r="554" spans="1:22" ht="15.05" customHeight="1">
      <c r="A554" s="1855"/>
      <c r="B554" s="1855"/>
      <c r="C554" s="1855"/>
      <c r="D554" s="1855"/>
      <c r="E554" s="1855"/>
      <c r="F554" s="1464" t="s">
        <v>646</v>
      </c>
      <c r="G554" s="1860"/>
      <c r="H554" s="202"/>
      <c r="I554" s="202"/>
      <c r="J554" s="3259">
        <v>0</v>
      </c>
      <c r="K554" s="3123">
        <v>1860517553</v>
      </c>
      <c r="L554" s="3182">
        <v>0</v>
      </c>
      <c r="M554" s="3183">
        <v>0</v>
      </c>
      <c r="N554" s="3182">
        <v>0</v>
      </c>
      <c r="O554" s="3182">
        <v>0</v>
      </c>
      <c r="P554" s="3182">
        <v>0</v>
      </c>
      <c r="Q554" s="3182">
        <f t="shared" si="93"/>
        <v>0</v>
      </c>
      <c r="R554" s="3601">
        <v>0</v>
      </c>
      <c r="S554" s="3731"/>
      <c r="T554" s="3829"/>
      <c r="U554" s="3781">
        <f>U555</f>
        <v>0</v>
      </c>
      <c r="V554" s="1846">
        <f t="shared" si="95"/>
        <v>0</v>
      </c>
    </row>
    <row r="555" spans="1:22" ht="15.05" customHeight="1">
      <c r="A555" s="1855"/>
      <c r="B555" s="1855"/>
      <c r="C555" s="1855"/>
      <c r="D555" s="1855"/>
      <c r="E555" s="1855"/>
      <c r="F555" s="1857" t="s">
        <v>50</v>
      </c>
      <c r="G555" s="1858" t="s">
        <v>85</v>
      </c>
      <c r="H555" s="200"/>
      <c r="I555" s="200"/>
      <c r="J555" s="3215">
        <v>0</v>
      </c>
      <c r="K555" s="3171">
        <v>1860517553</v>
      </c>
      <c r="L555" s="3125"/>
      <c r="M555" s="3124"/>
      <c r="N555" s="3125"/>
      <c r="O555" s="3125"/>
      <c r="P555" s="3125"/>
      <c r="Q555" s="3125">
        <f t="shared" si="93"/>
        <v>0</v>
      </c>
      <c r="R555" s="3601">
        <v>0</v>
      </c>
      <c r="S555" s="3731"/>
      <c r="T555" s="3829"/>
      <c r="U555" s="3778"/>
      <c r="V555" s="1846">
        <f t="shared" si="95"/>
        <v>0</v>
      </c>
    </row>
    <row r="556" spans="1:22" ht="15.05" customHeight="1">
      <c r="A556" s="1855"/>
      <c r="B556" s="1855"/>
      <c r="C556" s="1855"/>
      <c r="D556" s="1855"/>
      <c r="E556" s="1855"/>
      <c r="F556" s="1464" t="s">
        <v>326</v>
      </c>
      <c r="G556" s="1860"/>
      <c r="H556" s="202"/>
      <c r="I556" s="202"/>
      <c r="J556" s="3259">
        <v>0</v>
      </c>
      <c r="K556" s="3123">
        <v>26080582.199999999</v>
      </c>
      <c r="L556" s="3182">
        <v>0</v>
      </c>
      <c r="M556" s="3183">
        <v>0</v>
      </c>
      <c r="N556" s="3182">
        <v>0</v>
      </c>
      <c r="O556" s="3182">
        <v>0</v>
      </c>
      <c r="P556" s="3182">
        <v>0</v>
      </c>
      <c r="Q556" s="3182">
        <f t="shared" si="93"/>
        <v>0</v>
      </c>
      <c r="R556" s="3601">
        <v>0</v>
      </c>
      <c r="S556" s="3710"/>
      <c r="T556" s="3829"/>
      <c r="U556" s="3777"/>
      <c r="V556" s="1846">
        <f t="shared" si="95"/>
        <v>0</v>
      </c>
    </row>
    <row r="557" spans="1:22" s="1840" customFormat="1" ht="15.05" customHeight="1">
      <c r="A557" s="1855"/>
      <c r="B557" s="1855"/>
      <c r="C557" s="1855"/>
      <c r="D557" s="1855"/>
      <c r="E557" s="1855"/>
      <c r="F557" s="1857" t="s">
        <v>50</v>
      </c>
      <c r="G557" s="1858"/>
      <c r="H557" s="200" t="s">
        <v>85</v>
      </c>
      <c r="I557" s="200"/>
      <c r="J557" s="3215">
        <v>0</v>
      </c>
      <c r="K557" s="3171">
        <v>26080582.199999999</v>
      </c>
      <c r="L557" s="3125">
        <v>0</v>
      </c>
      <c r="M557" s="3124">
        <v>0</v>
      </c>
      <c r="N557" s="3125">
        <v>0</v>
      </c>
      <c r="O557" s="3125">
        <v>0</v>
      </c>
      <c r="P557" s="3125">
        <v>0</v>
      </c>
      <c r="Q557" s="3125">
        <f t="shared" si="93"/>
        <v>0</v>
      </c>
      <c r="R557" s="3601">
        <v>0</v>
      </c>
      <c r="S557" s="3731"/>
      <c r="T557" s="3829"/>
      <c r="U557" s="3778">
        <f>PerDinas!Q749</f>
        <v>0</v>
      </c>
      <c r="V557" s="1882">
        <f t="shared" si="95"/>
        <v>0</v>
      </c>
    </row>
    <row r="558" spans="1:22" ht="15.05" customHeight="1">
      <c r="A558" s="1855"/>
      <c r="B558" s="1855"/>
      <c r="C558" s="1855"/>
      <c r="D558" s="1855"/>
      <c r="E558" s="1855"/>
      <c r="F558" s="1464" t="s">
        <v>647</v>
      </c>
      <c r="G558" s="1860"/>
      <c r="H558" s="202"/>
      <c r="I558" s="202"/>
      <c r="J558" s="3259">
        <v>0</v>
      </c>
      <c r="K558" s="3123">
        <v>2183500</v>
      </c>
      <c r="L558" s="3182">
        <v>0</v>
      </c>
      <c r="M558" s="3183">
        <v>0</v>
      </c>
      <c r="N558" s="3182">
        <v>0</v>
      </c>
      <c r="O558" s="3182">
        <v>0</v>
      </c>
      <c r="P558" s="3182">
        <v>0</v>
      </c>
      <c r="Q558" s="3182">
        <f t="shared" ref="Q558:Q580" si="96">+P558-L558</f>
        <v>0</v>
      </c>
      <c r="R558" s="3601">
        <v>0</v>
      </c>
      <c r="S558" s="3710"/>
      <c r="T558" s="3829"/>
      <c r="U558" s="3777"/>
      <c r="V558" s="1846">
        <f t="shared" si="95"/>
        <v>0</v>
      </c>
    </row>
    <row r="559" spans="1:22" s="1840" customFormat="1" ht="15.05" customHeight="1">
      <c r="A559" s="1855"/>
      <c r="B559" s="1855"/>
      <c r="C559" s="1855"/>
      <c r="D559" s="1855"/>
      <c r="E559" s="1855"/>
      <c r="F559" s="1857" t="s">
        <v>50</v>
      </c>
      <c r="G559" s="1858"/>
      <c r="H559" s="200" t="s">
        <v>85</v>
      </c>
      <c r="I559" s="200"/>
      <c r="J559" s="3215">
        <v>0</v>
      </c>
      <c r="K559" s="3171">
        <v>2183500</v>
      </c>
      <c r="L559" s="3125"/>
      <c r="M559" s="3124"/>
      <c r="N559" s="3125"/>
      <c r="O559" s="3125"/>
      <c r="P559" s="3125"/>
      <c r="Q559" s="3125">
        <f t="shared" si="96"/>
        <v>0</v>
      </c>
      <c r="R559" s="3601">
        <v>0</v>
      </c>
      <c r="S559" s="3710"/>
      <c r="T559" s="3829"/>
      <c r="U559" s="3771"/>
      <c r="V559" s="1882">
        <f t="shared" si="95"/>
        <v>0</v>
      </c>
    </row>
    <row r="560" spans="1:22" ht="15.05" customHeight="1">
      <c r="A560" s="1855"/>
      <c r="B560" s="1855"/>
      <c r="C560" s="1855"/>
      <c r="D560" s="1855"/>
      <c r="E560" s="1855"/>
      <c r="F560" s="1464" t="s">
        <v>648</v>
      </c>
      <c r="G560" s="1860"/>
      <c r="H560" s="202"/>
      <c r="I560" s="202"/>
      <c r="J560" s="3259">
        <v>0</v>
      </c>
      <c r="K560" s="3123">
        <v>889503495</v>
      </c>
      <c r="L560" s="3182">
        <v>0</v>
      </c>
      <c r="M560" s="3183">
        <v>0</v>
      </c>
      <c r="N560" s="3182">
        <v>0</v>
      </c>
      <c r="O560" s="3182">
        <v>0</v>
      </c>
      <c r="P560" s="3182">
        <v>0</v>
      </c>
      <c r="Q560" s="3182">
        <f t="shared" si="96"/>
        <v>0</v>
      </c>
      <c r="R560" s="3601">
        <v>0</v>
      </c>
      <c r="S560" s="3710"/>
      <c r="T560" s="3829"/>
      <c r="U560" s="3777"/>
      <c r="V560" s="1846">
        <f t="shared" si="95"/>
        <v>0</v>
      </c>
    </row>
    <row r="561" spans="1:22" s="1840" customFormat="1" ht="15.05" customHeight="1">
      <c r="A561" s="1855"/>
      <c r="B561" s="1855"/>
      <c r="C561" s="1855"/>
      <c r="D561" s="1855"/>
      <c r="E561" s="1855"/>
      <c r="F561" s="1857" t="s">
        <v>50</v>
      </c>
      <c r="G561" s="1858"/>
      <c r="H561" s="200" t="s">
        <v>85</v>
      </c>
      <c r="I561" s="200"/>
      <c r="J561" s="3215">
        <v>0</v>
      </c>
      <c r="K561" s="3171">
        <v>889503495</v>
      </c>
      <c r="L561" s="3125">
        <v>0</v>
      </c>
      <c r="M561" s="3124">
        <v>0</v>
      </c>
      <c r="N561" s="3125">
        <v>0</v>
      </c>
      <c r="O561" s="3125">
        <v>0</v>
      </c>
      <c r="P561" s="3125">
        <v>0</v>
      </c>
      <c r="Q561" s="3125">
        <f t="shared" si="96"/>
        <v>0</v>
      </c>
      <c r="R561" s="3601">
        <v>0</v>
      </c>
      <c r="S561" s="3731"/>
      <c r="T561" s="3829"/>
      <c r="U561" s="3778">
        <f>PerDinas!Q622</f>
        <v>0</v>
      </c>
      <c r="V561" s="1882">
        <f t="shared" si="95"/>
        <v>0</v>
      </c>
    </row>
    <row r="562" spans="1:22" ht="15.05" customHeight="1">
      <c r="A562" s="1855"/>
      <c r="B562" s="1855"/>
      <c r="C562" s="1855"/>
      <c r="D562" s="1855"/>
      <c r="E562" s="1855"/>
      <c r="F562" s="1464" t="s">
        <v>568</v>
      </c>
      <c r="G562" s="1860"/>
      <c r="H562" s="202"/>
      <c r="I562" s="202"/>
      <c r="J562" s="3259">
        <v>0</v>
      </c>
      <c r="K562" s="3123">
        <v>2839900</v>
      </c>
      <c r="L562" s="3182">
        <v>0</v>
      </c>
      <c r="M562" s="3183">
        <v>913000</v>
      </c>
      <c r="N562" s="3182">
        <v>0</v>
      </c>
      <c r="O562" s="3182">
        <v>913000</v>
      </c>
      <c r="P562" s="3182">
        <v>0</v>
      </c>
      <c r="Q562" s="3182">
        <f t="shared" si="96"/>
        <v>0</v>
      </c>
      <c r="R562" s="3601">
        <v>0</v>
      </c>
      <c r="S562" s="3710"/>
      <c r="T562" s="3829"/>
      <c r="U562" s="3777"/>
      <c r="V562" s="1846">
        <f t="shared" si="95"/>
        <v>3652000</v>
      </c>
    </row>
    <row r="563" spans="1:22" s="1840" customFormat="1" ht="15.05" customHeight="1">
      <c r="A563" s="1855"/>
      <c r="B563" s="1855"/>
      <c r="C563" s="1855"/>
      <c r="D563" s="1855"/>
      <c r="E563" s="1855"/>
      <c r="F563" s="1857" t="s">
        <v>50</v>
      </c>
      <c r="G563" s="1858"/>
      <c r="H563" s="200" t="s">
        <v>85</v>
      </c>
      <c r="I563" s="200"/>
      <c r="J563" s="3215">
        <v>0</v>
      </c>
      <c r="K563" s="3171">
        <v>2839900</v>
      </c>
      <c r="L563" s="3125">
        <v>0</v>
      </c>
      <c r="M563" s="3124">
        <v>913000</v>
      </c>
      <c r="N563" s="3125">
        <v>0</v>
      </c>
      <c r="O563" s="3125">
        <v>913000</v>
      </c>
      <c r="P563" s="3125">
        <v>0</v>
      </c>
      <c r="Q563" s="3125">
        <f t="shared" si="96"/>
        <v>0</v>
      </c>
      <c r="R563" s="3601">
        <v>0</v>
      </c>
      <c r="S563" s="3731"/>
      <c r="T563" s="3829"/>
      <c r="U563" s="3778">
        <f>PerDinas!Q608</f>
        <v>0</v>
      </c>
      <c r="V563" s="1882">
        <f t="shared" si="95"/>
        <v>3652000</v>
      </c>
    </row>
    <row r="564" spans="1:22" ht="15.05" hidden="1" customHeight="1">
      <c r="A564" s="1855"/>
      <c r="B564" s="1855"/>
      <c r="C564" s="1855"/>
      <c r="D564" s="1855"/>
      <c r="E564" s="1855"/>
      <c r="F564" s="1857" t="s">
        <v>50</v>
      </c>
      <c r="G564" s="1858"/>
      <c r="H564" s="200"/>
      <c r="I564" s="200"/>
      <c r="J564" s="3215">
        <v>0</v>
      </c>
      <c r="K564" s="3171"/>
      <c r="L564" s="3125">
        <v>0</v>
      </c>
      <c r="M564" s="3124">
        <v>0</v>
      </c>
      <c r="N564" s="3125">
        <v>0</v>
      </c>
      <c r="O564" s="3125">
        <v>0</v>
      </c>
      <c r="P564" s="3125">
        <v>0</v>
      </c>
      <c r="Q564" s="3125">
        <f t="shared" si="96"/>
        <v>0</v>
      </c>
      <c r="R564" s="3601">
        <v>0</v>
      </c>
      <c r="S564" s="3710"/>
      <c r="T564" s="3829"/>
      <c r="U564" s="3771"/>
      <c r="V564" s="1846">
        <f t="shared" si="95"/>
        <v>0</v>
      </c>
    </row>
    <row r="565" spans="1:22" ht="15.05" customHeight="1">
      <c r="A565" s="1855"/>
      <c r="B565" s="1855"/>
      <c r="C565" s="1855"/>
      <c r="D565" s="1855"/>
      <c r="E565" s="1855"/>
      <c r="F565" s="1464" t="s">
        <v>649</v>
      </c>
      <c r="G565" s="1860"/>
      <c r="H565" s="202"/>
      <c r="I565" s="202"/>
      <c r="J565" s="3259">
        <v>0</v>
      </c>
      <c r="K565" s="3123">
        <v>0</v>
      </c>
      <c r="L565" s="3182">
        <v>0</v>
      </c>
      <c r="M565" s="3183">
        <v>0</v>
      </c>
      <c r="N565" s="3182">
        <v>0</v>
      </c>
      <c r="O565" s="3182">
        <v>0</v>
      </c>
      <c r="P565" s="3182">
        <v>0</v>
      </c>
      <c r="Q565" s="3182">
        <f t="shared" si="96"/>
        <v>0</v>
      </c>
      <c r="R565" s="3601">
        <v>0</v>
      </c>
      <c r="S565" s="3710"/>
      <c r="T565" s="3829"/>
      <c r="U565" s="3777"/>
      <c r="V565" s="1846">
        <f t="shared" si="95"/>
        <v>0</v>
      </c>
    </row>
    <row r="566" spans="1:22" ht="11.3" customHeight="1">
      <c r="A566" s="1855"/>
      <c r="B566" s="1855"/>
      <c r="C566" s="1855"/>
      <c r="D566" s="1855"/>
      <c r="E566" s="1855"/>
      <c r="F566" s="1857" t="s">
        <v>50</v>
      </c>
      <c r="G566" s="1858"/>
      <c r="H566" s="200" t="s">
        <v>85</v>
      </c>
      <c r="I566" s="200"/>
      <c r="J566" s="3215">
        <v>0</v>
      </c>
      <c r="K566" s="3171">
        <v>0</v>
      </c>
      <c r="L566" s="3125">
        <v>0</v>
      </c>
      <c r="M566" s="3124">
        <v>0</v>
      </c>
      <c r="N566" s="3125">
        <v>0</v>
      </c>
      <c r="O566" s="3125">
        <v>0</v>
      </c>
      <c r="P566" s="3125">
        <v>0</v>
      </c>
      <c r="Q566" s="3125">
        <f t="shared" si="96"/>
        <v>0</v>
      </c>
      <c r="R566" s="3601">
        <v>0</v>
      </c>
      <c r="S566" s="3731"/>
      <c r="T566" s="3829"/>
      <c r="U566" s="3778">
        <f>PerDinas!Q582</f>
        <v>0</v>
      </c>
      <c r="V566" s="1846">
        <f t="shared" si="95"/>
        <v>0</v>
      </c>
    </row>
    <row r="567" spans="1:22" ht="15.05" customHeight="1">
      <c r="A567" s="1855"/>
      <c r="B567" s="1855"/>
      <c r="C567" s="1855"/>
      <c r="D567" s="1855"/>
      <c r="E567" s="1855"/>
      <c r="F567" s="1464" t="s">
        <v>650</v>
      </c>
      <c r="G567" s="1860"/>
      <c r="H567" s="202"/>
      <c r="I567" s="202"/>
      <c r="J567" s="3259">
        <v>0</v>
      </c>
      <c r="K567" s="3995">
        <v>0</v>
      </c>
      <c r="L567" s="3996">
        <v>0</v>
      </c>
      <c r="M567" s="3313">
        <v>0</v>
      </c>
      <c r="N567" s="3312">
        <v>0</v>
      </c>
      <c r="O567" s="3312">
        <v>0</v>
      </c>
      <c r="P567" s="3312">
        <v>0</v>
      </c>
      <c r="Q567" s="3312">
        <f t="shared" si="96"/>
        <v>0</v>
      </c>
      <c r="R567" s="3601">
        <v>0</v>
      </c>
      <c r="S567" s="3710"/>
      <c r="T567" s="3829"/>
      <c r="U567" s="3777"/>
      <c r="V567" s="1846">
        <f t="shared" si="95"/>
        <v>0</v>
      </c>
    </row>
    <row r="568" spans="1:22" ht="15.05" customHeight="1">
      <c r="A568" s="1855"/>
      <c r="B568" s="1855"/>
      <c r="C568" s="1855"/>
      <c r="D568" s="1855"/>
      <c r="E568" s="1855"/>
      <c r="F568" s="1857" t="s">
        <v>50</v>
      </c>
      <c r="G568" s="1858"/>
      <c r="H568" s="200" t="s">
        <v>76</v>
      </c>
      <c r="I568" s="200"/>
      <c r="J568" s="3215">
        <v>0</v>
      </c>
      <c r="K568" s="3216">
        <v>0</v>
      </c>
      <c r="L568" s="3997">
        <v>0</v>
      </c>
      <c r="M568" s="3315">
        <v>0</v>
      </c>
      <c r="N568" s="3314">
        <v>0</v>
      </c>
      <c r="O568" s="3314">
        <v>0</v>
      </c>
      <c r="P568" s="3314">
        <v>0</v>
      </c>
      <c r="Q568" s="3314">
        <f t="shared" si="96"/>
        <v>0</v>
      </c>
      <c r="R568" s="3601">
        <v>0</v>
      </c>
      <c r="S568" s="3710"/>
      <c r="T568" s="3829"/>
      <c r="U568" s="3778">
        <f>PerDinas!Q656</f>
        <v>0</v>
      </c>
      <c r="V568" s="1846">
        <f t="shared" si="95"/>
        <v>0</v>
      </c>
    </row>
    <row r="569" spans="1:22" ht="15.05" customHeight="1">
      <c r="A569" s="1855"/>
      <c r="B569" s="1855"/>
      <c r="C569" s="1855"/>
      <c r="D569" s="1855"/>
      <c r="E569" s="1855"/>
      <c r="F569" s="1464" t="s">
        <v>651</v>
      </c>
      <c r="G569" s="1860"/>
      <c r="H569" s="202"/>
      <c r="I569" s="202"/>
      <c r="J569" s="3259">
        <v>0</v>
      </c>
      <c r="K569" s="3995">
        <v>20265000</v>
      </c>
      <c r="L569" s="3996">
        <v>0</v>
      </c>
      <c r="M569" s="3313">
        <v>0</v>
      </c>
      <c r="N569" s="3312">
        <v>0</v>
      </c>
      <c r="O569" s="3312">
        <v>0</v>
      </c>
      <c r="P569" s="3312">
        <v>0</v>
      </c>
      <c r="Q569" s="3312">
        <f t="shared" si="96"/>
        <v>0</v>
      </c>
      <c r="R569" s="3601">
        <v>0</v>
      </c>
      <c r="S569" s="3710"/>
      <c r="T569" s="3829"/>
      <c r="U569" s="3777"/>
      <c r="V569" s="1846">
        <f t="shared" si="95"/>
        <v>0</v>
      </c>
    </row>
    <row r="570" spans="1:22" s="1840" customFormat="1" ht="15.05" customHeight="1">
      <c r="A570" s="1886"/>
      <c r="B570" s="1886"/>
      <c r="C570" s="1886"/>
      <c r="D570" s="1886"/>
      <c r="E570" s="1886"/>
      <c r="F570" s="1887" t="s">
        <v>50</v>
      </c>
      <c r="G570" s="1888"/>
      <c r="H570" s="856" t="s">
        <v>85</v>
      </c>
      <c r="I570" s="856"/>
      <c r="J570" s="3238">
        <v>0</v>
      </c>
      <c r="K570" s="3251">
        <v>20265000</v>
      </c>
      <c r="L570" s="3998">
        <v>0</v>
      </c>
      <c r="M570" s="3317">
        <v>0</v>
      </c>
      <c r="N570" s="3316">
        <v>0</v>
      </c>
      <c r="O570" s="3316">
        <v>0</v>
      </c>
      <c r="P570" s="3316">
        <v>0</v>
      </c>
      <c r="Q570" s="3316">
        <f t="shared" si="96"/>
        <v>0</v>
      </c>
      <c r="R570" s="3606">
        <v>0</v>
      </c>
      <c r="S570" s="3711"/>
      <c r="T570" s="3830"/>
      <c r="U570" s="3786">
        <f>PerDinas!Q632</f>
        <v>0</v>
      </c>
      <c r="V570" s="1882">
        <f t="shared" si="95"/>
        <v>0</v>
      </c>
    </row>
    <row r="571" spans="1:22" s="4456" customFormat="1" ht="15.05" customHeight="1">
      <c r="A571" s="4445"/>
      <c r="B571" s="4445"/>
      <c r="C571" s="4445"/>
      <c r="D571" s="4445"/>
      <c r="E571" s="4445"/>
      <c r="F571" s="4446" t="s">
        <v>1201</v>
      </c>
      <c r="G571" s="4446"/>
      <c r="H571" s="4329"/>
      <c r="I571" s="4329"/>
      <c r="J571" s="4447"/>
      <c r="K571" s="4448"/>
      <c r="L571" s="4449"/>
      <c r="M571" s="4449"/>
      <c r="N571" s="4449"/>
      <c r="O571" s="4449">
        <f>O572</f>
        <v>18120000000</v>
      </c>
      <c r="P571" s="4449">
        <f>P572</f>
        <v>18120000000</v>
      </c>
      <c r="Q571" s="4450">
        <f t="shared" si="96"/>
        <v>18120000000</v>
      </c>
      <c r="R571" s="4451">
        <v>0</v>
      </c>
      <c r="S571" s="4452"/>
      <c r="T571" s="4453"/>
      <c r="U571" s="4454"/>
      <c r="V571" s="4455"/>
    </row>
    <row r="572" spans="1:22" s="4444" customFormat="1" ht="15.05" customHeight="1">
      <c r="A572" s="4457"/>
      <c r="B572" s="4457"/>
      <c r="C572" s="4457"/>
      <c r="D572" s="4457"/>
      <c r="E572" s="4457"/>
      <c r="F572" s="4458" t="s">
        <v>50</v>
      </c>
      <c r="G572" s="4459"/>
      <c r="H572" s="4460" t="s">
        <v>1202</v>
      </c>
      <c r="I572" s="4460"/>
      <c r="J572" s="4461"/>
      <c r="K572" s="4462"/>
      <c r="L572" s="4463"/>
      <c r="M572" s="4463"/>
      <c r="N572" s="4463"/>
      <c r="O572" s="4463">
        <v>18120000000</v>
      </c>
      <c r="P572" s="4463">
        <v>18120000000</v>
      </c>
      <c r="Q572" s="4464">
        <f t="shared" si="96"/>
        <v>18120000000</v>
      </c>
      <c r="R572" s="4465">
        <v>0</v>
      </c>
      <c r="S572" s="4452"/>
      <c r="T572" s="4453"/>
      <c r="U572" s="4466"/>
      <c r="V572" s="4443"/>
    </row>
    <row r="573" spans="1:22" s="2955" customFormat="1" ht="15.05" customHeight="1">
      <c r="A573" s="2978" t="s">
        <v>443</v>
      </c>
      <c r="B573" s="2978" t="s">
        <v>457</v>
      </c>
      <c r="C573" s="2979" t="s">
        <v>443</v>
      </c>
      <c r="D573" s="2979"/>
      <c r="E573" s="2979"/>
      <c r="F573" s="2980" t="s">
        <v>652</v>
      </c>
      <c r="G573" s="2981"/>
      <c r="H573" s="2982"/>
      <c r="I573" s="2982"/>
      <c r="J573" s="3210">
        <f>+J574</f>
        <v>5414000000</v>
      </c>
      <c r="K573" s="3210">
        <f>+K574</f>
        <v>5000000000</v>
      </c>
      <c r="L573" s="3318">
        <f>L574</f>
        <v>53394311000</v>
      </c>
      <c r="M573" s="3319">
        <v>0</v>
      </c>
      <c r="N573" s="3318">
        <f>N574</f>
        <v>26697155000</v>
      </c>
      <c r="O573" s="3318">
        <f>N573+M573</f>
        <v>26697155000</v>
      </c>
      <c r="P573" s="3318">
        <f>P574</f>
        <v>53394311000</v>
      </c>
      <c r="Q573" s="3318">
        <f t="shared" si="96"/>
        <v>0</v>
      </c>
      <c r="R573" s="3640">
        <f>+P573/L573*100-100</f>
        <v>0</v>
      </c>
      <c r="S573" s="3757"/>
      <c r="T573" s="3857"/>
      <c r="U573" s="3811"/>
      <c r="V573" s="2954">
        <f t="shared" si="95"/>
        <v>106788620000</v>
      </c>
    </row>
    <row r="574" spans="1:22" s="2947" customFormat="1" ht="15.05" customHeight="1">
      <c r="A574" s="2972" t="s">
        <v>443</v>
      </c>
      <c r="B574" s="2972" t="s">
        <v>457</v>
      </c>
      <c r="C574" s="2973" t="s">
        <v>443</v>
      </c>
      <c r="D574" s="2973" t="s">
        <v>445</v>
      </c>
      <c r="E574" s="2973"/>
      <c r="F574" s="2974" t="s">
        <v>293</v>
      </c>
      <c r="G574" s="2975"/>
      <c r="H574" s="2976"/>
      <c r="I574" s="2976"/>
      <c r="J574" s="3320">
        <f>+J576</f>
        <v>5414000000</v>
      </c>
      <c r="K574" s="3320">
        <f>+K576</f>
        <v>5000000000</v>
      </c>
      <c r="L574" s="3321">
        <f t="shared" ref="L574:O575" si="97">L575</f>
        <v>53394311000</v>
      </c>
      <c r="M574" s="3322">
        <v>0</v>
      </c>
      <c r="N574" s="3321">
        <f t="shared" si="97"/>
        <v>26697155000</v>
      </c>
      <c r="O574" s="3321">
        <f t="shared" si="97"/>
        <v>26697155000</v>
      </c>
      <c r="P574" s="3321">
        <f>P575</f>
        <v>53394311000</v>
      </c>
      <c r="Q574" s="3321">
        <f t="shared" si="96"/>
        <v>0</v>
      </c>
      <c r="R574" s="3641">
        <f>+P574/L574*100-100</f>
        <v>0</v>
      </c>
      <c r="S574" s="3758"/>
      <c r="T574" s="3858"/>
      <c r="U574" s="3812"/>
      <c r="V574" s="2944">
        <f t="shared" si="95"/>
        <v>106788620000</v>
      </c>
    </row>
    <row r="575" spans="1:22" ht="15.05" customHeight="1">
      <c r="A575" s="2867" t="s">
        <v>443</v>
      </c>
      <c r="B575" s="2867" t="s">
        <v>457</v>
      </c>
      <c r="C575" s="2868" t="s">
        <v>443</v>
      </c>
      <c r="D575" s="2868" t="s">
        <v>445</v>
      </c>
      <c r="E575" s="2868" t="s">
        <v>437</v>
      </c>
      <c r="F575" s="84" t="s">
        <v>653</v>
      </c>
      <c r="G575" s="84"/>
      <c r="H575" s="224"/>
      <c r="I575" s="224"/>
      <c r="J575" s="3324"/>
      <c r="K575" s="3324"/>
      <c r="L575" s="3325">
        <f t="shared" si="97"/>
        <v>53394311000</v>
      </c>
      <c r="M575" s="3326">
        <v>0</v>
      </c>
      <c r="N575" s="3327">
        <f t="shared" si="97"/>
        <v>26697155000</v>
      </c>
      <c r="O575" s="3327">
        <f t="shared" si="97"/>
        <v>26697155000</v>
      </c>
      <c r="P575" s="3327">
        <f>P578</f>
        <v>53394311000</v>
      </c>
      <c r="Q575" s="3327">
        <f t="shared" si="96"/>
        <v>0</v>
      </c>
      <c r="R575" s="3642">
        <f>+P575/L575*100-100</f>
        <v>0</v>
      </c>
      <c r="S575" s="3732"/>
      <c r="T575" s="3859"/>
      <c r="U575" s="3797"/>
      <c r="V575" s="1846">
        <f t="shared" si="95"/>
        <v>106788620000</v>
      </c>
    </row>
    <row r="576" spans="1:22" s="2069" customFormat="1" ht="15.05" customHeight="1">
      <c r="A576" s="4467"/>
      <c r="B576" s="4467"/>
      <c r="C576" s="4468"/>
      <c r="D576" s="4468"/>
      <c r="E576" s="4468"/>
      <c r="F576" s="4469" t="s">
        <v>654</v>
      </c>
      <c r="G576" s="4470"/>
      <c r="H576" s="3917"/>
      <c r="I576" s="3917"/>
      <c r="J576" s="4471">
        <f>SUM(J577:J578)</f>
        <v>5414000000</v>
      </c>
      <c r="K576" s="4471">
        <f>+K578</f>
        <v>5000000000</v>
      </c>
      <c r="L576" s="4472">
        <f>SUM(L577:L578)</f>
        <v>53394311000</v>
      </c>
      <c r="M576" s="4473">
        <v>0</v>
      </c>
      <c r="N576" s="4472">
        <f>SUM(N577:N578)</f>
        <v>26697155000</v>
      </c>
      <c r="O576" s="4472">
        <f>SUM(O577:O578)</f>
        <v>26697155000</v>
      </c>
      <c r="P576" s="4472">
        <v>53394311000</v>
      </c>
      <c r="Q576" s="4472">
        <f t="shared" si="96"/>
        <v>0</v>
      </c>
      <c r="R576" s="4474">
        <f>+P576/L576*100-100</f>
        <v>0</v>
      </c>
      <c r="S576" s="4475"/>
      <c r="T576" s="4476"/>
      <c r="U576" s="4353"/>
      <c r="V576" s="3925">
        <f t="shared" si="95"/>
        <v>106788620000</v>
      </c>
    </row>
    <row r="577" spans="1:31" s="2069" customFormat="1" ht="15.05" customHeight="1">
      <c r="A577" s="4467"/>
      <c r="B577" s="4467"/>
      <c r="C577" s="4468"/>
      <c r="D577" s="4468"/>
      <c r="E577" s="4468"/>
      <c r="F577" s="4469" t="s">
        <v>50</v>
      </c>
      <c r="G577" s="4470" t="s">
        <v>655</v>
      </c>
      <c r="H577" s="3917"/>
      <c r="I577" s="3917"/>
      <c r="J577" s="4471">
        <v>414000000</v>
      </c>
      <c r="K577" s="4477"/>
      <c r="L577" s="4478">
        <f>MAR!J493</f>
        <v>0</v>
      </c>
      <c r="M577" s="4479">
        <v>0</v>
      </c>
      <c r="N577" s="4478">
        <f>MAR!L493</f>
        <v>0</v>
      </c>
      <c r="O577" s="4478">
        <f>MAR!M493</f>
        <v>0</v>
      </c>
      <c r="P577" s="4478">
        <v>0</v>
      </c>
      <c r="Q577" s="4478">
        <f t="shared" si="96"/>
        <v>0</v>
      </c>
      <c r="R577" s="4480">
        <v>0</v>
      </c>
      <c r="S577" s="4481"/>
      <c r="T577" s="4482"/>
      <c r="U577" s="4353"/>
      <c r="V577" s="3925">
        <f t="shared" si="95"/>
        <v>0</v>
      </c>
    </row>
    <row r="578" spans="1:31" s="2069" customFormat="1" ht="15.05" customHeight="1">
      <c r="A578" s="4467"/>
      <c r="B578" s="4467"/>
      <c r="C578" s="4468"/>
      <c r="D578" s="4468"/>
      <c r="E578" s="4468"/>
      <c r="F578" s="4469" t="s">
        <v>50</v>
      </c>
      <c r="G578" s="4470" t="s">
        <v>656</v>
      </c>
      <c r="H578" s="3917"/>
      <c r="I578" s="3917"/>
      <c r="J578" s="4471">
        <v>5000000000</v>
      </c>
      <c r="K578" s="4471">
        <v>5000000000</v>
      </c>
      <c r="L578" s="4478">
        <v>53394311000</v>
      </c>
      <c r="M578" s="4479">
        <v>0</v>
      </c>
      <c r="N578" s="4478">
        <v>26697155000</v>
      </c>
      <c r="O578" s="4478">
        <v>26697155000</v>
      </c>
      <c r="P578" s="4478">
        <v>53394311000</v>
      </c>
      <c r="Q578" s="4478">
        <f t="shared" si="96"/>
        <v>0</v>
      </c>
      <c r="R578" s="4480">
        <f>+P578/L578*100-100</f>
        <v>0</v>
      </c>
      <c r="S578" s="4481"/>
      <c r="T578" s="4482"/>
      <c r="U578" s="4353"/>
      <c r="V578" s="3925">
        <f t="shared" si="95"/>
        <v>106788620000</v>
      </c>
    </row>
    <row r="579" spans="1:31" s="2069" customFormat="1" ht="15.05" customHeight="1">
      <c r="A579" s="4467"/>
      <c r="B579" s="4467"/>
      <c r="C579" s="4468"/>
      <c r="D579" s="4468"/>
      <c r="E579" s="4468"/>
      <c r="F579" s="4469" t="s">
        <v>298</v>
      </c>
      <c r="G579" s="4470"/>
      <c r="H579" s="3917"/>
      <c r="I579" s="3917"/>
      <c r="J579" s="4471"/>
      <c r="K579" s="4477"/>
      <c r="L579" s="4478">
        <f>MAR!J495</f>
        <v>0</v>
      </c>
      <c r="M579" s="4479">
        <v>0</v>
      </c>
      <c r="N579" s="4478">
        <f>MAR!L495</f>
        <v>0</v>
      </c>
      <c r="O579" s="4478">
        <f>MAR!M495</f>
        <v>0</v>
      </c>
      <c r="P579" s="4478">
        <f>MAR!N495</f>
        <v>0</v>
      </c>
      <c r="Q579" s="4478">
        <f t="shared" si="96"/>
        <v>0</v>
      </c>
      <c r="R579" s="4480">
        <v>0</v>
      </c>
      <c r="S579" s="4481"/>
      <c r="T579" s="4482"/>
      <c r="U579" s="4353"/>
      <c r="V579" s="3925">
        <f t="shared" si="95"/>
        <v>0</v>
      </c>
    </row>
    <row r="580" spans="1:31" s="2069" customFormat="1" ht="15.05" customHeight="1">
      <c r="A580" s="4483"/>
      <c r="B580" s="4483"/>
      <c r="C580" s="4484"/>
      <c r="D580" s="4484"/>
      <c r="E580" s="4484"/>
      <c r="F580" s="4485" t="s">
        <v>50</v>
      </c>
      <c r="G580" s="4486" t="s">
        <v>657</v>
      </c>
      <c r="H580" s="4487"/>
      <c r="I580" s="4487"/>
      <c r="J580" s="4488"/>
      <c r="K580" s="4489"/>
      <c r="L580" s="4490">
        <f>MAR!J496</f>
        <v>0</v>
      </c>
      <c r="M580" s="4491">
        <v>0</v>
      </c>
      <c r="N580" s="4490">
        <f>MAR!L496</f>
        <v>0</v>
      </c>
      <c r="O580" s="4490">
        <f>MAR!M496</f>
        <v>0</v>
      </c>
      <c r="P580" s="4490">
        <f>MAR!N496</f>
        <v>0</v>
      </c>
      <c r="Q580" s="4490">
        <f t="shared" si="96"/>
        <v>0</v>
      </c>
      <c r="R580" s="4492">
        <v>0</v>
      </c>
      <c r="S580" s="4481"/>
      <c r="T580" s="4482"/>
      <c r="U580" s="4493"/>
      <c r="V580" s="3925">
        <f t="shared" si="95"/>
        <v>0</v>
      </c>
    </row>
    <row r="581" spans="1:31" ht="15.05" customHeight="1">
      <c r="A581" s="3872"/>
      <c r="B581" s="3872"/>
      <c r="C581" s="3872"/>
      <c r="D581" s="3872"/>
      <c r="E581" s="3872"/>
      <c r="F581" s="3543"/>
      <c r="G581" s="3544"/>
      <c r="H581" s="3545"/>
      <c r="I581" s="3545"/>
      <c r="J581" s="3546"/>
      <c r="K581" s="3547"/>
      <c r="L581" s="3548"/>
      <c r="M581" s="3548"/>
      <c r="N581" s="3548"/>
      <c r="O581" s="3548"/>
      <c r="P581" s="3548"/>
      <c r="Q581" s="3548"/>
      <c r="R581" s="3913"/>
      <c r="S581" s="3768"/>
      <c r="T581" s="3764"/>
      <c r="U581" s="3761"/>
      <c r="V581" s="1846">
        <f t="shared" si="95"/>
        <v>0</v>
      </c>
    </row>
    <row r="582" spans="1:31" ht="12.05" hidden="1" customHeight="1">
      <c r="A582" s="5798"/>
      <c r="B582" s="5798"/>
      <c r="C582" s="5798"/>
      <c r="D582" s="5798"/>
      <c r="E582" s="5798"/>
      <c r="F582" s="5798"/>
      <c r="G582" s="5798"/>
      <c r="H582" s="5798"/>
      <c r="I582" s="5799"/>
      <c r="J582" s="1965"/>
      <c r="K582" s="1966"/>
      <c r="L582" s="1967">
        <f>L229+L216+L43+L438</f>
        <v>446737149324</v>
      </c>
      <c r="M582" s="1967">
        <f>M229+M216+M43+M438</f>
        <v>34516750956.529999</v>
      </c>
      <c r="N582" s="1967">
        <f>N229+N216+N43+N438</f>
        <v>47839371927.190002</v>
      </c>
      <c r="O582" s="1967">
        <f>O229+O216+O43+O438</f>
        <v>100501087883.72</v>
      </c>
      <c r="P582" s="1968">
        <f>+O582-L582</f>
        <v>-346236061440.28003</v>
      </c>
      <c r="Q582" s="1968">
        <f>+P582-L582</f>
        <v>-792973210764.28003</v>
      </c>
      <c r="R582" s="3647">
        <f>+P582/L582*100-100</f>
        <v>-177.50330635457615</v>
      </c>
      <c r="S582" s="3763"/>
      <c r="T582" s="3763"/>
      <c r="U582" s="2005"/>
      <c r="V582" s="1846">
        <f t="shared" si="95"/>
        <v>402004351534.88</v>
      </c>
    </row>
    <row r="583" spans="1:31" ht="13.5" customHeight="1">
      <c r="A583" s="1904"/>
      <c r="B583" s="1904"/>
      <c r="C583" s="1904"/>
      <c r="D583" s="1904"/>
      <c r="E583" s="1904"/>
      <c r="F583" s="1904"/>
      <c r="G583" s="1904"/>
      <c r="H583" s="1904"/>
      <c r="I583" s="1904"/>
      <c r="J583" s="1904"/>
      <c r="K583" s="1904"/>
      <c r="L583" s="1969"/>
      <c r="M583" s="1969"/>
      <c r="N583" s="1969"/>
      <c r="O583" s="1969"/>
      <c r="P583" s="1969"/>
      <c r="Q583" s="1969"/>
      <c r="R583" s="3648"/>
      <c r="S583" s="2993"/>
      <c r="T583" s="2993"/>
      <c r="U583" s="1924"/>
    </row>
    <row r="584" spans="1:31" ht="13.5" customHeight="1">
      <c r="A584" s="4012"/>
      <c r="B584" s="257"/>
      <c r="C584" s="257"/>
      <c r="D584" s="1945"/>
      <c r="E584" s="1945"/>
      <c r="F584" s="1945"/>
      <c r="G584" s="1945"/>
      <c r="H584" s="1945"/>
      <c r="I584" s="1945"/>
      <c r="J584" s="1945"/>
      <c r="K584" s="1945"/>
      <c r="L584" s="1971"/>
      <c r="M584" s="1971"/>
      <c r="N584" s="1971"/>
      <c r="O584" s="1971"/>
      <c r="R584" s="4013"/>
      <c r="S584" s="2994"/>
      <c r="T584" s="2994"/>
      <c r="U584" s="2006"/>
    </row>
    <row r="585" spans="1:31" ht="13.5" customHeight="1">
      <c r="A585" s="257"/>
      <c r="B585" s="257"/>
      <c r="C585" s="257"/>
      <c r="D585" s="1945"/>
      <c r="E585" s="1945"/>
      <c r="F585" s="1945"/>
      <c r="G585" s="1945"/>
      <c r="H585" s="1945"/>
      <c r="I585" s="1945"/>
      <c r="J585" s="1945"/>
      <c r="K585" s="1945"/>
      <c r="M585" s="1973"/>
      <c r="N585" s="1971"/>
      <c r="O585" s="1971"/>
      <c r="P585" s="4015" t="s">
        <v>1216</v>
      </c>
      <c r="Q585" s="1974"/>
      <c r="R585" s="4013"/>
      <c r="S585" s="2994"/>
      <c r="T585" s="2994"/>
      <c r="U585" s="2006"/>
    </row>
    <row r="586" spans="1:31" s="1846" customFormat="1" ht="13.5" customHeight="1">
      <c r="A586" s="257"/>
      <c r="B586" s="257"/>
      <c r="C586" s="257"/>
      <c r="D586" s="1945"/>
      <c r="E586" s="1945"/>
      <c r="F586" s="1945"/>
      <c r="G586" s="1945"/>
      <c r="H586" s="1945"/>
      <c r="I586" s="1945"/>
      <c r="J586" s="1945"/>
      <c r="K586" s="1945"/>
      <c r="M586" s="1976"/>
      <c r="N586" s="1844"/>
      <c r="O586" s="1971"/>
      <c r="P586" s="4016" t="s">
        <v>660</v>
      </c>
      <c r="Q586" s="1977"/>
      <c r="R586" s="4013"/>
      <c r="S586" s="2994"/>
      <c r="T586" s="2994"/>
      <c r="U586" s="2006"/>
      <c r="W586" s="1844"/>
      <c r="X586" s="1844"/>
      <c r="Y586" s="1844"/>
      <c r="Z586" s="1844"/>
      <c r="AA586" s="1844"/>
      <c r="AB586" s="1844"/>
      <c r="AC586" s="1844"/>
      <c r="AD586" s="1844"/>
      <c r="AE586" s="1844"/>
    </row>
    <row r="587" spans="1:31" s="1846" customFormat="1" ht="13.5" customHeight="1">
      <c r="A587" s="257"/>
      <c r="B587" s="257"/>
      <c r="C587" s="257"/>
      <c r="D587" s="1945"/>
      <c r="E587" s="1945"/>
      <c r="F587" s="1945"/>
      <c r="G587" s="1945"/>
      <c r="H587" s="1945"/>
      <c r="I587" s="1945"/>
      <c r="J587" s="1945"/>
      <c r="K587" s="1945"/>
      <c r="M587" s="1844"/>
      <c r="N587" s="1844"/>
      <c r="O587" s="1971"/>
      <c r="P587" s="4017" t="s">
        <v>1213</v>
      </c>
      <c r="Q587" s="1977"/>
      <c r="R587" s="4013"/>
      <c r="S587" s="2994"/>
      <c r="T587" s="2994"/>
      <c r="U587" s="2006"/>
      <c r="W587" s="1844"/>
      <c r="X587" s="1844"/>
      <c r="Y587" s="1844"/>
      <c r="Z587" s="1844"/>
      <c r="AA587" s="1844"/>
      <c r="AB587" s="1844"/>
      <c r="AC587" s="1844"/>
      <c r="AD587" s="1844"/>
      <c r="AE587" s="1844"/>
    </row>
    <row r="588" spans="1:31" s="1846" customFormat="1" ht="13.5" customHeight="1">
      <c r="A588" s="1945"/>
      <c r="B588" s="1945"/>
      <c r="C588" s="1945"/>
      <c r="D588" s="1945"/>
      <c r="E588" s="1945"/>
      <c r="F588" s="1945"/>
      <c r="G588" s="1945"/>
      <c r="H588" s="1844"/>
      <c r="I588" s="257"/>
      <c r="J588" s="257"/>
      <c r="K588" s="257"/>
      <c r="M588" s="1844"/>
      <c r="N588" s="1844"/>
      <c r="O588" s="1971"/>
      <c r="P588" s="4017" t="s">
        <v>929</v>
      </c>
      <c r="Q588" s="1977"/>
      <c r="R588" s="4013"/>
      <c r="S588" s="2994"/>
      <c r="T588" s="2994"/>
      <c r="U588" s="2006"/>
      <c r="W588" s="1844"/>
      <c r="X588" s="1844"/>
      <c r="Y588" s="1844"/>
      <c r="Z588" s="1844"/>
      <c r="AA588" s="1844"/>
      <c r="AB588" s="1844"/>
      <c r="AC588" s="1844"/>
      <c r="AD588" s="1844"/>
      <c r="AE588" s="1844"/>
    </row>
    <row r="589" spans="1:31" s="1846" customFormat="1" ht="13.5" customHeight="1">
      <c r="A589" s="1945"/>
      <c r="B589" s="1945"/>
      <c r="C589" s="1945"/>
      <c r="D589" s="1945"/>
      <c r="E589" s="1946"/>
      <c r="F589" s="1946"/>
      <c r="G589" s="1946"/>
      <c r="H589" s="1844"/>
      <c r="I589" s="1973"/>
      <c r="J589" s="1973"/>
      <c r="K589" s="1973"/>
      <c r="M589" s="1844"/>
      <c r="N589" s="1844"/>
      <c r="O589" s="1971"/>
      <c r="P589" s="4016"/>
      <c r="Q589" s="1977"/>
      <c r="R589" s="4013"/>
      <c r="S589" s="2994"/>
      <c r="T589" s="2994"/>
      <c r="U589" s="2006"/>
      <c r="W589" s="1844"/>
      <c r="X589" s="1844"/>
      <c r="Y589" s="1844"/>
      <c r="Z589" s="1844"/>
      <c r="AA589" s="1844"/>
      <c r="AB589" s="1844"/>
      <c r="AC589" s="1844"/>
      <c r="AD589" s="1844"/>
      <c r="AE589" s="1844"/>
    </row>
    <row r="590" spans="1:31" s="1846" customFormat="1" ht="13.5" customHeight="1">
      <c r="A590" s="1945"/>
      <c r="B590" s="1945"/>
      <c r="C590" s="1945"/>
      <c r="D590" s="1945"/>
      <c r="E590" s="1946"/>
      <c r="F590" s="1946"/>
      <c r="G590" s="1946"/>
      <c r="H590" s="1844"/>
      <c r="I590" s="1973"/>
      <c r="J590" s="1973"/>
      <c r="K590" s="1973"/>
      <c r="M590" s="1844"/>
      <c r="N590" s="1844"/>
      <c r="O590" s="1971"/>
      <c r="P590" s="4016"/>
      <c r="Q590" s="1977"/>
      <c r="R590" s="4013"/>
      <c r="S590" s="2994"/>
      <c r="T590" s="2994"/>
      <c r="U590" s="2006"/>
      <c r="W590" s="1844"/>
      <c r="X590" s="1844"/>
      <c r="Y590" s="1844"/>
      <c r="Z590" s="1844"/>
      <c r="AA590" s="1844"/>
      <c r="AB590" s="1844"/>
      <c r="AC590" s="1844"/>
      <c r="AD590" s="1844"/>
      <c r="AE590" s="1844"/>
    </row>
    <row r="591" spans="1:31" s="1846" customFormat="1" ht="13.5" customHeight="1">
      <c r="A591" s="1945"/>
      <c r="B591" s="1945"/>
      <c r="C591" s="1945"/>
      <c r="D591" s="1945"/>
      <c r="E591" s="1946"/>
      <c r="F591" s="1946"/>
      <c r="G591" s="1946"/>
      <c r="H591" s="1844"/>
      <c r="I591" s="1973"/>
      <c r="J591" s="1973"/>
      <c r="K591" s="1973"/>
      <c r="M591" s="1844"/>
      <c r="N591" s="1844"/>
      <c r="O591" s="1971"/>
      <c r="P591" s="4016"/>
      <c r="Q591" s="1977"/>
      <c r="R591" s="4013"/>
      <c r="S591" s="2994"/>
      <c r="T591" s="2994"/>
      <c r="U591" s="2006"/>
      <c r="W591" s="1844"/>
      <c r="X591" s="1844"/>
      <c r="Y591" s="1844"/>
      <c r="Z591" s="1844"/>
      <c r="AA591" s="1844"/>
      <c r="AB591" s="1844"/>
      <c r="AC591" s="1844"/>
      <c r="AD591" s="1844"/>
      <c r="AE591" s="1844"/>
    </row>
    <row r="592" spans="1:31" s="1846" customFormat="1" ht="13.5" customHeight="1">
      <c r="A592" s="1945"/>
      <c r="B592" s="1945"/>
      <c r="C592" s="1945"/>
      <c r="D592" s="1945"/>
      <c r="E592" s="1946"/>
      <c r="F592" s="1946"/>
      <c r="G592" s="1946"/>
      <c r="H592" s="1844"/>
      <c r="I592" s="1978"/>
      <c r="J592" s="1978"/>
      <c r="K592" s="1978"/>
      <c r="M592" s="1844"/>
      <c r="N592" s="1844"/>
      <c r="O592" s="1971"/>
      <c r="P592" s="4017"/>
      <c r="Q592" s="1980"/>
      <c r="R592" s="4013"/>
      <c r="S592" s="2994"/>
      <c r="T592" s="2994"/>
      <c r="U592" s="2006"/>
      <c r="W592" s="1844"/>
      <c r="X592" s="1844"/>
      <c r="Y592" s="1844"/>
      <c r="Z592" s="1844"/>
      <c r="AA592" s="1844"/>
      <c r="AB592" s="1844"/>
      <c r="AC592" s="1844"/>
      <c r="AD592" s="1844"/>
      <c r="AE592" s="1844"/>
    </row>
    <row r="593" spans="1:31" s="1846" customFormat="1" ht="13.5" customHeight="1">
      <c r="A593" s="257"/>
      <c r="B593" s="257"/>
      <c r="C593" s="257"/>
      <c r="D593" s="257"/>
      <c r="E593" s="1947"/>
      <c r="F593" s="257"/>
      <c r="G593" s="257"/>
      <c r="H593" s="1844"/>
      <c r="I593" s="257"/>
      <c r="J593" s="257"/>
      <c r="K593" s="257"/>
      <c r="M593" s="1844"/>
      <c r="N593" s="1844"/>
      <c r="O593" s="1971"/>
      <c r="P593" s="4018" t="s">
        <v>1214</v>
      </c>
      <c r="Q593" s="1977"/>
      <c r="R593" s="4013"/>
      <c r="S593" s="2994"/>
      <c r="T593" s="2994"/>
      <c r="U593" s="2006"/>
      <c r="W593" s="1844"/>
      <c r="X593" s="1844"/>
      <c r="Y593" s="1844"/>
      <c r="Z593" s="1844"/>
      <c r="AA593" s="1844"/>
      <c r="AB593" s="1844"/>
      <c r="AC593" s="1844"/>
      <c r="AD593" s="1844"/>
      <c r="AE593" s="1844"/>
    </row>
    <row r="594" spans="1:31" s="1846" customFormat="1" ht="15.05">
      <c r="A594" s="1843"/>
      <c r="B594" s="1843"/>
      <c r="C594" s="1844"/>
      <c r="D594" s="1844"/>
      <c r="E594" s="1844"/>
      <c r="F594" s="1845"/>
      <c r="G594" s="1845"/>
      <c r="H594" s="1844"/>
      <c r="I594" s="1844"/>
      <c r="J594" s="1844"/>
      <c r="K594" s="1844"/>
      <c r="L594" s="1844"/>
      <c r="M594" s="1844"/>
      <c r="N594" s="1844"/>
      <c r="O594" s="1844"/>
      <c r="P594" s="4019" t="s">
        <v>1215</v>
      </c>
      <c r="Q594" s="1977"/>
      <c r="R594" s="4014"/>
      <c r="S594" s="2883"/>
      <c r="T594" s="2883"/>
      <c r="U594" s="1844"/>
      <c r="W594" s="1844"/>
      <c r="X594" s="1844"/>
      <c r="Y594" s="1844"/>
      <c r="Z594" s="1844"/>
      <c r="AA594" s="1844"/>
      <c r="AB594" s="1844"/>
      <c r="AC594" s="1844"/>
      <c r="AD594" s="1844"/>
      <c r="AE594" s="1844"/>
    </row>
    <row r="595" spans="1:31">
      <c r="R595" s="4014"/>
    </row>
    <row r="596" spans="1:31">
      <c r="R596" s="4014"/>
    </row>
    <row r="604" spans="1:31" s="1846" customFormat="1">
      <c r="A604" s="1843"/>
      <c r="B604" s="1843"/>
      <c r="C604" s="1844"/>
      <c r="D604" s="1844"/>
      <c r="E604" s="1844"/>
      <c r="F604" s="1845"/>
      <c r="G604" s="1845"/>
      <c r="H604" s="1844"/>
      <c r="I604" s="1844"/>
      <c r="J604" s="1844"/>
      <c r="K604" s="1844"/>
      <c r="L604" s="1982" t="s">
        <v>665</v>
      </c>
      <c r="M604" s="1982"/>
      <c r="N604" s="1982" t="s">
        <v>666</v>
      </c>
      <c r="O604" s="1844"/>
      <c r="P604" s="1844"/>
      <c r="Q604" s="1844"/>
      <c r="R604" s="3649"/>
      <c r="S604" s="2883"/>
      <c r="T604" s="2883"/>
      <c r="U604" s="1844"/>
      <c r="W604" s="1844"/>
      <c r="X604" s="1844"/>
      <c r="Y604" s="1844"/>
      <c r="Z604" s="1844"/>
      <c r="AA604" s="1844"/>
      <c r="AB604" s="1844"/>
      <c r="AC604" s="1844"/>
      <c r="AD604" s="1844"/>
      <c r="AE604" s="1844"/>
    </row>
    <row r="605" spans="1:31" s="1846" customFormat="1" ht="17.25" customHeight="1">
      <c r="A605" s="1948"/>
      <c r="B605" s="1948"/>
      <c r="C605" s="1949"/>
      <c r="D605" s="1949"/>
      <c r="E605" s="1949"/>
      <c r="F605" s="1950"/>
      <c r="G605" s="1950"/>
      <c r="H605" s="5800" t="s">
        <v>667</v>
      </c>
      <c r="I605" s="5801"/>
      <c r="J605" s="1983"/>
      <c r="K605" s="1983"/>
      <c r="L605" s="1984">
        <f>SUM(L606:L631)</f>
        <v>199095000</v>
      </c>
      <c r="M605" s="1985">
        <f>SUM(M606:M631)</f>
        <v>20635628.990000002</v>
      </c>
      <c r="N605" s="1985">
        <f>SUM(N606:N631)</f>
        <v>500000</v>
      </c>
      <c r="O605" s="1985">
        <f>N605+M605</f>
        <v>21135628.990000002</v>
      </c>
      <c r="P605" s="1985">
        <f>SUM(P606:P631)</f>
        <v>1707586400</v>
      </c>
      <c r="Q605" s="1985"/>
      <c r="R605" s="3650">
        <f>O605/L605*100</f>
        <v>10.615851221778549</v>
      </c>
      <c r="S605" s="3734"/>
      <c r="T605" s="3734"/>
      <c r="U605" s="2007"/>
      <c r="W605" s="1844"/>
      <c r="X605" s="1844"/>
      <c r="Y605" s="1844"/>
      <c r="Z605" s="1844"/>
      <c r="AA605" s="1844"/>
      <c r="AB605" s="1844"/>
      <c r="AC605" s="1844"/>
      <c r="AD605" s="1844"/>
      <c r="AE605" s="1844"/>
    </row>
    <row r="606" spans="1:31" s="1846" customFormat="1">
      <c r="A606" s="1951"/>
      <c r="B606" s="1951"/>
      <c r="C606" s="1952"/>
      <c r="D606" s="1952"/>
      <c r="E606" s="1952"/>
      <c r="F606" s="1953" t="s">
        <v>50</v>
      </c>
      <c r="G606" s="1953"/>
      <c r="H606" s="1954" t="s">
        <v>668</v>
      </c>
      <c r="I606" s="1986"/>
      <c r="J606" s="1987"/>
      <c r="K606" s="1987"/>
      <c r="L606" s="1988">
        <f>L465</f>
        <v>57136000</v>
      </c>
      <c r="M606" s="1988">
        <f>M465</f>
        <v>0</v>
      </c>
      <c r="N606" s="1988">
        <f>N465</f>
        <v>0</v>
      </c>
      <c r="O606" s="1988">
        <f>O465</f>
        <v>0</v>
      </c>
      <c r="P606" s="1988">
        <f>P465</f>
        <v>57136000</v>
      </c>
      <c r="Q606" s="1988"/>
      <c r="R606" s="3651">
        <f>R465</f>
        <v>0</v>
      </c>
      <c r="S606" s="2996"/>
      <c r="T606" s="2996"/>
      <c r="U606" s="1952"/>
      <c r="W606" s="1844"/>
      <c r="X606" s="1844"/>
      <c r="Y606" s="1844"/>
      <c r="Z606" s="1844"/>
      <c r="AA606" s="1844"/>
      <c r="AB606" s="1844"/>
      <c r="AC606" s="1844"/>
      <c r="AD606" s="1844"/>
      <c r="AE606" s="1844"/>
    </row>
    <row r="607" spans="1:31" s="1846" customFormat="1">
      <c r="A607" s="1951"/>
      <c r="B607" s="1951"/>
      <c r="C607" s="1952"/>
      <c r="D607" s="1952"/>
      <c r="E607" s="1952"/>
      <c r="F607" s="1953" t="s">
        <v>50</v>
      </c>
      <c r="G607" s="1953"/>
      <c r="H607" s="1955" t="s">
        <v>669</v>
      </c>
      <c r="I607" s="1989"/>
      <c r="J607" s="1989"/>
      <c r="K607" s="1989"/>
      <c r="L607" s="1988">
        <f>L470</f>
        <v>63698000</v>
      </c>
      <c r="M607" s="1988">
        <f>M470</f>
        <v>4835000</v>
      </c>
      <c r="N607" s="1988">
        <f>N470</f>
        <v>0</v>
      </c>
      <c r="O607" s="1988">
        <f>O470</f>
        <v>4835000</v>
      </c>
      <c r="P607" s="1988">
        <f>P470</f>
        <v>63698000</v>
      </c>
      <c r="Q607" s="1988"/>
      <c r="R607" s="3651">
        <f>R470</f>
        <v>0</v>
      </c>
      <c r="S607" s="2996"/>
      <c r="T607" s="2996"/>
      <c r="U607" s="1988">
        <f>U470</f>
        <v>0</v>
      </c>
      <c r="W607" s="1844"/>
      <c r="X607" s="1844"/>
      <c r="Y607" s="1844"/>
      <c r="Z607" s="1844"/>
      <c r="AA607" s="1844"/>
      <c r="AB607" s="1844"/>
      <c r="AC607" s="1844"/>
      <c r="AD607" s="1844"/>
      <c r="AE607" s="1844"/>
    </row>
    <row r="608" spans="1:31" s="1846" customFormat="1">
      <c r="A608" s="1951"/>
      <c r="B608" s="1951"/>
      <c r="C608" s="1952"/>
      <c r="D608" s="1952"/>
      <c r="E608" s="1952"/>
      <c r="F608" s="1953" t="s">
        <v>50</v>
      </c>
      <c r="G608" s="1953"/>
      <c r="H608" s="1955" t="s">
        <v>670</v>
      </c>
      <c r="I608" s="1989"/>
      <c r="J608" s="1989"/>
      <c r="K608" s="1989"/>
      <c r="L608" s="1988">
        <f t="shared" ref="L608:R608" si="98">L519</f>
        <v>0</v>
      </c>
      <c r="M608" s="1988">
        <f t="shared" si="98"/>
        <v>0</v>
      </c>
      <c r="N608" s="1988">
        <f t="shared" si="98"/>
        <v>0</v>
      </c>
      <c r="O608" s="1988">
        <f t="shared" si="98"/>
        <v>0</v>
      </c>
      <c r="P608" s="1988">
        <f t="shared" si="98"/>
        <v>0</v>
      </c>
      <c r="Q608" s="1988"/>
      <c r="R608" s="3651">
        <f t="shared" si="98"/>
        <v>0</v>
      </c>
      <c r="S608" s="2996"/>
      <c r="T608" s="2996"/>
      <c r="U608" s="1952"/>
      <c r="W608" s="1844"/>
      <c r="X608" s="1844"/>
      <c r="Y608" s="1844"/>
      <c r="Z608" s="1844"/>
      <c r="AA608" s="1844"/>
      <c r="AB608" s="1844"/>
      <c r="AC608" s="1844"/>
      <c r="AD608" s="1844"/>
      <c r="AE608" s="1844"/>
    </row>
    <row r="609" spans="1:31" s="1846" customFormat="1">
      <c r="A609" s="1951"/>
      <c r="B609" s="1951"/>
      <c r="C609" s="1952"/>
      <c r="D609" s="1952"/>
      <c r="E609" s="1952"/>
      <c r="F609" s="1953" t="s">
        <v>50</v>
      </c>
      <c r="G609" s="1953"/>
      <c r="H609" s="1955" t="s">
        <v>279</v>
      </c>
      <c r="I609" s="1989"/>
      <c r="J609" s="1989"/>
      <c r="K609" s="1989"/>
      <c r="L609" s="1988">
        <f>L500</f>
        <v>25741600</v>
      </c>
      <c r="M609" s="1988">
        <f t="shared" ref="M609:R609" si="99">M500</f>
        <v>0</v>
      </c>
      <c r="N609" s="1988">
        <f t="shared" si="99"/>
        <v>0</v>
      </c>
      <c r="O609" s="1988">
        <f t="shared" si="99"/>
        <v>0</v>
      </c>
      <c r="P609" s="1988">
        <f t="shared" si="99"/>
        <v>25741600</v>
      </c>
      <c r="Q609" s="1988"/>
      <c r="R609" s="3651">
        <f t="shared" si="99"/>
        <v>0</v>
      </c>
      <c r="S609" s="2996"/>
      <c r="T609" s="2996"/>
      <c r="U609" s="1952"/>
      <c r="W609" s="1844"/>
      <c r="X609" s="1844"/>
      <c r="Y609" s="1844"/>
      <c r="Z609" s="1844"/>
      <c r="AA609" s="1844"/>
      <c r="AB609" s="1844"/>
      <c r="AC609" s="1844"/>
      <c r="AD609" s="1844"/>
      <c r="AE609" s="1844"/>
    </row>
    <row r="610" spans="1:31" s="1846" customFormat="1" ht="15.05">
      <c r="A610" s="1951"/>
      <c r="B610" s="1951"/>
      <c r="C610" s="1952"/>
      <c r="D610" s="1952"/>
      <c r="E610" s="1952"/>
      <c r="F610" s="1953" t="s">
        <v>50</v>
      </c>
      <c r="G610" s="1953"/>
      <c r="H610" s="1956" t="s">
        <v>671</v>
      </c>
      <c r="I610" s="1989"/>
      <c r="J610" s="1990"/>
      <c r="K610" s="1990"/>
      <c r="L610" s="1991">
        <f>L546</f>
        <v>0</v>
      </c>
      <c r="M610" s="1992">
        <f>M546</f>
        <v>0</v>
      </c>
      <c r="N610" s="1992">
        <f>N546</f>
        <v>0</v>
      </c>
      <c r="O610" s="1993">
        <f>O546</f>
        <v>0</v>
      </c>
      <c r="P610" s="1988">
        <f>O610-L610</f>
        <v>0</v>
      </c>
      <c r="Q610" s="2008"/>
      <c r="R610" s="3652" t="e">
        <f>#REF!</f>
        <v>#REF!</v>
      </c>
      <c r="S610" s="2997"/>
      <c r="T610" s="2997"/>
      <c r="U610" s="2009"/>
      <c r="W610" s="1844"/>
      <c r="X610" s="1844"/>
      <c r="Y610" s="1844"/>
      <c r="Z610" s="1844"/>
      <c r="AA610" s="1844"/>
      <c r="AB610" s="1844"/>
      <c r="AC610" s="1844"/>
      <c r="AD610" s="1844"/>
      <c r="AE610" s="1844"/>
    </row>
    <row r="611" spans="1:31" s="1846" customFormat="1" ht="15.05">
      <c r="A611" s="1951"/>
      <c r="B611" s="1951"/>
      <c r="C611" s="1952"/>
      <c r="D611" s="1952"/>
      <c r="E611" s="1952"/>
      <c r="F611" s="1953" t="s">
        <v>50</v>
      </c>
      <c r="G611" s="1953"/>
      <c r="H611" s="1957" t="s">
        <v>287</v>
      </c>
      <c r="I611" s="1989"/>
      <c r="J611" s="1994"/>
      <c r="K611" s="1994"/>
      <c r="L611" s="1995">
        <f>L444</f>
        <v>0</v>
      </c>
      <c r="M611" s="1996">
        <f>M444</f>
        <v>0</v>
      </c>
      <c r="N611" s="1996">
        <f>N444</f>
        <v>0</v>
      </c>
      <c r="O611" s="1996">
        <f>O444</f>
        <v>0</v>
      </c>
      <c r="P611" s="1996">
        <f>P444</f>
        <v>0</v>
      </c>
      <c r="Q611" s="1996"/>
      <c r="R611" s="3653">
        <f>R444</f>
        <v>0</v>
      </c>
      <c r="S611" s="2998"/>
      <c r="T611" s="2998"/>
      <c r="U611" s="2009" t="e">
        <f>#REF!</f>
        <v>#REF!</v>
      </c>
      <c r="W611" s="1844"/>
      <c r="X611" s="1844"/>
      <c r="Y611" s="1844"/>
      <c r="Z611" s="1844"/>
      <c r="AA611" s="1844"/>
      <c r="AB611" s="1844"/>
      <c r="AC611" s="1844"/>
      <c r="AD611" s="1844"/>
      <c r="AE611" s="1844"/>
    </row>
    <row r="612" spans="1:31" s="1846" customFormat="1" ht="15.05">
      <c r="A612" s="1951"/>
      <c r="B612" s="1951"/>
      <c r="C612" s="1952"/>
      <c r="D612" s="1952"/>
      <c r="E612" s="1952"/>
      <c r="F612" s="1953" t="s">
        <v>50</v>
      </c>
      <c r="G612" s="1953"/>
      <c r="H612" s="1957" t="s">
        <v>672</v>
      </c>
      <c r="I612" s="1989"/>
      <c r="J612" s="1994"/>
      <c r="K612" s="1994"/>
      <c r="L612" s="1995">
        <f t="shared" ref="L612:R612" si="100">L566</f>
        <v>0</v>
      </c>
      <c r="M612" s="1996">
        <f t="shared" si="100"/>
        <v>0</v>
      </c>
      <c r="N612" s="1996">
        <f t="shared" si="100"/>
        <v>0</v>
      </c>
      <c r="O612" s="1996">
        <f t="shared" si="100"/>
        <v>0</v>
      </c>
      <c r="P612" s="1996">
        <f t="shared" si="100"/>
        <v>0</v>
      </c>
      <c r="Q612" s="1996"/>
      <c r="R612" s="3653">
        <f t="shared" si="100"/>
        <v>0</v>
      </c>
      <c r="S612" s="2998"/>
      <c r="T612" s="2998"/>
      <c r="U612" s="2009" t="e">
        <f>#REF!</f>
        <v>#REF!</v>
      </c>
      <c r="W612" s="1844"/>
      <c r="X612" s="1844"/>
      <c r="Y612" s="1844"/>
      <c r="Z612" s="1844"/>
      <c r="AA612" s="1844"/>
      <c r="AB612" s="1844"/>
      <c r="AC612" s="1844"/>
      <c r="AD612" s="1844"/>
      <c r="AE612" s="1844"/>
    </row>
    <row r="613" spans="1:31" s="1846" customFormat="1" ht="15.05">
      <c r="A613" s="1951"/>
      <c r="B613" s="1951"/>
      <c r="C613" s="1952"/>
      <c r="D613" s="1952"/>
      <c r="E613" s="1952"/>
      <c r="F613" s="1953" t="s">
        <v>50</v>
      </c>
      <c r="G613" s="1953"/>
      <c r="H613" s="1957" t="s">
        <v>673</v>
      </c>
      <c r="I613" s="1989"/>
      <c r="J613" s="1994"/>
      <c r="K613" s="1994"/>
      <c r="L613" s="1995">
        <f>L446</f>
        <v>0</v>
      </c>
      <c r="M613" s="1996">
        <f>M446</f>
        <v>0</v>
      </c>
      <c r="N613" s="1996">
        <f>N446</f>
        <v>0</v>
      </c>
      <c r="O613" s="1996">
        <f>O446</f>
        <v>0</v>
      </c>
      <c r="P613" s="1996">
        <f>P446</f>
        <v>0</v>
      </c>
      <c r="Q613" s="1996"/>
      <c r="R613" s="3653" t="e">
        <f>R446</f>
        <v>#DIV/0!</v>
      </c>
      <c r="S613" s="2998"/>
      <c r="T613" s="2998"/>
      <c r="U613" s="2009" t="e">
        <f>#REF!</f>
        <v>#REF!</v>
      </c>
      <c r="W613" s="1844"/>
      <c r="X613" s="1844"/>
      <c r="Y613" s="1844"/>
      <c r="Z613" s="1844"/>
      <c r="AA613" s="1844"/>
      <c r="AB613" s="1844"/>
      <c r="AC613" s="1844"/>
      <c r="AD613" s="1844"/>
      <c r="AE613" s="1844"/>
    </row>
    <row r="614" spans="1:31" s="1846" customFormat="1" ht="15.05">
      <c r="A614" s="1951"/>
      <c r="B614" s="1951"/>
      <c r="C614" s="1952"/>
      <c r="D614" s="1952"/>
      <c r="E614" s="1952"/>
      <c r="F614" s="1953"/>
      <c r="G614" s="1953"/>
      <c r="H614" s="1957" t="s">
        <v>571</v>
      </c>
      <c r="I614" s="1989"/>
      <c r="J614" s="1994"/>
      <c r="K614" s="1994"/>
      <c r="L614" s="1995">
        <f t="shared" ref="L614:R614" si="101">L549</f>
        <v>0</v>
      </c>
      <c r="M614" s="1996">
        <f t="shared" si="101"/>
        <v>14027628.99</v>
      </c>
      <c r="N614" s="1996">
        <f t="shared" si="101"/>
        <v>500000</v>
      </c>
      <c r="O614" s="1997">
        <f t="shared" si="101"/>
        <v>14527628.99</v>
      </c>
      <c r="P614" s="1996">
        <f t="shared" si="101"/>
        <v>0</v>
      </c>
      <c r="Q614" s="1996"/>
      <c r="R614" s="3653">
        <f t="shared" si="101"/>
        <v>0</v>
      </c>
      <c r="S614" s="2998"/>
      <c r="T614" s="2998"/>
      <c r="U614" s="2009" t="e">
        <f>#REF!</f>
        <v>#REF!</v>
      </c>
      <c r="W614" s="1844"/>
      <c r="X614" s="1844"/>
      <c r="Y614" s="1844"/>
      <c r="Z614" s="1844"/>
      <c r="AA614" s="1844"/>
      <c r="AB614" s="1844"/>
      <c r="AC614" s="1844"/>
      <c r="AD614" s="1844"/>
      <c r="AE614" s="1844"/>
    </row>
    <row r="615" spans="1:31" ht="15.05">
      <c r="A615" s="1951"/>
      <c r="B615" s="1951"/>
      <c r="C615" s="1952"/>
      <c r="D615" s="1952"/>
      <c r="E615" s="1952"/>
      <c r="F615" s="1953"/>
      <c r="G615" s="1953"/>
      <c r="H615" s="1957" t="s">
        <v>674</v>
      </c>
      <c r="I615" s="1989"/>
      <c r="J615" s="1994"/>
      <c r="K615" s="1994"/>
      <c r="L615" s="1995">
        <f t="shared" ref="L615:R615" si="102">L553</f>
        <v>0</v>
      </c>
      <c r="M615" s="1996">
        <f t="shared" si="102"/>
        <v>0</v>
      </c>
      <c r="N615" s="1996">
        <f t="shared" si="102"/>
        <v>0</v>
      </c>
      <c r="O615" s="1996">
        <f t="shared" si="102"/>
        <v>0</v>
      </c>
      <c r="P615" s="1996">
        <f t="shared" si="102"/>
        <v>0</v>
      </c>
      <c r="Q615" s="1996"/>
      <c r="R615" s="3653">
        <f t="shared" si="102"/>
        <v>0</v>
      </c>
      <c r="S615" s="2998"/>
      <c r="T615" s="2998"/>
      <c r="U615" s="2009" t="e">
        <f>#REF!</f>
        <v>#REF!</v>
      </c>
    </row>
    <row r="616" spans="1:31">
      <c r="A616" s="1951"/>
      <c r="B616" s="1951"/>
      <c r="C616" s="1952"/>
      <c r="D616" s="1952"/>
      <c r="E616" s="1952"/>
      <c r="F616" s="1953"/>
      <c r="G616" s="1953"/>
      <c r="H616" s="1958" t="s">
        <v>675</v>
      </c>
      <c r="I616" s="1998"/>
      <c r="J616" s="1999"/>
      <c r="K616" s="1999"/>
      <c r="L616" s="1958">
        <f>L458</f>
        <v>0</v>
      </c>
      <c r="M616" s="1958">
        <f>M458</f>
        <v>0</v>
      </c>
      <c r="N616" s="1958">
        <f>N458</f>
        <v>0</v>
      </c>
      <c r="O616" s="2000">
        <f>O458</f>
        <v>0</v>
      </c>
      <c r="P616" s="1958">
        <f>P458</f>
        <v>0</v>
      </c>
      <c r="Q616" s="1958"/>
      <c r="R616" s="3652" t="e">
        <f>#REF!</f>
        <v>#REF!</v>
      </c>
      <c r="S616" s="2997"/>
      <c r="T616" s="2997"/>
      <c r="U616" s="2009" t="e">
        <f>#REF!</f>
        <v>#REF!</v>
      </c>
    </row>
    <row r="617" spans="1:31" ht="15.05">
      <c r="A617" s="1951"/>
      <c r="B617" s="1951"/>
      <c r="C617" s="1952"/>
      <c r="D617" s="1952"/>
      <c r="E617" s="1952"/>
      <c r="F617" s="1953"/>
      <c r="G617" s="1953"/>
      <c r="H617" s="1959" t="s">
        <v>271</v>
      </c>
      <c r="I617" s="1990"/>
      <c r="J617" s="1994"/>
      <c r="K617" s="1994"/>
      <c r="L617" s="1995">
        <f>L461</f>
        <v>51419400</v>
      </c>
      <c r="M617" s="1995">
        <f>M461</f>
        <v>0</v>
      </c>
      <c r="N617" s="1995">
        <f>N461</f>
        <v>0</v>
      </c>
      <c r="O617" s="1995">
        <f>O461</f>
        <v>0</v>
      </c>
      <c r="P617" s="1995">
        <f>P461</f>
        <v>51419400</v>
      </c>
      <c r="Q617" s="1995"/>
      <c r="R617" s="3654">
        <f>R461</f>
        <v>0</v>
      </c>
      <c r="S617" s="2999"/>
      <c r="T617" s="2999"/>
      <c r="U617" s="2009" t="e">
        <f>#REF!</f>
        <v>#REF!</v>
      </c>
    </row>
    <row r="618" spans="1:31" ht="15.05">
      <c r="A618" s="1951"/>
      <c r="B618" s="1951"/>
      <c r="C618" s="1952"/>
      <c r="D618" s="1952"/>
      <c r="E618" s="1952"/>
      <c r="F618" s="1953"/>
      <c r="G618" s="1953"/>
      <c r="H618" s="1960" t="s">
        <v>676</v>
      </c>
      <c r="I618" s="1989"/>
      <c r="J618" s="1989"/>
      <c r="K618" s="1989"/>
      <c r="L618" s="1988">
        <f t="shared" ref="L618:R618" si="103">L539</f>
        <v>0</v>
      </c>
      <c r="M618" s="1988">
        <f t="shared" si="103"/>
        <v>0</v>
      </c>
      <c r="N618" s="1988">
        <f t="shared" si="103"/>
        <v>0</v>
      </c>
      <c r="O618" s="2001">
        <f t="shared" si="103"/>
        <v>0</v>
      </c>
      <c r="P618" s="1988">
        <f t="shared" si="103"/>
        <v>0</v>
      </c>
      <c r="Q618" s="1988"/>
      <c r="R618" s="3651">
        <f t="shared" si="103"/>
        <v>0</v>
      </c>
      <c r="S618" s="2996"/>
      <c r="T618" s="2996"/>
      <c r="U618" s="2009" t="e">
        <f>#REF!</f>
        <v>#REF!</v>
      </c>
    </row>
    <row r="619" spans="1:31" ht="15.05">
      <c r="A619" s="1951"/>
      <c r="B619" s="1951"/>
      <c r="C619" s="1952"/>
      <c r="D619" s="1952"/>
      <c r="E619" s="1952"/>
      <c r="F619" s="1953"/>
      <c r="G619" s="1953"/>
      <c r="H619" s="1960" t="s">
        <v>280</v>
      </c>
      <c r="I619" s="1989"/>
      <c r="J619" s="1989"/>
      <c r="K619" s="1989"/>
      <c r="L619" s="1988">
        <f t="shared" ref="L619:R619" si="104">L538</f>
        <v>1100000</v>
      </c>
      <c r="M619" s="1988">
        <f t="shared" si="104"/>
        <v>0</v>
      </c>
      <c r="N619" s="1988">
        <f t="shared" si="104"/>
        <v>0</v>
      </c>
      <c r="O619" s="1988">
        <f t="shared" si="104"/>
        <v>0</v>
      </c>
      <c r="P619" s="1988">
        <f t="shared" si="104"/>
        <v>1100000</v>
      </c>
      <c r="Q619" s="1988"/>
      <c r="R619" s="3651">
        <f t="shared" si="104"/>
        <v>0</v>
      </c>
      <c r="S619" s="2996"/>
      <c r="T619" s="2996"/>
      <c r="U619" s="2009" t="e">
        <f>#REF!</f>
        <v>#REF!</v>
      </c>
    </row>
    <row r="620" spans="1:31">
      <c r="A620" s="1951"/>
      <c r="B620" s="1951"/>
      <c r="C620" s="1952"/>
      <c r="D620" s="1952"/>
      <c r="E620" s="1952"/>
      <c r="F620" s="1953"/>
      <c r="G620" s="1953"/>
      <c r="H620" s="1958" t="s">
        <v>595</v>
      </c>
      <c r="I620" s="1998"/>
      <c r="J620" s="1999"/>
      <c r="K620" s="1999"/>
      <c r="L620" s="1958">
        <f>L559</f>
        <v>0</v>
      </c>
      <c r="M620" s="1958">
        <f t="shared" ref="M620:U620" si="105">M559</f>
        <v>0</v>
      </c>
      <c r="N620" s="1958">
        <f t="shared" si="105"/>
        <v>0</v>
      </c>
      <c r="O620" s="1958">
        <f t="shared" si="105"/>
        <v>0</v>
      </c>
      <c r="P620" s="1958">
        <f t="shared" si="105"/>
        <v>0</v>
      </c>
      <c r="Q620" s="1958"/>
      <c r="R620" s="3652">
        <f t="shared" si="105"/>
        <v>0</v>
      </c>
      <c r="S620" s="2997"/>
      <c r="T620" s="2997"/>
      <c r="U620" s="2009">
        <f t="shared" si="105"/>
        <v>0</v>
      </c>
    </row>
    <row r="621" spans="1:31">
      <c r="A621" s="1951"/>
      <c r="B621" s="1951"/>
      <c r="C621" s="1952"/>
      <c r="D621" s="1952"/>
      <c r="E621" s="1952"/>
      <c r="F621" s="1953"/>
      <c r="G621" s="1953"/>
      <c r="H621" s="1958" t="s">
        <v>677</v>
      </c>
      <c r="I621" s="1998"/>
      <c r="J621" s="1999"/>
      <c r="K621" s="1999"/>
      <c r="L621" s="1958">
        <f>L449</f>
        <v>0</v>
      </c>
      <c r="M621" s="1958">
        <f>M449</f>
        <v>0</v>
      </c>
      <c r="N621" s="1958">
        <f>N449</f>
        <v>0</v>
      </c>
      <c r="O621" s="1958">
        <f>O449</f>
        <v>0</v>
      </c>
      <c r="P621" s="1958">
        <f>P449</f>
        <v>0</v>
      </c>
      <c r="Q621" s="1958"/>
      <c r="R621" s="3652" t="e">
        <f>R449</f>
        <v>#DIV/0!</v>
      </c>
      <c r="S621" s="2997"/>
      <c r="T621" s="2997"/>
      <c r="U621" s="2009" t="e">
        <f>#REF!</f>
        <v>#REF!</v>
      </c>
    </row>
    <row r="622" spans="1:31" ht="15.05">
      <c r="A622" s="1951"/>
      <c r="B622" s="1951"/>
      <c r="C622" s="1952"/>
      <c r="D622" s="1952"/>
      <c r="E622" s="1952"/>
      <c r="F622" s="1953"/>
      <c r="G622" s="1953"/>
      <c r="H622" s="2010" t="str">
        <f>F454</f>
        <v>BADAN PENANAMAN MODAL TERPADU</v>
      </c>
      <c r="I622" s="2040"/>
      <c r="J622" s="2041"/>
      <c r="K622" s="2041"/>
      <c r="L622" s="2042">
        <f>L454</f>
        <v>0</v>
      </c>
      <c r="M622" s="2042">
        <f>M454</f>
        <v>0</v>
      </c>
      <c r="N622" s="2042">
        <f>N454</f>
        <v>0</v>
      </c>
      <c r="O622" s="2042">
        <f>O454</f>
        <v>0</v>
      </c>
      <c r="P622" s="2042">
        <f>P454</f>
        <v>0</v>
      </c>
      <c r="Q622" s="2042"/>
      <c r="R622" s="3655" t="e">
        <f>R454</f>
        <v>#DIV/0!</v>
      </c>
      <c r="S622" s="3000"/>
      <c r="T622" s="3000"/>
      <c r="U622" s="2042">
        <f>U454</f>
        <v>0</v>
      </c>
    </row>
    <row r="623" spans="1:31" s="1841" customFormat="1">
      <c r="A623" s="1951"/>
      <c r="B623" s="1951"/>
      <c r="C623" s="1952"/>
      <c r="D623" s="1952"/>
      <c r="E623" s="1952"/>
      <c r="F623" s="2011"/>
      <c r="G623" s="2011"/>
      <c r="H623" s="2012" t="s">
        <v>678</v>
      </c>
      <c r="I623" s="2043"/>
      <c r="J623" s="2044"/>
      <c r="K623" s="2044"/>
      <c r="L623" s="2045">
        <f>L557</f>
        <v>0</v>
      </c>
      <c r="M623" s="2045">
        <f t="shared" ref="M623:R623" si="106">M557</f>
        <v>0</v>
      </c>
      <c r="N623" s="2045">
        <f t="shared" si="106"/>
        <v>0</v>
      </c>
      <c r="O623" s="2046">
        <f t="shared" si="106"/>
        <v>0</v>
      </c>
      <c r="P623" s="2045">
        <f t="shared" si="106"/>
        <v>0</v>
      </c>
      <c r="Q623" s="2045"/>
      <c r="R623" s="3656">
        <f t="shared" si="106"/>
        <v>0</v>
      </c>
      <c r="S623" s="3001"/>
      <c r="T623" s="3001"/>
      <c r="U623" s="2066" t="e">
        <f>#REF!</f>
        <v>#REF!</v>
      </c>
      <c r="V623" s="2067"/>
    </row>
    <row r="624" spans="1:31" ht="15.65">
      <c r="A624" s="1951"/>
      <c r="B624" s="1951"/>
      <c r="C624" s="1952"/>
      <c r="D624" s="1952"/>
      <c r="E624" s="1952"/>
      <c r="F624" s="1953"/>
      <c r="G624" s="1953"/>
      <c r="H624" s="2013" t="s">
        <v>679</v>
      </c>
      <c r="I624" s="1998"/>
      <c r="J624" s="1999"/>
      <c r="K624" s="1999"/>
      <c r="L624" s="1958">
        <f>L526</f>
        <v>0</v>
      </c>
      <c r="M624" s="1958">
        <f t="shared" ref="M624:U624" si="107">M526</f>
        <v>0</v>
      </c>
      <c r="N624" s="1958">
        <f t="shared" si="107"/>
        <v>0</v>
      </c>
      <c r="O624" s="1958">
        <f t="shared" si="107"/>
        <v>0</v>
      </c>
      <c r="P624" s="1958">
        <f t="shared" si="107"/>
        <v>0</v>
      </c>
      <c r="Q624" s="1958"/>
      <c r="R624" s="3652">
        <f t="shared" si="107"/>
        <v>0</v>
      </c>
      <c r="S624" s="2997"/>
      <c r="T624" s="2997"/>
      <c r="U624" s="2009">
        <f t="shared" si="107"/>
        <v>0</v>
      </c>
    </row>
    <row r="625" spans="1:31" ht="15.05">
      <c r="A625" s="1951"/>
      <c r="B625" s="1951"/>
      <c r="C625" s="1952"/>
      <c r="D625" s="1952"/>
      <c r="E625" s="1952"/>
      <c r="F625" s="1953" t="s">
        <v>50</v>
      </c>
      <c r="G625" s="1953"/>
      <c r="H625" s="1960" t="s">
        <v>568</v>
      </c>
      <c r="I625" s="1989"/>
      <c r="J625" s="1989"/>
      <c r="K625" s="1989"/>
      <c r="L625" s="1988">
        <f t="shared" ref="L625:R625" si="108">L563</f>
        <v>0</v>
      </c>
      <c r="M625" s="1988">
        <f t="shared" si="108"/>
        <v>913000</v>
      </c>
      <c r="N625" s="1988">
        <f t="shared" si="108"/>
        <v>0</v>
      </c>
      <c r="O625" s="2001">
        <f t="shared" si="108"/>
        <v>913000</v>
      </c>
      <c r="P625" s="1988">
        <f t="shared" si="108"/>
        <v>0</v>
      </c>
      <c r="Q625" s="1988"/>
      <c r="R625" s="3651">
        <f t="shared" si="108"/>
        <v>0</v>
      </c>
      <c r="S625" s="2996"/>
      <c r="T625" s="2996"/>
      <c r="U625" s="2009" t="e">
        <f>#REF!</f>
        <v>#REF!</v>
      </c>
    </row>
    <row r="626" spans="1:31" ht="15.05">
      <c r="A626" s="1951"/>
      <c r="B626" s="1951"/>
      <c r="C626" s="1952"/>
      <c r="D626" s="1952"/>
      <c r="E626" s="1952"/>
      <c r="F626" s="1953"/>
      <c r="G626" s="1953"/>
      <c r="H626" s="1960" t="s">
        <v>680</v>
      </c>
      <c r="I626" s="1989"/>
      <c r="J626" s="1989"/>
      <c r="K626" s="1989"/>
      <c r="L626" s="1988">
        <f t="shared" ref="L626:R626" si="109">L515</f>
        <v>0</v>
      </c>
      <c r="M626" s="1988">
        <f t="shared" si="109"/>
        <v>720000</v>
      </c>
      <c r="N626" s="1988">
        <f t="shared" si="109"/>
        <v>0</v>
      </c>
      <c r="O626" s="1988">
        <f t="shared" si="109"/>
        <v>720000</v>
      </c>
      <c r="P626" s="1988">
        <f t="shared" si="109"/>
        <v>0</v>
      </c>
      <c r="Q626" s="1988"/>
      <c r="R626" s="3651">
        <f t="shared" si="109"/>
        <v>0</v>
      </c>
      <c r="S626" s="2996"/>
      <c r="T626" s="2996"/>
      <c r="U626" s="2009" t="e">
        <f>#REF!</f>
        <v>#REF!</v>
      </c>
    </row>
    <row r="627" spans="1:31" ht="15.05">
      <c r="A627" s="1951"/>
      <c r="B627" s="1951"/>
      <c r="C627" s="1952"/>
      <c r="D627" s="1952"/>
      <c r="E627" s="1952"/>
      <c r="F627" s="1953" t="s">
        <v>50</v>
      </c>
      <c r="G627" s="1953"/>
      <c r="H627" s="1960" t="s">
        <v>589</v>
      </c>
      <c r="I627" s="1989"/>
      <c r="J627" s="1989"/>
      <c r="K627" s="1989"/>
      <c r="L627" s="1988">
        <f t="shared" ref="L627:R627" si="110">L503</f>
        <v>0</v>
      </c>
      <c r="M627" s="1988">
        <f t="shared" si="110"/>
        <v>140000</v>
      </c>
      <c r="N627" s="1988">
        <f t="shared" si="110"/>
        <v>0</v>
      </c>
      <c r="O627" s="1988">
        <f t="shared" si="110"/>
        <v>140000</v>
      </c>
      <c r="P627" s="1988">
        <f t="shared" si="110"/>
        <v>0</v>
      </c>
      <c r="Q627" s="1988"/>
      <c r="R627" s="3651">
        <f t="shared" si="110"/>
        <v>0</v>
      </c>
      <c r="S627" s="2996"/>
      <c r="T627" s="2996"/>
      <c r="U627" s="2009" t="e">
        <f>#REF!</f>
        <v>#REF!</v>
      </c>
    </row>
    <row r="628" spans="1:31" ht="15.05">
      <c r="A628" s="1951"/>
      <c r="B628" s="1951"/>
      <c r="C628" s="1952"/>
      <c r="D628" s="1952"/>
      <c r="E628" s="1952"/>
      <c r="F628" s="1953" t="s">
        <v>50</v>
      </c>
      <c r="G628" s="1953"/>
      <c r="H628" s="1960" t="s">
        <v>681</v>
      </c>
      <c r="I628" s="1989"/>
      <c r="J628" s="1989"/>
      <c r="K628" s="1989"/>
      <c r="L628" s="1988">
        <f t="shared" ref="L628:R628" si="111">L506</f>
        <v>0</v>
      </c>
      <c r="M628" s="1988">
        <f t="shared" si="111"/>
        <v>0</v>
      </c>
      <c r="N628" s="1988">
        <f t="shared" si="111"/>
        <v>0</v>
      </c>
      <c r="O628" s="2001">
        <f t="shared" si="111"/>
        <v>0</v>
      </c>
      <c r="P628" s="1988">
        <f t="shared" si="111"/>
        <v>0</v>
      </c>
      <c r="Q628" s="1988"/>
      <c r="R628" s="3651">
        <f t="shared" si="111"/>
        <v>0</v>
      </c>
      <c r="S628" s="2996"/>
      <c r="T628" s="2996"/>
      <c r="U628" s="2009" t="e">
        <f>#REF!</f>
        <v>#REF!</v>
      </c>
    </row>
    <row r="629" spans="1:31" ht="15.05">
      <c r="A629" s="1951"/>
      <c r="B629" s="1951"/>
      <c r="C629" s="1952"/>
      <c r="D629" s="1952"/>
      <c r="E629" s="1952"/>
      <c r="F629" s="1953"/>
      <c r="G629" s="1953"/>
      <c r="H629" s="1960" t="s">
        <v>609</v>
      </c>
      <c r="I629" s="1989"/>
      <c r="J629" s="1989"/>
      <c r="K629" s="1989"/>
      <c r="L629" s="1988">
        <f t="shared" ref="L629:R629" si="112">L509</f>
        <v>0</v>
      </c>
      <c r="M629" s="1988">
        <f t="shared" si="112"/>
        <v>0</v>
      </c>
      <c r="N629" s="1988">
        <f t="shared" si="112"/>
        <v>0</v>
      </c>
      <c r="O629" s="2001">
        <f t="shared" si="112"/>
        <v>0</v>
      </c>
      <c r="P629" s="1988">
        <f t="shared" si="112"/>
        <v>0</v>
      </c>
      <c r="Q629" s="1988"/>
      <c r="R629" s="3651">
        <f t="shared" si="112"/>
        <v>0</v>
      </c>
      <c r="S629" s="2996"/>
      <c r="T629" s="2996"/>
      <c r="U629" s="2009" t="e">
        <f>#REF!</f>
        <v>#REF!</v>
      </c>
    </row>
    <row r="630" spans="1:31" ht="15.05">
      <c r="A630" s="1951"/>
      <c r="B630" s="1951"/>
      <c r="C630" s="1952"/>
      <c r="D630" s="1952"/>
      <c r="E630" s="1952"/>
      <c r="F630" s="1953" t="s">
        <v>50</v>
      </c>
      <c r="G630" s="1953"/>
      <c r="H630" s="2014" t="s">
        <v>682</v>
      </c>
      <c r="I630" s="1998"/>
      <c r="J630" s="1998"/>
      <c r="K630" s="1998"/>
      <c r="L630" s="2009"/>
      <c r="M630" s="2009">
        <f t="shared" ref="M630:U630" si="113">M497</f>
        <v>0</v>
      </c>
      <c r="N630" s="2009">
        <f t="shared" si="113"/>
        <v>0</v>
      </c>
      <c r="O630" s="2009">
        <f t="shared" si="113"/>
        <v>0</v>
      </c>
      <c r="P630" s="2009">
        <f t="shared" si="113"/>
        <v>1508491400</v>
      </c>
      <c r="Q630" s="2009"/>
      <c r="R630" s="3657">
        <f t="shared" si="113"/>
        <v>0</v>
      </c>
      <c r="S630" s="3002"/>
      <c r="T630" s="3002"/>
      <c r="U630" s="2009">
        <f t="shared" si="113"/>
        <v>0</v>
      </c>
    </row>
    <row r="631" spans="1:31" s="1846" customFormat="1" ht="12.55">
      <c r="A631" s="2015"/>
      <c r="B631" s="2015"/>
      <c r="C631" s="2016"/>
      <c r="D631" s="2016"/>
      <c r="E631" s="2016"/>
      <c r="F631" s="2017" t="s">
        <v>50</v>
      </c>
      <c r="G631" s="2017"/>
      <c r="H631" s="2018"/>
      <c r="I631" s="2047"/>
      <c r="J631" s="2047"/>
      <c r="K631" s="2047"/>
      <c r="L631" s="2048"/>
      <c r="M631" s="2048"/>
      <c r="N631" s="2048"/>
      <c r="O631" s="2048"/>
      <c r="P631" s="2048"/>
      <c r="Q631" s="2048"/>
      <c r="R631" s="3658"/>
      <c r="S631" s="3003"/>
      <c r="T631" s="3003"/>
      <c r="U631" s="2048"/>
      <c r="W631" s="1844"/>
      <c r="X631" s="1844"/>
      <c r="Y631" s="1844"/>
      <c r="Z631" s="1844"/>
      <c r="AA631" s="1844"/>
      <c r="AB631" s="1844"/>
      <c r="AC631" s="1844"/>
      <c r="AD631" s="1844"/>
      <c r="AE631" s="1844"/>
    </row>
    <row r="632" spans="1:31" s="1846" customFormat="1">
      <c r="A632" s="1843"/>
      <c r="B632" s="1843"/>
      <c r="C632" s="1844"/>
      <c r="D632" s="1844"/>
      <c r="E632" s="1844"/>
      <c r="F632" s="2019"/>
      <c r="G632" s="2019"/>
      <c r="H632" s="1843"/>
      <c r="I632" s="1844"/>
      <c r="J632" s="1844"/>
      <c r="K632" s="1844"/>
      <c r="L632" s="1844"/>
      <c r="M632" s="1844"/>
      <c r="N632" s="1844"/>
      <c r="O632" s="1844"/>
      <c r="P632" s="1844"/>
      <c r="Q632" s="1844"/>
      <c r="R632" s="3649"/>
      <c r="S632" s="2883"/>
      <c r="T632" s="2883"/>
      <c r="U632" s="1844"/>
      <c r="W632" s="1844"/>
      <c r="X632" s="1844"/>
      <c r="Y632" s="1844"/>
      <c r="Z632" s="1844"/>
      <c r="AA632" s="1844"/>
      <c r="AB632" s="1844"/>
      <c r="AC632" s="1844"/>
      <c r="AD632" s="1844"/>
      <c r="AE632" s="1844"/>
    </row>
    <row r="633" spans="1:31" s="1846" customFormat="1">
      <c r="A633" s="1843"/>
      <c r="B633" s="1843"/>
      <c r="C633" s="1844"/>
      <c r="D633" s="1844"/>
      <c r="E633" s="1844"/>
      <c r="F633" s="2019"/>
      <c r="G633" s="2019"/>
      <c r="H633" s="1843"/>
      <c r="I633" s="1844"/>
      <c r="J633" s="1844"/>
      <c r="K633" s="1844"/>
      <c r="L633" s="1982" t="s">
        <v>665</v>
      </c>
      <c r="M633" s="1982"/>
      <c r="N633" s="1982" t="s">
        <v>666</v>
      </c>
      <c r="O633" s="1844"/>
      <c r="P633" s="1844"/>
      <c r="Q633" s="1844"/>
      <c r="R633" s="3649"/>
      <c r="S633" s="2883"/>
      <c r="T633" s="2883"/>
      <c r="U633" s="1844"/>
      <c r="W633" s="1844"/>
      <c r="X633" s="1844"/>
      <c r="Y633" s="1844"/>
      <c r="Z633" s="1844"/>
      <c r="AA633" s="1844"/>
      <c r="AB633" s="1844"/>
      <c r="AC633" s="1844"/>
      <c r="AD633" s="1844"/>
      <c r="AE633" s="1844"/>
    </row>
    <row r="634" spans="1:31" s="1846" customFormat="1" ht="16.45" customHeight="1">
      <c r="A634" s="2020"/>
      <c r="B634" s="2020"/>
      <c r="C634" s="2021"/>
      <c r="D634" s="2021"/>
      <c r="E634" s="2021"/>
      <c r="F634" s="2022"/>
      <c r="G634" s="2022"/>
      <c r="H634" s="5802" t="s">
        <v>683</v>
      </c>
      <c r="I634" s="5803"/>
      <c r="J634" s="2049"/>
      <c r="K634" s="2049"/>
      <c r="L634" s="2050">
        <f>SUM(L635:L646)</f>
        <v>0</v>
      </c>
      <c r="M634" s="2050">
        <f>SUM(M635:M646)</f>
        <v>10809500</v>
      </c>
      <c r="N634" s="2050">
        <f>SUM(N635:N646)</f>
        <v>0</v>
      </c>
      <c r="O634" s="2050">
        <f>N634+M634</f>
        <v>10809500</v>
      </c>
      <c r="P634" s="2050" t="e">
        <f>P635+#REF!+P637+P639+P642+P645+P646+P643</f>
        <v>#REF!</v>
      </c>
      <c r="Q634" s="2050"/>
      <c r="R634" s="3659" t="e">
        <f>R635+#REF!+R637+R639+R642+R645+R646</f>
        <v>#REF!</v>
      </c>
      <c r="S634" s="3735"/>
      <c r="T634" s="3735"/>
      <c r="U634" s="1831"/>
      <c r="W634" s="1844"/>
      <c r="X634" s="1844"/>
      <c r="Y634" s="1844"/>
      <c r="Z634" s="1844"/>
      <c r="AA634" s="1844"/>
      <c r="AB634" s="1844"/>
      <c r="AC634" s="1844"/>
      <c r="AD634" s="1844"/>
      <c r="AE634" s="1844"/>
    </row>
    <row r="635" spans="1:31" s="1846" customFormat="1">
      <c r="A635" s="2023"/>
      <c r="B635" s="2023"/>
      <c r="C635" s="2007"/>
      <c r="D635" s="2007"/>
      <c r="E635" s="2007"/>
      <c r="F635" s="2024" t="s">
        <v>50</v>
      </c>
      <c r="G635" s="2025"/>
      <c r="H635" s="2026" t="s">
        <v>684</v>
      </c>
      <c r="I635" s="2051"/>
      <c r="J635" s="2051"/>
      <c r="K635" s="2051"/>
      <c r="L635" s="2052">
        <f>L468</f>
        <v>0</v>
      </c>
      <c r="M635" s="2052">
        <f>M468</f>
        <v>0</v>
      </c>
      <c r="N635" s="2052">
        <f>N468</f>
        <v>0</v>
      </c>
      <c r="O635" s="2052">
        <f>O468</f>
        <v>0</v>
      </c>
      <c r="P635" s="2052">
        <f>P468</f>
        <v>0</v>
      </c>
      <c r="Q635" s="2052"/>
      <c r="R635" s="3660">
        <f>R468</f>
        <v>0</v>
      </c>
      <c r="S635" s="2998"/>
      <c r="T635" s="2998"/>
      <c r="U635" s="1996">
        <f>U468</f>
        <v>0</v>
      </c>
      <c r="W635" s="1844"/>
      <c r="X635" s="1844"/>
      <c r="Y635" s="1844"/>
      <c r="Z635" s="1844"/>
      <c r="AA635" s="1844"/>
      <c r="AB635" s="1844"/>
      <c r="AC635" s="1844"/>
      <c r="AD635" s="1844"/>
      <c r="AE635" s="1844"/>
    </row>
    <row r="636" spans="1:31" s="1846" customFormat="1">
      <c r="A636" s="2027"/>
      <c r="B636" s="2027"/>
      <c r="C636" s="2028"/>
      <c r="D636" s="2028"/>
      <c r="E636" s="2028"/>
      <c r="F636" s="1953" t="s">
        <v>50</v>
      </c>
      <c r="G636" s="2029"/>
      <c r="H636" s="2030" t="s">
        <v>685</v>
      </c>
      <c r="I636" s="2053"/>
      <c r="J636" s="2053"/>
      <c r="K636" s="2053"/>
      <c r="L636" s="2054">
        <v>0</v>
      </c>
      <c r="M636" s="2054">
        <f>M467</f>
        <v>0</v>
      </c>
      <c r="N636" s="2054">
        <f>N467</f>
        <v>0</v>
      </c>
      <c r="O636" s="2054">
        <f>O467</f>
        <v>0</v>
      </c>
      <c r="P636" s="2054">
        <f>P467</f>
        <v>198040000</v>
      </c>
      <c r="Q636" s="2054"/>
      <c r="R636" s="3661">
        <f>R467</f>
        <v>0</v>
      </c>
      <c r="S636" s="3736"/>
      <c r="T636" s="3736"/>
      <c r="U636" s="1996"/>
      <c r="W636" s="1844"/>
      <c r="X636" s="1844"/>
      <c r="Y636" s="1844"/>
      <c r="Z636" s="1844"/>
      <c r="AA636" s="1844"/>
      <c r="AB636" s="1844"/>
      <c r="AC636" s="1844"/>
      <c r="AD636" s="1844"/>
      <c r="AE636" s="1844"/>
    </row>
    <row r="637" spans="1:31" s="1846" customFormat="1" ht="15.05">
      <c r="A637" s="1951"/>
      <c r="B637" s="1951"/>
      <c r="C637" s="1952"/>
      <c r="D637" s="1952"/>
      <c r="E637" s="1952"/>
      <c r="F637" s="1953" t="s">
        <v>50</v>
      </c>
      <c r="G637" s="1953"/>
      <c r="H637" s="1960" t="s">
        <v>570</v>
      </c>
      <c r="I637" s="1989"/>
      <c r="J637" s="1989"/>
      <c r="K637" s="1989"/>
      <c r="L637" s="1988">
        <f t="shared" ref="L637:R637" si="114">L523</f>
        <v>0</v>
      </c>
      <c r="M637" s="1988">
        <f t="shared" si="114"/>
        <v>10809500</v>
      </c>
      <c r="N637" s="1988">
        <f t="shared" si="114"/>
        <v>0</v>
      </c>
      <c r="O637" s="1988">
        <f t="shared" si="114"/>
        <v>10809500</v>
      </c>
      <c r="P637" s="1988">
        <f t="shared" si="114"/>
        <v>0</v>
      </c>
      <c r="Q637" s="1988"/>
      <c r="R637" s="3651">
        <f t="shared" si="114"/>
        <v>0</v>
      </c>
      <c r="S637" s="2998"/>
      <c r="T637" s="2998"/>
      <c r="U637" s="1996"/>
      <c r="W637" s="1844"/>
      <c r="X637" s="1844"/>
      <c r="Y637" s="1844"/>
      <c r="Z637" s="1844"/>
      <c r="AA637" s="1844"/>
      <c r="AB637" s="1844"/>
      <c r="AC637" s="1844"/>
      <c r="AD637" s="1844"/>
      <c r="AE637" s="1844"/>
    </row>
    <row r="638" spans="1:31" s="1846" customFormat="1" ht="15.05">
      <c r="A638" s="1951"/>
      <c r="B638" s="1951"/>
      <c r="C638" s="1952"/>
      <c r="D638" s="1952"/>
      <c r="E638" s="1952"/>
      <c r="F638" s="1953" t="s">
        <v>50</v>
      </c>
      <c r="G638" s="2031"/>
      <c r="H638" s="1960" t="s">
        <v>686</v>
      </c>
      <c r="I638" s="1989"/>
      <c r="J638" s="1989"/>
      <c r="K638" s="1989"/>
      <c r="L638" s="1988">
        <f>L516</f>
        <v>0</v>
      </c>
      <c r="M638" s="1988">
        <f t="shared" ref="M638:U638" si="115">M516</f>
        <v>0</v>
      </c>
      <c r="N638" s="1988">
        <f t="shared" si="115"/>
        <v>0</v>
      </c>
      <c r="O638" s="1988">
        <f t="shared" si="115"/>
        <v>0</v>
      </c>
      <c r="P638" s="1988">
        <f t="shared" si="115"/>
        <v>0</v>
      </c>
      <c r="Q638" s="1988"/>
      <c r="R638" s="3651">
        <f t="shared" si="115"/>
        <v>0</v>
      </c>
      <c r="S638" s="2996"/>
      <c r="T638" s="2996"/>
      <c r="U638" s="1988">
        <f t="shared" si="115"/>
        <v>0</v>
      </c>
      <c r="W638" s="1844"/>
      <c r="X638" s="1844"/>
      <c r="Y638" s="1844"/>
      <c r="Z638" s="1844"/>
      <c r="AA638" s="1844"/>
      <c r="AB638" s="1844"/>
      <c r="AC638" s="1844"/>
      <c r="AD638" s="1844"/>
      <c r="AE638" s="1844"/>
    </row>
    <row r="639" spans="1:31" s="1846" customFormat="1">
      <c r="A639" s="1951"/>
      <c r="B639" s="1951"/>
      <c r="C639" s="1952"/>
      <c r="D639" s="1952"/>
      <c r="E639" s="1952"/>
      <c r="F639" s="1953" t="s">
        <v>50</v>
      </c>
      <c r="G639" s="2031"/>
      <c r="H639" s="2032" t="s">
        <v>687</v>
      </c>
      <c r="I639" s="1989"/>
      <c r="J639" s="1989"/>
      <c r="K639" s="1989"/>
      <c r="L639" s="1988">
        <f>L518</f>
        <v>0</v>
      </c>
      <c r="M639" s="1988">
        <f t="shared" ref="M639:U639" si="116">M518</f>
        <v>0</v>
      </c>
      <c r="N639" s="1988">
        <f t="shared" si="116"/>
        <v>0</v>
      </c>
      <c r="O639" s="1988">
        <f t="shared" si="116"/>
        <v>0</v>
      </c>
      <c r="P639" s="1988">
        <f t="shared" si="116"/>
        <v>0</v>
      </c>
      <c r="Q639" s="1988"/>
      <c r="R639" s="3651">
        <f t="shared" si="116"/>
        <v>0</v>
      </c>
      <c r="S639" s="2998"/>
      <c r="T639" s="2998"/>
      <c r="U639" s="1996">
        <f t="shared" si="116"/>
        <v>0</v>
      </c>
      <c r="W639" s="1844"/>
      <c r="X639" s="1844"/>
      <c r="Y639" s="1844"/>
      <c r="Z639" s="1844"/>
      <c r="AA639" s="1844"/>
      <c r="AB639" s="1844"/>
      <c r="AC639" s="1844"/>
      <c r="AD639" s="1844"/>
      <c r="AE639" s="1844"/>
    </row>
    <row r="640" spans="1:31" s="1846" customFormat="1" ht="15.05">
      <c r="A640" s="1951"/>
      <c r="B640" s="1951"/>
      <c r="C640" s="1952"/>
      <c r="D640" s="1952"/>
      <c r="E640" s="1952"/>
      <c r="F640" s="1953"/>
      <c r="G640" s="2031"/>
      <c r="H640" s="1960" t="s">
        <v>688</v>
      </c>
      <c r="I640" s="1989"/>
      <c r="J640" s="1989"/>
      <c r="K640" s="1989"/>
      <c r="L640" s="1988">
        <f>L510</f>
        <v>0</v>
      </c>
      <c r="M640" s="1988">
        <f t="shared" ref="M640:R640" si="117">M510</f>
        <v>0</v>
      </c>
      <c r="N640" s="1988">
        <f t="shared" si="117"/>
        <v>0</v>
      </c>
      <c r="O640" s="1988">
        <f t="shared" si="117"/>
        <v>0</v>
      </c>
      <c r="P640" s="1988">
        <f t="shared" si="117"/>
        <v>0</v>
      </c>
      <c r="Q640" s="1988"/>
      <c r="R640" s="3651">
        <f t="shared" si="117"/>
        <v>0</v>
      </c>
      <c r="S640" s="2998"/>
      <c r="T640" s="2998"/>
      <c r="U640" s="1996"/>
      <c r="W640" s="1844"/>
      <c r="X640" s="1844"/>
      <c r="Y640" s="1844"/>
      <c r="Z640" s="1844"/>
      <c r="AA640" s="1844"/>
      <c r="AB640" s="1844"/>
      <c r="AC640" s="1844"/>
      <c r="AD640" s="1844"/>
      <c r="AE640" s="1844"/>
    </row>
    <row r="641" spans="1:31" s="1846" customFormat="1" ht="15.05">
      <c r="A641" s="1951"/>
      <c r="B641" s="1951"/>
      <c r="C641" s="1952"/>
      <c r="D641" s="1952"/>
      <c r="E641" s="1952"/>
      <c r="F641" s="1953" t="s">
        <v>50</v>
      </c>
      <c r="G641" s="2031"/>
      <c r="H641" s="1960" t="s">
        <v>689</v>
      </c>
      <c r="I641" s="1989"/>
      <c r="J641" s="1989"/>
      <c r="K641" s="1989"/>
      <c r="L641" s="1988">
        <f>L512</f>
        <v>0</v>
      </c>
      <c r="M641" s="1988">
        <f t="shared" ref="M641:U641" si="118">M512</f>
        <v>0</v>
      </c>
      <c r="N641" s="1988">
        <f t="shared" si="118"/>
        <v>0</v>
      </c>
      <c r="O641" s="1988">
        <f t="shared" si="118"/>
        <v>0</v>
      </c>
      <c r="P641" s="1988">
        <f t="shared" si="118"/>
        <v>0</v>
      </c>
      <c r="Q641" s="1988"/>
      <c r="R641" s="3651">
        <f t="shared" si="118"/>
        <v>0</v>
      </c>
      <c r="S641" s="2998"/>
      <c r="T641" s="2998"/>
      <c r="U641" s="1996">
        <f t="shared" si="118"/>
        <v>0</v>
      </c>
      <c r="W641" s="1844"/>
      <c r="X641" s="1844"/>
      <c r="Y641" s="1844"/>
      <c r="Z641" s="1844"/>
      <c r="AA641" s="1844"/>
      <c r="AB641" s="1844"/>
      <c r="AC641" s="1844"/>
      <c r="AD641" s="1844"/>
      <c r="AE641" s="1844"/>
    </row>
    <row r="642" spans="1:31" s="1846" customFormat="1" ht="15.05">
      <c r="A642" s="1951"/>
      <c r="B642" s="1951"/>
      <c r="C642" s="1952"/>
      <c r="D642" s="1952"/>
      <c r="E642" s="1952"/>
      <c r="F642" s="1953"/>
      <c r="G642" s="2031"/>
      <c r="H642" s="1960" t="s">
        <v>690</v>
      </c>
      <c r="I642" s="1989"/>
      <c r="J642" s="1989"/>
      <c r="K642" s="1989"/>
      <c r="L642" s="1988">
        <f>L551</f>
        <v>0</v>
      </c>
      <c r="M642" s="1988">
        <f t="shared" ref="M642:U642" si="119">M551</f>
        <v>0</v>
      </c>
      <c r="N642" s="1988">
        <f t="shared" si="119"/>
        <v>0</v>
      </c>
      <c r="O642" s="1988">
        <f t="shared" si="119"/>
        <v>0</v>
      </c>
      <c r="P642" s="1988">
        <f t="shared" si="119"/>
        <v>0</v>
      </c>
      <c r="Q642" s="1988"/>
      <c r="R642" s="3651">
        <f t="shared" si="119"/>
        <v>0</v>
      </c>
      <c r="S642" s="2998"/>
      <c r="T642" s="2998"/>
      <c r="U642" s="1996">
        <f t="shared" si="119"/>
        <v>0</v>
      </c>
      <c r="W642" s="1844"/>
      <c r="X642" s="1844"/>
      <c r="Y642" s="1844"/>
      <c r="Z642" s="1844"/>
      <c r="AA642" s="1844"/>
      <c r="AB642" s="1844"/>
      <c r="AC642" s="1844"/>
      <c r="AD642" s="1844"/>
      <c r="AE642" s="1844"/>
    </row>
    <row r="643" spans="1:31" s="1846" customFormat="1" ht="15.05">
      <c r="A643" s="1951"/>
      <c r="B643" s="1951"/>
      <c r="C643" s="1952"/>
      <c r="D643" s="1952"/>
      <c r="E643" s="1952"/>
      <c r="F643" s="1953"/>
      <c r="G643" s="2031"/>
      <c r="H643" s="1960" t="s">
        <v>691</v>
      </c>
      <c r="I643" s="1989"/>
      <c r="J643" s="1989"/>
      <c r="K643" s="1989"/>
      <c r="L643" s="1988">
        <f>L555</f>
        <v>0</v>
      </c>
      <c r="M643" s="1988">
        <f t="shared" ref="M643:R643" si="120">M555</f>
        <v>0</v>
      </c>
      <c r="N643" s="1988">
        <f t="shared" si="120"/>
        <v>0</v>
      </c>
      <c r="O643" s="1988">
        <f t="shared" si="120"/>
        <v>0</v>
      </c>
      <c r="P643" s="1988">
        <f t="shared" si="120"/>
        <v>0</v>
      </c>
      <c r="Q643" s="1988"/>
      <c r="R643" s="3651">
        <f t="shared" si="120"/>
        <v>0</v>
      </c>
      <c r="S643" s="2998"/>
      <c r="T643" s="2998"/>
      <c r="U643" s="1996"/>
      <c r="W643" s="1844"/>
      <c r="X643" s="1844"/>
      <c r="Y643" s="1844"/>
      <c r="Z643" s="1844"/>
      <c r="AA643" s="1844"/>
      <c r="AB643" s="1844"/>
      <c r="AC643" s="1844"/>
      <c r="AD643" s="1844"/>
      <c r="AE643" s="1844"/>
    </row>
    <row r="644" spans="1:31" s="1846" customFormat="1" ht="15.05">
      <c r="A644" s="1951"/>
      <c r="B644" s="1951"/>
      <c r="C644" s="1952"/>
      <c r="D644" s="1952"/>
      <c r="E644" s="1952"/>
      <c r="F644" s="1953"/>
      <c r="G644" s="2031"/>
      <c r="H644" s="1960" t="s">
        <v>651</v>
      </c>
      <c r="I644" s="1989"/>
      <c r="J644" s="1989"/>
      <c r="K644" s="1989"/>
      <c r="L644" s="1988">
        <f t="shared" ref="L644:R644" si="121">L570</f>
        <v>0</v>
      </c>
      <c r="M644" s="1988">
        <f t="shared" si="121"/>
        <v>0</v>
      </c>
      <c r="N644" s="1988">
        <f t="shared" si="121"/>
        <v>0</v>
      </c>
      <c r="O644" s="1988">
        <f t="shared" si="121"/>
        <v>0</v>
      </c>
      <c r="P644" s="1988">
        <f t="shared" si="121"/>
        <v>0</v>
      </c>
      <c r="Q644" s="1988"/>
      <c r="R644" s="3651">
        <f t="shared" si="121"/>
        <v>0</v>
      </c>
      <c r="S644" s="2998"/>
      <c r="T644" s="2998"/>
      <c r="U644" s="1996"/>
      <c r="W644" s="1844"/>
      <c r="X644" s="1844"/>
      <c r="Y644" s="1844"/>
      <c r="Z644" s="1844"/>
      <c r="AA644" s="1844"/>
      <c r="AB644" s="1844"/>
      <c r="AC644" s="1844"/>
      <c r="AD644" s="1844"/>
      <c r="AE644" s="1844"/>
    </row>
    <row r="645" spans="1:31" s="1846" customFormat="1" ht="15.05">
      <c r="A645" s="1951"/>
      <c r="B645" s="1951"/>
      <c r="C645" s="1952"/>
      <c r="D645" s="1952"/>
      <c r="E645" s="1952"/>
      <c r="F645" s="2758" t="s">
        <v>50</v>
      </c>
      <c r="G645" s="2031"/>
      <c r="H645" s="2033" t="s">
        <v>692</v>
      </c>
      <c r="I645" s="1989"/>
      <c r="J645" s="1989"/>
      <c r="K645" s="1989"/>
      <c r="L645" s="2055">
        <f>L477</f>
        <v>0</v>
      </c>
      <c r="M645" s="2055">
        <f>M477</f>
        <v>0</v>
      </c>
      <c r="N645" s="2055">
        <f>N477</f>
        <v>0</v>
      </c>
      <c r="O645" s="2055">
        <f>O477</f>
        <v>0</v>
      </c>
      <c r="P645" s="2055">
        <f>P477</f>
        <v>0</v>
      </c>
      <c r="Q645" s="2055"/>
      <c r="R645" s="3651">
        <f>R477</f>
        <v>0</v>
      </c>
      <c r="S645" s="2998"/>
      <c r="T645" s="2998"/>
      <c r="U645" s="2068">
        <f>U477</f>
        <v>0</v>
      </c>
      <c r="W645" s="1844"/>
      <c r="X645" s="1844"/>
      <c r="Y645" s="1844"/>
      <c r="Z645" s="1844"/>
      <c r="AA645" s="1844"/>
      <c r="AB645" s="1844"/>
      <c r="AC645" s="1844"/>
      <c r="AD645" s="1844"/>
      <c r="AE645" s="1844"/>
    </row>
    <row r="646" spans="1:31" s="1846" customFormat="1" ht="15.05">
      <c r="A646" s="2015"/>
      <c r="B646" s="2015"/>
      <c r="C646" s="2016"/>
      <c r="D646" s="2016"/>
      <c r="E646" s="2016"/>
      <c r="F646" s="2017" t="s">
        <v>50</v>
      </c>
      <c r="G646" s="2034"/>
      <c r="H646" s="2035" t="s">
        <v>693</v>
      </c>
      <c r="I646" s="2056"/>
      <c r="J646" s="2056"/>
      <c r="K646" s="2056"/>
      <c r="L646" s="2057">
        <f t="shared" ref="L646:R646" si="122">L561</f>
        <v>0</v>
      </c>
      <c r="M646" s="2057">
        <f t="shared" si="122"/>
        <v>0</v>
      </c>
      <c r="N646" s="2057">
        <f t="shared" si="122"/>
        <v>0</v>
      </c>
      <c r="O646" s="2057">
        <f t="shared" si="122"/>
        <v>0</v>
      </c>
      <c r="P646" s="2057">
        <f t="shared" si="122"/>
        <v>0</v>
      </c>
      <c r="Q646" s="2057"/>
      <c r="R646" s="3662">
        <f t="shared" si="122"/>
        <v>0</v>
      </c>
      <c r="S646" s="3737"/>
      <c r="T646" s="3737"/>
      <c r="U646" s="1844"/>
      <c r="W646" s="1844"/>
      <c r="X646" s="1844"/>
      <c r="Y646" s="1844"/>
      <c r="Z646" s="1844"/>
      <c r="AA646" s="1844"/>
      <c r="AB646" s="1844"/>
      <c r="AC646" s="1844"/>
      <c r="AD646" s="1844"/>
      <c r="AE646" s="1844"/>
    </row>
    <row r="647" spans="1:31" s="1846" customFormat="1">
      <c r="A647" s="1843"/>
      <c r="B647" s="1843"/>
      <c r="C647" s="1844"/>
      <c r="D647" s="1844"/>
      <c r="E647" s="1844"/>
      <c r="F647" s="1845"/>
      <c r="G647" s="1845"/>
      <c r="H647" s="1844"/>
      <c r="I647" s="1844"/>
      <c r="J647" s="1844"/>
      <c r="K647" s="1844"/>
      <c r="L647" s="1844"/>
      <c r="M647" s="1844"/>
      <c r="N647" s="1844"/>
      <c r="O647" s="1844"/>
      <c r="P647" s="1844"/>
      <c r="Q647" s="1844"/>
      <c r="R647" s="3649"/>
      <c r="S647" s="2883"/>
      <c r="T647" s="2883"/>
      <c r="U647" s="2069" t="s">
        <v>694</v>
      </c>
      <c r="W647" s="1844"/>
      <c r="X647" s="1844"/>
      <c r="Y647" s="1844"/>
      <c r="Z647" s="1844"/>
      <c r="AA647" s="1844"/>
      <c r="AB647" s="1844"/>
      <c r="AC647" s="1844"/>
      <c r="AD647" s="1844"/>
      <c r="AE647" s="1844"/>
    </row>
    <row r="648" spans="1:31" s="1846" customFormat="1" ht="15.05">
      <c r="A648" s="2020"/>
      <c r="B648" s="2020"/>
      <c r="C648" s="2021"/>
      <c r="D648" s="2021"/>
      <c r="E648" s="2021"/>
      <c r="F648" s="2036"/>
      <c r="G648" s="2036"/>
      <c r="H648" s="2036" t="s">
        <v>695</v>
      </c>
      <c r="I648" s="2058"/>
      <c r="J648" s="2058"/>
      <c r="K648" s="2058"/>
      <c r="L648" s="2059" t="e">
        <f>SUM(L649:L651)</f>
        <v>#REF!</v>
      </c>
      <c r="M648" s="2059" t="e">
        <f>SUM(M649:M651)</f>
        <v>#REF!</v>
      </c>
      <c r="N648" s="2059" t="e">
        <f>SUM(N649:N651)</f>
        <v>#REF!</v>
      </c>
      <c r="O648" s="2059" t="e">
        <f>N648+M648</f>
        <v>#REF!</v>
      </c>
      <c r="P648" s="2059" t="e">
        <f>SUM(P649:P650)</f>
        <v>#REF!</v>
      </c>
      <c r="Q648" s="2059"/>
      <c r="R648" s="3663" t="e">
        <f>O648/L648*100</f>
        <v>#REF!</v>
      </c>
      <c r="S648" s="3738"/>
      <c r="T648" s="3738"/>
      <c r="U648" s="1844"/>
      <c r="W648" s="1844"/>
      <c r="X648" s="1844"/>
      <c r="Y648" s="1844"/>
      <c r="Z648" s="1844"/>
      <c r="AA648" s="1844"/>
      <c r="AB648" s="1844"/>
      <c r="AC648" s="1844"/>
      <c r="AD648" s="1844"/>
      <c r="AE648" s="1844"/>
    </row>
    <row r="649" spans="1:31" s="1846" customFormat="1">
      <c r="A649" s="1951"/>
      <c r="B649" s="1951"/>
      <c r="C649" s="1952"/>
      <c r="D649" s="1952"/>
      <c r="E649" s="1952"/>
      <c r="F649" s="1953" t="s">
        <v>50</v>
      </c>
      <c r="G649" s="1953"/>
      <c r="H649" s="2032" t="s">
        <v>696</v>
      </c>
      <c r="I649" s="1989"/>
      <c r="J649" s="1989"/>
      <c r="K649" s="1989"/>
      <c r="L649" s="1988">
        <f>L382</f>
        <v>125000000000</v>
      </c>
      <c r="M649" s="1988">
        <f>M382</f>
        <v>19046122482.029999</v>
      </c>
      <c r="N649" s="1988">
        <f>N382</f>
        <v>12944839389.030001</v>
      </c>
      <c r="O649" s="2060">
        <f>O382</f>
        <v>31990961871.060001</v>
      </c>
      <c r="P649" s="1988">
        <f>P382</f>
        <v>141100000000</v>
      </c>
      <c r="Q649" s="1988"/>
      <c r="R649" s="3664">
        <f>O649/L649*100</f>
        <v>25.592769496848</v>
      </c>
      <c r="S649" s="3739"/>
      <c r="T649" s="3739"/>
      <c r="U649" s="1844"/>
      <c r="W649" s="1844"/>
      <c r="X649" s="1844"/>
      <c r="Y649" s="1844"/>
      <c r="Z649" s="1844"/>
      <c r="AA649" s="1844"/>
      <c r="AB649" s="1844"/>
      <c r="AC649" s="1844"/>
      <c r="AD649" s="1844"/>
      <c r="AE649" s="1844"/>
    </row>
    <row r="650" spans="1:31" s="1846" customFormat="1">
      <c r="A650" s="1951"/>
      <c r="B650" s="1951"/>
      <c r="C650" s="1952"/>
      <c r="D650" s="1952"/>
      <c r="E650" s="1952"/>
      <c r="F650" s="1953"/>
      <c r="G650" s="1953"/>
      <c r="H650" s="2032" t="s">
        <v>697</v>
      </c>
      <c r="I650" s="1989"/>
      <c r="J650" s="1989"/>
      <c r="K650" s="1989"/>
      <c r="L650" s="1988" t="e">
        <f>#REF!</f>
        <v>#REF!</v>
      </c>
      <c r="M650" s="1988" t="e">
        <f>#REF!</f>
        <v>#REF!</v>
      </c>
      <c r="N650" s="1988" t="e">
        <f>#REF!</f>
        <v>#REF!</v>
      </c>
      <c r="O650" s="1988" t="e">
        <f>#REF!</f>
        <v>#REF!</v>
      </c>
      <c r="P650" s="1988" t="e">
        <f>#REF!</f>
        <v>#REF!</v>
      </c>
      <c r="Q650" s="1988"/>
      <c r="R650" s="3651" t="e">
        <f>O650/L650*100</f>
        <v>#REF!</v>
      </c>
      <c r="S650" s="3737"/>
      <c r="T650" s="3737"/>
      <c r="U650" s="1844"/>
      <c r="W650" s="1844"/>
      <c r="X650" s="1844"/>
      <c r="Y650" s="1844"/>
      <c r="Z650" s="1844"/>
      <c r="AA650" s="1844"/>
      <c r="AB650" s="1844"/>
      <c r="AC650" s="1844"/>
      <c r="AD650" s="1844"/>
      <c r="AE650" s="1844"/>
    </row>
    <row r="651" spans="1:31" s="1846" customFormat="1">
      <c r="A651" s="2015"/>
      <c r="B651" s="2015"/>
      <c r="C651" s="2016"/>
      <c r="D651" s="2016"/>
      <c r="E651" s="2016"/>
      <c r="F651" s="2017" t="s">
        <v>50</v>
      </c>
      <c r="G651" s="2034"/>
      <c r="H651" s="2037" t="s">
        <v>88</v>
      </c>
      <c r="I651" s="2056"/>
      <c r="J651" s="2056"/>
      <c r="K651" s="2056"/>
      <c r="L651" s="2057" t="e">
        <f>#REF!</f>
        <v>#REF!</v>
      </c>
      <c r="M651" s="2057" t="e">
        <f>#REF!</f>
        <v>#REF!</v>
      </c>
      <c r="N651" s="2057" t="e">
        <f>#REF!</f>
        <v>#REF!</v>
      </c>
      <c r="O651" s="2061" t="e">
        <f>#REF!</f>
        <v>#REF!</v>
      </c>
      <c r="P651" s="2061" t="e">
        <f>#REF!</f>
        <v>#REF!</v>
      </c>
      <c r="Q651" s="2061"/>
      <c r="R651" s="3665"/>
      <c r="S651" s="2883"/>
      <c r="T651" s="2883"/>
      <c r="U651" s="1844"/>
      <c r="W651" s="1844"/>
      <c r="X651" s="1844"/>
      <c r="Y651" s="1844"/>
      <c r="Z651" s="1844"/>
      <c r="AA651" s="1844"/>
      <c r="AB651" s="1844"/>
      <c r="AC651" s="1844"/>
      <c r="AD651" s="1844"/>
      <c r="AE651" s="1844"/>
    </row>
    <row r="653" spans="1:31" s="1846" customFormat="1" ht="15.05">
      <c r="A653" s="2020"/>
      <c r="B653" s="2020"/>
      <c r="C653" s="2021"/>
      <c r="D653" s="2021"/>
      <c r="E653" s="2021"/>
      <c r="F653" s="2038"/>
      <c r="G653" s="2038"/>
      <c r="H653" s="2038" t="s">
        <v>698</v>
      </c>
      <c r="I653" s="2062"/>
      <c r="J653" s="2062"/>
      <c r="K653" s="2062"/>
      <c r="L653" s="2063">
        <f>SUM(L654:L655)</f>
        <v>3123018400</v>
      </c>
      <c r="M653" s="2063">
        <f>SUM(M654:M655)</f>
        <v>457925000</v>
      </c>
      <c r="N653" s="2063">
        <f>SUM(N654:N655)</f>
        <v>274025000</v>
      </c>
      <c r="O653" s="2063">
        <f>N653+M653</f>
        <v>731950000</v>
      </c>
      <c r="P653" s="2063">
        <f>SUM(P654:P655)</f>
        <v>3123018400</v>
      </c>
      <c r="Q653" s="2063"/>
      <c r="R653" s="3666">
        <f>SUM(R654:R655)</f>
        <v>23.437261848985582</v>
      </c>
      <c r="S653" s="3740"/>
      <c r="T653" s="3740"/>
      <c r="U653" s="1844"/>
      <c r="W653" s="1844"/>
      <c r="X653" s="1844"/>
      <c r="Y653" s="1844"/>
      <c r="Z653" s="1844"/>
      <c r="AA653" s="1844"/>
      <c r="AB653" s="1844"/>
      <c r="AC653" s="1844"/>
      <c r="AD653" s="1844"/>
      <c r="AE653" s="1844"/>
    </row>
    <row r="654" spans="1:31" s="1846" customFormat="1">
      <c r="A654" s="1951"/>
      <c r="B654" s="1951"/>
      <c r="C654" s="1952"/>
      <c r="D654" s="1952"/>
      <c r="E654" s="1952"/>
      <c r="F654" s="1953" t="s">
        <v>50</v>
      </c>
      <c r="G654" s="1953"/>
      <c r="H654" s="2032" t="s">
        <v>699</v>
      </c>
      <c r="I654" s="1989"/>
      <c r="J654" s="1989"/>
      <c r="K654" s="1989"/>
      <c r="L654" s="1988">
        <f>L482</f>
        <v>3123018400</v>
      </c>
      <c r="M654" s="1988">
        <f>M482</f>
        <v>457925000</v>
      </c>
      <c r="N654" s="1988">
        <f>N482</f>
        <v>274025000</v>
      </c>
      <c r="O654" s="1988">
        <f>O482</f>
        <v>731950000</v>
      </c>
      <c r="P654" s="1988">
        <f>P482</f>
        <v>3123018400</v>
      </c>
      <c r="Q654" s="1988"/>
      <c r="R654" s="3651">
        <f>O654/L654*100</f>
        <v>23.437261848985582</v>
      </c>
      <c r="S654" s="3737"/>
      <c r="T654" s="3737"/>
      <c r="U654" s="1844"/>
      <c r="W654" s="1844"/>
      <c r="X654" s="1844"/>
      <c r="Y654" s="1844"/>
      <c r="Z654" s="1844"/>
      <c r="AA654" s="1844"/>
      <c r="AB654" s="1844"/>
      <c r="AC654" s="1844"/>
      <c r="AD654" s="1844"/>
      <c r="AE654" s="1844"/>
    </row>
    <row r="655" spans="1:31" s="1846" customFormat="1">
      <c r="A655" s="2015"/>
      <c r="B655" s="2015"/>
      <c r="C655" s="2016"/>
      <c r="D655" s="2016"/>
      <c r="E655" s="2016"/>
      <c r="F655" s="2017" t="s">
        <v>50</v>
      </c>
      <c r="G655" s="2034"/>
      <c r="H655" s="2039"/>
      <c r="I655" s="2064"/>
      <c r="J655" s="2064"/>
      <c r="K655" s="2064"/>
      <c r="L655" s="2061"/>
      <c r="M655" s="2061"/>
      <c r="N655" s="2061"/>
      <c r="O655" s="2061"/>
      <c r="P655" s="2061"/>
      <c r="Q655" s="2061"/>
      <c r="R655" s="3662"/>
      <c r="S655" s="3737"/>
      <c r="T655" s="3737"/>
      <c r="U655" s="1844"/>
      <c r="W655" s="1844"/>
      <c r="X655" s="1844"/>
      <c r="Y655" s="1844"/>
      <c r="Z655" s="1844"/>
      <c r="AA655" s="1844"/>
      <c r="AB655" s="1844"/>
      <c r="AC655" s="1844"/>
      <c r="AD655" s="1844"/>
      <c r="AE655" s="1844"/>
    </row>
    <row r="658" spans="1:31" s="1846" customFormat="1">
      <c r="A658" s="1843"/>
      <c r="B658" s="1843"/>
      <c r="C658" s="1844"/>
      <c r="D658" s="1844"/>
      <c r="E658" s="1844"/>
      <c r="F658" s="1845"/>
      <c r="G658" s="1845"/>
      <c r="H658" s="1844"/>
      <c r="I658" s="1844"/>
      <c r="J658" s="1844"/>
      <c r="K658" s="1844"/>
      <c r="L658" s="1844"/>
      <c r="M658" s="1844"/>
      <c r="N658" s="1844"/>
      <c r="O658" s="1844"/>
      <c r="P658" s="2065"/>
      <c r="Q658" s="2065"/>
      <c r="R658" s="3649"/>
      <c r="S658" s="2883"/>
      <c r="T658" s="2883"/>
      <c r="U658" s="1844"/>
      <c r="W658" s="1844"/>
      <c r="X658" s="1844"/>
      <c r="Y658" s="1844"/>
      <c r="Z658" s="1844"/>
      <c r="AA658" s="1844"/>
      <c r="AB658" s="1844"/>
      <c r="AC658" s="1844"/>
      <c r="AD658" s="1844"/>
      <c r="AE658" s="1844"/>
    </row>
    <row r="660" spans="1:31" s="1846" customFormat="1">
      <c r="A660" s="1843"/>
      <c r="B660" s="1843"/>
      <c r="C660" s="1844"/>
      <c r="D660" s="1844"/>
      <c r="E660" s="1844"/>
      <c r="F660" s="1845"/>
      <c r="G660" s="1845"/>
      <c r="H660" s="1844"/>
      <c r="I660" s="1844"/>
      <c r="J660" s="1844"/>
      <c r="K660" s="1844"/>
      <c r="L660" s="2065"/>
      <c r="M660" s="1844"/>
      <c r="N660" s="1844"/>
      <c r="O660" s="1844"/>
      <c r="P660" s="1844"/>
      <c r="Q660" s="1844"/>
      <c r="R660" s="3649"/>
      <c r="S660" s="2883"/>
      <c r="T660" s="2883"/>
      <c r="U660" s="1844"/>
      <c r="W660" s="1844"/>
      <c r="X660" s="1844"/>
      <c r="Y660" s="1844"/>
      <c r="Z660" s="1844"/>
      <c r="AA660" s="1844"/>
      <c r="AB660" s="1844"/>
      <c r="AC660" s="1844"/>
      <c r="AD660" s="1844"/>
      <c r="AE660" s="1844"/>
    </row>
    <row r="674" spans="1:22" s="1842" customFormat="1">
      <c r="A674" s="1843"/>
      <c r="B674" s="1843"/>
      <c r="C674" s="1844"/>
      <c r="D674" s="1844"/>
      <c r="E674" s="1844"/>
      <c r="F674" s="1845"/>
      <c r="G674" s="1845"/>
      <c r="H674" s="1844"/>
      <c r="I674" s="1844"/>
      <c r="J674" s="1844"/>
      <c r="K674" s="1844"/>
      <c r="L674" s="1844"/>
      <c r="M674" s="1844"/>
      <c r="N674" s="1844"/>
      <c r="O674" s="1844"/>
      <c r="P674" s="1844"/>
      <c r="Q674" s="1844"/>
      <c r="R674" s="3649"/>
      <c r="S674" s="2883"/>
      <c r="T674" s="2883"/>
      <c r="U674" s="1844"/>
      <c r="V674" s="1846"/>
    </row>
    <row r="675" spans="1:22" s="1842" customFormat="1">
      <c r="A675" s="1843"/>
      <c r="B675" s="1843"/>
      <c r="C675" s="1844"/>
      <c r="D675" s="1844"/>
      <c r="E675" s="1844"/>
      <c r="F675" s="1845"/>
      <c r="G675" s="1845"/>
      <c r="H675" s="1844"/>
      <c r="I675" s="1844"/>
      <c r="J675" s="1844"/>
      <c r="K675" s="1844"/>
      <c r="L675" s="1844"/>
      <c r="M675" s="1844"/>
      <c r="N675" s="1844"/>
      <c r="O675" s="1844"/>
      <c r="P675" s="1844"/>
      <c r="Q675" s="1844"/>
      <c r="R675" s="3649"/>
      <c r="S675" s="2883"/>
      <c r="T675" s="2883"/>
      <c r="U675" s="1844"/>
      <c r="V675" s="1846"/>
    </row>
    <row r="676" spans="1:22" s="1842" customFormat="1">
      <c r="A676" s="1843"/>
      <c r="B676" s="1843"/>
      <c r="C676" s="1844"/>
      <c r="D676" s="1844"/>
      <c r="E676" s="1844"/>
      <c r="F676" s="1845"/>
      <c r="G676" s="1845"/>
      <c r="H676" s="1844"/>
      <c r="I676" s="1844"/>
      <c r="J676" s="1844"/>
      <c r="K676" s="1844"/>
      <c r="L676" s="1844"/>
      <c r="M676" s="1844"/>
      <c r="N676" s="1844"/>
      <c r="O676" s="1844"/>
      <c r="P676" s="1844"/>
      <c r="Q676" s="1844"/>
      <c r="R676" s="3649"/>
      <c r="S676" s="2883"/>
      <c r="T676" s="2883"/>
      <c r="U676" s="1844"/>
      <c r="V676" s="1846"/>
    </row>
    <row r="677" spans="1:22" s="1842" customFormat="1">
      <c r="A677" s="1843"/>
      <c r="B677" s="1843"/>
      <c r="C677" s="1844"/>
      <c r="D677" s="1844"/>
      <c r="E677" s="1844"/>
      <c r="F677" s="1845"/>
      <c r="G677" s="1845"/>
      <c r="H677" s="1844"/>
      <c r="I677" s="1844"/>
      <c r="J677" s="1844"/>
      <c r="K677" s="1844"/>
      <c r="L677" s="1844"/>
      <c r="M677" s="1844"/>
      <c r="N677" s="1844"/>
      <c r="O677" s="1844"/>
      <c r="P677" s="1844"/>
      <c r="Q677" s="1844"/>
      <c r="R677" s="3649"/>
      <c r="S677" s="2883"/>
      <c r="T677" s="2883"/>
      <c r="U677" s="1844"/>
      <c r="V677" s="1846"/>
    </row>
    <row r="678" spans="1:22" s="1842" customFormat="1">
      <c r="A678" s="1843"/>
      <c r="B678" s="1843"/>
      <c r="C678" s="1844"/>
      <c r="D678" s="1844"/>
      <c r="E678" s="1844"/>
      <c r="F678" s="1845"/>
      <c r="G678" s="1845"/>
      <c r="H678" s="1844"/>
      <c r="I678" s="1844"/>
      <c r="J678" s="1844"/>
      <c r="K678" s="1844"/>
      <c r="L678" s="1844"/>
      <c r="M678" s="1844"/>
      <c r="N678" s="1844"/>
      <c r="O678" s="1844"/>
      <c r="P678" s="1844"/>
      <c r="Q678" s="1844"/>
      <c r="R678" s="3649"/>
      <c r="S678" s="2883"/>
      <c r="T678" s="2883"/>
      <c r="U678" s="1844"/>
      <c r="V678" s="1846"/>
    </row>
    <row r="679" spans="1:22" s="1842" customFormat="1">
      <c r="A679" s="1843"/>
      <c r="B679" s="1843"/>
      <c r="C679" s="1844"/>
      <c r="D679" s="1844"/>
      <c r="E679" s="1844"/>
      <c r="F679" s="1845"/>
      <c r="G679" s="1845"/>
      <c r="H679" s="1844"/>
      <c r="I679" s="1844"/>
      <c r="J679" s="1844"/>
      <c r="K679" s="1844"/>
      <c r="L679" s="1844"/>
      <c r="M679" s="1844"/>
      <c r="N679" s="1844"/>
      <c r="O679" s="1844"/>
      <c r="P679" s="1844"/>
      <c r="Q679" s="1844"/>
      <c r="R679" s="3649"/>
      <c r="S679" s="2883"/>
      <c r="T679" s="2883"/>
      <c r="U679" s="1844"/>
      <c r="V679" s="1846"/>
    </row>
    <row r="680" spans="1:22" s="1842" customFormat="1">
      <c r="A680" s="1843"/>
      <c r="B680" s="1843"/>
      <c r="C680" s="1844"/>
      <c r="D680" s="1844"/>
      <c r="E680" s="1844"/>
      <c r="F680" s="1845"/>
      <c r="G680" s="1845"/>
      <c r="H680" s="1844"/>
      <c r="I680" s="1844"/>
      <c r="J680" s="1844"/>
      <c r="K680" s="1844"/>
      <c r="L680" s="1844"/>
      <c r="M680" s="1844"/>
      <c r="N680" s="1844"/>
      <c r="O680" s="1844"/>
      <c r="P680" s="1844"/>
      <c r="Q680" s="1844"/>
      <c r="R680" s="3649"/>
      <c r="S680" s="2883"/>
      <c r="T680" s="2883"/>
      <c r="U680" s="1844"/>
      <c r="V680" s="1846"/>
    </row>
    <row r="681" spans="1:22" s="1842" customFormat="1">
      <c r="A681" s="1843"/>
      <c r="B681" s="1843"/>
      <c r="C681" s="1844"/>
      <c r="D681" s="1844"/>
      <c r="E681" s="1844"/>
      <c r="F681" s="1845"/>
      <c r="G681" s="1845"/>
      <c r="H681" s="1844"/>
      <c r="I681" s="1844"/>
      <c r="J681" s="1844"/>
      <c r="K681" s="1844"/>
      <c r="L681" s="1844"/>
      <c r="M681" s="1844"/>
      <c r="N681" s="1844"/>
      <c r="O681" s="1844"/>
      <c r="P681" s="1844"/>
      <c r="Q681" s="1844"/>
      <c r="R681" s="3649"/>
      <c r="S681" s="2883"/>
      <c r="T681" s="2883"/>
      <c r="U681" s="1844"/>
      <c r="V681" s="1846"/>
    </row>
    <row r="682" spans="1:22" s="1842" customFormat="1">
      <c r="A682" s="1843"/>
      <c r="B682" s="1843"/>
      <c r="C682" s="1844"/>
      <c r="D682" s="1844"/>
      <c r="E682" s="1844"/>
      <c r="F682" s="1845"/>
      <c r="G682" s="1845"/>
      <c r="H682" s="1844"/>
      <c r="I682" s="1844"/>
      <c r="J682" s="1844"/>
      <c r="K682" s="1844"/>
      <c r="L682" s="1844"/>
      <c r="M682" s="1844"/>
      <c r="N682" s="1844"/>
      <c r="O682" s="1844"/>
      <c r="P682" s="1844"/>
      <c r="Q682" s="1844"/>
      <c r="R682" s="3649"/>
      <c r="S682" s="2883"/>
      <c r="T682" s="2883"/>
      <c r="U682" s="1844"/>
      <c r="V682" s="1846"/>
    </row>
    <row r="683" spans="1:22" s="1842" customFormat="1">
      <c r="A683" s="1843"/>
      <c r="B683" s="1843"/>
      <c r="C683" s="1844"/>
      <c r="D683" s="1844"/>
      <c r="E683" s="1844"/>
      <c r="F683" s="1845"/>
      <c r="G683" s="1845"/>
      <c r="H683" s="1844"/>
      <c r="I683" s="1844"/>
      <c r="J683" s="1844"/>
      <c r="K683" s="1844"/>
      <c r="L683" s="1844"/>
      <c r="M683" s="1844"/>
      <c r="N683" s="1844"/>
      <c r="O683" s="1844"/>
      <c r="P683" s="1844"/>
      <c r="Q683" s="1844"/>
      <c r="R683" s="3649"/>
      <c r="S683" s="2883"/>
      <c r="T683" s="2883"/>
      <c r="U683" s="1844"/>
      <c r="V683" s="1846"/>
    </row>
    <row r="684" spans="1:22" s="1842" customFormat="1">
      <c r="A684" s="1843"/>
      <c r="B684" s="1843"/>
      <c r="C684" s="1844"/>
      <c r="D684" s="1844"/>
      <c r="E684" s="1844"/>
      <c r="F684" s="1845"/>
      <c r="G684" s="1845"/>
      <c r="H684" s="1844"/>
      <c r="I684" s="1844"/>
      <c r="J684" s="1844"/>
      <c r="K684" s="1844"/>
      <c r="L684" s="1844"/>
      <c r="M684" s="1844"/>
      <c r="N684" s="1844"/>
      <c r="O684" s="1844"/>
      <c r="P684" s="1844"/>
      <c r="Q684" s="1844"/>
      <c r="R684" s="3649"/>
      <c r="S684" s="2883"/>
      <c r="T684" s="2883"/>
      <c r="U684" s="1844"/>
      <c r="V684" s="1846"/>
    </row>
    <row r="685" spans="1:22" s="1842" customFormat="1">
      <c r="A685" s="1843"/>
      <c r="B685" s="1843"/>
      <c r="C685" s="1844"/>
      <c r="D685" s="1844"/>
      <c r="E685" s="1844"/>
      <c r="F685" s="1845"/>
      <c r="G685" s="1845"/>
      <c r="H685" s="1844"/>
      <c r="I685" s="1844"/>
      <c r="J685" s="1844"/>
      <c r="K685" s="1844"/>
      <c r="L685" s="1844"/>
      <c r="M685" s="1844"/>
      <c r="N685" s="1844"/>
      <c r="O685" s="1844"/>
      <c r="P685" s="1844"/>
      <c r="Q685" s="1844"/>
      <c r="R685" s="3649"/>
      <c r="S685" s="2883"/>
      <c r="T685" s="2883"/>
      <c r="U685" s="1844"/>
      <c r="V685" s="1846"/>
    </row>
    <row r="686" spans="1:22" s="1842" customFormat="1">
      <c r="A686" s="1843"/>
      <c r="B686" s="1843"/>
      <c r="C686" s="1844"/>
      <c r="D686" s="1844"/>
      <c r="E686" s="1844"/>
      <c r="F686" s="1845"/>
      <c r="G686" s="1845"/>
      <c r="H686" s="1844"/>
      <c r="I686" s="1844"/>
      <c r="J686" s="1844"/>
      <c r="K686" s="1844"/>
      <c r="L686" s="1844"/>
      <c r="M686" s="1844"/>
      <c r="N686" s="1844"/>
      <c r="O686" s="1844"/>
      <c r="P686" s="1844"/>
      <c r="Q686" s="1844"/>
      <c r="R686" s="3649"/>
      <c r="S686" s="2883"/>
      <c r="T686" s="2883"/>
      <c r="U686" s="1844"/>
      <c r="V686" s="1846"/>
    </row>
    <row r="687" spans="1:22" s="1842" customFormat="1">
      <c r="A687" s="1843"/>
      <c r="B687" s="1843"/>
      <c r="C687" s="1844"/>
      <c r="D687" s="1844"/>
      <c r="E687" s="1844"/>
      <c r="F687" s="1845"/>
      <c r="G687" s="1845"/>
      <c r="H687" s="1844"/>
      <c r="I687" s="1844"/>
      <c r="J687" s="1844"/>
      <c r="K687" s="1844"/>
      <c r="L687" s="1844"/>
      <c r="M687" s="1844"/>
      <c r="N687" s="1844"/>
      <c r="O687" s="1844"/>
      <c r="P687" s="1844"/>
      <c r="Q687" s="1844"/>
      <c r="R687" s="3649"/>
      <c r="S687" s="2883"/>
      <c r="T687" s="2883"/>
      <c r="U687" s="1844"/>
      <c r="V687" s="1846"/>
    </row>
    <row r="688" spans="1:22" s="1842" customFormat="1">
      <c r="A688" s="1843"/>
      <c r="B688" s="1843"/>
      <c r="C688" s="1844"/>
      <c r="D688" s="1844"/>
      <c r="E688" s="1844"/>
      <c r="F688" s="1845"/>
      <c r="G688" s="1845"/>
      <c r="H688" s="1844"/>
      <c r="I688" s="1844"/>
      <c r="J688" s="1844"/>
      <c r="K688" s="1844"/>
      <c r="L688" s="1844"/>
      <c r="M688" s="1844"/>
      <c r="N688" s="1844"/>
      <c r="O688" s="1844"/>
      <c r="P688" s="1844"/>
      <c r="Q688" s="1844"/>
      <c r="R688" s="3649"/>
      <c r="S688" s="2883"/>
      <c r="T688" s="2883"/>
      <c r="U688" s="1844"/>
      <c r="V688" s="1846"/>
    </row>
    <row r="689" spans="1:22" s="1842" customFormat="1">
      <c r="A689" s="1843"/>
      <c r="B689" s="1843"/>
      <c r="C689" s="1844"/>
      <c r="D689" s="1844"/>
      <c r="E689" s="1844"/>
      <c r="F689" s="1845"/>
      <c r="G689" s="1845"/>
      <c r="H689" s="1844"/>
      <c r="I689" s="1844"/>
      <c r="J689" s="1844"/>
      <c r="K689" s="1844"/>
      <c r="L689" s="1844"/>
      <c r="M689" s="1844"/>
      <c r="N689" s="1844"/>
      <c r="O689" s="1844"/>
      <c r="P689" s="1844"/>
      <c r="Q689" s="1844"/>
      <c r="R689" s="3649"/>
      <c r="S689" s="2883"/>
      <c r="T689" s="2883"/>
      <c r="U689" s="1844"/>
      <c r="V689" s="1846"/>
    </row>
    <row r="690" spans="1:22" s="1842" customFormat="1">
      <c r="A690" s="1843"/>
      <c r="B690" s="1843"/>
      <c r="C690" s="1844"/>
      <c r="D690" s="1844"/>
      <c r="E690" s="1844"/>
      <c r="F690" s="1845"/>
      <c r="G690" s="1845"/>
      <c r="H690" s="1844"/>
      <c r="I690" s="1844"/>
      <c r="J690" s="1844"/>
      <c r="K690" s="1844"/>
      <c r="L690" s="1844"/>
      <c r="M690" s="1844"/>
      <c r="N690" s="1844"/>
      <c r="O690" s="1844"/>
      <c r="P690" s="1844"/>
      <c r="Q690" s="1844"/>
      <c r="R690" s="3649"/>
      <c r="S690" s="2883"/>
      <c r="T690" s="2883"/>
      <c r="U690" s="1844"/>
      <c r="V690" s="1846"/>
    </row>
    <row r="691" spans="1:22" s="1842" customFormat="1">
      <c r="A691" s="1843"/>
      <c r="B691" s="1843"/>
      <c r="C691" s="1844"/>
      <c r="D691" s="1844"/>
      <c r="E691" s="1844"/>
      <c r="F691" s="1845"/>
      <c r="G691" s="1845"/>
      <c r="H691" s="1844"/>
      <c r="I691" s="1844"/>
      <c r="J691" s="1844"/>
      <c r="K691" s="1844"/>
      <c r="L691" s="1844"/>
      <c r="M691" s="1844"/>
      <c r="N691" s="1844"/>
      <c r="O691" s="1844"/>
      <c r="P691" s="1844"/>
      <c r="Q691" s="1844"/>
      <c r="R691" s="3649"/>
      <c r="S691" s="2883"/>
      <c r="T691" s="2883"/>
      <c r="U691" s="1844"/>
      <c r="V691" s="1846"/>
    </row>
    <row r="692" spans="1:22" s="1842" customFormat="1">
      <c r="A692" s="1843"/>
      <c r="B692" s="1843"/>
      <c r="C692" s="1844"/>
      <c r="D692" s="1844"/>
      <c r="E692" s="1844"/>
      <c r="F692" s="1845"/>
      <c r="G692" s="1845"/>
      <c r="H692" s="1844"/>
      <c r="I692" s="1844"/>
      <c r="J692" s="1844"/>
      <c r="K692" s="1844"/>
      <c r="L692" s="1844"/>
      <c r="M692" s="1844"/>
      <c r="N692" s="1844"/>
      <c r="O692" s="1844"/>
      <c r="P692" s="1844"/>
      <c r="Q692" s="1844"/>
      <c r="R692" s="3649"/>
      <c r="S692" s="2883"/>
      <c r="T692" s="2883"/>
      <c r="U692" s="1844"/>
      <c r="V692" s="1846"/>
    </row>
    <row r="693" spans="1:22" s="1842" customFormat="1">
      <c r="A693" s="1843"/>
      <c r="B693" s="1843"/>
      <c r="C693" s="1844"/>
      <c r="D693" s="1844"/>
      <c r="E693" s="1844"/>
      <c r="F693" s="1845"/>
      <c r="G693" s="1845"/>
      <c r="H693" s="1844"/>
      <c r="I693" s="1844"/>
      <c r="J693" s="1844"/>
      <c r="K693" s="1844"/>
      <c r="L693" s="1844"/>
      <c r="M693" s="1844"/>
      <c r="N693" s="1844"/>
      <c r="O693" s="1844"/>
      <c r="P693" s="1844"/>
      <c r="Q693" s="1844"/>
      <c r="R693" s="3649"/>
      <c r="S693" s="2883"/>
      <c r="T693" s="2883"/>
      <c r="U693" s="1844"/>
      <c r="V693" s="1846"/>
    </row>
    <row r="694" spans="1:22" s="1842" customFormat="1">
      <c r="A694" s="1843"/>
      <c r="B694" s="1843"/>
      <c r="C694" s="1844"/>
      <c r="D694" s="1844"/>
      <c r="E694" s="1844"/>
      <c r="F694" s="1845"/>
      <c r="G694" s="1845"/>
      <c r="H694" s="1844"/>
      <c r="I694" s="1844"/>
      <c r="J694" s="1844"/>
      <c r="K694" s="1844"/>
      <c r="L694" s="1844"/>
      <c r="M694" s="1844"/>
      <c r="N694" s="1844"/>
      <c r="O694" s="1844"/>
      <c r="P694" s="1844"/>
      <c r="Q694" s="1844"/>
      <c r="R694" s="3649"/>
      <c r="S694" s="2883"/>
      <c r="T694" s="2883"/>
      <c r="U694" s="1844"/>
      <c r="V694" s="1846"/>
    </row>
    <row r="695" spans="1:22" s="1842" customFormat="1">
      <c r="A695" s="1843"/>
      <c r="B695" s="1843"/>
      <c r="C695" s="1844"/>
      <c r="D695" s="1844"/>
      <c r="E695" s="1844"/>
      <c r="F695" s="1845"/>
      <c r="G695" s="1845"/>
      <c r="H695" s="1844"/>
      <c r="I695" s="1844"/>
      <c r="J695" s="1844"/>
      <c r="K695" s="1844"/>
      <c r="L695" s="1844"/>
      <c r="M695" s="1844"/>
      <c r="N695" s="1844"/>
      <c r="O695" s="1844"/>
      <c r="P695" s="1844"/>
      <c r="Q695" s="1844"/>
      <c r="R695" s="3649"/>
      <c r="S695" s="2883"/>
      <c r="T695" s="2883"/>
      <c r="U695" s="1844"/>
      <c r="V695" s="1846"/>
    </row>
    <row r="696" spans="1:22" s="1842" customFormat="1">
      <c r="A696" s="1843"/>
      <c r="B696" s="1843"/>
      <c r="C696" s="1844"/>
      <c r="D696" s="1844"/>
      <c r="E696" s="1844"/>
      <c r="F696" s="1845"/>
      <c r="G696" s="1845"/>
      <c r="H696" s="1844"/>
      <c r="I696" s="1844"/>
      <c r="J696" s="1844"/>
      <c r="K696" s="1844"/>
      <c r="L696" s="1844"/>
      <c r="M696" s="1844"/>
      <c r="N696" s="1844"/>
      <c r="O696" s="1844"/>
      <c r="P696" s="1844"/>
      <c r="Q696" s="1844"/>
      <c r="R696" s="3649"/>
      <c r="S696" s="2883"/>
      <c r="T696" s="2883"/>
      <c r="U696" s="1844"/>
      <c r="V696" s="1846"/>
    </row>
    <row r="697" spans="1:22" s="1842" customFormat="1">
      <c r="A697" s="1843"/>
      <c r="B697" s="1843"/>
      <c r="C697" s="1844"/>
      <c r="D697" s="1844"/>
      <c r="E697" s="1844"/>
      <c r="F697" s="1845"/>
      <c r="G697" s="1845"/>
      <c r="H697" s="1844"/>
      <c r="I697" s="1844"/>
      <c r="J697" s="1844"/>
      <c r="K697" s="1844"/>
      <c r="L697" s="1844"/>
      <c r="M697" s="1844"/>
      <c r="N697" s="1844"/>
      <c r="O697" s="1844"/>
      <c r="P697" s="1844"/>
      <c r="Q697" s="1844"/>
      <c r="R697" s="3649"/>
      <c r="S697" s="2883"/>
      <c r="T697" s="2883"/>
      <c r="U697" s="1844"/>
      <c r="V697" s="1846"/>
    </row>
    <row r="698" spans="1:22" s="1842" customFormat="1">
      <c r="A698" s="1843"/>
      <c r="B698" s="1843"/>
      <c r="C698" s="1844"/>
      <c r="D698" s="1844"/>
      <c r="E698" s="1844"/>
      <c r="F698" s="1845"/>
      <c r="G698" s="1845"/>
      <c r="H698" s="1844"/>
      <c r="I698" s="1844"/>
      <c r="J698" s="1844"/>
      <c r="K698" s="1844"/>
      <c r="L698" s="1844"/>
      <c r="M698" s="1844"/>
      <c r="N698" s="1844"/>
      <c r="O698" s="1844"/>
      <c r="P698" s="1844"/>
      <c r="Q698" s="1844"/>
      <c r="R698" s="3649"/>
      <c r="S698" s="2883"/>
      <c r="T698" s="2883"/>
      <c r="U698" s="1844"/>
      <c r="V698" s="1846"/>
    </row>
    <row r="699" spans="1:22" s="1842" customFormat="1">
      <c r="A699" s="1843"/>
      <c r="B699" s="1843"/>
      <c r="C699" s="1844"/>
      <c r="D699" s="1844"/>
      <c r="E699" s="1844"/>
      <c r="F699" s="1845"/>
      <c r="G699" s="1845"/>
      <c r="H699" s="1844"/>
      <c r="I699" s="1844"/>
      <c r="J699" s="1844"/>
      <c r="K699" s="1844"/>
      <c r="L699" s="1844"/>
      <c r="M699" s="1844"/>
      <c r="N699" s="1844"/>
      <c r="O699" s="1844"/>
      <c r="P699" s="1844"/>
      <c r="Q699" s="1844"/>
      <c r="R699" s="3649"/>
      <c r="S699" s="2883"/>
      <c r="T699" s="2883"/>
      <c r="U699" s="1844"/>
      <c r="V699" s="1846"/>
    </row>
    <row r="700" spans="1:22" s="1842" customFormat="1">
      <c r="A700" s="1843"/>
      <c r="B700" s="1843"/>
      <c r="C700" s="1844"/>
      <c r="D700" s="1844"/>
      <c r="E700" s="1844"/>
      <c r="F700" s="1845"/>
      <c r="G700" s="1845"/>
      <c r="H700" s="1844"/>
      <c r="I700" s="1844"/>
      <c r="J700" s="1844"/>
      <c r="K700" s="1844"/>
      <c r="L700" s="1844"/>
      <c r="M700" s="1844"/>
      <c r="N700" s="1844"/>
      <c r="O700" s="1844"/>
      <c r="P700" s="1844"/>
      <c r="Q700" s="1844"/>
      <c r="R700" s="3649"/>
      <c r="S700" s="2883"/>
      <c r="T700" s="2883"/>
      <c r="U700" s="1844"/>
      <c r="V700" s="1846"/>
    </row>
    <row r="701" spans="1:22" s="1842" customFormat="1">
      <c r="A701" s="1843"/>
      <c r="B701" s="1843"/>
      <c r="C701" s="1844"/>
      <c r="D701" s="1844"/>
      <c r="E701" s="1844"/>
      <c r="F701" s="1845"/>
      <c r="G701" s="1845"/>
      <c r="H701" s="1844"/>
      <c r="I701" s="1844"/>
      <c r="J701" s="1844"/>
      <c r="K701" s="1844"/>
      <c r="L701" s="1844"/>
      <c r="M701" s="1844"/>
      <c r="N701" s="1844"/>
      <c r="O701" s="1844"/>
      <c r="P701" s="1844"/>
      <c r="Q701" s="1844"/>
      <c r="R701" s="3649"/>
      <c r="S701" s="2883"/>
      <c r="T701" s="2883"/>
      <c r="U701" s="1844"/>
      <c r="V701" s="1846"/>
    </row>
    <row r="702" spans="1:22" s="1842" customFormat="1">
      <c r="A702" s="1843"/>
      <c r="B702" s="1843"/>
      <c r="C702" s="1844"/>
      <c r="D702" s="1844"/>
      <c r="E702" s="1844"/>
      <c r="F702" s="1845"/>
      <c r="G702" s="1845"/>
      <c r="H702" s="1844"/>
      <c r="I702" s="1844"/>
      <c r="J702" s="1844"/>
      <c r="K702" s="1844"/>
      <c r="L702" s="1844"/>
      <c r="M702" s="1844"/>
      <c r="N702" s="1844"/>
      <c r="O702" s="1844"/>
      <c r="P702" s="1844"/>
      <c r="Q702" s="1844"/>
      <c r="R702" s="3649"/>
      <c r="S702" s="2883"/>
      <c r="T702" s="2883"/>
      <c r="U702" s="1844"/>
      <c r="V702" s="1846"/>
    </row>
    <row r="703" spans="1:22" s="1842" customFormat="1">
      <c r="A703" s="1843"/>
      <c r="B703" s="1843"/>
      <c r="C703" s="1844"/>
      <c r="D703" s="1844"/>
      <c r="E703" s="1844"/>
      <c r="F703" s="1845"/>
      <c r="G703" s="1845"/>
      <c r="H703" s="1844"/>
      <c r="I703" s="1844"/>
      <c r="J703" s="1844"/>
      <c r="K703" s="1844"/>
      <c r="L703" s="1844"/>
      <c r="M703" s="1844"/>
      <c r="N703" s="1844"/>
      <c r="O703" s="1844"/>
      <c r="P703" s="1844"/>
      <c r="Q703" s="1844"/>
      <c r="R703" s="3649"/>
      <c r="S703" s="2883"/>
      <c r="T703" s="2883"/>
      <c r="U703" s="1844"/>
      <c r="V703" s="1846"/>
    </row>
    <row r="704" spans="1:22" s="1842" customFormat="1">
      <c r="A704" s="1843"/>
      <c r="B704" s="1843"/>
      <c r="C704" s="1844"/>
      <c r="D704" s="1844"/>
      <c r="E704" s="1844"/>
      <c r="F704" s="1845"/>
      <c r="G704" s="1845"/>
      <c r="H704" s="1844"/>
      <c r="I704" s="1844"/>
      <c r="J704" s="1844"/>
      <c r="K704" s="1844"/>
      <c r="L704" s="1844"/>
      <c r="M704" s="1844"/>
      <c r="N704" s="1844"/>
      <c r="O704" s="1844"/>
      <c r="P704" s="1844"/>
      <c r="Q704" s="1844"/>
      <c r="R704" s="3649"/>
      <c r="S704" s="2883"/>
      <c r="T704" s="2883"/>
      <c r="U704" s="1844"/>
      <c r="V704" s="1846"/>
    </row>
    <row r="705" spans="1:22" s="1842" customFormat="1">
      <c r="A705" s="1843"/>
      <c r="B705" s="1843"/>
      <c r="C705" s="1844"/>
      <c r="D705" s="1844"/>
      <c r="E705" s="1844"/>
      <c r="F705" s="1845"/>
      <c r="G705" s="1845"/>
      <c r="H705" s="1844"/>
      <c r="I705" s="1844"/>
      <c r="J705" s="1844"/>
      <c r="K705" s="1844"/>
      <c r="L705" s="1844"/>
      <c r="M705" s="1844"/>
      <c r="N705" s="1844"/>
      <c r="O705" s="1844"/>
      <c r="P705" s="1844"/>
      <c r="Q705" s="1844"/>
      <c r="R705" s="3649"/>
      <c r="S705" s="2883"/>
      <c r="T705" s="2883"/>
      <c r="U705" s="1844"/>
      <c r="V705" s="1846"/>
    </row>
    <row r="706" spans="1:22" s="1842" customFormat="1">
      <c r="A706" s="1843"/>
      <c r="B706" s="1843"/>
      <c r="C706" s="1844"/>
      <c r="D706" s="1844"/>
      <c r="E706" s="1844"/>
      <c r="F706" s="1845"/>
      <c r="G706" s="1845"/>
      <c r="H706" s="1844"/>
      <c r="I706" s="1844"/>
      <c r="J706" s="1844"/>
      <c r="K706" s="1844"/>
      <c r="L706" s="1844"/>
      <c r="M706" s="1844"/>
      <c r="N706" s="1844"/>
      <c r="O706" s="1844"/>
      <c r="P706" s="1844"/>
      <c r="Q706" s="1844"/>
      <c r="R706" s="3649"/>
      <c r="S706" s="2883"/>
      <c r="T706" s="2883"/>
      <c r="U706" s="1844"/>
      <c r="V706" s="1846"/>
    </row>
    <row r="707" spans="1:22" s="1842" customFormat="1">
      <c r="A707" s="1843"/>
      <c r="B707" s="1843"/>
      <c r="C707" s="1844"/>
      <c r="D707" s="1844"/>
      <c r="E707" s="1844"/>
      <c r="F707" s="1845"/>
      <c r="G707" s="1845"/>
      <c r="H707" s="1844"/>
      <c r="I707" s="1844"/>
      <c r="J707" s="1844"/>
      <c r="K707" s="1844"/>
      <c r="L707" s="1844"/>
      <c r="M707" s="1844"/>
      <c r="N707" s="1844"/>
      <c r="O707" s="1844"/>
      <c r="P707" s="1844"/>
      <c r="Q707" s="1844"/>
      <c r="R707" s="3649"/>
      <c r="S707" s="2883"/>
      <c r="T707" s="2883"/>
      <c r="U707" s="1844"/>
      <c r="V707" s="1846"/>
    </row>
    <row r="708" spans="1:22" s="1842" customFormat="1">
      <c r="A708" s="1843"/>
      <c r="B708" s="1843"/>
      <c r="C708" s="1844"/>
      <c r="D708" s="1844"/>
      <c r="E708" s="1844"/>
      <c r="F708" s="1845"/>
      <c r="G708" s="1845"/>
      <c r="H708" s="1844"/>
      <c r="I708" s="1844"/>
      <c r="J708" s="1844"/>
      <c r="K708" s="1844"/>
      <c r="L708" s="1844"/>
      <c r="M708" s="1844"/>
      <c r="N708" s="1844"/>
      <c r="O708" s="1844"/>
      <c r="P708" s="1844"/>
      <c r="Q708" s="1844"/>
      <c r="R708" s="3649"/>
      <c r="S708" s="2883"/>
      <c r="T708" s="2883"/>
      <c r="U708" s="1844"/>
      <c r="V708" s="1846"/>
    </row>
    <row r="709" spans="1:22" s="1842" customFormat="1">
      <c r="A709" s="1843"/>
      <c r="B709" s="1843"/>
      <c r="C709" s="1844"/>
      <c r="D709" s="1844"/>
      <c r="E709" s="1844"/>
      <c r="F709" s="1845"/>
      <c r="G709" s="1845"/>
      <c r="H709" s="1844"/>
      <c r="I709" s="1844"/>
      <c r="J709" s="1844"/>
      <c r="K709" s="1844"/>
      <c r="L709" s="1844"/>
      <c r="M709" s="1844"/>
      <c r="N709" s="1844"/>
      <c r="O709" s="1844"/>
      <c r="P709" s="1844"/>
      <c r="Q709" s="1844"/>
      <c r="R709" s="3649"/>
      <c r="S709" s="2883"/>
      <c r="T709" s="2883"/>
      <c r="U709" s="1844"/>
      <c r="V709" s="1846"/>
    </row>
    <row r="710" spans="1:22" s="1842" customFormat="1">
      <c r="A710" s="1843"/>
      <c r="B710" s="1843"/>
      <c r="C710" s="1844"/>
      <c r="D710" s="1844"/>
      <c r="E710" s="1844"/>
      <c r="F710" s="1845"/>
      <c r="G710" s="1845"/>
      <c r="H710" s="1844"/>
      <c r="I710" s="1844"/>
      <c r="J710" s="1844"/>
      <c r="K710" s="1844"/>
      <c r="L710" s="1844"/>
      <c r="M710" s="1844"/>
      <c r="N710" s="1844"/>
      <c r="O710" s="1844"/>
      <c r="P710" s="1844"/>
      <c r="Q710" s="1844"/>
      <c r="R710" s="3649"/>
      <c r="S710" s="2883"/>
      <c r="T710" s="2883"/>
      <c r="U710" s="1844"/>
      <c r="V710" s="1846"/>
    </row>
    <row r="711" spans="1:22" s="1842" customFormat="1">
      <c r="A711" s="1843"/>
      <c r="B711" s="1843"/>
      <c r="C711" s="1844"/>
      <c r="D711" s="1844"/>
      <c r="E711" s="1844"/>
      <c r="F711" s="1845"/>
      <c r="G711" s="1845"/>
      <c r="H711" s="1844"/>
      <c r="I711" s="1844"/>
      <c r="J711" s="1844"/>
      <c r="K711" s="1844"/>
      <c r="L711" s="1844"/>
      <c r="M711" s="1844"/>
      <c r="N711" s="1844"/>
      <c r="O711" s="1844"/>
      <c r="P711" s="1844"/>
      <c r="Q711" s="1844"/>
      <c r="R711" s="3649"/>
      <c r="S711" s="2883"/>
      <c r="T711" s="2883"/>
      <c r="U711" s="1844"/>
      <c r="V711" s="1846"/>
    </row>
    <row r="712" spans="1:22" s="1842" customFormat="1">
      <c r="A712" s="1843"/>
      <c r="B712" s="1843"/>
      <c r="C712" s="1844"/>
      <c r="D712" s="1844"/>
      <c r="E712" s="1844"/>
      <c r="F712" s="1845"/>
      <c r="G712" s="1845"/>
      <c r="H712" s="1844"/>
      <c r="I712" s="1844"/>
      <c r="J712" s="1844"/>
      <c r="K712" s="1844"/>
      <c r="L712" s="1844"/>
      <c r="M712" s="1844"/>
      <c r="N712" s="1844"/>
      <c r="O712" s="1844"/>
      <c r="P712" s="1844"/>
      <c r="Q712" s="1844"/>
      <c r="R712" s="3649"/>
      <c r="S712" s="2883"/>
      <c r="T712" s="2883"/>
      <c r="U712" s="1844"/>
      <c r="V712" s="1846"/>
    </row>
    <row r="713" spans="1:22" s="1842" customFormat="1">
      <c r="A713" s="1843"/>
      <c r="B713" s="1843"/>
      <c r="C713" s="1844"/>
      <c r="D713" s="1844"/>
      <c r="E713" s="1844"/>
      <c r="F713" s="1845"/>
      <c r="G713" s="1845"/>
      <c r="H713" s="1844"/>
      <c r="I713" s="1844"/>
      <c r="J713" s="1844"/>
      <c r="K713" s="1844"/>
      <c r="L713" s="1844"/>
      <c r="M713" s="1844"/>
      <c r="N713" s="1844"/>
      <c r="O713" s="1844"/>
      <c r="P713" s="1844"/>
      <c r="Q713" s="1844"/>
      <c r="R713" s="3649"/>
      <c r="S713" s="2883"/>
      <c r="T713" s="2883"/>
      <c r="U713" s="1844"/>
      <c r="V713" s="1846"/>
    </row>
    <row r="714" spans="1:22" s="1842" customFormat="1">
      <c r="A714" s="1843"/>
      <c r="B714" s="1843"/>
      <c r="C714" s="1844"/>
      <c r="D714" s="1844"/>
      <c r="E714" s="1844"/>
      <c r="F714" s="1845"/>
      <c r="G714" s="1845"/>
      <c r="H714" s="1844"/>
      <c r="I714" s="1844"/>
      <c r="J714" s="1844"/>
      <c r="K714" s="1844"/>
      <c r="L714" s="1844"/>
      <c r="M714" s="1844"/>
      <c r="N714" s="1844"/>
      <c r="O714" s="1844"/>
      <c r="P714" s="1844"/>
      <c r="Q714" s="1844"/>
      <c r="R714" s="3649"/>
      <c r="S714" s="2883"/>
      <c r="T714" s="2883"/>
      <c r="U714" s="1844"/>
      <c r="V714" s="1846"/>
    </row>
    <row r="715" spans="1:22" s="1842" customFormat="1">
      <c r="A715" s="1843"/>
      <c r="B715" s="1843"/>
      <c r="C715" s="1844"/>
      <c r="D715" s="1844"/>
      <c r="E715" s="1844"/>
      <c r="F715" s="1845"/>
      <c r="G715" s="1845"/>
      <c r="H715" s="1844"/>
      <c r="I715" s="1844"/>
      <c r="J715" s="1844"/>
      <c r="K715" s="1844"/>
      <c r="L715" s="1844"/>
      <c r="M715" s="1844"/>
      <c r="N715" s="1844"/>
      <c r="O715" s="1844"/>
      <c r="P715" s="1844"/>
      <c r="Q715" s="1844"/>
      <c r="R715" s="3649"/>
      <c r="S715" s="2883"/>
      <c r="T715" s="2883"/>
      <c r="U715" s="1844"/>
      <c r="V715" s="1846"/>
    </row>
    <row r="716" spans="1:22" s="1842" customFormat="1">
      <c r="A716" s="1843"/>
      <c r="B716" s="1843"/>
      <c r="C716" s="1844"/>
      <c r="D716" s="1844"/>
      <c r="E716" s="1844"/>
      <c r="F716" s="1845"/>
      <c r="G716" s="1845"/>
      <c r="H716" s="1844"/>
      <c r="I716" s="1844"/>
      <c r="J716" s="1844"/>
      <c r="K716" s="1844"/>
      <c r="L716" s="1844"/>
      <c r="M716" s="1844"/>
      <c r="N716" s="1844"/>
      <c r="O716" s="1844"/>
      <c r="P716" s="1844"/>
      <c r="Q716" s="1844"/>
      <c r="R716" s="3649"/>
      <c r="S716" s="2883"/>
      <c r="T716" s="2883"/>
      <c r="U716" s="1844"/>
      <c r="V716" s="1846"/>
    </row>
    <row r="717" spans="1:22" s="1842" customFormat="1">
      <c r="A717" s="1843"/>
      <c r="B717" s="1843"/>
      <c r="C717" s="1844"/>
      <c r="D717" s="1844"/>
      <c r="E717" s="1844"/>
      <c r="F717" s="1845"/>
      <c r="G717" s="1845"/>
      <c r="H717" s="1844"/>
      <c r="I717" s="1844"/>
      <c r="J717" s="1844"/>
      <c r="K717" s="1844"/>
      <c r="L717" s="1844"/>
      <c r="M717" s="1844"/>
      <c r="N717" s="1844"/>
      <c r="O717" s="1844"/>
      <c r="P717" s="1844"/>
      <c r="Q717" s="1844"/>
      <c r="R717" s="3649"/>
      <c r="S717" s="2883"/>
      <c r="T717" s="2883"/>
      <c r="U717" s="1844"/>
      <c r="V717" s="1846"/>
    </row>
    <row r="718" spans="1:22" s="1842" customFormat="1">
      <c r="A718" s="1843"/>
      <c r="B718" s="1843"/>
      <c r="C718" s="1844"/>
      <c r="D718" s="1844"/>
      <c r="E718" s="1844"/>
      <c r="F718" s="1845"/>
      <c r="G718" s="1845"/>
      <c r="H718" s="1844"/>
      <c r="I718" s="1844"/>
      <c r="J718" s="1844"/>
      <c r="K718" s="1844"/>
      <c r="L718" s="1844"/>
      <c r="M718" s="1844"/>
      <c r="N718" s="1844"/>
      <c r="O718" s="1844"/>
      <c r="P718" s="1844"/>
      <c r="Q718" s="1844"/>
      <c r="R718" s="3649"/>
      <c r="S718" s="2883"/>
      <c r="T718" s="2883"/>
      <c r="U718" s="1844"/>
      <c r="V718" s="1846"/>
    </row>
    <row r="719" spans="1:22" s="1842" customFormat="1">
      <c r="A719" s="1843"/>
      <c r="B719" s="1843"/>
      <c r="C719" s="1844"/>
      <c r="D719" s="1844"/>
      <c r="E719" s="1844"/>
      <c r="F719" s="1845"/>
      <c r="G719" s="1845"/>
      <c r="H719" s="1844"/>
      <c r="I719" s="1844"/>
      <c r="J719" s="1844"/>
      <c r="K719" s="1844"/>
      <c r="L719" s="1844"/>
      <c r="M719" s="1844"/>
      <c r="N719" s="1844"/>
      <c r="O719" s="1844"/>
      <c r="P719" s="1844"/>
      <c r="Q719" s="1844"/>
      <c r="R719" s="3649"/>
      <c r="S719" s="2883"/>
      <c r="T719" s="2883"/>
      <c r="U719" s="1844"/>
      <c r="V719" s="1846"/>
    </row>
    <row r="720" spans="1:22" s="1842" customFormat="1">
      <c r="A720" s="1843"/>
      <c r="B720" s="1843"/>
      <c r="C720" s="1844"/>
      <c r="D720" s="1844"/>
      <c r="E720" s="1844"/>
      <c r="F720" s="1845"/>
      <c r="G720" s="1845"/>
      <c r="H720" s="1844"/>
      <c r="I720" s="1844"/>
      <c r="J720" s="1844"/>
      <c r="K720" s="1844"/>
      <c r="L720" s="1844"/>
      <c r="M720" s="1844"/>
      <c r="N720" s="1844"/>
      <c r="O720" s="1844"/>
      <c r="P720" s="1844"/>
      <c r="Q720" s="1844"/>
      <c r="R720" s="3649"/>
      <c r="S720" s="2883"/>
      <c r="T720" s="2883"/>
      <c r="U720" s="1844"/>
      <c r="V720" s="1846"/>
    </row>
    <row r="721" spans="1:22" s="1842" customFormat="1">
      <c r="A721" s="1843"/>
      <c r="B721" s="1843"/>
      <c r="C721" s="1844"/>
      <c r="D721" s="1844"/>
      <c r="E721" s="1844"/>
      <c r="F721" s="1845"/>
      <c r="G721" s="1845"/>
      <c r="H721" s="1844"/>
      <c r="I721" s="1844"/>
      <c r="J721" s="1844"/>
      <c r="K721" s="1844"/>
      <c r="L721" s="1844"/>
      <c r="M721" s="1844"/>
      <c r="N721" s="1844"/>
      <c r="O721" s="1844"/>
      <c r="P721" s="1844"/>
      <c r="Q721" s="1844"/>
      <c r="R721" s="3649"/>
      <c r="S721" s="2883"/>
      <c r="T721" s="2883"/>
      <c r="U721" s="1844"/>
      <c r="V721" s="1846"/>
    </row>
    <row r="722" spans="1:22" s="1842" customFormat="1">
      <c r="A722" s="1843"/>
      <c r="B722" s="1843"/>
      <c r="C722" s="1844"/>
      <c r="D722" s="1844"/>
      <c r="E722" s="1844"/>
      <c r="F722" s="1845"/>
      <c r="G722" s="1845"/>
      <c r="H722" s="1844"/>
      <c r="I722" s="1844"/>
      <c r="J722" s="1844"/>
      <c r="K722" s="1844"/>
      <c r="L722" s="1844"/>
      <c r="M722" s="1844"/>
      <c r="N722" s="1844"/>
      <c r="O722" s="1844"/>
      <c r="P722" s="1844"/>
      <c r="Q722" s="1844"/>
      <c r="R722" s="3649"/>
      <c r="S722" s="2883"/>
      <c r="T722" s="2883"/>
      <c r="U722" s="1844"/>
      <c r="V722" s="1846"/>
    </row>
    <row r="723" spans="1:22" s="1842" customFormat="1">
      <c r="A723" s="1843"/>
      <c r="B723" s="1843"/>
      <c r="C723" s="1844"/>
      <c r="D723" s="1844"/>
      <c r="E723" s="1844"/>
      <c r="F723" s="1845"/>
      <c r="G723" s="1845"/>
      <c r="H723" s="1844"/>
      <c r="I723" s="1844"/>
      <c r="J723" s="1844"/>
      <c r="K723" s="1844"/>
      <c r="L723" s="1844"/>
      <c r="M723" s="1844"/>
      <c r="N723" s="1844"/>
      <c r="O723" s="1844"/>
      <c r="P723" s="1844"/>
      <c r="Q723" s="1844"/>
      <c r="R723" s="3649"/>
      <c r="S723" s="2883"/>
      <c r="T723" s="2883"/>
      <c r="U723" s="1844"/>
      <c r="V723" s="1846"/>
    </row>
    <row r="724" spans="1:22" s="1842" customFormat="1">
      <c r="A724" s="1843"/>
      <c r="B724" s="1843"/>
      <c r="C724" s="1844"/>
      <c r="D724" s="1844"/>
      <c r="E724" s="1844"/>
      <c r="F724" s="1845"/>
      <c r="G724" s="1845"/>
      <c r="H724" s="1844"/>
      <c r="I724" s="1844"/>
      <c r="J724" s="1844"/>
      <c r="K724" s="1844"/>
      <c r="L724" s="1844"/>
      <c r="M724" s="1844"/>
      <c r="N724" s="1844"/>
      <c r="O724" s="1844"/>
      <c r="P724" s="1844"/>
      <c r="Q724" s="1844"/>
      <c r="R724" s="3649"/>
      <c r="S724" s="2883"/>
      <c r="T724" s="2883"/>
      <c r="U724" s="1844"/>
      <c r="V724" s="1846"/>
    </row>
    <row r="725" spans="1:22" s="1842" customFormat="1">
      <c r="A725" s="1843"/>
      <c r="B725" s="1843"/>
      <c r="C725" s="1844"/>
      <c r="D725" s="1844"/>
      <c r="E725" s="1844"/>
      <c r="F725" s="1845"/>
      <c r="G725" s="1845"/>
      <c r="H725" s="1844"/>
      <c r="I725" s="1844"/>
      <c r="J725" s="1844"/>
      <c r="K725" s="1844"/>
      <c r="L725" s="1844"/>
      <c r="M725" s="1844"/>
      <c r="N725" s="1844"/>
      <c r="O725" s="1844"/>
      <c r="P725" s="1844"/>
      <c r="Q725" s="1844"/>
      <c r="R725" s="3649"/>
      <c r="S725" s="2883"/>
      <c r="T725" s="2883"/>
      <c r="U725" s="1844"/>
      <c r="V725" s="1846"/>
    </row>
    <row r="726" spans="1:22" s="1842" customFormat="1">
      <c r="A726" s="1843"/>
      <c r="B726" s="1843"/>
      <c r="C726" s="1844"/>
      <c r="D726" s="1844"/>
      <c r="E726" s="1844"/>
      <c r="F726" s="1845"/>
      <c r="G726" s="1845"/>
      <c r="H726" s="1844"/>
      <c r="I726" s="1844"/>
      <c r="J726" s="1844"/>
      <c r="K726" s="1844"/>
      <c r="L726" s="1844"/>
      <c r="M726" s="1844"/>
      <c r="N726" s="1844"/>
      <c r="O726" s="1844"/>
      <c r="P726" s="1844"/>
      <c r="Q726" s="1844"/>
      <c r="R726" s="3649"/>
      <c r="S726" s="2883"/>
      <c r="T726" s="2883"/>
      <c r="U726" s="1844"/>
      <c r="V726" s="1846"/>
    </row>
    <row r="727" spans="1:22" s="1842" customFormat="1">
      <c r="A727" s="1843"/>
      <c r="B727" s="1843"/>
      <c r="C727" s="1844"/>
      <c r="D727" s="1844"/>
      <c r="E727" s="1844"/>
      <c r="F727" s="1845"/>
      <c r="G727" s="1845"/>
      <c r="H727" s="1844"/>
      <c r="I727" s="1844"/>
      <c r="J727" s="1844"/>
      <c r="K727" s="1844"/>
      <c r="L727" s="1844"/>
      <c r="M727" s="1844"/>
      <c r="N727" s="1844"/>
      <c r="O727" s="1844"/>
      <c r="P727" s="1844"/>
      <c r="Q727" s="1844"/>
      <c r="R727" s="3649"/>
      <c r="S727" s="2883"/>
      <c r="T727" s="2883"/>
      <c r="U727" s="1844"/>
      <c r="V727" s="1846"/>
    </row>
    <row r="728" spans="1:22" s="1842" customFormat="1">
      <c r="A728" s="1843"/>
      <c r="B728" s="1843"/>
      <c r="C728" s="1844"/>
      <c r="D728" s="1844"/>
      <c r="E728" s="1844"/>
      <c r="F728" s="1845"/>
      <c r="G728" s="1845"/>
      <c r="H728" s="1844"/>
      <c r="I728" s="1844"/>
      <c r="J728" s="1844"/>
      <c r="K728" s="1844"/>
      <c r="L728" s="1844"/>
      <c r="M728" s="1844"/>
      <c r="N728" s="1844"/>
      <c r="O728" s="1844"/>
      <c r="P728" s="1844"/>
      <c r="Q728" s="1844"/>
      <c r="R728" s="3649"/>
      <c r="S728" s="2883"/>
      <c r="T728" s="2883"/>
      <c r="U728" s="1844"/>
      <c r="V728" s="1846"/>
    </row>
    <row r="729" spans="1:22" s="1842" customFormat="1">
      <c r="A729" s="1843"/>
      <c r="B729" s="1843"/>
      <c r="C729" s="1844"/>
      <c r="D729" s="1844"/>
      <c r="E729" s="1844"/>
      <c r="F729" s="1845"/>
      <c r="G729" s="1845"/>
      <c r="H729" s="1844"/>
      <c r="I729" s="1844"/>
      <c r="J729" s="1844"/>
      <c r="K729" s="1844"/>
      <c r="L729" s="1844"/>
      <c r="M729" s="1844"/>
      <c r="N729" s="1844"/>
      <c r="O729" s="1844"/>
      <c r="P729" s="1844"/>
      <c r="Q729" s="1844"/>
      <c r="R729" s="3649"/>
      <c r="S729" s="2883"/>
      <c r="T729" s="2883"/>
      <c r="U729" s="1844"/>
      <c r="V729" s="1846"/>
    </row>
    <row r="730" spans="1:22" s="1842" customFormat="1">
      <c r="A730" s="1843"/>
      <c r="B730" s="1843"/>
      <c r="C730" s="1844"/>
      <c r="D730" s="1844"/>
      <c r="E730" s="1844"/>
      <c r="F730" s="1845"/>
      <c r="G730" s="1845"/>
      <c r="H730" s="1844"/>
      <c r="I730" s="1844"/>
      <c r="J730" s="1844"/>
      <c r="K730" s="1844"/>
      <c r="L730" s="1844"/>
      <c r="M730" s="1844"/>
      <c r="N730" s="1844"/>
      <c r="O730" s="1844"/>
      <c r="P730" s="1844"/>
      <c r="Q730" s="1844"/>
      <c r="R730" s="3649"/>
      <c r="S730" s="2883"/>
      <c r="T730" s="2883"/>
      <c r="U730" s="1844"/>
      <c r="V730" s="1846"/>
    </row>
  </sheetData>
  <sheetProtection selectLockedCells="1" selectUnlockedCells="1"/>
  <autoFilter ref="L8:O582"/>
  <mergeCells count="18">
    <mergeCell ref="A582:I582"/>
    <mergeCell ref="H605:I605"/>
    <mergeCell ref="H634:I634"/>
    <mergeCell ref="S5:S6"/>
    <mergeCell ref="T5:T6"/>
    <mergeCell ref="U5:U6"/>
    <mergeCell ref="A7:E7"/>
    <mergeCell ref="F7:I7"/>
    <mergeCell ref="H476:I476"/>
    <mergeCell ref="A2:R2"/>
    <mergeCell ref="A5:E6"/>
    <mergeCell ref="F5:I6"/>
    <mergeCell ref="J5:J6"/>
    <mergeCell ref="K5:K6"/>
    <mergeCell ref="L5:L6"/>
    <mergeCell ref="M5:O5"/>
    <mergeCell ref="Q5:Q6"/>
    <mergeCell ref="R5:R6"/>
  </mergeCells>
  <pageMargins left="0.51181102362204722" right="0.15748031496062992" top="0.31496062992125984" bottom="0.55118110236220474" header="0.31496062992125984" footer="0.27559055118110237"/>
  <pageSetup paperSize="9" scale="70" orientation="portrait" useFirstPageNumber="1" r:id="rId1"/>
  <headerFooter alignWithMargins="0">
    <oddHeader>Page &amp;P</oddHeader>
    <oddFooter>&amp;L&amp;8Rencana Perubahan Target Tahun 2017 - BAPPENDA NTB&amp;C&amp;7&amp;K02-047&amp;F&amp;D&amp;T&amp;RHal. &amp;P</oddFooter>
  </headerFooter>
  <rowBreaks count="4" manualBreakCount="4">
    <brk id="77" max="17" man="1"/>
    <brk id="404" max="17" man="1"/>
    <brk id="495" max="17" man="1"/>
    <brk id="572" max="17" man="1"/>
  </row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L90"/>
  <sheetViews>
    <sheetView view="pageBreakPreview" topLeftCell="A4" zoomScale="98" zoomScaleNormal="120" zoomScaleSheetLayoutView="98" workbookViewId="0">
      <pane ySplit="4" topLeftCell="A26" activePane="bottomLeft" state="frozen"/>
      <selection activeCell="A4" sqref="A4"/>
      <selection pane="bottomLeft" activeCell="M44" sqref="M44"/>
    </sheetView>
  </sheetViews>
  <sheetFormatPr defaultColWidth="9.109375" defaultRowHeight="13.15"/>
  <cols>
    <col min="1" max="1" width="6.44140625" style="189" customWidth="1"/>
    <col min="2" max="7" width="2.6640625" style="193" customWidth="1"/>
    <col min="8" max="8" width="2.33203125" style="189" customWidth="1"/>
    <col min="9" max="9" width="6" style="189" customWidth="1"/>
    <col min="10" max="10" width="32.109375" style="189" customWidth="1"/>
    <col min="11" max="11" width="20.109375" style="189" hidden="1" customWidth="1"/>
    <col min="12" max="12" width="20" style="189" hidden="1" customWidth="1"/>
    <col min="13" max="13" width="19.5546875" style="189" customWidth="1"/>
    <col min="14" max="14" width="18.6640625" style="189" hidden="1" customWidth="1"/>
    <col min="15" max="15" width="20.44140625" style="189" customWidth="1"/>
    <col min="16" max="16" width="17.33203125" style="189" customWidth="1"/>
    <col min="17" max="17" width="8" style="189" customWidth="1"/>
    <col min="18" max="18" width="7.5546875" style="189" customWidth="1"/>
    <col min="19" max="19" width="20.109375" style="189" customWidth="1"/>
    <col min="20" max="20" width="17.5546875" style="189" bestFit="1" customWidth="1"/>
    <col min="21" max="16384" width="9.109375" style="189"/>
  </cols>
  <sheetData>
    <row r="1" spans="1:21" ht="18.2">
      <c r="A1" s="5808" t="s">
        <v>1184</v>
      </c>
      <c r="B1" s="5809"/>
      <c r="C1" s="5809"/>
      <c r="D1" s="5809"/>
      <c r="E1" s="5809"/>
      <c r="F1" s="5809"/>
      <c r="G1" s="5809"/>
      <c r="H1" s="5809"/>
      <c r="I1" s="5809"/>
      <c r="J1" s="5809"/>
      <c r="K1" s="5809"/>
      <c r="L1" s="5809"/>
      <c r="M1" s="5809"/>
      <c r="N1" s="5809"/>
      <c r="O1" s="5809"/>
      <c r="P1" s="5809"/>
      <c r="Q1" s="5809"/>
      <c r="R1" s="5809"/>
    </row>
    <row r="2" spans="1:21" ht="18.2">
      <c r="A2" s="5809" t="s">
        <v>1077</v>
      </c>
      <c r="B2" s="5809"/>
      <c r="C2" s="5809"/>
      <c r="D2" s="5809"/>
      <c r="E2" s="5809"/>
      <c r="F2" s="5809"/>
      <c r="G2" s="5809"/>
      <c r="H2" s="5809"/>
      <c r="I2" s="5809"/>
      <c r="J2" s="5809"/>
      <c r="K2" s="5809"/>
      <c r="L2" s="5809"/>
      <c r="M2" s="5809"/>
      <c r="N2" s="5809"/>
      <c r="O2" s="5809"/>
      <c r="P2" s="5809"/>
      <c r="Q2" s="5809"/>
      <c r="R2" s="5809"/>
    </row>
    <row r="3" spans="1:21">
      <c r="A3" s="194"/>
      <c r="B3" s="195"/>
      <c r="C3" s="195"/>
      <c r="D3" s="195"/>
      <c r="E3" s="195"/>
      <c r="F3" s="195"/>
      <c r="G3" s="195"/>
      <c r="H3" s="194"/>
      <c r="I3" s="194"/>
      <c r="J3" s="194"/>
      <c r="K3" s="194"/>
      <c r="L3" s="194"/>
      <c r="M3" s="194"/>
      <c r="N3" s="194"/>
      <c r="O3" s="194"/>
      <c r="P3" s="194"/>
      <c r="Q3" s="5810"/>
      <c r="R3" s="5810"/>
    </row>
    <row r="4" spans="1:21" ht="15.85" customHeight="1">
      <c r="A4" s="196" t="s">
        <v>937</v>
      </c>
      <c r="B4" s="5811" t="s">
        <v>938</v>
      </c>
      <c r="C4" s="5812"/>
      <c r="D4" s="5812"/>
      <c r="E4" s="5812"/>
      <c r="F4" s="5812"/>
      <c r="G4" s="5813"/>
      <c r="H4" s="5817" t="s">
        <v>56</v>
      </c>
      <c r="I4" s="5817"/>
      <c r="J4" s="5817"/>
      <c r="K4" s="5818" t="s">
        <v>474</v>
      </c>
      <c r="L4" s="5818" t="s">
        <v>475</v>
      </c>
      <c r="M4" s="5818" t="s">
        <v>416</v>
      </c>
      <c r="N4" s="5820" t="s">
        <v>1078</v>
      </c>
      <c r="O4" s="214" t="s">
        <v>476</v>
      </c>
      <c r="P4" s="5821" t="s">
        <v>477</v>
      </c>
      <c r="Q4" s="5823" t="s">
        <v>6</v>
      </c>
      <c r="R4" s="5747" t="s">
        <v>704</v>
      </c>
    </row>
    <row r="5" spans="1:21" ht="14.25" customHeight="1">
      <c r="A5" s="197" t="s">
        <v>942</v>
      </c>
      <c r="B5" s="5814"/>
      <c r="C5" s="5815"/>
      <c r="D5" s="5815"/>
      <c r="E5" s="5815"/>
      <c r="F5" s="5815"/>
      <c r="G5" s="5816"/>
      <c r="H5" s="5824" t="s">
        <v>1080</v>
      </c>
      <c r="I5" s="5824"/>
      <c r="J5" s="5824"/>
      <c r="K5" s="5819"/>
      <c r="L5" s="5819"/>
      <c r="M5" s="5819"/>
      <c r="N5" s="5820"/>
      <c r="O5" s="215" t="s">
        <v>481</v>
      </c>
      <c r="P5" s="5822"/>
      <c r="Q5" s="5823"/>
      <c r="R5" s="5748"/>
    </row>
    <row r="6" spans="1:21" ht="12.7" customHeight="1">
      <c r="A6" s="198">
        <v>1</v>
      </c>
      <c r="B6" s="5806">
        <v>2</v>
      </c>
      <c r="C6" s="5806"/>
      <c r="D6" s="5806"/>
      <c r="E6" s="5806"/>
      <c r="F6" s="5806"/>
      <c r="G6" s="5806"/>
      <c r="H6" s="5807">
        <v>3</v>
      </c>
      <c r="I6" s="5807"/>
      <c r="J6" s="5807"/>
      <c r="K6" s="198">
        <v>4</v>
      </c>
      <c r="L6" s="198">
        <v>5</v>
      </c>
      <c r="M6" s="198">
        <v>6</v>
      </c>
      <c r="N6" s="198">
        <v>7</v>
      </c>
      <c r="O6" s="2777" t="s">
        <v>485</v>
      </c>
      <c r="P6" s="2777" t="s">
        <v>486</v>
      </c>
      <c r="Q6" s="2777" t="s">
        <v>444</v>
      </c>
      <c r="R6" s="2777" t="s">
        <v>969</v>
      </c>
      <c r="S6" s="3483"/>
      <c r="T6" s="226"/>
      <c r="U6" s="226"/>
    </row>
    <row r="7" spans="1:21" s="3433" customFormat="1" ht="15.85" customHeight="1">
      <c r="A7" s="3424"/>
      <c r="B7" s="3425">
        <v>6</v>
      </c>
      <c r="C7" s="3425">
        <v>1</v>
      </c>
      <c r="D7" s="3425">
        <v>1</v>
      </c>
      <c r="E7" s="3425" t="s">
        <v>445</v>
      </c>
      <c r="F7" s="3425" t="s">
        <v>440</v>
      </c>
      <c r="G7" s="3426"/>
      <c r="H7" s="3427" t="s">
        <v>1081</v>
      </c>
      <c r="I7" s="3428"/>
      <c r="J7" s="3429"/>
      <c r="K7" s="3519">
        <f t="shared" ref="K7:P7" si="0">K8+K55+K61</f>
        <v>3794636377504</v>
      </c>
      <c r="L7" s="3519">
        <f t="shared" si="0"/>
        <v>3946978987678.9697</v>
      </c>
      <c r="M7" s="3519">
        <f t="shared" si="0"/>
        <v>4791397359569</v>
      </c>
      <c r="N7" s="3519">
        <f t="shared" si="0"/>
        <v>1163476630856.72</v>
      </c>
      <c r="O7" s="3519">
        <f t="shared" si="0"/>
        <v>4736449075576</v>
      </c>
      <c r="P7" s="3999">
        <f t="shared" si="0"/>
        <v>-54948283993</v>
      </c>
      <c r="Q7" s="3430">
        <f>O7/M7*100-100</f>
        <v>-1.1468112508611199</v>
      </c>
      <c r="R7" s="3431"/>
      <c r="S7" s="436">
        <f>+O7-M7</f>
        <v>-54948283993</v>
      </c>
      <c r="T7" s="3432">
        <f>+S7-P7</f>
        <v>0</v>
      </c>
    </row>
    <row r="8" spans="1:21" s="3408" customFormat="1" ht="17.100000000000001" customHeight="1">
      <c r="A8" s="3417" t="s">
        <v>61</v>
      </c>
      <c r="B8" s="3418"/>
      <c r="C8" s="3418"/>
      <c r="D8" s="3418"/>
      <c r="E8" s="3418"/>
      <c r="F8" s="3418"/>
      <c r="G8" s="3419"/>
      <c r="H8" s="4495" t="s">
        <v>180</v>
      </c>
      <c r="I8" s="3420"/>
      <c r="J8" s="3421"/>
      <c r="K8" s="3520">
        <f>K9+K15+K31+K42</f>
        <v>1442161862024</v>
      </c>
      <c r="L8" s="3520">
        <f>L9+L15+L31+L42</f>
        <v>1341792732792.4299</v>
      </c>
      <c r="M8" s="3520">
        <f>M9+M15+M31+M42</f>
        <v>1501611335359</v>
      </c>
      <c r="N8" s="3520">
        <f>N9+N15+N31+N42</f>
        <v>287722965598.72998</v>
      </c>
      <c r="O8" s="3520">
        <f>O9+O15+O31+O42</f>
        <v>1534279709076</v>
      </c>
      <c r="P8" s="4000">
        <f>O8-M8</f>
        <v>32668373717</v>
      </c>
      <c r="Q8" s="3406">
        <f t="shared" ref="Q8:Q67" si="1">O8/M8*100-100</f>
        <v>2.1755545491530199</v>
      </c>
      <c r="R8" s="3422"/>
      <c r="S8" s="436">
        <f>+O8-M8</f>
        <v>32668373717</v>
      </c>
      <c r="T8" s="3407">
        <f>+S8-P8</f>
        <v>0</v>
      </c>
    </row>
    <row r="9" spans="1:21" s="3493" customFormat="1" ht="17.100000000000001" customHeight="1">
      <c r="A9" s="3484" t="s">
        <v>1185</v>
      </c>
      <c r="B9" s="3485">
        <v>4</v>
      </c>
      <c r="C9" s="3485">
        <v>1</v>
      </c>
      <c r="D9" s="3485">
        <v>1</v>
      </c>
      <c r="E9" s="3485"/>
      <c r="F9" s="3485"/>
      <c r="G9" s="3486" t="s">
        <v>1082</v>
      </c>
      <c r="H9" s="3496" t="s">
        <v>1141</v>
      </c>
      <c r="I9" s="3488"/>
      <c r="J9" s="3489"/>
      <c r="K9" s="3521">
        <f t="shared" ref="K9:P9" si="2">SUM(K10:K14)</f>
        <v>1037549599000</v>
      </c>
      <c r="L9" s="3521">
        <f t="shared" si="2"/>
        <v>1003260953668</v>
      </c>
      <c r="M9" s="3521">
        <f t="shared" si="2"/>
        <v>1122139007935</v>
      </c>
      <c r="N9" s="3521">
        <f t="shared" si="2"/>
        <v>233266101062</v>
      </c>
      <c r="O9" s="3521">
        <f t="shared" si="2"/>
        <v>1132922590000</v>
      </c>
      <c r="P9" s="4001">
        <f t="shared" si="2"/>
        <v>10783582065</v>
      </c>
      <c r="Q9" s="3490">
        <f t="shared" si="1"/>
        <v>0.96098451161093124</v>
      </c>
      <c r="R9" s="3491"/>
      <c r="S9" s="436"/>
      <c r="T9" s="3492"/>
    </row>
    <row r="10" spans="1:21" ht="17.100000000000001" customHeight="1">
      <c r="A10" s="3340"/>
      <c r="B10" s="3667">
        <v>4</v>
      </c>
      <c r="C10" s="3667">
        <v>1</v>
      </c>
      <c r="D10" s="3667">
        <v>1</v>
      </c>
      <c r="E10" s="3668" t="s">
        <v>437</v>
      </c>
      <c r="F10" s="3667"/>
      <c r="G10" s="3350"/>
      <c r="H10" s="3669" t="s">
        <v>1142</v>
      </c>
      <c r="I10" s="2113"/>
      <c r="J10" s="3670"/>
      <c r="K10" s="3504">
        <f>'KOM opsi 1'!J14</f>
        <v>248153000000</v>
      </c>
      <c r="L10" s="3504">
        <f>'KOM opsi 1'!K14</f>
        <v>269187973631</v>
      </c>
      <c r="M10" s="3504">
        <f>'KOM opsi 1'!L14</f>
        <v>311893723935</v>
      </c>
      <c r="N10" s="3504">
        <f>'KOM opsi 1'!O14</f>
        <v>69415566816</v>
      </c>
      <c r="O10" s="4007">
        <f>'KOM sementara'!P13</f>
        <v>304317000000</v>
      </c>
      <c r="P10" s="3864">
        <f>O10-M10</f>
        <v>-7576723935</v>
      </c>
      <c r="Q10" s="3673">
        <f t="shared" si="1"/>
        <v>-2.4292646352124194</v>
      </c>
      <c r="R10" s="3674"/>
      <c r="S10" s="436"/>
      <c r="T10" s="436"/>
    </row>
    <row r="11" spans="1:21" ht="17.100000000000001" customHeight="1">
      <c r="A11" s="3343"/>
      <c r="B11" s="3343">
        <v>4</v>
      </c>
      <c r="C11" s="3343">
        <v>1</v>
      </c>
      <c r="D11" s="3343">
        <v>1</v>
      </c>
      <c r="E11" s="3675" t="s">
        <v>440</v>
      </c>
      <c r="F11" s="3343"/>
      <c r="G11" s="3352"/>
      <c r="H11" s="3676" t="s">
        <v>1153</v>
      </c>
      <c r="I11" s="202"/>
      <c r="J11" s="218"/>
      <c r="K11" s="3506">
        <f>'KOM opsi 1'!J26</f>
        <v>318503155000</v>
      </c>
      <c r="L11" s="3506">
        <f>'KOM opsi 1'!K26</f>
        <v>322208887701</v>
      </c>
      <c r="M11" s="3506">
        <f>'KOM opsi 1'!L26</f>
        <v>321503155000</v>
      </c>
      <c r="N11" s="3506">
        <f>'KOM opsi 1'!O26</f>
        <v>72721445555</v>
      </c>
      <c r="O11" s="3506">
        <f>'KOM sementara'!P25</f>
        <v>299817600000</v>
      </c>
      <c r="P11" s="4002">
        <f>O11-M11</f>
        <v>-21685555000</v>
      </c>
      <c r="Q11" s="3678">
        <f t="shared" si="1"/>
        <v>-6.7450520042330595</v>
      </c>
      <c r="R11" s="3679"/>
      <c r="S11" s="436"/>
      <c r="T11" s="436"/>
    </row>
    <row r="12" spans="1:21" ht="17.100000000000001" customHeight="1">
      <c r="A12" s="3343"/>
      <c r="B12" s="3343">
        <v>4</v>
      </c>
      <c r="C12" s="3343">
        <v>1</v>
      </c>
      <c r="D12" s="3343">
        <v>1</v>
      </c>
      <c r="E12" s="3675" t="s">
        <v>451</v>
      </c>
      <c r="F12" s="3343"/>
      <c r="G12" s="3352"/>
      <c r="H12" s="3676" t="s">
        <v>1154</v>
      </c>
      <c r="I12" s="202"/>
      <c r="J12" s="218"/>
      <c r="K12" s="3506">
        <f>'KOM opsi 1'!J38</f>
        <v>192900000000</v>
      </c>
      <c r="L12" s="3506">
        <f>'KOM opsi 1'!K38</f>
        <v>188945861622</v>
      </c>
      <c r="M12" s="3506">
        <f>'KOM opsi 1'!L38</f>
        <v>192900000000</v>
      </c>
      <c r="N12" s="3506">
        <f>'KOM opsi 1'!O38</f>
        <v>46114131883</v>
      </c>
      <c r="O12" s="3506">
        <f>'KOM sementara'!P37</f>
        <v>188945861000</v>
      </c>
      <c r="P12" s="4002">
        <f>O12-M12</f>
        <v>-3954139000</v>
      </c>
      <c r="Q12" s="3678">
        <f t="shared" si="1"/>
        <v>-2.0498387765681656</v>
      </c>
      <c r="R12" s="3679"/>
      <c r="S12" s="436"/>
      <c r="T12" s="436"/>
    </row>
    <row r="13" spans="1:21" ht="15.85" customHeight="1">
      <c r="A13" s="3343"/>
      <c r="B13" s="3343">
        <v>4</v>
      </c>
      <c r="C13" s="3343">
        <v>1</v>
      </c>
      <c r="D13" s="3343">
        <v>1</v>
      </c>
      <c r="E13" s="3675" t="s">
        <v>441</v>
      </c>
      <c r="F13" s="3343"/>
      <c r="G13" s="3352"/>
      <c r="H13" s="3676" t="s">
        <v>1156</v>
      </c>
      <c r="I13" s="202"/>
      <c r="J13" s="218"/>
      <c r="K13" s="3506">
        <f>'KOM opsi 1'!J40</f>
        <v>300000000</v>
      </c>
      <c r="L13" s="3506">
        <f>'KOM opsi 1'!K40</f>
        <v>361290857</v>
      </c>
      <c r="M13" s="3506">
        <f>'KOM opsi 1'!L40</f>
        <v>1000000000</v>
      </c>
      <c r="N13" s="3506">
        <f>'KOM opsi 1'!O40</f>
        <v>228953247</v>
      </c>
      <c r="O13" s="3506">
        <f>'KOM sementara'!P39</f>
        <v>1000000000</v>
      </c>
      <c r="P13" s="3677">
        <f>O13-M13</f>
        <v>0</v>
      </c>
      <c r="Q13" s="3678">
        <f t="shared" si="1"/>
        <v>0</v>
      </c>
      <c r="R13" s="3679"/>
      <c r="S13" s="436"/>
      <c r="T13" s="436"/>
    </row>
    <row r="14" spans="1:21" ht="15.85" customHeight="1">
      <c r="A14" s="3680"/>
      <c r="B14" s="3680">
        <v>4</v>
      </c>
      <c r="C14" s="3680">
        <v>1</v>
      </c>
      <c r="D14" s="3680">
        <v>1</v>
      </c>
      <c r="E14" s="4512" t="s">
        <v>456</v>
      </c>
      <c r="F14" s="3680"/>
      <c r="G14" s="3682"/>
      <c r="H14" s="3683" t="s">
        <v>1157</v>
      </c>
      <c r="I14" s="3684"/>
      <c r="J14" s="3685"/>
      <c r="K14" s="3686">
        <f>'KOM opsi 1'!J42</f>
        <v>277693444000</v>
      </c>
      <c r="L14" s="3686">
        <f>'KOM opsi 1'!K42</f>
        <v>222556939857</v>
      </c>
      <c r="M14" s="3686">
        <f>'KOM opsi 1'!L42</f>
        <v>294842129000</v>
      </c>
      <c r="N14" s="3686">
        <f>'KOM opsi 1'!O42</f>
        <v>44786003561</v>
      </c>
      <c r="O14" s="3686">
        <f>'KOM sementara'!P41</f>
        <v>338842129000</v>
      </c>
      <c r="P14" s="3687">
        <f>O14-M14</f>
        <v>44000000000</v>
      </c>
      <c r="Q14" s="3688">
        <f t="shared" si="1"/>
        <v>14.923240497968322</v>
      </c>
      <c r="R14" s="3689"/>
      <c r="S14" s="436"/>
      <c r="T14" s="436"/>
    </row>
    <row r="15" spans="1:21" s="3493" customFormat="1" ht="16.45" customHeight="1">
      <c r="A15" s="3494" t="s">
        <v>1186</v>
      </c>
      <c r="B15" s="3485">
        <v>4</v>
      </c>
      <c r="C15" s="3485">
        <v>1</v>
      </c>
      <c r="D15" s="3485">
        <v>2</v>
      </c>
      <c r="E15" s="3485"/>
      <c r="F15" s="3485"/>
      <c r="G15" s="3495" t="s">
        <v>1082</v>
      </c>
      <c r="H15" s="3496" t="s">
        <v>106</v>
      </c>
      <c r="I15" s="3488"/>
      <c r="J15" s="3497"/>
      <c r="K15" s="3503">
        <f>SUM(K16:K30)-K16-K21-K27</f>
        <v>29890858000</v>
      </c>
      <c r="L15" s="3503">
        <f>SUM(L16:L30)-L16-L21-L27</f>
        <v>29792038549</v>
      </c>
      <c r="M15" s="3503">
        <f>SUM(M16:M30)-M16-M21-M27</f>
        <v>18459358000</v>
      </c>
      <c r="N15" s="3503">
        <f>SUM(N16:N30)-N16-N21-N27</f>
        <v>4448558476</v>
      </c>
      <c r="O15" s="3503">
        <f>O16+O21+O27</f>
        <v>18235464000</v>
      </c>
      <c r="P15" s="3863">
        <f>SUM(P16:P30)-P16-P21-P27</f>
        <v>-223894000</v>
      </c>
      <c r="Q15" s="3490">
        <f t="shared" si="1"/>
        <v>-1.2129024205500514</v>
      </c>
      <c r="R15" s="3491"/>
      <c r="S15" s="436">
        <f t="shared" ref="S15:S69" si="3">+O15-M15</f>
        <v>-223894000</v>
      </c>
      <c r="T15" s="3492">
        <f t="shared" ref="T15:T69" si="4">+S15-P15</f>
        <v>0</v>
      </c>
    </row>
    <row r="16" spans="1:21">
      <c r="A16" s="3339"/>
      <c r="B16" s="3340">
        <v>4</v>
      </c>
      <c r="C16" s="3340">
        <v>1</v>
      </c>
      <c r="D16" s="3340">
        <v>2</v>
      </c>
      <c r="E16" s="3340" t="s">
        <v>437</v>
      </c>
      <c r="F16" s="3340"/>
      <c r="G16" s="3341"/>
      <c r="H16" s="3089" t="s">
        <v>107</v>
      </c>
      <c r="I16" s="212"/>
      <c r="J16" s="3088"/>
      <c r="K16" s="3504">
        <f>SUM(K17:K19)</f>
        <v>19059250000</v>
      </c>
      <c r="L16" s="3504">
        <f>SUM(L17:L19)</f>
        <v>19214538092</v>
      </c>
      <c r="M16" s="3504">
        <f>SUM(M17:M19)</f>
        <v>7519250000</v>
      </c>
      <c r="N16" s="3504">
        <f>SUM(N17:N19)</f>
        <v>2714722900</v>
      </c>
      <c r="O16" s="3504">
        <f>SUM(O17:O19)</f>
        <v>7519250000</v>
      </c>
      <c r="P16" s="3504">
        <f>O16-M16</f>
        <v>0</v>
      </c>
      <c r="Q16" s="3690">
        <f t="shared" si="1"/>
        <v>0</v>
      </c>
      <c r="R16" s="3083"/>
      <c r="S16" s="436">
        <f t="shared" si="3"/>
        <v>0</v>
      </c>
      <c r="T16" s="436">
        <f t="shared" si="4"/>
        <v>0</v>
      </c>
    </row>
    <row r="17" spans="1:20" ht="12.7" customHeight="1">
      <c r="A17" s="3342"/>
      <c r="B17" s="3343">
        <v>4</v>
      </c>
      <c r="C17" s="3343">
        <v>1</v>
      </c>
      <c r="D17" s="3343">
        <v>2</v>
      </c>
      <c r="E17" s="3343" t="s">
        <v>437</v>
      </c>
      <c r="F17" s="3343" t="s">
        <v>437</v>
      </c>
      <c r="G17" s="3344">
        <v>1</v>
      </c>
      <c r="H17" s="2214" t="s">
        <v>1083</v>
      </c>
      <c r="I17" s="200"/>
      <c r="J17" s="217"/>
      <c r="K17" s="3505">
        <f>+'KOM opsi 1'!J46</f>
        <v>18800000000</v>
      </c>
      <c r="L17" s="3505">
        <f>+'KOM opsi 1'!K46</f>
        <v>18927671342</v>
      </c>
      <c r="M17" s="3505">
        <f>+'KOM opsi 1'!L46</f>
        <v>7500000000</v>
      </c>
      <c r="N17" s="3505">
        <f>'KOM opsi 1'!O46</f>
        <v>2714722900</v>
      </c>
      <c r="O17" s="3505">
        <f>'KOM sementara'!P45</f>
        <v>7500000000</v>
      </c>
      <c r="P17" s="3505">
        <f>O17-M17</f>
        <v>0</v>
      </c>
      <c r="Q17" s="3691">
        <f t="shared" si="1"/>
        <v>0</v>
      </c>
      <c r="R17" s="2842"/>
      <c r="S17" s="436">
        <f t="shared" si="3"/>
        <v>0</v>
      </c>
      <c r="T17" s="436">
        <f t="shared" si="4"/>
        <v>0</v>
      </c>
    </row>
    <row r="18" spans="1:20">
      <c r="A18" s="3342"/>
      <c r="B18" s="3343">
        <v>4</v>
      </c>
      <c r="C18" s="3343">
        <v>1</v>
      </c>
      <c r="D18" s="3343">
        <v>2</v>
      </c>
      <c r="E18" s="3343" t="s">
        <v>437</v>
      </c>
      <c r="F18" s="3343" t="s">
        <v>445</v>
      </c>
      <c r="G18" s="3344">
        <v>2</v>
      </c>
      <c r="H18" s="2214" t="s">
        <v>1084</v>
      </c>
      <c r="I18" s="200"/>
      <c r="J18" s="217"/>
      <c r="K18" s="3505">
        <f>+'KOM opsi 1'!J51</f>
        <v>240000000</v>
      </c>
      <c r="L18" s="3505">
        <f>+'KOM opsi 1'!K51</f>
        <v>286866750</v>
      </c>
      <c r="M18" s="3505">
        <f>+'KOM opsi 1'!L51</f>
        <v>0</v>
      </c>
      <c r="N18" s="3505">
        <f>'KOM opsi 1'!P51</f>
        <v>0</v>
      </c>
      <c r="O18" s="3505">
        <f>'KOM sementara'!P50</f>
        <v>0</v>
      </c>
      <c r="P18" s="3505">
        <f>O18-M18</f>
        <v>0</v>
      </c>
      <c r="Q18" s="3691"/>
      <c r="R18" s="2842"/>
      <c r="S18" s="436">
        <f t="shared" si="3"/>
        <v>0</v>
      </c>
      <c r="T18" s="436">
        <f t="shared" si="4"/>
        <v>0</v>
      </c>
    </row>
    <row r="19" spans="1:20">
      <c r="A19" s="3342"/>
      <c r="B19" s="3343">
        <v>4</v>
      </c>
      <c r="C19" s="3343">
        <v>1</v>
      </c>
      <c r="D19" s="3343">
        <v>2</v>
      </c>
      <c r="E19" s="3343" t="s">
        <v>437</v>
      </c>
      <c r="F19" s="3343" t="s">
        <v>445</v>
      </c>
      <c r="G19" s="3344">
        <v>3</v>
      </c>
      <c r="H19" s="2214" t="s">
        <v>1011</v>
      </c>
      <c r="I19" s="200"/>
      <c r="J19" s="217"/>
      <c r="K19" s="3505">
        <f>+'KOM opsi 1'!J52</f>
        <v>19250000</v>
      </c>
      <c r="L19" s="3505">
        <f>+'KOM opsi 1'!K52</f>
        <v>0</v>
      </c>
      <c r="M19" s="3505">
        <f>+'KOM opsi 1'!L52</f>
        <v>19250000</v>
      </c>
      <c r="N19" s="3505">
        <f>'KOM opsi 1'!P52</f>
        <v>0</v>
      </c>
      <c r="O19" s="3505">
        <f>'KOM sementara'!P51</f>
        <v>19250000</v>
      </c>
      <c r="P19" s="3862">
        <f>O19-M19</f>
        <v>0</v>
      </c>
      <c r="Q19" s="3691">
        <f t="shared" si="1"/>
        <v>0</v>
      </c>
      <c r="R19" s="2842"/>
      <c r="S19" s="436">
        <f t="shared" si="3"/>
        <v>0</v>
      </c>
      <c r="T19" s="436">
        <f t="shared" si="4"/>
        <v>0</v>
      </c>
    </row>
    <row r="20" spans="1:20" ht="6.75" customHeight="1">
      <c r="A20" s="3342"/>
      <c r="B20" s="3343"/>
      <c r="C20" s="3343"/>
      <c r="D20" s="3343"/>
      <c r="E20" s="3343"/>
      <c r="F20" s="3343"/>
      <c r="G20" s="3344"/>
      <c r="H20" s="2214"/>
      <c r="I20" s="200"/>
      <c r="J20" s="217"/>
      <c r="K20" s="3505"/>
      <c r="L20" s="3505"/>
      <c r="M20" s="3505"/>
      <c r="N20" s="3505"/>
      <c r="O20" s="3505"/>
      <c r="P20" s="3500"/>
      <c r="Q20" s="3692"/>
      <c r="R20" s="2842"/>
      <c r="S20" s="436">
        <f t="shared" si="3"/>
        <v>0</v>
      </c>
      <c r="T20" s="436">
        <f t="shared" si="4"/>
        <v>0</v>
      </c>
    </row>
    <row r="21" spans="1:20">
      <c r="A21" s="3342"/>
      <c r="B21" s="3343">
        <v>4</v>
      </c>
      <c r="C21" s="3343">
        <v>1</v>
      </c>
      <c r="D21" s="3343">
        <v>2</v>
      </c>
      <c r="E21" s="3343" t="s">
        <v>438</v>
      </c>
      <c r="F21" s="3343"/>
      <c r="G21" s="3344"/>
      <c r="H21" s="1856" t="s">
        <v>109</v>
      </c>
      <c r="I21" s="202"/>
      <c r="J21" s="217"/>
      <c r="K21" s="3506">
        <f>SUM(K22:K25)</f>
        <v>9182718500</v>
      </c>
      <c r="L21" s="3506">
        <f>SUM(L22:L25)</f>
        <v>8816358857</v>
      </c>
      <c r="M21" s="3506">
        <f>SUM(M22:M25)</f>
        <v>9291218500</v>
      </c>
      <c r="N21" s="3506">
        <f>SUM(N22:N25)</f>
        <v>1256530576</v>
      </c>
      <c r="O21" s="3506">
        <f>SUM(O22:O25)</f>
        <v>8872324500</v>
      </c>
      <c r="P21" s="3524">
        <f>O21-M21</f>
        <v>-418894000</v>
      </c>
      <c r="Q21" s="3692">
        <f t="shared" si="1"/>
        <v>-4.5084936921890346</v>
      </c>
      <c r="R21" s="2842"/>
      <c r="S21" s="436">
        <f t="shared" si="3"/>
        <v>-418894000</v>
      </c>
      <c r="T21" s="436">
        <f t="shared" si="4"/>
        <v>0</v>
      </c>
    </row>
    <row r="22" spans="1:20">
      <c r="A22" s="3342"/>
      <c r="B22" s="3343">
        <v>4</v>
      </c>
      <c r="C22" s="3343">
        <v>1</v>
      </c>
      <c r="D22" s="3343">
        <v>2</v>
      </c>
      <c r="E22" s="3343" t="s">
        <v>438</v>
      </c>
      <c r="F22" s="3343" t="s">
        <v>437</v>
      </c>
      <c r="G22" s="3344">
        <v>1</v>
      </c>
      <c r="H22" s="2214" t="s">
        <v>986</v>
      </c>
      <c r="I22" s="200"/>
      <c r="J22" s="217"/>
      <c r="K22" s="3505">
        <f>+'KOM opsi 1'!J57</f>
        <v>4557206500</v>
      </c>
      <c r="L22" s="3505">
        <f>+'KOM opsi 1'!K57</f>
        <v>3676781427</v>
      </c>
      <c r="M22" s="3505">
        <f>+'KOM opsi 1'!L57</f>
        <v>4630706500</v>
      </c>
      <c r="N22" s="3505">
        <f>'KOM opsi 1'!O57</f>
        <v>376759526</v>
      </c>
      <c r="O22" s="3505">
        <f>'KOM sementara'!P56</f>
        <v>3861806500</v>
      </c>
      <c r="P22" s="3500">
        <f>O22-M22</f>
        <v>-768900000</v>
      </c>
      <c r="Q22" s="3691">
        <f t="shared" si="1"/>
        <v>-16.604377755316605</v>
      </c>
      <c r="R22" s="2842"/>
      <c r="S22" s="436"/>
      <c r="T22" s="436">
        <f t="shared" si="4"/>
        <v>768900000</v>
      </c>
    </row>
    <row r="23" spans="1:20">
      <c r="A23" s="3342"/>
      <c r="B23" s="3343">
        <v>4</v>
      </c>
      <c r="C23" s="3343">
        <v>1</v>
      </c>
      <c r="D23" s="3343">
        <v>2</v>
      </c>
      <c r="E23" s="3343" t="s">
        <v>438</v>
      </c>
      <c r="F23" s="3343" t="s">
        <v>440</v>
      </c>
      <c r="G23" s="3344">
        <v>2</v>
      </c>
      <c r="H23" s="2214" t="s">
        <v>1085</v>
      </c>
      <c r="I23" s="200"/>
      <c r="J23" s="217"/>
      <c r="K23" s="3505">
        <f>+'KOM opsi 1'!J137</f>
        <v>2512125000</v>
      </c>
      <c r="L23" s="3505">
        <f>+'KOM opsi 1'!K137</f>
        <v>2733928400</v>
      </c>
      <c r="M23" s="3505">
        <f>+'KOM opsi 1'!L137</f>
        <v>2547125000</v>
      </c>
      <c r="N23" s="3505">
        <f>'KOM opsi 1'!O137</f>
        <v>311760000</v>
      </c>
      <c r="O23" s="3505">
        <f>'KOM sementara'!P139</f>
        <v>2643500000</v>
      </c>
      <c r="P23" s="3500">
        <f>O23-M23</f>
        <v>96375000</v>
      </c>
      <c r="Q23" s="3691">
        <f t="shared" si="1"/>
        <v>3.7836776758109636</v>
      </c>
      <c r="R23" s="2842"/>
      <c r="S23" s="436">
        <f t="shared" si="3"/>
        <v>96375000</v>
      </c>
      <c r="T23" s="436">
        <f t="shared" si="4"/>
        <v>0</v>
      </c>
    </row>
    <row r="24" spans="1:20">
      <c r="A24" s="3342"/>
      <c r="B24" s="3343">
        <v>4</v>
      </c>
      <c r="C24" s="3343">
        <v>1</v>
      </c>
      <c r="D24" s="3343">
        <v>2</v>
      </c>
      <c r="E24" s="3343" t="s">
        <v>438</v>
      </c>
      <c r="F24" s="3345" t="s">
        <v>451</v>
      </c>
      <c r="G24" s="3344"/>
      <c r="H24" s="2214" t="s">
        <v>1086</v>
      </c>
      <c r="I24" s="200"/>
      <c r="J24" s="217"/>
      <c r="K24" s="3505"/>
      <c r="L24" s="3505"/>
      <c r="M24" s="3505">
        <v>0</v>
      </c>
      <c r="N24" s="3505">
        <f>'KOM opsi 1'!O156</f>
        <v>97365000</v>
      </c>
      <c r="O24" s="3505">
        <f>'KOM sementara'!P159</f>
        <v>375000000</v>
      </c>
      <c r="P24" s="3500">
        <f>O24-M24</f>
        <v>375000000</v>
      </c>
      <c r="Q24" s="3691" t="e">
        <f t="shared" si="1"/>
        <v>#DIV/0!</v>
      </c>
      <c r="R24" s="2842"/>
      <c r="S24" s="436">
        <f t="shared" si="3"/>
        <v>375000000</v>
      </c>
      <c r="T24" s="436">
        <f t="shared" si="4"/>
        <v>0</v>
      </c>
    </row>
    <row r="25" spans="1:20">
      <c r="A25" s="3342"/>
      <c r="B25" s="3343">
        <v>4</v>
      </c>
      <c r="C25" s="3343">
        <v>1</v>
      </c>
      <c r="D25" s="3343">
        <v>2</v>
      </c>
      <c r="E25" s="3343" t="s">
        <v>438</v>
      </c>
      <c r="F25" s="3343" t="s">
        <v>448</v>
      </c>
      <c r="G25" s="3344">
        <v>3</v>
      </c>
      <c r="H25" s="2214" t="s">
        <v>1087</v>
      </c>
      <c r="I25" s="200"/>
      <c r="J25" s="217"/>
      <c r="K25" s="3505">
        <f>+'KOM opsi 1'!J162</f>
        <v>2113387000</v>
      </c>
      <c r="L25" s="3505">
        <f>+'KOM opsi 1'!K162</f>
        <v>2405649030</v>
      </c>
      <c r="M25" s="3505">
        <f>+'KOM opsi 1'!L162</f>
        <v>2113387000</v>
      </c>
      <c r="N25" s="3505">
        <f>'KOM opsi 1'!O162</f>
        <v>470646050</v>
      </c>
      <c r="O25" s="3505">
        <f>'KOM sementara'!P165</f>
        <v>1992018000</v>
      </c>
      <c r="P25" s="3500">
        <f>O25-M25</f>
        <v>-121369000</v>
      </c>
      <c r="Q25" s="3691">
        <f t="shared" si="1"/>
        <v>-5.7428667820896067</v>
      </c>
      <c r="R25" s="2842"/>
      <c r="S25" s="436">
        <f t="shared" si="3"/>
        <v>-121369000</v>
      </c>
      <c r="T25" s="436">
        <f t="shared" si="4"/>
        <v>0</v>
      </c>
    </row>
    <row r="26" spans="1:20" ht="6.75" customHeight="1">
      <c r="A26" s="3342"/>
      <c r="B26" s="3343"/>
      <c r="C26" s="3343"/>
      <c r="D26" s="3343"/>
      <c r="E26" s="3343"/>
      <c r="F26" s="3343"/>
      <c r="G26" s="3344"/>
      <c r="H26" s="2214"/>
      <c r="I26" s="200"/>
      <c r="J26" s="217"/>
      <c r="K26" s="3505"/>
      <c r="L26" s="3505"/>
      <c r="M26" s="3505"/>
      <c r="N26" s="3505"/>
      <c r="O26" s="3505"/>
      <c r="P26" s="3505"/>
      <c r="Q26" s="3691"/>
      <c r="R26" s="2842"/>
      <c r="S26" s="436">
        <f t="shared" si="3"/>
        <v>0</v>
      </c>
      <c r="T26" s="436">
        <f t="shared" si="4"/>
        <v>0</v>
      </c>
    </row>
    <row r="27" spans="1:20">
      <c r="A27" s="3342"/>
      <c r="B27" s="3343">
        <v>4</v>
      </c>
      <c r="C27" s="3343">
        <v>1</v>
      </c>
      <c r="D27" s="3343">
        <v>2</v>
      </c>
      <c r="E27" s="3343" t="s">
        <v>440</v>
      </c>
      <c r="F27" s="3343"/>
      <c r="G27" s="3344"/>
      <c r="H27" s="1856" t="s">
        <v>116</v>
      </c>
      <c r="I27" s="202"/>
      <c r="J27" s="218"/>
      <c r="K27" s="3506">
        <f>SUM(K28:K30)</f>
        <v>1648889500</v>
      </c>
      <c r="L27" s="3506">
        <f>SUM(L28:L30)</f>
        <v>1761141600</v>
      </c>
      <c r="M27" s="3506">
        <f>SUM(M28:M30)</f>
        <v>1648889500</v>
      </c>
      <c r="N27" s="3506">
        <f>SUM(N28:N30)</f>
        <v>477305000</v>
      </c>
      <c r="O27" s="3506">
        <f>SUM(O28:O30)</f>
        <v>1843889500</v>
      </c>
      <c r="P27" s="3506">
        <f t="shared" ref="P27:P33" si="5">O27-M27</f>
        <v>195000000</v>
      </c>
      <c r="Q27" s="3692">
        <f t="shared" si="1"/>
        <v>11.826141169556848</v>
      </c>
      <c r="R27" s="2842"/>
      <c r="S27" s="436">
        <f t="shared" si="3"/>
        <v>195000000</v>
      </c>
      <c r="T27" s="436">
        <f t="shared" si="4"/>
        <v>0</v>
      </c>
    </row>
    <row r="28" spans="1:20">
      <c r="A28" s="3342"/>
      <c r="B28" s="3343">
        <v>4</v>
      </c>
      <c r="C28" s="3343">
        <v>1</v>
      </c>
      <c r="D28" s="3343">
        <v>2</v>
      </c>
      <c r="E28" s="3343" t="s">
        <v>440</v>
      </c>
      <c r="F28" s="3343" t="s">
        <v>437</v>
      </c>
      <c r="G28" s="3344">
        <v>1</v>
      </c>
      <c r="H28" s="2214" t="s">
        <v>1088</v>
      </c>
      <c r="I28" s="202"/>
      <c r="J28" s="218"/>
      <c r="K28" s="3505">
        <f>+'KOM opsi 1'!J202</f>
        <v>193889500</v>
      </c>
      <c r="L28" s="3505">
        <f>+'KOM opsi 1'!K202</f>
        <v>122160000</v>
      </c>
      <c r="M28" s="3505">
        <f>+'KOM opsi 1'!L202</f>
        <v>193889500</v>
      </c>
      <c r="N28" s="3505">
        <f>+'KOM opsi 1'!O202</f>
        <v>28565000</v>
      </c>
      <c r="O28" s="3505">
        <f>'KOM sementara'!P205</f>
        <v>193889500</v>
      </c>
      <c r="P28" s="3507">
        <f t="shared" si="5"/>
        <v>0</v>
      </c>
      <c r="Q28" s="3691">
        <f t="shared" si="1"/>
        <v>0</v>
      </c>
      <c r="R28" s="2842"/>
      <c r="S28" s="436">
        <f t="shared" si="3"/>
        <v>0</v>
      </c>
      <c r="T28" s="436">
        <f t="shared" si="4"/>
        <v>0</v>
      </c>
    </row>
    <row r="29" spans="1:20">
      <c r="A29" s="3342"/>
      <c r="B29" s="3343">
        <v>4</v>
      </c>
      <c r="C29" s="3343">
        <v>1</v>
      </c>
      <c r="D29" s="3343">
        <v>2</v>
      </c>
      <c r="E29" s="3343" t="s">
        <v>440</v>
      </c>
      <c r="F29" s="3343">
        <v>2</v>
      </c>
      <c r="G29" s="3344">
        <v>2</v>
      </c>
      <c r="H29" s="199" t="s">
        <v>1089</v>
      </c>
      <c r="I29" s="202"/>
      <c r="J29" s="218"/>
      <c r="K29" s="3505">
        <f>+'KOM opsi 1'!J207</f>
        <v>0</v>
      </c>
      <c r="L29" s="3505">
        <f>+'KOM opsi 1'!K207</f>
        <v>16404000</v>
      </c>
      <c r="M29" s="3505">
        <f>+'KOM opsi 1'!L207</f>
        <v>0</v>
      </c>
      <c r="N29" s="3505">
        <f>+'KOM opsi 1'!O207</f>
        <v>0</v>
      </c>
      <c r="O29" s="3505">
        <f>'KOM sementara'!P210</f>
        <v>0</v>
      </c>
      <c r="P29" s="3507">
        <f t="shared" si="5"/>
        <v>0</v>
      </c>
      <c r="Q29" s="3691" t="e">
        <f t="shared" si="1"/>
        <v>#DIV/0!</v>
      </c>
      <c r="R29" s="2842"/>
      <c r="S29" s="436">
        <f t="shared" si="3"/>
        <v>0</v>
      </c>
      <c r="T29" s="436">
        <f t="shared" si="4"/>
        <v>0</v>
      </c>
    </row>
    <row r="30" spans="1:20">
      <c r="A30" s="3346"/>
      <c r="B30" s="3343">
        <v>4</v>
      </c>
      <c r="C30" s="3343">
        <v>1</v>
      </c>
      <c r="D30" s="3343">
        <v>2</v>
      </c>
      <c r="E30" s="3343" t="s">
        <v>437</v>
      </c>
      <c r="F30" s="3343">
        <v>16</v>
      </c>
      <c r="G30" s="3344">
        <v>4</v>
      </c>
      <c r="H30" s="2214" t="s">
        <v>971</v>
      </c>
      <c r="I30" s="200"/>
      <c r="J30" s="217"/>
      <c r="K30" s="3505">
        <f>+'KOM opsi 1'!J210</f>
        <v>1455000000</v>
      </c>
      <c r="L30" s="3505">
        <f>+'KOM opsi 1'!K210</f>
        <v>1622577600</v>
      </c>
      <c r="M30" s="3505">
        <f>+'KOM opsi 1'!L210</f>
        <v>1455000000</v>
      </c>
      <c r="N30" s="3505">
        <f>+'KOM opsi 1'!O210</f>
        <v>448740000</v>
      </c>
      <c r="O30" s="3505">
        <f>'KOM sementara'!P213</f>
        <v>1650000000</v>
      </c>
      <c r="P30" s="3507">
        <f t="shared" si="5"/>
        <v>195000000</v>
      </c>
      <c r="Q30" s="3691">
        <f t="shared" si="1"/>
        <v>13.402061855670098</v>
      </c>
      <c r="R30" s="2842"/>
      <c r="S30" s="436">
        <f t="shared" si="3"/>
        <v>195000000</v>
      </c>
      <c r="T30" s="436">
        <f t="shared" si="4"/>
        <v>0</v>
      </c>
    </row>
    <row r="31" spans="1:20" s="3493" customFormat="1" ht="16.45" customHeight="1">
      <c r="A31" s="3498" t="s">
        <v>78</v>
      </c>
      <c r="B31" s="3485">
        <v>4</v>
      </c>
      <c r="C31" s="3485">
        <v>1</v>
      </c>
      <c r="D31" s="3485">
        <v>3</v>
      </c>
      <c r="E31" s="3485"/>
      <c r="F31" s="3485"/>
      <c r="G31" s="3495" t="s">
        <v>1082</v>
      </c>
      <c r="H31" s="5206" t="str">
        <f>'KOM sementara'!F216</f>
        <v>HSL PENGELOLAAN KEKAYAAN DRH YG DIPISAHKAN</v>
      </c>
      <c r="I31" s="3488"/>
      <c r="J31" s="3489"/>
      <c r="K31" s="3503">
        <f>K32+K40</f>
        <v>157964885190</v>
      </c>
      <c r="L31" s="3503">
        <f>L32+L40</f>
        <v>72827611744</v>
      </c>
      <c r="M31" s="3503">
        <f>M32+M40</f>
        <v>92558485190</v>
      </c>
      <c r="N31" s="3503">
        <f>N32+N40</f>
        <v>0</v>
      </c>
      <c r="O31" s="3503">
        <f>O32+O40</f>
        <v>93009585651</v>
      </c>
      <c r="P31" s="3863">
        <f t="shared" si="5"/>
        <v>451100461</v>
      </c>
      <c r="Q31" s="3490">
        <f t="shared" si="1"/>
        <v>0.48736802474024898</v>
      </c>
      <c r="R31" s="3499"/>
      <c r="S31" s="436">
        <f t="shared" si="3"/>
        <v>451100461</v>
      </c>
      <c r="T31" s="3492">
        <f t="shared" si="4"/>
        <v>0</v>
      </c>
    </row>
    <row r="32" spans="1:20">
      <c r="A32" s="3339"/>
      <c r="B32" s="3340">
        <v>4</v>
      </c>
      <c r="C32" s="3340">
        <v>1</v>
      </c>
      <c r="D32" s="3340">
        <v>3</v>
      </c>
      <c r="E32" s="3340" t="s">
        <v>437</v>
      </c>
      <c r="F32" s="3340"/>
      <c r="G32" s="3350"/>
      <c r="H32" s="3089" t="s">
        <v>1091</v>
      </c>
      <c r="I32" s="212"/>
      <c r="J32" s="225"/>
      <c r="K32" s="3504">
        <f>SUM(K33:K39)</f>
        <v>157964885190</v>
      </c>
      <c r="L32" s="3504">
        <f>SUM(L33:L39)</f>
        <v>72827611744</v>
      </c>
      <c r="M32" s="3504">
        <f>SUM(M33:M39)</f>
        <v>90558485190</v>
      </c>
      <c r="N32" s="3504">
        <f>SUM(N33:N39)</f>
        <v>0</v>
      </c>
      <c r="O32" s="3504">
        <f>SUM(O33:O39)</f>
        <v>91009585651</v>
      </c>
      <c r="P32" s="3864">
        <f t="shared" si="5"/>
        <v>451100461</v>
      </c>
      <c r="Q32" s="3690">
        <f t="shared" si="1"/>
        <v>0.49813163289287843</v>
      </c>
      <c r="R32" s="3351"/>
      <c r="S32" s="436">
        <f t="shared" si="3"/>
        <v>451100461</v>
      </c>
      <c r="T32" s="436">
        <f t="shared" si="4"/>
        <v>0</v>
      </c>
    </row>
    <row r="33" spans="1:20">
      <c r="A33" s="3342"/>
      <c r="B33" s="3343"/>
      <c r="C33" s="3343"/>
      <c r="D33" s="3343"/>
      <c r="E33" s="3343"/>
      <c r="F33" s="3343"/>
      <c r="G33" s="3352">
        <v>1</v>
      </c>
      <c r="H33" s="199" t="s">
        <v>197</v>
      </c>
      <c r="I33" s="200"/>
      <c r="J33" s="217"/>
      <c r="K33" s="3505">
        <f>+'KOM opsi 1'!J217</f>
        <v>59958450102</v>
      </c>
      <c r="L33" s="3505">
        <f>+'KOM opsi 1'!K217</f>
        <v>59958510102</v>
      </c>
      <c r="M33" s="3505">
        <f>+'KOM opsi 1'!L217</f>
        <v>59958450102</v>
      </c>
      <c r="N33" s="3505">
        <f>+'KOM opsi 1'!O217</f>
        <v>0</v>
      </c>
      <c r="O33" s="3505">
        <f>'KOM sementara'!P220</f>
        <v>62065732074</v>
      </c>
      <c r="P33" s="3505">
        <f t="shared" si="5"/>
        <v>2107281972</v>
      </c>
      <c r="Q33" s="3692">
        <f t="shared" si="1"/>
        <v>3.5145704540646676</v>
      </c>
      <c r="R33" s="3353"/>
      <c r="S33" s="436">
        <f t="shared" si="3"/>
        <v>2107281972</v>
      </c>
      <c r="T33" s="436">
        <f t="shared" si="4"/>
        <v>0</v>
      </c>
    </row>
    <row r="34" spans="1:20">
      <c r="A34" s="3342"/>
      <c r="B34" s="3343"/>
      <c r="C34" s="3343"/>
      <c r="D34" s="3343"/>
      <c r="E34" s="3343"/>
      <c r="F34" s="3343"/>
      <c r="G34" s="3352">
        <v>2</v>
      </c>
      <c r="H34" s="199" t="s">
        <v>1092</v>
      </c>
      <c r="I34" s="200"/>
      <c r="J34" s="217"/>
      <c r="K34" s="3505">
        <f>+'KOM opsi 1'!J216</f>
        <v>11374571865</v>
      </c>
      <c r="L34" s="3505">
        <f>+'KOM opsi 1'!K216</f>
        <v>11631764969</v>
      </c>
      <c r="M34" s="3505">
        <f>+'KOM opsi 1'!L216</f>
        <v>13374571865</v>
      </c>
      <c r="N34" s="3505">
        <f>+'KOM opsi 1'!O216</f>
        <v>0</v>
      </c>
      <c r="O34" s="3505">
        <f>'KOM sementara'!P219</f>
        <v>11305220112</v>
      </c>
      <c r="P34" s="3862">
        <f t="shared" ref="P34:P40" si="6">O34-M34</f>
        <v>-2069351753</v>
      </c>
      <c r="Q34" s="3692">
        <f t="shared" si="1"/>
        <v>-15.472284076735946</v>
      </c>
      <c r="R34" s="3353"/>
      <c r="S34" s="436">
        <f t="shared" si="3"/>
        <v>-2069351753</v>
      </c>
      <c r="T34" s="436">
        <f t="shared" si="4"/>
        <v>0</v>
      </c>
    </row>
    <row r="35" spans="1:20">
      <c r="A35" s="3342"/>
      <c r="B35" s="3343"/>
      <c r="C35" s="3343"/>
      <c r="D35" s="3343"/>
      <c r="E35" s="3343"/>
      <c r="F35" s="3343"/>
      <c r="G35" s="3352">
        <v>3</v>
      </c>
      <c r="H35" s="199" t="s">
        <v>769</v>
      </c>
      <c r="I35" s="200"/>
      <c r="J35" s="217"/>
      <c r="K35" s="3505">
        <f>+'KOM opsi 1'!J218</f>
        <v>1000000000</v>
      </c>
      <c r="L35" s="3505">
        <f>+'KOM opsi 1'!K218</f>
        <v>1000000000</v>
      </c>
      <c r="M35" s="3505">
        <f>+'KOM opsi 1'!L218</f>
        <v>1000000000</v>
      </c>
      <c r="N35" s="3505">
        <f>+'KOM opsi 1'!O218</f>
        <v>0</v>
      </c>
      <c r="O35" s="3505">
        <f>'KOM sementara'!P221</f>
        <v>1100000000</v>
      </c>
      <c r="P35" s="3505">
        <f t="shared" si="6"/>
        <v>100000000</v>
      </c>
      <c r="Q35" s="3692">
        <f t="shared" si="1"/>
        <v>10.000000000000014</v>
      </c>
      <c r="R35" s="3353"/>
      <c r="S35" s="436">
        <f t="shared" si="3"/>
        <v>100000000</v>
      </c>
      <c r="T35" s="436">
        <f t="shared" si="4"/>
        <v>0</v>
      </c>
    </row>
    <row r="36" spans="1:20">
      <c r="A36" s="3342"/>
      <c r="B36" s="3343"/>
      <c r="C36" s="3343"/>
      <c r="D36" s="3343"/>
      <c r="E36" s="3343"/>
      <c r="F36" s="3343"/>
      <c r="G36" s="3352">
        <v>4</v>
      </c>
      <c r="H36" s="199" t="s">
        <v>199</v>
      </c>
      <c r="I36" s="200"/>
      <c r="J36" s="217"/>
      <c r="K36" s="3505">
        <f>+'KOM opsi 1'!J219</f>
        <v>85406400000</v>
      </c>
      <c r="L36" s="3505">
        <f>+'KOM opsi 1'!K219</f>
        <v>0</v>
      </c>
      <c r="M36" s="3505">
        <f>+'KOM opsi 1'!L219</f>
        <v>16000000000</v>
      </c>
      <c r="N36" s="3505">
        <f>+'KOM opsi 1'!O219</f>
        <v>0</v>
      </c>
      <c r="O36" s="3505">
        <f>'KOM sementara'!P222</f>
        <v>16000000000</v>
      </c>
      <c r="P36" s="3505">
        <f t="shared" si="6"/>
        <v>0</v>
      </c>
      <c r="Q36" s="3692">
        <f t="shared" si="1"/>
        <v>0</v>
      </c>
      <c r="R36" s="3353"/>
      <c r="S36" s="436">
        <f t="shared" si="3"/>
        <v>0</v>
      </c>
      <c r="T36" s="436">
        <f t="shared" si="4"/>
        <v>0</v>
      </c>
    </row>
    <row r="37" spans="1:20">
      <c r="A37" s="3342"/>
      <c r="B37" s="3343"/>
      <c r="C37" s="3343"/>
      <c r="D37" s="3343"/>
      <c r="E37" s="3343"/>
      <c r="F37" s="3343"/>
      <c r="G37" s="3352">
        <v>5</v>
      </c>
      <c r="H37" s="199" t="s">
        <v>200</v>
      </c>
      <c r="I37" s="200"/>
      <c r="J37" s="217"/>
      <c r="K37" s="3505" t="str">
        <f>+'KOM opsi 1'!J220</f>
        <v>-</v>
      </c>
      <c r="L37" s="3505">
        <f>+'KOM opsi 1'!K220</f>
        <v>0</v>
      </c>
      <c r="M37" s="3505">
        <f>+'KOM opsi 1'!L220</f>
        <v>0</v>
      </c>
      <c r="N37" s="3505">
        <f>+'KOM opsi 1'!O220</f>
        <v>0</v>
      </c>
      <c r="O37" s="3505">
        <f>'KOM opsi 2'!P219</f>
        <v>0</v>
      </c>
      <c r="P37" s="3505">
        <f t="shared" si="6"/>
        <v>0</v>
      </c>
      <c r="Q37" s="3692"/>
      <c r="R37" s="3353"/>
      <c r="S37" s="436">
        <f t="shared" si="3"/>
        <v>0</v>
      </c>
      <c r="T37" s="436">
        <f t="shared" si="4"/>
        <v>0</v>
      </c>
    </row>
    <row r="38" spans="1:20">
      <c r="A38" s="3342"/>
      <c r="B38" s="3343"/>
      <c r="C38" s="3343"/>
      <c r="D38" s="3343"/>
      <c r="E38" s="3343"/>
      <c r="F38" s="3343"/>
      <c r="G38" s="3352">
        <v>6</v>
      </c>
      <c r="H38" s="199" t="s">
        <v>1093</v>
      </c>
      <c r="I38" s="200"/>
      <c r="J38" s="217"/>
      <c r="K38" s="3505">
        <f>+'KOM opsi 1'!J221</f>
        <v>136702012</v>
      </c>
      <c r="L38" s="3505">
        <f>+'KOM opsi 1'!K221</f>
        <v>136702012</v>
      </c>
      <c r="M38" s="3505">
        <f>+'KOM opsi 1'!L221</f>
        <v>136702012</v>
      </c>
      <c r="N38" s="3505">
        <f>+'KOM opsi 1'!O221</f>
        <v>0</v>
      </c>
      <c r="O38" s="3505">
        <f>'KOM sementara'!P224</f>
        <v>437998804</v>
      </c>
      <c r="P38" s="3505">
        <f t="shared" si="6"/>
        <v>301296792</v>
      </c>
      <c r="Q38" s="3692">
        <f t="shared" si="1"/>
        <v>220.40406545003884</v>
      </c>
      <c r="R38" s="3353"/>
      <c r="S38" s="436">
        <f t="shared" si="3"/>
        <v>301296792</v>
      </c>
      <c r="T38" s="436">
        <f t="shared" si="4"/>
        <v>0</v>
      </c>
    </row>
    <row r="39" spans="1:20">
      <c r="A39" s="3342"/>
      <c r="B39" s="3343"/>
      <c r="C39" s="3343"/>
      <c r="D39" s="3343"/>
      <c r="E39" s="3343"/>
      <c r="F39" s="3343"/>
      <c r="G39" s="3352">
        <v>7</v>
      </c>
      <c r="H39" s="199" t="s">
        <v>770</v>
      </c>
      <c r="I39" s="200"/>
      <c r="J39" s="217"/>
      <c r="K39" s="3505">
        <f>+'KOM opsi 1'!J222</f>
        <v>88761211</v>
      </c>
      <c r="L39" s="3505">
        <f>+'KOM opsi 1'!K222</f>
        <v>100634661</v>
      </c>
      <c r="M39" s="3505">
        <f>+'KOM opsi 1'!L222</f>
        <v>88761211</v>
      </c>
      <c r="N39" s="3505">
        <f>+'KOM opsi 1'!O222</f>
        <v>0</v>
      </c>
      <c r="O39" s="3505">
        <f>'KOM sementara'!P225</f>
        <v>100634661</v>
      </c>
      <c r="P39" s="3505">
        <f t="shared" si="6"/>
        <v>11873450</v>
      </c>
      <c r="Q39" s="3692">
        <f t="shared" si="1"/>
        <v>13.376845433079993</v>
      </c>
      <c r="R39" s="3353"/>
      <c r="S39" s="436">
        <f t="shared" si="3"/>
        <v>11873450</v>
      </c>
      <c r="T39" s="436">
        <f t="shared" si="4"/>
        <v>0</v>
      </c>
    </row>
    <row r="40" spans="1:20" s="190" customFormat="1">
      <c r="A40" s="3342"/>
      <c r="B40" s="3343">
        <v>4</v>
      </c>
      <c r="C40" s="3343">
        <v>1</v>
      </c>
      <c r="D40" s="3343">
        <v>3</v>
      </c>
      <c r="E40" s="3345" t="s">
        <v>438</v>
      </c>
      <c r="F40" s="3343"/>
      <c r="G40" s="3344"/>
      <c r="H40" s="1856" t="s">
        <v>203</v>
      </c>
      <c r="I40" s="202"/>
      <c r="J40" s="218"/>
      <c r="K40" s="3506">
        <v>0</v>
      </c>
      <c r="L40" s="3506">
        <v>0</v>
      </c>
      <c r="M40" s="3506">
        <f>+'KOM opsi 1'!L224</f>
        <v>2000000000</v>
      </c>
      <c r="N40" s="3506">
        <f>+'KOM opsi 1'!O224</f>
        <v>0</v>
      </c>
      <c r="O40" s="3506">
        <f>'KOM sementara'!P226</f>
        <v>2000000000</v>
      </c>
      <c r="P40" s="3506">
        <f t="shared" si="6"/>
        <v>0</v>
      </c>
      <c r="Q40" s="3692">
        <f t="shared" si="1"/>
        <v>0</v>
      </c>
      <c r="R40" s="3354"/>
      <c r="S40" s="3389">
        <f t="shared" si="3"/>
        <v>0</v>
      </c>
      <c r="T40" s="3389">
        <f t="shared" si="4"/>
        <v>0</v>
      </c>
    </row>
    <row r="41" spans="1:20" ht="7.55" customHeight="1">
      <c r="A41" s="3533"/>
      <c r="B41" s="3534"/>
      <c r="C41" s="3534"/>
      <c r="D41" s="3534"/>
      <c r="E41" s="3534"/>
      <c r="F41" s="3534"/>
      <c r="G41" s="3535"/>
      <c r="H41" s="3536"/>
      <c r="I41" s="3537"/>
      <c r="J41" s="3538"/>
      <c r="K41" s="3539"/>
      <c r="L41" s="3539"/>
      <c r="M41" s="3539"/>
      <c r="N41" s="3539"/>
      <c r="O41" s="3539"/>
      <c r="P41" s="3539"/>
      <c r="Q41" s="3540"/>
      <c r="R41" s="3541"/>
      <c r="S41" s="436">
        <f t="shared" si="3"/>
        <v>0</v>
      </c>
      <c r="T41" s="436">
        <f t="shared" si="4"/>
        <v>0</v>
      </c>
    </row>
    <row r="42" spans="1:20" s="3493" customFormat="1" ht="16.45" customHeight="1">
      <c r="A42" s="3526" t="s">
        <v>100</v>
      </c>
      <c r="B42" s="3527">
        <v>4</v>
      </c>
      <c r="C42" s="3527">
        <v>1</v>
      </c>
      <c r="D42" s="3527">
        <v>4</v>
      </c>
      <c r="E42" s="3527"/>
      <c r="F42" s="3527"/>
      <c r="G42" s="3528" t="s">
        <v>1082</v>
      </c>
      <c r="H42" s="3529" t="s">
        <v>71</v>
      </c>
      <c r="I42" s="3530"/>
      <c r="J42" s="3531"/>
      <c r="K42" s="3521">
        <f>SUM(K43:K54)</f>
        <v>216756519834</v>
      </c>
      <c r="L42" s="3521">
        <f>SUM(L43:L54)</f>
        <v>235912128831.42999</v>
      </c>
      <c r="M42" s="3521">
        <f>SUM(M43:M54)</f>
        <v>268454484234</v>
      </c>
      <c r="N42" s="3521">
        <f>SUM(N43:N54)</f>
        <v>50008306060.729996</v>
      </c>
      <c r="O42" s="3521">
        <f>SUM(O43:O54)</f>
        <v>290112069425</v>
      </c>
      <c r="P42" s="3521">
        <f>O42-M42</f>
        <v>21657585191</v>
      </c>
      <c r="Q42" s="3490">
        <f t="shared" si="1"/>
        <v>8.0675073291463661</v>
      </c>
      <c r="R42" s="3532"/>
      <c r="S42" s="436">
        <f t="shared" si="3"/>
        <v>21657585191</v>
      </c>
      <c r="T42" s="3492">
        <f t="shared" si="4"/>
        <v>0</v>
      </c>
    </row>
    <row r="43" spans="1:20">
      <c r="A43" s="3355"/>
      <c r="B43" s="3356">
        <v>4</v>
      </c>
      <c r="C43" s="3356">
        <v>1</v>
      </c>
      <c r="D43" s="3356">
        <v>4</v>
      </c>
      <c r="E43" s="3356" t="s">
        <v>437</v>
      </c>
      <c r="F43" s="3356"/>
      <c r="G43" s="3356"/>
      <c r="H43" s="224" t="s">
        <v>1094</v>
      </c>
      <c r="I43" s="224"/>
      <c r="J43" s="3088"/>
      <c r="K43" s="3509">
        <f>+'KOM opsi 1'!J227</f>
        <v>250000000</v>
      </c>
      <c r="L43" s="3509">
        <f>+'KOM opsi 1'!K227</f>
        <v>25364000</v>
      </c>
      <c r="M43" s="3509">
        <f>+'KOM opsi 1'!L227</f>
        <v>250000000</v>
      </c>
      <c r="N43" s="3509">
        <f>+'KOM opsi 1'!O227</f>
        <v>0</v>
      </c>
      <c r="O43" s="3509">
        <f>'KOM sementara'!P230</f>
        <v>250000000</v>
      </c>
      <c r="P43" s="3505">
        <f t="shared" ref="P43:P54" si="7">O43-M43</f>
        <v>0</v>
      </c>
      <c r="Q43" s="3693">
        <f t="shared" si="1"/>
        <v>0</v>
      </c>
      <c r="R43" s="3357"/>
      <c r="S43" s="436">
        <f t="shared" si="3"/>
        <v>0</v>
      </c>
      <c r="T43" s="436">
        <f t="shared" si="4"/>
        <v>0</v>
      </c>
    </row>
    <row r="44" spans="1:20">
      <c r="A44" s="3358"/>
      <c r="B44" s="3359">
        <v>4</v>
      </c>
      <c r="C44" s="3359">
        <v>1</v>
      </c>
      <c r="D44" s="3359">
        <v>4</v>
      </c>
      <c r="E44" s="3359" t="s">
        <v>438</v>
      </c>
      <c r="F44" s="3359"/>
      <c r="G44" s="3359"/>
      <c r="H44" s="200" t="s">
        <v>212</v>
      </c>
      <c r="I44" s="200"/>
      <c r="J44" s="217"/>
      <c r="K44" s="3505">
        <f>+'KOM opsi 1'!J234</f>
        <v>4500000000</v>
      </c>
      <c r="L44" s="3505">
        <f>+'KOM opsi 1'!K234</f>
        <v>12549664258.33</v>
      </c>
      <c r="M44" s="3505">
        <f>+'KOM opsi 1'!L234</f>
        <v>4500000000</v>
      </c>
      <c r="N44" s="3505">
        <f>+'KOM opsi 1'!O234</f>
        <v>3095128647</v>
      </c>
      <c r="O44" s="3505">
        <f>'KOM sementara'!P237</f>
        <v>7037000000</v>
      </c>
      <c r="P44" s="3505">
        <f t="shared" si="7"/>
        <v>2537000000</v>
      </c>
      <c r="Q44" s="3691">
        <f t="shared" si="1"/>
        <v>56.377777777777766</v>
      </c>
      <c r="R44" s="3353"/>
      <c r="S44" s="436">
        <f t="shared" si="3"/>
        <v>2537000000</v>
      </c>
      <c r="T44" s="436">
        <f t="shared" si="4"/>
        <v>0</v>
      </c>
    </row>
    <row r="45" spans="1:20">
      <c r="A45" s="3358"/>
      <c r="B45" s="3359">
        <v>4</v>
      </c>
      <c r="C45" s="3359">
        <v>1</v>
      </c>
      <c r="D45" s="3359">
        <v>4</v>
      </c>
      <c r="E45" s="3359" t="s">
        <v>440</v>
      </c>
      <c r="F45" s="3359"/>
      <c r="G45" s="3359"/>
      <c r="H45" s="200" t="s">
        <v>1095</v>
      </c>
      <c r="I45" s="200"/>
      <c r="J45" s="217"/>
      <c r="K45" s="3505">
        <f>+'KOM opsi 1'!J240</f>
        <v>6875000000</v>
      </c>
      <c r="L45" s="3505">
        <f>+'KOM opsi 1'!K240</f>
        <v>9375000000</v>
      </c>
      <c r="M45" s="3505">
        <f>+'KOM opsi 1'!L240</f>
        <v>6875000000</v>
      </c>
      <c r="N45" s="3505">
        <f>+'KOM opsi 1'!O240</f>
        <v>875000000</v>
      </c>
      <c r="O45" s="3505">
        <f>'KOM sementara'!P243</f>
        <v>7000000000</v>
      </c>
      <c r="P45" s="3505">
        <f t="shared" si="7"/>
        <v>125000000</v>
      </c>
      <c r="Q45" s="3691">
        <f t="shared" si="1"/>
        <v>1.818181818181813</v>
      </c>
      <c r="R45" s="3353"/>
      <c r="S45" s="436">
        <f t="shared" si="3"/>
        <v>125000000</v>
      </c>
      <c r="T45" s="436">
        <f t="shared" si="4"/>
        <v>0</v>
      </c>
    </row>
    <row r="46" spans="1:20">
      <c r="A46" s="3358"/>
      <c r="B46" s="3359">
        <v>4</v>
      </c>
      <c r="C46" s="3359">
        <v>1</v>
      </c>
      <c r="D46" s="3359">
        <v>4</v>
      </c>
      <c r="E46" s="3359" t="s">
        <v>445</v>
      </c>
      <c r="F46" s="3359"/>
      <c r="G46" s="3359"/>
      <c r="H46" s="200" t="s">
        <v>1096</v>
      </c>
      <c r="I46" s="200"/>
      <c r="J46" s="217"/>
      <c r="K46" s="3505">
        <f>+'KOM opsi 1'!J243</f>
        <v>1205211975</v>
      </c>
      <c r="L46" s="3505">
        <f>+'KOM opsi 1'!K243</f>
        <v>354139064.23000002</v>
      </c>
      <c r="M46" s="3505">
        <f>+'KOM opsi 1'!L243</f>
        <v>1205211975</v>
      </c>
      <c r="N46" s="3505">
        <f>+'KOM opsi 1'!O243</f>
        <v>200000</v>
      </c>
      <c r="O46" s="3505">
        <f>'KOM sementara'!P246</f>
        <v>1205211975</v>
      </c>
      <c r="P46" s="3505">
        <f t="shared" si="7"/>
        <v>0</v>
      </c>
      <c r="Q46" s="3691">
        <f t="shared" si="1"/>
        <v>0</v>
      </c>
      <c r="R46" s="3353"/>
      <c r="S46" s="436">
        <f t="shared" si="3"/>
        <v>0</v>
      </c>
      <c r="T46" s="436">
        <f t="shared" si="4"/>
        <v>0</v>
      </c>
    </row>
    <row r="47" spans="1:20">
      <c r="A47" s="3358"/>
      <c r="B47" s="3359">
        <v>4</v>
      </c>
      <c r="C47" s="3359">
        <v>1</v>
      </c>
      <c r="D47" s="3359">
        <v>4</v>
      </c>
      <c r="E47" s="3359" t="s">
        <v>441</v>
      </c>
      <c r="F47" s="3359"/>
      <c r="G47" s="3359"/>
      <c r="H47" s="200" t="s">
        <v>1097</v>
      </c>
      <c r="I47" s="200"/>
      <c r="J47" s="218"/>
      <c r="K47" s="3505">
        <f>+'KOM opsi 1'!J247</f>
        <v>0</v>
      </c>
      <c r="L47" s="3505">
        <f>+'KOM opsi 1'!K247</f>
        <v>810940665.47000003</v>
      </c>
      <c r="M47" s="3505">
        <f>+'KOM opsi 1'!L247</f>
        <v>0</v>
      </c>
      <c r="N47" s="3505">
        <f>+'KOM opsi 1'!O247</f>
        <v>82408456.790000007</v>
      </c>
      <c r="O47" s="3505">
        <f>'KOM sementara'!P250</f>
        <v>82408000</v>
      </c>
      <c r="P47" s="3505">
        <f t="shared" si="7"/>
        <v>82408000</v>
      </c>
      <c r="Q47" s="3691"/>
      <c r="R47" s="3353"/>
      <c r="S47" s="436">
        <f t="shared" si="3"/>
        <v>82408000</v>
      </c>
      <c r="T47" s="436">
        <f t="shared" si="4"/>
        <v>0</v>
      </c>
    </row>
    <row r="48" spans="1:20">
      <c r="A48" s="3358"/>
      <c r="B48" s="3359">
        <v>4</v>
      </c>
      <c r="C48" s="3359">
        <v>1</v>
      </c>
      <c r="D48" s="3359">
        <v>4</v>
      </c>
      <c r="E48" s="3359" t="s">
        <v>456</v>
      </c>
      <c r="F48" s="3359"/>
      <c r="G48" s="3359"/>
      <c r="H48" s="200" t="s">
        <v>1098</v>
      </c>
      <c r="I48" s="200"/>
      <c r="J48" s="218"/>
      <c r="K48" s="3505">
        <f>+'KOM opsi 1'!J265</f>
        <v>18548560000</v>
      </c>
      <c r="L48" s="3505">
        <f>+'KOM opsi 1'!K265</f>
        <v>19634060483</v>
      </c>
      <c r="M48" s="3505">
        <f>+'KOM opsi 1'!L265</f>
        <v>18548560000</v>
      </c>
      <c r="N48" s="3505">
        <f>+'KOM opsi 1'!O265</f>
        <v>5482717061</v>
      </c>
      <c r="O48" s="3505">
        <f>'KOM sementara'!P268</f>
        <v>18798560000</v>
      </c>
      <c r="P48" s="3505">
        <f t="shared" si="7"/>
        <v>250000000</v>
      </c>
      <c r="Q48" s="3691">
        <f t="shared" si="1"/>
        <v>1.3478135229904638</v>
      </c>
      <c r="R48" s="3353"/>
      <c r="S48" s="436">
        <f t="shared" si="3"/>
        <v>250000000</v>
      </c>
      <c r="T48" s="436">
        <f t="shared" si="4"/>
        <v>0</v>
      </c>
    </row>
    <row r="49" spans="1:38">
      <c r="A49" s="3358"/>
      <c r="B49" s="3359">
        <v>4</v>
      </c>
      <c r="C49" s="3359">
        <v>1</v>
      </c>
      <c r="D49" s="3359">
        <v>4</v>
      </c>
      <c r="E49" s="3359" t="s">
        <v>448</v>
      </c>
      <c r="F49" s="3359"/>
      <c r="G49" s="3359"/>
      <c r="H49" s="200" t="s">
        <v>1070</v>
      </c>
      <c r="I49" s="200"/>
      <c r="J49" s="218"/>
      <c r="K49" s="3505">
        <f>+'KOM opsi 1'!J288</f>
        <v>235536159</v>
      </c>
      <c r="L49" s="3505">
        <f>+'KOM opsi 1'!K288</f>
        <v>12930312</v>
      </c>
      <c r="M49" s="3505">
        <f>+'KOM opsi 1'!L288</f>
        <v>235536159</v>
      </c>
      <c r="N49" s="3505">
        <f>+'KOM opsi 1'!O288</f>
        <v>1253496</v>
      </c>
      <c r="O49" s="3505">
        <f>'KOM sementara'!P291</f>
        <v>31000000</v>
      </c>
      <c r="P49" s="3505">
        <f t="shared" si="7"/>
        <v>-204536159</v>
      </c>
      <c r="Q49" s="3691">
        <f t="shared" si="1"/>
        <v>-86.838538875892937</v>
      </c>
      <c r="R49" s="3353"/>
      <c r="S49" s="436">
        <f t="shared" si="3"/>
        <v>-204536159</v>
      </c>
      <c r="T49" s="436">
        <f t="shared" si="4"/>
        <v>0</v>
      </c>
    </row>
    <row r="50" spans="1:38">
      <c r="A50" s="4506"/>
      <c r="B50" s="4507">
        <v>4</v>
      </c>
      <c r="C50" s="4507">
        <v>1</v>
      </c>
      <c r="D50" s="4507">
        <v>4</v>
      </c>
      <c r="E50" s="4507">
        <v>10</v>
      </c>
      <c r="F50" s="4507"/>
      <c r="G50" s="4507"/>
      <c r="H50" s="200" t="str">
        <f>'KOM sementara'!F299</f>
        <v>Pendapatan dari pengembalian</v>
      </c>
      <c r="I50" s="200"/>
      <c r="J50" s="4508"/>
      <c r="K50" s="4509"/>
      <c r="L50" s="4509"/>
      <c r="M50" s="4509">
        <f>'KOM sementara'!L299</f>
        <v>73939763650</v>
      </c>
      <c r="N50" s="4509"/>
      <c r="O50" s="4509">
        <f>'KOM sementara'!P299</f>
        <v>73954763650</v>
      </c>
      <c r="P50" s="3505">
        <f t="shared" si="7"/>
        <v>15000000</v>
      </c>
      <c r="Q50" s="3691">
        <f t="shared" si="1"/>
        <v>2.0286783808231235E-2</v>
      </c>
      <c r="R50" s="4510"/>
      <c r="S50" s="436"/>
      <c r="T50" s="436"/>
    </row>
    <row r="51" spans="1:38">
      <c r="A51" s="3358"/>
      <c r="B51" s="3359">
        <v>4</v>
      </c>
      <c r="C51" s="3359">
        <v>1</v>
      </c>
      <c r="D51" s="3359">
        <v>4</v>
      </c>
      <c r="E51" s="3359">
        <v>12</v>
      </c>
      <c r="F51" s="3359"/>
      <c r="G51" s="3359"/>
      <c r="H51" s="200" t="str">
        <f>'KOM sementara'!F366</f>
        <v>Pendapatan dari penyelenggaraan pendidikan</v>
      </c>
      <c r="I51" s="200"/>
      <c r="J51" s="218"/>
      <c r="K51" s="3505">
        <f>'KOM opsi 1'!L293</f>
        <v>0</v>
      </c>
      <c r="L51" s="3505">
        <f>'KOM opsi 1'!M293</f>
        <v>0</v>
      </c>
      <c r="M51" s="3505">
        <f>'KOM sementara'!L366</f>
        <v>4392225000</v>
      </c>
      <c r="N51" s="3505">
        <f>'KOM opsi 1'!P293</f>
        <v>0</v>
      </c>
      <c r="O51" s="3505">
        <f>'KOM sementara'!P366</f>
        <v>4392225000</v>
      </c>
      <c r="P51" s="3505">
        <f t="shared" si="7"/>
        <v>0</v>
      </c>
      <c r="Q51" s="3691"/>
      <c r="R51" s="3353"/>
      <c r="S51" s="436">
        <f t="shared" si="3"/>
        <v>0</v>
      </c>
      <c r="T51" s="436">
        <f t="shared" si="4"/>
        <v>0</v>
      </c>
    </row>
    <row r="52" spans="1:38" s="191" customFormat="1">
      <c r="A52" s="3358"/>
      <c r="B52" s="3359">
        <v>4</v>
      </c>
      <c r="C52" s="3359">
        <v>1</v>
      </c>
      <c r="D52" s="3359">
        <v>4</v>
      </c>
      <c r="E52" s="3359">
        <v>13</v>
      </c>
      <c r="F52" s="3359"/>
      <c r="G52" s="3359"/>
      <c r="H52" s="200" t="str">
        <f>'KOM sementara'!F373</f>
        <v>Pendapatan dari Angsuran/Cicilan Penjualan</v>
      </c>
      <c r="I52" s="200"/>
      <c r="J52" s="218"/>
      <c r="K52" s="3505">
        <f>+'KOM opsi 1'!J296</f>
        <v>68944925050</v>
      </c>
      <c r="L52" s="3505">
        <f>+'KOM opsi 1'!K296</f>
        <v>62912738507.940002</v>
      </c>
      <c r="M52" s="3505">
        <f>'KOM sementara'!L373</f>
        <v>60900800</v>
      </c>
      <c r="N52" s="3505">
        <f>+'KOM opsi 1'!O296</f>
        <v>50207140</v>
      </c>
      <c r="O52" s="3505">
        <f>'KOM sementara'!P373</f>
        <v>60900800</v>
      </c>
      <c r="P52" s="3505">
        <f t="shared" si="7"/>
        <v>0</v>
      </c>
      <c r="Q52" s="3691">
        <f t="shared" si="1"/>
        <v>0</v>
      </c>
      <c r="R52" s="3360"/>
      <c r="S52" s="436">
        <f t="shared" si="3"/>
        <v>0</v>
      </c>
      <c r="T52" s="436">
        <f t="shared" si="4"/>
        <v>0</v>
      </c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</row>
    <row r="53" spans="1:38" ht="14.25" customHeight="1">
      <c r="A53" s="4004"/>
      <c r="B53" s="3359">
        <v>4</v>
      </c>
      <c r="C53" s="3359">
        <v>1</v>
      </c>
      <c r="D53" s="3359">
        <v>4</v>
      </c>
      <c r="E53" s="3359">
        <v>15</v>
      </c>
      <c r="F53" s="3359"/>
      <c r="G53" s="3361" t="s">
        <v>437</v>
      </c>
      <c r="H53" s="200" t="s">
        <v>1100</v>
      </c>
      <c r="I53" s="200"/>
      <c r="J53" s="217"/>
      <c r="K53" s="3505">
        <f>+'KOM opsi 1'!J387</f>
        <v>0</v>
      </c>
      <c r="L53" s="3505">
        <f>+'KOM opsi 1'!K387</f>
        <v>0</v>
      </c>
      <c r="M53" s="3505">
        <f>+'KOM opsi 1'!L387</f>
        <v>0</v>
      </c>
      <c r="N53" s="3505">
        <f>+'KOM opsi 1'!O387</f>
        <v>3135000</v>
      </c>
      <c r="O53" s="3505">
        <f>+'KOM opsi 1'!P387</f>
        <v>0</v>
      </c>
      <c r="P53" s="3505">
        <f t="shared" si="7"/>
        <v>0</v>
      </c>
      <c r="Q53" s="4003"/>
      <c r="R53" s="3353"/>
      <c r="S53" s="436">
        <f t="shared" si="3"/>
        <v>0</v>
      </c>
      <c r="T53" s="436">
        <f t="shared" si="4"/>
        <v>0</v>
      </c>
    </row>
    <row r="54" spans="1:38" ht="18.8" customHeight="1">
      <c r="A54" s="3362"/>
      <c r="B54" s="3363">
        <v>4</v>
      </c>
      <c r="C54" s="3363">
        <v>1</v>
      </c>
      <c r="D54" s="3363">
        <v>4</v>
      </c>
      <c r="E54" s="3363">
        <v>16</v>
      </c>
      <c r="F54" s="3363"/>
      <c r="G54" s="3364" t="s">
        <v>437</v>
      </c>
      <c r="H54" s="203" t="s">
        <v>89</v>
      </c>
      <c r="I54" s="203"/>
      <c r="J54" s="219"/>
      <c r="K54" s="3510">
        <f>+'KOM opsi 1'!J373</f>
        <v>116197286650</v>
      </c>
      <c r="L54" s="3510">
        <f>+'KOM opsi 1'!K373</f>
        <v>130237291540.46001</v>
      </c>
      <c r="M54" s="3510">
        <f>+'KOM opsi 1'!L373</f>
        <v>158447286650</v>
      </c>
      <c r="N54" s="3510">
        <f>+'KOM opsi 1'!O373</f>
        <v>40418256259.939995</v>
      </c>
      <c r="O54" s="3510">
        <f>'KOM sementara'!P380</f>
        <v>177300000000</v>
      </c>
      <c r="P54" s="3505">
        <f t="shared" si="7"/>
        <v>18852713350</v>
      </c>
      <c r="Q54" s="3691">
        <f t="shared" si="1"/>
        <v>11.89841350306267</v>
      </c>
      <c r="R54" s="3365"/>
      <c r="S54" s="436">
        <f t="shared" si="3"/>
        <v>18852713350</v>
      </c>
      <c r="T54" s="436">
        <f>SUM(P43:P54)</f>
        <v>21657585191</v>
      </c>
    </row>
    <row r="55" spans="1:38" s="3416" customFormat="1" ht="16.45" customHeight="1">
      <c r="A55" s="3409" t="s">
        <v>78</v>
      </c>
      <c r="B55" s="3410" t="s">
        <v>443</v>
      </c>
      <c r="C55" s="3410" t="s">
        <v>460</v>
      </c>
      <c r="D55" s="3410"/>
      <c r="E55" s="3410"/>
      <c r="F55" s="3411"/>
      <c r="G55" s="3412"/>
      <c r="H55" s="3413" t="s">
        <v>236</v>
      </c>
      <c r="I55" s="3414"/>
      <c r="J55" s="3414"/>
      <c r="K55" s="3511">
        <f>K56+K59+K60</f>
        <v>2333604004580</v>
      </c>
      <c r="L55" s="3511">
        <f>L56+L59+L60</f>
        <v>2587184362905</v>
      </c>
      <c r="M55" s="3511">
        <f>M56+M59+M60</f>
        <v>3222521202310</v>
      </c>
      <c r="N55" s="3511">
        <f>N56+N59+N60</f>
        <v>829709441911</v>
      </c>
      <c r="O55" s="3511">
        <f>O56+O59+O60</f>
        <v>3116570908600</v>
      </c>
      <c r="P55" s="4005">
        <f t="shared" ref="P55:P61" si="8">O55-M55</f>
        <v>-105950293710</v>
      </c>
      <c r="Q55" s="3406">
        <f t="shared" si="1"/>
        <v>-3.2878074978700482</v>
      </c>
      <c r="R55" s="3415"/>
      <c r="S55" s="436">
        <f t="shared" si="3"/>
        <v>-105950293710</v>
      </c>
      <c r="T55" s="3407">
        <f t="shared" si="4"/>
        <v>0</v>
      </c>
    </row>
    <row r="56" spans="1:38">
      <c r="A56" s="3368"/>
      <c r="B56" s="3369">
        <v>4</v>
      </c>
      <c r="C56" s="3369">
        <v>2</v>
      </c>
      <c r="D56" s="3369">
        <v>1</v>
      </c>
      <c r="E56" s="3369"/>
      <c r="F56" s="3369"/>
      <c r="G56" s="3370"/>
      <c r="H56" s="204" t="s">
        <v>1102</v>
      </c>
      <c r="I56" s="204"/>
      <c r="J56" s="220"/>
      <c r="K56" s="3512">
        <f>SUM(K57:K58)</f>
        <v>247954406000</v>
      </c>
      <c r="L56" s="3512">
        <f>SUM(L57:L58)</f>
        <v>375036424549</v>
      </c>
      <c r="M56" s="3512">
        <f>SUM(M57:M58)</f>
        <v>353125684600</v>
      </c>
      <c r="N56" s="3512">
        <f>SUM(N57:N58)</f>
        <v>120779891911</v>
      </c>
      <c r="O56" s="3512">
        <f>SUM(O57:O58)</f>
        <v>328125684600</v>
      </c>
      <c r="P56" s="3862">
        <f t="shared" si="8"/>
        <v>-25000000000</v>
      </c>
      <c r="Q56" s="3693">
        <f t="shared" si="1"/>
        <v>-7.0796322924849022</v>
      </c>
      <c r="R56" s="3371"/>
      <c r="S56" s="436">
        <f t="shared" si="3"/>
        <v>-25000000000</v>
      </c>
      <c r="T56" s="436">
        <f t="shared" si="4"/>
        <v>0</v>
      </c>
    </row>
    <row r="57" spans="1:38">
      <c r="A57" s="3372"/>
      <c r="B57" s="3373"/>
      <c r="C57" s="3373"/>
      <c r="D57" s="3373"/>
      <c r="E57" s="3373"/>
      <c r="F57" s="3373"/>
      <c r="G57" s="3374"/>
      <c r="H57" s="2740" t="s">
        <v>50</v>
      </c>
      <c r="I57" s="205" t="s">
        <v>1103</v>
      </c>
      <c r="J57" s="221"/>
      <c r="K57" s="3513">
        <f>+'KOM opsi 1'!J399</f>
        <v>165277884000</v>
      </c>
      <c r="L57" s="3513">
        <f>+'KOM opsi 1'!K399</f>
        <v>165676022293</v>
      </c>
      <c r="M57" s="3513">
        <f>+'KOM opsi 1'!L399</f>
        <v>185190481600</v>
      </c>
      <c r="N57" s="3513">
        <f>+'KOM opsi 1'!O399</f>
        <v>58788864800</v>
      </c>
      <c r="O57" s="3513">
        <f>'KOM sementara'!P407</f>
        <v>176690481600</v>
      </c>
      <c r="P57" s="3862">
        <f t="shared" si="8"/>
        <v>-8500000000</v>
      </c>
      <c r="Q57" s="3691">
        <f t="shared" si="1"/>
        <v>-4.5898687268168885</v>
      </c>
      <c r="R57" s="3375"/>
      <c r="S57" s="436">
        <f t="shared" si="3"/>
        <v>-8500000000</v>
      </c>
      <c r="T57" s="436">
        <f t="shared" si="4"/>
        <v>0</v>
      </c>
    </row>
    <row r="58" spans="1:38">
      <c r="A58" s="3372"/>
      <c r="B58" s="3373"/>
      <c r="C58" s="3373"/>
      <c r="D58" s="3373"/>
      <c r="E58" s="3373"/>
      <c r="F58" s="3373"/>
      <c r="G58" s="3374"/>
      <c r="H58" s="2740" t="s">
        <v>50</v>
      </c>
      <c r="I58" s="205" t="s">
        <v>1104</v>
      </c>
      <c r="J58" s="221"/>
      <c r="K58" s="3514">
        <f>+'KOM opsi 1'!J405</f>
        <v>82676522000</v>
      </c>
      <c r="L58" s="3514">
        <f>+'KOM opsi 1'!K405</f>
        <v>209360402256</v>
      </c>
      <c r="M58" s="3514">
        <f>+'KOM opsi 1'!L405</f>
        <v>167935203000</v>
      </c>
      <c r="N58" s="3514">
        <f>+'KOM opsi 1'!O405</f>
        <v>61991027111</v>
      </c>
      <c r="O58" s="3514">
        <f>'KOM sementara'!P415</f>
        <v>151435203000</v>
      </c>
      <c r="P58" s="3862">
        <f t="shared" si="8"/>
        <v>-16500000000</v>
      </c>
      <c r="Q58" s="3691">
        <f t="shared" si="1"/>
        <v>-9.8252181229685362</v>
      </c>
      <c r="R58" s="3375"/>
      <c r="S58" s="436">
        <f t="shared" si="3"/>
        <v>-16500000000</v>
      </c>
      <c r="T58" s="436">
        <f t="shared" si="4"/>
        <v>0</v>
      </c>
    </row>
    <row r="59" spans="1:38">
      <c r="A59" s="3376"/>
      <c r="B59" s="3377">
        <v>4</v>
      </c>
      <c r="C59" s="3377">
        <v>2</v>
      </c>
      <c r="D59" s="3377">
        <v>2</v>
      </c>
      <c r="E59" s="3377"/>
      <c r="F59" s="3377"/>
      <c r="G59" s="3378"/>
      <c r="H59" s="206" t="s">
        <v>1105</v>
      </c>
      <c r="I59" s="206"/>
      <c r="J59" s="222"/>
      <c r="K59" s="3515">
        <f>+'KOM opsi 1'!J410</f>
        <v>955792513580</v>
      </c>
      <c r="L59" s="3515">
        <f>+'KOM opsi 1'!K410</f>
        <v>1117691709000</v>
      </c>
      <c r="M59" s="3515">
        <f>+'KOM opsi 1'!L410</f>
        <v>1496972549710</v>
      </c>
      <c r="N59" s="3515">
        <f>+'KOM opsi 1'!O410</f>
        <v>472007632000</v>
      </c>
      <c r="O59" s="3515">
        <f>'KOM sementara'!P420</f>
        <v>1416022952000</v>
      </c>
      <c r="P59" s="3862">
        <f t="shared" si="8"/>
        <v>-80949597710</v>
      </c>
      <c r="Q59" s="3691">
        <f t="shared" si="1"/>
        <v>-5.4075539144443212</v>
      </c>
      <c r="R59" s="3379"/>
      <c r="S59" s="436">
        <f t="shared" si="3"/>
        <v>-80949597710</v>
      </c>
      <c r="T59" s="436">
        <f t="shared" si="4"/>
        <v>0</v>
      </c>
    </row>
    <row r="60" spans="1:38">
      <c r="A60" s="3376"/>
      <c r="B60" s="3377">
        <v>4</v>
      </c>
      <c r="C60" s="3377">
        <v>2</v>
      </c>
      <c r="D60" s="3377">
        <v>3</v>
      </c>
      <c r="E60" s="3377"/>
      <c r="F60" s="3377"/>
      <c r="G60" s="3378"/>
      <c r="H60" s="206" t="s">
        <v>256</v>
      </c>
      <c r="I60" s="206"/>
      <c r="J60" s="222"/>
      <c r="K60" s="3515">
        <f>+'KOM opsi 1'!J415</f>
        <v>1129857085000</v>
      </c>
      <c r="L60" s="3515">
        <f>+'KOM opsi 1'!K415</f>
        <v>1094456229356</v>
      </c>
      <c r="M60" s="3515">
        <f>+'KOM opsi 1'!L415</f>
        <v>1372422968000</v>
      </c>
      <c r="N60" s="3515">
        <f>+'KOM opsi 1'!O415</f>
        <v>236921918000</v>
      </c>
      <c r="O60" s="3515">
        <f>'KOM sementara'!P425</f>
        <v>1372422272000</v>
      </c>
      <c r="P60" s="3862">
        <f t="shared" si="8"/>
        <v>-696000</v>
      </c>
      <c r="Q60" s="3691">
        <f t="shared" si="1"/>
        <v>-5.0713228802123922E-5</v>
      </c>
      <c r="R60" s="3379"/>
      <c r="S60" s="436">
        <f t="shared" si="3"/>
        <v>-696000</v>
      </c>
      <c r="T60" s="436">
        <f t="shared" si="4"/>
        <v>0</v>
      </c>
    </row>
    <row r="61" spans="1:38" s="3408" customFormat="1" ht="16.45" customHeight="1">
      <c r="A61" s="3400" t="s">
        <v>100</v>
      </c>
      <c r="B61" s="3401">
        <v>4</v>
      </c>
      <c r="C61" s="3401">
        <v>3</v>
      </c>
      <c r="D61" s="3401"/>
      <c r="E61" s="3401"/>
      <c r="F61" s="3401"/>
      <c r="G61" s="3401"/>
      <c r="H61" s="3402" t="s">
        <v>265</v>
      </c>
      <c r="I61" s="3403"/>
      <c r="J61" s="3404"/>
      <c r="K61" s="3522">
        <f>K62+K67</f>
        <v>18870510900</v>
      </c>
      <c r="L61" s="3522">
        <f>L62+L67</f>
        <v>18001891981.540001</v>
      </c>
      <c r="M61" s="3522">
        <f>M62+M67</f>
        <v>67264821900</v>
      </c>
      <c r="N61" s="3522">
        <f>N62+N67</f>
        <v>46044223346.990005</v>
      </c>
      <c r="O61" s="3522">
        <f>O62+O67</f>
        <v>85598457900</v>
      </c>
      <c r="P61" s="3522">
        <f t="shared" si="8"/>
        <v>18333636000</v>
      </c>
      <c r="Q61" s="3406">
        <f t="shared" si="1"/>
        <v>27.255905066181413</v>
      </c>
      <c r="R61" s="3405"/>
      <c r="S61" s="436">
        <f t="shared" si="3"/>
        <v>18333636000</v>
      </c>
      <c r="T61" s="3407">
        <f t="shared" si="4"/>
        <v>0</v>
      </c>
    </row>
    <row r="62" spans="1:38" ht="15.05" customHeight="1">
      <c r="A62" s="211"/>
      <c r="B62" s="3356">
        <v>4</v>
      </c>
      <c r="C62" s="3356">
        <v>3</v>
      </c>
      <c r="D62" s="3356">
        <v>1</v>
      </c>
      <c r="E62" s="3356"/>
      <c r="F62" s="3356"/>
      <c r="G62" s="3340"/>
      <c r="H62" s="212" t="s">
        <v>1106</v>
      </c>
      <c r="I62" s="224"/>
      <c r="J62" s="225"/>
      <c r="K62" s="3504">
        <f t="shared" ref="K62:P62" si="9">SUM(K63:K65)</f>
        <v>13870510900</v>
      </c>
      <c r="L62" s="3504">
        <f t="shared" si="9"/>
        <v>13001891981.540001</v>
      </c>
      <c r="M62" s="3504">
        <f t="shared" si="9"/>
        <v>13870510900</v>
      </c>
      <c r="N62" s="3504">
        <f t="shared" si="9"/>
        <v>19347068346.990002</v>
      </c>
      <c r="O62" s="3504">
        <f t="shared" si="9"/>
        <v>32204146900</v>
      </c>
      <c r="P62" s="3504">
        <f t="shared" si="9"/>
        <v>18333636000</v>
      </c>
      <c r="Q62" s="3690">
        <f t="shared" si="1"/>
        <v>132.17707791859348</v>
      </c>
      <c r="R62" s="3351"/>
      <c r="S62" s="436">
        <f t="shared" si="3"/>
        <v>18333636000</v>
      </c>
      <c r="T62" s="436">
        <f t="shared" si="4"/>
        <v>0</v>
      </c>
    </row>
    <row r="63" spans="1:38">
      <c r="A63" s="3380"/>
      <c r="B63" s="3359"/>
      <c r="C63" s="3359"/>
      <c r="D63" s="3359"/>
      <c r="E63" s="3359"/>
      <c r="F63" s="3359"/>
      <c r="G63" s="3343"/>
      <c r="H63" s="2778" t="s">
        <v>50</v>
      </c>
      <c r="I63" s="2727" t="s">
        <v>267</v>
      </c>
      <c r="J63" s="218"/>
      <c r="K63" s="3505">
        <f>'KOM opsi 1'!L430</f>
        <v>0</v>
      </c>
      <c r="L63" s="3505">
        <f>'KOM opsi 1'!M430</f>
        <v>0</v>
      </c>
      <c r="M63" s="3505">
        <f>'KOM opsi 1'!N430</f>
        <v>0</v>
      </c>
      <c r="N63" s="3505">
        <f>'KOM opsi 1'!P430</f>
        <v>0</v>
      </c>
      <c r="O63" s="3505">
        <f>'KOM opsi 2'!P431</f>
        <v>0</v>
      </c>
      <c r="P63" s="3505">
        <f>'KOM opsi 1'!R430</f>
        <v>0</v>
      </c>
      <c r="Q63" s="3692"/>
      <c r="R63" s="3353"/>
      <c r="S63" s="436">
        <f t="shared" si="3"/>
        <v>0</v>
      </c>
      <c r="T63" s="436">
        <f t="shared" si="4"/>
        <v>0</v>
      </c>
    </row>
    <row r="64" spans="1:38">
      <c r="A64" s="3381"/>
      <c r="B64" s="3359"/>
      <c r="C64" s="3359"/>
      <c r="D64" s="3359"/>
      <c r="E64" s="3359"/>
      <c r="F64" s="3359"/>
      <c r="G64" s="3343"/>
      <c r="H64" s="2778" t="s">
        <v>50</v>
      </c>
      <c r="I64" s="200" t="s">
        <v>1107</v>
      </c>
      <c r="J64" s="218"/>
      <c r="K64" s="3505">
        <f>+'KOM opsi 1'!J429</f>
        <v>13870510900</v>
      </c>
      <c r="L64" s="3505">
        <f>+'KOM opsi 1'!K429</f>
        <v>13001891981.540001</v>
      </c>
      <c r="M64" s="3505">
        <f>+'KOM opsi 1'!L429</f>
        <v>13870510900</v>
      </c>
      <c r="N64" s="3505">
        <f>'KOM opsi 2'!O432</f>
        <v>19347068346.990002</v>
      </c>
      <c r="O64" s="4514">
        <f>'KOM sementara'!P439</f>
        <v>32204146900</v>
      </c>
      <c r="P64" s="3505">
        <f>'KOM opsi 2'!Q432</f>
        <v>18333636000</v>
      </c>
      <c r="Q64" s="3691">
        <f t="shared" si="1"/>
        <v>132.17707791859348</v>
      </c>
      <c r="R64" s="3353"/>
      <c r="S64" s="436">
        <f>+O64-M64</f>
        <v>18333636000</v>
      </c>
      <c r="T64" s="436">
        <f t="shared" si="4"/>
        <v>0</v>
      </c>
    </row>
    <row r="65" spans="1:20">
      <c r="A65" s="3381"/>
      <c r="B65" s="3359"/>
      <c r="C65" s="3359"/>
      <c r="D65" s="3359"/>
      <c r="E65" s="3359"/>
      <c r="F65" s="3359"/>
      <c r="G65" s="3343"/>
      <c r="H65" s="213"/>
      <c r="I65" s="200" t="s">
        <v>1108</v>
      </c>
      <c r="J65" s="218"/>
      <c r="K65" s="3505"/>
      <c r="L65" s="3505"/>
      <c r="M65" s="3505"/>
      <c r="N65" s="3505"/>
      <c r="O65" s="3505"/>
      <c r="P65" s="3505"/>
      <c r="Q65" s="3692"/>
      <c r="R65" s="3353"/>
      <c r="S65" s="436">
        <f t="shared" si="3"/>
        <v>0</v>
      </c>
      <c r="T65" s="436">
        <f t="shared" si="4"/>
        <v>0</v>
      </c>
    </row>
    <row r="66" spans="1:20" ht="9.1" customHeight="1">
      <c r="A66" s="3382"/>
      <c r="B66" s="3383"/>
      <c r="C66" s="3383"/>
      <c r="D66" s="3383"/>
      <c r="E66" s="3383"/>
      <c r="F66" s="3383"/>
      <c r="G66" s="3384"/>
      <c r="H66" s="2844"/>
      <c r="I66" s="856"/>
      <c r="J66" s="1907"/>
      <c r="K66" s="3517"/>
      <c r="L66" s="3517"/>
      <c r="M66" s="3517"/>
      <c r="N66" s="3517"/>
      <c r="O66" s="3517"/>
      <c r="P66" s="3517"/>
      <c r="Q66" s="3692"/>
      <c r="R66" s="3385"/>
      <c r="S66" s="436">
        <f t="shared" si="3"/>
        <v>0</v>
      </c>
      <c r="T66" s="436">
        <f t="shared" si="4"/>
        <v>0</v>
      </c>
    </row>
    <row r="67" spans="1:20" s="190" customFormat="1" ht="12.7" customHeight="1">
      <c r="A67" s="228"/>
      <c r="B67" s="228" t="s">
        <v>443</v>
      </c>
      <c r="C67" s="228" t="s">
        <v>457</v>
      </c>
      <c r="D67" s="228" t="s">
        <v>443</v>
      </c>
      <c r="E67" s="228"/>
      <c r="F67" s="229"/>
      <c r="G67" s="230"/>
      <c r="H67" s="231" t="s">
        <v>652</v>
      </c>
      <c r="I67" s="202"/>
      <c r="J67" s="218"/>
      <c r="K67" s="3506">
        <f t="shared" ref="K67:P67" si="10">SUM(K68)</f>
        <v>5000000000</v>
      </c>
      <c r="L67" s="3506">
        <f t="shared" si="10"/>
        <v>5000000000</v>
      </c>
      <c r="M67" s="3506">
        <f t="shared" si="10"/>
        <v>53394311000</v>
      </c>
      <c r="N67" s="3506">
        <f t="shared" si="10"/>
        <v>26697155000</v>
      </c>
      <c r="O67" s="3506">
        <f t="shared" si="10"/>
        <v>53394311000</v>
      </c>
      <c r="P67" s="3506">
        <f t="shared" si="10"/>
        <v>0</v>
      </c>
      <c r="Q67" s="3692">
        <f t="shared" si="1"/>
        <v>0</v>
      </c>
      <c r="R67" s="3354"/>
      <c r="S67" s="436">
        <f t="shared" si="3"/>
        <v>0</v>
      </c>
      <c r="T67" s="436">
        <f t="shared" si="4"/>
        <v>0</v>
      </c>
    </row>
    <row r="68" spans="1:20" ht="12.7" customHeight="1">
      <c r="A68" s="232"/>
      <c r="B68" s="232"/>
      <c r="C68" s="232"/>
      <c r="D68" s="232"/>
      <c r="E68" s="232"/>
      <c r="F68" s="232"/>
      <c r="G68" s="230"/>
      <c r="H68" s="233" t="s">
        <v>293</v>
      </c>
      <c r="I68" s="200"/>
      <c r="J68" s="218"/>
      <c r="K68" s="3505">
        <f>+'KOM opsi 1'!J566</f>
        <v>5000000000</v>
      </c>
      <c r="L68" s="3505">
        <f>+'KOM opsi 1'!K566</f>
        <v>5000000000</v>
      </c>
      <c r="M68" s="3505">
        <f>+'KOM opsi 1'!L566</f>
        <v>53394311000</v>
      </c>
      <c r="N68" s="3505">
        <f>+'KOM opsi 1'!O562</f>
        <v>26697155000</v>
      </c>
      <c r="O68" s="3505">
        <f>'KOM sementara'!P574</f>
        <v>53394311000</v>
      </c>
      <c r="P68" s="3505">
        <f>+'KOM opsi 1'!Q562</f>
        <v>0</v>
      </c>
      <c r="Q68" s="3692">
        <f>O68/M68*100-100</f>
        <v>0</v>
      </c>
      <c r="R68" s="3353"/>
      <c r="S68" s="436">
        <f t="shared" si="3"/>
        <v>0</v>
      </c>
      <c r="T68" s="436">
        <f t="shared" si="4"/>
        <v>0</v>
      </c>
    </row>
    <row r="69" spans="1:20" s="3433" customFormat="1" ht="17.25" customHeight="1">
      <c r="A69" s="3434"/>
      <c r="B69" s="3435"/>
      <c r="C69" s="3435"/>
      <c r="D69" s="3435"/>
      <c r="E69" s="3435"/>
      <c r="F69" s="3435"/>
      <c r="G69" s="3435"/>
      <c r="H69" s="3436" t="s">
        <v>1109</v>
      </c>
      <c r="I69" s="3428"/>
      <c r="J69" s="3429"/>
      <c r="K69" s="3523">
        <f t="shared" ref="K69:P69" si="11">K61+K55+K8</f>
        <v>3794636377504</v>
      </c>
      <c r="L69" s="3523">
        <f t="shared" si="11"/>
        <v>3946978987678.9697</v>
      </c>
      <c r="M69" s="3523">
        <f t="shared" si="11"/>
        <v>4791397359569</v>
      </c>
      <c r="N69" s="3523">
        <f t="shared" si="11"/>
        <v>1163476630856.72</v>
      </c>
      <c r="O69" s="3523">
        <f t="shared" si="11"/>
        <v>4736449075576</v>
      </c>
      <c r="P69" s="4006">
        <f t="shared" si="11"/>
        <v>-54948283993</v>
      </c>
      <c r="Q69" s="3430">
        <f>O69/M69*100-100</f>
        <v>-1.1468112508611199</v>
      </c>
      <c r="R69" s="3437"/>
      <c r="S69" s="436">
        <f t="shared" si="3"/>
        <v>-54948283993</v>
      </c>
      <c r="T69" s="3432">
        <f t="shared" si="4"/>
        <v>0</v>
      </c>
    </row>
    <row r="70" spans="1:20" ht="12.7" customHeight="1">
      <c r="J70" s="436"/>
      <c r="K70" s="3387"/>
      <c r="L70" s="3387"/>
      <c r="M70" s="3387"/>
      <c r="N70" s="240"/>
      <c r="O70" s="240"/>
      <c r="P70" s="240"/>
      <c r="R70" s="3388"/>
    </row>
    <row r="71" spans="1:20" ht="15.05">
      <c r="K71" s="3389"/>
      <c r="L71" s="3389"/>
      <c r="M71" s="1142"/>
      <c r="N71" s="1142"/>
      <c r="O71" s="4015" t="s">
        <v>1216</v>
      </c>
      <c r="P71" s="1142"/>
    </row>
    <row r="72" spans="1:20" ht="15.05">
      <c r="K72" s="436"/>
      <c r="L72" s="436"/>
      <c r="M72" s="436"/>
      <c r="N72" s="422"/>
      <c r="O72" s="4017" t="s">
        <v>1213</v>
      </c>
      <c r="P72" s="422"/>
      <c r="Q72" s="422"/>
    </row>
    <row r="73" spans="1:20" ht="15.05">
      <c r="H73" s="819"/>
      <c r="I73" s="819"/>
      <c r="N73" s="422"/>
      <c r="O73" s="4017" t="s">
        <v>929</v>
      </c>
      <c r="P73" s="422"/>
      <c r="Q73" s="422"/>
    </row>
    <row r="74" spans="1:20" ht="15.05">
      <c r="J74" s="190"/>
      <c r="K74" s="3391"/>
      <c r="L74" s="3391"/>
      <c r="M74" s="3391"/>
      <c r="N74" s="3391"/>
      <c r="O74" s="4016"/>
      <c r="P74" s="3391"/>
    </row>
    <row r="75" spans="1:20" ht="15.05">
      <c r="H75" s="3393"/>
      <c r="I75" s="3393"/>
      <c r="N75" s="1829"/>
      <c r="O75" s="4016"/>
      <c r="P75" s="1829"/>
      <c r="Q75" s="1829"/>
    </row>
    <row r="76" spans="1:20" ht="15.05">
      <c r="H76" s="3394"/>
      <c r="I76" s="3394"/>
      <c r="N76" s="3395"/>
      <c r="O76" s="4017"/>
      <c r="P76" s="3395"/>
      <c r="Q76" s="3395"/>
    </row>
    <row r="77" spans="1:20" ht="15.05">
      <c r="O77" s="4018" t="s">
        <v>1214</v>
      </c>
    </row>
    <row r="78" spans="1:20" ht="15.05">
      <c r="J78" s="3396"/>
      <c r="K78" s="3389"/>
      <c r="L78" s="3389"/>
      <c r="M78" s="3389"/>
      <c r="N78" s="3389"/>
      <c r="O78" s="4019" t="s">
        <v>1215</v>
      </c>
      <c r="P78" s="3389"/>
      <c r="Q78" s="3397"/>
    </row>
    <row r="81" spans="10:13">
      <c r="K81" s="3398"/>
      <c r="L81" s="3398"/>
      <c r="M81" s="3398"/>
    </row>
    <row r="90" spans="10:13">
      <c r="J90" s="63"/>
    </row>
  </sheetData>
  <sheetProtection selectLockedCells="1" selectUnlockedCells="1"/>
  <mergeCells count="15">
    <mergeCell ref="R4:R5"/>
    <mergeCell ref="H5:J5"/>
    <mergeCell ref="B6:G6"/>
    <mergeCell ref="H6:J6"/>
    <mergeCell ref="A1:R1"/>
    <mergeCell ref="A2:R2"/>
    <mergeCell ref="Q3:R3"/>
    <mergeCell ref="B4:G5"/>
    <mergeCell ref="H4:J4"/>
    <mergeCell ref="K4:K5"/>
    <mergeCell ref="L4:L5"/>
    <mergeCell ref="M4:M5"/>
    <mergeCell ref="N4:N5"/>
    <mergeCell ref="Q4:Q5"/>
    <mergeCell ref="P4:P5"/>
  </mergeCells>
  <pageMargins left="0.54" right="0.15748031496062992" top="0.28999999999999998" bottom="0.43" header="0.2" footer="0.19"/>
  <pageSetup paperSize="9" scale="70" orientation="portrait" useFirstPageNumber="1" horizontalDpi="1200" verticalDpi="1200" r:id="rId1"/>
  <headerFooter alignWithMargins="0">
    <oddFooter>&amp;LRekapitulasi Rencana Perubahan Target Pendapatan TA 2017 - BAPPENDA PROVINSI NTB&amp;RHal. 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rgb="FF92D050"/>
  </sheetPr>
  <dimension ref="A1:Q802"/>
  <sheetViews>
    <sheetView view="pageBreakPreview" topLeftCell="G101" zoomScaleNormal="130" zoomScaleSheetLayoutView="100" workbookViewId="0">
      <pane ySplit="2166" topLeftCell="A160" activePane="bottomLeft"/>
      <selection pane="bottomLeft" activeCell="I12" sqref="I12"/>
    </sheetView>
  </sheetViews>
  <sheetFormatPr defaultColWidth="9" defaultRowHeight="13.15"/>
  <cols>
    <col min="1" max="5" width="3.6640625" customWidth="1"/>
    <col min="6" max="6" width="2.44140625" customWidth="1"/>
    <col min="7" max="7" width="6.33203125" customWidth="1"/>
    <col min="8" max="8" width="2.88671875" customWidth="1"/>
    <col min="9" max="9" width="65.5546875" customWidth="1"/>
    <col min="10" max="10" width="26.44140625" style="2080" customWidth="1"/>
    <col min="11" max="12" width="20.88671875" customWidth="1"/>
    <col min="13" max="13" width="20.88671875" style="2081" customWidth="1"/>
    <col min="14" max="14" width="23.5546875" style="2081" customWidth="1"/>
    <col min="15" max="15" width="8.109375" style="2081" customWidth="1"/>
    <col min="16" max="16" width="24.33203125" style="63" customWidth="1"/>
    <col min="17" max="17" width="18.6640625" customWidth="1"/>
  </cols>
  <sheetData>
    <row r="1" spans="1:17" s="2070" customFormat="1" ht="9.6999999999999993" customHeight="1">
      <c r="G1" s="2082"/>
      <c r="H1" s="1840"/>
      <c r="I1" s="1840"/>
      <c r="J1" s="2129"/>
      <c r="K1" s="2130"/>
      <c r="L1" s="2130"/>
      <c r="M1" s="2131"/>
      <c r="N1" s="2131"/>
      <c r="O1" s="2131"/>
      <c r="P1" s="2132"/>
    </row>
    <row r="2" spans="1:17" s="2070" customFormat="1" ht="29.3" customHeight="1">
      <c r="G2" s="5772" t="s">
        <v>431</v>
      </c>
      <c r="H2" s="5772"/>
      <c r="I2" s="5772"/>
      <c r="J2" s="5772"/>
      <c r="K2" s="5772"/>
      <c r="L2" s="5772"/>
      <c r="M2" s="5772"/>
      <c r="N2" s="5772"/>
      <c r="O2" s="5772"/>
      <c r="P2" s="2132"/>
    </row>
    <row r="3" spans="1:17" s="2070" customFormat="1" ht="16.45" customHeight="1">
      <c r="G3" s="2083"/>
      <c r="H3" s="2084"/>
      <c r="I3" s="2084"/>
      <c r="J3" s="2133"/>
      <c r="K3" s="2084"/>
      <c r="L3" s="2084"/>
      <c r="M3" s="2084"/>
      <c r="N3" s="2084"/>
      <c r="O3" s="2084"/>
      <c r="P3" s="2132"/>
    </row>
    <row r="4" spans="1:17" s="2070" customFormat="1" ht="21.3">
      <c r="G4" s="5834" t="s">
        <v>55</v>
      </c>
      <c r="H4" s="5836" t="s">
        <v>56</v>
      </c>
      <c r="I4" s="5836"/>
      <c r="J4" s="5835" t="s">
        <v>416</v>
      </c>
      <c r="K4" s="5828" t="s">
        <v>5</v>
      </c>
      <c r="L4" s="5828"/>
      <c r="M4" s="5828"/>
      <c r="N4" s="5835" t="s">
        <v>430</v>
      </c>
      <c r="O4" s="5832" t="s">
        <v>6</v>
      </c>
      <c r="P4" s="2132"/>
    </row>
    <row r="5" spans="1:17" s="2071" customFormat="1" ht="18.2">
      <c r="G5" s="5834"/>
      <c r="H5" s="5836"/>
      <c r="I5" s="5836"/>
      <c r="J5" s="5835"/>
      <c r="K5" s="2134" t="s">
        <v>432</v>
      </c>
      <c r="L5" s="2134" t="s">
        <v>433</v>
      </c>
      <c r="M5" s="2134" t="s">
        <v>434</v>
      </c>
      <c r="N5" s="5835"/>
      <c r="O5" s="5832"/>
      <c r="P5" s="2132"/>
    </row>
    <row r="6" spans="1:17" s="2072" customFormat="1" ht="12.55">
      <c r="G6" s="2085" t="s">
        <v>58</v>
      </c>
      <c r="H6" s="5829">
        <v>2</v>
      </c>
      <c r="I6" s="5830"/>
      <c r="J6" s="2135">
        <v>3</v>
      </c>
      <c r="K6" s="2135">
        <v>4</v>
      </c>
      <c r="L6" s="2135">
        <v>15</v>
      </c>
      <c r="M6" s="2135">
        <v>16</v>
      </c>
      <c r="N6" s="2135">
        <v>17</v>
      </c>
      <c r="O6" s="2136">
        <v>18</v>
      </c>
      <c r="P6" s="2132"/>
    </row>
    <row r="7" spans="1:17" s="2070" customFormat="1" ht="13.5" customHeight="1">
      <c r="G7" s="2086"/>
      <c r="H7" s="216"/>
      <c r="I7" s="216"/>
      <c r="J7" s="2137">
        <f>J8-'KOM opsi 1'!L9</f>
        <v>-1122139007935</v>
      </c>
      <c r="K7" s="2138">
        <v>0</v>
      </c>
      <c r="L7" s="2137">
        <f>L8-'KOM opsi 1'!N9</f>
        <v>15445000</v>
      </c>
      <c r="M7" s="2137">
        <f>M8-'KOM opsi 1'!O9</f>
        <v>-233161501062</v>
      </c>
      <c r="N7" s="2137">
        <f>N8-'KOM opsi 1'!P9</f>
        <v>-7615516477504.2803</v>
      </c>
      <c r="O7" s="2139"/>
      <c r="P7" s="2132"/>
    </row>
    <row r="8" spans="1:17" s="2070" customFormat="1" ht="17.25" customHeight="1">
      <c r="A8" s="5831" t="s">
        <v>435</v>
      </c>
      <c r="B8" s="5831"/>
      <c r="C8" s="5831"/>
      <c r="D8" s="5831"/>
      <c r="E8" s="5831"/>
      <c r="F8" s="5831"/>
      <c r="G8" s="2087"/>
      <c r="H8" s="2088" t="s">
        <v>60</v>
      </c>
      <c r="I8" s="2088"/>
      <c r="J8" s="2140">
        <f>J10+J31+J43+J54+J66+J78+J91+J104+J116+J129+J146+J154+J169+J182+J196+J214+J236+J256+J264+J272+J282+J297+J305+J313+J321+J329+J337+J345+J353+J426+J498+J506+J517+J580+J598+J606+J614+J640+J663+J671+J704+J717+J726+J735+J744+J753+J762+J771+J780</f>
        <v>3669258351634</v>
      </c>
      <c r="K8" s="2141">
        <v>637526644267.53003</v>
      </c>
      <c r="L8" s="2140">
        <f>L10+L31+L43+L54+L66+L78+L91+L104+L116+L129+L146+L154+L169+L182+L196+L214+L236+L256+L264+L272+L282+L297+L305+L313+L321+L329+L337+L345+L353+L426+L498+L506+L517+L580+L598+L606+L614+L640+L663+L671+L704+L717+L726+L735+L744+L753+L762+L771+L780</f>
        <v>274668485527.19</v>
      </c>
      <c r="M8" s="2140">
        <f>SUM(K8:L8)</f>
        <v>912195129794.71997</v>
      </c>
      <c r="N8" s="2140">
        <f>M8-J8</f>
        <v>-2757063221839.2803</v>
      </c>
      <c r="O8" s="2142">
        <f>M8/J8*100</f>
        <v>24.860477033144853</v>
      </c>
      <c r="P8" s="2132"/>
    </row>
    <row r="9" spans="1:17" s="2070" customFormat="1" ht="4.55" customHeight="1">
      <c r="G9" s="2089"/>
      <c r="H9" s="1318"/>
      <c r="I9" s="1318"/>
      <c r="J9" s="2143"/>
      <c r="K9" s="2144"/>
      <c r="L9" s="2143"/>
      <c r="M9" s="1727"/>
      <c r="N9" s="1727"/>
      <c r="O9" s="2145"/>
      <c r="P9" s="2132"/>
    </row>
    <row r="10" spans="1:17" s="2073" customFormat="1" ht="15.65">
      <c r="A10" s="2090"/>
      <c r="B10" s="2090"/>
      <c r="C10" s="2090"/>
      <c r="D10" s="2090"/>
      <c r="E10" s="2090"/>
      <c r="F10" s="2091"/>
      <c r="G10" s="2092" t="s">
        <v>61</v>
      </c>
      <c r="H10" s="2093" t="s">
        <v>62</v>
      </c>
      <c r="I10" s="2146"/>
      <c r="J10" s="2147">
        <f>J11+J21</f>
        <v>161895000</v>
      </c>
      <c r="K10" s="2148">
        <v>40629500</v>
      </c>
      <c r="L10" s="2147">
        <f>L11+L21</f>
        <v>77182000</v>
      </c>
      <c r="M10" s="2147">
        <f t="shared" ref="M10:M15" si="0">SUM(K10:L10)</f>
        <v>117811500</v>
      </c>
      <c r="N10" s="2147">
        <f t="shared" ref="N10:N27" si="1">M10-J10</f>
        <v>-44083500</v>
      </c>
      <c r="O10" s="2149">
        <f t="shared" ref="O10:O15" si="2">M10/J10*100</f>
        <v>72.770314092467331</v>
      </c>
      <c r="P10" s="2150">
        <f>J12+J80+J135+J199+J217+J239+J285+J357+J585+J642+J676</f>
        <v>4630706500</v>
      </c>
      <c r="Q10" s="2197" t="s">
        <v>436</v>
      </c>
    </row>
    <row r="11" spans="1:17" s="2070" customFormat="1">
      <c r="A11" s="2094">
        <v>4</v>
      </c>
      <c r="B11" s="2094">
        <v>1</v>
      </c>
      <c r="C11" s="2094">
        <v>2</v>
      </c>
      <c r="D11" s="2095" t="s">
        <v>437</v>
      </c>
      <c r="E11" s="2096"/>
      <c r="F11" s="2097">
        <v>1</v>
      </c>
      <c r="G11" s="2098"/>
      <c r="H11" s="2099" t="s">
        <v>63</v>
      </c>
      <c r="I11" s="2099"/>
      <c r="J11" s="2151">
        <f>J12+J17</f>
        <v>161895000</v>
      </c>
      <c r="K11" s="2152">
        <v>8429500</v>
      </c>
      <c r="L11" s="2151">
        <f>L12+L17</f>
        <v>4782000</v>
      </c>
      <c r="M11" s="2151">
        <f t="shared" si="0"/>
        <v>13211500</v>
      </c>
      <c r="N11" s="2151">
        <f t="shared" si="1"/>
        <v>-148683500</v>
      </c>
      <c r="O11" s="2153">
        <f t="shared" si="2"/>
        <v>8.1605361499737494</v>
      </c>
      <c r="P11" s="2132">
        <f>P10-'KOM opsi 1'!L57</f>
        <v>0</v>
      </c>
    </row>
    <row r="12" spans="1:17" s="2070" customFormat="1" ht="15.05">
      <c r="A12" s="1905">
        <v>4</v>
      </c>
      <c r="B12" s="1905">
        <v>1</v>
      </c>
      <c r="C12" s="1905">
        <v>2</v>
      </c>
      <c r="D12" s="1905" t="s">
        <v>438</v>
      </c>
      <c r="E12" s="1854" t="s">
        <v>437</v>
      </c>
      <c r="F12" s="2097"/>
      <c r="G12" s="2100"/>
      <c r="H12" s="212" t="s">
        <v>64</v>
      </c>
      <c r="I12" s="212"/>
      <c r="J12" s="2154">
        <f>SUM(J13:J15)</f>
        <v>98395000</v>
      </c>
      <c r="K12" s="2155">
        <v>4949500</v>
      </c>
      <c r="L12" s="2154">
        <f>SUM(L13:L15)</f>
        <v>4782000</v>
      </c>
      <c r="M12" s="2156">
        <f t="shared" si="0"/>
        <v>9731500</v>
      </c>
      <c r="N12" s="1749">
        <f t="shared" si="1"/>
        <v>-88663500</v>
      </c>
      <c r="O12" s="2157">
        <f t="shared" si="2"/>
        <v>9.8902383251181458</v>
      </c>
      <c r="P12" s="2158">
        <f>J17+J82+J201+J218+J242+J508+J583+J617</f>
        <v>2547125000</v>
      </c>
      <c r="Q12" s="2198" t="s">
        <v>439</v>
      </c>
    </row>
    <row r="13" spans="1:17" s="2070" customFormat="1">
      <c r="A13" s="2096"/>
      <c r="B13" s="2096"/>
      <c r="C13" s="2096"/>
      <c r="D13" s="2096"/>
      <c r="E13" s="2096"/>
      <c r="F13" s="2097"/>
      <c r="G13" s="2101"/>
      <c r="H13" s="200" t="s">
        <v>50</v>
      </c>
      <c r="I13" s="200" t="s">
        <v>65</v>
      </c>
      <c r="J13" s="1964">
        <f>TARGET!D15</f>
        <v>33395000</v>
      </c>
      <c r="K13" s="2159">
        <v>0</v>
      </c>
      <c r="L13" s="2160">
        <v>750000</v>
      </c>
      <c r="M13" s="2161">
        <f t="shared" si="0"/>
        <v>750000</v>
      </c>
      <c r="N13" s="1891">
        <f t="shared" si="1"/>
        <v>-32645000</v>
      </c>
      <c r="O13" s="2162">
        <f t="shared" si="2"/>
        <v>2.2458451864051505</v>
      </c>
      <c r="P13" s="2132">
        <f>P12-'KOM opsi 1'!L137</f>
        <v>0</v>
      </c>
    </row>
    <row r="14" spans="1:17" s="2070" customFormat="1">
      <c r="A14" s="2096"/>
      <c r="B14" s="2096"/>
      <c r="C14" s="2096"/>
      <c r="D14" s="2096"/>
      <c r="E14" s="2096"/>
      <c r="F14" s="2097"/>
      <c r="G14" s="2101"/>
      <c r="H14" s="200" t="s">
        <v>50</v>
      </c>
      <c r="I14" s="200" t="s">
        <v>66</v>
      </c>
      <c r="J14" s="1964">
        <f>TARGET!D16</f>
        <v>25000000</v>
      </c>
      <c r="K14" s="2159">
        <v>0</v>
      </c>
      <c r="L14" s="2160">
        <v>2000000</v>
      </c>
      <c r="M14" s="2161">
        <f t="shared" si="0"/>
        <v>2000000</v>
      </c>
      <c r="N14" s="1891">
        <f t="shared" si="1"/>
        <v>-23000000</v>
      </c>
      <c r="O14" s="2162">
        <f t="shared" si="2"/>
        <v>8</v>
      </c>
      <c r="P14" s="2163">
        <f>J17</f>
        <v>63500000</v>
      </c>
    </row>
    <row r="15" spans="1:17" s="2070" customFormat="1">
      <c r="A15" s="2096"/>
      <c r="B15" s="2096"/>
      <c r="C15" s="2096"/>
      <c r="D15" s="2096"/>
      <c r="E15" s="2096"/>
      <c r="F15" s="2097"/>
      <c r="G15" s="2101"/>
      <c r="H15" s="2727" t="s">
        <v>50</v>
      </c>
      <c r="I15" s="200" t="s">
        <v>67</v>
      </c>
      <c r="J15" s="1964">
        <f>TARGET!D17</f>
        <v>40000000</v>
      </c>
      <c r="K15" s="2159">
        <v>4949500</v>
      </c>
      <c r="L15" s="2160">
        <f>2032000</f>
        <v>2032000</v>
      </c>
      <c r="M15" s="2161">
        <f t="shared" si="0"/>
        <v>6981500</v>
      </c>
      <c r="N15" s="1891">
        <f t="shared" si="1"/>
        <v>-33018500</v>
      </c>
      <c r="O15" s="2162">
        <f t="shared" si="2"/>
        <v>17.453749999999999</v>
      </c>
      <c r="P15" s="2163">
        <f>J82</f>
        <v>210000000</v>
      </c>
    </row>
    <row r="16" spans="1:17" s="2070" customFormat="1" ht="6.75" customHeight="1">
      <c r="A16" s="2096"/>
      <c r="B16" s="2096"/>
      <c r="C16" s="2096"/>
      <c r="D16" s="2096"/>
      <c r="E16" s="2096"/>
      <c r="F16" s="2097"/>
      <c r="G16" s="2101"/>
      <c r="H16" s="200"/>
      <c r="I16" s="200"/>
      <c r="J16" s="2164"/>
      <c r="K16" s="2159"/>
      <c r="L16" s="2164"/>
      <c r="M16" s="2161"/>
      <c r="N16" s="1891">
        <f t="shared" si="1"/>
        <v>0</v>
      </c>
      <c r="O16" s="2162"/>
      <c r="P16" s="2132">
        <f>J201</f>
        <v>0</v>
      </c>
    </row>
    <row r="17" spans="1:17" s="2070" customFormat="1" ht="15.05">
      <c r="A17" s="1885">
        <v>4</v>
      </c>
      <c r="B17" s="1885">
        <v>1</v>
      </c>
      <c r="C17" s="1885">
        <v>2</v>
      </c>
      <c r="D17" s="1885" t="s">
        <v>438</v>
      </c>
      <c r="E17" s="1885" t="s">
        <v>440</v>
      </c>
      <c r="F17" s="2097"/>
      <c r="G17" s="2101"/>
      <c r="H17" s="2728" t="s">
        <v>68</v>
      </c>
      <c r="I17" s="200"/>
      <c r="J17" s="2165">
        <f>SUM(J18:J19)</f>
        <v>63500000</v>
      </c>
      <c r="K17" s="2155">
        <v>3480000</v>
      </c>
      <c r="L17" s="2165">
        <f>SUM(L18:L19)</f>
        <v>0</v>
      </c>
      <c r="M17" s="2156">
        <f t="shared" ref="M17:M27" si="3">SUM(K17:L17)</f>
        <v>3480000</v>
      </c>
      <c r="N17" s="1749">
        <f t="shared" si="1"/>
        <v>-60020000</v>
      </c>
      <c r="O17" s="2162">
        <f>M17/J17*100</f>
        <v>5.4803149606299213</v>
      </c>
      <c r="P17" s="2163">
        <f>J218</f>
        <v>75000000</v>
      </c>
    </row>
    <row r="18" spans="1:17" s="2070" customFormat="1">
      <c r="A18" s="2096"/>
      <c r="B18" s="2096"/>
      <c r="C18" s="2096"/>
      <c r="D18" s="2096"/>
      <c r="E18" s="2096"/>
      <c r="F18" s="2097"/>
      <c r="G18" s="2101"/>
      <c r="H18" s="2727" t="s">
        <v>50</v>
      </c>
      <c r="I18" s="200" t="s">
        <v>69</v>
      </c>
      <c r="J18" s="1964">
        <f>TARGET!D20</f>
        <v>60000000</v>
      </c>
      <c r="K18" s="2159">
        <v>3480000</v>
      </c>
      <c r="L18" s="2160">
        <v>0</v>
      </c>
      <c r="M18" s="2161">
        <f t="shared" si="3"/>
        <v>3480000</v>
      </c>
      <c r="N18" s="1891">
        <f t="shared" si="1"/>
        <v>-56520000</v>
      </c>
      <c r="O18" s="2162">
        <f>M18/J18*100</f>
        <v>5.8000000000000007</v>
      </c>
      <c r="P18" s="2163">
        <f>J242</f>
        <v>348625000</v>
      </c>
    </row>
    <row r="19" spans="1:17" s="2070" customFormat="1">
      <c r="A19" s="2096"/>
      <c r="B19" s="2096"/>
      <c r="C19" s="2096"/>
      <c r="D19" s="2096"/>
      <c r="E19" s="2096"/>
      <c r="F19" s="2097"/>
      <c r="G19" s="2101"/>
      <c r="H19" s="2727" t="s">
        <v>50</v>
      </c>
      <c r="I19" s="200" t="s">
        <v>70</v>
      </c>
      <c r="J19" s="1964">
        <f>TARGET!D21</f>
        <v>3500000</v>
      </c>
      <c r="K19" s="2159">
        <v>0</v>
      </c>
      <c r="L19" s="2160">
        <f>'ALL BULAN'!E19</f>
        <v>0</v>
      </c>
      <c r="M19" s="2161">
        <f t="shared" si="3"/>
        <v>0</v>
      </c>
      <c r="N19" s="1891">
        <f t="shared" si="1"/>
        <v>-3500000</v>
      </c>
      <c r="O19" s="2162">
        <f>M19/J19*100</f>
        <v>0</v>
      </c>
      <c r="P19" s="2163">
        <f>J508</f>
        <v>1500000000</v>
      </c>
    </row>
    <row r="20" spans="1:17" s="2070" customFormat="1" ht="7.55" customHeight="1">
      <c r="A20" s="2096"/>
      <c r="B20" s="2096"/>
      <c r="C20" s="2096"/>
      <c r="D20" s="2096"/>
      <c r="E20" s="2096"/>
      <c r="F20" s="2097"/>
      <c r="G20" s="2101"/>
      <c r="H20" s="200"/>
      <c r="I20" s="200"/>
      <c r="J20" s="2164"/>
      <c r="K20" s="2159">
        <v>0</v>
      </c>
      <c r="L20" s="2164"/>
      <c r="M20" s="2161">
        <f t="shared" si="3"/>
        <v>0</v>
      </c>
      <c r="N20" s="1891">
        <f t="shared" si="1"/>
        <v>0</v>
      </c>
      <c r="O20" s="2162">
        <v>0</v>
      </c>
      <c r="P20" s="2163">
        <f>J583</f>
        <v>150000000</v>
      </c>
    </row>
    <row r="21" spans="1:17" s="2070" customFormat="1">
      <c r="A21" s="2102">
        <v>4</v>
      </c>
      <c r="B21" s="2102">
        <v>1</v>
      </c>
      <c r="C21" s="2102">
        <v>4</v>
      </c>
      <c r="D21" s="2096"/>
      <c r="E21" s="2096"/>
      <c r="F21" s="2103">
        <v>3</v>
      </c>
      <c r="G21" s="2104"/>
      <c r="H21" s="202" t="s">
        <v>71</v>
      </c>
      <c r="I21" s="202"/>
      <c r="J21" s="1891">
        <f>SUM(J22:J27)</f>
        <v>0</v>
      </c>
      <c r="K21" s="2159">
        <v>32200000</v>
      </c>
      <c r="L21" s="1891">
        <f>SUM(L22:L27)</f>
        <v>72400000</v>
      </c>
      <c r="M21" s="2161">
        <f t="shared" si="3"/>
        <v>104600000</v>
      </c>
      <c r="N21" s="1891">
        <f t="shared" si="1"/>
        <v>104600000</v>
      </c>
      <c r="O21" s="2162">
        <v>0</v>
      </c>
      <c r="P21" s="2163">
        <f>J617</f>
        <v>200000000</v>
      </c>
    </row>
    <row r="22" spans="1:17" s="2070" customFormat="1">
      <c r="A22" s="2102">
        <v>4</v>
      </c>
      <c r="B22" s="2102">
        <v>1</v>
      </c>
      <c r="C22" s="2102">
        <v>4</v>
      </c>
      <c r="D22" s="2102" t="s">
        <v>441</v>
      </c>
      <c r="E22" s="2096"/>
      <c r="F22" s="2097"/>
      <c r="G22" s="2104"/>
      <c r="H22" s="2728" t="s">
        <v>50</v>
      </c>
      <c r="I22" s="200" t="s">
        <v>72</v>
      </c>
      <c r="J22" s="1964">
        <f>TARGET!D24</f>
        <v>0</v>
      </c>
      <c r="K22" s="2159">
        <v>32200000</v>
      </c>
      <c r="L22" s="2160">
        <v>72400000</v>
      </c>
      <c r="M22" s="2161">
        <f t="shared" si="3"/>
        <v>104600000</v>
      </c>
      <c r="N22" s="1891">
        <f t="shared" si="1"/>
        <v>104600000</v>
      </c>
      <c r="O22" s="2162">
        <v>0</v>
      </c>
      <c r="P22" s="2132">
        <f>J620+J648+J687</f>
        <v>2113387000</v>
      </c>
      <c r="Q22" s="2070" t="s">
        <v>442</v>
      </c>
    </row>
    <row r="23" spans="1:17" s="2070" customFormat="1">
      <c r="A23" s="1854">
        <v>4</v>
      </c>
      <c r="B23" s="1854">
        <v>1</v>
      </c>
      <c r="C23" s="1854" t="s">
        <v>443</v>
      </c>
      <c r="D23" s="1854" t="s">
        <v>444</v>
      </c>
      <c r="E23" s="1854" t="s">
        <v>440</v>
      </c>
      <c r="F23" s="2097"/>
      <c r="G23" s="2104"/>
      <c r="H23" s="2728" t="s">
        <v>50</v>
      </c>
      <c r="I23" s="200" t="s">
        <v>73</v>
      </c>
      <c r="J23" s="1964">
        <f>TARGET!D25</f>
        <v>0</v>
      </c>
      <c r="K23" s="2159">
        <v>0</v>
      </c>
      <c r="L23" s="2160">
        <f>'ALL BULAN'!E23</f>
        <v>0</v>
      </c>
      <c r="M23" s="2161">
        <f t="shared" si="3"/>
        <v>0</v>
      </c>
      <c r="N23" s="1891">
        <f t="shared" si="1"/>
        <v>0</v>
      </c>
      <c r="O23" s="2162">
        <v>0</v>
      </c>
      <c r="P23" s="2132">
        <f>P22-'KOM opsi 1'!L162</f>
        <v>0</v>
      </c>
    </row>
    <row r="24" spans="1:17" s="2070" customFormat="1">
      <c r="A24" s="1944">
        <v>4</v>
      </c>
      <c r="B24" s="1944">
        <v>1</v>
      </c>
      <c r="C24" s="1944" t="s">
        <v>443</v>
      </c>
      <c r="D24" s="1944" t="s">
        <v>444</v>
      </c>
      <c r="E24" s="2105" t="s">
        <v>445</v>
      </c>
      <c r="F24" s="2097"/>
      <c r="G24" s="2104"/>
      <c r="H24" s="2728" t="s">
        <v>50</v>
      </c>
      <c r="I24" s="200" t="s">
        <v>74</v>
      </c>
      <c r="J24" s="1964">
        <f>TARGET!D26</f>
        <v>0</v>
      </c>
      <c r="K24" s="2159">
        <v>0</v>
      </c>
      <c r="L24" s="2160">
        <f>'ALL BULAN'!E24</f>
        <v>0</v>
      </c>
      <c r="M24" s="2161">
        <f t="shared" si="3"/>
        <v>0</v>
      </c>
      <c r="N24" s="1891">
        <f t="shared" si="1"/>
        <v>0</v>
      </c>
      <c r="O24" s="2162">
        <v>0</v>
      </c>
      <c r="P24" s="2132">
        <f>J45+J57</f>
        <v>7500000000</v>
      </c>
      <c r="Q24" s="2070" t="s">
        <v>446</v>
      </c>
    </row>
    <row r="25" spans="1:17" s="2070" customFormat="1">
      <c r="A25" s="1854">
        <v>4</v>
      </c>
      <c r="B25" s="1854">
        <v>1</v>
      </c>
      <c r="C25" s="1854" t="s">
        <v>443</v>
      </c>
      <c r="D25" s="1854" t="s">
        <v>444</v>
      </c>
      <c r="E25" s="1854" t="s">
        <v>441</v>
      </c>
      <c r="F25" s="2097"/>
      <c r="G25" s="2101"/>
      <c r="H25" s="200" t="s">
        <v>308</v>
      </c>
      <c r="I25" s="200" t="s">
        <v>75</v>
      </c>
      <c r="J25" s="1964">
        <f>TARGET!D27</f>
        <v>0</v>
      </c>
      <c r="K25" s="2159">
        <v>0</v>
      </c>
      <c r="L25" s="2160">
        <f>'ALL BULAN'!E25</f>
        <v>0</v>
      </c>
      <c r="M25" s="2161">
        <f t="shared" si="3"/>
        <v>0</v>
      </c>
      <c r="N25" s="1891">
        <f t="shared" si="1"/>
        <v>0</v>
      </c>
      <c r="O25" s="2162">
        <v>0</v>
      </c>
      <c r="P25" s="2132"/>
    </row>
    <row r="26" spans="1:17" s="2070" customFormat="1">
      <c r="A26" s="2096"/>
      <c r="B26" s="2096"/>
      <c r="C26" s="2096"/>
      <c r="D26" s="2096"/>
      <c r="E26" s="2096"/>
      <c r="F26" s="2097"/>
      <c r="G26" s="2101"/>
      <c r="H26" s="200" t="s">
        <v>50</v>
      </c>
      <c r="I26" s="200" t="s">
        <v>76</v>
      </c>
      <c r="J26" s="1964">
        <f>TARGET!D28</f>
        <v>0</v>
      </c>
      <c r="K26" s="2159">
        <v>0</v>
      </c>
      <c r="L26" s="2160">
        <f>'ALL BULAN'!E26</f>
        <v>0</v>
      </c>
      <c r="M26" s="2161">
        <f t="shared" si="3"/>
        <v>0</v>
      </c>
      <c r="N26" s="1891">
        <f t="shared" si="1"/>
        <v>0</v>
      </c>
      <c r="O26" s="2162">
        <v>0</v>
      </c>
      <c r="P26" s="2132"/>
    </row>
    <row r="27" spans="1:17" s="2070" customFormat="1">
      <c r="A27" s="1854">
        <v>4</v>
      </c>
      <c r="B27" s="1854">
        <v>1</v>
      </c>
      <c r="C27" s="1854" t="s">
        <v>443</v>
      </c>
      <c r="D27" s="1854" t="s">
        <v>447</v>
      </c>
      <c r="E27" s="1854" t="s">
        <v>437</v>
      </c>
      <c r="F27" s="2097"/>
      <c r="G27" s="2101"/>
      <c r="H27" s="200" t="s">
        <v>50</v>
      </c>
      <c r="I27" s="200" t="s">
        <v>77</v>
      </c>
      <c r="J27" s="1964">
        <f>TARGET!D29</f>
        <v>0</v>
      </c>
      <c r="K27" s="2159">
        <v>0</v>
      </c>
      <c r="L27" s="2160">
        <f>'ALL BULAN'!E27</f>
        <v>0</v>
      </c>
      <c r="M27" s="2161">
        <f t="shared" si="3"/>
        <v>0</v>
      </c>
      <c r="N27" s="1891">
        <f t="shared" si="1"/>
        <v>0</v>
      </c>
      <c r="O27" s="2162">
        <v>0</v>
      </c>
      <c r="P27" s="2132"/>
    </row>
    <row r="28" spans="1:17" s="2070" customFormat="1" ht="5.95" customHeight="1">
      <c r="A28" s="2096"/>
      <c r="B28" s="2096"/>
      <c r="C28" s="2096"/>
      <c r="D28" s="2096"/>
      <c r="E28" s="2096"/>
      <c r="F28" s="2097"/>
      <c r="G28" s="2106"/>
      <c r="H28" s="238"/>
      <c r="I28" s="238"/>
      <c r="J28" s="2166"/>
      <c r="K28" s="2167"/>
      <c r="L28" s="2166"/>
      <c r="M28" s="2168"/>
      <c r="N28" s="2168"/>
      <c r="O28" s="2169"/>
      <c r="P28" s="2132"/>
    </row>
    <row r="29" spans="1:17" s="2070" customFormat="1" ht="18.8" customHeight="1">
      <c r="A29" s="2096"/>
      <c r="B29" s="2096"/>
      <c r="C29" s="2096"/>
      <c r="D29" s="2096"/>
      <c r="E29" s="2096"/>
      <c r="F29" s="2097"/>
      <c r="G29" s="2107" t="s">
        <v>78</v>
      </c>
      <c r="H29" s="2108" t="s">
        <v>79</v>
      </c>
      <c r="I29" s="2170"/>
      <c r="J29" s="2171">
        <f>J31+J43+J54+J66+J78</f>
        <v>9997286650</v>
      </c>
      <c r="K29" s="2172">
        <v>2031539741</v>
      </c>
      <c r="L29" s="2171">
        <f>L31+L43+L54+L66+L78</f>
        <v>1047828867</v>
      </c>
      <c r="M29" s="2171">
        <f>M31+M43+M54+M66+M78</f>
        <v>3079368608</v>
      </c>
      <c r="N29" s="2171">
        <f>M29-J29</f>
        <v>-6917918042</v>
      </c>
      <c r="O29" s="2173">
        <f>M29/J29*100</f>
        <v>30.802043752541596</v>
      </c>
      <c r="P29" s="2132"/>
    </row>
    <row r="30" spans="1:17" s="2070" customFormat="1" ht="6.75" customHeight="1">
      <c r="A30" s="2096"/>
      <c r="B30" s="2096"/>
      <c r="C30" s="2096"/>
      <c r="D30" s="2096"/>
      <c r="E30" s="2096"/>
      <c r="F30" s="2097"/>
      <c r="G30" s="2100"/>
      <c r="H30" s="212"/>
      <c r="I30" s="212"/>
      <c r="J30" s="1727"/>
      <c r="K30" s="2144"/>
      <c r="L30" s="1727"/>
      <c r="M30" s="1727"/>
      <c r="N30" s="1727"/>
      <c r="O30" s="2145"/>
      <c r="P30" s="2132"/>
    </row>
    <row r="31" spans="1:17" s="2073" customFormat="1" ht="15.65">
      <c r="A31" s="2090"/>
      <c r="B31" s="2090"/>
      <c r="C31" s="2090"/>
      <c r="D31" s="2090"/>
      <c r="E31" s="2090"/>
      <c r="F31" s="2091"/>
      <c r="G31" s="2109"/>
      <c r="H31" s="2110" t="s">
        <v>79</v>
      </c>
      <c r="I31" s="2174"/>
      <c r="J31" s="2175">
        <f>J32+J35</f>
        <v>0</v>
      </c>
      <c r="K31" s="2148">
        <v>0</v>
      </c>
      <c r="L31" s="2175">
        <f>L32+L35</f>
        <v>0</v>
      </c>
      <c r="M31" s="2147">
        <f>SUM(K31:L31)</f>
        <v>0</v>
      </c>
      <c r="N31" s="2147">
        <f t="shared" ref="N31:N41" si="4">M31-J31</f>
        <v>0</v>
      </c>
      <c r="O31" s="2149">
        <v>0</v>
      </c>
      <c r="P31" s="2150"/>
    </row>
    <row r="32" spans="1:17" s="2070" customFormat="1">
      <c r="A32" s="1902">
        <v>4</v>
      </c>
      <c r="B32" s="1902">
        <v>1</v>
      </c>
      <c r="C32" s="1902">
        <v>2</v>
      </c>
      <c r="D32" s="1902" t="s">
        <v>437</v>
      </c>
      <c r="E32" s="2096"/>
      <c r="F32" s="2111">
        <v>1</v>
      </c>
      <c r="G32" s="2112"/>
      <c r="H32" s="2113" t="s">
        <v>63</v>
      </c>
      <c r="I32" s="2176"/>
      <c r="J32" s="2177">
        <f>J33</f>
        <v>0</v>
      </c>
      <c r="K32" s="2178">
        <v>0</v>
      </c>
      <c r="L32" s="2177">
        <f>L33</f>
        <v>0</v>
      </c>
      <c r="M32" s="2179">
        <f>SUM(K32:L32)</f>
        <v>0</v>
      </c>
      <c r="N32" s="1891">
        <f t="shared" si="4"/>
        <v>0</v>
      </c>
      <c r="O32" s="2162">
        <v>0</v>
      </c>
      <c r="P32" s="2132"/>
    </row>
    <row r="33" spans="1:16" s="2070" customFormat="1">
      <c r="A33" s="2114">
        <v>4</v>
      </c>
      <c r="B33" s="2114">
        <v>1</v>
      </c>
      <c r="C33" s="2114">
        <v>2</v>
      </c>
      <c r="D33" s="2114" t="s">
        <v>438</v>
      </c>
      <c r="E33" s="1854" t="s">
        <v>448</v>
      </c>
      <c r="F33" s="2097"/>
      <c r="G33" s="2101"/>
      <c r="H33" s="200" t="s">
        <v>50</v>
      </c>
      <c r="I33" s="200" t="s">
        <v>80</v>
      </c>
      <c r="J33" s="1964">
        <f>TARGET!D35</f>
        <v>0</v>
      </c>
      <c r="K33" s="2180">
        <v>0</v>
      </c>
      <c r="L33" s="2160">
        <f>'ALL BULAN'!E33</f>
        <v>0</v>
      </c>
      <c r="M33" s="2181">
        <f>SUM(K33:L33)</f>
        <v>0</v>
      </c>
      <c r="N33" s="1891">
        <f t="shared" si="4"/>
        <v>0</v>
      </c>
      <c r="O33" s="2162">
        <v>0</v>
      </c>
      <c r="P33" s="2132"/>
    </row>
    <row r="34" spans="1:16" s="2070" customFormat="1" ht="8.3000000000000007" customHeight="1">
      <c r="A34" s="2096"/>
      <c r="B34" s="2096"/>
      <c r="C34" s="2096"/>
      <c r="D34" s="2096"/>
      <c r="E34" s="2096"/>
      <c r="F34" s="2097"/>
      <c r="G34" s="2101"/>
      <c r="H34" s="200"/>
      <c r="I34" s="200"/>
      <c r="J34" s="2164"/>
      <c r="K34" s="2159"/>
      <c r="L34" s="2164"/>
      <c r="M34" s="2161"/>
      <c r="N34" s="1891">
        <f t="shared" si="4"/>
        <v>0</v>
      </c>
      <c r="O34" s="2162">
        <f>N34-K34</f>
        <v>0</v>
      </c>
      <c r="P34" s="2132"/>
    </row>
    <row r="35" spans="1:16" s="2070" customFormat="1">
      <c r="A35" s="2102">
        <v>4</v>
      </c>
      <c r="B35" s="2102">
        <v>1</v>
      </c>
      <c r="C35" s="2102">
        <v>4</v>
      </c>
      <c r="D35" s="2096"/>
      <c r="E35" s="2096"/>
      <c r="F35" s="2103">
        <v>3</v>
      </c>
      <c r="G35" s="2101"/>
      <c r="H35" s="202" t="s">
        <v>71</v>
      </c>
      <c r="I35" s="202"/>
      <c r="J35" s="1891">
        <f>SUM(J36:J41)</f>
        <v>0</v>
      </c>
      <c r="K35" s="2159">
        <v>0</v>
      </c>
      <c r="L35" s="1891">
        <f>SUM(L36:L41)</f>
        <v>0</v>
      </c>
      <c r="M35" s="2161">
        <f t="shared" ref="M35:M41" si="5">SUM(K35:L35)</f>
        <v>0</v>
      </c>
      <c r="N35" s="1891">
        <f t="shared" si="4"/>
        <v>0</v>
      </c>
      <c r="O35" s="2162">
        <v>0</v>
      </c>
      <c r="P35" s="2132"/>
    </row>
    <row r="36" spans="1:16" s="2070" customFormat="1">
      <c r="A36" s="2102">
        <v>4</v>
      </c>
      <c r="B36" s="2102">
        <v>1</v>
      </c>
      <c r="C36" s="2102">
        <v>4</v>
      </c>
      <c r="D36" s="2102" t="s">
        <v>441</v>
      </c>
      <c r="E36" s="2096"/>
      <c r="F36" s="2097"/>
      <c r="G36" s="2101"/>
      <c r="H36" s="2727" t="s">
        <v>50</v>
      </c>
      <c r="I36" s="200" t="s">
        <v>72</v>
      </c>
      <c r="J36" s="1964">
        <f>TARGET!D38</f>
        <v>0</v>
      </c>
      <c r="K36" s="2159">
        <v>0</v>
      </c>
      <c r="L36" s="2160">
        <f>'ALL BULAN'!E36</f>
        <v>0</v>
      </c>
      <c r="M36" s="2161">
        <f t="shared" si="5"/>
        <v>0</v>
      </c>
      <c r="N36" s="1891">
        <f t="shared" si="4"/>
        <v>0</v>
      </c>
      <c r="O36" s="2162">
        <v>0</v>
      </c>
      <c r="P36" s="2132"/>
    </row>
    <row r="37" spans="1:16" s="2070" customFormat="1">
      <c r="A37" s="1854">
        <v>4</v>
      </c>
      <c r="B37" s="1854">
        <v>1</v>
      </c>
      <c r="C37" s="1854" t="s">
        <v>443</v>
      </c>
      <c r="D37" s="1854" t="s">
        <v>444</v>
      </c>
      <c r="E37" s="1854" t="s">
        <v>440</v>
      </c>
      <c r="F37" s="2097"/>
      <c r="G37" s="2101"/>
      <c r="H37" s="2727" t="s">
        <v>50</v>
      </c>
      <c r="I37" s="200" t="s">
        <v>73</v>
      </c>
      <c r="J37" s="1964">
        <f>TARGET!D39</f>
        <v>0</v>
      </c>
      <c r="K37" s="2159">
        <v>0</v>
      </c>
      <c r="L37" s="2160">
        <f>'ALL BULAN'!E37</f>
        <v>0</v>
      </c>
      <c r="M37" s="2161">
        <f t="shared" si="5"/>
        <v>0</v>
      </c>
      <c r="N37" s="1891">
        <f t="shared" si="4"/>
        <v>0</v>
      </c>
      <c r="O37" s="2162">
        <v>0</v>
      </c>
      <c r="P37" s="2132"/>
    </row>
    <row r="38" spans="1:16" s="2070" customFormat="1">
      <c r="A38" s="1944">
        <v>4</v>
      </c>
      <c r="B38" s="1944">
        <v>1</v>
      </c>
      <c r="C38" s="1944" t="s">
        <v>443</v>
      </c>
      <c r="D38" s="1944" t="s">
        <v>444</v>
      </c>
      <c r="E38" s="2105" t="s">
        <v>445</v>
      </c>
      <c r="F38" s="2097"/>
      <c r="G38" s="2101"/>
      <c r="H38" s="2727" t="s">
        <v>50</v>
      </c>
      <c r="I38" s="200" t="s">
        <v>74</v>
      </c>
      <c r="J38" s="1964">
        <f>TARGET!D40</f>
        <v>0</v>
      </c>
      <c r="K38" s="2159">
        <v>0</v>
      </c>
      <c r="L38" s="2160">
        <f>'ALL BULAN'!E38</f>
        <v>0</v>
      </c>
      <c r="M38" s="2161">
        <f t="shared" si="5"/>
        <v>0</v>
      </c>
      <c r="N38" s="1891">
        <f t="shared" si="4"/>
        <v>0</v>
      </c>
      <c r="O38" s="2162">
        <v>0</v>
      </c>
      <c r="P38" s="2132"/>
    </row>
    <row r="39" spans="1:16" s="2070" customFormat="1">
      <c r="A39" s="1854">
        <v>4</v>
      </c>
      <c r="B39" s="1854">
        <v>1</v>
      </c>
      <c r="C39" s="1854" t="s">
        <v>443</v>
      </c>
      <c r="D39" s="1854" t="s">
        <v>444</v>
      </c>
      <c r="E39" s="1854" t="s">
        <v>441</v>
      </c>
      <c r="F39" s="2097"/>
      <c r="G39" s="2101"/>
      <c r="H39" s="200" t="s">
        <v>308</v>
      </c>
      <c r="I39" s="200" t="s">
        <v>75</v>
      </c>
      <c r="J39" s="1964">
        <f>TARGET!D41</f>
        <v>0</v>
      </c>
      <c r="K39" s="2159">
        <v>0</v>
      </c>
      <c r="L39" s="2160">
        <f>'ALL BULAN'!E39</f>
        <v>0</v>
      </c>
      <c r="M39" s="2161">
        <f t="shared" si="5"/>
        <v>0</v>
      </c>
      <c r="N39" s="1891">
        <f t="shared" si="4"/>
        <v>0</v>
      </c>
      <c r="O39" s="2162">
        <v>0</v>
      </c>
      <c r="P39" s="2132"/>
    </row>
    <row r="40" spans="1:16" s="2070" customFormat="1">
      <c r="A40" s="2096"/>
      <c r="B40" s="2096"/>
      <c r="C40" s="2096"/>
      <c r="D40" s="2096"/>
      <c r="E40" s="2096"/>
      <c r="F40" s="2097"/>
      <c r="G40" s="2101"/>
      <c r="H40" s="200" t="s">
        <v>50</v>
      </c>
      <c r="I40" s="200" t="s">
        <v>76</v>
      </c>
      <c r="J40" s="1964">
        <f>TARGET!D42</f>
        <v>0</v>
      </c>
      <c r="K40" s="2159">
        <v>0</v>
      </c>
      <c r="L40" s="2160">
        <f>'ALL BULAN'!E40</f>
        <v>0</v>
      </c>
      <c r="M40" s="2161">
        <f t="shared" si="5"/>
        <v>0</v>
      </c>
      <c r="N40" s="1891">
        <f t="shared" si="4"/>
        <v>0</v>
      </c>
      <c r="O40" s="2162">
        <v>0</v>
      </c>
      <c r="P40" s="2132"/>
    </row>
    <row r="41" spans="1:16" s="2070" customFormat="1">
      <c r="A41" s="1854">
        <v>4</v>
      </c>
      <c r="B41" s="1854">
        <v>1</v>
      </c>
      <c r="C41" s="1854" t="s">
        <v>443</v>
      </c>
      <c r="D41" s="1854" t="s">
        <v>447</v>
      </c>
      <c r="E41" s="1854" t="s">
        <v>437</v>
      </c>
      <c r="F41" s="2097"/>
      <c r="G41" s="2115"/>
      <c r="H41" s="2729" t="s">
        <v>50</v>
      </c>
      <c r="I41" s="200" t="s">
        <v>81</v>
      </c>
      <c r="J41" s="1964">
        <f>TARGET!D43</f>
        <v>0</v>
      </c>
      <c r="K41" s="2159">
        <v>0</v>
      </c>
      <c r="L41" s="2160">
        <f>'ALL BULAN'!E41</f>
        <v>0</v>
      </c>
      <c r="M41" s="2161">
        <f t="shared" si="5"/>
        <v>0</v>
      </c>
      <c r="N41" s="1891">
        <f t="shared" si="4"/>
        <v>0</v>
      </c>
      <c r="O41" s="2162">
        <v>0</v>
      </c>
      <c r="P41" s="2132"/>
    </row>
    <row r="42" spans="1:16" s="2070" customFormat="1" ht="5.95" customHeight="1">
      <c r="A42" s="2096"/>
      <c r="B42" s="2096"/>
      <c r="C42" s="2096"/>
      <c r="D42" s="2096"/>
      <c r="E42" s="2096"/>
      <c r="F42" s="2097"/>
      <c r="G42" s="2116"/>
      <c r="H42" s="2117"/>
      <c r="I42" s="2117"/>
      <c r="J42" s="2182"/>
      <c r="K42" s="2183"/>
      <c r="L42" s="2182"/>
      <c r="M42" s="1469"/>
      <c r="N42" s="1469"/>
      <c r="O42" s="2184"/>
      <c r="P42" s="2132"/>
    </row>
    <row r="43" spans="1:16" s="2073" customFormat="1" ht="15.65">
      <c r="A43" s="2090"/>
      <c r="B43" s="2090"/>
      <c r="C43" s="2090"/>
      <c r="D43" s="2090"/>
      <c r="E43" s="2090"/>
      <c r="F43" s="2091"/>
      <c r="G43" s="2118"/>
      <c r="H43" s="2119" t="s">
        <v>82</v>
      </c>
      <c r="I43" s="2185"/>
      <c r="J43" s="2186">
        <f>J44+J47</f>
        <v>4500000000</v>
      </c>
      <c r="K43" s="2148">
        <v>1633527700</v>
      </c>
      <c r="L43" s="2186">
        <f>L44+L47</f>
        <v>818193200</v>
      </c>
      <c r="M43" s="2147">
        <f>SUM(K43:L43)</f>
        <v>2451720900</v>
      </c>
      <c r="N43" s="2147">
        <f t="shared" ref="N43:N52" si="6">M43-J43</f>
        <v>-2048279100</v>
      </c>
      <c r="O43" s="2149">
        <f>M43/J43*100</f>
        <v>54.482686666666666</v>
      </c>
      <c r="P43" s="2150"/>
    </row>
    <row r="44" spans="1:16" s="2070" customFormat="1">
      <c r="A44" s="1902">
        <v>4</v>
      </c>
      <c r="B44" s="1902">
        <v>1</v>
      </c>
      <c r="C44" s="1902">
        <v>2</v>
      </c>
      <c r="D44" s="1902" t="s">
        <v>437</v>
      </c>
      <c r="E44" s="2096"/>
      <c r="F44" s="2103">
        <v>1</v>
      </c>
      <c r="G44" s="2120"/>
      <c r="H44" s="2121" t="s">
        <v>83</v>
      </c>
      <c r="I44" s="2121"/>
      <c r="J44" s="2187">
        <f>SUM(J45)</f>
        <v>4500000000</v>
      </c>
      <c r="K44" s="2159">
        <v>1633527700</v>
      </c>
      <c r="L44" s="2187">
        <f>SUM(L45)</f>
        <v>818193200</v>
      </c>
      <c r="M44" s="2161">
        <f>SUM(K44:L44)</f>
        <v>2451720900</v>
      </c>
      <c r="N44" s="1891">
        <f t="shared" si="6"/>
        <v>-2048279100</v>
      </c>
      <c r="O44" s="2162">
        <f>M44/J44*100</f>
        <v>54.482686666666666</v>
      </c>
      <c r="P44" s="2132"/>
    </row>
    <row r="45" spans="1:16" s="2070" customFormat="1">
      <c r="A45" s="2114">
        <v>4</v>
      </c>
      <c r="B45" s="2114">
        <v>1</v>
      </c>
      <c r="C45" s="2114">
        <v>2</v>
      </c>
      <c r="D45" s="2114" t="s">
        <v>437</v>
      </c>
      <c r="E45" s="1854" t="s">
        <v>437</v>
      </c>
      <c r="F45" s="2097"/>
      <c r="G45" s="2122"/>
      <c r="H45" s="2730" t="s">
        <v>50</v>
      </c>
      <c r="I45" s="206" t="s">
        <v>84</v>
      </c>
      <c r="J45" s="1964">
        <f>TARGET!D47</f>
        <v>4500000000</v>
      </c>
      <c r="K45" s="2159">
        <v>1633527700</v>
      </c>
      <c r="L45" s="2160">
        <f>818193200</f>
        <v>818193200</v>
      </c>
      <c r="M45" s="2161">
        <f>SUM(K45:L45)</f>
        <v>2451720900</v>
      </c>
      <c r="N45" s="1891">
        <f t="shared" si="6"/>
        <v>-2048279100</v>
      </c>
      <c r="O45" s="2162">
        <f>M45/J45*100</f>
        <v>54.482686666666666</v>
      </c>
      <c r="P45" s="2132"/>
    </row>
    <row r="46" spans="1:16" s="2070" customFormat="1" ht="5.95" customHeight="1">
      <c r="A46" s="2096"/>
      <c r="B46" s="2096"/>
      <c r="C46" s="2096"/>
      <c r="D46" s="2096"/>
      <c r="E46" s="2096"/>
      <c r="F46" s="2097"/>
      <c r="G46" s="2122"/>
      <c r="H46" s="206"/>
      <c r="I46" s="206"/>
      <c r="J46" s="2188"/>
      <c r="K46" s="2180"/>
      <c r="L46" s="2188"/>
      <c r="M46" s="2189"/>
      <c r="N46" s="1891">
        <f t="shared" si="6"/>
        <v>0</v>
      </c>
      <c r="O46" s="2162">
        <f>N46-K46</f>
        <v>0</v>
      </c>
      <c r="P46" s="2132"/>
    </row>
    <row r="47" spans="1:16" s="2070" customFormat="1">
      <c r="A47" s="2102">
        <v>4</v>
      </c>
      <c r="B47" s="2102">
        <v>1</v>
      </c>
      <c r="C47" s="2102">
        <v>4</v>
      </c>
      <c r="D47" s="2096"/>
      <c r="E47" s="2096"/>
      <c r="F47" s="2103">
        <v>3</v>
      </c>
      <c r="G47" s="2123"/>
      <c r="H47" s="2124" t="s">
        <v>71</v>
      </c>
      <c r="I47" s="2124"/>
      <c r="J47" s="2190">
        <f>SUM(J48:J52)</f>
        <v>0</v>
      </c>
      <c r="K47" s="2159">
        <v>0</v>
      </c>
      <c r="L47" s="2190">
        <f>SUM(L48:L52)</f>
        <v>0</v>
      </c>
      <c r="M47" s="2161">
        <f t="shared" ref="M47:M52" si="7">SUM(K47:L47)</f>
        <v>0</v>
      </c>
      <c r="N47" s="1891">
        <f t="shared" si="6"/>
        <v>0</v>
      </c>
      <c r="O47" s="2162">
        <v>0</v>
      </c>
      <c r="P47" s="2132"/>
    </row>
    <row r="48" spans="1:16" s="2070" customFormat="1">
      <c r="A48" s="2102">
        <v>4</v>
      </c>
      <c r="B48" s="2102">
        <v>1</v>
      </c>
      <c r="C48" s="2102">
        <v>4</v>
      </c>
      <c r="D48" s="2102" t="s">
        <v>441</v>
      </c>
      <c r="E48" s="2096"/>
      <c r="F48" s="2097"/>
      <c r="G48" s="2123"/>
      <c r="H48" s="2730" t="s">
        <v>50</v>
      </c>
      <c r="I48" s="200" t="s">
        <v>72</v>
      </c>
      <c r="J48" s="1964">
        <f>TARGET!D50</f>
        <v>0</v>
      </c>
      <c r="K48" s="2159">
        <v>0</v>
      </c>
      <c r="L48" s="2160">
        <f>'ALL BULAN'!E48</f>
        <v>0</v>
      </c>
      <c r="M48" s="2161">
        <f t="shared" si="7"/>
        <v>0</v>
      </c>
      <c r="N48" s="1891">
        <f t="shared" si="6"/>
        <v>0</v>
      </c>
      <c r="O48" s="2162">
        <v>0</v>
      </c>
      <c r="P48" s="2132"/>
    </row>
    <row r="49" spans="1:16" s="2070" customFormat="1">
      <c r="A49" s="1854">
        <v>4</v>
      </c>
      <c r="B49" s="1854">
        <v>1</v>
      </c>
      <c r="C49" s="1854" t="s">
        <v>443</v>
      </c>
      <c r="D49" s="1854" t="s">
        <v>444</v>
      </c>
      <c r="E49" s="1854" t="s">
        <v>440</v>
      </c>
      <c r="F49" s="2097"/>
      <c r="G49" s="2123"/>
      <c r="H49" s="2730" t="s">
        <v>50</v>
      </c>
      <c r="I49" s="200" t="s">
        <v>73</v>
      </c>
      <c r="J49" s="1964">
        <f>TARGET!D51</f>
        <v>0</v>
      </c>
      <c r="K49" s="2159">
        <v>0</v>
      </c>
      <c r="L49" s="2160">
        <f>'ALL BULAN'!E49</f>
        <v>0</v>
      </c>
      <c r="M49" s="2161">
        <f t="shared" si="7"/>
        <v>0</v>
      </c>
      <c r="N49" s="1891">
        <f t="shared" si="6"/>
        <v>0</v>
      </c>
      <c r="O49" s="2162">
        <v>0</v>
      </c>
      <c r="P49" s="2132"/>
    </row>
    <row r="50" spans="1:16" s="2070" customFormat="1">
      <c r="A50" s="1944">
        <v>4</v>
      </c>
      <c r="B50" s="1944">
        <v>1</v>
      </c>
      <c r="C50" s="1944" t="s">
        <v>443</v>
      </c>
      <c r="D50" s="1944" t="s">
        <v>444</v>
      </c>
      <c r="E50" s="2105" t="s">
        <v>445</v>
      </c>
      <c r="F50" s="2097"/>
      <c r="G50" s="2123"/>
      <c r="H50" s="2730" t="s">
        <v>50</v>
      </c>
      <c r="I50" s="200" t="s">
        <v>74</v>
      </c>
      <c r="J50" s="1964">
        <f>TARGET!D52</f>
        <v>0</v>
      </c>
      <c r="K50" s="2159">
        <v>0</v>
      </c>
      <c r="L50" s="2160">
        <f>'ALL BULAN'!E50</f>
        <v>0</v>
      </c>
      <c r="M50" s="2161">
        <f t="shared" si="7"/>
        <v>0</v>
      </c>
      <c r="N50" s="1891">
        <f t="shared" si="6"/>
        <v>0</v>
      </c>
      <c r="O50" s="2162">
        <v>0</v>
      </c>
      <c r="P50" s="2132"/>
    </row>
    <row r="51" spans="1:16" s="2070" customFormat="1">
      <c r="A51" s="1902">
        <v>4</v>
      </c>
      <c r="B51" s="1902">
        <v>1</v>
      </c>
      <c r="C51" s="1902" t="s">
        <v>443</v>
      </c>
      <c r="D51" s="1902" t="s">
        <v>444</v>
      </c>
      <c r="E51" s="1902" t="s">
        <v>441</v>
      </c>
      <c r="F51" s="2097"/>
      <c r="G51" s="2122"/>
      <c r="H51" s="200" t="s">
        <v>308</v>
      </c>
      <c r="I51" s="206" t="s">
        <v>75</v>
      </c>
      <c r="J51" s="1964">
        <f>TARGET!D53</f>
        <v>0</v>
      </c>
      <c r="K51" s="2159">
        <v>0</v>
      </c>
      <c r="L51" s="2160">
        <f>'ALL BULAN'!E51</f>
        <v>0</v>
      </c>
      <c r="M51" s="2161">
        <f t="shared" si="7"/>
        <v>0</v>
      </c>
      <c r="N51" s="1891">
        <f t="shared" si="6"/>
        <v>0</v>
      </c>
      <c r="O51" s="2162">
        <v>0</v>
      </c>
      <c r="P51" s="2132"/>
    </row>
    <row r="52" spans="1:16" s="2070" customFormat="1">
      <c r="A52" s="2114">
        <v>4</v>
      </c>
      <c r="B52" s="2114">
        <v>1</v>
      </c>
      <c r="C52" s="2114" t="s">
        <v>443</v>
      </c>
      <c r="D52" s="2114" t="s">
        <v>447</v>
      </c>
      <c r="E52" s="2125" t="s">
        <v>437</v>
      </c>
      <c r="F52" s="2097"/>
      <c r="G52" s="2126"/>
      <c r="H52" s="2730" t="s">
        <v>50</v>
      </c>
      <c r="I52" s="206" t="s">
        <v>85</v>
      </c>
      <c r="J52" s="1964">
        <f>TARGET!D54</f>
        <v>0</v>
      </c>
      <c r="K52" s="2159">
        <v>0</v>
      </c>
      <c r="L52" s="2160">
        <f>'ALL BULAN'!E52</f>
        <v>0</v>
      </c>
      <c r="M52" s="2161">
        <f t="shared" si="7"/>
        <v>0</v>
      </c>
      <c r="N52" s="1891">
        <f t="shared" si="6"/>
        <v>0</v>
      </c>
      <c r="O52" s="2162">
        <v>0</v>
      </c>
      <c r="P52" s="2132"/>
    </row>
    <row r="53" spans="1:16" s="2070" customFormat="1" ht="5.35" customHeight="1">
      <c r="A53" s="2096"/>
      <c r="B53" s="2096"/>
      <c r="C53" s="2096"/>
      <c r="D53" s="2096"/>
      <c r="E53" s="2096"/>
      <c r="F53" s="2097"/>
      <c r="G53" s="2116"/>
      <c r="H53" s="2127"/>
      <c r="I53" s="2127"/>
      <c r="J53" s="2191"/>
      <c r="K53" s="2192"/>
      <c r="L53" s="2191"/>
      <c r="M53" s="2193"/>
      <c r="N53" s="2193"/>
      <c r="O53" s="2194"/>
      <c r="P53" s="2132"/>
    </row>
    <row r="54" spans="1:16" s="2073" customFormat="1" ht="15.65">
      <c r="A54" s="2090"/>
      <c r="B54" s="2090"/>
      <c r="C54" s="2090"/>
      <c r="D54" s="2090"/>
      <c r="E54" s="2090"/>
      <c r="F54" s="2091"/>
      <c r="G54" s="2092"/>
      <c r="H54" s="2093" t="s">
        <v>86</v>
      </c>
      <c r="I54" s="2195"/>
      <c r="J54" s="2147">
        <f>J55+J59</f>
        <v>3000000000</v>
      </c>
      <c r="K54" s="2148">
        <v>138581000</v>
      </c>
      <c r="L54" s="2147">
        <f>L55+L59</f>
        <v>124421000</v>
      </c>
      <c r="M54" s="2147">
        <f>SUM(K54:L54)</f>
        <v>263002000</v>
      </c>
      <c r="N54" s="2147">
        <f t="shared" ref="N54:N64" si="8">M54-J54</f>
        <v>-2736998000</v>
      </c>
      <c r="O54" s="2149">
        <f>M54/J54*100</f>
        <v>8.7667333333333328</v>
      </c>
      <c r="P54" s="2150"/>
    </row>
    <row r="55" spans="1:16" s="2074" customFormat="1">
      <c r="A55" s="1902">
        <v>4</v>
      </c>
      <c r="B55" s="1902">
        <v>1</v>
      </c>
      <c r="C55" s="1902">
        <v>2</v>
      </c>
      <c r="D55" s="1902" t="s">
        <v>437</v>
      </c>
      <c r="E55" s="2096"/>
      <c r="F55" s="2128">
        <v>1</v>
      </c>
      <c r="G55" s="2120"/>
      <c r="H55" s="2121" t="s">
        <v>83</v>
      </c>
      <c r="I55" s="2121"/>
      <c r="J55" s="2151">
        <f>SUM(J56)</f>
        <v>3000000000</v>
      </c>
      <c r="K55" s="2159">
        <v>138581000</v>
      </c>
      <c r="L55" s="2151">
        <f>SUM(L56)</f>
        <v>124421000</v>
      </c>
      <c r="M55" s="2161">
        <f>SUM(K55:L55)</f>
        <v>263002000</v>
      </c>
      <c r="N55" s="1891">
        <f t="shared" si="8"/>
        <v>-2736998000</v>
      </c>
      <c r="O55" s="2162">
        <f>M55/J55*100</f>
        <v>8.7667333333333328</v>
      </c>
      <c r="P55" s="2132"/>
    </row>
    <row r="56" spans="1:16" s="2070" customFormat="1">
      <c r="A56" s="2114">
        <v>4</v>
      </c>
      <c r="B56" s="2114">
        <v>1</v>
      </c>
      <c r="C56" s="2114">
        <v>2</v>
      </c>
      <c r="D56" s="2114" t="s">
        <v>437</v>
      </c>
      <c r="E56" s="1854" t="s">
        <v>437</v>
      </c>
      <c r="F56" s="2097"/>
      <c r="G56" s="2122"/>
      <c r="H56" s="2730" t="s">
        <v>50</v>
      </c>
      <c r="I56" s="206" t="s">
        <v>84</v>
      </c>
      <c r="J56" s="2196">
        <f>SUM(J57)</f>
        <v>3000000000</v>
      </c>
      <c r="K56" s="2159">
        <v>138581000</v>
      </c>
      <c r="L56" s="2196">
        <f>SUM(L57)</f>
        <v>124421000</v>
      </c>
      <c r="M56" s="2161">
        <f>SUM(K56:L56)</f>
        <v>263002000</v>
      </c>
      <c r="N56" s="1891">
        <f t="shared" si="8"/>
        <v>-2736998000</v>
      </c>
      <c r="O56" s="2162">
        <f>M56/J56*100</f>
        <v>8.7667333333333328</v>
      </c>
      <c r="P56" s="2132"/>
    </row>
    <row r="57" spans="1:16" s="2070" customFormat="1">
      <c r="A57" s="2096"/>
      <c r="B57" s="2096"/>
      <c r="C57" s="2096"/>
      <c r="D57" s="2096"/>
      <c r="E57" s="2096"/>
      <c r="F57" s="2097"/>
      <c r="G57" s="2122"/>
      <c r="H57" s="206"/>
      <c r="I57" s="2730" t="s">
        <v>87</v>
      </c>
      <c r="J57" s="1964">
        <f>TARGET!D59</f>
        <v>3000000000</v>
      </c>
      <c r="K57" s="2159">
        <v>138581000</v>
      </c>
      <c r="L57" s="2160">
        <v>124421000</v>
      </c>
      <c r="M57" s="2161">
        <f>SUM(K57:L57)</f>
        <v>263002000</v>
      </c>
      <c r="N57" s="1891">
        <f t="shared" si="8"/>
        <v>-2736998000</v>
      </c>
      <c r="O57" s="2162">
        <f>M57/J57*100</f>
        <v>8.7667333333333328</v>
      </c>
      <c r="P57" s="2132"/>
    </row>
    <row r="58" spans="1:16" s="2070" customFormat="1" ht="5.95" customHeight="1">
      <c r="A58" s="2096"/>
      <c r="B58" s="2096"/>
      <c r="C58" s="2096"/>
      <c r="D58" s="2096"/>
      <c r="E58" s="2096"/>
      <c r="F58" s="2097"/>
      <c r="G58" s="2122"/>
      <c r="H58" s="206"/>
      <c r="I58" s="206"/>
      <c r="J58" s="2188"/>
      <c r="K58" s="2159"/>
      <c r="L58" s="2188"/>
      <c r="M58" s="2161"/>
      <c r="N58" s="1891">
        <f t="shared" si="8"/>
        <v>0</v>
      </c>
      <c r="O58" s="2162">
        <f>N58-K58</f>
        <v>0</v>
      </c>
      <c r="P58" s="2132"/>
    </row>
    <row r="59" spans="1:16" s="2070" customFormat="1">
      <c r="A59" s="2102">
        <v>4</v>
      </c>
      <c r="B59" s="2102">
        <v>1</v>
      </c>
      <c r="C59" s="2102">
        <v>4</v>
      </c>
      <c r="D59" s="2096"/>
      <c r="E59" s="2096"/>
      <c r="F59" s="2103">
        <v>3</v>
      </c>
      <c r="G59" s="2122"/>
      <c r="H59" s="2124" t="s">
        <v>71</v>
      </c>
      <c r="I59" s="2124"/>
      <c r="J59" s="2190">
        <f>SUM(J60:J64)</f>
        <v>0</v>
      </c>
      <c r="K59" s="2159">
        <v>0</v>
      </c>
      <c r="L59" s="2190">
        <f>SUM(L60:L64)</f>
        <v>0</v>
      </c>
      <c r="M59" s="2161">
        <f t="shared" ref="M59:M64" si="9">SUM(K59:L59)</f>
        <v>0</v>
      </c>
      <c r="N59" s="1891">
        <f t="shared" si="8"/>
        <v>0</v>
      </c>
      <c r="O59" s="2162">
        <v>0</v>
      </c>
      <c r="P59" s="2132"/>
    </row>
    <row r="60" spans="1:16" s="2070" customFormat="1">
      <c r="A60" s="2102">
        <v>4</v>
      </c>
      <c r="B60" s="2102">
        <v>1</v>
      </c>
      <c r="C60" s="2102">
        <v>4</v>
      </c>
      <c r="D60" s="2102" t="s">
        <v>441</v>
      </c>
      <c r="E60" s="2096"/>
      <c r="F60" s="2097"/>
      <c r="G60" s="2122"/>
      <c r="H60" s="2731" t="s">
        <v>50</v>
      </c>
      <c r="I60" s="200" t="s">
        <v>72</v>
      </c>
      <c r="J60" s="1964">
        <f>TARGET!D62</f>
        <v>0</v>
      </c>
      <c r="K60" s="2159">
        <v>0</v>
      </c>
      <c r="L60" s="2160">
        <f>'ALL BULAN'!E60</f>
        <v>0</v>
      </c>
      <c r="M60" s="2161">
        <f t="shared" si="9"/>
        <v>0</v>
      </c>
      <c r="N60" s="1891">
        <f t="shared" si="8"/>
        <v>0</v>
      </c>
      <c r="O60" s="2162">
        <v>0</v>
      </c>
      <c r="P60" s="2132"/>
    </row>
    <row r="61" spans="1:16" s="2070" customFormat="1">
      <c r="A61" s="1902">
        <v>4</v>
      </c>
      <c r="B61" s="1902">
        <v>1</v>
      </c>
      <c r="C61" s="1902" t="s">
        <v>443</v>
      </c>
      <c r="D61" s="1902" t="s">
        <v>444</v>
      </c>
      <c r="E61" s="1902" t="s">
        <v>440</v>
      </c>
      <c r="F61" s="2097"/>
      <c r="G61" s="2122"/>
      <c r="H61" s="2731" t="s">
        <v>50</v>
      </c>
      <c r="I61" s="200" t="s">
        <v>73</v>
      </c>
      <c r="J61" s="1964">
        <f>TARGET!D63</f>
        <v>0</v>
      </c>
      <c r="K61" s="2159">
        <v>0</v>
      </c>
      <c r="L61" s="2160">
        <f>'ALL BULAN'!E61</f>
        <v>0</v>
      </c>
      <c r="M61" s="2161">
        <f t="shared" si="9"/>
        <v>0</v>
      </c>
      <c r="N61" s="1891">
        <f t="shared" si="8"/>
        <v>0</v>
      </c>
      <c r="O61" s="2162">
        <v>0</v>
      </c>
      <c r="P61" s="2132"/>
    </row>
    <row r="62" spans="1:16" s="2070" customFormat="1">
      <c r="A62" s="1944">
        <v>4</v>
      </c>
      <c r="B62" s="1944">
        <v>1</v>
      </c>
      <c r="C62" s="1944" t="s">
        <v>443</v>
      </c>
      <c r="D62" s="1944" t="s">
        <v>444</v>
      </c>
      <c r="E62" s="2105" t="s">
        <v>445</v>
      </c>
      <c r="F62" s="2097"/>
      <c r="G62" s="2122"/>
      <c r="H62" s="2731" t="s">
        <v>50</v>
      </c>
      <c r="I62" s="200" t="s">
        <v>74</v>
      </c>
      <c r="J62" s="1964">
        <f>TARGET!D64</f>
        <v>0</v>
      </c>
      <c r="K62" s="2159">
        <v>0</v>
      </c>
      <c r="L62" s="2160">
        <f>'ALL BULAN'!E62</f>
        <v>0</v>
      </c>
      <c r="M62" s="2161">
        <f t="shared" si="9"/>
        <v>0</v>
      </c>
      <c r="N62" s="1891">
        <f t="shared" si="8"/>
        <v>0</v>
      </c>
      <c r="O62" s="2162">
        <v>0</v>
      </c>
      <c r="P62" s="2132"/>
    </row>
    <row r="63" spans="1:16" s="2070" customFormat="1">
      <c r="A63" s="1725">
        <v>4</v>
      </c>
      <c r="B63" s="1725">
        <v>1</v>
      </c>
      <c r="C63" s="1725" t="s">
        <v>443</v>
      </c>
      <c r="D63" s="1725" t="s">
        <v>444</v>
      </c>
      <c r="E63" s="1725" t="s">
        <v>441</v>
      </c>
      <c r="F63" s="2097"/>
      <c r="G63" s="2122"/>
      <c r="H63" s="200" t="s">
        <v>308</v>
      </c>
      <c r="I63" s="206" t="s">
        <v>75</v>
      </c>
      <c r="J63" s="1964">
        <f>TARGET!D65</f>
        <v>0</v>
      </c>
      <c r="K63" s="2159">
        <v>0</v>
      </c>
      <c r="L63" s="2160">
        <f>'ALL BULAN'!E63</f>
        <v>0</v>
      </c>
      <c r="M63" s="2161">
        <f t="shared" si="9"/>
        <v>0</v>
      </c>
      <c r="N63" s="1891">
        <f t="shared" si="8"/>
        <v>0</v>
      </c>
      <c r="O63" s="2162">
        <v>0</v>
      </c>
      <c r="P63" s="2132"/>
    </row>
    <row r="64" spans="1:16" s="2070" customFormat="1">
      <c r="A64" s="2114">
        <v>4</v>
      </c>
      <c r="B64" s="2114">
        <v>1</v>
      </c>
      <c r="C64" s="2114" t="s">
        <v>443</v>
      </c>
      <c r="D64" s="2114" t="s">
        <v>447</v>
      </c>
      <c r="E64" s="2125" t="s">
        <v>437</v>
      </c>
      <c r="F64" s="2097"/>
      <c r="G64" s="2126"/>
      <c r="H64" s="2730" t="s">
        <v>50</v>
      </c>
      <c r="I64" s="206" t="s">
        <v>85</v>
      </c>
      <c r="J64" s="1964">
        <f>TARGET!D66</f>
        <v>0</v>
      </c>
      <c r="K64" s="2159">
        <v>0</v>
      </c>
      <c r="L64" s="2160">
        <f>'ALL BULAN'!E64</f>
        <v>0</v>
      </c>
      <c r="M64" s="2161">
        <f t="shared" si="9"/>
        <v>0</v>
      </c>
      <c r="N64" s="1891">
        <f t="shared" si="8"/>
        <v>0</v>
      </c>
      <c r="O64" s="2162">
        <v>0</v>
      </c>
      <c r="P64" s="2132"/>
    </row>
    <row r="65" spans="1:16" s="2070" customFormat="1" ht="5.35" customHeight="1">
      <c r="A65" s="2096"/>
      <c r="B65" s="2096"/>
      <c r="C65" s="2096"/>
      <c r="D65" s="2096"/>
      <c r="E65" s="2096"/>
      <c r="F65" s="2097"/>
      <c r="G65" s="2199"/>
      <c r="H65" s="2117"/>
      <c r="I65" s="2117"/>
      <c r="J65" s="2182"/>
      <c r="K65" s="2183"/>
      <c r="L65" s="2182"/>
      <c r="M65" s="1469"/>
      <c r="N65" s="1469"/>
      <c r="O65" s="2184"/>
      <c r="P65" s="2132"/>
    </row>
    <row r="66" spans="1:16" s="2073" customFormat="1" ht="15.65">
      <c r="A66" s="2090"/>
      <c r="B66" s="2090"/>
      <c r="C66" s="2090"/>
      <c r="D66" s="2090"/>
      <c r="E66" s="2090"/>
      <c r="F66" s="2091"/>
      <c r="G66" s="2092"/>
      <c r="H66" s="2093" t="s">
        <v>88</v>
      </c>
      <c r="I66" s="2195"/>
      <c r="J66" s="2147">
        <f>SUM(J67)</f>
        <v>2197286650</v>
      </c>
      <c r="K66" s="2148">
        <v>258576041</v>
      </c>
      <c r="L66" s="2147">
        <f>SUM(L67)</f>
        <v>105214667</v>
      </c>
      <c r="M66" s="2147">
        <f t="shared" ref="M66:M76" si="10">SUM(K66:L66)</f>
        <v>363790708</v>
      </c>
      <c r="N66" s="2147">
        <f t="shared" ref="N66:N76" si="11">M66-J66</f>
        <v>-1833495942</v>
      </c>
      <c r="O66" s="2149">
        <f>M66/J66*100</f>
        <v>16.55636090994318</v>
      </c>
      <c r="P66" s="2150"/>
    </row>
    <row r="67" spans="1:16" s="2070" customFormat="1">
      <c r="A67" s="2102">
        <v>4</v>
      </c>
      <c r="B67" s="2102">
        <v>1</v>
      </c>
      <c r="C67" s="2102">
        <v>4</v>
      </c>
      <c r="D67" s="2096"/>
      <c r="E67" s="2096"/>
      <c r="F67" s="2103">
        <v>3</v>
      </c>
      <c r="G67" s="2200"/>
      <c r="H67" s="2124" t="s">
        <v>71</v>
      </c>
      <c r="I67" s="2124"/>
      <c r="J67" s="2216">
        <f>SUM(J68)</f>
        <v>2197286650</v>
      </c>
      <c r="K67" s="2159">
        <v>258576041</v>
      </c>
      <c r="L67" s="2216">
        <f>SUM(L68)</f>
        <v>105214667</v>
      </c>
      <c r="M67" s="2161">
        <f t="shared" si="10"/>
        <v>363790708</v>
      </c>
      <c r="N67" s="1891">
        <f t="shared" si="11"/>
        <v>-1833495942</v>
      </c>
      <c r="O67" s="2162">
        <f>M67/J67*100</f>
        <v>16.55636090994318</v>
      </c>
      <c r="P67" s="2132"/>
    </row>
    <row r="68" spans="1:16" s="2070" customFormat="1">
      <c r="A68" s="1902">
        <v>4</v>
      </c>
      <c r="B68" s="1902">
        <v>1</v>
      </c>
      <c r="C68" s="1902" t="s">
        <v>443</v>
      </c>
      <c r="D68" s="1902" t="s">
        <v>449</v>
      </c>
      <c r="E68" s="2096"/>
      <c r="F68" s="2097"/>
      <c r="G68" s="2201"/>
      <c r="H68" s="2731" t="s">
        <v>89</v>
      </c>
      <c r="I68" s="1318"/>
      <c r="J68" s="2196">
        <f>SUM(J69)</f>
        <v>2197286650</v>
      </c>
      <c r="K68" s="2159">
        <v>258576041</v>
      </c>
      <c r="L68" s="2196">
        <f>SUM(L69)</f>
        <v>105214667</v>
      </c>
      <c r="M68" s="2161">
        <f t="shared" si="10"/>
        <v>363790708</v>
      </c>
      <c r="N68" s="1891">
        <f t="shared" si="11"/>
        <v>-1833495942</v>
      </c>
      <c r="O68" s="2162">
        <f>M68/J68*100</f>
        <v>16.55636090994318</v>
      </c>
      <c r="P68" s="2132"/>
    </row>
    <row r="69" spans="1:16" s="2074" customFormat="1">
      <c r="A69" s="2114">
        <v>4</v>
      </c>
      <c r="B69" s="2114">
        <v>1</v>
      </c>
      <c r="C69" s="2114" t="s">
        <v>443</v>
      </c>
      <c r="D69" s="2114" t="s">
        <v>449</v>
      </c>
      <c r="E69" s="2125" t="s">
        <v>438</v>
      </c>
      <c r="F69" s="2202"/>
      <c r="G69" s="2203"/>
      <c r="H69" s="2731" t="s">
        <v>90</v>
      </c>
      <c r="I69" s="218"/>
      <c r="J69" s="2217">
        <f>SUM(J70:J76)</f>
        <v>2197286650</v>
      </c>
      <c r="K69" s="2159">
        <v>258576041</v>
      </c>
      <c r="L69" s="2217">
        <f>SUM(L70:L76)</f>
        <v>105214667</v>
      </c>
      <c r="M69" s="2161">
        <f t="shared" si="10"/>
        <v>363790708</v>
      </c>
      <c r="N69" s="1891">
        <f t="shared" si="11"/>
        <v>-1833495942</v>
      </c>
      <c r="O69" s="2162">
        <f>M69/J69*100</f>
        <v>16.55636090994318</v>
      </c>
      <c r="P69" s="2132"/>
    </row>
    <row r="70" spans="1:16" s="2070" customFormat="1">
      <c r="A70" s="2096"/>
      <c r="B70" s="2096"/>
      <c r="C70" s="2096"/>
      <c r="D70" s="2096"/>
      <c r="E70" s="2096"/>
      <c r="F70" s="2097"/>
      <c r="G70" s="2201"/>
      <c r="H70" s="2731" t="s">
        <v>50</v>
      </c>
      <c r="I70" s="217" t="s">
        <v>89</v>
      </c>
      <c r="J70" s="1964">
        <f>TARGET!D72</f>
        <v>2197286650</v>
      </c>
      <c r="K70" s="2159">
        <v>258576041</v>
      </c>
      <c r="L70" s="2160">
        <v>105214667</v>
      </c>
      <c r="M70" s="2218">
        <f t="shared" si="10"/>
        <v>363790708</v>
      </c>
      <c r="N70" s="2164">
        <f t="shared" si="11"/>
        <v>-1833495942</v>
      </c>
      <c r="O70" s="2162">
        <f>M70/J70*100</f>
        <v>16.55636090994318</v>
      </c>
      <c r="P70" s="2132"/>
    </row>
    <row r="71" spans="1:16" s="2070" customFormat="1">
      <c r="A71" s="2096"/>
      <c r="B71" s="2096"/>
      <c r="C71" s="2096"/>
      <c r="D71" s="2096"/>
      <c r="E71" s="2096"/>
      <c r="F71" s="2097"/>
      <c r="G71" s="2201"/>
      <c r="H71" s="2731" t="s">
        <v>50</v>
      </c>
      <c r="I71" s="217" t="s">
        <v>91</v>
      </c>
      <c r="J71" s="1964">
        <f>TARGET!D73</f>
        <v>0</v>
      </c>
      <c r="K71" s="2159">
        <v>0</v>
      </c>
      <c r="L71" s="2160">
        <f>'ALL BULAN'!E71</f>
        <v>0</v>
      </c>
      <c r="M71" s="2161">
        <f t="shared" si="10"/>
        <v>0</v>
      </c>
      <c r="N71" s="1891">
        <f t="shared" si="11"/>
        <v>0</v>
      </c>
      <c r="O71" s="2162">
        <v>0</v>
      </c>
      <c r="P71" s="2132"/>
    </row>
    <row r="72" spans="1:16" s="2070" customFormat="1">
      <c r="A72" s="2102">
        <v>4</v>
      </c>
      <c r="B72" s="2102">
        <v>1</v>
      </c>
      <c r="C72" s="2102">
        <v>4</v>
      </c>
      <c r="D72" s="2102" t="s">
        <v>441</v>
      </c>
      <c r="E72" s="2096"/>
      <c r="F72" s="2097"/>
      <c r="G72" s="2122"/>
      <c r="H72" s="2731" t="s">
        <v>50</v>
      </c>
      <c r="I72" s="200" t="s">
        <v>72</v>
      </c>
      <c r="J72" s="1964">
        <f>TARGET!D74</f>
        <v>0</v>
      </c>
      <c r="K72" s="2159">
        <v>0</v>
      </c>
      <c r="L72" s="2160">
        <f>'ALL BULAN'!E72</f>
        <v>0</v>
      </c>
      <c r="M72" s="2161">
        <f t="shared" si="10"/>
        <v>0</v>
      </c>
      <c r="N72" s="1891">
        <f t="shared" si="11"/>
        <v>0</v>
      </c>
      <c r="O72" s="2162">
        <v>0</v>
      </c>
      <c r="P72" s="2132"/>
    </row>
    <row r="73" spans="1:16" s="2070" customFormat="1">
      <c r="A73" s="1854">
        <v>4</v>
      </c>
      <c r="B73" s="1854">
        <v>1</v>
      </c>
      <c r="C73" s="1854" t="s">
        <v>443</v>
      </c>
      <c r="D73" s="1854" t="s">
        <v>444</v>
      </c>
      <c r="E73" s="1854" t="s">
        <v>440</v>
      </c>
      <c r="F73" s="2097"/>
      <c r="G73" s="2122"/>
      <c r="H73" s="2731" t="s">
        <v>50</v>
      </c>
      <c r="I73" s="200" t="s">
        <v>73</v>
      </c>
      <c r="J73" s="1964">
        <f>TARGET!D75</f>
        <v>0</v>
      </c>
      <c r="K73" s="2159">
        <v>0</v>
      </c>
      <c r="L73" s="2160">
        <v>0</v>
      </c>
      <c r="M73" s="2161">
        <f t="shared" si="10"/>
        <v>0</v>
      </c>
      <c r="N73" s="1891">
        <f t="shared" si="11"/>
        <v>0</v>
      </c>
      <c r="O73" s="2162">
        <v>0</v>
      </c>
      <c r="P73" s="2132"/>
    </row>
    <row r="74" spans="1:16" s="2070" customFormat="1">
      <c r="A74" s="1854">
        <v>4</v>
      </c>
      <c r="B74" s="1854">
        <v>1</v>
      </c>
      <c r="C74" s="1854" t="s">
        <v>443</v>
      </c>
      <c r="D74" s="1854" t="s">
        <v>444</v>
      </c>
      <c r="E74" s="1854" t="s">
        <v>445</v>
      </c>
      <c r="F74" s="2097"/>
      <c r="G74" s="2122"/>
      <c r="H74" s="2731" t="s">
        <v>50</v>
      </c>
      <c r="I74" s="200" t="s">
        <v>74</v>
      </c>
      <c r="J74" s="1964">
        <f>TARGET!D76</f>
        <v>0</v>
      </c>
      <c r="K74" s="2159">
        <v>0</v>
      </c>
      <c r="L74" s="2160">
        <f>'ALL BULAN'!E74</f>
        <v>0</v>
      </c>
      <c r="M74" s="2161">
        <f t="shared" si="10"/>
        <v>0</v>
      </c>
      <c r="N74" s="1891">
        <f t="shared" si="11"/>
        <v>0</v>
      </c>
      <c r="O74" s="2162">
        <v>0</v>
      </c>
      <c r="P74" s="2132"/>
    </row>
    <row r="75" spans="1:16" s="2070" customFormat="1">
      <c r="A75" s="1902">
        <v>4</v>
      </c>
      <c r="B75" s="1902">
        <v>1</v>
      </c>
      <c r="C75" s="1902" t="s">
        <v>443</v>
      </c>
      <c r="D75" s="1902" t="s">
        <v>444</v>
      </c>
      <c r="E75" s="1902" t="s">
        <v>441</v>
      </c>
      <c r="F75" s="2097"/>
      <c r="G75" s="2122"/>
      <c r="H75" s="200" t="s">
        <v>308</v>
      </c>
      <c r="I75" s="206" t="s">
        <v>75</v>
      </c>
      <c r="J75" s="1964">
        <f>TARGET!D77</f>
        <v>0</v>
      </c>
      <c r="K75" s="2159">
        <v>0</v>
      </c>
      <c r="L75" s="2160">
        <f>'ALL BULAN'!E75</f>
        <v>0</v>
      </c>
      <c r="M75" s="2161">
        <f t="shared" si="10"/>
        <v>0</v>
      </c>
      <c r="N75" s="1891">
        <f t="shared" si="11"/>
        <v>0</v>
      </c>
      <c r="O75" s="2162">
        <v>0</v>
      </c>
      <c r="P75" s="2132"/>
    </row>
    <row r="76" spans="1:16" s="2070" customFormat="1">
      <c r="A76" s="2114">
        <v>4</v>
      </c>
      <c r="B76" s="2114">
        <v>1</v>
      </c>
      <c r="C76" s="2114" t="s">
        <v>443</v>
      </c>
      <c r="D76" s="2114" t="s">
        <v>447</v>
      </c>
      <c r="E76" s="2125" t="s">
        <v>437</v>
      </c>
      <c r="F76" s="2097"/>
      <c r="G76" s="2122"/>
      <c r="H76" s="2730" t="s">
        <v>50</v>
      </c>
      <c r="I76" s="206" t="s">
        <v>85</v>
      </c>
      <c r="J76" s="1964">
        <f>TARGET!D78</f>
        <v>0</v>
      </c>
      <c r="K76" s="2159">
        <v>0</v>
      </c>
      <c r="L76" s="2160">
        <f>'ALL BULAN'!E76</f>
        <v>0</v>
      </c>
      <c r="M76" s="2161">
        <f t="shared" si="10"/>
        <v>0</v>
      </c>
      <c r="N76" s="1891">
        <f t="shared" si="11"/>
        <v>0</v>
      </c>
      <c r="O76" s="2162">
        <v>0</v>
      </c>
      <c r="P76" s="2132"/>
    </row>
    <row r="77" spans="1:16" s="2070" customFormat="1" ht="4.55" customHeight="1">
      <c r="A77" s="2096"/>
      <c r="B77" s="2096"/>
      <c r="C77" s="2096"/>
      <c r="D77" s="2096"/>
      <c r="E77" s="2096"/>
      <c r="F77" s="2097"/>
      <c r="G77" s="2116"/>
      <c r="H77" s="2117"/>
      <c r="I77" s="2117"/>
      <c r="J77" s="2219"/>
      <c r="K77" s="2220"/>
      <c r="L77" s="2219"/>
      <c r="M77" s="1533"/>
      <c r="N77" s="1533"/>
      <c r="O77" s="2221"/>
      <c r="P77" s="2132"/>
    </row>
    <row r="78" spans="1:16" s="2073" customFormat="1" ht="15.65">
      <c r="A78" s="2090"/>
      <c r="B78" s="2090"/>
      <c r="C78" s="2090"/>
      <c r="D78" s="2090"/>
      <c r="E78" s="2090"/>
      <c r="F78" s="2091"/>
      <c r="G78" s="2204"/>
      <c r="H78" s="2093" t="s">
        <v>92</v>
      </c>
      <c r="I78" s="2222"/>
      <c r="J78" s="2147">
        <f>J79+J84</f>
        <v>300000000</v>
      </c>
      <c r="K78" s="2148">
        <v>855000</v>
      </c>
      <c r="L78" s="2147">
        <f>L79+L84</f>
        <v>0</v>
      </c>
      <c r="M78" s="2147">
        <f>SUM(K78:L78)</f>
        <v>855000</v>
      </c>
      <c r="N78" s="2147">
        <f t="shared" ref="N78:N89" si="12">M78-J78</f>
        <v>-299145000</v>
      </c>
      <c r="O78" s="2149">
        <f>M78/J78*100</f>
        <v>0.28500000000000003</v>
      </c>
      <c r="P78" s="2150"/>
    </row>
    <row r="79" spans="1:16" s="2074" customFormat="1">
      <c r="A79" s="2094">
        <v>4</v>
      </c>
      <c r="B79" s="2094">
        <v>1</v>
      </c>
      <c r="C79" s="2094">
        <v>2</v>
      </c>
      <c r="D79" s="2095" t="s">
        <v>437</v>
      </c>
      <c r="E79" s="2096"/>
      <c r="F79" s="2128">
        <v>1</v>
      </c>
      <c r="G79" s="2205"/>
      <c r="H79" s="2206" t="s">
        <v>63</v>
      </c>
      <c r="I79" s="2206"/>
      <c r="J79" s="2223">
        <f>SUM(J80:J82)</f>
        <v>300000000</v>
      </c>
      <c r="K79" s="2159">
        <v>0</v>
      </c>
      <c r="L79" s="2187">
        <f>SUM(L80:L82)</f>
        <v>0</v>
      </c>
      <c r="M79" s="2161">
        <f>SUM(K79:L79)</f>
        <v>0</v>
      </c>
      <c r="N79" s="1891">
        <f t="shared" si="12"/>
        <v>-300000000</v>
      </c>
      <c r="O79" s="2162">
        <f>M79/J79*100</f>
        <v>0</v>
      </c>
      <c r="P79" s="2132"/>
    </row>
    <row r="80" spans="1:16" s="2070" customFormat="1">
      <c r="A80" s="1905">
        <v>4</v>
      </c>
      <c r="B80" s="1905">
        <v>1</v>
      </c>
      <c r="C80" s="1905">
        <v>2</v>
      </c>
      <c r="D80" s="1905" t="s">
        <v>438</v>
      </c>
      <c r="E80" s="1854" t="s">
        <v>437</v>
      </c>
      <c r="F80" s="2097"/>
      <c r="G80" s="2207"/>
      <c r="H80" s="2749" t="s">
        <v>50</v>
      </c>
      <c r="I80" s="1903" t="s">
        <v>93</v>
      </c>
      <c r="J80" s="1964">
        <f>TARGET!D82</f>
        <v>90000000</v>
      </c>
      <c r="K80" s="2159">
        <v>0</v>
      </c>
      <c r="L80" s="2160">
        <f>'ALL BULAN'!E80</f>
        <v>0</v>
      </c>
      <c r="M80" s="2161">
        <f>SUM(K80:L80)</f>
        <v>0</v>
      </c>
      <c r="N80" s="1891">
        <f t="shared" si="12"/>
        <v>-90000000</v>
      </c>
      <c r="O80" s="2162">
        <f>M80/J80*100</f>
        <v>0</v>
      </c>
      <c r="P80" s="2132"/>
    </row>
    <row r="81" spans="1:16" s="2070" customFormat="1" ht="4.55" customHeight="1">
      <c r="A81" s="2096"/>
      <c r="B81" s="2096"/>
      <c r="C81" s="2096"/>
      <c r="D81" s="2096"/>
      <c r="E81" s="2096"/>
      <c r="F81" s="2097"/>
      <c r="G81" s="2207"/>
      <c r="H81" s="1903"/>
      <c r="I81" s="1903"/>
      <c r="J81" s="1964"/>
      <c r="K81" s="2159"/>
      <c r="L81" s="1964"/>
      <c r="M81" s="2161"/>
      <c r="N81" s="1891">
        <f t="shared" si="12"/>
        <v>0</v>
      </c>
      <c r="O81" s="2162">
        <f>N81-K81</f>
        <v>0</v>
      </c>
      <c r="P81" s="2132"/>
    </row>
    <row r="82" spans="1:16" s="2070" customFormat="1">
      <c r="A82" s="1905">
        <v>4</v>
      </c>
      <c r="B82" s="1905">
        <v>1</v>
      </c>
      <c r="C82" s="1905">
        <v>2</v>
      </c>
      <c r="D82" s="1905" t="s">
        <v>438</v>
      </c>
      <c r="E82" s="1854" t="s">
        <v>438</v>
      </c>
      <c r="F82" s="2097"/>
      <c r="G82" s="2207"/>
      <c r="H82" s="2749" t="s">
        <v>50</v>
      </c>
      <c r="I82" s="1903" t="s">
        <v>94</v>
      </c>
      <c r="J82" s="1964">
        <f>TARGET!D84</f>
        <v>210000000</v>
      </c>
      <c r="K82" s="2159">
        <v>0</v>
      </c>
      <c r="L82" s="2160">
        <f>'ALL BULAN'!E82</f>
        <v>0</v>
      </c>
      <c r="M82" s="2161">
        <f>SUM(K82:L82)</f>
        <v>0</v>
      </c>
      <c r="N82" s="1891">
        <f t="shared" si="12"/>
        <v>-210000000</v>
      </c>
      <c r="O82" s="2162">
        <f>M82/J82*100</f>
        <v>0</v>
      </c>
      <c r="P82" s="2132"/>
    </row>
    <row r="83" spans="1:16" s="2070" customFormat="1" ht="5.35" customHeight="1">
      <c r="A83" s="2096"/>
      <c r="B83" s="2096"/>
      <c r="C83" s="2096"/>
      <c r="D83" s="2096"/>
      <c r="E83" s="2096"/>
      <c r="F83" s="2097"/>
      <c r="G83" s="2207"/>
      <c r="H83" s="1903"/>
      <c r="I83" s="1903"/>
      <c r="J83" s="2224"/>
      <c r="K83" s="2159"/>
      <c r="L83" s="2188"/>
      <c r="M83" s="2161"/>
      <c r="N83" s="1891">
        <f t="shared" si="12"/>
        <v>0</v>
      </c>
      <c r="O83" s="2162">
        <f>N83-K83</f>
        <v>0</v>
      </c>
      <c r="P83" s="2132"/>
    </row>
    <row r="84" spans="1:16" s="2070" customFormat="1">
      <c r="A84" s="2102">
        <v>4</v>
      </c>
      <c r="B84" s="2102">
        <v>1</v>
      </c>
      <c r="C84" s="2102">
        <v>4</v>
      </c>
      <c r="D84" s="2096"/>
      <c r="E84" s="2096"/>
      <c r="F84" s="2103">
        <v>3</v>
      </c>
      <c r="G84" s="2207"/>
      <c r="H84" s="2208" t="s">
        <v>71</v>
      </c>
      <c r="I84" s="2208"/>
      <c r="J84" s="2189">
        <f>SUM(J85:J89)</f>
        <v>0</v>
      </c>
      <c r="K84" s="2159">
        <v>855000</v>
      </c>
      <c r="L84" s="2190">
        <f>SUM(L85:L89)</f>
        <v>0</v>
      </c>
      <c r="M84" s="2161">
        <f t="shared" ref="M84:M89" si="13">SUM(K84:L84)</f>
        <v>855000</v>
      </c>
      <c r="N84" s="1891">
        <f t="shared" si="12"/>
        <v>855000</v>
      </c>
      <c r="O84" s="2162">
        <v>0</v>
      </c>
      <c r="P84" s="2132"/>
    </row>
    <row r="85" spans="1:16" s="2070" customFormat="1">
      <c r="A85" s="2102">
        <v>4</v>
      </c>
      <c r="B85" s="2102">
        <v>1</v>
      </c>
      <c r="C85" s="2102">
        <v>4</v>
      </c>
      <c r="D85" s="2102" t="s">
        <v>441</v>
      </c>
      <c r="E85" s="2096"/>
      <c r="F85" s="2097"/>
      <c r="G85" s="2207"/>
      <c r="H85" s="2749" t="s">
        <v>50</v>
      </c>
      <c r="I85" s="201" t="s">
        <v>72</v>
      </c>
      <c r="J85" s="1964">
        <f>TARGET!D87</f>
        <v>0</v>
      </c>
      <c r="K85" s="2159">
        <v>0</v>
      </c>
      <c r="L85" s="2160">
        <f>'ALL BULAN'!E85</f>
        <v>0</v>
      </c>
      <c r="M85" s="2161">
        <f t="shared" si="13"/>
        <v>0</v>
      </c>
      <c r="N85" s="1891">
        <f t="shared" si="12"/>
        <v>0</v>
      </c>
      <c r="O85" s="2162">
        <v>0</v>
      </c>
      <c r="P85" s="2132"/>
    </row>
    <row r="86" spans="1:16" s="2070" customFormat="1">
      <c r="A86" s="1902">
        <v>4</v>
      </c>
      <c r="B86" s="1902">
        <v>1</v>
      </c>
      <c r="C86" s="1902" t="s">
        <v>443</v>
      </c>
      <c r="D86" s="1902" t="s">
        <v>444</v>
      </c>
      <c r="E86" s="1902" t="s">
        <v>440</v>
      </c>
      <c r="F86" s="2097"/>
      <c r="G86" s="2207"/>
      <c r="H86" s="2749" t="s">
        <v>50</v>
      </c>
      <c r="I86" s="201" t="s">
        <v>73</v>
      </c>
      <c r="J86" s="1964">
        <f>TARGET!D88</f>
        <v>0</v>
      </c>
      <c r="K86" s="2159">
        <v>0</v>
      </c>
      <c r="L86" s="2160">
        <f>'ALL BULAN'!E86</f>
        <v>0</v>
      </c>
      <c r="M86" s="2161">
        <f t="shared" si="13"/>
        <v>0</v>
      </c>
      <c r="N86" s="1891">
        <f t="shared" si="12"/>
        <v>0</v>
      </c>
      <c r="O86" s="2162">
        <v>0</v>
      </c>
      <c r="P86" s="2132"/>
    </row>
    <row r="87" spans="1:16" s="2070" customFormat="1">
      <c r="A87" s="1944">
        <v>4</v>
      </c>
      <c r="B87" s="1944">
        <v>1</v>
      </c>
      <c r="C87" s="1944" t="s">
        <v>443</v>
      </c>
      <c r="D87" s="1944" t="s">
        <v>444</v>
      </c>
      <c r="E87" s="2105" t="s">
        <v>445</v>
      </c>
      <c r="F87" s="2097"/>
      <c r="G87" s="2207"/>
      <c r="H87" s="2749" t="s">
        <v>50</v>
      </c>
      <c r="I87" s="201" t="s">
        <v>74</v>
      </c>
      <c r="J87" s="1964">
        <f>TARGET!D89</f>
        <v>0</v>
      </c>
      <c r="K87" s="2159">
        <v>0</v>
      </c>
      <c r="L87" s="2160">
        <f>'ALL BULAN'!E87</f>
        <v>0</v>
      </c>
      <c r="M87" s="2161">
        <f t="shared" si="13"/>
        <v>0</v>
      </c>
      <c r="N87" s="1891">
        <f t="shared" si="12"/>
        <v>0</v>
      </c>
      <c r="O87" s="2162">
        <v>0</v>
      </c>
      <c r="P87" s="2132"/>
    </row>
    <row r="88" spans="1:16" s="2070" customFormat="1">
      <c r="A88" s="1725">
        <v>4</v>
      </c>
      <c r="B88" s="1725">
        <v>1</v>
      </c>
      <c r="C88" s="1725" t="s">
        <v>443</v>
      </c>
      <c r="D88" s="1725" t="s">
        <v>444</v>
      </c>
      <c r="E88" s="1725" t="s">
        <v>441</v>
      </c>
      <c r="F88" s="2097"/>
      <c r="G88" s="2207"/>
      <c r="H88" s="201" t="s">
        <v>308</v>
      </c>
      <c r="I88" s="1903" t="s">
        <v>75</v>
      </c>
      <c r="J88" s="1964">
        <f>TARGET!D90</f>
        <v>0</v>
      </c>
      <c r="K88" s="2159">
        <v>855000</v>
      </c>
      <c r="L88" s="2160">
        <v>0</v>
      </c>
      <c r="M88" s="2161">
        <f t="shared" si="13"/>
        <v>855000</v>
      </c>
      <c r="N88" s="1891">
        <f t="shared" si="12"/>
        <v>855000</v>
      </c>
      <c r="O88" s="2162">
        <v>0</v>
      </c>
      <c r="P88" s="2132"/>
    </row>
    <row r="89" spans="1:16" s="2070" customFormat="1">
      <c r="A89" s="2114">
        <v>4</v>
      </c>
      <c r="B89" s="2114">
        <v>1</v>
      </c>
      <c r="C89" s="2114" t="s">
        <v>443</v>
      </c>
      <c r="D89" s="2114" t="s">
        <v>447</v>
      </c>
      <c r="E89" s="2125" t="s">
        <v>437</v>
      </c>
      <c r="F89" s="2097"/>
      <c r="G89" s="2207"/>
      <c r="H89" s="2749" t="s">
        <v>50</v>
      </c>
      <c r="I89" s="1903" t="s">
        <v>85</v>
      </c>
      <c r="J89" s="1964">
        <f>TARGET!D91</f>
        <v>0</v>
      </c>
      <c r="K89" s="2159">
        <v>0</v>
      </c>
      <c r="L89" s="2160">
        <f>'ALL BULAN'!E89</f>
        <v>0</v>
      </c>
      <c r="M89" s="2161">
        <f t="shared" si="13"/>
        <v>0</v>
      </c>
      <c r="N89" s="1891">
        <f t="shared" si="12"/>
        <v>0</v>
      </c>
      <c r="O89" s="2162">
        <v>0</v>
      </c>
      <c r="P89" s="2132"/>
    </row>
    <row r="90" spans="1:16" s="2070" customFormat="1" ht="5.35" customHeight="1">
      <c r="A90" s="2096"/>
      <c r="B90" s="2096"/>
      <c r="C90" s="2096"/>
      <c r="D90" s="2096"/>
      <c r="E90" s="2096"/>
      <c r="F90" s="2097"/>
      <c r="G90" s="2116"/>
      <c r="H90" s="2117"/>
      <c r="I90" s="2117"/>
      <c r="J90" s="2182"/>
      <c r="K90" s="2183"/>
      <c r="L90" s="2182"/>
      <c r="M90" s="1469"/>
      <c r="N90" s="1469"/>
      <c r="O90" s="2184"/>
      <c r="P90" s="2132"/>
    </row>
    <row r="91" spans="1:16" s="2073" customFormat="1" ht="15.65">
      <c r="A91" s="2090"/>
      <c r="B91" s="2090"/>
      <c r="C91" s="2090"/>
      <c r="D91" s="2090"/>
      <c r="E91" s="2090"/>
      <c r="F91" s="2091"/>
      <c r="G91" s="2092"/>
      <c r="H91" s="2093" t="s">
        <v>95</v>
      </c>
      <c r="I91" s="2195"/>
      <c r="J91" s="2147">
        <f>J93</f>
        <v>16250000000</v>
      </c>
      <c r="K91" s="2148">
        <v>2651132328.7199998</v>
      </c>
      <c r="L91" s="2147">
        <f>L93</f>
        <v>1246849913.1600001</v>
      </c>
      <c r="M91" s="2147">
        <f>M93</f>
        <v>3897982241.8800001</v>
      </c>
      <c r="N91" s="2147">
        <f>N93</f>
        <v>-12352017758.119999</v>
      </c>
      <c r="O91" s="2149">
        <f t="shared" ref="O91:O96" si="14">M91/J91*100</f>
        <v>23.987583026953846</v>
      </c>
      <c r="P91" s="2150"/>
    </row>
    <row r="92" spans="1:16" s="2075" customFormat="1" ht="9.1" customHeight="1">
      <c r="A92" s="2209"/>
      <c r="B92" s="2209"/>
      <c r="C92" s="2209"/>
      <c r="D92" s="2209"/>
      <c r="E92" s="2209"/>
      <c r="F92" s="2210"/>
      <c r="G92" s="2205"/>
      <c r="H92" s="2211"/>
      <c r="I92" s="2206"/>
      <c r="J92" s="2223"/>
      <c r="K92" s="2225"/>
      <c r="L92" s="2223"/>
      <c r="M92" s="2223"/>
      <c r="N92" s="2223"/>
      <c r="O92" s="2226"/>
      <c r="P92" s="2227"/>
    </row>
    <row r="93" spans="1:16" s="2070" customFormat="1" ht="11.3" customHeight="1">
      <c r="A93" s="2096"/>
      <c r="B93" s="2096"/>
      <c r="C93" s="2096"/>
      <c r="D93" s="2096"/>
      <c r="E93" s="2096"/>
      <c r="F93" s="2103">
        <v>3</v>
      </c>
      <c r="G93" s="2212"/>
      <c r="H93" s="212" t="s">
        <v>71</v>
      </c>
      <c r="I93" s="2228"/>
      <c r="J93" s="2229">
        <f>SUM(J95:J102)</f>
        <v>16250000000</v>
      </c>
      <c r="K93" s="2230">
        <v>2651132328.7199998</v>
      </c>
      <c r="L93" s="2229">
        <f>SUM(L95:L102)</f>
        <v>1246849913.1600001</v>
      </c>
      <c r="M93" s="2229">
        <f>SUM(M95:M102)</f>
        <v>3897982241.8800001</v>
      </c>
      <c r="N93" s="2229">
        <f>SUM(N95:N102)</f>
        <v>-12352017758.119999</v>
      </c>
      <c r="O93" s="2231"/>
      <c r="P93" s="2132"/>
    </row>
    <row r="94" spans="1:16" s="2074" customFormat="1">
      <c r="A94" s="1902">
        <v>4</v>
      </c>
      <c r="B94" s="1902">
        <v>1</v>
      </c>
      <c r="C94" s="1902" t="s">
        <v>443</v>
      </c>
      <c r="D94" s="1902" t="s">
        <v>449</v>
      </c>
      <c r="E94" s="2096"/>
      <c r="F94" s="2202"/>
      <c r="G94" s="2100"/>
      <c r="H94" s="212" t="s">
        <v>96</v>
      </c>
      <c r="J94" s="1891">
        <f>SUM(J95:J96)</f>
        <v>16250000000</v>
      </c>
      <c r="K94" s="2159">
        <v>2651132328.7199998</v>
      </c>
      <c r="L94" s="1891">
        <f>SUM(L95:L96)</f>
        <v>1246849913.1600001</v>
      </c>
      <c r="M94" s="2161">
        <f>SUM(K94:L94)</f>
        <v>3897982241.8800001</v>
      </c>
      <c r="N94" s="1891">
        <f t="shared" ref="N94:N102" si="15">M94-J94</f>
        <v>-12352017758.119999</v>
      </c>
      <c r="O94" s="2162">
        <f t="shared" si="14"/>
        <v>23.987583026953846</v>
      </c>
      <c r="P94" s="2132"/>
    </row>
    <row r="95" spans="1:16" s="2070" customFormat="1">
      <c r="A95" s="2114">
        <v>4</v>
      </c>
      <c r="B95" s="2114">
        <v>1</v>
      </c>
      <c r="C95" s="2114" t="s">
        <v>443</v>
      </c>
      <c r="D95" s="2114" t="s">
        <v>449</v>
      </c>
      <c r="E95" s="2125" t="s">
        <v>437</v>
      </c>
      <c r="F95" s="2097"/>
      <c r="G95" s="2213"/>
      <c r="H95" s="2732" t="s">
        <v>50</v>
      </c>
      <c r="I95" s="217" t="s">
        <v>97</v>
      </c>
      <c r="J95" s="1964">
        <f>TARGET!D96</f>
        <v>16000000000</v>
      </c>
      <c r="K95" s="2159">
        <v>2651132328.7199998</v>
      </c>
      <c r="L95" s="2160">
        <v>1246849913.1600001</v>
      </c>
      <c r="M95" s="2161">
        <f>SUM(K95:L95)</f>
        <v>3897982241.8800001</v>
      </c>
      <c r="N95" s="1891">
        <f t="shared" si="15"/>
        <v>-12102017758.119999</v>
      </c>
      <c r="O95" s="2162">
        <f t="shared" si="14"/>
        <v>24.36238901175</v>
      </c>
      <c r="P95" s="2132"/>
    </row>
    <row r="96" spans="1:16" s="2070" customFormat="1">
      <c r="A96" s="2096"/>
      <c r="B96" s="2096"/>
      <c r="C96" s="2096"/>
      <c r="D96" s="2096"/>
      <c r="E96" s="2096"/>
      <c r="F96" s="2097"/>
      <c r="G96" s="2213"/>
      <c r="H96" s="2727" t="s">
        <v>50</v>
      </c>
      <c r="I96" s="224" t="s">
        <v>98</v>
      </c>
      <c r="J96" s="1964">
        <f>TARGET!D97</f>
        <v>250000000</v>
      </c>
      <c r="K96" s="2159">
        <v>0</v>
      </c>
      <c r="L96" s="2160">
        <f>'ALL BULAN'!E95</f>
        <v>0</v>
      </c>
      <c r="M96" s="2161">
        <f>SUM(K96:L96)</f>
        <v>0</v>
      </c>
      <c r="N96" s="1891">
        <f t="shared" si="15"/>
        <v>-250000000</v>
      </c>
      <c r="O96" s="2162">
        <f t="shared" si="14"/>
        <v>0</v>
      </c>
      <c r="P96" s="2132"/>
    </row>
    <row r="97" spans="1:17" s="2070" customFormat="1" ht="6.75" customHeight="1">
      <c r="A97" s="2096"/>
      <c r="B97" s="2096"/>
      <c r="C97" s="2096"/>
      <c r="D97" s="2096"/>
      <c r="E97" s="2096"/>
      <c r="F97" s="2097"/>
      <c r="G97" s="2213"/>
      <c r="H97" s="224"/>
      <c r="I97" s="224"/>
      <c r="J97" s="2164"/>
      <c r="K97" s="2159"/>
      <c r="L97" s="2164"/>
      <c r="M97" s="2161"/>
      <c r="N97" s="1891">
        <f t="shared" si="15"/>
        <v>0</v>
      </c>
      <c r="O97" s="2162">
        <f>N97-K97</f>
        <v>0</v>
      </c>
      <c r="P97" s="2132"/>
    </row>
    <row r="98" spans="1:17" s="2070" customFormat="1">
      <c r="A98" s="2102">
        <v>4</v>
      </c>
      <c r="B98" s="2102">
        <v>1</v>
      </c>
      <c r="C98" s="2102">
        <v>4</v>
      </c>
      <c r="D98" s="2102" t="s">
        <v>441</v>
      </c>
      <c r="E98" s="2096"/>
      <c r="F98" s="2097"/>
      <c r="G98" s="2213"/>
      <c r="H98" s="2727" t="s">
        <v>50</v>
      </c>
      <c r="I98" s="200" t="s">
        <v>72</v>
      </c>
      <c r="J98" s="1964">
        <f>TARGET!D100</f>
        <v>0</v>
      </c>
      <c r="K98" s="2159">
        <v>0</v>
      </c>
      <c r="L98" s="2160">
        <f>'ALL BULAN'!E98</f>
        <v>0</v>
      </c>
      <c r="M98" s="2161">
        <f>SUM(K98:L98)</f>
        <v>0</v>
      </c>
      <c r="N98" s="1891">
        <f t="shared" si="15"/>
        <v>0</v>
      </c>
      <c r="O98" s="2162">
        <v>0</v>
      </c>
      <c r="P98" s="2132"/>
    </row>
    <row r="99" spans="1:17" s="2070" customFormat="1">
      <c r="A99" s="1902">
        <v>4</v>
      </c>
      <c r="B99" s="1902">
        <v>1</v>
      </c>
      <c r="C99" s="1902" t="s">
        <v>443</v>
      </c>
      <c r="D99" s="1902" t="s">
        <v>444</v>
      </c>
      <c r="E99" s="1902" t="s">
        <v>440</v>
      </c>
      <c r="F99" s="2097"/>
      <c r="G99" s="2213"/>
      <c r="H99" s="2727" t="s">
        <v>50</v>
      </c>
      <c r="I99" s="200" t="s">
        <v>73</v>
      </c>
      <c r="J99" s="1964">
        <f>TARGET!D101</f>
        <v>0</v>
      </c>
      <c r="K99" s="2159">
        <v>0</v>
      </c>
      <c r="L99" s="2160">
        <f>'ALL BULAN'!E99</f>
        <v>0</v>
      </c>
      <c r="M99" s="2161">
        <f>SUM(K99:L99)</f>
        <v>0</v>
      </c>
      <c r="N99" s="1891">
        <f t="shared" si="15"/>
        <v>0</v>
      </c>
      <c r="O99" s="2162">
        <v>0</v>
      </c>
      <c r="P99" s="2132"/>
    </row>
    <row r="100" spans="1:17" s="2070" customFormat="1">
      <c r="A100" s="1944">
        <v>4</v>
      </c>
      <c r="B100" s="1944">
        <v>1</v>
      </c>
      <c r="C100" s="1944" t="s">
        <v>443</v>
      </c>
      <c r="D100" s="1944" t="s">
        <v>444</v>
      </c>
      <c r="E100" s="2105" t="s">
        <v>445</v>
      </c>
      <c r="F100" s="2097"/>
      <c r="G100" s="2213"/>
      <c r="H100" s="2727" t="s">
        <v>50</v>
      </c>
      <c r="I100" s="200" t="s">
        <v>74</v>
      </c>
      <c r="J100" s="1964">
        <f>TARGET!D102</f>
        <v>0</v>
      </c>
      <c r="K100" s="2159">
        <v>0</v>
      </c>
      <c r="L100" s="2160">
        <f>'ALL BULAN'!E100</f>
        <v>0</v>
      </c>
      <c r="M100" s="2161">
        <f>SUM(K100:L100)</f>
        <v>0</v>
      </c>
      <c r="N100" s="1891">
        <f t="shared" si="15"/>
        <v>0</v>
      </c>
      <c r="O100" s="2162">
        <v>0</v>
      </c>
      <c r="P100" s="2132"/>
    </row>
    <row r="101" spans="1:17" s="2070" customFormat="1">
      <c r="A101" s="1725">
        <v>4</v>
      </c>
      <c r="B101" s="1725">
        <v>1</v>
      </c>
      <c r="C101" s="1725" t="s">
        <v>443</v>
      </c>
      <c r="D101" s="1725" t="s">
        <v>444</v>
      </c>
      <c r="E101" s="1725" t="s">
        <v>441</v>
      </c>
      <c r="F101" s="2097"/>
      <c r="G101" s="2101"/>
      <c r="H101" s="200" t="s">
        <v>308</v>
      </c>
      <c r="I101" s="206" t="s">
        <v>75</v>
      </c>
      <c r="J101" s="1964">
        <f>TARGET!D103</f>
        <v>0</v>
      </c>
      <c r="K101" s="2159">
        <v>0</v>
      </c>
      <c r="L101" s="2160">
        <f>'ALL BULAN'!E101</f>
        <v>0</v>
      </c>
      <c r="M101" s="2161">
        <f>SUM(K101:L101)</f>
        <v>0</v>
      </c>
      <c r="N101" s="1891">
        <f t="shared" si="15"/>
        <v>0</v>
      </c>
      <c r="O101" s="2162">
        <v>0</v>
      </c>
      <c r="P101" s="2132"/>
    </row>
    <row r="102" spans="1:17" s="2070" customFormat="1">
      <c r="A102" s="2114">
        <v>4</v>
      </c>
      <c r="B102" s="2114">
        <v>1</v>
      </c>
      <c r="C102" s="2114" t="s">
        <v>443</v>
      </c>
      <c r="D102" s="2114" t="s">
        <v>447</v>
      </c>
      <c r="E102" s="2125" t="s">
        <v>437</v>
      </c>
      <c r="F102" s="2097"/>
      <c r="G102" s="2101"/>
      <c r="H102" s="200" t="s">
        <v>50</v>
      </c>
      <c r="I102" s="206" t="s">
        <v>85</v>
      </c>
      <c r="J102" s="1964">
        <f>TARGET!D104</f>
        <v>0</v>
      </c>
      <c r="K102" s="2159">
        <v>0</v>
      </c>
      <c r="L102" s="2160">
        <f>'ALL BULAN'!E102</f>
        <v>0</v>
      </c>
      <c r="M102" s="2161">
        <f>SUM(K102:L102)</f>
        <v>0</v>
      </c>
      <c r="N102" s="1891">
        <f t="shared" si="15"/>
        <v>0</v>
      </c>
      <c r="O102" s="2162">
        <v>0</v>
      </c>
      <c r="P102" s="2132"/>
    </row>
    <row r="103" spans="1:17" s="2070" customFormat="1" ht="5.35" customHeight="1">
      <c r="A103" s="2096"/>
      <c r="B103" s="2096"/>
      <c r="C103" s="2096"/>
      <c r="D103" s="2096"/>
      <c r="E103" s="2096"/>
      <c r="F103" s="2097"/>
      <c r="G103" s="2116"/>
      <c r="H103" s="2117"/>
      <c r="I103" s="2117"/>
      <c r="J103" s="2182"/>
      <c r="K103" s="2183"/>
      <c r="L103" s="2182"/>
      <c r="M103" s="1469"/>
      <c r="N103" s="1469"/>
      <c r="O103" s="2184"/>
      <c r="P103" s="2132"/>
    </row>
    <row r="104" spans="1:17" s="2073" customFormat="1" ht="15.65">
      <c r="A104" s="2090"/>
      <c r="B104" s="2090"/>
      <c r="C104" s="2090"/>
      <c r="D104" s="2090"/>
      <c r="E104" s="2090"/>
      <c r="F104" s="2091"/>
      <c r="G104" s="2092"/>
      <c r="H104" s="2093" t="s">
        <v>99</v>
      </c>
      <c r="I104" s="2195"/>
      <c r="J104" s="2147">
        <f>J106</f>
        <v>125000000000</v>
      </c>
      <c r="K104" s="2148">
        <v>19046122482.029999</v>
      </c>
      <c r="L104" s="2147">
        <f>L106</f>
        <v>12944839389.030001</v>
      </c>
      <c r="M104" s="2147">
        <f>M106</f>
        <v>31990961871.059998</v>
      </c>
      <c r="N104" s="2147">
        <f>N106</f>
        <v>-93009038128.940002</v>
      </c>
      <c r="O104" s="2149">
        <f>M104/J104*100</f>
        <v>25.592769496848</v>
      </c>
      <c r="P104" s="2150"/>
    </row>
    <row r="105" spans="1:17" s="2070" customFormat="1" ht="9.1" customHeight="1">
      <c r="A105" s="2096"/>
      <c r="B105" s="2096"/>
      <c r="C105" s="2096"/>
      <c r="D105" s="2096"/>
      <c r="E105" s="2096"/>
      <c r="F105" s="2097"/>
      <c r="G105" s="2200"/>
      <c r="I105" s="2124"/>
      <c r="J105" s="2216"/>
      <c r="K105" s="2232"/>
      <c r="L105" s="2216"/>
      <c r="M105" s="2216"/>
      <c r="N105" s="2216"/>
      <c r="O105" s="2233"/>
      <c r="P105" s="2132"/>
    </row>
    <row r="106" spans="1:17" s="2074" customFormat="1">
      <c r="A106" s="2215"/>
      <c r="B106" s="2215"/>
      <c r="C106" s="2215"/>
      <c r="D106" s="2215"/>
      <c r="E106" s="2215"/>
      <c r="F106" s="2128">
        <v>3</v>
      </c>
      <c r="G106" s="2123"/>
      <c r="H106" s="2124" t="s">
        <v>71</v>
      </c>
      <c r="I106" s="202"/>
      <c r="J106" s="2190">
        <f>SUM(J108:J114)</f>
        <v>125000000000</v>
      </c>
      <c r="K106" s="2234">
        <v>19046122482.029999</v>
      </c>
      <c r="L106" s="2190">
        <f>SUM(L108:L114)</f>
        <v>12944839389.030001</v>
      </c>
      <c r="M106" s="2190">
        <f>SUM(M108:M114)</f>
        <v>31990961871.059998</v>
      </c>
      <c r="N106" s="2190">
        <f>SUM(N108:N114)</f>
        <v>-93009038128.940002</v>
      </c>
      <c r="O106" s="2162">
        <v>0</v>
      </c>
      <c r="P106" s="2132"/>
    </row>
    <row r="107" spans="1:17" s="2074" customFormat="1">
      <c r="A107" s="1902">
        <v>4</v>
      </c>
      <c r="B107" s="1902">
        <v>1</v>
      </c>
      <c r="C107" s="1902" t="s">
        <v>443</v>
      </c>
      <c r="D107" s="1902" t="s">
        <v>449</v>
      </c>
      <c r="E107" s="2096"/>
      <c r="F107" s="2202"/>
      <c r="G107" s="2123"/>
      <c r="H107" s="212" t="s">
        <v>96</v>
      </c>
      <c r="I107" s="2124"/>
      <c r="J107" s="2181">
        <f>J108</f>
        <v>125000000000</v>
      </c>
      <c r="K107" s="2159">
        <v>19046122482.029999</v>
      </c>
      <c r="L107" s="2181">
        <f>L108</f>
        <v>12944839389.030001</v>
      </c>
      <c r="M107" s="2161">
        <f>SUM(K107:L107)</f>
        <v>31990961871.059998</v>
      </c>
      <c r="N107" s="1891">
        <f t="shared" ref="N107:N114" si="16">M107-J107</f>
        <v>-93009038128.940002</v>
      </c>
      <c r="O107" s="2162">
        <f>M107/J107*100</f>
        <v>25.592769496848</v>
      </c>
      <c r="P107" s="2235" t="s">
        <v>450</v>
      </c>
      <c r="Q107" s="2242">
        <f>Q108-K108</f>
        <v>-19041427200.319996</v>
      </c>
    </row>
    <row r="108" spans="1:17" s="2070" customFormat="1">
      <c r="A108" s="2114">
        <v>4</v>
      </c>
      <c r="B108" s="2114">
        <v>1</v>
      </c>
      <c r="C108" s="2114" t="s">
        <v>443</v>
      </c>
      <c r="D108" s="2114" t="s">
        <v>449</v>
      </c>
      <c r="E108" s="2125" t="s">
        <v>437</v>
      </c>
      <c r="F108" s="2097"/>
      <c r="G108" s="2122"/>
      <c r="H108" s="2730" t="s">
        <v>50</v>
      </c>
      <c r="I108" s="217" t="s">
        <v>97</v>
      </c>
      <c r="J108" s="1964">
        <f>TARGET!D109</f>
        <v>125000000000</v>
      </c>
      <c r="K108" s="2236">
        <v>19046122482.029999</v>
      </c>
      <c r="L108" s="2160">
        <v>12944839389.030001</v>
      </c>
      <c r="M108" s="2161">
        <f>SUM(K108:L108)</f>
        <v>31990961871.059998</v>
      </c>
      <c r="N108" s="1891">
        <f t="shared" si="16"/>
        <v>-93009038128.940002</v>
      </c>
      <c r="O108" s="2162">
        <f>M108/J108*100</f>
        <v>25.592769496848</v>
      </c>
      <c r="P108" s="2237">
        <v>31995657152.77</v>
      </c>
      <c r="Q108" s="2243">
        <f>P108-M108</f>
        <v>4695281.7100028992</v>
      </c>
    </row>
    <row r="109" spans="1:17" s="2070" customFormat="1" ht="6.75" customHeight="1">
      <c r="A109" s="2096"/>
      <c r="B109" s="2096"/>
      <c r="C109" s="2096"/>
      <c r="D109" s="2096"/>
      <c r="E109" s="2096"/>
      <c r="F109" s="2097"/>
      <c r="G109" s="2122"/>
      <c r="H109" s="206"/>
      <c r="I109" s="200"/>
      <c r="J109" s="2188"/>
      <c r="K109" s="2159"/>
      <c r="L109" s="2188"/>
      <c r="M109" s="2161"/>
      <c r="N109" s="1891">
        <f t="shared" si="16"/>
        <v>0</v>
      </c>
      <c r="O109" s="2162">
        <f>N109-K109</f>
        <v>0</v>
      </c>
      <c r="P109" s="2132"/>
    </row>
    <row r="110" spans="1:17" s="2070" customFormat="1">
      <c r="A110" s="2102">
        <v>4</v>
      </c>
      <c r="B110" s="2102">
        <v>1</v>
      </c>
      <c r="C110" s="2102">
        <v>4</v>
      </c>
      <c r="D110" s="2102" t="s">
        <v>441</v>
      </c>
      <c r="E110" s="2096"/>
      <c r="F110" s="2097"/>
      <c r="G110" s="2122"/>
      <c r="H110" s="2730" t="s">
        <v>50</v>
      </c>
      <c r="I110" s="200" t="s">
        <v>72</v>
      </c>
      <c r="J110" s="1964">
        <f>TARGET!D112</f>
        <v>0</v>
      </c>
      <c r="K110" s="2159">
        <v>0</v>
      </c>
      <c r="L110" s="2160">
        <f>'ALL BULAN'!E110</f>
        <v>0</v>
      </c>
      <c r="M110" s="2161">
        <f>SUM(K110:L110)</f>
        <v>0</v>
      </c>
      <c r="N110" s="1891">
        <f t="shared" si="16"/>
        <v>0</v>
      </c>
      <c r="O110" s="2162">
        <v>0</v>
      </c>
      <c r="P110" s="2132"/>
    </row>
    <row r="111" spans="1:17" s="2070" customFormat="1">
      <c r="A111" s="1902">
        <v>4</v>
      </c>
      <c r="B111" s="1902">
        <v>1</v>
      </c>
      <c r="C111" s="1902" t="s">
        <v>443</v>
      </c>
      <c r="D111" s="1902" t="s">
        <v>444</v>
      </c>
      <c r="E111" s="1902" t="s">
        <v>440</v>
      </c>
      <c r="F111" s="2097"/>
      <c r="G111" s="2122"/>
      <c r="H111" s="2730" t="s">
        <v>50</v>
      </c>
      <c r="I111" s="200" t="s">
        <v>73</v>
      </c>
      <c r="J111" s="1964">
        <f>TARGET!D113</f>
        <v>0</v>
      </c>
      <c r="K111" s="2159">
        <v>0</v>
      </c>
      <c r="L111" s="2160">
        <f>'ALL BULAN'!E111</f>
        <v>0</v>
      </c>
      <c r="M111" s="2161">
        <f>SUM(K111:L111)</f>
        <v>0</v>
      </c>
      <c r="N111" s="1891">
        <f t="shared" si="16"/>
        <v>0</v>
      </c>
      <c r="O111" s="2162">
        <v>0</v>
      </c>
      <c r="P111" s="2132"/>
    </row>
    <row r="112" spans="1:17" s="2070" customFormat="1">
      <c r="A112" s="1944">
        <v>4</v>
      </c>
      <c r="B112" s="1944">
        <v>1</v>
      </c>
      <c r="C112" s="1944" t="s">
        <v>443</v>
      </c>
      <c r="D112" s="1944" t="s">
        <v>444</v>
      </c>
      <c r="E112" s="2105" t="s">
        <v>445</v>
      </c>
      <c r="F112" s="2097"/>
      <c r="G112" s="2122"/>
      <c r="H112" s="2730" t="s">
        <v>50</v>
      </c>
      <c r="I112" s="200" t="s">
        <v>74</v>
      </c>
      <c r="J112" s="1964">
        <f>TARGET!D114</f>
        <v>0</v>
      </c>
      <c r="K112" s="2159">
        <v>0</v>
      </c>
      <c r="L112" s="2160">
        <f>'ALL BULAN'!E112</f>
        <v>0</v>
      </c>
      <c r="M112" s="2161">
        <f>SUM(K112:L112)</f>
        <v>0</v>
      </c>
      <c r="N112" s="1891">
        <f t="shared" si="16"/>
        <v>0</v>
      </c>
      <c r="O112" s="2162">
        <v>0</v>
      </c>
      <c r="P112" s="2132"/>
    </row>
    <row r="113" spans="1:16" s="2070" customFormat="1">
      <c r="A113" s="1725">
        <v>4</v>
      </c>
      <c r="B113" s="1725">
        <v>1</v>
      </c>
      <c r="C113" s="1725" t="s">
        <v>443</v>
      </c>
      <c r="D113" s="1725" t="s">
        <v>444</v>
      </c>
      <c r="E113" s="1725" t="s">
        <v>441</v>
      </c>
      <c r="F113" s="2097"/>
      <c r="G113" s="2122"/>
      <c r="H113" s="200" t="s">
        <v>308</v>
      </c>
      <c r="I113" s="206" t="s">
        <v>75</v>
      </c>
      <c r="J113" s="1964">
        <f>TARGET!D115</f>
        <v>0</v>
      </c>
      <c r="K113" s="2159">
        <v>0</v>
      </c>
      <c r="L113" s="2160">
        <f>'ALL BULAN'!E113</f>
        <v>0</v>
      </c>
      <c r="M113" s="2161">
        <f>SUM(K113:L113)</f>
        <v>0</v>
      </c>
      <c r="N113" s="1891">
        <f t="shared" si="16"/>
        <v>0</v>
      </c>
      <c r="O113" s="2162">
        <v>0</v>
      </c>
      <c r="P113" s="2132"/>
    </row>
    <row r="114" spans="1:16" s="2070" customFormat="1">
      <c r="A114" s="2114">
        <v>4</v>
      </c>
      <c r="B114" s="2114">
        <v>1</v>
      </c>
      <c r="C114" s="2114" t="s">
        <v>443</v>
      </c>
      <c r="D114" s="2114" t="s">
        <v>447</v>
      </c>
      <c r="E114" s="2125" t="s">
        <v>437</v>
      </c>
      <c r="F114" s="2097"/>
      <c r="G114" s="2101"/>
      <c r="H114" s="2730" t="s">
        <v>50</v>
      </c>
      <c r="I114" s="206" t="s">
        <v>85</v>
      </c>
      <c r="J114" s="1964">
        <f>TARGET!D116</f>
        <v>0</v>
      </c>
      <c r="K114" s="2159">
        <v>0</v>
      </c>
      <c r="L114" s="2160">
        <f>'ALL BULAN'!E114</f>
        <v>0</v>
      </c>
      <c r="M114" s="2161">
        <f>SUM(K114:L114)</f>
        <v>0</v>
      </c>
      <c r="N114" s="1891">
        <f t="shared" si="16"/>
        <v>0</v>
      </c>
      <c r="O114" s="2162">
        <v>0</v>
      </c>
      <c r="P114" s="2132"/>
    </row>
    <row r="115" spans="1:16" s="2070" customFormat="1" ht="5.95" customHeight="1">
      <c r="A115" s="2096"/>
      <c r="B115" s="2096"/>
      <c r="C115" s="2096"/>
      <c r="D115" s="2096"/>
      <c r="E115" s="2096"/>
      <c r="F115" s="2097"/>
      <c r="G115" s="2089"/>
      <c r="H115" s="257"/>
      <c r="I115" s="257"/>
      <c r="J115" s="2143"/>
      <c r="K115" s="2144"/>
      <c r="L115" s="2143"/>
      <c r="M115" s="1727"/>
      <c r="N115" s="1727"/>
      <c r="O115" s="2145"/>
      <c r="P115" s="2132"/>
    </row>
    <row r="116" spans="1:16" s="2073" customFormat="1" ht="15.65">
      <c r="A116" s="2090"/>
      <c r="B116" s="2090"/>
      <c r="C116" s="2090"/>
      <c r="D116" s="2090"/>
      <c r="E116" s="2090"/>
      <c r="F116" s="2091"/>
      <c r="G116" s="2092" t="s">
        <v>100</v>
      </c>
      <c r="H116" s="2093" t="s">
        <v>101</v>
      </c>
      <c r="I116" s="2195"/>
      <c r="J116" s="2147">
        <f>J118</f>
        <v>15000000000</v>
      </c>
      <c r="K116" s="2148">
        <v>2493831376</v>
      </c>
      <c r="L116" s="2147">
        <f>L118</f>
        <v>1671690063</v>
      </c>
      <c r="M116" s="2147">
        <f>M118</f>
        <v>4165521439</v>
      </c>
      <c r="N116" s="2147">
        <f>N118</f>
        <v>-10834478561</v>
      </c>
      <c r="O116" s="2149">
        <f>M116/J116*100</f>
        <v>27.770142926666669</v>
      </c>
      <c r="P116" s="2150"/>
    </row>
    <row r="117" spans="1:16" s="2070" customFormat="1" ht="7.55" customHeight="1">
      <c r="A117" s="2096"/>
      <c r="B117" s="2096"/>
      <c r="C117" s="2096"/>
      <c r="D117" s="2096"/>
      <c r="E117" s="2096"/>
      <c r="F117" s="2097"/>
      <c r="G117" s="2101"/>
      <c r="I117" s="2121"/>
      <c r="J117" s="2187"/>
      <c r="K117" s="2238"/>
      <c r="L117" s="2187"/>
      <c r="M117" s="2187"/>
      <c r="N117" s="2187"/>
      <c r="O117" s="2233"/>
      <c r="P117" s="2132"/>
    </row>
    <row r="118" spans="1:16" s="2070" customFormat="1" ht="17.25" customHeight="1">
      <c r="A118" s="2096"/>
      <c r="B118" s="2096"/>
      <c r="C118" s="2096"/>
      <c r="D118" s="2096"/>
      <c r="E118" s="2096"/>
      <c r="F118" s="2103">
        <v>3</v>
      </c>
      <c r="G118" s="2101"/>
      <c r="H118" s="2124" t="s">
        <v>71</v>
      </c>
      <c r="I118" s="2239"/>
      <c r="J118" s="2217">
        <f>SUM(J120:J127)</f>
        <v>15000000000</v>
      </c>
      <c r="K118" s="2240">
        <v>2493831376</v>
      </c>
      <c r="L118" s="2217">
        <f>SUM(L120:L127)</f>
        <v>1671690063</v>
      </c>
      <c r="M118" s="2217">
        <f>SUM(M120:M127)</f>
        <v>4165521439</v>
      </c>
      <c r="N118" s="2217">
        <f>SUM(N120:N127)</f>
        <v>-10834478561</v>
      </c>
      <c r="O118" s="2145"/>
      <c r="P118" s="2132"/>
    </row>
    <row r="119" spans="1:16" s="2074" customFormat="1">
      <c r="A119" s="1902">
        <v>4</v>
      </c>
      <c r="B119" s="1902">
        <v>1</v>
      </c>
      <c r="C119" s="1902" t="s">
        <v>443</v>
      </c>
      <c r="D119" s="1902" t="s">
        <v>449</v>
      </c>
      <c r="E119" s="2096"/>
      <c r="F119" s="2202"/>
      <c r="G119" s="2104"/>
      <c r="H119" s="212" t="s">
        <v>96</v>
      </c>
      <c r="I119" s="2124"/>
      <c r="J119" s="2181">
        <f>SUM(J120)</f>
        <v>15000000000</v>
      </c>
      <c r="K119" s="2159">
        <v>2493831376</v>
      </c>
      <c r="L119" s="2181">
        <f>SUM(L120)</f>
        <v>1671690063</v>
      </c>
      <c r="M119" s="2161">
        <f t="shared" ref="M119:M127" si="17">SUM(K119:L119)</f>
        <v>4165521439</v>
      </c>
      <c r="N119" s="1891">
        <f t="shared" ref="N119:N127" si="18">M119-J119</f>
        <v>-10834478561</v>
      </c>
      <c r="O119" s="2162">
        <f>M119/J119*100</f>
        <v>27.770142926666669</v>
      </c>
      <c r="P119" s="2132"/>
    </row>
    <row r="120" spans="1:16" s="2070" customFormat="1">
      <c r="A120" s="2114">
        <v>4</v>
      </c>
      <c r="B120" s="2114">
        <v>1</v>
      </c>
      <c r="C120" s="2114" t="s">
        <v>443</v>
      </c>
      <c r="D120" s="2114" t="s">
        <v>449</v>
      </c>
      <c r="E120" s="2125" t="s">
        <v>437</v>
      </c>
      <c r="F120" s="2097"/>
      <c r="G120" s="2104"/>
      <c r="H120" s="217" t="s">
        <v>102</v>
      </c>
      <c r="J120" s="1964">
        <f>TARGET!D121</f>
        <v>15000000000</v>
      </c>
      <c r="K120" s="2159">
        <v>2493831376</v>
      </c>
      <c r="L120" s="2241">
        <v>1671690063</v>
      </c>
      <c r="M120" s="2161">
        <f t="shared" si="17"/>
        <v>4165521439</v>
      </c>
      <c r="N120" s="1891">
        <f t="shared" si="18"/>
        <v>-10834478561</v>
      </c>
      <c r="O120" s="2162">
        <f>M120/J120*100</f>
        <v>27.770142926666669</v>
      </c>
      <c r="P120" s="2132"/>
    </row>
    <row r="121" spans="1:16" s="2070" customFormat="1">
      <c r="A121" s="2096"/>
      <c r="B121" s="2096"/>
      <c r="C121" s="2096"/>
      <c r="D121" s="2096"/>
      <c r="E121" s="2096"/>
      <c r="F121" s="2097"/>
      <c r="G121" s="2101"/>
      <c r="H121" s="202"/>
      <c r="I121" s="206"/>
      <c r="J121" s="2188"/>
      <c r="K121" s="2159">
        <v>0</v>
      </c>
      <c r="L121" s="2188"/>
      <c r="M121" s="2161">
        <f t="shared" si="17"/>
        <v>0</v>
      </c>
      <c r="N121" s="1891">
        <f t="shared" si="18"/>
        <v>0</v>
      </c>
      <c r="O121" s="2162">
        <f>N121-K121</f>
        <v>0</v>
      </c>
      <c r="P121" s="2132"/>
    </row>
    <row r="122" spans="1:16" s="2070" customFormat="1">
      <c r="A122" s="2096"/>
      <c r="B122" s="2096"/>
      <c r="C122" s="2096"/>
      <c r="D122" s="2096"/>
      <c r="E122" s="2096"/>
      <c r="F122" s="2097"/>
      <c r="G122" s="2115"/>
      <c r="H122" s="2728" t="s">
        <v>50</v>
      </c>
      <c r="I122" s="203" t="s">
        <v>103</v>
      </c>
      <c r="J122" s="1964">
        <f>TARGET!D124</f>
        <v>0</v>
      </c>
      <c r="K122" s="2159">
        <v>0</v>
      </c>
      <c r="L122" s="2160">
        <f>'ALL BULAN'!E122</f>
        <v>0</v>
      </c>
      <c r="M122" s="2161">
        <f t="shared" si="17"/>
        <v>0</v>
      </c>
      <c r="N122" s="1891">
        <f t="shared" si="18"/>
        <v>0</v>
      </c>
      <c r="O122" s="2162">
        <v>0</v>
      </c>
      <c r="P122" s="2132"/>
    </row>
    <row r="123" spans="1:16" s="2070" customFormat="1">
      <c r="A123" s="2102">
        <v>4</v>
      </c>
      <c r="B123" s="2102">
        <v>1</v>
      </c>
      <c r="C123" s="2102">
        <v>4</v>
      </c>
      <c r="D123" s="2102" t="s">
        <v>441</v>
      </c>
      <c r="E123" s="2096"/>
      <c r="F123" s="2097"/>
      <c r="G123" s="2115"/>
      <c r="H123" s="2728" t="s">
        <v>50</v>
      </c>
      <c r="I123" s="200" t="s">
        <v>72</v>
      </c>
      <c r="J123" s="1964">
        <f>TARGET!D125</f>
        <v>0</v>
      </c>
      <c r="K123" s="2159">
        <v>0</v>
      </c>
      <c r="L123" s="2160">
        <f>'ALL BULAN'!E123</f>
        <v>0</v>
      </c>
      <c r="M123" s="2161">
        <f t="shared" si="17"/>
        <v>0</v>
      </c>
      <c r="N123" s="1891">
        <f t="shared" si="18"/>
        <v>0</v>
      </c>
      <c r="O123" s="2162">
        <v>0</v>
      </c>
      <c r="P123" s="2132"/>
    </row>
    <row r="124" spans="1:16" s="2070" customFormat="1">
      <c r="A124" s="1902">
        <v>4</v>
      </c>
      <c r="B124" s="1902">
        <v>1</v>
      </c>
      <c r="C124" s="1902" t="s">
        <v>443</v>
      </c>
      <c r="D124" s="1902" t="s">
        <v>444</v>
      </c>
      <c r="E124" s="1902" t="s">
        <v>440</v>
      </c>
      <c r="F124" s="2097"/>
      <c r="G124" s="2115"/>
      <c r="H124" s="2728" t="s">
        <v>50</v>
      </c>
      <c r="I124" s="200" t="s">
        <v>73</v>
      </c>
      <c r="J124" s="1964">
        <f>TARGET!D126</f>
        <v>0</v>
      </c>
      <c r="K124" s="2159">
        <v>0</v>
      </c>
      <c r="L124" s="2160">
        <f>'ALL BULAN'!E124</f>
        <v>0</v>
      </c>
      <c r="M124" s="2161">
        <f t="shared" si="17"/>
        <v>0</v>
      </c>
      <c r="N124" s="1891">
        <f t="shared" si="18"/>
        <v>0</v>
      </c>
      <c r="O124" s="2162">
        <v>0</v>
      </c>
      <c r="P124" s="2132"/>
    </row>
    <row r="125" spans="1:16" s="2070" customFormat="1">
      <c r="A125" s="1944">
        <v>4</v>
      </c>
      <c r="B125" s="1944">
        <v>1</v>
      </c>
      <c r="C125" s="1944" t="s">
        <v>443</v>
      </c>
      <c r="D125" s="1944" t="s">
        <v>444</v>
      </c>
      <c r="E125" s="2105" t="s">
        <v>445</v>
      </c>
      <c r="F125" s="2097"/>
      <c r="G125" s="2115"/>
      <c r="H125" s="2728" t="s">
        <v>50</v>
      </c>
      <c r="I125" s="200" t="s">
        <v>74</v>
      </c>
      <c r="J125" s="1964">
        <f>TARGET!D127</f>
        <v>0</v>
      </c>
      <c r="K125" s="2159">
        <v>0</v>
      </c>
      <c r="L125" s="2160">
        <f>'ALL BULAN'!E125</f>
        <v>0</v>
      </c>
      <c r="M125" s="2161">
        <f t="shared" si="17"/>
        <v>0</v>
      </c>
      <c r="N125" s="1891">
        <f t="shared" si="18"/>
        <v>0</v>
      </c>
      <c r="O125" s="2162">
        <v>0</v>
      </c>
      <c r="P125" s="2132"/>
    </row>
    <row r="126" spans="1:16" s="2070" customFormat="1">
      <c r="A126" s="1725">
        <v>4</v>
      </c>
      <c r="B126" s="1725">
        <v>1</v>
      </c>
      <c r="C126" s="1725" t="s">
        <v>443</v>
      </c>
      <c r="D126" s="1725" t="s">
        <v>444</v>
      </c>
      <c r="E126" s="1725" t="s">
        <v>441</v>
      </c>
      <c r="F126" s="2097"/>
      <c r="G126" s="2115"/>
      <c r="H126" s="200" t="s">
        <v>308</v>
      </c>
      <c r="I126" s="206" t="s">
        <v>75</v>
      </c>
      <c r="J126" s="1964">
        <f>TARGET!D128</f>
        <v>0</v>
      </c>
      <c r="K126" s="2159">
        <v>0</v>
      </c>
      <c r="L126" s="2160">
        <f>'ALL BULAN'!E126</f>
        <v>0</v>
      </c>
      <c r="M126" s="2161">
        <f t="shared" si="17"/>
        <v>0</v>
      </c>
      <c r="N126" s="1891">
        <f t="shared" si="18"/>
        <v>0</v>
      </c>
      <c r="O126" s="2162">
        <v>0</v>
      </c>
      <c r="P126" s="2132"/>
    </row>
    <row r="127" spans="1:16" s="2070" customFormat="1">
      <c r="A127" s="2114">
        <v>4</v>
      </c>
      <c r="B127" s="2114">
        <v>1</v>
      </c>
      <c r="C127" s="2114" t="s">
        <v>443</v>
      </c>
      <c r="D127" s="2114" t="s">
        <v>447</v>
      </c>
      <c r="E127" s="2125" t="s">
        <v>437</v>
      </c>
      <c r="F127" s="2097"/>
      <c r="G127" s="2115"/>
      <c r="H127" s="2728" t="s">
        <v>50</v>
      </c>
      <c r="I127" s="206" t="s">
        <v>85</v>
      </c>
      <c r="J127" s="1964">
        <f>TARGET!D129</f>
        <v>0</v>
      </c>
      <c r="K127" s="2159">
        <v>0</v>
      </c>
      <c r="L127" s="2160">
        <f>'ALL BULAN'!E127</f>
        <v>0</v>
      </c>
      <c r="M127" s="2161">
        <f t="shared" si="17"/>
        <v>0</v>
      </c>
      <c r="N127" s="1891">
        <f t="shared" si="18"/>
        <v>0</v>
      </c>
      <c r="O127" s="2162">
        <v>0</v>
      </c>
      <c r="P127" s="2132"/>
    </row>
    <row r="128" spans="1:16" s="2070" customFormat="1" ht="5.35" customHeight="1">
      <c r="A128" s="2096"/>
      <c r="B128" s="2096"/>
      <c r="C128" s="2096"/>
      <c r="D128" s="2096"/>
      <c r="E128" s="2096"/>
      <c r="F128" s="2097"/>
      <c r="G128" s="2116"/>
      <c r="H128" s="2117"/>
      <c r="I128" s="2127"/>
      <c r="J128" s="2191"/>
      <c r="K128" s="2192"/>
      <c r="L128" s="2191"/>
      <c r="M128" s="2193"/>
      <c r="N128" s="2193"/>
      <c r="O128" s="2194"/>
      <c r="P128" s="2132"/>
    </row>
    <row r="129" spans="1:16" s="2073" customFormat="1" ht="15.65">
      <c r="A129" s="2090"/>
      <c r="B129" s="2090"/>
      <c r="C129" s="2090"/>
      <c r="D129" s="2090"/>
      <c r="E129" s="2090"/>
      <c r="F129" s="2091"/>
      <c r="G129" s="2092" t="s">
        <v>104</v>
      </c>
      <c r="H129" s="2093" t="s">
        <v>105</v>
      </c>
      <c r="I129" s="2253"/>
      <c r="J129" s="2147">
        <f>J130+J139</f>
        <v>486000000</v>
      </c>
      <c r="K129" s="2148">
        <v>117482985.78</v>
      </c>
      <c r="L129" s="2147">
        <f>L130+L139</f>
        <v>28517500</v>
      </c>
      <c r="M129" s="2147">
        <f>SUM(K129:L129)</f>
        <v>146000485.78</v>
      </c>
      <c r="N129" s="2147">
        <f t="shared" ref="N129:N144" si="19">M129-J129</f>
        <v>-339999514.22000003</v>
      </c>
      <c r="O129" s="2149">
        <f>M129/J129*100</f>
        <v>30.041252218106994</v>
      </c>
      <c r="P129" s="2150"/>
    </row>
    <row r="130" spans="1:16" s="2074" customFormat="1">
      <c r="A130" s="2215"/>
      <c r="B130" s="2215"/>
      <c r="C130" s="2215"/>
      <c r="D130" s="2215"/>
      <c r="E130" s="2215"/>
      <c r="F130" s="2128">
        <v>1</v>
      </c>
      <c r="G130" s="2104"/>
      <c r="H130" s="1856" t="s">
        <v>106</v>
      </c>
      <c r="I130" s="2121"/>
      <c r="J130" s="2187">
        <f>J131+J134</f>
        <v>486000000</v>
      </c>
      <c r="K130" s="2159">
        <v>22406900</v>
      </c>
      <c r="L130" s="2187">
        <f>L131+L134</f>
        <v>26657500</v>
      </c>
      <c r="M130" s="2161">
        <f>SUM(K130:L130)</f>
        <v>49064400</v>
      </c>
      <c r="N130" s="1891">
        <f t="shared" si="19"/>
        <v>-436935600</v>
      </c>
      <c r="O130" s="2162">
        <f>M130/J130*100</f>
        <v>10.095555555555556</v>
      </c>
      <c r="P130" s="2132"/>
    </row>
    <row r="131" spans="1:16" s="2074" customFormat="1" ht="15.05">
      <c r="A131" s="1902">
        <v>4</v>
      </c>
      <c r="B131" s="1902">
        <v>1</v>
      </c>
      <c r="C131" s="1902">
        <v>2</v>
      </c>
      <c r="D131" s="1902" t="s">
        <v>437</v>
      </c>
      <c r="E131" s="2215"/>
      <c r="F131" s="2202"/>
      <c r="G131" s="2104"/>
      <c r="H131" s="202" t="s">
        <v>107</v>
      </c>
      <c r="I131" s="2239"/>
      <c r="J131" s="2254">
        <f>SUM(J132)</f>
        <v>19250000</v>
      </c>
      <c r="K131" s="2155">
        <v>0</v>
      </c>
      <c r="L131" s="2254">
        <f>SUM(L132)</f>
        <v>0</v>
      </c>
      <c r="M131" s="2156">
        <f>SUM(K131:L131)</f>
        <v>0</v>
      </c>
      <c r="N131" s="1749">
        <f t="shared" si="19"/>
        <v>-19250000</v>
      </c>
      <c r="O131" s="2162">
        <f>M131/J131*100</f>
        <v>0</v>
      </c>
      <c r="P131" s="2132"/>
    </row>
    <row r="132" spans="1:16" s="2070" customFormat="1">
      <c r="A132" s="2114">
        <v>4</v>
      </c>
      <c r="B132" s="2114">
        <v>1</v>
      </c>
      <c r="C132" s="2114">
        <v>2</v>
      </c>
      <c r="D132" s="2114" t="s">
        <v>437</v>
      </c>
      <c r="E132" s="1902" t="s">
        <v>440</v>
      </c>
      <c r="F132" s="2097"/>
      <c r="G132" s="2101"/>
      <c r="H132" s="2727" t="s">
        <v>50</v>
      </c>
      <c r="I132" s="205" t="s">
        <v>108</v>
      </c>
      <c r="J132" s="1964">
        <f>TARGET!D134</f>
        <v>19250000</v>
      </c>
      <c r="K132" s="2159">
        <v>0</v>
      </c>
      <c r="L132" s="2160">
        <f>'ALL BULAN'!E132</f>
        <v>0</v>
      </c>
      <c r="M132" s="2161">
        <f>SUM(K132:L132)</f>
        <v>0</v>
      </c>
      <c r="N132" s="1891">
        <f t="shared" si="19"/>
        <v>-19250000</v>
      </c>
      <c r="O132" s="2162">
        <f>M132/J132*100</f>
        <v>0</v>
      </c>
      <c r="P132" s="2132"/>
    </row>
    <row r="133" spans="1:16" s="2070" customFormat="1" ht="5.95" customHeight="1">
      <c r="A133" s="2096"/>
      <c r="B133" s="2096"/>
      <c r="C133" s="2096"/>
      <c r="D133" s="2096"/>
      <c r="E133" s="2096"/>
      <c r="F133" s="2097"/>
      <c r="G133" s="2101"/>
      <c r="H133" s="200"/>
      <c r="I133" s="205"/>
      <c r="J133" s="2217"/>
      <c r="K133" s="2159"/>
      <c r="L133" s="2217"/>
      <c r="M133" s="2161"/>
      <c r="N133" s="1891">
        <f t="shared" si="19"/>
        <v>0</v>
      </c>
      <c r="O133" s="2162">
        <f>N133-K133</f>
        <v>0</v>
      </c>
      <c r="P133" s="2132"/>
    </row>
    <row r="134" spans="1:16" s="2074" customFormat="1" ht="15.05">
      <c r="A134" s="2094">
        <v>4</v>
      </c>
      <c r="B134" s="2094">
        <v>1</v>
      </c>
      <c r="C134" s="2094">
        <v>2</v>
      </c>
      <c r="D134" s="2095" t="s">
        <v>438</v>
      </c>
      <c r="E134" s="2096"/>
      <c r="F134" s="2202"/>
      <c r="G134" s="2104"/>
      <c r="H134" s="202" t="s">
        <v>109</v>
      </c>
      <c r="I134" s="2239"/>
      <c r="J134" s="2254">
        <f>SUM(J135)</f>
        <v>466750000</v>
      </c>
      <c r="K134" s="2155">
        <v>22406900</v>
      </c>
      <c r="L134" s="2254">
        <f>SUM(L135)</f>
        <v>26657500</v>
      </c>
      <c r="M134" s="2156">
        <f>SUM(K134:L134)</f>
        <v>49064400</v>
      </c>
      <c r="N134" s="1749">
        <f t="shared" si="19"/>
        <v>-417685600</v>
      </c>
      <c r="O134" s="2162">
        <f>M134/J134*100</f>
        <v>10.511922870915907</v>
      </c>
      <c r="P134" s="2132"/>
    </row>
    <row r="135" spans="1:16" s="2070" customFormat="1">
      <c r="A135" s="1905">
        <v>4</v>
      </c>
      <c r="B135" s="1905">
        <v>1</v>
      </c>
      <c r="C135" s="1905">
        <v>2</v>
      </c>
      <c r="D135" s="1905" t="s">
        <v>438</v>
      </c>
      <c r="E135" s="1854" t="s">
        <v>437</v>
      </c>
      <c r="F135" s="2097"/>
      <c r="G135" s="2101"/>
      <c r="H135" s="200" t="s">
        <v>64</v>
      </c>
      <c r="I135" s="2239"/>
      <c r="J135" s="2196">
        <f>SUM(J136:J137)</f>
        <v>466750000</v>
      </c>
      <c r="K135" s="2159">
        <v>22406900</v>
      </c>
      <c r="L135" s="2196">
        <f>SUM(L136:L137)</f>
        <v>26657500</v>
      </c>
      <c r="M135" s="2161">
        <f>SUM(K135:L135)</f>
        <v>49064400</v>
      </c>
      <c r="N135" s="1891">
        <f t="shared" si="19"/>
        <v>-417685600</v>
      </c>
      <c r="O135" s="2162">
        <f>M135/J135*100</f>
        <v>10.511922870915907</v>
      </c>
      <c r="P135" s="2132"/>
    </row>
    <row r="136" spans="1:16" s="2070" customFormat="1">
      <c r="A136" s="2096"/>
      <c r="B136" s="2096"/>
      <c r="C136" s="2096"/>
      <c r="D136" s="2096"/>
      <c r="E136" s="2096"/>
      <c r="F136" s="2097"/>
      <c r="G136" s="2101"/>
      <c r="H136" s="2728" t="s">
        <v>50</v>
      </c>
      <c r="I136" s="205" t="s">
        <v>110</v>
      </c>
      <c r="J136" s="1964">
        <f>TARGET!D138</f>
        <v>216750000</v>
      </c>
      <c r="K136" s="2159">
        <v>1400000</v>
      </c>
      <c r="L136" s="2160">
        <v>0</v>
      </c>
      <c r="M136" s="2161">
        <f>SUM(K136:L136)</f>
        <v>1400000</v>
      </c>
      <c r="N136" s="1891">
        <f t="shared" si="19"/>
        <v>-215350000</v>
      </c>
      <c r="O136" s="2162">
        <f>M136/J136*100</f>
        <v>0.64590542099192627</v>
      </c>
      <c r="P136" s="2132"/>
    </row>
    <row r="137" spans="1:16" s="2070" customFormat="1">
      <c r="A137" s="2096"/>
      <c r="B137" s="2096"/>
      <c r="C137" s="2096"/>
      <c r="D137" s="2096"/>
      <c r="E137" s="2096"/>
      <c r="F137" s="2097"/>
      <c r="G137" s="2101"/>
      <c r="H137" s="2728" t="s">
        <v>50</v>
      </c>
      <c r="I137" s="205" t="s">
        <v>111</v>
      </c>
      <c r="J137" s="1964">
        <f>TARGET!D139</f>
        <v>250000000</v>
      </c>
      <c r="K137" s="2159">
        <v>21006900</v>
      </c>
      <c r="L137" s="2160">
        <v>26657500</v>
      </c>
      <c r="M137" s="2161">
        <f>SUM(K137:L137)</f>
        <v>47664400</v>
      </c>
      <c r="N137" s="1891">
        <f t="shared" si="19"/>
        <v>-202335600</v>
      </c>
      <c r="O137" s="2162">
        <f>M137/J137*100</f>
        <v>19.065760000000001</v>
      </c>
      <c r="P137" s="2132"/>
    </row>
    <row r="138" spans="1:16" s="2070" customFormat="1" ht="5.95" customHeight="1">
      <c r="A138" s="2096"/>
      <c r="B138" s="2096"/>
      <c r="C138" s="2096"/>
      <c r="D138" s="2096"/>
      <c r="E138" s="2096"/>
      <c r="F138" s="2097"/>
      <c r="G138" s="2101"/>
      <c r="H138" s="202"/>
      <c r="I138" s="205"/>
      <c r="J138" s="2196"/>
      <c r="K138" s="2159"/>
      <c r="L138" s="2196"/>
      <c r="M138" s="2161"/>
      <c r="N138" s="1891">
        <f t="shared" si="19"/>
        <v>0</v>
      </c>
      <c r="O138" s="2162">
        <f>N138-K138</f>
        <v>0</v>
      </c>
      <c r="P138" s="2132"/>
    </row>
    <row r="139" spans="1:16" s="2070" customFormat="1">
      <c r="A139" s="2102">
        <v>4</v>
      </c>
      <c r="B139" s="2102">
        <v>1</v>
      </c>
      <c r="C139" s="2102">
        <v>4</v>
      </c>
      <c r="D139" s="2096"/>
      <c r="E139" s="2096"/>
      <c r="F139" s="2103">
        <v>3</v>
      </c>
      <c r="G139" s="2101"/>
      <c r="H139" s="202" t="s">
        <v>71</v>
      </c>
      <c r="I139" s="2239"/>
      <c r="J139" s="2217">
        <f>SUM(J140:J144)</f>
        <v>0</v>
      </c>
      <c r="K139" s="2159">
        <v>95076085.780000001</v>
      </c>
      <c r="L139" s="2217">
        <f>SUM(L140:L144)</f>
        <v>1860000</v>
      </c>
      <c r="M139" s="2161">
        <f t="shared" ref="M139:M144" si="20">SUM(K139:L139)</f>
        <v>96936085.780000001</v>
      </c>
      <c r="N139" s="1891">
        <f t="shared" si="19"/>
        <v>96936085.780000001</v>
      </c>
      <c r="O139" s="2162">
        <v>0</v>
      </c>
      <c r="P139" s="2132"/>
    </row>
    <row r="140" spans="1:16" s="2070" customFormat="1">
      <c r="A140" s="2102">
        <v>4</v>
      </c>
      <c r="B140" s="2102">
        <v>1</v>
      </c>
      <c r="C140" s="2102">
        <v>4</v>
      </c>
      <c r="D140" s="2102" t="s">
        <v>441</v>
      </c>
      <c r="E140" s="2096"/>
      <c r="F140" s="2097"/>
      <c r="G140" s="2104"/>
      <c r="H140" s="2728" t="s">
        <v>50</v>
      </c>
      <c r="I140" s="200" t="s">
        <v>72</v>
      </c>
      <c r="J140" s="1964">
        <f>TARGET!D142</f>
        <v>0</v>
      </c>
      <c r="K140" s="2159">
        <v>81048456.790000007</v>
      </c>
      <c r="L140" s="2160">
        <v>1360000</v>
      </c>
      <c r="M140" s="2161">
        <f t="shared" si="20"/>
        <v>82408456.790000007</v>
      </c>
      <c r="N140" s="1891">
        <f t="shared" si="19"/>
        <v>82408456.790000007</v>
      </c>
      <c r="O140" s="2162">
        <v>0</v>
      </c>
      <c r="P140" s="2132"/>
    </row>
    <row r="141" spans="1:16" s="2070" customFormat="1">
      <c r="A141" s="1902">
        <v>4</v>
      </c>
      <c r="B141" s="1902">
        <v>1</v>
      </c>
      <c r="C141" s="1902" t="s">
        <v>443</v>
      </c>
      <c r="D141" s="1902" t="s">
        <v>444</v>
      </c>
      <c r="E141" s="1902" t="s">
        <v>440</v>
      </c>
      <c r="F141" s="2097"/>
      <c r="G141" s="2104"/>
      <c r="H141" s="2728" t="s">
        <v>50</v>
      </c>
      <c r="I141" s="200" t="s">
        <v>73</v>
      </c>
      <c r="J141" s="1964">
        <f>TARGET!D143</f>
        <v>0</v>
      </c>
      <c r="K141" s="2159">
        <v>0</v>
      </c>
      <c r="L141" s="2160">
        <f>'ALL BULAN'!E141</f>
        <v>0</v>
      </c>
      <c r="M141" s="2161">
        <f t="shared" si="20"/>
        <v>0</v>
      </c>
      <c r="N141" s="1891">
        <f t="shared" si="19"/>
        <v>0</v>
      </c>
      <c r="O141" s="2162">
        <v>0</v>
      </c>
      <c r="P141" s="2132"/>
    </row>
    <row r="142" spans="1:16" s="2070" customFormat="1">
      <c r="A142" s="1944">
        <v>4</v>
      </c>
      <c r="B142" s="1944">
        <v>1</v>
      </c>
      <c r="C142" s="1944" t="s">
        <v>443</v>
      </c>
      <c r="D142" s="1944" t="s">
        <v>444</v>
      </c>
      <c r="E142" s="2105" t="s">
        <v>445</v>
      </c>
      <c r="F142" s="2097"/>
      <c r="G142" s="2104"/>
      <c r="H142" s="2728" t="s">
        <v>50</v>
      </c>
      <c r="I142" s="200" t="s">
        <v>74</v>
      </c>
      <c r="J142" s="1964">
        <f>TARGET!D144</f>
        <v>0</v>
      </c>
      <c r="K142" s="2159">
        <v>0</v>
      </c>
      <c r="L142" s="2160">
        <f>'ALL BULAN'!E142</f>
        <v>0</v>
      </c>
      <c r="M142" s="2161">
        <f t="shared" si="20"/>
        <v>0</v>
      </c>
      <c r="N142" s="1891">
        <f t="shared" si="19"/>
        <v>0</v>
      </c>
      <c r="O142" s="2162">
        <v>0</v>
      </c>
      <c r="P142" s="2132"/>
    </row>
    <row r="143" spans="1:16" s="2070" customFormat="1">
      <c r="A143" s="1725">
        <v>4</v>
      </c>
      <c r="B143" s="1725">
        <v>1</v>
      </c>
      <c r="C143" s="1725" t="s">
        <v>443</v>
      </c>
      <c r="D143" s="1725" t="s">
        <v>444</v>
      </c>
      <c r="E143" s="1725" t="s">
        <v>441</v>
      </c>
      <c r="F143" s="2097"/>
      <c r="G143" s="2104"/>
      <c r="H143" s="200" t="s">
        <v>308</v>
      </c>
      <c r="I143" s="206" t="s">
        <v>75</v>
      </c>
      <c r="J143" s="1964">
        <f>TARGET!D145</f>
        <v>0</v>
      </c>
      <c r="K143" s="2159">
        <v>0</v>
      </c>
      <c r="L143" s="2160">
        <v>0</v>
      </c>
      <c r="M143" s="2161">
        <f t="shared" si="20"/>
        <v>0</v>
      </c>
      <c r="N143" s="1891">
        <f t="shared" si="19"/>
        <v>0</v>
      </c>
      <c r="O143" s="2162">
        <v>0</v>
      </c>
      <c r="P143" s="2132"/>
    </row>
    <row r="144" spans="1:16" s="2070" customFormat="1">
      <c r="A144" s="2114">
        <v>4</v>
      </c>
      <c r="B144" s="2114">
        <v>1</v>
      </c>
      <c r="C144" s="2114" t="s">
        <v>443</v>
      </c>
      <c r="D144" s="2114" t="s">
        <v>447</v>
      </c>
      <c r="E144" s="2125" t="s">
        <v>437</v>
      </c>
      <c r="F144" s="2097"/>
      <c r="G144" s="2104"/>
      <c r="H144" s="2728" t="s">
        <v>50</v>
      </c>
      <c r="I144" s="206" t="s">
        <v>85</v>
      </c>
      <c r="J144" s="1964">
        <f>TARGET!D146</f>
        <v>0</v>
      </c>
      <c r="K144" s="2159">
        <v>14027628.99</v>
      </c>
      <c r="L144" s="2160">
        <v>500000</v>
      </c>
      <c r="M144" s="2161">
        <f t="shared" si="20"/>
        <v>14527628.99</v>
      </c>
      <c r="N144" s="1891">
        <f t="shared" si="19"/>
        <v>14527628.99</v>
      </c>
      <c r="O144" s="2162">
        <v>0</v>
      </c>
      <c r="P144" s="2132"/>
    </row>
    <row r="145" spans="1:16" s="2070" customFormat="1" ht="5.95" customHeight="1">
      <c r="A145" s="2096"/>
      <c r="B145" s="2096"/>
      <c r="C145" s="2096"/>
      <c r="D145" s="2096"/>
      <c r="E145" s="2096"/>
      <c r="F145" s="2097"/>
      <c r="G145" s="2116"/>
      <c r="H145" s="1466"/>
      <c r="I145" s="2117"/>
      <c r="J145" s="2182"/>
      <c r="K145" s="2183"/>
      <c r="L145" s="2182"/>
      <c r="M145" s="1469"/>
      <c r="N145" s="1469"/>
      <c r="O145" s="2184"/>
      <c r="P145" s="2132"/>
    </row>
    <row r="146" spans="1:16" s="2073" customFormat="1" ht="15.65">
      <c r="A146" s="2090"/>
      <c r="B146" s="2090"/>
      <c r="C146" s="2090"/>
      <c r="D146" s="2090"/>
      <c r="E146" s="2090"/>
      <c r="F146" s="2091"/>
      <c r="G146" s="2092" t="s">
        <v>112</v>
      </c>
      <c r="H146" s="2093" t="s">
        <v>113</v>
      </c>
      <c r="I146" s="2195"/>
      <c r="J146" s="2147">
        <f>SUM(J147)</f>
        <v>0</v>
      </c>
      <c r="K146" s="2148">
        <v>0</v>
      </c>
      <c r="L146" s="2147">
        <f>SUM(L147)</f>
        <v>0</v>
      </c>
      <c r="M146" s="2147">
        <f t="shared" ref="M146:M152" si="21">SUM(K146:L146)</f>
        <v>0</v>
      </c>
      <c r="N146" s="2147">
        <f t="shared" ref="N146:N152" si="22">M146-J146</f>
        <v>0</v>
      </c>
      <c r="O146" s="2149">
        <v>0</v>
      </c>
      <c r="P146" s="2150"/>
    </row>
    <row r="147" spans="1:16" s="2074" customFormat="1">
      <c r="A147" s="2102">
        <v>4</v>
      </c>
      <c r="B147" s="2102">
        <v>1</v>
      </c>
      <c r="C147" s="2102">
        <v>4</v>
      </c>
      <c r="D147" s="2096"/>
      <c r="E147" s="2096"/>
      <c r="F147" s="2128">
        <v>3</v>
      </c>
      <c r="G147" s="2098"/>
      <c r="H147" s="202" t="s">
        <v>71</v>
      </c>
      <c r="I147" s="202"/>
      <c r="J147" s="2151">
        <f>SUM(J150:J151)</f>
        <v>0</v>
      </c>
      <c r="K147" s="2159">
        <v>0</v>
      </c>
      <c r="L147" s="2151">
        <f>SUM(L150:L151)</f>
        <v>0</v>
      </c>
      <c r="M147" s="2161">
        <f t="shared" si="21"/>
        <v>0</v>
      </c>
      <c r="N147" s="1891">
        <f t="shared" si="22"/>
        <v>0</v>
      </c>
      <c r="O147" s="2162">
        <v>0</v>
      </c>
      <c r="P147" s="2132"/>
    </row>
    <row r="148" spans="1:16" s="2070" customFormat="1">
      <c r="A148" s="2102">
        <v>4</v>
      </c>
      <c r="B148" s="2102">
        <v>1</v>
      </c>
      <c r="C148" s="2102">
        <v>4</v>
      </c>
      <c r="D148" s="2102" t="s">
        <v>441</v>
      </c>
      <c r="E148" s="2096"/>
      <c r="F148" s="2097"/>
      <c r="G148" s="2104"/>
      <c r="H148" s="200" t="s">
        <v>50</v>
      </c>
      <c r="I148" s="200" t="s">
        <v>72</v>
      </c>
      <c r="J148" s="1964">
        <f>TARGET!D150</f>
        <v>0</v>
      </c>
      <c r="K148" s="2159">
        <v>0</v>
      </c>
      <c r="L148" s="2160">
        <f>'ALL BULAN'!E148</f>
        <v>0</v>
      </c>
      <c r="M148" s="2161">
        <f t="shared" si="21"/>
        <v>0</v>
      </c>
      <c r="N148" s="1891">
        <f t="shared" si="22"/>
        <v>0</v>
      </c>
      <c r="O148" s="2162">
        <v>0</v>
      </c>
      <c r="P148" s="2132"/>
    </row>
    <row r="149" spans="1:16" s="2070" customFormat="1">
      <c r="A149" s="1902">
        <v>4</v>
      </c>
      <c r="B149" s="1902">
        <v>1</v>
      </c>
      <c r="C149" s="1902" t="s">
        <v>443</v>
      </c>
      <c r="D149" s="1902" t="s">
        <v>444</v>
      </c>
      <c r="E149" s="1902" t="s">
        <v>440</v>
      </c>
      <c r="F149" s="2097"/>
      <c r="G149" s="2104"/>
      <c r="H149" s="200" t="s">
        <v>50</v>
      </c>
      <c r="I149" s="200" t="s">
        <v>73</v>
      </c>
      <c r="J149" s="1964">
        <f>TARGET!D151</f>
        <v>0</v>
      </c>
      <c r="K149" s="2159">
        <v>0</v>
      </c>
      <c r="L149" s="2160">
        <f>'ALL BULAN'!E149</f>
        <v>0</v>
      </c>
      <c r="M149" s="2161">
        <f t="shared" si="21"/>
        <v>0</v>
      </c>
      <c r="N149" s="1891">
        <f t="shared" si="22"/>
        <v>0</v>
      </c>
      <c r="O149" s="2162">
        <v>0</v>
      </c>
      <c r="P149" s="2132"/>
    </row>
    <row r="150" spans="1:16" s="2070" customFormat="1">
      <c r="A150" s="1944">
        <v>4</v>
      </c>
      <c r="B150" s="1944">
        <v>1</v>
      </c>
      <c r="C150" s="1944" t="s">
        <v>443</v>
      </c>
      <c r="D150" s="1944" t="s">
        <v>444</v>
      </c>
      <c r="E150" s="2105" t="s">
        <v>445</v>
      </c>
      <c r="F150" s="2097"/>
      <c r="G150" s="2104"/>
      <c r="H150" s="200" t="s">
        <v>50</v>
      </c>
      <c r="I150" s="200" t="s">
        <v>74</v>
      </c>
      <c r="J150" s="1964">
        <f>TARGET!D152</f>
        <v>0</v>
      </c>
      <c r="K150" s="2159">
        <v>0</v>
      </c>
      <c r="L150" s="2160">
        <f>'ALL BULAN'!E150</f>
        <v>0</v>
      </c>
      <c r="M150" s="2161">
        <f t="shared" si="21"/>
        <v>0</v>
      </c>
      <c r="N150" s="1891">
        <f t="shared" si="22"/>
        <v>0</v>
      </c>
      <c r="O150" s="2162">
        <v>0</v>
      </c>
      <c r="P150" s="2132"/>
    </row>
    <row r="151" spans="1:16" s="2070" customFormat="1">
      <c r="A151" s="1725">
        <v>4</v>
      </c>
      <c r="B151" s="1725">
        <v>1</v>
      </c>
      <c r="C151" s="1725" t="s">
        <v>443</v>
      </c>
      <c r="D151" s="1725" t="s">
        <v>444</v>
      </c>
      <c r="E151" s="1725" t="s">
        <v>441</v>
      </c>
      <c r="F151" s="2097"/>
      <c r="G151" s="2104"/>
      <c r="H151" s="200" t="s">
        <v>308</v>
      </c>
      <c r="I151" s="206" t="s">
        <v>75</v>
      </c>
      <c r="J151" s="1964">
        <f>TARGET!D153</f>
        <v>0</v>
      </c>
      <c r="K151" s="2159">
        <v>0</v>
      </c>
      <c r="L151" s="2160">
        <f>'ALL BULAN'!E151</f>
        <v>0</v>
      </c>
      <c r="M151" s="2161">
        <f t="shared" si="21"/>
        <v>0</v>
      </c>
      <c r="N151" s="1891">
        <f t="shared" si="22"/>
        <v>0</v>
      </c>
      <c r="O151" s="2162">
        <v>0</v>
      </c>
      <c r="P151" s="2132"/>
    </row>
    <row r="152" spans="1:16" s="2070" customFormat="1">
      <c r="A152" s="2114">
        <v>4</v>
      </c>
      <c r="B152" s="2114">
        <v>1</v>
      </c>
      <c r="C152" s="2114" t="s">
        <v>443</v>
      </c>
      <c r="D152" s="2114" t="s">
        <v>447</v>
      </c>
      <c r="E152" s="2125" t="s">
        <v>437</v>
      </c>
      <c r="F152" s="2097"/>
      <c r="G152" s="2104"/>
      <c r="H152" s="200" t="s">
        <v>50</v>
      </c>
      <c r="I152" s="206" t="s">
        <v>85</v>
      </c>
      <c r="J152" s="1964">
        <f>TARGET!D154</f>
        <v>0</v>
      </c>
      <c r="K152" s="2159">
        <v>0</v>
      </c>
      <c r="L152" s="2160">
        <f>'ALL BULAN'!E152</f>
        <v>0</v>
      </c>
      <c r="M152" s="2161">
        <f t="shared" si="21"/>
        <v>0</v>
      </c>
      <c r="N152" s="1891">
        <f t="shared" si="22"/>
        <v>0</v>
      </c>
      <c r="O152" s="2162">
        <v>0</v>
      </c>
      <c r="P152" s="2132"/>
    </row>
    <row r="153" spans="1:16" s="2070" customFormat="1" ht="4.55" customHeight="1">
      <c r="A153" s="2096"/>
      <c r="B153" s="2096"/>
      <c r="C153" s="2096"/>
      <c r="D153" s="2096"/>
      <c r="E153" s="2096"/>
      <c r="F153" s="2097"/>
      <c r="G153" s="2104"/>
      <c r="H153" s="200"/>
      <c r="I153" s="200"/>
      <c r="J153" s="2164">
        <v>0</v>
      </c>
      <c r="K153" s="2255">
        <v>0</v>
      </c>
      <c r="L153" s="2164">
        <v>0</v>
      </c>
      <c r="M153" s="1891">
        <v>0</v>
      </c>
      <c r="N153" s="1891">
        <v>0</v>
      </c>
      <c r="O153" s="2162">
        <v>0</v>
      </c>
      <c r="P153" s="2132"/>
    </row>
    <row r="154" spans="1:16" s="2073" customFormat="1" ht="15.65">
      <c r="A154" s="2090"/>
      <c r="B154" s="2090"/>
      <c r="C154" s="2090"/>
      <c r="D154" s="2090"/>
      <c r="E154" s="2090"/>
      <c r="F154" s="2091"/>
      <c r="G154" s="2092" t="s">
        <v>114</v>
      </c>
      <c r="H154" s="2093" t="s">
        <v>115</v>
      </c>
      <c r="I154" s="2195"/>
      <c r="J154" s="2147">
        <f>J157+J161</f>
        <v>211889500</v>
      </c>
      <c r="K154" s="2148">
        <v>230000</v>
      </c>
      <c r="L154" s="2147">
        <f>L157+L161</f>
        <v>25595000</v>
      </c>
      <c r="M154" s="2147">
        <f t="shared" ref="M154:M167" si="23">SUM(K154:L154)</f>
        <v>25825000</v>
      </c>
      <c r="N154" s="2147">
        <f t="shared" ref="N154:N167" si="24">M154-J154</f>
        <v>-186064500</v>
      </c>
      <c r="O154" s="2149">
        <f t="shared" ref="O154:O159" si="25">M154/J154*100</f>
        <v>12.187956458437062</v>
      </c>
      <c r="P154" s="2150"/>
    </row>
    <row r="155" spans="1:16" s="2070" customFormat="1">
      <c r="A155" s="2094">
        <v>4</v>
      </c>
      <c r="B155" s="2094">
        <v>1</v>
      </c>
      <c r="C155" s="2094">
        <v>2</v>
      </c>
      <c r="D155" s="2095"/>
      <c r="E155" s="2096"/>
      <c r="F155" s="2103">
        <v>1</v>
      </c>
      <c r="G155" s="2098"/>
      <c r="H155" s="2099" t="s">
        <v>106</v>
      </c>
      <c r="I155" s="2099"/>
      <c r="J155" s="2151">
        <f>SUM(J156)</f>
        <v>193889500</v>
      </c>
      <c r="K155" s="2159">
        <v>230000</v>
      </c>
      <c r="L155" s="2151">
        <f>SUM(L156)</f>
        <v>24900000</v>
      </c>
      <c r="M155" s="2161">
        <f t="shared" si="23"/>
        <v>25130000</v>
      </c>
      <c r="N155" s="1891">
        <f t="shared" si="24"/>
        <v>-168759500</v>
      </c>
      <c r="O155" s="2162">
        <f t="shared" si="25"/>
        <v>12.960990667364658</v>
      </c>
      <c r="P155" s="2132"/>
    </row>
    <row r="156" spans="1:16" s="2074" customFormat="1">
      <c r="A156" s="2094">
        <v>4</v>
      </c>
      <c r="B156" s="2094">
        <v>1</v>
      </c>
      <c r="C156" s="2094">
        <v>2</v>
      </c>
      <c r="D156" s="2095" t="s">
        <v>440</v>
      </c>
      <c r="E156" s="2215"/>
      <c r="F156" s="2202"/>
      <c r="G156" s="2104"/>
      <c r="H156" s="2728" t="s">
        <v>116</v>
      </c>
      <c r="I156" s="202"/>
      <c r="J156" s="2181">
        <f>SUM(J157)</f>
        <v>193889500</v>
      </c>
      <c r="K156" s="2159">
        <v>230000</v>
      </c>
      <c r="L156" s="2181">
        <f>SUM(L157)</f>
        <v>24900000</v>
      </c>
      <c r="M156" s="2161">
        <f t="shared" si="23"/>
        <v>25130000</v>
      </c>
      <c r="N156" s="1891">
        <f t="shared" si="24"/>
        <v>-168759500</v>
      </c>
      <c r="O156" s="2162">
        <f t="shared" si="25"/>
        <v>12.960990667364658</v>
      </c>
      <c r="P156" s="2132"/>
    </row>
    <row r="157" spans="1:16" s="2070" customFormat="1" ht="15.05">
      <c r="A157" s="2094">
        <v>4</v>
      </c>
      <c r="B157" s="2094">
        <v>1</v>
      </c>
      <c r="C157" s="2094">
        <v>2</v>
      </c>
      <c r="D157" s="2125" t="s">
        <v>440</v>
      </c>
      <c r="E157" s="2125" t="s">
        <v>437</v>
      </c>
      <c r="F157" s="2244"/>
      <c r="G157" s="2104"/>
      <c r="H157" s="200" t="s">
        <v>117</v>
      </c>
      <c r="I157" s="200"/>
      <c r="J157" s="2256">
        <f>SUM(J158:J159)</f>
        <v>193889500</v>
      </c>
      <c r="K157" s="2155">
        <v>230000</v>
      </c>
      <c r="L157" s="2256">
        <f>SUM(L158:L159)</f>
        <v>24900000</v>
      </c>
      <c r="M157" s="2156">
        <f t="shared" si="23"/>
        <v>25130000</v>
      </c>
      <c r="N157" s="1749">
        <f t="shared" si="24"/>
        <v>-168759500</v>
      </c>
      <c r="O157" s="2162">
        <f t="shared" si="25"/>
        <v>12.960990667364658</v>
      </c>
      <c r="P157" s="2132"/>
    </row>
    <row r="158" spans="1:16" s="2070" customFormat="1">
      <c r="A158" s="2096"/>
      <c r="B158" s="2096"/>
      <c r="C158" s="2096"/>
      <c r="D158" s="2096"/>
      <c r="E158" s="2096"/>
      <c r="F158" s="2097"/>
      <c r="G158" s="2104"/>
      <c r="H158" s="2727" t="s">
        <v>50</v>
      </c>
      <c r="I158" s="200" t="s">
        <v>118</v>
      </c>
      <c r="J158" s="1964">
        <f>TARGET!D160</f>
        <v>103889500</v>
      </c>
      <c r="K158" s="2159">
        <v>230000</v>
      </c>
      <c r="L158" s="2160">
        <v>24900000</v>
      </c>
      <c r="M158" s="2161">
        <f t="shared" si="23"/>
        <v>25130000</v>
      </c>
      <c r="N158" s="1891">
        <f t="shared" si="24"/>
        <v>-78759500</v>
      </c>
      <c r="O158" s="2162">
        <f t="shared" si="25"/>
        <v>24.18916252364291</v>
      </c>
      <c r="P158" s="2132"/>
    </row>
    <row r="159" spans="1:16" s="2070" customFormat="1">
      <c r="A159" s="2096"/>
      <c r="B159" s="2096"/>
      <c r="C159" s="2096"/>
      <c r="D159" s="2096"/>
      <c r="E159" s="2096"/>
      <c r="F159" s="2097"/>
      <c r="G159" s="2104"/>
      <c r="H159" s="2727" t="s">
        <v>50</v>
      </c>
      <c r="I159" s="200" t="s">
        <v>119</v>
      </c>
      <c r="J159" s="1964">
        <f>TARGET!D161</f>
        <v>90000000</v>
      </c>
      <c r="K159" s="2159">
        <v>0</v>
      </c>
      <c r="L159" s="2160">
        <f>'ALL BULAN'!E159</f>
        <v>0</v>
      </c>
      <c r="M159" s="2161">
        <f t="shared" si="23"/>
        <v>0</v>
      </c>
      <c r="N159" s="1891">
        <f t="shared" si="24"/>
        <v>-90000000</v>
      </c>
      <c r="O159" s="2162">
        <f t="shared" si="25"/>
        <v>0</v>
      </c>
      <c r="P159" s="2132"/>
    </row>
    <row r="160" spans="1:16" s="2070" customFormat="1" ht="9.1" customHeight="1">
      <c r="A160" s="2096"/>
      <c r="B160" s="2096"/>
      <c r="C160" s="2096"/>
      <c r="D160" s="2096"/>
      <c r="E160" s="2096"/>
      <c r="F160" s="2097"/>
      <c r="G160" s="2104"/>
      <c r="H160" s="200"/>
      <c r="I160" s="200"/>
      <c r="J160" s="2164"/>
      <c r="K160" s="2159">
        <v>0</v>
      </c>
      <c r="L160" s="2164"/>
      <c r="M160" s="2161">
        <f t="shared" si="23"/>
        <v>0</v>
      </c>
      <c r="N160" s="1891">
        <f t="shared" si="24"/>
        <v>0</v>
      </c>
      <c r="O160" s="2162">
        <f>N160-K160</f>
        <v>0</v>
      </c>
      <c r="P160" s="2132"/>
    </row>
    <row r="161" spans="1:16" s="2070" customFormat="1" ht="15.05">
      <c r="A161" s="2102">
        <v>4</v>
      </c>
      <c r="B161" s="2102">
        <v>1</v>
      </c>
      <c r="C161" s="2102">
        <v>4</v>
      </c>
      <c r="D161" s="2096"/>
      <c r="E161" s="2096"/>
      <c r="F161" s="2103">
        <v>3</v>
      </c>
      <c r="G161" s="2104"/>
      <c r="H161" s="202" t="s">
        <v>71</v>
      </c>
      <c r="I161" s="202"/>
      <c r="J161" s="2165">
        <f>SUM(J162:J167)</f>
        <v>18000000</v>
      </c>
      <c r="K161" s="2155">
        <v>0</v>
      </c>
      <c r="L161" s="2165">
        <f>SUM(L162:L167)</f>
        <v>695000</v>
      </c>
      <c r="M161" s="2156">
        <f t="shared" si="23"/>
        <v>695000</v>
      </c>
      <c r="N161" s="1749">
        <f t="shared" si="24"/>
        <v>-17305000</v>
      </c>
      <c r="O161" s="2162">
        <f>M161/J161*100</f>
        <v>3.8611111111111112</v>
      </c>
      <c r="P161" s="2132"/>
    </row>
    <row r="162" spans="1:16" s="2070" customFormat="1">
      <c r="A162" s="2102">
        <v>4</v>
      </c>
      <c r="B162" s="2102">
        <v>1</v>
      </c>
      <c r="C162" s="2102">
        <v>4</v>
      </c>
      <c r="D162" s="2125" t="s">
        <v>448</v>
      </c>
      <c r="E162" s="2096"/>
      <c r="F162" s="2097"/>
      <c r="G162" s="2245"/>
      <c r="H162" s="2246" t="s">
        <v>50</v>
      </c>
      <c r="I162" s="2246" t="s">
        <v>120</v>
      </c>
      <c r="J162" s="2257">
        <f>TARGET!D164</f>
        <v>18000000</v>
      </c>
      <c r="K162" s="2159">
        <v>0</v>
      </c>
      <c r="L162" s="2257">
        <v>695000</v>
      </c>
      <c r="M162" s="2258">
        <f t="shared" si="23"/>
        <v>695000</v>
      </c>
      <c r="N162" s="2258">
        <f t="shared" si="24"/>
        <v>-17305000</v>
      </c>
      <c r="O162" s="2259">
        <f>M162/J162*100</f>
        <v>3.8611111111111112</v>
      </c>
      <c r="P162" s="2132"/>
    </row>
    <row r="163" spans="1:16" s="2070" customFormat="1">
      <c r="A163" s="2102">
        <v>4</v>
      </c>
      <c r="B163" s="2102">
        <v>1</v>
      </c>
      <c r="C163" s="2102">
        <v>4</v>
      </c>
      <c r="D163" s="2102" t="s">
        <v>441</v>
      </c>
      <c r="E163" s="2096"/>
      <c r="F163" s="2097"/>
      <c r="G163" s="2104"/>
      <c r="H163" s="200" t="s">
        <v>50</v>
      </c>
      <c r="I163" s="200" t="s">
        <v>72</v>
      </c>
      <c r="J163" s="1964">
        <f>TARGET!D165</f>
        <v>0</v>
      </c>
      <c r="K163" s="2159">
        <v>0</v>
      </c>
      <c r="L163" s="2160">
        <f>'ALL BULAN'!E163</f>
        <v>0</v>
      </c>
      <c r="M163" s="2161">
        <f t="shared" si="23"/>
        <v>0</v>
      </c>
      <c r="N163" s="1891">
        <f t="shared" si="24"/>
        <v>0</v>
      </c>
      <c r="O163" s="2162">
        <v>0</v>
      </c>
      <c r="P163" s="2132"/>
    </row>
    <row r="164" spans="1:16" s="2070" customFormat="1">
      <c r="A164" s="1902">
        <v>4</v>
      </c>
      <c r="B164" s="1902">
        <v>1</v>
      </c>
      <c r="C164" s="1902" t="s">
        <v>443</v>
      </c>
      <c r="D164" s="1902" t="s">
        <v>444</v>
      </c>
      <c r="E164" s="1902" t="s">
        <v>440</v>
      </c>
      <c r="F164" s="2097"/>
      <c r="G164" s="2104"/>
      <c r="H164" s="200" t="s">
        <v>50</v>
      </c>
      <c r="I164" s="200" t="s">
        <v>73</v>
      </c>
      <c r="J164" s="1964">
        <f>TARGET!D166</f>
        <v>0</v>
      </c>
      <c r="K164" s="2159">
        <v>0</v>
      </c>
      <c r="L164" s="2160">
        <f>'ALL BULAN'!E164</f>
        <v>0</v>
      </c>
      <c r="M164" s="2161">
        <f t="shared" si="23"/>
        <v>0</v>
      </c>
      <c r="N164" s="1891">
        <f t="shared" si="24"/>
        <v>0</v>
      </c>
      <c r="O164" s="2162">
        <v>0</v>
      </c>
      <c r="P164" s="2132"/>
    </row>
    <row r="165" spans="1:16" s="2070" customFormat="1">
      <c r="A165" s="1944">
        <v>4</v>
      </c>
      <c r="B165" s="1944">
        <v>1</v>
      </c>
      <c r="C165" s="1944" t="s">
        <v>443</v>
      </c>
      <c r="D165" s="1944" t="s">
        <v>444</v>
      </c>
      <c r="E165" s="2105" t="s">
        <v>445</v>
      </c>
      <c r="F165" s="2097"/>
      <c r="G165" s="2104"/>
      <c r="H165" s="200" t="s">
        <v>50</v>
      </c>
      <c r="I165" s="200" t="s">
        <v>74</v>
      </c>
      <c r="J165" s="1964">
        <f>TARGET!D167</f>
        <v>0</v>
      </c>
      <c r="K165" s="2159">
        <v>0</v>
      </c>
      <c r="L165" s="2160">
        <f>'ALL BULAN'!E165</f>
        <v>0</v>
      </c>
      <c r="M165" s="2161">
        <f t="shared" si="23"/>
        <v>0</v>
      </c>
      <c r="N165" s="1891">
        <f t="shared" si="24"/>
        <v>0</v>
      </c>
      <c r="O165" s="2162">
        <v>0</v>
      </c>
      <c r="P165" s="2132"/>
    </row>
    <row r="166" spans="1:16" s="2070" customFormat="1">
      <c r="A166" s="1725">
        <v>4</v>
      </c>
      <c r="B166" s="1725">
        <v>1</v>
      </c>
      <c r="C166" s="1725" t="s">
        <v>443</v>
      </c>
      <c r="D166" s="1725" t="s">
        <v>444</v>
      </c>
      <c r="E166" s="1725" t="s">
        <v>441</v>
      </c>
      <c r="F166" s="2097"/>
      <c r="G166" s="2104"/>
      <c r="H166" s="200" t="s">
        <v>308</v>
      </c>
      <c r="I166" s="206" t="s">
        <v>75</v>
      </c>
      <c r="J166" s="1964">
        <f>TARGET!D168</f>
        <v>0</v>
      </c>
      <c r="K166" s="2159">
        <v>0</v>
      </c>
      <c r="L166" s="2160">
        <f>'ALL BULAN'!E166</f>
        <v>0</v>
      </c>
      <c r="M166" s="2161">
        <f t="shared" si="23"/>
        <v>0</v>
      </c>
      <c r="N166" s="1891">
        <f t="shared" si="24"/>
        <v>0</v>
      </c>
      <c r="O166" s="2162">
        <v>0</v>
      </c>
      <c r="P166" s="2132"/>
    </row>
    <row r="167" spans="1:16" s="2070" customFormat="1">
      <c r="A167" s="2114">
        <v>4</v>
      </c>
      <c r="B167" s="2114">
        <v>1</v>
      </c>
      <c r="C167" s="2114" t="s">
        <v>443</v>
      </c>
      <c r="D167" s="2114" t="s">
        <v>447</v>
      </c>
      <c r="E167" s="2125" t="s">
        <v>437</v>
      </c>
      <c r="F167" s="2097"/>
      <c r="G167" s="2104"/>
      <c r="H167" s="200" t="s">
        <v>50</v>
      </c>
      <c r="I167" s="206" t="s">
        <v>85</v>
      </c>
      <c r="J167" s="1964">
        <f>TARGET!D169</f>
        <v>0</v>
      </c>
      <c r="K167" s="2159">
        <v>0</v>
      </c>
      <c r="L167" s="2160">
        <f>'ALL BULAN'!E167</f>
        <v>0</v>
      </c>
      <c r="M167" s="2161">
        <f t="shared" si="23"/>
        <v>0</v>
      </c>
      <c r="N167" s="1891">
        <f t="shared" si="24"/>
        <v>0</v>
      </c>
      <c r="O167" s="2162">
        <v>0</v>
      </c>
      <c r="P167" s="2132"/>
    </row>
    <row r="168" spans="1:16" s="2070" customFormat="1" ht="4.55" customHeight="1">
      <c r="A168" s="2096"/>
      <c r="B168" s="2096"/>
      <c r="C168" s="2096"/>
      <c r="D168" s="2096"/>
      <c r="E168" s="2096"/>
      <c r="F168" s="2097"/>
      <c r="G168" s="2199"/>
      <c r="H168" s="2117"/>
      <c r="I168" s="2117"/>
      <c r="J168" s="2182"/>
      <c r="K168" s="2183"/>
      <c r="L168" s="2182"/>
      <c r="M168" s="1469"/>
      <c r="N168" s="1469"/>
      <c r="O168" s="2184"/>
      <c r="P168" s="2132"/>
    </row>
    <row r="169" spans="1:16" s="2073" customFormat="1" ht="15.65">
      <c r="A169" s="2090"/>
      <c r="B169" s="2090"/>
      <c r="C169" s="2090"/>
      <c r="D169" s="2090"/>
      <c r="E169" s="2090"/>
      <c r="F169" s="2091"/>
      <c r="G169" s="2092" t="s">
        <v>121</v>
      </c>
      <c r="H169" s="2093" t="s">
        <v>122</v>
      </c>
      <c r="I169" s="2146"/>
      <c r="J169" s="2147">
        <f>J170+J175</f>
        <v>0</v>
      </c>
      <c r="K169" s="2148">
        <v>80532600</v>
      </c>
      <c r="L169" s="2147">
        <f>L170+L175</f>
        <v>0</v>
      </c>
      <c r="M169" s="2147">
        <f>M170+M175</f>
        <v>80532600</v>
      </c>
      <c r="N169" s="2147">
        <f>N170+N175</f>
        <v>80532600</v>
      </c>
      <c r="O169" s="2149">
        <f>O170+O175</f>
        <v>0</v>
      </c>
      <c r="P169" s="2150"/>
    </row>
    <row r="170" spans="1:16" s="2073" customFormat="1">
      <c r="A170" s="2094">
        <v>4</v>
      </c>
      <c r="B170" s="2094">
        <v>1</v>
      </c>
      <c r="C170" s="2094">
        <v>2</v>
      </c>
      <c r="D170" s="2090"/>
      <c r="E170" s="2090"/>
      <c r="F170" s="2247">
        <v>1</v>
      </c>
      <c r="G170" s="2205"/>
      <c r="H170" s="2248" t="s">
        <v>106</v>
      </c>
      <c r="I170" s="2099"/>
      <c r="J170" s="2151">
        <f>J171</f>
        <v>0</v>
      </c>
      <c r="K170" s="2159">
        <v>72425000</v>
      </c>
      <c r="L170" s="2151">
        <f t="shared" ref="L170:O171" si="26">L171</f>
        <v>0</v>
      </c>
      <c r="M170" s="2161">
        <f>SUM(K170:L170)</f>
        <v>72425000</v>
      </c>
      <c r="N170" s="2260">
        <f>M170-J170</f>
        <v>72425000</v>
      </c>
      <c r="O170" s="2153">
        <f t="shared" si="26"/>
        <v>0</v>
      </c>
      <c r="P170" s="2150"/>
    </row>
    <row r="171" spans="1:16" s="2073" customFormat="1" ht="15.05">
      <c r="A171" s="2094">
        <v>4</v>
      </c>
      <c r="B171" s="2094">
        <v>1</v>
      </c>
      <c r="C171" s="2094">
        <v>2</v>
      </c>
      <c r="D171" s="2095" t="s">
        <v>438</v>
      </c>
      <c r="E171" s="2096"/>
      <c r="F171" s="2091"/>
      <c r="G171" s="2249"/>
      <c r="H171" s="212" t="s">
        <v>109</v>
      </c>
      <c r="I171" s="212"/>
      <c r="J171" s="2261">
        <f>J172</f>
        <v>0</v>
      </c>
      <c r="K171" s="2155">
        <v>72425000</v>
      </c>
      <c r="L171" s="2261">
        <f t="shared" si="26"/>
        <v>0</v>
      </c>
      <c r="M171" s="2156">
        <f>SUM(K171:L171)</f>
        <v>72425000</v>
      </c>
      <c r="N171" s="2261">
        <f>M171-J171</f>
        <v>72425000</v>
      </c>
      <c r="O171" s="2262">
        <f t="shared" si="26"/>
        <v>0</v>
      </c>
      <c r="P171" s="2150"/>
    </row>
    <row r="172" spans="1:16" s="2073" customFormat="1">
      <c r="A172" s="1905">
        <v>4</v>
      </c>
      <c r="B172" s="1905">
        <v>1</v>
      </c>
      <c r="C172" s="1905">
        <v>2</v>
      </c>
      <c r="D172" s="1905" t="s">
        <v>438</v>
      </c>
      <c r="E172" s="1854" t="s">
        <v>451</v>
      </c>
      <c r="F172" s="2091"/>
      <c r="G172" s="2249"/>
      <c r="H172" s="212" t="s">
        <v>452</v>
      </c>
      <c r="I172" s="212"/>
      <c r="J172" s="2260">
        <f>SUM(J173)</f>
        <v>0</v>
      </c>
      <c r="K172" s="2159">
        <v>72425000</v>
      </c>
      <c r="L172" s="2260">
        <f>SUM(L173)</f>
        <v>0</v>
      </c>
      <c r="M172" s="2161">
        <f>SUM(K172:L172)</f>
        <v>72425000</v>
      </c>
      <c r="N172" s="2260">
        <f>M172-J172</f>
        <v>72425000</v>
      </c>
      <c r="O172" s="2157">
        <f>SUM(O173)</f>
        <v>0</v>
      </c>
      <c r="P172" s="2150"/>
    </row>
    <row r="173" spans="1:16" s="2073" customFormat="1">
      <c r="A173" s="2090"/>
      <c r="B173" s="2090"/>
      <c r="C173" s="2090"/>
      <c r="D173" s="2090"/>
      <c r="E173" s="2090"/>
      <c r="F173" s="2091"/>
      <c r="G173" s="2249"/>
      <c r="H173" s="224"/>
      <c r="I173" s="2733" t="str">
        <f>'ALL BULAN'!C173</f>
        <v>- TEMPAT WISATA DAN OLAH RAGA</v>
      </c>
      <c r="J173" s="2263">
        <f>TARGET!D175</f>
        <v>0</v>
      </c>
      <c r="K173" s="2159">
        <v>72425000</v>
      </c>
      <c r="L173" s="2160">
        <v>0</v>
      </c>
      <c r="M173" s="2161">
        <f>SUM(K173:L173)</f>
        <v>72425000</v>
      </c>
      <c r="N173" s="2260">
        <f>M173-J173</f>
        <v>72425000</v>
      </c>
      <c r="O173" s="2157"/>
      <c r="P173" s="2150"/>
    </row>
    <row r="174" spans="1:16" s="2073" customFormat="1" ht="5.95" customHeight="1">
      <c r="A174" s="2090"/>
      <c r="B174" s="2090"/>
      <c r="C174" s="2090"/>
      <c r="D174" s="2090"/>
      <c r="E174" s="2090"/>
      <c r="F174" s="2091"/>
      <c r="G174" s="2249"/>
      <c r="H174" s="2250"/>
      <c r="I174" s="2264"/>
      <c r="J174" s="2265"/>
      <c r="K174" s="2266"/>
      <c r="L174" s="2265"/>
      <c r="M174" s="2267"/>
      <c r="N174" s="2189"/>
      <c r="O174" s="2268"/>
      <c r="P174" s="2150"/>
    </row>
    <row r="175" spans="1:16" s="2070" customFormat="1">
      <c r="A175" s="2102">
        <v>4</v>
      </c>
      <c r="B175" s="2102">
        <v>1</v>
      </c>
      <c r="C175" s="2102">
        <v>4</v>
      </c>
      <c r="D175" s="2096"/>
      <c r="E175" s="2096"/>
      <c r="F175" s="2103">
        <v>3</v>
      </c>
      <c r="G175" s="2100"/>
      <c r="H175" s="212" t="s">
        <v>71</v>
      </c>
      <c r="I175" s="2269"/>
      <c r="J175" s="2270">
        <f>SUM(J176:J180)</f>
        <v>0</v>
      </c>
      <c r="K175" s="2271">
        <v>8107600</v>
      </c>
      <c r="L175" s="2272">
        <f>SUM(L176:L180)</f>
        <v>0</v>
      </c>
      <c r="M175" s="2272">
        <f>SUM(M176:M180)</f>
        <v>8107600</v>
      </c>
      <c r="N175" s="2270">
        <f>SUM(N176:N180)</f>
        <v>8107600</v>
      </c>
      <c r="O175" s="2157">
        <v>0</v>
      </c>
      <c r="P175" s="2132"/>
    </row>
    <row r="176" spans="1:16" s="2070" customFormat="1">
      <c r="A176" s="2102">
        <v>4</v>
      </c>
      <c r="B176" s="2102">
        <v>1</v>
      </c>
      <c r="C176" s="2102">
        <v>4</v>
      </c>
      <c r="D176" s="2102" t="s">
        <v>441</v>
      </c>
      <c r="E176" s="2096"/>
      <c r="F176" s="2097"/>
      <c r="G176" s="2104"/>
      <c r="H176" s="2727" t="s">
        <v>50</v>
      </c>
      <c r="I176" s="200" t="s">
        <v>72</v>
      </c>
      <c r="J176" s="1964">
        <f>TARGET!D178</f>
        <v>0</v>
      </c>
      <c r="K176" s="2159">
        <v>0</v>
      </c>
      <c r="L176" s="2160">
        <f>'ALL BULAN'!E176</f>
        <v>0</v>
      </c>
      <c r="M176" s="2161">
        <f>SUM(K176:L176)</f>
        <v>0</v>
      </c>
      <c r="N176" s="1891">
        <f>M176-J176</f>
        <v>0</v>
      </c>
      <c r="O176" s="2162">
        <v>0</v>
      </c>
      <c r="P176" s="2132"/>
    </row>
    <row r="177" spans="1:16" s="2070" customFormat="1">
      <c r="A177" s="1902">
        <v>4</v>
      </c>
      <c r="B177" s="1902">
        <v>1</v>
      </c>
      <c r="C177" s="1902" t="s">
        <v>443</v>
      </c>
      <c r="D177" s="1902" t="s">
        <v>444</v>
      </c>
      <c r="E177" s="1902" t="s">
        <v>440</v>
      </c>
      <c r="F177" s="2097"/>
      <c r="G177" s="2104"/>
      <c r="H177" s="2727" t="s">
        <v>50</v>
      </c>
      <c r="I177" s="200" t="s">
        <v>73</v>
      </c>
      <c r="J177" s="1964">
        <f>TARGET!D179</f>
        <v>0</v>
      </c>
      <c r="K177" s="2159">
        <v>0</v>
      </c>
      <c r="L177" s="2160">
        <f>'ALL BULAN'!E177</f>
        <v>0</v>
      </c>
      <c r="M177" s="2161">
        <f>SUM(K177:L177)</f>
        <v>0</v>
      </c>
      <c r="N177" s="1891">
        <f>M177-J177</f>
        <v>0</v>
      </c>
      <c r="O177" s="2162">
        <v>0</v>
      </c>
      <c r="P177" s="2132"/>
    </row>
    <row r="178" spans="1:16" s="2070" customFormat="1">
      <c r="A178" s="1944">
        <v>4</v>
      </c>
      <c r="B178" s="1944">
        <v>1</v>
      </c>
      <c r="C178" s="1944" t="s">
        <v>443</v>
      </c>
      <c r="D178" s="1944" t="s">
        <v>444</v>
      </c>
      <c r="E178" s="2105" t="s">
        <v>445</v>
      </c>
      <c r="F178" s="2097"/>
      <c r="G178" s="2104"/>
      <c r="H178" s="2727" t="s">
        <v>50</v>
      </c>
      <c r="I178" s="200" t="s">
        <v>74</v>
      </c>
      <c r="J178" s="1964">
        <f>TARGET!D180</f>
        <v>0</v>
      </c>
      <c r="K178" s="2159">
        <v>0</v>
      </c>
      <c r="L178" s="2160">
        <f>'ALL BULAN'!E178</f>
        <v>0</v>
      </c>
      <c r="M178" s="2161">
        <f>SUM(K178:L178)</f>
        <v>0</v>
      </c>
      <c r="N178" s="1891">
        <f>M178-J178</f>
        <v>0</v>
      </c>
      <c r="O178" s="2162">
        <v>0</v>
      </c>
      <c r="P178" s="2132"/>
    </row>
    <row r="179" spans="1:16" s="2070" customFormat="1">
      <c r="A179" s="1725">
        <v>4</v>
      </c>
      <c r="B179" s="1725">
        <v>1</v>
      </c>
      <c r="C179" s="1725" t="s">
        <v>443</v>
      </c>
      <c r="D179" s="1725" t="s">
        <v>444</v>
      </c>
      <c r="E179" s="1725" t="s">
        <v>441</v>
      </c>
      <c r="F179" s="2097"/>
      <c r="G179" s="2104"/>
      <c r="H179" s="2727" t="s">
        <v>50</v>
      </c>
      <c r="I179" s="206" t="s">
        <v>75</v>
      </c>
      <c r="J179" s="1964">
        <f>TARGET!D181</f>
        <v>0</v>
      </c>
      <c r="K179" s="2159">
        <v>7967600</v>
      </c>
      <c r="L179" s="2160">
        <v>0</v>
      </c>
      <c r="M179" s="2161">
        <f>SUM(K179:L179)</f>
        <v>7967600</v>
      </c>
      <c r="N179" s="1891">
        <f>M179-J179</f>
        <v>7967600</v>
      </c>
      <c r="O179" s="2162">
        <v>0</v>
      </c>
      <c r="P179" s="2132"/>
    </row>
    <row r="180" spans="1:16" s="2070" customFormat="1">
      <c r="A180" s="2114">
        <v>4</v>
      </c>
      <c r="B180" s="2114">
        <v>1</v>
      </c>
      <c r="C180" s="2114" t="s">
        <v>443</v>
      </c>
      <c r="D180" s="2114" t="s">
        <v>447</v>
      </c>
      <c r="E180" s="2125" t="s">
        <v>437</v>
      </c>
      <c r="F180" s="2097"/>
      <c r="G180" s="2104"/>
      <c r="H180" s="2727" t="s">
        <v>50</v>
      </c>
      <c r="I180" s="206" t="s">
        <v>85</v>
      </c>
      <c r="J180" s="1964">
        <f>TARGET!D182</f>
        <v>0</v>
      </c>
      <c r="K180" s="2159">
        <v>140000</v>
      </c>
      <c r="L180" s="2160">
        <v>0</v>
      </c>
      <c r="M180" s="2161">
        <f>SUM(K180:L180)</f>
        <v>140000</v>
      </c>
      <c r="N180" s="1891">
        <f>M180-J180</f>
        <v>140000</v>
      </c>
      <c r="O180" s="2162">
        <v>0</v>
      </c>
      <c r="P180" s="2132"/>
    </row>
    <row r="181" spans="1:16" s="2070" customFormat="1" ht="4.55" customHeight="1">
      <c r="A181" s="2096"/>
      <c r="B181" s="2096"/>
      <c r="C181" s="2096"/>
      <c r="D181" s="2096"/>
      <c r="E181" s="2096"/>
      <c r="F181" s="2097"/>
      <c r="G181" s="2199"/>
      <c r="H181" s="2117"/>
      <c r="I181" s="2117"/>
      <c r="J181" s="2182"/>
      <c r="K181" s="2183"/>
      <c r="L181" s="2182"/>
      <c r="M181" s="1469"/>
      <c r="N181" s="1469"/>
      <c r="O181" s="2184"/>
      <c r="P181" s="2132"/>
    </row>
    <row r="182" spans="1:16" s="2073" customFormat="1" ht="15.65">
      <c r="A182" s="2090"/>
      <c r="B182" s="2090"/>
      <c r="C182" s="2090"/>
      <c r="D182" s="2090"/>
      <c r="E182" s="2090"/>
      <c r="F182" s="2091"/>
      <c r="G182" s="2092" t="s">
        <v>124</v>
      </c>
      <c r="H182" s="2093" t="s">
        <v>453</v>
      </c>
      <c r="I182" s="2146"/>
      <c r="J182" s="2147">
        <f>J189</f>
        <v>0</v>
      </c>
      <c r="K182" s="2148">
        <v>2935000</v>
      </c>
      <c r="L182" s="2147">
        <f>L189+L183</f>
        <v>500000</v>
      </c>
      <c r="M182" s="2147">
        <f>M189+M183</f>
        <v>3435000</v>
      </c>
      <c r="N182" s="2147">
        <f t="shared" ref="N182:N194" si="27">M182-J182</f>
        <v>3435000</v>
      </c>
      <c r="O182" s="2149">
        <v>0</v>
      </c>
      <c r="P182" s="2150"/>
    </row>
    <row r="183" spans="1:16" s="2070" customFormat="1">
      <c r="A183" s="2094">
        <v>4</v>
      </c>
      <c r="B183" s="2094">
        <v>1</v>
      </c>
      <c r="C183" s="2094">
        <v>2</v>
      </c>
      <c r="D183" s="2095"/>
      <c r="E183" s="2096"/>
      <c r="F183" s="2103">
        <v>1</v>
      </c>
      <c r="G183" s="2098"/>
      <c r="H183" s="2099" t="s">
        <v>106</v>
      </c>
      <c r="I183" s="2099"/>
      <c r="J183" s="2151">
        <f t="shared" ref="J183:L184" si="28">SUM(J184)</f>
        <v>0</v>
      </c>
      <c r="K183" s="2159">
        <v>2935000</v>
      </c>
      <c r="L183" s="2151">
        <f t="shared" si="28"/>
        <v>500000</v>
      </c>
      <c r="M183" s="2161">
        <f t="shared" ref="M183:M194" si="29">SUM(K183:L183)</f>
        <v>3435000</v>
      </c>
      <c r="N183" s="1891">
        <f t="shared" si="27"/>
        <v>3435000</v>
      </c>
      <c r="O183" s="2162">
        <v>0</v>
      </c>
      <c r="P183" s="2132"/>
    </row>
    <row r="184" spans="1:16" s="2074" customFormat="1">
      <c r="A184" s="2094">
        <v>4</v>
      </c>
      <c r="B184" s="2094">
        <v>1</v>
      </c>
      <c r="C184" s="2094">
        <v>2</v>
      </c>
      <c r="D184" s="2095" t="s">
        <v>440</v>
      </c>
      <c r="E184" s="2215"/>
      <c r="F184" s="2202"/>
      <c r="G184" s="2104"/>
      <c r="H184" s="2728" t="s">
        <v>116</v>
      </c>
      <c r="I184" s="202"/>
      <c r="J184" s="2181">
        <f t="shared" si="28"/>
        <v>0</v>
      </c>
      <c r="K184" s="2159">
        <v>2935000</v>
      </c>
      <c r="L184" s="2181">
        <f t="shared" si="28"/>
        <v>500000</v>
      </c>
      <c r="M184" s="2161">
        <f t="shared" si="29"/>
        <v>3435000</v>
      </c>
      <c r="N184" s="1891">
        <f t="shared" si="27"/>
        <v>3435000</v>
      </c>
      <c r="O184" s="2162">
        <v>0</v>
      </c>
      <c r="P184" s="2132"/>
    </row>
    <row r="185" spans="1:16" s="2070" customFormat="1" ht="15.05">
      <c r="A185" s="2094">
        <v>4</v>
      </c>
      <c r="B185" s="2094">
        <v>1</v>
      </c>
      <c r="C185" s="2094">
        <v>2</v>
      </c>
      <c r="D185" s="2125" t="s">
        <v>440</v>
      </c>
      <c r="E185" s="2125" t="s">
        <v>437</v>
      </c>
      <c r="F185" s="2097"/>
      <c r="G185" s="2104"/>
      <c r="H185" s="200" t="s">
        <v>117</v>
      </c>
      <c r="I185" s="200"/>
      <c r="J185" s="2256">
        <f>SUM(J186:J187)</f>
        <v>0</v>
      </c>
      <c r="K185" s="2155">
        <v>2935000</v>
      </c>
      <c r="L185" s="2273">
        <f>SUM(L186:L187)</f>
        <v>500000</v>
      </c>
      <c r="M185" s="2156">
        <f t="shared" si="29"/>
        <v>3435000</v>
      </c>
      <c r="N185" s="1749">
        <f t="shared" si="27"/>
        <v>3435000</v>
      </c>
      <c r="O185" s="2162">
        <v>0</v>
      </c>
      <c r="P185" s="2132"/>
    </row>
    <row r="186" spans="1:16" s="2070" customFormat="1">
      <c r="A186" s="2096"/>
      <c r="B186" s="2096"/>
      <c r="C186" s="2096"/>
      <c r="D186" s="2096"/>
      <c r="E186" s="2096"/>
      <c r="F186" s="2097"/>
      <c r="G186" s="2104"/>
      <c r="H186" s="2727" t="s">
        <v>50</v>
      </c>
      <c r="I186" s="200" t="s">
        <v>454</v>
      </c>
      <c r="J186" s="1964">
        <f>'ALL BULAN'!D187</f>
        <v>0</v>
      </c>
      <c r="K186" s="2159">
        <v>2935000</v>
      </c>
      <c r="L186" s="2274">
        <v>500000</v>
      </c>
      <c r="M186" s="2161">
        <f t="shared" si="29"/>
        <v>3435000</v>
      </c>
      <c r="N186" s="1891">
        <f t="shared" si="27"/>
        <v>3435000</v>
      </c>
      <c r="O186" s="2162">
        <v>0</v>
      </c>
      <c r="P186" s="2132"/>
    </row>
    <row r="187" spans="1:16" s="2070" customFormat="1">
      <c r="A187" s="2096"/>
      <c r="B187" s="2096"/>
      <c r="C187" s="2096"/>
      <c r="D187" s="2096"/>
      <c r="E187" s="2096"/>
      <c r="F187" s="2097"/>
      <c r="G187" s="2104"/>
      <c r="H187" s="2727" t="s">
        <v>50</v>
      </c>
      <c r="I187" s="200" t="s">
        <v>455</v>
      </c>
      <c r="J187" s="1964">
        <f>'ALL BULAN'!D188</f>
        <v>0</v>
      </c>
      <c r="K187" s="2159">
        <v>0</v>
      </c>
      <c r="L187" s="2274">
        <v>0</v>
      </c>
      <c r="M187" s="2161">
        <f t="shared" si="29"/>
        <v>0</v>
      </c>
      <c r="N187" s="1891">
        <f t="shared" si="27"/>
        <v>0</v>
      </c>
      <c r="O187" s="2162">
        <v>0</v>
      </c>
      <c r="P187" s="2132"/>
    </row>
    <row r="188" spans="1:16" s="2070" customFormat="1" ht="5.35" customHeight="1">
      <c r="A188" s="2096"/>
      <c r="B188" s="2096"/>
      <c r="C188" s="2096"/>
      <c r="D188" s="2096"/>
      <c r="E188" s="2096"/>
      <c r="F188" s="2097"/>
      <c r="G188" s="2251"/>
      <c r="H188" s="856"/>
      <c r="I188" s="856"/>
      <c r="J188" s="2275"/>
      <c r="K188" s="2159">
        <v>0</v>
      </c>
      <c r="L188" s="2275"/>
      <c r="M188" s="2161">
        <f t="shared" si="29"/>
        <v>0</v>
      </c>
      <c r="N188" s="1891">
        <f t="shared" si="27"/>
        <v>0</v>
      </c>
      <c r="O188" s="2162">
        <f>N188-K188</f>
        <v>0</v>
      </c>
      <c r="P188" s="2132"/>
    </row>
    <row r="189" spans="1:16" s="2070" customFormat="1">
      <c r="A189" s="2102">
        <v>4</v>
      </c>
      <c r="B189" s="2102">
        <v>1</v>
      </c>
      <c r="C189" s="2102">
        <v>4</v>
      </c>
      <c r="D189" s="2096"/>
      <c r="E189" s="2096"/>
      <c r="F189" s="2103">
        <v>3</v>
      </c>
      <c r="G189" s="2252"/>
      <c r="H189" s="2228" t="s">
        <v>71</v>
      </c>
      <c r="I189" s="2228"/>
      <c r="J189" s="2276">
        <f>SUM(J190:J194)</f>
        <v>0</v>
      </c>
      <c r="K189" s="2159">
        <v>0</v>
      </c>
      <c r="L189" s="2276">
        <f>SUM(L190:L194)</f>
        <v>0</v>
      </c>
      <c r="M189" s="2161">
        <f t="shared" si="29"/>
        <v>0</v>
      </c>
      <c r="N189" s="1891">
        <f t="shared" si="27"/>
        <v>0</v>
      </c>
      <c r="O189" s="2162">
        <v>0</v>
      </c>
      <c r="P189" s="2132"/>
    </row>
    <row r="190" spans="1:16" s="2070" customFormat="1">
      <c r="A190" s="2102">
        <v>4</v>
      </c>
      <c r="B190" s="2102">
        <v>1</v>
      </c>
      <c r="C190" s="2102">
        <v>4</v>
      </c>
      <c r="D190" s="2102" t="s">
        <v>441</v>
      </c>
      <c r="E190" s="2096"/>
      <c r="F190" s="2097"/>
      <c r="G190" s="2101"/>
      <c r="H190" s="2727" t="s">
        <v>50</v>
      </c>
      <c r="I190" s="200" t="s">
        <v>72</v>
      </c>
      <c r="J190" s="1964">
        <f>TARGET!D186</f>
        <v>0</v>
      </c>
      <c r="K190" s="2159">
        <v>0</v>
      </c>
      <c r="L190" s="2160">
        <f>'ALL BULAN'!E191</f>
        <v>0</v>
      </c>
      <c r="M190" s="2161">
        <f t="shared" si="29"/>
        <v>0</v>
      </c>
      <c r="N190" s="1891">
        <f t="shared" si="27"/>
        <v>0</v>
      </c>
      <c r="O190" s="2162">
        <v>0</v>
      </c>
      <c r="P190" s="2132"/>
    </row>
    <row r="191" spans="1:16" s="2070" customFormat="1">
      <c r="A191" s="1902">
        <v>4</v>
      </c>
      <c r="B191" s="1902">
        <v>1</v>
      </c>
      <c r="C191" s="1902" t="s">
        <v>443</v>
      </c>
      <c r="D191" s="1902" t="s">
        <v>444</v>
      </c>
      <c r="E191" s="1902" t="s">
        <v>440</v>
      </c>
      <c r="F191" s="2097"/>
      <c r="G191" s="2101"/>
      <c r="H191" s="2727" t="s">
        <v>50</v>
      </c>
      <c r="I191" s="200" t="s">
        <v>73</v>
      </c>
      <c r="J191" s="1964">
        <f>TARGET!D187</f>
        <v>0</v>
      </c>
      <c r="K191" s="2159">
        <v>0</v>
      </c>
      <c r="L191" s="2160">
        <f>'ALL BULAN'!E192</f>
        <v>0</v>
      </c>
      <c r="M191" s="2161">
        <f t="shared" si="29"/>
        <v>0</v>
      </c>
      <c r="N191" s="1891">
        <f t="shared" si="27"/>
        <v>0</v>
      </c>
      <c r="O191" s="2162">
        <v>0</v>
      </c>
      <c r="P191" s="2132"/>
    </row>
    <row r="192" spans="1:16" s="2070" customFormat="1">
      <c r="A192" s="1944">
        <v>4</v>
      </c>
      <c r="B192" s="1944">
        <v>1</v>
      </c>
      <c r="C192" s="1944" t="s">
        <v>443</v>
      </c>
      <c r="D192" s="1944" t="s">
        <v>444</v>
      </c>
      <c r="E192" s="2105" t="s">
        <v>445</v>
      </c>
      <c r="F192" s="2097"/>
      <c r="G192" s="2101"/>
      <c r="H192" s="2727" t="s">
        <v>50</v>
      </c>
      <c r="I192" s="200" t="s">
        <v>74</v>
      </c>
      <c r="J192" s="1964">
        <f>TARGET!D188</f>
        <v>0</v>
      </c>
      <c r="K192" s="2159">
        <v>0</v>
      </c>
      <c r="L192" s="2160">
        <f>'ALL BULAN'!E193</f>
        <v>0</v>
      </c>
      <c r="M192" s="2161">
        <f t="shared" si="29"/>
        <v>0</v>
      </c>
      <c r="N192" s="1891">
        <f t="shared" si="27"/>
        <v>0</v>
      </c>
      <c r="O192" s="2162">
        <v>0</v>
      </c>
      <c r="P192" s="2132"/>
    </row>
    <row r="193" spans="1:16" s="2070" customFormat="1">
      <c r="A193" s="1725">
        <v>4</v>
      </c>
      <c r="B193" s="1725">
        <v>1</v>
      </c>
      <c r="C193" s="1725" t="s">
        <v>443</v>
      </c>
      <c r="D193" s="1725" t="s">
        <v>444</v>
      </c>
      <c r="E193" s="1725" t="s">
        <v>441</v>
      </c>
      <c r="F193" s="2097"/>
      <c r="G193" s="2101"/>
      <c r="H193" s="200" t="s">
        <v>308</v>
      </c>
      <c r="I193" s="206" t="s">
        <v>75</v>
      </c>
      <c r="J193" s="1964">
        <f>TARGET!D189</f>
        <v>0</v>
      </c>
      <c r="K193" s="2159">
        <v>0</v>
      </c>
      <c r="L193" s="2160">
        <f>'ALL BULAN'!E194</f>
        <v>0</v>
      </c>
      <c r="M193" s="2161">
        <f t="shared" si="29"/>
        <v>0</v>
      </c>
      <c r="N193" s="1891">
        <f t="shared" si="27"/>
        <v>0</v>
      </c>
      <c r="O193" s="2162">
        <v>0</v>
      </c>
      <c r="P193" s="2132"/>
    </row>
    <row r="194" spans="1:16" s="2070" customFormat="1">
      <c r="A194" s="2114">
        <v>4</v>
      </c>
      <c r="B194" s="2114">
        <v>1</v>
      </c>
      <c r="C194" s="2114" t="s">
        <v>443</v>
      </c>
      <c r="D194" s="2114" t="s">
        <v>447</v>
      </c>
      <c r="E194" s="2125" t="s">
        <v>437</v>
      </c>
      <c r="F194" s="2097"/>
      <c r="G194" s="2101"/>
      <c r="H194" s="2727" t="s">
        <v>50</v>
      </c>
      <c r="I194" s="206" t="s">
        <v>85</v>
      </c>
      <c r="J194" s="1964">
        <f>TARGET!D190</f>
        <v>0</v>
      </c>
      <c r="K194" s="2159">
        <v>0</v>
      </c>
      <c r="L194" s="2160">
        <f>'ALL BULAN'!E195</f>
        <v>0</v>
      </c>
      <c r="M194" s="2161">
        <f t="shared" si="29"/>
        <v>0</v>
      </c>
      <c r="N194" s="1891">
        <f t="shared" si="27"/>
        <v>0</v>
      </c>
      <c r="O194" s="2162">
        <v>0</v>
      </c>
      <c r="P194" s="2132"/>
    </row>
    <row r="195" spans="1:16" s="2070" customFormat="1" ht="5.35" customHeight="1">
      <c r="A195" s="2096"/>
      <c r="B195" s="2096"/>
      <c r="C195" s="2096"/>
      <c r="D195" s="2096"/>
      <c r="E195" s="2096"/>
      <c r="F195" s="2097"/>
      <c r="G195" s="2116"/>
      <c r="H195" s="2117"/>
      <c r="I195" s="2117"/>
      <c r="J195" s="2182"/>
      <c r="K195" s="2183"/>
      <c r="L195" s="2182"/>
      <c r="M195" s="1469"/>
      <c r="N195" s="1469"/>
      <c r="O195" s="2184"/>
      <c r="P195" s="2132"/>
    </row>
    <row r="196" spans="1:16" s="2073" customFormat="1" ht="15.65">
      <c r="A196" s="2090"/>
      <c r="B196" s="2090"/>
      <c r="C196" s="2090"/>
      <c r="D196" s="2090"/>
      <c r="E196" s="2090"/>
      <c r="F196" s="2091"/>
      <c r="G196" s="2092" t="s">
        <v>126</v>
      </c>
      <c r="H196" s="2093" t="s">
        <v>127</v>
      </c>
      <c r="I196" s="2146"/>
      <c r="J196" s="2147">
        <f>J197+J211</f>
        <v>2000000</v>
      </c>
      <c r="K196" s="2148">
        <v>0</v>
      </c>
      <c r="L196" s="2147">
        <f>L197+L211</f>
        <v>200000</v>
      </c>
      <c r="M196" s="2147">
        <f t="shared" ref="M196:M212" si="30">SUM(K196:L196)</f>
        <v>200000</v>
      </c>
      <c r="N196" s="2147">
        <f t="shared" ref="N196:N212" si="31">M196-J196</f>
        <v>-1800000</v>
      </c>
      <c r="O196" s="2149">
        <f>M196/J196*100</f>
        <v>10</v>
      </c>
      <c r="P196" s="2150"/>
    </row>
    <row r="197" spans="1:16" s="2070" customFormat="1">
      <c r="A197" s="2096"/>
      <c r="B197" s="2096"/>
      <c r="C197" s="2096"/>
      <c r="D197" s="2096"/>
      <c r="E197" s="2096"/>
      <c r="F197" s="2103">
        <v>1</v>
      </c>
      <c r="G197" s="2098"/>
      <c r="H197" s="2248" t="s">
        <v>106</v>
      </c>
      <c r="I197" s="2099"/>
      <c r="J197" s="2151">
        <f>J198</f>
        <v>2000000</v>
      </c>
      <c r="K197" s="2159">
        <v>0</v>
      </c>
      <c r="L197" s="2151">
        <f>L198</f>
        <v>200000</v>
      </c>
      <c r="M197" s="2161">
        <f t="shared" si="30"/>
        <v>200000</v>
      </c>
      <c r="N197" s="1891">
        <f t="shared" si="31"/>
        <v>-1800000</v>
      </c>
      <c r="O197" s="2162">
        <f>M197/J197*100</f>
        <v>10</v>
      </c>
      <c r="P197" s="2132"/>
    </row>
    <row r="198" spans="1:16" s="2074" customFormat="1" ht="15.05">
      <c r="A198" s="2094">
        <v>4</v>
      </c>
      <c r="B198" s="2094">
        <v>1</v>
      </c>
      <c r="C198" s="2094">
        <v>2</v>
      </c>
      <c r="D198" s="2095" t="s">
        <v>438</v>
      </c>
      <c r="E198" s="2215"/>
      <c r="F198" s="2202"/>
      <c r="G198" s="2100"/>
      <c r="H198" s="212" t="s">
        <v>109</v>
      </c>
      <c r="I198" s="212"/>
      <c r="J198" s="2261">
        <f>J199+J201</f>
        <v>2000000</v>
      </c>
      <c r="K198" s="2155">
        <v>0</v>
      </c>
      <c r="L198" s="2261">
        <f>L199+L201</f>
        <v>200000</v>
      </c>
      <c r="M198" s="2156">
        <f t="shared" si="30"/>
        <v>200000</v>
      </c>
      <c r="N198" s="1749">
        <f t="shared" si="31"/>
        <v>-1800000</v>
      </c>
      <c r="O198" s="2162">
        <f>M198/J198*100</f>
        <v>10</v>
      </c>
      <c r="P198" s="2132"/>
    </row>
    <row r="199" spans="1:16" s="2074" customFormat="1">
      <c r="A199" s="2094">
        <v>4</v>
      </c>
      <c r="B199" s="2094">
        <v>1</v>
      </c>
      <c r="C199" s="2094">
        <v>2</v>
      </c>
      <c r="D199" s="2095" t="s">
        <v>438</v>
      </c>
      <c r="E199" s="2125" t="s">
        <v>437</v>
      </c>
      <c r="F199" s="2202"/>
      <c r="G199" s="2100"/>
      <c r="H199" s="212" t="s">
        <v>64</v>
      </c>
      <c r="I199" s="212"/>
      <c r="J199" s="2260">
        <f>SUM(J200)</f>
        <v>2000000</v>
      </c>
      <c r="K199" s="2159">
        <v>0</v>
      </c>
      <c r="L199" s="2260">
        <f>SUM(L200)</f>
        <v>200000</v>
      </c>
      <c r="M199" s="2161">
        <f t="shared" si="30"/>
        <v>200000</v>
      </c>
      <c r="N199" s="1891">
        <f t="shared" si="31"/>
        <v>-1800000</v>
      </c>
      <c r="O199" s="2162">
        <f>M199/J199*100</f>
        <v>10</v>
      </c>
      <c r="P199" s="2132"/>
    </row>
    <row r="200" spans="1:16" s="2070" customFormat="1">
      <c r="A200" s="2096"/>
      <c r="B200" s="2096"/>
      <c r="C200" s="2096"/>
      <c r="D200" s="2096"/>
      <c r="E200" s="2096"/>
      <c r="F200" s="2097"/>
      <c r="G200" s="2100"/>
      <c r="H200" s="224"/>
      <c r="I200" s="2733" t="s">
        <v>128</v>
      </c>
      <c r="J200" s="1964">
        <f>TARGET!D196</f>
        <v>2000000</v>
      </c>
      <c r="K200" s="2159">
        <v>0</v>
      </c>
      <c r="L200" s="2160">
        <v>200000</v>
      </c>
      <c r="M200" s="2161">
        <f t="shared" si="30"/>
        <v>200000</v>
      </c>
      <c r="N200" s="1891">
        <f t="shared" si="31"/>
        <v>-1800000</v>
      </c>
      <c r="O200" s="2162">
        <f>M200/J200*100</f>
        <v>10</v>
      </c>
      <c r="P200" s="2132"/>
    </row>
    <row r="201" spans="1:16" s="2074" customFormat="1">
      <c r="A201" s="2094">
        <v>4</v>
      </c>
      <c r="B201" s="2094">
        <v>1</v>
      </c>
      <c r="C201" s="2094">
        <v>2</v>
      </c>
      <c r="D201" s="2095" t="s">
        <v>438</v>
      </c>
      <c r="E201" s="2125" t="s">
        <v>440</v>
      </c>
      <c r="F201" s="2202"/>
      <c r="G201" s="2100"/>
      <c r="H201" s="2124" t="s">
        <v>94</v>
      </c>
      <c r="J201" s="2260">
        <f>SUM(J202)</f>
        <v>0</v>
      </c>
      <c r="K201" s="2159">
        <v>0</v>
      </c>
      <c r="L201" s="2260">
        <f>SUM(L202)</f>
        <v>0</v>
      </c>
      <c r="M201" s="2161">
        <f t="shared" si="30"/>
        <v>0</v>
      </c>
      <c r="N201" s="1891">
        <f t="shared" si="31"/>
        <v>0</v>
      </c>
      <c r="O201" s="2162">
        <v>0</v>
      </c>
      <c r="P201" s="2132"/>
    </row>
    <row r="202" spans="1:16" s="2070" customFormat="1">
      <c r="A202" s="2096"/>
      <c r="B202" s="2096"/>
      <c r="C202" s="2096"/>
      <c r="D202" s="2096"/>
      <c r="E202" s="2096"/>
      <c r="F202" s="2097"/>
      <c r="G202" s="2100"/>
      <c r="H202" s="224"/>
      <c r="I202" s="2734" t="s">
        <v>129</v>
      </c>
      <c r="J202" s="1964">
        <f>TARGET!D198</f>
        <v>0</v>
      </c>
      <c r="K202" s="2159">
        <v>0</v>
      </c>
      <c r="L202" s="2160">
        <f>'ALL BULAN'!E203</f>
        <v>0</v>
      </c>
      <c r="M202" s="2161">
        <f t="shared" si="30"/>
        <v>0</v>
      </c>
      <c r="N202" s="1891">
        <f t="shared" si="31"/>
        <v>0</v>
      </c>
      <c r="O202" s="2162">
        <v>0</v>
      </c>
      <c r="P202" s="2132"/>
    </row>
    <row r="203" spans="1:16" s="2070" customFormat="1" ht="5.35" customHeight="1">
      <c r="A203" s="2096"/>
      <c r="B203" s="2096"/>
      <c r="C203" s="2096"/>
      <c r="D203" s="2096"/>
      <c r="E203" s="2096"/>
      <c r="F203" s="2097"/>
      <c r="G203" s="2100"/>
      <c r="H203" s="224"/>
      <c r="I203" s="2281"/>
      <c r="J203" s="2260"/>
      <c r="K203" s="2159">
        <v>0</v>
      </c>
      <c r="L203" s="2260"/>
      <c r="M203" s="2161">
        <f t="shared" si="30"/>
        <v>0</v>
      </c>
      <c r="N203" s="1891">
        <f t="shared" si="31"/>
        <v>0</v>
      </c>
      <c r="O203" s="2162">
        <f>N203-K203</f>
        <v>0</v>
      </c>
      <c r="P203" s="2132"/>
    </row>
    <row r="204" spans="1:16" s="2070" customFormat="1">
      <c r="A204" s="2102">
        <v>4</v>
      </c>
      <c r="B204" s="2102">
        <v>1</v>
      </c>
      <c r="C204" s="2102">
        <v>4</v>
      </c>
      <c r="D204" s="2096"/>
      <c r="E204" s="2096"/>
      <c r="F204" s="2103">
        <v>3</v>
      </c>
      <c r="G204" s="2100"/>
      <c r="H204" s="1856" t="s">
        <v>71</v>
      </c>
      <c r="I204" s="218"/>
      <c r="J204" s="2260">
        <f>SUM(J205:J209)</f>
        <v>0</v>
      </c>
      <c r="K204" s="2159">
        <v>0</v>
      </c>
      <c r="L204" s="2260">
        <f>SUM(L205:L209)</f>
        <v>0</v>
      </c>
      <c r="M204" s="2161">
        <f t="shared" si="30"/>
        <v>0</v>
      </c>
      <c r="N204" s="1891">
        <f t="shared" si="31"/>
        <v>0</v>
      </c>
      <c r="O204" s="2162">
        <v>0</v>
      </c>
      <c r="P204" s="2132"/>
    </row>
    <row r="205" spans="1:16" s="2070" customFormat="1">
      <c r="A205" s="2102">
        <v>4</v>
      </c>
      <c r="B205" s="2102">
        <v>1</v>
      </c>
      <c r="C205" s="2102">
        <v>4</v>
      </c>
      <c r="D205" s="2102" t="s">
        <v>441</v>
      </c>
      <c r="E205" s="2096"/>
      <c r="F205" s="2097"/>
      <c r="G205" s="2100"/>
      <c r="H205" s="2727" t="s">
        <v>50</v>
      </c>
      <c r="I205" s="200" t="s">
        <v>72</v>
      </c>
      <c r="J205" s="1964">
        <f>TARGET!D201</f>
        <v>0</v>
      </c>
      <c r="K205" s="2159">
        <v>0</v>
      </c>
      <c r="L205" s="2160">
        <f>'ALL BULAN'!E206</f>
        <v>0</v>
      </c>
      <c r="M205" s="2161">
        <f t="shared" si="30"/>
        <v>0</v>
      </c>
      <c r="N205" s="1891">
        <f t="shared" si="31"/>
        <v>0</v>
      </c>
      <c r="O205" s="2162">
        <v>0</v>
      </c>
      <c r="P205" s="2132"/>
    </row>
    <row r="206" spans="1:16" s="2070" customFormat="1">
      <c r="A206" s="1902">
        <v>4</v>
      </c>
      <c r="B206" s="1902">
        <v>1</v>
      </c>
      <c r="C206" s="1902" t="s">
        <v>443</v>
      </c>
      <c r="D206" s="1902" t="s">
        <v>444</v>
      </c>
      <c r="E206" s="1902" t="s">
        <v>440</v>
      </c>
      <c r="F206" s="2097"/>
      <c r="G206" s="2100"/>
      <c r="H206" s="2727" t="s">
        <v>50</v>
      </c>
      <c r="I206" s="200" t="s">
        <v>73</v>
      </c>
      <c r="J206" s="1964">
        <f>TARGET!D202</f>
        <v>0</v>
      </c>
      <c r="K206" s="2159">
        <v>0</v>
      </c>
      <c r="L206" s="2160">
        <f>'ALL BULAN'!E207</f>
        <v>0</v>
      </c>
      <c r="M206" s="2161">
        <f t="shared" si="30"/>
        <v>0</v>
      </c>
      <c r="N206" s="1891">
        <f t="shared" si="31"/>
        <v>0</v>
      </c>
      <c r="O206" s="2162">
        <v>0</v>
      </c>
      <c r="P206" s="2132"/>
    </row>
    <row r="207" spans="1:16" s="2070" customFormat="1">
      <c r="A207" s="1944">
        <v>4</v>
      </c>
      <c r="B207" s="1944">
        <v>1</v>
      </c>
      <c r="C207" s="1944" t="s">
        <v>443</v>
      </c>
      <c r="D207" s="1944" t="s">
        <v>444</v>
      </c>
      <c r="E207" s="2105" t="s">
        <v>445</v>
      </c>
      <c r="F207" s="2097"/>
      <c r="G207" s="2100"/>
      <c r="H207" s="2727" t="s">
        <v>50</v>
      </c>
      <c r="I207" s="200" t="s">
        <v>74</v>
      </c>
      <c r="J207" s="1964">
        <f>TARGET!D203</f>
        <v>0</v>
      </c>
      <c r="K207" s="2159">
        <v>0</v>
      </c>
      <c r="L207" s="2160">
        <f>'ALL BULAN'!E208</f>
        <v>0</v>
      </c>
      <c r="M207" s="2161">
        <f t="shared" si="30"/>
        <v>0</v>
      </c>
      <c r="N207" s="1891">
        <f t="shared" si="31"/>
        <v>0</v>
      </c>
      <c r="O207" s="2162">
        <v>0</v>
      </c>
      <c r="P207" s="2132"/>
    </row>
    <row r="208" spans="1:16" s="2070" customFormat="1">
      <c r="A208" s="1725">
        <v>4</v>
      </c>
      <c r="B208" s="1725">
        <v>1</v>
      </c>
      <c r="C208" s="1725" t="s">
        <v>443</v>
      </c>
      <c r="D208" s="1725" t="s">
        <v>444</v>
      </c>
      <c r="E208" s="1725" t="s">
        <v>441</v>
      </c>
      <c r="F208" s="2097"/>
      <c r="G208" s="2104"/>
      <c r="H208" s="200" t="s">
        <v>308</v>
      </c>
      <c r="I208" s="206" t="s">
        <v>75</v>
      </c>
      <c r="J208" s="1964">
        <f>TARGET!D204</f>
        <v>0</v>
      </c>
      <c r="K208" s="2159">
        <v>0</v>
      </c>
      <c r="L208" s="2160">
        <f>'ALL BULAN'!E209</f>
        <v>0</v>
      </c>
      <c r="M208" s="2161">
        <f t="shared" si="30"/>
        <v>0</v>
      </c>
      <c r="N208" s="1891">
        <f t="shared" si="31"/>
        <v>0</v>
      </c>
      <c r="O208" s="2162">
        <v>0</v>
      </c>
      <c r="P208" s="2132"/>
    </row>
    <row r="209" spans="1:16" s="2070" customFormat="1">
      <c r="A209" s="2114">
        <v>4</v>
      </c>
      <c r="B209" s="2114">
        <v>1</v>
      </c>
      <c r="C209" s="2114" t="s">
        <v>443</v>
      </c>
      <c r="D209" s="2114" t="s">
        <v>447</v>
      </c>
      <c r="E209" s="2125" t="s">
        <v>437</v>
      </c>
      <c r="F209" s="2097"/>
      <c r="G209" s="2104"/>
      <c r="H209" s="2727" t="s">
        <v>50</v>
      </c>
      <c r="I209" s="206" t="s">
        <v>85</v>
      </c>
      <c r="J209" s="1964">
        <f>TARGET!D205</f>
        <v>0</v>
      </c>
      <c r="K209" s="2159">
        <v>0</v>
      </c>
      <c r="L209" s="2160">
        <f>'ALL BULAN'!E210</f>
        <v>0</v>
      </c>
      <c r="M209" s="2161">
        <f t="shared" si="30"/>
        <v>0</v>
      </c>
      <c r="N209" s="1891">
        <f t="shared" si="31"/>
        <v>0</v>
      </c>
      <c r="O209" s="2162">
        <v>0</v>
      </c>
      <c r="P209" s="2132"/>
    </row>
    <row r="210" spans="1:16" s="2070" customFormat="1" ht="5.35" customHeight="1">
      <c r="A210" s="2096"/>
      <c r="B210" s="2096"/>
      <c r="C210" s="2096"/>
      <c r="D210" s="2096"/>
      <c r="E210" s="2096"/>
      <c r="F210" s="2097"/>
      <c r="G210" s="2251"/>
      <c r="H210" s="856"/>
      <c r="I210" s="257"/>
      <c r="J210" s="2282"/>
      <c r="K210" s="2159">
        <v>0</v>
      </c>
      <c r="L210" s="2282"/>
      <c r="M210" s="2161">
        <f t="shared" si="30"/>
        <v>0</v>
      </c>
      <c r="N210" s="1891">
        <f t="shared" si="31"/>
        <v>0</v>
      </c>
      <c r="O210" s="2162">
        <f>N210-K210</f>
        <v>0</v>
      </c>
      <c r="P210" s="2132"/>
    </row>
    <row r="211" spans="1:16" s="2070" customFormat="1">
      <c r="A211" s="2096"/>
      <c r="B211" s="2096"/>
      <c r="C211" s="2096"/>
      <c r="D211" s="2096"/>
      <c r="E211" s="2096"/>
      <c r="F211" s="2097"/>
      <c r="G211" s="2251"/>
      <c r="H211" s="1856" t="s">
        <v>130</v>
      </c>
      <c r="I211" s="217"/>
      <c r="J211" s="2283">
        <f>SUM(J212)</f>
        <v>0</v>
      </c>
      <c r="K211" s="2159">
        <v>0</v>
      </c>
      <c r="L211" s="2283">
        <f>SUM(L212)</f>
        <v>0</v>
      </c>
      <c r="M211" s="2161">
        <f t="shared" si="30"/>
        <v>0</v>
      </c>
      <c r="N211" s="1891">
        <f t="shared" si="31"/>
        <v>0</v>
      </c>
      <c r="O211" s="2162">
        <v>0</v>
      </c>
      <c r="P211" s="2132"/>
    </row>
    <row r="212" spans="1:16" s="2070" customFormat="1">
      <c r="A212" s="2096"/>
      <c r="B212" s="2096"/>
      <c r="C212" s="2096"/>
      <c r="D212" s="2096"/>
      <c r="E212" s="2096"/>
      <c r="F212" s="2097"/>
      <c r="G212" s="2251"/>
      <c r="H212" s="2735" t="s">
        <v>50</v>
      </c>
      <c r="I212" s="217" t="s">
        <v>131</v>
      </c>
      <c r="J212" s="1964">
        <f>TARGET!D208</f>
        <v>0</v>
      </c>
      <c r="K212" s="2159">
        <v>0</v>
      </c>
      <c r="L212" s="2160">
        <f>'ALL BULAN'!E213</f>
        <v>0</v>
      </c>
      <c r="M212" s="2161">
        <f t="shared" si="30"/>
        <v>0</v>
      </c>
      <c r="N212" s="1891">
        <f t="shared" si="31"/>
        <v>0</v>
      </c>
      <c r="O212" s="2162">
        <v>0</v>
      </c>
      <c r="P212" s="2132"/>
    </row>
    <row r="213" spans="1:16" s="2070" customFormat="1" ht="5.95" customHeight="1">
      <c r="A213" s="2096"/>
      <c r="B213" s="2096"/>
      <c r="C213" s="2096"/>
      <c r="D213" s="2096"/>
      <c r="E213" s="2096"/>
      <c r="F213" s="2097"/>
      <c r="G213" s="2277"/>
      <c r="H213" s="2278"/>
      <c r="I213" s="2278"/>
      <c r="J213" s="2284"/>
      <c r="K213" s="2285"/>
      <c r="L213" s="2284"/>
      <c r="M213" s="2286"/>
      <c r="N213" s="2286"/>
      <c r="O213" s="2287"/>
      <c r="P213" s="2132"/>
    </row>
    <row r="214" spans="1:16" s="2073" customFormat="1" ht="15.65">
      <c r="A214" s="2090"/>
      <c r="B214" s="2090"/>
      <c r="C214" s="2090"/>
      <c r="D214" s="2090"/>
      <c r="E214" s="2090"/>
      <c r="F214" s="2091"/>
      <c r="G214" s="2092" t="s">
        <v>132</v>
      </c>
      <c r="H214" s="2093" t="s">
        <v>133</v>
      </c>
      <c r="I214" s="2195"/>
      <c r="J214" s="2147">
        <f>J215+J230</f>
        <v>1530000000</v>
      </c>
      <c r="K214" s="2148">
        <v>337445000</v>
      </c>
      <c r="L214" s="2147">
        <f>L215+L223+L230</f>
        <v>137055000</v>
      </c>
      <c r="M214" s="2147">
        <f>SUM(K214:L214)</f>
        <v>474500000</v>
      </c>
      <c r="N214" s="2147">
        <f t="shared" ref="N214:N234" si="32">M214-J214</f>
        <v>-1055500000</v>
      </c>
      <c r="O214" s="2149">
        <f>M214/J214*100</f>
        <v>31.013071895424837</v>
      </c>
      <c r="P214" s="2150"/>
    </row>
    <row r="215" spans="1:16" s="2075" customFormat="1">
      <c r="A215" s="2209"/>
      <c r="B215" s="2209"/>
      <c r="C215" s="2209"/>
      <c r="D215" s="2209"/>
      <c r="E215" s="2209"/>
      <c r="F215" s="2111">
        <v>1</v>
      </c>
      <c r="G215" s="2205"/>
      <c r="H215" s="2248" t="s">
        <v>106</v>
      </c>
      <c r="I215" s="2206"/>
      <c r="J215" s="2223">
        <f>J216+J220</f>
        <v>1530000000</v>
      </c>
      <c r="K215" s="2159">
        <v>335225000</v>
      </c>
      <c r="L215" s="2223">
        <f>L216+L220</f>
        <v>137055000</v>
      </c>
      <c r="M215" s="2161">
        <f>SUM(K215:L215)</f>
        <v>472280000</v>
      </c>
      <c r="N215" s="1891">
        <f t="shared" si="32"/>
        <v>-1057720000</v>
      </c>
      <c r="O215" s="2162">
        <f>M215/J215*100</f>
        <v>30.867973856209151</v>
      </c>
      <c r="P215" s="2227"/>
    </row>
    <row r="216" spans="1:16" s="2074" customFormat="1">
      <c r="A216" s="2094">
        <v>4</v>
      </c>
      <c r="B216" s="2094">
        <v>1</v>
      </c>
      <c r="C216" s="2094">
        <v>2</v>
      </c>
      <c r="D216" s="2095" t="s">
        <v>438</v>
      </c>
      <c r="E216" s="2215"/>
      <c r="F216" s="2202"/>
      <c r="G216" s="2100"/>
      <c r="H216" s="212" t="s">
        <v>109</v>
      </c>
      <c r="I216" s="212"/>
      <c r="J216" s="2260">
        <f>SUM(J217:J218)</f>
        <v>75000000</v>
      </c>
      <c r="K216" s="2159">
        <v>14645000</v>
      </c>
      <c r="L216" s="2260">
        <f>SUM(L217:L218)</f>
        <v>8895000</v>
      </c>
      <c r="M216" s="2161">
        <f>SUM(K216:L216)</f>
        <v>23540000</v>
      </c>
      <c r="N216" s="1891">
        <f t="shared" si="32"/>
        <v>-51460000</v>
      </c>
      <c r="O216" s="2162">
        <f>M216/J216*100</f>
        <v>31.386666666666667</v>
      </c>
      <c r="P216" s="2132"/>
    </row>
    <row r="217" spans="1:16" s="2070" customFormat="1">
      <c r="A217" s="2094">
        <v>4</v>
      </c>
      <c r="B217" s="2094">
        <v>1</v>
      </c>
      <c r="C217" s="2094">
        <v>2</v>
      </c>
      <c r="D217" s="2095" t="s">
        <v>438</v>
      </c>
      <c r="E217" s="2125" t="s">
        <v>437</v>
      </c>
      <c r="F217" s="2097"/>
      <c r="G217" s="2101"/>
      <c r="H217" s="2727" t="s">
        <v>50</v>
      </c>
      <c r="I217" s="2070" t="s">
        <v>134</v>
      </c>
      <c r="J217" s="1964">
        <f>TARGET!D213</f>
        <v>0</v>
      </c>
      <c r="K217" s="2236">
        <v>4765000</v>
      </c>
      <c r="L217" s="2160">
        <v>8895000</v>
      </c>
      <c r="M217" s="2218">
        <f>SUM(K217:L217)</f>
        <v>13660000</v>
      </c>
      <c r="N217" s="2164">
        <f t="shared" si="32"/>
        <v>13660000</v>
      </c>
      <c r="O217" s="2288">
        <v>0</v>
      </c>
      <c r="P217" s="2132"/>
    </row>
    <row r="218" spans="1:16" s="2070" customFormat="1">
      <c r="A218" s="2096"/>
      <c r="B218" s="2096"/>
      <c r="C218" s="2096"/>
      <c r="D218" s="2096"/>
      <c r="E218" s="2096"/>
      <c r="F218" s="2097"/>
      <c r="G218" s="2104"/>
      <c r="H218" s="2727" t="s">
        <v>50</v>
      </c>
      <c r="I218" s="200" t="s">
        <v>135</v>
      </c>
      <c r="J218" s="1964">
        <f>TARGET!D214</f>
        <v>75000000</v>
      </c>
      <c r="K218" s="2159">
        <v>9880000</v>
      </c>
      <c r="L218" s="2160">
        <v>0</v>
      </c>
      <c r="M218" s="2161">
        <f>SUM(K218:L218)</f>
        <v>9880000</v>
      </c>
      <c r="N218" s="1891">
        <f t="shared" si="32"/>
        <v>-65120000</v>
      </c>
      <c r="O218" s="2162">
        <f>M218/J218*100</f>
        <v>13.173333333333334</v>
      </c>
      <c r="P218" s="2132"/>
    </row>
    <row r="219" spans="1:16" s="2070" customFormat="1" ht="5.35" customHeight="1">
      <c r="A219" s="2096"/>
      <c r="B219" s="2096"/>
      <c r="C219" s="2096"/>
      <c r="D219" s="2096"/>
      <c r="E219" s="2096"/>
      <c r="F219" s="2097"/>
      <c r="G219" s="2104"/>
      <c r="H219" s="200"/>
      <c r="I219" s="200"/>
      <c r="J219" s="2164"/>
      <c r="K219" s="2159"/>
      <c r="L219" s="2164"/>
      <c r="M219" s="2161"/>
      <c r="N219" s="1891">
        <f t="shared" si="32"/>
        <v>0</v>
      </c>
      <c r="O219" s="2162">
        <f>N219-K219</f>
        <v>0</v>
      </c>
      <c r="P219" s="2132"/>
    </row>
    <row r="220" spans="1:16" s="2074" customFormat="1">
      <c r="A220" s="2094">
        <v>4</v>
      </c>
      <c r="B220" s="2094">
        <v>1</v>
      </c>
      <c r="C220" s="2094">
        <v>2</v>
      </c>
      <c r="D220" s="2095" t="s">
        <v>437</v>
      </c>
      <c r="E220" s="2125"/>
      <c r="F220" s="2202"/>
      <c r="G220" s="2104"/>
      <c r="H220" s="2728" t="s">
        <v>116</v>
      </c>
      <c r="I220" s="202"/>
      <c r="J220" s="1891">
        <f>J221</f>
        <v>1455000000</v>
      </c>
      <c r="K220" s="2159">
        <v>320580000</v>
      </c>
      <c r="L220" s="1891">
        <f>L221</f>
        <v>128160000</v>
      </c>
      <c r="M220" s="2161">
        <f>SUM(K220:L220)</f>
        <v>448740000</v>
      </c>
      <c r="N220" s="1891">
        <f t="shared" si="32"/>
        <v>-1006260000</v>
      </c>
      <c r="O220" s="2162">
        <f>M220/J220*100</f>
        <v>30.841237113402059</v>
      </c>
      <c r="P220" s="2132"/>
    </row>
    <row r="221" spans="1:16" s="2070" customFormat="1">
      <c r="A221" s="2094">
        <v>4</v>
      </c>
      <c r="B221" s="2094">
        <v>1</v>
      </c>
      <c r="C221" s="2094">
        <v>2</v>
      </c>
      <c r="D221" s="2095" t="s">
        <v>437</v>
      </c>
      <c r="E221" s="2125" t="s">
        <v>456</v>
      </c>
      <c r="F221" s="2097"/>
      <c r="G221" s="2104"/>
      <c r="H221" s="2727" t="s">
        <v>50</v>
      </c>
      <c r="I221" s="200" t="s">
        <v>136</v>
      </c>
      <c r="J221" s="1964">
        <f>TARGET!D217</f>
        <v>1455000000</v>
      </c>
      <c r="K221" s="2159">
        <v>320580000</v>
      </c>
      <c r="L221" s="2160">
        <v>128160000</v>
      </c>
      <c r="M221" s="2161">
        <f>SUM(K221:L221)</f>
        <v>448740000</v>
      </c>
      <c r="N221" s="1891">
        <f t="shared" si="32"/>
        <v>-1006260000</v>
      </c>
      <c r="O221" s="2162">
        <f>M221/J221*100</f>
        <v>30.841237113402059</v>
      </c>
      <c r="P221" s="2132"/>
    </row>
    <row r="222" spans="1:16" s="2070" customFormat="1" ht="5.95" customHeight="1">
      <c r="A222" s="2096"/>
      <c r="B222" s="2096"/>
      <c r="C222" s="2096"/>
      <c r="D222" s="2096"/>
      <c r="E222" s="2096"/>
      <c r="F222" s="2097"/>
      <c r="G222" s="2104"/>
      <c r="H222" s="200"/>
      <c r="I222" s="200"/>
      <c r="J222" s="2164"/>
      <c r="K222" s="2159"/>
      <c r="L222" s="2164"/>
      <c r="M222" s="2161"/>
      <c r="N222" s="1891">
        <f t="shared" si="32"/>
        <v>0</v>
      </c>
      <c r="O222" s="2162">
        <f>N222-K222</f>
        <v>0</v>
      </c>
      <c r="P222" s="2132"/>
    </row>
    <row r="223" spans="1:16" s="2070" customFormat="1">
      <c r="A223" s="2102">
        <v>4</v>
      </c>
      <c r="B223" s="2102">
        <v>1</v>
      </c>
      <c r="C223" s="2102">
        <v>4</v>
      </c>
      <c r="D223" s="2096"/>
      <c r="E223" s="2096"/>
      <c r="F223" s="2103">
        <v>3</v>
      </c>
      <c r="G223" s="2104"/>
      <c r="H223" s="202" t="s">
        <v>71</v>
      </c>
      <c r="I223" s="202"/>
      <c r="J223" s="2143">
        <f>SUM(J224:J228)</f>
        <v>0</v>
      </c>
      <c r="K223" s="2159">
        <v>2220000</v>
      </c>
      <c r="L223" s="2143">
        <f>SUM(L224:L228)</f>
        <v>0</v>
      </c>
      <c r="M223" s="2161">
        <f t="shared" ref="M223:M228" si="33">SUM(K223:L223)</f>
        <v>2220000</v>
      </c>
      <c r="N223" s="1891">
        <f t="shared" si="32"/>
        <v>2220000</v>
      </c>
      <c r="O223" s="2162">
        <v>0</v>
      </c>
      <c r="P223" s="2132"/>
    </row>
    <row r="224" spans="1:16" s="2070" customFormat="1">
      <c r="A224" s="2102">
        <v>4</v>
      </c>
      <c r="B224" s="2102">
        <v>1</v>
      </c>
      <c r="C224" s="2102">
        <v>4</v>
      </c>
      <c r="D224" s="2102" t="s">
        <v>441</v>
      </c>
      <c r="E224" s="2096"/>
      <c r="F224" s="2097"/>
      <c r="G224" s="2104"/>
      <c r="H224" s="2727" t="s">
        <v>50</v>
      </c>
      <c r="I224" s="200" t="s">
        <v>72</v>
      </c>
      <c r="J224" s="1964">
        <f>TARGET!D220</f>
        <v>0</v>
      </c>
      <c r="K224" s="2159">
        <v>0</v>
      </c>
      <c r="L224" s="2160">
        <f>'ALL BULAN'!E225</f>
        <v>0</v>
      </c>
      <c r="M224" s="2161">
        <f t="shared" si="33"/>
        <v>0</v>
      </c>
      <c r="N224" s="1891">
        <f t="shared" si="32"/>
        <v>0</v>
      </c>
      <c r="O224" s="2162">
        <v>0</v>
      </c>
      <c r="P224" s="2132"/>
    </row>
    <row r="225" spans="1:16" s="2070" customFormat="1">
      <c r="A225" s="1902">
        <v>4</v>
      </c>
      <c r="B225" s="1902">
        <v>1</v>
      </c>
      <c r="C225" s="1902" t="s">
        <v>443</v>
      </c>
      <c r="D225" s="1902" t="s">
        <v>444</v>
      </c>
      <c r="E225" s="1902" t="s">
        <v>440</v>
      </c>
      <c r="F225" s="2097"/>
      <c r="G225" s="2104"/>
      <c r="H225" s="2727" t="s">
        <v>50</v>
      </c>
      <c r="I225" s="200" t="s">
        <v>73</v>
      </c>
      <c r="J225" s="1964">
        <f>TARGET!D221</f>
        <v>0</v>
      </c>
      <c r="K225" s="2159">
        <v>0</v>
      </c>
      <c r="L225" s="2160">
        <f>'ALL BULAN'!E226</f>
        <v>0</v>
      </c>
      <c r="M225" s="2161">
        <f t="shared" si="33"/>
        <v>0</v>
      </c>
      <c r="N225" s="1891">
        <f t="shared" si="32"/>
        <v>0</v>
      </c>
      <c r="O225" s="2162">
        <v>0</v>
      </c>
      <c r="P225" s="2132"/>
    </row>
    <row r="226" spans="1:16" s="2070" customFormat="1">
      <c r="A226" s="1944">
        <v>4</v>
      </c>
      <c r="B226" s="1944">
        <v>1</v>
      </c>
      <c r="C226" s="1944" t="s">
        <v>443</v>
      </c>
      <c r="D226" s="1944" t="s">
        <v>444</v>
      </c>
      <c r="E226" s="2105" t="s">
        <v>445</v>
      </c>
      <c r="F226" s="2097"/>
      <c r="G226" s="2104"/>
      <c r="H226" s="2727" t="s">
        <v>50</v>
      </c>
      <c r="I226" s="200" t="s">
        <v>74</v>
      </c>
      <c r="J226" s="1964">
        <f>TARGET!D222</f>
        <v>0</v>
      </c>
      <c r="K226" s="2159">
        <v>0</v>
      </c>
      <c r="L226" s="2160">
        <f>'ALL BULAN'!E227</f>
        <v>0</v>
      </c>
      <c r="M226" s="2161">
        <f t="shared" si="33"/>
        <v>0</v>
      </c>
      <c r="N226" s="1891">
        <f t="shared" si="32"/>
        <v>0</v>
      </c>
      <c r="O226" s="2162">
        <v>0</v>
      </c>
      <c r="P226" s="2132"/>
    </row>
    <row r="227" spans="1:16" s="2070" customFormat="1">
      <c r="A227" s="1725">
        <v>4</v>
      </c>
      <c r="B227" s="1725">
        <v>1</v>
      </c>
      <c r="C227" s="1725" t="s">
        <v>443</v>
      </c>
      <c r="D227" s="1725" t="s">
        <v>444</v>
      </c>
      <c r="E227" s="1725" t="s">
        <v>441</v>
      </c>
      <c r="F227" s="2097"/>
      <c r="G227" s="2104"/>
      <c r="H227" s="200" t="s">
        <v>308</v>
      </c>
      <c r="I227" s="206" t="s">
        <v>75</v>
      </c>
      <c r="J227" s="1964">
        <f>TARGET!D223</f>
        <v>0</v>
      </c>
      <c r="K227" s="2159">
        <v>2220000</v>
      </c>
      <c r="L227" s="2160">
        <v>0</v>
      </c>
      <c r="M227" s="2161">
        <f t="shared" si="33"/>
        <v>2220000</v>
      </c>
      <c r="N227" s="1891">
        <f t="shared" si="32"/>
        <v>2220000</v>
      </c>
      <c r="O227" s="2162">
        <v>0</v>
      </c>
      <c r="P227" s="2132"/>
    </row>
    <row r="228" spans="1:16" s="2070" customFormat="1">
      <c r="A228" s="2114">
        <v>4</v>
      </c>
      <c r="B228" s="2114">
        <v>1</v>
      </c>
      <c r="C228" s="2114" t="s">
        <v>443</v>
      </c>
      <c r="D228" s="2114" t="s">
        <v>447</v>
      </c>
      <c r="E228" s="2125" t="s">
        <v>437</v>
      </c>
      <c r="F228" s="2097"/>
      <c r="G228" s="2104"/>
      <c r="H228" s="2727" t="s">
        <v>50</v>
      </c>
      <c r="I228" s="206" t="s">
        <v>85</v>
      </c>
      <c r="J228" s="1964">
        <f>TARGET!D224</f>
        <v>0</v>
      </c>
      <c r="K228" s="2159">
        <v>0</v>
      </c>
      <c r="L228" s="2160">
        <f>'ALL BULAN'!E229</f>
        <v>0</v>
      </c>
      <c r="M228" s="2161">
        <f t="shared" si="33"/>
        <v>0</v>
      </c>
      <c r="N228" s="1891">
        <f t="shared" si="32"/>
        <v>0</v>
      </c>
      <c r="O228" s="2162">
        <v>0</v>
      </c>
      <c r="P228" s="2132"/>
    </row>
    <row r="229" spans="1:16" s="2070" customFormat="1" ht="5.35" customHeight="1">
      <c r="A229" s="2096"/>
      <c r="B229" s="2096"/>
      <c r="C229" s="2096"/>
      <c r="D229" s="2096"/>
      <c r="E229" s="2096"/>
      <c r="F229" s="2097"/>
      <c r="G229" s="2104"/>
      <c r="J229" s="1891"/>
      <c r="K229" s="2159"/>
      <c r="L229" s="1891"/>
      <c r="M229" s="2161"/>
      <c r="N229" s="1891">
        <f t="shared" si="32"/>
        <v>0</v>
      </c>
      <c r="O229" s="2162">
        <f>N229-K229</f>
        <v>0</v>
      </c>
      <c r="P229" s="2132"/>
    </row>
    <row r="230" spans="1:16" s="2070" customFormat="1">
      <c r="A230" s="2096"/>
      <c r="B230" s="2096"/>
      <c r="C230" s="2096"/>
      <c r="D230" s="2096"/>
      <c r="E230" s="2096"/>
      <c r="F230" s="2103">
        <v>4</v>
      </c>
      <c r="G230" s="2104"/>
      <c r="H230" s="1318" t="s">
        <v>130</v>
      </c>
      <c r="I230" s="202"/>
      <c r="J230" s="1891">
        <f>SUM(J231:J234)</f>
        <v>0</v>
      </c>
      <c r="K230" s="2159">
        <v>0</v>
      </c>
      <c r="L230" s="1891">
        <f>SUM(L231:L234)</f>
        <v>0</v>
      </c>
      <c r="M230" s="2161">
        <f>SUM(K230:L230)</f>
        <v>0</v>
      </c>
      <c r="N230" s="1891">
        <f t="shared" si="32"/>
        <v>0</v>
      </c>
      <c r="O230" s="2162">
        <v>0</v>
      </c>
      <c r="P230" s="2132"/>
    </row>
    <row r="231" spans="1:16" s="2070" customFormat="1">
      <c r="A231" s="2096"/>
      <c r="B231" s="2096"/>
      <c r="C231" s="2096"/>
      <c r="D231" s="2096"/>
      <c r="E231" s="2096"/>
      <c r="F231" s="2097"/>
      <c r="G231" s="2104"/>
      <c r="H231" s="2727" t="s">
        <v>50</v>
      </c>
      <c r="I231" s="200" t="s">
        <v>137</v>
      </c>
      <c r="J231" s="1964">
        <f>TARGET!D227</f>
        <v>0</v>
      </c>
      <c r="K231" s="2159">
        <v>0</v>
      </c>
      <c r="L231" s="2160">
        <f>'ALL BULAN'!E232</f>
        <v>0</v>
      </c>
      <c r="M231" s="2161">
        <f>SUM(K231:L231)</f>
        <v>0</v>
      </c>
      <c r="N231" s="1891">
        <f t="shared" si="32"/>
        <v>0</v>
      </c>
      <c r="O231" s="2162">
        <v>0</v>
      </c>
      <c r="P231" s="2132"/>
    </row>
    <row r="232" spans="1:16" s="2070" customFormat="1">
      <c r="A232" s="2096"/>
      <c r="B232" s="2096"/>
      <c r="C232" s="2096"/>
      <c r="D232" s="2096"/>
      <c r="E232" s="2096"/>
      <c r="F232" s="2097"/>
      <c r="G232" s="2104"/>
      <c r="H232" s="2727" t="s">
        <v>50</v>
      </c>
      <c r="I232" s="200" t="s">
        <v>138</v>
      </c>
      <c r="J232" s="1964">
        <f>TARGET!D228</f>
        <v>0</v>
      </c>
      <c r="K232" s="2159">
        <v>0</v>
      </c>
      <c r="L232" s="2160">
        <f>'ALL BULAN'!E233</f>
        <v>0</v>
      </c>
      <c r="M232" s="2161">
        <f>SUM(K232:L232)</f>
        <v>0</v>
      </c>
      <c r="N232" s="1891">
        <f t="shared" si="32"/>
        <v>0</v>
      </c>
      <c r="O232" s="2162">
        <v>0</v>
      </c>
      <c r="P232" s="2132"/>
    </row>
    <row r="233" spans="1:16" s="2070" customFormat="1">
      <c r="A233" s="2096"/>
      <c r="B233" s="2096"/>
      <c r="C233" s="2096"/>
      <c r="D233" s="2096"/>
      <c r="E233" s="2096"/>
      <c r="F233" s="2097"/>
      <c r="G233" s="2104"/>
      <c r="H233" s="2727" t="s">
        <v>50</v>
      </c>
      <c r="I233" s="200" t="s">
        <v>139</v>
      </c>
      <c r="J233" s="1964">
        <f>TARGET!D229</f>
        <v>0</v>
      </c>
      <c r="K233" s="2159">
        <v>0</v>
      </c>
      <c r="L233" s="2160">
        <f>'ALL BULAN'!E234</f>
        <v>0</v>
      </c>
      <c r="M233" s="2161">
        <f>SUM(K233:L233)</f>
        <v>0</v>
      </c>
      <c r="N233" s="1891">
        <f t="shared" si="32"/>
        <v>0</v>
      </c>
      <c r="O233" s="2162">
        <v>0</v>
      </c>
      <c r="P233" s="2132"/>
    </row>
    <row r="234" spans="1:16" s="2070" customFormat="1">
      <c r="A234" s="2096"/>
      <c r="B234" s="2096"/>
      <c r="C234" s="2096"/>
      <c r="D234" s="2096"/>
      <c r="E234" s="2096"/>
      <c r="F234" s="2097"/>
      <c r="G234" s="2104"/>
      <c r="H234" s="2727" t="s">
        <v>50</v>
      </c>
      <c r="I234" s="200" t="s">
        <v>140</v>
      </c>
      <c r="J234" s="1964">
        <f>TARGET!D230</f>
        <v>0</v>
      </c>
      <c r="K234" s="2159">
        <v>0</v>
      </c>
      <c r="L234" s="2160">
        <f>'ALL BULAN'!E235</f>
        <v>0</v>
      </c>
      <c r="M234" s="2161">
        <f>SUM(K234:L234)</f>
        <v>0</v>
      </c>
      <c r="N234" s="1891">
        <f t="shared" si="32"/>
        <v>0</v>
      </c>
      <c r="O234" s="2162">
        <v>0</v>
      </c>
      <c r="P234" s="2132"/>
    </row>
    <row r="235" spans="1:16" s="2070" customFormat="1" ht="6.75" customHeight="1">
      <c r="A235" s="2096"/>
      <c r="B235" s="2096"/>
      <c r="C235" s="2096"/>
      <c r="D235" s="2096"/>
      <c r="E235" s="2096"/>
      <c r="F235" s="2097"/>
      <c r="G235" s="2199"/>
      <c r="H235" s="2117"/>
      <c r="I235" s="2117"/>
      <c r="J235" s="2182"/>
      <c r="K235" s="2183"/>
      <c r="L235" s="2182"/>
      <c r="M235" s="1469"/>
      <c r="N235" s="1469"/>
      <c r="O235" s="2184"/>
      <c r="P235" s="2132"/>
    </row>
    <row r="236" spans="1:16" s="2073" customFormat="1" ht="15.65">
      <c r="A236" s="2090"/>
      <c r="B236" s="2090"/>
      <c r="C236" s="2090"/>
      <c r="D236" s="2090"/>
      <c r="E236" s="2090"/>
      <c r="F236" s="2091"/>
      <c r="G236" s="2092" t="s">
        <v>141</v>
      </c>
      <c r="H236" s="2093" t="s">
        <v>142</v>
      </c>
      <c r="I236" s="2195"/>
      <c r="J236" s="2147">
        <f>J237+J245+J251</f>
        <v>501125000</v>
      </c>
      <c r="K236" s="2148">
        <v>63518718</v>
      </c>
      <c r="L236" s="2147">
        <f>L237+L245+L251</f>
        <v>84639500</v>
      </c>
      <c r="M236" s="2147">
        <f t="shared" ref="M236:M254" si="34">SUM(K236:L236)</f>
        <v>148158218</v>
      </c>
      <c r="N236" s="2147">
        <f t="shared" ref="N236:N254" si="35">M236-J236</f>
        <v>-352966782</v>
      </c>
      <c r="O236" s="2149">
        <f>M236/J236*100</f>
        <v>29.565122075330507</v>
      </c>
      <c r="P236" s="2150"/>
    </row>
    <row r="237" spans="1:16" s="2070" customFormat="1">
      <c r="A237" s="2096"/>
      <c r="B237" s="2096"/>
      <c r="C237" s="2096"/>
      <c r="D237" s="2096"/>
      <c r="E237" s="2096"/>
      <c r="F237" s="2103">
        <v>1</v>
      </c>
      <c r="G237" s="2205"/>
      <c r="H237" s="2248" t="s">
        <v>106</v>
      </c>
      <c r="I237" s="2206"/>
      <c r="J237" s="2223">
        <f>J238</f>
        <v>501125000</v>
      </c>
      <c r="K237" s="2159">
        <v>19350000</v>
      </c>
      <c r="L237" s="2223">
        <f>L238</f>
        <v>74050000</v>
      </c>
      <c r="M237" s="2161">
        <f t="shared" si="34"/>
        <v>93400000</v>
      </c>
      <c r="N237" s="1891">
        <f t="shared" si="35"/>
        <v>-407725000</v>
      </c>
      <c r="O237" s="2162">
        <f>M237/J237*100</f>
        <v>18.638064355200797</v>
      </c>
      <c r="P237" s="2132"/>
    </row>
    <row r="238" spans="1:16" s="2070" customFormat="1">
      <c r="A238" s="2094">
        <v>4</v>
      </c>
      <c r="B238" s="2094">
        <v>1</v>
      </c>
      <c r="C238" s="2094">
        <v>2</v>
      </c>
      <c r="D238" s="2095" t="s">
        <v>438</v>
      </c>
      <c r="E238" s="2215"/>
      <c r="F238" s="2202"/>
      <c r="G238" s="2249"/>
      <c r="H238" s="224" t="s">
        <v>109</v>
      </c>
      <c r="I238" s="1903"/>
      <c r="J238" s="2181">
        <f>J239+J242</f>
        <v>501125000</v>
      </c>
      <c r="K238" s="2159">
        <v>19350000</v>
      </c>
      <c r="L238" s="2181">
        <f>L239+L242</f>
        <v>74050000</v>
      </c>
      <c r="M238" s="2161">
        <f t="shared" si="34"/>
        <v>93400000</v>
      </c>
      <c r="N238" s="1891">
        <f t="shared" si="35"/>
        <v>-407725000</v>
      </c>
      <c r="O238" s="2162">
        <f>M238/J238*100</f>
        <v>18.638064355200797</v>
      </c>
      <c r="P238" s="2132"/>
    </row>
    <row r="239" spans="1:16" s="2074" customFormat="1">
      <c r="A239" s="2094">
        <v>4</v>
      </c>
      <c r="B239" s="2094">
        <v>1</v>
      </c>
      <c r="C239" s="2094">
        <v>2</v>
      </c>
      <c r="D239" s="2095" t="s">
        <v>438</v>
      </c>
      <c r="E239" s="2125" t="s">
        <v>437</v>
      </c>
      <c r="F239" s="2202"/>
      <c r="G239" s="2249"/>
      <c r="H239" s="212" t="s">
        <v>64</v>
      </c>
      <c r="I239" s="2208"/>
      <c r="J239" s="2189">
        <f>J240</f>
        <v>152500000</v>
      </c>
      <c r="K239" s="2159">
        <v>2850000</v>
      </c>
      <c r="L239" s="2189">
        <f>L240</f>
        <v>6950000</v>
      </c>
      <c r="M239" s="2161">
        <f t="shared" si="34"/>
        <v>9800000</v>
      </c>
      <c r="N239" s="1891">
        <f t="shared" si="35"/>
        <v>-142700000</v>
      </c>
      <c r="O239" s="2162">
        <f>M239/J239*100</f>
        <v>6.4262295081967205</v>
      </c>
      <c r="P239" s="2132"/>
    </row>
    <row r="240" spans="1:16" s="2070" customFormat="1">
      <c r="A240" s="2096"/>
      <c r="B240" s="2096"/>
      <c r="C240" s="2096"/>
      <c r="D240" s="2096"/>
      <c r="E240" s="2096"/>
      <c r="F240" s="2097"/>
      <c r="G240" s="2279"/>
      <c r="H240" s="2727" t="s">
        <v>50</v>
      </c>
      <c r="I240" s="2289" t="s">
        <v>143</v>
      </c>
      <c r="J240" s="1964">
        <f>TARGET!D236</f>
        <v>152500000</v>
      </c>
      <c r="K240" s="2159">
        <v>2850000</v>
      </c>
      <c r="L240" s="2160">
        <v>6950000</v>
      </c>
      <c r="M240" s="2161">
        <f t="shared" si="34"/>
        <v>9800000</v>
      </c>
      <c r="N240" s="1891">
        <f t="shared" si="35"/>
        <v>-142700000</v>
      </c>
      <c r="O240" s="2162">
        <f>M240/J240*100</f>
        <v>6.4262295081967205</v>
      </c>
      <c r="P240" s="2132"/>
    </row>
    <row r="241" spans="1:16" s="2070" customFormat="1" ht="6.75" customHeight="1">
      <c r="A241" s="2096"/>
      <c r="B241" s="2096"/>
      <c r="C241" s="2096"/>
      <c r="D241" s="2096"/>
      <c r="E241" s="2096"/>
      <c r="F241" s="2097"/>
      <c r="G241" s="2279"/>
      <c r="H241" s="257"/>
      <c r="I241" s="2290"/>
      <c r="J241" s="2291"/>
      <c r="K241" s="2159">
        <v>0</v>
      </c>
      <c r="L241" s="2291"/>
      <c r="M241" s="2161">
        <f t="shared" si="34"/>
        <v>0</v>
      </c>
      <c r="N241" s="1891">
        <f t="shared" si="35"/>
        <v>0</v>
      </c>
      <c r="O241" s="2162">
        <f>N241-K241</f>
        <v>0</v>
      </c>
      <c r="P241" s="2132"/>
    </row>
    <row r="242" spans="1:16" s="2074" customFormat="1">
      <c r="A242" s="2094">
        <v>4</v>
      </c>
      <c r="B242" s="2094">
        <v>1</v>
      </c>
      <c r="C242" s="2094">
        <v>2</v>
      </c>
      <c r="D242" s="2095" t="s">
        <v>438</v>
      </c>
      <c r="E242" s="2125" t="s">
        <v>440</v>
      </c>
      <c r="F242" s="2202"/>
      <c r="G242" s="2279"/>
      <c r="H242" s="202" t="s">
        <v>68</v>
      </c>
      <c r="I242" s="2290"/>
      <c r="J242" s="2291">
        <f>J243</f>
        <v>348625000</v>
      </c>
      <c r="K242" s="2159">
        <v>16500000</v>
      </c>
      <c r="L242" s="2291">
        <f>L243</f>
        <v>67100000</v>
      </c>
      <c r="M242" s="2161">
        <f t="shared" si="34"/>
        <v>83600000</v>
      </c>
      <c r="N242" s="1891">
        <f t="shared" si="35"/>
        <v>-265025000</v>
      </c>
      <c r="O242" s="2162">
        <f>M242/J242*100</f>
        <v>23.979921118680529</v>
      </c>
      <c r="P242" s="2132"/>
    </row>
    <row r="243" spans="1:16" s="2070" customFormat="1">
      <c r="A243" s="2096"/>
      <c r="B243" s="2096"/>
      <c r="C243" s="2096"/>
      <c r="D243" s="2096"/>
      <c r="E243" s="2096"/>
      <c r="F243" s="2097"/>
      <c r="G243" s="2279"/>
      <c r="H243" s="2732" t="s">
        <v>50</v>
      </c>
      <c r="I243" s="2289" t="s">
        <v>144</v>
      </c>
      <c r="J243" s="1964">
        <f>TARGET!D239</f>
        <v>348625000</v>
      </c>
      <c r="K243" s="2159">
        <v>16500000</v>
      </c>
      <c r="L243" s="2160">
        <v>67100000</v>
      </c>
      <c r="M243" s="2161">
        <f t="shared" si="34"/>
        <v>83600000</v>
      </c>
      <c r="N243" s="1891">
        <f t="shared" si="35"/>
        <v>-265025000</v>
      </c>
      <c r="O243" s="2162">
        <f>M243/J243*100</f>
        <v>23.979921118680529</v>
      </c>
      <c r="P243" s="2132"/>
    </row>
    <row r="244" spans="1:16" s="2070" customFormat="1" ht="5.95" customHeight="1">
      <c r="A244" s="2096"/>
      <c r="B244" s="2096"/>
      <c r="C244" s="2096"/>
      <c r="D244" s="2096"/>
      <c r="E244" s="2096"/>
      <c r="F244" s="2097"/>
      <c r="G244" s="2279"/>
      <c r="H244" s="257"/>
      <c r="I244" s="2290"/>
      <c r="J244" s="2291"/>
      <c r="K244" s="2159">
        <v>0</v>
      </c>
      <c r="L244" s="2291"/>
      <c r="M244" s="2161">
        <f t="shared" si="34"/>
        <v>0</v>
      </c>
      <c r="N244" s="1891">
        <f t="shared" si="35"/>
        <v>0</v>
      </c>
      <c r="O244" s="2162">
        <f>N244-K244</f>
        <v>0</v>
      </c>
      <c r="P244" s="2132"/>
    </row>
    <row r="245" spans="1:16" s="2070" customFormat="1">
      <c r="A245" s="2102">
        <v>4</v>
      </c>
      <c r="B245" s="2102">
        <v>1</v>
      </c>
      <c r="C245" s="2102">
        <v>4</v>
      </c>
      <c r="D245" s="2096"/>
      <c r="E245" s="2096"/>
      <c r="F245" s="2103">
        <v>3</v>
      </c>
      <c r="G245" s="2123"/>
      <c r="H245" s="2124" t="s">
        <v>71</v>
      </c>
      <c r="I245" s="2124"/>
      <c r="J245" s="2292">
        <f>SUM(J246:J249)</f>
        <v>0</v>
      </c>
      <c r="K245" s="2159">
        <v>0</v>
      </c>
      <c r="L245" s="2292">
        <f>SUM(L246:L249)</f>
        <v>0</v>
      </c>
      <c r="M245" s="2161">
        <f t="shared" si="34"/>
        <v>0</v>
      </c>
      <c r="N245" s="1891">
        <f t="shared" si="35"/>
        <v>0</v>
      </c>
      <c r="O245" s="2162">
        <v>0</v>
      </c>
      <c r="P245" s="2132"/>
    </row>
    <row r="246" spans="1:16" s="2070" customFormat="1">
      <c r="A246" s="2102">
        <v>4</v>
      </c>
      <c r="B246" s="2102">
        <v>1</v>
      </c>
      <c r="C246" s="2102">
        <v>4</v>
      </c>
      <c r="D246" s="2102" t="s">
        <v>441</v>
      </c>
      <c r="E246" s="2096"/>
      <c r="F246" s="2097"/>
      <c r="G246" s="2123"/>
      <c r="H246" s="2727" t="s">
        <v>50</v>
      </c>
      <c r="I246" s="200" t="s">
        <v>72</v>
      </c>
      <c r="J246" s="1964">
        <f>TARGET!D242</f>
        <v>0</v>
      </c>
      <c r="K246" s="2159">
        <v>0</v>
      </c>
      <c r="L246" s="2160">
        <f>'ALL BULAN'!E247</f>
        <v>0</v>
      </c>
      <c r="M246" s="2161">
        <f t="shared" si="34"/>
        <v>0</v>
      </c>
      <c r="N246" s="1891">
        <f t="shared" si="35"/>
        <v>0</v>
      </c>
      <c r="O246" s="2162">
        <v>0</v>
      </c>
      <c r="P246" s="2132"/>
    </row>
    <row r="247" spans="1:16" s="2070" customFormat="1">
      <c r="A247" s="1902">
        <v>4</v>
      </c>
      <c r="B247" s="1902">
        <v>1</v>
      </c>
      <c r="C247" s="1902" t="s">
        <v>443</v>
      </c>
      <c r="D247" s="1902" t="s">
        <v>444</v>
      </c>
      <c r="E247" s="1902" t="s">
        <v>440</v>
      </c>
      <c r="F247" s="2097"/>
      <c r="G247" s="2123"/>
      <c r="H247" s="2727" t="s">
        <v>50</v>
      </c>
      <c r="I247" s="200" t="s">
        <v>73</v>
      </c>
      <c r="J247" s="1964">
        <f>TARGET!D243</f>
        <v>0</v>
      </c>
      <c r="K247" s="2159">
        <v>0</v>
      </c>
      <c r="L247" s="2160">
        <f>'ALL BULAN'!E248</f>
        <v>0</v>
      </c>
      <c r="M247" s="2161">
        <f t="shared" si="34"/>
        <v>0</v>
      </c>
      <c r="N247" s="1891">
        <f t="shared" si="35"/>
        <v>0</v>
      </c>
      <c r="O247" s="2162">
        <v>0</v>
      </c>
      <c r="P247" s="2132"/>
    </row>
    <row r="248" spans="1:16" s="2070" customFormat="1">
      <c r="A248" s="1944">
        <v>4</v>
      </c>
      <c r="B248" s="1944">
        <v>1</v>
      </c>
      <c r="C248" s="1944" t="s">
        <v>443</v>
      </c>
      <c r="D248" s="1944" t="s">
        <v>444</v>
      </c>
      <c r="E248" s="2105" t="s">
        <v>445</v>
      </c>
      <c r="F248" s="2097"/>
      <c r="G248" s="2123"/>
      <c r="H248" s="2727" t="s">
        <v>50</v>
      </c>
      <c r="I248" s="200" t="s">
        <v>74</v>
      </c>
      <c r="J248" s="1964">
        <f>TARGET!D244</f>
        <v>0</v>
      </c>
      <c r="K248" s="2159">
        <v>0</v>
      </c>
      <c r="L248" s="2160">
        <f>'ALL BULAN'!E249</f>
        <v>0</v>
      </c>
      <c r="M248" s="2161">
        <f t="shared" si="34"/>
        <v>0</v>
      </c>
      <c r="N248" s="1891">
        <f t="shared" si="35"/>
        <v>0</v>
      </c>
      <c r="O248" s="2162">
        <v>0</v>
      </c>
      <c r="P248" s="2132"/>
    </row>
    <row r="249" spans="1:16" s="2070" customFormat="1">
      <c r="A249" s="1725">
        <v>4</v>
      </c>
      <c r="B249" s="1725">
        <v>1</v>
      </c>
      <c r="C249" s="1725" t="s">
        <v>443</v>
      </c>
      <c r="D249" s="1725" t="s">
        <v>444</v>
      </c>
      <c r="E249" s="1725" t="s">
        <v>441</v>
      </c>
      <c r="F249" s="2097"/>
      <c r="G249" s="2122"/>
      <c r="H249" s="2727" t="s">
        <v>50</v>
      </c>
      <c r="I249" s="206" t="s">
        <v>75</v>
      </c>
      <c r="J249" s="1964">
        <f>TARGET!D245</f>
        <v>0</v>
      </c>
      <c r="K249" s="2159">
        <v>0</v>
      </c>
      <c r="L249" s="2160">
        <f>'ALL BULAN'!E250</f>
        <v>0</v>
      </c>
      <c r="M249" s="2161">
        <f t="shared" si="34"/>
        <v>0</v>
      </c>
      <c r="N249" s="1891">
        <f t="shared" si="35"/>
        <v>0</v>
      </c>
      <c r="O249" s="2162">
        <v>0</v>
      </c>
      <c r="P249" s="2132"/>
    </row>
    <row r="250" spans="1:16" s="2070" customFormat="1" ht="4.55" customHeight="1">
      <c r="A250" s="2096"/>
      <c r="B250" s="2096"/>
      <c r="C250" s="2096"/>
      <c r="D250" s="2096"/>
      <c r="E250" s="2096"/>
      <c r="F250" s="2097"/>
      <c r="G250" s="2122"/>
      <c r="H250" s="206"/>
      <c r="I250" s="206"/>
      <c r="J250" s="1964"/>
      <c r="K250" s="2159">
        <v>0</v>
      </c>
      <c r="L250" s="1964"/>
      <c r="M250" s="2161">
        <f t="shared" si="34"/>
        <v>0</v>
      </c>
      <c r="N250" s="1891">
        <f t="shared" si="35"/>
        <v>0</v>
      </c>
      <c r="O250" s="2162">
        <f>N250-K250</f>
        <v>0</v>
      </c>
      <c r="P250" s="2132"/>
    </row>
    <row r="251" spans="1:16" s="2070" customFormat="1">
      <c r="A251" s="2096"/>
      <c r="B251" s="2096"/>
      <c r="C251" s="2096"/>
      <c r="D251" s="2096"/>
      <c r="E251" s="2096"/>
      <c r="F251" s="2103">
        <v>4</v>
      </c>
      <c r="G251" s="2122"/>
      <c r="H251" s="1318" t="s">
        <v>130</v>
      </c>
      <c r="I251" s="206"/>
      <c r="J251" s="2181">
        <f>SUM(J252:J254)</f>
        <v>0</v>
      </c>
      <c r="K251" s="2159">
        <v>44168718</v>
      </c>
      <c r="L251" s="2181">
        <f>SUM(L252:L254)</f>
        <v>10589500</v>
      </c>
      <c r="M251" s="2161">
        <f t="shared" si="34"/>
        <v>54758218</v>
      </c>
      <c r="N251" s="1891">
        <f t="shared" si="35"/>
        <v>54758218</v>
      </c>
      <c r="O251" s="2162">
        <v>0</v>
      </c>
      <c r="P251" s="2132"/>
    </row>
    <row r="252" spans="1:16" s="2070" customFormat="1">
      <c r="A252" s="2096"/>
      <c r="B252" s="2096"/>
      <c r="C252" s="2096"/>
      <c r="D252" s="2096"/>
      <c r="E252" s="2096"/>
      <c r="F252" s="2097"/>
      <c r="G252" s="2122"/>
      <c r="H252" s="206" t="s">
        <v>50</v>
      </c>
      <c r="I252" s="206" t="s">
        <v>145</v>
      </c>
      <c r="J252" s="1964">
        <f>TARGET!D248</f>
        <v>0</v>
      </c>
      <c r="K252" s="2159">
        <v>4835000</v>
      </c>
      <c r="L252" s="2160">
        <v>0</v>
      </c>
      <c r="M252" s="2161">
        <f t="shared" si="34"/>
        <v>4835000</v>
      </c>
      <c r="N252" s="1891">
        <f t="shared" si="35"/>
        <v>4835000</v>
      </c>
      <c r="O252" s="2162">
        <v>0</v>
      </c>
      <c r="P252" s="2132"/>
    </row>
    <row r="253" spans="1:16" s="2070" customFormat="1">
      <c r="A253" s="2096"/>
      <c r="B253" s="2096"/>
      <c r="C253" s="2096"/>
      <c r="D253" s="2096"/>
      <c r="E253" s="2096"/>
      <c r="F253" s="2097"/>
      <c r="G253" s="2122"/>
      <c r="H253" s="206" t="s">
        <v>50</v>
      </c>
      <c r="I253" s="206" t="s">
        <v>146</v>
      </c>
      <c r="J253" s="1964">
        <f>TARGET!D249</f>
        <v>0</v>
      </c>
      <c r="K253" s="2159">
        <v>6750000</v>
      </c>
      <c r="L253" s="2160">
        <v>0</v>
      </c>
      <c r="M253" s="2161">
        <f t="shared" si="34"/>
        <v>6750000</v>
      </c>
      <c r="N253" s="1891">
        <f t="shared" si="35"/>
        <v>6750000</v>
      </c>
      <c r="O253" s="2162">
        <v>0</v>
      </c>
      <c r="P253" s="2132"/>
    </row>
    <row r="254" spans="1:16" s="2070" customFormat="1">
      <c r="A254" s="2096"/>
      <c r="B254" s="2096"/>
      <c r="C254" s="2096"/>
      <c r="D254" s="2096"/>
      <c r="E254" s="2096"/>
      <c r="F254" s="2097"/>
      <c r="G254" s="2122"/>
      <c r="H254" s="206" t="s">
        <v>50</v>
      </c>
      <c r="I254" s="206" t="s">
        <v>147</v>
      </c>
      <c r="J254" s="1964">
        <f>TARGET!D250</f>
        <v>0</v>
      </c>
      <c r="K254" s="2159">
        <v>32583718</v>
      </c>
      <c r="L254" s="2160">
        <v>10589500</v>
      </c>
      <c r="M254" s="2161">
        <f t="shared" si="34"/>
        <v>43173218</v>
      </c>
      <c r="N254" s="1891">
        <f t="shared" si="35"/>
        <v>43173218</v>
      </c>
      <c r="O254" s="2162">
        <v>0</v>
      </c>
      <c r="P254" s="2132"/>
    </row>
    <row r="255" spans="1:16" s="2070" customFormat="1" ht="5.35" customHeight="1">
      <c r="A255" s="2096"/>
      <c r="B255" s="2096"/>
      <c r="C255" s="2096"/>
      <c r="D255" s="2096"/>
      <c r="E255" s="2096"/>
      <c r="F255" s="2097"/>
      <c r="G255" s="2280"/>
      <c r="H255" s="206"/>
      <c r="I255" s="2293"/>
      <c r="J255" s="1964"/>
      <c r="K255" s="2180"/>
      <c r="L255" s="1964"/>
      <c r="M255" s="2181"/>
      <c r="N255" s="2181"/>
      <c r="O255" s="2294"/>
      <c r="P255" s="2132"/>
    </row>
    <row r="256" spans="1:16" s="2073" customFormat="1" ht="15.65">
      <c r="A256" s="2090"/>
      <c r="B256" s="2090"/>
      <c r="C256" s="2090"/>
      <c r="D256" s="2090"/>
      <c r="E256" s="2090"/>
      <c r="F256" s="2091"/>
      <c r="G256" s="2092" t="s">
        <v>148</v>
      </c>
      <c r="H256" s="2093" t="s">
        <v>149</v>
      </c>
      <c r="I256" s="2195"/>
      <c r="J256" s="2147">
        <f>J257</f>
        <v>0</v>
      </c>
      <c r="K256" s="2148">
        <v>0</v>
      </c>
      <c r="L256" s="2147">
        <f>L257</f>
        <v>0</v>
      </c>
      <c r="M256" s="2147">
        <f t="shared" ref="M256:M262" si="36">SUM(K256:L256)</f>
        <v>0</v>
      </c>
      <c r="N256" s="2147">
        <f t="shared" ref="N256:N262" si="37">M256-J256</f>
        <v>0</v>
      </c>
      <c r="O256" s="2149">
        <v>0</v>
      </c>
      <c r="P256" s="2150"/>
    </row>
    <row r="257" spans="1:16" s="2070" customFormat="1">
      <c r="A257" s="2102">
        <v>4</v>
      </c>
      <c r="B257" s="2102">
        <v>1</v>
      </c>
      <c r="C257" s="2102">
        <v>4</v>
      </c>
      <c r="D257" s="2096"/>
      <c r="E257" s="2096"/>
      <c r="F257" s="2103">
        <v>3</v>
      </c>
      <c r="G257" s="2098"/>
      <c r="H257" s="202" t="s">
        <v>71</v>
      </c>
      <c r="I257" s="202"/>
      <c r="J257" s="2151">
        <f>SUM(J258:J262)</f>
        <v>0</v>
      </c>
      <c r="K257" s="2159">
        <v>0</v>
      </c>
      <c r="L257" s="2151">
        <f>SUM(L258:L262)</f>
        <v>0</v>
      </c>
      <c r="M257" s="2161">
        <f t="shared" si="36"/>
        <v>0</v>
      </c>
      <c r="N257" s="1891">
        <f t="shared" si="37"/>
        <v>0</v>
      </c>
      <c r="O257" s="2162">
        <v>0</v>
      </c>
      <c r="P257" s="2132"/>
    </row>
    <row r="258" spans="1:16" s="2070" customFormat="1">
      <c r="A258" s="2102">
        <v>4</v>
      </c>
      <c r="B258" s="2102">
        <v>1</v>
      </c>
      <c r="C258" s="2102">
        <v>4</v>
      </c>
      <c r="D258" s="2102" t="s">
        <v>441</v>
      </c>
      <c r="E258" s="2096"/>
      <c r="F258" s="2097"/>
      <c r="G258" s="2101"/>
      <c r="H258" s="2727" t="s">
        <v>50</v>
      </c>
      <c r="I258" s="200" t="s">
        <v>72</v>
      </c>
      <c r="J258" s="1964">
        <f>TARGET!D254</f>
        <v>0</v>
      </c>
      <c r="K258" s="2159">
        <v>0</v>
      </c>
      <c r="L258" s="2160">
        <f>'ALL BULAN'!E259</f>
        <v>0</v>
      </c>
      <c r="M258" s="2161">
        <f t="shared" si="36"/>
        <v>0</v>
      </c>
      <c r="N258" s="1891">
        <f t="shared" si="37"/>
        <v>0</v>
      </c>
      <c r="O258" s="2162">
        <v>0</v>
      </c>
      <c r="P258" s="2132"/>
    </row>
    <row r="259" spans="1:16" s="2070" customFormat="1">
      <c r="A259" s="1902">
        <v>4</v>
      </c>
      <c r="B259" s="1902">
        <v>1</v>
      </c>
      <c r="C259" s="1902" t="s">
        <v>443</v>
      </c>
      <c r="D259" s="1902" t="s">
        <v>444</v>
      </c>
      <c r="E259" s="1902" t="s">
        <v>440</v>
      </c>
      <c r="F259" s="2097"/>
      <c r="G259" s="2104"/>
      <c r="H259" s="2727" t="s">
        <v>50</v>
      </c>
      <c r="I259" s="200" t="s">
        <v>73</v>
      </c>
      <c r="J259" s="1964">
        <f>TARGET!D255</f>
        <v>0</v>
      </c>
      <c r="K259" s="2159">
        <v>0</v>
      </c>
      <c r="L259" s="2160">
        <f>'ALL BULAN'!E260</f>
        <v>0</v>
      </c>
      <c r="M259" s="2161">
        <f t="shared" si="36"/>
        <v>0</v>
      </c>
      <c r="N259" s="1891">
        <f t="shared" si="37"/>
        <v>0</v>
      </c>
      <c r="O259" s="2162">
        <v>0</v>
      </c>
      <c r="P259" s="2132"/>
    </row>
    <row r="260" spans="1:16" s="2070" customFormat="1">
      <c r="A260" s="1944">
        <v>4</v>
      </c>
      <c r="B260" s="1944">
        <v>1</v>
      </c>
      <c r="C260" s="1944" t="s">
        <v>443</v>
      </c>
      <c r="D260" s="1944" t="s">
        <v>444</v>
      </c>
      <c r="E260" s="2105" t="s">
        <v>445</v>
      </c>
      <c r="F260" s="2097"/>
      <c r="G260" s="2104"/>
      <c r="H260" s="2727" t="s">
        <v>50</v>
      </c>
      <c r="I260" s="200" t="s">
        <v>74</v>
      </c>
      <c r="J260" s="1964">
        <f>TARGET!D256</f>
        <v>0</v>
      </c>
      <c r="K260" s="2159">
        <v>0</v>
      </c>
      <c r="L260" s="2160">
        <f>'ALL BULAN'!E261</f>
        <v>0</v>
      </c>
      <c r="M260" s="2161">
        <f t="shared" si="36"/>
        <v>0</v>
      </c>
      <c r="N260" s="1891">
        <f t="shared" si="37"/>
        <v>0</v>
      </c>
      <c r="O260" s="2162">
        <v>0</v>
      </c>
      <c r="P260" s="2132"/>
    </row>
    <row r="261" spans="1:16" s="2070" customFormat="1">
      <c r="A261" s="1725">
        <v>4</v>
      </c>
      <c r="B261" s="1725">
        <v>1</v>
      </c>
      <c r="C261" s="1725" t="s">
        <v>443</v>
      </c>
      <c r="D261" s="1725" t="s">
        <v>444</v>
      </c>
      <c r="E261" s="1725" t="s">
        <v>441</v>
      </c>
      <c r="F261" s="2097"/>
      <c r="G261" s="2104"/>
      <c r="H261" s="200" t="s">
        <v>308</v>
      </c>
      <c r="I261" s="206" t="s">
        <v>75</v>
      </c>
      <c r="J261" s="1964">
        <f>TARGET!D257</f>
        <v>0</v>
      </c>
      <c r="K261" s="2159">
        <v>0</v>
      </c>
      <c r="L261" s="2160">
        <f>'ALL BULAN'!E262</f>
        <v>0</v>
      </c>
      <c r="M261" s="2161">
        <f t="shared" si="36"/>
        <v>0</v>
      </c>
      <c r="N261" s="1891">
        <f t="shared" si="37"/>
        <v>0</v>
      </c>
      <c r="O261" s="2162">
        <v>0</v>
      </c>
      <c r="P261" s="2132"/>
    </row>
    <row r="262" spans="1:16" s="2070" customFormat="1">
      <c r="A262" s="2114">
        <v>4</v>
      </c>
      <c r="B262" s="2114">
        <v>1</v>
      </c>
      <c r="C262" s="2114" t="s">
        <v>443</v>
      </c>
      <c r="D262" s="2114" t="s">
        <v>447</v>
      </c>
      <c r="E262" s="2125" t="s">
        <v>437</v>
      </c>
      <c r="F262" s="2097"/>
      <c r="G262" s="2104"/>
      <c r="H262" s="2727" t="s">
        <v>50</v>
      </c>
      <c r="I262" s="206" t="s">
        <v>85</v>
      </c>
      <c r="J262" s="1964">
        <f>TARGET!D258</f>
        <v>0</v>
      </c>
      <c r="K262" s="2159">
        <v>0</v>
      </c>
      <c r="L262" s="2160">
        <f>'ALL BULAN'!E263</f>
        <v>0</v>
      </c>
      <c r="M262" s="2161">
        <f t="shared" si="36"/>
        <v>0</v>
      </c>
      <c r="N262" s="1891">
        <f t="shared" si="37"/>
        <v>0</v>
      </c>
      <c r="O262" s="2162">
        <v>0</v>
      </c>
      <c r="P262" s="2132"/>
    </row>
    <row r="263" spans="1:16" s="2070" customFormat="1" ht="4.55" customHeight="1">
      <c r="A263" s="2096"/>
      <c r="B263" s="2096"/>
      <c r="C263" s="2096"/>
      <c r="D263" s="2096"/>
      <c r="E263" s="2096"/>
      <c r="F263" s="2097"/>
      <c r="G263" s="2199"/>
      <c r="H263" s="2117"/>
      <c r="I263" s="2117"/>
      <c r="J263" s="2182"/>
      <c r="K263" s="2183"/>
      <c r="L263" s="2182"/>
      <c r="M263" s="1469"/>
      <c r="N263" s="1469"/>
      <c r="O263" s="2184"/>
      <c r="P263" s="2132"/>
    </row>
    <row r="264" spans="1:16" s="2073" customFormat="1" ht="15.65">
      <c r="A264" s="2090"/>
      <c r="B264" s="2090"/>
      <c r="C264" s="2090"/>
      <c r="D264" s="2090"/>
      <c r="E264" s="2090"/>
      <c r="F264" s="2091"/>
      <c r="G264" s="2092" t="s">
        <v>150</v>
      </c>
      <c r="H264" s="2093" t="s">
        <v>151</v>
      </c>
      <c r="I264" s="2195"/>
      <c r="J264" s="2147">
        <f>J265</f>
        <v>0</v>
      </c>
      <c r="K264" s="2148">
        <v>0</v>
      </c>
      <c r="L264" s="2147">
        <f>L265</f>
        <v>0</v>
      </c>
      <c r="M264" s="2147">
        <f t="shared" ref="M264:M270" si="38">SUM(K264:L264)</f>
        <v>0</v>
      </c>
      <c r="N264" s="2147">
        <f t="shared" ref="N264:N270" si="39">M264-J264</f>
        <v>0</v>
      </c>
      <c r="O264" s="2149">
        <v>0</v>
      </c>
      <c r="P264" s="2150"/>
    </row>
    <row r="265" spans="1:16" s="2070" customFormat="1">
      <c r="A265" s="2102">
        <v>4</v>
      </c>
      <c r="B265" s="2102">
        <v>1</v>
      </c>
      <c r="C265" s="2102">
        <v>4</v>
      </c>
      <c r="D265" s="2096"/>
      <c r="E265" s="2096"/>
      <c r="F265" s="2103">
        <v>3</v>
      </c>
      <c r="G265" s="2098"/>
      <c r="H265" s="1856" t="s">
        <v>71</v>
      </c>
      <c r="I265" s="218"/>
      <c r="J265" s="2151">
        <f>SUM(J266:J270)</f>
        <v>0</v>
      </c>
      <c r="K265" s="2159">
        <v>0</v>
      </c>
      <c r="L265" s="2151">
        <f>SUM(L266:L270)</f>
        <v>0</v>
      </c>
      <c r="M265" s="2161">
        <f t="shared" si="38"/>
        <v>0</v>
      </c>
      <c r="N265" s="1891">
        <f t="shared" si="39"/>
        <v>0</v>
      </c>
      <c r="O265" s="2162">
        <v>0</v>
      </c>
      <c r="P265" s="2132"/>
    </row>
    <row r="266" spans="1:16" s="2070" customFormat="1">
      <c r="A266" s="2102">
        <v>4</v>
      </c>
      <c r="B266" s="2102">
        <v>1</v>
      </c>
      <c r="C266" s="2102">
        <v>4</v>
      </c>
      <c r="D266" s="2102" t="s">
        <v>441</v>
      </c>
      <c r="E266" s="2096"/>
      <c r="F266" s="2097"/>
      <c r="G266" s="2104"/>
      <c r="H266" s="2727" t="s">
        <v>50</v>
      </c>
      <c r="I266" s="200" t="s">
        <v>72</v>
      </c>
      <c r="J266" s="1964">
        <f>TARGET!D262</f>
        <v>0</v>
      </c>
      <c r="K266" s="2159">
        <v>0</v>
      </c>
      <c r="L266" s="2160">
        <f>'ALL BULAN'!E267</f>
        <v>0</v>
      </c>
      <c r="M266" s="2161">
        <f t="shared" si="38"/>
        <v>0</v>
      </c>
      <c r="N266" s="1891">
        <f t="shared" si="39"/>
        <v>0</v>
      </c>
      <c r="O266" s="2162">
        <v>0</v>
      </c>
      <c r="P266" s="2132"/>
    </row>
    <row r="267" spans="1:16" s="2070" customFormat="1">
      <c r="A267" s="1902">
        <v>4</v>
      </c>
      <c r="B267" s="1902">
        <v>1</v>
      </c>
      <c r="C267" s="1902" t="s">
        <v>443</v>
      </c>
      <c r="D267" s="1902" t="s">
        <v>444</v>
      </c>
      <c r="E267" s="1902" t="s">
        <v>440</v>
      </c>
      <c r="F267" s="2097"/>
      <c r="G267" s="2104"/>
      <c r="H267" s="2727" t="s">
        <v>50</v>
      </c>
      <c r="I267" s="200" t="s">
        <v>73</v>
      </c>
      <c r="J267" s="1964">
        <f>TARGET!D263</f>
        <v>0</v>
      </c>
      <c r="K267" s="2159">
        <v>0</v>
      </c>
      <c r="L267" s="2160">
        <f>'ALL BULAN'!E268</f>
        <v>0</v>
      </c>
      <c r="M267" s="2161">
        <f t="shared" si="38"/>
        <v>0</v>
      </c>
      <c r="N267" s="1891">
        <f t="shared" si="39"/>
        <v>0</v>
      </c>
      <c r="O267" s="2162">
        <v>0</v>
      </c>
      <c r="P267" s="2132"/>
    </row>
    <row r="268" spans="1:16" s="2070" customFormat="1">
      <c r="A268" s="1944">
        <v>4</v>
      </c>
      <c r="B268" s="1944">
        <v>1</v>
      </c>
      <c r="C268" s="1944" t="s">
        <v>443</v>
      </c>
      <c r="D268" s="1944" t="s">
        <v>444</v>
      </c>
      <c r="E268" s="2105" t="s">
        <v>445</v>
      </c>
      <c r="F268" s="2097"/>
      <c r="G268" s="2104"/>
      <c r="H268" s="2727" t="s">
        <v>50</v>
      </c>
      <c r="I268" s="200" t="s">
        <v>74</v>
      </c>
      <c r="J268" s="1964">
        <f>TARGET!D264</f>
        <v>0</v>
      </c>
      <c r="K268" s="2159">
        <v>0</v>
      </c>
      <c r="L268" s="2160">
        <f>'ALL BULAN'!E269</f>
        <v>0</v>
      </c>
      <c r="M268" s="2161">
        <f t="shared" si="38"/>
        <v>0</v>
      </c>
      <c r="N268" s="1891">
        <f t="shared" si="39"/>
        <v>0</v>
      </c>
      <c r="O268" s="2162">
        <v>0</v>
      </c>
      <c r="P268" s="2132"/>
    </row>
    <row r="269" spans="1:16" s="2070" customFormat="1">
      <c r="A269" s="1725">
        <v>4</v>
      </c>
      <c r="B269" s="1725">
        <v>1</v>
      </c>
      <c r="C269" s="1725" t="s">
        <v>443</v>
      </c>
      <c r="D269" s="1725" t="s">
        <v>444</v>
      </c>
      <c r="E269" s="1725" t="s">
        <v>441</v>
      </c>
      <c r="F269" s="2097"/>
      <c r="G269" s="2104"/>
      <c r="H269" s="200" t="s">
        <v>308</v>
      </c>
      <c r="I269" s="206" t="s">
        <v>75</v>
      </c>
      <c r="J269" s="1964">
        <f>TARGET!D265</f>
        <v>0</v>
      </c>
      <c r="K269" s="2159">
        <v>0</v>
      </c>
      <c r="L269" s="2160">
        <f>'ALL BULAN'!E270</f>
        <v>0</v>
      </c>
      <c r="M269" s="2161">
        <f t="shared" si="38"/>
        <v>0</v>
      </c>
      <c r="N269" s="1891">
        <f t="shared" si="39"/>
        <v>0</v>
      </c>
      <c r="O269" s="2162">
        <v>0</v>
      </c>
      <c r="P269" s="2132"/>
    </row>
    <row r="270" spans="1:16" s="2070" customFormat="1">
      <c r="A270" s="2114">
        <v>4</v>
      </c>
      <c r="B270" s="2114">
        <v>1</v>
      </c>
      <c r="C270" s="2114" t="s">
        <v>443</v>
      </c>
      <c r="D270" s="2114" t="s">
        <v>447</v>
      </c>
      <c r="E270" s="2125" t="s">
        <v>437</v>
      </c>
      <c r="F270" s="2097"/>
      <c r="G270" s="2104"/>
      <c r="H270" s="2727" t="s">
        <v>50</v>
      </c>
      <c r="I270" s="206" t="s">
        <v>85</v>
      </c>
      <c r="J270" s="1964">
        <f>TARGET!D266</f>
        <v>0</v>
      </c>
      <c r="K270" s="2159">
        <v>0</v>
      </c>
      <c r="L270" s="2160">
        <f>'ALL BULAN'!E271</f>
        <v>0</v>
      </c>
      <c r="M270" s="2161">
        <f t="shared" si="38"/>
        <v>0</v>
      </c>
      <c r="N270" s="1891">
        <f t="shared" si="39"/>
        <v>0</v>
      </c>
      <c r="O270" s="2162">
        <v>0</v>
      </c>
      <c r="P270" s="2132"/>
    </row>
    <row r="271" spans="1:16" s="2070" customFormat="1" ht="3.8" customHeight="1">
      <c r="A271" s="2096"/>
      <c r="B271" s="2096"/>
      <c r="C271" s="2096"/>
      <c r="D271" s="2096"/>
      <c r="E271" s="2096"/>
      <c r="F271" s="2097"/>
      <c r="G271" s="2199"/>
      <c r="H271" s="2117"/>
      <c r="I271" s="2117"/>
      <c r="J271" s="2182"/>
      <c r="K271" s="2183"/>
      <c r="L271" s="2182"/>
      <c r="M271" s="1469"/>
      <c r="N271" s="1469"/>
      <c r="O271" s="2184"/>
      <c r="P271" s="2132"/>
    </row>
    <row r="272" spans="1:16" s="2073" customFormat="1" ht="15.65">
      <c r="A272" s="2090"/>
      <c r="B272" s="2090"/>
      <c r="C272" s="2090"/>
      <c r="D272" s="2090"/>
      <c r="E272" s="2090"/>
      <c r="F272" s="2091"/>
      <c r="G272" s="2092" t="s">
        <v>152</v>
      </c>
      <c r="H272" s="2093" t="s">
        <v>153</v>
      </c>
      <c r="I272" s="2195"/>
      <c r="J272" s="2147">
        <f>J273</f>
        <v>0</v>
      </c>
      <c r="K272" s="2148">
        <v>0</v>
      </c>
      <c r="L272" s="2147">
        <f>L273</f>
        <v>0</v>
      </c>
      <c r="M272" s="2147">
        <f t="shared" ref="M272:M278" si="40">SUM(K272:L272)</f>
        <v>0</v>
      </c>
      <c r="N272" s="2147">
        <f t="shared" ref="N272:N278" si="41">M272-J272</f>
        <v>0</v>
      </c>
      <c r="O272" s="2149">
        <v>0</v>
      </c>
      <c r="P272" s="2150"/>
    </row>
    <row r="273" spans="1:16" s="2070" customFormat="1">
      <c r="A273" s="2102">
        <v>4</v>
      </c>
      <c r="B273" s="2102">
        <v>1</v>
      </c>
      <c r="C273" s="2102">
        <v>4</v>
      </c>
      <c r="D273" s="2096"/>
      <c r="E273" s="2096"/>
      <c r="F273" s="2103">
        <v>3</v>
      </c>
      <c r="G273" s="2104"/>
      <c r="H273" s="202" t="s">
        <v>71</v>
      </c>
      <c r="I273" s="202"/>
      <c r="J273" s="1891">
        <f>SUM(J274:J278)</f>
        <v>0</v>
      </c>
      <c r="K273" s="2159">
        <v>0</v>
      </c>
      <c r="L273" s="1891">
        <f>SUM(L274:L278)</f>
        <v>0</v>
      </c>
      <c r="M273" s="2161">
        <f t="shared" si="40"/>
        <v>0</v>
      </c>
      <c r="N273" s="1891">
        <f t="shared" si="41"/>
        <v>0</v>
      </c>
      <c r="O273" s="2162">
        <v>0</v>
      </c>
      <c r="P273" s="2132"/>
    </row>
    <row r="274" spans="1:16" s="2070" customFormat="1">
      <c r="A274" s="2102">
        <v>4</v>
      </c>
      <c r="B274" s="2102">
        <v>1</v>
      </c>
      <c r="C274" s="2102">
        <v>4</v>
      </c>
      <c r="D274" s="2102" t="s">
        <v>441</v>
      </c>
      <c r="E274" s="2096"/>
      <c r="F274" s="2097"/>
      <c r="G274" s="2104"/>
      <c r="H274" s="2727" t="s">
        <v>50</v>
      </c>
      <c r="I274" s="200" t="s">
        <v>72</v>
      </c>
      <c r="J274" s="1964">
        <f>TARGET!D270</f>
        <v>0</v>
      </c>
      <c r="K274" s="2159">
        <v>0</v>
      </c>
      <c r="L274" s="2160">
        <f>'ALL BULAN'!E275</f>
        <v>0</v>
      </c>
      <c r="M274" s="2161">
        <f t="shared" si="40"/>
        <v>0</v>
      </c>
      <c r="N274" s="1891">
        <f t="shared" si="41"/>
        <v>0</v>
      </c>
      <c r="O274" s="2162">
        <v>0</v>
      </c>
      <c r="P274" s="2132"/>
    </row>
    <row r="275" spans="1:16" s="2070" customFormat="1">
      <c r="A275" s="1902">
        <v>4</v>
      </c>
      <c r="B275" s="1902">
        <v>1</v>
      </c>
      <c r="C275" s="1902" t="s">
        <v>443</v>
      </c>
      <c r="D275" s="1902" t="s">
        <v>444</v>
      </c>
      <c r="E275" s="1902" t="s">
        <v>440</v>
      </c>
      <c r="F275" s="2097"/>
      <c r="G275" s="2104"/>
      <c r="H275" s="2727" t="s">
        <v>50</v>
      </c>
      <c r="I275" s="200" t="s">
        <v>73</v>
      </c>
      <c r="J275" s="1964">
        <f>TARGET!D271</f>
        <v>0</v>
      </c>
      <c r="K275" s="2159">
        <v>0</v>
      </c>
      <c r="L275" s="2160">
        <f>'ALL BULAN'!E276</f>
        <v>0</v>
      </c>
      <c r="M275" s="2161">
        <f t="shared" si="40"/>
        <v>0</v>
      </c>
      <c r="N275" s="1891">
        <f t="shared" si="41"/>
        <v>0</v>
      </c>
      <c r="O275" s="2162">
        <v>0</v>
      </c>
      <c r="P275" s="2132"/>
    </row>
    <row r="276" spans="1:16" s="2070" customFormat="1">
      <c r="A276" s="1944">
        <v>4</v>
      </c>
      <c r="B276" s="1944">
        <v>1</v>
      </c>
      <c r="C276" s="1944" t="s">
        <v>443</v>
      </c>
      <c r="D276" s="1944" t="s">
        <v>444</v>
      </c>
      <c r="E276" s="2105" t="s">
        <v>445</v>
      </c>
      <c r="F276" s="2097"/>
      <c r="G276" s="2251"/>
      <c r="H276" s="2727" t="s">
        <v>50</v>
      </c>
      <c r="I276" s="200" t="s">
        <v>74</v>
      </c>
      <c r="J276" s="1964">
        <f>TARGET!D272</f>
        <v>0</v>
      </c>
      <c r="K276" s="2159">
        <v>0</v>
      </c>
      <c r="L276" s="2160">
        <f>'ALL BULAN'!E277</f>
        <v>0</v>
      </c>
      <c r="M276" s="2161">
        <f t="shared" si="40"/>
        <v>0</v>
      </c>
      <c r="N276" s="1891">
        <f t="shared" si="41"/>
        <v>0</v>
      </c>
      <c r="O276" s="2162">
        <v>0</v>
      </c>
      <c r="P276" s="2132"/>
    </row>
    <row r="277" spans="1:16" s="2070" customFormat="1">
      <c r="A277" s="1725">
        <v>4</v>
      </c>
      <c r="B277" s="1725">
        <v>1</v>
      </c>
      <c r="C277" s="1725" t="s">
        <v>443</v>
      </c>
      <c r="D277" s="1725" t="s">
        <v>444</v>
      </c>
      <c r="E277" s="1725" t="s">
        <v>441</v>
      </c>
      <c r="F277" s="2097"/>
      <c r="G277" s="2251"/>
      <c r="H277" s="200" t="s">
        <v>308</v>
      </c>
      <c r="I277" s="206" t="s">
        <v>75</v>
      </c>
      <c r="J277" s="1964">
        <f>TARGET!D273</f>
        <v>0</v>
      </c>
      <c r="K277" s="2159">
        <v>0</v>
      </c>
      <c r="L277" s="2160">
        <f>'ALL BULAN'!E278</f>
        <v>0</v>
      </c>
      <c r="M277" s="2161">
        <f t="shared" si="40"/>
        <v>0</v>
      </c>
      <c r="N277" s="1891">
        <f t="shared" si="41"/>
        <v>0</v>
      </c>
      <c r="O277" s="2162">
        <v>0</v>
      </c>
      <c r="P277" s="2132"/>
    </row>
    <row r="278" spans="1:16" s="2070" customFormat="1">
      <c r="A278" s="2114">
        <v>4</v>
      </c>
      <c r="B278" s="2114">
        <v>1</v>
      </c>
      <c r="C278" s="2114" t="s">
        <v>443</v>
      </c>
      <c r="D278" s="2114" t="s">
        <v>447</v>
      </c>
      <c r="E278" s="2125" t="s">
        <v>437</v>
      </c>
      <c r="F278" s="2097"/>
      <c r="G278" s="2251"/>
      <c r="H278" s="2727" t="s">
        <v>50</v>
      </c>
      <c r="I278" s="206" t="s">
        <v>85</v>
      </c>
      <c r="J278" s="1964">
        <f>TARGET!D274</f>
        <v>0</v>
      </c>
      <c r="K278" s="2159">
        <v>0</v>
      </c>
      <c r="L278" s="2160">
        <f>'ALL BULAN'!E279</f>
        <v>0</v>
      </c>
      <c r="M278" s="2161">
        <f t="shared" si="40"/>
        <v>0</v>
      </c>
      <c r="N278" s="1891">
        <f t="shared" si="41"/>
        <v>0</v>
      </c>
      <c r="O278" s="2162">
        <v>0</v>
      </c>
      <c r="P278" s="2132"/>
    </row>
    <row r="279" spans="1:16" s="2070" customFormat="1" ht="5.35" customHeight="1">
      <c r="A279" s="2096"/>
      <c r="B279" s="2096"/>
      <c r="C279" s="2096"/>
      <c r="D279" s="2096"/>
      <c r="E279" s="2096"/>
      <c r="F279" s="2097"/>
      <c r="G279" s="2251"/>
      <c r="H279" s="856"/>
      <c r="I279" s="856"/>
      <c r="J279" s="2143"/>
      <c r="K279" s="2144"/>
      <c r="L279" s="2143"/>
      <c r="M279" s="1727"/>
      <c r="N279" s="1727"/>
      <c r="O279" s="2145"/>
      <c r="P279" s="2132"/>
    </row>
    <row r="280" spans="1:16" s="2070" customFormat="1" ht="15.65">
      <c r="A280" s="2096"/>
      <c r="B280" s="2096"/>
      <c r="C280" s="2096"/>
      <c r="D280" s="2096"/>
      <c r="E280" s="2096"/>
      <c r="F280" s="2097"/>
      <c r="G280" s="2295" t="s">
        <v>154</v>
      </c>
      <c r="H280" s="2296" t="s">
        <v>155</v>
      </c>
      <c r="I280" s="2299"/>
      <c r="J280" s="2300">
        <f>J282+J297+J305+J313+J321+J329+J337</f>
        <v>131250000</v>
      </c>
      <c r="K280" s="2301">
        <v>13309500</v>
      </c>
      <c r="L280" s="2300">
        <f>L282+L297+L305+L313+L321+L329+L337</f>
        <v>16963600</v>
      </c>
      <c r="M280" s="2300">
        <f>SUM(K280:L280)</f>
        <v>30273100</v>
      </c>
      <c r="N280" s="2300">
        <f>M280-J280</f>
        <v>-100976900</v>
      </c>
      <c r="O280" s="2302">
        <f>M280/J280*100</f>
        <v>23.065219047619049</v>
      </c>
      <c r="P280" s="2132"/>
    </row>
    <row r="281" spans="1:16" s="2070" customFormat="1" ht="4.55" customHeight="1">
      <c r="A281" s="2096"/>
      <c r="B281" s="2096"/>
      <c r="C281" s="2096"/>
      <c r="D281" s="2096"/>
      <c r="E281" s="2096"/>
      <c r="F281" s="2097"/>
      <c r="G281" s="2297"/>
      <c r="H281" s="257"/>
      <c r="I281" s="257"/>
      <c r="J281" s="2303"/>
      <c r="K281" s="2144"/>
      <c r="L281" s="2303"/>
      <c r="M281" s="2304"/>
      <c r="N281" s="2304"/>
      <c r="O281" s="2305"/>
      <c r="P281" s="2132"/>
    </row>
    <row r="282" spans="1:16" s="2073" customFormat="1" ht="15.65">
      <c r="A282" s="2090"/>
      <c r="B282" s="2090"/>
      <c r="C282" s="2090"/>
      <c r="D282" s="2090"/>
      <c r="E282" s="2090"/>
      <c r="F282" s="2091"/>
      <c r="G282" s="2092"/>
      <c r="H282" s="2093" t="s">
        <v>156</v>
      </c>
      <c r="I282" s="2195" t="s">
        <v>157</v>
      </c>
      <c r="J282" s="2306">
        <f>J283</f>
        <v>131250000</v>
      </c>
      <c r="K282" s="2148">
        <v>13309500</v>
      </c>
      <c r="L282" s="2306">
        <f>L283+L290</f>
        <v>16963600</v>
      </c>
      <c r="M282" s="2147">
        <f t="shared" ref="M282:M288" si="42">SUM(K282:L282)</f>
        <v>30273100</v>
      </c>
      <c r="N282" s="2147">
        <f t="shared" ref="N282:N295" si="43">M282-J282</f>
        <v>-100976900</v>
      </c>
      <c r="O282" s="2149">
        <f t="shared" ref="O282:O288" si="44">M282/J282*100</f>
        <v>23.065219047619049</v>
      </c>
      <c r="P282" s="2150"/>
    </row>
    <row r="283" spans="1:16" s="2070" customFormat="1">
      <c r="A283" s="2096"/>
      <c r="B283" s="2096"/>
      <c r="C283" s="2096"/>
      <c r="D283" s="2096"/>
      <c r="E283" s="2096"/>
      <c r="F283" s="2103">
        <v>1</v>
      </c>
      <c r="G283" s="2104"/>
      <c r="H283" s="202" t="s">
        <v>106</v>
      </c>
      <c r="I283" s="200"/>
      <c r="J283" s="2307">
        <f>+J284</f>
        <v>131250000</v>
      </c>
      <c r="K283" s="2159">
        <v>2500000</v>
      </c>
      <c r="L283" s="2307">
        <f>+L284</f>
        <v>5500000</v>
      </c>
      <c r="M283" s="2161">
        <f t="shared" si="42"/>
        <v>8000000</v>
      </c>
      <c r="N283" s="1891">
        <f t="shared" si="43"/>
        <v>-123250000</v>
      </c>
      <c r="O283" s="2162">
        <f t="shared" si="44"/>
        <v>6.0952380952380949</v>
      </c>
      <c r="P283" s="2132"/>
    </row>
    <row r="284" spans="1:16" s="2070" customFormat="1">
      <c r="A284" s="2094">
        <v>4</v>
      </c>
      <c r="B284" s="2094">
        <v>1</v>
      </c>
      <c r="C284" s="2094">
        <v>2</v>
      </c>
      <c r="D284" s="2095" t="s">
        <v>438</v>
      </c>
      <c r="E284" s="2215"/>
      <c r="F284" s="2097"/>
      <c r="G284" s="2104"/>
      <c r="H284" s="202" t="s">
        <v>63</v>
      </c>
      <c r="I284" s="200"/>
      <c r="J284" s="2307">
        <f>J285</f>
        <v>131250000</v>
      </c>
      <c r="K284" s="2159">
        <v>2500000</v>
      </c>
      <c r="L284" s="2307">
        <f>L285</f>
        <v>5500000</v>
      </c>
      <c r="M284" s="2161">
        <f t="shared" si="42"/>
        <v>8000000</v>
      </c>
      <c r="N284" s="1891">
        <f t="shared" si="43"/>
        <v>-123250000</v>
      </c>
      <c r="O284" s="2162">
        <f t="shared" si="44"/>
        <v>6.0952380952380949</v>
      </c>
      <c r="P284" s="2132"/>
    </row>
    <row r="285" spans="1:16" s="2070" customFormat="1">
      <c r="A285" s="2094">
        <v>4</v>
      </c>
      <c r="B285" s="2094">
        <v>1</v>
      </c>
      <c r="C285" s="2094">
        <v>2</v>
      </c>
      <c r="D285" s="2095" t="s">
        <v>438</v>
      </c>
      <c r="E285" s="2125" t="s">
        <v>437</v>
      </c>
      <c r="F285" s="2097"/>
      <c r="G285" s="2101"/>
      <c r="H285" s="202" t="s">
        <v>64</v>
      </c>
      <c r="I285" s="200"/>
      <c r="J285" s="2308">
        <f>SUM(J286:J288)</f>
        <v>131250000</v>
      </c>
      <c r="K285" s="2159">
        <v>2500000</v>
      </c>
      <c r="L285" s="2308">
        <f>SUM(L286:L288)</f>
        <v>5500000</v>
      </c>
      <c r="M285" s="2161">
        <f t="shared" si="42"/>
        <v>8000000</v>
      </c>
      <c r="N285" s="1891">
        <f t="shared" si="43"/>
        <v>-123250000</v>
      </c>
      <c r="O285" s="2162">
        <f t="shared" si="44"/>
        <v>6.0952380952380949</v>
      </c>
      <c r="P285" s="2132"/>
    </row>
    <row r="286" spans="1:16" s="2070" customFormat="1">
      <c r="A286" s="2096"/>
      <c r="B286" s="2096"/>
      <c r="C286" s="2096"/>
      <c r="D286" s="2096"/>
      <c r="E286" s="2096"/>
      <c r="F286" s="2097"/>
      <c r="G286" s="2104"/>
      <c r="H286" s="200" t="s">
        <v>50</v>
      </c>
      <c r="I286" s="200" t="s">
        <v>158</v>
      </c>
      <c r="J286" s="1964">
        <f>TARGET!D282</f>
        <v>30000000</v>
      </c>
      <c r="K286" s="2159">
        <v>0</v>
      </c>
      <c r="L286" s="2160">
        <f>'ALL BULAN'!E287</f>
        <v>0</v>
      </c>
      <c r="M286" s="2161">
        <f t="shared" si="42"/>
        <v>0</v>
      </c>
      <c r="N286" s="1891">
        <f t="shared" si="43"/>
        <v>-30000000</v>
      </c>
      <c r="O286" s="2162">
        <f t="shared" si="44"/>
        <v>0</v>
      </c>
      <c r="P286" s="2132"/>
    </row>
    <row r="287" spans="1:16" s="2070" customFormat="1">
      <c r="A287" s="2096"/>
      <c r="B287" s="2096"/>
      <c r="C287" s="2096"/>
      <c r="D287" s="2096"/>
      <c r="E287" s="2096"/>
      <c r="F287" s="2097"/>
      <c r="G287" s="2104"/>
      <c r="H287" s="200" t="s">
        <v>50</v>
      </c>
      <c r="I287" s="200" t="s">
        <v>159</v>
      </c>
      <c r="J287" s="1964">
        <f>TARGET!D283</f>
        <v>26250000</v>
      </c>
      <c r="K287" s="2159">
        <v>1500000</v>
      </c>
      <c r="L287" s="2160">
        <v>0</v>
      </c>
      <c r="M287" s="2161">
        <f t="shared" si="42"/>
        <v>1500000</v>
      </c>
      <c r="N287" s="1891">
        <f t="shared" si="43"/>
        <v>-24750000</v>
      </c>
      <c r="O287" s="2162">
        <f t="shared" si="44"/>
        <v>5.7142857142857144</v>
      </c>
      <c r="P287" s="2132"/>
    </row>
    <row r="288" spans="1:16" s="2070" customFormat="1">
      <c r="A288" s="2096"/>
      <c r="B288" s="2096"/>
      <c r="C288" s="2096"/>
      <c r="D288" s="2096"/>
      <c r="E288" s="2096"/>
      <c r="F288" s="2097"/>
      <c r="G288" s="2104"/>
      <c r="H288" s="200" t="s">
        <v>50</v>
      </c>
      <c r="I288" s="200" t="s">
        <v>160</v>
      </c>
      <c r="J288" s="1964">
        <f>TARGET!D284</f>
        <v>75000000</v>
      </c>
      <c r="K288" s="2159">
        <v>1000000</v>
      </c>
      <c r="L288" s="2160">
        <v>5500000</v>
      </c>
      <c r="M288" s="2161">
        <f t="shared" si="42"/>
        <v>6500000</v>
      </c>
      <c r="N288" s="1891">
        <f t="shared" si="43"/>
        <v>-68500000</v>
      </c>
      <c r="O288" s="2162">
        <f t="shared" si="44"/>
        <v>8.6666666666666679</v>
      </c>
      <c r="P288" s="2132"/>
    </row>
    <row r="289" spans="1:16" s="2070" customFormat="1" ht="5.95" customHeight="1">
      <c r="A289" s="2096"/>
      <c r="B289" s="2096"/>
      <c r="C289" s="2096"/>
      <c r="D289" s="2096"/>
      <c r="E289" s="2096"/>
      <c r="F289" s="2097"/>
      <c r="G289" s="2104"/>
      <c r="H289" s="200"/>
      <c r="I289" s="200"/>
      <c r="J289" s="2309"/>
      <c r="K289" s="2159"/>
      <c r="L289" s="2309"/>
      <c r="M289" s="2161"/>
      <c r="N289" s="1891">
        <f t="shared" si="43"/>
        <v>0</v>
      </c>
      <c r="O289" s="2162">
        <f>N289-K289</f>
        <v>0</v>
      </c>
      <c r="P289" s="2132"/>
    </row>
    <row r="290" spans="1:16" s="2070" customFormat="1">
      <c r="A290" s="2102">
        <v>4</v>
      </c>
      <c r="B290" s="2102">
        <v>1</v>
      </c>
      <c r="C290" s="2102">
        <v>4</v>
      </c>
      <c r="D290" s="2096"/>
      <c r="E290" s="2096"/>
      <c r="F290" s="2103">
        <v>3</v>
      </c>
      <c r="G290" s="2104"/>
      <c r="H290" s="202" t="s">
        <v>71</v>
      </c>
      <c r="I290" s="202"/>
      <c r="J290" s="2282">
        <f>SUM(J291:J295)</f>
        <v>0</v>
      </c>
      <c r="K290" s="2159">
        <v>10809500</v>
      </c>
      <c r="L290" s="2282">
        <f>SUM(L291:L295)</f>
        <v>11463600</v>
      </c>
      <c r="M290" s="2161">
        <f t="shared" ref="M290:M295" si="45">SUM(K290:L290)</f>
        <v>22273100</v>
      </c>
      <c r="N290" s="1891">
        <f t="shared" si="43"/>
        <v>22273100</v>
      </c>
      <c r="O290" s="2162">
        <v>0</v>
      </c>
      <c r="P290" s="2132"/>
    </row>
    <row r="291" spans="1:16" s="2070" customFormat="1">
      <c r="A291" s="2102">
        <v>4</v>
      </c>
      <c r="B291" s="2102">
        <v>1</v>
      </c>
      <c r="C291" s="2102">
        <v>4</v>
      </c>
      <c r="D291" s="2102" t="s">
        <v>441</v>
      </c>
      <c r="E291" s="2096"/>
      <c r="F291" s="2097"/>
      <c r="G291" s="2104"/>
      <c r="H291" s="2727" t="s">
        <v>50</v>
      </c>
      <c r="I291" s="200" t="s">
        <v>72</v>
      </c>
      <c r="J291" s="1964">
        <f>TARGET!D287</f>
        <v>0</v>
      </c>
      <c r="K291" s="2159">
        <v>0</v>
      </c>
      <c r="L291" s="2160">
        <f>'ALL BULAN'!E292</f>
        <v>0</v>
      </c>
      <c r="M291" s="2161">
        <f t="shared" si="45"/>
        <v>0</v>
      </c>
      <c r="N291" s="1891">
        <f t="shared" si="43"/>
        <v>0</v>
      </c>
      <c r="O291" s="2162">
        <v>0</v>
      </c>
      <c r="P291" s="2132"/>
    </row>
    <row r="292" spans="1:16" s="2070" customFormat="1">
      <c r="A292" s="1902">
        <v>4</v>
      </c>
      <c r="B292" s="1902">
        <v>1</v>
      </c>
      <c r="C292" s="1902" t="s">
        <v>443</v>
      </c>
      <c r="D292" s="1902" t="s">
        <v>444</v>
      </c>
      <c r="E292" s="1902" t="s">
        <v>440</v>
      </c>
      <c r="F292" s="2097"/>
      <c r="G292" s="2104"/>
      <c r="H292" s="2727" t="s">
        <v>50</v>
      </c>
      <c r="I292" s="200" t="s">
        <v>73</v>
      </c>
      <c r="J292" s="1964">
        <f>TARGET!D288</f>
        <v>0</v>
      </c>
      <c r="K292" s="2159">
        <v>0</v>
      </c>
      <c r="L292" s="2160">
        <v>11463600</v>
      </c>
      <c r="M292" s="2161">
        <f t="shared" si="45"/>
        <v>11463600</v>
      </c>
      <c r="N292" s="1891">
        <f t="shared" si="43"/>
        <v>11463600</v>
      </c>
      <c r="O292" s="2162">
        <v>0</v>
      </c>
      <c r="P292" s="2132"/>
    </row>
    <row r="293" spans="1:16" s="2070" customFormat="1">
      <c r="A293" s="1944">
        <v>4</v>
      </c>
      <c r="B293" s="1944">
        <v>1</v>
      </c>
      <c r="C293" s="1944" t="s">
        <v>443</v>
      </c>
      <c r="D293" s="1944" t="s">
        <v>444</v>
      </c>
      <c r="E293" s="2105" t="s">
        <v>445</v>
      </c>
      <c r="F293" s="2097"/>
      <c r="G293" s="2104"/>
      <c r="H293" s="2727" t="s">
        <v>50</v>
      </c>
      <c r="I293" s="200" t="s">
        <v>74</v>
      </c>
      <c r="J293" s="1964">
        <f>TARGET!D289</f>
        <v>0</v>
      </c>
      <c r="K293" s="2159">
        <v>0</v>
      </c>
      <c r="L293" s="2160">
        <v>0</v>
      </c>
      <c r="M293" s="2161">
        <f t="shared" si="45"/>
        <v>0</v>
      </c>
      <c r="N293" s="1891">
        <f t="shared" si="43"/>
        <v>0</v>
      </c>
      <c r="O293" s="2162">
        <v>0</v>
      </c>
      <c r="P293" s="2132"/>
    </row>
    <row r="294" spans="1:16" s="2070" customFormat="1">
      <c r="A294" s="1725">
        <v>4</v>
      </c>
      <c r="B294" s="1725">
        <v>1</v>
      </c>
      <c r="C294" s="1725" t="s">
        <v>443</v>
      </c>
      <c r="D294" s="1725" t="s">
        <v>444</v>
      </c>
      <c r="E294" s="1725" t="s">
        <v>441</v>
      </c>
      <c r="F294" s="2097"/>
      <c r="G294" s="2104"/>
      <c r="H294" s="200" t="s">
        <v>308</v>
      </c>
      <c r="I294" s="206" t="s">
        <v>75</v>
      </c>
      <c r="J294" s="1964">
        <f>TARGET!D290</f>
        <v>0</v>
      </c>
      <c r="K294" s="2159">
        <v>0</v>
      </c>
      <c r="L294" s="2160">
        <v>0</v>
      </c>
      <c r="M294" s="2161">
        <f t="shared" si="45"/>
        <v>0</v>
      </c>
      <c r="N294" s="1891">
        <f t="shared" si="43"/>
        <v>0</v>
      </c>
      <c r="O294" s="2162">
        <v>0</v>
      </c>
      <c r="P294" s="2132"/>
    </row>
    <row r="295" spans="1:16" s="2070" customFormat="1">
      <c r="A295" s="2114">
        <v>4</v>
      </c>
      <c r="B295" s="2114">
        <v>1</v>
      </c>
      <c r="C295" s="2114" t="s">
        <v>443</v>
      </c>
      <c r="D295" s="2114" t="s">
        <v>447</v>
      </c>
      <c r="E295" s="2125" t="s">
        <v>437</v>
      </c>
      <c r="F295" s="2097"/>
      <c r="G295" s="2104"/>
      <c r="H295" s="2727" t="s">
        <v>50</v>
      </c>
      <c r="I295" s="206" t="s">
        <v>85</v>
      </c>
      <c r="J295" s="1964">
        <f>TARGET!D291</f>
        <v>0</v>
      </c>
      <c r="K295" s="2159">
        <v>10809500</v>
      </c>
      <c r="L295" s="2160">
        <v>0</v>
      </c>
      <c r="M295" s="2161">
        <f t="shared" si="45"/>
        <v>10809500</v>
      </c>
      <c r="N295" s="1891">
        <f t="shared" si="43"/>
        <v>10809500</v>
      </c>
      <c r="O295" s="2162">
        <v>0</v>
      </c>
      <c r="P295" s="2132"/>
    </row>
    <row r="296" spans="1:16" s="2070" customFormat="1" ht="5.35" customHeight="1">
      <c r="A296" s="2096"/>
      <c r="B296" s="2096"/>
      <c r="C296" s="2096"/>
      <c r="D296" s="2096"/>
      <c r="E296" s="2096"/>
      <c r="F296" s="2097"/>
      <c r="G296" s="2199"/>
      <c r="H296" s="2298"/>
      <c r="I296" s="2298"/>
      <c r="J296" s="2310">
        <v>0</v>
      </c>
      <c r="K296" s="2183">
        <v>0</v>
      </c>
      <c r="L296" s="2310">
        <v>0</v>
      </c>
      <c r="M296" s="2311">
        <v>0</v>
      </c>
      <c r="N296" s="2311">
        <v>0</v>
      </c>
      <c r="O296" s="2312">
        <v>0</v>
      </c>
      <c r="P296" s="2132"/>
    </row>
    <row r="297" spans="1:16" s="2073" customFormat="1" ht="15.05">
      <c r="A297" s="2090"/>
      <c r="B297" s="2090"/>
      <c r="C297" s="2090"/>
      <c r="D297" s="2090"/>
      <c r="E297" s="2090"/>
      <c r="F297" s="2091"/>
      <c r="G297" s="2092"/>
      <c r="H297" s="2195" t="s">
        <v>161</v>
      </c>
      <c r="I297" s="2313" t="s">
        <v>162</v>
      </c>
      <c r="J297" s="2306">
        <f>SUM(J298)</f>
        <v>0</v>
      </c>
      <c r="K297" s="2148">
        <v>0</v>
      </c>
      <c r="L297" s="2306">
        <f>SUM(L298)</f>
        <v>0</v>
      </c>
      <c r="M297" s="2147">
        <f t="shared" ref="M297:M303" si="46">SUM(K297:L297)</f>
        <v>0</v>
      </c>
      <c r="N297" s="2147">
        <f>M297-J297</f>
        <v>0</v>
      </c>
      <c r="O297" s="2149">
        <f>N297-K297</f>
        <v>0</v>
      </c>
      <c r="P297" s="2150"/>
    </row>
    <row r="298" spans="1:16" s="2070" customFormat="1">
      <c r="A298" s="2102">
        <v>4</v>
      </c>
      <c r="B298" s="2102">
        <v>1</v>
      </c>
      <c r="C298" s="2102">
        <v>4</v>
      </c>
      <c r="D298" s="2096"/>
      <c r="E298" s="2096"/>
      <c r="F298" s="2103">
        <v>3</v>
      </c>
      <c r="G298" s="2104"/>
      <c r="H298" s="202" t="s">
        <v>71</v>
      </c>
      <c r="I298" s="202"/>
      <c r="J298" s="2307">
        <f>SUM(J299:J303)</f>
        <v>0</v>
      </c>
      <c r="K298" s="2159">
        <v>0</v>
      </c>
      <c r="L298" s="2307">
        <f>SUM(L299:L303)</f>
        <v>0</v>
      </c>
      <c r="M298" s="2161">
        <f t="shared" si="46"/>
        <v>0</v>
      </c>
      <c r="N298" s="1891">
        <f t="shared" ref="N298:N303" si="47">M298-J298</f>
        <v>0</v>
      </c>
      <c r="O298" s="2162">
        <v>0</v>
      </c>
      <c r="P298" s="2132"/>
    </row>
    <row r="299" spans="1:16" s="2070" customFormat="1">
      <c r="A299" s="2102">
        <v>4</v>
      </c>
      <c r="B299" s="2102">
        <v>1</v>
      </c>
      <c r="C299" s="2102">
        <v>4</v>
      </c>
      <c r="D299" s="2102" t="s">
        <v>441</v>
      </c>
      <c r="E299" s="2096"/>
      <c r="F299" s="2097"/>
      <c r="G299" s="2104"/>
      <c r="H299" s="2727" t="s">
        <v>50</v>
      </c>
      <c r="I299" s="200" t="s">
        <v>72</v>
      </c>
      <c r="J299" s="1964">
        <f>TARGET!D295</f>
        <v>0</v>
      </c>
      <c r="K299" s="2159">
        <v>0</v>
      </c>
      <c r="L299" s="2160">
        <f>'ALL BULAN'!E300</f>
        <v>0</v>
      </c>
      <c r="M299" s="2161">
        <f t="shared" si="46"/>
        <v>0</v>
      </c>
      <c r="N299" s="1891">
        <f t="shared" si="47"/>
        <v>0</v>
      </c>
      <c r="O299" s="2162">
        <v>0</v>
      </c>
      <c r="P299" s="2132"/>
    </row>
    <row r="300" spans="1:16" s="2070" customFormat="1">
      <c r="A300" s="1902">
        <v>4</v>
      </c>
      <c r="B300" s="1902">
        <v>1</v>
      </c>
      <c r="C300" s="1902" t="s">
        <v>443</v>
      </c>
      <c r="D300" s="1902" t="s">
        <v>444</v>
      </c>
      <c r="E300" s="1902" t="s">
        <v>440</v>
      </c>
      <c r="F300" s="2097"/>
      <c r="G300" s="2104"/>
      <c r="H300" s="2727" t="s">
        <v>50</v>
      </c>
      <c r="I300" s="200" t="s">
        <v>73</v>
      </c>
      <c r="J300" s="1964">
        <f>TARGET!D296</f>
        <v>0</v>
      </c>
      <c r="K300" s="2159">
        <v>0</v>
      </c>
      <c r="L300" s="2160">
        <f>'ALL BULAN'!E301</f>
        <v>0</v>
      </c>
      <c r="M300" s="2161">
        <f t="shared" si="46"/>
        <v>0</v>
      </c>
      <c r="N300" s="1891">
        <f t="shared" si="47"/>
        <v>0</v>
      </c>
      <c r="O300" s="2162">
        <v>0</v>
      </c>
      <c r="P300" s="2132"/>
    </row>
    <row r="301" spans="1:16" s="2070" customFormat="1">
      <c r="A301" s="1944">
        <v>4</v>
      </c>
      <c r="B301" s="1944">
        <v>1</v>
      </c>
      <c r="C301" s="1944" t="s">
        <v>443</v>
      </c>
      <c r="D301" s="1944" t="s">
        <v>444</v>
      </c>
      <c r="E301" s="2105" t="s">
        <v>445</v>
      </c>
      <c r="F301" s="2097"/>
      <c r="G301" s="2104"/>
      <c r="H301" s="2727" t="s">
        <v>50</v>
      </c>
      <c r="I301" s="200" t="s">
        <v>74</v>
      </c>
      <c r="J301" s="1964">
        <f>TARGET!D297</f>
        <v>0</v>
      </c>
      <c r="K301" s="2159">
        <v>0</v>
      </c>
      <c r="L301" s="2160">
        <f>'ALL BULAN'!E302</f>
        <v>0</v>
      </c>
      <c r="M301" s="2161">
        <f t="shared" si="46"/>
        <v>0</v>
      </c>
      <c r="N301" s="1891">
        <f t="shared" si="47"/>
        <v>0</v>
      </c>
      <c r="O301" s="2162">
        <v>0</v>
      </c>
      <c r="P301" s="2132"/>
    </row>
    <row r="302" spans="1:16" s="2070" customFormat="1">
      <c r="A302" s="1725">
        <v>4</v>
      </c>
      <c r="B302" s="1725">
        <v>1</v>
      </c>
      <c r="C302" s="1725" t="s">
        <v>443</v>
      </c>
      <c r="D302" s="1725" t="s">
        <v>444</v>
      </c>
      <c r="E302" s="1725" t="s">
        <v>441</v>
      </c>
      <c r="F302" s="2097"/>
      <c r="G302" s="2104"/>
      <c r="H302" s="200" t="s">
        <v>308</v>
      </c>
      <c r="I302" s="206" t="s">
        <v>75</v>
      </c>
      <c r="J302" s="1964">
        <f>TARGET!D298</f>
        <v>0</v>
      </c>
      <c r="K302" s="2159">
        <v>0</v>
      </c>
      <c r="L302" s="2160">
        <f>'ALL BULAN'!E303</f>
        <v>0</v>
      </c>
      <c r="M302" s="2161">
        <f t="shared" si="46"/>
        <v>0</v>
      </c>
      <c r="N302" s="1891">
        <f t="shared" si="47"/>
        <v>0</v>
      </c>
      <c r="O302" s="2162">
        <v>0</v>
      </c>
      <c r="P302" s="2132"/>
    </row>
    <row r="303" spans="1:16" s="2070" customFormat="1">
      <c r="A303" s="2114">
        <v>4</v>
      </c>
      <c r="B303" s="2114">
        <v>1</v>
      </c>
      <c r="C303" s="2114" t="s">
        <v>443</v>
      </c>
      <c r="D303" s="2114" t="s">
        <v>447</v>
      </c>
      <c r="E303" s="2125" t="s">
        <v>437</v>
      </c>
      <c r="F303" s="2097"/>
      <c r="G303" s="2104"/>
      <c r="H303" s="2727" t="s">
        <v>50</v>
      </c>
      <c r="I303" s="206" t="s">
        <v>85</v>
      </c>
      <c r="J303" s="1964">
        <f>TARGET!D299</f>
        <v>0</v>
      </c>
      <c r="K303" s="2159">
        <v>0</v>
      </c>
      <c r="L303" s="2160">
        <f>'ALL BULAN'!E304</f>
        <v>0</v>
      </c>
      <c r="M303" s="2161">
        <f t="shared" si="46"/>
        <v>0</v>
      </c>
      <c r="N303" s="1891">
        <f t="shared" si="47"/>
        <v>0</v>
      </c>
      <c r="O303" s="2162">
        <v>0</v>
      </c>
      <c r="P303" s="2132"/>
    </row>
    <row r="304" spans="1:16" s="2070" customFormat="1" ht="5.35" customHeight="1">
      <c r="A304" s="2096"/>
      <c r="B304" s="2096"/>
      <c r="C304" s="2096"/>
      <c r="D304" s="2096"/>
      <c r="E304" s="2096"/>
      <c r="F304" s="2097"/>
      <c r="G304" s="2199"/>
      <c r="H304" s="2117"/>
      <c r="I304" s="2117"/>
      <c r="J304" s="2314"/>
      <c r="K304" s="2220"/>
      <c r="L304" s="2314"/>
      <c r="M304" s="2315"/>
      <c r="N304" s="2315"/>
      <c r="O304" s="2316"/>
      <c r="P304" s="2132"/>
    </row>
    <row r="305" spans="1:16" s="2073" customFormat="1" ht="15.05">
      <c r="A305" s="2090"/>
      <c r="B305" s="2090"/>
      <c r="C305" s="2090"/>
      <c r="D305" s="2090"/>
      <c r="E305" s="2090"/>
      <c r="F305" s="2091"/>
      <c r="G305" s="2092"/>
      <c r="H305" s="2195" t="s">
        <v>163</v>
      </c>
      <c r="I305" s="2313" t="s">
        <v>164</v>
      </c>
      <c r="J305" s="2306">
        <f>SUM(J306)</f>
        <v>0</v>
      </c>
      <c r="K305" s="2148">
        <v>0</v>
      </c>
      <c r="L305" s="2306">
        <f>SUM(L306)</f>
        <v>0</v>
      </c>
      <c r="M305" s="2147">
        <f t="shared" ref="M305:M311" si="48">SUM(K305:L305)</f>
        <v>0</v>
      </c>
      <c r="N305" s="2147">
        <f>M305-J305</f>
        <v>0</v>
      </c>
      <c r="O305" s="2149">
        <f>N305-K305</f>
        <v>0</v>
      </c>
      <c r="P305" s="2150"/>
    </row>
    <row r="306" spans="1:16" s="2070" customFormat="1">
      <c r="A306" s="2102">
        <v>4</v>
      </c>
      <c r="B306" s="2102">
        <v>1</v>
      </c>
      <c r="C306" s="2102">
        <v>4</v>
      </c>
      <c r="D306" s="2096"/>
      <c r="E306" s="2096"/>
      <c r="F306" s="2103">
        <v>3</v>
      </c>
      <c r="G306" s="2104"/>
      <c r="H306" s="202" t="s">
        <v>71</v>
      </c>
      <c r="I306" s="202"/>
      <c r="J306" s="2307">
        <f>SUM(J307:J311)</f>
        <v>0</v>
      </c>
      <c r="K306" s="2159">
        <v>0</v>
      </c>
      <c r="L306" s="2307">
        <f>SUM(L307:L311)</f>
        <v>0</v>
      </c>
      <c r="M306" s="2161">
        <f t="shared" si="48"/>
        <v>0</v>
      </c>
      <c r="N306" s="1891">
        <f t="shared" ref="N306:N311" si="49">M306-J306</f>
        <v>0</v>
      </c>
      <c r="O306" s="2162">
        <v>0</v>
      </c>
      <c r="P306" s="2132"/>
    </row>
    <row r="307" spans="1:16" s="2070" customFormat="1">
      <c r="A307" s="2102">
        <v>4</v>
      </c>
      <c r="B307" s="2102">
        <v>1</v>
      </c>
      <c r="C307" s="2102">
        <v>4</v>
      </c>
      <c r="D307" s="2102" t="s">
        <v>441</v>
      </c>
      <c r="E307" s="2096"/>
      <c r="F307" s="2097"/>
      <c r="G307" s="2104"/>
      <c r="H307" s="2727" t="s">
        <v>50</v>
      </c>
      <c r="I307" s="200" t="s">
        <v>72</v>
      </c>
      <c r="J307" s="1964">
        <f>TARGET!D303</f>
        <v>0</v>
      </c>
      <c r="K307" s="2159">
        <v>0</v>
      </c>
      <c r="L307" s="2160">
        <f>'ALL BULAN'!E308</f>
        <v>0</v>
      </c>
      <c r="M307" s="2161">
        <f t="shared" si="48"/>
        <v>0</v>
      </c>
      <c r="N307" s="1891">
        <f t="shared" si="49"/>
        <v>0</v>
      </c>
      <c r="O307" s="2162">
        <v>0</v>
      </c>
      <c r="P307" s="2132"/>
    </row>
    <row r="308" spans="1:16" s="2070" customFormat="1">
      <c r="A308" s="1902">
        <v>4</v>
      </c>
      <c r="B308" s="1902">
        <v>1</v>
      </c>
      <c r="C308" s="1902" t="s">
        <v>443</v>
      </c>
      <c r="D308" s="1902" t="s">
        <v>444</v>
      </c>
      <c r="E308" s="1902" t="s">
        <v>440</v>
      </c>
      <c r="F308" s="2097"/>
      <c r="G308" s="2104"/>
      <c r="H308" s="2727" t="s">
        <v>50</v>
      </c>
      <c r="I308" s="200" t="s">
        <v>73</v>
      </c>
      <c r="J308" s="1964">
        <f>TARGET!D304</f>
        <v>0</v>
      </c>
      <c r="K308" s="2159">
        <v>0</v>
      </c>
      <c r="L308" s="2160">
        <f>'ALL BULAN'!E309</f>
        <v>0</v>
      </c>
      <c r="M308" s="2161">
        <f t="shared" si="48"/>
        <v>0</v>
      </c>
      <c r="N308" s="1891">
        <f t="shared" si="49"/>
        <v>0</v>
      </c>
      <c r="O308" s="2162">
        <v>0</v>
      </c>
      <c r="P308" s="2132"/>
    </row>
    <row r="309" spans="1:16" s="2070" customFormat="1">
      <c r="A309" s="1944">
        <v>4</v>
      </c>
      <c r="B309" s="1944">
        <v>1</v>
      </c>
      <c r="C309" s="1944" t="s">
        <v>443</v>
      </c>
      <c r="D309" s="1944" t="s">
        <v>444</v>
      </c>
      <c r="E309" s="2105" t="s">
        <v>445</v>
      </c>
      <c r="F309" s="2097"/>
      <c r="G309" s="2104"/>
      <c r="H309" s="2727" t="s">
        <v>50</v>
      </c>
      <c r="I309" s="200" t="s">
        <v>74</v>
      </c>
      <c r="J309" s="1964">
        <f>TARGET!D305</f>
        <v>0</v>
      </c>
      <c r="K309" s="2159">
        <v>0</v>
      </c>
      <c r="L309" s="2160">
        <f>'ALL BULAN'!E310</f>
        <v>0</v>
      </c>
      <c r="M309" s="2161">
        <f t="shared" si="48"/>
        <v>0</v>
      </c>
      <c r="N309" s="1891">
        <f t="shared" si="49"/>
        <v>0</v>
      </c>
      <c r="O309" s="2162">
        <v>0</v>
      </c>
      <c r="P309" s="2132"/>
    </row>
    <row r="310" spans="1:16" s="2070" customFormat="1">
      <c r="A310" s="1725">
        <v>4</v>
      </c>
      <c r="B310" s="1725">
        <v>1</v>
      </c>
      <c r="C310" s="1725" t="s">
        <v>443</v>
      </c>
      <c r="D310" s="1725" t="s">
        <v>444</v>
      </c>
      <c r="E310" s="1725" t="s">
        <v>441</v>
      </c>
      <c r="F310" s="2097"/>
      <c r="G310" s="2104"/>
      <c r="H310" s="200" t="s">
        <v>308</v>
      </c>
      <c r="I310" s="206" t="s">
        <v>75</v>
      </c>
      <c r="J310" s="1964">
        <f>TARGET!D306</f>
        <v>0</v>
      </c>
      <c r="K310" s="2159">
        <v>0</v>
      </c>
      <c r="L310" s="2160">
        <f>'ALL BULAN'!E311</f>
        <v>0</v>
      </c>
      <c r="M310" s="2161">
        <f t="shared" si="48"/>
        <v>0</v>
      </c>
      <c r="N310" s="1891">
        <f t="shared" si="49"/>
        <v>0</v>
      </c>
      <c r="O310" s="2162">
        <v>0</v>
      </c>
      <c r="P310" s="2132"/>
    </row>
    <row r="311" spans="1:16" s="2070" customFormat="1">
      <c r="A311" s="2114">
        <v>4</v>
      </c>
      <c r="B311" s="2114">
        <v>1</v>
      </c>
      <c r="C311" s="2114" t="s">
        <v>443</v>
      </c>
      <c r="D311" s="2114" t="s">
        <v>447</v>
      </c>
      <c r="E311" s="2125" t="s">
        <v>437</v>
      </c>
      <c r="F311" s="2097"/>
      <c r="G311" s="2104"/>
      <c r="H311" s="2727" t="s">
        <v>50</v>
      </c>
      <c r="I311" s="206" t="s">
        <v>85</v>
      </c>
      <c r="J311" s="1964">
        <f>TARGET!D307</f>
        <v>0</v>
      </c>
      <c r="K311" s="2159">
        <v>0</v>
      </c>
      <c r="L311" s="2160">
        <f>'ALL BULAN'!E312</f>
        <v>0</v>
      </c>
      <c r="M311" s="2161">
        <f t="shared" si="48"/>
        <v>0</v>
      </c>
      <c r="N311" s="1891">
        <f t="shared" si="49"/>
        <v>0</v>
      </c>
      <c r="O311" s="2162">
        <v>0</v>
      </c>
      <c r="P311" s="2132"/>
    </row>
    <row r="312" spans="1:16" s="2070" customFormat="1" ht="5.35" customHeight="1">
      <c r="A312" s="2096"/>
      <c r="B312" s="2096"/>
      <c r="C312" s="2096"/>
      <c r="D312" s="2096"/>
      <c r="E312" s="2096"/>
      <c r="F312" s="2097"/>
      <c r="G312" s="2104"/>
      <c r="H312" s="200"/>
      <c r="I312" s="200"/>
      <c r="J312" s="2303"/>
      <c r="K312" s="2144"/>
      <c r="L312" s="2303"/>
      <c r="M312" s="2304"/>
      <c r="N312" s="2304"/>
      <c r="O312" s="2305"/>
      <c r="P312" s="2132"/>
    </row>
    <row r="313" spans="1:16" s="2073" customFormat="1" ht="15.05">
      <c r="A313" s="2090"/>
      <c r="B313" s="2090"/>
      <c r="C313" s="2090"/>
      <c r="D313" s="2090"/>
      <c r="E313" s="2090"/>
      <c r="F313" s="2091"/>
      <c r="G313" s="2092"/>
      <c r="H313" s="2195" t="s">
        <v>165</v>
      </c>
      <c r="I313" s="2313" t="s">
        <v>166</v>
      </c>
      <c r="J313" s="2306">
        <f>SUM(J314)</f>
        <v>0</v>
      </c>
      <c r="K313" s="2148">
        <v>0</v>
      </c>
      <c r="L313" s="2306">
        <f>SUM(L314)</f>
        <v>0</v>
      </c>
      <c r="M313" s="2147">
        <f t="shared" ref="M313:M319" si="50">SUM(K313:L313)</f>
        <v>0</v>
      </c>
      <c r="N313" s="2147">
        <f>M313-J313</f>
        <v>0</v>
      </c>
      <c r="O313" s="2149">
        <f>N313-K313</f>
        <v>0</v>
      </c>
      <c r="P313" s="2150"/>
    </row>
    <row r="314" spans="1:16" s="2070" customFormat="1">
      <c r="A314" s="2102">
        <v>4</v>
      </c>
      <c r="B314" s="2102">
        <v>1</v>
      </c>
      <c r="C314" s="2102">
        <v>4</v>
      </c>
      <c r="D314" s="2096"/>
      <c r="E314" s="2096"/>
      <c r="F314" s="2103">
        <v>3</v>
      </c>
      <c r="G314" s="2104"/>
      <c r="H314" s="202" t="s">
        <v>71</v>
      </c>
      <c r="I314" s="202"/>
      <c r="J314" s="2307">
        <f>SUM(J315:J319)</f>
        <v>0</v>
      </c>
      <c r="K314" s="2159">
        <v>0</v>
      </c>
      <c r="L314" s="2307">
        <f>SUM(L315:L319)</f>
        <v>0</v>
      </c>
      <c r="M314" s="2161">
        <f t="shared" si="50"/>
        <v>0</v>
      </c>
      <c r="N314" s="1891">
        <f t="shared" ref="N314:N319" si="51">M314-J314</f>
        <v>0</v>
      </c>
      <c r="O314" s="2162">
        <v>0</v>
      </c>
      <c r="P314" s="2132"/>
    </row>
    <row r="315" spans="1:16" s="2070" customFormat="1">
      <c r="A315" s="2102">
        <v>4</v>
      </c>
      <c r="B315" s="2102">
        <v>1</v>
      </c>
      <c r="C315" s="2102">
        <v>4</v>
      </c>
      <c r="D315" s="2102" t="s">
        <v>441</v>
      </c>
      <c r="E315" s="2096"/>
      <c r="F315" s="2097"/>
      <c r="G315" s="2104"/>
      <c r="H315" s="2727" t="s">
        <v>50</v>
      </c>
      <c r="I315" s="200" t="s">
        <v>72</v>
      </c>
      <c r="J315" s="1964">
        <f>TARGET!D311</f>
        <v>0</v>
      </c>
      <c r="K315" s="2159">
        <v>0</v>
      </c>
      <c r="L315" s="2160">
        <f>'ALL BULAN'!E316</f>
        <v>0</v>
      </c>
      <c r="M315" s="2161">
        <f t="shared" si="50"/>
        <v>0</v>
      </c>
      <c r="N315" s="1891">
        <f t="shared" si="51"/>
        <v>0</v>
      </c>
      <c r="O315" s="2162">
        <v>0</v>
      </c>
      <c r="P315" s="2132"/>
    </row>
    <row r="316" spans="1:16" s="2070" customFormat="1">
      <c r="A316" s="1902">
        <v>4</v>
      </c>
      <c r="B316" s="1902">
        <v>1</v>
      </c>
      <c r="C316" s="1902" t="s">
        <v>443</v>
      </c>
      <c r="D316" s="1902" t="s">
        <v>444</v>
      </c>
      <c r="E316" s="1902" t="s">
        <v>440</v>
      </c>
      <c r="F316" s="2097"/>
      <c r="G316" s="2104"/>
      <c r="H316" s="2727" t="s">
        <v>50</v>
      </c>
      <c r="I316" s="200" t="s">
        <v>73</v>
      </c>
      <c r="J316" s="1964">
        <f>TARGET!D312</f>
        <v>0</v>
      </c>
      <c r="K316" s="2159">
        <v>0</v>
      </c>
      <c r="L316" s="2160">
        <f>'ALL BULAN'!E317</f>
        <v>0</v>
      </c>
      <c r="M316" s="2161">
        <f t="shared" si="50"/>
        <v>0</v>
      </c>
      <c r="N316" s="1891">
        <f t="shared" si="51"/>
        <v>0</v>
      </c>
      <c r="O316" s="2162">
        <v>0</v>
      </c>
      <c r="P316" s="2132"/>
    </row>
    <row r="317" spans="1:16" s="2070" customFormat="1">
      <c r="A317" s="1944">
        <v>4</v>
      </c>
      <c r="B317" s="1944">
        <v>1</v>
      </c>
      <c r="C317" s="1944" t="s">
        <v>443</v>
      </c>
      <c r="D317" s="1944" t="s">
        <v>444</v>
      </c>
      <c r="E317" s="2105" t="s">
        <v>445</v>
      </c>
      <c r="F317" s="2097"/>
      <c r="G317" s="2104"/>
      <c r="H317" s="2727" t="s">
        <v>50</v>
      </c>
      <c r="I317" s="200" t="s">
        <v>74</v>
      </c>
      <c r="J317" s="1964">
        <f>TARGET!D313</f>
        <v>0</v>
      </c>
      <c r="K317" s="2159">
        <v>0</v>
      </c>
      <c r="L317" s="2160">
        <f>'ALL BULAN'!E318</f>
        <v>0</v>
      </c>
      <c r="M317" s="2161">
        <f t="shared" si="50"/>
        <v>0</v>
      </c>
      <c r="N317" s="1891">
        <f t="shared" si="51"/>
        <v>0</v>
      </c>
      <c r="O317" s="2162">
        <v>0</v>
      </c>
      <c r="P317" s="2132"/>
    </row>
    <row r="318" spans="1:16" s="2070" customFormat="1">
      <c r="A318" s="1725">
        <v>4</v>
      </c>
      <c r="B318" s="1725">
        <v>1</v>
      </c>
      <c r="C318" s="1725" t="s">
        <v>443</v>
      </c>
      <c r="D318" s="1725" t="s">
        <v>444</v>
      </c>
      <c r="E318" s="1725" t="s">
        <v>441</v>
      </c>
      <c r="F318" s="2097"/>
      <c r="G318" s="2104"/>
      <c r="H318" s="200" t="s">
        <v>308</v>
      </c>
      <c r="I318" s="206" t="s">
        <v>75</v>
      </c>
      <c r="J318" s="1964">
        <f>TARGET!D314</f>
        <v>0</v>
      </c>
      <c r="K318" s="2159">
        <v>0</v>
      </c>
      <c r="L318" s="2160">
        <f>'ALL BULAN'!E319</f>
        <v>0</v>
      </c>
      <c r="M318" s="2161">
        <f t="shared" si="50"/>
        <v>0</v>
      </c>
      <c r="N318" s="1891">
        <f t="shared" si="51"/>
        <v>0</v>
      </c>
      <c r="O318" s="2162">
        <v>0</v>
      </c>
      <c r="P318" s="2132"/>
    </row>
    <row r="319" spans="1:16" s="2070" customFormat="1">
      <c r="A319" s="2114">
        <v>4</v>
      </c>
      <c r="B319" s="2114">
        <v>1</v>
      </c>
      <c r="C319" s="2114" t="s">
        <v>443</v>
      </c>
      <c r="D319" s="2114" t="s">
        <v>447</v>
      </c>
      <c r="E319" s="2125" t="s">
        <v>437</v>
      </c>
      <c r="F319" s="2097"/>
      <c r="G319" s="2104"/>
      <c r="H319" s="2727" t="s">
        <v>50</v>
      </c>
      <c r="I319" s="206" t="s">
        <v>85</v>
      </c>
      <c r="J319" s="1964">
        <f>TARGET!D315</f>
        <v>0</v>
      </c>
      <c r="K319" s="2159">
        <v>0</v>
      </c>
      <c r="L319" s="2160">
        <f>'ALL BULAN'!E320</f>
        <v>0</v>
      </c>
      <c r="M319" s="2161">
        <f t="shared" si="50"/>
        <v>0</v>
      </c>
      <c r="N319" s="1891">
        <f t="shared" si="51"/>
        <v>0</v>
      </c>
      <c r="O319" s="2162">
        <v>0</v>
      </c>
      <c r="P319" s="2132"/>
    </row>
    <row r="320" spans="1:16" s="2070" customFormat="1" ht="4.55" customHeight="1">
      <c r="A320" s="2096"/>
      <c r="B320" s="2096"/>
      <c r="C320" s="2096"/>
      <c r="D320" s="2096"/>
      <c r="E320" s="2096"/>
      <c r="F320" s="2097"/>
      <c r="G320" s="2104"/>
      <c r="H320" s="200"/>
      <c r="I320" s="257"/>
      <c r="J320" s="2309"/>
      <c r="K320" s="2317"/>
      <c r="L320" s="2309"/>
      <c r="M320" s="2318"/>
      <c r="N320" s="2318"/>
      <c r="O320" s="2319"/>
      <c r="P320" s="2132"/>
    </row>
    <row r="321" spans="1:16" s="2070" customFormat="1" ht="15.05">
      <c r="A321" s="2096"/>
      <c r="B321" s="2096"/>
      <c r="C321" s="2096"/>
      <c r="D321" s="2096"/>
      <c r="E321" s="2096"/>
      <c r="F321" s="2097"/>
      <c r="G321" s="2320"/>
      <c r="H321" s="2736" t="s">
        <v>167</v>
      </c>
      <c r="I321" s="2313" t="s">
        <v>168</v>
      </c>
      <c r="J321" s="2332">
        <f>SUM(J322)</f>
        <v>0</v>
      </c>
      <c r="K321" s="2148">
        <v>0</v>
      </c>
      <c r="L321" s="2332">
        <f>SUM(L322)</f>
        <v>0</v>
      </c>
      <c r="M321" s="2147">
        <f t="shared" ref="M321:M327" si="52">SUM(K321:L321)</f>
        <v>0</v>
      </c>
      <c r="N321" s="2147">
        <f>M321-J321</f>
        <v>0</v>
      </c>
      <c r="O321" s="2149">
        <f>N321-K321</f>
        <v>0</v>
      </c>
      <c r="P321" s="2132"/>
    </row>
    <row r="322" spans="1:16" s="2070" customFormat="1">
      <c r="A322" s="2102">
        <v>4</v>
      </c>
      <c r="B322" s="2102">
        <v>1</v>
      </c>
      <c r="C322" s="2102">
        <v>4</v>
      </c>
      <c r="D322" s="2096"/>
      <c r="E322" s="2096"/>
      <c r="F322" s="2103">
        <v>3</v>
      </c>
      <c r="G322" s="2321"/>
      <c r="H322" s="2322" t="s">
        <v>71</v>
      </c>
      <c r="I322" s="2322"/>
      <c r="J322" s="2333">
        <f>SUM(J323:J327)</f>
        <v>0</v>
      </c>
      <c r="K322" s="2159">
        <v>0</v>
      </c>
      <c r="L322" s="2333">
        <f>SUM(L323:L327)</f>
        <v>0</v>
      </c>
      <c r="M322" s="2161">
        <f t="shared" si="52"/>
        <v>0</v>
      </c>
      <c r="N322" s="1891">
        <f t="shared" ref="N322:N327" si="53">M322-J322</f>
        <v>0</v>
      </c>
      <c r="O322" s="2162">
        <v>0</v>
      </c>
      <c r="P322" s="2132"/>
    </row>
    <row r="323" spans="1:16" s="2070" customFormat="1">
      <c r="A323" s="2102">
        <v>4</v>
      </c>
      <c r="B323" s="2102">
        <v>1</v>
      </c>
      <c r="C323" s="2102">
        <v>4</v>
      </c>
      <c r="D323" s="2102" t="s">
        <v>441</v>
      </c>
      <c r="E323" s="2096"/>
      <c r="F323" s="2097"/>
      <c r="G323" s="2321"/>
      <c r="H323" s="200" t="s">
        <v>50</v>
      </c>
      <c r="I323" s="224" t="s">
        <v>73</v>
      </c>
      <c r="J323" s="1964">
        <f>TARGET!D319</f>
        <v>0</v>
      </c>
      <c r="K323" s="2159">
        <v>0</v>
      </c>
      <c r="L323" s="2160">
        <f>'ALL BULAN'!E324</f>
        <v>0</v>
      </c>
      <c r="M323" s="2161">
        <f t="shared" si="52"/>
        <v>0</v>
      </c>
      <c r="N323" s="1891">
        <f t="shared" si="53"/>
        <v>0</v>
      </c>
      <c r="O323" s="2162">
        <v>0</v>
      </c>
      <c r="P323" s="2132"/>
    </row>
    <row r="324" spans="1:16" s="2070" customFormat="1">
      <c r="A324" s="1902">
        <v>4</v>
      </c>
      <c r="B324" s="1902">
        <v>1</v>
      </c>
      <c r="C324" s="1902" t="s">
        <v>443</v>
      </c>
      <c r="D324" s="1902" t="s">
        <v>444</v>
      </c>
      <c r="E324" s="1902" t="s">
        <v>440</v>
      </c>
      <c r="F324" s="2097"/>
      <c r="G324" s="2321"/>
      <c r="H324" s="200" t="s">
        <v>50</v>
      </c>
      <c r="I324" s="200" t="s">
        <v>74</v>
      </c>
      <c r="J324" s="1964">
        <f>TARGET!D320</f>
        <v>0</v>
      </c>
      <c r="K324" s="2159">
        <v>0</v>
      </c>
      <c r="L324" s="2160">
        <f>'ALL BULAN'!E325</f>
        <v>0</v>
      </c>
      <c r="M324" s="2161">
        <f t="shared" si="52"/>
        <v>0</v>
      </c>
      <c r="N324" s="1891">
        <f t="shared" si="53"/>
        <v>0</v>
      </c>
      <c r="O324" s="2162">
        <v>0</v>
      </c>
      <c r="P324" s="2132"/>
    </row>
    <row r="325" spans="1:16" s="2070" customFormat="1">
      <c r="A325" s="1944">
        <v>4</v>
      </c>
      <c r="B325" s="1944">
        <v>1</v>
      </c>
      <c r="C325" s="1944" t="s">
        <v>443</v>
      </c>
      <c r="D325" s="1944" t="s">
        <v>444</v>
      </c>
      <c r="E325" s="2105" t="s">
        <v>445</v>
      </c>
      <c r="F325" s="2097"/>
      <c r="G325" s="2321"/>
      <c r="H325" s="200" t="s">
        <v>308</v>
      </c>
      <c r="I325" s="200" t="s">
        <v>75</v>
      </c>
      <c r="J325" s="1964">
        <f>TARGET!D321</f>
        <v>0</v>
      </c>
      <c r="K325" s="2159">
        <v>0</v>
      </c>
      <c r="L325" s="2160">
        <f>'ALL BULAN'!E326</f>
        <v>0</v>
      </c>
      <c r="M325" s="2161">
        <f t="shared" si="52"/>
        <v>0</v>
      </c>
      <c r="N325" s="1891">
        <f t="shared" si="53"/>
        <v>0</v>
      </c>
      <c r="O325" s="2162">
        <v>0</v>
      </c>
      <c r="P325" s="2132"/>
    </row>
    <row r="326" spans="1:16" s="2070" customFormat="1">
      <c r="A326" s="1725">
        <v>4</v>
      </c>
      <c r="B326" s="1725">
        <v>1</v>
      </c>
      <c r="C326" s="1725" t="s">
        <v>443</v>
      </c>
      <c r="D326" s="1725" t="s">
        <v>444</v>
      </c>
      <c r="E326" s="1725" t="s">
        <v>441</v>
      </c>
      <c r="F326" s="2097"/>
      <c r="G326" s="2321"/>
      <c r="H326" s="200" t="s">
        <v>50</v>
      </c>
      <c r="I326" s="200" t="s">
        <v>169</v>
      </c>
      <c r="J326" s="1964">
        <f>TARGET!D322</f>
        <v>0</v>
      </c>
      <c r="K326" s="2159">
        <v>0</v>
      </c>
      <c r="L326" s="2160">
        <f>'ALL BULAN'!E327</f>
        <v>0</v>
      </c>
      <c r="M326" s="2161">
        <f t="shared" si="52"/>
        <v>0</v>
      </c>
      <c r="N326" s="1891">
        <f t="shared" si="53"/>
        <v>0</v>
      </c>
      <c r="O326" s="2162">
        <v>0</v>
      </c>
      <c r="P326" s="2132"/>
    </row>
    <row r="327" spans="1:16" s="2070" customFormat="1">
      <c r="A327" s="2114">
        <v>4</v>
      </c>
      <c r="B327" s="2114">
        <v>1</v>
      </c>
      <c r="C327" s="2114" t="s">
        <v>443</v>
      </c>
      <c r="D327" s="2114" t="s">
        <v>447</v>
      </c>
      <c r="E327" s="2125" t="s">
        <v>437</v>
      </c>
      <c r="F327" s="2097"/>
      <c r="G327" s="2321"/>
      <c r="H327" s="200" t="s">
        <v>50</v>
      </c>
      <c r="I327" s="200" t="s">
        <v>85</v>
      </c>
      <c r="J327" s="1964">
        <f>TARGET!D323</f>
        <v>0</v>
      </c>
      <c r="K327" s="2159">
        <v>0</v>
      </c>
      <c r="L327" s="2160">
        <f>'ALL BULAN'!E328</f>
        <v>0</v>
      </c>
      <c r="M327" s="2161">
        <f t="shared" si="52"/>
        <v>0</v>
      </c>
      <c r="N327" s="1891">
        <f t="shared" si="53"/>
        <v>0</v>
      </c>
      <c r="O327" s="2162">
        <v>0</v>
      </c>
      <c r="P327" s="2132"/>
    </row>
    <row r="328" spans="1:16" s="2070" customFormat="1" ht="4.55" customHeight="1">
      <c r="A328" s="2096"/>
      <c r="B328" s="2096"/>
      <c r="C328" s="2096"/>
      <c r="D328" s="2096"/>
      <c r="E328" s="2096"/>
      <c r="F328" s="2097"/>
      <c r="G328" s="2104"/>
      <c r="H328" s="200"/>
      <c r="I328" s="200"/>
      <c r="J328" s="2303"/>
      <c r="K328" s="2144"/>
      <c r="L328" s="2303"/>
      <c r="M328" s="2304"/>
      <c r="N328" s="2304"/>
      <c r="O328" s="2305"/>
      <c r="P328" s="2132"/>
    </row>
    <row r="329" spans="1:16" s="2073" customFormat="1" ht="15.05">
      <c r="A329" s="2090"/>
      <c r="B329" s="2090"/>
      <c r="C329" s="2090"/>
      <c r="D329" s="2090"/>
      <c r="E329" s="2090"/>
      <c r="F329" s="2091"/>
      <c r="G329" s="2092"/>
      <c r="H329" s="2195" t="s">
        <v>170</v>
      </c>
      <c r="I329" s="2313" t="s">
        <v>171</v>
      </c>
      <c r="J329" s="2306">
        <f>SUM(J330)</f>
        <v>0</v>
      </c>
      <c r="K329" s="2148">
        <v>0</v>
      </c>
      <c r="L329" s="2306">
        <f>SUM(L330)</f>
        <v>0</v>
      </c>
      <c r="M329" s="2147">
        <f t="shared" ref="M329:M335" si="54">SUM(K329:L329)</f>
        <v>0</v>
      </c>
      <c r="N329" s="2147">
        <f>M329-J329</f>
        <v>0</v>
      </c>
      <c r="O329" s="2149">
        <f>N329-K329</f>
        <v>0</v>
      </c>
      <c r="P329" s="2150"/>
    </row>
    <row r="330" spans="1:16" s="2070" customFormat="1">
      <c r="A330" s="2102">
        <v>4</v>
      </c>
      <c r="B330" s="2102">
        <v>1</v>
      </c>
      <c r="C330" s="2102">
        <v>4</v>
      </c>
      <c r="D330" s="2096"/>
      <c r="E330" s="2096"/>
      <c r="F330" s="2103">
        <v>3</v>
      </c>
      <c r="G330" s="2104"/>
      <c r="H330" s="202" t="s">
        <v>71</v>
      </c>
      <c r="I330" s="202"/>
      <c r="J330" s="2307">
        <f>SUM(J331:J335)</f>
        <v>0</v>
      </c>
      <c r="K330" s="2159">
        <v>0</v>
      </c>
      <c r="L330" s="2307">
        <f>SUM(L331:L335)</f>
        <v>0</v>
      </c>
      <c r="M330" s="2161">
        <f t="shared" si="54"/>
        <v>0</v>
      </c>
      <c r="N330" s="1891">
        <f t="shared" ref="N330:N335" si="55">M330-J330</f>
        <v>0</v>
      </c>
      <c r="O330" s="2162">
        <v>0</v>
      </c>
      <c r="P330" s="2132"/>
    </row>
    <row r="331" spans="1:16" s="2070" customFormat="1">
      <c r="A331" s="2102">
        <v>4</v>
      </c>
      <c r="B331" s="2102">
        <v>1</v>
      </c>
      <c r="C331" s="2102">
        <v>4</v>
      </c>
      <c r="D331" s="2102" t="s">
        <v>441</v>
      </c>
      <c r="E331" s="2096"/>
      <c r="F331" s="2097"/>
      <c r="G331" s="2104"/>
      <c r="H331" s="2727" t="s">
        <v>50</v>
      </c>
      <c r="I331" s="200" t="s">
        <v>72</v>
      </c>
      <c r="J331" s="1964">
        <f>TARGET!D327</f>
        <v>0</v>
      </c>
      <c r="K331" s="2159">
        <v>0</v>
      </c>
      <c r="L331" s="2160">
        <f>'ALL BULAN'!E332</f>
        <v>0</v>
      </c>
      <c r="M331" s="2161">
        <f t="shared" si="54"/>
        <v>0</v>
      </c>
      <c r="N331" s="1891">
        <f t="shared" si="55"/>
        <v>0</v>
      </c>
      <c r="O331" s="2162">
        <v>0</v>
      </c>
      <c r="P331" s="2132"/>
    </row>
    <row r="332" spans="1:16" s="2070" customFormat="1">
      <c r="A332" s="1902">
        <v>4</v>
      </c>
      <c r="B332" s="1902">
        <v>1</v>
      </c>
      <c r="C332" s="1902" t="s">
        <v>443</v>
      </c>
      <c r="D332" s="1902" t="s">
        <v>444</v>
      </c>
      <c r="E332" s="1902" t="s">
        <v>440</v>
      </c>
      <c r="F332" s="2097"/>
      <c r="G332" s="2104"/>
      <c r="H332" s="2727" t="s">
        <v>50</v>
      </c>
      <c r="I332" s="200" t="s">
        <v>73</v>
      </c>
      <c r="J332" s="1964">
        <f>TARGET!D328</f>
        <v>0</v>
      </c>
      <c r="K332" s="2159">
        <v>0</v>
      </c>
      <c r="L332" s="2160">
        <f>'ALL BULAN'!E333</f>
        <v>0</v>
      </c>
      <c r="M332" s="2161">
        <f t="shared" si="54"/>
        <v>0</v>
      </c>
      <c r="N332" s="1891">
        <f t="shared" si="55"/>
        <v>0</v>
      </c>
      <c r="O332" s="2162">
        <v>0</v>
      </c>
      <c r="P332" s="2132"/>
    </row>
    <row r="333" spans="1:16" s="2070" customFormat="1">
      <c r="A333" s="1944">
        <v>4</v>
      </c>
      <c r="B333" s="1944">
        <v>1</v>
      </c>
      <c r="C333" s="1944" t="s">
        <v>443</v>
      </c>
      <c r="D333" s="1944" t="s">
        <v>444</v>
      </c>
      <c r="E333" s="2105" t="s">
        <v>445</v>
      </c>
      <c r="F333" s="2097"/>
      <c r="G333" s="2104"/>
      <c r="H333" s="2727" t="s">
        <v>50</v>
      </c>
      <c r="I333" s="200" t="s">
        <v>74</v>
      </c>
      <c r="J333" s="1964">
        <f>TARGET!D329</f>
        <v>0</v>
      </c>
      <c r="K333" s="2159">
        <v>0</v>
      </c>
      <c r="L333" s="2160">
        <f>'ALL BULAN'!E334</f>
        <v>0</v>
      </c>
      <c r="M333" s="2161">
        <f t="shared" si="54"/>
        <v>0</v>
      </c>
      <c r="N333" s="1891">
        <f t="shared" si="55"/>
        <v>0</v>
      </c>
      <c r="O333" s="2162">
        <v>0</v>
      </c>
      <c r="P333" s="2132"/>
    </row>
    <row r="334" spans="1:16" s="2070" customFormat="1">
      <c r="A334" s="1725">
        <v>4</v>
      </c>
      <c r="B334" s="1725">
        <v>1</v>
      </c>
      <c r="C334" s="1725" t="s">
        <v>443</v>
      </c>
      <c r="D334" s="1725" t="s">
        <v>444</v>
      </c>
      <c r="E334" s="1725" t="s">
        <v>441</v>
      </c>
      <c r="F334" s="2097"/>
      <c r="G334" s="2104"/>
      <c r="H334" s="200" t="s">
        <v>308</v>
      </c>
      <c r="I334" s="206" t="s">
        <v>75</v>
      </c>
      <c r="J334" s="1964">
        <f>TARGET!D330</f>
        <v>0</v>
      </c>
      <c r="K334" s="2159">
        <v>0</v>
      </c>
      <c r="L334" s="2160">
        <f>'ALL BULAN'!E335</f>
        <v>0</v>
      </c>
      <c r="M334" s="2161">
        <f t="shared" si="54"/>
        <v>0</v>
      </c>
      <c r="N334" s="1891">
        <f t="shared" si="55"/>
        <v>0</v>
      </c>
      <c r="O334" s="2162">
        <v>0</v>
      </c>
      <c r="P334" s="2132"/>
    </row>
    <row r="335" spans="1:16" s="2070" customFormat="1">
      <c r="A335" s="2114">
        <v>4</v>
      </c>
      <c r="B335" s="2114">
        <v>1</v>
      </c>
      <c r="C335" s="2114" t="s">
        <v>443</v>
      </c>
      <c r="D335" s="2114" t="s">
        <v>447</v>
      </c>
      <c r="E335" s="2125" t="s">
        <v>437</v>
      </c>
      <c r="F335" s="2097"/>
      <c r="G335" s="2104"/>
      <c r="H335" s="2727" t="s">
        <v>50</v>
      </c>
      <c r="I335" s="206" t="s">
        <v>85</v>
      </c>
      <c r="J335" s="1964">
        <f>TARGET!D331</f>
        <v>0</v>
      </c>
      <c r="K335" s="2159">
        <v>0</v>
      </c>
      <c r="L335" s="2160">
        <f>'ALL BULAN'!E336</f>
        <v>0</v>
      </c>
      <c r="M335" s="2161">
        <f t="shared" si="54"/>
        <v>0</v>
      </c>
      <c r="N335" s="1891">
        <f t="shared" si="55"/>
        <v>0</v>
      </c>
      <c r="O335" s="2162">
        <v>0</v>
      </c>
      <c r="P335" s="2132"/>
    </row>
    <row r="336" spans="1:16" s="2070" customFormat="1" ht="7.55" customHeight="1">
      <c r="A336" s="2096"/>
      <c r="B336" s="2096"/>
      <c r="C336" s="2096"/>
      <c r="D336" s="2096"/>
      <c r="E336" s="2096"/>
      <c r="F336" s="2097"/>
      <c r="G336" s="2251"/>
      <c r="H336" s="856"/>
      <c r="I336" s="203"/>
      <c r="J336" s="2309"/>
      <c r="K336" s="2317"/>
      <c r="L336" s="2309"/>
      <c r="M336" s="2318"/>
      <c r="N336" s="2318"/>
      <c r="O336" s="2319"/>
      <c r="P336" s="2132"/>
    </row>
    <row r="337" spans="1:16" s="2070" customFormat="1" ht="15.05">
      <c r="A337" s="2096"/>
      <c r="B337" s="2096"/>
      <c r="C337" s="2096"/>
      <c r="D337" s="2096"/>
      <c r="E337" s="2096"/>
      <c r="F337" s="2097"/>
      <c r="G337" s="2092"/>
      <c r="H337" s="2323" t="s">
        <v>172</v>
      </c>
      <c r="I337" s="2313" t="s">
        <v>173</v>
      </c>
      <c r="J337" s="2306">
        <f>SUM(J338)</f>
        <v>0</v>
      </c>
      <c r="K337" s="2148">
        <v>0</v>
      </c>
      <c r="L337" s="2306">
        <f>SUM(L338)</f>
        <v>0</v>
      </c>
      <c r="M337" s="2147">
        <f t="shared" ref="M337:M343" si="56">SUM(K337:L337)</f>
        <v>0</v>
      </c>
      <c r="N337" s="2147">
        <f>M337-J337</f>
        <v>0</v>
      </c>
      <c r="O337" s="2149">
        <f>N337-K337</f>
        <v>0</v>
      </c>
      <c r="P337" s="2132"/>
    </row>
    <row r="338" spans="1:16" s="2070" customFormat="1">
      <c r="A338" s="2102">
        <v>4</v>
      </c>
      <c r="B338" s="2102">
        <v>1</v>
      </c>
      <c r="C338" s="2102">
        <v>4</v>
      </c>
      <c r="D338" s="2096"/>
      <c r="E338" s="2096"/>
      <c r="F338" s="2103">
        <v>3</v>
      </c>
      <c r="G338" s="2104"/>
      <c r="H338" s="202" t="s">
        <v>71</v>
      </c>
      <c r="I338" s="202"/>
      <c r="J338" s="2307">
        <f>SUM(J339:J343)</f>
        <v>0</v>
      </c>
      <c r="K338" s="2159">
        <v>0</v>
      </c>
      <c r="L338" s="2307">
        <f>SUM(L339:L343)</f>
        <v>0</v>
      </c>
      <c r="M338" s="2161">
        <f t="shared" si="56"/>
        <v>0</v>
      </c>
      <c r="N338" s="1891">
        <f t="shared" ref="N338:N343" si="57">M338-J338</f>
        <v>0</v>
      </c>
      <c r="O338" s="2162">
        <v>0</v>
      </c>
      <c r="P338" s="2132"/>
    </row>
    <row r="339" spans="1:16" s="2070" customFormat="1">
      <c r="A339" s="2102">
        <v>4</v>
      </c>
      <c r="B339" s="2102">
        <v>1</v>
      </c>
      <c r="C339" s="2102">
        <v>4</v>
      </c>
      <c r="D339" s="2102" t="s">
        <v>441</v>
      </c>
      <c r="E339" s="2096"/>
      <c r="F339" s="2097"/>
      <c r="G339" s="2101"/>
      <c r="H339" s="257" t="s">
        <v>50</v>
      </c>
      <c r="I339" s="200" t="s">
        <v>72</v>
      </c>
      <c r="J339" s="1964">
        <f>TARGET!D335</f>
        <v>0</v>
      </c>
      <c r="K339" s="2159">
        <v>0</v>
      </c>
      <c r="L339" s="2160">
        <f>'ALL BULAN'!E340</f>
        <v>0</v>
      </c>
      <c r="M339" s="2161">
        <f t="shared" si="56"/>
        <v>0</v>
      </c>
      <c r="N339" s="1891">
        <f t="shared" si="57"/>
        <v>0</v>
      </c>
      <c r="O339" s="2162">
        <v>0</v>
      </c>
      <c r="P339" s="2132"/>
    </row>
    <row r="340" spans="1:16" s="2070" customFormat="1">
      <c r="A340" s="1902">
        <v>4</v>
      </c>
      <c r="B340" s="1902">
        <v>1</v>
      </c>
      <c r="C340" s="1902" t="s">
        <v>443</v>
      </c>
      <c r="D340" s="1902" t="s">
        <v>444</v>
      </c>
      <c r="E340" s="1902" t="s">
        <v>440</v>
      </c>
      <c r="F340" s="2097"/>
      <c r="G340" s="2101"/>
      <c r="H340" s="257" t="s">
        <v>50</v>
      </c>
      <c r="I340" s="200" t="s">
        <v>73</v>
      </c>
      <c r="J340" s="1964">
        <f>TARGET!D336</f>
        <v>0</v>
      </c>
      <c r="K340" s="2159">
        <v>0</v>
      </c>
      <c r="L340" s="2160">
        <f>'ALL BULAN'!E341</f>
        <v>0</v>
      </c>
      <c r="M340" s="2161">
        <f t="shared" si="56"/>
        <v>0</v>
      </c>
      <c r="N340" s="1891">
        <f t="shared" si="57"/>
        <v>0</v>
      </c>
      <c r="O340" s="2162">
        <v>0</v>
      </c>
      <c r="P340" s="2132"/>
    </row>
    <row r="341" spans="1:16" s="2070" customFormat="1">
      <c r="A341" s="1944">
        <v>4</v>
      </c>
      <c r="B341" s="1944">
        <v>1</v>
      </c>
      <c r="C341" s="1944" t="s">
        <v>443</v>
      </c>
      <c r="D341" s="1944" t="s">
        <v>444</v>
      </c>
      <c r="E341" s="2105" t="s">
        <v>445</v>
      </c>
      <c r="F341" s="2097"/>
      <c r="G341" s="2101"/>
      <c r="H341" s="257" t="s">
        <v>50</v>
      </c>
      <c r="I341" s="200" t="s">
        <v>74</v>
      </c>
      <c r="J341" s="1964">
        <f>TARGET!D337</f>
        <v>0</v>
      </c>
      <c r="K341" s="2159">
        <v>0</v>
      </c>
      <c r="L341" s="2160">
        <f>'ALL BULAN'!E342</f>
        <v>0</v>
      </c>
      <c r="M341" s="2161">
        <f t="shared" si="56"/>
        <v>0</v>
      </c>
      <c r="N341" s="1891">
        <f t="shared" si="57"/>
        <v>0</v>
      </c>
      <c r="O341" s="2162">
        <v>0</v>
      </c>
      <c r="P341" s="2132"/>
    </row>
    <row r="342" spans="1:16" s="2070" customFormat="1">
      <c r="A342" s="1725">
        <v>4</v>
      </c>
      <c r="B342" s="1725">
        <v>1</v>
      </c>
      <c r="C342" s="1725" t="s">
        <v>443</v>
      </c>
      <c r="D342" s="1725" t="s">
        <v>444</v>
      </c>
      <c r="E342" s="1725" t="s">
        <v>441</v>
      </c>
      <c r="F342" s="2097"/>
      <c r="G342" s="2101"/>
      <c r="H342" s="200" t="s">
        <v>308</v>
      </c>
      <c r="I342" s="200" t="s">
        <v>75</v>
      </c>
      <c r="J342" s="1964">
        <f>TARGET!D338</f>
        <v>0</v>
      </c>
      <c r="K342" s="2159">
        <v>0</v>
      </c>
      <c r="L342" s="2160">
        <f>'ALL BULAN'!E343</f>
        <v>0</v>
      </c>
      <c r="M342" s="2161">
        <f t="shared" si="56"/>
        <v>0</v>
      </c>
      <c r="N342" s="1891">
        <f t="shared" si="57"/>
        <v>0</v>
      </c>
      <c r="O342" s="2162">
        <v>0</v>
      </c>
      <c r="P342" s="2132"/>
    </row>
    <row r="343" spans="1:16" s="2070" customFormat="1">
      <c r="A343" s="2114">
        <v>4</v>
      </c>
      <c r="B343" s="2114">
        <v>1</v>
      </c>
      <c r="C343" s="2114" t="s">
        <v>443</v>
      </c>
      <c r="D343" s="2114" t="s">
        <v>447</v>
      </c>
      <c r="E343" s="2125" t="s">
        <v>437</v>
      </c>
      <c r="F343" s="2097"/>
      <c r="G343" s="2101"/>
      <c r="H343" s="2214" t="s">
        <v>50</v>
      </c>
      <c r="I343" s="200" t="s">
        <v>85</v>
      </c>
      <c r="J343" s="1964">
        <f>TARGET!D339</f>
        <v>0</v>
      </c>
      <c r="K343" s="2159">
        <v>0</v>
      </c>
      <c r="L343" s="2160">
        <f>'ALL BULAN'!E344</f>
        <v>0</v>
      </c>
      <c r="M343" s="2161">
        <f t="shared" si="56"/>
        <v>0</v>
      </c>
      <c r="N343" s="1891">
        <f t="shared" si="57"/>
        <v>0</v>
      </c>
      <c r="O343" s="2162">
        <v>0</v>
      </c>
      <c r="P343" s="2132"/>
    </row>
    <row r="344" spans="1:16" s="2070" customFormat="1" ht="5.95" customHeight="1">
      <c r="A344" s="2096"/>
      <c r="B344" s="2096"/>
      <c r="C344" s="2096"/>
      <c r="D344" s="2096"/>
      <c r="E344" s="2096"/>
      <c r="F344" s="2097"/>
      <c r="G344" s="2251"/>
      <c r="H344" s="856"/>
      <c r="I344" s="203"/>
      <c r="J344" s="2334"/>
      <c r="K344" s="2335"/>
      <c r="L344" s="2334"/>
      <c r="M344" s="2336"/>
      <c r="N344" s="2336"/>
      <c r="O344" s="2337"/>
      <c r="P344" s="2132"/>
    </row>
    <row r="345" spans="1:16" s="2073" customFormat="1" ht="15.05">
      <c r="A345" s="2090"/>
      <c r="B345" s="2090"/>
      <c r="C345" s="2090"/>
      <c r="D345" s="2090"/>
      <c r="E345" s="2090"/>
      <c r="F345" s="2091"/>
      <c r="G345" s="2324" t="s">
        <v>174</v>
      </c>
      <c r="H345" s="2313" t="s">
        <v>175</v>
      </c>
      <c r="I345" s="2313"/>
      <c r="J345" s="2338">
        <f>SUM(J346)</f>
        <v>0</v>
      </c>
      <c r="K345" s="2148">
        <v>19067890</v>
      </c>
      <c r="L345" s="2338">
        <f>SUM(L346)</f>
        <v>0</v>
      </c>
      <c r="M345" s="2147">
        <f t="shared" ref="M345:M351" si="58">SUM(K345:L345)</f>
        <v>19067890</v>
      </c>
      <c r="N345" s="2147">
        <f t="shared" ref="N345:N351" si="59">M345-J345</f>
        <v>19067890</v>
      </c>
      <c r="O345" s="2149">
        <v>0</v>
      </c>
      <c r="P345" s="2150"/>
    </row>
    <row r="346" spans="1:16" s="2070" customFormat="1">
      <c r="A346" s="2102">
        <v>4</v>
      </c>
      <c r="B346" s="2102">
        <v>1</v>
      </c>
      <c r="C346" s="2102">
        <v>4</v>
      </c>
      <c r="D346" s="2096"/>
      <c r="E346" s="2096"/>
      <c r="F346" s="2103">
        <v>3</v>
      </c>
      <c r="G346" s="2104"/>
      <c r="H346" s="202" t="s">
        <v>71</v>
      </c>
      <c r="I346" s="202"/>
      <c r="J346" s="2307">
        <f>SUM(J347:J351)</f>
        <v>0</v>
      </c>
      <c r="K346" s="2159">
        <v>19067890</v>
      </c>
      <c r="L346" s="2307">
        <f>SUM(L347:L351)</f>
        <v>0</v>
      </c>
      <c r="M346" s="2161">
        <f t="shared" si="58"/>
        <v>19067890</v>
      </c>
      <c r="N346" s="1891">
        <f t="shared" si="59"/>
        <v>19067890</v>
      </c>
      <c r="O346" s="2162">
        <v>0</v>
      </c>
      <c r="P346" s="2132"/>
    </row>
    <row r="347" spans="1:16" s="2070" customFormat="1">
      <c r="A347" s="2102">
        <v>4</v>
      </c>
      <c r="B347" s="2102">
        <v>1</v>
      </c>
      <c r="C347" s="2102">
        <v>4</v>
      </c>
      <c r="D347" s="2102" t="s">
        <v>441</v>
      </c>
      <c r="E347" s="2096"/>
      <c r="F347" s="2097"/>
      <c r="G347" s="2104"/>
      <c r="H347" s="2727" t="s">
        <v>50</v>
      </c>
      <c r="I347" s="200" t="s">
        <v>72</v>
      </c>
      <c r="J347" s="1964">
        <f>TARGET!D343</f>
        <v>0</v>
      </c>
      <c r="K347" s="2159">
        <v>0</v>
      </c>
      <c r="L347" s="2160">
        <f>'ALL BULAN'!E348</f>
        <v>0</v>
      </c>
      <c r="M347" s="2161">
        <f t="shared" si="58"/>
        <v>0</v>
      </c>
      <c r="N347" s="1891">
        <f t="shared" si="59"/>
        <v>0</v>
      </c>
      <c r="O347" s="2162">
        <v>0</v>
      </c>
      <c r="P347" s="2132"/>
    </row>
    <row r="348" spans="1:16" s="2070" customFormat="1">
      <c r="A348" s="1902">
        <v>4</v>
      </c>
      <c r="B348" s="1902">
        <v>1</v>
      </c>
      <c r="C348" s="1902" t="s">
        <v>443</v>
      </c>
      <c r="D348" s="1902" t="s">
        <v>444</v>
      </c>
      <c r="E348" s="1902" t="s">
        <v>440</v>
      </c>
      <c r="F348" s="2097"/>
      <c r="G348" s="2104"/>
      <c r="H348" s="2727" t="s">
        <v>50</v>
      </c>
      <c r="I348" s="200" t="s">
        <v>73</v>
      </c>
      <c r="J348" s="1964">
        <f>TARGET!D344</f>
        <v>0</v>
      </c>
      <c r="K348" s="2159">
        <v>0</v>
      </c>
      <c r="L348" s="2160">
        <f>'ALL BULAN'!E349</f>
        <v>0</v>
      </c>
      <c r="M348" s="2161">
        <f t="shared" si="58"/>
        <v>0</v>
      </c>
      <c r="N348" s="1891">
        <f t="shared" si="59"/>
        <v>0</v>
      </c>
      <c r="O348" s="2162">
        <v>0</v>
      </c>
      <c r="P348" s="2132"/>
    </row>
    <row r="349" spans="1:16" s="2070" customFormat="1">
      <c r="A349" s="1944">
        <v>4</v>
      </c>
      <c r="B349" s="1944">
        <v>1</v>
      </c>
      <c r="C349" s="1944" t="s">
        <v>443</v>
      </c>
      <c r="D349" s="1944" t="s">
        <v>444</v>
      </c>
      <c r="E349" s="2105" t="s">
        <v>445</v>
      </c>
      <c r="F349" s="2097"/>
      <c r="G349" s="2104"/>
      <c r="H349" s="2727" t="s">
        <v>50</v>
      </c>
      <c r="I349" s="200" t="s">
        <v>74</v>
      </c>
      <c r="J349" s="1964">
        <f>TARGET!D345</f>
        <v>0</v>
      </c>
      <c r="K349" s="2159">
        <v>0</v>
      </c>
      <c r="L349" s="2160">
        <f>'ALL BULAN'!E350</f>
        <v>0</v>
      </c>
      <c r="M349" s="2161">
        <f t="shared" si="58"/>
        <v>0</v>
      </c>
      <c r="N349" s="1891">
        <f t="shared" si="59"/>
        <v>0</v>
      </c>
      <c r="O349" s="2162">
        <v>0</v>
      </c>
      <c r="P349" s="2132"/>
    </row>
    <row r="350" spans="1:16" s="2070" customFormat="1">
      <c r="A350" s="1725">
        <v>4</v>
      </c>
      <c r="B350" s="1725">
        <v>1</v>
      </c>
      <c r="C350" s="1725" t="s">
        <v>443</v>
      </c>
      <c r="D350" s="1725" t="s">
        <v>444</v>
      </c>
      <c r="E350" s="1725" t="s">
        <v>441</v>
      </c>
      <c r="F350" s="2097"/>
      <c r="G350" s="2104"/>
      <c r="H350" s="2727" t="s">
        <v>50</v>
      </c>
      <c r="I350" s="206" t="s">
        <v>75</v>
      </c>
      <c r="J350" s="1964">
        <f>TARGET!D346</f>
        <v>0</v>
      </c>
      <c r="K350" s="2159">
        <v>18154890</v>
      </c>
      <c r="L350" s="2160">
        <v>0</v>
      </c>
      <c r="M350" s="2161">
        <f t="shared" si="58"/>
        <v>18154890</v>
      </c>
      <c r="N350" s="1891">
        <f t="shared" si="59"/>
        <v>18154890</v>
      </c>
      <c r="O350" s="2162">
        <v>0</v>
      </c>
      <c r="P350" s="2132"/>
    </row>
    <row r="351" spans="1:16" s="2070" customFormat="1">
      <c r="A351" s="2114">
        <v>4</v>
      </c>
      <c r="B351" s="2114">
        <v>1</v>
      </c>
      <c r="C351" s="2114" t="s">
        <v>443</v>
      </c>
      <c r="D351" s="2114" t="s">
        <v>447</v>
      </c>
      <c r="E351" s="2125" t="s">
        <v>437</v>
      </c>
      <c r="F351" s="2097"/>
      <c r="G351" s="2104"/>
      <c r="H351" s="2727" t="s">
        <v>50</v>
      </c>
      <c r="I351" s="206" t="s">
        <v>85</v>
      </c>
      <c r="J351" s="1964">
        <f>TARGET!D347</f>
        <v>0</v>
      </c>
      <c r="K351" s="2159">
        <v>913000</v>
      </c>
      <c r="L351" s="2160">
        <v>0</v>
      </c>
      <c r="M351" s="2161">
        <f t="shared" si="58"/>
        <v>913000</v>
      </c>
      <c r="N351" s="1891">
        <f t="shared" si="59"/>
        <v>913000</v>
      </c>
      <c r="O351" s="2162">
        <v>0</v>
      </c>
      <c r="P351" s="2132"/>
    </row>
    <row r="352" spans="1:16" s="2070" customFormat="1" ht="6.75" customHeight="1">
      <c r="A352" s="2096"/>
      <c r="B352" s="2096"/>
      <c r="C352" s="2096"/>
      <c r="D352" s="2096"/>
      <c r="E352" s="2096"/>
      <c r="F352" s="2097"/>
      <c r="G352" s="2325"/>
      <c r="H352" s="2326"/>
      <c r="I352" s="2326"/>
      <c r="J352" s="2314"/>
      <c r="K352" s="2220"/>
      <c r="L352" s="2314"/>
      <c r="M352" s="2315"/>
      <c r="N352" s="2315"/>
      <c r="O352" s="2316"/>
      <c r="P352" s="2132"/>
    </row>
    <row r="353" spans="1:16" s="2070" customFormat="1" ht="15.05">
      <c r="A353" s="2096"/>
      <c r="B353" s="2096"/>
      <c r="C353" s="2096"/>
      <c r="D353" s="2096"/>
      <c r="E353" s="2096"/>
      <c r="F353" s="2097"/>
      <c r="G353" s="2092" t="s">
        <v>176</v>
      </c>
      <c r="H353" s="2313" t="s">
        <v>177</v>
      </c>
      <c r="I353" s="2195"/>
      <c r="J353" s="2147">
        <f>J354</f>
        <v>181842529274</v>
      </c>
      <c r="K353" s="2148">
        <v>3277262985</v>
      </c>
      <c r="L353" s="2147">
        <f>L354</f>
        <v>875532884</v>
      </c>
      <c r="M353" s="2147">
        <f>SUM(K353:L353)</f>
        <v>4152795869</v>
      </c>
      <c r="N353" s="2147">
        <f t="shared" ref="N353:N384" si="60">M353-J353</f>
        <v>-177689733405</v>
      </c>
      <c r="O353" s="2149">
        <f t="shared" ref="O353:O367" si="61">M353/J353*100</f>
        <v>2.2837319111100651</v>
      </c>
      <c r="P353" s="2132"/>
    </row>
    <row r="354" spans="1:16" s="2070" customFormat="1">
      <c r="A354" s="2096"/>
      <c r="B354" s="2096"/>
      <c r="C354" s="2096"/>
      <c r="D354" s="2096"/>
      <c r="E354" s="2096"/>
      <c r="F354" s="2097"/>
      <c r="G354" s="2327" t="s">
        <v>179</v>
      </c>
      <c r="H354" s="202" t="s">
        <v>180</v>
      </c>
      <c r="I354" s="202"/>
      <c r="J354" s="1891">
        <f>J355+J370+J384</f>
        <v>181842529274</v>
      </c>
      <c r="K354" s="2159">
        <v>3277262985</v>
      </c>
      <c r="L354" s="1891">
        <f>L355+L370+L384</f>
        <v>875532884</v>
      </c>
      <c r="M354" s="2161">
        <f t="shared" ref="M354:M384" si="62">SUM(K354:L354)</f>
        <v>4152795869</v>
      </c>
      <c r="N354" s="1891">
        <f t="shared" si="60"/>
        <v>-177689733405</v>
      </c>
      <c r="O354" s="2162">
        <f t="shared" si="61"/>
        <v>2.2837319111100651</v>
      </c>
      <c r="P354" s="2132"/>
    </row>
    <row r="355" spans="1:16" s="2076" customFormat="1">
      <c r="A355" s="2096"/>
      <c r="B355" s="2096"/>
      <c r="C355" s="2096"/>
      <c r="D355" s="2096"/>
      <c r="E355" s="2096"/>
      <c r="F355" s="2103">
        <v>1</v>
      </c>
      <c r="G355" s="2104"/>
      <c r="H355" s="202" t="s">
        <v>106</v>
      </c>
      <c r="I355" s="202"/>
      <c r="J355" s="1891">
        <f>J357</f>
        <v>2235631500</v>
      </c>
      <c r="K355" s="2159">
        <v>181908726</v>
      </c>
      <c r="L355" s="1891">
        <f>L357</f>
        <v>0</v>
      </c>
      <c r="M355" s="2161">
        <f t="shared" si="62"/>
        <v>181908726</v>
      </c>
      <c r="N355" s="1891">
        <f t="shared" si="60"/>
        <v>-2053722774</v>
      </c>
      <c r="O355" s="2162">
        <f t="shared" si="61"/>
        <v>8.13679383207832</v>
      </c>
      <c r="P355" s="2339"/>
    </row>
    <row r="356" spans="1:16" s="2076" customFormat="1">
      <c r="A356" s="2094">
        <v>4</v>
      </c>
      <c r="B356" s="2094">
        <v>1</v>
      </c>
      <c r="C356" s="2094">
        <v>2</v>
      </c>
      <c r="D356" s="2095" t="s">
        <v>438</v>
      </c>
      <c r="E356" s="2215"/>
      <c r="F356" s="2097"/>
      <c r="G356" s="2104"/>
      <c r="H356" s="202" t="s">
        <v>109</v>
      </c>
      <c r="I356" s="202"/>
      <c r="J356" s="1891">
        <f>J358</f>
        <v>2235631500</v>
      </c>
      <c r="K356" s="2159">
        <v>181908726</v>
      </c>
      <c r="L356" s="1891">
        <f>L358</f>
        <v>0</v>
      </c>
      <c r="M356" s="2161">
        <f t="shared" si="62"/>
        <v>181908726</v>
      </c>
      <c r="N356" s="1891">
        <f t="shared" si="60"/>
        <v>-2053722774</v>
      </c>
      <c r="O356" s="2162">
        <f t="shared" si="61"/>
        <v>8.13679383207832</v>
      </c>
      <c r="P356" s="2339"/>
    </row>
    <row r="357" spans="1:16" s="2076" customFormat="1" ht="15.05">
      <c r="A357" s="2094">
        <v>4</v>
      </c>
      <c r="B357" s="2094">
        <v>1</v>
      </c>
      <c r="C357" s="2094">
        <v>2</v>
      </c>
      <c r="D357" s="2095" t="s">
        <v>438</v>
      </c>
      <c r="E357" s="2125" t="s">
        <v>437</v>
      </c>
      <c r="F357" s="2097"/>
      <c r="G357" s="2328"/>
      <c r="H357" s="2329" t="s">
        <v>181</v>
      </c>
      <c r="I357" s="2340"/>
      <c r="J357" s="1749">
        <f>J358</f>
        <v>2235631500</v>
      </c>
      <c r="K357" s="2155">
        <v>181908726</v>
      </c>
      <c r="L357" s="1749">
        <f>L358</f>
        <v>0</v>
      </c>
      <c r="M357" s="2156">
        <f t="shared" si="62"/>
        <v>181908726</v>
      </c>
      <c r="N357" s="1749">
        <f t="shared" si="60"/>
        <v>-2053722774</v>
      </c>
      <c r="O357" s="2162">
        <f t="shared" si="61"/>
        <v>8.13679383207832</v>
      </c>
      <c r="P357" s="2339"/>
    </row>
    <row r="358" spans="1:16" s="2076" customFormat="1" ht="15.05">
      <c r="A358" s="2096"/>
      <c r="B358" s="2096"/>
      <c r="C358" s="2096"/>
      <c r="D358" s="2096"/>
      <c r="E358" s="2096"/>
      <c r="F358" s="2097"/>
      <c r="G358" s="2104"/>
      <c r="H358" s="2727" t="s">
        <v>156</v>
      </c>
      <c r="I358" s="200" t="s">
        <v>182</v>
      </c>
      <c r="J358" s="1749">
        <f>SUM(J359:J362)</f>
        <v>2235631500</v>
      </c>
      <c r="K358" s="2155">
        <v>181908726</v>
      </c>
      <c r="L358" s="1749">
        <f>SUM(L359:L362)</f>
        <v>0</v>
      </c>
      <c r="M358" s="2156">
        <f t="shared" si="62"/>
        <v>181908726</v>
      </c>
      <c r="N358" s="1749">
        <f t="shared" si="60"/>
        <v>-2053722774</v>
      </c>
      <c r="O358" s="2162">
        <f t="shared" si="61"/>
        <v>8.13679383207832</v>
      </c>
      <c r="P358" s="2339"/>
    </row>
    <row r="359" spans="1:16" s="2076" customFormat="1">
      <c r="A359" s="2096"/>
      <c r="B359" s="2096"/>
      <c r="C359" s="2096"/>
      <c r="D359" s="2096"/>
      <c r="E359" s="2096"/>
      <c r="F359" s="2097"/>
      <c r="G359" s="2104"/>
      <c r="H359" s="200"/>
      <c r="I359" s="2727" t="s">
        <v>183</v>
      </c>
      <c r="J359" s="1964">
        <f>TARGET!D355</f>
        <v>1043101100</v>
      </c>
      <c r="K359" s="2159">
        <v>6500000</v>
      </c>
      <c r="L359" s="2160">
        <v>0</v>
      </c>
      <c r="M359" s="2161">
        <f t="shared" si="62"/>
        <v>6500000</v>
      </c>
      <c r="N359" s="1891">
        <f t="shared" si="60"/>
        <v>-1036601100</v>
      </c>
      <c r="O359" s="2162">
        <f t="shared" si="61"/>
        <v>0.62314189870953063</v>
      </c>
      <c r="P359" s="2339"/>
    </row>
    <row r="360" spans="1:16" s="2076" customFormat="1">
      <c r="A360" s="2096"/>
      <c r="B360" s="2096"/>
      <c r="C360" s="2096"/>
      <c r="D360" s="2096"/>
      <c r="E360" s="2096"/>
      <c r="F360" s="2097"/>
      <c r="G360" s="2104"/>
      <c r="H360" s="200"/>
      <c r="I360" s="2727" t="s">
        <v>184</v>
      </c>
      <c r="J360" s="1964">
        <f>TARGET!D356</f>
        <v>532280400</v>
      </c>
      <c r="K360" s="2159">
        <v>23000000</v>
      </c>
      <c r="L360" s="2160">
        <v>0</v>
      </c>
      <c r="M360" s="2161">
        <f t="shared" si="62"/>
        <v>23000000</v>
      </c>
      <c r="N360" s="1891">
        <f t="shared" si="60"/>
        <v>-509280400</v>
      </c>
      <c r="O360" s="2162">
        <f t="shared" si="61"/>
        <v>4.3210307950471218</v>
      </c>
      <c r="P360" s="2339"/>
    </row>
    <row r="361" spans="1:16" s="2076" customFormat="1">
      <c r="A361" s="2096"/>
      <c r="B361" s="2096"/>
      <c r="C361" s="2096"/>
      <c r="D361" s="2096"/>
      <c r="E361" s="2096"/>
      <c r="F361" s="2097"/>
      <c r="G361" s="2104"/>
      <c r="H361" s="2727" t="s">
        <v>161</v>
      </c>
      <c r="I361" s="2727" t="s">
        <v>185</v>
      </c>
      <c r="J361" s="1964">
        <f>TARGET!D357</f>
        <v>500000000</v>
      </c>
      <c r="K361" s="2159">
        <v>112658726</v>
      </c>
      <c r="L361" s="2160">
        <v>0</v>
      </c>
      <c r="M361" s="2161">
        <f t="shared" si="62"/>
        <v>112658726</v>
      </c>
      <c r="N361" s="1891">
        <f t="shared" si="60"/>
        <v>-387341274</v>
      </c>
      <c r="O361" s="2162">
        <f t="shared" si="61"/>
        <v>22.5317452</v>
      </c>
      <c r="P361" s="2339"/>
    </row>
    <row r="362" spans="1:16" s="2076" customFormat="1" ht="15.05">
      <c r="A362" s="2096"/>
      <c r="B362" s="2096"/>
      <c r="C362" s="2096"/>
      <c r="D362" s="2096"/>
      <c r="E362" s="2096"/>
      <c r="F362" s="2097"/>
      <c r="G362" s="2104"/>
      <c r="H362" s="2727" t="s">
        <v>163</v>
      </c>
      <c r="I362" s="200" t="s">
        <v>186</v>
      </c>
      <c r="J362" s="1749">
        <f>SUM(J363:J368)</f>
        <v>160250000</v>
      </c>
      <c r="K362" s="2155">
        <v>39750000</v>
      </c>
      <c r="L362" s="1749">
        <f>SUM(L363:L368)</f>
        <v>0</v>
      </c>
      <c r="M362" s="2156">
        <f t="shared" si="62"/>
        <v>39750000</v>
      </c>
      <c r="N362" s="1749">
        <f t="shared" si="60"/>
        <v>-120500000</v>
      </c>
      <c r="O362" s="2162">
        <f t="shared" si="61"/>
        <v>24.804992199687987</v>
      </c>
      <c r="P362" s="2339"/>
    </row>
    <row r="363" spans="1:16" s="2076" customFormat="1">
      <c r="A363" s="2096"/>
      <c r="B363" s="2096"/>
      <c r="C363" s="2096"/>
      <c r="D363" s="2096"/>
      <c r="E363" s="2096"/>
      <c r="F363" s="2097"/>
      <c r="G363" s="2104"/>
      <c r="H363" s="200"/>
      <c r="I363" s="2727" t="s">
        <v>187</v>
      </c>
      <c r="J363" s="1964">
        <f>TARGET!D359</f>
        <v>35000000</v>
      </c>
      <c r="K363" s="2159">
        <v>22500000</v>
      </c>
      <c r="L363" s="2160">
        <v>0</v>
      </c>
      <c r="M363" s="2161">
        <f t="shared" si="62"/>
        <v>22500000</v>
      </c>
      <c r="N363" s="1891">
        <f t="shared" si="60"/>
        <v>-12500000</v>
      </c>
      <c r="O363" s="2162">
        <f t="shared" si="61"/>
        <v>64.285714285714292</v>
      </c>
      <c r="P363" s="2339"/>
    </row>
    <row r="364" spans="1:16" s="2076" customFormat="1">
      <c r="A364" s="2096"/>
      <c r="B364" s="2096"/>
      <c r="C364" s="2096"/>
      <c r="D364" s="2096"/>
      <c r="E364" s="2096"/>
      <c r="F364" s="2097"/>
      <c r="G364" s="2104"/>
      <c r="H364" s="200"/>
      <c r="I364" s="2727" t="s">
        <v>188</v>
      </c>
      <c r="J364" s="1964">
        <f>TARGET!D360</f>
        <v>28000000</v>
      </c>
      <c r="K364" s="2159">
        <v>0</v>
      </c>
      <c r="L364" s="2160">
        <f>'ALL BULAN'!E365</f>
        <v>0</v>
      </c>
      <c r="M364" s="2161">
        <f t="shared" si="62"/>
        <v>0</v>
      </c>
      <c r="N364" s="1891">
        <f t="shared" si="60"/>
        <v>-28000000</v>
      </c>
      <c r="O364" s="2162">
        <f t="shared" si="61"/>
        <v>0</v>
      </c>
      <c r="P364" s="2339"/>
    </row>
    <row r="365" spans="1:16" s="2076" customFormat="1">
      <c r="A365" s="2096"/>
      <c r="B365" s="2096"/>
      <c r="C365" s="2096"/>
      <c r="D365" s="2096"/>
      <c r="E365" s="2096"/>
      <c r="F365" s="2097"/>
      <c r="G365" s="2104"/>
      <c r="H365" s="200"/>
      <c r="I365" s="2727" t="s">
        <v>189</v>
      </c>
      <c r="J365" s="1964">
        <f>TARGET!D361</f>
        <v>17250000</v>
      </c>
      <c r="K365" s="2159">
        <v>17250000</v>
      </c>
      <c r="L365" s="2160">
        <v>0</v>
      </c>
      <c r="M365" s="2161">
        <f t="shared" si="62"/>
        <v>17250000</v>
      </c>
      <c r="N365" s="1891">
        <f t="shared" si="60"/>
        <v>0</v>
      </c>
      <c r="O365" s="2162">
        <f t="shared" si="61"/>
        <v>100</v>
      </c>
      <c r="P365" s="2339"/>
    </row>
    <row r="366" spans="1:16" s="2076" customFormat="1">
      <c r="A366" s="2096"/>
      <c r="B366" s="2096"/>
      <c r="C366" s="2096"/>
      <c r="D366" s="2096"/>
      <c r="E366" s="2096"/>
      <c r="F366" s="2097"/>
      <c r="G366" s="2104"/>
      <c r="H366" s="202"/>
      <c r="I366" s="2727" t="s">
        <v>190</v>
      </c>
      <c r="J366" s="1964">
        <f>TARGET!D362</f>
        <v>30000000</v>
      </c>
      <c r="K366" s="2159">
        <v>0</v>
      </c>
      <c r="L366" s="2160">
        <f>'ALL BULAN'!E367</f>
        <v>0</v>
      </c>
      <c r="M366" s="2161">
        <f t="shared" si="62"/>
        <v>0</v>
      </c>
      <c r="N366" s="1891">
        <f t="shared" si="60"/>
        <v>-30000000</v>
      </c>
      <c r="O366" s="2162">
        <f t="shared" si="61"/>
        <v>0</v>
      </c>
      <c r="P366" s="2339"/>
    </row>
    <row r="367" spans="1:16" s="2076" customFormat="1">
      <c r="A367" s="2096"/>
      <c r="B367" s="2096"/>
      <c r="C367" s="2096"/>
      <c r="D367" s="2096"/>
      <c r="E367" s="2096"/>
      <c r="F367" s="2097"/>
      <c r="G367" s="2104"/>
      <c r="H367" s="202"/>
      <c r="I367" s="2727" t="s">
        <v>191</v>
      </c>
      <c r="J367" s="1964">
        <f>TARGET!D363</f>
        <v>50000000</v>
      </c>
      <c r="K367" s="2159">
        <v>0</v>
      </c>
      <c r="L367" s="2160">
        <f>'ALL BULAN'!E368</f>
        <v>0</v>
      </c>
      <c r="M367" s="2161">
        <f t="shared" si="62"/>
        <v>0</v>
      </c>
      <c r="N367" s="1891">
        <f t="shared" si="60"/>
        <v>-50000000</v>
      </c>
      <c r="O367" s="2162">
        <f t="shared" si="61"/>
        <v>0</v>
      </c>
      <c r="P367" s="2339"/>
    </row>
    <row r="368" spans="1:16" s="2076" customFormat="1">
      <c r="A368" s="2096"/>
      <c r="B368" s="2096"/>
      <c r="C368" s="2096"/>
      <c r="D368" s="2096"/>
      <c r="E368" s="2096"/>
      <c r="F368" s="2097"/>
      <c r="G368" s="2104"/>
      <c r="H368" s="2727" t="s">
        <v>165</v>
      </c>
      <c r="I368" s="200" t="s">
        <v>192</v>
      </c>
      <c r="J368" s="1964">
        <f>TARGET!D364</f>
        <v>0</v>
      </c>
      <c r="K368" s="2159">
        <v>0</v>
      </c>
      <c r="L368" s="2160">
        <f>'ALL BULAN'!E369</f>
        <v>0</v>
      </c>
      <c r="M368" s="2161">
        <f t="shared" si="62"/>
        <v>0</v>
      </c>
      <c r="N368" s="1891">
        <f t="shared" si="60"/>
        <v>0</v>
      </c>
      <c r="O368" s="2162">
        <v>0</v>
      </c>
      <c r="P368" s="2339"/>
    </row>
    <row r="369" spans="1:16" s="2076" customFormat="1" ht="6.75" customHeight="1">
      <c r="A369" s="2096"/>
      <c r="B369" s="2096"/>
      <c r="C369" s="2096"/>
      <c r="D369" s="2096"/>
      <c r="E369" s="2096"/>
      <c r="F369" s="2097"/>
      <c r="G369" s="2104"/>
      <c r="H369" s="202"/>
      <c r="I369" s="200"/>
      <c r="J369" s="2161"/>
      <c r="K369" s="2159">
        <v>0</v>
      </c>
      <c r="L369" s="2161"/>
      <c r="M369" s="2161">
        <f t="shared" si="62"/>
        <v>0</v>
      </c>
      <c r="N369" s="1891">
        <f t="shared" si="60"/>
        <v>0</v>
      </c>
      <c r="O369" s="2162">
        <f>N369-K369</f>
        <v>0</v>
      </c>
      <c r="P369" s="2339"/>
    </row>
    <row r="370" spans="1:16" s="2076" customFormat="1" ht="15.05">
      <c r="A370" s="2102">
        <v>4</v>
      </c>
      <c r="B370" s="2102">
        <v>1</v>
      </c>
      <c r="C370" s="2102" t="s">
        <v>457</v>
      </c>
      <c r="D370" s="2096"/>
      <c r="E370" s="2096"/>
      <c r="F370" s="2103">
        <v>2</v>
      </c>
      <c r="G370" s="2327" t="s">
        <v>179</v>
      </c>
      <c r="H370" s="2330" t="s">
        <v>193</v>
      </c>
      <c r="I370" s="1466"/>
      <c r="J370" s="1469">
        <f>+J371+J381</f>
        <v>92558485190</v>
      </c>
      <c r="K370" s="2341">
        <v>0</v>
      </c>
      <c r="L370" s="1469">
        <f>+L371</f>
        <v>0</v>
      </c>
      <c r="M370" s="2342">
        <f t="shared" si="62"/>
        <v>0</v>
      </c>
      <c r="N370" s="1891">
        <f t="shared" si="60"/>
        <v>-92558485190</v>
      </c>
      <c r="O370" s="2162">
        <f t="shared" ref="O370:O376" si="63">M370/J370*100</f>
        <v>0</v>
      </c>
      <c r="P370" s="2339"/>
    </row>
    <row r="371" spans="1:16" s="2076" customFormat="1">
      <c r="A371" s="2102">
        <v>4</v>
      </c>
      <c r="B371" s="2102">
        <v>1</v>
      </c>
      <c r="C371" s="2102" t="s">
        <v>457</v>
      </c>
      <c r="D371" s="2125" t="s">
        <v>437</v>
      </c>
      <c r="E371" s="2096"/>
      <c r="F371" s="2097"/>
      <c r="G371" s="2104"/>
      <c r="H371" s="200" t="s">
        <v>194</v>
      </c>
      <c r="I371" s="200"/>
      <c r="J371" s="1891">
        <f>+J372</f>
        <v>90558485190</v>
      </c>
      <c r="K371" s="2343">
        <v>0</v>
      </c>
      <c r="L371" s="1891">
        <f>+L372</f>
        <v>0</v>
      </c>
      <c r="M371" s="2344">
        <f t="shared" si="62"/>
        <v>0</v>
      </c>
      <c r="N371" s="1891">
        <f t="shared" si="60"/>
        <v>-90558485190</v>
      </c>
      <c r="O371" s="2162">
        <f t="shared" si="63"/>
        <v>0</v>
      </c>
      <c r="P371" s="2339"/>
    </row>
    <row r="372" spans="1:16" s="2076" customFormat="1" ht="15.05">
      <c r="A372" s="2096"/>
      <c r="B372" s="2096"/>
      <c r="C372" s="2096"/>
      <c r="D372" s="2096"/>
      <c r="E372" s="2096"/>
      <c r="F372" s="2097"/>
      <c r="G372" s="2104"/>
      <c r="H372" s="200" t="s">
        <v>195</v>
      </c>
      <c r="I372" s="200"/>
      <c r="J372" s="2345">
        <f>SUM(J373:J379)</f>
        <v>90558485190</v>
      </c>
      <c r="K372" s="2155">
        <v>0</v>
      </c>
      <c r="L372" s="2345">
        <f>SUM(L373:L381)</f>
        <v>0</v>
      </c>
      <c r="M372" s="2156">
        <f t="shared" si="62"/>
        <v>0</v>
      </c>
      <c r="N372" s="1749">
        <f t="shared" si="60"/>
        <v>-90558485190</v>
      </c>
      <c r="O372" s="2162">
        <f t="shared" si="63"/>
        <v>0</v>
      </c>
      <c r="P372" s="2339"/>
    </row>
    <row r="373" spans="1:16" s="2076" customFormat="1">
      <c r="A373" s="2096"/>
      <c r="B373" s="2096"/>
      <c r="C373" s="2096"/>
      <c r="D373" s="2096"/>
      <c r="E373" s="2096"/>
      <c r="F373" s="2097"/>
      <c r="G373" s="2104"/>
      <c r="H373" s="200" t="s">
        <v>50</v>
      </c>
      <c r="I373" s="200" t="s">
        <v>196</v>
      </c>
      <c r="J373" s="1964">
        <f>TARGET!D369</f>
        <v>13374571865</v>
      </c>
      <c r="K373" s="2159">
        <v>0</v>
      </c>
      <c r="L373" s="2160">
        <f>'ALL BULAN'!E374</f>
        <v>0</v>
      </c>
      <c r="M373" s="2161">
        <f t="shared" si="62"/>
        <v>0</v>
      </c>
      <c r="N373" s="1891">
        <f t="shared" si="60"/>
        <v>-13374571865</v>
      </c>
      <c r="O373" s="2162">
        <f t="shared" si="63"/>
        <v>0</v>
      </c>
      <c r="P373" s="2339"/>
    </row>
    <row r="374" spans="1:16" s="2076" customFormat="1">
      <c r="A374" s="2096"/>
      <c r="B374" s="2096"/>
      <c r="C374" s="2096"/>
      <c r="D374" s="2096"/>
      <c r="E374" s="2096"/>
      <c r="F374" s="2097"/>
      <c r="G374" s="2104"/>
      <c r="H374" s="200" t="s">
        <v>50</v>
      </c>
      <c r="I374" s="200" t="s">
        <v>197</v>
      </c>
      <c r="J374" s="1964">
        <f>TARGET!D370</f>
        <v>59958450102</v>
      </c>
      <c r="K374" s="2159">
        <v>0</v>
      </c>
      <c r="L374" s="2160">
        <f>'ALL BULAN'!E375</f>
        <v>0</v>
      </c>
      <c r="M374" s="2161">
        <f t="shared" si="62"/>
        <v>0</v>
      </c>
      <c r="N374" s="1891">
        <f t="shared" si="60"/>
        <v>-59958450102</v>
      </c>
      <c r="O374" s="2162">
        <f t="shared" si="63"/>
        <v>0</v>
      </c>
      <c r="P374" s="2339"/>
    </row>
    <row r="375" spans="1:16" s="2076" customFormat="1">
      <c r="A375" s="2096"/>
      <c r="B375" s="2096"/>
      <c r="C375" s="2096"/>
      <c r="D375" s="2096"/>
      <c r="E375" s="2096"/>
      <c r="F375" s="2097"/>
      <c r="G375" s="2104"/>
      <c r="H375" s="200" t="s">
        <v>50</v>
      </c>
      <c r="I375" s="200" t="s">
        <v>198</v>
      </c>
      <c r="J375" s="1964">
        <f>TARGET!D371</f>
        <v>1000000000</v>
      </c>
      <c r="K375" s="2159">
        <v>0</v>
      </c>
      <c r="L375" s="2160">
        <f>'ALL BULAN'!E376</f>
        <v>0</v>
      </c>
      <c r="M375" s="2161">
        <f t="shared" si="62"/>
        <v>0</v>
      </c>
      <c r="N375" s="1891">
        <f t="shared" si="60"/>
        <v>-1000000000</v>
      </c>
      <c r="O375" s="2162">
        <f t="shared" si="63"/>
        <v>0</v>
      </c>
      <c r="P375" s="2339"/>
    </row>
    <row r="376" spans="1:16" s="2076" customFormat="1">
      <c r="A376" s="2096"/>
      <c r="B376" s="2096"/>
      <c r="C376" s="2096"/>
      <c r="D376" s="2096"/>
      <c r="E376" s="2096"/>
      <c r="F376" s="2097"/>
      <c r="G376" s="2104"/>
      <c r="H376" s="200" t="s">
        <v>50</v>
      </c>
      <c r="I376" s="200" t="s">
        <v>199</v>
      </c>
      <c r="J376" s="1964">
        <f>TARGET!D372</f>
        <v>16000000000</v>
      </c>
      <c r="K376" s="2159">
        <v>0</v>
      </c>
      <c r="L376" s="2160">
        <f>'ALL BULAN'!E377</f>
        <v>0</v>
      </c>
      <c r="M376" s="2161">
        <f t="shared" si="62"/>
        <v>0</v>
      </c>
      <c r="N376" s="1891">
        <f t="shared" si="60"/>
        <v>-16000000000</v>
      </c>
      <c r="O376" s="2162">
        <f t="shared" si="63"/>
        <v>0</v>
      </c>
      <c r="P376" s="2339"/>
    </row>
    <row r="377" spans="1:16" s="2076" customFormat="1">
      <c r="A377" s="2096"/>
      <c r="B377" s="2096"/>
      <c r="C377" s="2096"/>
      <c r="D377" s="2096"/>
      <c r="E377" s="2096"/>
      <c r="F377" s="2097"/>
      <c r="G377" s="2104"/>
      <c r="H377" s="200" t="s">
        <v>50</v>
      </c>
      <c r="I377" s="200" t="s">
        <v>200</v>
      </c>
      <c r="J377" s="1964">
        <f>TARGET!D373</f>
        <v>0</v>
      </c>
      <c r="K377" s="2159">
        <v>0</v>
      </c>
      <c r="L377" s="2160">
        <f>'ALL BULAN'!E378</f>
        <v>0</v>
      </c>
      <c r="M377" s="2161">
        <f t="shared" si="62"/>
        <v>0</v>
      </c>
      <c r="N377" s="1891">
        <f t="shared" si="60"/>
        <v>0</v>
      </c>
      <c r="O377" s="2162">
        <v>0</v>
      </c>
      <c r="P377" s="2339"/>
    </row>
    <row r="378" spans="1:16" s="2076" customFormat="1">
      <c r="A378" s="2096"/>
      <c r="B378" s="2096"/>
      <c r="C378" s="2096"/>
      <c r="D378" s="2096"/>
      <c r="E378" s="2096"/>
      <c r="F378" s="2097"/>
      <c r="G378" s="2104"/>
      <c r="H378" s="200" t="s">
        <v>50</v>
      </c>
      <c r="I378" s="200" t="s">
        <v>201</v>
      </c>
      <c r="J378" s="1964">
        <f>TARGET!D374</f>
        <v>136702012</v>
      </c>
      <c r="K378" s="2159">
        <v>0</v>
      </c>
      <c r="L378" s="2160">
        <f>'ALL BULAN'!E379</f>
        <v>0</v>
      </c>
      <c r="M378" s="2161">
        <f t="shared" si="62"/>
        <v>0</v>
      </c>
      <c r="N378" s="1891">
        <f t="shared" si="60"/>
        <v>-136702012</v>
      </c>
      <c r="O378" s="2162">
        <f>M378/J378*100</f>
        <v>0</v>
      </c>
      <c r="P378" s="2339"/>
    </row>
    <row r="379" spans="1:16" s="2076" customFormat="1">
      <c r="A379" s="2096"/>
      <c r="B379" s="2096"/>
      <c r="C379" s="2096"/>
      <c r="D379" s="2096"/>
      <c r="E379" s="2096"/>
      <c r="F379" s="2097"/>
      <c r="G379" s="2104"/>
      <c r="H379" s="200" t="s">
        <v>50</v>
      </c>
      <c r="I379" s="200" t="s">
        <v>202</v>
      </c>
      <c r="J379" s="1964">
        <f>TARGET!D375</f>
        <v>88761211</v>
      </c>
      <c r="K379" s="2159">
        <v>0</v>
      </c>
      <c r="L379" s="2160">
        <f>'ALL BULAN'!E380</f>
        <v>0</v>
      </c>
      <c r="M379" s="2161">
        <f t="shared" si="62"/>
        <v>0</v>
      </c>
      <c r="N379" s="1891">
        <f t="shared" si="60"/>
        <v>-88761211</v>
      </c>
      <c r="O379" s="2162">
        <f>M379/J379*100</f>
        <v>0</v>
      </c>
      <c r="P379" s="2339"/>
    </row>
    <row r="380" spans="1:16" s="2076" customFormat="1" ht="6.75" customHeight="1">
      <c r="A380" s="2096"/>
      <c r="B380" s="2096"/>
      <c r="C380" s="2096"/>
      <c r="D380" s="2096"/>
      <c r="E380" s="2096"/>
      <c r="F380" s="2097"/>
      <c r="G380" s="2104"/>
      <c r="H380" s="200"/>
      <c r="I380" s="2340"/>
      <c r="J380" s="2346"/>
      <c r="K380" s="2159">
        <v>0</v>
      </c>
      <c r="L380" s="2346"/>
      <c r="M380" s="2161">
        <f t="shared" si="62"/>
        <v>0</v>
      </c>
      <c r="N380" s="1891">
        <f t="shared" si="60"/>
        <v>0</v>
      </c>
      <c r="O380" s="2162">
        <f>N380-K380</f>
        <v>0</v>
      </c>
      <c r="P380" s="2339"/>
    </row>
    <row r="381" spans="1:16" s="2076" customFormat="1" ht="15.05">
      <c r="A381" s="2096"/>
      <c r="B381" s="2096"/>
      <c r="C381" s="2096"/>
      <c r="D381" s="2096"/>
      <c r="E381" s="2096"/>
      <c r="F381" s="2097"/>
      <c r="G381" s="2104"/>
      <c r="H381" s="200" t="s">
        <v>203</v>
      </c>
      <c r="I381" s="2340"/>
      <c r="J381" s="2161">
        <f>J382</f>
        <v>2000000000</v>
      </c>
      <c r="K381" s="2159">
        <v>0</v>
      </c>
      <c r="L381" s="2161">
        <f>L382</f>
        <v>0</v>
      </c>
      <c r="M381" s="2161">
        <f t="shared" si="62"/>
        <v>0</v>
      </c>
      <c r="N381" s="1891">
        <f t="shared" si="60"/>
        <v>-2000000000</v>
      </c>
      <c r="O381" s="2162">
        <f>M381/J381*100</f>
        <v>0</v>
      </c>
      <c r="P381" s="2339"/>
    </row>
    <row r="382" spans="1:16" s="2076" customFormat="1">
      <c r="A382" s="2096"/>
      <c r="B382" s="2096"/>
      <c r="C382" s="2096"/>
      <c r="D382" s="2096"/>
      <c r="E382" s="2096"/>
      <c r="F382" s="2097"/>
      <c r="G382" s="2104"/>
      <c r="H382" s="2728" t="s">
        <v>50</v>
      </c>
      <c r="I382" s="200" t="s">
        <v>204</v>
      </c>
      <c r="J382" s="1964">
        <f>TARGET!D378</f>
        <v>2000000000</v>
      </c>
      <c r="K382" s="2159">
        <v>0</v>
      </c>
      <c r="L382" s="2160">
        <f>'ALL BULAN'!E383</f>
        <v>0</v>
      </c>
      <c r="M382" s="2161">
        <f t="shared" si="62"/>
        <v>0</v>
      </c>
      <c r="N382" s="1891">
        <f t="shared" si="60"/>
        <v>-2000000000</v>
      </c>
      <c r="O382" s="2162">
        <f>M382/J382*100</f>
        <v>0</v>
      </c>
      <c r="P382" s="2339"/>
    </row>
    <row r="383" spans="1:16" s="2076" customFormat="1" ht="5.95" customHeight="1">
      <c r="A383" s="2096"/>
      <c r="B383" s="2096"/>
      <c r="C383" s="2096"/>
      <c r="D383" s="2096"/>
      <c r="E383" s="2096"/>
      <c r="F383" s="2097"/>
      <c r="G383" s="2104"/>
      <c r="H383" s="202"/>
      <c r="I383" s="200"/>
      <c r="J383" s="2218"/>
      <c r="K383" s="2159">
        <v>0</v>
      </c>
      <c r="L383" s="2218"/>
      <c r="M383" s="2161">
        <f t="shared" si="62"/>
        <v>0</v>
      </c>
      <c r="N383" s="1891">
        <f t="shared" si="60"/>
        <v>0</v>
      </c>
      <c r="O383" s="2162">
        <f>N383-K383</f>
        <v>0</v>
      </c>
      <c r="P383" s="2339"/>
    </row>
    <row r="384" spans="1:16" s="2076" customFormat="1" ht="15.05">
      <c r="A384" s="2102">
        <v>4</v>
      </c>
      <c r="B384" s="2102">
        <v>1</v>
      </c>
      <c r="C384" s="2102">
        <v>4</v>
      </c>
      <c r="D384" s="2096"/>
      <c r="E384" s="2096"/>
      <c r="F384" s="2103">
        <v>3</v>
      </c>
      <c r="G384" s="2327" t="s">
        <v>179</v>
      </c>
      <c r="H384" s="2331" t="s">
        <v>71</v>
      </c>
      <c r="I384" s="2347"/>
      <c r="J384" s="2348">
        <f>J385+J392+J396+J399+J403+J406+J419</f>
        <v>87048412584</v>
      </c>
      <c r="K384" s="2349">
        <v>3095354259</v>
      </c>
      <c r="L384" s="2348">
        <f>L385+L392+L396+L399+L403+L406+L419</f>
        <v>875532884</v>
      </c>
      <c r="M384" s="2350">
        <f t="shared" si="62"/>
        <v>3970887143</v>
      </c>
      <c r="N384" s="2351">
        <f t="shared" si="60"/>
        <v>-83077525441</v>
      </c>
      <c r="O384" s="2162">
        <f>M384/J384*100</f>
        <v>4.5616996624357418</v>
      </c>
      <c r="P384" s="2339"/>
    </row>
    <row r="385" spans="1:16" s="2076" customFormat="1" ht="15.05">
      <c r="A385" s="2102">
        <v>4</v>
      </c>
      <c r="B385" s="2102">
        <v>1</v>
      </c>
      <c r="C385" s="2102">
        <v>4</v>
      </c>
      <c r="D385" s="2095" t="s">
        <v>437</v>
      </c>
      <c r="E385" s="2096"/>
      <c r="F385" s="2097"/>
      <c r="G385" s="2352" t="s">
        <v>205</v>
      </c>
      <c r="H385" s="212" t="s">
        <v>206</v>
      </c>
      <c r="I385" s="1318"/>
      <c r="J385" s="2376">
        <f>SUM(J386:J390)</f>
        <v>250000000</v>
      </c>
      <c r="K385" s="2377">
        <v>0</v>
      </c>
      <c r="L385" s="2376">
        <f>SUM(L386:L390)</f>
        <v>0</v>
      </c>
      <c r="M385" s="2378">
        <f t="shared" ref="M385:M416" si="64">SUM(K385:L385)</f>
        <v>0</v>
      </c>
      <c r="N385" s="2379">
        <f t="shared" ref="N385:N416" si="65">M385-J385</f>
        <v>-250000000</v>
      </c>
      <c r="O385" s="2162">
        <f>M385/J385*100</f>
        <v>0</v>
      </c>
      <c r="P385" s="2339"/>
    </row>
    <row r="386" spans="1:16" s="2076" customFormat="1">
      <c r="A386" s="2096"/>
      <c r="B386" s="2096"/>
      <c r="C386" s="2096"/>
      <c r="D386" s="2096"/>
      <c r="E386" s="2096"/>
      <c r="F386" s="2097"/>
      <c r="G386" s="2104"/>
      <c r="H386" s="2727" t="s">
        <v>50</v>
      </c>
      <c r="I386" s="2380" t="s">
        <v>207</v>
      </c>
      <c r="J386" s="1964">
        <f>TARGET!D382</f>
        <v>0</v>
      </c>
      <c r="K386" s="2343">
        <v>0</v>
      </c>
      <c r="L386" s="2160">
        <f>'ALL BULAN'!E387</f>
        <v>0</v>
      </c>
      <c r="M386" s="2344">
        <f t="shared" si="64"/>
        <v>0</v>
      </c>
      <c r="N386" s="2260">
        <f t="shared" si="65"/>
        <v>0</v>
      </c>
      <c r="O386" s="2162">
        <v>0</v>
      </c>
      <c r="P386" s="2339"/>
    </row>
    <row r="387" spans="1:16" s="2076" customFormat="1">
      <c r="A387" s="2096"/>
      <c r="B387" s="2096"/>
      <c r="C387" s="2096"/>
      <c r="D387" s="2096"/>
      <c r="E387" s="2096"/>
      <c r="F387" s="2097"/>
      <c r="G387" s="2104"/>
      <c r="H387" s="2727" t="s">
        <v>50</v>
      </c>
      <c r="I387" s="2380" t="s">
        <v>208</v>
      </c>
      <c r="J387" s="1964">
        <f>TARGET!D383</f>
        <v>50000000</v>
      </c>
      <c r="K387" s="2159">
        <v>0</v>
      </c>
      <c r="L387" s="2160">
        <f>'ALL BULAN'!E388</f>
        <v>0</v>
      </c>
      <c r="M387" s="2161">
        <f t="shared" si="64"/>
        <v>0</v>
      </c>
      <c r="N387" s="1891">
        <f t="shared" si="65"/>
        <v>-50000000</v>
      </c>
      <c r="O387" s="2162">
        <f>M387/J387*100</f>
        <v>0</v>
      </c>
      <c r="P387" s="2339"/>
    </row>
    <row r="388" spans="1:16" s="2076" customFormat="1">
      <c r="A388" s="2096"/>
      <c r="B388" s="2096"/>
      <c r="C388" s="2096"/>
      <c r="D388" s="2096"/>
      <c r="E388" s="2096"/>
      <c r="F388" s="2097"/>
      <c r="G388" s="2104"/>
      <c r="H388" s="2727" t="s">
        <v>50</v>
      </c>
      <c r="I388" s="2380" t="s">
        <v>209</v>
      </c>
      <c r="J388" s="1964">
        <f>TARGET!D384</f>
        <v>0</v>
      </c>
      <c r="K388" s="2159">
        <v>0</v>
      </c>
      <c r="L388" s="2160">
        <f>'ALL BULAN'!E389</f>
        <v>0</v>
      </c>
      <c r="M388" s="2161">
        <f t="shared" si="64"/>
        <v>0</v>
      </c>
      <c r="N388" s="1891">
        <f t="shared" si="65"/>
        <v>0</v>
      </c>
      <c r="O388" s="2162">
        <v>0</v>
      </c>
      <c r="P388" s="2339"/>
    </row>
    <row r="389" spans="1:16" s="2076" customFormat="1">
      <c r="A389" s="2096"/>
      <c r="B389" s="2096"/>
      <c r="C389" s="2096"/>
      <c r="D389" s="2096"/>
      <c r="E389" s="2096"/>
      <c r="F389" s="2097"/>
      <c r="G389" s="2104"/>
      <c r="H389" s="2727" t="s">
        <v>50</v>
      </c>
      <c r="I389" s="2380" t="s">
        <v>210</v>
      </c>
      <c r="J389" s="1964">
        <f>TARGET!D385</f>
        <v>0</v>
      </c>
      <c r="K389" s="2159">
        <v>0</v>
      </c>
      <c r="L389" s="2160">
        <f>'ALL BULAN'!E390</f>
        <v>0</v>
      </c>
      <c r="M389" s="2161">
        <f t="shared" si="64"/>
        <v>0</v>
      </c>
      <c r="N389" s="1891">
        <f t="shared" si="65"/>
        <v>0</v>
      </c>
      <c r="O389" s="2162">
        <v>0</v>
      </c>
      <c r="P389" s="2339"/>
    </row>
    <row r="390" spans="1:16" s="2076" customFormat="1">
      <c r="A390" s="2096"/>
      <c r="B390" s="2096"/>
      <c r="C390" s="2096"/>
      <c r="D390" s="2096"/>
      <c r="E390" s="2096"/>
      <c r="F390" s="2097"/>
      <c r="G390" s="2104"/>
      <c r="H390" s="2727" t="s">
        <v>50</v>
      </c>
      <c r="I390" s="2380" t="s">
        <v>211</v>
      </c>
      <c r="J390" s="1964">
        <f>TARGET!D386</f>
        <v>200000000</v>
      </c>
      <c r="K390" s="2159">
        <v>0</v>
      </c>
      <c r="L390" s="2160">
        <f>'ALL BULAN'!E391</f>
        <v>0</v>
      </c>
      <c r="M390" s="2161">
        <f t="shared" si="64"/>
        <v>0</v>
      </c>
      <c r="N390" s="1891">
        <f t="shared" si="65"/>
        <v>-200000000</v>
      </c>
      <c r="O390" s="2162">
        <f>M390/J390*100</f>
        <v>0</v>
      </c>
      <c r="P390" s="2339"/>
    </row>
    <row r="391" spans="1:16" s="2076" customFormat="1" ht="5.95" customHeight="1">
      <c r="A391" s="2096"/>
      <c r="B391" s="2096"/>
      <c r="C391" s="2096"/>
      <c r="D391" s="2096"/>
      <c r="E391" s="2096"/>
      <c r="F391" s="2097"/>
      <c r="G391" s="2104"/>
      <c r="H391" s="200"/>
      <c r="I391" s="224"/>
      <c r="J391" s="2218"/>
      <c r="K391" s="2159">
        <v>0</v>
      </c>
      <c r="L391" s="2218"/>
      <c r="M391" s="2161">
        <f t="shared" si="64"/>
        <v>0</v>
      </c>
      <c r="N391" s="1891">
        <f t="shared" si="65"/>
        <v>0</v>
      </c>
      <c r="O391" s="2162">
        <f>N391-K391</f>
        <v>0</v>
      </c>
      <c r="P391" s="2339"/>
    </row>
    <row r="392" spans="1:16" s="2076" customFormat="1" ht="15.05">
      <c r="A392" s="2102">
        <v>4</v>
      </c>
      <c r="B392" s="2102">
        <v>1</v>
      </c>
      <c r="C392" s="2102">
        <v>4</v>
      </c>
      <c r="D392" s="2095" t="s">
        <v>438</v>
      </c>
      <c r="E392" s="2096"/>
      <c r="F392" s="2097"/>
      <c r="G392" s="2352" t="s">
        <v>205</v>
      </c>
      <c r="H392" s="2353" t="s">
        <v>212</v>
      </c>
      <c r="I392" s="238"/>
      <c r="J392" s="2381">
        <f>SUM(J393:J394)</f>
        <v>4500000000</v>
      </c>
      <c r="K392" s="2349">
        <v>3094595763</v>
      </c>
      <c r="L392" s="2381">
        <f>SUM(L393:L394)</f>
        <v>532884</v>
      </c>
      <c r="M392" s="2350">
        <f t="shared" si="64"/>
        <v>3095128647</v>
      </c>
      <c r="N392" s="1749">
        <f t="shared" si="65"/>
        <v>-1404871353</v>
      </c>
      <c r="O392" s="2162">
        <f>M392/J392*100</f>
        <v>68.780636599999994</v>
      </c>
      <c r="P392" s="2339"/>
    </row>
    <row r="393" spans="1:16" s="2076" customFormat="1">
      <c r="A393" s="2096"/>
      <c r="B393" s="2096"/>
      <c r="C393" s="2096"/>
      <c r="D393" s="2096"/>
      <c r="E393" s="2096"/>
      <c r="F393" s="2097"/>
      <c r="G393" s="2104"/>
      <c r="H393" s="2354" t="s">
        <v>50</v>
      </c>
      <c r="I393" s="224" t="s">
        <v>213</v>
      </c>
      <c r="J393" s="1964">
        <f>TARGET!D389</f>
        <v>4500000000</v>
      </c>
      <c r="K393" s="2343">
        <v>3057719834</v>
      </c>
      <c r="L393" s="2160">
        <v>35912</v>
      </c>
      <c r="M393" s="2344">
        <f t="shared" si="64"/>
        <v>3057755746</v>
      </c>
      <c r="N393" s="1891">
        <f t="shared" si="65"/>
        <v>-1442244254</v>
      </c>
      <c r="O393" s="2162">
        <f>M393/J393*100</f>
        <v>67.950127688888884</v>
      </c>
      <c r="P393" s="2339"/>
    </row>
    <row r="394" spans="1:16" s="2076" customFormat="1">
      <c r="A394" s="2096"/>
      <c r="B394" s="2096"/>
      <c r="C394" s="2096"/>
      <c r="D394" s="2096"/>
      <c r="E394" s="2096"/>
      <c r="F394" s="2097"/>
      <c r="G394" s="2104"/>
      <c r="H394" s="213" t="s">
        <v>50</v>
      </c>
      <c r="I394" s="200" t="s">
        <v>214</v>
      </c>
      <c r="J394" s="1964">
        <f>TARGET!D390</f>
        <v>0</v>
      </c>
      <c r="K394" s="2159">
        <v>36875929</v>
      </c>
      <c r="L394" s="2160">
        <v>496972</v>
      </c>
      <c r="M394" s="2161">
        <f t="shared" si="64"/>
        <v>37372901</v>
      </c>
      <c r="N394" s="1891">
        <f t="shared" si="65"/>
        <v>37372901</v>
      </c>
      <c r="O394" s="2162">
        <v>0</v>
      </c>
      <c r="P394" s="2339"/>
    </row>
    <row r="395" spans="1:16" s="2076" customFormat="1" ht="3.8" customHeight="1">
      <c r="A395" s="2096"/>
      <c r="B395" s="2096"/>
      <c r="C395" s="2096"/>
      <c r="D395" s="2096"/>
      <c r="E395" s="2096"/>
      <c r="F395" s="2097"/>
      <c r="G395" s="2104"/>
      <c r="H395" s="200"/>
      <c r="I395" s="200"/>
      <c r="J395" s="2218"/>
      <c r="K395" s="2159">
        <v>0</v>
      </c>
      <c r="L395" s="2218"/>
      <c r="M395" s="2161">
        <f t="shared" si="64"/>
        <v>0</v>
      </c>
      <c r="N395" s="1891">
        <f t="shared" si="65"/>
        <v>0</v>
      </c>
      <c r="O395" s="2162">
        <f>N395-K395</f>
        <v>0</v>
      </c>
      <c r="P395" s="2339"/>
    </row>
    <row r="396" spans="1:16" s="2076" customFormat="1" ht="15.05">
      <c r="A396" s="2102">
        <v>4</v>
      </c>
      <c r="B396" s="2102">
        <v>1</v>
      </c>
      <c r="C396" s="2102">
        <v>4</v>
      </c>
      <c r="D396" s="2095" t="s">
        <v>440</v>
      </c>
      <c r="E396" s="2096"/>
      <c r="F396" s="2097"/>
      <c r="G396" s="2352" t="s">
        <v>205</v>
      </c>
      <c r="H396" s="2353" t="s">
        <v>215</v>
      </c>
      <c r="I396" s="2347"/>
      <c r="J396" s="2381">
        <f>J397</f>
        <v>6875000000</v>
      </c>
      <c r="K396" s="2349">
        <v>0</v>
      </c>
      <c r="L396" s="2381">
        <f>L397</f>
        <v>875000000</v>
      </c>
      <c r="M396" s="2350">
        <f t="shared" si="64"/>
        <v>875000000</v>
      </c>
      <c r="N396" s="1749">
        <f t="shared" si="65"/>
        <v>-6000000000</v>
      </c>
      <c r="O396" s="2162">
        <f t="shared" ref="O396:O401" si="66">M396/J396*100</f>
        <v>12.727272727272727</v>
      </c>
      <c r="P396" s="2339"/>
    </row>
    <row r="397" spans="1:16" s="2076" customFormat="1">
      <c r="A397" s="2096"/>
      <c r="B397" s="2096"/>
      <c r="C397" s="2096"/>
      <c r="D397" s="2096"/>
      <c r="E397" s="2096"/>
      <c r="F397" s="2097"/>
      <c r="G397" s="2104"/>
      <c r="H397" s="2354" t="s">
        <v>50</v>
      </c>
      <c r="I397" s="224" t="s">
        <v>216</v>
      </c>
      <c r="J397" s="1964">
        <f>TARGET!D393</f>
        <v>6875000000</v>
      </c>
      <c r="K397" s="2343">
        <v>0</v>
      </c>
      <c r="L397" s="2160">
        <v>875000000</v>
      </c>
      <c r="M397" s="2344">
        <f t="shared" si="64"/>
        <v>875000000</v>
      </c>
      <c r="N397" s="1891">
        <f t="shared" si="65"/>
        <v>-6000000000</v>
      </c>
      <c r="O397" s="2162">
        <f t="shared" si="66"/>
        <v>12.727272727272727</v>
      </c>
      <c r="P397" s="2339"/>
    </row>
    <row r="398" spans="1:16" s="2076" customFormat="1" ht="3.8" customHeight="1">
      <c r="A398" s="2096"/>
      <c r="B398" s="2096"/>
      <c r="C398" s="2096"/>
      <c r="D398" s="2096"/>
      <c r="E398" s="2096"/>
      <c r="F398" s="2097"/>
      <c r="G398" s="2104"/>
      <c r="H398" s="200"/>
      <c r="I398" s="200"/>
      <c r="J398" s="2218"/>
      <c r="K398" s="2159">
        <v>0</v>
      </c>
      <c r="L398" s="2218"/>
      <c r="M398" s="2161">
        <f t="shared" si="64"/>
        <v>0</v>
      </c>
      <c r="N398" s="1891">
        <f t="shared" si="65"/>
        <v>0</v>
      </c>
      <c r="O398" s="2162">
        <f>N398-K398</f>
        <v>0</v>
      </c>
      <c r="P398" s="2339"/>
    </row>
    <row r="399" spans="1:16" s="2076" customFormat="1" ht="15.05">
      <c r="A399" s="2102">
        <v>4</v>
      </c>
      <c r="B399" s="2102">
        <v>1</v>
      </c>
      <c r="C399" s="2102">
        <v>4</v>
      </c>
      <c r="D399" s="2095" t="s">
        <v>445</v>
      </c>
      <c r="E399" s="2096"/>
      <c r="F399" s="2097"/>
      <c r="G399" s="2352" t="s">
        <v>205</v>
      </c>
      <c r="H399" s="2353" t="s">
        <v>217</v>
      </c>
      <c r="I399" s="238"/>
      <c r="J399" s="2381">
        <f>SUM(J400:J401)</f>
        <v>1205211975</v>
      </c>
      <c r="K399" s="2349">
        <v>200000</v>
      </c>
      <c r="L399" s="2381">
        <f>SUM(L400:L401)</f>
        <v>0</v>
      </c>
      <c r="M399" s="2350">
        <f t="shared" si="64"/>
        <v>200000</v>
      </c>
      <c r="N399" s="1749">
        <f t="shared" si="65"/>
        <v>-1205011975</v>
      </c>
      <c r="O399" s="2162">
        <f t="shared" si="66"/>
        <v>1.6594591171399536E-2</v>
      </c>
      <c r="P399" s="2339"/>
    </row>
    <row r="400" spans="1:16" s="2070" customFormat="1">
      <c r="A400" s="2096"/>
      <c r="B400" s="2096"/>
      <c r="C400" s="2096"/>
      <c r="D400" s="2096"/>
      <c r="E400" s="2096"/>
      <c r="F400" s="2097"/>
      <c r="G400" s="2104"/>
      <c r="H400" s="2354" t="s">
        <v>50</v>
      </c>
      <c r="I400" s="224" t="s">
        <v>218</v>
      </c>
      <c r="J400" s="1964">
        <f>TARGET!D396</f>
        <v>1190211975</v>
      </c>
      <c r="K400" s="2343">
        <v>0</v>
      </c>
      <c r="L400" s="2160">
        <f>'ALL BULAN'!E401</f>
        <v>0</v>
      </c>
      <c r="M400" s="2344">
        <f t="shared" si="64"/>
        <v>0</v>
      </c>
      <c r="N400" s="1891">
        <f t="shared" si="65"/>
        <v>-1190211975</v>
      </c>
      <c r="O400" s="2162">
        <f t="shared" si="66"/>
        <v>0</v>
      </c>
      <c r="P400" s="2132"/>
    </row>
    <row r="401" spans="1:16" s="2070" customFormat="1">
      <c r="A401" s="2096"/>
      <c r="B401" s="2096"/>
      <c r="C401" s="2096"/>
      <c r="D401" s="2096"/>
      <c r="E401" s="2096"/>
      <c r="F401" s="2097"/>
      <c r="G401" s="2104"/>
      <c r="H401" s="213" t="s">
        <v>50</v>
      </c>
      <c r="I401" s="200" t="s">
        <v>219</v>
      </c>
      <c r="J401" s="1964">
        <f>TARGET!D397</f>
        <v>15000000</v>
      </c>
      <c r="K401" s="2159">
        <v>200000</v>
      </c>
      <c r="L401" s="2160">
        <f>'ALL BULAN'!E402</f>
        <v>0</v>
      </c>
      <c r="M401" s="2161">
        <f t="shared" si="64"/>
        <v>200000</v>
      </c>
      <c r="N401" s="1891">
        <f t="shared" si="65"/>
        <v>-14800000</v>
      </c>
      <c r="O401" s="2162">
        <f t="shared" si="66"/>
        <v>1.3333333333333335</v>
      </c>
      <c r="P401" s="2132"/>
    </row>
    <row r="402" spans="1:16" s="2070" customFormat="1" ht="5.35" customHeight="1">
      <c r="A402" s="2096"/>
      <c r="B402" s="2096"/>
      <c r="C402" s="2096"/>
      <c r="D402" s="2096"/>
      <c r="E402" s="2096"/>
      <c r="F402" s="2097"/>
      <c r="G402" s="2355"/>
      <c r="H402" s="2356"/>
      <c r="I402" s="856"/>
      <c r="J402" s="2382"/>
      <c r="K402" s="2159">
        <v>0</v>
      </c>
      <c r="L402" s="2382"/>
      <c r="M402" s="2161">
        <f t="shared" si="64"/>
        <v>0</v>
      </c>
      <c r="N402" s="1891">
        <f t="shared" si="65"/>
        <v>0</v>
      </c>
      <c r="O402" s="2162">
        <f>N402-K402</f>
        <v>0</v>
      </c>
      <c r="P402" s="2132"/>
    </row>
    <row r="403" spans="1:16" s="2070" customFormat="1" ht="15.05">
      <c r="A403" s="2102">
        <v>4</v>
      </c>
      <c r="B403" s="2102">
        <v>1</v>
      </c>
      <c r="C403" s="2102">
        <v>4</v>
      </c>
      <c r="D403" s="2095" t="s">
        <v>448</v>
      </c>
      <c r="E403" s="2096"/>
      <c r="F403" s="2097"/>
      <c r="G403" s="2352" t="s">
        <v>205</v>
      </c>
      <c r="H403" s="2357" t="s">
        <v>220</v>
      </c>
      <c r="I403" s="238"/>
      <c r="J403" s="2348">
        <f>SUM(J404:J404)</f>
        <v>217536159</v>
      </c>
      <c r="K403" s="2349">
        <v>558496</v>
      </c>
      <c r="L403" s="2348">
        <f>SUM(L404:L404)</f>
        <v>0</v>
      </c>
      <c r="M403" s="2350">
        <f t="shared" si="64"/>
        <v>558496</v>
      </c>
      <c r="N403" s="1749">
        <f t="shared" si="65"/>
        <v>-216977663</v>
      </c>
      <c r="O403" s="2162">
        <f>M403/J403*100</f>
        <v>0.25673708801670991</v>
      </c>
      <c r="P403" s="2132"/>
    </row>
    <row r="404" spans="1:16" s="2070" customFormat="1">
      <c r="A404" s="2096"/>
      <c r="B404" s="2096"/>
      <c r="C404" s="2096"/>
      <c r="D404" s="2096"/>
      <c r="E404" s="2096"/>
      <c r="F404" s="2097"/>
      <c r="G404" s="2355"/>
      <c r="H404" s="2358" t="s">
        <v>50</v>
      </c>
      <c r="I404" s="2383" t="s">
        <v>221</v>
      </c>
      <c r="J404" s="1964">
        <f>TARGET!D400</f>
        <v>217536159</v>
      </c>
      <c r="K404" s="2343">
        <v>558496</v>
      </c>
      <c r="L404" s="2160">
        <v>0</v>
      </c>
      <c r="M404" s="2344">
        <f t="shared" si="64"/>
        <v>558496</v>
      </c>
      <c r="N404" s="1891">
        <f t="shared" si="65"/>
        <v>-216977663</v>
      </c>
      <c r="O404" s="2162">
        <f>M404/J404*100</f>
        <v>0.25673708801670991</v>
      </c>
      <c r="P404" s="2132"/>
    </row>
    <row r="405" spans="1:16" s="2070" customFormat="1" ht="4.55" customHeight="1">
      <c r="A405" s="2096"/>
      <c r="B405" s="2096"/>
      <c r="C405" s="2096"/>
      <c r="D405" s="2096"/>
      <c r="E405" s="2096"/>
      <c r="F405" s="2097"/>
      <c r="G405" s="2355"/>
      <c r="H405" s="2214"/>
      <c r="I405" s="200"/>
      <c r="J405" s="2218"/>
      <c r="K405" s="2155">
        <v>0</v>
      </c>
      <c r="L405" s="2218"/>
      <c r="M405" s="2156">
        <f t="shared" si="64"/>
        <v>0</v>
      </c>
      <c r="N405" s="1891">
        <f t="shared" si="65"/>
        <v>0</v>
      </c>
      <c r="O405" s="2162">
        <f>N405-K405</f>
        <v>0</v>
      </c>
      <c r="P405" s="2132"/>
    </row>
    <row r="406" spans="1:16" s="2070" customFormat="1" ht="15.05">
      <c r="A406" s="2102">
        <v>4</v>
      </c>
      <c r="B406" s="2102">
        <v>1</v>
      </c>
      <c r="C406" s="2102">
        <v>4</v>
      </c>
      <c r="D406" s="2095" t="s">
        <v>444</v>
      </c>
      <c r="E406" s="2096"/>
      <c r="F406" s="2097"/>
      <c r="G406" s="2352" t="s">
        <v>205</v>
      </c>
      <c r="H406" s="2353" t="s">
        <v>222</v>
      </c>
      <c r="I406" s="238"/>
      <c r="J406" s="2381">
        <f>SUM(J407:J414)-J409</f>
        <v>73939763650</v>
      </c>
      <c r="K406" s="2349">
        <v>0</v>
      </c>
      <c r="L406" s="2381">
        <f>SUM(L407:L414)</f>
        <v>0</v>
      </c>
      <c r="M406" s="2350">
        <f t="shared" si="64"/>
        <v>0</v>
      </c>
      <c r="N406" s="1749">
        <f t="shared" si="65"/>
        <v>-73939763650</v>
      </c>
      <c r="O406" s="2162">
        <f>M406/J406*100</f>
        <v>0</v>
      </c>
      <c r="P406" s="2132"/>
    </row>
    <row r="407" spans="1:16" s="2070" customFormat="1">
      <c r="A407" s="1902">
        <v>4</v>
      </c>
      <c r="B407" s="1902">
        <v>1</v>
      </c>
      <c r="C407" s="1902" t="s">
        <v>443</v>
      </c>
      <c r="D407" s="1902" t="s">
        <v>444</v>
      </c>
      <c r="E407" s="1902" t="s">
        <v>440</v>
      </c>
      <c r="F407" s="2097"/>
      <c r="G407" s="2355"/>
      <c r="H407" s="2358" t="s">
        <v>50</v>
      </c>
      <c r="I407" s="224" t="s">
        <v>73</v>
      </c>
      <c r="J407" s="1964">
        <f>TARGET!D403</f>
        <v>0</v>
      </c>
      <c r="K407" s="2343">
        <v>0</v>
      </c>
      <c r="L407" s="2160">
        <f>'ALL BULAN'!E408</f>
        <v>0</v>
      </c>
      <c r="M407" s="2344">
        <f t="shared" si="64"/>
        <v>0</v>
      </c>
      <c r="N407" s="1891">
        <f t="shared" si="65"/>
        <v>0</v>
      </c>
      <c r="O407" s="2162">
        <v>0</v>
      </c>
      <c r="P407" s="2132"/>
    </row>
    <row r="408" spans="1:16" s="2070" customFormat="1">
      <c r="A408" s="1944">
        <v>4</v>
      </c>
      <c r="B408" s="1944">
        <v>1</v>
      </c>
      <c r="C408" s="1944" t="s">
        <v>443</v>
      </c>
      <c r="D408" s="1944" t="s">
        <v>444</v>
      </c>
      <c r="E408" s="2105" t="s">
        <v>445</v>
      </c>
      <c r="F408" s="2097"/>
      <c r="G408" s="2355"/>
      <c r="H408" s="2359" t="s">
        <v>50</v>
      </c>
      <c r="I408" s="200" t="s">
        <v>74</v>
      </c>
      <c r="J408" s="1964">
        <f>TARGET!D404</f>
        <v>0</v>
      </c>
      <c r="K408" s="2159">
        <v>0</v>
      </c>
      <c r="L408" s="2160">
        <f>'ALL BULAN'!E409</f>
        <v>0</v>
      </c>
      <c r="M408" s="2161">
        <f t="shared" si="64"/>
        <v>0</v>
      </c>
      <c r="N408" s="1891">
        <f t="shared" si="65"/>
        <v>0</v>
      </c>
      <c r="O408" s="2162">
        <v>0</v>
      </c>
      <c r="P408" s="2132"/>
    </row>
    <row r="409" spans="1:16" s="2070" customFormat="1">
      <c r="A409" s="1725">
        <v>4</v>
      </c>
      <c r="B409" s="1725">
        <v>1</v>
      </c>
      <c r="C409" s="1725" t="s">
        <v>443</v>
      </c>
      <c r="D409" s="1725" t="s">
        <v>444</v>
      </c>
      <c r="E409" s="1725" t="s">
        <v>441</v>
      </c>
      <c r="F409" s="2097"/>
      <c r="G409" s="2355"/>
      <c r="H409" s="2214" t="s">
        <v>308</v>
      </c>
      <c r="I409" s="202" t="s">
        <v>75</v>
      </c>
      <c r="J409" s="2181">
        <f>TARGET!D405</f>
        <v>3000000000</v>
      </c>
      <c r="K409" s="2159">
        <v>0</v>
      </c>
      <c r="L409" s="2224">
        <f>SUM(L410:L412)</f>
        <v>0</v>
      </c>
      <c r="M409" s="2161">
        <f t="shared" si="64"/>
        <v>0</v>
      </c>
      <c r="N409" s="1891">
        <f t="shared" si="65"/>
        <v>-3000000000</v>
      </c>
      <c r="O409" s="2162">
        <f t="shared" ref="O409:O415" si="67">M409/J409*100</f>
        <v>0</v>
      </c>
      <c r="P409" s="2132"/>
    </row>
    <row r="410" spans="1:16" s="2070" customFormat="1">
      <c r="A410" s="2096"/>
      <c r="B410" s="2096"/>
      <c r="C410" s="2096"/>
      <c r="D410" s="2096"/>
      <c r="E410" s="2096"/>
      <c r="F410" s="2097"/>
      <c r="G410" s="2355"/>
      <c r="H410" s="2359"/>
      <c r="I410" s="200" t="s">
        <v>458</v>
      </c>
      <c r="J410" s="1964">
        <f>TARGET!D406</f>
        <v>3000000000</v>
      </c>
      <c r="K410" s="2159">
        <v>0</v>
      </c>
      <c r="L410" s="2160">
        <f>'ALL BULAN'!E411</f>
        <v>0</v>
      </c>
      <c r="M410" s="2161">
        <f t="shared" si="64"/>
        <v>0</v>
      </c>
      <c r="N410" s="1891">
        <f t="shared" si="65"/>
        <v>-3000000000</v>
      </c>
      <c r="O410" s="2162">
        <f t="shared" si="67"/>
        <v>0</v>
      </c>
      <c r="P410" s="2132"/>
    </row>
    <row r="411" spans="1:16" s="2070" customFormat="1">
      <c r="A411" s="2096"/>
      <c r="B411" s="2096"/>
      <c r="C411" s="2096"/>
      <c r="D411" s="2096"/>
      <c r="E411" s="2096"/>
      <c r="F411" s="2097"/>
      <c r="G411" s="2355"/>
      <c r="H411" s="2359"/>
      <c r="I411" s="200" t="s">
        <v>224</v>
      </c>
      <c r="J411" s="1964">
        <f>TARGET!D407</f>
        <v>0</v>
      </c>
      <c r="K411" s="2159">
        <v>0</v>
      </c>
      <c r="L411" s="2160">
        <f>'ALL BULAN'!E412</f>
        <v>0</v>
      </c>
      <c r="M411" s="2161">
        <f t="shared" si="64"/>
        <v>0</v>
      </c>
      <c r="N411" s="1891">
        <f t="shared" si="65"/>
        <v>0</v>
      </c>
      <c r="O411" s="2162">
        <f>N411-K411</f>
        <v>0</v>
      </c>
      <c r="P411" s="2132"/>
    </row>
    <row r="412" spans="1:16" s="2070" customFormat="1">
      <c r="A412" s="2096"/>
      <c r="B412" s="2096"/>
      <c r="C412" s="2096"/>
      <c r="D412" s="2096"/>
      <c r="E412" s="2096"/>
      <c r="F412" s="2097"/>
      <c r="G412" s="2355"/>
      <c r="H412" s="2359"/>
      <c r="I412" s="200" t="s">
        <v>225</v>
      </c>
      <c r="J412" s="1964">
        <f>TARGET!D408</f>
        <v>0</v>
      </c>
      <c r="K412" s="2159">
        <v>0</v>
      </c>
      <c r="L412" s="2160">
        <f>'ALL BULAN'!E413</f>
        <v>0</v>
      </c>
      <c r="M412" s="2161">
        <f t="shared" si="64"/>
        <v>0</v>
      </c>
      <c r="N412" s="1891">
        <f t="shared" si="65"/>
        <v>0</v>
      </c>
      <c r="O412" s="2162">
        <f>N412-K412</f>
        <v>0</v>
      </c>
      <c r="P412" s="2132"/>
    </row>
    <row r="413" spans="1:16" s="2070" customFormat="1" ht="3.8" customHeight="1">
      <c r="A413" s="2096"/>
      <c r="B413" s="2096"/>
      <c r="C413" s="2096"/>
      <c r="D413" s="2096"/>
      <c r="E413" s="2096"/>
      <c r="F413" s="2097"/>
      <c r="G413" s="2355"/>
      <c r="H413" s="2359"/>
      <c r="I413" s="200"/>
      <c r="J413" s="2218"/>
      <c r="K413" s="2159">
        <v>0</v>
      </c>
      <c r="L413" s="2218"/>
      <c r="M413" s="2161">
        <f t="shared" si="64"/>
        <v>0</v>
      </c>
      <c r="N413" s="1891">
        <f t="shared" si="65"/>
        <v>0</v>
      </c>
      <c r="O413" s="2162">
        <f>N413-K413</f>
        <v>0</v>
      </c>
      <c r="P413" s="2132"/>
    </row>
    <row r="414" spans="1:16" s="2070" customFormat="1" ht="15.05">
      <c r="A414" s="1725">
        <v>4</v>
      </c>
      <c r="B414" s="1725">
        <v>1</v>
      </c>
      <c r="C414" s="1725" t="s">
        <v>443</v>
      </c>
      <c r="D414" s="1725" t="s">
        <v>444</v>
      </c>
      <c r="E414" s="1725" t="s">
        <v>456</v>
      </c>
      <c r="F414" s="2097"/>
      <c r="G414" s="2104"/>
      <c r="H414" s="2360" t="s">
        <v>50</v>
      </c>
      <c r="I414" s="2384" t="s">
        <v>226</v>
      </c>
      <c r="J414" s="2385">
        <f>SUM(J415:J417)</f>
        <v>70939763650</v>
      </c>
      <c r="K414" s="2341">
        <v>0</v>
      </c>
      <c r="L414" s="2385">
        <f>SUM(L415:L417)</f>
        <v>0</v>
      </c>
      <c r="M414" s="2342">
        <f t="shared" si="64"/>
        <v>0</v>
      </c>
      <c r="N414" s="1891">
        <f t="shared" si="65"/>
        <v>-70939763650</v>
      </c>
      <c r="O414" s="2162">
        <f t="shared" si="67"/>
        <v>0</v>
      </c>
      <c r="P414" s="2132"/>
    </row>
    <row r="415" spans="1:16" s="2070" customFormat="1">
      <c r="A415" s="2096"/>
      <c r="B415" s="2096"/>
      <c r="C415" s="2096"/>
      <c r="D415" s="2096"/>
      <c r="E415" s="2096"/>
      <c r="F415" s="2097"/>
      <c r="G415" s="2104"/>
      <c r="H415" s="224"/>
      <c r="I415" s="2737" t="s">
        <v>227</v>
      </c>
      <c r="J415" s="1964">
        <f>TARGET!D411</f>
        <v>70939763650</v>
      </c>
      <c r="K415" s="2343">
        <v>0</v>
      </c>
      <c r="L415" s="2160">
        <f>'ALL BULAN'!E416</f>
        <v>0</v>
      </c>
      <c r="M415" s="2344">
        <f t="shared" si="64"/>
        <v>0</v>
      </c>
      <c r="N415" s="1891">
        <f t="shared" si="65"/>
        <v>-70939763650</v>
      </c>
      <c r="O415" s="2162">
        <f t="shared" si="67"/>
        <v>0</v>
      </c>
      <c r="P415" s="2132"/>
    </row>
    <row r="416" spans="1:16" s="2070" customFormat="1">
      <c r="A416" s="2096"/>
      <c r="B416" s="2096"/>
      <c r="C416" s="2096"/>
      <c r="D416" s="2096"/>
      <c r="E416" s="2096"/>
      <c r="F416" s="2097"/>
      <c r="G416" s="2104"/>
      <c r="H416" s="200"/>
      <c r="I416" s="2738" t="s">
        <v>228</v>
      </c>
      <c r="J416" s="1964">
        <f>TARGET!D412</f>
        <v>0</v>
      </c>
      <c r="K416" s="2159">
        <v>0</v>
      </c>
      <c r="L416" s="2160">
        <f>'ALL BULAN'!E417</f>
        <v>0</v>
      </c>
      <c r="M416" s="2161">
        <f t="shared" si="64"/>
        <v>0</v>
      </c>
      <c r="N416" s="1891">
        <f t="shared" si="65"/>
        <v>0</v>
      </c>
      <c r="O416" s="2162">
        <v>0</v>
      </c>
      <c r="P416" s="2132"/>
    </row>
    <row r="417" spans="1:16" s="2070" customFormat="1">
      <c r="A417" s="2096"/>
      <c r="B417" s="2096"/>
      <c r="C417" s="2096"/>
      <c r="D417" s="2096"/>
      <c r="E417" s="2096"/>
      <c r="F417" s="2097"/>
      <c r="G417" s="2104"/>
      <c r="H417" s="200"/>
      <c r="I417" s="2738" t="s">
        <v>229</v>
      </c>
      <c r="J417" s="1964">
        <f>TARGET!D413</f>
        <v>0</v>
      </c>
      <c r="K417" s="2159">
        <v>0</v>
      </c>
      <c r="L417" s="2160">
        <f>'ALL BULAN'!E418</f>
        <v>0</v>
      </c>
      <c r="M417" s="2161">
        <f t="shared" ref="M417:M424" si="68">SUM(K417:L417)</f>
        <v>0</v>
      </c>
      <c r="N417" s="1891">
        <f t="shared" ref="N417:N424" si="69">M417-J417</f>
        <v>0</v>
      </c>
      <c r="O417" s="2162">
        <v>0</v>
      </c>
      <c r="P417" s="2132"/>
    </row>
    <row r="418" spans="1:16" s="2070" customFormat="1" ht="5.35" customHeight="1">
      <c r="A418" s="2096"/>
      <c r="B418" s="2096"/>
      <c r="C418" s="2096"/>
      <c r="D418" s="2096"/>
      <c r="E418" s="2096"/>
      <c r="F418" s="2097"/>
      <c r="G418" s="2104"/>
      <c r="H418" s="200"/>
      <c r="I418" s="224"/>
      <c r="J418" s="2218"/>
      <c r="K418" s="2159">
        <v>0</v>
      </c>
      <c r="L418" s="2218"/>
      <c r="M418" s="2161">
        <f t="shared" si="68"/>
        <v>0</v>
      </c>
      <c r="N418" s="1891">
        <f t="shared" si="69"/>
        <v>0</v>
      </c>
      <c r="O418" s="2162">
        <f>N418-K418</f>
        <v>0</v>
      </c>
      <c r="P418" s="2132"/>
    </row>
    <row r="419" spans="1:16" s="2070" customFormat="1" ht="15.05">
      <c r="A419" s="2102">
        <v>4</v>
      </c>
      <c r="B419" s="2102">
        <v>1</v>
      </c>
      <c r="C419" s="2102">
        <v>4</v>
      </c>
      <c r="D419" s="2095" t="s">
        <v>459</v>
      </c>
      <c r="E419" s="2096"/>
      <c r="F419" s="2097"/>
      <c r="G419" s="2352" t="s">
        <v>205</v>
      </c>
      <c r="H419" s="2361" t="s">
        <v>230</v>
      </c>
      <c r="I419" s="2386"/>
      <c r="J419" s="2387">
        <f>J420+J422</f>
        <v>60900800</v>
      </c>
      <c r="K419" s="2349">
        <v>0</v>
      </c>
      <c r="L419" s="2387">
        <f>L420+L422</f>
        <v>0</v>
      </c>
      <c r="M419" s="2350">
        <f t="shared" si="68"/>
        <v>0</v>
      </c>
      <c r="N419" s="1749">
        <f t="shared" si="69"/>
        <v>-60900800</v>
      </c>
      <c r="O419" s="2162">
        <f t="shared" ref="O419:O424" si="70">M419/J419*100</f>
        <v>0</v>
      </c>
      <c r="P419" s="2132"/>
    </row>
    <row r="420" spans="1:16" s="2074" customFormat="1">
      <c r="A420" s="2215"/>
      <c r="B420" s="2215"/>
      <c r="C420" s="2215"/>
      <c r="D420" s="2215"/>
      <c r="E420" s="2215"/>
      <c r="F420" s="2202"/>
      <c r="G420" s="2104"/>
      <c r="H420" s="2362" t="s">
        <v>231</v>
      </c>
      <c r="J420" s="2291">
        <f>J421</f>
        <v>12035600</v>
      </c>
      <c r="K420" s="2343">
        <v>0</v>
      </c>
      <c r="L420" s="2291">
        <f>L421</f>
        <v>0</v>
      </c>
      <c r="M420" s="2344">
        <f t="shared" si="68"/>
        <v>0</v>
      </c>
      <c r="N420" s="1891">
        <f t="shared" si="69"/>
        <v>-12035600</v>
      </c>
      <c r="O420" s="2162">
        <f t="shared" si="70"/>
        <v>0</v>
      </c>
      <c r="P420" s="2132"/>
    </row>
    <row r="421" spans="1:16" s="2070" customFormat="1">
      <c r="A421" s="2096"/>
      <c r="B421" s="2096"/>
      <c r="C421" s="2096"/>
      <c r="D421" s="2096"/>
      <c r="E421" s="2096"/>
      <c r="F421" s="2097"/>
      <c r="G421" s="2104"/>
      <c r="H421" s="213" t="s">
        <v>50</v>
      </c>
      <c r="I421" s="2388" t="s">
        <v>232</v>
      </c>
      <c r="J421" s="1964">
        <f>TARGET!D417</f>
        <v>12035600</v>
      </c>
      <c r="K421" s="2159">
        <v>0</v>
      </c>
      <c r="L421" s="2160">
        <f>'ALL BULAN'!E422</f>
        <v>0</v>
      </c>
      <c r="M421" s="2161">
        <f t="shared" si="68"/>
        <v>0</v>
      </c>
      <c r="N421" s="1891">
        <f t="shared" si="69"/>
        <v>-12035600</v>
      </c>
      <c r="O421" s="2162">
        <f t="shared" si="70"/>
        <v>0</v>
      </c>
      <c r="P421" s="2132"/>
    </row>
    <row r="422" spans="1:16" s="2074" customFormat="1">
      <c r="A422" s="2215"/>
      <c r="B422" s="2215"/>
      <c r="C422" s="2215"/>
      <c r="D422" s="2215"/>
      <c r="E422" s="2215"/>
      <c r="F422" s="2202"/>
      <c r="G422" s="2104"/>
      <c r="H422" s="2363" t="s">
        <v>233</v>
      </c>
      <c r="J422" s="2283">
        <f>SUM(J423:J424)</f>
        <v>48865200</v>
      </c>
      <c r="K422" s="2159">
        <v>0</v>
      </c>
      <c r="L422" s="2283">
        <f>SUM(L423:L424)</f>
        <v>0</v>
      </c>
      <c r="M422" s="2161">
        <f t="shared" si="68"/>
        <v>0</v>
      </c>
      <c r="N422" s="1891">
        <f t="shared" si="69"/>
        <v>-48865200</v>
      </c>
      <c r="O422" s="2162">
        <f t="shared" si="70"/>
        <v>0</v>
      </c>
      <c r="P422" s="2132"/>
    </row>
    <row r="423" spans="1:16" s="2070" customFormat="1">
      <c r="A423" s="2096"/>
      <c r="B423" s="2096"/>
      <c r="C423" s="2096"/>
      <c r="D423" s="2096"/>
      <c r="E423" s="2096"/>
      <c r="F423" s="2097"/>
      <c r="G423" s="2104"/>
      <c r="H423" s="213" t="s">
        <v>50</v>
      </c>
      <c r="I423" s="2738" t="s">
        <v>234</v>
      </c>
      <c r="J423" s="1964">
        <f>TARGET!D419</f>
        <v>4492800</v>
      </c>
      <c r="K423" s="2159">
        <v>0</v>
      </c>
      <c r="L423" s="2160">
        <f>'ALL BULAN'!E424</f>
        <v>0</v>
      </c>
      <c r="M423" s="2161">
        <f t="shared" si="68"/>
        <v>0</v>
      </c>
      <c r="N423" s="1891">
        <f t="shared" si="69"/>
        <v>-4492800</v>
      </c>
      <c r="O423" s="2162">
        <f t="shared" si="70"/>
        <v>0</v>
      </c>
      <c r="P423" s="2132"/>
    </row>
    <row r="424" spans="1:16" s="2070" customFormat="1">
      <c r="A424" s="2096"/>
      <c r="B424" s="2096"/>
      <c r="C424" s="2096"/>
      <c r="D424" s="2096"/>
      <c r="E424" s="2096"/>
      <c r="F424" s="2097"/>
      <c r="G424" s="2104"/>
      <c r="H424" s="213" t="s">
        <v>50</v>
      </c>
      <c r="I424" s="2738" t="s">
        <v>235</v>
      </c>
      <c r="J424" s="1964">
        <f>TARGET!D420</f>
        <v>44372400</v>
      </c>
      <c r="K424" s="2159">
        <v>0</v>
      </c>
      <c r="L424" s="2160">
        <f>'ALL BULAN'!E425</f>
        <v>0</v>
      </c>
      <c r="M424" s="2161">
        <f t="shared" si="68"/>
        <v>0</v>
      </c>
      <c r="N424" s="1891">
        <f t="shared" si="69"/>
        <v>-44372400</v>
      </c>
      <c r="O424" s="2162">
        <f t="shared" si="70"/>
        <v>0</v>
      </c>
      <c r="P424" s="2132"/>
    </row>
    <row r="425" spans="1:16" s="2070" customFormat="1" ht="5.35" customHeight="1">
      <c r="A425" s="2096"/>
      <c r="B425" s="2096"/>
      <c r="C425" s="2096"/>
      <c r="D425" s="2096"/>
      <c r="E425" s="2096"/>
      <c r="F425" s="2097"/>
      <c r="G425" s="2251"/>
      <c r="H425" s="2364"/>
      <c r="I425" s="2364"/>
      <c r="J425" s="2389"/>
      <c r="K425" s="2390"/>
      <c r="L425" s="2389"/>
      <c r="M425" s="2391"/>
      <c r="N425" s="2391"/>
      <c r="O425" s="2392"/>
      <c r="P425" s="2132"/>
    </row>
    <row r="426" spans="1:16" s="2077" customFormat="1" ht="15.05">
      <c r="A426" s="2102">
        <v>4</v>
      </c>
      <c r="B426" s="2102" t="s">
        <v>460</v>
      </c>
      <c r="C426" s="2365"/>
      <c r="D426" s="2365"/>
      <c r="E426" s="2365"/>
      <c r="F426" s="2366"/>
      <c r="G426" s="2324"/>
      <c r="H426" s="2313" t="s">
        <v>236</v>
      </c>
      <c r="I426" s="2393"/>
      <c r="J426" s="2394">
        <f>+J427+J440+J445+J455+J489</f>
        <v>3289786024210</v>
      </c>
      <c r="K426" s="2395">
        <v>602895773311</v>
      </c>
      <c r="L426" s="2394">
        <f>+L427+L440+L445+L455+L489</f>
        <v>253510823600</v>
      </c>
      <c r="M426" s="2394">
        <f>+M427+M440+M445+M455+M489</f>
        <v>856406596911</v>
      </c>
      <c r="N426" s="2147">
        <f t="shared" ref="N426:N438" si="71">M426-J426</f>
        <v>-2433379427299</v>
      </c>
      <c r="O426" s="2149">
        <f>M426/J426*100</f>
        <v>26.032288744878322</v>
      </c>
      <c r="P426" s="2150"/>
    </row>
    <row r="427" spans="1:16" s="2078" customFormat="1" ht="14.25" customHeight="1">
      <c r="A427" s="2102">
        <v>4</v>
      </c>
      <c r="B427" s="2102" t="s">
        <v>460</v>
      </c>
      <c r="C427" s="2102">
        <v>1</v>
      </c>
      <c r="D427" s="2367"/>
      <c r="E427" s="2367"/>
      <c r="F427" s="2368"/>
      <c r="G427" s="2369" t="s">
        <v>237</v>
      </c>
      <c r="H427" s="2370" t="s">
        <v>238</v>
      </c>
      <c r="I427" s="2370"/>
      <c r="J427" s="2396">
        <f>SUM(J428:J438)-J435-J428</f>
        <v>353125684600</v>
      </c>
      <c r="K427" s="2397">
        <v>77134449311</v>
      </c>
      <c r="L427" s="2396">
        <f>+L428+L435</f>
        <v>43645442600</v>
      </c>
      <c r="M427" s="2396">
        <f t="shared" ref="M427:M443" si="72">SUM(K427:L427)</f>
        <v>120779891911</v>
      </c>
      <c r="N427" s="2396">
        <f t="shared" si="71"/>
        <v>-232345792689</v>
      </c>
      <c r="O427" s="2398">
        <f>M427/J427*100</f>
        <v>34.203088922238081</v>
      </c>
      <c r="P427" s="2132"/>
    </row>
    <row r="428" spans="1:16" s="2070" customFormat="1" ht="15.05">
      <c r="A428" s="2102">
        <v>4</v>
      </c>
      <c r="B428" s="2102" t="s">
        <v>460</v>
      </c>
      <c r="C428" s="2102">
        <v>1</v>
      </c>
      <c r="D428" s="2095" t="s">
        <v>437</v>
      </c>
      <c r="E428" s="2096"/>
      <c r="F428" s="2097"/>
      <c r="G428" s="2100"/>
      <c r="H428" s="212" t="s">
        <v>239</v>
      </c>
      <c r="I428" s="224"/>
      <c r="J428" s="2399">
        <f>SUM(J429:J433)</f>
        <v>185190481600</v>
      </c>
      <c r="K428" s="2400">
        <v>15220097700</v>
      </c>
      <c r="L428" s="2399">
        <f>SUM(L429:L433)</f>
        <v>43568767100</v>
      </c>
      <c r="M428" s="2401">
        <f t="shared" si="72"/>
        <v>58788864800</v>
      </c>
      <c r="N428" s="1749">
        <f t="shared" si="71"/>
        <v>-126401616800</v>
      </c>
      <c r="O428" s="2162">
        <f>M428/J428*100</f>
        <v>31.745079062421965</v>
      </c>
      <c r="P428" s="2132"/>
    </row>
    <row r="429" spans="1:16" s="2070" customFormat="1">
      <c r="A429" s="2102">
        <v>4</v>
      </c>
      <c r="B429" s="2102" t="s">
        <v>460</v>
      </c>
      <c r="C429" s="2102">
        <v>1</v>
      </c>
      <c r="D429" s="2095" t="s">
        <v>437</v>
      </c>
      <c r="E429" s="2095" t="s">
        <v>437</v>
      </c>
      <c r="F429" s="2097"/>
      <c r="G429" s="2251"/>
      <c r="H429" s="2729" t="s">
        <v>50</v>
      </c>
      <c r="I429" s="856" t="s">
        <v>240</v>
      </c>
      <c r="J429" s="1964">
        <f>TARGET!D425</f>
        <v>10416269000</v>
      </c>
      <c r="K429" s="2159">
        <v>2542990867</v>
      </c>
      <c r="L429" s="2160">
        <v>2000213850</v>
      </c>
      <c r="M429" s="2161">
        <f t="shared" si="72"/>
        <v>4543204717</v>
      </c>
      <c r="N429" s="1891">
        <f t="shared" si="71"/>
        <v>-5873064283</v>
      </c>
      <c r="O429" s="2162">
        <f>M429/J429*100</f>
        <v>43.616430384046339</v>
      </c>
      <c r="P429" s="2132"/>
    </row>
    <row r="430" spans="1:16" s="2070" customFormat="1">
      <c r="A430" s="2102">
        <v>4</v>
      </c>
      <c r="B430" s="2102" t="s">
        <v>460</v>
      </c>
      <c r="C430" s="2102">
        <v>1</v>
      </c>
      <c r="D430" s="2095" t="s">
        <v>437</v>
      </c>
      <c r="F430" s="2097"/>
      <c r="G430" s="2371"/>
      <c r="H430" s="2729" t="s">
        <v>50</v>
      </c>
      <c r="I430" s="206" t="s">
        <v>241</v>
      </c>
      <c r="J430" s="1964">
        <f>TARGET!D426</f>
        <v>0</v>
      </c>
      <c r="K430" s="2159">
        <v>0</v>
      </c>
      <c r="L430" s="2160">
        <f>'ALL BULAN'!E431</f>
        <v>0</v>
      </c>
      <c r="M430" s="2161">
        <f t="shared" si="72"/>
        <v>0</v>
      </c>
      <c r="N430" s="1891">
        <f t="shared" si="71"/>
        <v>0</v>
      </c>
      <c r="O430" s="2162">
        <v>0</v>
      </c>
      <c r="P430" s="2132"/>
    </row>
    <row r="431" spans="1:16" s="2070" customFormat="1">
      <c r="A431" s="2102">
        <v>4</v>
      </c>
      <c r="B431" s="2102" t="s">
        <v>460</v>
      </c>
      <c r="C431" s="2102">
        <v>1</v>
      </c>
      <c r="D431" s="2095" t="s">
        <v>437</v>
      </c>
      <c r="E431" s="2095" t="s">
        <v>440</v>
      </c>
      <c r="F431" s="2097"/>
      <c r="G431" s="2371"/>
      <c r="H431" s="2729" t="s">
        <v>50</v>
      </c>
      <c r="I431" s="206" t="s">
        <v>242</v>
      </c>
      <c r="J431" s="1964">
        <f>TARGET!D427</f>
        <v>104034902000</v>
      </c>
      <c r="K431" s="2159">
        <v>12576808932</v>
      </c>
      <c r="L431" s="2160">
        <v>23883725500</v>
      </c>
      <c r="M431" s="2161">
        <f t="shared" si="72"/>
        <v>36460534432</v>
      </c>
      <c r="N431" s="1891">
        <f t="shared" si="71"/>
        <v>-67574367568</v>
      </c>
      <c r="O431" s="2162">
        <f t="shared" ref="O431:O438" si="73">M431/J431*100</f>
        <v>35.046444732557156</v>
      </c>
      <c r="P431" s="2132"/>
    </row>
    <row r="432" spans="1:16" s="2070" customFormat="1">
      <c r="A432" s="2102">
        <v>4</v>
      </c>
      <c r="B432" s="2102" t="s">
        <v>460</v>
      </c>
      <c r="C432" s="2102">
        <v>1</v>
      </c>
      <c r="D432" s="2095" t="s">
        <v>437</v>
      </c>
      <c r="E432" s="2095"/>
      <c r="F432" s="2097"/>
      <c r="G432" s="2371"/>
      <c r="H432" s="2729" t="s">
        <v>50</v>
      </c>
      <c r="I432" s="206" t="s">
        <v>243</v>
      </c>
      <c r="J432" s="1964">
        <f>TARGET!D428</f>
        <v>0</v>
      </c>
      <c r="K432" s="2159">
        <v>0</v>
      </c>
      <c r="L432" s="2160">
        <f>'ALL BULAN'!E433</f>
        <v>0</v>
      </c>
      <c r="M432" s="2161">
        <f t="shared" si="72"/>
        <v>0</v>
      </c>
      <c r="N432" s="1891">
        <f t="shared" si="71"/>
        <v>0</v>
      </c>
      <c r="O432" s="2162">
        <f>N432-K432</f>
        <v>0</v>
      </c>
      <c r="P432" s="2132"/>
    </row>
    <row r="433" spans="1:16" s="2070" customFormat="1">
      <c r="A433" s="2102">
        <v>4</v>
      </c>
      <c r="B433" s="2102" t="s">
        <v>460</v>
      </c>
      <c r="C433" s="2102">
        <v>1</v>
      </c>
      <c r="D433" s="2095" t="s">
        <v>437</v>
      </c>
      <c r="E433" s="2095" t="s">
        <v>445</v>
      </c>
      <c r="F433" s="2097"/>
      <c r="G433" s="2371"/>
      <c r="H433" s="2729" t="s">
        <v>50</v>
      </c>
      <c r="I433" s="206" t="s">
        <v>244</v>
      </c>
      <c r="J433" s="1964">
        <f>TARGET!D429</f>
        <v>70739310600</v>
      </c>
      <c r="K433" s="2159">
        <v>100297901</v>
      </c>
      <c r="L433" s="2160">
        <v>17684827750</v>
      </c>
      <c r="M433" s="2161">
        <f t="shared" si="72"/>
        <v>17785125651</v>
      </c>
      <c r="N433" s="1891">
        <f t="shared" si="71"/>
        <v>-52954184949</v>
      </c>
      <c r="O433" s="2162">
        <f t="shared" si="73"/>
        <v>25.141785380927928</v>
      </c>
      <c r="P433" s="2132"/>
    </row>
    <row r="434" spans="1:16" s="2070" customFormat="1" ht="5.95" customHeight="1">
      <c r="A434" s="2096"/>
      <c r="B434" s="2096"/>
      <c r="C434" s="2096"/>
      <c r="D434" s="2096"/>
      <c r="E434" s="2096"/>
      <c r="F434" s="2097"/>
      <c r="G434" s="2371"/>
      <c r="H434" s="856"/>
      <c r="I434" s="206"/>
      <c r="J434" s="2402"/>
      <c r="K434" s="2159">
        <v>0</v>
      </c>
      <c r="L434" s="2402"/>
      <c r="M434" s="2161">
        <f t="shared" si="72"/>
        <v>0</v>
      </c>
      <c r="N434" s="1891">
        <f t="shared" si="71"/>
        <v>0</v>
      </c>
      <c r="O434" s="2162">
        <f>N434-K434</f>
        <v>0</v>
      </c>
      <c r="P434" s="2132"/>
    </row>
    <row r="435" spans="1:16" s="2070" customFormat="1" ht="15.05">
      <c r="A435" s="2102">
        <v>4</v>
      </c>
      <c r="B435" s="2102" t="s">
        <v>460</v>
      </c>
      <c r="C435" s="2102">
        <v>1</v>
      </c>
      <c r="D435" s="2095" t="s">
        <v>438</v>
      </c>
      <c r="E435" s="2096"/>
      <c r="F435" s="2097"/>
      <c r="G435" s="2371"/>
      <c r="H435" s="2731" t="s">
        <v>245</v>
      </c>
      <c r="I435" s="206"/>
      <c r="J435" s="1962">
        <f>SUM(J436:J438)</f>
        <v>167935203000</v>
      </c>
      <c r="K435" s="1963">
        <v>61914351611</v>
      </c>
      <c r="L435" s="1962">
        <f>SUM(L436:L439)</f>
        <v>76675500</v>
      </c>
      <c r="M435" s="1962">
        <f>SUM(M436:M439)</f>
        <v>61991027111</v>
      </c>
      <c r="N435" s="1749">
        <f t="shared" si="71"/>
        <v>-105944175889</v>
      </c>
      <c r="O435" s="2162">
        <f t="shared" si="73"/>
        <v>36.913658365601883</v>
      </c>
      <c r="P435" s="2132"/>
    </row>
    <row r="436" spans="1:16" s="2070" customFormat="1">
      <c r="A436" s="2102">
        <v>4</v>
      </c>
      <c r="B436" s="2102" t="s">
        <v>460</v>
      </c>
      <c r="C436" s="2102">
        <v>1</v>
      </c>
      <c r="D436" s="2095" t="s">
        <v>438</v>
      </c>
      <c r="E436" s="2095" t="s">
        <v>437</v>
      </c>
      <c r="F436" s="2097"/>
      <c r="G436" s="2371"/>
      <c r="H436" s="2730" t="s">
        <v>50</v>
      </c>
      <c r="I436" s="206" t="s">
        <v>246</v>
      </c>
      <c r="J436" s="1964">
        <f>TARGET!D432</f>
        <v>511170000</v>
      </c>
      <c r="K436" s="2159">
        <v>0</v>
      </c>
      <c r="L436" s="2160">
        <v>66556500</v>
      </c>
      <c r="M436" s="2161">
        <f t="shared" si="72"/>
        <v>66556500</v>
      </c>
      <c r="N436" s="1891">
        <f t="shared" si="71"/>
        <v>-444613500</v>
      </c>
      <c r="O436" s="2162">
        <f t="shared" si="73"/>
        <v>13.020423733787196</v>
      </c>
      <c r="P436" s="2132"/>
    </row>
    <row r="437" spans="1:16" s="2070" customFormat="1">
      <c r="A437" s="2102">
        <v>4</v>
      </c>
      <c r="B437" s="2102" t="s">
        <v>460</v>
      </c>
      <c r="C437" s="2102">
        <v>1</v>
      </c>
      <c r="D437" s="2095" t="s">
        <v>438</v>
      </c>
      <c r="E437" s="2105" t="s">
        <v>445</v>
      </c>
      <c r="F437" s="2097"/>
      <c r="G437" s="2371"/>
      <c r="H437" s="2730" t="s">
        <v>50</v>
      </c>
      <c r="I437" s="206" t="s">
        <v>247</v>
      </c>
      <c r="J437" s="1964">
        <f>TARGET!D433</f>
        <v>4168131000</v>
      </c>
      <c r="K437" s="2159">
        <v>1232728624</v>
      </c>
      <c r="L437" s="2160">
        <v>0</v>
      </c>
      <c r="M437" s="2161">
        <f t="shared" si="72"/>
        <v>1232728624</v>
      </c>
      <c r="N437" s="1891">
        <f t="shared" si="71"/>
        <v>-2935402376</v>
      </c>
      <c r="O437" s="2162">
        <f t="shared" si="73"/>
        <v>29.57509310527908</v>
      </c>
      <c r="P437" s="2132"/>
    </row>
    <row r="438" spans="1:16" s="2070" customFormat="1">
      <c r="A438" s="2102">
        <v>4</v>
      </c>
      <c r="B438" s="2102" t="s">
        <v>460</v>
      </c>
      <c r="C438" s="2102">
        <v>1</v>
      </c>
      <c r="D438" s="2095" t="s">
        <v>438</v>
      </c>
      <c r="E438" s="2105" t="s">
        <v>451</v>
      </c>
      <c r="F438" s="2097"/>
      <c r="G438" s="2371"/>
      <c r="H438" s="2730" t="s">
        <v>50</v>
      </c>
      <c r="I438" s="206" t="s">
        <v>248</v>
      </c>
      <c r="J438" s="1964">
        <f>TARGET!D434</f>
        <v>163255902000</v>
      </c>
      <c r="K438" s="2159">
        <v>60654372288</v>
      </c>
      <c r="L438" s="2160">
        <v>0</v>
      </c>
      <c r="M438" s="2161">
        <f t="shared" si="72"/>
        <v>60654372288</v>
      </c>
      <c r="N438" s="1891">
        <f t="shared" si="71"/>
        <v>-102601529712</v>
      </c>
      <c r="O438" s="2162">
        <f t="shared" si="73"/>
        <v>37.152943045207635</v>
      </c>
      <c r="P438" s="2132"/>
    </row>
    <row r="439" spans="1:16" s="2070" customFormat="1" ht="13.5" customHeight="1">
      <c r="A439" s="2096"/>
      <c r="B439" s="2096"/>
      <c r="C439" s="2096"/>
      <c r="D439" s="2096"/>
      <c r="E439" s="2096"/>
      <c r="F439" s="2097"/>
      <c r="G439" s="2372"/>
      <c r="H439" s="2752" t="s">
        <v>50</v>
      </c>
      <c r="I439" s="2403" t="s">
        <v>461</v>
      </c>
      <c r="J439" s="2404"/>
      <c r="K439" s="1892">
        <v>27250699</v>
      </c>
      <c r="L439" s="2404">
        <v>10119000</v>
      </c>
      <c r="M439" s="1893">
        <f t="shared" si="72"/>
        <v>37369699</v>
      </c>
      <c r="N439" s="1893">
        <f>SUM(L439:M439)</f>
        <v>47488699</v>
      </c>
      <c r="O439" s="2162">
        <v>0</v>
      </c>
      <c r="P439" s="2132"/>
    </row>
    <row r="440" spans="1:16" s="2077" customFormat="1" ht="15.05">
      <c r="A440" s="2102">
        <v>4</v>
      </c>
      <c r="B440" s="2102" t="s">
        <v>460</v>
      </c>
      <c r="C440" s="2102" t="s">
        <v>460</v>
      </c>
      <c r="D440" s="2365"/>
      <c r="E440" s="2365"/>
      <c r="F440" s="2366"/>
      <c r="G440" s="2369" t="s">
        <v>249</v>
      </c>
      <c r="H440" s="2739" t="s">
        <v>250</v>
      </c>
      <c r="I440" s="2405"/>
      <c r="J440" s="2406">
        <f>J441</f>
        <v>1496972549710</v>
      </c>
      <c r="K440" s="2397">
        <v>354005724000</v>
      </c>
      <c r="L440" s="2406">
        <f>L441</f>
        <v>118001908000</v>
      </c>
      <c r="M440" s="2396">
        <f t="shared" si="72"/>
        <v>472007632000</v>
      </c>
      <c r="N440" s="2396">
        <f>M440-J440</f>
        <v>-1024964917710</v>
      </c>
      <c r="O440" s="2398">
        <f>M440/J440*100</f>
        <v>31.53081411489071</v>
      </c>
      <c r="P440" s="2150"/>
    </row>
    <row r="441" spans="1:16" s="2070" customFormat="1">
      <c r="A441" s="2102">
        <v>4</v>
      </c>
      <c r="B441" s="2102" t="s">
        <v>460</v>
      </c>
      <c r="C441" s="2102" t="s">
        <v>460</v>
      </c>
      <c r="D441" s="2095" t="s">
        <v>437</v>
      </c>
      <c r="E441" s="2096"/>
      <c r="F441" s="2097"/>
      <c r="G441" s="2373"/>
      <c r="H441" s="2740" t="s">
        <v>251</v>
      </c>
      <c r="I441" s="205"/>
      <c r="J441" s="2407">
        <f>SUM(J442:J443)</f>
        <v>1496972549710</v>
      </c>
      <c r="K441" s="2159">
        <v>354005724000</v>
      </c>
      <c r="L441" s="2407">
        <f>SUM(L442:L443)</f>
        <v>118001908000</v>
      </c>
      <c r="M441" s="2161">
        <f t="shared" si="72"/>
        <v>472007632000</v>
      </c>
      <c r="N441" s="1891">
        <f>M441-J441</f>
        <v>-1024964917710</v>
      </c>
      <c r="O441" s="2162">
        <f>M441/J441*100</f>
        <v>31.53081411489071</v>
      </c>
      <c r="P441" s="2132"/>
    </row>
    <row r="442" spans="1:16" s="2070" customFormat="1">
      <c r="A442" s="2096"/>
      <c r="B442" s="2096"/>
      <c r="C442" s="2096"/>
      <c r="D442" s="2096"/>
      <c r="E442" s="2096"/>
      <c r="F442" s="2097"/>
      <c r="G442" s="2371"/>
      <c r="H442" s="2730" t="s">
        <v>50</v>
      </c>
      <c r="I442" s="206" t="s">
        <v>252</v>
      </c>
      <c r="J442" s="1964">
        <f>TARGET!D438</f>
        <v>1416022952000</v>
      </c>
      <c r="K442" s="2159">
        <v>354005724000</v>
      </c>
      <c r="L442" s="2160">
        <v>118001908000</v>
      </c>
      <c r="M442" s="2161">
        <f t="shared" si="72"/>
        <v>472007632000</v>
      </c>
      <c r="N442" s="1891">
        <f>M442-J442</f>
        <v>-944015320000</v>
      </c>
      <c r="O442" s="2162">
        <f>M442/J442*100</f>
        <v>33.333332015087279</v>
      </c>
      <c r="P442" s="2132"/>
    </row>
    <row r="443" spans="1:16" s="2070" customFormat="1">
      <c r="A443" s="2096"/>
      <c r="B443" s="2096"/>
      <c r="C443" s="2096"/>
      <c r="D443" s="2096"/>
      <c r="E443" s="2096"/>
      <c r="F443" s="2097"/>
      <c r="G443" s="2371"/>
      <c r="H443" s="2730" t="s">
        <v>50</v>
      </c>
      <c r="I443" s="206" t="s">
        <v>253</v>
      </c>
      <c r="J443" s="1964">
        <f>TARGET!D439</f>
        <v>80949597710</v>
      </c>
      <c r="K443" s="2159">
        <v>0</v>
      </c>
      <c r="L443" s="2160">
        <f>'ALL BULAN'!E444</f>
        <v>0</v>
      </c>
      <c r="M443" s="2161">
        <f t="shared" si="72"/>
        <v>0</v>
      </c>
      <c r="N443" s="1891">
        <f>M443-J443</f>
        <v>-80949597710</v>
      </c>
      <c r="O443" s="2162">
        <f>M443/J443*100</f>
        <v>0</v>
      </c>
      <c r="P443" s="2132"/>
    </row>
    <row r="444" spans="1:16" s="2070" customFormat="1" ht="5.95" customHeight="1">
      <c r="A444" s="2096"/>
      <c r="B444" s="2096"/>
      <c r="C444" s="2096"/>
      <c r="D444" s="2096"/>
      <c r="E444" s="2096"/>
      <c r="F444" s="2097"/>
      <c r="G444" s="2374"/>
      <c r="H444" s="203"/>
      <c r="I444" s="203"/>
      <c r="J444" s="2408"/>
      <c r="K444" s="2409"/>
      <c r="L444" s="2408"/>
      <c r="M444" s="2410"/>
      <c r="N444" s="2410"/>
      <c r="O444" s="2411"/>
      <c r="P444" s="2132"/>
    </row>
    <row r="445" spans="1:16" s="2078" customFormat="1" ht="15.05">
      <c r="A445" s="2102">
        <v>4</v>
      </c>
      <c r="B445" s="2102" t="s">
        <v>460</v>
      </c>
      <c r="C445" s="2102" t="s">
        <v>457</v>
      </c>
      <c r="D445" s="2367"/>
      <c r="E445" s="2367"/>
      <c r="F445" s="2368"/>
      <c r="G445" s="2369" t="s">
        <v>254</v>
      </c>
      <c r="H445" s="2739" t="s">
        <v>255</v>
      </c>
      <c r="I445" s="2405"/>
      <c r="J445" s="2406">
        <f>J446</f>
        <v>1372422968000</v>
      </c>
      <c r="K445" s="2397">
        <v>171755600000</v>
      </c>
      <c r="L445" s="2406">
        <f>L446</f>
        <v>65166318000</v>
      </c>
      <c r="M445" s="2396">
        <f t="shared" ref="M445:M453" si="74">SUM(K445:L445)</f>
        <v>236921918000</v>
      </c>
      <c r="N445" s="2396">
        <f t="shared" ref="N445:N453" si="75">M445-J445</f>
        <v>-1135501050000</v>
      </c>
      <c r="O445" s="2398">
        <f t="shared" ref="O445:O453" si="76">M445/J445*100</f>
        <v>17.263039421823493</v>
      </c>
      <c r="P445" s="2132"/>
    </row>
    <row r="446" spans="1:16" s="2070" customFormat="1">
      <c r="A446" s="2102">
        <v>4</v>
      </c>
      <c r="B446" s="2102" t="s">
        <v>460</v>
      </c>
      <c r="C446" s="2102" t="s">
        <v>457</v>
      </c>
      <c r="D446" s="2095" t="s">
        <v>437</v>
      </c>
      <c r="E446" s="2096"/>
      <c r="F446" s="2097"/>
      <c r="G446" s="2375"/>
      <c r="H446" s="2740" t="s">
        <v>256</v>
      </c>
      <c r="I446" s="205"/>
      <c r="J446" s="2407">
        <f>J447+J453</f>
        <v>1372422968000</v>
      </c>
      <c r="K446" s="2159">
        <v>171755600000</v>
      </c>
      <c r="L446" s="2407">
        <f>L447+L453</f>
        <v>65166318000</v>
      </c>
      <c r="M446" s="2161">
        <f t="shared" si="74"/>
        <v>236921918000</v>
      </c>
      <c r="N446" s="1891">
        <f t="shared" si="75"/>
        <v>-1135501050000</v>
      </c>
      <c r="O446" s="2162">
        <f t="shared" si="76"/>
        <v>17.263039421823493</v>
      </c>
      <c r="P446" s="2132"/>
    </row>
    <row r="447" spans="1:16" s="2070" customFormat="1" ht="15.05">
      <c r="A447" s="2096"/>
      <c r="B447" s="2096"/>
      <c r="C447" s="2096"/>
      <c r="D447" s="2096"/>
      <c r="E447" s="2096"/>
      <c r="F447" s="2097"/>
      <c r="G447" s="2371"/>
      <c r="H447" s="2730" t="s">
        <v>50</v>
      </c>
      <c r="I447" s="206" t="s">
        <v>257</v>
      </c>
      <c r="J447" s="1962">
        <f>SUM(J448:J452)</f>
        <v>1074923968000</v>
      </c>
      <c r="K447" s="2155">
        <v>171755600000</v>
      </c>
      <c r="L447" s="1962">
        <f>SUM(L448:L452)</f>
        <v>65166318000</v>
      </c>
      <c r="M447" s="2156">
        <f t="shared" si="74"/>
        <v>236921918000</v>
      </c>
      <c r="N447" s="1749">
        <f t="shared" si="75"/>
        <v>-838002050000</v>
      </c>
      <c r="O447" s="2162">
        <f t="shared" si="76"/>
        <v>22.040807075947534</v>
      </c>
      <c r="P447" s="2132"/>
    </row>
    <row r="448" spans="1:16" s="2070" customFormat="1">
      <c r="A448" s="2096"/>
      <c r="B448" s="2096"/>
      <c r="C448" s="2096"/>
      <c r="D448" s="2096"/>
      <c r="E448" s="2096"/>
      <c r="F448" s="2097"/>
      <c r="G448" s="2371"/>
      <c r="H448" s="206"/>
      <c r="I448" s="2730" t="s">
        <v>258</v>
      </c>
      <c r="J448" s="1964">
        <f>TARGET!D444</f>
        <v>858778000000</v>
      </c>
      <c r="K448" s="2159">
        <v>171755600000</v>
      </c>
      <c r="L448" s="2160">
        <f>'ALL BULAN'!E449</f>
        <v>0</v>
      </c>
      <c r="M448" s="2161">
        <f t="shared" si="74"/>
        <v>171755600000</v>
      </c>
      <c r="N448" s="1891">
        <f t="shared" si="75"/>
        <v>-687022400000</v>
      </c>
      <c r="O448" s="2162">
        <f t="shared" si="76"/>
        <v>20</v>
      </c>
      <c r="P448" s="2132"/>
    </row>
    <row r="449" spans="1:16" s="2070" customFormat="1">
      <c r="A449" s="2096"/>
      <c r="B449" s="2096"/>
      <c r="C449" s="2096"/>
      <c r="D449" s="2096"/>
      <c r="E449" s="2096"/>
      <c r="F449" s="2097"/>
      <c r="G449" s="2371"/>
      <c r="H449" s="206"/>
      <c r="I449" s="2730" t="s">
        <v>259</v>
      </c>
      <c r="J449" s="1964">
        <f>TARGET!D445</f>
        <v>207376785000</v>
      </c>
      <c r="K449" s="2159">
        <v>0</v>
      </c>
      <c r="L449" s="2160">
        <v>62213035000</v>
      </c>
      <c r="M449" s="2161">
        <f t="shared" si="74"/>
        <v>62213035000</v>
      </c>
      <c r="N449" s="1891">
        <f t="shared" si="75"/>
        <v>-145163750000</v>
      </c>
      <c r="O449" s="2162">
        <f t="shared" si="76"/>
        <v>29.999999758892976</v>
      </c>
      <c r="P449" s="2132"/>
    </row>
    <row r="450" spans="1:16" s="2070" customFormat="1">
      <c r="A450" s="2096"/>
      <c r="B450" s="2096"/>
      <c r="C450" s="2096"/>
      <c r="D450" s="2096"/>
      <c r="E450" s="2096"/>
      <c r="F450" s="2097"/>
      <c r="G450" s="2371"/>
      <c r="H450" s="206"/>
      <c r="I450" s="2730" t="s">
        <v>260</v>
      </c>
      <c r="J450" s="1964">
        <f>TARGET!D446</f>
        <v>4737000000</v>
      </c>
      <c r="K450" s="2159">
        <v>0</v>
      </c>
      <c r="L450" s="2160">
        <v>1421100000</v>
      </c>
      <c r="M450" s="2161">
        <f t="shared" si="74"/>
        <v>1421100000</v>
      </c>
      <c r="N450" s="1891">
        <f t="shared" si="75"/>
        <v>-3315900000</v>
      </c>
      <c r="O450" s="2162">
        <f t="shared" si="76"/>
        <v>30</v>
      </c>
      <c r="P450" s="2132"/>
    </row>
    <row r="451" spans="1:16" s="2070" customFormat="1">
      <c r="A451" s="2096"/>
      <c r="B451" s="2096"/>
      <c r="C451" s="2096"/>
      <c r="D451" s="2096"/>
      <c r="E451" s="2096"/>
      <c r="F451" s="2097"/>
      <c r="G451" s="2371"/>
      <c r="H451" s="206"/>
      <c r="I451" s="2730" t="s">
        <v>261</v>
      </c>
      <c r="J451" s="1964">
        <f>TARGET!D447</f>
        <v>2500000000</v>
      </c>
      <c r="K451" s="2159">
        <v>0</v>
      </c>
      <c r="L451" s="2160">
        <v>1532183000</v>
      </c>
      <c r="M451" s="2161">
        <f t="shared" si="74"/>
        <v>1532183000</v>
      </c>
      <c r="N451" s="1891">
        <f t="shared" si="75"/>
        <v>-967817000</v>
      </c>
      <c r="O451" s="2162">
        <f t="shared" si="76"/>
        <v>61.287320000000001</v>
      </c>
      <c r="P451" s="2132"/>
    </row>
    <row r="452" spans="1:16" s="2070" customFormat="1">
      <c r="A452" s="2096"/>
      <c r="B452" s="2096"/>
      <c r="C452" s="2096"/>
      <c r="D452" s="2096"/>
      <c r="E452" s="2096"/>
      <c r="F452" s="2097"/>
      <c r="G452" s="2371"/>
      <c r="H452" s="206"/>
      <c r="I452" s="2730" t="s">
        <v>262</v>
      </c>
      <c r="J452" s="1964">
        <f>TARGET!D448</f>
        <v>1532183000</v>
      </c>
      <c r="K452" s="2159">
        <v>0</v>
      </c>
      <c r="L452" s="2160">
        <f>'ALL BULAN'!E453</f>
        <v>0</v>
      </c>
      <c r="M452" s="2161">
        <f t="shared" si="74"/>
        <v>0</v>
      </c>
      <c r="N452" s="1891">
        <f t="shared" si="75"/>
        <v>-1532183000</v>
      </c>
      <c r="O452" s="2162">
        <f t="shared" si="76"/>
        <v>0</v>
      </c>
      <c r="P452" s="2132"/>
    </row>
    <row r="453" spans="1:16" s="2070" customFormat="1" ht="15.05">
      <c r="A453" s="2096"/>
      <c r="B453" s="2096"/>
      <c r="C453" s="2096"/>
      <c r="D453" s="2096"/>
      <c r="E453" s="2096"/>
      <c r="F453" s="2097"/>
      <c r="G453" s="2371"/>
      <c r="H453" s="2730" t="s">
        <v>50</v>
      </c>
      <c r="I453" s="206" t="s">
        <v>263</v>
      </c>
      <c r="J453" s="2418">
        <f>TARGET!D449</f>
        <v>297499000000</v>
      </c>
      <c r="K453" s="2155">
        <v>0</v>
      </c>
      <c r="L453" s="2419">
        <f>'ALL BULAN'!E454</f>
        <v>0</v>
      </c>
      <c r="M453" s="2156">
        <f t="shared" si="74"/>
        <v>0</v>
      </c>
      <c r="N453" s="1749">
        <f t="shared" si="75"/>
        <v>-297499000000</v>
      </c>
      <c r="O453" s="2162">
        <f t="shared" si="76"/>
        <v>0</v>
      </c>
      <c r="P453" s="2132"/>
    </row>
    <row r="454" spans="1:16" s="2070" customFormat="1" ht="6.75" customHeight="1">
      <c r="A454" s="2096"/>
      <c r="B454" s="2096"/>
      <c r="C454" s="2096"/>
      <c r="D454" s="2096"/>
      <c r="E454" s="2096"/>
      <c r="F454" s="2097"/>
      <c r="G454" s="2374"/>
      <c r="H454" s="203"/>
      <c r="I454" s="203"/>
      <c r="J454" s="2333"/>
      <c r="K454" s="2409"/>
      <c r="L454" s="2408"/>
      <c r="M454" s="2410"/>
      <c r="N454" s="2410"/>
      <c r="O454" s="2411"/>
      <c r="P454" s="2132"/>
    </row>
    <row r="455" spans="1:16" s="2079" customFormat="1" ht="15.05">
      <c r="A455" s="2102">
        <v>4</v>
      </c>
      <c r="B455" s="2102" t="s">
        <v>457</v>
      </c>
      <c r="C455" s="2412"/>
      <c r="D455" s="2412"/>
      <c r="E455" s="2412"/>
      <c r="F455" s="2413">
        <v>4</v>
      </c>
      <c r="G455" s="2369" t="s">
        <v>264</v>
      </c>
      <c r="H455" s="2741" t="s">
        <v>265</v>
      </c>
      <c r="I455" s="2370"/>
      <c r="J455" s="2406">
        <f>J456</f>
        <v>13870510900</v>
      </c>
      <c r="K455" s="2397">
        <v>0</v>
      </c>
      <c r="L455" s="2406">
        <f>L456</f>
        <v>0</v>
      </c>
      <c r="M455" s="2396">
        <f t="shared" ref="M455:M487" si="77">SUM(K455:L455)</f>
        <v>0</v>
      </c>
      <c r="N455" s="2396">
        <f t="shared" ref="N455:N487" si="78">M455-J455</f>
        <v>-13870510900</v>
      </c>
      <c r="O455" s="2398">
        <f>M455/J455*100</f>
        <v>0</v>
      </c>
      <c r="P455" s="2132"/>
    </row>
    <row r="456" spans="1:16" s="2074" customFormat="1">
      <c r="A456" s="2102">
        <v>4</v>
      </c>
      <c r="B456" s="2102" t="s">
        <v>457</v>
      </c>
      <c r="C456" s="2102" t="s">
        <v>58</v>
      </c>
      <c r="D456" s="2215"/>
      <c r="E456" s="2215"/>
      <c r="F456" s="2202"/>
      <c r="G456" s="2373" t="s">
        <v>264</v>
      </c>
      <c r="H456" s="2742" t="s">
        <v>266</v>
      </c>
      <c r="I456" s="2239"/>
      <c r="J456" s="1961">
        <f>J457+J460+J481</f>
        <v>13870510900</v>
      </c>
      <c r="K456" s="2159">
        <v>0</v>
      </c>
      <c r="L456" s="1961">
        <f>L457+L460+L481</f>
        <v>0</v>
      </c>
      <c r="M456" s="2161">
        <f t="shared" si="77"/>
        <v>0</v>
      </c>
      <c r="N456" s="1891">
        <f t="shared" si="78"/>
        <v>-13870510900</v>
      </c>
      <c r="O456" s="2162">
        <f>M456/J456*100</f>
        <v>0</v>
      </c>
      <c r="P456" s="2132"/>
    </row>
    <row r="457" spans="1:16" s="2074" customFormat="1">
      <c r="A457" s="2102">
        <v>4</v>
      </c>
      <c r="B457" s="2102" t="s">
        <v>457</v>
      </c>
      <c r="C457" s="2102" t="s">
        <v>58</v>
      </c>
      <c r="D457" s="2102" t="s">
        <v>437</v>
      </c>
      <c r="E457" s="2215"/>
      <c r="F457" s="2202"/>
      <c r="G457" s="2371" t="s">
        <v>205</v>
      </c>
      <c r="H457" s="2731" t="s">
        <v>267</v>
      </c>
      <c r="I457" s="2124"/>
      <c r="J457" s="2420">
        <f>SUM(J458)</f>
        <v>0</v>
      </c>
      <c r="K457" s="2159">
        <v>0</v>
      </c>
      <c r="L457" s="2420">
        <f>SUM(L458)</f>
        <v>0</v>
      </c>
      <c r="M457" s="2161">
        <f t="shared" si="77"/>
        <v>0</v>
      </c>
      <c r="N457" s="1891">
        <f t="shared" si="78"/>
        <v>0</v>
      </c>
      <c r="O457" s="2162">
        <v>0</v>
      </c>
      <c r="P457" s="2132"/>
    </row>
    <row r="458" spans="1:16" s="2070" customFormat="1">
      <c r="A458" s="2096"/>
      <c r="B458" s="2096"/>
      <c r="C458" s="2096"/>
      <c r="D458" s="2096"/>
      <c r="E458" s="2096"/>
      <c r="F458" s="2097"/>
      <c r="G458" s="2371"/>
      <c r="H458" s="2731" t="s">
        <v>50</v>
      </c>
      <c r="I458" s="206" t="s">
        <v>268</v>
      </c>
      <c r="J458" s="1964">
        <f>TARGET!D454</f>
        <v>0</v>
      </c>
      <c r="K458" s="2159">
        <v>0</v>
      </c>
      <c r="L458" s="2160">
        <f>'ALL BULAN'!E459</f>
        <v>0</v>
      </c>
      <c r="M458" s="2161">
        <f t="shared" si="77"/>
        <v>0</v>
      </c>
      <c r="N458" s="1891">
        <f t="shared" si="78"/>
        <v>0</v>
      </c>
      <c r="O458" s="2162">
        <v>0</v>
      </c>
      <c r="P458" s="2132"/>
    </row>
    <row r="459" spans="1:16" s="2070" customFormat="1" ht="6.75" customHeight="1">
      <c r="A459" s="2096"/>
      <c r="B459" s="2096"/>
      <c r="C459" s="2096"/>
      <c r="D459" s="2096"/>
      <c r="E459" s="2096"/>
      <c r="F459" s="2097"/>
      <c r="G459" s="2371"/>
      <c r="H459" s="2124"/>
      <c r="I459" s="206"/>
      <c r="J459" s="2421"/>
      <c r="K459" s="2159">
        <v>0</v>
      </c>
      <c r="L459" s="2421"/>
      <c r="M459" s="2161">
        <f t="shared" si="77"/>
        <v>0</v>
      </c>
      <c r="N459" s="1891">
        <f t="shared" si="78"/>
        <v>0</v>
      </c>
      <c r="O459" s="2162">
        <f>N459-K459</f>
        <v>0</v>
      </c>
      <c r="P459" s="2132"/>
    </row>
    <row r="460" spans="1:16" s="2074" customFormat="1" ht="15.05">
      <c r="A460" s="2102">
        <v>4</v>
      </c>
      <c r="B460" s="2102" t="s">
        <v>457</v>
      </c>
      <c r="C460" s="2102" t="s">
        <v>58</v>
      </c>
      <c r="D460" s="2102" t="s">
        <v>440</v>
      </c>
      <c r="E460" s="2215"/>
      <c r="F460" s="2202"/>
      <c r="G460" s="2371" t="s">
        <v>205</v>
      </c>
      <c r="H460" s="2731" t="s">
        <v>269</v>
      </c>
      <c r="I460" s="2124"/>
      <c r="J460" s="2422">
        <f>SUM(J461)</f>
        <v>10177085900</v>
      </c>
      <c r="K460" s="2155">
        <v>0</v>
      </c>
      <c r="L460" s="2423">
        <f>SUM(L461)</f>
        <v>0</v>
      </c>
      <c r="M460" s="2156">
        <f t="shared" si="77"/>
        <v>0</v>
      </c>
      <c r="N460" s="1749">
        <f t="shared" si="78"/>
        <v>-10177085900</v>
      </c>
      <c r="O460" s="2162">
        <f t="shared" ref="O460:O479" si="79">M460/J460*100</f>
        <v>0</v>
      </c>
      <c r="P460" s="2132"/>
    </row>
    <row r="461" spans="1:16" s="2070" customFormat="1">
      <c r="A461" s="2096"/>
      <c r="B461" s="2096"/>
      <c r="C461" s="2096"/>
      <c r="D461" s="2096"/>
      <c r="E461" s="2096"/>
      <c r="F461" s="2097"/>
      <c r="G461" s="2371"/>
      <c r="H461" s="2730" t="s">
        <v>270</v>
      </c>
      <c r="I461" s="206"/>
      <c r="J461" s="2421">
        <f>J462+J463+J465+J470+J474+J475+J476+J479</f>
        <v>10177085900</v>
      </c>
      <c r="K461" s="2159">
        <v>0</v>
      </c>
      <c r="L461" s="2421">
        <f>L462+L463+L465+L470+L474+L475+L476+L479</f>
        <v>0</v>
      </c>
      <c r="M461" s="2161">
        <f t="shared" si="77"/>
        <v>0</v>
      </c>
      <c r="N461" s="1891">
        <f t="shared" si="78"/>
        <v>-10177085900</v>
      </c>
      <c r="O461" s="2162">
        <f t="shared" si="79"/>
        <v>0</v>
      </c>
      <c r="P461" s="2132"/>
    </row>
    <row r="462" spans="1:16" s="2070" customFormat="1">
      <c r="A462" s="2096"/>
      <c r="B462" s="2096"/>
      <c r="C462" s="2096"/>
      <c r="D462" s="2096"/>
      <c r="E462" s="2096"/>
      <c r="F462" s="2097"/>
      <c r="G462" s="2371"/>
      <c r="H462" s="2730" t="s">
        <v>50</v>
      </c>
      <c r="I462" s="2124" t="s">
        <v>462</v>
      </c>
      <c r="J462" s="1964">
        <f>TARGET!D458</f>
        <v>3291945800</v>
      </c>
      <c r="K462" s="2159">
        <v>0</v>
      </c>
      <c r="L462" s="2160">
        <f>'ALL BULAN'!E463</f>
        <v>0</v>
      </c>
      <c r="M462" s="2161">
        <f t="shared" si="77"/>
        <v>0</v>
      </c>
      <c r="N462" s="1891">
        <f t="shared" si="78"/>
        <v>-3291945800</v>
      </c>
      <c r="O462" s="2162">
        <f t="shared" si="79"/>
        <v>0</v>
      </c>
      <c r="P462" s="2132"/>
    </row>
    <row r="463" spans="1:16" s="2070" customFormat="1" ht="15.05">
      <c r="A463" s="2096"/>
      <c r="B463" s="2096"/>
      <c r="C463" s="2096"/>
      <c r="D463" s="2096"/>
      <c r="E463" s="2096"/>
      <c r="F463" s="2097"/>
      <c r="G463" s="2371"/>
      <c r="H463" s="2731" t="s">
        <v>50</v>
      </c>
      <c r="I463" s="2124" t="s">
        <v>271</v>
      </c>
      <c r="J463" s="1962">
        <f>J464</f>
        <v>51419400</v>
      </c>
      <c r="K463" s="2155">
        <v>0</v>
      </c>
      <c r="L463" s="1962">
        <f>L464</f>
        <v>0</v>
      </c>
      <c r="M463" s="2156">
        <f t="shared" si="77"/>
        <v>0</v>
      </c>
      <c r="N463" s="1749">
        <f t="shared" si="78"/>
        <v>-51419400</v>
      </c>
      <c r="O463" s="2162">
        <f t="shared" si="79"/>
        <v>0</v>
      </c>
      <c r="P463" s="2132"/>
    </row>
    <row r="464" spans="1:16" s="2070" customFormat="1">
      <c r="A464" s="2096"/>
      <c r="B464" s="2096"/>
      <c r="C464" s="2096"/>
      <c r="D464" s="2096"/>
      <c r="E464" s="2096"/>
      <c r="F464" s="2097"/>
      <c r="G464" s="2371"/>
      <c r="H464" s="2124"/>
      <c r="I464" s="206" t="s">
        <v>272</v>
      </c>
      <c r="J464" s="1964">
        <f>TARGET!D460</f>
        <v>51419400</v>
      </c>
      <c r="K464" s="2159">
        <v>0</v>
      </c>
      <c r="L464" s="2160">
        <f>'ALL BULAN'!E465</f>
        <v>0</v>
      </c>
      <c r="M464" s="2161">
        <f t="shared" si="77"/>
        <v>0</v>
      </c>
      <c r="N464" s="1891">
        <f t="shared" si="78"/>
        <v>-51419400</v>
      </c>
      <c r="O464" s="2162">
        <f t="shared" si="79"/>
        <v>0</v>
      </c>
      <c r="P464" s="2132"/>
    </row>
    <row r="465" spans="1:16" s="2070" customFormat="1" ht="15.05">
      <c r="A465" s="2096"/>
      <c r="B465" s="2096"/>
      <c r="C465" s="2096"/>
      <c r="D465" s="2096"/>
      <c r="E465" s="2096"/>
      <c r="F465" s="2097"/>
      <c r="G465" s="2371"/>
      <c r="H465" s="2731" t="s">
        <v>50</v>
      </c>
      <c r="I465" s="2124" t="s">
        <v>273</v>
      </c>
      <c r="J465" s="1962">
        <f>SUM(J466:J469)</f>
        <v>335291000</v>
      </c>
      <c r="K465" s="2155">
        <v>0</v>
      </c>
      <c r="L465" s="1962">
        <f>SUM(L466:L469)</f>
        <v>0</v>
      </c>
      <c r="M465" s="2156">
        <f t="shared" si="77"/>
        <v>0</v>
      </c>
      <c r="N465" s="1749">
        <f t="shared" si="78"/>
        <v>-335291000</v>
      </c>
      <c r="O465" s="2162">
        <f t="shared" si="79"/>
        <v>0</v>
      </c>
      <c r="P465" s="2132"/>
    </row>
    <row r="466" spans="1:16" s="2070" customFormat="1">
      <c r="A466" s="2096"/>
      <c r="B466" s="2096"/>
      <c r="C466" s="2096"/>
      <c r="D466" s="2096"/>
      <c r="E466" s="2096"/>
      <c r="F466" s="2097"/>
      <c r="G466" s="2371"/>
      <c r="H466" s="2124"/>
      <c r="I466" s="206" t="s">
        <v>274</v>
      </c>
      <c r="J466" s="1964">
        <f>TARGET!D462</f>
        <v>55355000</v>
      </c>
      <c r="K466" s="2159">
        <v>0</v>
      </c>
      <c r="L466" s="2160">
        <f>'ALL BULAN'!E467</f>
        <v>0</v>
      </c>
      <c r="M466" s="2161">
        <f t="shared" si="77"/>
        <v>0</v>
      </c>
      <c r="N466" s="1891">
        <f t="shared" si="78"/>
        <v>-55355000</v>
      </c>
      <c r="O466" s="2162">
        <f t="shared" si="79"/>
        <v>0</v>
      </c>
      <c r="P466" s="2132"/>
    </row>
    <row r="467" spans="1:16" s="2070" customFormat="1">
      <c r="A467" s="2096"/>
      <c r="B467" s="2096"/>
      <c r="C467" s="2096"/>
      <c r="D467" s="2096"/>
      <c r="E467" s="2096"/>
      <c r="F467" s="2097"/>
      <c r="G467" s="2371"/>
      <c r="H467" s="2124"/>
      <c r="I467" s="206" t="s">
        <v>138</v>
      </c>
      <c r="J467" s="1964">
        <f>TARGET!D463</f>
        <v>57136000</v>
      </c>
      <c r="K467" s="2159">
        <v>0</v>
      </c>
      <c r="L467" s="2160">
        <f>'ALL BULAN'!E468</f>
        <v>0</v>
      </c>
      <c r="M467" s="2161">
        <f t="shared" si="77"/>
        <v>0</v>
      </c>
      <c r="N467" s="1891">
        <f t="shared" si="78"/>
        <v>-57136000</v>
      </c>
      <c r="O467" s="2162">
        <f t="shared" si="79"/>
        <v>0</v>
      </c>
      <c r="P467" s="2132"/>
    </row>
    <row r="468" spans="1:16" s="2070" customFormat="1">
      <c r="A468" s="2096"/>
      <c r="B468" s="2096"/>
      <c r="C468" s="2096"/>
      <c r="D468" s="2096"/>
      <c r="E468" s="2096"/>
      <c r="F468" s="2097"/>
      <c r="G468" s="2371"/>
      <c r="H468" s="2124"/>
      <c r="I468" s="206" t="s">
        <v>275</v>
      </c>
      <c r="J468" s="1964">
        <f>TARGET!D464</f>
        <v>24760000</v>
      </c>
      <c r="K468" s="2159">
        <v>0</v>
      </c>
      <c r="L468" s="2160">
        <f>'ALL BULAN'!E469</f>
        <v>0</v>
      </c>
      <c r="M468" s="2161">
        <f t="shared" si="77"/>
        <v>0</v>
      </c>
      <c r="N468" s="1891">
        <f t="shared" si="78"/>
        <v>-24760000</v>
      </c>
      <c r="O468" s="2162">
        <f t="shared" si="79"/>
        <v>0</v>
      </c>
      <c r="P468" s="2132"/>
    </row>
    <row r="469" spans="1:16" s="2070" customFormat="1">
      <c r="A469" s="2096"/>
      <c r="B469" s="2096"/>
      <c r="C469" s="2096"/>
      <c r="D469" s="2096"/>
      <c r="E469" s="2096"/>
      <c r="F469" s="2097"/>
      <c r="G469" s="2371"/>
      <c r="H469" s="2124"/>
      <c r="I469" s="206" t="s">
        <v>140</v>
      </c>
      <c r="J469" s="1964">
        <f>TARGET!D465</f>
        <v>198040000</v>
      </c>
      <c r="K469" s="2159">
        <v>0</v>
      </c>
      <c r="L469" s="2160">
        <f>'ALL BULAN'!E470</f>
        <v>0</v>
      </c>
      <c r="M469" s="2161">
        <f t="shared" si="77"/>
        <v>0</v>
      </c>
      <c r="N469" s="1891">
        <f t="shared" si="78"/>
        <v>-198040000</v>
      </c>
      <c r="O469" s="2162">
        <f t="shared" si="79"/>
        <v>0</v>
      </c>
      <c r="P469" s="2132"/>
    </row>
    <row r="470" spans="1:16" s="2070" customFormat="1" ht="15.05">
      <c r="A470" s="2096"/>
      <c r="B470" s="2096"/>
      <c r="C470" s="2096"/>
      <c r="D470" s="2096"/>
      <c r="E470" s="2096"/>
      <c r="F470" s="2097"/>
      <c r="G470" s="2414"/>
      <c r="H470" s="2753" t="s">
        <v>50</v>
      </c>
      <c r="I470" s="2424" t="s">
        <v>224</v>
      </c>
      <c r="J470" s="2425">
        <f>SUM(J471:J473)</f>
        <v>400714300</v>
      </c>
      <c r="K470" s="2426">
        <v>0</v>
      </c>
      <c r="L470" s="2425">
        <f>SUM(L471:L473)</f>
        <v>0</v>
      </c>
      <c r="M470" s="2427">
        <f t="shared" si="77"/>
        <v>0</v>
      </c>
      <c r="N470" s="2427">
        <f t="shared" si="78"/>
        <v>-400714300</v>
      </c>
      <c r="O470" s="2428">
        <f t="shared" si="79"/>
        <v>0</v>
      </c>
      <c r="P470" s="2132"/>
    </row>
    <row r="471" spans="1:16" s="2070" customFormat="1">
      <c r="A471" s="2096"/>
      <c r="B471" s="2096"/>
      <c r="C471" s="2096"/>
      <c r="D471" s="2096"/>
      <c r="E471" s="2096"/>
      <c r="F471" s="2097"/>
      <c r="G471" s="2371"/>
      <c r="H471" s="2124"/>
      <c r="I471" s="2730" t="s">
        <v>276</v>
      </c>
      <c r="J471" s="1964">
        <f>TARGET!D467</f>
        <v>63698000</v>
      </c>
      <c r="K471" s="2159">
        <v>0</v>
      </c>
      <c r="L471" s="2160">
        <f>'ALL BULAN'!E472</f>
        <v>0</v>
      </c>
      <c r="M471" s="2161">
        <f t="shared" si="77"/>
        <v>0</v>
      </c>
      <c r="N471" s="1891">
        <f t="shared" si="78"/>
        <v>-63698000</v>
      </c>
      <c r="O471" s="2162">
        <f t="shared" si="79"/>
        <v>0</v>
      </c>
      <c r="P471" s="2132"/>
    </row>
    <row r="472" spans="1:16" s="2070" customFormat="1">
      <c r="A472" s="2096"/>
      <c r="B472" s="2096"/>
      <c r="C472" s="2096"/>
      <c r="D472" s="2096"/>
      <c r="E472" s="2096"/>
      <c r="F472" s="2097"/>
      <c r="G472" s="2371"/>
      <c r="H472" s="2124"/>
      <c r="I472" s="2730" t="s">
        <v>277</v>
      </c>
      <c r="J472" s="1964">
        <f>TARGET!D468</f>
        <v>285233000</v>
      </c>
      <c r="K472" s="2159">
        <v>0</v>
      </c>
      <c r="L472" s="2160">
        <f>'ALL BULAN'!E473</f>
        <v>0</v>
      </c>
      <c r="M472" s="2161">
        <f t="shared" si="77"/>
        <v>0</v>
      </c>
      <c r="N472" s="1891">
        <f t="shared" si="78"/>
        <v>-285233000</v>
      </c>
      <c r="O472" s="2162">
        <f t="shared" si="79"/>
        <v>0</v>
      </c>
      <c r="P472" s="2132"/>
    </row>
    <row r="473" spans="1:16" s="2070" customFormat="1">
      <c r="A473" s="2096"/>
      <c r="B473" s="2096"/>
      <c r="C473" s="2096"/>
      <c r="D473" s="2096"/>
      <c r="E473" s="2096"/>
      <c r="F473" s="2097"/>
      <c r="G473" s="2371"/>
      <c r="H473" s="2124"/>
      <c r="I473" s="2730" t="s">
        <v>278</v>
      </c>
      <c r="J473" s="1964">
        <f>TARGET!D469</f>
        <v>51783300</v>
      </c>
      <c r="K473" s="2159">
        <v>0</v>
      </c>
      <c r="L473" s="2160">
        <f>'ALL BULAN'!E474</f>
        <v>0</v>
      </c>
      <c r="M473" s="2161">
        <f t="shared" si="77"/>
        <v>0</v>
      </c>
      <c r="N473" s="1891">
        <f t="shared" si="78"/>
        <v>-51783300</v>
      </c>
      <c r="O473" s="2162">
        <f t="shared" si="79"/>
        <v>0</v>
      </c>
      <c r="P473" s="2132"/>
    </row>
    <row r="474" spans="1:16" s="2070" customFormat="1">
      <c r="A474" s="2096"/>
      <c r="B474" s="2096"/>
      <c r="C474" s="2096"/>
      <c r="D474" s="2096"/>
      <c r="E474" s="2096"/>
      <c r="F474" s="2097"/>
      <c r="G474" s="2371"/>
      <c r="H474" s="2731" t="s">
        <v>50</v>
      </c>
      <c r="I474" s="2124" t="s">
        <v>279</v>
      </c>
      <c r="J474" s="1964">
        <f>TARGET!D470</f>
        <v>25741600</v>
      </c>
      <c r="K474" s="2159">
        <v>0</v>
      </c>
      <c r="L474" s="2160">
        <f>'ALL BULAN'!E475</f>
        <v>0</v>
      </c>
      <c r="M474" s="2161">
        <f t="shared" si="77"/>
        <v>0</v>
      </c>
      <c r="N474" s="1891">
        <f t="shared" si="78"/>
        <v>-25741600</v>
      </c>
      <c r="O474" s="2162">
        <f t="shared" si="79"/>
        <v>0</v>
      </c>
      <c r="P474" s="2132"/>
    </row>
    <row r="475" spans="1:16" s="2070" customFormat="1">
      <c r="A475" s="2096"/>
      <c r="B475" s="2096"/>
      <c r="C475" s="2096"/>
      <c r="D475" s="2096"/>
      <c r="E475" s="2096"/>
      <c r="F475" s="2097"/>
      <c r="G475" s="2371"/>
      <c r="H475" s="2731" t="s">
        <v>50</v>
      </c>
      <c r="I475" s="2124" t="s">
        <v>280</v>
      </c>
      <c r="J475" s="1964">
        <f>TARGET!D471</f>
        <v>1100000</v>
      </c>
      <c r="K475" s="2159">
        <v>0</v>
      </c>
      <c r="L475" s="2160">
        <f>'ALL BULAN'!E476</f>
        <v>0</v>
      </c>
      <c r="M475" s="2161">
        <f t="shared" si="77"/>
        <v>0</v>
      </c>
      <c r="N475" s="1891">
        <f t="shared" si="78"/>
        <v>-1100000</v>
      </c>
      <c r="O475" s="2162">
        <f t="shared" si="79"/>
        <v>0</v>
      </c>
      <c r="P475" s="2132"/>
    </row>
    <row r="476" spans="1:16" s="2070" customFormat="1" ht="15.05">
      <c r="A476" s="2096"/>
      <c r="B476" s="2096"/>
      <c r="C476" s="2096"/>
      <c r="D476" s="2096"/>
      <c r="E476" s="2096"/>
      <c r="F476" s="2097"/>
      <c r="G476" s="2371"/>
      <c r="H476" s="2731" t="s">
        <v>50</v>
      </c>
      <c r="I476" s="2124" t="s">
        <v>281</v>
      </c>
      <c r="J476" s="1962">
        <f>SUM(J477:J478)</f>
        <v>4562382400</v>
      </c>
      <c r="K476" s="2155">
        <v>0</v>
      </c>
      <c r="L476" s="1962">
        <f>SUM(L477:L478)</f>
        <v>0</v>
      </c>
      <c r="M476" s="2156">
        <f t="shared" si="77"/>
        <v>0</v>
      </c>
      <c r="N476" s="1749">
        <f t="shared" si="78"/>
        <v>-4562382400</v>
      </c>
      <c r="O476" s="2162">
        <f t="shared" si="79"/>
        <v>0</v>
      </c>
      <c r="P476" s="2132"/>
    </row>
    <row r="477" spans="1:16" s="2070" customFormat="1">
      <c r="A477" s="2096"/>
      <c r="B477" s="2096"/>
      <c r="C477" s="2096"/>
      <c r="D477" s="2096"/>
      <c r="E477" s="2096"/>
      <c r="F477" s="2097"/>
      <c r="G477" s="2371"/>
      <c r="H477" s="2124"/>
      <c r="I477" s="2730" t="s">
        <v>282</v>
      </c>
      <c r="J477" s="1964">
        <f>TARGET!D473</f>
        <v>1439364000</v>
      </c>
      <c r="K477" s="2159">
        <v>0</v>
      </c>
      <c r="L477" s="2160">
        <f>'ALL BULAN'!E478</f>
        <v>0</v>
      </c>
      <c r="M477" s="2161">
        <f t="shared" si="77"/>
        <v>0</v>
      </c>
      <c r="N477" s="1891">
        <f t="shared" si="78"/>
        <v>-1439364000</v>
      </c>
      <c r="O477" s="2162">
        <f t="shared" si="79"/>
        <v>0</v>
      </c>
      <c r="P477" s="2132"/>
    </row>
    <row r="478" spans="1:16" s="2070" customFormat="1">
      <c r="A478" s="2096"/>
      <c r="B478" s="2096"/>
      <c r="C478" s="2096"/>
      <c r="D478" s="2096"/>
      <c r="E478" s="2096"/>
      <c r="F478" s="2097"/>
      <c r="G478" s="2371"/>
      <c r="H478" s="2124"/>
      <c r="I478" s="2730" t="s">
        <v>283</v>
      </c>
      <c r="J478" s="1964">
        <f>TARGET!D474</f>
        <v>3123018400</v>
      </c>
      <c r="K478" s="2159">
        <v>0</v>
      </c>
      <c r="L478" s="2160">
        <f>'ALL BULAN'!E479</f>
        <v>0</v>
      </c>
      <c r="M478" s="2161">
        <f t="shared" si="77"/>
        <v>0</v>
      </c>
      <c r="N478" s="1891">
        <f t="shared" si="78"/>
        <v>-3123018400</v>
      </c>
      <c r="O478" s="2162">
        <f t="shared" si="79"/>
        <v>0</v>
      </c>
      <c r="P478" s="2132"/>
    </row>
    <row r="479" spans="1:16" s="2070" customFormat="1">
      <c r="A479" s="2096"/>
      <c r="B479" s="2096"/>
      <c r="C479" s="2096"/>
      <c r="D479" s="2096"/>
      <c r="E479" s="2096"/>
      <c r="F479" s="2097"/>
      <c r="G479" s="2371"/>
      <c r="H479" s="2731" t="s">
        <v>50</v>
      </c>
      <c r="I479" s="2124" t="s">
        <v>463</v>
      </c>
      <c r="J479" s="1964">
        <f>TARGET!D475</f>
        <v>1508491400</v>
      </c>
      <c r="K479" s="2159">
        <v>0</v>
      </c>
      <c r="L479" s="2160">
        <f>'ALL BULAN'!E480</f>
        <v>0</v>
      </c>
      <c r="M479" s="2161">
        <f t="shared" si="77"/>
        <v>0</v>
      </c>
      <c r="N479" s="1891">
        <f t="shared" si="78"/>
        <v>-1508491400</v>
      </c>
      <c r="O479" s="2162">
        <f t="shared" si="79"/>
        <v>0</v>
      </c>
      <c r="P479" s="2132"/>
    </row>
    <row r="480" spans="1:16" s="2070" customFormat="1" ht="5.95" customHeight="1">
      <c r="A480" s="2096"/>
      <c r="B480" s="2096"/>
      <c r="C480" s="2096"/>
      <c r="D480" s="2096"/>
      <c r="E480" s="2096"/>
      <c r="F480" s="2097"/>
      <c r="G480" s="2371"/>
      <c r="H480" s="2124"/>
      <c r="I480" s="206"/>
      <c r="J480" s="2421"/>
      <c r="K480" s="2159">
        <v>0</v>
      </c>
      <c r="L480" s="2421"/>
      <c r="M480" s="2161">
        <f t="shared" si="77"/>
        <v>0</v>
      </c>
      <c r="N480" s="1891">
        <f t="shared" si="78"/>
        <v>0</v>
      </c>
      <c r="O480" s="2162">
        <f>N480-K480</f>
        <v>0</v>
      </c>
      <c r="P480" s="2132"/>
    </row>
    <row r="481" spans="1:16" s="2070" customFormat="1" ht="15.05">
      <c r="A481" s="2096"/>
      <c r="B481" s="2096"/>
      <c r="C481" s="2096"/>
      <c r="D481" s="2096"/>
      <c r="E481" s="2096"/>
      <c r="F481" s="2097"/>
      <c r="G481" s="2371" t="s">
        <v>205</v>
      </c>
      <c r="H481" s="2731" t="s">
        <v>285</v>
      </c>
      <c r="I481" s="206"/>
      <c r="J481" s="1962">
        <f>J482</f>
        <v>3693425000</v>
      </c>
      <c r="K481" s="2155">
        <v>0</v>
      </c>
      <c r="L481" s="1962">
        <f>L482</f>
        <v>0</v>
      </c>
      <c r="M481" s="2156">
        <f t="shared" si="77"/>
        <v>0</v>
      </c>
      <c r="N481" s="1749">
        <f t="shared" si="78"/>
        <v>-3693425000</v>
      </c>
      <c r="O481" s="2162">
        <f>M481/J481*100</f>
        <v>0</v>
      </c>
      <c r="P481" s="2132"/>
    </row>
    <row r="482" spans="1:16" s="2070" customFormat="1">
      <c r="A482" s="2096"/>
      <c r="B482" s="2096"/>
      <c r="C482" s="2096"/>
      <c r="D482" s="2096"/>
      <c r="E482" s="2096"/>
      <c r="F482" s="2097"/>
      <c r="G482" s="2371"/>
      <c r="H482" s="2730" t="s">
        <v>286</v>
      </c>
      <c r="I482" s="206"/>
      <c r="J482" s="2421">
        <f>J483+J486</f>
        <v>3693425000</v>
      </c>
      <c r="K482" s="2159">
        <v>0</v>
      </c>
      <c r="L482" s="2421">
        <f>L483+L486</f>
        <v>0</v>
      </c>
      <c r="M482" s="2161">
        <f t="shared" si="77"/>
        <v>0</v>
      </c>
      <c r="N482" s="1891">
        <f t="shared" si="78"/>
        <v>-3693425000</v>
      </c>
      <c r="O482" s="2162">
        <f>M482/J482*100</f>
        <v>0</v>
      </c>
      <c r="P482" s="2132"/>
    </row>
    <row r="483" spans="1:16" s="2070" customFormat="1">
      <c r="A483" s="2096"/>
      <c r="B483" s="2096"/>
      <c r="C483" s="2096"/>
      <c r="D483" s="2096"/>
      <c r="E483" s="2096"/>
      <c r="F483" s="2097"/>
      <c r="G483" s="2371"/>
      <c r="H483" s="2731" t="s">
        <v>50</v>
      </c>
      <c r="I483" s="206" t="s">
        <v>287</v>
      </c>
      <c r="J483" s="2421">
        <f>J484+J485</f>
        <v>4625000</v>
      </c>
      <c r="K483" s="2159">
        <v>0</v>
      </c>
      <c r="L483" s="2421">
        <f>L484+L485</f>
        <v>0</v>
      </c>
      <c r="M483" s="2161">
        <f t="shared" si="77"/>
        <v>0</v>
      </c>
      <c r="N483" s="1891">
        <f t="shared" si="78"/>
        <v>-4625000</v>
      </c>
      <c r="O483" s="2162">
        <f>M483/J483*100</f>
        <v>0</v>
      </c>
      <c r="P483" s="2132"/>
    </row>
    <row r="484" spans="1:16" s="2070" customFormat="1">
      <c r="A484" s="2096"/>
      <c r="B484" s="2096"/>
      <c r="C484" s="2096"/>
      <c r="D484" s="2096"/>
      <c r="E484" s="2096"/>
      <c r="F484" s="2097"/>
      <c r="G484" s="2371"/>
      <c r="H484" s="2124"/>
      <c r="I484" s="2730" t="s">
        <v>288</v>
      </c>
      <c r="J484" s="1964">
        <f>TARGET!D480</f>
        <v>4625000</v>
      </c>
      <c r="K484" s="2159">
        <v>0</v>
      </c>
      <c r="L484" s="2160">
        <f>'ALL BULAN'!E485</f>
        <v>0</v>
      </c>
      <c r="M484" s="2161">
        <f t="shared" si="77"/>
        <v>0</v>
      </c>
      <c r="N484" s="1891">
        <f t="shared" si="78"/>
        <v>-4625000</v>
      </c>
      <c r="O484" s="2162">
        <f>M484/J484*100</f>
        <v>0</v>
      </c>
      <c r="P484" s="2132"/>
    </row>
    <row r="485" spans="1:16" s="2070" customFormat="1">
      <c r="A485" s="2096"/>
      <c r="B485" s="2096"/>
      <c r="C485" s="2096"/>
      <c r="D485" s="2096"/>
      <c r="E485" s="2096"/>
      <c r="F485" s="2097"/>
      <c r="G485" s="2371"/>
      <c r="H485" s="2124"/>
      <c r="I485" s="2730" t="s">
        <v>289</v>
      </c>
      <c r="J485" s="1964">
        <f>TARGET!D481</f>
        <v>0</v>
      </c>
      <c r="K485" s="2159">
        <v>0</v>
      </c>
      <c r="L485" s="2160">
        <f>'ALL BULAN'!E486</f>
        <v>0</v>
      </c>
      <c r="M485" s="2161">
        <f t="shared" si="77"/>
        <v>0</v>
      </c>
      <c r="N485" s="1891">
        <f t="shared" si="78"/>
        <v>0</v>
      </c>
      <c r="O485" s="2162">
        <v>0</v>
      </c>
      <c r="P485" s="2132"/>
    </row>
    <row r="486" spans="1:16" s="2070" customFormat="1">
      <c r="A486" s="2096"/>
      <c r="B486" s="2096"/>
      <c r="C486" s="2096"/>
      <c r="D486" s="2096"/>
      <c r="E486" s="2096"/>
      <c r="F486" s="2097"/>
      <c r="G486" s="2371"/>
      <c r="H486" s="2731" t="s">
        <v>50</v>
      </c>
      <c r="I486" s="2124" t="s">
        <v>462</v>
      </c>
      <c r="J486" s="2421">
        <f>J487</f>
        <v>3688800000</v>
      </c>
      <c r="K486" s="2159">
        <v>0</v>
      </c>
      <c r="L486" s="2421">
        <f>L487</f>
        <v>0</v>
      </c>
      <c r="M486" s="2161">
        <f t="shared" si="77"/>
        <v>0</v>
      </c>
      <c r="N486" s="1891">
        <f t="shared" si="78"/>
        <v>-3688800000</v>
      </c>
      <c r="O486" s="2162">
        <f t="shared" ref="O486:O492" si="80">M486/J486*100</f>
        <v>0</v>
      </c>
      <c r="P486" s="2132"/>
    </row>
    <row r="487" spans="1:16" s="2070" customFormat="1">
      <c r="A487" s="2096"/>
      <c r="B487" s="2096"/>
      <c r="C487" s="2096"/>
      <c r="D487" s="2096"/>
      <c r="E487" s="2096"/>
      <c r="F487" s="2097"/>
      <c r="G487" s="2415"/>
      <c r="H487" s="206"/>
      <c r="I487" s="2730" t="s">
        <v>290</v>
      </c>
      <c r="J487" s="1964">
        <f>TARGET!D483</f>
        <v>3688800000</v>
      </c>
      <c r="K487" s="2236">
        <v>0</v>
      </c>
      <c r="L487" s="2160">
        <f>'ALL BULAN'!E488</f>
        <v>0</v>
      </c>
      <c r="M487" s="2218">
        <f t="shared" si="77"/>
        <v>0</v>
      </c>
      <c r="N487" s="2164">
        <f t="shared" si="78"/>
        <v>-3688800000</v>
      </c>
      <c r="O487" s="2288">
        <f t="shared" si="80"/>
        <v>0</v>
      </c>
      <c r="P487" s="2132"/>
    </row>
    <row r="488" spans="1:16" s="2070" customFormat="1" ht="5.95" customHeight="1">
      <c r="A488" s="2096"/>
      <c r="B488" s="2096"/>
      <c r="C488" s="2096"/>
      <c r="D488" s="2096"/>
      <c r="E488" s="2096"/>
      <c r="F488" s="2097"/>
      <c r="G488" s="2374"/>
      <c r="H488" s="2416"/>
      <c r="I488" s="203"/>
      <c r="J488" s="2408"/>
      <c r="K488" s="2409"/>
      <c r="L488" s="2408"/>
      <c r="M488" s="2410"/>
      <c r="N488" s="2410"/>
      <c r="O488" s="2411"/>
      <c r="P488" s="2132"/>
    </row>
    <row r="489" spans="1:16" s="2079" customFormat="1" ht="15.05">
      <c r="A489" s="2102">
        <v>4</v>
      </c>
      <c r="B489" s="2102" t="s">
        <v>457</v>
      </c>
      <c r="C489" s="2102" t="s">
        <v>443</v>
      </c>
      <c r="D489" s="2412"/>
      <c r="E489" s="2412"/>
      <c r="F489" s="2413"/>
      <c r="G489" s="2369" t="s">
        <v>291</v>
      </c>
      <c r="H489" s="2741" t="s">
        <v>292</v>
      </c>
      <c r="I489" s="2370"/>
      <c r="J489" s="2406">
        <f>J490</f>
        <v>53394311000</v>
      </c>
      <c r="K489" s="2397">
        <v>0</v>
      </c>
      <c r="L489" s="2406">
        <f>L490</f>
        <v>26697155000</v>
      </c>
      <c r="M489" s="2396">
        <f t="shared" ref="M489:M496" si="81">SUM(K489:L489)</f>
        <v>26697155000</v>
      </c>
      <c r="N489" s="2396">
        <f t="shared" ref="N489:N496" si="82">M489-J489</f>
        <v>-26697156000</v>
      </c>
      <c r="O489" s="2398">
        <f t="shared" si="80"/>
        <v>49.999999063570648</v>
      </c>
      <c r="P489" s="2132"/>
    </row>
    <row r="490" spans="1:16" s="2074" customFormat="1">
      <c r="A490" s="2102">
        <v>4</v>
      </c>
      <c r="B490" s="2102" t="s">
        <v>457</v>
      </c>
      <c r="C490" s="2102" t="s">
        <v>443</v>
      </c>
      <c r="D490" s="2102" t="s">
        <v>437</v>
      </c>
      <c r="E490" s="2215"/>
      <c r="F490" s="2202"/>
      <c r="G490" s="2373"/>
      <c r="H490" s="2742" t="s">
        <v>293</v>
      </c>
      <c r="I490" s="2239"/>
      <c r="J490" s="1961">
        <f>J491</f>
        <v>53394311000</v>
      </c>
      <c r="K490" s="2159">
        <v>0</v>
      </c>
      <c r="L490" s="1961">
        <f>L491</f>
        <v>26697155000</v>
      </c>
      <c r="M490" s="2161">
        <f t="shared" si="81"/>
        <v>26697155000</v>
      </c>
      <c r="N490" s="1891">
        <f t="shared" si="82"/>
        <v>-26697156000</v>
      </c>
      <c r="O490" s="2162">
        <f t="shared" si="80"/>
        <v>49.999999063570648</v>
      </c>
      <c r="P490" s="2132"/>
    </row>
    <row r="491" spans="1:16" s="2074" customFormat="1">
      <c r="A491" s="2215"/>
      <c r="B491" s="2215"/>
      <c r="C491" s="2215"/>
      <c r="D491" s="2215"/>
      <c r="E491" s="2215"/>
      <c r="F491" s="2202"/>
      <c r="G491" s="2371"/>
      <c r="H491" s="2731" t="s">
        <v>294</v>
      </c>
      <c r="I491" s="2124"/>
      <c r="J491" s="2420">
        <f>J492</f>
        <v>53394311000</v>
      </c>
      <c r="K491" s="2159">
        <v>0</v>
      </c>
      <c r="L491" s="2420">
        <f>L492</f>
        <v>26697155000</v>
      </c>
      <c r="M491" s="2161">
        <f t="shared" si="81"/>
        <v>26697155000</v>
      </c>
      <c r="N491" s="1891">
        <f t="shared" si="82"/>
        <v>-26697156000</v>
      </c>
      <c r="O491" s="2162">
        <f t="shared" si="80"/>
        <v>49.999999063570648</v>
      </c>
      <c r="P491" s="2132"/>
    </row>
    <row r="492" spans="1:16" s="2070" customFormat="1" ht="15.05">
      <c r="A492" s="2096"/>
      <c r="B492" s="2096"/>
      <c r="C492" s="2096"/>
      <c r="D492" s="2096"/>
      <c r="E492" s="2096"/>
      <c r="F492" s="2097"/>
      <c r="G492" s="2371"/>
      <c r="H492" s="2731" t="s">
        <v>50</v>
      </c>
      <c r="I492" s="2429" t="s">
        <v>295</v>
      </c>
      <c r="J492" s="1962">
        <f>SUM(J493:J494)</f>
        <v>53394311000</v>
      </c>
      <c r="K492" s="2155">
        <v>0</v>
      </c>
      <c r="L492" s="1962">
        <f>SUM(L493:L494)</f>
        <v>26697155000</v>
      </c>
      <c r="M492" s="2156">
        <f t="shared" si="81"/>
        <v>26697155000</v>
      </c>
      <c r="N492" s="1749">
        <f t="shared" si="82"/>
        <v>-26697156000</v>
      </c>
      <c r="O492" s="2162">
        <f t="shared" si="80"/>
        <v>49.999999063570648</v>
      </c>
      <c r="P492" s="2132"/>
    </row>
    <row r="493" spans="1:16" s="2070" customFormat="1">
      <c r="A493" s="2096"/>
      <c r="B493" s="2096"/>
      <c r="C493" s="2096"/>
      <c r="D493" s="2096"/>
      <c r="E493" s="2096"/>
      <c r="F493" s="2097"/>
      <c r="G493" s="2371"/>
      <c r="H493" s="2124"/>
      <c r="I493" s="2730" t="s">
        <v>296</v>
      </c>
      <c r="J493" s="1964">
        <f>TARGET!D489</f>
        <v>0</v>
      </c>
      <c r="K493" s="2159">
        <v>0</v>
      </c>
      <c r="L493" s="2160">
        <v>0</v>
      </c>
      <c r="M493" s="2161">
        <f t="shared" si="81"/>
        <v>0</v>
      </c>
      <c r="N493" s="1891">
        <f t="shared" si="82"/>
        <v>0</v>
      </c>
      <c r="O493" s="2162">
        <v>0</v>
      </c>
      <c r="P493" s="2132"/>
    </row>
    <row r="494" spans="1:16" s="2070" customFormat="1">
      <c r="A494" s="2096"/>
      <c r="B494" s="2096"/>
      <c r="C494" s="2096"/>
      <c r="D494" s="2096"/>
      <c r="E494" s="2096"/>
      <c r="F494" s="2097"/>
      <c r="G494" s="2371"/>
      <c r="H494" s="2124"/>
      <c r="I494" s="2730" t="s">
        <v>297</v>
      </c>
      <c r="J494" s="1964">
        <f>TARGET!D490</f>
        <v>53394311000</v>
      </c>
      <c r="K494" s="2159">
        <v>0</v>
      </c>
      <c r="L494" s="2160">
        <v>26697155000</v>
      </c>
      <c r="M494" s="2161">
        <f t="shared" si="81"/>
        <v>26697155000</v>
      </c>
      <c r="N494" s="1891">
        <f t="shared" si="82"/>
        <v>-26697156000</v>
      </c>
      <c r="O494" s="2162">
        <f>M494/J494*100</f>
        <v>49.999999063570648</v>
      </c>
      <c r="P494" s="2132"/>
    </row>
    <row r="495" spans="1:16" s="2070" customFormat="1" ht="15.05">
      <c r="A495" s="2096"/>
      <c r="B495" s="2096"/>
      <c r="C495" s="2096"/>
      <c r="D495" s="2096"/>
      <c r="E495" s="2096"/>
      <c r="F495" s="2097"/>
      <c r="G495" s="2371"/>
      <c r="H495" s="2731" t="s">
        <v>50</v>
      </c>
      <c r="I495" s="2429" t="s">
        <v>298</v>
      </c>
      <c r="J495" s="1962">
        <f>SUM(J496)</f>
        <v>0</v>
      </c>
      <c r="K495" s="2155">
        <v>0</v>
      </c>
      <c r="L495" s="1962">
        <f>SUM(L496)</f>
        <v>0</v>
      </c>
      <c r="M495" s="2156">
        <f t="shared" si="81"/>
        <v>0</v>
      </c>
      <c r="N495" s="1749">
        <f t="shared" si="82"/>
        <v>0</v>
      </c>
      <c r="O495" s="2162">
        <v>0</v>
      </c>
      <c r="P495" s="2132"/>
    </row>
    <row r="496" spans="1:16" s="2070" customFormat="1">
      <c r="A496" s="2096"/>
      <c r="B496" s="2096"/>
      <c r="C496" s="2096"/>
      <c r="D496" s="2096"/>
      <c r="E496" s="2096"/>
      <c r="F496" s="2097"/>
      <c r="G496" s="2371"/>
      <c r="H496" s="2124"/>
      <c r="I496" s="2730" t="s">
        <v>299</v>
      </c>
      <c r="J496" s="1964">
        <f>TARGET!D492</f>
        <v>0</v>
      </c>
      <c r="K496" s="2159">
        <v>0</v>
      </c>
      <c r="L496" s="2160">
        <f>'ALL BULAN'!E497</f>
        <v>0</v>
      </c>
      <c r="M496" s="2161">
        <f t="shared" si="81"/>
        <v>0</v>
      </c>
      <c r="N496" s="1891">
        <f t="shared" si="82"/>
        <v>0</v>
      </c>
      <c r="O496" s="2162">
        <v>0</v>
      </c>
      <c r="P496" s="2132"/>
    </row>
    <row r="497" spans="1:16" s="2070" customFormat="1" ht="4.55" customHeight="1">
      <c r="A497" s="2096"/>
      <c r="B497" s="2096"/>
      <c r="C497" s="2096"/>
      <c r="D497" s="2096"/>
      <c r="E497" s="2096"/>
      <c r="F497" s="2097"/>
      <c r="G497" s="2321"/>
      <c r="H497" s="1318"/>
      <c r="I497" s="257"/>
      <c r="J497" s="2408"/>
      <c r="K497" s="2409"/>
      <c r="L497" s="2408"/>
      <c r="M497" s="2410"/>
      <c r="N497" s="2410"/>
      <c r="O497" s="2411"/>
      <c r="P497" s="2132"/>
    </row>
    <row r="498" spans="1:16" s="2070" customFormat="1" ht="15.05">
      <c r="A498" s="2096"/>
      <c r="B498" s="2096"/>
      <c r="C498" s="2096"/>
      <c r="D498" s="2096"/>
      <c r="E498" s="2096"/>
      <c r="F498" s="2097"/>
      <c r="G498" s="2320" t="s">
        <v>300</v>
      </c>
      <c r="H498" s="2313" t="s">
        <v>301</v>
      </c>
      <c r="I498" s="2313"/>
      <c r="J498" s="2332">
        <f>SUM(J499)</f>
        <v>0</v>
      </c>
      <c r="K498" s="2430">
        <v>0</v>
      </c>
      <c r="L498" s="2332">
        <f>SUM(L499)</f>
        <v>0</v>
      </c>
      <c r="M498" s="2431">
        <f t="shared" ref="M498:M504" si="83">SUM(K498:L498)</f>
        <v>0</v>
      </c>
      <c r="N498" s="2147">
        <f t="shared" ref="N498:N504" si="84">M498-J498</f>
        <v>0</v>
      </c>
      <c r="O498" s="2149">
        <v>0</v>
      </c>
      <c r="P498" s="2132"/>
    </row>
    <row r="499" spans="1:16" s="2070" customFormat="1">
      <c r="A499" s="2102">
        <v>4</v>
      </c>
      <c r="B499" s="2102">
        <v>1</v>
      </c>
      <c r="C499" s="2102">
        <v>4</v>
      </c>
      <c r="D499" s="2096"/>
      <c r="E499" s="2096"/>
      <c r="F499" s="2097">
        <v>3</v>
      </c>
      <c r="G499" s="2373"/>
      <c r="H499" s="2322" t="s">
        <v>71</v>
      </c>
      <c r="I499" s="2322"/>
      <c r="J499" s="2407">
        <f>SUM(J500:J504)</f>
        <v>0</v>
      </c>
      <c r="K499" s="2159">
        <v>0</v>
      </c>
      <c r="L499" s="2407">
        <f>SUM(L500:L504)</f>
        <v>0</v>
      </c>
      <c r="M499" s="2161">
        <f t="shared" si="83"/>
        <v>0</v>
      </c>
      <c r="N499" s="1891">
        <f t="shared" si="84"/>
        <v>0</v>
      </c>
      <c r="O499" s="2162">
        <v>0</v>
      </c>
      <c r="P499" s="2132"/>
    </row>
    <row r="500" spans="1:16" s="2070" customFormat="1">
      <c r="A500" s="2102">
        <v>4</v>
      </c>
      <c r="B500" s="2102">
        <v>1</v>
      </c>
      <c r="C500" s="2102">
        <v>4</v>
      </c>
      <c r="D500" s="2102" t="s">
        <v>441</v>
      </c>
      <c r="E500" s="2096"/>
      <c r="F500" s="2097"/>
      <c r="G500" s="2374"/>
      <c r="H500" s="200" t="s">
        <v>50</v>
      </c>
      <c r="I500" s="224" t="s">
        <v>73</v>
      </c>
      <c r="J500" s="1964">
        <f>TARGET!D496</f>
        <v>0</v>
      </c>
      <c r="K500" s="2159">
        <v>0</v>
      </c>
      <c r="L500" s="2160">
        <f>'ALL BULAN'!E501</f>
        <v>0</v>
      </c>
      <c r="M500" s="2161">
        <f t="shared" si="83"/>
        <v>0</v>
      </c>
      <c r="N500" s="1891">
        <f t="shared" si="84"/>
        <v>0</v>
      </c>
      <c r="O500" s="2162">
        <v>0</v>
      </c>
      <c r="P500" s="2132"/>
    </row>
    <row r="501" spans="1:16" s="2070" customFormat="1">
      <c r="A501" s="1902">
        <v>4</v>
      </c>
      <c r="B501" s="1902">
        <v>1</v>
      </c>
      <c r="C501" s="1902" t="s">
        <v>443</v>
      </c>
      <c r="D501" s="1902" t="s">
        <v>444</v>
      </c>
      <c r="E501" s="1902" t="s">
        <v>440</v>
      </c>
      <c r="F501" s="2097"/>
      <c r="G501" s="2321"/>
      <c r="H501" s="200" t="s">
        <v>50</v>
      </c>
      <c r="I501" s="200" t="s">
        <v>74</v>
      </c>
      <c r="J501" s="1964">
        <f>TARGET!D497</f>
        <v>0</v>
      </c>
      <c r="K501" s="2159">
        <v>0</v>
      </c>
      <c r="L501" s="2160">
        <f>'ALL BULAN'!E502</f>
        <v>0</v>
      </c>
      <c r="M501" s="2161">
        <f t="shared" si="83"/>
        <v>0</v>
      </c>
      <c r="N501" s="1891">
        <f t="shared" si="84"/>
        <v>0</v>
      </c>
      <c r="O501" s="2162">
        <v>0</v>
      </c>
      <c r="P501" s="2132"/>
    </row>
    <row r="502" spans="1:16" s="2070" customFormat="1">
      <c r="A502" s="1944">
        <v>4</v>
      </c>
      <c r="B502" s="1944">
        <v>1</v>
      </c>
      <c r="C502" s="1944" t="s">
        <v>443</v>
      </c>
      <c r="D502" s="1944" t="s">
        <v>444</v>
      </c>
      <c r="E502" s="2105" t="s">
        <v>445</v>
      </c>
      <c r="F502" s="2097"/>
      <c r="G502" s="2321"/>
      <c r="H502" s="200" t="s">
        <v>308</v>
      </c>
      <c r="I502" s="200" t="s">
        <v>75</v>
      </c>
      <c r="J502" s="1964">
        <f>TARGET!D498</f>
        <v>0</v>
      </c>
      <c r="K502" s="2159">
        <v>0</v>
      </c>
      <c r="L502" s="2160">
        <f>'ALL BULAN'!E503</f>
        <v>0</v>
      </c>
      <c r="M502" s="2161">
        <f t="shared" si="83"/>
        <v>0</v>
      </c>
      <c r="N502" s="1891">
        <f t="shared" si="84"/>
        <v>0</v>
      </c>
      <c r="O502" s="2162">
        <v>0</v>
      </c>
      <c r="P502" s="2132"/>
    </row>
    <row r="503" spans="1:16" s="2070" customFormat="1">
      <c r="A503" s="1725">
        <v>4</v>
      </c>
      <c r="B503" s="1725">
        <v>1</v>
      </c>
      <c r="C503" s="1725" t="s">
        <v>443</v>
      </c>
      <c r="D503" s="1725" t="s">
        <v>444</v>
      </c>
      <c r="E503" s="1725" t="s">
        <v>441</v>
      </c>
      <c r="F503" s="2097"/>
      <c r="G503" s="2321"/>
      <c r="H503" s="200" t="s">
        <v>50</v>
      </c>
      <c r="I503" s="200" t="s">
        <v>169</v>
      </c>
      <c r="J503" s="1964">
        <f>TARGET!D499</f>
        <v>0</v>
      </c>
      <c r="K503" s="2159">
        <v>0</v>
      </c>
      <c r="L503" s="2160">
        <f>'ALL BULAN'!E504</f>
        <v>0</v>
      </c>
      <c r="M503" s="2161">
        <f t="shared" si="83"/>
        <v>0</v>
      </c>
      <c r="N503" s="1891">
        <f t="shared" si="84"/>
        <v>0</v>
      </c>
      <c r="O503" s="2162">
        <v>0</v>
      </c>
      <c r="P503" s="2132"/>
    </row>
    <row r="504" spans="1:16" s="2070" customFormat="1">
      <c r="A504" s="2114">
        <v>4</v>
      </c>
      <c r="B504" s="2114">
        <v>1</v>
      </c>
      <c r="C504" s="2114" t="s">
        <v>443</v>
      </c>
      <c r="D504" s="2114" t="s">
        <v>447</v>
      </c>
      <c r="E504" s="2125" t="s">
        <v>437</v>
      </c>
      <c r="F504" s="2097"/>
      <c r="G504" s="2321"/>
      <c r="H504" s="200" t="s">
        <v>50</v>
      </c>
      <c r="I504" s="200" t="s">
        <v>85</v>
      </c>
      <c r="J504" s="1964">
        <f>TARGET!D500</f>
        <v>0</v>
      </c>
      <c r="K504" s="2159">
        <v>0</v>
      </c>
      <c r="L504" s="2160">
        <f>'ALL BULAN'!E505</f>
        <v>0</v>
      </c>
      <c r="M504" s="2161">
        <f t="shared" si="83"/>
        <v>0</v>
      </c>
      <c r="N504" s="1891">
        <f t="shared" si="84"/>
        <v>0</v>
      </c>
      <c r="O504" s="2162">
        <v>0</v>
      </c>
      <c r="P504" s="2132"/>
    </row>
    <row r="505" spans="1:16" s="2070" customFormat="1" ht="5.35" customHeight="1">
      <c r="A505" s="2096"/>
      <c r="B505" s="2096"/>
      <c r="C505" s="2096"/>
      <c r="D505" s="2096"/>
      <c r="E505" s="2096"/>
      <c r="F505" s="2097"/>
      <c r="G505" s="2100"/>
      <c r="H505" s="2131"/>
      <c r="I505" s="224"/>
      <c r="J505" s="2432"/>
      <c r="K505" s="2433"/>
      <c r="L505" s="2432"/>
      <c r="M505" s="2434"/>
      <c r="N505" s="2434"/>
      <c r="O505" s="2435"/>
      <c r="P505" s="2132"/>
    </row>
    <row r="506" spans="1:16" s="2073" customFormat="1" ht="15.05">
      <c r="A506" s="2090"/>
      <c r="B506" s="2090"/>
      <c r="C506" s="2090"/>
      <c r="D506" s="2090"/>
      <c r="E506" s="2090"/>
      <c r="F506" s="2091"/>
      <c r="G506" s="2092" t="s">
        <v>302</v>
      </c>
      <c r="H506" s="2417" t="s">
        <v>303</v>
      </c>
      <c r="I506" s="2436"/>
      <c r="J506" s="2437">
        <f>J507+J510</f>
        <v>1500000000</v>
      </c>
      <c r="K506" s="2430">
        <v>131950000</v>
      </c>
      <c r="L506" s="2437">
        <f>L507+L510</f>
        <v>69400000</v>
      </c>
      <c r="M506" s="2431">
        <f t="shared" ref="M506:M515" si="85">SUM(K506:L506)</f>
        <v>201350000</v>
      </c>
      <c r="N506" s="2147">
        <f t="shared" ref="N506:N515" si="86">M506-J506</f>
        <v>-1298650000</v>
      </c>
      <c r="O506" s="2149">
        <f>M506/J506*100</f>
        <v>13.423333333333334</v>
      </c>
      <c r="P506" s="2150"/>
    </row>
    <row r="507" spans="1:16" s="2070" customFormat="1">
      <c r="A507" s="2094">
        <v>4</v>
      </c>
      <c r="B507" s="2094">
        <v>1</v>
      </c>
      <c r="C507" s="2094">
        <v>2</v>
      </c>
      <c r="D507" s="2095" t="s">
        <v>438</v>
      </c>
      <c r="E507" s="2096"/>
      <c r="F507" s="2097">
        <v>1</v>
      </c>
      <c r="G507" s="2098"/>
      <c r="H507" s="2099" t="s">
        <v>63</v>
      </c>
      <c r="I507" s="2438"/>
      <c r="J507" s="2439">
        <f>J508</f>
        <v>1500000000</v>
      </c>
      <c r="K507" s="2159">
        <v>131950000</v>
      </c>
      <c r="L507" s="2439">
        <f>L508</f>
        <v>69400000</v>
      </c>
      <c r="M507" s="2161">
        <f t="shared" si="85"/>
        <v>201350000</v>
      </c>
      <c r="N507" s="1891">
        <f t="shared" si="86"/>
        <v>-1298650000</v>
      </c>
      <c r="O507" s="2162">
        <f>M507/J507*100</f>
        <v>13.423333333333334</v>
      </c>
      <c r="P507" s="2132"/>
    </row>
    <row r="508" spans="1:16" s="2070" customFormat="1">
      <c r="A508" s="2094">
        <v>4</v>
      </c>
      <c r="B508" s="2094">
        <v>1</v>
      </c>
      <c r="C508" s="2094">
        <v>2</v>
      </c>
      <c r="D508" s="2095" t="s">
        <v>438</v>
      </c>
      <c r="E508" s="2125" t="s">
        <v>440</v>
      </c>
      <c r="F508" s="2097"/>
      <c r="G508" s="2104"/>
      <c r="H508" s="2727" t="s">
        <v>50</v>
      </c>
      <c r="I508" s="200" t="s">
        <v>304</v>
      </c>
      <c r="J508" s="1964">
        <f>TARGET!D504</f>
        <v>1500000000</v>
      </c>
      <c r="K508" s="2159">
        <v>131950000</v>
      </c>
      <c r="L508" s="2160">
        <v>69400000</v>
      </c>
      <c r="M508" s="2161">
        <f t="shared" si="85"/>
        <v>201350000</v>
      </c>
      <c r="N508" s="1891">
        <f t="shared" si="86"/>
        <v>-1298650000</v>
      </c>
      <c r="O508" s="2162">
        <f>M508/J508*100</f>
        <v>13.423333333333334</v>
      </c>
      <c r="P508" s="2132"/>
    </row>
    <row r="509" spans="1:16" s="2070" customFormat="1" ht="4.55" customHeight="1">
      <c r="A509" s="2096"/>
      <c r="B509" s="2096"/>
      <c r="C509" s="2096"/>
      <c r="D509" s="2096"/>
      <c r="E509" s="2096"/>
      <c r="F509" s="2097"/>
      <c r="G509" s="2104"/>
      <c r="H509" s="200"/>
      <c r="I509" s="200"/>
      <c r="J509" s="2282"/>
      <c r="K509" s="2159">
        <v>0</v>
      </c>
      <c r="L509" s="2282"/>
      <c r="M509" s="2161">
        <f t="shared" si="85"/>
        <v>0</v>
      </c>
      <c r="N509" s="1891">
        <f t="shared" si="86"/>
        <v>0</v>
      </c>
      <c r="O509" s="2162">
        <f>N509-K509</f>
        <v>0</v>
      </c>
      <c r="P509" s="2132"/>
    </row>
    <row r="510" spans="1:16" s="2070" customFormat="1">
      <c r="A510" s="2102">
        <v>4</v>
      </c>
      <c r="B510" s="2102">
        <v>1</v>
      </c>
      <c r="C510" s="2102">
        <v>4</v>
      </c>
      <c r="D510" s="2096"/>
      <c r="E510" s="2096"/>
      <c r="F510" s="2097">
        <v>3</v>
      </c>
      <c r="G510" s="2104"/>
      <c r="H510" s="202" t="s">
        <v>71</v>
      </c>
      <c r="I510" s="202"/>
      <c r="J510" s="2283">
        <f>SUM(J511:J515)</f>
        <v>0</v>
      </c>
      <c r="K510" s="2159">
        <v>0</v>
      </c>
      <c r="L510" s="2283">
        <f>SUM(L511:L515)</f>
        <v>0</v>
      </c>
      <c r="M510" s="2161">
        <f t="shared" si="85"/>
        <v>0</v>
      </c>
      <c r="N510" s="1891">
        <f t="shared" si="86"/>
        <v>0</v>
      </c>
      <c r="O510" s="2162">
        <v>0</v>
      </c>
      <c r="P510" s="2132"/>
    </row>
    <row r="511" spans="1:16" s="2070" customFormat="1">
      <c r="A511" s="2102">
        <v>4</v>
      </c>
      <c r="B511" s="2102">
        <v>1</v>
      </c>
      <c r="C511" s="2102">
        <v>4</v>
      </c>
      <c r="D511" s="2102" t="s">
        <v>441</v>
      </c>
      <c r="E511" s="2096"/>
      <c r="F511" s="2097"/>
      <c r="G511" s="2104"/>
      <c r="H511" s="2727" t="s">
        <v>50</v>
      </c>
      <c r="I511" s="200" t="s">
        <v>72</v>
      </c>
      <c r="J511" s="1964">
        <f>TARGET!D507</f>
        <v>0</v>
      </c>
      <c r="K511" s="2159">
        <v>0</v>
      </c>
      <c r="L511" s="2160">
        <f>'ALL BULAN'!E512</f>
        <v>0</v>
      </c>
      <c r="M511" s="2161">
        <f t="shared" si="85"/>
        <v>0</v>
      </c>
      <c r="N511" s="1891">
        <f t="shared" si="86"/>
        <v>0</v>
      </c>
      <c r="O511" s="2162">
        <v>0</v>
      </c>
      <c r="P511" s="2132"/>
    </row>
    <row r="512" spans="1:16" s="2070" customFormat="1">
      <c r="A512" s="1902">
        <v>4</v>
      </c>
      <c r="B512" s="1902">
        <v>1</v>
      </c>
      <c r="C512" s="1902" t="s">
        <v>443</v>
      </c>
      <c r="D512" s="1902" t="s">
        <v>444</v>
      </c>
      <c r="E512" s="1902" t="s">
        <v>440</v>
      </c>
      <c r="F512" s="2097"/>
      <c r="G512" s="2104"/>
      <c r="H512" s="2727" t="s">
        <v>50</v>
      </c>
      <c r="I512" s="200" t="s">
        <v>73</v>
      </c>
      <c r="J512" s="1964">
        <f>TARGET!D508</f>
        <v>0</v>
      </c>
      <c r="K512" s="2159">
        <v>0</v>
      </c>
      <c r="L512" s="2160">
        <f>'ALL BULAN'!E513</f>
        <v>0</v>
      </c>
      <c r="M512" s="2161">
        <f t="shared" si="85"/>
        <v>0</v>
      </c>
      <c r="N512" s="1891">
        <f t="shared" si="86"/>
        <v>0</v>
      </c>
      <c r="O512" s="2162">
        <v>0</v>
      </c>
      <c r="P512" s="2132"/>
    </row>
    <row r="513" spans="1:16" s="2070" customFormat="1">
      <c r="A513" s="1944">
        <v>4</v>
      </c>
      <c r="B513" s="1944">
        <v>1</v>
      </c>
      <c r="C513" s="1944" t="s">
        <v>443</v>
      </c>
      <c r="D513" s="1944" t="s">
        <v>444</v>
      </c>
      <c r="E513" s="2105" t="s">
        <v>445</v>
      </c>
      <c r="F513" s="2097"/>
      <c r="G513" s="2251"/>
      <c r="H513" s="2727" t="s">
        <v>50</v>
      </c>
      <c r="I513" s="200" t="s">
        <v>74</v>
      </c>
      <c r="J513" s="1964">
        <f>TARGET!D509</f>
        <v>0</v>
      </c>
      <c r="K513" s="2159">
        <v>0</v>
      </c>
      <c r="L513" s="2160">
        <f>'ALL BULAN'!E514</f>
        <v>0</v>
      </c>
      <c r="M513" s="2161">
        <f t="shared" si="85"/>
        <v>0</v>
      </c>
      <c r="N513" s="1891">
        <f t="shared" si="86"/>
        <v>0</v>
      </c>
      <c r="O513" s="2162">
        <v>0</v>
      </c>
      <c r="P513" s="2132"/>
    </row>
    <row r="514" spans="1:16" s="2070" customFormat="1">
      <c r="A514" s="1725">
        <v>4</v>
      </c>
      <c r="B514" s="1725">
        <v>1</v>
      </c>
      <c r="C514" s="1725" t="s">
        <v>443</v>
      </c>
      <c r="D514" s="1725" t="s">
        <v>444</v>
      </c>
      <c r="E514" s="1725" t="s">
        <v>441</v>
      </c>
      <c r="F514" s="2097"/>
      <c r="G514" s="2251"/>
      <c r="H514" s="200" t="s">
        <v>308</v>
      </c>
      <c r="I514" s="206" t="s">
        <v>75</v>
      </c>
      <c r="J514" s="1964">
        <f>TARGET!D510</f>
        <v>0</v>
      </c>
      <c r="K514" s="2159">
        <v>0</v>
      </c>
      <c r="L514" s="2160">
        <f>'ALL BULAN'!E515</f>
        <v>0</v>
      </c>
      <c r="M514" s="2161">
        <f t="shared" si="85"/>
        <v>0</v>
      </c>
      <c r="N514" s="1891">
        <f t="shared" si="86"/>
        <v>0</v>
      </c>
      <c r="O514" s="2162">
        <v>0</v>
      </c>
      <c r="P514" s="2132"/>
    </row>
    <row r="515" spans="1:16" s="2070" customFormat="1">
      <c r="A515" s="2114">
        <v>4</v>
      </c>
      <c r="B515" s="2114">
        <v>1</v>
      </c>
      <c r="C515" s="2114" t="s">
        <v>443</v>
      </c>
      <c r="D515" s="2114" t="s">
        <v>447</v>
      </c>
      <c r="E515" s="2125" t="s">
        <v>437</v>
      </c>
      <c r="F515" s="2097"/>
      <c r="G515" s="2251"/>
      <c r="H515" s="2727" t="s">
        <v>50</v>
      </c>
      <c r="I515" s="206" t="s">
        <v>85</v>
      </c>
      <c r="J515" s="1964">
        <f>TARGET!D511</f>
        <v>0</v>
      </c>
      <c r="K515" s="2159">
        <v>0</v>
      </c>
      <c r="L515" s="2160">
        <f>'ALL BULAN'!E516</f>
        <v>0</v>
      </c>
      <c r="M515" s="2161">
        <f t="shared" si="85"/>
        <v>0</v>
      </c>
      <c r="N515" s="1891">
        <f t="shared" si="86"/>
        <v>0</v>
      </c>
      <c r="O515" s="2162">
        <v>0</v>
      </c>
      <c r="P515" s="2132"/>
    </row>
    <row r="516" spans="1:16" s="2070" customFormat="1" ht="5.35" customHeight="1">
      <c r="A516" s="2096"/>
      <c r="B516" s="2096"/>
      <c r="C516" s="2096"/>
      <c r="D516" s="2096"/>
      <c r="E516" s="2096"/>
      <c r="F516" s="2097"/>
      <c r="G516" s="2199"/>
      <c r="H516" s="2117"/>
      <c r="I516" s="2117"/>
      <c r="J516" s="2310"/>
      <c r="K516" s="2183"/>
      <c r="L516" s="2310"/>
      <c r="M516" s="2311"/>
      <c r="N516" s="2311"/>
      <c r="O516" s="2312"/>
      <c r="P516" s="2132"/>
    </row>
    <row r="517" spans="1:16" s="2070" customFormat="1" ht="15.65">
      <c r="A517" s="2096"/>
      <c r="B517" s="2096"/>
      <c r="C517" s="2096"/>
      <c r="D517" s="2096"/>
      <c r="E517" s="2096"/>
      <c r="F517" s="2097"/>
      <c r="G517" s="2440" t="s">
        <v>305</v>
      </c>
      <c r="H517" s="2441" t="s">
        <v>464</v>
      </c>
      <c r="I517" s="2442"/>
      <c r="J517" s="2443">
        <f>J519</f>
        <v>18548560000</v>
      </c>
      <c r="K517" s="2430">
        <v>3919495400</v>
      </c>
      <c r="L517" s="2443">
        <f>L519</f>
        <v>2708421661</v>
      </c>
      <c r="M517" s="2444">
        <f>SUM(K517:L517)</f>
        <v>6627917061</v>
      </c>
      <c r="N517" s="2445">
        <f>M517-J517</f>
        <v>-11920642939</v>
      </c>
      <c r="O517" s="2446">
        <v>0</v>
      </c>
      <c r="P517" s="2132"/>
    </row>
    <row r="518" spans="1:16" s="2070" customFormat="1" ht="5.35" customHeight="1">
      <c r="A518" s="2096"/>
      <c r="B518" s="2096"/>
      <c r="C518" s="2096"/>
      <c r="D518" s="2096"/>
      <c r="E518" s="2096"/>
      <c r="F518" s="2097"/>
      <c r="G518" s="2098"/>
      <c r="H518" s="2438"/>
      <c r="I518" s="2438"/>
      <c r="J518" s="2439"/>
      <c r="K518" s="2152"/>
      <c r="L518" s="2439"/>
      <c r="M518" s="2447"/>
      <c r="N518" s="2447"/>
      <c r="O518" s="2448"/>
      <c r="P518" s="2132"/>
    </row>
    <row r="519" spans="1:16" s="2070" customFormat="1">
      <c r="A519" s="2114">
        <v>4</v>
      </c>
      <c r="B519" s="2114">
        <v>1</v>
      </c>
      <c r="C519" s="2114" t="s">
        <v>443</v>
      </c>
      <c r="D519" s="2114"/>
      <c r="E519" s="2125"/>
      <c r="F519" s="2097">
        <v>3</v>
      </c>
      <c r="G519" s="2104"/>
      <c r="H519" s="202" t="s">
        <v>71</v>
      </c>
      <c r="I519" s="202"/>
      <c r="J519" s="2307">
        <f>J522+J534+J546+J562+J564+J566+J577</f>
        <v>18548560000</v>
      </c>
      <c r="K519" s="2159">
        <v>3919495400</v>
      </c>
      <c r="L519" s="2307">
        <f>L522+L534+L546+L562+L564+L566+L577</f>
        <v>2708421661</v>
      </c>
      <c r="M519" s="2161">
        <f t="shared" ref="M519:M552" si="87">SUM(K519:L519)</f>
        <v>6627917061</v>
      </c>
      <c r="N519" s="1891">
        <f t="shared" ref="N519:N552" si="88">M519-J519</f>
        <v>-11920642939</v>
      </c>
      <c r="O519" s="2162">
        <v>0</v>
      </c>
      <c r="P519" s="2132"/>
    </row>
    <row r="520" spans="1:16" s="2070" customFormat="1" ht="4.55" customHeight="1">
      <c r="A520" s="2096"/>
      <c r="B520" s="2096"/>
      <c r="C520" s="2096"/>
      <c r="D520" s="2096"/>
      <c r="E520" s="2096"/>
      <c r="F520" s="2097"/>
      <c r="G520" s="2104"/>
      <c r="H520" s="202"/>
      <c r="I520" s="202"/>
      <c r="J520" s="2307"/>
      <c r="K520" s="2159">
        <v>0</v>
      </c>
      <c r="L520" s="2307"/>
      <c r="M520" s="2161">
        <f t="shared" si="87"/>
        <v>0</v>
      </c>
      <c r="N520" s="1891">
        <f t="shared" si="88"/>
        <v>0</v>
      </c>
      <c r="O520" s="2162">
        <f>N520-K520</f>
        <v>0</v>
      </c>
      <c r="P520" s="2132"/>
    </row>
    <row r="521" spans="1:16" s="2070" customFormat="1">
      <c r="A521" s="2114">
        <v>4</v>
      </c>
      <c r="B521" s="2114">
        <v>1</v>
      </c>
      <c r="C521" s="2114" t="s">
        <v>443</v>
      </c>
      <c r="D521" s="2114" t="s">
        <v>456</v>
      </c>
      <c r="E521" s="2096"/>
      <c r="F521" s="2097"/>
      <c r="G521" s="2104"/>
      <c r="H521" s="202" t="s">
        <v>307</v>
      </c>
      <c r="I521" s="200"/>
      <c r="J521" s="2307">
        <f>J522+J534</f>
        <v>18548560000</v>
      </c>
      <c r="K521" s="2159">
        <v>3186070400</v>
      </c>
      <c r="L521" s="2307">
        <f>L522+L534</f>
        <v>2296646661</v>
      </c>
      <c r="M521" s="2161">
        <f t="shared" si="87"/>
        <v>5482717061</v>
      </c>
      <c r="N521" s="1891">
        <f t="shared" si="88"/>
        <v>-13065842939</v>
      </c>
      <c r="O521" s="2162">
        <v>0</v>
      </c>
      <c r="P521" s="2132"/>
    </row>
    <row r="522" spans="1:16" s="2070" customFormat="1" ht="15.05">
      <c r="A522" s="2114">
        <v>4</v>
      </c>
      <c r="B522" s="2114">
        <v>1</v>
      </c>
      <c r="C522" s="2114" t="s">
        <v>443</v>
      </c>
      <c r="D522" s="2114" t="s">
        <v>456</v>
      </c>
      <c r="E522" s="2114" t="s">
        <v>437</v>
      </c>
      <c r="F522" s="2097"/>
      <c r="G522" s="2104" t="s">
        <v>308</v>
      </c>
      <c r="H522" s="202" t="s">
        <v>309</v>
      </c>
      <c r="I522" s="202"/>
      <c r="J522" s="2449">
        <f>SUM(J523:J532)</f>
        <v>18448560000</v>
      </c>
      <c r="K522" s="2155">
        <v>3064125447</v>
      </c>
      <c r="L522" s="2449">
        <f>SUM(L523:L532)</f>
        <v>2223238906</v>
      </c>
      <c r="M522" s="2156">
        <f t="shared" si="87"/>
        <v>5287364353</v>
      </c>
      <c r="N522" s="1749">
        <f t="shared" si="88"/>
        <v>-13161195647</v>
      </c>
      <c r="O522" s="2162">
        <v>0</v>
      </c>
      <c r="P522" s="2132"/>
    </row>
    <row r="523" spans="1:16" s="2070" customFormat="1">
      <c r="A523" s="2096"/>
      <c r="B523" s="2096"/>
      <c r="C523" s="2096"/>
      <c r="D523" s="2096"/>
      <c r="E523" s="2096"/>
      <c r="F523" s="2097"/>
      <c r="G523" s="2104"/>
      <c r="H523" s="213">
        <v>1</v>
      </c>
      <c r="I523" s="200" t="s">
        <v>310</v>
      </c>
      <c r="J523" s="1964">
        <f>TARGET!D519</f>
        <v>18448560000</v>
      </c>
      <c r="K523" s="2159">
        <v>950178232</v>
      </c>
      <c r="L523" s="2450">
        <v>483669403</v>
      </c>
      <c r="M523" s="2451">
        <f t="shared" si="87"/>
        <v>1433847635</v>
      </c>
      <c r="N523" s="1891">
        <f t="shared" si="88"/>
        <v>-17014712365</v>
      </c>
      <c r="O523" s="2162">
        <v>0</v>
      </c>
      <c r="P523" s="2132"/>
    </row>
    <row r="524" spans="1:16" s="2070" customFormat="1">
      <c r="A524" s="2096"/>
      <c r="B524" s="2096"/>
      <c r="C524" s="2096"/>
      <c r="D524" s="2096"/>
      <c r="E524" s="2096"/>
      <c r="F524" s="2097"/>
      <c r="G524" s="2104"/>
      <c r="H524" s="213">
        <v>2</v>
      </c>
      <c r="I524" s="200" t="s">
        <v>311</v>
      </c>
      <c r="J524" s="1964">
        <f>TARGET!D520</f>
        <v>0</v>
      </c>
      <c r="K524" s="2159">
        <v>464483071</v>
      </c>
      <c r="L524" s="2160">
        <v>700930596</v>
      </c>
      <c r="M524" s="2161">
        <f t="shared" si="87"/>
        <v>1165413667</v>
      </c>
      <c r="N524" s="1891">
        <f t="shared" si="88"/>
        <v>1165413667</v>
      </c>
      <c r="O524" s="2162">
        <v>0</v>
      </c>
      <c r="P524" s="2132"/>
    </row>
    <row r="525" spans="1:16" s="2070" customFormat="1">
      <c r="A525" s="2096"/>
      <c r="B525" s="2096"/>
      <c r="C525" s="2096"/>
      <c r="D525" s="2096"/>
      <c r="E525" s="2096"/>
      <c r="F525" s="2097"/>
      <c r="G525" s="2104"/>
      <c r="H525" s="213">
        <v>3</v>
      </c>
      <c r="I525" s="200" t="s">
        <v>312</v>
      </c>
      <c r="J525" s="1964">
        <f>TARGET!D521</f>
        <v>0</v>
      </c>
      <c r="K525" s="2159">
        <v>526640801</v>
      </c>
      <c r="L525" s="2160">
        <v>257640400</v>
      </c>
      <c r="M525" s="2161">
        <f t="shared" si="87"/>
        <v>784281201</v>
      </c>
      <c r="N525" s="1891">
        <f t="shared" si="88"/>
        <v>784281201</v>
      </c>
      <c r="O525" s="2162">
        <v>0</v>
      </c>
      <c r="P525" s="2132"/>
    </row>
    <row r="526" spans="1:16" s="2070" customFormat="1">
      <c r="A526" s="2096"/>
      <c r="B526" s="2096"/>
      <c r="C526" s="2096"/>
      <c r="D526" s="2096"/>
      <c r="E526" s="2096"/>
      <c r="F526" s="2097"/>
      <c r="G526" s="2104"/>
      <c r="H526" s="213">
        <v>4</v>
      </c>
      <c r="I526" s="200" t="s">
        <v>313</v>
      </c>
      <c r="J526" s="1964">
        <f>TARGET!D522</f>
        <v>0</v>
      </c>
      <c r="K526" s="2159">
        <v>210189810</v>
      </c>
      <c r="L526" s="2450">
        <v>117317727</v>
      </c>
      <c r="M526" s="2451">
        <f t="shared" si="87"/>
        <v>327507537</v>
      </c>
      <c r="N526" s="1891">
        <f t="shared" si="88"/>
        <v>327507537</v>
      </c>
      <c r="O526" s="2162">
        <v>0</v>
      </c>
      <c r="P526" s="2132"/>
    </row>
    <row r="527" spans="1:16" s="2070" customFormat="1">
      <c r="A527" s="2096"/>
      <c r="B527" s="2096"/>
      <c r="C527" s="2096"/>
      <c r="D527" s="2096"/>
      <c r="E527" s="2096"/>
      <c r="F527" s="2097"/>
      <c r="G527" s="2104"/>
      <c r="H527" s="213">
        <v>5</v>
      </c>
      <c r="I527" s="200" t="s">
        <v>465</v>
      </c>
      <c r="J527" s="1964">
        <f>TARGET!D523</f>
        <v>0</v>
      </c>
      <c r="K527" s="2159">
        <v>198751703</v>
      </c>
      <c r="L527" s="2160">
        <v>92358050</v>
      </c>
      <c r="M527" s="2161">
        <f t="shared" si="87"/>
        <v>291109753</v>
      </c>
      <c r="N527" s="1891">
        <f t="shared" si="88"/>
        <v>291109753</v>
      </c>
      <c r="O527" s="2162">
        <v>0</v>
      </c>
      <c r="P527" s="2132"/>
    </row>
    <row r="528" spans="1:16" s="2070" customFormat="1">
      <c r="A528" s="2096"/>
      <c r="B528" s="2096"/>
      <c r="C528" s="2096"/>
      <c r="D528" s="2096"/>
      <c r="E528" s="2096"/>
      <c r="F528" s="2097"/>
      <c r="G528" s="2104"/>
      <c r="H528" s="213">
        <v>6</v>
      </c>
      <c r="I528" s="200" t="s">
        <v>466</v>
      </c>
      <c r="J528" s="1964"/>
      <c r="K528" s="2159">
        <v>96723700</v>
      </c>
      <c r="L528" s="2160">
        <v>51092666</v>
      </c>
      <c r="M528" s="2161">
        <f t="shared" si="87"/>
        <v>147816366</v>
      </c>
      <c r="N528" s="1891">
        <f t="shared" si="88"/>
        <v>147816366</v>
      </c>
      <c r="O528" s="2162"/>
      <c r="P528" s="2132"/>
    </row>
    <row r="529" spans="1:16" s="2070" customFormat="1">
      <c r="A529" s="2096"/>
      <c r="B529" s="2096"/>
      <c r="C529" s="2096"/>
      <c r="D529" s="2096"/>
      <c r="E529" s="2096"/>
      <c r="F529" s="2097"/>
      <c r="G529" s="2104"/>
      <c r="H529" s="213">
        <v>7</v>
      </c>
      <c r="I529" s="200" t="s">
        <v>315</v>
      </c>
      <c r="J529" s="1964">
        <f>TARGET!D524</f>
        <v>0</v>
      </c>
      <c r="K529" s="2159">
        <v>94411077</v>
      </c>
      <c r="L529" s="2160">
        <v>45850047</v>
      </c>
      <c r="M529" s="2161">
        <f t="shared" si="87"/>
        <v>140261124</v>
      </c>
      <c r="N529" s="1891">
        <f t="shared" si="88"/>
        <v>140261124</v>
      </c>
      <c r="O529" s="2162">
        <v>0</v>
      </c>
      <c r="P529" s="2132"/>
    </row>
    <row r="530" spans="1:16" s="2070" customFormat="1">
      <c r="A530" s="2096"/>
      <c r="B530" s="2096"/>
      <c r="C530" s="2096"/>
      <c r="D530" s="2096"/>
      <c r="E530" s="2096"/>
      <c r="F530" s="2097"/>
      <c r="G530" s="2104"/>
      <c r="H530" s="213">
        <v>8</v>
      </c>
      <c r="I530" s="200" t="s">
        <v>316</v>
      </c>
      <c r="J530" s="1964">
        <f>TARGET!D525</f>
        <v>0</v>
      </c>
      <c r="K530" s="2159">
        <v>310303928</v>
      </c>
      <c r="L530" s="2450">
        <v>180694105</v>
      </c>
      <c r="M530" s="2451">
        <f t="shared" si="87"/>
        <v>490998033</v>
      </c>
      <c r="N530" s="1891">
        <f t="shared" si="88"/>
        <v>490998033</v>
      </c>
      <c r="O530" s="2162">
        <v>0</v>
      </c>
      <c r="P530" s="2132"/>
    </row>
    <row r="531" spans="1:16" s="2070" customFormat="1">
      <c r="A531" s="2096"/>
      <c r="B531" s="2096"/>
      <c r="C531" s="2096"/>
      <c r="D531" s="2096"/>
      <c r="E531" s="2096"/>
      <c r="F531" s="2097"/>
      <c r="G531" s="2104"/>
      <c r="H531" s="213">
        <v>9</v>
      </c>
      <c r="I531" s="200" t="s">
        <v>317</v>
      </c>
      <c r="J531" s="1964">
        <f>TARGET!D526</f>
        <v>0</v>
      </c>
      <c r="K531" s="2159">
        <v>107538725</v>
      </c>
      <c r="L531" s="2160">
        <v>242828712</v>
      </c>
      <c r="M531" s="2161">
        <f t="shared" si="87"/>
        <v>350367437</v>
      </c>
      <c r="N531" s="1891">
        <f t="shared" si="88"/>
        <v>350367437</v>
      </c>
      <c r="O531" s="2162">
        <v>0</v>
      </c>
      <c r="P531" s="2132"/>
    </row>
    <row r="532" spans="1:16" s="2070" customFormat="1">
      <c r="A532" s="2096"/>
      <c r="B532" s="2096"/>
      <c r="C532" s="2096"/>
      <c r="D532" s="2096"/>
      <c r="E532" s="2096"/>
      <c r="F532" s="2097"/>
      <c r="G532" s="2104"/>
      <c r="H532" s="213">
        <v>10</v>
      </c>
      <c r="I532" s="200" t="s">
        <v>318</v>
      </c>
      <c r="J532" s="1964">
        <f>TARGET!D527</f>
        <v>0</v>
      </c>
      <c r="K532" s="2159">
        <v>104904400</v>
      </c>
      <c r="L532" s="2160">
        <v>50857200</v>
      </c>
      <c r="M532" s="2161">
        <f t="shared" si="87"/>
        <v>155761600</v>
      </c>
      <c r="N532" s="1891">
        <f t="shared" si="88"/>
        <v>155761600</v>
      </c>
      <c r="O532" s="2162">
        <v>0</v>
      </c>
      <c r="P532" s="2132"/>
    </row>
    <row r="533" spans="1:16" s="2070" customFormat="1" ht="7.55" customHeight="1">
      <c r="A533" s="2096"/>
      <c r="B533" s="2096"/>
      <c r="C533" s="2096"/>
      <c r="D533" s="2096"/>
      <c r="E533" s="2096"/>
      <c r="F533" s="2097"/>
      <c r="G533" s="2104"/>
      <c r="H533" s="213"/>
      <c r="I533" s="200"/>
      <c r="J533" s="2282"/>
      <c r="K533" s="2159">
        <v>0</v>
      </c>
      <c r="L533" s="2282"/>
      <c r="M533" s="2161">
        <f t="shared" si="87"/>
        <v>0</v>
      </c>
      <c r="N533" s="1891">
        <f t="shared" si="88"/>
        <v>0</v>
      </c>
      <c r="O533" s="2162">
        <f>N533-K533</f>
        <v>0</v>
      </c>
      <c r="P533" s="2132"/>
    </row>
    <row r="534" spans="1:16" s="2070" customFormat="1" ht="15.05">
      <c r="A534" s="2114">
        <v>4</v>
      </c>
      <c r="B534" s="2114">
        <v>1</v>
      </c>
      <c r="C534" s="2114" t="s">
        <v>443</v>
      </c>
      <c r="D534" s="2114" t="s">
        <v>456</v>
      </c>
      <c r="E534" s="2114" t="s">
        <v>438</v>
      </c>
      <c r="F534" s="2097"/>
      <c r="G534" s="2104" t="s">
        <v>308</v>
      </c>
      <c r="H534" s="202" t="s">
        <v>319</v>
      </c>
      <c r="I534" s="202"/>
      <c r="J534" s="2452">
        <f>SUM(J535:J544)</f>
        <v>100000000</v>
      </c>
      <c r="K534" s="2155">
        <v>121944953</v>
      </c>
      <c r="L534" s="2452">
        <f>SUM(L535:L544)</f>
        <v>73407755</v>
      </c>
      <c r="M534" s="2156">
        <f t="shared" si="87"/>
        <v>195352708</v>
      </c>
      <c r="N534" s="1749">
        <f t="shared" si="88"/>
        <v>95352708</v>
      </c>
      <c r="O534" s="2162">
        <v>0</v>
      </c>
      <c r="P534" s="2132"/>
    </row>
    <row r="535" spans="1:16" s="2070" customFormat="1">
      <c r="A535" s="2096"/>
      <c r="B535" s="2096"/>
      <c r="C535" s="2096"/>
      <c r="D535" s="2096"/>
      <c r="E535" s="2096"/>
      <c r="F535" s="2097"/>
      <c r="G535" s="2104"/>
      <c r="H535" s="213">
        <v>1</v>
      </c>
      <c r="I535" s="200" t="s">
        <v>310</v>
      </c>
      <c r="J535" s="1964">
        <f>TARGET!D530</f>
        <v>100000000</v>
      </c>
      <c r="K535" s="2159">
        <v>51221268</v>
      </c>
      <c r="L535" s="2450">
        <v>9587463</v>
      </c>
      <c r="M535" s="2451">
        <f t="shared" si="87"/>
        <v>60808731</v>
      </c>
      <c r="N535" s="1891">
        <f t="shared" si="88"/>
        <v>-39191269</v>
      </c>
      <c r="O535" s="2162">
        <v>0</v>
      </c>
      <c r="P535" s="2132"/>
    </row>
    <row r="536" spans="1:16" s="2070" customFormat="1">
      <c r="A536" s="2096"/>
      <c r="B536" s="2096"/>
      <c r="C536" s="2096"/>
      <c r="D536" s="2096"/>
      <c r="E536" s="2096"/>
      <c r="F536" s="2097"/>
      <c r="G536" s="2104"/>
      <c r="H536" s="213">
        <v>2</v>
      </c>
      <c r="I536" s="200" t="s">
        <v>311</v>
      </c>
      <c r="J536" s="1964">
        <f>TARGET!D531</f>
        <v>0</v>
      </c>
      <c r="K536" s="2159">
        <v>14910125</v>
      </c>
      <c r="L536" s="2160">
        <v>23481425</v>
      </c>
      <c r="M536" s="2161">
        <f t="shared" si="87"/>
        <v>38391550</v>
      </c>
      <c r="N536" s="1891">
        <f t="shared" si="88"/>
        <v>38391550</v>
      </c>
      <c r="O536" s="2162">
        <v>0</v>
      </c>
      <c r="P536" s="2132"/>
    </row>
    <row r="537" spans="1:16" s="2070" customFormat="1">
      <c r="A537" s="2096"/>
      <c r="B537" s="2096"/>
      <c r="C537" s="2096"/>
      <c r="D537" s="2096"/>
      <c r="E537" s="2096"/>
      <c r="F537" s="2097"/>
      <c r="G537" s="2104"/>
      <c r="H537" s="213">
        <v>3</v>
      </c>
      <c r="I537" s="200" t="s">
        <v>312</v>
      </c>
      <c r="J537" s="1964">
        <f>TARGET!D532</f>
        <v>0</v>
      </c>
      <c r="K537" s="2159">
        <v>11853570</v>
      </c>
      <c r="L537" s="2160">
        <v>8988200</v>
      </c>
      <c r="M537" s="2161">
        <f t="shared" si="87"/>
        <v>20841770</v>
      </c>
      <c r="N537" s="1891">
        <f t="shared" si="88"/>
        <v>20841770</v>
      </c>
      <c r="O537" s="2162">
        <v>0</v>
      </c>
      <c r="P537" s="2132"/>
    </row>
    <row r="538" spans="1:16" s="2070" customFormat="1">
      <c r="A538" s="2096"/>
      <c r="B538" s="2096"/>
      <c r="C538" s="2096"/>
      <c r="D538" s="2096"/>
      <c r="E538" s="2096"/>
      <c r="F538" s="2097"/>
      <c r="G538" s="2104"/>
      <c r="H538" s="213">
        <v>4</v>
      </c>
      <c r="I538" s="200" t="s">
        <v>313</v>
      </c>
      <c r="J538" s="1964">
        <f>TARGET!D533</f>
        <v>0</v>
      </c>
      <c r="K538" s="2159">
        <v>8483975</v>
      </c>
      <c r="L538" s="2450">
        <v>4618600</v>
      </c>
      <c r="M538" s="2451">
        <f t="shared" si="87"/>
        <v>13102575</v>
      </c>
      <c r="N538" s="1891">
        <f t="shared" si="88"/>
        <v>13102575</v>
      </c>
      <c r="O538" s="2162">
        <v>0</v>
      </c>
      <c r="P538" s="2132"/>
    </row>
    <row r="539" spans="1:16" s="2070" customFormat="1">
      <c r="A539" s="2096"/>
      <c r="B539" s="2096"/>
      <c r="C539" s="2096"/>
      <c r="D539" s="2096"/>
      <c r="E539" s="2096"/>
      <c r="F539" s="2097"/>
      <c r="G539" s="2104"/>
      <c r="H539" s="213">
        <v>5</v>
      </c>
      <c r="I539" s="200" t="s">
        <v>465</v>
      </c>
      <c r="J539" s="1964">
        <f>TARGET!D534</f>
        <v>0</v>
      </c>
      <c r="K539" s="2159">
        <v>10865555</v>
      </c>
      <c r="L539" s="2160">
        <v>3584900</v>
      </c>
      <c r="M539" s="2161">
        <f t="shared" si="87"/>
        <v>14450455</v>
      </c>
      <c r="N539" s="1891">
        <f t="shared" si="88"/>
        <v>14450455</v>
      </c>
      <c r="O539" s="2162">
        <v>0</v>
      </c>
      <c r="P539" s="2132"/>
    </row>
    <row r="540" spans="1:16" s="2070" customFormat="1">
      <c r="A540" s="2096"/>
      <c r="B540" s="2096"/>
      <c r="C540" s="2096"/>
      <c r="D540" s="2096"/>
      <c r="E540" s="2096"/>
      <c r="F540" s="2097"/>
      <c r="G540" s="2104"/>
      <c r="H540" s="213">
        <v>6</v>
      </c>
      <c r="I540" s="200" t="s">
        <v>466</v>
      </c>
      <c r="J540" s="1964"/>
      <c r="K540" s="2159">
        <v>3475300</v>
      </c>
      <c r="L540" s="2160">
        <v>7300390</v>
      </c>
      <c r="M540" s="2161">
        <f t="shared" si="87"/>
        <v>10775690</v>
      </c>
      <c r="N540" s="1891">
        <f t="shared" si="88"/>
        <v>10775690</v>
      </c>
      <c r="O540" s="2162"/>
      <c r="P540" s="2132"/>
    </row>
    <row r="541" spans="1:16" s="2070" customFormat="1">
      <c r="A541" s="2096"/>
      <c r="B541" s="2096"/>
      <c r="C541" s="2096"/>
      <c r="D541" s="2096"/>
      <c r="E541" s="2096"/>
      <c r="F541" s="2097"/>
      <c r="G541" s="2104"/>
      <c r="H541" s="213">
        <v>7</v>
      </c>
      <c r="I541" s="200" t="s">
        <v>315</v>
      </c>
      <c r="J541" s="1964">
        <f>TARGET!D535</f>
        <v>0</v>
      </c>
      <c r="K541" s="2159">
        <v>4177145</v>
      </c>
      <c r="L541" s="2160">
        <v>2170250</v>
      </c>
      <c r="M541" s="2161">
        <f t="shared" si="87"/>
        <v>6347395</v>
      </c>
      <c r="N541" s="1891">
        <f t="shared" si="88"/>
        <v>6347395</v>
      </c>
      <c r="O541" s="2162">
        <v>0</v>
      </c>
      <c r="P541" s="2132"/>
    </row>
    <row r="542" spans="1:16" s="2070" customFormat="1">
      <c r="A542" s="2096"/>
      <c r="B542" s="2096"/>
      <c r="C542" s="2096"/>
      <c r="D542" s="2096"/>
      <c r="E542" s="2096"/>
      <c r="F542" s="2097"/>
      <c r="G542" s="2104"/>
      <c r="H542" s="213">
        <v>8</v>
      </c>
      <c r="I542" s="200" t="s">
        <v>316</v>
      </c>
      <c r="J542" s="1964">
        <f>TARGET!D536</f>
        <v>0</v>
      </c>
      <c r="K542" s="2159">
        <v>12073539</v>
      </c>
      <c r="L542" s="2450">
        <v>9903007</v>
      </c>
      <c r="M542" s="2451">
        <f t="shared" si="87"/>
        <v>21976546</v>
      </c>
      <c r="N542" s="1891">
        <f t="shared" si="88"/>
        <v>21976546</v>
      </c>
      <c r="O542" s="2162">
        <v>0</v>
      </c>
      <c r="P542" s="2132"/>
    </row>
    <row r="543" spans="1:16" s="2070" customFormat="1">
      <c r="A543" s="2096"/>
      <c r="B543" s="2096"/>
      <c r="C543" s="2096"/>
      <c r="D543" s="2096"/>
      <c r="E543" s="2096"/>
      <c r="F543" s="2097"/>
      <c r="G543" s="2104"/>
      <c r="H543" s="213">
        <v>9</v>
      </c>
      <c r="I543" s="200" t="s">
        <v>317</v>
      </c>
      <c r="J543" s="1964">
        <f>TARGET!D537</f>
        <v>0</v>
      </c>
      <c r="K543" s="2159">
        <v>2760945</v>
      </c>
      <c r="L543" s="2160">
        <v>2402495</v>
      </c>
      <c r="M543" s="2161">
        <f t="shared" si="87"/>
        <v>5163440</v>
      </c>
      <c r="N543" s="1891">
        <f t="shared" si="88"/>
        <v>5163440</v>
      </c>
      <c r="O543" s="2162">
        <v>0</v>
      </c>
      <c r="P543" s="2132"/>
    </row>
    <row r="544" spans="1:16" s="2070" customFormat="1">
      <c r="A544" s="2096"/>
      <c r="B544" s="2096"/>
      <c r="C544" s="2096"/>
      <c r="D544" s="2096"/>
      <c r="E544" s="2096"/>
      <c r="F544" s="2097"/>
      <c r="G544" s="2104"/>
      <c r="H544" s="213">
        <v>10</v>
      </c>
      <c r="I544" s="200" t="s">
        <v>318</v>
      </c>
      <c r="J544" s="1964">
        <f>TARGET!D538</f>
        <v>0</v>
      </c>
      <c r="K544" s="2159">
        <v>2123531</v>
      </c>
      <c r="L544" s="2160">
        <v>1371025</v>
      </c>
      <c r="M544" s="2161">
        <f t="shared" si="87"/>
        <v>3494556</v>
      </c>
      <c r="N544" s="1891">
        <f t="shared" si="88"/>
        <v>3494556</v>
      </c>
      <c r="O544" s="2162">
        <v>0</v>
      </c>
      <c r="P544" s="2132"/>
    </row>
    <row r="545" spans="1:16" s="2070" customFormat="1" ht="4.55" customHeight="1">
      <c r="A545" s="2096"/>
      <c r="B545" s="2096"/>
      <c r="C545" s="2096"/>
      <c r="D545" s="2096"/>
      <c r="E545" s="2096"/>
      <c r="F545" s="2097"/>
      <c r="G545" s="2104"/>
      <c r="H545" s="213"/>
      <c r="I545" s="2453"/>
      <c r="J545" s="2282"/>
      <c r="K545" s="2159">
        <v>0</v>
      </c>
      <c r="L545" s="2282"/>
      <c r="M545" s="2161">
        <f t="shared" si="87"/>
        <v>0</v>
      </c>
      <c r="N545" s="1891">
        <f t="shared" si="88"/>
        <v>0</v>
      </c>
      <c r="O545" s="2162">
        <f>N545-K545</f>
        <v>0</v>
      </c>
      <c r="P545" s="2132"/>
    </row>
    <row r="546" spans="1:16" s="2070" customFormat="1" ht="15.05">
      <c r="A546" s="2114">
        <v>4</v>
      </c>
      <c r="B546" s="2114">
        <v>1</v>
      </c>
      <c r="C546" s="2114" t="s">
        <v>443</v>
      </c>
      <c r="D546" s="2114" t="s">
        <v>444</v>
      </c>
      <c r="E546" s="2096"/>
      <c r="F546" s="2097"/>
      <c r="G546" s="2104" t="s">
        <v>308</v>
      </c>
      <c r="H546" s="202" t="s">
        <v>222</v>
      </c>
      <c r="I546" s="202"/>
      <c r="J546" s="2452">
        <f>SUM(J547:J549)</f>
        <v>0</v>
      </c>
      <c r="K546" s="2155">
        <v>0</v>
      </c>
      <c r="L546" s="2452">
        <f>SUM(L547:L549)</f>
        <v>0</v>
      </c>
      <c r="M546" s="2156">
        <f t="shared" si="87"/>
        <v>0</v>
      </c>
      <c r="N546" s="1749">
        <f t="shared" si="88"/>
        <v>0</v>
      </c>
      <c r="O546" s="2162">
        <v>0</v>
      </c>
      <c r="P546" s="2132"/>
    </row>
    <row r="547" spans="1:16" s="2070" customFormat="1">
      <c r="A547" s="1902">
        <v>4</v>
      </c>
      <c r="B547" s="1902">
        <v>1</v>
      </c>
      <c r="C547" s="1902" t="s">
        <v>443</v>
      </c>
      <c r="D547" s="1902" t="s">
        <v>444</v>
      </c>
      <c r="E547" s="1902" t="s">
        <v>440</v>
      </c>
      <c r="F547" s="2097"/>
      <c r="G547" s="2101"/>
      <c r="H547" s="2743" t="s">
        <v>50</v>
      </c>
      <c r="I547" s="200" t="s">
        <v>73</v>
      </c>
      <c r="J547" s="1964">
        <f>TARGET!D541</f>
        <v>0</v>
      </c>
      <c r="K547" s="2159">
        <v>0</v>
      </c>
      <c r="L547" s="2160">
        <f>'ALL BULAN'!E546</f>
        <v>0</v>
      </c>
      <c r="M547" s="2161">
        <f t="shared" si="87"/>
        <v>0</v>
      </c>
      <c r="N547" s="1891">
        <f t="shared" si="88"/>
        <v>0</v>
      </c>
      <c r="O547" s="2162">
        <v>0</v>
      </c>
      <c r="P547" s="2132"/>
    </row>
    <row r="548" spans="1:16" s="2070" customFormat="1">
      <c r="A548" s="1944">
        <v>4</v>
      </c>
      <c r="B548" s="1944">
        <v>1</v>
      </c>
      <c r="C548" s="1944" t="s">
        <v>443</v>
      </c>
      <c r="D548" s="1944" t="s">
        <v>444</v>
      </c>
      <c r="E548" s="2105" t="s">
        <v>445</v>
      </c>
      <c r="F548" s="2097"/>
      <c r="G548" s="2101"/>
      <c r="H548" s="2743" t="s">
        <v>50</v>
      </c>
      <c r="I548" s="200" t="s">
        <v>74</v>
      </c>
      <c r="J548" s="1964">
        <f>TARGET!D542</f>
        <v>0</v>
      </c>
      <c r="K548" s="2159">
        <v>0</v>
      </c>
      <c r="L548" s="2160">
        <f>'ALL BULAN'!E547</f>
        <v>0</v>
      </c>
      <c r="M548" s="2161">
        <f t="shared" si="87"/>
        <v>0</v>
      </c>
      <c r="N548" s="1891">
        <f t="shared" si="88"/>
        <v>0</v>
      </c>
      <c r="O548" s="2162">
        <v>0</v>
      </c>
      <c r="P548" s="2132"/>
    </row>
    <row r="549" spans="1:16" s="2070" customFormat="1" ht="15.05">
      <c r="A549" s="1725">
        <v>4</v>
      </c>
      <c r="B549" s="1725">
        <v>1</v>
      </c>
      <c r="C549" s="1725" t="s">
        <v>443</v>
      </c>
      <c r="D549" s="1725" t="s">
        <v>444</v>
      </c>
      <c r="E549" s="1725" t="s">
        <v>441</v>
      </c>
      <c r="F549" s="2097"/>
      <c r="G549" s="2101"/>
      <c r="H549" s="200" t="s">
        <v>308</v>
      </c>
      <c r="I549" s="200" t="s">
        <v>75</v>
      </c>
      <c r="J549" s="2454">
        <f>SUM(J550:J560)</f>
        <v>0</v>
      </c>
      <c r="K549" s="2155">
        <v>0</v>
      </c>
      <c r="L549" s="2454">
        <f>SUM(L550:L560)</f>
        <v>0</v>
      </c>
      <c r="M549" s="2156">
        <f t="shared" si="87"/>
        <v>0</v>
      </c>
      <c r="N549" s="1749">
        <f t="shared" si="88"/>
        <v>0</v>
      </c>
      <c r="O549" s="2162">
        <v>0</v>
      </c>
      <c r="P549" s="2132"/>
    </row>
    <row r="550" spans="1:16" s="2070" customFormat="1">
      <c r="A550" s="2096"/>
      <c r="B550" s="2096"/>
      <c r="C550" s="2096"/>
      <c r="D550" s="2096"/>
      <c r="E550" s="2096"/>
      <c r="F550" s="2097"/>
      <c r="G550" s="2101"/>
      <c r="H550" s="213">
        <v>1</v>
      </c>
      <c r="I550" s="200" t="s">
        <v>320</v>
      </c>
      <c r="J550" s="1964">
        <f>TARGET!D544</f>
        <v>0</v>
      </c>
      <c r="K550" s="2159">
        <v>0</v>
      </c>
      <c r="L550" s="2160">
        <f>'ALL BULAN'!E549</f>
        <v>0</v>
      </c>
      <c r="M550" s="2161">
        <f t="shared" si="87"/>
        <v>0</v>
      </c>
      <c r="N550" s="1891">
        <f t="shared" si="88"/>
        <v>0</v>
      </c>
      <c r="O550" s="2162">
        <v>0</v>
      </c>
      <c r="P550" s="2132"/>
    </row>
    <row r="551" spans="1:16" s="2070" customFormat="1">
      <c r="A551" s="2096"/>
      <c r="B551" s="2096"/>
      <c r="C551" s="2096"/>
      <c r="D551" s="2096"/>
      <c r="E551" s="2096"/>
      <c r="F551" s="2097"/>
      <c r="G551" s="2101"/>
      <c r="H551" s="213">
        <v>2</v>
      </c>
      <c r="I551" s="200" t="s">
        <v>310</v>
      </c>
      <c r="J551" s="1964">
        <f>TARGET!D545</f>
        <v>0</v>
      </c>
      <c r="K551" s="2159">
        <v>0</v>
      </c>
      <c r="L551" s="2160">
        <f>'ALL BULAN'!E550</f>
        <v>0</v>
      </c>
      <c r="M551" s="2161">
        <f t="shared" si="87"/>
        <v>0</v>
      </c>
      <c r="N551" s="1891">
        <f t="shared" si="88"/>
        <v>0</v>
      </c>
      <c r="O551" s="2162">
        <v>0</v>
      </c>
      <c r="P551" s="2132"/>
    </row>
    <row r="552" spans="1:16" s="2070" customFormat="1">
      <c r="A552" s="2096"/>
      <c r="B552" s="2096"/>
      <c r="C552" s="2096"/>
      <c r="D552" s="2096"/>
      <c r="E552" s="2096"/>
      <c r="F552" s="2097"/>
      <c r="G552" s="2101"/>
      <c r="H552" s="213">
        <v>3</v>
      </c>
      <c r="I552" s="200" t="s">
        <v>311</v>
      </c>
      <c r="J552" s="1964">
        <f>TARGET!D546</f>
        <v>0</v>
      </c>
      <c r="K552" s="2159">
        <v>0</v>
      </c>
      <c r="L552" s="2160">
        <f>'ALL BULAN'!E551</f>
        <v>0</v>
      </c>
      <c r="M552" s="2161">
        <f t="shared" si="87"/>
        <v>0</v>
      </c>
      <c r="N552" s="1891">
        <f t="shared" si="88"/>
        <v>0</v>
      </c>
      <c r="O552" s="2162">
        <v>0</v>
      </c>
      <c r="P552" s="2132"/>
    </row>
    <row r="553" spans="1:16" s="2070" customFormat="1">
      <c r="A553" s="2096"/>
      <c r="B553" s="2096"/>
      <c r="C553" s="2096"/>
      <c r="D553" s="2096"/>
      <c r="E553" s="2096"/>
      <c r="F553" s="2097"/>
      <c r="G553" s="2101"/>
      <c r="H553" s="213">
        <v>4</v>
      </c>
      <c r="I553" s="200" t="s">
        <v>312</v>
      </c>
      <c r="J553" s="1964">
        <f>TARGET!D547</f>
        <v>0</v>
      </c>
      <c r="K553" s="2159">
        <v>0</v>
      </c>
      <c r="L553" s="2160">
        <f>'ALL BULAN'!E552</f>
        <v>0</v>
      </c>
      <c r="M553" s="2161">
        <f t="shared" ref="M553:M578" si="89">SUM(K553:L553)</f>
        <v>0</v>
      </c>
      <c r="N553" s="1891">
        <f t="shared" ref="N553:N578" si="90">M553-J553</f>
        <v>0</v>
      </c>
      <c r="O553" s="2162">
        <v>0</v>
      </c>
      <c r="P553" s="2132"/>
    </row>
    <row r="554" spans="1:16" s="2070" customFormat="1">
      <c r="A554" s="2096"/>
      <c r="B554" s="2096"/>
      <c r="C554" s="2096"/>
      <c r="D554" s="2096"/>
      <c r="E554" s="2096"/>
      <c r="F554" s="2097"/>
      <c r="G554" s="2101"/>
      <c r="H554" s="213">
        <v>5</v>
      </c>
      <c r="I554" s="200" t="s">
        <v>313</v>
      </c>
      <c r="J554" s="1964">
        <f>TARGET!D548</f>
        <v>0</v>
      </c>
      <c r="K554" s="2159">
        <v>0</v>
      </c>
      <c r="L554" s="2160">
        <f>'ALL BULAN'!E553</f>
        <v>0</v>
      </c>
      <c r="M554" s="2161">
        <f t="shared" si="89"/>
        <v>0</v>
      </c>
      <c r="N554" s="1891">
        <f t="shared" si="90"/>
        <v>0</v>
      </c>
      <c r="O554" s="2162">
        <v>0</v>
      </c>
      <c r="P554" s="2132"/>
    </row>
    <row r="555" spans="1:16" s="2070" customFormat="1">
      <c r="A555" s="2096"/>
      <c r="B555" s="2096"/>
      <c r="C555" s="2096"/>
      <c r="D555" s="2096"/>
      <c r="E555" s="2096"/>
      <c r="F555" s="2097"/>
      <c r="G555" s="2101"/>
      <c r="H555" s="213">
        <v>6</v>
      </c>
      <c r="I555" s="200" t="s">
        <v>465</v>
      </c>
      <c r="J555" s="1964">
        <f>TARGET!D549</f>
        <v>0</v>
      </c>
      <c r="K555" s="2159">
        <v>0</v>
      </c>
      <c r="L555" s="2160">
        <f>'ALL BULAN'!E554</f>
        <v>0</v>
      </c>
      <c r="M555" s="2161">
        <f t="shared" si="89"/>
        <v>0</v>
      </c>
      <c r="N555" s="1891">
        <f t="shared" si="90"/>
        <v>0</v>
      </c>
      <c r="O555" s="2162">
        <v>0</v>
      </c>
      <c r="P555" s="2132"/>
    </row>
    <row r="556" spans="1:16" s="2070" customFormat="1">
      <c r="A556" s="2096"/>
      <c r="B556" s="2096"/>
      <c r="C556" s="2096"/>
      <c r="D556" s="2096"/>
      <c r="E556" s="2096"/>
      <c r="F556" s="2097"/>
      <c r="G556" s="2101"/>
      <c r="H556" s="213">
        <v>7</v>
      </c>
      <c r="I556" s="200" t="s">
        <v>466</v>
      </c>
      <c r="J556" s="1964"/>
      <c r="K556" s="2159"/>
      <c r="L556" s="2160"/>
      <c r="M556" s="2161"/>
      <c r="N556" s="1891"/>
      <c r="O556" s="2162"/>
      <c r="P556" s="2132"/>
    </row>
    <row r="557" spans="1:16" s="2070" customFormat="1">
      <c r="A557" s="2096"/>
      <c r="B557" s="2096"/>
      <c r="C557" s="2096"/>
      <c r="D557" s="2096"/>
      <c r="E557" s="2096"/>
      <c r="F557" s="2097"/>
      <c r="G557" s="2104"/>
      <c r="H557" s="213">
        <v>8</v>
      </c>
      <c r="I557" s="200" t="s">
        <v>315</v>
      </c>
      <c r="J557" s="1964">
        <f>TARGET!D550</f>
        <v>0</v>
      </c>
      <c r="K557" s="2159">
        <v>0</v>
      </c>
      <c r="L557" s="2160">
        <f>'ALL BULAN'!E555</f>
        <v>0</v>
      </c>
      <c r="M557" s="2161">
        <f t="shared" si="89"/>
        <v>0</v>
      </c>
      <c r="N557" s="1891">
        <f t="shared" si="90"/>
        <v>0</v>
      </c>
      <c r="O557" s="2162">
        <v>0</v>
      </c>
      <c r="P557" s="2132"/>
    </row>
    <row r="558" spans="1:16" s="2070" customFormat="1">
      <c r="A558" s="2096"/>
      <c r="B558" s="2096"/>
      <c r="C558" s="2096"/>
      <c r="D558" s="2096"/>
      <c r="E558" s="2096"/>
      <c r="F558" s="2097"/>
      <c r="G558" s="2104"/>
      <c r="H558" s="213">
        <v>9</v>
      </c>
      <c r="I558" s="200" t="s">
        <v>316</v>
      </c>
      <c r="J558" s="1964">
        <f>TARGET!D551</f>
        <v>0</v>
      </c>
      <c r="K558" s="2159">
        <v>0</v>
      </c>
      <c r="L558" s="2160">
        <f>'ALL BULAN'!E556</f>
        <v>0</v>
      </c>
      <c r="M558" s="2161">
        <f t="shared" si="89"/>
        <v>0</v>
      </c>
      <c r="N558" s="1891">
        <f t="shared" si="90"/>
        <v>0</v>
      </c>
      <c r="O558" s="2162">
        <v>0</v>
      </c>
      <c r="P558" s="2132"/>
    </row>
    <row r="559" spans="1:16" s="2070" customFormat="1">
      <c r="A559" s="2096"/>
      <c r="B559" s="2096"/>
      <c r="C559" s="2096"/>
      <c r="D559" s="2096"/>
      <c r="E559" s="2096"/>
      <c r="F559" s="2097"/>
      <c r="G559" s="2104"/>
      <c r="H559" s="213">
        <v>10</v>
      </c>
      <c r="I559" s="200" t="s">
        <v>317</v>
      </c>
      <c r="J559" s="1964">
        <f>TARGET!D552</f>
        <v>0</v>
      </c>
      <c r="K559" s="2159">
        <v>0</v>
      </c>
      <c r="L559" s="2160">
        <f>'ALL BULAN'!E557</f>
        <v>0</v>
      </c>
      <c r="M559" s="2161">
        <f t="shared" si="89"/>
        <v>0</v>
      </c>
      <c r="N559" s="1891">
        <f t="shared" si="90"/>
        <v>0</v>
      </c>
      <c r="O559" s="2162">
        <v>0</v>
      </c>
      <c r="P559" s="2132"/>
    </row>
    <row r="560" spans="1:16" s="2070" customFormat="1">
      <c r="A560" s="2096"/>
      <c r="B560" s="2096"/>
      <c r="C560" s="2096"/>
      <c r="D560" s="2096"/>
      <c r="E560" s="2096"/>
      <c r="F560" s="2097"/>
      <c r="G560" s="2104"/>
      <c r="H560" s="213">
        <v>11</v>
      </c>
      <c r="I560" s="200" t="s">
        <v>318</v>
      </c>
      <c r="J560" s="1964">
        <f>TARGET!D553</f>
        <v>0</v>
      </c>
      <c r="K560" s="2159">
        <v>0</v>
      </c>
      <c r="L560" s="2160">
        <f>'ALL BULAN'!E558</f>
        <v>0</v>
      </c>
      <c r="M560" s="2161">
        <f t="shared" si="89"/>
        <v>0</v>
      </c>
      <c r="N560" s="1891">
        <f t="shared" si="90"/>
        <v>0</v>
      </c>
      <c r="O560" s="2162">
        <v>0</v>
      </c>
      <c r="P560" s="2132"/>
    </row>
    <row r="561" spans="1:16" s="2070" customFormat="1" ht="5.35" customHeight="1">
      <c r="A561" s="2096"/>
      <c r="B561" s="2096"/>
      <c r="C561" s="2096"/>
      <c r="D561" s="2096"/>
      <c r="E561" s="2096"/>
      <c r="F561" s="2097"/>
      <c r="G561" s="2104"/>
      <c r="H561" s="213"/>
      <c r="I561" s="200"/>
      <c r="J561" s="2455"/>
      <c r="K561" s="2159">
        <v>0</v>
      </c>
      <c r="L561" s="2455"/>
      <c r="M561" s="2161">
        <f t="shared" si="89"/>
        <v>0</v>
      </c>
      <c r="N561" s="1891">
        <f t="shared" si="90"/>
        <v>0</v>
      </c>
      <c r="O561" s="2162">
        <f>N561-K561</f>
        <v>0</v>
      </c>
      <c r="P561" s="2132"/>
    </row>
    <row r="562" spans="1:16" s="2070" customFormat="1" ht="15.05">
      <c r="A562" s="2096"/>
      <c r="B562" s="2096"/>
      <c r="C562" s="2096"/>
      <c r="D562" s="2096"/>
      <c r="E562" s="2096"/>
      <c r="F562" s="2097"/>
      <c r="G562" s="2104" t="s">
        <v>308</v>
      </c>
      <c r="H562" s="202" t="s">
        <v>321</v>
      </c>
      <c r="I562" s="200"/>
      <c r="J562" s="2449">
        <v>0</v>
      </c>
      <c r="K562" s="2155">
        <v>275500000</v>
      </c>
      <c r="L562" s="2456">
        <v>137750000</v>
      </c>
      <c r="M562" s="2156">
        <f t="shared" si="89"/>
        <v>413250000</v>
      </c>
      <c r="N562" s="1749">
        <f t="shared" si="90"/>
        <v>413250000</v>
      </c>
      <c r="O562" s="2162">
        <v>0</v>
      </c>
      <c r="P562" s="2132"/>
    </row>
    <row r="563" spans="1:16" s="2070" customFormat="1" ht="4.55" customHeight="1">
      <c r="A563" s="2096"/>
      <c r="B563" s="2096"/>
      <c r="C563" s="2096"/>
      <c r="D563" s="2096"/>
      <c r="E563" s="2096"/>
      <c r="F563" s="2097"/>
      <c r="G563" s="2104"/>
      <c r="H563" s="202"/>
      <c r="I563" s="200"/>
      <c r="J563" s="2307"/>
      <c r="K563" s="2159">
        <v>0</v>
      </c>
      <c r="L563" s="2307"/>
      <c r="M563" s="2161">
        <f t="shared" si="89"/>
        <v>0</v>
      </c>
      <c r="N563" s="1891">
        <f t="shared" si="90"/>
        <v>0</v>
      </c>
      <c r="O563" s="2162">
        <f>N563-K563</f>
        <v>0</v>
      </c>
      <c r="P563" s="2132"/>
    </row>
    <row r="564" spans="1:16" s="2070" customFormat="1">
      <c r="A564" s="2096"/>
      <c r="B564" s="2096"/>
      <c r="C564" s="2096"/>
      <c r="D564" s="2096"/>
      <c r="E564" s="2096"/>
      <c r="F564" s="2097"/>
      <c r="G564" s="2104" t="s">
        <v>308</v>
      </c>
      <c r="H564" s="202" t="s">
        <v>322</v>
      </c>
      <c r="I564" s="200"/>
      <c r="J564" s="1964">
        <f>TARGET!D557</f>
        <v>0</v>
      </c>
      <c r="K564" s="2159">
        <v>0</v>
      </c>
      <c r="L564" s="2160">
        <f>'ALL BULAN'!E562</f>
        <v>0</v>
      </c>
      <c r="M564" s="2161">
        <f t="shared" si="89"/>
        <v>0</v>
      </c>
      <c r="N564" s="1891">
        <f t="shared" si="90"/>
        <v>0</v>
      </c>
      <c r="O564" s="2162">
        <v>0</v>
      </c>
      <c r="P564" s="2132"/>
    </row>
    <row r="565" spans="1:16" s="2070" customFormat="1" ht="5.35" customHeight="1">
      <c r="A565" s="2096"/>
      <c r="B565" s="2096"/>
      <c r="C565" s="2096"/>
      <c r="D565" s="2096"/>
      <c r="E565" s="2096"/>
      <c r="F565" s="2097"/>
      <c r="G565" s="2104"/>
      <c r="H565" s="202"/>
      <c r="I565" s="200"/>
      <c r="J565" s="2283"/>
      <c r="K565" s="2159">
        <v>0</v>
      </c>
      <c r="L565" s="2283"/>
      <c r="M565" s="2161">
        <f t="shared" si="89"/>
        <v>0</v>
      </c>
      <c r="N565" s="1891">
        <f t="shared" si="90"/>
        <v>0</v>
      </c>
      <c r="O565" s="2162">
        <f>N565-K565</f>
        <v>0</v>
      </c>
      <c r="P565" s="2132"/>
    </row>
    <row r="566" spans="1:16" s="2070" customFormat="1" ht="15.05">
      <c r="A566" s="2096"/>
      <c r="B566" s="2096"/>
      <c r="C566" s="2096"/>
      <c r="D566" s="2096"/>
      <c r="E566" s="2096"/>
      <c r="F566" s="2097"/>
      <c r="G566" s="2104" t="s">
        <v>308</v>
      </c>
      <c r="H566" s="5737" t="s">
        <v>323</v>
      </c>
      <c r="I566" s="5737"/>
      <c r="J566" s="2452">
        <f>SUM(J567:J576)</f>
        <v>0</v>
      </c>
      <c r="K566" s="2155">
        <v>457925000</v>
      </c>
      <c r="L566" s="2452">
        <f>SUM(L567:L576)</f>
        <v>274025000</v>
      </c>
      <c r="M566" s="2156">
        <f t="shared" si="89"/>
        <v>731950000</v>
      </c>
      <c r="N566" s="1749">
        <f t="shared" si="90"/>
        <v>731950000</v>
      </c>
      <c r="O566" s="2162">
        <v>0</v>
      </c>
      <c r="P566" s="2132"/>
    </row>
    <row r="567" spans="1:16" s="2070" customFormat="1">
      <c r="A567" s="2096"/>
      <c r="B567" s="2096"/>
      <c r="C567" s="2096"/>
      <c r="D567" s="2096"/>
      <c r="E567" s="2096"/>
      <c r="F567" s="2097"/>
      <c r="G567" s="2104"/>
      <c r="H567" s="213"/>
      <c r="I567" s="200" t="s">
        <v>310</v>
      </c>
      <c r="J567" s="1964">
        <f>TARGET!D560</f>
        <v>0</v>
      </c>
      <c r="K567" s="2159">
        <v>98675000</v>
      </c>
      <c r="L567" s="2450">
        <v>46375000</v>
      </c>
      <c r="M567" s="2451">
        <f t="shared" si="89"/>
        <v>145050000</v>
      </c>
      <c r="N567" s="1891">
        <f t="shared" si="90"/>
        <v>145050000</v>
      </c>
      <c r="O567" s="2162">
        <v>0</v>
      </c>
      <c r="P567" s="2132"/>
    </row>
    <row r="568" spans="1:16" s="2070" customFormat="1">
      <c r="A568" s="2096"/>
      <c r="B568" s="2096"/>
      <c r="C568" s="2096"/>
      <c r="D568" s="2096"/>
      <c r="E568" s="2096"/>
      <c r="F568" s="2097"/>
      <c r="G568" s="2104"/>
      <c r="H568" s="213"/>
      <c r="I568" s="200" t="s">
        <v>311</v>
      </c>
      <c r="J568" s="1964">
        <f>TARGET!D561</f>
        <v>0</v>
      </c>
      <c r="K568" s="2159">
        <v>70250000</v>
      </c>
      <c r="L568" s="2160">
        <v>103425000</v>
      </c>
      <c r="M568" s="2161">
        <f t="shared" si="89"/>
        <v>173675000</v>
      </c>
      <c r="N568" s="1891">
        <f t="shared" si="90"/>
        <v>173675000</v>
      </c>
      <c r="O568" s="2162">
        <v>0</v>
      </c>
      <c r="P568" s="2132"/>
    </row>
    <row r="569" spans="1:16" s="2070" customFormat="1">
      <c r="A569" s="2096"/>
      <c r="B569" s="2096"/>
      <c r="C569" s="2096"/>
      <c r="D569" s="2096"/>
      <c r="E569" s="2096"/>
      <c r="F569" s="2097"/>
      <c r="G569" s="2104"/>
      <c r="H569" s="213"/>
      <c r="I569" s="200" t="s">
        <v>312</v>
      </c>
      <c r="J569" s="1964">
        <f>TARGET!D562</f>
        <v>0</v>
      </c>
      <c r="K569" s="2159">
        <v>95350000</v>
      </c>
      <c r="L569" s="2160">
        <v>42725000</v>
      </c>
      <c r="M569" s="2161">
        <f t="shared" si="89"/>
        <v>138075000</v>
      </c>
      <c r="N569" s="1891">
        <f t="shared" si="90"/>
        <v>138075000</v>
      </c>
      <c r="O569" s="2162">
        <v>0</v>
      </c>
      <c r="P569" s="2132"/>
    </row>
    <row r="570" spans="1:16" s="2070" customFormat="1">
      <c r="A570" s="2096"/>
      <c r="B570" s="2096"/>
      <c r="C570" s="2096"/>
      <c r="D570" s="2096"/>
      <c r="E570" s="2096"/>
      <c r="F570" s="2097"/>
      <c r="G570" s="2104"/>
      <c r="H570" s="213"/>
      <c r="I570" s="200" t="s">
        <v>313</v>
      </c>
      <c r="J570" s="1964">
        <f>TARGET!D563</f>
        <v>0</v>
      </c>
      <c r="K570" s="2159">
        <v>49650000</v>
      </c>
      <c r="L570" s="2450">
        <v>14725000</v>
      </c>
      <c r="M570" s="2451">
        <f t="shared" si="89"/>
        <v>64375000</v>
      </c>
      <c r="N570" s="1891">
        <f t="shared" si="90"/>
        <v>64375000</v>
      </c>
      <c r="O570" s="2162">
        <v>0</v>
      </c>
      <c r="P570" s="2132"/>
    </row>
    <row r="571" spans="1:16" s="2070" customFormat="1">
      <c r="A571" s="2096"/>
      <c r="B571" s="2096"/>
      <c r="C571" s="2096"/>
      <c r="D571" s="2096"/>
      <c r="E571" s="2096"/>
      <c r="F571" s="2097"/>
      <c r="G571" s="2104"/>
      <c r="H571" s="213"/>
      <c r="I571" s="200" t="s">
        <v>465</v>
      </c>
      <c r="J571" s="1964">
        <f>TARGET!D564</f>
        <v>0</v>
      </c>
      <c r="K571" s="2159">
        <v>16975000</v>
      </c>
      <c r="L571" s="2160">
        <v>8525000</v>
      </c>
      <c r="M571" s="2161">
        <f t="shared" si="89"/>
        <v>25500000</v>
      </c>
      <c r="N571" s="1891">
        <f t="shared" si="90"/>
        <v>25500000</v>
      </c>
      <c r="O571" s="2162">
        <v>0</v>
      </c>
      <c r="P571" s="2132"/>
    </row>
    <row r="572" spans="1:16" s="2070" customFormat="1">
      <c r="A572" s="2096"/>
      <c r="B572" s="2096"/>
      <c r="C572" s="2096"/>
      <c r="D572" s="2096"/>
      <c r="E572" s="2096"/>
      <c r="F572" s="2097"/>
      <c r="G572" s="2104"/>
      <c r="H572" s="213"/>
      <c r="I572" s="200" t="s">
        <v>466</v>
      </c>
      <c r="J572" s="1964">
        <f>TARGET!D565</f>
        <v>0</v>
      </c>
      <c r="K572" s="2159">
        <v>13000000</v>
      </c>
      <c r="L572" s="2160">
        <v>6250000</v>
      </c>
      <c r="M572" s="2161">
        <f>SUM(K572:L572)</f>
        <v>19250000</v>
      </c>
      <c r="N572" s="1891">
        <f>M572-J572</f>
        <v>19250000</v>
      </c>
      <c r="O572" s="2162">
        <v>0</v>
      </c>
      <c r="P572" s="2132"/>
    </row>
    <row r="573" spans="1:16" s="2070" customFormat="1">
      <c r="A573" s="2096"/>
      <c r="B573" s="2096"/>
      <c r="C573" s="2096"/>
      <c r="D573" s="2096"/>
      <c r="E573" s="2096"/>
      <c r="F573" s="2097"/>
      <c r="G573" s="2104"/>
      <c r="H573" s="213"/>
      <c r="I573" s="200" t="s">
        <v>315</v>
      </c>
      <c r="J573" s="1964">
        <f>TARGET!D565</f>
        <v>0</v>
      </c>
      <c r="K573" s="2159">
        <v>10775000</v>
      </c>
      <c r="L573" s="2160">
        <v>3550000</v>
      </c>
      <c r="M573" s="2161">
        <f t="shared" si="89"/>
        <v>14325000</v>
      </c>
      <c r="N573" s="1891">
        <f t="shared" si="90"/>
        <v>14325000</v>
      </c>
      <c r="O573" s="2162">
        <v>0</v>
      </c>
      <c r="P573" s="2132"/>
    </row>
    <row r="574" spans="1:16" s="2070" customFormat="1">
      <c r="A574" s="2096"/>
      <c r="B574" s="2096"/>
      <c r="C574" s="2096"/>
      <c r="D574" s="2096"/>
      <c r="E574" s="2096"/>
      <c r="F574" s="2097"/>
      <c r="G574" s="2104"/>
      <c r="H574" s="213"/>
      <c r="I574" s="200" t="s">
        <v>316</v>
      </c>
      <c r="J574" s="1964">
        <f>TARGET!D566</f>
        <v>0</v>
      </c>
      <c r="K574" s="2159">
        <v>85725000</v>
      </c>
      <c r="L574" s="2450">
        <v>40875000</v>
      </c>
      <c r="M574" s="2451">
        <f t="shared" si="89"/>
        <v>126600000</v>
      </c>
      <c r="N574" s="1891">
        <f t="shared" si="90"/>
        <v>126600000</v>
      </c>
      <c r="O574" s="2162">
        <v>0</v>
      </c>
      <c r="P574" s="2132"/>
    </row>
    <row r="575" spans="1:16" s="2070" customFormat="1">
      <c r="A575" s="2096"/>
      <c r="B575" s="2096"/>
      <c r="C575" s="2096"/>
      <c r="D575" s="2096"/>
      <c r="E575" s="2096"/>
      <c r="F575" s="2097"/>
      <c r="G575" s="2104"/>
      <c r="H575" s="213"/>
      <c r="I575" s="200" t="s">
        <v>317</v>
      </c>
      <c r="J575" s="1964">
        <f>TARGET!D567</f>
        <v>0</v>
      </c>
      <c r="K575" s="2159">
        <v>17525000</v>
      </c>
      <c r="L575" s="2160">
        <v>7575000</v>
      </c>
      <c r="M575" s="2161">
        <f t="shared" si="89"/>
        <v>25100000</v>
      </c>
      <c r="N575" s="1891">
        <f t="shared" si="90"/>
        <v>25100000</v>
      </c>
      <c r="O575" s="2162">
        <v>0</v>
      </c>
      <c r="P575" s="2132"/>
    </row>
    <row r="576" spans="1:16" s="2070" customFormat="1">
      <c r="A576" s="2096"/>
      <c r="B576" s="2096"/>
      <c r="C576" s="2096"/>
      <c r="D576" s="2096"/>
      <c r="E576" s="2096"/>
      <c r="F576" s="2097"/>
      <c r="G576" s="2104"/>
      <c r="H576" s="213"/>
      <c r="I576" s="200" t="s">
        <v>318</v>
      </c>
      <c r="J576" s="1964">
        <f>TARGET!D568</f>
        <v>0</v>
      </c>
      <c r="K576" s="2159">
        <v>0</v>
      </c>
      <c r="L576" s="2160">
        <f>'ALL BULAN'!E573</f>
        <v>0</v>
      </c>
      <c r="M576" s="2161">
        <f t="shared" si="89"/>
        <v>0</v>
      </c>
      <c r="N576" s="1891">
        <f t="shared" si="90"/>
        <v>0</v>
      </c>
      <c r="O576" s="2162">
        <f>N576-K576</f>
        <v>0</v>
      </c>
      <c r="P576" s="2132"/>
    </row>
    <row r="577" spans="1:16" s="2070" customFormat="1">
      <c r="A577" s="2096"/>
      <c r="B577" s="2096"/>
      <c r="C577" s="2096"/>
      <c r="D577" s="2096"/>
      <c r="E577" s="2096"/>
      <c r="F577" s="2097"/>
      <c r="G577" s="2104" t="s">
        <v>308</v>
      </c>
      <c r="H577" s="5738" t="s">
        <v>85</v>
      </c>
      <c r="I577" s="5738"/>
      <c r="J577" s="2283">
        <f>SUM(J578)</f>
        <v>0</v>
      </c>
      <c r="K577" s="2159">
        <v>0</v>
      </c>
      <c r="L577" s="2283">
        <f>SUM(L578)</f>
        <v>0</v>
      </c>
      <c r="M577" s="2161">
        <f t="shared" si="89"/>
        <v>0</v>
      </c>
      <c r="N577" s="1891">
        <f t="shared" si="90"/>
        <v>0</v>
      </c>
      <c r="O577" s="2162">
        <v>0</v>
      </c>
      <c r="P577" s="2132"/>
    </row>
    <row r="578" spans="1:16" s="2070" customFormat="1">
      <c r="A578" s="2096"/>
      <c r="B578" s="2096"/>
      <c r="C578" s="2096"/>
      <c r="D578" s="2096"/>
      <c r="E578" s="2096"/>
      <c r="F578" s="2097"/>
      <c r="G578" s="2104"/>
      <c r="H578" s="213"/>
      <c r="I578" s="202" t="s">
        <v>324</v>
      </c>
      <c r="J578" s="1964">
        <f>TARGET!D570</f>
        <v>0</v>
      </c>
      <c r="K578" s="2159">
        <v>0</v>
      </c>
      <c r="L578" s="2160">
        <f>'ALL BULAN'!E575</f>
        <v>0</v>
      </c>
      <c r="M578" s="2161">
        <f t="shared" si="89"/>
        <v>0</v>
      </c>
      <c r="N578" s="1891">
        <f t="shared" si="90"/>
        <v>0</v>
      </c>
      <c r="O578" s="2162">
        <f>N578-K578</f>
        <v>0</v>
      </c>
      <c r="P578" s="2132"/>
    </row>
    <row r="579" spans="1:16" s="2070" customFormat="1" ht="6.75" customHeight="1">
      <c r="A579" s="2096"/>
      <c r="B579" s="2096"/>
      <c r="C579" s="2096"/>
      <c r="D579" s="2096"/>
      <c r="E579" s="2096"/>
      <c r="F579" s="2097"/>
      <c r="G579" s="2199"/>
      <c r="H579" s="2117"/>
      <c r="I579" s="2117"/>
      <c r="J579" s="2310"/>
      <c r="K579" s="2183"/>
      <c r="L579" s="2310"/>
      <c r="M579" s="2311"/>
      <c r="N579" s="2311"/>
      <c r="O579" s="2312"/>
      <c r="P579" s="2132"/>
    </row>
    <row r="580" spans="1:16" s="2073" customFormat="1" ht="15.65">
      <c r="A580" s="2090"/>
      <c r="B580" s="2090"/>
      <c r="C580" s="2090"/>
      <c r="D580" s="2090"/>
      <c r="E580" s="2090"/>
      <c r="F580" s="2091"/>
      <c r="G580" s="2092" t="s">
        <v>325</v>
      </c>
      <c r="H580" s="2093" t="s">
        <v>326</v>
      </c>
      <c r="I580" s="2195"/>
      <c r="J580" s="2306">
        <f>J581+J589</f>
        <v>4692225000</v>
      </c>
      <c r="K580" s="2148">
        <v>40000000</v>
      </c>
      <c r="L580" s="2306">
        <f>L583+L585+L589</f>
        <v>10625000</v>
      </c>
      <c r="M580" s="2306">
        <f t="shared" ref="M580:M596" si="91">SUM(K580:L580)</f>
        <v>50625000</v>
      </c>
      <c r="N580" s="2147">
        <f t="shared" ref="N580:N596" si="92">M580-J580</f>
        <v>-4641600000</v>
      </c>
      <c r="O580" s="2149">
        <f>M580/J580*100</f>
        <v>1.0789124562441059</v>
      </c>
      <c r="P580" s="2150"/>
    </row>
    <row r="581" spans="1:16" s="2074" customFormat="1">
      <c r="A581" s="2215"/>
      <c r="B581" s="2215"/>
      <c r="C581" s="2215"/>
      <c r="D581" s="2215"/>
      <c r="E581" s="2215"/>
      <c r="F581" s="2202">
        <v>1</v>
      </c>
      <c r="G581" s="2098"/>
      <c r="H581" s="2248" t="s">
        <v>106</v>
      </c>
      <c r="I581" s="2099"/>
      <c r="J581" s="2447">
        <f>J582</f>
        <v>300000000</v>
      </c>
      <c r="K581" s="2159">
        <v>40000000</v>
      </c>
      <c r="L581" s="2462">
        <f>L582</f>
        <v>10625000</v>
      </c>
      <c r="M581" s="2161">
        <f t="shared" si="91"/>
        <v>50625000</v>
      </c>
      <c r="N581" s="1891">
        <f t="shared" si="92"/>
        <v>-249375000</v>
      </c>
      <c r="O581" s="2162">
        <f>M581/J581*100</f>
        <v>16.875</v>
      </c>
      <c r="P581" s="2132"/>
    </row>
    <row r="582" spans="1:16" s="2074" customFormat="1" ht="13.5" customHeight="1">
      <c r="A582" s="2094">
        <v>4</v>
      </c>
      <c r="B582" s="2094">
        <v>1</v>
      </c>
      <c r="C582" s="2094">
        <v>2</v>
      </c>
      <c r="D582" s="2095" t="s">
        <v>438</v>
      </c>
      <c r="E582" s="2215"/>
      <c r="F582" s="2202"/>
      <c r="G582" s="2100"/>
      <c r="H582" s="212" t="s">
        <v>63</v>
      </c>
      <c r="I582" s="212"/>
      <c r="J582" s="2463">
        <f>J583+J585</f>
        <v>300000000</v>
      </c>
      <c r="K582" s="2155">
        <v>40000000</v>
      </c>
      <c r="L582" s="2464">
        <f>L583+L585</f>
        <v>10625000</v>
      </c>
      <c r="M582" s="2156">
        <f t="shared" si="91"/>
        <v>50625000</v>
      </c>
      <c r="N582" s="1749">
        <f t="shared" si="92"/>
        <v>-249375000</v>
      </c>
      <c r="O582" s="2162">
        <f>M582/J582*100</f>
        <v>16.875</v>
      </c>
      <c r="P582" s="2132"/>
    </row>
    <row r="583" spans="1:16" s="2074" customFormat="1" ht="13.5" customHeight="1">
      <c r="A583" s="2094">
        <v>4</v>
      </c>
      <c r="B583" s="2094">
        <v>1</v>
      </c>
      <c r="C583" s="2094">
        <v>2</v>
      </c>
      <c r="D583" s="2095" t="s">
        <v>438</v>
      </c>
      <c r="E583" s="2125" t="s">
        <v>440</v>
      </c>
      <c r="F583" s="2202"/>
      <c r="G583" s="2104"/>
      <c r="H583" s="2728" t="s">
        <v>50</v>
      </c>
      <c r="I583" s="202" t="s">
        <v>304</v>
      </c>
      <c r="J583" s="2465">
        <v>150000000</v>
      </c>
      <c r="K583" s="2159">
        <v>13050000</v>
      </c>
      <c r="L583" s="1964">
        <f>L584</f>
        <v>0</v>
      </c>
      <c r="M583" s="2161">
        <f t="shared" si="91"/>
        <v>13050000</v>
      </c>
      <c r="N583" s="1891">
        <f t="shared" si="92"/>
        <v>-136950000</v>
      </c>
      <c r="O583" s="2162">
        <f>M583/J583*100</f>
        <v>8.6999999999999993</v>
      </c>
      <c r="P583" s="2132"/>
    </row>
    <row r="584" spans="1:16" s="2070" customFormat="1" ht="13.5" customHeight="1">
      <c r="A584" s="2096"/>
      <c r="B584" s="2096"/>
      <c r="C584" s="2096"/>
      <c r="D584" s="2096"/>
      <c r="E584" s="2096"/>
      <c r="F584" s="2097"/>
      <c r="G584" s="2104"/>
      <c r="H584" s="200"/>
      <c r="I584" s="2727" t="s">
        <v>467</v>
      </c>
      <c r="J584" s="2466"/>
      <c r="K584" s="2159">
        <v>13050000</v>
      </c>
      <c r="L584" s="2467">
        <v>0</v>
      </c>
      <c r="M584" s="2161">
        <f t="shared" si="91"/>
        <v>13050000</v>
      </c>
      <c r="N584" s="1891">
        <f t="shared" si="92"/>
        <v>13050000</v>
      </c>
      <c r="O584" s="2162">
        <v>0</v>
      </c>
      <c r="P584" s="2132"/>
    </row>
    <row r="585" spans="1:16" s="2074" customFormat="1" ht="13.5" customHeight="1">
      <c r="A585" s="2094">
        <v>4</v>
      </c>
      <c r="B585" s="2094">
        <v>1</v>
      </c>
      <c r="C585" s="2094">
        <v>2</v>
      </c>
      <c r="D585" s="2095" t="s">
        <v>438</v>
      </c>
      <c r="E585" s="2125" t="s">
        <v>437</v>
      </c>
      <c r="F585" s="2202"/>
      <c r="G585" s="2104"/>
      <c r="H585" s="2728" t="s">
        <v>50</v>
      </c>
      <c r="I585" s="202" t="s">
        <v>64</v>
      </c>
      <c r="J585" s="2465">
        <f>SUM(J586:J587)</f>
        <v>150000000</v>
      </c>
      <c r="K585" s="2159">
        <v>26950000</v>
      </c>
      <c r="L585" s="2465">
        <f>SUM(L586:L587)</f>
        <v>10625000</v>
      </c>
      <c r="M585" s="2161">
        <f t="shared" si="91"/>
        <v>37575000</v>
      </c>
      <c r="N585" s="1891">
        <f t="shared" si="92"/>
        <v>-112425000</v>
      </c>
      <c r="O585" s="2162">
        <f>M585/J585*100</f>
        <v>25.05</v>
      </c>
      <c r="P585" s="2132"/>
    </row>
    <row r="586" spans="1:16" s="2070" customFormat="1" ht="13.5" customHeight="1">
      <c r="A586" s="2096"/>
      <c r="B586" s="2096"/>
      <c r="C586" s="2096"/>
      <c r="D586" s="2096"/>
      <c r="E586" s="2096"/>
      <c r="F586" s="2097"/>
      <c r="G586" s="2101"/>
      <c r="H586" s="200"/>
      <c r="I586" s="2727" t="s">
        <v>468</v>
      </c>
      <c r="J586" s="1964">
        <f>TARGET!D578</f>
        <v>100000000</v>
      </c>
      <c r="K586" s="2159">
        <v>26950000</v>
      </c>
      <c r="L586" s="2160">
        <v>10625000</v>
      </c>
      <c r="M586" s="2161">
        <f t="shared" si="91"/>
        <v>37575000</v>
      </c>
      <c r="N586" s="1891">
        <f t="shared" si="92"/>
        <v>-62425000</v>
      </c>
      <c r="O586" s="2162">
        <f>M586/J586*100</f>
        <v>37.574999999999996</v>
      </c>
      <c r="P586" s="2132"/>
    </row>
    <row r="587" spans="1:16" s="2070" customFormat="1" ht="13.5" customHeight="1">
      <c r="A587" s="2096"/>
      <c r="B587" s="2096"/>
      <c r="C587" s="2096"/>
      <c r="D587" s="2096"/>
      <c r="E587" s="2096"/>
      <c r="F587" s="2097"/>
      <c r="G587" s="2101"/>
      <c r="H587" s="200"/>
      <c r="I587" s="2727" t="str">
        <f>'ALL BULAN'!C584</f>
        <v xml:space="preserve">- Sewa Kelas </v>
      </c>
      <c r="J587" s="1964">
        <f>TARGET!D579</f>
        <v>50000000</v>
      </c>
      <c r="K587" s="2159">
        <v>0</v>
      </c>
      <c r="L587" s="2160">
        <f>'ALL BULAN'!E584</f>
        <v>0</v>
      </c>
      <c r="M587" s="2161">
        <f t="shared" si="91"/>
        <v>0</v>
      </c>
      <c r="N587" s="1891">
        <f t="shared" si="92"/>
        <v>-50000000</v>
      </c>
      <c r="O587" s="2162">
        <f>M587/J587*100</f>
        <v>0</v>
      </c>
      <c r="P587" s="2132"/>
    </row>
    <row r="588" spans="1:16" s="2070" customFormat="1" ht="6.75" customHeight="1">
      <c r="A588" s="2096"/>
      <c r="B588" s="2096"/>
      <c r="C588" s="2096"/>
      <c r="D588" s="2096"/>
      <c r="E588" s="2096"/>
      <c r="F588" s="2097"/>
      <c r="G588" s="2104"/>
      <c r="H588" s="200"/>
      <c r="I588" s="200"/>
      <c r="J588" s="2468"/>
      <c r="K588" s="2159">
        <v>0</v>
      </c>
      <c r="L588" s="2468"/>
      <c r="M588" s="2161">
        <f t="shared" si="91"/>
        <v>0</v>
      </c>
      <c r="N588" s="1891">
        <f t="shared" si="92"/>
        <v>0</v>
      </c>
      <c r="O588" s="2162">
        <f>N588-K588</f>
        <v>0</v>
      </c>
      <c r="P588" s="2132"/>
    </row>
    <row r="589" spans="1:16" s="2070" customFormat="1" ht="15.05">
      <c r="A589" s="2102">
        <v>4</v>
      </c>
      <c r="B589" s="2102">
        <v>1</v>
      </c>
      <c r="C589" s="2102">
        <v>4</v>
      </c>
      <c r="D589" s="2096"/>
      <c r="E589" s="2096"/>
      <c r="F589" s="2097">
        <v>3</v>
      </c>
      <c r="G589" s="2104"/>
      <c r="H589" s="202" t="s">
        <v>71</v>
      </c>
      <c r="I589" s="202"/>
      <c r="J589" s="2469">
        <f>SUM(J590:J593)</f>
        <v>4392225000</v>
      </c>
      <c r="K589" s="2155">
        <v>0</v>
      </c>
      <c r="L589" s="2469">
        <f>SUM(L590:L593)</f>
        <v>0</v>
      </c>
      <c r="M589" s="2156">
        <f t="shared" si="91"/>
        <v>0</v>
      </c>
      <c r="N589" s="1749">
        <f t="shared" si="92"/>
        <v>-4392225000</v>
      </c>
      <c r="O589" s="2162">
        <f>M589/J589*100</f>
        <v>0</v>
      </c>
      <c r="P589" s="2132"/>
    </row>
    <row r="590" spans="1:16" s="2070" customFormat="1">
      <c r="A590" s="1902">
        <v>4</v>
      </c>
      <c r="B590" s="1902">
        <v>1</v>
      </c>
      <c r="C590" s="1902" t="s">
        <v>443</v>
      </c>
      <c r="D590" s="1902" t="s">
        <v>444</v>
      </c>
      <c r="E590" s="1902" t="s">
        <v>440</v>
      </c>
      <c r="F590" s="2097"/>
      <c r="G590" s="2101"/>
      <c r="H590" s="2727" t="s">
        <v>50</v>
      </c>
      <c r="I590" s="200" t="s">
        <v>73</v>
      </c>
      <c r="J590" s="1964">
        <f>TARGET!D582</f>
        <v>0</v>
      </c>
      <c r="K590" s="2159">
        <v>0</v>
      </c>
      <c r="L590" s="2160">
        <f>'ALL BULAN'!E587</f>
        <v>0</v>
      </c>
      <c r="M590" s="2161">
        <f t="shared" si="91"/>
        <v>0</v>
      </c>
      <c r="N590" s="1891">
        <f t="shared" si="92"/>
        <v>0</v>
      </c>
      <c r="O590" s="2162">
        <v>0</v>
      </c>
      <c r="P590" s="2132"/>
    </row>
    <row r="591" spans="1:16" s="2070" customFormat="1">
      <c r="A591" s="1944">
        <v>4</v>
      </c>
      <c r="B591" s="1944">
        <v>1</v>
      </c>
      <c r="C591" s="1944" t="s">
        <v>443</v>
      </c>
      <c r="D591" s="1944" t="s">
        <v>444</v>
      </c>
      <c r="E591" s="2105" t="s">
        <v>445</v>
      </c>
      <c r="F591" s="2097"/>
      <c r="G591" s="2101"/>
      <c r="H591" s="2727" t="s">
        <v>50</v>
      </c>
      <c r="I591" s="200" t="s">
        <v>74</v>
      </c>
      <c r="J591" s="1964">
        <f>TARGET!D583</f>
        <v>0</v>
      </c>
      <c r="K591" s="2159">
        <v>0</v>
      </c>
      <c r="L591" s="2160">
        <f>'ALL BULAN'!E588</f>
        <v>0</v>
      </c>
      <c r="M591" s="2161">
        <f t="shared" si="91"/>
        <v>0</v>
      </c>
      <c r="N591" s="1891">
        <f t="shared" si="92"/>
        <v>0</v>
      </c>
      <c r="O591" s="2162">
        <v>0</v>
      </c>
      <c r="P591" s="2132"/>
    </row>
    <row r="592" spans="1:16" s="2070" customFormat="1">
      <c r="A592" s="1725">
        <v>4</v>
      </c>
      <c r="B592" s="1725">
        <v>1</v>
      </c>
      <c r="C592" s="1725" t="s">
        <v>443</v>
      </c>
      <c r="D592" s="1725" t="s">
        <v>444</v>
      </c>
      <c r="E592" s="1725" t="s">
        <v>441</v>
      </c>
      <c r="F592" s="2097"/>
      <c r="G592" s="2101"/>
      <c r="H592" s="200" t="s">
        <v>308</v>
      </c>
      <c r="I592" s="200" t="s">
        <v>75</v>
      </c>
      <c r="J592" s="1964">
        <f>TARGET!D584</f>
        <v>0</v>
      </c>
      <c r="K592" s="2159">
        <v>0</v>
      </c>
      <c r="L592" s="2160">
        <f>'ALL BULAN'!E589</f>
        <v>0</v>
      </c>
      <c r="M592" s="2161">
        <f t="shared" si="91"/>
        <v>0</v>
      </c>
      <c r="N592" s="1891">
        <f t="shared" si="92"/>
        <v>0</v>
      </c>
      <c r="O592" s="2162">
        <v>0</v>
      </c>
      <c r="P592" s="2132"/>
    </row>
    <row r="593" spans="1:16" s="2070" customFormat="1">
      <c r="A593" s="2096"/>
      <c r="B593" s="2096"/>
      <c r="C593" s="2096"/>
      <c r="D593" s="2096"/>
      <c r="E593" s="2096"/>
      <c r="F593" s="2097"/>
      <c r="G593" s="2101"/>
      <c r="H593" s="2728" t="s">
        <v>50</v>
      </c>
      <c r="I593" s="202" t="s">
        <v>329</v>
      </c>
      <c r="J593" s="2465">
        <f>SUM(J594:J596)</f>
        <v>4392225000</v>
      </c>
      <c r="K593" s="2159">
        <v>0</v>
      </c>
      <c r="L593" s="2465">
        <f>SUM(L594:L596)</f>
        <v>0</v>
      </c>
      <c r="M593" s="2161">
        <f t="shared" si="91"/>
        <v>0</v>
      </c>
      <c r="N593" s="1891">
        <f t="shared" si="92"/>
        <v>-4392225000</v>
      </c>
      <c r="O593" s="2162">
        <f>M593/J593*100</f>
        <v>0</v>
      </c>
      <c r="P593" s="2132"/>
    </row>
    <row r="594" spans="1:16" s="2070" customFormat="1">
      <c r="A594" s="2096"/>
      <c r="B594" s="2096"/>
      <c r="C594" s="2096"/>
      <c r="D594" s="2096"/>
      <c r="E594" s="2096"/>
      <c r="F594" s="2097"/>
      <c r="G594" s="2115"/>
      <c r="H594" s="856"/>
      <c r="I594" s="2729" t="s">
        <v>330</v>
      </c>
      <c r="J594" s="1964">
        <f>TARGET!D586</f>
        <v>4392225000</v>
      </c>
      <c r="K594" s="2159">
        <v>0</v>
      </c>
      <c r="L594" s="2160">
        <f>'ALL BULAN'!E591</f>
        <v>0</v>
      </c>
      <c r="M594" s="2161">
        <f t="shared" si="91"/>
        <v>0</v>
      </c>
      <c r="N594" s="1891">
        <f t="shared" si="92"/>
        <v>-4392225000</v>
      </c>
      <c r="O594" s="2162">
        <v>0</v>
      </c>
      <c r="P594" s="2132"/>
    </row>
    <row r="595" spans="1:16" s="2070" customFormat="1">
      <c r="A595" s="2096"/>
      <c r="B595" s="2096"/>
      <c r="C595" s="2096"/>
      <c r="D595" s="2096"/>
      <c r="E595" s="2096"/>
      <c r="F595" s="2097"/>
      <c r="G595" s="2115"/>
      <c r="H595" s="856"/>
      <c r="I595" s="2729" t="s">
        <v>331</v>
      </c>
      <c r="J595" s="1964">
        <f>TARGET!D587</f>
        <v>0</v>
      </c>
      <c r="K595" s="2159">
        <v>0</v>
      </c>
      <c r="L595" s="2160">
        <f>'ALL BULAN'!E592</f>
        <v>0</v>
      </c>
      <c r="M595" s="2161">
        <f t="shared" si="91"/>
        <v>0</v>
      </c>
      <c r="N595" s="1891">
        <f t="shared" si="92"/>
        <v>0</v>
      </c>
      <c r="O595" s="2162">
        <v>0</v>
      </c>
      <c r="P595" s="2132"/>
    </row>
    <row r="596" spans="1:16" s="2070" customFormat="1">
      <c r="A596" s="2096"/>
      <c r="B596" s="2096"/>
      <c r="C596" s="2096"/>
      <c r="D596" s="2096"/>
      <c r="E596" s="2096"/>
      <c r="F596" s="2097"/>
      <c r="G596" s="2115"/>
      <c r="H596" s="856"/>
      <c r="I596" s="2729" t="s">
        <v>332</v>
      </c>
      <c r="J596" s="1964">
        <f>TARGET!D588</f>
        <v>0</v>
      </c>
      <c r="K596" s="2159">
        <v>0</v>
      </c>
      <c r="L596" s="2160">
        <f>'ALL BULAN'!E593</f>
        <v>0</v>
      </c>
      <c r="M596" s="2161">
        <f t="shared" si="91"/>
        <v>0</v>
      </c>
      <c r="N596" s="1891">
        <f t="shared" si="92"/>
        <v>0</v>
      </c>
      <c r="O596" s="2162">
        <v>0</v>
      </c>
      <c r="P596" s="2132"/>
    </row>
    <row r="597" spans="1:16" s="2070" customFormat="1" ht="4.55" customHeight="1">
      <c r="A597" s="2096"/>
      <c r="B597" s="2096"/>
      <c r="C597" s="2096"/>
      <c r="D597" s="2096"/>
      <c r="E597" s="2096"/>
      <c r="F597" s="2097"/>
      <c r="G597" s="2199"/>
      <c r="H597" s="2117"/>
      <c r="I597" s="2117"/>
      <c r="J597" s="2310"/>
      <c r="K597" s="2183"/>
      <c r="L597" s="2310"/>
      <c r="M597" s="2311"/>
      <c r="N597" s="2311"/>
      <c r="O597" s="2312"/>
      <c r="P597" s="2132"/>
    </row>
    <row r="598" spans="1:16" s="2070" customFormat="1" ht="15.65">
      <c r="A598" s="2096"/>
      <c r="B598" s="2096"/>
      <c r="C598" s="2096"/>
      <c r="D598" s="2096"/>
      <c r="E598" s="2096"/>
      <c r="F598" s="2097"/>
      <c r="G598" s="2092" t="s">
        <v>333</v>
      </c>
      <c r="H598" s="2093" t="s">
        <v>334</v>
      </c>
      <c r="I598" s="2195"/>
      <c r="J598" s="2306">
        <f>J599</f>
        <v>0</v>
      </c>
      <c r="K598" s="2148">
        <v>0</v>
      </c>
      <c r="L598" s="2306">
        <f>L599</f>
        <v>9346050</v>
      </c>
      <c r="M598" s="2306">
        <f t="shared" ref="M598:M604" si="93">SUM(K598:L598)</f>
        <v>9346050</v>
      </c>
      <c r="N598" s="2147">
        <f t="shared" ref="N598:N604" si="94">M598-J598</f>
        <v>9346050</v>
      </c>
      <c r="O598" s="2149">
        <v>0</v>
      </c>
      <c r="P598" s="2132"/>
    </row>
    <row r="599" spans="1:16" s="2070" customFormat="1">
      <c r="A599" s="2102">
        <v>4</v>
      </c>
      <c r="B599" s="2102">
        <v>1</v>
      </c>
      <c r="C599" s="2102">
        <v>4</v>
      </c>
      <c r="D599" s="2096"/>
      <c r="E599" s="2096"/>
      <c r="F599" s="2097">
        <v>3</v>
      </c>
      <c r="G599" s="2251"/>
      <c r="H599" s="2322" t="s">
        <v>71</v>
      </c>
      <c r="I599" s="2322"/>
      <c r="J599" s="2304">
        <f>SUM(J600:J604)</f>
        <v>0</v>
      </c>
      <c r="K599" s="2159">
        <v>0</v>
      </c>
      <c r="L599" s="2304">
        <f>SUM(L600:L604)</f>
        <v>9346050</v>
      </c>
      <c r="M599" s="2161">
        <f t="shared" si="93"/>
        <v>9346050</v>
      </c>
      <c r="N599" s="1891">
        <f t="shared" si="94"/>
        <v>9346050</v>
      </c>
      <c r="O599" s="2162">
        <v>0</v>
      </c>
      <c r="P599" s="2132"/>
    </row>
    <row r="600" spans="1:16" s="2070" customFormat="1">
      <c r="A600" s="1902">
        <v>4</v>
      </c>
      <c r="B600" s="1902">
        <v>1</v>
      </c>
      <c r="C600" s="1902" t="s">
        <v>443</v>
      </c>
      <c r="D600" s="1902" t="s">
        <v>444</v>
      </c>
      <c r="E600" s="1902" t="s">
        <v>440</v>
      </c>
      <c r="F600" s="2097"/>
      <c r="G600" s="2213"/>
      <c r="H600" s="200" t="s">
        <v>50</v>
      </c>
      <c r="I600" s="224" t="s">
        <v>73</v>
      </c>
      <c r="J600" s="1964">
        <f>TARGET!D592</f>
        <v>0</v>
      </c>
      <c r="K600" s="2159">
        <v>0</v>
      </c>
      <c r="L600" s="2160">
        <f>'ALL BULAN'!E597</f>
        <v>0</v>
      </c>
      <c r="M600" s="2161">
        <f t="shared" si="93"/>
        <v>0</v>
      </c>
      <c r="N600" s="1891">
        <f t="shared" si="94"/>
        <v>0</v>
      </c>
      <c r="O600" s="2162">
        <v>0</v>
      </c>
      <c r="P600" s="2132"/>
    </row>
    <row r="601" spans="1:16" s="2070" customFormat="1">
      <c r="A601" s="1944">
        <v>4</v>
      </c>
      <c r="B601" s="1944">
        <v>1</v>
      </c>
      <c r="C601" s="1944" t="s">
        <v>443</v>
      </c>
      <c r="D601" s="1944" t="s">
        <v>444</v>
      </c>
      <c r="E601" s="2105" t="s">
        <v>445</v>
      </c>
      <c r="F601" s="2097"/>
      <c r="G601" s="2101"/>
      <c r="H601" s="200" t="s">
        <v>50</v>
      </c>
      <c r="I601" s="200" t="s">
        <v>74</v>
      </c>
      <c r="J601" s="1964">
        <f>TARGET!D593</f>
        <v>0</v>
      </c>
      <c r="K601" s="2159">
        <v>0</v>
      </c>
      <c r="L601" s="2160">
        <f>'ALL BULAN'!E598</f>
        <v>0</v>
      </c>
      <c r="M601" s="2161">
        <f t="shared" si="93"/>
        <v>0</v>
      </c>
      <c r="N601" s="1891">
        <f t="shared" si="94"/>
        <v>0</v>
      </c>
      <c r="O601" s="2162">
        <v>0</v>
      </c>
      <c r="P601" s="2132"/>
    </row>
    <row r="602" spans="1:16" s="2070" customFormat="1">
      <c r="A602" s="1725">
        <v>4</v>
      </c>
      <c r="B602" s="1725">
        <v>1</v>
      </c>
      <c r="C602" s="1725" t="s">
        <v>443</v>
      </c>
      <c r="D602" s="1725" t="s">
        <v>444</v>
      </c>
      <c r="E602" s="1725" t="s">
        <v>441</v>
      </c>
      <c r="F602" s="2097"/>
      <c r="G602" s="2101"/>
      <c r="H602" s="200" t="s">
        <v>308</v>
      </c>
      <c r="I602" s="200" t="s">
        <v>75</v>
      </c>
      <c r="J602" s="1964">
        <f>TARGET!D594</f>
        <v>0</v>
      </c>
      <c r="K602" s="2159">
        <v>0</v>
      </c>
      <c r="L602" s="2160">
        <v>9346050</v>
      </c>
      <c r="M602" s="2161">
        <f t="shared" si="93"/>
        <v>9346050</v>
      </c>
      <c r="N602" s="1891">
        <f t="shared" si="94"/>
        <v>9346050</v>
      </c>
      <c r="O602" s="2162">
        <v>0</v>
      </c>
      <c r="P602" s="2132"/>
    </row>
    <row r="603" spans="1:16" s="2070" customFormat="1">
      <c r="A603" s="2096"/>
      <c r="B603" s="2096"/>
      <c r="C603" s="2096"/>
      <c r="D603" s="2096"/>
      <c r="E603" s="2096"/>
      <c r="F603" s="2097"/>
      <c r="G603" s="2101"/>
      <c r="H603" s="200" t="s">
        <v>50</v>
      </c>
      <c r="I603" s="200" t="s">
        <v>169</v>
      </c>
      <c r="J603" s="1964">
        <f>TARGET!D595</f>
        <v>0</v>
      </c>
      <c r="K603" s="2159">
        <v>0</v>
      </c>
      <c r="L603" s="2160">
        <f>'ALL BULAN'!E600</f>
        <v>0</v>
      </c>
      <c r="M603" s="2161">
        <f t="shared" si="93"/>
        <v>0</v>
      </c>
      <c r="N603" s="1891">
        <f t="shared" si="94"/>
        <v>0</v>
      </c>
      <c r="O603" s="2162">
        <v>0</v>
      </c>
      <c r="P603" s="2132"/>
    </row>
    <row r="604" spans="1:16" s="2070" customFormat="1">
      <c r="A604" s="2114">
        <v>4</v>
      </c>
      <c r="B604" s="2114">
        <v>1</v>
      </c>
      <c r="C604" s="2114" t="s">
        <v>443</v>
      </c>
      <c r="D604" s="2114" t="s">
        <v>447</v>
      </c>
      <c r="E604" s="2125" t="s">
        <v>437</v>
      </c>
      <c r="F604" s="2097"/>
      <c r="G604" s="2104"/>
      <c r="H604" s="200" t="s">
        <v>50</v>
      </c>
      <c r="I604" s="200" t="s">
        <v>85</v>
      </c>
      <c r="J604" s="1964">
        <f>TARGET!D596</f>
        <v>0</v>
      </c>
      <c r="K604" s="2159">
        <v>0</v>
      </c>
      <c r="L604" s="2160">
        <f>'ALL BULAN'!E601</f>
        <v>0</v>
      </c>
      <c r="M604" s="2161">
        <f t="shared" si="93"/>
        <v>0</v>
      </c>
      <c r="N604" s="1891">
        <f t="shared" si="94"/>
        <v>0</v>
      </c>
      <c r="O604" s="2162">
        <v>0</v>
      </c>
      <c r="P604" s="2132"/>
    </row>
    <row r="605" spans="1:16" s="2070" customFormat="1" ht="5.35" customHeight="1">
      <c r="A605" s="2096"/>
      <c r="B605" s="2096"/>
      <c r="C605" s="2096"/>
      <c r="D605" s="2096"/>
      <c r="E605" s="2096"/>
      <c r="F605" s="2097"/>
      <c r="G605" s="2104"/>
      <c r="H605" s="200"/>
      <c r="I605" s="200"/>
      <c r="J605" s="2470"/>
      <c r="K605" s="2471"/>
      <c r="L605" s="2470"/>
      <c r="M605" s="2472"/>
      <c r="N605" s="2472"/>
      <c r="O605" s="2473"/>
      <c r="P605" s="2132"/>
    </row>
    <row r="606" spans="1:16" s="2070" customFormat="1" ht="15.65">
      <c r="A606" s="2096"/>
      <c r="B606" s="2096"/>
      <c r="C606" s="2096"/>
      <c r="D606" s="2096"/>
      <c r="E606" s="2096"/>
      <c r="F606" s="2097"/>
      <c r="G606" s="2457" t="s">
        <v>335</v>
      </c>
      <c r="H606" s="2119" t="s">
        <v>336</v>
      </c>
      <c r="I606" s="2436"/>
      <c r="J606" s="2437">
        <f>J607</f>
        <v>0</v>
      </c>
      <c r="K606" s="2148">
        <v>200000</v>
      </c>
      <c r="L606" s="2437">
        <f>L607</f>
        <v>0</v>
      </c>
      <c r="M606" s="2306">
        <f t="shared" ref="M606:M612" si="95">SUM(K606:L606)</f>
        <v>200000</v>
      </c>
      <c r="N606" s="2147">
        <f t="shared" ref="N606:N612" si="96">M606-J606</f>
        <v>200000</v>
      </c>
      <c r="O606" s="2149">
        <v>0</v>
      </c>
      <c r="P606" s="2132"/>
    </row>
    <row r="607" spans="1:16" s="2070" customFormat="1">
      <c r="A607" s="2102">
        <v>4</v>
      </c>
      <c r="B607" s="2102">
        <v>1</v>
      </c>
      <c r="C607" s="2102">
        <v>4</v>
      </c>
      <c r="D607" s="2096"/>
      <c r="E607" s="2096"/>
      <c r="F607" s="2097">
        <v>3</v>
      </c>
      <c r="G607" s="2112"/>
      <c r="H607" s="2113" t="s">
        <v>71</v>
      </c>
      <c r="I607" s="2113"/>
      <c r="J607" s="2474">
        <f>SUM(J608:J612)</f>
        <v>0</v>
      </c>
      <c r="K607" s="2159">
        <v>200000</v>
      </c>
      <c r="L607" s="2474">
        <f>SUM(L608:L612)</f>
        <v>0</v>
      </c>
      <c r="M607" s="2161">
        <f t="shared" si="95"/>
        <v>200000</v>
      </c>
      <c r="N607" s="1891">
        <f t="shared" si="96"/>
        <v>200000</v>
      </c>
      <c r="O607" s="2162">
        <v>0</v>
      </c>
      <c r="P607" s="2132"/>
    </row>
    <row r="608" spans="1:16" s="2070" customFormat="1">
      <c r="A608" s="1902">
        <v>4</v>
      </c>
      <c r="B608" s="1902">
        <v>1</v>
      </c>
      <c r="C608" s="1902" t="s">
        <v>443</v>
      </c>
      <c r="D608" s="1902" t="s">
        <v>444</v>
      </c>
      <c r="E608" s="1902" t="s">
        <v>440</v>
      </c>
      <c r="F608" s="2097"/>
      <c r="G608" s="2101"/>
      <c r="H608" s="200" t="s">
        <v>50</v>
      </c>
      <c r="I608" s="200" t="s">
        <v>73</v>
      </c>
      <c r="J608" s="1964">
        <f>TARGET!D600</f>
        <v>0</v>
      </c>
      <c r="K608" s="2159">
        <v>0</v>
      </c>
      <c r="L608" s="2160">
        <f>'ALL BULAN'!E605</f>
        <v>0</v>
      </c>
      <c r="M608" s="2161">
        <f t="shared" si="95"/>
        <v>0</v>
      </c>
      <c r="N608" s="1891">
        <f t="shared" si="96"/>
        <v>0</v>
      </c>
      <c r="O608" s="2162">
        <v>0</v>
      </c>
      <c r="P608" s="2132"/>
    </row>
    <row r="609" spans="1:16" s="2070" customFormat="1">
      <c r="A609" s="1944">
        <v>4</v>
      </c>
      <c r="B609" s="1944">
        <v>1</v>
      </c>
      <c r="C609" s="1944" t="s">
        <v>443</v>
      </c>
      <c r="D609" s="1944" t="s">
        <v>444</v>
      </c>
      <c r="E609" s="2105" t="s">
        <v>445</v>
      </c>
      <c r="F609" s="2097"/>
      <c r="G609" s="2101"/>
      <c r="H609" s="200" t="s">
        <v>50</v>
      </c>
      <c r="I609" s="200" t="s">
        <v>74</v>
      </c>
      <c r="J609" s="1964">
        <f>TARGET!D601</f>
        <v>0</v>
      </c>
      <c r="K609" s="2159">
        <v>0</v>
      </c>
      <c r="L609" s="2160">
        <f>'ALL BULAN'!E606</f>
        <v>0</v>
      </c>
      <c r="M609" s="2161">
        <f t="shared" si="95"/>
        <v>0</v>
      </c>
      <c r="N609" s="1891">
        <f t="shared" si="96"/>
        <v>0</v>
      </c>
      <c r="O609" s="2162">
        <v>0</v>
      </c>
      <c r="P609" s="2132"/>
    </row>
    <row r="610" spans="1:16" s="2070" customFormat="1">
      <c r="A610" s="1725">
        <v>4</v>
      </c>
      <c r="B610" s="1725">
        <v>1</v>
      </c>
      <c r="C610" s="1725" t="s">
        <v>443</v>
      </c>
      <c r="D610" s="1725" t="s">
        <v>444</v>
      </c>
      <c r="E610" s="1725" t="s">
        <v>441</v>
      </c>
      <c r="F610" s="2097"/>
      <c r="G610" s="2101"/>
      <c r="H610" s="200" t="s">
        <v>308</v>
      </c>
      <c r="I610" s="200" t="s">
        <v>75</v>
      </c>
      <c r="J610" s="1964">
        <f>TARGET!D602</f>
        <v>0</v>
      </c>
      <c r="K610" s="2159">
        <v>200000</v>
      </c>
      <c r="L610" s="2160">
        <v>0</v>
      </c>
      <c r="M610" s="2161">
        <f t="shared" si="95"/>
        <v>200000</v>
      </c>
      <c r="N610" s="1891">
        <f t="shared" si="96"/>
        <v>200000</v>
      </c>
      <c r="O610" s="2162">
        <v>0</v>
      </c>
      <c r="P610" s="2132"/>
    </row>
    <row r="611" spans="1:16" s="2070" customFormat="1">
      <c r="A611" s="2114">
        <v>4</v>
      </c>
      <c r="B611" s="2114">
        <v>1</v>
      </c>
      <c r="C611" s="2114" t="s">
        <v>443</v>
      </c>
      <c r="D611" s="2114" t="s">
        <v>447</v>
      </c>
      <c r="E611" s="2125" t="s">
        <v>437</v>
      </c>
      <c r="F611" s="2097"/>
      <c r="G611" s="2101"/>
      <c r="H611" s="200" t="s">
        <v>50</v>
      </c>
      <c r="I611" s="200" t="s">
        <v>337</v>
      </c>
      <c r="J611" s="1964">
        <f>TARGET!D603</f>
        <v>0</v>
      </c>
      <c r="K611" s="2159">
        <v>0</v>
      </c>
      <c r="L611" s="2160">
        <f>'ALL BULAN'!E608</f>
        <v>0</v>
      </c>
      <c r="M611" s="2161">
        <f t="shared" si="95"/>
        <v>0</v>
      </c>
      <c r="N611" s="1891">
        <f t="shared" si="96"/>
        <v>0</v>
      </c>
      <c r="O611" s="2162">
        <v>0</v>
      </c>
      <c r="P611" s="2132"/>
    </row>
    <row r="612" spans="1:16" s="2070" customFormat="1">
      <c r="A612" s="2096"/>
      <c r="B612" s="2096"/>
      <c r="C612" s="2096"/>
      <c r="D612" s="2096"/>
      <c r="E612" s="2096"/>
      <c r="F612" s="2097"/>
      <c r="G612" s="2101"/>
      <c r="H612" s="200" t="s">
        <v>50</v>
      </c>
      <c r="I612" s="200" t="s">
        <v>338</v>
      </c>
      <c r="J612" s="1964">
        <f>TARGET!D604</f>
        <v>0</v>
      </c>
      <c r="K612" s="2159">
        <v>0</v>
      </c>
      <c r="L612" s="2160">
        <f>'ALL BULAN'!E609</f>
        <v>0</v>
      </c>
      <c r="M612" s="2161">
        <f t="shared" si="95"/>
        <v>0</v>
      </c>
      <c r="N612" s="1891">
        <f t="shared" si="96"/>
        <v>0</v>
      </c>
      <c r="O612" s="2162">
        <v>0</v>
      </c>
      <c r="P612" s="2132"/>
    </row>
    <row r="613" spans="1:16" s="2070" customFormat="1" ht="5.95" customHeight="1">
      <c r="A613" s="2096"/>
      <c r="B613" s="2096"/>
      <c r="C613" s="2096"/>
      <c r="D613" s="2096"/>
      <c r="E613" s="2096"/>
      <c r="F613" s="2097"/>
      <c r="G613" s="2106"/>
      <c r="H613" s="238"/>
      <c r="I613" s="238"/>
      <c r="J613" s="2470"/>
      <c r="K613" s="2167"/>
      <c r="L613" s="2470"/>
      <c r="M613" s="2475"/>
      <c r="N613" s="2475"/>
      <c r="O613" s="2476"/>
      <c r="P613" s="2132"/>
    </row>
    <row r="614" spans="1:16" s="2070" customFormat="1" ht="15.65">
      <c r="A614" s="2096"/>
      <c r="B614" s="2096"/>
      <c r="C614" s="2096"/>
      <c r="D614" s="2096"/>
      <c r="E614" s="2096"/>
      <c r="F614" s="2097"/>
      <c r="G614" s="2458" t="s">
        <v>339</v>
      </c>
      <c r="H614" s="2459" t="s">
        <v>340</v>
      </c>
      <c r="I614" s="2477"/>
      <c r="J614" s="2478">
        <f>J615+J633</f>
        <v>1274387000</v>
      </c>
      <c r="K614" s="2148">
        <v>258384000</v>
      </c>
      <c r="L614" s="2478">
        <f>L615+L633</f>
        <v>38260000</v>
      </c>
      <c r="M614" s="2306">
        <f t="shared" ref="M614:M638" si="97">SUM(K614:L614)</f>
        <v>296644000</v>
      </c>
      <c r="N614" s="2147">
        <f t="shared" ref="N614:N638" si="98">M614-J614</f>
        <v>-977743000</v>
      </c>
      <c r="O614" s="2149">
        <f>M614/J614*100</f>
        <v>23.277387481196843</v>
      </c>
      <c r="P614" s="2132"/>
    </row>
    <row r="615" spans="1:16" s="2070" customFormat="1" ht="15.05">
      <c r="A615" s="2096"/>
      <c r="B615" s="2096"/>
      <c r="C615" s="2096"/>
      <c r="D615" s="2096"/>
      <c r="E615" s="2096"/>
      <c r="F615" s="2097">
        <v>1</v>
      </c>
      <c r="G615" s="2098"/>
      <c r="H615" s="1318" t="s">
        <v>106</v>
      </c>
      <c r="I615" s="2099"/>
      <c r="J615" s="2479">
        <f>J616+J620</f>
        <v>1274387000</v>
      </c>
      <c r="K615" s="2155">
        <v>256284000</v>
      </c>
      <c r="L615" s="2479">
        <f>L616+L620</f>
        <v>38260000</v>
      </c>
      <c r="M615" s="2156">
        <f t="shared" si="97"/>
        <v>294544000</v>
      </c>
      <c r="N615" s="1749">
        <f t="shared" si="98"/>
        <v>-979843000</v>
      </c>
      <c r="O615" s="2162">
        <f>M615/J615*100</f>
        <v>23.112602372748622</v>
      </c>
      <c r="P615" s="2132"/>
    </row>
    <row r="616" spans="1:16" s="2070" customFormat="1">
      <c r="A616" s="2094">
        <v>4</v>
      </c>
      <c r="B616" s="2094">
        <v>1</v>
      </c>
      <c r="C616" s="2094">
        <v>2</v>
      </c>
      <c r="D616" s="2095" t="s">
        <v>438</v>
      </c>
      <c r="E616" s="2215"/>
      <c r="F616" s="2097"/>
      <c r="G616" s="2100"/>
      <c r="H616" s="212" t="s">
        <v>63</v>
      </c>
      <c r="I616" s="212"/>
      <c r="J616" s="2480">
        <f>J617</f>
        <v>200000000</v>
      </c>
      <c r="K616" s="2159">
        <v>0</v>
      </c>
      <c r="L616" s="2480">
        <f>L617</f>
        <v>400000</v>
      </c>
      <c r="M616" s="2161">
        <f t="shared" si="97"/>
        <v>400000</v>
      </c>
      <c r="N616" s="1891">
        <f t="shared" si="98"/>
        <v>-199600000</v>
      </c>
      <c r="O616" s="2162">
        <f>M616/J616*100</f>
        <v>0.2</v>
      </c>
      <c r="P616" s="2132"/>
    </row>
    <row r="617" spans="1:16" s="2070" customFormat="1" ht="15.05">
      <c r="A617" s="2094">
        <v>4</v>
      </c>
      <c r="B617" s="2094">
        <v>1</v>
      </c>
      <c r="C617" s="2094">
        <v>2</v>
      </c>
      <c r="D617" s="2095" t="s">
        <v>438</v>
      </c>
      <c r="E617" s="2125" t="s">
        <v>440</v>
      </c>
      <c r="F617" s="2097"/>
      <c r="G617" s="2100"/>
      <c r="H617" s="2744" t="s">
        <v>50</v>
      </c>
      <c r="I617" s="224" t="s">
        <v>304</v>
      </c>
      <c r="J617" s="2481">
        <f>SUM(J618)</f>
        <v>200000000</v>
      </c>
      <c r="K617" s="2155">
        <v>0</v>
      </c>
      <c r="L617" s="2481">
        <f>SUM(L618)</f>
        <v>400000</v>
      </c>
      <c r="M617" s="2156">
        <f t="shared" si="97"/>
        <v>400000</v>
      </c>
      <c r="N617" s="1749">
        <f t="shared" si="98"/>
        <v>-199600000</v>
      </c>
      <c r="O617" s="2162">
        <f>M617/J617*100</f>
        <v>0.2</v>
      </c>
      <c r="P617" s="2132"/>
    </row>
    <row r="618" spans="1:16" s="2070" customFormat="1">
      <c r="A618" s="2094">
        <v>4</v>
      </c>
      <c r="B618" s="2094">
        <v>1</v>
      </c>
      <c r="C618" s="2094">
        <v>2</v>
      </c>
      <c r="D618" s="2095" t="s">
        <v>438</v>
      </c>
      <c r="E618" s="2125" t="s">
        <v>437</v>
      </c>
      <c r="F618" s="2097"/>
      <c r="G618" s="2100"/>
      <c r="H618" s="212"/>
      <c r="I618" s="2733" t="s">
        <v>341</v>
      </c>
      <c r="J618" s="1964">
        <f>TARGET!D610</f>
        <v>200000000</v>
      </c>
      <c r="K618" s="2159">
        <v>0</v>
      </c>
      <c r="L618" s="2160">
        <v>400000</v>
      </c>
      <c r="M618" s="2161">
        <f t="shared" si="97"/>
        <v>400000</v>
      </c>
      <c r="N618" s="1891">
        <f t="shared" si="98"/>
        <v>-199600000</v>
      </c>
      <c r="O618" s="2162">
        <f>M618/J618*100</f>
        <v>0.2</v>
      </c>
      <c r="P618" s="2132"/>
    </row>
    <row r="619" spans="1:16" s="2070" customFormat="1" ht="5.35" customHeight="1">
      <c r="A619" s="2096"/>
      <c r="B619" s="2096"/>
      <c r="C619" s="2096"/>
      <c r="D619" s="2096"/>
      <c r="E619" s="2096"/>
      <c r="F619" s="2097"/>
      <c r="G619" s="2100"/>
      <c r="H619" s="212"/>
      <c r="I619" s="212"/>
      <c r="J619" s="2480"/>
      <c r="K619" s="2159">
        <v>0</v>
      </c>
      <c r="L619" s="2480"/>
      <c r="M619" s="2161">
        <f t="shared" si="97"/>
        <v>0</v>
      </c>
      <c r="N619" s="1891">
        <f t="shared" si="98"/>
        <v>0</v>
      </c>
      <c r="O619" s="2162">
        <f>N619-K619</f>
        <v>0</v>
      </c>
      <c r="P619" s="2132"/>
    </row>
    <row r="620" spans="1:16" s="2070" customFormat="1">
      <c r="A620" s="2094">
        <v>4</v>
      </c>
      <c r="B620" s="2094">
        <v>1</v>
      </c>
      <c r="C620" s="2094">
        <v>2</v>
      </c>
      <c r="D620" s="2095" t="s">
        <v>438</v>
      </c>
      <c r="E620" s="2125" t="s">
        <v>448</v>
      </c>
      <c r="F620" s="2097"/>
      <c r="G620" s="2100"/>
      <c r="H620" s="2099" t="s">
        <v>342</v>
      </c>
      <c r="I620" s="212"/>
      <c r="J620" s="2482">
        <f>SUM(J621:J631)</f>
        <v>1074387000</v>
      </c>
      <c r="K620" s="2159">
        <v>256284000</v>
      </c>
      <c r="L620" s="2482">
        <f>SUM(L621:L631)</f>
        <v>37860000</v>
      </c>
      <c r="M620" s="2161">
        <f t="shared" si="97"/>
        <v>294144000</v>
      </c>
      <c r="N620" s="1891">
        <f t="shared" si="98"/>
        <v>-780243000</v>
      </c>
      <c r="O620" s="2162">
        <f>M620/J620*100</f>
        <v>27.377844296328981</v>
      </c>
      <c r="P620" s="2132"/>
    </row>
    <row r="621" spans="1:16" s="2070" customFormat="1">
      <c r="A621" s="2096"/>
      <c r="B621" s="2096"/>
      <c r="C621" s="2096"/>
      <c r="D621" s="2096"/>
      <c r="E621" s="2096"/>
      <c r="F621" s="2097"/>
      <c r="G621" s="2104"/>
      <c r="H621" s="200" t="s">
        <v>50</v>
      </c>
      <c r="I621" s="200" t="s">
        <v>343</v>
      </c>
      <c r="J621" s="1964">
        <f>TARGET!D613</f>
        <v>259229500</v>
      </c>
      <c r="K621" s="2159">
        <v>133580000</v>
      </c>
      <c r="L621" s="2160">
        <f>9000000+2430000</f>
        <v>11430000</v>
      </c>
      <c r="M621" s="2161">
        <f t="shared" si="97"/>
        <v>145010000</v>
      </c>
      <c r="N621" s="1891">
        <f t="shared" si="98"/>
        <v>-114219500</v>
      </c>
      <c r="O621" s="2162">
        <f>M621/J621*100</f>
        <v>55.938849552230742</v>
      </c>
      <c r="P621" s="2132"/>
    </row>
    <row r="622" spans="1:16" s="2070" customFormat="1">
      <c r="A622" s="2096"/>
      <c r="B622" s="2096"/>
      <c r="C622" s="2096"/>
      <c r="D622" s="2096"/>
      <c r="E622" s="2096"/>
      <c r="F622" s="2097"/>
      <c r="G622" s="2104"/>
      <c r="H622" s="200" t="s">
        <v>50</v>
      </c>
      <c r="I622" s="200" t="s">
        <v>344</v>
      </c>
      <c r="J622" s="1964">
        <f>TARGET!D614</f>
        <v>374739500</v>
      </c>
      <c r="K622" s="2159">
        <v>28650000</v>
      </c>
      <c r="L622" s="2160">
        <v>2310000</v>
      </c>
      <c r="M622" s="2161">
        <f t="shared" si="97"/>
        <v>30960000</v>
      </c>
      <c r="N622" s="1891">
        <f t="shared" si="98"/>
        <v>-343779500</v>
      </c>
      <c r="O622" s="2162">
        <f>M622/J622*100</f>
        <v>8.2617391547995336</v>
      </c>
      <c r="P622" s="2132"/>
    </row>
    <row r="623" spans="1:16" s="2070" customFormat="1">
      <c r="A623" s="2096"/>
      <c r="B623" s="2096"/>
      <c r="C623" s="2096"/>
      <c r="D623" s="2096"/>
      <c r="E623" s="2096"/>
      <c r="F623" s="2097"/>
      <c r="G623" s="2104"/>
      <c r="H623" s="200" t="s">
        <v>50</v>
      </c>
      <c r="I623" s="200" t="s">
        <v>345</v>
      </c>
      <c r="J623" s="1964">
        <f>TARGET!D615</f>
        <v>271618000</v>
      </c>
      <c r="K623" s="2159">
        <v>32440000</v>
      </c>
      <c r="L623" s="2160">
        <f>'ALL BULAN'!E620</f>
        <v>0</v>
      </c>
      <c r="M623" s="2161">
        <f t="shared" si="97"/>
        <v>32440000</v>
      </c>
      <c r="N623" s="1891">
        <f t="shared" si="98"/>
        <v>-239178000</v>
      </c>
      <c r="O623" s="2162">
        <f>M623/J623*100</f>
        <v>11.943243820365366</v>
      </c>
      <c r="P623" s="2132"/>
    </row>
    <row r="624" spans="1:16" s="2070" customFormat="1">
      <c r="A624" s="2096"/>
      <c r="B624" s="2096"/>
      <c r="C624" s="2096"/>
      <c r="D624" s="2096"/>
      <c r="E624" s="2096"/>
      <c r="F624" s="2097"/>
      <c r="G624" s="2104"/>
      <c r="H624" s="200" t="s">
        <v>50</v>
      </c>
      <c r="I624" s="200" t="s">
        <v>346</v>
      </c>
      <c r="J624" s="1964">
        <f>TARGET!D616</f>
        <v>0</v>
      </c>
      <c r="K624" s="2159">
        <v>0</v>
      </c>
      <c r="L624" s="2160">
        <f>'ALL BULAN'!E621</f>
        <v>0</v>
      </c>
      <c r="M624" s="2161">
        <f t="shared" si="97"/>
        <v>0</v>
      </c>
      <c r="N624" s="1891">
        <f t="shared" si="98"/>
        <v>0</v>
      </c>
      <c r="O624" s="2162">
        <v>0</v>
      </c>
      <c r="P624" s="2132"/>
    </row>
    <row r="625" spans="1:16" s="2070" customFormat="1">
      <c r="A625" s="2096"/>
      <c r="B625" s="2096"/>
      <c r="C625" s="2096"/>
      <c r="D625" s="2096"/>
      <c r="E625" s="2096"/>
      <c r="F625" s="2097"/>
      <c r="G625" s="2104"/>
      <c r="H625" s="200" t="s">
        <v>50</v>
      </c>
      <c r="I625" s="200" t="s">
        <v>347</v>
      </c>
      <c r="J625" s="1964">
        <f>TARGET!D617</f>
        <v>0</v>
      </c>
      <c r="K625" s="2159">
        <v>0</v>
      </c>
      <c r="L625" s="2160">
        <f>'ALL BULAN'!E622</f>
        <v>0</v>
      </c>
      <c r="M625" s="2161">
        <f t="shared" si="97"/>
        <v>0</v>
      </c>
      <c r="N625" s="1891">
        <f t="shared" si="98"/>
        <v>0</v>
      </c>
      <c r="O625" s="2162">
        <v>0</v>
      </c>
      <c r="P625" s="2132"/>
    </row>
    <row r="626" spans="1:16" s="2070" customFormat="1">
      <c r="A626" s="2096"/>
      <c r="B626" s="2096"/>
      <c r="C626" s="2096"/>
      <c r="D626" s="2096"/>
      <c r="E626" s="2096"/>
      <c r="F626" s="2097"/>
      <c r="G626" s="2104"/>
      <c r="H626" s="200" t="s">
        <v>50</v>
      </c>
      <c r="I626" s="200" t="s">
        <v>348</v>
      </c>
      <c r="J626" s="1964">
        <f>TARGET!D618</f>
        <v>46200000</v>
      </c>
      <c r="K626" s="2159">
        <v>29700000</v>
      </c>
      <c r="L626" s="2160">
        <v>0</v>
      </c>
      <c r="M626" s="2161">
        <f t="shared" si="97"/>
        <v>29700000</v>
      </c>
      <c r="N626" s="1891">
        <f t="shared" si="98"/>
        <v>-16500000</v>
      </c>
      <c r="O626" s="2162">
        <f>M626/J626*100</f>
        <v>64.285714285714292</v>
      </c>
      <c r="P626" s="2132"/>
    </row>
    <row r="627" spans="1:16" s="2070" customFormat="1">
      <c r="A627" s="2096"/>
      <c r="B627" s="2096"/>
      <c r="C627" s="2096"/>
      <c r="D627" s="2096"/>
      <c r="E627" s="2096"/>
      <c r="F627" s="2097"/>
      <c r="G627" s="2104"/>
      <c r="H627" s="200" t="s">
        <v>50</v>
      </c>
      <c r="I627" s="200" t="s">
        <v>349</v>
      </c>
      <c r="J627" s="1964">
        <f>TARGET!D619</f>
        <v>88200000</v>
      </c>
      <c r="K627" s="2159">
        <v>16920000</v>
      </c>
      <c r="L627" s="2160">
        <f>13320000+10800000</f>
        <v>24120000</v>
      </c>
      <c r="M627" s="2161">
        <f t="shared" si="97"/>
        <v>41040000</v>
      </c>
      <c r="N627" s="1891">
        <f t="shared" si="98"/>
        <v>-47160000</v>
      </c>
      <c r="O627" s="2162">
        <f>M627/J627*100</f>
        <v>46.530612244897959</v>
      </c>
      <c r="P627" s="2132"/>
    </row>
    <row r="628" spans="1:16" s="2070" customFormat="1">
      <c r="A628" s="2096"/>
      <c r="B628" s="2096"/>
      <c r="C628" s="2096"/>
      <c r="D628" s="2096"/>
      <c r="E628" s="2096"/>
      <c r="F628" s="2097"/>
      <c r="G628" s="2104"/>
      <c r="H628" s="200" t="s">
        <v>50</v>
      </c>
      <c r="I628" s="200" t="s">
        <v>350</v>
      </c>
      <c r="J628" s="1964">
        <f>TARGET!D620</f>
        <v>24400000</v>
      </c>
      <c r="K628" s="2159">
        <v>14994000</v>
      </c>
      <c r="L628" s="2160">
        <f>'ALL BULAN'!E625</f>
        <v>0</v>
      </c>
      <c r="M628" s="2161">
        <f t="shared" si="97"/>
        <v>14994000</v>
      </c>
      <c r="N628" s="1891">
        <f t="shared" si="98"/>
        <v>-9406000</v>
      </c>
      <c r="O628" s="2162">
        <f>M628/J628*100</f>
        <v>61.450819672131153</v>
      </c>
      <c r="P628" s="2132"/>
    </row>
    <row r="629" spans="1:16" s="2070" customFormat="1">
      <c r="A629" s="2096"/>
      <c r="B629" s="2096"/>
      <c r="C629" s="2096"/>
      <c r="D629" s="2096"/>
      <c r="E629" s="2096"/>
      <c r="F629" s="2097"/>
      <c r="G629" s="2104"/>
      <c r="H629" s="200" t="s">
        <v>50</v>
      </c>
      <c r="I629" s="200" t="s">
        <v>351</v>
      </c>
      <c r="J629" s="1964">
        <f>TARGET!D621</f>
        <v>0</v>
      </c>
      <c r="K629" s="2159">
        <v>0</v>
      </c>
      <c r="L629" s="2160">
        <f>'ALL BULAN'!E626</f>
        <v>0</v>
      </c>
      <c r="M629" s="2161">
        <f t="shared" si="97"/>
        <v>0</v>
      </c>
      <c r="N629" s="1891">
        <f t="shared" si="98"/>
        <v>0</v>
      </c>
      <c r="O629" s="2162">
        <v>0</v>
      </c>
      <c r="P629" s="2132"/>
    </row>
    <row r="630" spans="1:16" s="2070" customFormat="1">
      <c r="A630" s="2096"/>
      <c r="B630" s="2096"/>
      <c r="C630" s="2096"/>
      <c r="D630" s="2096"/>
      <c r="E630" s="2096"/>
      <c r="F630" s="2097"/>
      <c r="G630" s="2104"/>
      <c r="H630" s="2460" t="s">
        <v>50</v>
      </c>
      <c r="I630" s="2483" t="s">
        <v>352</v>
      </c>
      <c r="J630" s="1964">
        <f>TARGET!D622</f>
        <v>0</v>
      </c>
      <c r="K630" s="2159">
        <v>0</v>
      </c>
      <c r="L630" s="2160">
        <f>'ALL BULAN'!E627</f>
        <v>0</v>
      </c>
      <c r="M630" s="2161">
        <f t="shared" si="97"/>
        <v>0</v>
      </c>
      <c r="N630" s="1891">
        <f t="shared" si="98"/>
        <v>0</v>
      </c>
      <c r="O630" s="2162">
        <v>0</v>
      </c>
      <c r="P630" s="2132"/>
    </row>
    <row r="631" spans="1:16" s="2070" customFormat="1">
      <c r="A631" s="2096"/>
      <c r="B631" s="2096"/>
      <c r="C631" s="2096"/>
      <c r="D631" s="2096"/>
      <c r="E631" s="2096"/>
      <c r="F631" s="2097"/>
      <c r="G631" s="2104"/>
      <c r="H631" s="2745" t="s">
        <v>50</v>
      </c>
      <c r="I631" s="2483" t="s">
        <v>353</v>
      </c>
      <c r="J631" s="1964">
        <f>TARGET!D623</f>
        <v>10000000</v>
      </c>
      <c r="K631" s="2159">
        <v>0</v>
      </c>
      <c r="L631" s="2160">
        <f>'ALL BULAN'!E628</f>
        <v>0</v>
      </c>
      <c r="M631" s="2161">
        <f t="shared" si="97"/>
        <v>0</v>
      </c>
      <c r="N631" s="1891">
        <f t="shared" si="98"/>
        <v>-10000000</v>
      </c>
      <c r="O631" s="2162">
        <f>M631/J631*100</f>
        <v>0</v>
      </c>
      <c r="P631" s="2132"/>
    </row>
    <row r="632" spans="1:16" s="2070" customFormat="1" ht="5.35" customHeight="1">
      <c r="A632" s="2096"/>
      <c r="B632" s="2096"/>
      <c r="C632" s="2096"/>
      <c r="D632" s="2096"/>
      <c r="E632" s="2096"/>
      <c r="F632" s="2097"/>
      <c r="G632" s="2104"/>
      <c r="H632" s="200"/>
      <c r="I632" s="200"/>
      <c r="J632" s="2282"/>
      <c r="K632" s="2159">
        <v>0</v>
      </c>
      <c r="L632" s="2282"/>
      <c r="M632" s="2161">
        <f t="shared" si="97"/>
        <v>0</v>
      </c>
      <c r="N632" s="1891">
        <f t="shared" si="98"/>
        <v>0</v>
      </c>
      <c r="O632" s="2162">
        <f>N632-K632</f>
        <v>0</v>
      </c>
      <c r="P632" s="2132"/>
    </row>
    <row r="633" spans="1:16" s="2070" customFormat="1">
      <c r="A633" s="2102">
        <v>4</v>
      </c>
      <c r="B633" s="2102">
        <v>1</v>
      </c>
      <c r="C633" s="2102">
        <v>4</v>
      </c>
      <c r="D633" s="2096"/>
      <c r="E633" s="2096"/>
      <c r="F633" s="2097">
        <v>3</v>
      </c>
      <c r="G633" s="2104"/>
      <c r="H633" s="202" t="s">
        <v>71</v>
      </c>
      <c r="I633" s="202"/>
      <c r="J633" s="2283">
        <f>SUM(J634:J638)</f>
        <v>0</v>
      </c>
      <c r="K633" s="2159">
        <v>2100000</v>
      </c>
      <c r="L633" s="2283">
        <f>SUM(L634:L638)</f>
        <v>0</v>
      </c>
      <c r="M633" s="2161">
        <f t="shared" si="97"/>
        <v>2100000</v>
      </c>
      <c r="N633" s="1891">
        <f t="shared" si="98"/>
        <v>2100000</v>
      </c>
      <c r="O633" s="2162">
        <v>0</v>
      </c>
      <c r="P633" s="2132"/>
    </row>
    <row r="634" spans="1:16" s="2070" customFormat="1">
      <c r="A634" s="1902">
        <v>4</v>
      </c>
      <c r="B634" s="1902">
        <v>1</v>
      </c>
      <c r="C634" s="1902" t="s">
        <v>443</v>
      </c>
      <c r="D634" s="1902" t="s">
        <v>444</v>
      </c>
      <c r="E634" s="1902" t="s">
        <v>440</v>
      </c>
      <c r="F634" s="2097"/>
      <c r="G634" s="2101"/>
      <c r="H634" s="200" t="s">
        <v>50</v>
      </c>
      <c r="I634" s="200" t="s">
        <v>73</v>
      </c>
      <c r="J634" s="1964">
        <f>TARGET!D626</f>
        <v>0</v>
      </c>
      <c r="K634" s="2159">
        <v>0</v>
      </c>
      <c r="L634" s="2160">
        <f>'ALL BULAN'!E631</f>
        <v>0</v>
      </c>
      <c r="M634" s="2161">
        <f t="shared" si="97"/>
        <v>0</v>
      </c>
      <c r="N634" s="1891">
        <f t="shared" si="98"/>
        <v>0</v>
      </c>
      <c r="O634" s="2162">
        <v>0</v>
      </c>
      <c r="P634" s="2132"/>
    </row>
    <row r="635" spans="1:16" s="2070" customFormat="1">
      <c r="A635" s="1944">
        <v>4</v>
      </c>
      <c r="B635" s="1944">
        <v>1</v>
      </c>
      <c r="C635" s="1944" t="s">
        <v>443</v>
      </c>
      <c r="D635" s="1944" t="s">
        <v>444</v>
      </c>
      <c r="E635" s="2105" t="s">
        <v>445</v>
      </c>
      <c r="F635" s="2097"/>
      <c r="G635" s="2101"/>
      <c r="H635" s="200" t="s">
        <v>50</v>
      </c>
      <c r="I635" s="200" t="s">
        <v>74</v>
      </c>
      <c r="J635" s="1964">
        <f>TARGET!D627</f>
        <v>0</v>
      </c>
      <c r="K635" s="2159">
        <v>0</v>
      </c>
      <c r="L635" s="2160">
        <f>'ALL BULAN'!E632</f>
        <v>0</v>
      </c>
      <c r="M635" s="2161">
        <f t="shared" si="97"/>
        <v>0</v>
      </c>
      <c r="N635" s="1891">
        <f t="shared" si="98"/>
        <v>0</v>
      </c>
      <c r="O635" s="2162">
        <v>0</v>
      </c>
      <c r="P635" s="2132"/>
    </row>
    <row r="636" spans="1:16" s="2070" customFormat="1">
      <c r="A636" s="1725">
        <v>4</v>
      </c>
      <c r="B636" s="1725">
        <v>1</v>
      </c>
      <c r="C636" s="1725" t="s">
        <v>443</v>
      </c>
      <c r="D636" s="1725" t="s">
        <v>444</v>
      </c>
      <c r="E636" s="1725" t="s">
        <v>441</v>
      </c>
      <c r="F636" s="2097"/>
      <c r="G636" s="2101"/>
      <c r="H636" s="200" t="s">
        <v>308</v>
      </c>
      <c r="I636" s="200" t="s">
        <v>75</v>
      </c>
      <c r="J636" s="1964">
        <f>TARGET!D628</f>
        <v>0</v>
      </c>
      <c r="K636" s="2159">
        <v>0</v>
      </c>
      <c r="L636" s="2160">
        <f>'ALL BULAN'!E633</f>
        <v>0</v>
      </c>
      <c r="M636" s="2161">
        <f t="shared" si="97"/>
        <v>0</v>
      </c>
      <c r="N636" s="1891">
        <f t="shared" si="98"/>
        <v>0</v>
      </c>
      <c r="O636" s="2162">
        <v>0</v>
      </c>
      <c r="P636" s="2132"/>
    </row>
    <row r="637" spans="1:16" s="2070" customFormat="1">
      <c r="A637" s="2096"/>
      <c r="B637" s="2096"/>
      <c r="C637" s="2096"/>
      <c r="D637" s="2096"/>
      <c r="E637" s="2096"/>
      <c r="F637" s="2097"/>
      <c r="G637" s="2104"/>
      <c r="H637" s="200" t="s">
        <v>50</v>
      </c>
      <c r="I637" s="200" t="s">
        <v>354</v>
      </c>
      <c r="J637" s="1964">
        <f>TARGET!D629</f>
        <v>0</v>
      </c>
      <c r="K637" s="2159">
        <v>2100000</v>
      </c>
      <c r="L637" s="2160">
        <v>0</v>
      </c>
      <c r="M637" s="2161">
        <f t="shared" si="97"/>
        <v>2100000</v>
      </c>
      <c r="N637" s="1891">
        <f t="shared" si="98"/>
        <v>2100000</v>
      </c>
      <c r="O637" s="2162">
        <v>0</v>
      </c>
      <c r="P637" s="2132"/>
    </row>
    <row r="638" spans="1:16" s="2070" customFormat="1">
      <c r="A638" s="2102">
        <v>4</v>
      </c>
      <c r="B638" s="2102">
        <v>1</v>
      </c>
      <c r="C638" s="2102">
        <v>4</v>
      </c>
      <c r="D638" s="2102" t="s">
        <v>441</v>
      </c>
      <c r="E638" s="2096"/>
      <c r="F638" s="2097"/>
      <c r="G638" s="2104"/>
      <c r="H638" s="2461" t="s">
        <v>50</v>
      </c>
      <c r="I638" s="2461" t="s">
        <v>324</v>
      </c>
      <c r="J638" s="1964">
        <f>TARGET!D630</f>
        <v>0</v>
      </c>
      <c r="K638" s="2159">
        <v>0</v>
      </c>
      <c r="L638" s="2160">
        <f>'ALL BULAN'!E635</f>
        <v>0</v>
      </c>
      <c r="M638" s="2161">
        <f t="shared" si="97"/>
        <v>0</v>
      </c>
      <c r="N638" s="1891">
        <f t="shared" si="98"/>
        <v>0</v>
      </c>
      <c r="O638" s="2162">
        <v>0</v>
      </c>
      <c r="P638" s="2132"/>
    </row>
    <row r="639" spans="1:16" s="2070" customFormat="1" ht="5.35" customHeight="1">
      <c r="A639" s="2096"/>
      <c r="B639" s="2096"/>
      <c r="C639" s="2096"/>
      <c r="D639" s="2096"/>
      <c r="E639" s="2096"/>
      <c r="F639" s="2097"/>
      <c r="G639" s="2199"/>
      <c r="H639" s="2117"/>
      <c r="I639" s="2117"/>
      <c r="J639" s="2484"/>
      <c r="K639" s="2341"/>
      <c r="L639" s="2484"/>
      <c r="M639" s="2485"/>
      <c r="N639" s="2485"/>
      <c r="O639" s="2486"/>
      <c r="P639" s="2132"/>
    </row>
    <row r="640" spans="1:16" s="2070" customFormat="1" ht="15.65">
      <c r="A640" s="2096"/>
      <c r="B640" s="2096"/>
      <c r="C640" s="2096"/>
      <c r="D640" s="2096"/>
      <c r="E640" s="2096"/>
      <c r="F640" s="2097"/>
      <c r="G640" s="2092" t="s">
        <v>355</v>
      </c>
      <c r="H640" s="2093" t="s">
        <v>356</v>
      </c>
      <c r="I640" s="2195"/>
      <c r="J640" s="2306">
        <f>J641+J657</f>
        <v>1004500000</v>
      </c>
      <c r="K640" s="2148">
        <v>14881950</v>
      </c>
      <c r="L640" s="2306">
        <f>L641+L657</f>
        <v>120000</v>
      </c>
      <c r="M640" s="2306">
        <f t="shared" ref="M640:M661" si="99">SUM(K640:L640)</f>
        <v>15001950</v>
      </c>
      <c r="N640" s="2147">
        <f t="shared" ref="N640:N661" si="100">M640-J640</f>
        <v>-989498050</v>
      </c>
      <c r="O640" s="2149">
        <f t="shared" ref="O640:O645" si="101">M640/J640*100</f>
        <v>1.4934743653558984</v>
      </c>
      <c r="P640" s="2132"/>
    </row>
    <row r="641" spans="1:16" s="2070" customFormat="1" ht="15.05">
      <c r="A641" s="2094">
        <v>4</v>
      </c>
      <c r="B641" s="2094">
        <v>1</v>
      </c>
      <c r="C641" s="2094">
        <v>2</v>
      </c>
      <c r="D641" s="2095" t="s">
        <v>438</v>
      </c>
      <c r="E641" s="2215"/>
      <c r="F641" s="2097">
        <v>1</v>
      </c>
      <c r="G641" s="2098"/>
      <c r="H641" s="2099" t="s">
        <v>63</v>
      </c>
      <c r="I641" s="2438"/>
      <c r="J641" s="2487">
        <f>+J642+J648</f>
        <v>1004500000</v>
      </c>
      <c r="K641" s="2155">
        <v>14161950</v>
      </c>
      <c r="L641" s="2487">
        <f>+L642+L648</f>
        <v>120000</v>
      </c>
      <c r="M641" s="2156">
        <f t="shared" si="99"/>
        <v>14281950</v>
      </c>
      <c r="N641" s="1749">
        <f t="shared" si="100"/>
        <v>-990218050</v>
      </c>
      <c r="O641" s="2162">
        <f t="shared" si="101"/>
        <v>1.4217969138875064</v>
      </c>
      <c r="P641" s="2132"/>
    </row>
    <row r="642" spans="1:16" s="2070" customFormat="1" ht="15.05">
      <c r="A642" s="2094">
        <v>4</v>
      </c>
      <c r="B642" s="2094">
        <v>1</v>
      </c>
      <c r="C642" s="2094">
        <v>2</v>
      </c>
      <c r="D642" s="2095" t="s">
        <v>438</v>
      </c>
      <c r="E642" s="2125" t="s">
        <v>437</v>
      </c>
      <c r="F642" s="2097"/>
      <c r="G642" s="2101"/>
      <c r="H642" s="202" t="s">
        <v>64</v>
      </c>
      <c r="I642" s="200"/>
      <c r="J642" s="2452">
        <f>SUM(J643:J646)</f>
        <v>785500000</v>
      </c>
      <c r="K642" s="2155">
        <v>13303900</v>
      </c>
      <c r="L642" s="2452">
        <f>SUM(L643:L646)</f>
        <v>120000</v>
      </c>
      <c r="M642" s="2156">
        <f t="shared" si="99"/>
        <v>13423900</v>
      </c>
      <c r="N642" s="1749">
        <f t="shared" si="100"/>
        <v>-772076100</v>
      </c>
      <c r="O642" s="2162">
        <f t="shared" si="101"/>
        <v>1.7089624443029916</v>
      </c>
      <c r="P642" s="2132"/>
    </row>
    <row r="643" spans="1:16" s="2070" customFormat="1">
      <c r="A643" s="2096"/>
      <c r="B643" s="2096"/>
      <c r="C643" s="2096"/>
      <c r="D643" s="2096"/>
      <c r="E643" s="2096"/>
      <c r="F643" s="2097"/>
      <c r="G643" s="2104"/>
      <c r="H643" s="200" t="s">
        <v>50</v>
      </c>
      <c r="I643" s="200" t="s">
        <v>357</v>
      </c>
      <c r="J643" s="1964">
        <f>TARGET!D635</f>
        <v>40000000</v>
      </c>
      <c r="K643" s="2159">
        <v>7487600</v>
      </c>
      <c r="L643" s="2160">
        <v>0</v>
      </c>
      <c r="M643" s="2161">
        <f t="shared" si="99"/>
        <v>7487600</v>
      </c>
      <c r="N643" s="1891">
        <f t="shared" si="100"/>
        <v>-32512400</v>
      </c>
      <c r="O643" s="2162">
        <f t="shared" si="101"/>
        <v>18.719000000000001</v>
      </c>
      <c r="P643" s="2132"/>
    </row>
    <row r="644" spans="1:16" s="2070" customFormat="1">
      <c r="A644" s="2096"/>
      <c r="B644" s="2096"/>
      <c r="C644" s="2096"/>
      <c r="D644" s="2096"/>
      <c r="E644" s="2096"/>
      <c r="F644" s="2097"/>
      <c r="G644" s="2104"/>
      <c r="H644" s="200" t="s">
        <v>50</v>
      </c>
      <c r="I644" s="200" t="s">
        <v>358</v>
      </c>
      <c r="J644" s="1964">
        <f>TARGET!D636</f>
        <v>23000000</v>
      </c>
      <c r="K644" s="2159">
        <v>2276300</v>
      </c>
      <c r="L644" s="2160">
        <v>0</v>
      </c>
      <c r="M644" s="2161">
        <f t="shared" si="99"/>
        <v>2276300</v>
      </c>
      <c r="N644" s="1891">
        <f t="shared" si="100"/>
        <v>-20723700</v>
      </c>
      <c r="O644" s="2162">
        <f t="shared" si="101"/>
        <v>9.8969565217391313</v>
      </c>
      <c r="P644" s="2132"/>
    </row>
    <row r="645" spans="1:16" s="2070" customFormat="1">
      <c r="A645" s="2096"/>
      <c r="B645" s="2096"/>
      <c r="C645" s="2096"/>
      <c r="D645" s="2096"/>
      <c r="E645" s="2096"/>
      <c r="F645" s="2097"/>
      <c r="G645" s="2104"/>
      <c r="H645" s="200" t="s">
        <v>50</v>
      </c>
      <c r="I645" s="200" t="s">
        <v>359</v>
      </c>
      <c r="J645" s="1964">
        <f>TARGET!D637</f>
        <v>722500000</v>
      </c>
      <c r="K645" s="2159">
        <v>0</v>
      </c>
      <c r="L645" s="2160">
        <v>120000</v>
      </c>
      <c r="M645" s="2161">
        <f t="shared" si="99"/>
        <v>120000</v>
      </c>
      <c r="N645" s="1891">
        <f t="shared" si="100"/>
        <v>-722380000</v>
      </c>
      <c r="O645" s="2162">
        <f t="shared" si="101"/>
        <v>1.6608996539792385E-2</v>
      </c>
      <c r="P645" s="2132"/>
    </row>
    <row r="646" spans="1:16" s="2070" customFormat="1">
      <c r="A646" s="2096"/>
      <c r="B646" s="2096"/>
      <c r="C646" s="2096"/>
      <c r="D646" s="2096"/>
      <c r="E646" s="2096"/>
      <c r="F646" s="2097"/>
      <c r="G646" s="2104"/>
      <c r="H646" s="200" t="s">
        <v>50</v>
      </c>
      <c r="I646" s="200" t="s">
        <v>360</v>
      </c>
      <c r="J646" s="1964">
        <f>TARGET!D638</f>
        <v>0</v>
      </c>
      <c r="K646" s="2159">
        <v>3540000</v>
      </c>
      <c r="L646" s="2160">
        <v>0</v>
      </c>
      <c r="M646" s="2161">
        <f t="shared" si="99"/>
        <v>3540000</v>
      </c>
      <c r="N646" s="1891">
        <f t="shared" si="100"/>
        <v>3540000</v>
      </c>
      <c r="O646" s="2162">
        <v>0</v>
      </c>
      <c r="P646" s="2132"/>
    </row>
    <row r="647" spans="1:16" s="2070" customFormat="1" ht="3.8" customHeight="1">
      <c r="A647" s="2096"/>
      <c r="B647" s="2096"/>
      <c r="C647" s="2096"/>
      <c r="D647" s="2096"/>
      <c r="E647" s="2096"/>
      <c r="F647" s="2097"/>
      <c r="G647" s="2104"/>
      <c r="H647" s="200"/>
      <c r="I647" s="200"/>
      <c r="J647" s="2282"/>
      <c r="K647" s="2159">
        <v>0</v>
      </c>
      <c r="L647" s="2282"/>
      <c r="M647" s="2161">
        <f t="shared" si="99"/>
        <v>0</v>
      </c>
      <c r="N647" s="1891">
        <f t="shared" si="100"/>
        <v>0</v>
      </c>
      <c r="O647" s="2162">
        <f>N647-K647</f>
        <v>0</v>
      </c>
      <c r="P647" s="2132"/>
    </row>
    <row r="648" spans="1:16" s="2070" customFormat="1" ht="15.05">
      <c r="A648" s="2094">
        <v>4</v>
      </c>
      <c r="B648" s="2094">
        <v>1</v>
      </c>
      <c r="C648" s="2094">
        <v>2</v>
      </c>
      <c r="D648" s="2095" t="s">
        <v>438</v>
      </c>
      <c r="E648" s="2125" t="s">
        <v>448</v>
      </c>
      <c r="F648" s="2097"/>
      <c r="G648" s="2104"/>
      <c r="H648" s="202" t="s">
        <v>361</v>
      </c>
      <c r="I648" s="200"/>
      <c r="J648" s="2452">
        <f>SUM(J649:J655)</f>
        <v>219000000</v>
      </c>
      <c r="K648" s="2155">
        <v>858050</v>
      </c>
      <c r="L648" s="2452">
        <f>SUM(L649:L655)</f>
        <v>0</v>
      </c>
      <c r="M648" s="2156">
        <f t="shared" si="99"/>
        <v>858050</v>
      </c>
      <c r="N648" s="1749">
        <f t="shared" si="100"/>
        <v>-218141950</v>
      </c>
      <c r="O648" s="2162">
        <f>M648/J648*100</f>
        <v>0.39180365296803654</v>
      </c>
      <c r="P648" s="2132"/>
    </row>
    <row r="649" spans="1:16" s="2070" customFormat="1">
      <c r="A649" s="2096"/>
      <c r="B649" s="2096"/>
      <c r="C649" s="2096"/>
      <c r="D649" s="2096"/>
      <c r="E649" s="2096"/>
      <c r="F649" s="2097"/>
      <c r="G649" s="2104"/>
      <c r="H649" s="200" t="s">
        <v>50</v>
      </c>
      <c r="I649" s="200" t="s">
        <v>362</v>
      </c>
      <c r="J649" s="1964">
        <f>TARGET!D641</f>
        <v>0</v>
      </c>
      <c r="K649" s="2159">
        <v>0</v>
      </c>
      <c r="L649" s="2160">
        <f>'ALL BULAN'!E646</f>
        <v>0</v>
      </c>
      <c r="M649" s="2161">
        <f t="shared" si="99"/>
        <v>0</v>
      </c>
      <c r="N649" s="1891">
        <f t="shared" si="100"/>
        <v>0</v>
      </c>
      <c r="O649" s="2162">
        <v>0</v>
      </c>
      <c r="P649" s="2132"/>
    </row>
    <row r="650" spans="1:16" s="2070" customFormat="1">
      <c r="A650" s="2096"/>
      <c r="B650" s="2096"/>
      <c r="C650" s="2096"/>
      <c r="D650" s="2096"/>
      <c r="E650" s="2096"/>
      <c r="F650" s="2097"/>
      <c r="G650" s="2104"/>
      <c r="H650" s="200" t="s">
        <v>50</v>
      </c>
      <c r="I650" s="200" t="s">
        <v>363</v>
      </c>
      <c r="J650" s="1964">
        <f>TARGET!D642</f>
        <v>75000000</v>
      </c>
      <c r="K650" s="2159">
        <v>858050</v>
      </c>
      <c r="L650" s="2160">
        <v>0</v>
      </c>
      <c r="M650" s="2161">
        <f t="shared" si="99"/>
        <v>858050</v>
      </c>
      <c r="N650" s="1891">
        <f t="shared" si="100"/>
        <v>-74141950</v>
      </c>
      <c r="O650" s="2162">
        <f>M650/J650*100</f>
        <v>1.1440666666666666</v>
      </c>
      <c r="P650" s="2132"/>
    </row>
    <row r="651" spans="1:16" s="2070" customFormat="1">
      <c r="A651" s="2096"/>
      <c r="B651" s="2096"/>
      <c r="C651" s="2096"/>
      <c r="D651" s="2096"/>
      <c r="E651" s="2096"/>
      <c r="F651" s="2097"/>
      <c r="G651" s="2104"/>
      <c r="H651" s="200" t="s">
        <v>50</v>
      </c>
      <c r="I651" s="200" t="s">
        <v>364</v>
      </c>
      <c r="J651" s="1964">
        <f>TARGET!D643</f>
        <v>19000000</v>
      </c>
      <c r="K651" s="2159">
        <v>0</v>
      </c>
      <c r="L651" s="2160">
        <f>'ALL BULAN'!E648</f>
        <v>0</v>
      </c>
      <c r="M651" s="2161">
        <f t="shared" si="99"/>
        <v>0</v>
      </c>
      <c r="N651" s="1891">
        <f t="shared" si="100"/>
        <v>-19000000</v>
      </c>
      <c r="O651" s="2162">
        <f>M651/J651*100</f>
        <v>0</v>
      </c>
      <c r="P651" s="2132"/>
    </row>
    <row r="652" spans="1:16" s="2070" customFormat="1">
      <c r="A652" s="2096"/>
      <c r="B652" s="2096"/>
      <c r="C652" s="2096"/>
      <c r="D652" s="2096"/>
      <c r="E652" s="2096"/>
      <c r="F652" s="2097"/>
      <c r="G652" s="2104"/>
      <c r="H652" s="200" t="s">
        <v>50</v>
      </c>
      <c r="I652" s="200" t="s">
        <v>365</v>
      </c>
      <c r="J652" s="1964">
        <f>TARGET!D644</f>
        <v>125000000</v>
      </c>
      <c r="K652" s="2159">
        <v>0</v>
      </c>
      <c r="L652" s="2160">
        <f>'ALL BULAN'!E649</f>
        <v>0</v>
      </c>
      <c r="M652" s="2161">
        <f t="shared" si="99"/>
        <v>0</v>
      </c>
      <c r="N652" s="1891">
        <f t="shared" si="100"/>
        <v>-125000000</v>
      </c>
      <c r="O652" s="2162">
        <f>M652/J652*100</f>
        <v>0</v>
      </c>
      <c r="P652" s="2132"/>
    </row>
    <row r="653" spans="1:16" s="2070" customFormat="1">
      <c r="A653" s="2096"/>
      <c r="B653" s="2096"/>
      <c r="C653" s="2096"/>
      <c r="D653" s="2096"/>
      <c r="E653" s="2096"/>
      <c r="F653" s="2097"/>
      <c r="G653" s="2104"/>
      <c r="H653" s="200" t="s">
        <v>50</v>
      </c>
      <c r="I653" s="200" t="s">
        <v>366</v>
      </c>
      <c r="J653" s="1964">
        <f>TARGET!D645</f>
        <v>0</v>
      </c>
      <c r="K653" s="2159">
        <v>0</v>
      </c>
      <c r="L653" s="2160">
        <f>'ALL BULAN'!E650</f>
        <v>0</v>
      </c>
      <c r="M653" s="2161">
        <f t="shared" si="99"/>
        <v>0</v>
      </c>
      <c r="N653" s="1891">
        <f t="shared" si="100"/>
        <v>0</v>
      </c>
      <c r="O653" s="2162">
        <v>0</v>
      </c>
      <c r="P653" s="2132"/>
    </row>
    <row r="654" spans="1:16" s="2070" customFormat="1">
      <c r="A654" s="2096"/>
      <c r="B654" s="2096"/>
      <c r="C654" s="2096"/>
      <c r="D654" s="2096"/>
      <c r="E654" s="2096"/>
      <c r="F654" s="2097"/>
      <c r="G654" s="2104"/>
      <c r="H654" s="200" t="s">
        <v>50</v>
      </c>
      <c r="I654" s="200" t="s">
        <v>367</v>
      </c>
      <c r="J654" s="1964">
        <f>TARGET!D646</f>
        <v>0</v>
      </c>
      <c r="K654" s="2159">
        <v>0</v>
      </c>
      <c r="L654" s="2160">
        <f>'ALL BULAN'!E651</f>
        <v>0</v>
      </c>
      <c r="M654" s="2161">
        <f t="shared" si="99"/>
        <v>0</v>
      </c>
      <c r="N654" s="1891">
        <f t="shared" si="100"/>
        <v>0</v>
      </c>
      <c r="O654" s="2162">
        <v>0</v>
      </c>
      <c r="P654" s="2132"/>
    </row>
    <row r="655" spans="1:16" s="2070" customFormat="1">
      <c r="A655" s="2096"/>
      <c r="B655" s="2096"/>
      <c r="C655" s="2096"/>
      <c r="D655" s="2096"/>
      <c r="E655" s="2096"/>
      <c r="F655" s="2097"/>
      <c r="G655" s="2104"/>
      <c r="H655" s="200" t="s">
        <v>50</v>
      </c>
      <c r="I655" s="200" t="s">
        <v>368</v>
      </c>
      <c r="J655" s="1964">
        <f>TARGET!D647</f>
        <v>0</v>
      </c>
      <c r="K655" s="2159">
        <v>0</v>
      </c>
      <c r="L655" s="2160">
        <f>'ALL BULAN'!E652</f>
        <v>0</v>
      </c>
      <c r="M655" s="2161">
        <f t="shared" si="99"/>
        <v>0</v>
      </c>
      <c r="N655" s="1891">
        <f t="shared" si="100"/>
        <v>0</v>
      </c>
      <c r="O655" s="2162">
        <v>0</v>
      </c>
      <c r="P655" s="2132"/>
    </row>
    <row r="656" spans="1:16" s="2070" customFormat="1" ht="4.55" customHeight="1">
      <c r="A656" s="2096"/>
      <c r="B656" s="2096"/>
      <c r="C656" s="2096"/>
      <c r="D656" s="2096"/>
      <c r="E656" s="2096"/>
      <c r="F656" s="2097"/>
      <c r="G656" s="2104"/>
      <c r="H656" s="200"/>
      <c r="I656" s="200"/>
      <c r="J656" s="2282"/>
      <c r="K656" s="2159">
        <v>0</v>
      </c>
      <c r="L656" s="2282"/>
      <c r="M656" s="2161">
        <f t="shared" si="99"/>
        <v>0</v>
      </c>
      <c r="N656" s="1891">
        <f t="shared" si="100"/>
        <v>0</v>
      </c>
      <c r="O656" s="2162">
        <f>N656-K656</f>
        <v>0</v>
      </c>
      <c r="P656" s="2132"/>
    </row>
    <row r="657" spans="1:16" s="2070" customFormat="1">
      <c r="A657" s="2096"/>
      <c r="B657" s="2096"/>
      <c r="C657" s="2096"/>
      <c r="D657" s="2096"/>
      <c r="E657" s="2096"/>
      <c r="F657" s="2097">
        <v>3</v>
      </c>
      <c r="G657" s="2104"/>
      <c r="H657" s="202" t="s">
        <v>71</v>
      </c>
      <c r="I657" s="202"/>
      <c r="J657" s="2283">
        <f>SUM(J658:J661)</f>
        <v>0</v>
      </c>
      <c r="K657" s="2159">
        <v>720000</v>
      </c>
      <c r="L657" s="2283">
        <f>SUM(L658:L661)</f>
        <v>0</v>
      </c>
      <c r="M657" s="2161">
        <f t="shared" si="99"/>
        <v>720000</v>
      </c>
      <c r="N657" s="1891">
        <f t="shared" si="100"/>
        <v>720000</v>
      </c>
      <c r="O657" s="2162">
        <v>0</v>
      </c>
      <c r="P657" s="2132"/>
    </row>
    <row r="658" spans="1:16" s="2070" customFormat="1">
      <c r="A658" s="2096"/>
      <c r="B658" s="2096"/>
      <c r="C658" s="2096"/>
      <c r="D658" s="2096"/>
      <c r="E658" s="2096"/>
      <c r="F658" s="2097"/>
      <c r="G658" s="2101"/>
      <c r="H658" s="200" t="s">
        <v>50</v>
      </c>
      <c r="I658" s="2329" t="s">
        <v>369</v>
      </c>
      <c r="J658" s="1964">
        <f>TARGET!D650</f>
        <v>0</v>
      </c>
      <c r="K658" s="2159">
        <v>0</v>
      </c>
      <c r="L658" s="2160">
        <f>'ALL BULAN'!E655</f>
        <v>0</v>
      </c>
      <c r="M658" s="2161">
        <f t="shared" si="99"/>
        <v>0</v>
      </c>
      <c r="N658" s="1891">
        <f t="shared" si="100"/>
        <v>0</v>
      </c>
      <c r="O658" s="2162">
        <v>0</v>
      </c>
      <c r="P658" s="2132"/>
    </row>
    <row r="659" spans="1:16" s="2070" customFormat="1">
      <c r="A659" s="1944">
        <v>4</v>
      </c>
      <c r="B659" s="1944">
        <v>1</v>
      </c>
      <c r="C659" s="1944" t="s">
        <v>443</v>
      </c>
      <c r="D659" s="1944" t="s">
        <v>444</v>
      </c>
      <c r="E659" s="2105" t="s">
        <v>445</v>
      </c>
      <c r="F659" s="2097"/>
      <c r="G659" s="2101"/>
      <c r="H659" s="200" t="s">
        <v>50</v>
      </c>
      <c r="I659" s="200" t="s">
        <v>74</v>
      </c>
      <c r="J659" s="1964">
        <f>TARGET!D651</f>
        <v>0</v>
      </c>
      <c r="K659" s="2159">
        <v>0</v>
      </c>
      <c r="L659" s="2160">
        <f>'ALL BULAN'!E656</f>
        <v>0</v>
      </c>
      <c r="M659" s="2161">
        <f t="shared" si="99"/>
        <v>0</v>
      </c>
      <c r="N659" s="1891">
        <f t="shared" si="100"/>
        <v>0</v>
      </c>
      <c r="O659" s="2162">
        <v>0</v>
      </c>
      <c r="P659" s="2132"/>
    </row>
    <row r="660" spans="1:16" s="2070" customFormat="1">
      <c r="A660" s="1725">
        <v>4</v>
      </c>
      <c r="B660" s="1725">
        <v>1</v>
      </c>
      <c r="C660" s="1725" t="s">
        <v>443</v>
      </c>
      <c r="D660" s="1725" t="s">
        <v>444</v>
      </c>
      <c r="E660" s="1725" t="s">
        <v>441</v>
      </c>
      <c r="F660" s="2097"/>
      <c r="G660" s="2101"/>
      <c r="H660" s="200" t="s">
        <v>308</v>
      </c>
      <c r="I660" s="200" t="s">
        <v>75</v>
      </c>
      <c r="J660" s="1964">
        <f>TARGET!D652</f>
        <v>0</v>
      </c>
      <c r="K660" s="2159">
        <v>0</v>
      </c>
      <c r="L660" s="2160">
        <f>'ALL BULAN'!E657</f>
        <v>0</v>
      </c>
      <c r="M660" s="2161">
        <f t="shared" si="99"/>
        <v>0</v>
      </c>
      <c r="N660" s="1891">
        <f t="shared" si="100"/>
        <v>0</v>
      </c>
      <c r="O660" s="2162">
        <v>0</v>
      </c>
      <c r="P660" s="2132"/>
    </row>
    <row r="661" spans="1:16" s="2070" customFormat="1">
      <c r="A661" s="2114">
        <v>4</v>
      </c>
      <c r="B661" s="2114">
        <v>1</v>
      </c>
      <c r="C661" s="2114" t="s">
        <v>443</v>
      </c>
      <c r="D661" s="2114" t="s">
        <v>447</v>
      </c>
      <c r="E661" s="2125" t="s">
        <v>437</v>
      </c>
      <c r="F661" s="2097"/>
      <c r="G661" s="2101"/>
      <c r="H661" s="200" t="s">
        <v>50</v>
      </c>
      <c r="I661" s="200" t="s">
        <v>85</v>
      </c>
      <c r="J661" s="1964">
        <f>TARGET!D653</f>
        <v>0</v>
      </c>
      <c r="K661" s="2159">
        <v>720000</v>
      </c>
      <c r="L661" s="2160">
        <v>0</v>
      </c>
      <c r="M661" s="2161">
        <f t="shared" si="99"/>
        <v>720000</v>
      </c>
      <c r="N661" s="1891">
        <f t="shared" si="100"/>
        <v>720000</v>
      </c>
      <c r="O661" s="2162">
        <v>0</v>
      </c>
      <c r="P661" s="2132"/>
    </row>
    <row r="662" spans="1:16" s="2070" customFormat="1" ht="5.35" customHeight="1">
      <c r="A662" s="2096"/>
      <c r="B662" s="2096"/>
      <c r="C662" s="2096"/>
      <c r="D662" s="2096"/>
      <c r="E662" s="2096"/>
      <c r="F662" s="2097"/>
      <c r="G662" s="2199"/>
      <c r="H662" s="2117"/>
      <c r="I662" s="2117"/>
      <c r="J662" s="2310"/>
      <c r="K662" s="2183"/>
      <c r="L662" s="2310"/>
      <c r="M662" s="2311"/>
      <c r="N662" s="2311"/>
      <c r="O662" s="2312"/>
      <c r="P662" s="2132"/>
    </row>
    <row r="663" spans="1:16" s="2070" customFormat="1" ht="15.65">
      <c r="A663" s="2096"/>
      <c r="B663" s="2096"/>
      <c r="C663" s="2096"/>
      <c r="D663" s="2096"/>
      <c r="E663" s="2096"/>
      <c r="F663" s="2097"/>
      <c r="G663" s="2092" t="s">
        <v>370</v>
      </c>
      <c r="H663" s="2093" t="s">
        <v>371</v>
      </c>
      <c r="I663" s="2195"/>
      <c r="J663" s="2306">
        <f>J664</f>
        <v>0</v>
      </c>
      <c r="K663" s="2148">
        <v>0</v>
      </c>
      <c r="L663" s="2306">
        <f>L664</f>
        <v>0</v>
      </c>
      <c r="M663" s="2306">
        <f t="shared" ref="M663:M669" si="102">SUM(K663:L663)</f>
        <v>0</v>
      </c>
      <c r="N663" s="2147">
        <f t="shared" ref="N663:N669" si="103">M663-J663</f>
        <v>0</v>
      </c>
      <c r="O663" s="2149">
        <v>0</v>
      </c>
      <c r="P663" s="2132"/>
    </row>
    <row r="664" spans="1:16" s="2070" customFormat="1">
      <c r="A664" s="2102">
        <v>4</v>
      </c>
      <c r="B664" s="2102">
        <v>1</v>
      </c>
      <c r="C664" s="2102">
        <v>4</v>
      </c>
      <c r="D664" s="2096"/>
      <c r="E664" s="2096"/>
      <c r="F664" s="2097">
        <v>3</v>
      </c>
      <c r="G664" s="2251"/>
      <c r="H664" s="2322" t="s">
        <v>71</v>
      </c>
      <c r="I664" s="2322"/>
      <c r="J664" s="2304">
        <f>SUM(J665:J669)</f>
        <v>0</v>
      </c>
      <c r="K664" s="2159">
        <v>0</v>
      </c>
      <c r="L664" s="2304">
        <f>SUM(L665:L669)</f>
        <v>0</v>
      </c>
      <c r="M664" s="2161">
        <f t="shared" si="102"/>
        <v>0</v>
      </c>
      <c r="N664" s="1891">
        <f t="shared" si="103"/>
        <v>0</v>
      </c>
      <c r="O664" s="2162">
        <v>0</v>
      </c>
      <c r="P664" s="2132"/>
    </row>
    <row r="665" spans="1:16" s="2070" customFormat="1">
      <c r="A665" s="2102">
        <v>4</v>
      </c>
      <c r="B665" s="2102">
        <v>1</v>
      </c>
      <c r="C665" s="2102">
        <v>4</v>
      </c>
      <c r="D665" s="2102" t="s">
        <v>441</v>
      </c>
      <c r="E665" s="2096"/>
      <c r="F665" s="2097"/>
      <c r="G665" s="2104"/>
      <c r="H665" s="257" t="s">
        <v>50</v>
      </c>
      <c r="I665" s="200" t="s">
        <v>72</v>
      </c>
      <c r="J665" s="1964">
        <f>TARGET!D657</f>
        <v>0</v>
      </c>
      <c r="K665" s="2159">
        <v>0</v>
      </c>
      <c r="L665" s="2160">
        <f>'ALL BULAN'!E662</f>
        <v>0</v>
      </c>
      <c r="M665" s="2161">
        <f t="shared" si="102"/>
        <v>0</v>
      </c>
      <c r="N665" s="1891">
        <f t="shared" si="103"/>
        <v>0</v>
      </c>
      <c r="O665" s="2162">
        <v>0</v>
      </c>
      <c r="P665" s="2132"/>
    </row>
    <row r="666" spans="1:16" s="2070" customFormat="1">
      <c r="A666" s="1902">
        <v>4</v>
      </c>
      <c r="B666" s="1902">
        <v>1</v>
      </c>
      <c r="C666" s="1902" t="s">
        <v>443</v>
      </c>
      <c r="D666" s="1902" t="s">
        <v>444</v>
      </c>
      <c r="E666" s="1902" t="s">
        <v>440</v>
      </c>
      <c r="F666" s="2097"/>
      <c r="G666" s="2101"/>
      <c r="H666" s="257" t="s">
        <v>50</v>
      </c>
      <c r="I666" s="200" t="s">
        <v>73</v>
      </c>
      <c r="J666" s="1964">
        <f>TARGET!D658</f>
        <v>0</v>
      </c>
      <c r="K666" s="2159">
        <v>0</v>
      </c>
      <c r="L666" s="2160">
        <f>'ALL BULAN'!E663</f>
        <v>0</v>
      </c>
      <c r="M666" s="2161">
        <f t="shared" si="102"/>
        <v>0</v>
      </c>
      <c r="N666" s="1891">
        <f t="shared" si="103"/>
        <v>0</v>
      </c>
      <c r="O666" s="2162">
        <v>0</v>
      </c>
      <c r="P666" s="2132"/>
    </row>
    <row r="667" spans="1:16" s="2070" customFormat="1">
      <c r="A667" s="1944">
        <v>4</v>
      </c>
      <c r="B667" s="1944">
        <v>1</v>
      </c>
      <c r="C667" s="1944" t="s">
        <v>443</v>
      </c>
      <c r="D667" s="1944" t="s">
        <v>444</v>
      </c>
      <c r="E667" s="2105" t="s">
        <v>445</v>
      </c>
      <c r="F667" s="2097"/>
      <c r="G667" s="2101"/>
      <c r="H667" s="257" t="s">
        <v>50</v>
      </c>
      <c r="I667" s="200" t="s">
        <v>74</v>
      </c>
      <c r="J667" s="1964">
        <f>TARGET!D659</f>
        <v>0</v>
      </c>
      <c r="K667" s="2159">
        <v>0</v>
      </c>
      <c r="L667" s="2160">
        <f>'ALL BULAN'!E664</f>
        <v>0</v>
      </c>
      <c r="M667" s="2161">
        <f t="shared" si="102"/>
        <v>0</v>
      </c>
      <c r="N667" s="1891">
        <f t="shared" si="103"/>
        <v>0</v>
      </c>
      <c r="O667" s="2162">
        <v>0</v>
      </c>
      <c r="P667" s="2132"/>
    </row>
    <row r="668" spans="1:16" s="2070" customFormat="1">
      <c r="A668" s="1725">
        <v>4</v>
      </c>
      <c r="B668" s="1725">
        <v>1</v>
      </c>
      <c r="C668" s="1725" t="s">
        <v>443</v>
      </c>
      <c r="D668" s="1725" t="s">
        <v>444</v>
      </c>
      <c r="E668" s="1725" t="s">
        <v>441</v>
      </c>
      <c r="F668" s="2097"/>
      <c r="G668" s="2101"/>
      <c r="H668" s="200" t="s">
        <v>308</v>
      </c>
      <c r="I668" s="200" t="s">
        <v>75</v>
      </c>
      <c r="J668" s="1964">
        <f>TARGET!D660</f>
        <v>0</v>
      </c>
      <c r="K668" s="2159">
        <v>0</v>
      </c>
      <c r="L668" s="2160">
        <f>'ALL BULAN'!E665</f>
        <v>0</v>
      </c>
      <c r="M668" s="2161">
        <f t="shared" si="102"/>
        <v>0</v>
      </c>
      <c r="N668" s="1891">
        <f t="shared" si="103"/>
        <v>0</v>
      </c>
      <c r="O668" s="2162">
        <v>0</v>
      </c>
      <c r="P668" s="2132"/>
    </row>
    <row r="669" spans="1:16" s="2070" customFormat="1">
      <c r="A669" s="2114">
        <v>4</v>
      </c>
      <c r="B669" s="2114">
        <v>1</v>
      </c>
      <c r="C669" s="2114" t="s">
        <v>443</v>
      </c>
      <c r="D669" s="2114" t="s">
        <v>447</v>
      </c>
      <c r="E669" s="2125" t="s">
        <v>437</v>
      </c>
      <c r="F669" s="2097"/>
      <c r="G669" s="2104"/>
      <c r="H669" s="2214" t="s">
        <v>50</v>
      </c>
      <c r="I669" s="200" t="s">
        <v>85</v>
      </c>
      <c r="J669" s="1964">
        <f>TARGET!D661</f>
        <v>0</v>
      </c>
      <c r="K669" s="2159">
        <v>0</v>
      </c>
      <c r="L669" s="2160">
        <f>'ALL BULAN'!E666</f>
        <v>0</v>
      </c>
      <c r="M669" s="2161">
        <f t="shared" si="102"/>
        <v>0</v>
      </c>
      <c r="N669" s="1891">
        <f t="shared" si="103"/>
        <v>0</v>
      </c>
      <c r="O669" s="2162">
        <v>0</v>
      </c>
      <c r="P669" s="2132"/>
    </row>
    <row r="670" spans="1:16" s="2070" customFormat="1" ht="5.35" customHeight="1">
      <c r="A670" s="2096"/>
      <c r="B670" s="2096"/>
      <c r="C670" s="2096"/>
      <c r="D670" s="2096"/>
      <c r="E670" s="2096"/>
      <c r="F670" s="2097"/>
      <c r="G670" s="2199"/>
      <c r="H670" s="2326"/>
      <c r="I670" s="2326"/>
      <c r="J670" s="2314"/>
      <c r="K670" s="2220"/>
      <c r="L670" s="2314"/>
      <c r="M670" s="2315"/>
      <c r="N670" s="2315"/>
      <c r="O670" s="2316"/>
      <c r="P670" s="2132"/>
    </row>
    <row r="671" spans="1:16" s="2070" customFormat="1" ht="15.65">
      <c r="A671" s="2096"/>
      <c r="B671" s="2096"/>
      <c r="C671" s="2096"/>
      <c r="D671" s="2096"/>
      <c r="E671" s="2096"/>
      <c r="F671" s="2097"/>
      <c r="G671" s="2092" t="s">
        <v>372</v>
      </c>
      <c r="H671" s="2093" t="s">
        <v>373</v>
      </c>
      <c r="I671" s="2195"/>
      <c r="J671" s="2306">
        <f>J673+J697</f>
        <v>1338680000</v>
      </c>
      <c r="K671" s="2488">
        <v>81424500</v>
      </c>
      <c r="L671" s="2306">
        <f>L673+L697</f>
        <v>148650500</v>
      </c>
      <c r="M671" s="2489">
        <f>SUM(K671:L671)</f>
        <v>230075000</v>
      </c>
      <c r="N671" s="2147">
        <f>M671-J671</f>
        <v>-1108605000</v>
      </c>
      <c r="O671" s="2149">
        <f>M671/J671*100</f>
        <v>17.1867063077061</v>
      </c>
      <c r="P671" s="2132"/>
    </row>
    <row r="672" spans="1:16" s="2070" customFormat="1" ht="3.8" customHeight="1">
      <c r="A672" s="2096"/>
      <c r="B672" s="2096"/>
      <c r="C672" s="2096"/>
      <c r="D672" s="2096"/>
      <c r="E672" s="2096"/>
      <c r="F672" s="2097"/>
      <c r="G672" s="2098"/>
      <c r="H672" s="2438"/>
      <c r="I672" s="2099"/>
      <c r="J672" s="2439"/>
      <c r="K672" s="2152"/>
      <c r="L672" s="2439"/>
      <c r="M672" s="2447"/>
      <c r="N672" s="2447"/>
      <c r="O672" s="2448"/>
      <c r="P672" s="2132"/>
    </row>
    <row r="673" spans="1:16" s="2070" customFormat="1" ht="15.05">
      <c r="A673" s="2096"/>
      <c r="B673" s="2096"/>
      <c r="C673" s="2096"/>
      <c r="D673" s="2096"/>
      <c r="E673" s="2096"/>
      <c r="F673" s="2097">
        <v>1</v>
      </c>
      <c r="G673" s="2104"/>
      <c r="H673" s="202" t="s">
        <v>106</v>
      </c>
      <c r="I673" s="202"/>
      <c r="J673" s="2490">
        <f>+J675+J695+J687</f>
        <v>1338680000</v>
      </c>
      <c r="K673" s="2155">
        <v>81424500</v>
      </c>
      <c r="L673" s="2490">
        <f>+L675+L695+L687</f>
        <v>147615500</v>
      </c>
      <c r="M673" s="2156">
        <f t="shared" ref="M673:M702" si="104">SUM(K673:L673)</f>
        <v>229040000</v>
      </c>
      <c r="N673" s="1749">
        <f t="shared" ref="N673:N702" si="105">M673-J673</f>
        <v>-1109640000</v>
      </c>
      <c r="O673" s="2162">
        <f>M673/J673*100</f>
        <v>17.109391340723697</v>
      </c>
      <c r="P673" s="2132"/>
    </row>
    <row r="674" spans="1:16" s="2070" customFormat="1" ht="3.8" customHeight="1">
      <c r="A674" s="2096"/>
      <c r="B674" s="2096"/>
      <c r="C674" s="2096"/>
      <c r="D674" s="2096"/>
      <c r="E674" s="2096"/>
      <c r="F674" s="2097"/>
      <c r="G674" s="2104"/>
      <c r="H674" s="200"/>
      <c r="I674" s="200"/>
      <c r="J674" s="2455"/>
      <c r="K674" s="2159">
        <v>0</v>
      </c>
      <c r="L674" s="2455"/>
      <c r="M674" s="2161">
        <f t="shared" si="104"/>
        <v>0</v>
      </c>
      <c r="N674" s="1891">
        <f t="shared" si="105"/>
        <v>0</v>
      </c>
      <c r="O674" s="2162">
        <f>N674-K674</f>
        <v>0</v>
      </c>
      <c r="P674" s="2132"/>
    </row>
    <row r="675" spans="1:16" s="2070" customFormat="1">
      <c r="A675" s="2094">
        <v>4</v>
      </c>
      <c r="B675" s="2094">
        <v>1</v>
      </c>
      <c r="C675" s="2094">
        <v>2</v>
      </c>
      <c r="D675" s="2095" t="s">
        <v>438</v>
      </c>
      <c r="E675" s="2215"/>
      <c r="F675" s="2097"/>
      <c r="G675" s="2104"/>
      <c r="H675" s="202" t="s">
        <v>374</v>
      </c>
      <c r="I675" s="202"/>
      <c r="J675" s="2307">
        <f>+J676</f>
        <v>518680000</v>
      </c>
      <c r="K675" s="2159">
        <v>26025000</v>
      </c>
      <c r="L675" s="2307">
        <f>+L676</f>
        <v>27371000</v>
      </c>
      <c r="M675" s="2161">
        <f t="shared" si="104"/>
        <v>53396000</v>
      </c>
      <c r="N675" s="1891">
        <f t="shared" si="105"/>
        <v>-465284000</v>
      </c>
      <c r="O675" s="2162">
        <f t="shared" ref="O675:O681" si="106">M675/J675*100</f>
        <v>10.294593969306701</v>
      </c>
      <c r="P675" s="2132"/>
    </row>
    <row r="676" spans="1:16" s="2070" customFormat="1" ht="15.05">
      <c r="A676" s="2094">
        <v>4</v>
      </c>
      <c r="B676" s="2094">
        <v>1</v>
      </c>
      <c r="C676" s="2094">
        <v>2</v>
      </c>
      <c r="D676" s="2095" t="s">
        <v>438</v>
      </c>
      <c r="E676" s="2125" t="s">
        <v>437</v>
      </c>
      <c r="F676" s="2097"/>
      <c r="G676" s="2101"/>
      <c r="H676" s="202" t="s">
        <v>64</v>
      </c>
      <c r="I676" s="202"/>
      <c r="J676" s="2490">
        <f>SUM(J677:J685)</f>
        <v>518680000</v>
      </c>
      <c r="K676" s="2155">
        <v>26025000</v>
      </c>
      <c r="L676" s="2490">
        <f>SUM(L677:L685)</f>
        <v>27371000</v>
      </c>
      <c r="M676" s="2156">
        <f t="shared" si="104"/>
        <v>53396000</v>
      </c>
      <c r="N676" s="1749">
        <f t="shared" si="105"/>
        <v>-465284000</v>
      </c>
      <c r="O676" s="2162">
        <f t="shared" si="106"/>
        <v>10.294593969306701</v>
      </c>
      <c r="P676" s="2132"/>
    </row>
    <row r="677" spans="1:16" s="2070" customFormat="1">
      <c r="A677" s="2096"/>
      <c r="B677" s="2096"/>
      <c r="C677" s="2096"/>
      <c r="D677" s="2096"/>
      <c r="E677" s="2096"/>
      <c r="F677" s="2097"/>
      <c r="G677" s="2104"/>
      <c r="H677" s="202" t="s">
        <v>50</v>
      </c>
      <c r="I677" s="200" t="s">
        <v>375</v>
      </c>
      <c r="J677" s="1964">
        <f>TARGET!D669</f>
        <v>328430000</v>
      </c>
      <c r="K677" s="2159">
        <v>11650000</v>
      </c>
      <c r="L677" s="2160">
        <v>13471000</v>
      </c>
      <c r="M677" s="2161">
        <f t="shared" si="104"/>
        <v>25121000</v>
      </c>
      <c r="N677" s="1891">
        <f t="shared" si="105"/>
        <v>-303309000</v>
      </c>
      <c r="O677" s="2162">
        <f t="shared" si="106"/>
        <v>7.6488140547453041</v>
      </c>
      <c r="P677" s="2132"/>
    </row>
    <row r="678" spans="1:16" s="2070" customFormat="1">
      <c r="A678" s="2096"/>
      <c r="B678" s="2096"/>
      <c r="C678" s="2096"/>
      <c r="D678" s="2096"/>
      <c r="E678" s="2096"/>
      <c r="F678" s="2097"/>
      <c r="G678" s="2104"/>
      <c r="H678" s="200" t="s">
        <v>50</v>
      </c>
      <c r="I678" s="200" t="s">
        <v>376</v>
      </c>
      <c r="J678" s="1964">
        <f>TARGET!D670</f>
        <v>15000000</v>
      </c>
      <c r="K678" s="2159">
        <v>2000000</v>
      </c>
      <c r="L678" s="2160">
        <v>0</v>
      </c>
      <c r="M678" s="2161">
        <f t="shared" si="104"/>
        <v>2000000</v>
      </c>
      <c r="N678" s="1891">
        <f t="shared" si="105"/>
        <v>-13000000</v>
      </c>
      <c r="O678" s="2162">
        <f t="shared" si="106"/>
        <v>13.333333333333334</v>
      </c>
      <c r="P678" s="2132"/>
    </row>
    <row r="679" spans="1:16" s="2070" customFormat="1">
      <c r="A679" s="2096"/>
      <c r="B679" s="2096"/>
      <c r="C679" s="2096"/>
      <c r="D679" s="2096"/>
      <c r="E679" s="2096"/>
      <c r="F679" s="2097"/>
      <c r="G679" s="2104"/>
      <c r="H679" s="200" t="s">
        <v>50</v>
      </c>
      <c r="I679" s="200" t="s">
        <v>377</v>
      </c>
      <c r="J679" s="1964">
        <f>TARGET!D671</f>
        <v>50000000</v>
      </c>
      <c r="K679" s="2159">
        <v>0</v>
      </c>
      <c r="L679" s="2160">
        <v>1500000</v>
      </c>
      <c r="M679" s="2161">
        <f t="shared" si="104"/>
        <v>1500000</v>
      </c>
      <c r="N679" s="1891">
        <f t="shared" si="105"/>
        <v>-48500000</v>
      </c>
      <c r="O679" s="2162">
        <f t="shared" si="106"/>
        <v>3</v>
      </c>
      <c r="P679" s="2132"/>
    </row>
    <row r="680" spans="1:16" s="2070" customFormat="1">
      <c r="A680" s="2096"/>
      <c r="B680" s="2096"/>
      <c r="C680" s="2096"/>
      <c r="D680" s="2096"/>
      <c r="E680" s="2096"/>
      <c r="F680" s="2097"/>
      <c r="G680" s="2104"/>
      <c r="H680" s="202" t="s">
        <v>50</v>
      </c>
      <c r="I680" s="200" t="s">
        <v>378</v>
      </c>
      <c r="J680" s="1964">
        <f>TARGET!D672</f>
        <v>40250000</v>
      </c>
      <c r="K680" s="2159">
        <v>1375000</v>
      </c>
      <c r="L680" s="2160">
        <v>0</v>
      </c>
      <c r="M680" s="2161">
        <f t="shared" si="104"/>
        <v>1375000</v>
      </c>
      <c r="N680" s="1891">
        <f t="shared" si="105"/>
        <v>-38875000</v>
      </c>
      <c r="O680" s="2162">
        <f t="shared" si="106"/>
        <v>3.4161490683229814</v>
      </c>
      <c r="P680" s="2132"/>
    </row>
    <row r="681" spans="1:16" s="2070" customFormat="1">
      <c r="A681" s="2096"/>
      <c r="B681" s="2096"/>
      <c r="C681" s="2096"/>
      <c r="D681" s="2096"/>
      <c r="E681" s="2096"/>
      <c r="F681" s="2097"/>
      <c r="G681" s="2104"/>
      <c r="H681" s="200" t="s">
        <v>50</v>
      </c>
      <c r="I681" s="200" t="s">
        <v>379</v>
      </c>
      <c r="J681" s="1964">
        <f>TARGET!D673</f>
        <v>25000000</v>
      </c>
      <c r="K681" s="2159">
        <v>10000000</v>
      </c>
      <c r="L681" s="2160">
        <f>900000+7000000+2000000+1000000</f>
        <v>10900000</v>
      </c>
      <c r="M681" s="2161">
        <f t="shared" si="104"/>
        <v>20900000</v>
      </c>
      <c r="N681" s="1891">
        <f t="shared" si="105"/>
        <v>-4100000</v>
      </c>
      <c r="O681" s="2162">
        <f t="shared" si="106"/>
        <v>83.6</v>
      </c>
      <c r="P681" s="2132"/>
    </row>
    <row r="682" spans="1:16" s="2070" customFormat="1">
      <c r="A682" s="2096"/>
      <c r="B682" s="2096"/>
      <c r="C682" s="2096"/>
      <c r="D682" s="2096"/>
      <c r="E682" s="2096"/>
      <c r="F682" s="2097"/>
      <c r="G682" s="2104"/>
      <c r="H682" s="200" t="s">
        <v>50</v>
      </c>
      <c r="I682" s="200" t="s">
        <v>380</v>
      </c>
      <c r="J682" s="1964">
        <f>TARGET!D674</f>
        <v>0</v>
      </c>
      <c r="K682" s="2159">
        <v>0</v>
      </c>
      <c r="L682" s="2160">
        <f>'ALL BULAN'!E679</f>
        <v>0</v>
      </c>
      <c r="M682" s="2161">
        <f t="shared" si="104"/>
        <v>0</v>
      </c>
      <c r="N682" s="1891">
        <f t="shared" si="105"/>
        <v>0</v>
      </c>
      <c r="O682" s="2162">
        <v>0</v>
      </c>
      <c r="P682" s="2132"/>
    </row>
    <row r="683" spans="1:16" s="2070" customFormat="1">
      <c r="A683" s="2096"/>
      <c r="B683" s="2096"/>
      <c r="C683" s="2096"/>
      <c r="D683" s="2096"/>
      <c r="E683" s="2096"/>
      <c r="F683" s="2097"/>
      <c r="G683" s="2104"/>
      <c r="H683" s="200" t="s">
        <v>50</v>
      </c>
      <c r="I683" s="200" t="s">
        <v>381</v>
      </c>
      <c r="J683" s="1964">
        <f>TARGET!D675</f>
        <v>60000000</v>
      </c>
      <c r="K683" s="2159">
        <v>1000000</v>
      </c>
      <c r="L683" s="2160">
        <v>1500000</v>
      </c>
      <c r="M683" s="2161">
        <f t="shared" si="104"/>
        <v>2500000</v>
      </c>
      <c r="N683" s="1891">
        <f t="shared" si="105"/>
        <v>-57500000</v>
      </c>
      <c r="O683" s="2162">
        <f t="shared" ref="O683:O690" si="107">M683/J683*100</f>
        <v>4.1666666666666661</v>
      </c>
      <c r="P683" s="2132"/>
    </row>
    <row r="684" spans="1:16" s="2070" customFormat="1">
      <c r="A684" s="2096"/>
      <c r="B684" s="2096"/>
      <c r="C684" s="2096"/>
      <c r="D684" s="2096"/>
      <c r="E684" s="2096"/>
      <c r="F684" s="2097"/>
      <c r="G684" s="2104"/>
      <c r="H684" s="200" t="s">
        <v>50</v>
      </c>
      <c r="I684" s="200" t="s">
        <v>382</v>
      </c>
      <c r="J684" s="1964">
        <f>TARGET!D676</f>
        <v>0</v>
      </c>
      <c r="K684" s="2159">
        <v>0</v>
      </c>
      <c r="L684" s="2160">
        <f>'ALL BULAN'!E681</f>
        <v>0</v>
      </c>
      <c r="M684" s="2161">
        <f t="shared" si="104"/>
        <v>0</v>
      </c>
      <c r="N684" s="1891">
        <f t="shared" si="105"/>
        <v>0</v>
      </c>
      <c r="O684" s="2162">
        <v>0</v>
      </c>
      <c r="P684" s="2132"/>
    </row>
    <row r="685" spans="1:16" s="2070" customFormat="1">
      <c r="A685" s="2096"/>
      <c r="B685" s="2096"/>
      <c r="C685" s="2096"/>
      <c r="D685" s="2096"/>
      <c r="E685" s="2096"/>
      <c r="F685" s="2097"/>
      <c r="G685" s="2104"/>
      <c r="H685" s="200" t="s">
        <v>50</v>
      </c>
      <c r="I685" s="200" t="s">
        <v>383</v>
      </c>
      <c r="J685" s="1964">
        <f>TARGET!D677</f>
        <v>0</v>
      </c>
      <c r="K685" s="2159">
        <v>0</v>
      </c>
      <c r="L685" s="2160">
        <f>'ALL BULAN'!E682</f>
        <v>0</v>
      </c>
      <c r="M685" s="2161">
        <f t="shared" si="104"/>
        <v>0</v>
      </c>
      <c r="N685" s="1891">
        <f t="shared" si="105"/>
        <v>0</v>
      </c>
      <c r="O685" s="2162">
        <v>0</v>
      </c>
      <c r="P685" s="2132"/>
    </row>
    <row r="686" spans="1:16" s="2070" customFormat="1" ht="7.55" customHeight="1">
      <c r="A686" s="2096"/>
      <c r="B686" s="2096"/>
      <c r="C686" s="2096"/>
      <c r="D686" s="2096"/>
      <c r="E686" s="2096"/>
      <c r="F686" s="2097"/>
      <c r="G686" s="2104"/>
      <c r="H686" s="202"/>
      <c r="I686" s="200"/>
      <c r="J686" s="2282"/>
      <c r="K686" s="2159">
        <v>0</v>
      </c>
      <c r="L686" s="2282"/>
      <c r="M686" s="2161">
        <f t="shared" si="104"/>
        <v>0</v>
      </c>
      <c r="N686" s="1891">
        <f t="shared" si="105"/>
        <v>0</v>
      </c>
      <c r="O686" s="2162">
        <f>N686-K686</f>
        <v>0</v>
      </c>
      <c r="P686" s="2132"/>
    </row>
    <row r="687" spans="1:16" s="2070" customFormat="1" ht="15.05">
      <c r="A687" s="2094">
        <v>4</v>
      </c>
      <c r="B687" s="2094">
        <v>1</v>
      </c>
      <c r="C687" s="2094">
        <v>2</v>
      </c>
      <c r="D687" s="2095" t="s">
        <v>438</v>
      </c>
      <c r="E687" s="2125" t="s">
        <v>448</v>
      </c>
      <c r="F687" s="2097"/>
      <c r="G687" s="2104"/>
      <c r="H687" s="202" t="s">
        <v>361</v>
      </c>
      <c r="I687" s="202"/>
      <c r="J687" s="2490">
        <f>SUM(J688:J694)</f>
        <v>820000000</v>
      </c>
      <c r="K687" s="2155">
        <v>55399500</v>
      </c>
      <c r="L687" s="2490">
        <f>SUM(L688:L694)</f>
        <v>120244500</v>
      </c>
      <c r="M687" s="2156">
        <f t="shared" si="104"/>
        <v>175644000</v>
      </c>
      <c r="N687" s="1749">
        <f t="shared" si="105"/>
        <v>-644356000</v>
      </c>
      <c r="O687" s="2162">
        <f t="shared" si="107"/>
        <v>21.42</v>
      </c>
      <c r="P687" s="2132"/>
    </row>
    <row r="688" spans="1:16" s="2070" customFormat="1">
      <c r="A688" s="2096"/>
      <c r="B688" s="2096"/>
      <c r="C688" s="2096"/>
      <c r="D688" s="2096"/>
      <c r="E688" s="2096"/>
      <c r="F688" s="2097"/>
      <c r="G688" s="2104"/>
      <c r="H688" s="200" t="s">
        <v>50</v>
      </c>
      <c r="I688" s="200" t="s">
        <v>384</v>
      </c>
      <c r="J688" s="1964">
        <f>TARGET!D680</f>
        <v>190000000</v>
      </c>
      <c r="K688" s="2159">
        <v>30000000</v>
      </c>
      <c r="L688" s="2160">
        <f>12190000+1660000+5650000</f>
        <v>19500000</v>
      </c>
      <c r="M688" s="2161">
        <f t="shared" si="104"/>
        <v>49500000</v>
      </c>
      <c r="N688" s="1891">
        <f t="shared" si="105"/>
        <v>-140500000</v>
      </c>
      <c r="O688" s="2162">
        <f t="shared" si="107"/>
        <v>26.052631578947366</v>
      </c>
      <c r="P688" s="2132"/>
    </row>
    <row r="689" spans="1:16" s="2070" customFormat="1">
      <c r="A689" s="2096"/>
      <c r="B689" s="2096"/>
      <c r="C689" s="2096"/>
      <c r="D689" s="2096"/>
      <c r="E689" s="2096"/>
      <c r="F689" s="2097"/>
      <c r="G689" s="2104"/>
      <c r="H689" s="200" t="s">
        <v>50</v>
      </c>
      <c r="I689" s="200" t="s">
        <v>385</v>
      </c>
      <c r="J689" s="1964">
        <f>TARGET!D681</f>
        <v>160000000</v>
      </c>
      <c r="K689" s="2159">
        <v>6528500</v>
      </c>
      <c r="L689" s="2160">
        <v>15425500</v>
      </c>
      <c r="M689" s="2161">
        <f t="shared" si="104"/>
        <v>21954000</v>
      </c>
      <c r="N689" s="1891">
        <f t="shared" si="105"/>
        <v>-138046000</v>
      </c>
      <c r="O689" s="2162">
        <f t="shared" si="107"/>
        <v>13.72125</v>
      </c>
      <c r="P689" s="2132"/>
    </row>
    <row r="690" spans="1:16" s="2070" customFormat="1">
      <c r="A690" s="2096"/>
      <c r="B690" s="2096"/>
      <c r="C690" s="2096"/>
      <c r="D690" s="2096"/>
      <c r="E690" s="2096"/>
      <c r="F690" s="2097"/>
      <c r="G690" s="2104"/>
      <c r="H690" s="200" t="s">
        <v>50</v>
      </c>
      <c r="I690" s="200" t="s">
        <v>386</v>
      </c>
      <c r="J690" s="1964">
        <f>TARGET!D682</f>
        <v>90000000</v>
      </c>
      <c r="K690" s="2159">
        <v>16191000</v>
      </c>
      <c r="L690" s="2160">
        <v>11950000</v>
      </c>
      <c r="M690" s="2161">
        <f t="shared" si="104"/>
        <v>28141000</v>
      </c>
      <c r="N690" s="1891">
        <f t="shared" si="105"/>
        <v>-61859000</v>
      </c>
      <c r="O690" s="2162">
        <f t="shared" si="107"/>
        <v>31.267777777777777</v>
      </c>
      <c r="P690" s="2132"/>
    </row>
    <row r="691" spans="1:16" s="2070" customFormat="1">
      <c r="A691" s="2096"/>
      <c r="B691" s="2096"/>
      <c r="C691" s="2096"/>
      <c r="D691" s="2096"/>
      <c r="E691" s="2096"/>
      <c r="F691" s="2097"/>
      <c r="G691" s="2104"/>
      <c r="H691" s="200" t="s">
        <v>50</v>
      </c>
      <c r="I691" s="200" t="s">
        <v>387</v>
      </c>
      <c r="J691" s="1964">
        <f>TARGET!D683</f>
        <v>0</v>
      </c>
      <c r="K691" s="2159">
        <v>0</v>
      </c>
      <c r="L691" s="2160">
        <v>0</v>
      </c>
      <c r="M691" s="2161">
        <f t="shared" si="104"/>
        <v>0</v>
      </c>
      <c r="N691" s="1891">
        <f t="shared" si="105"/>
        <v>0</v>
      </c>
      <c r="O691" s="2162">
        <v>0</v>
      </c>
      <c r="P691" s="2132"/>
    </row>
    <row r="692" spans="1:16" s="2070" customFormat="1">
      <c r="A692" s="2096"/>
      <c r="B692" s="2096"/>
      <c r="C692" s="2096"/>
      <c r="D692" s="2096"/>
      <c r="E692" s="2096"/>
      <c r="F692" s="2097"/>
      <c r="G692" s="2104"/>
      <c r="H692" s="200" t="s">
        <v>50</v>
      </c>
      <c r="I692" s="200" t="s">
        <v>388</v>
      </c>
      <c r="J692" s="1964">
        <f>TARGET!D684</f>
        <v>15000000</v>
      </c>
      <c r="K692" s="2159">
        <v>1200000</v>
      </c>
      <c r="L692" s="2160">
        <v>1400000</v>
      </c>
      <c r="M692" s="2161">
        <f t="shared" si="104"/>
        <v>2600000</v>
      </c>
      <c r="N692" s="1891">
        <f t="shared" si="105"/>
        <v>-12400000</v>
      </c>
      <c r="O692" s="2162">
        <f>M692/J692*100</f>
        <v>17.333333333333336</v>
      </c>
      <c r="P692" s="2132"/>
    </row>
    <row r="693" spans="1:16" s="2070" customFormat="1">
      <c r="A693" s="2096"/>
      <c r="B693" s="2096"/>
      <c r="C693" s="2096"/>
      <c r="D693" s="2096"/>
      <c r="E693" s="2096"/>
      <c r="F693" s="2097"/>
      <c r="G693" s="2104"/>
      <c r="H693" s="200" t="s">
        <v>50</v>
      </c>
      <c r="I693" s="200" t="s">
        <v>389</v>
      </c>
      <c r="J693" s="1964">
        <f>TARGET!D685</f>
        <v>30000000</v>
      </c>
      <c r="K693" s="2159">
        <v>1480000</v>
      </c>
      <c r="L693" s="2160">
        <v>569000</v>
      </c>
      <c r="M693" s="2161">
        <f t="shared" si="104"/>
        <v>2049000</v>
      </c>
      <c r="N693" s="1891">
        <f t="shared" si="105"/>
        <v>-27951000</v>
      </c>
      <c r="O693" s="2162">
        <f>M693/J693*100</f>
        <v>6.83</v>
      </c>
      <c r="P693" s="2132"/>
    </row>
    <row r="694" spans="1:16" s="2070" customFormat="1">
      <c r="A694" s="2096"/>
      <c r="B694" s="2096"/>
      <c r="C694" s="2096"/>
      <c r="D694" s="2096"/>
      <c r="E694" s="2096"/>
      <c r="F694" s="2097"/>
      <c r="G694" s="2104"/>
      <c r="H694" s="200" t="s">
        <v>50</v>
      </c>
      <c r="I694" s="200" t="s">
        <v>390</v>
      </c>
      <c r="J694" s="1964">
        <f>TARGET!D686</f>
        <v>335000000</v>
      </c>
      <c r="K694" s="2159">
        <v>0</v>
      </c>
      <c r="L694" s="2160">
        <v>71400000</v>
      </c>
      <c r="M694" s="2161">
        <f t="shared" si="104"/>
        <v>71400000</v>
      </c>
      <c r="N694" s="1891">
        <f t="shared" si="105"/>
        <v>-263600000</v>
      </c>
      <c r="O694" s="2162">
        <f>M694/J694*100</f>
        <v>21.313432835820894</v>
      </c>
      <c r="P694" s="2132"/>
    </row>
    <row r="695" spans="1:16" s="2070" customFormat="1">
      <c r="A695" s="2096"/>
      <c r="B695" s="2096"/>
      <c r="C695" s="2096"/>
      <c r="D695" s="2096"/>
      <c r="E695" s="2096"/>
      <c r="F695" s="2097"/>
      <c r="G695" s="2104"/>
      <c r="H695" s="202" t="s">
        <v>391</v>
      </c>
      <c r="I695" s="200"/>
      <c r="J695" s="1964">
        <f>TARGET!D687</f>
        <v>0</v>
      </c>
      <c r="K695" s="2159">
        <v>0</v>
      </c>
      <c r="L695" s="2491">
        <v>0</v>
      </c>
      <c r="M695" s="2161">
        <f t="shared" si="104"/>
        <v>0</v>
      </c>
      <c r="N695" s="1891">
        <f t="shared" si="105"/>
        <v>0</v>
      </c>
      <c r="O695" s="2162">
        <v>0</v>
      </c>
      <c r="P695" s="2132"/>
    </row>
    <row r="696" spans="1:16" s="2070" customFormat="1" ht="5.95" customHeight="1">
      <c r="A696" s="2096"/>
      <c r="B696" s="2096"/>
      <c r="C696" s="2096"/>
      <c r="D696" s="2096"/>
      <c r="E696" s="2096"/>
      <c r="F696" s="2097"/>
      <c r="G696" s="2104"/>
      <c r="H696" s="200"/>
      <c r="I696" s="200"/>
      <c r="J696" s="2282"/>
      <c r="K696" s="2159">
        <v>0</v>
      </c>
      <c r="L696" s="2282"/>
      <c r="M696" s="2161">
        <f t="shared" si="104"/>
        <v>0</v>
      </c>
      <c r="N696" s="1891">
        <f t="shared" si="105"/>
        <v>0</v>
      </c>
      <c r="O696" s="2162">
        <f>N696-K696</f>
        <v>0</v>
      </c>
      <c r="P696" s="2132"/>
    </row>
    <row r="697" spans="1:16" s="2070" customFormat="1">
      <c r="A697" s="2102">
        <v>4</v>
      </c>
      <c r="B697" s="2102">
        <v>1</v>
      </c>
      <c r="C697" s="2102">
        <v>4</v>
      </c>
      <c r="D697" s="2096"/>
      <c r="E697" s="2096"/>
      <c r="F697" s="2097">
        <v>3</v>
      </c>
      <c r="G697" s="2104"/>
      <c r="H697" s="202" t="s">
        <v>71</v>
      </c>
      <c r="I697" s="202"/>
      <c r="J697" s="2283">
        <f>SUM(J698:J702)</f>
        <v>0</v>
      </c>
      <c r="K697" s="2159">
        <v>0</v>
      </c>
      <c r="L697" s="2283">
        <f>SUM(L698:L702)</f>
        <v>1035000</v>
      </c>
      <c r="M697" s="2161">
        <f t="shared" si="104"/>
        <v>1035000</v>
      </c>
      <c r="N697" s="1891">
        <f t="shared" si="105"/>
        <v>1035000</v>
      </c>
      <c r="O697" s="2162">
        <v>0</v>
      </c>
      <c r="P697" s="2132"/>
    </row>
    <row r="698" spans="1:16" s="2070" customFormat="1">
      <c r="A698" s="2102">
        <v>4</v>
      </c>
      <c r="B698" s="2102">
        <v>1</v>
      </c>
      <c r="C698" s="2102">
        <v>4</v>
      </c>
      <c r="D698" s="2102" t="s">
        <v>441</v>
      </c>
      <c r="E698" s="2096"/>
      <c r="F698" s="2097"/>
      <c r="G698" s="2101"/>
      <c r="H698" s="257" t="s">
        <v>50</v>
      </c>
      <c r="I698" s="200" t="s">
        <v>72</v>
      </c>
      <c r="J698" s="1964">
        <f>TARGET!D690</f>
        <v>0</v>
      </c>
      <c r="K698" s="2159">
        <v>0</v>
      </c>
      <c r="L698" s="2160">
        <f>'ALL BULAN'!E695</f>
        <v>0</v>
      </c>
      <c r="M698" s="2161">
        <f t="shared" si="104"/>
        <v>0</v>
      </c>
      <c r="N698" s="1891">
        <f t="shared" si="105"/>
        <v>0</v>
      </c>
      <c r="O698" s="2162">
        <v>0</v>
      </c>
      <c r="P698" s="2132"/>
    </row>
    <row r="699" spans="1:16" s="2070" customFormat="1">
      <c r="A699" s="1902">
        <v>4</v>
      </c>
      <c r="B699" s="1902">
        <v>1</v>
      </c>
      <c r="C699" s="1902" t="s">
        <v>443</v>
      </c>
      <c r="D699" s="1902" t="s">
        <v>444</v>
      </c>
      <c r="E699" s="1902" t="s">
        <v>440</v>
      </c>
      <c r="F699" s="2097"/>
      <c r="G699" s="2101"/>
      <c r="H699" s="257" t="s">
        <v>50</v>
      </c>
      <c r="I699" s="200" t="s">
        <v>73</v>
      </c>
      <c r="J699" s="1964">
        <f>TARGET!D691</f>
        <v>0</v>
      </c>
      <c r="K699" s="2159">
        <v>0</v>
      </c>
      <c r="L699" s="2160">
        <f>'ALL BULAN'!E696</f>
        <v>0</v>
      </c>
      <c r="M699" s="2161">
        <f t="shared" si="104"/>
        <v>0</v>
      </c>
      <c r="N699" s="1891">
        <f t="shared" si="105"/>
        <v>0</v>
      </c>
      <c r="O699" s="2162">
        <v>0</v>
      </c>
      <c r="P699" s="2132"/>
    </row>
    <row r="700" spans="1:16" s="2070" customFormat="1">
      <c r="A700" s="1944">
        <v>4</v>
      </c>
      <c r="B700" s="1944">
        <v>1</v>
      </c>
      <c r="C700" s="1944" t="s">
        <v>443</v>
      </c>
      <c r="D700" s="1944" t="s">
        <v>444</v>
      </c>
      <c r="E700" s="2105" t="s">
        <v>445</v>
      </c>
      <c r="F700" s="2097"/>
      <c r="G700" s="2101"/>
      <c r="H700" s="257" t="s">
        <v>50</v>
      </c>
      <c r="I700" s="200" t="s">
        <v>74</v>
      </c>
      <c r="J700" s="1964">
        <f>TARGET!D692</f>
        <v>0</v>
      </c>
      <c r="K700" s="2159">
        <v>0</v>
      </c>
      <c r="L700" s="2160">
        <f>'ALL BULAN'!E697</f>
        <v>0</v>
      </c>
      <c r="M700" s="2161">
        <f t="shared" si="104"/>
        <v>0</v>
      </c>
      <c r="N700" s="1891">
        <f t="shared" si="105"/>
        <v>0</v>
      </c>
      <c r="O700" s="2162">
        <v>0</v>
      </c>
      <c r="P700" s="2132"/>
    </row>
    <row r="701" spans="1:16" s="2070" customFormat="1">
      <c r="A701" s="1725">
        <v>4</v>
      </c>
      <c r="B701" s="1725">
        <v>1</v>
      </c>
      <c r="C701" s="1725" t="s">
        <v>443</v>
      </c>
      <c r="D701" s="1725" t="s">
        <v>444</v>
      </c>
      <c r="E701" s="1725" t="s">
        <v>441</v>
      </c>
      <c r="F701" s="2097"/>
      <c r="G701" s="2104"/>
      <c r="H701" s="200" t="s">
        <v>308</v>
      </c>
      <c r="I701" s="200" t="s">
        <v>75</v>
      </c>
      <c r="J701" s="1964">
        <f>TARGET!D693</f>
        <v>0</v>
      </c>
      <c r="K701" s="2159">
        <v>0</v>
      </c>
      <c r="L701" s="2160">
        <f>'ALL BULAN'!E698</f>
        <v>0</v>
      </c>
      <c r="M701" s="2161">
        <f t="shared" si="104"/>
        <v>0</v>
      </c>
      <c r="N701" s="1891">
        <f t="shared" si="105"/>
        <v>0</v>
      </c>
      <c r="O701" s="2162">
        <v>0</v>
      </c>
      <c r="P701" s="2132"/>
    </row>
    <row r="702" spans="1:16" s="2070" customFormat="1">
      <c r="A702" s="2114">
        <v>4</v>
      </c>
      <c r="B702" s="2114">
        <v>1</v>
      </c>
      <c r="C702" s="2114" t="s">
        <v>443</v>
      </c>
      <c r="D702" s="2114" t="s">
        <v>447</v>
      </c>
      <c r="E702" s="2125" t="s">
        <v>437</v>
      </c>
      <c r="F702" s="2097"/>
      <c r="G702" s="2104"/>
      <c r="H702" s="2214" t="s">
        <v>50</v>
      </c>
      <c r="I702" s="200" t="s">
        <v>85</v>
      </c>
      <c r="J702" s="1964">
        <f>TARGET!D694</f>
        <v>0</v>
      </c>
      <c r="K702" s="2159">
        <v>0</v>
      </c>
      <c r="L702" s="2160">
        <v>1035000</v>
      </c>
      <c r="M702" s="2161">
        <f t="shared" si="104"/>
        <v>1035000</v>
      </c>
      <c r="N702" s="1891">
        <f t="shared" si="105"/>
        <v>1035000</v>
      </c>
      <c r="O702" s="2162">
        <v>0</v>
      </c>
      <c r="P702" s="2132"/>
    </row>
    <row r="703" spans="1:16" s="2070" customFormat="1" ht="5.35" customHeight="1">
      <c r="A703" s="2096"/>
      <c r="B703" s="2096"/>
      <c r="C703" s="2096"/>
      <c r="D703" s="2096"/>
      <c r="E703" s="2096"/>
      <c r="F703" s="2097"/>
      <c r="G703" s="2199"/>
      <c r="H703" s="2117"/>
      <c r="I703" s="2117"/>
      <c r="J703" s="2310"/>
      <c r="K703" s="2183"/>
      <c r="L703" s="2310"/>
      <c r="M703" s="2311"/>
      <c r="N703" s="2311"/>
      <c r="O703" s="2312"/>
      <c r="P703" s="2132"/>
    </row>
    <row r="704" spans="1:16" s="2073" customFormat="1" ht="15.65">
      <c r="A704" s="2090"/>
      <c r="B704" s="2090"/>
      <c r="C704" s="2090"/>
      <c r="D704" s="2090"/>
      <c r="E704" s="2090"/>
      <c r="F704" s="2091"/>
      <c r="G704" s="2092" t="s">
        <v>392</v>
      </c>
      <c r="H704" s="2093" t="s">
        <v>393</v>
      </c>
      <c r="I704" s="2195"/>
      <c r="J704" s="2306">
        <f>J706+J710</f>
        <v>0</v>
      </c>
      <c r="K704" s="2488">
        <v>0</v>
      </c>
      <c r="L704" s="2306">
        <f>L706+L710</f>
        <v>0</v>
      </c>
      <c r="M704" s="2489">
        <f>SUM(K704:L704)</f>
        <v>0</v>
      </c>
      <c r="N704" s="2147">
        <f>M704-J704</f>
        <v>0</v>
      </c>
      <c r="O704" s="2149">
        <v>0</v>
      </c>
      <c r="P704" s="2150"/>
    </row>
    <row r="705" spans="1:16" s="2070" customFormat="1" ht="3.8" customHeight="1">
      <c r="A705" s="2096"/>
      <c r="B705" s="2096"/>
      <c r="C705" s="2096"/>
      <c r="D705" s="2096"/>
      <c r="E705" s="2096"/>
      <c r="F705" s="2097"/>
      <c r="G705" s="2098"/>
      <c r="H705" s="2438"/>
      <c r="I705" s="2099"/>
      <c r="J705" s="2439"/>
      <c r="K705" s="2152"/>
      <c r="L705" s="2439"/>
      <c r="M705" s="2447"/>
      <c r="N705" s="2447"/>
      <c r="O705" s="2448">
        <v>0</v>
      </c>
      <c r="P705" s="2132"/>
    </row>
    <row r="706" spans="1:16" s="2070" customFormat="1">
      <c r="A706" s="2096"/>
      <c r="B706" s="2096"/>
      <c r="C706" s="2096"/>
      <c r="D706" s="2096"/>
      <c r="E706" s="2096"/>
      <c r="F706" s="2097">
        <v>1</v>
      </c>
      <c r="G706" s="2104"/>
      <c r="H706" s="202" t="s">
        <v>106</v>
      </c>
      <c r="I706" s="202"/>
      <c r="J706" s="2283">
        <f>J707</f>
        <v>0</v>
      </c>
      <c r="K706" s="2159">
        <v>0</v>
      </c>
      <c r="L706" s="2283">
        <f>L707</f>
        <v>0</v>
      </c>
      <c r="M706" s="2161">
        <f t="shared" ref="M706:M715" si="108">SUM(K706:L706)</f>
        <v>0</v>
      </c>
      <c r="N706" s="1891">
        <f t="shared" ref="N706:N715" si="109">M706-J706</f>
        <v>0</v>
      </c>
      <c r="O706" s="2162">
        <v>0</v>
      </c>
      <c r="P706" s="2132"/>
    </row>
    <row r="707" spans="1:16" s="2070" customFormat="1">
      <c r="A707" s="2094">
        <v>4</v>
      </c>
      <c r="B707" s="2094">
        <v>1</v>
      </c>
      <c r="C707" s="2094">
        <v>2</v>
      </c>
      <c r="D707" s="2095" t="s">
        <v>437</v>
      </c>
      <c r="E707" s="2096"/>
      <c r="F707" s="2097"/>
      <c r="G707" s="2104"/>
      <c r="H707" s="200" t="s">
        <v>107</v>
      </c>
      <c r="I707" s="202"/>
      <c r="J707" s="2282">
        <f>J708</f>
        <v>0</v>
      </c>
      <c r="K707" s="2159">
        <v>0</v>
      </c>
      <c r="L707" s="2282">
        <f>L708</f>
        <v>0</v>
      </c>
      <c r="M707" s="2161">
        <f t="shared" si="108"/>
        <v>0</v>
      </c>
      <c r="N707" s="1891">
        <f t="shared" si="109"/>
        <v>0</v>
      </c>
      <c r="O707" s="2162">
        <v>0</v>
      </c>
      <c r="P707" s="2132"/>
    </row>
    <row r="708" spans="1:16" s="2070" customFormat="1">
      <c r="A708" s="2094">
        <v>4</v>
      </c>
      <c r="B708" s="2094">
        <v>1</v>
      </c>
      <c r="C708" s="2094">
        <v>2</v>
      </c>
      <c r="D708" s="2095" t="s">
        <v>437</v>
      </c>
      <c r="E708" s="2105" t="s">
        <v>445</v>
      </c>
      <c r="F708" s="2097"/>
      <c r="G708" s="2104"/>
      <c r="H708" s="200" t="s">
        <v>50</v>
      </c>
      <c r="I708" s="200" t="s">
        <v>394</v>
      </c>
      <c r="J708" s="1964">
        <f>TARGET!D700</f>
        <v>0</v>
      </c>
      <c r="K708" s="2159">
        <v>0</v>
      </c>
      <c r="L708" s="2160">
        <f>'ALL BULAN'!E705</f>
        <v>0</v>
      </c>
      <c r="M708" s="2161">
        <f t="shared" si="108"/>
        <v>0</v>
      </c>
      <c r="N708" s="1891">
        <f t="shared" si="109"/>
        <v>0</v>
      </c>
      <c r="O708" s="2162">
        <v>0</v>
      </c>
      <c r="P708" s="2132"/>
    </row>
    <row r="709" spans="1:16" s="2070" customFormat="1" ht="5.95" customHeight="1">
      <c r="A709" s="2096"/>
      <c r="B709" s="2096"/>
      <c r="C709" s="2096"/>
      <c r="D709" s="2096"/>
      <c r="E709" s="2096"/>
      <c r="F709" s="2097"/>
      <c r="G709" s="2104"/>
      <c r="H709" s="200"/>
      <c r="I709" s="200"/>
      <c r="J709" s="2282"/>
      <c r="K709" s="2159">
        <v>0</v>
      </c>
      <c r="L709" s="2282"/>
      <c r="M709" s="2161">
        <f t="shared" si="108"/>
        <v>0</v>
      </c>
      <c r="N709" s="1891">
        <f t="shared" si="109"/>
        <v>0</v>
      </c>
      <c r="O709" s="2162">
        <f>N709-K709</f>
        <v>0</v>
      </c>
      <c r="P709" s="2132"/>
    </row>
    <row r="710" spans="1:16" s="2070" customFormat="1">
      <c r="A710" s="2102">
        <v>4</v>
      </c>
      <c r="B710" s="2102">
        <v>1</v>
      </c>
      <c r="C710" s="2102">
        <v>4</v>
      </c>
      <c r="D710" s="2096"/>
      <c r="E710" s="2096"/>
      <c r="F710" s="2097">
        <v>3</v>
      </c>
      <c r="G710" s="2104"/>
      <c r="H710" s="202" t="s">
        <v>71</v>
      </c>
      <c r="I710" s="202"/>
      <c r="J710" s="2283">
        <f>SUM(J711:J715)</f>
        <v>0</v>
      </c>
      <c r="K710" s="2159">
        <v>0</v>
      </c>
      <c r="L710" s="2283">
        <f>SUM(L711:L715)</f>
        <v>0</v>
      </c>
      <c r="M710" s="2161">
        <f t="shared" si="108"/>
        <v>0</v>
      </c>
      <c r="N710" s="1891">
        <f t="shared" si="109"/>
        <v>0</v>
      </c>
      <c r="O710" s="2162">
        <v>0</v>
      </c>
      <c r="P710" s="2132"/>
    </row>
    <row r="711" spans="1:16" s="2070" customFormat="1">
      <c r="A711" s="2102">
        <v>4</v>
      </c>
      <c r="B711" s="2102">
        <v>1</v>
      </c>
      <c r="C711" s="2102">
        <v>4</v>
      </c>
      <c r="D711" s="2102" t="s">
        <v>441</v>
      </c>
      <c r="E711" s="2096"/>
      <c r="F711" s="2097"/>
      <c r="G711" s="2101"/>
      <c r="H711" s="257" t="s">
        <v>50</v>
      </c>
      <c r="I711" s="200" t="s">
        <v>72</v>
      </c>
      <c r="J711" s="1964">
        <f>TARGET!D703</f>
        <v>0</v>
      </c>
      <c r="K711" s="2159">
        <v>0</v>
      </c>
      <c r="L711" s="2160">
        <f>'ALL BULAN'!E708</f>
        <v>0</v>
      </c>
      <c r="M711" s="2161">
        <f t="shared" si="108"/>
        <v>0</v>
      </c>
      <c r="N711" s="1891">
        <f t="shared" si="109"/>
        <v>0</v>
      </c>
      <c r="O711" s="2162">
        <v>0</v>
      </c>
      <c r="P711" s="2132"/>
    </row>
    <row r="712" spans="1:16" s="2070" customFormat="1">
      <c r="A712" s="1902">
        <v>4</v>
      </c>
      <c r="B712" s="1902">
        <v>1</v>
      </c>
      <c r="C712" s="1902" t="s">
        <v>443</v>
      </c>
      <c r="D712" s="1902" t="s">
        <v>444</v>
      </c>
      <c r="E712" s="1902" t="s">
        <v>440</v>
      </c>
      <c r="F712" s="2097"/>
      <c r="G712" s="2101"/>
      <c r="H712" s="257" t="s">
        <v>50</v>
      </c>
      <c r="I712" s="200" t="s">
        <v>73</v>
      </c>
      <c r="J712" s="1964">
        <f>TARGET!D704</f>
        <v>0</v>
      </c>
      <c r="K712" s="2159">
        <v>0</v>
      </c>
      <c r="L712" s="2160">
        <f>'ALL BULAN'!E709</f>
        <v>0</v>
      </c>
      <c r="M712" s="2161">
        <f t="shared" si="108"/>
        <v>0</v>
      </c>
      <c r="N712" s="1891">
        <f t="shared" si="109"/>
        <v>0</v>
      </c>
      <c r="O712" s="2162">
        <v>0</v>
      </c>
      <c r="P712" s="2132"/>
    </row>
    <row r="713" spans="1:16" s="2070" customFormat="1">
      <c r="A713" s="1944">
        <v>4</v>
      </c>
      <c r="B713" s="1944">
        <v>1</v>
      </c>
      <c r="C713" s="1944" t="s">
        <v>443</v>
      </c>
      <c r="D713" s="1944" t="s">
        <v>444</v>
      </c>
      <c r="E713" s="2105" t="s">
        <v>445</v>
      </c>
      <c r="F713" s="2097"/>
      <c r="G713" s="2101"/>
      <c r="H713" s="257" t="s">
        <v>50</v>
      </c>
      <c r="I713" s="200" t="s">
        <v>74</v>
      </c>
      <c r="J713" s="1964">
        <f>TARGET!D705</f>
        <v>0</v>
      </c>
      <c r="K713" s="2159">
        <v>0</v>
      </c>
      <c r="L713" s="2160">
        <f>'ALL BULAN'!E710</f>
        <v>0</v>
      </c>
      <c r="M713" s="2161">
        <f t="shared" si="108"/>
        <v>0</v>
      </c>
      <c r="N713" s="1891">
        <f t="shared" si="109"/>
        <v>0</v>
      </c>
      <c r="O713" s="2162">
        <v>0</v>
      </c>
      <c r="P713" s="2132"/>
    </row>
    <row r="714" spans="1:16" s="2070" customFormat="1">
      <c r="A714" s="1725">
        <v>4</v>
      </c>
      <c r="B714" s="1725">
        <v>1</v>
      </c>
      <c r="C714" s="1725" t="s">
        <v>443</v>
      </c>
      <c r="D714" s="1725" t="s">
        <v>444</v>
      </c>
      <c r="E714" s="1725" t="s">
        <v>441</v>
      </c>
      <c r="F714" s="2097"/>
      <c r="G714" s="2104"/>
      <c r="H714" s="200" t="s">
        <v>308</v>
      </c>
      <c r="I714" s="200" t="s">
        <v>75</v>
      </c>
      <c r="J714" s="1964">
        <f>TARGET!D706</f>
        <v>0</v>
      </c>
      <c r="K714" s="2159">
        <v>0</v>
      </c>
      <c r="L714" s="2160">
        <f>'ALL BULAN'!E711</f>
        <v>0</v>
      </c>
      <c r="M714" s="2161">
        <f t="shared" si="108"/>
        <v>0</v>
      </c>
      <c r="N714" s="1891">
        <f t="shared" si="109"/>
        <v>0</v>
      </c>
      <c r="O714" s="2162">
        <v>0</v>
      </c>
      <c r="P714" s="2132"/>
    </row>
    <row r="715" spans="1:16" s="2070" customFormat="1">
      <c r="A715" s="2114">
        <v>4</v>
      </c>
      <c r="B715" s="2114">
        <v>1</v>
      </c>
      <c r="C715" s="2114" t="s">
        <v>443</v>
      </c>
      <c r="D715" s="2114" t="s">
        <v>447</v>
      </c>
      <c r="E715" s="2125" t="s">
        <v>437</v>
      </c>
      <c r="F715" s="2097"/>
      <c r="G715" s="2104"/>
      <c r="H715" s="2214" t="s">
        <v>50</v>
      </c>
      <c r="I715" s="200" t="s">
        <v>85</v>
      </c>
      <c r="J715" s="1964">
        <f>TARGET!D707</f>
        <v>0</v>
      </c>
      <c r="K715" s="2159">
        <v>0</v>
      </c>
      <c r="L715" s="2160">
        <f>'ALL BULAN'!E712</f>
        <v>0</v>
      </c>
      <c r="M715" s="2161">
        <f t="shared" si="108"/>
        <v>0</v>
      </c>
      <c r="N715" s="1891">
        <f t="shared" si="109"/>
        <v>0</v>
      </c>
      <c r="O715" s="2162">
        <v>0</v>
      </c>
      <c r="P715" s="2132"/>
    </row>
    <row r="716" spans="1:16" s="2070" customFormat="1" ht="5.35" customHeight="1">
      <c r="A716" s="2096"/>
      <c r="B716" s="2096"/>
      <c r="C716" s="2096"/>
      <c r="D716" s="2096"/>
      <c r="E716" s="2096"/>
      <c r="F716" s="2097"/>
      <c r="G716" s="2199"/>
      <c r="H716" s="2117"/>
      <c r="I716" s="2117"/>
      <c r="J716" s="2310"/>
      <c r="K716" s="2183"/>
      <c r="L716" s="2310"/>
      <c r="M716" s="2311"/>
      <c r="N716" s="2311"/>
      <c r="O716" s="2312"/>
      <c r="P716" s="2132"/>
    </row>
    <row r="717" spans="1:16" s="2070" customFormat="1" ht="15.65">
      <c r="A717" s="2096"/>
      <c r="B717" s="2096"/>
      <c r="C717" s="2096"/>
      <c r="D717" s="2096"/>
      <c r="E717" s="2096"/>
      <c r="F717" s="2097"/>
      <c r="G717" s="2092" t="s">
        <v>396</v>
      </c>
      <c r="H717" s="2492" t="s">
        <v>397</v>
      </c>
      <c r="I717" s="2195"/>
      <c r="J717" s="2306">
        <f>SUM(J719)</f>
        <v>0</v>
      </c>
      <c r="K717" s="2488">
        <v>0</v>
      </c>
      <c r="L717" s="2306">
        <f>SUM(L719)</f>
        <v>0</v>
      </c>
      <c r="M717" s="2489">
        <f>SUM(K717:L717)</f>
        <v>0</v>
      </c>
      <c r="N717" s="2147">
        <f>M717-J717</f>
        <v>0</v>
      </c>
      <c r="O717" s="2149">
        <v>0</v>
      </c>
      <c r="P717" s="2132"/>
    </row>
    <row r="718" spans="1:16" s="2070" customFormat="1" ht="4.55" customHeight="1">
      <c r="A718" s="2096"/>
      <c r="B718" s="2096"/>
      <c r="C718" s="2096"/>
      <c r="D718" s="2096"/>
      <c r="E718" s="2096"/>
      <c r="F718" s="2097"/>
      <c r="G718" s="2098"/>
      <c r="H718" s="2438"/>
      <c r="I718" s="2438"/>
      <c r="J718" s="2439"/>
      <c r="K718" s="2152"/>
      <c r="L718" s="2439"/>
      <c r="M718" s="2447"/>
      <c r="N718" s="2447"/>
      <c r="O718" s="2448"/>
      <c r="P718" s="2132"/>
    </row>
    <row r="719" spans="1:16" s="2070" customFormat="1">
      <c r="A719" s="2102">
        <v>4</v>
      </c>
      <c r="B719" s="2102">
        <v>1</v>
      </c>
      <c r="C719" s="2102">
        <v>4</v>
      </c>
      <c r="D719" s="2096"/>
      <c r="E719" s="2096"/>
      <c r="F719" s="2097">
        <v>3</v>
      </c>
      <c r="G719" s="2104"/>
      <c r="H719" s="202" t="s">
        <v>71</v>
      </c>
      <c r="I719" s="202"/>
      <c r="J719" s="2307">
        <f>SUM(J720:J724)</f>
        <v>0</v>
      </c>
      <c r="K719" s="2159">
        <v>0</v>
      </c>
      <c r="L719" s="2307">
        <f>SUM(L720:L724)</f>
        <v>0</v>
      </c>
      <c r="M719" s="2161">
        <f t="shared" ref="M719:M724" si="110">SUM(K719:L719)</f>
        <v>0</v>
      </c>
      <c r="N719" s="1891">
        <f t="shared" ref="N719:N724" si="111">M719-J719</f>
        <v>0</v>
      </c>
      <c r="O719" s="2162">
        <v>0</v>
      </c>
      <c r="P719" s="2132"/>
    </row>
    <row r="720" spans="1:16" s="2070" customFormat="1">
      <c r="A720" s="2102">
        <v>4</v>
      </c>
      <c r="B720" s="2102">
        <v>1</v>
      </c>
      <c r="C720" s="2102">
        <v>4</v>
      </c>
      <c r="D720" s="2102" t="s">
        <v>441</v>
      </c>
      <c r="E720" s="2096"/>
      <c r="F720" s="2097"/>
      <c r="G720" s="2101"/>
      <c r="H720" s="257" t="s">
        <v>50</v>
      </c>
      <c r="I720" s="200" t="s">
        <v>72</v>
      </c>
      <c r="J720" s="1964">
        <f>TARGET!D712</f>
        <v>0</v>
      </c>
      <c r="K720" s="2159">
        <v>0</v>
      </c>
      <c r="L720" s="2160">
        <f>'ALL BULAN'!E717</f>
        <v>0</v>
      </c>
      <c r="M720" s="2161">
        <f t="shared" si="110"/>
        <v>0</v>
      </c>
      <c r="N720" s="1891">
        <f t="shared" si="111"/>
        <v>0</v>
      </c>
      <c r="O720" s="2162">
        <v>0</v>
      </c>
      <c r="P720" s="2132"/>
    </row>
    <row r="721" spans="1:16" s="2070" customFormat="1">
      <c r="A721" s="1902">
        <v>4</v>
      </c>
      <c r="B721" s="1902">
        <v>1</v>
      </c>
      <c r="C721" s="1902" t="s">
        <v>443</v>
      </c>
      <c r="D721" s="1902" t="s">
        <v>444</v>
      </c>
      <c r="E721" s="1902" t="s">
        <v>440</v>
      </c>
      <c r="F721" s="2097"/>
      <c r="G721" s="2101"/>
      <c r="H721" s="257" t="s">
        <v>50</v>
      </c>
      <c r="I721" s="200" t="s">
        <v>73</v>
      </c>
      <c r="J721" s="1964">
        <f>TARGET!D713</f>
        <v>0</v>
      </c>
      <c r="K721" s="2159">
        <v>0</v>
      </c>
      <c r="L721" s="2160">
        <f>'ALL BULAN'!E718</f>
        <v>0</v>
      </c>
      <c r="M721" s="2161">
        <f t="shared" si="110"/>
        <v>0</v>
      </c>
      <c r="N721" s="1891">
        <f t="shared" si="111"/>
        <v>0</v>
      </c>
      <c r="O721" s="2162">
        <v>0</v>
      </c>
      <c r="P721" s="2132"/>
    </row>
    <row r="722" spans="1:16" s="2070" customFormat="1">
      <c r="A722" s="1944">
        <v>4</v>
      </c>
      <c r="B722" s="1944">
        <v>1</v>
      </c>
      <c r="C722" s="1944" t="s">
        <v>443</v>
      </c>
      <c r="D722" s="1944" t="s">
        <v>444</v>
      </c>
      <c r="E722" s="2105" t="s">
        <v>445</v>
      </c>
      <c r="F722" s="2097"/>
      <c r="G722" s="2101"/>
      <c r="H722" s="257" t="s">
        <v>50</v>
      </c>
      <c r="I722" s="200" t="s">
        <v>74</v>
      </c>
      <c r="J722" s="1964">
        <f>TARGET!D714</f>
        <v>0</v>
      </c>
      <c r="K722" s="2159">
        <v>0</v>
      </c>
      <c r="L722" s="2160">
        <f>'ALL BULAN'!E719</f>
        <v>0</v>
      </c>
      <c r="M722" s="2161">
        <f t="shared" si="110"/>
        <v>0</v>
      </c>
      <c r="N722" s="1891">
        <f t="shared" si="111"/>
        <v>0</v>
      </c>
      <c r="O722" s="2162">
        <v>0</v>
      </c>
      <c r="P722" s="2132"/>
    </row>
    <row r="723" spans="1:16" s="2070" customFormat="1">
      <c r="A723" s="1725">
        <v>4</v>
      </c>
      <c r="B723" s="1725">
        <v>1</v>
      </c>
      <c r="C723" s="1725" t="s">
        <v>443</v>
      </c>
      <c r="D723" s="1725" t="s">
        <v>444</v>
      </c>
      <c r="E723" s="1725" t="s">
        <v>441</v>
      </c>
      <c r="F723" s="2097"/>
      <c r="G723" s="2101"/>
      <c r="H723" s="200" t="s">
        <v>308</v>
      </c>
      <c r="I723" s="200" t="s">
        <v>75</v>
      </c>
      <c r="J723" s="1964">
        <f>TARGET!D715</f>
        <v>0</v>
      </c>
      <c r="K723" s="2159">
        <v>0</v>
      </c>
      <c r="L723" s="2160">
        <f>'ALL BULAN'!E720</f>
        <v>0</v>
      </c>
      <c r="M723" s="2161">
        <f t="shared" si="110"/>
        <v>0</v>
      </c>
      <c r="N723" s="1891">
        <f t="shared" si="111"/>
        <v>0</v>
      </c>
      <c r="O723" s="2162">
        <v>0</v>
      </c>
      <c r="P723" s="2132"/>
    </row>
    <row r="724" spans="1:16" s="2070" customFormat="1">
      <c r="A724" s="2114">
        <v>4</v>
      </c>
      <c r="B724" s="2114">
        <v>1</v>
      </c>
      <c r="C724" s="2114" t="s">
        <v>443</v>
      </c>
      <c r="D724" s="2114" t="s">
        <v>447</v>
      </c>
      <c r="E724" s="2125" t="s">
        <v>437</v>
      </c>
      <c r="F724" s="2097"/>
      <c r="G724" s="2251"/>
      <c r="H724" s="2214" t="s">
        <v>50</v>
      </c>
      <c r="I724" s="200" t="s">
        <v>85</v>
      </c>
      <c r="J724" s="1964">
        <f>TARGET!D716</f>
        <v>0</v>
      </c>
      <c r="K724" s="2159">
        <v>0</v>
      </c>
      <c r="L724" s="2160">
        <f>'ALL BULAN'!E721</f>
        <v>0</v>
      </c>
      <c r="M724" s="2161">
        <f t="shared" si="110"/>
        <v>0</v>
      </c>
      <c r="N724" s="1891">
        <f t="shared" si="111"/>
        <v>0</v>
      </c>
      <c r="O724" s="2162">
        <v>0</v>
      </c>
      <c r="P724" s="2132"/>
    </row>
    <row r="725" spans="1:16" s="2070" customFormat="1" ht="5.95" customHeight="1">
      <c r="A725" s="2096"/>
      <c r="B725" s="2096"/>
      <c r="C725" s="2096"/>
      <c r="D725" s="2096"/>
      <c r="E725" s="2096"/>
      <c r="F725" s="2097"/>
      <c r="G725" s="2280"/>
      <c r="H725" s="257"/>
      <c r="I725" s="257"/>
      <c r="J725" s="2494"/>
      <c r="K725" s="2495"/>
      <c r="L725" s="2494"/>
      <c r="M725" s="2496"/>
      <c r="N725" s="2496"/>
      <c r="O725" s="2497"/>
      <c r="P725" s="2132"/>
    </row>
    <row r="726" spans="1:16" s="2073" customFormat="1" ht="15.65">
      <c r="A726" s="2090"/>
      <c r="B726" s="2090"/>
      <c r="C726" s="2090"/>
      <c r="D726" s="2090"/>
      <c r="E726" s="2090"/>
      <c r="F726" s="2091"/>
      <c r="G726" s="2092" t="s">
        <v>398</v>
      </c>
      <c r="H726" s="2093" t="s">
        <v>399</v>
      </c>
      <c r="I726" s="2195"/>
      <c r="J726" s="2306">
        <f>SUM(J728)</f>
        <v>0</v>
      </c>
      <c r="K726" s="2488">
        <v>0</v>
      </c>
      <c r="L726" s="2306">
        <f>SUM(L728)</f>
        <v>0</v>
      </c>
      <c r="M726" s="2489">
        <f>SUM(K726:L726)</f>
        <v>0</v>
      </c>
      <c r="N726" s="2147">
        <f>M726-J726</f>
        <v>0</v>
      </c>
      <c r="O726" s="2149">
        <v>0</v>
      </c>
      <c r="P726" s="2150"/>
    </row>
    <row r="727" spans="1:16" s="2070" customFormat="1" ht="5.95" customHeight="1">
      <c r="A727" s="2096"/>
      <c r="B727" s="2096"/>
      <c r="C727" s="2096"/>
      <c r="D727" s="2096"/>
      <c r="E727" s="2096"/>
      <c r="F727" s="2097"/>
      <c r="G727" s="2098"/>
      <c r="H727" s="2438"/>
      <c r="I727" s="2438"/>
      <c r="J727" s="2439"/>
      <c r="K727" s="2152"/>
      <c r="L727" s="2439"/>
      <c r="M727" s="2447"/>
      <c r="N727" s="2447"/>
      <c r="O727" s="2448"/>
      <c r="P727" s="2132"/>
    </row>
    <row r="728" spans="1:16" s="2070" customFormat="1">
      <c r="A728" s="2102">
        <v>4</v>
      </c>
      <c r="B728" s="2102">
        <v>1</v>
      </c>
      <c r="C728" s="2102">
        <v>4</v>
      </c>
      <c r="D728" s="2096"/>
      <c r="E728" s="2096"/>
      <c r="F728" s="2097">
        <v>3</v>
      </c>
      <c r="G728" s="2104"/>
      <c r="H728" s="202" t="s">
        <v>71</v>
      </c>
      <c r="I728" s="202"/>
      <c r="J728" s="2307">
        <f>SUM(J729:J733)</f>
        <v>0</v>
      </c>
      <c r="K728" s="2159">
        <v>0</v>
      </c>
      <c r="L728" s="2307">
        <f>SUM(L729:L733)</f>
        <v>0</v>
      </c>
      <c r="M728" s="2161">
        <f t="shared" ref="M728:M733" si="112">SUM(K728:L728)</f>
        <v>0</v>
      </c>
      <c r="N728" s="1891">
        <f t="shared" ref="N728:N733" si="113">M728-J728</f>
        <v>0</v>
      </c>
      <c r="O728" s="2162">
        <v>0</v>
      </c>
      <c r="P728" s="2132"/>
    </row>
    <row r="729" spans="1:16" s="2070" customFormat="1">
      <c r="A729" s="2102">
        <v>4</v>
      </c>
      <c r="B729" s="2102">
        <v>1</v>
      </c>
      <c r="C729" s="2102">
        <v>4</v>
      </c>
      <c r="D729" s="2102" t="s">
        <v>441</v>
      </c>
      <c r="E729" s="2096"/>
      <c r="F729" s="2097"/>
      <c r="G729" s="2101"/>
      <c r="H729" s="257" t="s">
        <v>50</v>
      </c>
      <c r="I729" s="200" t="s">
        <v>72</v>
      </c>
      <c r="J729" s="1964">
        <f>TARGET!D721</f>
        <v>0</v>
      </c>
      <c r="K729" s="2159">
        <v>0</v>
      </c>
      <c r="L729" s="2160">
        <f>'ALL BULAN'!E726</f>
        <v>0</v>
      </c>
      <c r="M729" s="2161">
        <f t="shared" si="112"/>
        <v>0</v>
      </c>
      <c r="N729" s="1891">
        <f t="shared" si="113"/>
        <v>0</v>
      </c>
      <c r="O729" s="2162">
        <v>0</v>
      </c>
      <c r="P729" s="2132"/>
    </row>
    <row r="730" spans="1:16" s="2070" customFormat="1">
      <c r="A730" s="1902">
        <v>4</v>
      </c>
      <c r="B730" s="1902">
        <v>1</v>
      </c>
      <c r="C730" s="1902" t="s">
        <v>443</v>
      </c>
      <c r="D730" s="1902" t="s">
        <v>444</v>
      </c>
      <c r="E730" s="1902" t="s">
        <v>440</v>
      </c>
      <c r="F730" s="2097"/>
      <c r="G730" s="2101"/>
      <c r="H730" s="257" t="s">
        <v>50</v>
      </c>
      <c r="I730" s="200" t="s">
        <v>73</v>
      </c>
      <c r="J730" s="1964">
        <f>TARGET!D722</f>
        <v>0</v>
      </c>
      <c r="K730" s="2159">
        <v>0</v>
      </c>
      <c r="L730" s="2160">
        <f>'ALL BULAN'!E727</f>
        <v>0</v>
      </c>
      <c r="M730" s="2161">
        <f t="shared" si="112"/>
        <v>0</v>
      </c>
      <c r="N730" s="1891">
        <f t="shared" si="113"/>
        <v>0</v>
      </c>
      <c r="O730" s="2162">
        <v>0</v>
      </c>
      <c r="P730" s="2132"/>
    </row>
    <row r="731" spans="1:16" s="2070" customFormat="1">
      <c r="A731" s="1944">
        <v>4</v>
      </c>
      <c r="B731" s="1944">
        <v>1</v>
      </c>
      <c r="C731" s="1944" t="s">
        <v>443</v>
      </c>
      <c r="D731" s="1944" t="s">
        <v>444</v>
      </c>
      <c r="E731" s="2105" t="s">
        <v>445</v>
      </c>
      <c r="F731" s="2097"/>
      <c r="G731" s="2101"/>
      <c r="H731" s="257" t="s">
        <v>50</v>
      </c>
      <c r="I731" s="200" t="s">
        <v>74</v>
      </c>
      <c r="J731" s="1964">
        <f>TARGET!D723</f>
        <v>0</v>
      </c>
      <c r="K731" s="2159">
        <v>0</v>
      </c>
      <c r="L731" s="2160">
        <f>'ALL BULAN'!E728</f>
        <v>0</v>
      </c>
      <c r="M731" s="2161">
        <f t="shared" si="112"/>
        <v>0</v>
      </c>
      <c r="N731" s="1891">
        <f t="shared" si="113"/>
        <v>0</v>
      </c>
      <c r="O731" s="2162">
        <v>0</v>
      </c>
      <c r="P731" s="2132"/>
    </row>
    <row r="732" spans="1:16" s="2070" customFormat="1">
      <c r="A732" s="1725">
        <v>4</v>
      </c>
      <c r="B732" s="1725">
        <v>1</v>
      </c>
      <c r="C732" s="1725" t="s">
        <v>443</v>
      </c>
      <c r="D732" s="1725" t="s">
        <v>444</v>
      </c>
      <c r="E732" s="1725" t="s">
        <v>441</v>
      </c>
      <c r="F732" s="2097"/>
      <c r="G732" s="2101"/>
      <c r="H732" s="200" t="s">
        <v>308</v>
      </c>
      <c r="I732" s="200" t="s">
        <v>75</v>
      </c>
      <c r="J732" s="1964">
        <f>TARGET!D724</f>
        <v>0</v>
      </c>
      <c r="K732" s="2159">
        <v>0</v>
      </c>
      <c r="L732" s="2160">
        <f>'ALL BULAN'!E729</f>
        <v>0</v>
      </c>
      <c r="M732" s="2161">
        <f t="shared" si="112"/>
        <v>0</v>
      </c>
      <c r="N732" s="1891">
        <f t="shared" si="113"/>
        <v>0</v>
      </c>
      <c r="O732" s="2162">
        <v>0</v>
      </c>
      <c r="P732" s="2132"/>
    </row>
    <row r="733" spans="1:16" s="2070" customFormat="1">
      <c r="A733" s="2114">
        <v>4</v>
      </c>
      <c r="B733" s="2114">
        <v>1</v>
      </c>
      <c r="C733" s="2114" t="s">
        <v>443</v>
      </c>
      <c r="D733" s="2114" t="s">
        <v>447</v>
      </c>
      <c r="E733" s="2125" t="s">
        <v>437</v>
      </c>
      <c r="F733" s="2097"/>
      <c r="G733" s="2251"/>
      <c r="H733" s="2214" t="s">
        <v>50</v>
      </c>
      <c r="I733" s="200" t="s">
        <v>85</v>
      </c>
      <c r="J733" s="1964">
        <f>TARGET!D725</f>
        <v>0</v>
      </c>
      <c r="K733" s="2159">
        <v>0</v>
      </c>
      <c r="L733" s="2160">
        <f>'ALL BULAN'!E730</f>
        <v>0</v>
      </c>
      <c r="M733" s="2161">
        <f t="shared" si="112"/>
        <v>0</v>
      </c>
      <c r="N733" s="1891">
        <f t="shared" si="113"/>
        <v>0</v>
      </c>
      <c r="O733" s="2162">
        <v>0</v>
      </c>
      <c r="P733" s="2132"/>
    </row>
    <row r="734" spans="1:16" s="2070" customFormat="1" ht="5.35" customHeight="1">
      <c r="A734" s="2096"/>
      <c r="B734" s="2096"/>
      <c r="C734" s="2096"/>
      <c r="D734" s="2096"/>
      <c r="E734" s="2096"/>
      <c r="F734" s="2097"/>
      <c r="G734" s="2280"/>
      <c r="H734" s="257"/>
      <c r="I734" s="257"/>
      <c r="J734" s="2314"/>
      <c r="K734" s="2220"/>
      <c r="L734" s="2314"/>
      <c r="M734" s="2315"/>
      <c r="N734" s="2315"/>
      <c r="O734" s="2316"/>
      <c r="P734" s="2132"/>
    </row>
    <row r="735" spans="1:16" s="2073" customFormat="1" ht="15.65">
      <c r="A735" s="2090"/>
      <c r="B735" s="2090"/>
      <c r="C735" s="2090"/>
      <c r="D735" s="2090"/>
      <c r="E735" s="2090"/>
      <c r="F735" s="2091"/>
      <c r="G735" s="2092" t="s">
        <v>400</v>
      </c>
      <c r="H735" s="2493" t="s">
        <v>401</v>
      </c>
      <c r="I735" s="2195"/>
      <c r="J735" s="2306">
        <f>SUM(J737)</f>
        <v>0</v>
      </c>
      <c r="K735" s="2488">
        <v>0</v>
      </c>
      <c r="L735" s="2306">
        <f>SUM(L737)</f>
        <v>0</v>
      </c>
      <c r="M735" s="2489">
        <f>SUM(K735:L735)</f>
        <v>0</v>
      </c>
      <c r="N735" s="2147">
        <f>M735-J735</f>
        <v>0</v>
      </c>
      <c r="O735" s="2149">
        <v>0</v>
      </c>
      <c r="P735" s="2150"/>
    </row>
    <row r="736" spans="1:16" s="2070" customFormat="1" ht="3.8" customHeight="1">
      <c r="A736" s="2096"/>
      <c r="B736" s="2096"/>
      <c r="C736" s="2096"/>
      <c r="D736" s="2096"/>
      <c r="E736" s="2096"/>
      <c r="F736" s="2097"/>
      <c r="G736" s="2104"/>
      <c r="H736" s="224"/>
      <c r="I736" s="200"/>
      <c r="J736" s="2455"/>
      <c r="K736" s="2255"/>
      <c r="L736" s="2455"/>
      <c r="M736" s="2307"/>
      <c r="N736" s="2307"/>
      <c r="O736" s="2498"/>
      <c r="P736" s="2132"/>
    </row>
    <row r="737" spans="1:16" s="2070" customFormat="1">
      <c r="A737" s="2102">
        <v>4</v>
      </c>
      <c r="B737" s="2102">
        <v>1</v>
      </c>
      <c r="C737" s="2102">
        <v>4</v>
      </c>
      <c r="D737" s="2096"/>
      <c r="E737" s="2096"/>
      <c r="F737" s="2097">
        <v>3</v>
      </c>
      <c r="G737" s="2104"/>
      <c r="H737" s="202" t="s">
        <v>71</v>
      </c>
      <c r="I737" s="202"/>
      <c r="J737" s="2307">
        <f>SUM(J738:J742)</f>
        <v>0</v>
      </c>
      <c r="K737" s="2159">
        <v>0</v>
      </c>
      <c r="L737" s="2307">
        <f>SUM(L738:L742)</f>
        <v>0</v>
      </c>
      <c r="M737" s="2161">
        <f t="shared" ref="M737:M742" si="114">SUM(K737:L737)</f>
        <v>0</v>
      </c>
      <c r="N737" s="1891">
        <f t="shared" ref="N737:N742" si="115">M737-J737</f>
        <v>0</v>
      </c>
      <c r="O737" s="2162">
        <v>0</v>
      </c>
      <c r="P737" s="2132"/>
    </row>
    <row r="738" spans="1:16" s="2070" customFormat="1">
      <c r="A738" s="2102">
        <v>4</v>
      </c>
      <c r="B738" s="2102">
        <v>1</v>
      </c>
      <c r="C738" s="2102">
        <v>4</v>
      </c>
      <c r="D738" s="2102" t="s">
        <v>441</v>
      </c>
      <c r="E738" s="2096"/>
      <c r="F738" s="2097"/>
      <c r="G738" s="2101"/>
      <c r="H738" s="257" t="s">
        <v>50</v>
      </c>
      <c r="I738" s="200" t="s">
        <v>72</v>
      </c>
      <c r="J738" s="1964">
        <f>TARGET!D730</f>
        <v>0</v>
      </c>
      <c r="K738" s="2159">
        <v>0</v>
      </c>
      <c r="L738" s="2160">
        <f>'ALL BULAN'!E735</f>
        <v>0</v>
      </c>
      <c r="M738" s="2161">
        <f t="shared" si="114"/>
        <v>0</v>
      </c>
      <c r="N738" s="1891">
        <f t="shared" si="115"/>
        <v>0</v>
      </c>
      <c r="O738" s="2162">
        <v>0</v>
      </c>
      <c r="P738" s="2132"/>
    </row>
    <row r="739" spans="1:16" s="2070" customFormat="1">
      <c r="A739" s="1902">
        <v>4</v>
      </c>
      <c r="B739" s="1902">
        <v>1</v>
      </c>
      <c r="C739" s="1902" t="s">
        <v>443</v>
      </c>
      <c r="D739" s="1902" t="s">
        <v>444</v>
      </c>
      <c r="E739" s="1902" t="s">
        <v>440</v>
      </c>
      <c r="F739" s="2097"/>
      <c r="G739" s="2101"/>
      <c r="H739" s="257" t="s">
        <v>50</v>
      </c>
      <c r="I739" s="200" t="s">
        <v>73</v>
      </c>
      <c r="J739" s="1964">
        <f>TARGET!D731</f>
        <v>0</v>
      </c>
      <c r="K739" s="2159">
        <v>0</v>
      </c>
      <c r="L739" s="2160">
        <f>'ALL BULAN'!E736</f>
        <v>0</v>
      </c>
      <c r="M739" s="2161">
        <f t="shared" si="114"/>
        <v>0</v>
      </c>
      <c r="N739" s="1891">
        <f t="shared" si="115"/>
        <v>0</v>
      </c>
      <c r="O739" s="2162">
        <v>0</v>
      </c>
      <c r="P739" s="2132"/>
    </row>
    <row r="740" spans="1:16" s="2070" customFormat="1">
      <c r="A740" s="1944">
        <v>4</v>
      </c>
      <c r="B740" s="1944">
        <v>1</v>
      </c>
      <c r="C740" s="1944" t="s">
        <v>443</v>
      </c>
      <c r="D740" s="1944" t="s">
        <v>444</v>
      </c>
      <c r="E740" s="2105" t="s">
        <v>445</v>
      </c>
      <c r="F740" s="2097"/>
      <c r="G740" s="2101"/>
      <c r="H740" s="257" t="s">
        <v>50</v>
      </c>
      <c r="I740" s="200" t="s">
        <v>74</v>
      </c>
      <c r="J740" s="1964">
        <f>TARGET!D732</f>
        <v>0</v>
      </c>
      <c r="K740" s="2159">
        <v>0</v>
      </c>
      <c r="L740" s="2160">
        <f>'ALL BULAN'!E737</f>
        <v>0</v>
      </c>
      <c r="M740" s="2161">
        <f t="shared" si="114"/>
        <v>0</v>
      </c>
      <c r="N740" s="1891">
        <f t="shared" si="115"/>
        <v>0</v>
      </c>
      <c r="O740" s="2162">
        <v>0</v>
      </c>
      <c r="P740" s="2132"/>
    </row>
    <row r="741" spans="1:16" s="2070" customFormat="1">
      <c r="A741" s="1725">
        <v>4</v>
      </c>
      <c r="B741" s="1725">
        <v>1</v>
      </c>
      <c r="C741" s="1725" t="s">
        <v>443</v>
      </c>
      <c r="D741" s="1725" t="s">
        <v>444</v>
      </c>
      <c r="E741" s="1725" t="s">
        <v>441</v>
      </c>
      <c r="F741" s="2097"/>
      <c r="G741" s="2101"/>
      <c r="H741" s="200" t="s">
        <v>308</v>
      </c>
      <c r="I741" s="200" t="s">
        <v>75</v>
      </c>
      <c r="J741" s="1964">
        <f>TARGET!D733</f>
        <v>0</v>
      </c>
      <c r="K741" s="2159">
        <v>0</v>
      </c>
      <c r="L741" s="2160">
        <f>'ALL BULAN'!E738</f>
        <v>0</v>
      </c>
      <c r="M741" s="2161">
        <f t="shared" si="114"/>
        <v>0</v>
      </c>
      <c r="N741" s="1891">
        <f t="shared" si="115"/>
        <v>0</v>
      </c>
      <c r="O741" s="2162">
        <v>0</v>
      </c>
      <c r="P741" s="2132"/>
    </row>
    <row r="742" spans="1:16" s="2070" customFormat="1">
      <c r="A742" s="2114">
        <v>4</v>
      </c>
      <c r="B742" s="2114">
        <v>1</v>
      </c>
      <c r="C742" s="2114" t="s">
        <v>443</v>
      </c>
      <c r="D742" s="2114" t="s">
        <v>447</v>
      </c>
      <c r="E742" s="2125" t="s">
        <v>437</v>
      </c>
      <c r="F742" s="2097"/>
      <c r="G742" s="2115"/>
      <c r="H742" s="2214" t="s">
        <v>50</v>
      </c>
      <c r="I742" s="200" t="s">
        <v>85</v>
      </c>
      <c r="J742" s="1964">
        <f>TARGET!D734</f>
        <v>0</v>
      </c>
      <c r="K742" s="2159">
        <v>0</v>
      </c>
      <c r="L742" s="2160">
        <f>'ALL BULAN'!E739</f>
        <v>0</v>
      </c>
      <c r="M742" s="2161">
        <f t="shared" si="114"/>
        <v>0</v>
      </c>
      <c r="N742" s="1891">
        <f t="shared" si="115"/>
        <v>0</v>
      </c>
      <c r="O742" s="2162">
        <v>0</v>
      </c>
      <c r="P742" s="2132"/>
    </row>
    <row r="743" spans="1:16" s="2070" customFormat="1" ht="5.95" customHeight="1">
      <c r="A743" s="2096"/>
      <c r="B743" s="2096"/>
      <c r="C743" s="2096"/>
      <c r="D743" s="2096"/>
      <c r="E743" s="2096"/>
      <c r="F743" s="2097"/>
      <c r="G743" s="2199"/>
      <c r="H743" s="2117"/>
      <c r="I743" s="2117"/>
      <c r="J743" s="2310"/>
      <c r="K743" s="2183"/>
      <c r="L743" s="2310"/>
      <c r="M743" s="2311"/>
      <c r="N743" s="2311"/>
      <c r="O743" s="2312"/>
      <c r="P743" s="2132"/>
    </row>
    <row r="744" spans="1:16" s="2073" customFormat="1" ht="15.65">
      <c r="A744" s="2090"/>
      <c r="B744" s="2090"/>
      <c r="C744" s="2090"/>
      <c r="D744" s="2090"/>
      <c r="E744" s="2090"/>
      <c r="F744" s="2091"/>
      <c r="G744" s="2092" t="s">
        <v>402</v>
      </c>
      <c r="H744" s="2093" t="s">
        <v>403</v>
      </c>
      <c r="I744" s="2195"/>
      <c r="J744" s="2306">
        <f>SUM(J746)</f>
        <v>0</v>
      </c>
      <c r="K744" s="2488">
        <v>0</v>
      </c>
      <c r="L744" s="2306">
        <f>SUM(L746)</f>
        <v>0</v>
      </c>
      <c r="M744" s="2489">
        <f>SUM(K744:L744)</f>
        <v>0</v>
      </c>
      <c r="N744" s="2147">
        <f>M744-J744</f>
        <v>0</v>
      </c>
      <c r="O744" s="2149">
        <v>0</v>
      </c>
      <c r="P744" s="2150"/>
    </row>
    <row r="745" spans="1:16" s="2070" customFormat="1" ht="5.35" customHeight="1">
      <c r="A745" s="2096"/>
      <c r="B745" s="2096"/>
      <c r="C745" s="2096"/>
      <c r="D745" s="2096"/>
      <c r="E745" s="2096"/>
      <c r="F745" s="2097"/>
      <c r="G745" s="2098"/>
      <c r="H745" s="2438"/>
      <c r="I745" s="2438"/>
      <c r="J745" s="2439"/>
      <c r="K745" s="2152"/>
      <c r="L745" s="2439"/>
      <c r="M745" s="2447"/>
      <c r="N745" s="2447"/>
      <c r="O745" s="2448"/>
      <c r="P745" s="2132"/>
    </row>
    <row r="746" spans="1:16" s="2070" customFormat="1">
      <c r="A746" s="2102">
        <v>4</v>
      </c>
      <c r="B746" s="2102">
        <v>1</v>
      </c>
      <c r="C746" s="2102">
        <v>4</v>
      </c>
      <c r="D746" s="2096"/>
      <c r="E746" s="2096"/>
      <c r="F746" s="2097">
        <v>3</v>
      </c>
      <c r="G746" s="2104"/>
      <c r="H746" s="202" t="s">
        <v>71</v>
      </c>
      <c r="I746" s="202"/>
      <c r="J746" s="2307">
        <f>SUM(J747:J751)</f>
        <v>0</v>
      </c>
      <c r="K746" s="2159">
        <v>0</v>
      </c>
      <c r="L746" s="2307">
        <f>SUM(L747:L751)</f>
        <v>0</v>
      </c>
      <c r="M746" s="2161">
        <f t="shared" ref="M746:M751" si="116">SUM(K746:L746)</f>
        <v>0</v>
      </c>
      <c r="N746" s="1891">
        <f t="shared" ref="N746:N751" si="117">M746-J746</f>
        <v>0</v>
      </c>
      <c r="O746" s="2162">
        <v>0</v>
      </c>
      <c r="P746" s="2132"/>
    </row>
    <row r="747" spans="1:16" s="2070" customFormat="1">
      <c r="A747" s="2102">
        <v>4</v>
      </c>
      <c r="B747" s="2102">
        <v>1</v>
      </c>
      <c r="C747" s="2102">
        <v>4</v>
      </c>
      <c r="D747" s="2102" t="s">
        <v>441</v>
      </c>
      <c r="E747" s="2096"/>
      <c r="F747" s="2097"/>
      <c r="G747" s="2101"/>
      <c r="H747" s="257" t="s">
        <v>50</v>
      </c>
      <c r="I747" s="200" t="s">
        <v>72</v>
      </c>
      <c r="J747" s="1964">
        <f>TARGET!D739</f>
        <v>0</v>
      </c>
      <c r="K747" s="2159">
        <v>0</v>
      </c>
      <c r="L747" s="2160">
        <f>'ALL BULAN'!E744</f>
        <v>0</v>
      </c>
      <c r="M747" s="2161">
        <f t="shared" si="116"/>
        <v>0</v>
      </c>
      <c r="N747" s="1891">
        <f t="shared" si="117"/>
        <v>0</v>
      </c>
      <c r="O747" s="2162">
        <v>0</v>
      </c>
      <c r="P747" s="2132"/>
    </row>
    <row r="748" spans="1:16" s="2070" customFormat="1">
      <c r="A748" s="1902">
        <v>4</v>
      </c>
      <c r="B748" s="1902">
        <v>1</v>
      </c>
      <c r="C748" s="1902" t="s">
        <v>443</v>
      </c>
      <c r="D748" s="1902" t="s">
        <v>444</v>
      </c>
      <c r="E748" s="1902" t="s">
        <v>440</v>
      </c>
      <c r="F748" s="2097"/>
      <c r="G748" s="2101"/>
      <c r="H748" s="257" t="s">
        <v>50</v>
      </c>
      <c r="I748" s="200" t="s">
        <v>73</v>
      </c>
      <c r="J748" s="1964">
        <f>TARGET!D740</f>
        <v>0</v>
      </c>
      <c r="K748" s="2159">
        <v>0</v>
      </c>
      <c r="L748" s="2160">
        <f>'ALL BULAN'!E745</f>
        <v>0</v>
      </c>
      <c r="M748" s="2161">
        <f t="shared" si="116"/>
        <v>0</v>
      </c>
      <c r="N748" s="1891">
        <f t="shared" si="117"/>
        <v>0</v>
      </c>
      <c r="O748" s="2162">
        <v>0</v>
      </c>
      <c r="P748" s="2132"/>
    </row>
    <row r="749" spans="1:16" s="2070" customFormat="1">
      <c r="A749" s="1944">
        <v>4</v>
      </c>
      <c r="B749" s="1944">
        <v>1</v>
      </c>
      <c r="C749" s="1944" t="s">
        <v>443</v>
      </c>
      <c r="D749" s="1944" t="s">
        <v>444</v>
      </c>
      <c r="E749" s="2105" t="s">
        <v>445</v>
      </c>
      <c r="F749" s="2097"/>
      <c r="G749" s="2101"/>
      <c r="H749" s="257" t="s">
        <v>50</v>
      </c>
      <c r="I749" s="200" t="s">
        <v>74</v>
      </c>
      <c r="J749" s="1964">
        <f>TARGET!D741</f>
        <v>0</v>
      </c>
      <c r="K749" s="2159">
        <v>0</v>
      </c>
      <c r="L749" s="2160">
        <f>'ALL BULAN'!E746</f>
        <v>0</v>
      </c>
      <c r="M749" s="2161">
        <f t="shared" si="116"/>
        <v>0</v>
      </c>
      <c r="N749" s="1891">
        <f t="shared" si="117"/>
        <v>0</v>
      </c>
      <c r="O749" s="2162">
        <v>0</v>
      </c>
      <c r="P749" s="2132"/>
    </row>
    <row r="750" spans="1:16" s="2070" customFormat="1">
      <c r="A750" s="1725">
        <v>4</v>
      </c>
      <c r="B750" s="1725">
        <v>1</v>
      </c>
      <c r="C750" s="1725" t="s">
        <v>443</v>
      </c>
      <c r="D750" s="1725" t="s">
        <v>444</v>
      </c>
      <c r="E750" s="1725" t="s">
        <v>441</v>
      </c>
      <c r="F750" s="2097"/>
      <c r="G750" s="2101"/>
      <c r="H750" s="200" t="s">
        <v>308</v>
      </c>
      <c r="I750" s="200" t="s">
        <v>75</v>
      </c>
      <c r="J750" s="1964">
        <f>TARGET!D742</f>
        <v>0</v>
      </c>
      <c r="K750" s="2159">
        <v>0</v>
      </c>
      <c r="L750" s="2160">
        <f>'ALL BULAN'!E747</f>
        <v>0</v>
      </c>
      <c r="M750" s="2161">
        <f t="shared" si="116"/>
        <v>0</v>
      </c>
      <c r="N750" s="1891">
        <f t="shared" si="117"/>
        <v>0</v>
      </c>
      <c r="O750" s="2162">
        <v>0</v>
      </c>
      <c r="P750" s="2132"/>
    </row>
    <row r="751" spans="1:16" s="2070" customFormat="1">
      <c r="A751" s="2114">
        <v>4</v>
      </c>
      <c r="B751" s="2114">
        <v>1</v>
      </c>
      <c r="C751" s="2114" t="s">
        <v>443</v>
      </c>
      <c r="D751" s="2114" t="s">
        <v>447</v>
      </c>
      <c r="E751" s="2125" t="s">
        <v>437</v>
      </c>
      <c r="F751" s="2097"/>
      <c r="G751" s="2115"/>
      <c r="H751" s="2214" t="s">
        <v>50</v>
      </c>
      <c r="I751" s="200" t="s">
        <v>85</v>
      </c>
      <c r="J751" s="1964">
        <f>TARGET!D743</f>
        <v>0</v>
      </c>
      <c r="K751" s="2159">
        <v>0</v>
      </c>
      <c r="L751" s="2160">
        <f>'ALL BULAN'!E748</f>
        <v>0</v>
      </c>
      <c r="M751" s="2161">
        <f t="shared" si="116"/>
        <v>0</v>
      </c>
      <c r="N751" s="1891">
        <f t="shared" si="117"/>
        <v>0</v>
      </c>
      <c r="O751" s="2162">
        <v>0</v>
      </c>
      <c r="P751" s="2132"/>
    </row>
    <row r="752" spans="1:16" s="2070" customFormat="1" ht="5.95" customHeight="1">
      <c r="A752" s="2096"/>
      <c r="B752" s="2096"/>
      <c r="C752" s="2096"/>
      <c r="D752" s="2096"/>
      <c r="E752" s="2096"/>
      <c r="F752" s="2097"/>
      <c r="G752" s="2199"/>
      <c r="H752" s="2117"/>
      <c r="I752" s="2117"/>
      <c r="J752" s="2310"/>
      <c r="K752" s="2183"/>
      <c r="L752" s="2310"/>
      <c r="M752" s="2311"/>
      <c r="N752" s="2311"/>
      <c r="O752" s="2312"/>
      <c r="P752" s="2132"/>
    </row>
    <row r="753" spans="1:16" s="2070" customFormat="1" ht="15.05">
      <c r="A753" s="2096"/>
      <c r="B753" s="2096"/>
      <c r="C753" s="2096"/>
      <c r="D753" s="2096"/>
      <c r="E753" s="2096"/>
      <c r="F753" s="2097"/>
      <c r="G753" s="2324" t="s">
        <v>404</v>
      </c>
      <c r="H753" s="2313" t="s">
        <v>405</v>
      </c>
      <c r="I753" s="2313"/>
      <c r="J753" s="2489">
        <f>SUM(J755)</f>
        <v>0</v>
      </c>
      <c r="K753" s="2488">
        <v>0</v>
      </c>
      <c r="L753" s="2489">
        <f>SUM(L755)</f>
        <v>0</v>
      </c>
      <c r="M753" s="2489">
        <f>SUM(K753:L753)</f>
        <v>0</v>
      </c>
      <c r="N753" s="2147">
        <f>M753-J753</f>
        <v>0</v>
      </c>
      <c r="O753" s="2149">
        <v>0</v>
      </c>
      <c r="P753" s="2132"/>
    </row>
    <row r="754" spans="1:16" s="2070" customFormat="1" ht="5.35" customHeight="1">
      <c r="A754" s="2096"/>
      <c r="B754" s="2096"/>
      <c r="C754" s="2096"/>
      <c r="D754" s="2096"/>
      <c r="E754" s="2096"/>
      <c r="F754" s="2097"/>
      <c r="G754" s="2089"/>
      <c r="H754" s="257"/>
      <c r="I754" s="257"/>
      <c r="J754" s="2499"/>
      <c r="K754" s="2500"/>
      <c r="L754" s="2499"/>
      <c r="M754" s="2501"/>
      <c r="N754" s="2501"/>
      <c r="O754" s="2502"/>
      <c r="P754" s="2132"/>
    </row>
    <row r="755" spans="1:16" s="2070" customFormat="1">
      <c r="A755" s="2102">
        <v>4</v>
      </c>
      <c r="B755" s="2102">
        <v>1</v>
      </c>
      <c r="C755" s="2102">
        <v>4</v>
      </c>
      <c r="D755" s="2096"/>
      <c r="E755" s="2096"/>
      <c r="F755" s="2097">
        <v>3</v>
      </c>
      <c r="G755" s="2115"/>
      <c r="H755" s="202" t="s">
        <v>71</v>
      </c>
      <c r="I755" s="202"/>
      <c r="J755" s="2466">
        <f>SUM(J756:J760)</f>
        <v>0</v>
      </c>
      <c r="K755" s="2159">
        <v>0</v>
      </c>
      <c r="L755" s="2466">
        <f>SUM(L756:L760)</f>
        <v>0</v>
      </c>
      <c r="M755" s="2161">
        <f t="shared" ref="M755:M760" si="118">SUM(K755:L755)</f>
        <v>0</v>
      </c>
      <c r="N755" s="1891">
        <f t="shared" ref="N755:N760" si="119">M755-J755</f>
        <v>0</v>
      </c>
      <c r="O755" s="2162">
        <v>0</v>
      </c>
      <c r="P755" s="2132"/>
    </row>
    <row r="756" spans="1:16" s="2070" customFormat="1">
      <c r="A756" s="2102">
        <v>4</v>
      </c>
      <c r="B756" s="2102">
        <v>1</v>
      </c>
      <c r="C756" s="2102">
        <v>4</v>
      </c>
      <c r="D756" s="2102" t="s">
        <v>441</v>
      </c>
      <c r="E756" s="2096"/>
      <c r="F756" s="2097"/>
      <c r="G756" s="2115"/>
      <c r="H756" s="257" t="s">
        <v>50</v>
      </c>
      <c r="I756" s="200" t="s">
        <v>72</v>
      </c>
      <c r="J756" s="1964">
        <f>TARGET!D748</f>
        <v>0</v>
      </c>
      <c r="K756" s="2159">
        <v>0</v>
      </c>
      <c r="L756" s="2160">
        <f>'ALL BULAN'!E753</f>
        <v>0</v>
      </c>
      <c r="M756" s="2161">
        <f t="shared" si="118"/>
        <v>0</v>
      </c>
      <c r="N756" s="1891">
        <f t="shared" si="119"/>
        <v>0</v>
      </c>
      <c r="O756" s="2162">
        <v>0</v>
      </c>
      <c r="P756" s="2132"/>
    </row>
    <row r="757" spans="1:16" s="2070" customFormat="1">
      <c r="A757" s="1902">
        <v>4</v>
      </c>
      <c r="B757" s="1902">
        <v>1</v>
      </c>
      <c r="C757" s="1902" t="s">
        <v>443</v>
      </c>
      <c r="D757" s="1902" t="s">
        <v>444</v>
      </c>
      <c r="E757" s="1902" t="s">
        <v>440</v>
      </c>
      <c r="F757" s="2097"/>
      <c r="G757" s="2115"/>
      <c r="H757" s="257" t="s">
        <v>50</v>
      </c>
      <c r="I757" s="200" t="s">
        <v>73</v>
      </c>
      <c r="J757" s="1964">
        <f>TARGET!D749</f>
        <v>0</v>
      </c>
      <c r="K757" s="2159">
        <v>0</v>
      </c>
      <c r="L757" s="2160">
        <f>'ALL BULAN'!E754</f>
        <v>0</v>
      </c>
      <c r="M757" s="2161">
        <f t="shared" si="118"/>
        <v>0</v>
      </c>
      <c r="N757" s="1891">
        <f t="shared" si="119"/>
        <v>0</v>
      </c>
      <c r="O757" s="2162">
        <v>0</v>
      </c>
      <c r="P757" s="2132"/>
    </row>
    <row r="758" spans="1:16" s="2070" customFormat="1">
      <c r="A758" s="1944">
        <v>4</v>
      </c>
      <c r="B758" s="1944">
        <v>1</v>
      </c>
      <c r="C758" s="1944" t="s">
        <v>443</v>
      </c>
      <c r="D758" s="1944" t="s">
        <v>444</v>
      </c>
      <c r="E758" s="2105" t="s">
        <v>445</v>
      </c>
      <c r="F758" s="2097"/>
      <c r="G758" s="2115"/>
      <c r="H758" s="257" t="s">
        <v>50</v>
      </c>
      <c r="I758" s="200" t="s">
        <v>74</v>
      </c>
      <c r="J758" s="1964">
        <f>TARGET!D750</f>
        <v>0</v>
      </c>
      <c r="K758" s="2159">
        <v>0</v>
      </c>
      <c r="L758" s="2160">
        <f>'ALL BULAN'!E755</f>
        <v>0</v>
      </c>
      <c r="M758" s="2161">
        <f t="shared" si="118"/>
        <v>0</v>
      </c>
      <c r="N758" s="1891">
        <f t="shared" si="119"/>
        <v>0</v>
      </c>
      <c r="O758" s="2162">
        <v>0</v>
      </c>
      <c r="P758" s="2132"/>
    </row>
    <row r="759" spans="1:16" s="2070" customFormat="1">
      <c r="A759" s="1725">
        <v>4</v>
      </c>
      <c r="B759" s="1725">
        <v>1</v>
      </c>
      <c r="C759" s="1725" t="s">
        <v>443</v>
      </c>
      <c r="D759" s="1725" t="s">
        <v>444</v>
      </c>
      <c r="E759" s="1725" t="s">
        <v>441</v>
      </c>
      <c r="F759" s="2097"/>
      <c r="G759" s="2115"/>
      <c r="H759" s="200" t="s">
        <v>308</v>
      </c>
      <c r="I759" s="200" t="s">
        <v>75</v>
      </c>
      <c r="J759" s="1964">
        <f>TARGET!D751</f>
        <v>0</v>
      </c>
      <c r="K759" s="2159">
        <v>0</v>
      </c>
      <c r="L759" s="2160">
        <f>'ALL BULAN'!E756</f>
        <v>0</v>
      </c>
      <c r="M759" s="2161">
        <f t="shared" si="118"/>
        <v>0</v>
      </c>
      <c r="N759" s="1891">
        <f t="shared" si="119"/>
        <v>0</v>
      </c>
      <c r="O759" s="2162">
        <v>0</v>
      </c>
      <c r="P759" s="2132"/>
    </row>
    <row r="760" spans="1:16" s="2070" customFormat="1">
      <c r="A760" s="2114">
        <v>4</v>
      </c>
      <c r="B760" s="2114">
        <v>1</v>
      </c>
      <c r="C760" s="2114" t="s">
        <v>443</v>
      </c>
      <c r="D760" s="2114" t="s">
        <v>447</v>
      </c>
      <c r="E760" s="2125" t="s">
        <v>437</v>
      </c>
      <c r="F760" s="2097"/>
      <c r="G760" s="2115"/>
      <c r="H760" s="2214" t="s">
        <v>50</v>
      </c>
      <c r="I760" s="200" t="s">
        <v>85</v>
      </c>
      <c r="J760" s="1964">
        <f>TARGET!D752</f>
        <v>0</v>
      </c>
      <c r="K760" s="2159">
        <v>0</v>
      </c>
      <c r="L760" s="2160">
        <f>'ALL BULAN'!E757</f>
        <v>0</v>
      </c>
      <c r="M760" s="2161">
        <f t="shared" si="118"/>
        <v>0</v>
      </c>
      <c r="N760" s="1891">
        <f t="shared" si="119"/>
        <v>0</v>
      </c>
      <c r="O760" s="2162">
        <v>0</v>
      </c>
      <c r="P760" s="2132"/>
    </row>
    <row r="761" spans="1:16" s="2070" customFormat="1" ht="6.75" customHeight="1">
      <c r="A761" s="2096"/>
      <c r="B761" s="2096"/>
      <c r="C761" s="2096"/>
      <c r="D761" s="2096"/>
      <c r="E761" s="2096"/>
      <c r="F761" s="2097"/>
      <c r="G761" s="2115"/>
      <c r="H761" s="856"/>
      <c r="I761" s="856"/>
      <c r="J761" s="2503"/>
      <c r="K761" s="2504"/>
      <c r="L761" s="2503"/>
      <c r="M761" s="2505"/>
      <c r="N761" s="2505"/>
      <c r="O761" s="2506"/>
      <c r="P761" s="2132"/>
    </row>
    <row r="762" spans="1:16" s="2070" customFormat="1" ht="15.05">
      <c r="A762" s="2096"/>
      <c r="B762" s="2096"/>
      <c r="C762" s="2096"/>
      <c r="D762" s="2096"/>
      <c r="E762" s="2096"/>
      <c r="F762" s="2097"/>
      <c r="G762" s="2324" t="s">
        <v>406</v>
      </c>
      <c r="H762" s="2313" t="s">
        <v>407</v>
      </c>
      <c r="I762" s="2313"/>
      <c r="J762" s="2489">
        <f>SUM(J764)</f>
        <v>0</v>
      </c>
      <c r="K762" s="2488">
        <v>0</v>
      </c>
      <c r="L762" s="2489">
        <f>SUM(L764)</f>
        <v>0</v>
      </c>
      <c r="M762" s="2489">
        <f>SUM(K762:L762)</f>
        <v>0</v>
      </c>
      <c r="N762" s="2147">
        <f>M762-J762</f>
        <v>0</v>
      </c>
      <c r="O762" s="2149">
        <v>0</v>
      </c>
      <c r="P762" s="2132"/>
    </row>
    <row r="763" spans="1:16" s="2070" customFormat="1" ht="6.75" customHeight="1">
      <c r="A763" s="2096"/>
      <c r="B763" s="2096"/>
      <c r="C763" s="2096"/>
      <c r="D763" s="2096"/>
      <c r="E763" s="2096"/>
      <c r="F763" s="2097"/>
      <c r="G763" s="2089"/>
      <c r="H763" s="257"/>
      <c r="I763" s="257"/>
      <c r="J763" s="2499"/>
      <c r="K763" s="2500"/>
      <c r="L763" s="2499"/>
      <c r="M763" s="2501"/>
      <c r="N763" s="2501"/>
      <c r="O763" s="2502"/>
      <c r="P763" s="2132"/>
    </row>
    <row r="764" spans="1:16" s="2070" customFormat="1">
      <c r="A764" s="2102">
        <v>4</v>
      </c>
      <c r="B764" s="2102">
        <v>1</v>
      </c>
      <c r="C764" s="2102">
        <v>4</v>
      </c>
      <c r="D764" s="2096"/>
      <c r="E764" s="2096"/>
      <c r="F764" s="2097">
        <v>3</v>
      </c>
      <c r="G764" s="2115"/>
      <c r="H764" s="202" t="s">
        <v>71</v>
      </c>
      <c r="I764" s="202"/>
      <c r="J764" s="2466">
        <f>SUM(J765:J769)</f>
        <v>0</v>
      </c>
      <c r="K764" s="2159">
        <v>0</v>
      </c>
      <c r="L764" s="2466">
        <f>SUM(L765:L769)</f>
        <v>0</v>
      </c>
      <c r="M764" s="2161">
        <f t="shared" ref="M764:M769" si="120">SUM(K764:L764)</f>
        <v>0</v>
      </c>
      <c r="N764" s="1891">
        <f t="shared" ref="N764:N769" si="121">M764-J764</f>
        <v>0</v>
      </c>
      <c r="O764" s="2162">
        <v>0</v>
      </c>
      <c r="P764" s="2132"/>
    </row>
    <row r="765" spans="1:16" s="2070" customFormat="1">
      <c r="A765" s="2102">
        <v>4</v>
      </c>
      <c r="B765" s="2102">
        <v>1</v>
      </c>
      <c r="C765" s="2102">
        <v>4</v>
      </c>
      <c r="D765" s="2102" t="s">
        <v>441</v>
      </c>
      <c r="E765" s="2096"/>
      <c r="F765" s="2097"/>
      <c r="G765" s="2115"/>
      <c r="H765" s="257" t="s">
        <v>50</v>
      </c>
      <c r="I765" s="200" t="s">
        <v>72</v>
      </c>
      <c r="J765" s="1964">
        <f>TARGET!D757</f>
        <v>0</v>
      </c>
      <c r="K765" s="2159">
        <v>0</v>
      </c>
      <c r="L765" s="2160">
        <f>'ALL BULAN'!E762</f>
        <v>0</v>
      </c>
      <c r="M765" s="2161">
        <f t="shared" si="120"/>
        <v>0</v>
      </c>
      <c r="N765" s="1891">
        <f t="shared" si="121"/>
        <v>0</v>
      </c>
      <c r="O765" s="2162">
        <v>0</v>
      </c>
      <c r="P765" s="2132"/>
    </row>
    <row r="766" spans="1:16" s="2070" customFormat="1">
      <c r="A766" s="1902">
        <v>4</v>
      </c>
      <c r="B766" s="1902">
        <v>1</v>
      </c>
      <c r="C766" s="1902" t="s">
        <v>443</v>
      </c>
      <c r="D766" s="1902" t="s">
        <v>444</v>
      </c>
      <c r="E766" s="1902" t="s">
        <v>440</v>
      </c>
      <c r="F766" s="2097"/>
      <c r="G766" s="2115"/>
      <c r="H766" s="257" t="s">
        <v>50</v>
      </c>
      <c r="I766" s="200" t="s">
        <v>73</v>
      </c>
      <c r="J766" s="1964">
        <f>TARGET!D758</f>
        <v>0</v>
      </c>
      <c r="K766" s="2159">
        <v>0</v>
      </c>
      <c r="L766" s="2160">
        <f>'ALL BULAN'!E763</f>
        <v>0</v>
      </c>
      <c r="M766" s="2161">
        <f t="shared" si="120"/>
        <v>0</v>
      </c>
      <c r="N766" s="1891">
        <f t="shared" si="121"/>
        <v>0</v>
      </c>
      <c r="O766" s="2162">
        <v>0</v>
      </c>
      <c r="P766" s="2132"/>
    </row>
    <row r="767" spans="1:16" s="2070" customFormat="1">
      <c r="A767" s="1944">
        <v>4</v>
      </c>
      <c r="B767" s="1944">
        <v>1</v>
      </c>
      <c r="C767" s="1944" t="s">
        <v>443</v>
      </c>
      <c r="D767" s="1944" t="s">
        <v>444</v>
      </c>
      <c r="E767" s="2105" t="s">
        <v>445</v>
      </c>
      <c r="F767" s="2097"/>
      <c r="G767" s="2115"/>
      <c r="H767" s="257" t="s">
        <v>50</v>
      </c>
      <c r="I767" s="200" t="s">
        <v>74</v>
      </c>
      <c r="J767" s="1964">
        <f>TARGET!D759</f>
        <v>0</v>
      </c>
      <c r="K767" s="2159">
        <v>0</v>
      </c>
      <c r="L767" s="2160">
        <f>'ALL BULAN'!E764</f>
        <v>0</v>
      </c>
      <c r="M767" s="2161">
        <f t="shared" si="120"/>
        <v>0</v>
      </c>
      <c r="N767" s="1891">
        <f t="shared" si="121"/>
        <v>0</v>
      </c>
      <c r="O767" s="2162">
        <v>0</v>
      </c>
      <c r="P767" s="2132"/>
    </row>
    <row r="768" spans="1:16" s="2070" customFormat="1">
      <c r="A768" s="1725">
        <v>4</v>
      </c>
      <c r="B768" s="1725">
        <v>1</v>
      </c>
      <c r="C768" s="1725" t="s">
        <v>443</v>
      </c>
      <c r="D768" s="1725" t="s">
        <v>444</v>
      </c>
      <c r="E768" s="1725" t="s">
        <v>441</v>
      </c>
      <c r="F768" s="2097"/>
      <c r="G768" s="2115"/>
      <c r="H768" s="200" t="s">
        <v>308</v>
      </c>
      <c r="I768" s="200" t="s">
        <v>75</v>
      </c>
      <c r="J768" s="1964">
        <f>TARGET!D760</f>
        <v>0</v>
      </c>
      <c r="K768" s="2159">
        <v>0</v>
      </c>
      <c r="L768" s="2160">
        <f>'ALL BULAN'!E765</f>
        <v>0</v>
      </c>
      <c r="M768" s="2161">
        <f t="shared" si="120"/>
        <v>0</v>
      </c>
      <c r="N768" s="1891">
        <f t="shared" si="121"/>
        <v>0</v>
      </c>
      <c r="O768" s="2162">
        <v>0</v>
      </c>
      <c r="P768" s="2132"/>
    </row>
    <row r="769" spans="1:16" s="2070" customFormat="1">
      <c r="A769" s="2114">
        <v>4</v>
      </c>
      <c r="B769" s="2114">
        <v>1</v>
      </c>
      <c r="C769" s="2114" t="s">
        <v>443</v>
      </c>
      <c r="D769" s="2114" t="s">
        <v>447</v>
      </c>
      <c r="E769" s="2125" t="s">
        <v>437</v>
      </c>
      <c r="F769" s="2097"/>
      <c r="G769" s="2115"/>
      <c r="H769" s="2214" t="s">
        <v>50</v>
      </c>
      <c r="I769" s="200" t="s">
        <v>85</v>
      </c>
      <c r="J769" s="1964">
        <f>TARGET!D761</f>
        <v>0</v>
      </c>
      <c r="K769" s="2159">
        <v>0</v>
      </c>
      <c r="L769" s="2160">
        <f>'ALL BULAN'!E766</f>
        <v>0</v>
      </c>
      <c r="M769" s="2161">
        <f t="shared" si="120"/>
        <v>0</v>
      </c>
      <c r="N769" s="1891">
        <f t="shared" si="121"/>
        <v>0</v>
      </c>
      <c r="O769" s="2162">
        <v>0</v>
      </c>
      <c r="P769" s="2132"/>
    </row>
    <row r="770" spans="1:16" s="2070" customFormat="1" ht="6.75" customHeight="1">
      <c r="A770" s="2096"/>
      <c r="B770" s="2096"/>
      <c r="C770" s="2096"/>
      <c r="D770" s="2096"/>
      <c r="E770" s="2096"/>
      <c r="F770" s="2097"/>
      <c r="G770" s="2115"/>
      <c r="H770" s="856"/>
      <c r="I770" s="856"/>
      <c r="J770" s="2503"/>
      <c r="K770" s="2504"/>
      <c r="L770" s="2503"/>
      <c r="M770" s="2505"/>
      <c r="N770" s="2505"/>
      <c r="O770" s="2506"/>
      <c r="P770" s="2132"/>
    </row>
    <row r="771" spans="1:16" s="2070" customFormat="1" ht="15.05">
      <c r="A771" s="2096"/>
      <c r="B771" s="2096"/>
      <c r="C771" s="2096"/>
      <c r="D771" s="2096"/>
      <c r="E771" s="2096"/>
      <c r="F771" s="2097"/>
      <c r="G771" s="2324" t="s">
        <v>408</v>
      </c>
      <c r="H771" s="2313" t="s">
        <v>409</v>
      </c>
      <c r="I771" s="2313"/>
      <c r="J771" s="2489">
        <f>J773</f>
        <v>0</v>
      </c>
      <c r="K771" s="2488">
        <v>0</v>
      </c>
      <c r="L771" s="2489">
        <f>L773</f>
        <v>0</v>
      </c>
      <c r="M771" s="2489">
        <f>SUM(K771:L771)</f>
        <v>0</v>
      </c>
      <c r="N771" s="2147">
        <f>M771-J771</f>
        <v>0</v>
      </c>
      <c r="O771" s="2149">
        <v>0</v>
      </c>
      <c r="P771" s="2132"/>
    </row>
    <row r="772" spans="1:16" s="2070" customFormat="1" ht="5.95" customHeight="1">
      <c r="A772" s="2096"/>
      <c r="B772" s="2096"/>
      <c r="C772" s="2096"/>
      <c r="D772" s="2096"/>
      <c r="E772" s="2096"/>
      <c r="F772" s="2097"/>
      <c r="G772" s="2089"/>
      <c r="H772" s="257"/>
      <c r="I772" s="257"/>
      <c r="J772" s="2499"/>
      <c r="K772" s="2500"/>
      <c r="L772" s="2499"/>
      <c r="M772" s="2501"/>
      <c r="N772" s="2501"/>
      <c r="O772" s="2502"/>
      <c r="P772" s="2132"/>
    </row>
    <row r="773" spans="1:16" s="2070" customFormat="1">
      <c r="A773" s="2102">
        <v>4</v>
      </c>
      <c r="B773" s="2102">
        <v>1</v>
      </c>
      <c r="C773" s="2102">
        <v>4</v>
      </c>
      <c r="D773" s="2096"/>
      <c r="E773" s="2096"/>
      <c r="F773" s="2097">
        <v>3</v>
      </c>
      <c r="G773" s="2115"/>
      <c r="H773" s="202" t="s">
        <v>71</v>
      </c>
      <c r="I773" s="202"/>
      <c r="J773" s="2466">
        <f>SUM(J774:J778)</f>
        <v>0</v>
      </c>
      <c r="K773" s="2159">
        <v>0</v>
      </c>
      <c r="L773" s="2466">
        <f>SUM(L774:L778)</f>
        <v>0</v>
      </c>
      <c r="M773" s="2161">
        <f t="shared" ref="M773:M778" si="122">SUM(K773:L773)</f>
        <v>0</v>
      </c>
      <c r="N773" s="1891">
        <f t="shared" ref="N773:N778" si="123">M773-J773</f>
        <v>0</v>
      </c>
      <c r="O773" s="2162">
        <v>0</v>
      </c>
      <c r="P773" s="2132"/>
    </row>
    <row r="774" spans="1:16" s="2070" customFormat="1">
      <c r="A774" s="2102">
        <v>4</v>
      </c>
      <c r="B774" s="2102">
        <v>1</v>
      </c>
      <c r="C774" s="2102">
        <v>4</v>
      </c>
      <c r="D774" s="2102" t="s">
        <v>441</v>
      </c>
      <c r="E774" s="2096"/>
      <c r="F774" s="2097"/>
      <c r="G774" s="2115"/>
      <c r="H774" s="257" t="s">
        <v>50</v>
      </c>
      <c r="I774" s="200" t="s">
        <v>72</v>
      </c>
      <c r="J774" s="1964">
        <f>TARGET!D766</f>
        <v>0</v>
      </c>
      <c r="K774" s="2159">
        <v>0</v>
      </c>
      <c r="L774" s="2160">
        <f>'ALL BULAN'!E771</f>
        <v>0</v>
      </c>
      <c r="M774" s="2161">
        <f t="shared" si="122"/>
        <v>0</v>
      </c>
      <c r="N774" s="1891">
        <f t="shared" si="123"/>
        <v>0</v>
      </c>
      <c r="O774" s="2162">
        <v>0</v>
      </c>
      <c r="P774" s="2132"/>
    </row>
    <row r="775" spans="1:16" s="2070" customFormat="1">
      <c r="A775" s="1902">
        <v>4</v>
      </c>
      <c r="B775" s="1902">
        <v>1</v>
      </c>
      <c r="C775" s="1902" t="s">
        <v>443</v>
      </c>
      <c r="D775" s="1902" t="s">
        <v>444</v>
      </c>
      <c r="E775" s="1902" t="s">
        <v>440</v>
      </c>
      <c r="F775" s="2097"/>
      <c r="G775" s="2115"/>
      <c r="H775" s="257" t="s">
        <v>50</v>
      </c>
      <c r="I775" s="200" t="s">
        <v>73</v>
      </c>
      <c r="J775" s="1964">
        <f>TARGET!D767</f>
        <v>0</v>
      </c>
      <c r="K775" s="2159">
        <v>0</v>
      </c>
      <c r="L775" s="2160">
        <f>'ALL BULAN'!E772</f>
        <v>0</v>
      </c>
      <c r="M775" s="2161">
        <f t="shared" si="122"/>
        <v>0</v>
      </c>
      <c r="N775" s="1891">
        <f t="shared" si="123"/>
        <v>0</v>
      </c>
      <c r="O775" s="2162">
        <v>0</v>
      </c>
      <c r="P775" s="2132"/>
    </row>
    <row r="776" spans="1:16" s="2070" customFormat="1">
      <c r="A776" s="1944">
        <v>4</v>
      </c>
      <c r="B776" s="1944">
        <v>1</v>
      </c>
      <c r="C776" s="1944" t="s">
        <v>443</v>
      </c>
      <c r="D776" s="1944" t="s">
        <v>444</v>
      </c>
      <c r="E776" s="2105" t="s">
        <v>445</v>
      </c>
      <c r="F776" s="2097"/>
      <c r="G776" s="2115"/>
      <c r="H776" s="257" t="s">
        <v>50</v>
      </c>
      <c r="I776" s="200" t="s">
        <v>74</v>
      </c>
      <c r="J776" s="1964">
        <f>TARGET!D768</f>
        <v>0</v>
      </c>
      <c r="K776" s="2159">
        <v>0</v>
      </c>
      <c r="L776" s="2160">
        <f>'ALL BULAN'!E773</f>
        <v>0</v>
      </c>
      <c r="M776" s="2161">
        <f t="shared" si="122"/>
        <v>0</v>
      </c>
      <c r="N776" s="1891">
        <f t="shared" si="123"/>
        <v>0</v>
      </c>
      <c r="O776" s="2162">
        <v>0</v>
      </c>
      <c r="P776" s="2132"/>
    </row>
    <row r="777" spans="1:16" s="2070" customFormat="1">
      <c r="A777" s="1725">
        <v>4</v>
      </c>
      <c r="B777" s="1725">
        <v>1</v>
      </c>
      <c r="C777" s="1725" t="s">
        <v>443</v>
      </c>
      <c r="D777" s="1725" t="s">
        <v>444</v>
      </c>
      <c r="E777" s="1725" t="s">
        <v>441</v>
      </c>
      <c r="F777" s="2097"/>
      <c r="G777" s="2115"/>
      <c r="H777" s="200" t="s">
        <v>308</v>
      </c>
      <c r="I777" s="200" t="s">
        <v>75</v>
      </c>
      <c r="J777" s="1964">
        <f>TARGET!D769</f>
        <v>0</v>
      </c>
      <c r="K777" s="2159">
        <v>0</v>
      </c>
      <c r="L777" s="2160">
        <f>'ALL BULAN'!E774</f>
        <v>0</v>
      </c>
      <c r="M777" s="2161">
        <f t="shared" si="122"/>
        <v>0</v>
      </c>
      <c r="N777" s="1891">
        <f t="shared" si="123"/>
        <v>0</v>
      </c>
      <c r="O777" s="2162">
        <v>0</v>
      </c>
      <c r="P777" s="2132"/>
    </row>
    <row r="778" spans="1:16" s="2070" customFormat="1">
      <c r="A778" s="2114">
        <v>4</v>
      </c>
      <c r="B778" s="2114">
        <v>1</v>
      </c>
      <c r="C778" s="2114" t="s">
        <v>443</v>
      </c>
      <c r="D778" s="2114" t="s">
        <v>447</v>
      </c>
      <c r="E778" s="2125" t="s">
        <v>437</v>
      </c>
      <c r="F778" s="2097"/>
      <c r="G778" s="2115"/>
      <c r="H778" s="2214" t="s">
        <v>50</v>
      </c>
      <c r="I778" s="200" t="s">
        <v>85</v>
      </c>
      <c r="J778" s="1964">
        <f>TARGET!D770</f>
        <v>0</v>
      </c>
      <c r="K778" s="2159">
        <v>0</v>
      </c>
      <c r="L778" s="2160">
        <f>'ALL BULAN'!E775</f>
        <v>0</v>
      </c>
      <c r="M778" s="2161">
        <f t="shared" si="122"/>
        <v>0</v>
      </c>
      <c r="N778" s="1891">
        <f t="shared" si="123"/>
        <v>0</v>
      </c>
      <c r="O778" s="2162">
        <v>0</v>
      </c>
      <c r="P778" s="2132"/>
    </row>
    <row r="779" spans="1:16" s="2070" customFormat="1" ht="6.75" customHeight="1">
      <c r="A779" s="2096"/>
      <c r="B779" s="2096"/>
      <c r="C779" s="2096"/>
      <c r="D779" s="2096"/>
      <c r="E779" s="2096"/>
      <c r="F779" s="2097"/>
      <c r="G779" s="2115"/>
      <c r="H779" s="856"/>
      <c r="I779" s="856"/>
      <c r="J779" s="2503"/>
      <c r="K779" s="2504"/>
      <c r="L779" s="2503"/>
      <c r="M779" s="2505"/>
      <c r="N779" s="2505"/>
      <c r="O779" s="2506"/>
      <c r="P779" s="2132"/>
    </row>
    <row r="780" spans="1:16" s="2070" customFormat="1" ht="15.05">
      <c r="A780" s="2096"/>
      <c r="B780" s="2096"/>
      <c r="C780" s="2096"/>
      <c r="D780" s="2096"/>
      <c r="E780" s="2096"/>
      <c r="F780" s="2097"/>
      <c r="G780" s="2324" t="s">
        <v>410</v>
      </c>
      <c r="H780" s="2313" t="s">
        <v>411</v>
      </c>
      <c r="I780" s="2313"/>
      <c r="J780" s="2489">
        <f>J781+J785</f>
        <v>0</v>
      </c>
      <c r="K780" s="2488">
        <v>9495000</v>
      </c>
      <c r="L780" s="2489">
        <f>L781+L785</f>
        <v>15445000</v>
      </c>
      <c r="M780" s="2489">
        <f t="shared" ref="M780:M790" si="124">SUM(K780:L780)</f>
        <v>24940000</v>
      </c>
      <c r="N780" s="2147">
        <f t="shared" ref="N780:N790" si="125">M780-J780</f>
        <v>24940000</v>
      </c>
      <c r="O780" s="2149">
        <v>0</v>
      </c>
      <c r="P780" s="2132"/>
    </row>
    <row r="781" spans="1:16" s="2070" customFormat="1">
      <c r="A781" s="2096"/>
      <c r="B781" s="2096"/>
      <c r="C781" s="2096"/>
      <c r="D781" s="2096"/>
      <c r="E781" s="2096"/>
      <c r="F781" s="2097">
        <v>1</v>
      </c>
      <c r="G781" s="2089"/>
      <c r="H781" s="1318" t="s">
        <v>412</v>
      </c>
      <c r="I781" s="212"/>
      <c r="J781" s="2499">
        <f>J782</f>
        <v>0</v>
      </c>
      <c r="K781" s="2159">
        <v>9495000</v>
      </c>
      <c r="L781" s="2499">
        <f>L782</f>
        <v>15445000</v>
      </c>
      <c r="M781" s="2161">
        <f t="shared" si="124"/>
        <v>24940000</v>
      </c>
      <c r="N781" s="1891">
        <f t="shared" si="125"/>
        <v>24940000</v>
      </c>
      <c r="O781" s="2162">
        <v>0</v>
      </c>
      <c r="P781" s="2132"/>
    </row>
    <row r="782" spans="1:16" s="2070" customFormat="1">
      <c r="A782" s="2094">
        <v>4</v>
      </c>
      <c r="B782" s="2094">
        <v>1</v>
      </c>
      <c r="C782" s="2094">
        <v>2</v>
      </c>
      <c r="D782" s="2095" t="s">
        <v>438</v>
      </c>
      <c r="E782" s="2215"/>
      <c r="F782" s="2097"/>
      <c r="G782" s="2115"/>
      <c r="H782" s="212" t="s">
        <v>109</v>
      </c>
      <c r="I782" s="212"/>
      <c r="J782" s="2466">
        <f>J783</f>
        <v>0</v>
      </c>
      <c r="K782" s="2159">
        <v>9495000</v>
      </c>
      <c r="L782" s="2466">
        <f>L783</f>
        <v>15445000</v>
      </c>
      <c r="M782" s="2161">
        <f t="shared" si="124"/>
        <v>24940000</v>
      </c>
      <c r="N782" s="1891">
        <f t="shared" si="125"/>
        <v>24940000</v>
      </c>
      <c r="O782" s="2162">
        <v>0</v>
      </c>
      <c r="P782" s="2132"/>
    </row>
    <row r="783" spans="1:16" s="2070" customFormat="1">
      <c r="A783" s="2094">
        <v>4</v>
      </c>
      <c r="B783" s="2094">
        <v>1</v>
      </c>
      <c r="C783" s="2094">
        <v>2</v>
      </c>
      <c r="D783" s="2095" t="s">
        <v>438</v>
      </c>
      <c r="E783" s="2125" t="s">
        <v>437</v>
      </c>
      <c r="F783" s="2097"/>
      <c r="G783" s="2115"/>
      <c r="H783" s="2744" t="s">
        <v>50</v>
      </c>
      <c r="I783" s="224" t="s">
        <v>413</v>
      </c>
      <c r="J783" s="1964">
        <f>TARGET!D775</f>
        <v>0</v>
      </c>
      <c r="K783" s="2159">
        <v>9495000</v>
      </c>
      <c r="L783" s="2160">
        <f>8070000+6875000+500000</f>
        <v>15445000</v>
      </c>
      <c r="M783" s="2161">
        <f t="shared" si="124"/>
        <v>24940000</v>
      </c>
      <c r="N783" s="1891">
        <f t="shared" si="125"/>
        <v>24940000</v>
      </c>
      <c r="O783" s="2162">
        <v>0</v>
      </c>
      <c r="P783" s="2132"/>
    </row>
    <row r="784" spans="1:16" s="2070" customFormat="1" ht="5.95" customHeight="1">
      <c r="A784" s="2096"/>
      <c r="B784" s="2096"/>
      <c r="C784" s="2096"/>
      <c r="D784" s="2096"/>
      <c r="E784" s="2096"/>
      <c r="F784" s="2097"/>
      <c r="G784" s="2115"/>
      <c r="H784" s="856"/>
      <c r="I784" s="856"/>
      <c r="J784" s="2466"/>
      <c r="K784" s="2159">
        <v>0</v>
      </c>
      <c r="L784" s="2466"/>
      <c r="M784" s="2161">
        <f t="shared" si="124"/>
        <v>0</v>
      </c>
      <c r="N784" s="1891">
        <f t="shared" si="125"/>
        <v>0</v>
      </c>
      <c r="O784" s="2162">
        <f>N784-K784</f>
        <v>0</v>
      </c>
      <c r="P784" s="2132"/>
    </row>
    <row r="785" spans="1:16" s="2070" customFormat="1">
      <c r="A785" s="2102">
        <v>4</v>
      </c>
      <c r="B785" s="2102">
        <v>1</v>
      </c>
      <c r="C785" s="2102">
        <v>4</v>
      </c>
      <c r="D785" s="2096"/>
      <c r="E785" s="2096"/>
      <c r="F785" s="2097">
        <v>3</v>
      </c>
      <c r="G785" s="2115"/>
      <c r="H785" s="202" t="s">
        <v>71</v>
      </c>
      <c r="I785" s="202"/>
      <c r="J785" s="2466">
        <f>SUM(J786:J790)</f>
        <v>0</v>
      </c>
      <c r="K785" s="2159">
        <v>0</v>
      </c>
      <c r="L785" s="2466">
        <f>SUM(L786:L790)</f>
        <v>0</v>
      </c>
      <c r="M785" s="2161">
        <f t="shared" si="124"/>
        <v>0</v>
      </c>
      <c r="N785" s="1891">
        <f t="shared" si="125"/>
        <v>0</v>
      </c>
      <c r="O785" s="2162">
        <v>0</v>
      </c>
      <c r="P785" s="2132"/>
    </row>
    <row r="786" spans="1:16" s="2070" customFormat="1">
      <c r="A786" s="2102">
        <v>4</v>
      </c>
      <c r="B786" s="2102">
        <v>1</v>
      </c>
      <c r="C786" s="2102">
        <v>4</v>
      </c>
      <c r="D786" s="2102" t="s">
        <v>441</v>
      </c>
      <c r="E786" s="2096"/>
      <c r="F786" s="2097"/>
      <c r="G786" s="2115"/>
      <c r="H786" s="257" t="s">
        <v>50</v>
      </c>
      <c r="I786" s="200" t="s">
        <v>72</v>
      </c>
      <c r="J786" s="1964">
        <f>TARGET!D778</f>
        <v>0</v>
      </c>
      <c r="K786" s="2159">
        <v>0</v>
      </c>
      <c r="L786" s="2160">
        <f>'ALL BULAN'!E783</f>
        <v>0</v>
      </c>
      <c r="M786" s="2161">
        <f t="shared" si="124"/>
        <v>0</v>
      </c>
      <c r="N786" s="1891">
        <f t="shared" si="125"/>
        <v>0</v>
      </c>
      <c r="O786" s="2162">
        <v>0</v>
      </c>
      <c r="P786" s="2132"/>
    </row>
    <row r="787" spans="1:16" s="2070" customFormat="1">
      <c r="A787" s="1902">
        <v>4</v>
      </c>
      <c r="B787" s="1902">
        <v>1</v>
      </c>
      <c r="C787" s="1902" t="s">
        <v>443</v>
      </c>
      <c r="D787" s="1902" t="s">
        <v>444</v>
      </c>
      <c r="E787" s="1902" t="s">
        <v>440</v>
      </c>
      <c r="F787" s="2097"/>
      <c r="G787" s="2115"/>
      <c r="H787" s="257" t="s">
        <v>50</v>
      </c>
      <c r="I787" s="200" t="s">
        <v>73</v>
      </c>
      <c r="J787" s="1964">
        <f>TARGET!D779</f>
        <v>0</v>
      </c>
      <c r="K787" s="2159">
        <v>0</v>
      </c>
      <c r="L787" s="2160">
        <f>'ALL BULAN'!E784</f>
        <v>0</v>
      </c>
      <c r="M787" s="2161">
        <f t="shared" si="124"/>
        <v>0</v>
      </c>
      <c r="N787" s="1891">
        <f t="shared" si="125"/>
        <v>0</v>
      </c>
      <c r="O787" s="2162">
        <v>0</v>
      </c>
      <c r="P787" s="2132"/>
    </row>
    <row r="788" spans="1:16" s="2070" customFormat="1">
      <c r="A788" s="1944">
        <v>4</v>
      </c>
      <c r="B788" s="1944">
        <v>1</v>
      </c>
      <c r="C788" s="1944" t="s">
        <v>443</v>
      </c>
      <c r="D788" s="1944" t="s">
        <v>444</v>
      </c>
      <c r="E788" s="2105" t="s">
        <v>445</v>
      </c>
      <c r="F788" s="2097"/>
      <c r="G788" s="2115"/>
      <c r="H788" s="257" t="s">
        <v>50</v>
      </c>
      <c r="I788" s="200" t="s">
        <v>74</v>
      </c>
      <c r="J788" s="1964">
        <f>TARGET!D780</f>
        <v>0</v>
      </c>
      <c r="K788" s="2159">
        <v>0</v>
      </c>
      <c r="L788" s="2160">
        <f>'ALL BULAN'!E785</f>
        <v>0</v>
      </c>
      <c r="M788" s="2161">
        <f t="shared" si="124"/>
        <v>0</v>
      </c>
      <c r="N788" s="1891">
        <f t="shared" si="125"/>
        <v>0</v>
      </c>
      <c r="O788" s="2162">
        <v>0</v>
      </c>
      <c r="P788" s="2132"/>
    </row>
    <row r="789" spans="1:16" s="2070" customFormat="1">
      <c r="A789" s="1725">
        <v>4</v>
      </c>
      <c r="B789" s="1725">
        <v>1</v>
      </c>
      <c r="C789" s="1725" t="s">
        <v>443</v>
      </c>
      <c r="D789" s="1725" t="s">
        <v>444</v>
      </c>
      <c r="E789" s="1725" t="s">
        <v>441</v>
      </c>
      <c r="F789" s="2097"/>
      <c r="G789" s="2115"/>
      <c r="H789" s="200" t="s">
        <v>308</v>
      </c>
      <c r="I789" s="200" t="s">
        <v>75</v>
      </c>
      <c r="J789" s="1964">
        <f>TARGET!D781</f>
        <v>0</v>
      </c>
      <c r="K789" s="2159">
        <v>0</v>
      </c>
      <c r="L789" s="2160">
        <f>'ALL BULAN'!E786</f>
        <v>0</v>
      </c>
      <c r="M789" s="2161">
        <f t="shared" si="124"/>
        <v>0</v>
      </c>
      <c r="N789" s="1891">
        <f t="shared" si="125"/>
        <v>0</v>
      </c>
      <c r="O789" s="2162">
        <v>0</v>
      </c>
      <c r="P789" s="2132"/>
    </row>
    <row r="790" spans="1:16" s="2070" customFormat="1">
      <c r="A790" s="2114">
        <v>4</v>
      </c>
      <c r="B790" s="2114">
        <v>1</v>
      </c>
      <c r="C790" s="2114" t="s">
        <v>443</v>
      </c>
      <c r="D790" s="2114" t="s">
        <v>447</v>
      </c>
      <c r="E790" s="2125" t="s">
        <v>437</v>
      </c>
      <c r="F790" s="2097"/>
      <c r="G790" s="2115"/>
      <c r="H790" s="2214" t="s">
        <v>50</v>
      </c>
      <c r="I790" s="200" t="s">
        <v>85</v>
      </c>
      <c r="J790" s="1964">
        <f>TARGET!D782</f>
        <v>0</v>
      </c>
      <c r="K790" s="2159">
        <v>0</v>
      </c>
      <c r="L790" s="2160">
        <f>'ALL BULAN'!E787</f>
        <v>0</v>
      </c>
      <c r="M790" s="2161">
        <f t="shared" si="124"/>
        <v>0</v>
      </c>
      <c r="N790" s="1891">
        <f t="shared" si="125"/>
        <v>0</v>
      </c>
      <c r="O790" s="2162">
        <v>0</v>
      </c>
      <c r="P790" s="2132"/>
    </row>
    <row r="791" spans="1:16" s="2070" customFormat="1" ht="7.55" customHeight="1">
      <c r="G791" s="2199"/>
      <c r="J791" s="2310"/>
      <c r="K791" s="2310"/>
      <c r="L791" s="2310"/>
      <c r="M791" s="2311"/>
      <c r="N791" s="2311"/>
      <c r="O791" s="2312"/>
      <c r="P791" s="2132"/>
    </row>
    <row r="792" spans="1:16" s="2070" customFormat="1" ht="21.8" customHeight="1">
      <c r="G792" s="5833" t="s">
        <v>414</v>
      </c>
      <c r="H792" s="5739"/>
      <c r="I792" s="5739"/>
      <c r="J792" s="2507">
        <f>J780+J771+J762+J753+J744+J735+J726+J717+J704+J671+J663+J640+J614+J606+J598+J580+J517+J506+J498+J426+J353+J345+J337+J329+J321+J313+J305+J297+J282+J272+J264+J256+J236+J214+J196+J182+J169+J154+J146+J129+J116+J104+J91+J78+J66+J54+J43+J31+J10</f>
        <v>3669258351634</v>
      </c>
      <c r="K792" s="2507">
        <f>K780+K771+K762+K753+K744+K735+K726+K717+K704+K671+K663+K640+K614+K606+K598+K580+K517+K506+K498+K426+K353+K345+K337+K329+K321+K313+K305+K297+K282+K272+K264+K256+K236+K214+K196+K182+K169+K154+K146+K129+K116+K104+K91+K78+K66+K54+K43+K31+K10</f>
        <v>637526644267.53003</v>
      </c>
      <c r="L792" s="2507">
        <f>L780+L771+L762+L753+L744+L735+L726+L717+L704+L671+L663+L640+L614+L606+L598+L580+L517+L506+L498+L426+L353+L345+L337+L329+L321+L313+L305+L297+L282+L272+L264+L256+L236+L214+L196+L182+L169+L154+L146+L129+L116+L104+L91+L78+L66+L54+L43+L31+L10</f>
        <v>274668485527.19</v>
      </c>
      <c r="M792" s="2507">
        <f>M780+M771+M762+M753+M744+M735+M726+M717+M704+M671+M663+M640+M614+M606+M598+M580+M517+M506+M498+M426+M353+M345+M337+M329+M321+M313+M305+M297+M282+M272+M264+M256+M236+M214+M196+M182+M169+M154+M146+M129+M116+M104+M91+M78+M66+M54+M43+M31+M10</f>
        <v>912195129794.72009</v>
      </c>
      <c r="N792" s="2508">
        <f>M792-J792</f>
        <v>-2757063221839.2798</v>
      </c>
      <c r="O792" s="2509">
        <f>M792/J792*100</f>
        <v>24.860477033144857</v>
      </c>
      <c r="P792" s="2132"/>
    </row>
    <row r="795" spans="1:16">
      <c r="K795" t="s">
        <v>469</v>
      </c>
      <c r="L795" s="2510">
        <f>L781+L706+L673+L641+L615+L581+L507+L355+L283+L237+L215+L197+L183+L170+L155+L130+L79+L55+L44+L32+L11</f>
        <v>1497724200</v>
      </c>
    </row>
    <row r="796" spans="1:16">
      <c r="K796" t="s">
        <v>470</v>
      </c>
      <c r="L796" s="2510">
        <f>+L785+L773+L764+L755+L746+L737+L728+L719+L710+L697+L664+L657+L633+L607+L599+L589+L519+L510+L499+L384+L346+L338+L330+L322+L314+L306+L298+L290+L273+L265+L257+L245+L223+L204+L189+L175+L161+L147+L139+L118+L106+L93+L84+L67+L59+L47+L35+L21+L11</f>
        <v>19654130227.189999</v>
      </c>
    </row>
    <row r="797" spans="1:16">
      <c r="L797" s="2510">
        <f>L796-'KOM opsi 1'!N226</f>
        <v>417056999.99999619</v>
      </c>
    </row>
    <row r="799" spans="1:16">
      <c r="K799" t="s">
        <v>471</v>
      </c>
      <c r="L799" s="2510">
        <f>+L789+L777+L768+L759+L750+L741+L732+L723+L714+L701+L668+L660+L636+L610+L602+L592+L549+L514+L503+L409+L350+L342+L334+L326+L318+L310+L302+L294+L277+L269+L261+L249+L227+L208+L193+L179+L166+L151+L143+L126+L113+L101+L88+L75+L63+L51+L39+L25</f>
        <v>9346050</v>
      </c>
    </row>
    <row r="800" spans="1:16">
      <c r="K800" t="s">
        <v>472</v>
      </c>
      <c r="L800" s="2510">
        <f>+L790+L778+L769+L760+L751+L742+L733+L724+L715+L702+L669+L661+L611+L604+L515+L504+L351+L343+L335+L327+L319+L311+L303+L295+L278+L270+L262+L228+L209+L194+L180+L167+L152+L144+L127+L114+L102+L89+L76+L64+L52+L41+L27</f>
        <v>1535000</v>
      </c>
    </row>
    <row r="801" spans="12:12">
      <c r="L801" s="2510">
        <f>L800-'KOM opsi 1'!N428</f>
        <v>-27118484500</v>
      </c>
    </row>
    <row r="802" spans="12:12">
      <c r="L802" s="2510">
        <f>L797+L801</f>
        <v>-26701427500.000004</v>
      </c>
    </row>
  </sheetData>
  <autoFilter ref="K11:M792"/>
  <mergeCells count="12">
    <mergeCell ref="H577:I577"/>
    <mergeCell ref="G792:I792"/>
    <mergeCell ref="G4:G5"/>
    <mergeCell ref="J4:J5"/>
    <mergeCell ref="N4:N5"/>
    <mergeCell ref="H4:I5"/>
    <mergeCell ref="G2:O2"/>
    <mergeCell ref="K4:M4"/>
    <mergeCell ref="H6:I6"/>
    <mergeCell ref="A8:F8"/>
    <mergeCell ref="H566:I566"/>
    <mergeCell ref="O4:O5"/>
  </mergeCells>
  <pageMargins left="0.69930555555555596" right="0.69930555555555596" top="0.75" bottom="0.75" header="0.3" footer="0.3"/>
  <pageSetup paperSize="9" scale="68" orientation="landscape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R855"/>
  <sheetViews>
    <sheetView view="pageBreakPreview" topLeftCell="E4" zoomScaleNormal="130" zoomScaleSheetLayoutView="100" workbookViewId="0">
      <pane ySplit="1390" topLeftCell="A40" activePane="bottomLeft"/>
      <selection activeCell="Q4" sqref="Q1:Q1048576"/>
      <selection pane="bottomLeft" activeCell="I59" sqref="I59"/>
    </sheetView>
  </sheetViews>
  <sheetFormatPr defaultColWidth="9" defaultRowHeight="13.15"/>
  <cols>
    <col min="1" max="5" width="3.6640625" customWidth="1"/>
    <col min="6" max="6" width="2.33203125" customWidth="1"/>
    <col min="7" max="7" width="6.33203125" customWidth="1"/>
    <col min="8" max="8" width="2.88671875" customWidth="1"/>
    <col min="9" max="9" width="65.5546875" customWidth="1"/>
    <col min="10" max="10" width="25.88671875" style="4599" customWidth="1"/>
    <col min="11" max="12" width="20.88671875" style="4600" hidden="1" customWidth="1"/>
    <col min="13" max="13" width="0.109375" style="2081" customWidth="1"/>
    <col min="14" max="14" width="22.6640625" style="2081" customWidth="1"/>
    <col min="15" max="15" width="23.5546875" style="2081" customWidth="1"/>
    <col min="16" max="16" width="9.88671875" style="4247" customWidth="1"/>
    <col min="17" max="17" width="24.33203125" style="4853" customWidth="1"/>
    <col min="18" max="18" width="18.6640625" customWidth="1"/>
  </cols>
  <sheetData>
    <row r="1" spans="1:18" s="2070" customFormat="1" ht="9.6999999999999993" customHeight="1">
      <c r="G1" s="4021"/>
      <c r="H1" s="4022"/>
      <c r="I1" s="4022"/>
      <c r="J1" s="2129"/>
      <c r="K1" s="2130"/>
      <c r="L1" s="2130"/>
      <c r="M1" s="2131"/>
      <c r="N1" s="2131"/>
      <c r="O1" s="2131"/>
      <c r="P1" s="4023"/>
      <c r="Q1" s="4839"/>
    </row>
    <row r="2" spans="1:18" s="2070" customFormat="1" ht="29.3" customHeight="1">
      <c r="G2" s="5772" t="s">
        <v>1247</v>
      </c>
      <c r="H2" s="5773"/>
      <c r="I2" s="5773"/>
      <c r="J2" s="5773"/>
      <c r="K2" s="5773"/>
      <c r="L2" s="5773"/>
      <c r="M2" s="5773"/>
      <c r="N2" s="5773"/>
      <c r="O2" s="5773"/>
      <c r="P2" s="5773"/>
      <c r="Q2" s="4839"/>
    </row>
    <row r="3" spans="1:18" s="2070" customFormat="1" ht="16.45" customHeight="1">
      <c r="G3" s="4024"/>
      <c r="H3" s="4025"/>
      <c r="I3" s="4025"/>
      <c r="J3" s="2133"/>
      <c r="K3" s="2084"/>
      <c r="L3" s="2084"/>
      <c r="M3" s="2084"/>
      <c r="N3" s="2084"/>
      <c r="O3" s="2084"/>
      <c r="P3" s="4025"/>
      <c r="Q3" s="4839"/>
    </row>
    <row r="4" spans="1:18" s="2070" customFormat="1" ht="21.3">
      <c r="G4" s="5774" t="s">
        <v>55</v>
      </c>
      <c r="H4" s="5775" t="s">
        <v>56</v>
      </c>
      <c r="I4" s="5775"/>
      <c r="J4" s="5776" t="s">
        <v>416</v>
      </c>
      <c r="K4" s="5777" t="s">
        <v>5</v>
      </c>
      <c r="L4" s="5777"/>
      <c r="M4" s="5777"/>
      <c r="N4" s="5778" t="s">
        <v>1220</v>
      </c>
      <c r="O4" s="5776" t="s">
        <v>430</v>
      </c>
      <c r="P4" s="5780" t="s">
        <v>6</v>
      </c>
      <c r="Q4" s="4839"/>
    </row>
    <row r="5" spans="1:18" s="4026" customFormat="1" ht="23.35" customHeight="1">
      <c r="G5" s="5774"/>
      <c r="H5" s="5775"/>
      <c r="I5" s="5775"/>
      <c r="J5" s="5776"/>
      <c r="K5" s="4515" t="s">
        <v>432</v>
      </c>
      <c r="L5" s="4515" t="s">
        <v>433</v>
      </c>
      <c r="M5" s="4515" t="s">
        <v>434</v>
      </c>
      <c r="N5" s="5779"/>
      <c r="O5" s="5776"/>
      <c r="P5" s="5780"/>
      <c r="Q5" s="4839"/>
    </row>
    <row r="6" spans="1:18" s="4027" customFormat="1" ht="12.55">
      <c r="G6" s="4028" t="s">
        <v>58</v>
      </c>
      <c r="H6" s="5756">
        <v>2</v>
      </c>
      <c r="I6" s="5757"/>
      <c r="J6" s="4516">
        <v>3</v>
      </c>
      <c r="K6" s="4516">
        <v>4</v>
      </c>
      <c r="L6" s="4516">
        <v>15</v>
      </c>
      <c r="M6" s="4516">
        <v>16</v>
      </c>
      <c r="N6" s="4516"/>
      <c r="O6" s="4516">
        <v>17</v>
      </c>
      <c r="P6" s="4029">
        <v>18</v>
      </c>
      <c r="Q6" s="4839"/>
    </row>
    <row r="7" spans="1:18" s="2070" customFormat="1" ht="13.5" customHeight="1">
      <c r="G7" s="4030"/>
      <c r="H7" s="4031"/>
      <c r="I7" s="4031"/>
      <c r="J7" s="4517"/>
      <c r="K7" s="2138">
        <v>0</v>
      </c>
      <c r="L7" s="4517">
        <f>L8-[2]KOM!N9</f>
        <v>3395012730606.8101</v>
      </c>
      <c r="M7" s="4517">
        <f>M8-[2]KOM!O9</f>
        <v>2757167821839.2803</v>
      </c>
      <c r="N7" s="4517"/>
      <c r="O7" s="4517">
        <f t="shared" ref="O7:O27" si="0">N7-J7</f>
        <v>0</v>
      </c>
      <c r="P7" s="4032"/>
      <c r="Q7" s="4839"/>
    </row>
    <row r="8" spans="1:18" s="2070" customFormat="1" ht="17.25" customHeight="1">
      <c r="A8" s="5831" t="s">
        <v>435</v>
      </c>
      <c r="B8" s="5831"/>
      <c r="C8" s="5831"/>
      <c r="D8" s="5831"/>
      <c r="E8" s="5831"/>
      <c r="F8" s="5831"/>
      <c r="G8" s="4033"/>
      <c r="H8" s="4034" t="s">
        <v>60</v>
      </c>
      <c r="I8" s="4034"/>
      <c r="J8" s="4518">
        <f>SUM(J10+J29+J91+J104+J116+J129+J146+J154+J169+J182+J196+J214+J236+J256+J264+J272+J282+J297+J305+J313+J321+J329+J349+J357+J365+J442+J471+J515+J523+J534+J627+J650+J658+J666+J692+J716+J724+J757+J770+J779+J788+J797+J806+J815+J824+J833)</f>
        <v>4791397359569</v>
      </c>
      <c r="K8" s="4518">
        <v>3669258351634</v>
      </c>
      <c r="L8" s="4518">
        <v>3669258351634</v>
      </c>
      <c r="M8" s="4518">
        <v>3669258351634</v>
      </c>
      <c r="N8" s="4518">
        <f>SUM(N10+N29+N91+N104+N116+N129+N146+N154+N169+N182+N196+N214+N236+N256+N264+N272+N282+N297+N305+N313+N321+N329+N349+N357+N365+N442+N471+N515+N523+N534+N627+N650+N658+N666+N692+N716+N724+N757+N770+N779+N788+N797+N806+N815+N824+N833)</f>
        <v>4736449075576</v>
      </c>
      <c r="O8" s="4518">
        <f t="shared" si="0"/>
        <v>-54948283993</v>
      </c>
      <c r="P8" s="4035">
        <f>M8/J8*100</f>
        <v>76.580130518835958</v>
      </c>
      <c r="Q8" s="4839"/>
    </row>
    <row r="9" spans="1:18" s="2070" customFormat="1" ht="21" customHeight="1">
      <c r="G9" s="4036"/>
      <c r="H9" s="4830" t="s">
        <v>180</v>
      </c>
      <c r="I9" s="4831"/>
      <c r="J9" s="4832">
        <f>J850</f>
        <v>1501611335359</v>
      </c>
      <c r="K9" s="4833"/>
      <c r="L9" s="4832"/>
      <c r="M9" s="4834"/>
      <c r="N9" s="4834">
        <f>SUM(N10+N29+N91+N104+N116+N129+N146+N154+N169+N182+N196+N214+N236+N256+N264+N272+N282+N297+N305+N313+N321+N329+N349+N357+N365+N515+N523+N534+N627+N650+N658+N666+N692+N716+N724+N757+N770+N779+N788+N797+N806+N815+N824+N833)</f>
        <v>1534279709076</v>
      </c>
      <c r="O9" s="4834">
        <f>SUM(N9-J9)</f>
        <v>32668373717</v>
      </c>
      <c r="P9" s="4835"/>
      <c r="Q9" s="4839"/>
    </row>
    <row r="10" spans="1:18" s="2073" customFormat="1" ht="15.65">
      <c r="A10" s="4039"/>
      <c r="B10" s="4039"/>
      <c r="C10" s="4039"/>
      <c r="D10" s="4039"/>
      <c r="E10" s="4039"/>
      <c r="F10" s="4040"/>
      <c r="G10" s="4041" t="s">
        <v>61</v>
      </c>
      <c r="H10" s="4042" t="s">
        <v>62</v>
      </c>
      <c r="I10" s="4043"/>
      <c r="J10" s="4519">
        <f>J11</f>
        <v>161895000</v>
      </c>
      <c r="K10" s="4520">
        <v>40629500</v>
      </c>
      <c r="L10" s="4519">
        <f>L11+L21</f>
        <v>77182000</v>
      </c>
      <c r="M10" s="4519">
        <f t="shared" ref="M10:M15" si="1">SUM(K10:L10)</f>
        <v>117811500</v>
      </c>
      <c r="N10" s="4519">
        <f>N11</f>
        <v>166895000</v>
      </c>
      <c r="O10" s="4519">
        <f>O11</f>
        <v>5000000</v>
      </c>
      <c r="P10" s="4044">
        <f>SUM(O10/J10*100)</f>
        <v>3.08842150776738</v>
      </c>
      <c r="Q10" s="4840"/>
      <c r="R10" s="4045" t="s">
        <v>436</v>
      </c>
    </row>
    <row r="11" spans="1:18" s="2070" customFormat="1">
      <c r="A11" s="4046">
        <v>4</v>
      </c>
      <c r="B11" s="4046">
        <v>1</v>
      </c>
      <c r="C11" s="4046">
        <v>2</v>
      </c>
      <c r="D11" s="4047" t="s">
        <v>437</v>
      </c>
      <c r="E11" s="4048"/>
      <c r="F11" s="4049">
        <v>1</v>
      </c>
      <c r="G11" s="4050"/>
      <c r="H11" s="4051" t="s">
        <v>63</v>
      </c>
      <c r="I11" s="4051"/>
      <c r="J11" s="4521">
        <f>SUM(J12+J17)</f>
        <v>161895000</v>
      </c>
      <c r="K11" s="4522">
        <v>8429500</v>
      </c>
      <c r="L11" s="4521">
        <f>L12+L17</f>
        <v>4782000</v>
      </c>
      <c r="M11" s="4521">
        <f t="shared" si="1"/>
        <v>13211500</v>
      </c>
      <c r="N11" s="4521">
        <f>SUM(N12+N17)</f>
        <v>166895000</v>
      </c>
      <c r="O11" s="4604">
        <f>N11-J11</f>
        <v>5000000</v>
      </c>
      <c r="P11" s="4052">
        <f>M11/J11*100</f>
        <v>8.1605361499737494</v>
      </c>
      <c r="Q11" s="4839"/>
    </row>
    <row r="12" spans="1:18" s="2070" customFormat="1">
      <c r="A12" s="4053">
        <v>4</v>
      </c>
      <c r="B12" s="4053">
        <v>1</v>
      </c>
      <c r="C12" s="4053">
        <v>2</v>
      </c>
      <c r="D12" s="4053" t="s">
        <v>438</v>
      </c>
      <c r="E12" s="4054" t="s">
        <v>437</v>
      </c>
      <c r="F12" s="4049"/>
      <c r="G12" s="4055"/>
      <c r="H12" s="4056" t="s">
        <v>64</v>
      </c>
      <c r="I12" s="4056"/>
      <c r="J12" s="1727">
        <f>SUM(J13:J15)</f>
        <v>98395000</v>
      </c>
      <c r="K12" s="2159">
        <v>4949500</v>
      </c>
      <c r="L12" s="1727">
        <f>SUM(L13:L15)</f>
        <v>4782000</v>
      </c>
      <c r="M12" s="4253">
        <f t="shared" si="1"/>
        <v>9731500</v>
      </c>
      <c r="N12" s="1727">
        <f>SUM(N13:N15)</f>
        <v>98395000</v>
      </c>
      <c r="O12" s="4254">
        <f t="shared" si="0"/>
        <v>0</v>
      </c>
      <c r="P12" s="4057">
        <f>M12/J12*100</f>
        <v>9.8902383251181458</v>
      </c>
      <c r="Q12" s="4841">
        <f>J17+J82+J201+J218+J242+J525+J630+J669</f>
        <v>2547125000</v>
      </c>
      <c r="R12" s="4058" t="s">
        <v>439</v>
      </c>
    </row>
    <row r="13" spans="1:18" s="2070" customFormat="1">
      <c r="A13" s="4048"/>
      <c r="B13" s="4048"/>
      <c r="C13" s="4048"/>
      <c r="D13" s="4048"/>
      <c r="E13" s="4048"/>
      <c r="F13" s="4049"/>
      <c r="G13" s="4059"/>
      <c r="H13" s="4060" t="s">
        <v>50</v>
      </c>
      <c r="I13" s="4060" t="s">
        <v>65</v>
      </c>
      <c r="J13" s="1964">
        <v>33395000</v>
      </c>
      <c r="K13" s="2159">
        <v>0</v>
      </c>
      <c r="L13" s="2160">
        <v>750000</v>
      </c>
      <c r="M13" s="4253">
        <f t="shared" si="1"/>
        <v>750000</v>
      </c>
      <c r="N13" s="4248">
        <f>'KOM sementara'!P58</f>
        <v>33395000</v>
      </c>
      <c r="O13" s="4254">
        <f t="shared" si="0"/>
        <v>0</v>
      </c>
      <c r="P13" s="4061">
        <f>M13/J13*100</f>
        <v>2.2458451864051505</v>
      </c>
      <c r="Q13" s="4839">
        <f>Q12-[2]KOM!L111</f>
        <v>0</v>
      </c>
    </row>
    <row r="14" spans="1:18" s="2070" customFormat="1">
      <c r="A14" s="4048"/>
      <c r="B14" s="4048"/>
      <c r="C14" s="4048"/>
      <c r="D14" s="4048"/>
      <c r="E14" s="4048"/>
      <c r="F14" s="4049"/>
      <c r="G14" s="4059"/>
      <c r="H14" s="4060" t="s">
        <v>50</v>
      </c>
      <c r="I14" s="4060" t="s">
        <v>66</v>
      </c>
      <c r="J14" s="1964">
        <v>25000000</v>
      </c>
      <c r="K14" s="2159">
        <v>0</v>
      </c>
      <c r="L14" s="2160">
        <v>2000000</v>
      </c>
      <c r="M14" s="4253">
        <f t="shared" si="1"/>
        <v>2000000</v>
      </c>
      <c r="N14" s="4248">
        <f>'KOM sementara'!P59</f>
        <v>25000000</v>
      </c>
      <c r="O14" s="4254">
        <f t="shared" si="0"/>
        <v>0</v>
      </c>
      <c r="P14" s="4061">
        <f>M14/J14*100</f>
        <v>8</v>
      </c>
      <c r="Q14" s="4842">
        <f>J17</f>
        <v>63500000</v>
      </c>
    </row>
    <row r="15" spans="1:18" s="2070" customFormat="1">
      <c r="A15" s="4048"/>
      <c r="B15" s="4048"/>
      <c r="C15" s="4048"/>
      <c r="D15" s="4048"/>
      <c r="E15" s="4048"/>
      <c r="F15" s="4049"/>
      <c r="G15" s="4059"/>
      <c r="H15" s="4062" t="s">
        <v>50</v>
      </c>
      <c r="I15" s="4060" t="s">
        <v>67</v>
      </c>
      <c r="J15" s="1964">
        <v>40000000</v>
      </c>
      <c r="K15" s="2159">
        <v>4949500</v>
      </c>
      <c r="L15" s="2160">
        <f>2032000</f>
        <v>2032000</v>
      </c>
      <c r="M15" s="4253">
        <f t="shared" si="1"/>
        <v>6981500</v>
      </c>
      <c r="N15" s="1964">
        <f>'KOM sementara'!P60</f>
        <v>40000000</v>
      </c>
      <c r="O15" s="4254">
        <f t="shared" si="0"/>
        <v>0</v>
      </c>
      <c r="P15" s="4061">
        <f>M15/J15*100</f>
        <v>17.453749999999999</v>
      </c>
      <c r="Q15" s="4842">
        <f>J82</f>
        <v>210000000</v>
      </c>
    </row>
    <row r="16" spans="1:18" s="2070" customFormat="1" ht="6.75" customHeight="1">
      <c r="A16" s="4048"/>
      <c r="B16" s="4048"/>
      <c r="C16" s="4048"/>
      <c r="D16" s="4048"/>
      <c r="E16" s="4048"/>
      <c r="F16" s="4049"/>
      <c r="G16" s="4059"/>
      <c r="H16" s="4060"/>
      <c r="I16" s="4060"/>
      <c r="J16" s="4523"/>
      <c r="K16" s="2159"/>
      <c r="L16" s="4523"/>
      <c r="M16" s="4253"/>
      <c r="N16" s="4253"/>
      <c r="O16" s="4254">
        <f t="shared" si="0"/>
        <v>0</v>
      </c>
      <c r="P16" s="4061"/>
      <c r="Q16" s="4839">
        <f>J201</f>
        <v>0</v>
      </c>
    </row>
    <row r="17" spans="1:18" s="2070" customFormat="1">
      <c r="A17" s="4063">
        <v>4</v>
      </c>
      <c r="B17" s="4063">
        <v>1</v>
      </c>
      <c r="C17" s="4063">
        <v>2</v>
      </c>
      <c r="D17" s="4063" t="s">
        <v>438</v>
      </c>
      <c r="E17" s="4063" t="s">
        <v>440</v>
      </c>
      <c r="F17" s="4049"/>
      <c r="G17" s="4059"/>
      <c r="H17" s="4064" t="s">
        <v>68</v>
      </c>
      <c r="I17" s="4060"/>
      <c r="J17" s="4254">
        <f>SUM(J18:J19)</f>
        <v>63500000</v>
      </c>
      <c r="K17" s="2159">
        <v>3480000</v>
      </c>
      <c r="L17" s="4523">
        <f>SUM(L18:L19)</f>
        <v>0</v>
      </c>
      <c r="M17" s="4253">
        <f t="shared" ref="M17:M27" si="2">SUM(K17:L17)</f>
        <v>3480000</v>
      </c>
      <c r="N17" s="4253">
        <f>SUM(N18:N19)</f>
        <v>68500000</v>
      </c>
      <c r="O17" s="4254">
        <f t="shared" si="0"/>
        <v>5000000</v>
      </c>
      <c r="P17" s="4061">
        <f>M17/J17*100</f>
        <v>5.4803149606299213</v>
      </c>
      <c r="Q17" s="4842">
        <f>J218</f>
        <v>75000000</v>
      </c>
    </row>
    <row r="18" spans="1:18" s="2070" customFormat="1">
      <c r="A18" s="4048"/>
      <c r="B18" s="4048"/>
      <c r="C18" s="4048"/>
      <c r="D18" s="4048"/>
      <c r="E18" s="4048"/>
      <c r="F18" s="4049"/>
      <c r="G18" s="4059"/>
      <c r="H18" s="4062" t="s">
        <v>50</v>
      </c>
      <c r="I18" s="4060" t="s">
        <v>69</v>
      </c>
      <c r="J18" s="1964">
        <v>60000000</v>
      </c>
      <c r="K18" s="2159">
        <v>3480000</v>
      </c>
      <c r="L18" s="2160">
        <v>0</v>
      </c>
      <c r="M18" s="4253">
        <f t="shared" si="2"/>
        <v>3480000</v>
      </c>
      <c r="N18" s="4248">
        <f>'KOM sementara'!P141</f>
        <v>65000000</v>
      </c>
      <c r="O18" s="4254">
        <f t="shared" si="0"/>
        <v>5000000</v>
      </c>
      <c r="P18" s="4061">
        <f>M18/J18*100</f>
        <v>5.8000000000000007</v>
      </c>
      <c r="Q18" s="4842">
        <f>J242</f>
        <v>348625000</v>
      </c>
    </row>
    <row r="19" spans="1:18" s="2070" customFormat="1">
      <c r="A19" s="4048"/>
      <c r="B19" s="4048"/>
      <c r="C19" s="4048"/>
      <c r="D19" s="4048"/>
      <c r="E19" s="4048"/>
      <c r="F19" s="4049"/>
      <c r="G19" s="4059"/>
      <c r="H19" s="4062" t="s">
        <v>50</v>
      </c>
      <c r="I19" s="4060" t="s">
        <v>70</v>
      </c>
      <c r="J19" s="1964">
        <v>3500000</v>
      </c>
      <c r="K19" s="2159">
        <v>0</v>
      </c>
      <c r="L19" s="2160">
        <f>'[2]ALL BULAN'!E19</f>
        <v>0</v>
      </c>
      <c r="M19" s="4253">
        <f t="shared" si="2"/>
        <v>0</v>
      </c>
      <c r="N19" s="4248">
        <f>'KOM sementara'!P142</f>
        <v>3500000</v>
      </c>
      <c r="O19" s="4254">
        <f t="shared" si="0"/>
        <v>0</v>
      </c>
      <c r="P19" s="4061">
        <f>M19/J19*100</f>
        <v>0</v>
      </c>
      <c r="Q19" s="4842">
        <f>J525</f>
        <v>1500000000</v>
      </c>
    </row>
    <row r="20" spans="1:18" s="2070" customFormat="1" ht="7.55" customHeight="1">
      <c r="A20" s="4048"/>
      <c r="B20" s="4048"/>
      <c r="C20" s="4048"/>
      <c r="D20" s="4048"/>
      <c r="E20" s="4048"/>
      <c r="F20" s="4049"/>
      <c r="G20" s="4059"/>
      <c r="H20" s="4060"/>
      <c r="I20" s="4060"/>
      <c r="J20" s="4523"/>
      <c r="K20" s="2159">
        <v>0</v>
      </c>
      <c r="L20" s="4523"/>
      <c r="M20" s="4253">
        <f t="shared" si="2"/>
        <v>0</v>
      </c>
      <c r="N20" s="4253"/>
      <c r="O20" s="4254">
        <f t="shared" si="0"/>
        <v>0</v>
      </c>
      <c r="P20" s="4061">
        <v>0</v>
      </c>
      <c r="Q20" s="4842">
        <f>J630</f>
        <v>150000000</v>
      </c>
    </row>
    <row r="21" spans="1:18" s="2070" customFormat="1">
      <c r="A21" s="4065">
        <v>4</v>
      </c>
      <c r="B21" s="4065">
        <v>1</v>
      </c>
      <c r="C21" s="4065">
        <v>4</v>
      </c>
      <c r="D21" s="4048"/>
      <c r="E21" s="4048"/>
      <c r="F21" s="4066">
        <v>3</v>
      </c>
      <c r="G21" s="4067"/>
      <c r="H21" s="4068" t="s">
        <v>71</v>
      </c>
      <c r="I21" s="4068"/>
      <c r="J21" s="4254">
        <v>0</v>
      </c>
      <c r="K21" s="2159">
        <v>32200000</v>
      </c>
      <c r="L21" s="4254">
        <f>SUM(L22:L27)</f>
        <v>72400000</v>
      </c>
      <c r="M21" s="4253">
        <f t="shared" si="2"/>
        <v>104600000</v>
      </c>
      <c r="N21" s="4253">
        <v>0</v>
      </c>
      <c r="O21" s="4254">
        <f t="shared" si="0"/>
        <v>0</v>
      </c>
      <c r="P21" s="4061">
        <v>0</v>
      </c>
      <c r="Q21" s="4842">
        <f>J669</f>
        <v>200000000</v>
      </c>
    </row>
    <row r="22" spans="1:18" s="2070" customFormat="1">
      <c r="A22" s="4065">
        <v>4</v>
      </c>
      <c r="B22" s="4065">
        <v>1</v>
      </c>
      <c r="C22" s="4065">
        <v>4</v>
      </c>
      <c r="D22" s="4065" t="s">
        <v>441</v>
      </c>
      <c r="E22" s="4048"/>
      <c r="F22" s="4049"/>
      <c r="G22" s="4067"/>
      <c r="H22" s="4064" t="s">
        <v>50</v>
      </c>
      <c r="I22" s="4060" t="s">
        <v>72</v>
      </c>
      <c r="J22" s="1964">
        <v>0</v>
      </c>
      <c r="K22" s="2159">
        <v>32200000</v>
      </c>
      <c r="L22" s="2160">
        <v>72400000</v>
      </c>
      <c r="M22" s="4253">
        <f t="shared" si="2"/>
        <v>104600000</v>
      </c>
      <c r="N22" s="4253">
        <v>0</v>
      </c>
      <c r="O22" s="4254">
        <f t="shared" si="0"/>
        <v>0</v>
      </c>
      <c r="P22" s="4061">
        <v>0</v>
      </c>
      <c r="Q22" s="4839">
        <f>J672+J701+J740</f>
        <v>2113387000</v>
      </c>
      <c r="R22" s="2070" t="s">
        <v>442</v>
      </c>
    </row>
    <row r="23" spans="1:18" s="2070" customFormat="1">
      <c r="A23" s="4054">
        <v>4</v>
      </c>
      <c r="B23" s="4054">
        <v>1</v>
      </c>
      <c r="C23" s="4054" t="s">
        <v>443</v>
      </c>
      <c r="D23" s="4054" t="s">
        <v>444</v>
      </c>
      <c r="E23" s="4054" t="s">
        <v>440</v>
      </c>
      <c r="F23" s="4049"/>
      <c r="G23" s="4067"/>
      <c r="H23" s="4064" t="s">
        <v>50</v>
      </c>
      <c r="I23" s="4060" t="s">
        <v>73</v>
      </c>
      <c r="J23" s="1964">
        <v>0</v>
      </c>
      <c r="K23" s="2159">
        <v>0</v>
      </c>
      <c r="L23" s="2160">
        <f>'[2]ALL BULAN'!E23</f>
        <v>0</v>
      </c>
      <c r="M23" s="4253">
        <f t="shared" si="2"/>
        <v>0</v>
      </c>
      <c r="N23" s="4253">
        <v>0</v>
      </c>
      <c r="O23" s="4254">
        <f t="shared" si="0"/>
        <v>0</v>
      </c>
      <c r="P23" s="4061">
        <v>0</v>
      </c>
      <c r="Q23" s="4839">
        <f>Q22-[2]KOM!L132</f>
        <v>0</v>
      </c>
    </row>
    <row r="24" spans="1:18" s="2070" customFormat="1">
      <c r="A24" s="4069">
        <v>4</v>
      </c>
      <c r="B24" s="4069">
        <v>1</v>
      </c>
      <c r="C24" s="4069" t="s">
        <v>443</v>
      </c>
      <c r="D24" s="4069" t="s">
        <v>444</v>
      </c>
      <c r="E24" s="4070" t="s">
        <v>445</v>
      </c>
      <c r="F24" s="4049"/>
      <c r="G24" s="4067"/>
      <c r="H24" s="4064" t="s">
        <v>50</v>
      </c>
      <c r="I24" s="4060" t="s">
        <v>74</v>
      </c>
      <c r="J24" s="1964">
        <v>0</v>
      </c>
      <c r="K24" s="2159">
        <v>0</v>
      </c>
      <c r="L24" s="2160">
        <f>'[2]ALL BULAN'!E24</f>
        <v>0</v>
      </c>
      <c r="M24" s="4253">
        <f t="shared" si="2"/>
        <v>0</v>
      </c>
      <c r="N24" s="4253">
        <v>0</v>
      </c>
      <c r="O24" s="4254">
        <f t="shared" si="0"/>
        <v>0</v>
      </c>
      <c r="P24" s="4061">
        <v>0</v>
      </c>
      <c r="Q24" s="4839">
        <f>J45+J57</f>
        <v>7500000000</v>
      </c>
      <c r="R24" s="2070" t="s">
        <v>446</v>
      </c>
    </row>
    <row r="25" spans="1:18" s="2070" customFormat="1">
      <c r="A25" s="4054">
        <v>4</v>
      </c>
      <c r="B25" s="4054">
        <v>1</v>
      </c>
      <c r="C25" s="4054" t="s">
        <v>443</v>
      </c>
      <c r="D25" s="4054" t="s">
        <v>444</v>
      </c>
      <c r="E25" s="4054" t="s">
        <v>441</v>
      </c>
      <c r="F25" s="4049"/>
      <c r="G25" s="4059"/>
      <c r="H25" s="4060" t="s">
        <v>308</v>
      </c>
      <c r="I25" s="4060" t="s">
        <v>75</v>
      </c>
      <c r="J25" s="1964">
        <v>0</v>
      </c>
      <c r="K25" s="2159">
        <v>0</v>
      </c>
      <c r="L25" s="2160">
        <f>'[2]ALL BULAN'!E25</f>
        <v>0</v>
      </c>
      <c r="M25" s="4253">
        <f t="shared" si="2"/>
        <v>0</v>
      </c>
      <c r="N25" s="4253">
        <v>0</v>
      </c>
      <c r="O25" s="4254">
        <f t="shared" si="0"/>
        <v>0</v>
      </c>
      <c r="P25" s="4061">
        <v>0</v>
      </c>
      <c r="Q25" s="4839"/>
    </row>
    <row r="26" spans="1:18" s="2070" customFormat="1">
      <c r="A26" s="4048"/>
      <c r="B26" s="4048"/>
      <c r="C26" s="4048"/>
      <c r="D26" s="4048"/>
      <c r="E26" s="4048"/>
      <c r="F26" s="4049"/>
      <c r="G26" s="4059"/>
      <c r="H26" s="4060" t="s">
        <v>50</v>
      </c>
      <c r="I26" s="4060" t="s">
        <v>76</v>
      </c>
      <c r="J26" s="1964">
        <v>0</v>
      </c>
      <c r="K26" s="2159">
        <v>0</v>
      </c>
      <c r="L26" s="2160">
        <f>'[2]ALL BULAN'!E26</f>
        <v>0</v>
      </c>
      <c r="M26" s="4253">
        <f t="shared" si="2"/>
        <v>0</v>
      </c>
      <c r="N26" s="4253">
        <v>0</v>
      </c>
      <c r="O26" s="4254">
        <f t="shared" si="0"/>
        <v>0</v>
      </c>
      <c r="P26" s="4061">
        <v>0</v>
      </c>
      <c r="Q26" s="4839"/>
    </row>
    <row r="27" spans="1:18" s="2070" customFormat="1">
      <c r="A27" s="4054">
        <v>4</v>
      </c>
      <c r="B27" s="4054">
        <v>1</v>
      </c>
      <c r="C27" s="4054" t="s">
        <v>443</v>
      </c>
      <c r="D27" s="4054" t="s">
        <v>447</v>
      </c>
      <c r="E27" s="4054" t="s">
        <v>437</v>
      </c>
      <c r="F27" s="4049"/>
      <c r="G27" s="4059"/>
      <c r="H27" s="4060" t="s">
        <v>50</v>
      </c>
      <c r="I27" s="4060" t="s">
        <v>77</v>
      </c>
      <c r="J27" s="1964">
        <v>0</v>
      </c>
      <c r="K27" s="2159">
        <v>0</v>
      </c>
      <c r="L27" s="2160">
        <f>'[2]ALL BULAN'!E27</f>
        <v>0</v>
      </c>
      <c r="M27" s="4253">
        <f t="shared" si="2"/>
        <v>0</v>
      </c>
      <c r="N27" s="4253">
        <v>0</v>
      </c>
      <c r="O27" s="4254">
        <f t="shared" si="0"/>
        <v>0</v>
      </c>
      <c r="P27" s="4061">
        <v>0</v>
      </c>
      <c r="Q27" s="4839"/>
    </row>
    <row r="28" spans="1:18" s="2070" customFormat="1" ht="5.95" customHeight="1">
      <c r="A28" s="4048"/>
      <c r="B28" s="4048"/>
      <c r="C28" s="4048"/>
      <c r="D28" s="4048"/>
      <c r="E28" s="4048"/>
      <c r="F28" s="4049"/>
      <c r="G28" s="4071"/>
      <c r="H28" s="4072"/>
      <c r="I28" s="4072"/>
      <c r="J28" s="4524"/>
      <c r="K28" s="2167"/>
      <c r="L28" s="4524"/>
      <c r="M28" s="4525"/>
      <c r="N28" s="4525"/>
      <c r="O28" s="4525"/>
      <c r="P28" s="4073"/>
      <c r="Q28" s="4839"/>
    </row>
    <row r="29" spans="1:18" s="4612" customFormat="1" ht="18.8" customHeight="1">
      <c r="A29" s="4605"/>
      <c r="B29" s="4605"/>
      <c r="C29" s="4605"/>
      <c r="D29" s="4605"/>
      <c r="E29" s="4605"/>
      <c r="F29" s="4606"/>
      <c r="G29" s="4607" t="s">
        <v>78</v>
      </c>
      <c r="H29" s="4608" t="s">
        <v>79</v>
      </c>
      <c r="I29" s="4609"/>
      <c r="J29" s="4610">
        <f>J31+J43+J54+J66+J78</f>
        <v>9997286650</v>
      </c>
      <c r="K29" s="4610">
        <f>K31+K43+K54+K66+K78</f>
        <v>2031539741</v>
      </c>
      <c r="L29" s="4610">
        <f>L31+L43+L54+L66+L78</f>
        <v>1047828867</v>
      </c>
      <c r="M29" s="4610">
        <f>M31+M43+M54+M66+M78</f>
        <v>3079368608</v>
      </c>
      <c r="N29" s="4610">
        <f>SUM(N31+N43+N54+N66+N78)</f>
        <v>10000000000</v>
      </c>
      <c r="O29" s="4610">
        <f>SUM(N29-J29)</f>
        <v>2713350</v>
      </c>
      <c r="P29" s="4611">
        <f>SUM(O29/J29*100)</f>
        <v>2.7140864266405721E-2</v>
      </c>
      <c r="Q29" s="4843"/>
    </row>
    <row r="30" spans="1:18" s="2070" customFormat="1" ht="6.75" customHeight="1">
      <c r="A30" s="4048"/>
      <c r="B30" s="4048"/>
      <c r="C30" s="4048"/>
      <c r="D30" s="4048"/>
      <c r="E30" s="4048"/>
      <c r="F30" s="4049"/>
      <c r="G30" s="4055"/>
      <c r="H30" s="4056"/>
      <c r="I30" s="4056"/>
      <c r="J30" s="1727"/>
      <c r="K30" s="2144"/>
      <c r="L30" s="1727"/>
      <c r="M30" s="1727"/>
      <c r="N30" s="1727"/>
      <c r="O30" s="1727"/>
      <c r="P30" s="4038"/>
      <c r="Q30" s="4839"/>
    </row>
    <row r="31" spans="1:18" s="4622" customFormat="1" ht="15.65">
      <c r="A31" s="4613"/>
      <c r="B31" s="4613"/>
      <c r="C31" s="4613"/>
      <c r="D31" s="4613"/>
      <c r="E31" s="4613"/>
      <c r="F31" s="4614"/>
      <c r="G31" s="4615"/>
      <c r="H31" s="4616" t="s">
        <v>79</v>
      </c>
      <c r="I31" s="4617"/>
      <c r="J31" s="4618">
        <v>0</v>
      </c>
      <c r="K31" s="4619">
        <v>0</v>
      </c>
      <c r="L31" s="4618">
        <f>L32+L35</f>
        <v>0</v>
      </c>
      <c r="M31" s="4620">
        <f>SUM(K31:L31)</f>
        <v>0</v>
      </c>
      <c r="N31" s="4620"/>
      <c r="O31" s="4620">
        <f t="shared" ref="O31:O41" si="3">M31-J31</f>
        <v>0</v>
      </c>
      <c r="P31" s="4621">
        <v>0</v>
      </c>
      <c r="Q31" s="4844"/>
    </row>
    <row r="32" spans="1:18" s="2070" customFormat="1">
      <c r="A32" s="4074">
        <v>4</v>
      </c>
      <c r="B32" s="4074">
        <v>1</v>
      </c>
      <c r="C32" s="4074">
        <v>2</v>
      </c>
      <c r="D32" s="4074" t="s">
        <v>437</v>
      </c>
      <c r="E32" s="4048"/>
      <c r="F32" s="4075">
        <v>1</v>
      </c>
      <c r="G32" s="4076"/>
      <c r="H32" s="4077" t="s">
        <v>63</v>
      </c>
      <c r="I32" s="4078"/>
      <c r="J32" s="4526">
        <v>0</v>
      </c>
      <c r="K32" s="2178">
        <v>0</v>
      </c>
      <c r="L32" s="4526">
        <f>L33</f>
        <v>0</v>
      </c>
      <c r="M32" s="4527">
        <f>SUM(K32:L32)</f>
        <v>0</v>
      </c>
      <c r="N32" s="2260"/>
      <c r="O32" s="4254">
        <f t="shared" si="3"/>
        <v>0</v>
      </c>
      <c r="P32" s="4061">
        <v>0</v>
      </c>
      <c r="Q32" s="4839"/>
    </row>
    <row r="33" spans="1:17" s="2070" customFormat="1">
      <c r="A33" s="4079">
        <v>4</v>
      </c>
      <c r="B33" s="4079">
        <v>1</v>
      </c>
      <c r="C33" s="4079">
        <v>2</v>
      </c>
      <c r="D33" s="4079" t="s">
        <v>438</v>
      </c>
      <c r="E33" s="4054" t="s">
        <v>448</v>
      </c>
      <c r="F33" s="4049"/>
      <c r="G33" s="4059"/>
      <c r="H33" s="4060" t="s">
        <v>50</v>
      </c>
      <c r="I33" s="4060" t="s">
        <v>80</v>
      </c>
      <c r="J33" s="1964">
        <v>0</v>
      </c>
      <c r="K33" s="2180">
        <v>0</v>
      </c>
      <c r="L33" s="2160">
        <f>'[2]ALL BULAN'!E33</f>
        <v>0</v>
      </c>
      <c r="M33" s="2181">
        <f>SUM(K33:L33)</f>
        <v>0</v>
      </c>
      <c r="N33" s="2318"/>
      <c r="O33" s="4254">
        <f t="shared" si="3"/>
        <v>0</v>
      </c>
      <c r="P33" s="4061">
        <v>0</v>
      </c>
      <c r="Q33" s="4839"/>
    </row>
    <row r="34" spans="1:17" s="2070" customFormat="1" ht="8.3000000000000007" customHeight="1">
      <c r="A34" s="4048"/>
      <c r="B34" s="4048"/>
      <c r="C34" s="4048"/>
      <c r="D34" s="4048"/>
      <c r="E34" s="4048"/>
      <c r="F34" s="4049"/>
      <c r="G34" s="4059"/>
      <c r="H34" s="4060"/>
      <c r="I34" s="4060"/>
      <c r="J34" s="4523"/>
      <c r="K34" s="2159"/>
      <c r="L34" s="4523"/>
      <c r="M34" s="4253"/>
      <c r="N34" s="4253"/>
      <c r="O34" s="4254">
        <f t="shared" si="3"/>
        <v>0</v>
      </c>
      <c r="P34" s="4061">
        <f>O34-K34</f>
        <v>0</v>
      </c>
      <c r="Q34" s="4839"/>
    </row>
    <row r="35" spans="1:17" s="2070" customFormat="1">
      <c r="A35" s="4065">
        <v>4</v>
      </c>
      <c r="B35" s="4065">
        <v>1</v>
      </c>
      <c r="C35" s="4065">
        <v>4</v>
      </c>
      <c r="D35" s="4048"/>
      <c r="E35" s="4048"/>
      <c r="F35" s="4066">
        <v>3</v>
      </c>
      <c r="G35" s="4059"/>
      <c r="H35" s="4068" t="s">
        <v>71</v>
      </c>
      <c r="I35" s="4068"/>
      <c r="J35" s="4254">
        <v>0</v>
      </c>
      <c r="K35" s="2159">
        <v>0</v>
      </c>
      <c r="L35" s="4254">
        <f>SUM(L36:L41)</f>
        <v>0</v>
      </c>
      <c r="M35" s="4253">
        <f t="shared" ref="M35:M41" si="4">SUM(K35:L35)</f>
        <v>0</v>
      </c>
      <c r="N35" s="4253"/>
      <c r="O35" s="4254">
        <f t="shared" si="3"/>
        <v>0</v>
      </c>
      <c r="P35" s="4061">
        <v>0</v>
      </c>
      <c r="Q35" s="4839"/>
    </row>
    <row r="36" spans="1:17" s="2070" customFormat="1">
      <c r="A36" s="4065">
        <v>4</v>
      </c>
      <c r="B36" s="4065">
        <v>1</v>
      </c>
      <c r="C36" s="4065">
        <v>4</v>
      </c>
      <c r="D36" s="4065" t="s">
        <v>441</v>
      </c>
      <c r="E36" s="4048"/>
      <c r="F36" s="4049"/>
      <c r="G36" s="4059"/>
      <c r="H36" s="4062" t="s">
        <v>50</v>
      </c>
      <c r="I36" s="4060" t="s">
        <v>72</v>
      </c>
      <c r="J36" s="1964">
        <v>0</v>
      </c>
      <c r="K36" s="2159">
        <v>0</v>
      </c>
      <c r="L36" s="2160">
        <f>'[2]ALL BULAN'!E36</f>
        <v>0</v>
      </c>
      <c r="M36" s="4253">
        <f t="shared" si="4"/>
        <v>0</v>
      </c>
      <c r="N36" s="4253"/>
      <c r="O36" s="4254">
        <f t="shared" si="3"/>
        <v>0</v>
      </c>
      <c r="P36" s="4061">
        <v>0</v>
      </c>
      <c r="Q36" s="4839"/>
    </row>
    <row r="37" spans="1:17" s="2070" customFormat="1">
      <c r="A37" s="4054">
        <v>4</v>
      </c>
      <c r="B37" s="4054">
        <v>1</v>
      </c>
      <c r="C37" s="4054" t="s">
        <v>443</v>
      </c>
      <c r="D37" s="4054" t="s">
        <v>444</v>
      </c>
      <c r="E37" s="4054" t="s">
        <v>440</v>
      </c>
      <c r="F37" s="4049"/>
      <c r="G37" s="4059"/>
      <c r="H37" s="4062" t="s">
        <v>50</v>
      </c>
      <c r="I37" s="4060" t="s">
        <v>73</v>
      </c>
      <c r="J37" s="1964">
        <v>0</v>
      </c>
      <c r="K37" s="2159">
        <v>0</v>
      </c>
      <c r="L37" s="2160">
        <f>'[2]ALL BULAN'!E37</f>
        <v>0</v>
      </c>
      <c r="M37" s="4253">
        <f t="shared" si="4"/>
        <v>0</v>
      </c>
      <c r="N37" s="4253"/>
      <c r="O37" s="4254">
        <f t="shared" si="3"/>
        <v>0</v>
      </c>
      <c r="P37" s="4061">
        <v>0</v>
      </c>
      <c r="Q37" s="4839"/>
    </row>
    <row r="38" spans="1:17" s="2070" customFormat="1">
      <c r="A38" s="4069">
        <v>4</v>
      </c>
      <c r="B38" s="4069">
        <v>1</v>
      </c>
      <c r="C38" s="4069" t="s">
        <v>443</v>
      </c>
      <c r="D38" s="4069" t="s">
        <v>444</v>
      </c>
      <c r="E38" s="4070" t="s">
        <v>445</v>
      </c>
      <c r="F38" s="4049"/>
      <c r="G38" s="4059"/>
      <c r="H38" s="4062" t="s">
        <v>50</v>
      </c>
      <c r="I38" s="4060" t="s">
        <v>74</v>
      </c>
      <c r="J38" s="1964">
        <v>0</v>
      </c>
      <c r="K38" s="2159">
        <v>0</v>
      </c>
      <c r="L38" s="2160">
        <f>'[2]ALL BULAN'!E38</f>
        <v>0</v>
      </c>
      <c r="M38" s="4253">
        <f t="shared" si="4"/>
        <v>0</v>
      </c>
      <c r="N38" s="4253"/>
      <c r="O38" s="4254">
        <f t="shared" si="3"/>
        <v>0</v>
      </c>
      <c r="P38" s="4061">
        <v>0</v>
      </c>
      <c r="Q38" s="4839"/>
    </row>
    <row r="39" spans="1:17" s="2070" customFormat="1">
      <c r="A39" s="4054">
        <v>4</v>
      </c>
      <c r="B39" s="4054">
        <v>1</v>
      </c>
      <c r="C39" s="4054" t="s">
        <v>443</v>
      </c>
      <c r="D39" s="4054" t="s">
        <v>444</v>
      </c>
      <c r="E39" s="4054" t="s">
        <v>441</v>
      </c>
      <c r="F39" s="4049"/>
      <c r="G39" s="4059"/>
      <c r="H39" s="4060" t="s">
        <v>308</v>
      </c>
      <c r="I39" s="4060" t="s">
        <v>75</v>
      </c>
      <c r="J39" s="1964">
        <v>0</v>
      </c>
      <c r="K39" s="2159">
        <v>0</v>
      </c>
      <c r="L39" s="2160">
        <f>'[2]ALL BULAN'!E39</f>
        <v>0</v>
      </c>
      <c r="M39" s="4253">
        <f t="shared" si="4"/>
        <v>0</v>
      </c>
      <c r="N39" s="4253"/>
      <c r="O39" s="4254">
        <f t="shared" si="3"/>
        <v>0</v>
      </c>
      <c r="P39" s="4061">
        <v>0</v>
      </c>
      <c r="Q39" s="4839"/>
    </row>
    <row r="40" spans="1:17" s="2070" customFormat="1">
      <c r="A40" s="4048"/>
      <c r="B40" s="4048"/>
      <c r="C40" s="4048"/>
      <c r="D40" s="4048"/>
      <c r="E40" s="4048"/>
      <c r="F40" s="4049"/>
      <c r="G40" s="4059"/>
      <c r="H40" s="4060" t="s">
        <v>50</v>
      </c>
      <c r="I40" s="4060" t="s">
        <v>76</v>
      </c>
      <c r="J40" s="1964">
        <v>0</v>
      </c>
      <c r="K40" s="2159">
        <v>0</v>
      </c>
      <c r="L40" s="2160">
        <f>'[2]ALL BULAN'!E40</f>
        <v>0</v>
      </c>
      <c r="M40" s="4253">
        <f t="shared" si="4"/>
        <v>0</v>
      </c>
      <c r="N40" s="4253"/>
      <c r="O40" s="4254">
        <f t="shared" si="3"/>
        <v>0</v>
      </c>
      <c r="P40" s="4061">
        <v>0</v>
      </c>
      <c r="Q40" s="4839"/>
    </row>
    <row r="41" spans="1:17" s="2070" customFormat="1">
      <c r="A41" s="4054">
        <v>4</v>
      </c>
      <c r="B41" s="4054">
        <v>1</v>
      </c>
      <c r="C41" s="4054" t="s">
        <v>443</v>
      </c>
      <c r="D41" s="4054" t="s">
        <v>447</v>
      </c>
      <c r="E41" s="4054" t="s">
        <v>437</v>
      </c>
      <c r="F41" s="4049"/>
      <c r="G41" s="4080"/>
      <c r="H41" s="4081" t="s">
        <v>50</v>
      </c>
      <c r="I41" s="4060" t="s">
        <v>81</v>
      </c>
      <c r="J41" s="1964">
        <v>0</v>
      </c>
      <c r="K41" s="2159">
        <v>0</v>
      </c>
      <c r="L41" s="2160">
        <f>'[2]ALL BULAN'!E41</f>
        <v>0</v>
      </c>
      <c r="M41" s="4253">
        <f t="shared" si="4"/>
        <v>0</v>
      </c>
      <c r="N41" s="4253"/>
      <c r="O41" s="4254">
        <f t="shared" si="3"/>
        <v>0</v>
      </c>
      <c r="P41" s="4061">
        <v>0</v>
      </c>
      <c r="Q41" s="4839"/>
    </row>
    <row r="42" spans="1:17" s="2070" customFormat="1" ht="5.95" customHeight="1">
      <c r="A42" s="4048"/>
      <c r="B42" s="4048"/>
      <c r="C42" s="4048"/>
      <c r="D42" s="4048"/>
      <c r="E42" s="4048"/>
      <c r="F42" s="4049"/>
      <c r="G42" s="4082"/>
      <c r="H42" s="4083"/>
      <c r="I42" s="4083"/>
      <c r="J42" s="4528"/>
      <c r="K42" s="2183"/>
      <c r="L42" s="4528"/>
      <c r="M42" s="4529"/>
      <c r="N42" s="4529"/>
      <c r="O42" s="4529"/>
      <c r="P42" s="4084"/>
      <c r="Q42" s="4839"/>
    </row>
    <row r="43" spans="1:17" s="4622" customFormat="1" ht="15.65">
      <c r="A43" s="4613"/>
      <c r="B43" s="4613"/>
      <c r="C43" s="4613"/>
      <c r="D43" s="4613"/>
      <c r="E43" s="4613"/>
      <c r="F43" s="4614"/>
      <c r="G43" s="4623"/>
      <c r="H43" s="4624" t="s">
        <v>82</v>
      </c>
      <c r="I43" s="4625"/>
      <c r="J43" s="4626">
        <f>J44</f>
        <v>4500000000</v>
      </c>
      <c r="K43" s="4619">
        <v>1633527700</v>
      </c>
      <c r="L43" s="4626">
        <f>L44+L47</f>
        <v>818193200</v>
      </c>
      <c r="M43" s="4620">
        <f>SUM(K43:L43)</f>
        <v>2451720900</v>
      </c>
      <c r="N43" s="4620">
        <f>N44</f>
        <v>5500000000</v>
      </c>
      <c r="O43" s="4626">
        <f>N43-J43</f>
        <v>1000000000</v>
      </c>
      <c r="P43" s="4621">
        <f>O43/J43*100</f>
        <v>22.222222222222221</v>
      </c>
      <c r="Q43" s="4844"/>
    </row>
    <row r="44" spans="1:17" s="2070" customFormat="1">
      <c r="A44" s="4074">
        <v>4</v>
      </c>
      <c r="B44" s="4074">
        <v>1</v>
      </c>
      <c r="C44" s="4074">
        <v>2</v>
      </c>
      <c r="D44" s="4074" t="s">
        <v>437</v>
      </c>
      <c r="E44" s="4048"/>
      <c r="F44" s="4066">
        <v>1</v>
      </c>
      <c r="G44" s="4086"/>
      <c r="H44" s="4087" t="s">
        <v>83</v>
      </c>
      <c r="I44" s="4087"/>
      <c r="J44" s="4530">
        <f>J45</f>
        <v>4500000000</v>
      </c>
      <c r="K44" s="2159">
        <v>1633527700</v>
      </c>
      <c r="L44" s="4530">
        <f>SUM(L45)</f>
        <v>818193200</v>
      </c>
      <c r="M44" s="4253">
        <f>SUM(K44:L44)</f>
        <v>2451720900</v>
      </c>
      <c r="N44" s="4253">
        <f>N45</f>
        <v>5500000000</v>
      </c>
      <c r="O44" s="4254">
        <f>N44-J44</f>
        <v>1000000000</v>
      </c>
      <c r="P44" s="4636">
        <f>O44/J44*100</f>
        <v>22.222222222222221</v>
      </c>
      <c r="Q44" s="4839"/>
    </row>
    <row r="45" spans="1:17" s="2070" customFormat="1">
      <c r="A45" s="4079">
        <v>4</v>
      </c>
      <c r="B45" s="4079">
        <v>1</v>
      </c>
      <c r="C45" s="4079">
        <v>2</v>
      </c>
      <c r="D45" s="4079" t="s">
        <v>437</v>
      </c>
      <c r="E45" s="4054" t="s">
        <v>437</v>
      </c>
      <c r="F45" s="4049"/>
      <c r="G45" s="4088"/>
      <c r="H45" s="4089" t="s">
        <v>50</v>
      </c>
      <c r="I45" s="4090" t="s">
        <v>84</v>
      </c>
      <c r="J45" s="1964">
        <v>4500000000</v>
      </c>
      <c r="K45" s="2159">
        <v>1633527700</v>
      </c>
      <c r="L45" s="2160">
        <f>818193200</f>
        <v>818193200</v>
      </c>
      <c r="M45" s="4253">
        <f>SUM(K45:L45)</f>
        <v>2451720900</v>
      </c>
      <c r="N45" s="4248">
        <v>5500000000</v>
      </c>
      <c r="O45" s="4254">
        <f>N45-J45</f>
        <v>1000000000</v>
      </c>
      <c r="P45" s="4636">
        <f>O45/J45*100</f>
        <v>22.222222222222221</v>
      </c>
      <c r="Q45" s="4839"/>
    </row>
    <row r="46" spans="1:17" s="2070" customFormat="1" ht="5.95" customHeight="1">
      <c r="A46" s="4048"/>
      <c r="B46" s="4048"/>
      <c r="C46" s="4048"/>
      <c r="D46" s="4048"/>
      <c r="E46" s="4048"/>
      <c r="F46" s="4049"/>
      <c r="G46" s="4088"/>
      <c r="H46" s="4090"/>
      <c r="I46" s="4090"/>
      <c r="J46" s="2188"/>
      <c r="K46" s="2180"/>
      <c r="L46" s="2188"/>
      <c r="M46" s="2189"/>
      <c r="N46" s="2576"/>
      <c r="O46" s="2260">
        <f t="shared" ref="O46:O52" si="5">M46-J46</f>
        <v>0</v>
      </c>
      <c r="P46" s="4061">
        <f>O46-K46</f>
        <v>0</v>
      </c>
      <c r="Q46" s="4839"/>
    </row>
    <row r="47" spans="1:17" s="2070" customFormat="1">
      <c r="A47" s="4065">
        <v>4</v>
      </c>
      <c r="B47" s="4065">
        <v>1</v>
      </c>
      <c r="C47" s="4065">
        <v>4</v>
      </c>
      <c r="D47" s="4048"/>
      <c r="E47" s="4048"/>
      <c r="F47" s="4066">
        <v>3</v>
      </c>
      <c r="G47" s="4091"/>
      <c r="H47" s="4092" t="s">
        <v>71</v>
      </c>
      <c r="I47" s="4092"/>
      <c r="J47" s="2190">
        <v>0</v>
      </c>
      <c r="K47" s="2159">
        <v>0</v>
      </c>
      <c r="L47" s="2190">
        <f>SUM(L48:L52)</f>
        <v>0</v>
      </c>
      <c r="M47" s="4253">
        <f t="shared" ref="M47:M52" si="6">SUM(K47:L47)</f>
        <v>0</v>
      </c>
      <c r="N47" s="4253"/>
      <c r="O47" s="4254">
        <f t="shared" si="5"/>
        <v>0</v>
      </c>
      <c r="P47" s="4061">
        <v>0</v>
      </c>
      <c r="Q47" s="4839"/>
    </row>
    <row r="48" spans="1:17" s="2070" customFormat="1">
      <c r="A48" s="4065">
        <v>4</v>
      </c>
      <c r="B48" s="4065">
        <v>1</v>
      </c>
      <c r="C48" s="4065">
        <v>4</v>
      </c>
      <c r="D48" s="4065" t="s">
        <v>441</v>
      </c>
      <c r="E48" s="4048"/>
      <c r="F48" s="4049"/>
      <c r="G48" s="4091"/>
      <c r="H48" s="4089" t="s">
        <v>50</v>
      </c>
      <c r="I48" s="4060" t="s">
        <v>72</v>
      </c>
      <c r="J48" s="1964">
        <v>0</v>
      </c>
      <c r="K48" s="2159">
        <v>0</v>
      </c>
      <c r="L48" s="2160">
        <f>'[2]ALL BULAN'!E48</f>
        <v>0</v>
      </c>
      <c r="M48" s="4253">
        <f t="shared" si="6"/>
        <v>0</v>
      </c>
      <c r="N48" s="4253"/>
      <c r="O48" s="4254">
        <f t="shared" si="5"/>
        <v>0</v>
      </c>
      <c r="P48" s="4061">
        <v>0</v>
      </c>
      <c r="Q48" s="4839"/>
    </row>
    <row r="49" spans="1:17" s="2070" customFormat="1">
      <c r="A49" s="4054">
        <v>4</v>
      </c>
      <c r="B49" s="4054">
        <v>1</v>
      </c>
      <c r="C49" s="4054" t="s">
        <v>443</v>
      </c>
      <c r="D49" s="4054" t="s">
        <v>444</v>
      </c>
      <c r="E49" s="4054" t="s">
        <v>440</v>
      </c>
      <c r="F49" s="4049"/>
      <c r="G49" s="4091"/>
      <c r="H49" s="4089" t="s">
        <v>50</v>
      </c>
      <c r="I49" s="4060" t="s">
        <v>73</v>
      </c>
      <c r="J49" s="1964">
        <v>0</v>
      </c>
      <c r="K49" s="2159">
        <v>0</v>
      </c>
      <c r="L49" s="2160">
        <f>'[2]ALL BULAN'!E49</f>
        <v>0</v>
      </c>
      <c r="M49" s="4253">
        <f t="shared" si="6"/>
        <v>0</v>
      </c>
      <c r="N49" s="4253"/>
      <c r="O49" s="4254">
        <f t="shared" si="5"/>
        <v>0</v>
      </c>
      <c r="P49" s="4061">
        <v>0</v>
      </c>
      <c r="Q49" s="4839"/>
    </row>
    <row r="50" spans="1:17" s="2070" customFormat="1">
      <c r="A50" s="4069">
        <v>4</v>
      </c>
      <c r="B50" s="4069">
        <v>1</v>
      </c>
      <c r="C50" s="4069" t="s">
        <v>443</v>
      </c>
      <c r="D50" s="4069" t="s">
        <v>444</v>
      </c>
      <c r="E50" s="4070" t="s">
        <v>445</v>
      </c>
      <c r="F50" s="4049"/>
      <c r="G50" s="4091"/>
      <c r="H50" s="4089" t="s">
        <v>50</v>
      </c>
      <c r="I50" s="4060" t="s">
        <v>74</v>
      </c>
      <c r="J50" s="1964">
        <v>0</v>
      </c>
      <c r="K50" s="2159">
        <v>0</v>
      </c>
      <c r="L50" s="2160">
        <f>'[2]ALL BULAN'!E50</f>
        <v>0</v>
      </c>
      <c r="M50" s="4253">
        <f t="shared" si="6"/>
        <v>0</v>
      </c>
      <c r="N50" s="4253"/>
      <c r="O50" s="4254">
        <f t="shared" si="5"/>
        <v>0</v>
      </c>
      <c r="P50" s="4061">
        <v>0</v>
      </c>
      <c r="Q50" s="4839"/>
    </row>
    <row r="51" spans="1:17" s="2070" customFormat="1">
      <c r="A51" s="4074">
        <v>4</v>
      </c>
      <c r="B51" s="4074">
        <v>1</v>
      </c>
      <c r="C51" s="4074" t="s">
        <v>443</v>
      </c>
      <c r="D51" s="4074" t="s">
        <v>444</v>
      </c>
      <c r="E51" s="4074" t="s">
        <v>441</v>
      </c>
      <c r="F51" s="4049"/>
      <c r="G51" s="4088"/>
      <c r="H51" s="4060" t="s">
        <v>308</v>
      </c>
      <c r="I51" s="4090" t="s">
        <v>75</v>
      </c>
      <c r="J51" s="1964">
        <v>0</v>
      </c>
      <c r="K51" s="2159">
        <v>0</v>
      </c>
      <c r="L51" s="2160">
        <f>'[2]ALL BULAN'!E51</f>
        <v>0</v>
      </c>
      <c r="M51" s="4253">
        <f t="shared" si="6"/>
        <v>0</v>
      </c>
      <c r="N51" s="4253"/>
      <c r="O51" s="4254">
        <f t="shared" si="5"/>
        <v>0</v>
      </c>
      <c r="P51" s="4061">
        <v>0</v>
      </c>
      <c r="Q51" s="4839"/>
    </row>
    <row r="52" spans="1:17" s="2070" customFormat="1">
      <c r="A52" s="4079">
        <v>4</v>
      </c>
      <c r="B52" s="4079">
        <v>1</v>
      </c>
      <c r="C52" s="4079" t="s">
        <v>443</v>
      </c>
      <c r="D52" s="4079" t="s">
        <v>447</v>
      </c>
      <c r="E52" s="4093" t="s">
        <v>437</v>
      </c>
      <c r="F52" s="4049"/>
      <c r="G52" s="4094"/>
      <c r="H52" s="4089" t="s">
        <v>50</v>
      </c>
      <c r="I52" s="4090" t="s">
        <v>85</v>
      </c>
      <c r="J52" s="1964">
        <v>0</v>
      </c>
      <c r="K52" s="2159">
        <v>0</v>
      </c>
      <c r="L52" s="2160">
        <f>'[2]ALL BULAN'!E52</f>
        <v>0</v>
      </c>
      <c r="M52" s="4253">
        <f t="shared" si="6"/>
        <v>0</v>
      </c>
      <c r="N52" s="4253"/>
      <c r="O52" s="4254">
        <f t="shared" si="5"/>
        <v>0</v>
      </c>
      <c r="P52" s="4061">
        <v>0</v>
      </c>
      <c r="Q52" s="4839"/>
    </row>
    <row r="53" spans="1:17" s="2070" customFormat="1" ht="5.35" customHeight="1">
      <c r="A53" s="4048"/>
      <c r="B53" s="4048"/>
      <c r="C53" s="4048"/>
      <c r="D53" s="4048"/>
      <c r="E53" s="4048"/>
      <c r="F53" s="4049"/>
      <c r="G53" s="4082"/>
      <c r="H53" s="4095"/>
      <c r="I53" s="4095"/>
      <c r="J53" s="4531"/>
      <c r="K53" s="2192"/>
      <c r="L53" s="4531"/>
      <c r="M53" s="4532"/>
      <c r="N53" s="4532"/>
      <c r="O53" s="4532"/>
      <c r="P53" s="4096"/>
      <c r="Q53" s="4839"/>
    </row>
    <row r="54" spans="1:17" s="4622" customFormat="1" ht="15.65">
      <c r="A54" s="4613"/>
      <c r="B54" s="4613"/>
      <c r="C54" s="4613"/>
      <c r="D54" s="4613"/>
      <c r="E54" s="4613"/>
      <c r="F54" s="4614"/>
      <c r="G54" s="4627"/>
      <c r="H54" s="4628" t="s">
        <v>86</v>
      </c>
      <c r="I54" s="4629"/>
      <c r="J54" s="4620">
        <f>J55</f>
        <v>3000000000</v>
      </c>
      <c r="K54" s="4619">
        <v>138581000</v>
      </c>
      <c r="L54" s="4620">
        <f>L55+L59</f>
        <v>124421000</v>
      </c>
      <c r="M54" s="4620">
        <f>SUM(K54:L54)</f>
        <v>263002000</v>
      </c>
      <c r="N54" s="4620">
        <f t="shared" ref="N54:O56" si="7">N55</f>
        <v>2000000000</v>
      </c>
      <c r="O54" s="4620">
        <f t="shared" si="7"/>
        <v>-1000000000</v>
      </c>
      <c r="P54" s="4621">
        <f>O54/J54*100</f>
        <v>-33.333333333333329</v>
      </c>
      <c r="Q54" s="4844"/>
    </row>
    <row r="55" spans="1:17" s="4099" customFormat="1">
      <c r="A55" s="4074">
        <v>4</v>
      </c>
      <c r="B55" s="4074">
        <v>1</v>
      </c>
      <c r="C55" s="4074">
        <v>2</v>
      </c>
      <c r="D55" s="4074" t="s">
        <v>437</v>
      </c>
      <c r="E55" s="4048"/>
      <c r="F55" s="4098">
        <v>1</v>
      </c>
      <c r="G55" s="4086"/>
      <c r="H55" s="4087" t="s">
        <v>83</v>
      </c>
      <c r="I55" s="4087"/>
      <c r="J55" s="4521">
        <f>J56</f>
        <v>3000000000</v>
      </c>
      <c r="K55" s="2159">
        <v>138581000</v>
      </c>
      <c r="L55" s="4521">
        <f>SUM(L56)</f>
        <v>124421000</v>
      </c>
      <c r="M55" s="4253">
        <f>SUM(K55:L55)</f>
        <v>263002000</v>
      </c>
      <c r="N55" s="4253">
        <f>N56</f>
        <v>2000000000</v>
      </c>
      <c r="O55" s="4254">
        <f t="shared" si="7"/>
        <v>-1000000000</v>
      </c>
      <c r="P55" s="4061">
        <f>O55/J55*100</f>
        <v>-33.333333333333329</v>
      </c>
      <c r="Q55" s="4839"/>
    </row>
    <row r="56" spans="1:17" s="2070" customFormat="1">
      <c r="A56" s="4079">
        <v>4</v>
      </c>
      <c r="B56" s="4079">
        <v>1</v>
      </c>
      <c r="C56" s="4079">
        <v>2</v>
      </c>
      <c r="D56" s="4079" t="s">
        <v>437</v>
      </c>
      <c r="E56" s="4054" t="s">
        <v>437</v>
      </c>
      <c r="F56" s="4049"/>
      <c r="G56" s="4088"/>
      <c r="H56" s="4089" t="s">
        <v>50</v>
      </c>
      <c r="I56" s="4090" t="s">
        <v>84</v>
      </c>
      <c r="J56" s="2196">
        <f>J57</f>
        <v>3000000000</v>
      </c>
      <c r="K56" s="2159">
        <v>138581000</v>
      </c>
      <c r="L56" s="2196">
        <f>SUM(L57)</f>
        <v>124421000</v>
      </c>
      <c r="M56" s="4253">
        <f>SUM(K56:L56)</f>
        <v>263002000</v>
      </c>
      <c r="N56" s="4248">
        <f t="shared" si="7"/>
        <v>2000000000</v>
      </c>
      <c r="O56" s="4254">
        <f t="shared" si="7"/>
        <v>-1000000000</v>
      </c>
      <c r="P56" s="4061">
        <f>O56/J56*100</f>
        <v>-33.333333333333329</v>
      </c>
      <c r="Q56" s="4839"/>
    </row>
    <row r="57" spans="1:17" s="2070" customFormat="1">
      <c r="A57" s="4048"/>
      <c r="B57" s="4048"/>
      <c r="C57" s="4048"/>
      <c r="D57" s="4048"/>
      <c r="E57" s="4048"/>
      <c r="F57" s="4049"/>
      <c r="G57" s="4088"/>
      <c r="H57" s="4090"/>
      <c r="I57" s="4089" t="s">
        <v>87</v>
      </c>
      <c r="J57" s="1964">
        <v>3000000000</v>
      </c>
      <c r="K57" s="2159">
        <v>138581000</v>
      </c>
      <c r="L57" s="2160">
        <v>124421000</v>
      </c>
      <c r="M57" s="4253">
        <f>SUM(K57:L57)</f>
        <v>263002000</v>
      </c>
      <c r="N57" s="4248">
        <v>2000000000</v>
      </c>
      <c r="O57" s="4254">
        <f>SUM(N57-J57)</f>
        <v>-1000000000</v>
      </c>
      <c r="P57" s="4061">
        <f>O57/J57*100</f>
        <v>-33.333333333333329</v>
      </c>
      <c r="Q57" s="4839"/>
    </row>
    <row r="58" spans="1:17" s="2070" customFormat="1" ht="5.95" customHeight="1">
      <c r="A58" s="4048"/>
      <c r="B58" s="4048"/>
      <c r="C58" s="4048"/>
      <c r="D58" s="4048"/>
      <c r="E58" s="4048"/>
      <c r="F58" s="4049"/>
      <c r="G58" s="4088"/>
      <c r="H58" s="4090"/>
      <c r="I58" s="4090"/>
      <c r="J58" s="2188"/>
      <c r="K58" s="2159"/>
      <c r="L58" s="2188"/>
      <c r="M58" s="4253"/>
      <c r="N58" s="4253"/>
      <c r="O58" s="4254">
        <f t="shared" ref="O58:O64" si="8">M58-J58</f>
        <v>0</v>
      </c>
      <c r="P58" s="4061">
        <f>O58-K58</f>
        <v>0</v>
      </c>
      <c r="Q58" s="4839"/>
    </row>
    <row r="59" spans="1:17" s="2070" customFormat="1">
      <c r="A59" s="4065">
        <v>4</v>
      </c>
      <c r="B59" s="4065">
        <v>1</v>
      </c>
      <c r="C59" s="4065">
        <v>4</v>
      </c>
      <c r="D59" s="4048"/>
      <c r="E59" s="4048"/>
      <c r="F59" s="4066">
        <v>3</v>
      </c>
      <c r="G59" s="4088"/>
      <c r="H59" s="4092" t="s">
        <v>71</v>
      </c>
      <c r="I59" s="4092"/>
      <c r="J59" s="2190">
        <v>0</v>
      </c>
      <c r="K59" s="2159">
        <v>0</v>
      </c>
      <c r="L59" s="2190">
        <f>SUM(L60:L64)</f>
        <v>0</v>
      </c>
      <c r="M59" s="4253">
        <f t="shared" ref="M59:M64" si="9">SUM(K59:L59)</f>
        <v>0</v>
      </c>
      <c r="N59" s="4253"/>
      <c r="O59" s="4254">
        <f t="shared" si="8"/>
        <v>0</v>
      </c>
      <c r="P59" s="4061">
        <v>0</v>
      </c>
      <c r="Q59" s="4839"/>
    </row>
    <row r="60" spans="1:17" s="2070" customFormat="1">
      <c r="A60" s="4065">
        <v>4</v>
      </c>
      <c r="B60" s="4065">
        <v>1</v>
      </c>
      <c r="C60" s="4065">
        <v>4</v>
      </c>
      <c r="D60" s="4065" t="s">
        <v>441</v>
      </c>
      <c r="E60" s="4048"/>
      <c r="F60" s="4049"/>
      <c r="G60" s="4088"/>
      <c r="H60" s="4100" t="s">
        <v>50</v>
      </c>
      <c r="I60" s="4060" t="s">
        <v>72</v>
      </c>
      <c r="J60" s="1964">
        <v>0</v>
      </c>
      <c r="K60" s="2159">
        <v>0</v>
      </c>
      <c r="L60" s="2160">
        <f>'[2]ALL BULAN'!E60</f>
        <v>0</v>
      </c>
      <c r="M60" s="4253">
        <f t="shared" si="9"/>
        <v>0</v>
      </c>
      <c r="N60" s="4253"/>
      <c r="O60" s="4254">
        <f t="shared" si="8"/>
        <v>0</v>
      </c>
      <c r="P60" s="4061">
        <v>0</v>
      </c>
      <c r="Q60" s="4839"/>
    </row>
    <row r="61" spans="1:17" s="2070" customFormat="1">
      <c r="A61" s="4074">
        <v>4</v>
      </c>
      <c r="B61" s="4074">
        <v>1</v>
      </c>
      <c r="C61" s="4074" t="s">
        <v>443</v>
      </c>
      <c r="D61" s="4074" t="s">
        <v>444</v>
      </c>
      <c r="E61" s="4074" t="s">
        <v>440</v>
      </c>
      <c r="F61" s="4049"/>
      <c r="G61" s="4088"/>
      <c r="H61" s="4100" t="s">
        <v>50</v>
      </c>
      <c r="I61" s="4060" t="s">
        <v>73</v>
      </c>
      <c r="J61" s="1964">
        <v>0</v>
      </c>
      <c r="K61" s="2159">
        <v>0</v>
      </c>
      <c r="L61" s="2160">
        <f>'[2]ALL BULAN'!E61</f>
        <v>0</v>
      </c>
      <c r="M61" s="4253">
        <f t="shared" si="9"/>
        <v>0</v>
      </c>
      <c r="N61" s="4253"/>
      <c r="O61" s="4254">
        <f t="shared" si="8"/>
        <v>0</v>
      </c>
      <c r="P61" s="4061">
        <v>0</v>
      </c>
      <c r="Q61" s="4839"/>
    </row>
    <row r="62" spans="1:17" s="2070" customFormat="1">
      <c r="A62" s="4069">
        <v>4</v>
      </c>
      <c r="B62" s="4069">
        <v>1</v>
      </c>
      <c r="C62" s="4069" t="s">
        <v>443</v>
      </c>
      <c r="D62" s="4069" t="s">
        <v>444</v>
      </c>
      <c r="E62" s="4070" t="s">
        <v>445</v>
      </c>
      <c r="F62" s="4049"/>
      <c r="G62" s="4088"/>
      <c r="H62" s="4100" t="s">
        <v>50</v>
      </c>
      <c r="I62" s="4060" t="s">
        <v>74</v>
      </c>
      <c r="J62" s="1964">
        <v>0</v>
      </c>
      <c r="K62" s="2159">
        <v>0</v>
      </c>
      <c r="L62" s="2160">
        <f>'[2]ALL BULAN'!E62</f>
        <v>0</v>
      </c>
      <c r="M62" s="4253">
        <f t="shared" si="9"/>
        <v>0</v>
      </c>
      <c r="N62" s="4253"/>
      <c r="O62" s="4254">
        <f t="shared" si="8"/>
        <v>0</v>
      </c>
      <c r="P62" s="4061">
        <v>0</v>
      </c>
      <c r="Q62" s="4839"/>
    </row>
    <row r="63" spans="1:17" s="2070" customFormat="1">
      <c r="A63" s="4101">
        <v>4</v>
      </c>
      <c r="B63" s="4101">
        <v>1</v>
      </c>
      <c r="C63" s="4101" t="s">
        <v>443</v>
      </c>
      <c r="D63" s="4101" t="s">
        <v>444</v>
      </c>
      <c r="E63" s="4101" t="s">
        <v>441</v>
      </c>
      <c r="F63" s="4049"/>
      <c r="G63" s="4088"/>
      <c r="H63" s="4060" t="s">
        <v>308</v>
      </c>
      <c r="I63" s="4090" t="s">
        <v>75</v>
      </c>
      <c r="J63" s="1964">
        <v>0</v>
      </c>
      <c r="K63" s="2159">
        <v>0</v>
      </c>
      <c r="L63" s="2160">
        <f>'[2]ALL BULAN'!E63</f>
        <v>0</v>
      </c>
      <c r="M63" s="4253">
        <f t="shared" si="9"/>
        <v>0</v>
      </c>
      <c r="N63" s="4253"/>
      <c r="O63" s="4254">
        <f t="shared" si="8"/>
        <v>0</v>
      </c>
      <c r="P63" s="4061">
        <v>0</v>
      </c>
      <c r="Q63" s="4839"/>
    </row>
    <row r="64" spans="1:17" s="2070" customFormat="1">
      <c r="A64" s="4079">
        <v>4</v>
      </c>
      <c r="B64" s="4079">
        <v>1</v>
      </c>
      <c r="C64" s="4079" t="s">
        <v>443</v>
      </c>
      <c r="D64" s="4079" t="s">
        <v>447</v>
      </c>
      <c r="E64" s="4093" t="s">
        <v>437</v>
      </c>
      <c r="F64" s="4049"/>
      <c r="G64" s="4094"/>
      <c r="H64" s="4089" t="s">
        <v>50</v>
      </c>
      <c r="I64" s="4090" t="s">
        <v>85</v>
      </c>
      <c r="J64" s="1964">
        <v>0</v>
      </c>
      <c r="K64" s="2159">
        <v>0</v>
      </c>
      <c r="L64" s="2160">
        <f>'[2]ALL BULAN'!E64</f>
        <v>0</v>
      </c>
      <c r="M64" s="4253">
        <f t="shared" si="9"/>
        <v>0</v>
      </c>
      <c r="N64" s="4253"/>
      <c r="O64" s="4254">
        <f t="shared" si="8"/>
        <v>0</v>
      </c>
      <c r="P64" s="4061">
        <v>0</v>
      </c>
      <c r="Q64" s="4839"/>
    </row>
    <row r="65" spans="1:17" s="2070" customFormat="1" ht="5.35" customHeight="1">
      <c r="A65" s="4048"/>
      <c r="B65" s="4048"/>
      <c r="C65" s="4048"/>
      <c r="D65" s="4048"/>
      <c r="E65" s="4048"/>
      <c r="F65" s="4049"/>
      <c r="G65" s="4102"/>
      <c r="H65" s="4083"/>
      <c r="I65" s="4083"/>
      <c r="J65" s="4528"/>
      <c r="K65" s="2183"/>
      <c r="L65" s="4528"/>
      <c r="M65" s="4529"/>
      <c r="N65" s="4529"/>
      <c r="O65" s="4529"/>
      <c r="P65" s="4084"/>
      <c r="Q65" s="4839"/>
    </row>
    <row r="66" spans="1:17" s="4622" customFormat="1" ht="15.65">
      <c r="A66" s="4613"/>
      <c r="B66" s="4613"/>
      <c r="C66" s="4613"/>
      <c r="D66" s="4613"/>
      <c r="E66" s="4613"/>
      <c r="F66" s="4614"/>
      <c r="G66" s="4627"/>
      <c r="H66" s="4628" t="s">
        <v>88</v>
      </c>
      <c r="I66" s="4629"/>
      <c r="J66" s="4620">
        <f>J67</f>
        <v>2197286650</v>
      </c>
      <c r="K66" s="4619">
        <v>258576041</v>
      </c>
      <c r="L66" s="4620">
        <f>SUM(L67)</f>
        <v>105214667</v>
      </c>
      <c r="M66" s="4620">
        <f t="shared" ref="M66:M76" si="10">SUM(K66:L66)</f>
        <v>363790708</v>
      </c>
      <c r="N66" s="4620">
        <f>N67</f>
        <v>2200000000</v>
      </c>
      <c r="O66" s="4620">
        <f>O67</f>
        <v>2713350</v>
      </c>
      <c r="P66" s="4621">
        <f>P67</f>
        <v>0.12348639172772473</v>
      </c>
      <c r="Q66" s="4844"/>
    </row>
    <row r="67" spans="1:17" s="2070" customFormat="1">
      <c r="A67" s="4065">
        <v>4</v>
      </c>
      <c r="B67" s="4065">
        <v>1</v>
      </c>
      <c r="C67" s="4065">
        <v>4</v>
      </c>
      <c r="D67" s="4048"/>
      <c r="E67" s="4048"/>
      <c r="F67" s="4066">
        <v>3</v>
      </c>
      <c r="G67" s="4103"/>
      <c r="H67" s="4092" t="s">
        <v>71</v>
      </c>
      <c r="I67" s="4092"/>
      <c r="J67" s="4533">
        <f>J68</f>
        <v>2197286650</v>
      </c>
      <c r="K67" s="2159">
        <v>258576041</v>
      </c>
      <c r="L67" s="4533">
        <f>SUM(L68)</f>
        <v>105214667</v>
      </c>
      <c r="M67" s="4253">
        <f t="shared" si="10"/>
        <v>363790708</v>
      </c>
      <c r="N67" s="4253">
        <f t="shared" ref="N67:O69" si="11">N68</f>
        <v>2200000000</v>
      </c>
      <c r="O67" s="4254">
        <f t="shared" si="11"/>
        <v>2713350</v>
      </c>
      <c r="P67" s="4061">
        <f>O67/J67*100</f>
        <v>0.12348639172772473</v>
      </c>
      <c r="Q67" s="4839"/>
    </row>
    <row r="68" spans="1:17" s="2070" customFormat="1">
      <c r="A68" s="4074">
        <v>4</v>
      </c>
      <c r="B68" s="4074">
        <v>1</v>
      </c>
      <c r="C68" s="4074" t="s">
        <v>443</v>
      </c>
      <c r="D68" s="4074" t="s">
        <v>449</v>
      </c>
      <c r="E68" s="4048"/>
      <c r="F68" s="4049"/>
      <c r="G68" s="4104"/>
      <c r="H68" s="4100" t="s">
        <v>89</v>
      </c>
      <c r="I68" s="4037"/>
      <c r="J68" s="2196">
        <f>J69</f>
        <v>2197286650</v>
      </c>
      <c r="K68" s="2159">
        <v>258576041</v>
      </c>
      <c r="L68" s="2196">
        <f>SUM(L69)</f>
        <v>105214667</v>
      </c>
      <c r="M68" s="4253">
        <f t="shared" si="10"/>
        <v>363790708</v>
      </c>
      <c r="N68" s="4253">
        <f t="shared" si="11"/>
        <v>2200000000</v>
      </c>
      <c r="O68" s="4254">
        <f t="shared" si="11"/>
        <v>2713350</v>
      </c>
      <c r="P68" s="4061">
        <f>O68/J68*100</f>
        <v>0.12348639172772473</v>
      </c>
      <c r="Q68" s="4839"/>
    </row>
    <row r="69" spans="1:17" s="4099" customFormat="1">
      <c r="A69" s="4079">
        <v>4</v>
      </c>
      <c r="B69" s="4079">
        <v>1</v>
      </c>
      <c r="C69" s="4079" t="s">
        <v>443</v>
      </c>
      <c r="D69" s="4079" t="s">
        <v>449</v>
      </c>
      <c r="E69" s="4093" t="s">
        <v>438</v>
      </c>
      <c r="F69" s="4105"/>
      <c r="G69" s="4106"/>
      <c r="H69" s="4100" t="s">
        <v>90</v>
      </c>
      <c r="I69" s="4107"/>
      <c r="J69" s="2217">
        <f>J70</f>
        <v>2197286650</v>
      </c>
      <c r="K69" s="2159">
        <v>258576041</v>
      </c>
      <c r="L69" s="2217">
        <f>SUM(L70:L76)</f>
        <v>105214667</v>
      </c>
      <c r="M69" s="4253">
        <f t="shared" si="10"/>
        <v>363790708</v>
      </c>
      <c r="N69" s="4253">
        <f t="shared" si="11"/>
        <v>2200000000</v>
      </c>
      <c r="O69" s="4254">
        <f t="shared" si="11"/>
        <v>2713350</v>
      </c>
      <c r="P69" s="4061">
        <f>O69/J69*100</f>
        <v>0.12348639172772473</v>
      </c>
      <c r="Q69" s="4839"/>
    </row>
    <row r="70" spans="1:17" s="2070" customFormat="1">
      <c r="A70" s="4048"/>
      <c r="B70" s="4048"/>
      <c r="C70" s="4048"/>
      <c r="D70" s="4048"/>
      <c r="E70" s="4048"/>
      <c r="F70" s="4049"/>
      <c r="G70" s="4104"/>
      <c r="H70" s="4100" t="s">
        <v>50</v>
      </c>
      <c r="I70" s="4108" t="s">
        <v>89</v>
      </c>
      <c r="J70" s="1964">
        <v>2197286650</v>
      </c>
      <c r="K70" s="2159">
        <v>258576041</v>
      </c>
      <c r="L70" s="2160">
        <v>105214667</v>
      </c>
      <c r="M70" s="4248">
        <f t="shared" si="10"/>
        <v>363790708</v>
      </c>
      <c r="N70" s="4248">
        <v>2200000000</v>
      </c>
      <c r="O70" s="4523">
        <f>N70-J70</f>
        <v>2713350</v>
      </c>
      <c r="P70" s="4061">
        <f>O70/J70*100</f>
        <v>0.12348639172772473</v>
      </c>
      <c r="Q70" s="4839"/>
    </row>
    <row r="71" spans="1:17" s="2070" customFormat="1">
      <c r="A71" s="4048"/>
      <c r="B71" s="4048"/>
      <c r="C71" s="4048"/>
      <c r="D71" s="4048"/>
      <c r="E71" s="4048"/>
      <c r="F71" s="4049"/>
      <c r="G71" s="4104"/>
      <c r="H71" s="4100" t="s">
        <v>50</v>
      </c>
      <c r="I71" s="4108" t="s">
        <v>91</v>
      </c>
      <c r="J71" s="1964">
        <v>0</v>
      </c>
      <c r="K71" s="2159">
        <v>0</v>
      </c>
      <c r="L71" s="2160">
        <f>'[2]ALL BULAN'!E71</f>
        <v>0</v>
      </c>
      <c r="M71" s="4253">
        <f t="shared" si="10"/>
        <v>0</v>
      </c>
      <c r="N71" s="4253"/>
      <c r="O71" s="4254">
        <f t="shared" ref="O71:O76" si="12">M71-J71</f>
        <v>0</v>
      </c>
      <c r="P71" s="4061">
        <v>0</v>
      </c>
      <c r="Q71" s="4839"/>
    </row>
    <row r="72" spans="1:17" s="2070" customFormat="1">
      <c r="A72" s="4065">
        <v>4</v>
      </c>
      <c r="B72" s="4065">
        <v>1</v>
      </c>
      <c r="C72" s="4065">
        <v>4</v>
      </c>
      <c r="D72" s="4065" t="s">
        <v>441</v>
      </c>
      <c r="E72" s="4048"/>
      <c r="F72" s="4049"/>
      <c r="G72" s="4088"/>
      <c r="H72" s="4100" t="s">
        <v>50</v>
      </c>
      <c r="I72" s="4060" t="s">
        <v>72</v>
      </c>
      <c r="J72" s="1964">
        <v>0</v>
      </c>
      <c r="K72" s="2159">
        <v>0</v>
      </c>
      <c r="L72" s="2160">
        <f>'[2]ALL BULAN'!E72</f>
        <v>0</v>
      </c>
      <c r="M72" s="4253">
        <f t="shared" si="10"/>
        <v>0</v>
      </c>
      <c r="N72" s="4253"/>
      <c r="O72" s="4254">
        <f t="shared" si="12"/>
        <v>0</v>
      </c>
      <c r="P72" s="4061">
        <v>0</v>
      </c>
      <c r="Q72" s="4839"/>
    </row>
    <row r="73" spans="1:17" s="2070" customFormat="1">
      <c r="A73" s="4054">
        <v>4</v>
      </c>
      <c r="B73" s="4054">
        <v>1</v>
      </c>
      <c r="C73" s="4054" t="s">
        <v>443</v>
      </c>
      <c r="D73" s="4054" t="s">
        <v>444</v>
      </c>
      <c r="E73" s="4054" t="s">
        <v>440</v>
      </c>
      <c r="F73" s="4049"/>
      <c r="G73" s="4088"/>
      <c r="H73" s="4100" t="s">
        <v>50</v>
      </c>
      <c r="I73" s="4060" t="s">
        <v>73</v>
      </c>
      <c r="J73" s="1964">
        <v>0</v>
      </c>
      <c r="K73" s="2159">
        <v>0</v>
      </c>
      <c r="L73" s="2160">
        <v>0</v>
      </c>
      <c r="M73" s="4253">
        <f t="shared" si="10"/>
        <v>0</v>
      </c>
      <c r="N73" s="4253"/>
      <c r="O73" s="4254">
        <f t="shared" si="12"/>
        <v>0</v>
      </c>
      <c r="P73" s="4061">
        <v>0</v>
      </c>
      <c r="Q73" s="4839"/>
    </row>
    <row r="74" spans="1:17" s="2070" customFormat="1">
      <c r="A74" s="4054">
        <v>4</v>
      </c>
      <c r="B74" s="4054">
        <v>1</v>
      </c>
      <c r="C74" s="4054" t="s">
        <v>443</v>
      </c>
      <c r="D74" s="4054" t="s">
        <v>444</v>
      </c>
      <c r="E74" s="4054" t="s">
        <v>445</v>
      </c>
      <c r="F74" s="4049"/>
      <c r="G74" s="4088"/>
      <c r="H74" s="4100" t="s">
        <v>50</v>
      </c>
      <c r="I74" s="4060" t="s">
        <v>74</v>
      </c>
      <c r="J74" s="1964">
        <v>0</v>
      </c>
      <c r="K74" s="2159">
        <v>0</v>
      </c>
      <c r="L74" s="2160">
        <f>'[2]ALL BULAN'!E74</f>
        <v>0</v>
      </c>
      <c r="M74" s="4253">
        <f t="shared" si="10"/>
        <v>0</v>
      </c>
      <c r="N74" s="4253"/>
      <c r="O74" s="4254">
        <f t="shared" si="12"/>
        <v>0</v>
      </c>
      <c r="P74" s="4061">
        <v>0</v>
      </c>
      <c r="Q74" s="4839"/>
    </row>
    <row r="75" spans="1:17" s="2070" customFormat="1">
      <c r="A75" s="4074">
        <v>4</v>
      </c>
      <c r="B75" s="4074">
        <v>1</v>
      </c>
      <c r="C75" s="4074" t="s">
        <v>443</v>
      </c>
      <c r="D75" s="4074" t="s">
        <v>444</v>
      </c>
      <c r="E75" s="4074" t="s">
        <v>441</v>
      </c>
      <c r="F75" s="4049"/>
      <c r="G75" s="4088"/>
      <c r="H75" s="4060" t="s">
        <v>308</v>
      </c>
      <c r="I75" s="4090" t="s">
        <v>75</v>
      </c>
      <c r="J75" s="1964">
        <v>0</v>
      </c>
      <c r="K75" s="2159">
        <v>0</v>
      </c>
      <c r="L75" s="2160">
        <f>'[2]ALL BULAN'!E75</f>
        <v>0</v>
      </c>
      <c r="M75" s="4253">
        <f t="shared" si="10"/>
        <v>0</v>
      </c>
      <c r="N75" s="4253"/>
      <c r="O75" s="4254">
        <f t="shared" si="12"/>
        <v>0</v>
      </c>
      <c r="P75" s="4061">
        <v>0</v>
      </c>
      <c r="Q75" s="4839"/>
    </row>
    <row r="76" spans="1:17" s="2070" customFormat="1">
      <c r="A76" s="4079">
        <v>4</v>
      </c>
      <c r="B76" s="4079">
        <v>1</v>
      </c>
      <c r="C76" s="4079" t="s">
        <v>443</v>
      </c>
      <c r="D76" s="4079" t="s">
        <v>447</v>
      </c>
      <c r="E76" s="4093" t="s">
        <v>437</v>
      </c>
      <c r="F76" s="4049"/>
      <c r="G76" s="4088"/>
      <c r="H76" s="4089" t="s">
        <v>50</v>
      </c>
      <c r="I76" s="4090" t="s">
        <v>85</v>
      </c>
      <c r="J76" s="1964">
        <v>0</v>
      </c>
      <c r="K76" s="2159">
        <v>0</v>
      </c>
      <c r="L76" s="2160">
        <f>'[2]ALL BULAN'!E76</f>
        <v>0</v>
      </c>
      <c r="M76" s="4253">
        <f t="shared" si="10"/>
        <v>0</v>
      </c>
      <c r="N76" s="4253"/>
      <c r="O76" s="4254">
        <f t="shared" si="12"/>
        <v>0</v>
      </c>
      <c r="P76" s="4061">
        <v>0</v>
      </c>
      <c r="Q76" s="4839"/>
    </row>
    <row r="77" spans="1:17" s="2070" customFormat="1" ht="4.55" customHeight="1">
      <c r="A77" s="4048"/>
      <c r="B77" s="4048"/>
      <c r="C77" s="4048"/>
      <c r="D77" s="4048"/>
      <c r="E77" s="4048"/>
      <c r="F77" s="4049"/>
      <c r="G77" s="4082"/>
      <c r="H77" s="4083"/>
      <c r="I77" s="4083"/>
      <c r="J77" s="2219"/>
      <c r="K77" s="2220"/>
      <c r="L77" s="2219"/>
      <c r="M77" s="1533"/>
      <c r="N77" s="1533"/>
      <c r="O77" s="1533"/>
      <c r="P77" s="4109"/>
      <c r="Q77" s="4839"/>
    </row>
    <row r="78" spans="1:17" s="4622" customFormat="1" ht="15.65">
      <c r="A78" s="4613"/>
      <c r="B78" s="4613"/>
      <c r="C78" s="4613"/>
      <c r="D78" s="4613"/>
      <c r="E78" s="4613"/>
      <c r="F78" s="4614"/>
      <c r="G78" s="4630"/>
      <c r="H78" s="4628" t="s">
        <v>92</v>
      </c>
      <c r="I78" s="4631"/>
      <c r="J78" s="4620">
        <f>J79</f>
        <v>300000000</v>
      </c>
      <c r="K78" s="4619">
        <v>855000</v>
      </c>
      <c r="L78" s="4620">
        <f>L79+L84</f>
        <v>0</v>
      </c>
      <c r="M78" s="4620">
        <f>SUM(K78:L78)</f>
        <v>855000</v>
      </c>
      <c r="N78" s="4620">
        <f>N79</f>
        <v>300000000</v>
      </c>
      <c r="O78" s="4620">
        <v>0</v>
      </c>
      <c r="P78" s="4621">
        <f>O78/J78*100</f>
        <v>0</v>
      </c>
      <c r="Q78" s="4844"/>
    </row>
    <row r="79" spans="1:17" s="4099" customFormat="1">
      <c r="A79" s="4046">
        <v>4</v>
      </c>
      <c r="B79" s="4046">
        <v>1</v>
      </c>
      <c r="C79" s="4046">
        <v>2</v>
      </c>
      <c r="D79" s="4047" t="s">
        <v>437</v>
      </c>
      <c r="E79" s="4048"/>
      <c r="F79" s="4098">
        <v>1</v>
      </c>
      <c r="G79" s="4110"/>
      <c r="H79" s="4111" t="s">
        <v>63</v>
      </c>
      <c r="I79" s="4111"/>
      <c r="J79" s="4534">
        <f>SUM(J80:J82)</f>
        <v>300000000</v>
      </c>
      <c r="K79" s="2159">
        <v>0</v>
      </c>
      <c r="L79" s="4530">
        <f>SUM(L80:L82)</f>
        <v>0</v>
      </c>
      <c r="M79" s="4253">
        <f>SUM(K79:L79)</f>
        <v>0</v>
      </c>
      <c r="N79" s="4534">
        <f>SUM(N80:N82)</f>
        <v>300000000</v>
      </c>
      <c r="O79" s="4254">
        <v>0</v>
      </c>
      <c r="P79" s="4061">
        <f>M79/J79*100</f>
        <v>0</v>
      </c>
      <c r="Q79" s="4839"/>
    </row>
    <row r="80" spans="1:17" s="2070" customFormat="1">
      <c r="A80" s="4053">
        <v>4</v>
      </c>
      <c r="B80" s="4053">
        <v>1</v>
      </c>
      <c r="C80" s="4053">
        <v>2</v>
      </c>
      <c r="D80" s="4053" t="s">
        <v>438</v>
      </c>
      <c r="E80" s="4054" t="s">
        <v>437</v>
      </c>
      <c r="F80" s="4049"/>
      <c r="G80" s="4112"/>
      <c r="H80" s="4113" t="s">
        <v>50</v>
      </c>
      <c r="I80" s="4114" t="s">
        <v>93</v>
      </c>
      <c r="J80" s="1964">
        <v>90000000</v>
      </c>
      <c r="K80" s="2159">
        <v>0</v>
      </c>
      <c r="L80" s="2160">
        <f>'[2]ALL BULAN'!E80</f>
        <v>0</v>
      </c>
      <c r="M80" s="4253">
        <f>SUM(K80:L80)</f>
        <v>0</v>
      </c>
      <c r="N80" s="4248">
        <v>90000000</v>
      </c>
      <c r="O80" s="4254">
        <f>N80-J80</f>
        <v>0</v>
      </c>
      <c r="P80" s="4061">
        <f>M80/J80*100</f>
        <v>0</v>
      </c>
      <c r="Q80" s="4839"/>
    </row>
    <row r="81" spans="1:17" s="2070" customFormat="1" ht="4.55" customHeight="1">
      <c r="A81" s="4048"/>
      <c r="B81" s="4048"/>
      <c r="C81" s="4048"/>
      <c r="D81" s="4048"/>
      <c r="E81" s="4048"/>
      <c r="F81" s="4049"/>
      <c r="G81" s="4112"/>
      <c r="H81" s="4114"/>
      <c r="I81" s="4114"/>
      <c r="J81" s="1964"/>
      <c r="K81" s="2159"/>
      <c r="L81" s="1964"/>
      <c r="M81" s="4253"/>
      <c r="N81" s="4253"/>
      <c r="O81" s="4254">
        <f t="shared" ref="O81:O89" si="13">M81-J81</f>
        <v>0</v>
      </c>
      <c r="P81" s="4061">
        <f>O81-K81</f>
        <v>0</v>
      </c>
      <c r="Q81" s="4839"/>
    </row>
    <row r="82" spans="1:17" s="2070" customFormat="1">
      <c r="A82" s="4053">
        <v>4</v>
      </c>
      <c r="B82" s="4053">
        <v>1</v>
      </c>
      <c r="C82" s="4053">
        <v>2</v>
      </c>
      <c r="D82" s="4053" t="s">
        <v>438</v>
      </c>
      <c r="E82" s="4054" t="s">
        <v>438</v>
      </c>
      <c r="F82" s="4049"/>
      <c r="G82" s="4112"/>
      <c r="H82" s="4113" t="s">
        <v>50</v>
      </c>
      <c r="I82" s="4114" t="s">
        <v>94</v>
      </c>
      <c r="J82" s="1964">
        <v>210000000</v>
      </c>
      <c r="K82" s="2159">
        <v>0</v>
      </c>
      <c r="L82" s="2160">
        <f>'[2]ALL BULAN'!E82</f>
        <v>0</v>
      </c>
      <c r="M82" s="4253">
        <f>SUM(K82:L82)</f>
        <v>0</v>
      </c>
      <c r="N82" s="4248">
        <v>210000000</v>
      </c>
      <c r="O82" s="4254">
        <f>N82-J82</f>
        <v>0</v>
      </c>
      <c r="P82" s="4061">
        <f>M82/J82*100</f>
        <v>0</v>
      </c>
      <c r="Q82" s="4839"/>
    </row>
    <row r="83" spans="1:17" s="2070" customFormat="1" ht="5.35" customHeight="1">
      <c r="A83" s="4048"/>
      <c r="B83" s="4048"/>
      <c r="C83" s="4048"/>
      <c r="D83" s="4048"/>
      <c r="E83" s="4048"/>
      <c r="F83" s="4049"/>
      <c r="G83" s="4112"/>
      <c r="H83" s="4114"/>
      <c r="I83" s="4114"/>
      <c r="J83" s="2224"/>
      <c r="K83" s="2159"/>
      <c r="L83" s="2188"/>
      <c r="M83" s="4253"/>
      <c r="N83" s="4253"/>
      <c r="O83" s="4254">
        <f t="shared" si="13"/>
        <v>0</v>
      </c>
      <c r="P83" s="4061">
        <f>O83-K83</f>
        <v>0</v>
      </c>
      <c r="Q83" s="4839"/>
    </row>
    <row r="84" spans="1:17" s="2070" customFormat="1">
      <c r="A84" s="4065">
        <v>4</v>
      </c>
      <c r="B84" s="4065">
        <v>1</v>
      </c>
      <c r="C84" s="4065">
        <v>4</v>
      </c>
      <c r="D84" s="4048"/>
      <c r="E84" s="4048"/>
      <c r="F84" s="4066">
        <v>3</v>
      </c>
      <c r="G84" s="4112"/>
      <c r="H84" s="4115" t="s">
        <v>71</v>
      </c>
      <c r="I84" s="4115"/>
      <c r="J84" s="2189">
        <v>0</v>
      </c>
      <c r="K84" s="2159">
        <v>855000</v>
      </c>
      <c r="L84" s="2190">
        <f>SUM(L85:L89)</f>
        <v>0</v>
      </c>
      <c r="M84" s="4253">
        <f t="shared" ref="M84:M89" si="14">SUM(K84:L84)</f>
        <v>855000</v>
      </c>
      <c r="N84" s="4253"/>
      <c r="O84" s="4254">
        <v>0</v>
      </c>
      <c r="P84" s="4061">
        <v>0</v>
      </c>
      <c r="Q84" s="4839"/>
    </row>
    <row r="85" spans="1:17" s="2070" customFormat="1">
      <c r="A85" s="4065">
        <v>4</v>
      </c>
      <c r="B85" s="4065">
        <v>1</v>
      </c>
      <c r="C85" s="4065">
        <v>4</v>
      </c>
      <c r="D85" s="4065" t="s">
        <v>441</v>
      </c>
      <c r="E85" s="4048"/>
      <c r="F85" s="4049"/>
      <c r="G85" s="4112"/>
      <c r="H85" s="4113" t="s">
        <v>50</v>
      </c>
      <c r="I85" s="4116" t="s">
        <v>72</v>
      </c>
      <c r="J85" s="1964">
        <v>0</v>
      </c>
      <c r="K85" s="2159">
        <v>0</v>
      </c>
      <c r="L85" s="2160">
        <f>'[2]ALL BULAN'!E85</f>
        <v>0</v>
      </c>
      <c r="M85" s="4253">
        <f t="shared" si="14"/>
        <v>0</v>
      </c>
      <c r="N85" s="4253"/>
      <c r="O85" s="4254">
        <f t="shared" si="13"/>
        <v>0</v>
      </c>
      <c r="P85" s="4061">
        <v>0</v>
      </c>
      <c r="Q85" s="4839"/>
    </row>
    <row r="86" spans="1:17" s="2070" customFormat="1">
      <c r="A86" s="4074">
        <v>4</v>
      </c>
      <c r="B86" s="4074">
        <v>1</v>
      </c>
      <c r="C86" s="4074" t="s">
        <v>443</v>
      </c>
      <c r="D86" s="4074" t="s">
        <v>444</v>
      </c>
      <c r="E86" s="4074" t="s">
        <v>440</v>
      </c>
      <c r="F86" s="4049"/>
      <c r="G86" s="4112"/>
      <c r="H86" s="4113" t="s">
        <v>50</v>
      </c>
      <c r="I86" s="4116" t="s">
        <v>73</v>
      </c>
      <c r="J86" s="1964">
        <v>0</v>
      </c>
      <c r="K86" s="2159">
        <v>0</v>
      </c>
      <c r="L86" s="2160">
        <f>'[2]ALL BULAN'!E86</f>
        <v>0</v>
      </c>
      <c r="M86" s="4253">
        <f t="shared" si="14"/>
        <v>0</v>
      </c>
      <c r="N86" s="4253"/>
      <c r="O86" s="4254">
        <f t="shared" si="13"/>
        <v>0</v>
      </c>
      <c r="P86" s="4061">
        <v>0</v>
      </c>
      <c r="Q86" s="4839"/>
    </row>
    <row r="87" spans="1:17" s="2070" customFormat="1">
      <c r="A87" s="4069">
        <v>4</v>
      </c>
      <c r="B87" s="4069">
        <v>1</v>
      </c>
      <c r="C87" s="4069" t="s">
        <v>443</v>
      </c>
      <c r="D87" s="4069" t="s">
        <v>444</v>
      </c>
      <c r="E87" s="4070" t="s">
        <v>445</v>
      </c>
      <c r="F87" s="4049"/>
      <c r="G87" s="4112"/>
      <c r="H87" s="4113" t="s">
        <v>50</v>
      </c>
      <c r="I87" s="4116" t="s">
        <v>74</v>
      </c>
      <c r="J87" s="1964">
        <v>0</v>
      </c>
      <c r="K87" s="2159">
        <v>0</v>
      </c>
      <c r="L87" s="2160">
        <f>'[2]ALL BULAN'!E87</f>
        <v>0</v>
      </c>
      <c r="M87" s="4253">
        <f t="shared" si="14"/>
        <v>0</v>
      </c>
      <c r="N87" s="4253"/>
      <c r="O87" s="4254">
        <f t="shared" si="13"/>
        <v>0</v>
      </c>
      <c r="P87" s="4061">
        <v>0</v>
      </c>
      <c r="Q87" s="4839"/>
    </row>
    <row r="88" spans="1:17" s="2070" customFormat="1">
      <c r="A88" s="4101">
        <v>4</v>
      </c>
      <c r="B88" s="4101">
        <v>1</v>
      </c>
      <c r="C88" s="4101" t="s">
        <v>443</v>
      </c>
      <c r="D88" s="4101" t="s">
        <v>444</v>
      </c>
      <c r="E88" s="4101" t="s">
        <v>441</v>
      </c>
      <c r="F88" s="4049"/>
      <c r="G88" s="4112"/>
      <c r="H88" s="4116" t="s">
        <v>308</v>
      </c>
      <c r="I88" s="4114" t="s">
        <v>75</v>
      </c>
      <c r="J88" s="1964">
        <v>0</v>
      </c>
      <c r="K88" s="2159">
        <v>855000</v>
      </c>
      <c r="L88" s="2160">
        <v>0</v>
      </c>
      <c r="M88" s="4253">
        <f t="shared" si="14"/>
        <v>855000</v>
      </c>
      <c r="N88" s="4253"/>
      <c r="O88" s="4254">
        <v>0</v>
      </c>
      <c r="P88" s="4061">
        <v>0</v>
      </c>
      <c r="Q88" s="4839"/>
    </row>
    <row r="89" spans="1:17" s="2070" customFormat="1">
      <c r="A89" s="4079">
        <v>4</v>
      </c>
      <c r="B89" s="4079">
        <v>1</v>
      </c>
      <c r="C89" s="4079" t="s">
        <v>443</v>
      </c>
      <c r="D89" s="4079" t="s">
        <v>447</v>
      </c>
      <c r="E89" s="4093" t="s">
        <v>437</v>
      </c>
      <c r="F89" s="4049"/>
      <c r="G89" s="4112"/>
      <c r="H89" s="4113" t="s">
        <v>50</v>
      </c>
      <c r="I89" s="4114" t="s">
        <v>85</v>
      </c>
      <c r="J89" s="1964">
        <v>0</v>
      </c>
      <c r="K89" s="2159">
        <v>0</v>
      </c>
      <c r="L89" s="2160">
        <f>'[2]ALL BULAN'!E89</f>
        <v>0</v>
      </c>
      <c r="M89" s="4253">
        <f t="shared" si="14"/>
        <v>0</v>
      </c>
      <c r="N89" s="4253"/>
      <c r="O89" s="4254">
        <f t="shared" si="13"/>
        <v>0</v>
      </c>
      <c r="P89" s="4061">
        <v>0</v>
      </c>
      <c r="Q89" s="4839"/>
    </row>
    <row r="90" spans="1:17" s="2070" customFormat="1" ht="5.35" customHeight="1">
      <c r="A90" s="4048"/>
      <c r="B90" s="4048"/>
      <c r="C90" s="4048"/>
      <c r="D90" s="4048"/>
      <c r="E90" s="4048"/>
      <c r="F90" s="4049"/>
      <c r="G90" s="4082"/>
      <c r="H90" s="4083"/>
      <c r="I90" s="4083"/>
      <c r="J90" s="4528"/>
      <c r="K90" s="2183"/>
      <c r="L90" s="4528"/>
      <c r="M90" s="4529"/>
      <c r="N90" s="4529"/>
      <c r="O90" s="4529"/>
      <c r="P90" s="4084"/>
      <c r="Q90" s="4839"/>
    </row>
    <row r="91" spans="1:17" s="2073" customFormat="1" ht="15.65">
      <c r="A91" s="4039"/>
      <c r="B91" s="4039"/>
      <c r="C91" s="4039"/>
      <c r="D91" s="4039"/>
      <c r="E91" s="4039"/>
      <c r="F91" s="4040"/>
      <c r="G91" s="4041"/>
      <c r="H91" s="4042" t="s">
        <v>95</v>
      </c>
      <c r="I91" s="4097"/>
      <c r="J91" s="4519">
        <f>J93</f>
        <v>16250000000</v>
      </c>
      <c r="K91" s="4520">
        <v>2651132328.7199998</v>
      </c>
      <c r="L91" s="4519">
        <f>L93</f>
        <v>1246849913.1600001</v>
      </c>
      <c r="M91" s="4519">
        <f>M93</f>
        <v>3897982241.8800001</v>
      </c>
      <c r="N91" s="4519">
        <f>N93</f>
        <v>19000000000</v>
      </c>
      <c r="O91" s="4519">
        <f>O93</f>
        <v>2750000000</v>
      </c>
      <c r="P91" s="4044">
        <f>P93</f>
        <v>16.923076923076923</v>
      </c>
      <c r="Q91" s="4840"/>
    </row>
    <row r="92" spans="1:17" s="2075" customFormat="1" ht="9.1" customHeight="1">
      <c r="A92" s="4117"/>
      <c r="B92" s="4117"/>
      <c r="C92" s="4117"/>
      <c r="D92" s="4117"/>
      <c r="E92" s="4117"/>
      <c r="F92" s="4118"/>
      <c r="G92" s="4110"/>
      <c r="H92" s="4119"/>
      <c r="I92" s="4111"/>
      <c r="J92" s="4534"/>
      <c r="K92" s="4535"/>
      <c r="L92" s="4534"/>
      <c r="M92" s="4534"/>
      <c r="N92" s="4534"/>
      <c r="O92" s="4534"/>
      <c r="P92" s="4120"/>
      <c r="Q92" s="4845"/>
    </row>
    <row r="93" spans="1:17" s="2070" customFormat="1" ht="11.3" customHeight="1">
      <c r="A93" s="4048"/>
      <c r="B93" s="4048"/>
      <c r="C93" s="4048"/>
      <c r="D93" s="4048"/>
      <c r="E93" s="4048"/>
      <c r="F93" s="4066">
        <v>3</v>
      </c>
      <c r="G93" s="4121"/>
      <c r="H93" s="4056" t="s">
        <v>71</v>
      </c>
      <c r="I93" s="4122"/>
      <c r="J93" s="2229">
        <f>J94</f>
        <v>16250000000</v>
      </c>
      <c r="K93" s="2230">
        <v>2651132328.7199998</v>
      </c>
      <c r="L93" s="2229">
        <f>SUM(L95:L102)</f>
        <v>1246849913.1600001</v>
      </c>
      <c r="M93" s="2229">
        <f>SUM(M95:M102)</f>
        <v>3897982241.8800001</v>
      </c>
      <c r="N93" s="2229">
        <f>N94</f>
        <v>19000000000</v>
      </c>
      <c r="O93" s="2229">
        <f>O94</f>
        <v>2750000000</v>
      </c>
      <c r="P93" s="4123">
        <f>O93/J93*100</f>
        <v>16.923076923076923</v>
      </c>
      <c r="Q93" s="4839"/>
    </row>
    <row r="94" spans="1:17" s="4099" customFormat="1">
      <c r="A94" s="4074">
        <v>4</v>
      </c>
      <c r="B94" s="4074">
        <v>1</v>
      </c>
      <c r="C94" s="4074" t="s">
        <v>443</v>
      </c>
      <c r="D94" s="4074" t="s">
        <v>449</v>
      </c>
      <c r="E94" s="4048"/>
      <c r="F94" s="4105"/>
      <c r="G94" s="4055"/>
      <c r="H94" s="4056" t="s">
        <v>96</v>
      </c>
      <c r="J94" s="4254">
        <f>SUM(J95:J96)</f>
        <v>16250000000</v>
      </c>
      <c r="K94" s="2159">
        <v>2651132328.7199998</v>
      </c>
      <c r="L94" s="4254">
        <f>SUM(L95:L96)</f>
        <v>1246849913.1600001</v>
      </c>
      <c r="M94" s="4253">
        <f>SUM(K94:L94)</f>
        <v>3897982241.8800001</v>
      </c>
      <c r="N94" s="2276">
        <f>N95</f>
        <v>19000000000</v>
      </c>
      <c r="O94" s="4254">
        <f>N94-J94</f>
        <v>2750000000</v>
      </c>
      <c r="P94" s="4123">
        <f>O94/J94*100</f>
        <v>16.923076923076923</v>
      </c>
      <c r="Q94" s="4839"/>
    </row>
    <row r="95" spans="1:17" s="2070" customFormat="1">
      <c r="A95" s="4079">
        <v>4</v>
      </c>
      <c r="B95" s="4079">
        <v>1</v>
      </c>
      <c r="C95" s="4079" t="s">
        <v>443</v>
      </c>
      <c r="D95" s="4079" t="s">
        <v>449</v>
      </c>
      <c r="E95" s="4093" t="s">
        <v>437</v>
      </c>
      <c r="F95" s="4049"/>
      <c r="G95" s="4124"/>
      <c r="H95" s="4125" t="s">
        <v>50</v>
      </c>
      <c r="I95" s="4108" t="s">
        <v>97</v>
      </c>
      <c r="J95" s="1964">
        <v>16000000000</v>
      </c>
      <c r="K95" s="2159">
        <v>2651132328.7199998</v>
      </c>
      <c r="L95" s="2160">
        <v>1246849913.1600001</v>
      </c>
      <c r="M95" s="4253">
        <f>SUM(K95:L95)</f>
        <v>3897982241.8800001</v>
      </c>
      <c r="N95" s="2229">
        <v>19000000000</v>
      </c>
      <c r="O95" s="4254">
        <f>N95-J95</f>
        <v>3000000000</v>
      </c>
      <c r="P95" s="4123">
        <f>O95/J95*100</f>
        <v>18.75</v>
      </c>
      <c r="Q95" s="4839"/>
    </row>
    <row r="96" spans="1:17" s="2070" customFormat="1">
      <c r="A96" s="4048"/>
      <c r="B96" s="4048"/>
      <c r="C96" s="4048"/>
      <c r="D96" s="4048"/>
      <c r="E96" s="4048"/>
      <c r="F96" s="4049"/>
      <c r="G96" s="4124"/>
      <c r="H96" s="4062" t="s">
        <v>50</v>
      </c>
      <c r="I96" s="4126" t="s">
        <v>98</v>
      </c>
      <c r="J96" s="1964">
        <v>250000000</v>
      </c>
      <c r="K96" s="2159">
        <v>0</v>
      </c>
      <c r="L96" s="2160">
        <f>'[2]ALL BULAN'!E95</f>
        <v>0</v>
      </c>
      <c r="M96" s="4253">
        <f>SUM(K96:L96)</f>
        <v>0</v>
      </c>
      <c r="N96" s="4253">
        <v>0</v>
      </c>
      <c r="O96" s="4254">
        <f>N96-J96</f>
        <v>-250000000</v>
      </c>
      <c r="P96" s="4123">
        <f>O96/J96*100</f>
        <v>-100</v>
      </c>
      <c r="Q96" s="4839"/>
    </row>
    <row r="97" spans="1:18" s="2070" customFormat="1" ht="6.75" customHeight="1">
      <c r="A97" s="4048"/>
      <c r="B97" s="4048"/>
      <c r="C97" s="4048"/>
      <c r="D97" s="4048"/>
      <c r="E97" s="4048"/>
      <c r="F97" s="4049"/>
      <c r="G97" s="4124"/>
      <c r="H97" s="4126"/>
      <c r="I97" s="4126"/>
      <c r="J97" s="4523"/>
      <c r="K97" s="2159"/>
      <c r="L97" s="4523"/>
      <c r="M97" s="4253"/>
      <c r="N97" s="4253"/>
      <c r="O97" s="4254">
        <f t="shared" ref="O97:O102" si="15">M97-J97</f>
        <v>0</v>
      </c>
      <c r="P97" s="4061">
        <f>O97-K97</f>
        <v>0</v>
      </c>
      <c r="Q97" s="4839"/>
    </row>
    <row r="98" spans="1:18" s="2070" customFormat="1">
      <c r="A98" s="4065">
        <v>4</v>
      </c>
      <c r="B98" s="4065">
        <v>1</v>
      </c>
      <c r="C98" s="4065">
        <v>4</v>
      </c>
      <c r="D98" s="4065" t="s">
        <v>441</v>
      </c>
      <c r="E98" s="4048"/>
      <c r="F98" s="4049"/>
      <c r="G98" s="4124"/>
      <c r="H98" s="4062" t="s">
        <v>50</v>
      </c>
      <c r="I98" s="4060" t="s">
        <v>72</v>
      </c>
      <c r="J98" s="4523"/>
      <c r="K98" s="2159">
        <v>0</v>
      </c>
      <c r="L98" s="2160">
        <f>'[2]ALL BULAN'!E98</f>
        <v>0</v>
      </c>
      <c r="M98" s="4253">
        <f>SUM(K98:L98)</f>
        <v>0</v>
      </c>
      <c r="N98" s="4253"/>
      <c r="O98" s="4254">
        <f t="shared" si="15"/>
        <v>0</v>
      </c>
      <c r="P98" s="4061">
        <v>0</v>
      </c>
      <c r="Q98" s="4839"/>
    </row>
    <row r="99" spans="1:18" s="2070" customFormat="1">
      <c r="A99" s="4074">
        <v>4</v>
      </c>
      <c r="B99" s="4074">
        <v>1</v>
      </c>
      <c r="C99" s="4074" t="s">
        <v>443</v>
      </c>
      <c r="D99" s="4074" t="s">
        <v>444</v>
      </c>
      <c r="E99" s="4074" t="s">
        <v>440</v>
      </c>
      <c r="F99" s="4049"/>
      <c r="G99" s="4124"/>
      <c r="H99" s="4062" t="s">
        <v>50</v>
      </c>
      <c r="I99" s="4060" t="s">
        <v>73</v>
      </c>
      <c r="J99" s="1964">
        <v>0</v>
      </c>
      <c r="K99" s="2159">
        <v>0</v>
      </c>
      <c r="L99" s="2160">
        <f>'[2]ALL BULAN'!E99</f>
        <v>0</v>
      </c>
      <c r="M99" s="4253">
        <f>SUM(K99:L99)</f>
        <v>0</v>
      </c>
      <c r="N99" s="4253"/>
      <c r="O99" s="4254">
        <f t="shared" si="15"/>
        <v>0</v>
      </c>
      <c r="P99" s="4061">
        <v>0</v>
      </c>
      <c r="Q99" s="4839"/>
    </row>
    <row r="100" spans="1:18" s="2070" customFormat="1">
      <c r="A100" s="4069">
        <v>4</v>
      </c>
      <c r="B100" s="4069">
        <v>1</v>
      </c>
      <c r="C100" s="4069" t="s">
        <v>443</v>
      </c>
      <c r="D100" s="4069" t="s">
        <v>444</v>
      </c>
      <c r="E100" s="4070" t="s">
        <v>445</v>
      </c>
      <c r="F100" s="4049"/>
      <c r="G100" s="4124"/>
      <c r="H100" s="4062" t="s">
        <v>50</v>
      </c>
      <c r="I100" s="4060" t="s">
        <v>74</v>
      </c>
      <c r="J100" s="1964">
        <v>0</v>
      </c>
      <c r="K100" s="2159">
        <v>0</v>
      </c>
      <c r="L100" s="2160">
        <f>'[2]ALL BULAN'!E100</f>
        <v>0</v>
      </c>
      <c r="M100" s="4253">
        <f>SUM(K100:L100)</f>
        <v>0</v>
      </c>
      <c r="N100" s="4253"/>
      <c r="O100" s="4254">
        <f t="shared" si="15"/>
        <v>0</v>
      </c>
      <c r="P100" s="4061">
        <v>0</v>
      </c>
      <c r="Q100" s="4839"/>
    </row>
    <row r="101" spans="1:18" s="2070" customFormat="1">
      <c r="A101" s="4101">
        <v>4</v>
      </c>
      <c r="B101" s="4101">
        <v>1</v>
      </c>
      <c r="C101" s="4101" t="s">
        <v>443</v>
      </c>
      <c r="D101" s="4101" t="s">
        <v>444</v>
      </c>
      <c r="E101" s="4101" t="s">
        <v>441</v>
      </c>
      <c r="F101" s="4049"/>
      <c r="G101" s="4059"/>
      <c r="H101" s="4060" t="s">
        <v>308</v>
      </c>
      <c r="I101" s="4090" t="s">
        <v>75</v>
      </c>
      <c r="J101" s="1964">
        <v>0</v>
      </c>
      <c r="K101" s="2159">
        <v>0</v>
      </c>
      <c r="L101" s="2160">
        <f>'[2]ALL BULAN'!E101</f>
        <v>0</v>
      </c>
      <c r="M101" s="4253">
        <f>SUM(K101:L101)</f>
        <v>0</v>
      </c>
      <c r="N101" s="4253"/>
      <c r="O101" s="4254">
        <f t="shared" si="15"/>
        <v>0</v>
      </c>
      <c r="P101" s="4061">
        <v>0</v>
      </c>
      <c r="Q101" s="4839"/>
    </row>
    <row r="102" spans="1:18" s="2070" customFormat="1">
      <c r="A102" s="4079">
        <v>4</v>
      </c>
      <c r="B102" s="4079">
        <v>1</v>
      </c>
      <c r="C102" s="4079" t="s">
        <v>443</v>
      </c>
      <c r="D102" s="4079" t="s">
        <v>447</v>
      </c>
      <c r="E102" s="4093" t="s">
        <v>437</v>
      </c>
      <c r="F102" s="4049"/>
      <c r="G102" s="4059"/>
      <c r="H102" s="4060" t="s">
        <v>50</v>
      </c>
      <c r="I102" s="4090" t="s">
        <v>85</v>
      </c>
      <c r="J102" s="1964">
        <v>0</v>
      </c>
      <c r="K102" s="2159">
        <v>0</v>
      </c>
      <c r="L102" s="2160">
        <f>'[2]ALL BULAN'!E102</f>
        <v>0</v>
      </c>
      <c r="M102" s="4253">
        <f>SUM(K102:L102)</f>
        <v>0</v>
      </c>
      <c r="N102" s="4253"/>
      <c r="O102" s="4254">
        <f t="shared" si="15"/>
        <v>0</v>
      </c>
      <c r="P102" s="4061">
        <v>0</v>
      </c>
      <c r="Q102" s="4839"/>
    </row>
    <row r="103" spans="1:18" s="2070" customFormat="1" ht="5.35" customHeight="1">
      <c r="A103" s="4048"/>
      <c r="B103" s="4048"/>
      <c r="C103" s="4048"/>
      <c r="D103" s="4048"/>
      <c r="E103" s="4048"/>
      <c r="F103" s="4049"/>
      <c r="G103" s="4082"/>
      <c r="H103" s="4083"/>
      <c r="I103" s="4083"/>
      <c r="J103" s="4528"/>
      <c r="K103" s="2183"/>
      <c r="L103" s="4528"/>
      <c r="M103" s="4529"/>
      <c r="N103" s="4529"/>
      <c r="O103" s="4529"/>
      <c r="P103" s="4084"/>
      <c r="Q103" s="4839"/>
    </row>
    <row r="104" spans="1:18" s="2073" customFormat="1" ht="15.65">
      <c r="A104" s="4039"/>
      <c r="B104" s="4039"/>
      <c r="C104" s="4039"/>
      <c r="D104" s="4039"/>
      <c r="E104" s="4039"/>
      <c r="F104" s="4040"/>
      <c r="G104" s="4041"/>
      <c r="H104" s="4042" t="s">
        <v>99</v>
      </c>
      <c r="I104" s="4097"/>
      <c r="J104" s="4519">
        <v>125000000000</v>
      </c>
      <c r="K104" s="4520">
        <v>19046122482.029999</v>
      </c>
      <c r="L104" s="4519">
        <f>L106</f>
        <v>12944839389.030001</v>
      </c>
      <c r="M104" s="4519">
        <f>M106</f>
        <v>31990961871.059998</v>
      </c>
      <c r="N104" s="4519">
        <v>141100000000</v>
      </c>
      <c r="O104" s="4519">
        <f>O106</f>
        <v>16100000000</v>
      </c>
      <c r="P104" s="4044">
        <f>P106</f>
        <v>12.879999999999999</v>
      </c>
      <c r="Q104" s="4840"/>
    </row>
    <row r="105" spans="1:18" s="2070" customFormat="1" ht="9.1" customHeight="1">
      <c r="A105" s="4048"/>
      <c r="B105" s="4048"/>
      <c r="C105" s="4048"/>
      <c r="D105" s="4048"/>
      <c r="E105" s="4048"/>
      <c r="F105" s="4049"/>
      <c r="G105" s="4103"/>
      <c r="I105" s="4092"/>
      <c r="J105" s="4533"/>
      <c r="K105" s="4536"/>
      <c r="L105" s="4533"/>
      <c r="M105" s="4533"/>
      <c r="N105" s="4533"/>
      <c r="O105" s="4533"/>
      <c r="P105" s="4127"/>
      <c r="Q105" s="4839"/>
    </row>
    <row r="106" spans="1:18" s="4099" customFormat="1">
      <c r="A106" s="4128"/>
      <c r="B106" s="4128"/>
      <c r="C106" s="4128"/>
      <c r="D106" s="4128"/>
      <c r="E106" s="4128"/>
      <c r="F106" s="4098">
        <v>3</v>
      </c>
      <c r="G106" s="4091"/>
      <c r="H106" s="4092" t="s">
        <v>71</v>
      </c>
      <c r="I106" s="4068"/>
      <c r="J106" s="2190">
        <f>J107</f>
        <v>125000000000</v>
      </c>
      <c r="K106" s="2234">
        <v>19046122482.029999</v>
      </c>
      <c r="L106" s="2190">
        <f>SUM(L108:L114)</f>
        <v>12944839389.030001</v>
      </c>
      <c r="M106" s="2190">
        <f>SUM(M108:M114)</f>
        <v>31990961871.059998</v>
      </c>
      <c r="N106" s="2190">
        <f>N107</f>
        <v>141100000000</v>
      </c>
      <c r="O106" s="2190">
        <f>SUM(O108:O114)</f>
        <v>16100000000</v>
      </c>
      <c r="P106" s="4061">
        <f>O106/J106*100</f>
        <v>12.879999999999999</v>
      </c>
      <c r="Q106" s="4839"/>
    </row>
    <row r="107" spans="1:18" s="4099" customFormat="1">
      <c r="A107" s="4074">
        <v>4</v>
      </c>
      <c r="B107" s="4074">
        <v>1</v>
      </c>
      <c r="C107" s="4074" t="s">
        <v>443</v>
      </c>
      <c r="D107" s="4074" t="s">
        <v>449</v>
      </c>
      <c r="E107" s="4048"/>
      <c r="F107" s="4105"/>
      <c r="G107" s="4091"/>
      <c r="H107" s="4056" t="s">
        <v>96</v>
      </c>
      <c r="I107" s="4092"/>
      <c r="J107" s="2181">
        <f>J108</f>
        <v>125000000000</v>
      </c>
      <c r="K107" s="2159">
        <v>19046122482.029999</v>
      </c>
      <c r="L107" s="2181">
        <f>L108</f>
        <v>12944839389.030001</v>
      </c>
      <c r="M107" s="4253">
        <f>SUM(K107:L107)</f>
        <v>31990961871.059998</v>
      </c>
      <c r="N107" s="2190">
        <f>N108</f>
        <v>141100000000</v>
      </c>
      <c r="O107" s="4254">
        <f>O108</f>
        <v>16100000000</v>
      </c>
      <c r="P107" s="4061">
        <f>O107/J107*100</f>
        <v>12.879999999999999</v>
      </c>
      <c r="Q107" s="4846" t="s">
        <v>450</v>
      </c>
      <c r="R107" s="4129">
        <f>R108-K108</f>
        <v>-19041427200.319996</v>
      </c>
    </row>
    <row r="108" spans="1:18" s="2070" customFormat="1">
      <c r="A108" s="4079">
        <v>4</v>
      </c>
      <c r="B108" s="4079">
        <v>1</v>
      </c>
      <c r="C108" s="4079" t="s">
        <v>443</v>
      </c>
      <c r="D108" s="4079" t="s">
        <v>449</v>
      </c>
      <c r="E108" s="4093" t="s">
        <v>437</v>
      </c>
      <c r="F108" s="4049"/>
      <c r="G108" s="4088"/>
      <c r="H108" s="4089" t="s">
        <v>50</v>
      </c>
      <c r="I108" s="4108" t="s">
        <v>97</v>
      </c>
      <c r="J108" s="1964">
        <v>125000000000</v>
      </c>
      <c r="K108" s="2236">
        <v>19046122482.029999</v>
      </c>
      <c r="L108" s="2160">
        <v>12944839389.030001</v>
      </c>
      <c r="M108" s="4253">
        <f>SUM(K108:L108)</f>
        <v>31990961871.059998</v>
      </c>
      <c r="N108" s="4248">
        <v>141100000000</v>
      </c>
      <c r="O108" s="4254">
        <f>N108-J108</f>
        <v>16100000000</v>
      </c>
      <c r="P108" s="4061">
        <f>O108/J108*100</f>
        <v>12.879999999999999</v>
      </c>
      <c r="Q108" s="4847">
        <v>31995657152.77</v>
      </c>
      <c r="R108" s="4130">
        <f>Q108-M108</f>
        <v>4695281.7100028992</v>
      </c>
    </row>
    <row r="109" spans="1:18" s="2070" customFormat="1" ht="6.75" customHeight="1">
      <c r="A109" s="4048"/>
      <c r="B109" s="4048"/>
      <c r="C109" s="4048"/>
      <c r="D109" s="4048"/>
      <c r="E109" s="4048"/>
      <c r="F109" s="4049"/>
      <c r="G109" s="4088"/>
      <c r="H109" s="4090"/>
      <c r="I109" s="4060"/>
      <c r="J109" s="2188"/>
      <c r="K109" s="2159"/>
      <c r="L109" s="2188"/>
      <c r="M109" s="4253"/>
      <c r="N109" s="4253"/>
      <c r="O109" s="4254">
        <f t="shared" ref="O109:O114" si="16">M109-J109</f>
        <v>0</v>
      </c>
      <c r="P109" s="4061">
        <f>O109-K109</f>
        <v>0</v>
      </c>
      <c r="Q109" s="4839"/>
    </row>
    <row r="110" spans="1:18" s="2070" customFormat="1">
      <c r="A110" s="4065">
        <v>4</v>
      </c>
      <c r="B110" s="4065">
        <v>1</v>
      </c>
      <c r="C110" s="4065">
        <v>4</v>
      </c>
      <c r="D110" s="4065" t="s">
        <v>441</v>
      </c>
      <c r="E110" s="4048"/>
      <c r="F110" s="4049"/>
      <c r="G110" s="4088"/>
      <c r="H110" s="4089" t="s">
        <v>50</v>
      </c>
      <c r="I110" s="4060" t="s">
        <v>72</v>
      </c>
      <c r="J110" s="1964">
        <v>0</v>
      </c>
      <c r="K110" s="2159">
        <v>0</v>
      </c>
      <c r="L110" s="2160">
        <f>'[2]ALL BULAN'!E110</f>
        <v>0</v>
      </c>
      <c r="M110" s="4253">
        <f>SUM(K110:L110)</f>
        <v>0</v>
      </c>
      <c r="N110" s="4253">
        <v>0</v>
      </c>
      <c r="O110" s="4254">
        <f t="shared" si="16"/>
        <v>0</v>
      </c>
      <c r="P110" s="4061">
        <v>0</v>
      </c>
      <c r="Q110" s="4839"/>
    </row>
    <row r="111" spans="1:18" s="2070" customFormat="1">
      <c r="A111" s="4074">
        <v>4</v>
      </c>
      <c r="B111" s="4074">
        <v>1</v>
      </c>
      <c r="C111" s="4074" t="s">
        <v>443</v>
      </c>
      <c r="D111" s="4074" t="s">
        <v>444</v>
      </c>
      <c r="E111" s="4074" t="s">
        <v>440</v>
      </c>
      <c r="F111" s="4049"/>
      <c r="G111" s="4088"/>
      <c r="H111" s="4089" t="s">
        <v>50</v>
      </c>
      <c r="I111" s="4060" t="s">
        <v>73</v>
      </c>
      <c r="J111" s="1964">
        <v>0</v>
      </c>
      <c r="K111" s="2159">
        <v>0</v>
      </c>
      <c r="L111" s="2160">
        <f>'[2]ALL BULAN'!E111</f>
        <v>0</v>
      </c>
      <c r="M111" s="4253">
        <f>SUM(K111:L111)</f>
        <v>0</v>
      </c>
      <c r="N111" s="4253">
        <v>0</v>
      </c>
      <c r="O111" s="4254">
        <f t="shared" si="16"/>
        <v>0</v>
      </c>
      <c r="P111" s="4061">
        <v>0</v>
      </c>
      <c r="Q111" s="4839"/>
    </row>
    <row r="112" spans="1:18" s="2070" customFormat="1">
      <c r="A112" s="4069">
        <v>4</v>
      </c>
      <c r="B112" s="4069">
        <v>1</v>
      </c>
      <c r="C112" s="4069" t="s">
        <v>443</v>
      </c>
      <c r="D112" s="4069" t="s">
        <v>444</v>
      </c>
      <c r="E112" s="4070" t="s">
        <v>445</v>
      </c>
      <c r="F112" s="4049"/>
      <c r="G112" s="4088"/>
      <c r="H112" s="4089" t="s">
        <v>50</v>
      </c>
      <c r="I112" s="4060" t="s">
        <v>74</v>
      </c>
      <c r="J112" s="1964">
        <v>0</v>
      </c>
      <c r="K112" s="2159">
        <v>0</v>
      </c>
      <c r="L112" s="2160">
        <f>'[2]ALL BULAN'!E112</f>
        <v>0</v>
      </c>
      <c r="M112" s="4253">
        <f>SUM(K112:L112)</f>
        <v>0</v>
      </c>
      <c r="N112" s="4253">
        <v>0</v>
      </c>
      <c r="O112" s="4254">
        <f t="shared" si="16"/>
        <v>0</v>
      </c>
      <c r="P112" s="4061">
        <v>0</v>
      </c>
      <c r="Q112" s="4839"/>
    </row>
    <row r="113" spans="1:17" s="2070" customFormat="1">
      <c r="A113" s="4101">
        <v>4</v>
      </c>
      <c r="B113" s="4101">
        <v>1</v>
      </c>
      <c r="C113" s="4101" t="s">
        <v>443</v>
      </c>
      <c r="D113" s="4101" t="s">
        <v>444</v>
      </c>
      <c r="E113" s="4101" t="s">
        <v>441</v>
      </c>
      <c r="F113" s="4049"/>
      <c r="G113" s="4088"/>
      <c r="H113" s="4060" t="s">
        <v>308</v>
      </c>
      <c r="I113" s="4090" t="s">
        <v>75</v>
      </c>
      <c r="J113" s="1964">
        <v>0</v>
      </c>
      <c r="K113" s="2159">
        <v>0</v>
      </c>
      <c r="L113" s="2160">
        <f>'[2]ALL BULAN'!E113</f>
        <v>0</v>
      </c>
      <c r="M113" s="4253">
        <f>SUM(K113:L113)</f>
        <v>0</v>
      </c>
      <c r="N113" s="4253">
        <v>0</v>
      </c>
      <c r="O113" s="4254">
        <f t="shared" si="16"/>
        <v>0</v>
      </c>
      <c r="P113" s="4061">
        <v>0</v>
      </c>
      <c r="Q113" s="4839">
        <f>+N104+N116+N91+N66</f>
        <v>177300000000</v>
      </c>
    </row>
    <row r="114" spans="1:17" s="2070" customFormat="1">
      <c r="A114" s="4079">
        <v>4</v>
      </c>
      <c r="B114" s="4079">
        <v>1</v>
      </c>
      <c r="C114" s="4079" t="s">
        <v>443</v>
      </c>
      <c r="D114" s="4079" t="s">
        <v>447</v>
      </c>
      <c r="E114" s="4093" t="s">
        <v>437</v>
      </c>
      <c r="F114" s="4049"/>
      <c r="G114" s="4059"/>
      <c r="H114" s="4089" t="s">
        <v>50</v>
      </c>
      <c r="I114" s="4090" t="s">
        <v>85</v>
      </c>
      <c r="J114" s="1964">
        <v>0</v>
      </c>
      <c r="K114" s="2159">
        <v>0</v>
      </c>
      <c r="L114" s="2160">
        <f>'[2]ALL BULAN'!E114</f>
        <v>0</v>
      </c>
      <c r="M114" s="4253">
        <f>SUM(K114:L114)</f>
        <v>0</v>
      </c>
      <c r="N114" s="4253">
        <v>0</v>
      </c>
      <c r="O114" s="4254">
        <f t="shared" si="16"/>
        <v>0</v>
      </c>
      <c r="P114" s="4061">
        <v>0</v>
      </c>
      <c r="Q114" s="4839"/>
    </row>
    <row r="115" spans="1:17" s="2070" customFormat="1" ht="5.95" customHeight="1">
      <c r="A115" s="4048"/>
      <c r="B115" s="4048"/>
      <c r="C115" s="4048"/>
      <c r="D115" s="4048"/>
      <c r="E115" s="4048"/>
      <c r="F115" s="4049"/>
      <c r="G115" s="4036"/>
      <c r="H115" s="4131"/>
      <c r="I115" s="4131"/>
      <c r="J115" s="2143"/>
      <c r="K115" s="2144"/>
      <c r="L115" s="2143"/>
      <c r="M115" s="1727"/>
      <c r="N115" s="1727"/>
      <c r="O115" s="1727"/>
      <c r="P115" s="4038"/>
      <c r="Q115" s="4839"/>
    </row>
    <row r="116" spans="1:17" s="2073" customFormat="1" ht="15.65">
      <c r="A116" s="4039"/>
      <c r="B116" s="4039"/>
      <c r="C116" s="4039"/>
      <c r="D116" s="4039"/>
      <c r="E116" s="4039"/>
      <c r="F116" s="4040"/>
      <c r="G116" s="4041" t="s">
        <v>100</v>
      </c>
      <c r="H116" s="4042" t="s">
        <v>101</v>
      </c>
      <c r="I116" s="4097"/>
      <c r="J116" s="4519">
        <f>J118</f>
        <v>15000000000</v>
      </c>
      <c r="K116" s="4520">
        <v>2493831376</v>
      </c>
      <c r="L116" s="4519">
        <f>L118</f>
        <v>1671690063</v>
      </c>
      <c r="M116" s="4519">
        <f>M118</f>
        <v>4165521439</v>
      </c>
      <c r="N116" s="4519">
        <f>N118</f>
        <v>15000000000</v>
      </c>
      <c r="O116" s="4519">
        <f>O118</f>
        <v>0</v>
      </c>
      <c r="P116" s="4756">
        <f>O116/J116*100</f>
        <v>0</v>
      </c>
      <c r="Q116" s="4840"/>
    </row>
    <row r="117" spans="1:17" s="2070" customFormat="1" ht="7.55" customHeight="1">
      <c r="A117" s="4048"/>
      <c r="B117" s="4048"/>
      <c r="C117" s="4048"/>
      <c r="D117" s="4048"/>
      <c r="E117" s="4048"/>
      <c r="F117" s="4049"/>
      <c r="G117" s="4059"/>
      <c r="I117" s="4087"/>
      <c r="J117" s="4530"/>
      <c r="K117" s="4537"/>
      <c r="L117" s="4530"/>
      <c r="M117" s="4530"/>
      <c r="N117" s="4530"/>
      <c r="O117" s="4530"/>
      <c r="P117" s="4057"/>
      <c r="Q117" s="4839"/>
    </row>
    <row r="118" spans="1:17" s="2070" customFormat="1" ht="17.25" customHeight="1">
      <c r="A118" s="4048"/>
      <c r="B118" s="4048"/>
      <c r="C118" s="4048"/>
      <c r="D118" s="4048"/>
      <c r="E118" s="4048"/>
      <c r="F118" s="4066">
        <v>3</v>
      </c>
      <c r="G118" s="4059"/>
      <c r="H118" s="4092" t="s">
        <v>71</v>
      </c>
      <c r="I118" s="4132"/>
      <c r="J118" s="2217">
        <f>J119</f>
        <v>15000000000</v>
      </c>
      <c r="K118" s="2240">
        <v>2493831376</v>
      </c>
      <c r="L118" s="2217">
        <f>SUM(L120:L127)</f>
        <v>1671690063</v>
      </c>
      <c r="M118" s="2217">
        <f>SUM(M120:M127)</f>
        <v>4165521439</v>
      </c>
      <c r="N118" s="2217">
        <f>N119</f>
        <v>15000000000</v>
      </c>
      <c r="O118" s="2217">
        <f>SUM(O120:O127)</f>
        <v>0</v>
      </c>
      <c r="P118" s="4061">
        <f>O118/J118*100</f>
        <v>0</v>
      </c>
      <c r="Q118" s="4839"/>
    </row>
    <row r="119" spans="1:17" s="4099" customFormat="1">
      <c r="A119" s="4074">
        <v>4</v>
      </c>
      <c r="B119" s="4074">
        <v>1</v>
      </c>
      <c r="C119" s="4074" t="s">
        <v>443</v>
      </c>
      <c r="D119" s="4074" t="s">
        <v>449</v>
      </c>
      <c r="E119" s="4048"/>
      <c r="F119" s="4105"/>
      <c r="G119" s="4067"/>
      <c r="H119" s="4056" t="s">
        <v>96</v>
      </c>
      <c r="I119" s="4092"/>
      <c r="J119" s="2181">
        <f>J120</f>
        <v>15000000000</v>
      </c>
      <c r="K119" s="2159">
        <v>2493831376</v>
      </c>
      <c r="L119" s="2181">
        <f>SUM(L120)</f>
        <v>1671690063</v>
      </c>
      <c r="M119" s="4253">
        <f t="shared" ref="M119:M127" si="17">SUM(K119:L119)</f>
        <v>4165521439</v>
      </c>
      <c r="N119" s="2181">
        <f>N120</f>
        <v>15000000000</v>
      </c>
      <c r="O119" s="4254">
        <v>0</v>
      </c>
      <c r="P119" s="4061">
        <f>O119/J119*100</f>
        <v>0</v>
      </c>
      <c r="Q119" s="4839"/>
    </row>
    <row r="120" spans="1:17" s="2070" customFormat="1">
      <c r="A120" s="4079">
        <v>4</v>
      </c>
      <c r="B120" s="4079">
        <v>1</v>
      </c>
      <c r="C120" s="4079" t="s">
        <v>443</v>
      </c>
      <c r="D120" s="4079" t="s">
        <v>449</v>
      </c>
      <c r="E120" s="4093" t="s">
        <v>437</v>
      </c>
      <c r="F120" s="4049"/>
      <c r="G120" s="4067"/>
      <c r="H120" s="4108" t="s">
        <v>102</v>
      </c>
      <c r="J120" s="1964">
        <v>15000000000</v>
      </c>
      <c r="K120" s="2159">
        <v>2493831376</v>
      </c>
      <c r="L120" s="2241">
        <v>1671690063</v>
      </c>
      <c r="M120" s="4253">
        <f t="shared" si="17"/>
        <v>4165521439</v>
      </c>
      <c r="N120" s="1964">
        <v>15000000000</v>
      </c>
      <c r="O120" s="4254">
        <v>0</v>
      </c>
      <c r="P120" s="4061">
        <f>O120/J120*100</f>
        <v>0</v>
      </c>
      <c r="Q120" s="4839"/>
    </row>
    <row r="121" spans="1:17" s="2070" customFormat="1">
      <c r="A121" s="4048"/>
      <c r="B121" s="4048"/>
      <c r="C121" s="4048"/>
      <c r="D121" s="4048"/>
      <c r="E121" s="4048"/>
      <c r="F121" s="4049"/>
      <c r="G121" s="4059"/>
      <c r="H121" s="4068"/>
      <c r="I121" s="4090"/>
      <c r="J121" s="2188"/>
      <c r="K121" s="2159">
        <v>0</v>
      </c>
      <c r="L121" s="2188"/>
      <c r="M121" s="4253">
        <f t="shared" si="17"/>
        <v>0</v>
      </c>
      <c r="N121" s="4253"/>
      <c r="O121" s="4254">
        <f t="shared" ref="O121:O127" si="18">M121-J121</f>
        <v>0</v>
      </c>
      <c r="P121" s="4061">
        <f>O121-K121</f>
        <v>0</v>
      </c>
      <c r="Q121" s="4839"/>
    </row>
    <row r="122" spans="1:17" s="2070" customFormat="1">
      <c r="A122" s="4048"/>
      <c r="B122" s="4048"/>
      <c r="C122" s="4048"/>
      <c r="D122" s="4048"/>
      <c r="E122" s="4048"/>
      <c r="F122" s="4049"/>
      <c r="G122" s="4080"/>
      <c r="H122" s="4064" t="s">
        <v>50</v>
      </c>
      <c r="I122" s="4133" t="s">
        <v>103</v>
      </c>
      <c r="J122" s="1964">
        <v>0</v>
      </c>
      <c r="K122" s="2159">
        <v>0</v>
      </c>
      <c r="L122" s="2160">
        <f>'[2]ALL BULAN'!E122</f>
        <v>0</v>
      </c>
      <c r="M122" s="4253">
        <f t="shared" si="17"/>
        <v>0</v>
      </c>
      <c r="N122" s="4253">
        <v>0</v>
      </c>
      <c r="O122" s="4254">
        <f t="shared" si="18"/>
        <v>0</v>
      </c>
      <c r="P122" s="4061">
        <v>0</v>
      </c>
      <c r="Q122" s="4839"/>
    </row>
    <row r="123" spans="1:17" s="2070" customFormat="1">
      <c r="A123" s="4065">
        <v>4</v>
      </c>
      <c r="B123" s="4065">
        <v>1</v>
      </c>
      <c r="C123" s="4065">
        <v>4</v>
      </c>
      <c r="D123" s="4065" t="s">
        <v>441</v>
      </c>
      <c r="E123" s="4048"/>
      <c r="F123" s="4049"/>
      <c r="G123" s="4080"/>
      <c r="H123" s="4064" t="s">
        <v>50</v>
      </c>
      <c r="I123" s="4060" t="s">
        <v>72</v>
      </c>
      <c r="J123" s="1964">
        <v>0</v>
      </c>
      <c r="K123" s="2159">
        <v>0</v>
      </c>
      <c r="L123" s="2160">
        <f>'[2]ALL BULAN'!E123</f>
        <v>0</v>
      </c>
      <c r="M123" s="4253">
        <f t="shared" si="17"/>
        <v>0</v>
      </c>
      <c r="N123" s="4253">
        <v>0</v>
      </c>
      <c r="O123" s="4254">
        <f t="shared" si="18"/>
        <v>0</v>
      </c>
      <c r="P123" s="4061">
        <v>0</v>
      </c>
      <c r="Q123" s="4839"/>
    </row>
    <row r="124" spans="1:17" s="2070" customFormat="1">
      <c r="A124" s="4074">
        <v>4</v>
      </c>
      <c r="B124" s="4074">
        <v>1</v>
      </c>
      <c r="C124" s="4074" t="s">
        <v>443</v>
      </c>
      <c r="D124" s="4074" t="s">
        <v>444</v>
      </c>
      <c r="E124" s="4074" t="s">
        <v>440</v>
      </c>
      <c r="F124" s="4049"/>
      <c r="G124" s="4080"/>
      <c r="H124" s="4064" t="s">
        <v>50</v>
      </c>
      <c r="I124" s="4060" t="s">
        <v>73</v>
      </c>
      <c r="J124" s="1964">
        <v>0</v>
      </c>
      <c r="K124" s="2159">
        <v>0</v>
      </c>
      <c r="L124" s="2160">
        <f>'[2]ALL BULAN'!E124</f>
        <v>0</v>
      </c>
      <c r="M124" s="4253">
        <f t="shared" si="17"/>
        <v>0</v>
      </c>
      <c r="N124" s="4253">
        <v>0</v>
      </c>
      <c r="O124" s="4254">
        <f t="shared" si="18"/>
        <v>0</v>
      </c>
      <c r="P124" s="4061">
        <v>0</v>
      </c>
      <c r="Q124" s="4839"/>
    </row>
    <row r="125" spans="1:17" s="2070" customFormat="1">
      <c r="A125" s="4069">
        <v>4</v>
      </c>
      <c r="B125" s="4069">
        <v>1</v>
      </c>
      <c r="C125" s="4069" t="s">
        <v>443</v>
      </c>
      <c r="D125" s="4069" t="s">
        <v>444</v>
      </c>
      <c r="E125" s="4070" t="s">
        <v>445</v>
      </c>
      <c r="F125" s="4049"/>
      <c r="G125" s="4080"/>
      <c r="H125" s="4064" t="s">
        <v>50</v>
      </c>
      <c r="I125" s="4060" t="s">
        <v>74</v>
      </c>
      <c r="J125" s="1964">
        <v>0</v>
      </c>
      <c r="K125" s="2159">
        <v>0</v>
      </c>
      <c r="L125" s="2160">
        <f>'[2]ALL BULAN'!E125</f>
        <v>0</v>
      </c>
      <c r="M125" s="4253">
        <f t="shared" si="17"/>
        <v>0</v>
      </c>
      <c r="N125" s="4253">
        <v>0</v>
      </c>
      <c r="O125" s="4254">
        <f t="shared" si="18"/>
        <v>0</v>
      </c>
      <c r="P125" s="4061">
        <v>0</v>
      </c>
      <c r="Q125" s="4839"/>
    </row>
    <row r="126" spans="1:17" s="2070" customFormat="1">
      <c r="A126" s="4101">
        <v>4</v>
      </c>
      <c r="B126" s="4101">
        <v>1</v>
      </c>
      <c r="C126" s="4101" t="s">
        <v>443</v>
      </c>
      <c r="D126" s="4101" t="s">
        <v>444</v>
      </c>
      <c r="E126" s="4101" t="s">
        <v>441</v>
      </c>
      <c r="F126" s="4049"/>
      <c r="G126" s="4080"/>
      <c r="H126" s="4060" t="s">
        <v>308</v>
      </c>
      <c r="I126" s="4090" t="s">
        <v>75</v>
      </c>
      <c r="J126" s="1964">
        <v>0</v>
      </c>
      <c r="K126" s="2159">
        <v>0</v>
      </c>
      <c r="L126" s="2160">
        <f>'[2]ALL BULAN'!E126</f>
        <v>0</v>
      </c>
      <c r="M126" s="4253">
        <f t="shared" si="17"/>
        <v>0</v>
      </c>
      <c r="N126" s="4253">
        <v>0</v>
      </c>
      <c r="O126" s="4254">
        <f t="shared" si="18"/>
        <v>0</v>
      </c>
      <c r="P126" s="4061">
        <v>0</v>
      </c>
      <c r="Q126" s="4839"/>
    </row>
    <row r="127" spans="1:17" s="2070" customFormat="1">
      <c r="A127" s="4079">
        <v>4</v>
      </c>
      <c r="B127" s="4079">
        <v>1</v>
      </c>
      <c r="C127" s="4079" t="s">
        <v>443</v>
      </c>
      <c r="D127" s="4079" t="s">
        <v>447</v>
      </c>
      <c r="E127" s="4093" t="s">
        <v>437</v>
      </c>
      <c r="F127" s="4049"/>
      <c r="G127" s="4080"/>
      <c r="H127" s="4064" t="s">
        <v>50</v>
      </c>
      <c r="I127" s="4090" t="s">
        <v>85</v>
      </c>
      <c r="J127" s="1964">
        <v>0</v>
      </c>
      <c r="K127" s="2159">
        <v>0</v>
      </c>
      <c r="L127" s="2160">
        <f>'[2]ALL BULAN'!E127</f>
        <v>0</v>
      </c>
      <c r="M127" s="4253">
        <f t="shared" si="17"/>
        <v>0</v>
      </c>
      <c r="N127" s="4253">
        <v>0</v>
      </c>
      <c r="O127" s="4254">
        <f t="shared" si="18"/>
        <v>0</v>
      </c>
      <c r="P127" s="4061">
        <v>0</v>
      </c>
      <c r="Q127" s="4839"/>
    </row>
    <row r="128" spans="1:17" s="2070" customFormat="1" ht="5.35" customHeight="1">
      <c r="A128" s="4048"/>
      <c r="B128" s="4048"/>
      <c r="C128" s="4048"/>
      <c r="D128" s="4048"/>
      <c r="E128" s="4048"/>
      <c r="F128" s="4049"/>
      <c r="G128" s="4082"/>
      <c r="H128" s="4083"/>
      <c r="I128" s="4095"/>
      <c r="J128" s="4531"/>
      <c r="K128" s="2192"/>
      <c r="L128" s="4531"/>
      <c r="M128" s="4532"/>
      <c r="N128" s="4532"/>
      <c r="O128" s="4532"/>
      <c r="P128" s="4096"/>
      <c r="Q128" s="4839"/>
    </row>
    <row r="129" spans="1:17" s="2073" customFormat="1" ht="15.65">
      <c r="A129" s="4039"/>
      <c r="B129" s="4039"/>
      <c r="C129" s="4039"/>
      <c r="D129" s="4039"/>
      <c r="E129" s="4039"/>
      <c r="F129" s="4040"/>
      <c r="G129" s="4041" t="s">
        <v>104</v>
      </c>
      <c r="H129" s="4042" t="s">
        <v>105</v>
      </c>
      <c r="I129" s="4134"/>
      <c r="J129" s="4519">
        <f>J130</f>
        <v>486000000</v>
      </c>
      <c r="K129" s="4520">
        <v>117482985.78</v>
      </c>
      <c r="L129" s="4519">
        <f>L130+L139</f>
        <v>28517500</v>
      </c>
      <c r="M129" s="4519">
        <f>SUM(K129:L129)</f>
        <v>146000485.78</v>
      </c>
      <c r="N129" s="4519">
        <f>N130</f>
        <v>486000000</v>
      </c>
      <c r="O129" s="4519">
        <v>0</v>
      </c>
      <c r="P129" s="4044">
        <f>M129/J129*100</f>
        <v>30.041252218106994</v>
      </c>
      <c r="Q129" s="4840"/>
    </row>
    <row r="130" spans="1:17" s="4099" customFormat="1">
      <c r="A130" s="4128"/>
      <c r="B130" s="4128"/>
      <c r="C130" s="4128"/>
      <c r="D130" s="4128"/>
      <c r="E130" s="4128"/>
      <c r="F130" s="4098">
        <v>1</v>
      </c>
      <c r="G130" s="4067"/>
      <c r="H130" s="4135" t="s">
        <v>106</v>
      </c>
      <c r="I130" s="4087"/>
      <c r="J130" s="4530">
        <f>SUM(J131+J134)</f>
        <v>486000000</v>
      </c>
      <c r="K130" s="2159">
        <v>22406900</v>
      </c>
      <c r="L130" s="4530">
        <f>L131+L134</f>
        <v>26657500</v>
      </c>
      <c r="M130" s="4253">
        <f>SUM(K130:L130)</f>
        <v>49064400</v>
      </c>
      <c r="N130" s="4530">
        <f>N131+N134</f>
        <v>486000000</v>
      </c>
      <c r="O130" s="4254">
        <v>0</v>
      </c>
      <c r="P130" s="4061">
        <f>M130/J130*100</f>
        <v>10.095555555555556</v>
      </c>
      <c r="Q130" s="4839"/>
    </row>
    <row r="131" spans="1:17" s="4099" customFormat="1">
      <c r="A131" s="4074">
        <v>4</v>
      </c>
      <c r="B131" s="4074">
        <v>1</v>
      </c>
      <c r="C131" s="4074">
        <v>2</v>
      </c>
      <c r="D131" s="4074" t="s">
        <v>437</v>
      </c>
      <c r="E131" s="4128"/>
      <c r="F131" s="4105"/>
      <c r="G131" s="4067"/>
      <c r="H131" s="4068" t="s">
        <v>107</v>
      </c>
      <c r="I131" s="4132"/>
      <c r="J131" s="2217">
        <f>J132</f>
        <v>19250000</v>
      </c>
      <c r="K131" s="2159">
        <v>0</v>
      </c>
      <c r="L131" s="2217">
        <f>SUM(L132)</f>
        <v>0</v>
      </c>
      <c r="M131" s="4253">
        <f>SUM(K131:L131)</f>
        <v>0</v>
      </c>
      <c r="N131" s="2217">
        <f>N132</f>
        <v>19250000</v>
      </c>
      <c r="O131" s="4254">
        <v>0</v>
      </c>
      <c r="P131" s="4061">
        <f>M131/J131*100</f>
        <v>0</v>
      </c>
      <c r="Q131" s="4839"/>
    </row>
    <row r="132" spans="1:17" s="2070" customFormat="1">
      <c r="A132" s="4079">
        <v>4</v>
      </c>
      <c r="B132" s="4079">
        <v>1</v>
      </c>
      <c r="C132" s="4079">
        <v>2</v>
      </c>
      <c r="D132" s="4079" t="s">
        <v>437</v>
      </c>
      <c r="E132" s="4074" t="s">
        <v>440</v>
      </c>
      <c r="F132" s="4049"/>
      <c r="G132" s="4059"/>
      <c r="H132" s="4062" t="s">
        <v>50</v>
      </c>
      <c r="I132" s="4136" t="s">
        <v>108</v>
      </c>
      <c r="J132" s="1964">
        <v>19250000</v>
      </c>
      <c r="K132" s="2159">
        <v>0</v>
      </c>
      <c r="L132" s="2160">
        <f>'[2]ALL BULAN'!E132</f>
        <v>0</v>
      </c>
      <c r="M132" s="4253">
        <f>SUM(K132:L132)</f>
        <v>0</v>
      </c>
      <c r="N132" s="2196">
        <v>19250000</v>
      </c>
      <c r="O132" s="4254">
        <v>0</v>
      </c>
      <c r="P132" s="4061">
        <f>M132/J132*100</f>
        <v>0</v>
      </c>
      <c r="Q132" s="4839"/>
    </row>
    <row r="133" spans="1:17" s="2070" customFormat="1" ht="5.95" customHeight="1">
      <c r="A133" s="4048"/>
      <c r="B133" s="4048"/>
      <c r="C133" s="4048"/>
      <c r="D133" s="4048"/>
      <c r="E133" s="4048"/>
      <c r="F133" s="4049"/>
      <c r="G133" s="4059"/>
      <c r="H133" s="4060"/>
      <c r="I133" s="4136"/>
      <c r="J133" s="2217"/>
      <c r="K133" s="2159"/>
      <c r="L133" s="2217"/>
      <c r="M133" s="4253"/>
      <c r="N133" s="4253"/>
      <c r="O133" s="4254">
        <f t="shared" ref="O133:O143" si="19">M133-J133</f>
        <v>0</v>
      </c>
      <c r="P133" s="4061">
        <f>O133-K133</f>
        <v>0</v>
      </c>
      <c r="Q133" s="4839"/>
    </row>
    <row r="134" spans="1:17" s="4099" customFormat="1">
      <c r="A134" s="4046">
        <v>4</v>
      </c>
      <c r="B134" s="4046">
        <v>1</v>
      </c>
      <c r="C134" s="4046">
        <v>2</v>
      </c>
      <c r="D134" s="4047" t="s">
        <v>438</v>
      </c>
      <c r="E134" s="4048"/>
      <c r="F134" s="4105"/>
      <c r="G134" s="4067"/>
      <c r="H134" s="4068" t="s">
        <v>109</v>
      </c>
      <c r="I134" s="4132"/>
      <c r="J134" s="2217">
        <f>J135</f>
        <v>466750000</v>
      </c>
      <c r="K134" s="2159">
        <v>22406900</v>
      </c>
      <c r="L134" s="2217">
        <f>SUM(L135)</f>
        <v>26657500</v>
      </c>
      <c r="M134" s="4253">
        <f>SUM(K134:L134)</f>
        <v>49064400</v>
      </c>
      <c r="N134" s="2217">
        <f>N135</f>
        <v>466750000</v>
      </c>
      <c r="O134" s="4254">
        <v>0</v>
      </c>
      <c r="P134" s="4061">
        <f>M134/J134*100</f>
        <v>10.511922870915907</v>
      </c>
      <c r="Q134" s="4839"/>
    </row>
    <row r="135" spans="1:17" s="2070" customFormat="1">
      <c r="A135" s="4053">
        <v>4</v>
      </c>
      <c r="B135" s="4053">
        <v>1</v>
      </c>
      <c r="C135" s="4053">
        <v>2</v>
      </c>
      <c r="D135" s="4053" t="s">
        <v>438</v>
      </c>
      <c r="E135" s="4054" t="s">
        <v>437</v>
      </c>
      <c r="F135" s="4049"/>
      <c r="G135" s="4059"/>
      <c r="H135" s="4060" t="s">
        <v>64</v>
      </c>
      <c r="I135" s="4132"/>
      <c r="J135" s="2196">
        <f>SUM(J136:J137)</f>
        <v>466750000</v>
      </c>
      <c r="K135" s="2159">
        <v>22406900</v>
      </c>
      <c r="L135" s="2196">
        <f>SUM(L136:L137)</f>
        <v>26657500</v>
      </c>
      <c r="M135" s="4253">
        <f>SUM(K135:L135)</f>
        <v>49064400</v>
      </c>
      <c r="N135" s="2196">
        <f>SUM(N136:N137)</f>
        <v>466750000</v>
      </c>
      <c r="O135" s="4254">
        <v>0</v>
      </c>
      <c r="P135" s="4061">
        <f>M135/J135*100</f>
        <v>10.511922870915907</v>
      </c>
      <c r="Q135" s="4839"/>
    </row>
    <row r="136" spans="1:17" s="2070" customFormat="1">
      <c r="A136" s="4048"/>
      <c r="B136" s="4048"/>
      <c r="C136" s="4048"/>
      <c r="D136" s="4048"/>
      <c r="E136" s="4048"/>
      <c r="F136" s="4049"/>
      <c r="G136" s="4059"/>
      <c r="H136" s="4064" t="s">
        <v>50</v>
      </c>
      <c r="I136" s="4136" t="s">
        <v>110</v>
      </c>
      <c r="J136" s="1964">
        <v>216750000</v>
      </c>
      <c r="K136" s="2159">
        <v>1400000</v>
      </c>
      <c r="L136" s="2160">
        <v>0</v>
      </c>
      <c r="M136" s="4253">
        <f>SUM(K136:L136)</f>
        <v>1400000</v>
      </c>
      <c r="N136" s="1964">
        <v>216750000</v>
      </c>
      <c r="O136" s="4254">
        <v>0</v>
      </c>
      <c r="P136" s="4061">
        <f>M136/J136*100</f>
        <v>0.64590542099192627</v>
      </c>
      <c r="Q136" s="4839"/>
    </row>
    <row r="137" spans="1:17" s="2070" customFormat="1">
      <c r="A137" s="4048"/>
      <c r="B137" s="4048"/>
      <c r="C137" s="4048"/>
      <c r="D137" s="4048"/>
      <c r="E137" s="4048"/>
      <c r="F137" s="4049"/>
      <c r="G137" s="4059"/>
      <c r="H137" s="4064" t="s">
        <v>50</v>
      </c>
      <c r="I137" s="4136" t="s">
        <v>111</v>
      </c>
      <c r="J137" s="1964">
        <v>250000000</v>
      </c>
      <c r="K137" s="2159">
        <v>21006900</v>
      </c>
      <c r="L137" s="2160">
        <v>26657500</v>
      </c>
      <c r="M137" s="4253">
        <f>SUM(K137:L137)</f>
        <v>47664400</v>
      </c>
      <c r="N137" s="1964">
        <v>250000000</v>
      </c>
      <c r="O137" s="4254">
        <v>0</v>
      </c>
      <c r="P137" s="4061">
        <f>M137/J137*100</f>
        <v>19.065760000000001</v>
      </c>
      <c r="Q137" s="4839"/>
    </row>
    <row r="138" spans="1:17" s="2070" customFormat="1" ht="5.95" customHeight="1">
      <c r="A138" s="4048"/>
      <c r="B138" s="4048"/>
      <c r="C138" s="4048"/>
      <c r="D138" s="4048"/>
      <c r="E138" s="4048"/>
      <c r="F138" s="4049"/>
      <c r="G138" s="4059"/>
      <c r="H138" s="4068"/>
      <c r="I138" s="4136"/>
      <c r="J138" s="2196"/>
      <c r="K138" s="2159"/>
      <c r="L138" s="2196"/>
      <c r="M138" s="4253"/>
      <c r="N138" s="4253"/>
      <c r="O138" s="4254">
        <f t="shared" si="19"/>
        <v>0</v>
      </c>
      <c r="P138" s="4061">
        <f>O138-K138</f>
        <v>0</v>
      </c>
      <c r="Q138" s="4839"/>
    </row>
    <row r="139" spans="1:17" s="2070" customFormat="1">
      <c r="A139" s="4065">
        <v>4</v>
      </c>
      <c r="B139" s="4065">
        <v>1</v>
      </c>
      <c r="C139" s="4065">
        <v>4</v>
      </c>
      <c r="D139" s="4048"/>
      <c r="E139" s="4048"/>
      <c r="F139" s="4066">
        <v>3</v>
      </c>
      <c r="G139" s="4059"/>
      <c r="H139" s="4068" t="s">
        <v>71</v>
      </c>
      <c r="I139" s="4132"/>
      <c r="J139" s="2217">
        <v>0</v>
      </c>
      <c r="K139" s="2159">
        <v>95076085.780000001</v>
      </c>
      <c r="L139" s="2217">
        <f>SUM(L140:L144)</f>
        <v>1860000</v>
      </c>
      <c r="M139" s="4253">
        <f t="shared" ref="M139:M144" si="20">SUM(K139:L139)</f>
        <v>96936085.780000001</v>
      </c>
      <c r="N139" s="4253"/>
      <c r="O139" s="4254">
        <v>0</v>
      </c>
      <c r="P139" s="4061">
        <v>0</v>
      </c>
      <c r="Q139" s="4839"/>
    </row>
    <row r="140" spans="1:17" s="2070" customFormat="1">
      <c r="A140" s="4065">
        <v>4</v>
      </c>
      <c r="B140" s="4065">
        <v>1</v>
      </c>
      <c r="C140" s="4065">
        <v>4</v>
      </c>
      <c r="D140" s="4065" t="s">
        <v>441</v>
      </c>
      <c r="E140" s="4048"/>
      <c r="F140" s="4049"/>
      <c r="G140" s="4067"/>
      <c r="H140" s="4064" t="s">
        <v>50</v>
      </c>
      <c r="I140" s="4060" t="s">
        <v>72</v>
      </c>
      <c r="J140" s="1964">
        <v>0</v>
      </c>
      <c r="K140" s="2159">
        <v>81048456.790000007</v>
      </c>
      <c r="L140" s="2160">
        <v>1360000</v>
      </c>
      <c r="M140" s="4253">
        <f t="shared" si="20"/>
        <v>82408456.790000007</v>
      </c>
      <c r="N140" s="4253"/>
      <c r="O140" s="4254">
        <v>0</v>
      </c>
      <c r="P140" s="4061">
        <v>0</v>
      </c>
      <c r="Q140" s="4839"/>
    </row>
    <row r="141" spans="1:17" s="2070" customFormat="1">
      <c r="A141" s="4074">
        <v>4</v>
      </c>
      <c r="B141" s="4074">
        <v>1</v>
      </c>
      <c r="C141" s="4074" t="s">
        <v>443</v>
      </c>
      <c r="D141" s="4074" t="s">
        <v>444</v>
      </c>
      <c r="E141" s="4074" t="s">
        <v>440</v>
      </c>
      <c r="F141" s="4049"/>
      <c r="G141" s="4067"/>
      <c r="H141" s="4064" t="s">
        <v>50</v>
      </c>
      <c r="I141" s="4060" t="s">
        <v>73</v>
      </c>
      <c r="J141" s="1964">
        <v>0</v>
      </c>
      <c r="K141" s="2159">
        <v>0</v>
      </c>
      <c r="L141" s="2160">
        <f>'[2]ALL BULAN'!E141</f>
        <v>0</v>
      </c>
      <c r="M141" s="4253">
        <f t="shared" si="20"/>
        <v>0</v>
      </c>
      <c r="N141" s="4253"/>
      <c r="O141" s="4254">
        <f t="shared" si="19"/>
        <v>0</v>
      </c>
      <c r="P141" s="4061">
        <v>0</v>
      </c>
      <c r="Q141" s="4839"/>
    </row>
    <row r="142" spans="1:17" s="2070" customFormat="1">
      <c r="A142" s="4069">
        <v>4</v>
      </c>
      <c r="B142" s="4069">
        <v>1</v>
      </c>
      <c r="C142" s="4069" t="s">
        <v>443</v>
      </c>
      <c r="D142" s="4069" t="s">
        <v>444</v>
      </c>
      <c r="E142" s="4070" t="s">
        <v>445</v>
      </c>
      <c r="F142" s="4049"/>
      <c r="G142" s="4067"/>
      <c r="H142" s="4064" t="s">
        <v>50</v>
      </c>
      <c r="I142" s="4060" t="s">
        <v>74</v>
      </c>
      <c r="J142" s="1964">
        <v>0</v>
      </c>
      <c r="K142" s="2159">
        <v>0</v>
      </c>
      <c r="L142" s="2160">
        <f>'[2]ALL BULAN'!E142</f>
        <v>0</v>
      </c>
      <c r="M142" s="4253">
        <f t="shared" si="20"/>
        <v>0</v>
      </c>
      <c r="N142" s="4253"/>
      <c r="O142" s="4254">
        <f t="shared" si="19"/>
        <v>0</v>
      </c>
      <c r="P142" s="4061">
        <v>0</v>
      </c>
      <c r="Q142" s="4839"/>
    </row>
    <row r="143" spans="1:17" s="2070" customFormat="1">
      <c r="A143" s="4101">
        <v>4</v>
      </c>
      <c r="B143" s="4101">
        <v>1</v>
      </c>
      <c r="C143" s="4101" t="s">
        <v>443</v>
      </c>
      <c r="D143" s="4101" t="s">
        <v>444</v>
      </c>
      <c r="E143" s="4101" t="s">
        <v>441</v>
      </c>
      <c r="F143" s="4049"/>
      <c r="G143" s="4067"/>
      <c r="H143" s="4060" t="s">
        <v>308</v>
      </c>
      <c r="I143" s="4090" t="s">
        <v>75</v>
      </c>
      <c r="J143" s="1964">
        <v>0</v>
      </c>
      <c r="K143" s="2159">
        <v>0</v>
      </c>
      <c r="L143" s="2160">
        <v>0</v>
      </c>
      <c r="M143" s="4253">
        <f t="shared" si="20"/>
        <v>0</v>
      </c>
      <c r="N143" s="4253"/>
      <c r="O143" s="4254">
        <f t="shared" si="19"/>
        <v>0</v>
      </c>
      <c r="P143" s="4061">
        <v>0</v>
      </c>
      <c r="Q143" s="4839"/>
    </row>
    <row r="144" spans="1:17" s="2070" customFormat="1">
      <c r="A144" s="4079">
        <v>4</v>
      </c>
      <c r="B144" s="4079">
        <v>1</v>
      </c>
      <c r="C144" s="4079" t="s">
        <v>443</v>
      </c>
      <c r="D144" s="4079" t="s">
        <v>447</v>
      </c>
      <c r="E144" s="4093" t="s">
        <v>437</v>
      </c>
      <c r="F144" s="4049"/>
      <c r="G144" s="4067"/>
      <c r="H144" s="4064" t="s">
        <v>50</v>
      </c>
      <c r="I144" s="4090" t="s">
        <v>85</v>
      </c>
      <c r="J144" s="1964">
        <v>0</v>
      </c>
      <c r="K144" s="2159">
        <v>14027628.99</v>
      </c>
      <c r="L144" s="2160">
        <v>500000</v>
      </c>
      <c r="M144" s="4253">
        <f t="shared" si="20"/>
        <v>14527628.99</v>
      </c>
      <c r="N144" s="4253"/>
      <c r="O144" s="4254">
        <v>0</v>
      </c>
      <c r="P144" s="4061">
        <v>0</v>
      </c>
      <c r="Q144" s="4839"/>
    </row>
    <row r="145" spans="1:17" s="2070" customFormat="1" ht="5.95" customHeight="1">
      <c r="A145" s="4048"/>
      <c r="B145" s="4048"/>
      <c r="C145" s="4048"/>
      <c r="D145" s="4048"/>
      <c r="E145" s="4048"/>
      <c r="F145" s="4049"/>
      <c r="G145" s="4082"/>
      <c r="H145" s="4137"/>
      <c r="I145" s="4083"/>
      <c r="J145" s="4528"/>
      <c r="K145" s="2183"/>
      <c r="L145" s="4528"/>
      <c r="M145" s="4529"/>
      <c r="N145" s="4529"/>
      <c r="O145" s="4529"/>
      <c r="P145" s="4084"/>
      <c r="Q145" s="4839"/>
    </row>
    <row r="146" spans="1:17" s="2073" customFormat="1" ht="15.65">
      <c r="A146" s="4039"/>
      <c r="B146" s="4039"/>
      <c r="C146" s="4039"/>
      <c r="D146" s="4039"/>
      <c r="E146" s="4039"/>
      <c r="F146" s="4040"/>
      <c r="G146" s="4041" t="s">
        <v>112</v>
      </c>
      <c r="H146" s="4042" t="s">
        <v>113</v>
      </c>
      <c r="I146" s="4097"/>
      <c r="J146" s="4519">
        <v>0</v>
      </c>
      <c r="K146" s="4520">
        <v>0</v>
      </c>
      <c r="L146" s="4519">
        <f>SUM(L147)</f>
        <v>0</v>
      </c>
      <c r="M146" s="4519">
        <f t="shared" ref="M146:M152" si="21">SUM(K146:L146)</f>
        <v>0</v>
      </c>
      <c r="N146" s="4519"/>
      <c r="O146" s="4519">
        <f t="shared" ref="O146:O152" si="22">M146-J146</f>
        <v>0</v>
      </c>
      <c r="P146" s="4044">
        <v>0</v>
      </c>
      <c r="Q146" s="4840"/>
    </row>
    <row r="147" spans="1:17" s="4099" customFormat="1">
      <c r="A147" s="4065">
        <v>4</v>
      </c>
      <c r="B147" s="4065">
        <v>1</v>
      </c>
      <c r="C147" s="4065">
        <v>4</v>
      </c>
      <c r="D147" s="4048"/>
      <c r="E147" s="4048"/>
      <c r="F147" s="4098">
        <v>3</v>
      </c>
      <c r="G147" s="4050"/>
      <c r="H147" s="4068" t="s">
        <v>71</v>
      </c>
      <c r="I147" s="4068"/>
      <c r="J147" s="4521">
        <v>0</v>
      </c>
      <c r="K147" s="2159">
        <v>0</v>
      </c>
      <c r="L147" s="4521">
        <f>SUM(L150:L151)</f>
        <v>0</v>
      </c>
      <c r="M147" s="4253">
        <f t="shared" si="21"/>
        <v>0</v>
      </c>
      <c r="N147" s="4253"/>
      <c r="O147" s="4254">
        <f t="shared" si="22"/>
        <v>0</v>
      </c>
      <c r="P147" s="4061">
        <v>0</v>
      </c>
      <c r="Q147" s="4839"/>
    </row>
    <row r="148" spans="1:17" s="2070" customFormat="1">
      <c r="A148" s="4065">
        <v>4</v>
      </c>
      <c r="B148" s="4065">
        <v>1</v>
      </c>
      <c r="C148" s="4065">
        <v>4</v>
      </c>
      <c r="D148" s="4065" t="s">
        <v>441</v>
      </c>
      <c r="E148" s="4048"/>
      <c r="F148" s="4049"/>
      <c r="G148" s="4067"/>
      <c r="H148" s="4060" t="s">
        <v>50</v>
      </c>
      <c r="I148" s="4060" t="s">
        <v>72</v>
      </c>
      <c r="J148" s="1964">
        <v>0</v>
      </c>
      <c r="K148" s="2159">
        <v>0</v>
      </c>
      <c r="L148" s="2160">
        <f>'[2]ALL BULAN'!E148</f>
        <v>0</v>
      </c>
      <c r="M148" s="4253">
        <f t="shared" si="21"/>
        <v>0</v>
      </c>
      <c r="N148" s="4253"/>
      <c r="O148" s="4254">
        <f t="shared" si="22"/>
        <v>0</v>
      </c>
      <c r="P148" s="4061">
        <v>0</v>
      </c>
      <c r="Q148" s="4839"/>
    </row>
    <row r="149" spans="1:17" s="2070" customFormat="1">
      <c r="A149" s="4074">
        <v>4</v>
      </c>
      <c r="B149" s="4074">
        <v>1</v>
      </c>
      <c r="C149" s="4074" t="s">
        <v>443</v>
      </c>
      <c r="D149" s="4074" t="s">
        <v>444</v>
      </c>
      <c r="E149" s="4074" t="s">
        <v>440</v>
      </c>
      <c r="F149" s="4049"/>
      <c r="G149" s="4067"/>
      <c r="H149" s="4060" t="s">
        <v>50</v>
      </c>
      <c r="I149" s="4060" t="s">
        <v>73</v>
      </c>
      <c r="J149" s="1964">
        <v>0</v>
      </c>
      <c r="K149" s="2159">
        <v>0</v>
      </c>
      <c r="L149" s="2160">
        <f>'[2]ALL BULAN'!E149</f>
        <v>0</v>
      </c>
      <c r="M149" s="4253">
        <f t="shared" si="21"/>
        <v>0</v>
      </c>
      <c r="N149" s="4253"/>
      <c r="O149" s="4254">
        <f t="shared" si="22"/>
        <v>0</v>
      </c>
      <c r="P149" s="4061">
        <v>0</v>
      </c>
      <c r="Q149" s="4839"/>
    </row>
    <row r="150" spans="1:17" s="2070" customFormat="1">
      <c r="A150" s="4069">
        <v>4</v>
      </c>
      <c r="B150" s="4069">
        <v>1</v>
      </c>
      <c r="C150" s="4069" t="s">
        <v>443</v>
      </c>
      <c r="D150" s="4069" t="s">
        <v>444</v>
      </c>
      <c r="E150" s="4070" t="s">
        <v>445</v>
      </c>
      <c r="F150" s="4049"/>
      <c r="G150" s="4067"/>
      <c r="H150" s="4060" t="s">
        <v>50</v>
      </c>
      <c r="I150" s="4060" t="s">
        <v>74</v>
      </c>
      <c r="J150" s="1964">
        <v>0</v>
      </c>
      <c r="K150" s="2159">
        <v>0</v>
      </c>
      <c r="L150" s="2160">
        <f>'[2]ALL BULAN'!E150</f>
        <v>0</v>
      </c>
      <c r="M150" s="4253">
        <f t="shared" si="21"/>
        <v>0</v>
      </c>
      <c r="N150" s="4253"/>
      <c r="O150" s="4254">
        <f t="shared" si="22"/>
        <v>0</v>
      </c>
      <c r="P150" s="4061">
        <v>0</v>
      </c>
      <c r="Q150" s="4839"/>
    </row>
    <row r="151" spans="1:17" s="2070" customFormat="1">
      <c r="A151" s="4101">
        <v>4</v>
      </c>
      <c r="B151" s="4101">
        <v>1</v>
      </c>
      <c r="C151" s="4101" t="s">
        <v>443</v>
      </c>
      <c r="D151" s="4101" t="s">
        <v>444</v>
      </c>
      <c r="E151" s="4101" t="s">
        <v>441</v>
      </c>
      <c r="F151" s="4049"/>
      <c r="G151" s="4067"/>
      <c r="H151" s="4060" t="s">
        <v>308</v>
      </c>
      <c r="I151" s="4090" t="s">
        <v>75</v>
      </c>
      <c r="J151" s="1964">
        <v>0</v>
      </c>
      <c r="K151" s="2159">
        <v>0</v>
      </c>
      <c r="L151" s="2160">
        <f>'[2]ALL BULAN'!E151</f>
        <v>0</v>
      </c>
      <c r="M151" s="4253">
        <f t="shared" si="21"/>
        <v>0</v>
      </c>
      <c r="N151" s="4253"/>
      <c r="O151" s="4254">
        <f t="shared" si="22"/>
        <v>0</v>
      </c>
      <c r="P151" s="4061">
        <v>0</v>
      </c>
      <c r="Q151" s="4839"/>
    </row>
    <row r="152" spans="1:17" s="2070" customFormat="1">
      <c r="A152" s="4079">
        <v>4</v>
      </c>
      <c r="B152" s="4079">
        <v>1</v>
      </c>
      <c r="C152" s="4079" t="s">
        <v>443</v>
      </c>
      <c r="D152" s="4079" t="s">
        <v>447</v>
      </c>
      <c r="E152" s="4093" t="s">
        <v>437</v>
      </c>
      <c r="F152" s="4049"/>
      <c r="G152" s="4067"/>
      <c r="H152" s="4060" t="s">
        <v>50</v>
      </c>
      <c r="I152" s="4090" t="s">
        <v>85</v>
      </c>
      <c r="J152" s="1964">
        <v>0</v>
      </c>
      <c r="K152" s="2159">
        <v>0</v>
      </c>
      <c r="L152" s="2160">
        <f>'[2]ALL BULAN'!E152</f>
        <v>0</v>
      </c>
      <c r="M152" s="4253">
        <f t="shared" si="21"/>
        <v>0</v>
      </c>
      <c r="N152" s="4253"/>
      <c r="O152" s="4254">
        <f t="shared" si="22"/>
        <v>0</v>
      </c>
      <c r="P152" s="4061">
        <v>0</v>
      </c>
      <c r="Q152" s="4839"/>
    </row>
    <row r="153" spans="1:17" s="2070" customFormat="1" ht="4.55" customHeight="1">
      <c r="A153" s="4048"/>
      <c r="B153" s="4048"/>
      <c r="C153" s="4048"/>
      <c r="D153" s="4048"/>
      <c r="E153" s="4048"/>
      <c r="F153" s="4049"/>
      <c r="G153" s="4067"/>
      <c r="H153" s="4060"/>
      <c r="I153" s="4060"/>
      <c r="J153" s="4523">
        <v>0</v>
      </c>
      <c r="K153" s="2255">
        <v>0</v>
      </c>
      <c r="L153" s="4523">
        <v>0</v>
      </c>
      <c r="M153" s="4254">
        <v>0</v>
      </c>
      <c r="N153" s="4254"/>
      <c r="O153" s="4602">
        <v>0</v>
      </c>
      <c r="P153" s="4061">
        <v>0</v>
      </c>
      <c r="Q153" s="4839"/>
    </row>
    <row r="154" spans="1:17" s="2073" customFormat="1" ht="15.65">
      <c r="A154" s="4039"/>
      <c r="B154" s="4039"/>
      <c r="C154" s="4039"/>
      <c r="D154" s="4039"/>
      <c r="E154" s="4039"/>
      <c r="F154" s="4040"/>
      <c r="G154" s="4041" t="s">
        <v>114</v>
      </c>
      <c r="H154" s="4042" t="s">
        <v>115</v>
      </c>
      <c r="I154" s="4097"/>
      <c r="J154" s="4519">
        <f>SUM(J155+J161)</f>
        <v>211889500</v>
      </c>
      <c r="K154" s="4520">
        <v>230000</v>
      </c>
      <c r="L154" s="4519">
        <f>L157+L161</f>
        <v>25595000</v>
      </c>
      <c r="M154" s="4519">
        <f t="shared" ref="M154:M167" si="23">SUM(K154:L154)</f>
        <v>25825000</v>
      </c>
      <c r="N154" s="4519">
        <f>SUM(N155+N161)</f>
        <v>211889500</v>
      </c>
      <c r="O154" s="4757">
        <f>N154-J154</f>
        <v>0</v>
      </c>
      <c r="P154" s="4044">
        <f>P155</f>
        <v>0</v>
      </c>
      <c r="Q154" s="4840"/>
    </row>
    <row r="155" spans="1:17" s="2070" customFormat="1">
      <c r="A155" s="4046">
        <v>4</v>
      </c>
      <c r="B155" s="4046">
        <v>1</v>
      </c>
      <c r="C155" s="4046">
        <v>2</v>
      </c>
      <c r="D155" s="4047"/>
      <c r="E155" s="4048"/>
      <c r="F155" s="4066">
        <v>1</v>
      </c>
      <c r="G155" s="4050"/>
      <c r="H155" s="4051" t="s">
        <v>106</v>
      </c>
      <c r="I155" s="4051"/>
      <c r="J155" s="4521">
        <f>J156</f>
        <v>193889500</v>
      </c>
      <c r="K155" s="2159">
        <v>230000</v>
      </c>
      <c r="L155" s="4521">
        <f>SUM(L156)</f>
        <v>24900000</v>
      </c>
      <c r="M155" s="4253">
        <f t="shared" si="23"/>
        <v>25130000</v>
      </c>
      <c r="N155" s="4521">
        <f>N156</f>
        <v>193889500</v>
      </c>
      <c r="O155" s="2260">
        <f>N155-J155</f>
        <v>0</v>
      </c>
      <c r="P155" s="4061">
        <f>P156</f>
        <v>0</v>
      </c>
      <c r="Q155" s="4839"/>
    </row>
    <row r="156" spans="1:17" s="4099" customFormat="1">
      <c r="A156" s="4046">
        <v>4</v>
      </c>
      <c r="B156" s="4046">
        <v>1</v>
      </c>
      <c r="C156" s="4046">
        <v>2</v>
      </c>
      <c r="D156" s="4047" t="s">
        <v>440</v>
      </c>
      <c r="E156" s="4128"/>
      <c r="F156" s="4105"/>
      <c r="G156" s="4067"/>
      <c r="H156" s="4064" t="s">
        <v>116</v>
      </c>
      <c r="I156" s="4068"/>
      <c r="J156" s="2181">
        <f>J157</f>
        <v>193889500</v>
      </c>
      <c r="K156" s="2159">
        <v>230000</v>
      </c>
      <c r="L156" s="2181">
        <f>SUM(L157)</f>
        <v>24900000</v>
      </c>
      <c r="M156" s="4253">
        <f t="shared" si="23"/>
        <v>25130000</v>
      </c>
      <c r="N156" s="4718">
        <f>N157</f>
        <v>193889500</v>
      </c>
      <c r="O156" s="4254">
        <f>O157</f>
        <v>0</v>
      </c>
      <c r="P156" s="4061">
        <f>P157</f>
        <v>0</v>
      </c>
      <c r="Q156" s="4839"/>
    </row>
    <row r="157" spans="1:17" s="2070" customFormat="1">
      <c r="A157" s="4046">
        <v>4</v>
      </c>
      <c r="B157" s="4046">
        <v>1</v>
      </c>
      <c r="C157" s="4046">
        <v>2</v>
      </c>
      <c r="D157" s="4093" t="s">
        <v>440</v>
      </c>
      <c r="E157" s="4093" t="s">
        <v>437</v>
      </c>
      <c r="F157" s="4138"/>
      <c r="G157" s="4067"/>
      <c r="H157" s="4060" t="s">
        <v>117</v>
      </c>
      <c r="I157" s="4060"/>
      <c r="J157" s="1964">
        <f>SUM(J158:J159)</f>
        <v>193889500</v>
      </c>
      <c r="K157" s="2159">
        <v>230000</v>
      </c>
      <c r="L157" s="1964">
        <f>SUM(L158:L159)</f>
        <v>24900000</v>
      </c>
      <c r="M157" s="4253">
        <f t="shared" si="23"/>
        <v>25130000</v>
      </c>
      <c r="N157" s="1964">
        <f>SUM(N158:N159)</f>
        <v>193889500</v>
      </c>
      <c r="O157" s="4254">
        <f>SUM(O158:O159)</f>
        <v>0</v>
      </c>
      <c r="P157" s="4061">
        <f>O157/J157*100</f>
        <v>0</v>
      </c>
      <c r="Q157" s="4839"/>
    </row>
    <row r="158" spans="1:17" s="2070" customFormat="1">
      <c r="A158" s="4048"/>
      <c r="B158" s="4048"/>
      <c r="C158" s="4048"/>
      <c r="D158" s="4048"/>
      <c r="E158" s="4048"/>
      <c r="F158" s="4049"/>
      <c r="G158" s="4067"/>
      <c r="H158" s="4062" t="s">
        <v>50</v>
      </c>
      <c r="I158" s="4060" t="s">
        <v>118</v>
      </c>
      <c r="J158" s="1964">
        <v>103889500</v>
      </c>
      <c r="K158" s="2159">
        <v>230000</v>
      </c>
      <c r="L158" s="2160">
        <v>24900000</v>
      </c>
      <c r="M158" s="4253">
        <f t="shared" si="23"/>
        <v>25130000</v>
      </c>
      <c r="N158" s="1964">
        <v>103889500</v>
      </c>
      <c r="O158" s="4254">
        <f>N158-J158</f>
        <v>0</v>
      </c>
      <c r="P158" s="4061">
        <f>P159</f>
        <v>0</v>
      </c>
      <c r="Q158" s="4839"/>
    </row>
    <row r="159" spans="1:17" s="2070" customFormat="1">
      <c r="A159" s="4048"/>
      <c r="B159" s="4048"/>
      <c r="C159" s="4048"/>
      <c r="D159" s="4048"/>
      <c r="E159" s="4048"/>
      <c r="F159" s="4049"/>
      <c r="G159" s="4067"/>
      <c r="H159" s="4062" t="s">
        <v>50</v>
      </c>
      <c r="I159" s="4060" t="s">
        <v>119</v>
      </c>
      <c r="J159" s="1964">
        <v>90000000</v>
      </c>
      <c r="K159" s="2159">
        <v>0</v>
      </c>
      <c r="L159" s="2160">
        <f>'[2]ALL BULAN'!E159</f>
        <v>0</v>
      </c>
      <c r="M159" s="4253">
        <f t="shared" si="23"/>
        <v>0</v>
      </c>
      <c r="N159" s="1964">
        <v>90000000</v>
      </c>
      <c r="O159" s="4254">
        <f>SUM(N159-J159)</f>
        <v>0</v>
      </c>
      <c r="P159" s="4061">
        <f>O159/J159*100</f>
        <v>0</v>
      </c>
      <c r="Q159" s="4839"/>
    </row>
    <row r="160" spans="1:17" s="2070" customFormat="1" ht="9.1" customHeight="1">
      <c r="A160" s="4048"/>
      <c r="B160" s="4048"/>
      <c r="C160" s="4048"/>
      <c r="D160" s="4048"/>
      <c r="E160" s="4048"/>
      <c r="F160" s="4049"/>
      <c r="G160" s="4067"/>
      <c r="H160" s="4060"/>
      <c r="I160" s="4060"/>
      <c r="J160" s="4523"/>
      <c r="K160" s="2159">
        <v>0</v>
      </c>
      <c r="L160" s="4523"/>
      <c r="M160" s="4253">
        <f t="shared" si="23"/>
        <v>0</v>
      </c>
      <c r="N160" s="4253"/>
      <c r="O160" s="4254">
        <f t="shared" ref="O160:O167" si="24">M160-J160</f>
        <v>0</v>
      </c>
      <c r="P160" s="4061">
        <f>O160-K160</f>
        <v>0</v>
      </c>
      <c r="Q160" s="4839"/>
    </row>
    <row r="161" spans="1:17" s="2070" customFormat="1">
      <c r="A161" s="4065">
        <v>4</v>
      </c>
      <c r="B161" s="4065">
        <v>1</v>
      </c>
      <c r="C161" s="4065">
        <v>4</v>
      </c>
      <c r="D161" s="4048"/>
      <c r="E161" s="4048"/>
      <c r="F161" s="4066">
        <v>3</v>
      </c>
      <c r="G161" s="4067"/>
      <c r="H161" s="4068" t="s">
        <v>71</v>
      </c>
      <c r="I161" s="4068"/>
      <c r="J161" s="4254">
        <f>J162</f>
        <v>18000000</v>
      </c>
      <c r="K161" s="2159">
        <v>0</v>
      </c>
      <c r="L161" s="4523">
        <f>SUM(L162:L167)</f>
        <v>695000</v>
      </c>
      <c r="M161" s="4253">
        <f t="shared" si="23"/>
        <v>695000</v>
      </c>
      <c r="N161" s="4254">
        <v>18000000</v>
      </c>
      <c r="O161" s="4254">
        <f>O162</f>
        <v>0</v>
      </c>
      <c r="P161" s="4061">
        <f>P162</f>
        <v>0</v>
      </c>
      <c r="Q161" s="4839"/>
    </row>
    <row r="162" spans="1:17" s="2070" customFormat="1">
      <c r="A162" s="4065">
        <v>4</v>
      </c>
      <c r="B162" s="4065">
        <v>1</v>
      </c>
      <c r="C162" s="4065">
        <v>4</v>
      </c>
      <c r="D162" s="4093" t="s">
        <v>448</v>
      </c>
      <c r="E162" s="4048"/>
      <c r="F162" s="4049"/>
      <c r="G162" s="4139"/>
      <c r="H162" s="4140" t="s">
        <v>50</v>
      </c>
      <c r="I162" s="4140" t="s">
        <v>120</v>
      </c>
      <c r="J162" s="2257">
        <v>18000000</v>
      </c>
      <c r="K162" s="2159">
        <v>0</v>
      </c>
      <c r="L162" s="2257">
        <v>695000</v>
      </c>
      <c r="M162" s="4538">
        <f t="shared" si="23"/>
        <v>695000</v>
      </c>
      <c r="N162" s="4256">
        <v>18000000</v>
      </c>
      <c r="O162" s="4538">
        <f>N162-J162</f>
        <v>0</v>
      </c>
      <c r="P162" s="4141">
        <f>O162/J162*100</f>
        <v>0</v>
      </c>
      <c r="Q162" s="4839"/>
    </row>
    <row r="163" spans="1:17" s="2070" customFormat="1">
      <c r="A163" s="4065">
        <v>4</v>
      </c>
      <c r="B163" s="4065">
        <v>1</v>
      </c>
      <c r="C163" s="4065">
        <v>4</v>
      </c>
      <c r="D163" s="4065" t="s">
        <v>441</v>
      </c>
      <c r="E163" s="4048"/>
      <c r="F163" s="4049"/>
      <c r="G163" s="4067"/>
      <c r="H163" s="4060" t="s">
        <v>50</v>
      </c>
      <c r="I163" s="4060" t="s">
        <v>72</v>
      </c>
      <c r="J163" s="1964">
        <v>0</v>
      </c>
      <c r="K163" s="2159">
        <v>0</v>
      </c>
      <c r="L163" s="2160">
        <f>'[2]ALL BULAN'!E163</f>
        <v>0</v>
      </c>
      <c r="M163" s="4253">
        <f t="shared" si="23"/>
        <v>0</v>
      </c>
      <c r="N163" s="4253"/>
      <c r="O163" s="4254">
        <f t="shared" si="24"/>
        <v>0</v>
      </c>
      <c r="P163" s="4061">
        <v>0</v>
      </c>
      <c r="Q163" s="4839"/>
    </row>
    <row r="164" spans="1:17" s="2070" customFormat="1">
      <c r="A164" s="4074">
        <v>4</v>
      </c>
      <c r="B164" s="4074">
        <v>1</v>
      </c>
      <c r="C164" s="4074" t="s">
        <v>443</v>
      </c>
      <c r="D164" s="4074" t="s">
        <v>444</v>
      </c>
      <c r="E164" s="4074" t="s">
        <v>440</v>
      </c>
      <c r="F164" s="4049"/>
      <c r="G164" s="4067"/>
      <c r="H164" s="4060" t="s">
        <v>50</v>
      </c>
      <c r="I164" s="4060" t="s">
        <v>73</v>
      </c>
      <c r="J164" s="1964">
        <v>0</v>
      </c>
      <c r="K164" s="2159">
        <v>0</v>
      </c>
      <c r="L164" s="2160">
        <f>'[2]ALL BULAN'!E164</f>
        <v>0</v>
      </c>
      <c r="M164" s="4253">
        <f t="shared" si="23"/>
        <v>0</v>
      </c>
      <c r="N164" s="4253"/>
      <c r="O164" s="4254">
        <f t="shared" si="24"/>
        <v>0</v>
      </c>
      <c r="P164" s="4061">
        <v>0</v>
      </c>
      <c r="Q164" s="4839"/>
    </row>
    <row r="165" spans="1:17" s="2070" customFormat="1">
      <c r="A165" s="4069">
        <v>4</v>
      </c>
      <c r="B165" s="4069">
        <v>1</v>
      </c>
      <c r="C165" s="4069" t="s">
        <v>443</v>
      </c>
      <c r="D165" s="4069" t="s">
        <v>444</v>
      </c>
      <c r="E165" s="4070" t="s">
        <v>445</v>
      </c>
      <c r="F165" s="4049"/>
      <c r="G165" s="4067"/>
      <c r="H165" s="4060" t="s">
        <v>50</v>
      </c>
      <c r="I165" s="4060" t="s">
        <v>74</v>
      </c>
      <c r="J165" s="1964">
        <v>0</v>
      </c>
      <c r="K165" s="2159">
        <v>0</v>
      </c>
      <c r="L165" s="2160">
        <f>'[2]ALL BULAN'!E165</f>
        <v>0</v>
      </c>
      <c r="M165" s="4253">
        <f t="shared" si="23"/>
        <v>0</v>
      </c>
      <c r="N165" s="4253"/>
      <c r="O165" s="4254">
        <f t="shared" si="24"/>
        <v>0</v>
      </c>
      <c r="P165" s="4061">
        <v>0</v>
      </c>
      <c r="Q165" s="4839"/>
    </row>
    <row r="166" spans="1:17" s="2070" customFormat="1">
      <c r="A166" s="4101">
        <v>4</v>
      </c>
      <c r="B166" s="4101">
        <v>1</v>
      </c>
      <c r="C166" s="4101" t="s">
        <v>443</v>
      </c>
      <c r="D166" s="4101" t="s">
        <v>444</v>
      </c>
      <c r="E166" s="4101" t="s">
        <v>441</v>
      </c>
      <c r="F166" s="4049"/>
      <c r="G166" s="4067"/>
      <c r="H166" s="4060" t="s">
        <v>308</v>
      </c>
      <c r="I166" s="4090" t="s">
        <v>75</v>
      </c>
      <c r="J166" s="1964">
        <v>0</v>
      </c>
      <c r="K166" s="2159">
        <v>0</v>
      </c>
      <c r="L166" s="2160">
        <f>'[2]ALL BULAN'!E166</f>
        <v>0</v>
      </c>
      <c r="M166" s="4253">
        <f t="shared" si="23"/>
        <v>0</v>
      </c>
      <c r="N166" s="4253"/>
      <c r="O166" s="4254">
        <f t="shared" si="24"/>
        <v>0</v>
      </c>
      <c r="P166" s="4061">
        <v>0</v>
      </c>
      <c r="Q166" s="4839"/>
    </row>
    <row r="167" spans="1:17" s="2070" customFormat="1">
      <c r="A167" s="4079">
        <v>4</v>
      </c>
      <c r="B167" s="4079">
        <v>1</v>
      </c>
      <c r="C167" s="4079" t="s">
        <v>443</v>
      </c>
      <c r="D167" s="4079" t="s">
        <v>447</v>
      </c>
      <c r="E167" s="4093" t="s">
        <v>437</v>
      </c>
      <c r="F167" s="4049"/>
      <c r="G167" s="4067"/>
      <c r="H167" s="4060" t="s">
        <v>50</v>
      </c>
      <c r="I167" s="4090" t="s">
        <v>85</v>
      </c>
      <c r="J167" s="1964">
        <v>0</v>
      </c>
      <c r="K167" s="2159">
        <v>0</v>
      </c>
      <c r="L167" s="2160">
        <f>'[2]ALL BULAN'!E167</f>
        <v>0</v>
      </c>
      <c r="M167" s="4253">
        <f t="shared" si="23"/>
        <v>0</v>
      </c>
      <c r="N167" s="4253"/>
      <c r="O167" s="4254">
        <f t="shared" si="24"/>
        <v>0</v>
      </c>
      <c r="P167" s="4061">
        <v>0</v>
      </c>
      <c r="Q167" s="4839"/>
    </row>
    <row r="168" spans="1:17" s="2070" customFormat="1" ht="4.55" customHeight="1">
      <c r="A168" s="4048"/>
      <c r="B168" s="4048"/>
      <c r="C168" s="4048"/>
      <c r="D168" s="4048"/>
      <c r="E168" s="4048"/>
      <c r="F168" s="4049"/>
      <c r="G168" s="4102"/>
      <c r="H168" s="4083"/>
      <c r="I168" s="4083"/>
      <c r="J168" s="4528"/>
      <c r="K168" s="2183"/>
      <c r="L168" s="4528"/>
      <c r="M168" s="4529"/>
      <c r="N168" s="4529"/>
      <c r="O168" s="4529"/>
      <c r="P168" s="4084"/>
      <c r="Q168" s="4839"/>
    </row>
    <row r="169" spans="1:17" s="2073" customFormat="1" ht="15.65">
      <c r="A169" s="4039"/>
      <c r="B169" s="4039"/>
      <c r="C169" s="4039"/>
      <c r="D169" s="4039"/>
      <c r="E169" s="4039"/>
      <c r="F169" s="4040"/>
      <c r="G169" s="4041" t="s">
        <v>121</v>
      </c>
      <c r="H169" s="4042" t="s">
        <v>122</v>
      </c>
      <c r="I169" s="4043"/>
      <c r="J169" s="4519">
        <v>0</v>
      </c>
      <c r="K169" s="4520">
        <v>80532600</v>
      </c>
      <c r="L169" s="4519">
        <f>L170+L175</f>
        <v>0</v>
      </c>
      <c r="M169" s="4519">
        <f>M170+M175</f>
        <v>80532600</v>
      </c>
      <c r="N169" s="4519">
        <f>N172</f>
        <v>300000000</v>
      </c>
      <c r="O169" s="4519">
        <f>O170+O175</f>
        <v>300000000</v>
      </c>
      <c r="P169" s="4044">
        <f>P170+P175</f>
        <v>0</v>
      </c>
      <c r="Q169" s="4840"/>
    </row>
    <row r="170" spans="1:17" s="2073" customFormat="1">
      <c r="A170" s="4046">
        <v>4</v>
      </c>
      <c r="B170" s="4046">
        <v>1</v>
      </c>
      <c r="C170" s="4046">
        <v>2</v>
      </c>
      <c r="D170" s="4039"/>
      <c r="E170" s="4039"/>
      <c r="F170" s="4142">
        <v>1</v>
      </c>
      <c r="G170" s="4110"/>
      <c r="H170" s="4143" t="s">
        <v>106</v>
      </c>
      <c r="I170" s="4051"/>
      <c r="J170" s="4521">
        <v>0</v>
      </c>
      <c r="K170" s="2159">
        <v>72425000</v>
      </c>
      <c r="L170" s="4521">
        <f>L171</f>
        <v>0</v>
      </c>
      <c r="M170" s="4253">
        <f>SUM(K170:L170)</f>
        <v>72425000</v>
      </c>
      <c r="N170" s="2344">
        <f t="shared" ref="N170:P171" si="25">N171</f>
        <v>300000000</v>
      </c>
      <c r="O170" s="2260">
        <f t="shared" si="25"/>
        <v>300000000</v>
      </c>
      <c r="P170" s="4052">
        <f t="shared" si="25"/>
        <v>0</v>
      </c>
      <c r="Q170" s="4840"/>
    </row>
    <row r="171" spans="1:17" s="2073" customFormat="1">
      <c r="A171" s="4046">
        <v>4</v>
      </c>
      <c r="B171" s="4046">
        <v>1</v>
      </c>
      <c r="C171" s="4046">
        <v>2</v>
      </c>
      <c r="D171" s="4047" t="s">
        <v>438</v>
      </c>
      <c r="E171" s="4048"/>
      <c r="F171" s="4040"/>
      <c r="G171" s="4144"/>
      <c r="H171" s="4056" t="s">
        <v>109</v>
      </c>
      <c r="I171" s="4056"/>
      <c r="J171" s="2260">
        <v>0</v>
      </c>
      <c r="K171" s="2159">
        <v>72425000</v>
      </c>
      <c r="L171" s="2260">
        <f>L172</f>
        <v>0</v>
      </c>
      <c r="M171" s="4253">
        <f>SUM(K171:L171)</f>
        <v>72425000</v>
      </c>
      <c r="N171" s="2344">
        <f t="shared" si="25"/>
        <v>300000000</v>
      </c>
      <c r="O171" s="2260">
        <f t="shared" si="25"/>
        <v>300000000</v>
      </c>
      <c r="P171" s="2157">
        <f t="shared" si="25"/>
        <v>0</v>
      </c>
      <c r="Q171" s="4840"/>
    </row>
    <row r="172" spans="1:17" s="2073" customFormat="1">
      <c r="A172" s="4053">
        <v>4</v>
      </c>
      <c r="B172" s="4053">
        <v>1</v>
      </c>
      <c r="C172" s="4053">
        <v>2</v>
      </c>
      <c r="D172" s="4053" t="s">
        <v>438</v>
      </c>
      <c r="E172" s="4054" t="s">
        <v>451</v>
      </c>
      <c r="F172" s="4040"/>
      <c r="G172" s="4144"/>
      <c r="H172" s="4056" t="s">
        <v>452</v>
      </c>
      <c r="I172" s="4056"/>
      <c r="J172" s="2260">
        <v>0</v>
      </c>
      <c r="K172" s="2159">
        <v>72425000</v>
      </c>
      <c r="L172" s="2260">
        <f>SUM(L173)</f>
        <v>0</v>
      </c>
      <c r="M172" s="4253">
        <f>SUM(K172:L172)</f>
        <v>72425000</v>
      </c>
      <c r="N172" s="2344">
        <f>N173</f>
        <v>300000000</v>
      </c>
      <c r="O172" s="2260">
        <f>N172-J172</f>
        <v>300000000</v>
      </c>
      <c r="P172" s="4057">
        <f>SUM(P173)</f>
        <v>0</v>
      </c>
      <c r="Q172" s="4840"/>
    </row>
    <row r="173" spans="1:17" s="2073" customFormat="1">
      <c r="A173" s="4039"/>
      <c r="B173" s="4039"/>
      <c r="C173" s="4039"/>
      <c r="D173" s="4039"/>
      <c r="E173" s="4039"/>
      <c r="F173" s="4040"/>
      <c r="G173" s="4144"/>
      <c r="H173" s="4126"/>
      <c r="I173" s="4145" t="str">
        <f>'[2]ALL BULAN'!C173</f>
        <v>- TEMPAT WISATA DAN OLAH RAGA</v>
      </c>
      <c r="J173" s="2263">
        <v>0</v>
      </c>
      <c r="K173" s="2159">
        <v>72425000</v>
      </c>
      <c r="L173" s="2160">
        <v>0</v>
      </c>
      <c r="M173" s="4253">
        <f>SUM(K173:L173)</f>
        <v>72425000</v>
      </c>
      <c r="N173" s="4255">
        <v>300000000</v>
      </c>
      <c r="O173" s="2260">
        <f>N173-J173</f>
        <v>300000000</v>
      </c>
      <c r="P173" s="4057"/>
      <c r="Q173" s="4840"/>
    </row>
    <row r="174" spans="1:17" s="2073" customFormat="1" ht="5.95" customHeight="1">
      <c r="A174" s="4039"/>
      <c r="B174" s="4039"/>
      <c r="C174" s="4039"/>
      <c r="D174" s="4039"/>
      <c r="E174" s="4039"/>
      <c r="F174" s="4040"/>
      <c r="G174" s="4144"/>
      <c r="H174" s="4146"/>
      <c r="I174" s="4147"/>
      <c r="J174" s="2265"/>
      <c r="K174" s="2266"/>
      <c r="L174" s="2265"/>
      <c r="M174" s="2267"/>
      <c r="N174" s="2267"/>
      <c r="O174" s="2189"/>
      <c r="P174" s="4148"/>
      <c r="Q174" s="4840"/>
    </row>
    <row r="175" spans="1:17" s="2070" customFormat="1">
      <c r="A175" s="4065">
        <v>4</v>
      </c>
      <c r="B175" s="4065">
        <v>1</v>
      </c>
      <c r="C175" s="4065">
        <v>4</v>
      </c>
      <c r="D175" s="4048"/>
      <c r="E175" s="4048"/>
      <c r="F175" s="4066">
        <v>3</v>
      </c>
      <c r="G175" s="4055"/>
      <c r="H175" s="4056" t="s">
        <v>71</v>
      </c>
      <c r="I175" s="4149"/>
      <c r="J175" s="4539">
        <v>0</v>
      </c>
      <c r="K175" s="2271">
        <v>8107600</v>
      </c>
      <c r="L175" s="2272">
        <f>SUM(L176:L180)</f>
        <v>0</v>
      </c>
      <c r="M175" s="2272">
        <f>SUM(M176:M180)</f>
        <v>8107600</v>
      </c>
      <c r="N175" s="2272"/>
      <c r="O175" s="4539">
        <f>SUM(O176:O180)</f>
        <v>0</v>
      </c>
      <c r="P175" s="4057">
        <v>0</v>
      </c>
      <c r="Q175" s="4839"/>
    </row>
    <row r="176" spans="1:17" s="2070" customFormat="1">
      <c r="A176" s="4065">
        <v>4</v>
      </c>
      <c r="B176" s="4065">
        <v>1</v>
      </c>
      <c r="C176" s="4065">
        <v>4</v>
      </c>
      <c r="D176" s="4065" t="s">
        <v>441</v>
      </c>
      <c r="E176" s="4048"/>
      <c r="F176" s="4049"/>
      <c r="G176" s="4067"/>
      <c r="H176" s="4062" t="s">
        <v>50</v>
      </c>
      <c r="I176" s="4060" t="s">
        <v>72</v>
      </c>
      <c r="J176" s="1964">
        <v>0</v>
      </c>
      <c r="K176" s="2159">
        <v>0</v>
      </c>
      <c r="L176" s="2160">
        <f>'[2]ALL BULAN'!E176</f>
        <v>0</v>
      </c>
      <c r="M176" s="4253">
        <f>SUM(K176:L176)</f>
        <v>0</v>
      </c>
      <c r="N176" s="4253"/>
      <c r="O176" s="4254">
        <f>N176-J176</f>
        <v>0</v>
      </c>
      <c r="P176" s="4061">
        <v>0</v>
      </c>
      <c r="Q176" s="4839"/>
    </row>
    <row r="177" spans="1:17" s="2070" customFormat="1">
      <c r="A177" s="4074">
        <v>4</v>
      </c>
      <c r="B177" s="4074">
        <v>1</v>
      </c>
      <c r="C177" s="4074" t="s">
        <v>443</v>
      </c>
      <c r="D177" s="4074" t="s">
        <v>444</v>
      </c>
      <c r="E177" s="4074" t="s">
        <v>440</v>
      </c>
      <c r="F177" s="4049"/>
      <c r="G177" s="4067"/>
      <c r="H177" s="4062" t="s">
        <v>50</v>
      </c>
      <c r="I177" s="4060" t="s">
        <v>73</v>
      </c>
      <c r="J177" s="1964">
        <v>0</v>
      </c>
      <c r="K177" s="2159">
        <v>0</v>
      </c>
      <c r="L177" s="2160">
        <f>'[2]ALL BULAN'!E177</f>
        <v>0</v>
      </c>
      <c r="M177" s="4253">
        <f>SUM(K177:L177)</f>
        <v>0</v>
      </c>
      <c r="N177" s="4253"/>
      <c r="O177" s="4254">
        <f>N177-J177</f>
        <v>0</v>
      </c>
      <c r="P177" s="4061">
        <v>0</v>
      </c>
      <c r="Q177" s="4839"/>
    </row>
    <row r="178" spans="1:17" s="2070" customFormat="1">
      <c r="A178" s="4069">
        <v>4</v>
      </c>
      <c r="B178" s="4069">
        <v>1</v>
      </c>
      <c r="C178" s="4069" t="s">
        <v>443</v>
      </c>
      <c r="D178" s="4069" t="s">
        <v>444</v>
      </c>
      <c r="E178" s="4070" t="s">
        <v>445</v>
      </c>
      <c r="F178" s="4049"/>
      <c r="G178" s="4067"/>
      <c r="H178" s="4062" t="s">
        <v>50</v>
      </c>
      <c r="I178" s="4060" t="s">
        <v>74</v>
      </c>
      <c r="J178" s="1964">
        <v>0</v>
      </c>
      <c r="K178" s="2159">
        <v>0</v>
      </c>
      <c r="L178" s="2160">
        <f>'[2]ALL BULAN'!E178</f>
        <v>0</v>
      </c>
      <c r="M178" s="4253">
        <f>SUM(K178:L178)</f>
        <v>0</v>
      </c>
      <c r="N178" s="4253"/>
      <c r="O178" s="4254">
        <f>N178-J178</f>
        <v>0</v>
      </c>
      <c r="P178" s="4061">
        <v>0</v>
      </c>
      <c r="Q178" s="4839"/>
    </row>
    <row r="179" spans="1:17" s="2070" customFormat="1">
      <c r="A179" s="4101">
        <v>4</v>
      </c>
      <c r="B179" s="4101">
        <v>1</v>
      </c>
      <c r="C179" s="4101" t="s">
        <v>443</v>
      </c>
      <c r="D179" s="4101" t="s">
        <v>444</v>
      </c>
      <c r="E179" s="4101" t="s">
        <v>441</v>
      </c>
      <c r="F179" s="4049"/>
      <c r="G179" s="4067"/>
      <c r="H179" s="4062" t="s">
        <v>50</v>
      </c>
      <c r="I179" s="4090" t="s">
        <v>75</v>
      </c>
      <c r="J179" s="1964">
        <v>0</v>
      </c>
      <c r="K179" s="2159">
        <v>7967600</v>
      </c>
      <c r="L179" s="2160">
        <v>0</v>
      </c>
      <c r="M179" s="4253">
        <f>SUM(K179:L179)</f>
        <v>7967600</v>
      </c>
      <c r="N179" s="4253"/>
      <c r="O179" s="4254">
        <f>N179-J179</f>
        <v>0</v>
      </c>
      <c r="P179" s="4061">
        <v>0</v>
      </c>
      <c r="Q179" s="4839"/>
    </row>
    <row r="180" spans="1:17" s="2070" customFormat="1">
      <c r="A180" s="4079">
        <v>4</v>
      </c>
      <c r="B180" s="4079">
        <v>1</v>
      </c>
      <c r="C180" s="4079" t="s">
        <v>443</v>
      </c>
      <c r="D180" s="4079" t="s">
        <v>447</v>
      </c>
      <c r="E180" s="4093" t="s">
        <v>437</v>
      </c>
      <c r="F180" s="4049"/>
      <c r="G180" s="4067"/>
      <c r="H180" s="4062" t="s">
        <v>50</v>
      </c>
      <c r="I180" s="4090" t="s">
        <v>85</v>
      </c>
      <c r="J180" s="1964">
        <v>0</v>
      </c>
      <c r="K180" s="2159">
        <v>140000</v>
      </c>
      <c r="L180" s="2160">
        <v>0</v>
      </c>
      <c r="M180" s="4253">
        <f>SUM(K180:L180)</f>
        <v>140000</v>
      </c>
      <c r="N180" s="4253"/>
      <c r="O180" s="4254">
        <f>N180-J180</f>
        <v>0</v>
      </c>
      <c r="P180" s="4061">
        <v>0</v>
      </c>
      <c r="Q180" s="4839"/>
    </row>
    <row r="181" spans="1:17" s="2070" customFormat="1" ht="4.55" customHeight="1">
      <c r="A181" s="4048"/>
      <c r="B181" s="4048"/>
      <c r="C181" s="4048"/>
      <c r="D181" s="4048"/>
      <c r="E181" s="4048"/>
      <c r="F181" s="4049"/>
      <c r="G181" s="4102"/>
      <c r="H181" s="4083"/>
      <c r="I181" s="4083"/>
      <c r="J181" s="4528"/>
      <c r="K181" s="2183"/>
      <c r="L181" s="4528"/>
      <c r="M181" s="4529"/>
      <c r="N181" s="4529"/>
      <c r="O181" s="4529"/>
      <c r="P181" s="4084"/>
      <c r="Q181" s="4839"/>
    </row>
    <row r="182" spans="1:17" s="2073" customFormat="1" ht="15.65">
      <c r="A182" s="4039"/>
      <c r="B182" s="4039"/>
      <c r="C182" s="4039"/>
      <c r="D182" s="4039"/>
      <c r="E182" s="4039"/>
      <c r="F182" s="4040"/>
      <c r="G182" s="4041" t="s">
        <v>124</v>
      </c>
      <c r="H182" s="4042" t="s">
        <v>453</v>
      </c>
      <c r="I182" s="4043"/>
      <c r="J182" s="4519">
        <v>0</v>
      </c>
      <c r="K182" s="4520">
        <v>2935000</v>
      </c>
      <c r="L182" s="4519">
        <f>L189+L183</f>
        <v>500000</v>
      </c>
      <c r="M182" s="4519">
        <f>M189+M183</f>
        <v>3435000</v>
      </c>
      <c r="N182" s="4519"/>
      <c r="O182" s="4519">
        <f>O183</f>
        <v>0</v>
      </c>
      <c r="P182" s="4044">
        <v>0</v>
      </c>
      <c r="Q182" s="4840"/>
    </row>
    <row r="183" spans="1:17" s="2070" customFormat="1">
      <c r="A183" s="4046">
        <v>4</v>
      </c>
      <c r="B183" s="4046">
        <v>1</v>
      </c>
      <c r="C183" s="4046">
        <v>2</v>
      </c>
      <c r="D183" s="4047"/>
      <c r="E183" s="4048"/>
      <c r="F183" s="4066">
        <v>1</v>
      </c>
      <c r="G183" s="4050"/>
      <c r="H183" s="4051" t="s">
        <v>106</v>
      </c>
      <c r="I183" s="4051"/>
      <c r="J183" s="4521">
        <v>0</v>
      </c>
      <c r="K183" s="2159">
        <v>2935000</v>
      </c>
      <c r="L183" s="4521">
        <f>SUM(L184)</f>
        <v>500000</v>
      </c>
      <c r="M183" s="4253">
        <f t="shared" ref="M183:M194" si="26">SUM(K183:L183)</f>
        <v>3435000</v>
      </c>
      <c r="N183" s="4253"/>
      <c r="O183" s="4254">
        <f>O184</f>
        <v>0</v>
      </c>
      <c r="P183" s="4061">
        <v>0</v>
      </c>
      <c r="Q183" s="4839"/>
    </row>
    <row r="184" spans="1:17" s="4099" customFormat="1">
      <c r="A184" s="4046">
        <v>4</v>
      </c>
      <c r="B184" s="4046">
        <v>1</v>
      </c>
      <c r="C184" s="4046">
        <v>2</v>
      </c>
      <c r="D184" s="4047" t="s">
        <v>440</v>
      </c>
      <c r="E184" s="4128"/>
      <c r="F184" s="4105"/>
      <c r="G184" s="4067"/>
      <c r="H184" s="4064" t="s">
        <v>116</v>
      </c>
      <c r="I184" s="4068"/>
      <c r="J184" s="2181">
        <v>0</v>
      </c>
      <c r="K184" s="2159">
        <v>2935000</v>
      </c>
      <c r="L184" s="2181">
        <f>SUM(L185)</f>
        <v>500000</v>
      </c>
      <c r="M184" s="4253">
        <f t="shared" si="26"/>
        <v>3435000</v>
      </c>
      <c r="N184" s="4253"/>
      <c r="O184" s="4254">
        <f>O185</f>
        <v>0</v>
      </c>
      <c r="P184" s="4061">
        <v>0</v>
      </c>
      <c r="Q184" s="4839"/>
    </row>
    <row r="185" spans="1:17" s="2070" customFormat="1">
      <c r="A185" s="4046">
        <v>4</v>
      </c>
      <c r="B185" s="4046">
        <v>1</v>
      </c>
      <c r="C185" s="4046">
        <v>2</v>
      </c>
      <c r="D185" s="4093" t="s">
        <v>440</v>
      </c>
      <c r="E185" s="4093" t="s">
        <v>437</v>
      </c>
      <c r="F185" s="4049"/>
      <c r="G185" s="4067"/>
      <c r="H185" s="4060" t="s">
        <v>117</v>
      </c>
      <c r="I185" s="4060"/>
      <c r="J185" s="1964">
        <v>0</v>
      </c>
      <c r="K185" s="2159">
        <v>2935000</v>
      </c>
      <c r="L185" s="4540">
        <f>SUM(L186:L187)</f>
        <v>500000</v>
      </c>
      <c r="M185" s="4253">
        <f t="shared" si="26"/>
        <v>3435000</v>
      </c>
      <c r="N185" s="4253"/>
      <c r="O185" s="4254">
        <f>N185-J185</f>
        <v>0</v>
      </c>
      <c r="P185" s="4061">
        <v>0</v>
      </c>
      <c r="Q185" s="4839"/>
    </row>
    <row r="186" spans="1:17" s="2070" customFormat="1">
      <c r="A186" s="4048"/>
      <c r="B186" s="4048"/>
      <c r="C186" s="4048"/>
      <c r="D186" s="4048"/>
      <c r="E186" s="4048"/>
      <c r="F186" s="4049"/>
      <c r="G186" s="4067"/>
      <c r="H186" s="4062" t="s">
        <v>50</v>
      </c>
      <c r="I186" s="4060" t="s">
        <v>454</v>
      </c>
      <c r="J186" s="1964">
        <v>0</v>
      </c>
      <c r="K186" s="2159">
        <v>2935000</v>
      </c>
      <c r="L186" s="2274">
        <v>500000</v>
      </c>
      <c r="M186" s="4253">
        <f t="shared" si="26"/>
        <v>3435000</v>
      </c>
      <c r="N186" s="4253"/>
      <c r="O186" s="4254">
        <f>N186-J186</f>
        <v>0</v>
      </c>
      <c r="P186" s="4061">
        <v>0</v>
      </c>
      <c r="Q186" s="4839"/>
    </row>
    <row r="187" spans="1:17" s="2070" customFormat="1">
      <c r="A187" s="4048"/>
      <c r="B187" s="4048"/>
      <c r="C187" s="4048"/>
      <c r="D187" s="4048"/>
      <c r="E187" s="4048"/>
      <c r="F187" s="4049"/>
      <c r="G187" s="4067"/>
      <c r="H187" s="4062" t="s">
        <v>50</v>
      </c>
      <c r="I187" s="4060" t="s">
        <v>455</v>
      </c>
      <c r="J187" s="1964">
        <v>0</v>
      </c>
      <c r="K187" s="2159">
        <v>0</v>
      </c>
      <c r="L187" s="2274">
        <v>0</v>
      </c>
      <c r="M187" s="4253">
        <f t="shared" si="26"/>
        <v>0</v>
      </c>
      <c r="N187" s="4253"/>
      <c r="O187" s="4254">
        <f>N187-J187</f>
        <v>0</v>
      </c>
      <c r="P187" s="4061">
        <v>0</v>
      </c>
      <c r="Q187" s="4839"/>
    </row>
    <row r="188" spans="1:17" s="2070" customFormat="1" ht="5.35" customHeight="1">
      <c r="A188" s="4048"/>
      <c r="B188" s="4048"/>
      <c r="C188" s="4048"/>
      <c r="D188" s="4048"/>
      <c r="E188" s="4048"/>
      <c r="F188" s="4049"/>
      <c r="G188" s="4150"/>
      <c r="H188" s="4151"/>
      <c r="I188" s="4151"/>
      <c r="J188" s="2275"/>
      <c r="K188" s="2159">
        <v>0</v>
      </c>
      <c r="L188" s="2275"/>
      <c r="M188" s="4253">
        <f t="shared" si="26"/>
        <v>0</v>
      </c>
      <c r="N188" s="4253"/>
      <c r="O188" s="4254">
        <f t="shared" ref="O188:O194" si="27">M188-J188</f>
        <v>0</v>
      </c>
      <c r="P188" s="4061">
        <f>O188-K188</f>
        <v>0</v>
      </c>
      <c r="Q188" s="4839"/>
    </row>
    <row r="189" spans="1:17" s="2070" customFormat="1">
      <c r="A189" s="4065">
        <v>4</v>
      </c>
      <c r="B189" s="4065">
        <v>1</v>
      </c>
      <c r="C189" s="4065">
        <v>4</v>
      </c>
      <c r="D189" s="4048"/>
      <c r="E189" s="4048"/>
      <c r="F189" s="4066">
        <v>3</v>
      </c>
      <c r="G189" s="4152"/>
      <c r="H189" s="4122" t="s">
        <v>71</v>
      </c>
      <c r="I189" s="4122"/>
      <c r="J189" s="2276">
        <v>0</v>
      </c>
      <c r="K189" s="2159">
        <v>0</v>
      </c>
      <c r="L189" s="2276">
        <f>SUM(L190:L194)</f>
        <v>0</v>
      </c>
      <c r="M189" s="4253">
        <f t="shared" si="26"/>
        <v>0</v>
      </c>
      <c r="N189" s="4253"/>
      <c r="O189" s="4254">
        <f t="shared" si="27"/>
        <v>0</v>
      </c>
      <c r="P189" s="4061">
        <v>0</v>
      </c>
      <c r="Q189" s="4839"/>
    </row>
    <row r="190" spans="1:17" s="2070" customFormat="1">
      <c r="A190" s="4065">
        <v>4</v>
      </c>
      <c r="B190" s="4065">
        <v>1</v>
      </c>
      <c r="C190" s="4065">
        <v>4</v>
      </c>
      <c r="D190" s="4065" t="s">
        <v>441</v>
      </c>
      <c r="E190" s="4048"/>
      <c r="F190" s="4049"/>
      <c r="G190" s="4059"/>
      <c r="H190" s="4062" t="s">
        <v>50</v>
      </c>
      <c r="I190" s="4060" t="s">
        <v>72</v>
      </c>
      <c r="J190" s="1964">
        <v>0</v>
      </c>
      <c r="K190" s="2159">
        <v>0</v>
      </c>
      <c r="L190" s="2160">
        <f>'[2]ALL BULAN'!E191</f>
        <v>0</v>
      </c>
      <c r="M190" s="4253">
        <f t="shared" si="26"/>
        <v>0</v>
      </c>
      <c r="N190" s="4253"/>
      <c r="O190" s="4254">
        <f t="shared" si="27"/>
        <v>0</v>
      </c>
      <c r="P190" s="4061">
        <v>0</v>
      </c>
      <c r="Q190" s="4839"/>
    </row>
    <row r="191" spans="1:17" s="2070" customFormat="1">
      <c r="A191" s="4074">
        <v>4</v>
      </c>
      <c r="B191" s="4074">
        <v>1</v>
      </c>
      <c r="C191" s="4074" t="s">
        <v>443</v>
      </c>
      <c r="D191" s="4074" t="s">
        <v>444</v>
      </c>
      <c r="E191" s="4074" t="s">
        <v>440</v>
      </c>
      <c r="F191" s="4049"/>
      <c r="G191" s="4059"/>
      <c r="H191" s="4062" t="s">
        <v>50</v>
      </c>
      <c r="I191" s="4060" t="s">
        <v>73</v>
      </c>
      <c r="J191" s="1964">
        <v>0</v>
      </c>
      <c r="K191" s="2159">
        <v>0</v>
      </c>
      <c r="L191" s="2160">
        <f>'[2]ALL BULAN'!E192</f>
        <v>0</v>
      </c>
      <c r="M191" s="4253">
        <f t="shared" si="26"/>
        <v>0</v>
      </c>
      <c r="N191" s="4253"/>
      <c r="O191" s="4254">
        <f t="shared" si="27"/>
        <v>0</v>
      </c>
      <c r="P191" s="4061">
        <v>0</v>
      </c>
      <c r="Q191" s="4839"/>
    </row>
    <row r="192" spans="1:17" s="2070" customFormat="1">
      <c r="A192" s="4069">
        <v>4</v>
      </c>
      <c r="B192" s="4069">
        <v>1</v>
      </c>
      <c r="C192" s="4069" t="s">
        <v>443</v>
      </c>
      <c r="D192" s="4069" t="s">
        <v>444</v>
      </c>
      <c r="E192" s="4070" t="s">
        <v>445</v>
      </c>
      <c r="F192" s="4049"/>
      <c r="G192" s="4059"/>
      <c r="H192" s="4062" t="s">
        <v>50</v>
      </c>
      <c r="I192" s="4060" t="s">
        <v>74</v>
      </c>
      <c r="J192" s="1964">
        <v>0</v>
      </c>
      <c r="K192" s="2159">
        <v>0</v>
      </c>
      <c r="L192" s="2160">
        <f>'[2]ALL BULAN'!E193</f>
        <v>0</v>
      </c>
      <c r="M192" s="4253">
        <f t="shared" si="26"/>
        <v>0</v>
      </c>
      <c r="N192" s="4253"/>
      <c r="O192" s="4254">
        <f t="shared" si="27"/>
        <v>0</v>
      </c>
      <c r="P192" s="4061">
        <v>0</v>
      </c>
      <c r="Q192" s="4839"/>
    </row>
    <row r="193" spans="1:17" s="2070" customFormat="1">
      <c r="A193" s="4101">
        <v>4</v>
      </c>
      <c r="B193" s="4101">
        <v>1</v>
      </c>
      <c r="C193" s="4101" t="s">
        <v>443</v>
      </c>
      <c r="D193" s="4101" t="s">
        <v>444</v>
      </c>
      <c r="E193" s="4101" t="s">
        <v>441</v>
      </c>
      <c r="F193" s="4049"/>
      <c r="G193" s="4059"/>
      <c r="H193" s="4060" t="s">
        <v>308</v>
      </c>
      <c r="I193" s="4090" t="s">
        <v>75</v>
      </c>
      <c r="J193" s="1964">
        <v>0</v>
      </c>
      <c r="K193" s="2159">
        <v>0</v>
      </c>
      <c r="L193" s="2160">
        <f>'[2]ALL BULAN'!E194</f>
        <v>0</v>
      </c>
      <c r="M193" s="4253">
        <f t="shared" si="26"/>
        <v>0</v>
      </c>
      <c r="N193" s="4253"/>
      <c r="O193" s="4254">
        <f t="shared" si="27"/>
        <v>0</v>
      </c>
      <c r="P193" s="4061">
        <v>0</v>
      </c>
      <c r="Q193" s="4839"/>
    </row>
    <row r="194" spans="1:17" s="2070" customFormat="1">
      <c r="A194" s="4079">
        <v>4</v>
      </c>
      <c r="B194" s="4079">
        <v>1</v>
      </c>
      <c r="C194" s="4079" t="s">
        <v>443</v>
      </c>
      <c r="D194" s="4079" t="s">
        <v>447</v>
      </c>
      <c r="E194" s="4093" t="s">
        <v>437</v>
      </c>
      <c r="F194" s="4049"/>
      <c r="G194" s="4059"/>
      <c r="H194" s="4062" t="s">
        <v>50</v>
      </c>
      <c r="I194" s="4090" t="s">
        <v>85</v>
      </c>
      <c r="J194" s="1964">
        <v>0</v>
      </c>
      <c r="K194" s="2159">
        <v>0</v>
      </c>
      <c r="L194" s="2160">
        <f>'[2]ALL BULAN'!E195</f>
        <v>0</v>
      </c>
      <c r="M194" s="4253">
        <f t="shared" si="26"/>
        <v>0</v>
      </c>
      <c r="N194" s="4253"/>
      <c r="O194" s="4254">
        <f t="shared" si="27"/>
        <v>0</v>
      </c>
      <c r="P194" s="4061">
        <v>0</v>
      </c>
      <c r="Q194" s="4839"/>
    </row>
    <row r="195" spans="1:17" s="2070" customFormat="1" ht="5.35" customHeight="1">
      <c r="A195" s="4048"/>
      <c r="B195" s="4048"/>
      <c r="C195" s="4048"/>
      <c r="D195" s="4048"/>
      <c r="E195" s="4048"/>
      <c r="F195" s="4049"/>
      <c r="G195" s="4082"/>
      <c r="H195" s="4083"/>
      <c r="I195" s="4083"/>
      <c r="J195" s="4528"/>
      <c r="K195" s="2183"/>
      <c r="L195" s="4528"/>
      <c r="M195" s="4529"/>
      <c r="N195" s="4529"/>
      <c r="O195" s="4529"/>
      <c r="P195" s="4084"/>
      <c r="Q195" s="4839"/>
    </row>
    <row r="196" spans="1:17" s="2073" customFormat="1" ht="15.65">
      <c r="A196" s="4039"/>
      <c r="B196" s="4039"/>
      <c r="C196" s="4039"/>
      <c r="D196" s="4039"/>
      <c r="E196" s="4039"/>
      <c r="F196" s="4040"/>
      <c r="G196" s="4041" t="s">
        <v>126</v>
      </c>
      <c r="H196" s="4042" t="s">
        <v>127</v>
      </c>
      <c r="I196" s="4043"/>
      <c r="J196" s="4519">
        <f>J197</f>
        <v>2000000</v>
      </c>
      <c r="K196" s="4520">
        <v>0</v>
      </c>
      <c r="L196" s="4519">
        <f>L197+L211</f>
        <v>200000</v>
      </c>
      <c r="M196" s="4519">
        <f t="shared" ref="M196:M212" si="28">SUM(K196:L196)</f>
        <v>200000</v>
      </c>
      <c r="N196" s="4519">
        <f t="shared" ref="N196:O199" si="29">N197</f>
        <v>2000000</v>
      </c>
      <c r="O196" s="4519">
        <f t="shared" si="29"/>
        <v>0</v>
      </c>
      <c r="P196" s="4044">
        <f>O196/J196*100</f>
        <v>0</v>
      </c>
      <c r="Q196" s="4840"/>
    </row>
    <row r="197" spans="1:17" s="2070" customFormat="1">
      <c r="A197" s="4048"/>
      <c r="B197" s="4048"/>
      <c r="C197" s="4048"/>
      <c r="D197" s="4048"/>
      <c r="E197" s="4048"/>
      <c r="F197" s="4066">
        <v>1</v>
      </c>
      <c r="G197" s="4050"/>
      <c r="H197" s="4143" t="s">
        <v>106</v>
      </c>
      <c r="I197" s="4051"/>
      <c r="J197" s="4521">
        <f>J198</f>
        <v>2000000</v>
      </c>
      <c r="K197" s="2159">
        <v>0</v>
      </c>
      <c r="L197" s="4521">
        <f>L198</f>
        <v>200000</v>
      </c>
      <c r="M197" s="4253">
        <f t="shared" si="28"/>
        <v>200000</v>
      </c>
      <c r="N197" s="2260">
        <f t="shared" si="29"/>
        <v>2000000</v>
      </c>
      <c r="O197" s="4254">
        <f t="shared" si="29"/>
        <v>0</v>
      </c>
      <c r="P197" s="4636">
        <f>O197/J197*100</f>
        <v>0</v>
      </c>
      <c r="Q197" s="4839"/>
    </row>
    <row r="198" spans="1:17" s="4099" customFormat="1">
      <c r="A198" s="4046">
        <v>4</v>
      </c>
      <c r="B198" s="4046">
        <v>1</v>
      </c>
      <c r="C198" s="4046">
        <v>2</v>
      </c>
      <c r="D198" s="4047" t="s">
        <v>438</v>
      </c>
      <c r="E198" s="4128"/>
      <c r="F198" s="4105"/>
      <c r="G198" s="4055"/>
      <c r="H198" s="4056" t="s">
        <v>109</v>
      </c>
      <c r="I198" s="4056"/>
      <c r="J198" s="2260">
        <f>J199</f>
        <v>2000000</v>
      </c>
      <c r="K198" s="2159">
        <v>0</v>
      </c>
      <c r="L198" s="2260">
        <f>L199+L201</f>
        <v>200000</v>
      </c>
      <c r="M198" s="4253">
        <f t="shared" si="28"/>
        <v>200000</v>
      </c>
      <c r="N198" s="2260">
        <f t="shared" si="29"/>
        <v>2000000</v>
      </c>
      <c r="O198" s="4254">
        <f t="shared" si="29"/>
        <v>0</v>
      </c>
      <c r="P198" s="4636">
        <f>O198/J198*100</f>
        <v>0</v>
      </c>
      <c r="Q198" s="4839"/>
    </row>
    <row r="199" spans="1:17" s="4099" customFormat="1">
      <c r="A199" s="4046">
        <v>4</v>
      </c>
      <c r="B199" s="4046">
        <v>1</v>
      </c>
      <c r="C199" s="4046">
        <v>2</v>
      </c>
      <c r="D199" s="4047" t="s">
        <v>438</v>
      </c>
      <c r="E199" s="4093" t="s">
        <v>437</v>
      </c>
      <c r="F199" s="4105"/>
      <c r="G199" s="4055"/>
      <c r="H199" s="4056" t="s">
        <v>64</v>
      </c>
      <c r="I199" s="4056"/>
      <c r="J199" s="2260">
        <f>J200</f>
        <v>2000000</v>
      </c>
      <c r="K199" s="2159">
        <v>0</v>
      </c>
      <c r="L199" s="2260">
        <f>SUM(L200)</f>
        <v>200000</v>
      </c>
      <c r="M199" s="4253">
        <f t="shared" si="28"/>
        <v>200000</v>
      </c>
      <c r="N199" s="2260">
        <f t="shared" si="29"/>
        <v>2000000</v>
      </c>
      <c r="O199" s="4254">
        <f t="shared" si="29"/>
        <v>0</v>
      </c>
      <c r="P199" s="4636">
        <f>O199/J199*100</f>
        <v>0</v>
      </c>
      <c r="Q199" s="4839"/>
    </row>
    <row r="200" spans="1:17" s="2070" customFormat="1">
      <c r="A200" s="4048"/>
      <c r="B200" s="4048"/>
      <c r="C200" s="4048"/>
      <c r="D200" s="4048"/>
      <c r="E200" s="4048"/>
      <c r="F200" s="4049"/>
      <c r="G200" s="4055"/>
      <c r="H200" s="4126"/>
      <c r="I200" s="4145" t="s">
        <v>128</v>
      </c>
      <c r="J200" s="1964">
        <v>2000000</v>
      </c>
      <c r="K200" s="2159">
        <v>0</v>
      </c>
      <c r="L200" s="2160">
        <v>200000</v>
      </c>
      <c r="M200" s="4253">
        <f t="shared" si="28"/>
        <v>200000</v>
      </c>
      <c r="N200" s="1964">
        <v>2000000</v>
      </c>
      <c r="O200" s="4254">
        <f>N200-J200</f>
        <v>0</v>
      </c>
      <c r="P200" s="4636">
        <f>O200/J200*100</f>
        <v>0</v>
      </c>
      <c r="Q200" s="4839"/>
    </row>
    <row r="201" spans="1:17" s="4099" customFormat="1">
      <c r="A201" s="4046">
        <v>4</v>
      </c>
      <c r="B201" s="4046">
        <v>1</v>
      </c>
      <c r="C201" s="4046">
        <v>2</v>
      </c>
      <c r="D201" s="4047" t="s">
        <v>438</v>
      </c>
      <c r="E201" s="4093" t="s">
        <v>440</v>
      </c>
      <c r="F201" s="4105"/>
      <c r="G201" s="4055"/>
      <c r="H201" s="4092" t="s">
        <v>94</v>
      </c>
      <c r="J201" s="2260">
        <v>0</v>
      </c>
      <c r="K201" s="2159">
        <v>0</v>
      </c>
      <c r="L201" s="2260">
        <f>SUM(L202)</f>
        <v>0</v>
      </c>
      <c r="M201" s="4253">
        <f t="shared" si="28"/>
        <v>0</v>
      </c>
      <c r="N201" s="4253">
        <v>0</v>
      </c>
      <c r="O201" s="4254">
        <f t="shared" ref="O201:O212" si="30">M201-J201</f>
        <v>0</v>
      </c>
      <c r="P201" s="4061">
        <v>0</v>
      </c>
      <c r="Q201" s="4839"/>
    </row>
    <row r="202" spans="1:17" s="2070" customFormat="1">
      <c r="A202" s="4048"/>
      <c r="B202" s="4048"/>
      <c r="C202" s="4048"/>
      <c r="D202" s="4048"/>
      <c r="E202" s="4048"/>
      <c r="F202" s="4049"/>
      <c r="G202" s="4055"/>
      <c r="H202" s="4126"/>
      <c r="I202" s="4153" t="s">
        <v>129</v>
      </c>
      <c r="J202" s="1964">
        <v>0</v>
      </c>
      <c r="K202" s="2159">
        <v>0</v>
      </c>
      <c r="L202" s="2160">
        <f>'[2]ALL BULAN'!E203</f>
        <v>0</v>
      </c>
      <c r="M202" s="4253">
        <f t="shared" si="28"/>
        <v>0</v>
      </c>
      <c r="N202" s="4253">
        <v>0</v>
      </c>
      <c r="O202" s="4254">
        <f t="shared" si="30"/>
        <v>0</v>
      </c>
      <c r="P202" s="4061">
        <v>0</v>
      </c>
      <c r="Q202" s="4839"/>
    </row>
    <row r="203" spans="1:17" s="2070" customFormat="1" ht="5.35" customHeight="1">
      <c r="A203" s="4048"/>
      <c r="B203" s="4048"/>
      <c r="C203" s="4048"/>
      <c r="D203" s="4048"/>
      <c r="E203" s="4048"/>
      <c r="F203" s="4049"/>
      <c r="G203" s="4055"/>
      <c r="H203" s="4126"/>
      <c r="I203" s="4154"/>
      <c r="J203" s="2260"/>
      <c r="K203" s="2159">
        <v>0</v>
      </c>
      <c r="L203" s="2260"/>
      <c r="M203" s="4253">
        <f t="shared" si="28"/>
        <v>0</v>
      </c>
      <c r="N203" s="4253">
        <v>0</v>
      </c>
      <c r="O203" s="4254">
        <f t="shared" si="30"/>
        <v>0</v>
      </c>
      <c r="P203" s="4061">
        <f>O203-K203</f>
        <v>0</v>
      </c>
      <c r="Q203" s="4839"/>
    </row>
    <row r="204" spans="1:17" s="2070" customFormat="1">
      <c r="A204" s="4065">
        <v>4</v>
      </c>
      <c r="B204" s="4065">
        <v>1</v>
      </c>
      <c r="C204" s="4065">
        <v>4</v>
      </c>
      <c r="D204" s="4048"/>
      <c r="E204" s="4048"/>
      <c r="F204" s="4066">
        <v>3</v>
      </c>
      <c r="G204" s="4055"/>
      <c r="H204" s="4135" t="s">
        <v>71</v>
      </c>
      <c r="I204" s="4107"/>
      <c r="J204" s="2260">
        <v>0</v>
      </c>
      <c r="K204" s="2159">
        <v>0</v>
      </c>
      <c r="L204" s="2260">
        <f>SUM(L205:L209)</f>
        <v>0</v>
      </c>
      <c r="M204" s="4253">
        <f t="shared" si="28"/>
        <v>0</v>
      </c>
      <c r="N204" s="4253">
        <v>0</v>
      </c>
      <c r="O204" s="4254">
        <f t="shared" si="30"/>
        <v>0</v>
      </c>
      <c r="P204" s="4061">
        <v>0</v>
      </c>
      <c r="Q204" s="4839"/>
    </row>
    <row r="205" spans="1:17" s="2070" customFormat="1">
      <c r="A205" s="4065">
        <v>4</v>
      </c>
      <c r="B205" s="4065">
        <v>1</v>
      </c>
      <c r="C205" s="4065">
        <v>4</v>
      </c>
      <c r="D205" s="4065" t="s">
        <v>441</v>
      </c>
      <c r="E205" s="4048"/>
      <c r="F205" s="4049"/>
      <c r="G205" s="4055"/>
      <c r="H205" s="4062" t="s">
        <v>50</v>
      </c>
      <c r="I205" s="4060" t="s">
        <v>72</v>
      </c>
      <c r="J205" s="1964">
        <v>0</v>
      </c>
      <c r="K205" s="2159">
        <v>0</v>
      </c>
      <c r="L205" s="2160">
        <f>'[2]ALL BULAN'!E206</f>
        <v>0</v>
      </c>
      <c r="M205" s="4253">
        <f t="shared" si="28"/>
        <v>0</v>
      </c>
      <c r="N205" s="4253">
        <v>0</v>
      </c>
      <c r="O205" s="4254">
        <f t="shared" si="30"/>
        <v>0</v>
      </c>
      <c r="P205" s="4061">
        <v>0</v>
      </c>
      <c r="Q205" s="4839"/>
    </row>
    <row r="206" spans="1:17" s="2070" customFormat="1">
      <c r="A206" s="4074">
        <v>4</v>
      </c>
      <c r="B206" s="4074">
        <v>1</v>
      </c>
      <c r="C206" s="4074" t="s">
        <v>443</v>
      </c>
      <c r="D206" s="4074" t="s">
        <v>444</v>
      </c>
      <c r="E206" s="4074" t="s">
        <v>440</v>
      </c>
      <c r="F206" s="4049"/>
      <c r="G206" s="4055"/>
      <c r="H206" s="4062" t="s">
        <v>50</v>
      </c>
      <c r="I206" s="4060" t="s">
        <v>73</v>
      </c>
      <c r="J206" s="1964">
        <v>0</v>
      </c>
      <c r="K206" s="2159">
        <v>0</v>
      </c>
      <c r="L206" s="2160">
        <f>'[2]ALL BULAN'!E207</f>
        <v>0</v>
      </c>
      <c r="M206" s="4253">
        <f t="shared" si="28"/>
        <v>0</v>
      </c>
      <c r="N206" s="4253">
        <v>0</v>
      </c>
      <c r="O206" s="4254">
        <f t="shared" si="30"/>
        <v>0</v>
      </c>
      <c r="P206" s="4061">
        <v>0</v>
      </c>
      <c r="Q206" s="4839"/>
    </row>
    <row r="207" spans="1:17" s="2070" customFormat="1">
      <c r="A207" s="4069">
        <v>4</v>
      </c>
      <c r="B207" s="4069">
        <v>1</v>
      </c>
      <c r="C207" s="4069" t="s">
        <v>443</v>
      </c>
      <c r="D207" s="4069" t="s">
        <v>444</v>
      </c>
      <c r="E207" s="4070" t="s">
        <v>445</v>
      </c>
      <c r="F207" s="4049"/>
      <c r="G207" s="4055"/>
      <c r="H207" s="4062" t="s">
        <v>50</v>
      </c>
      <c r="I207" s="4060" t="s">
        <v>74</v>
      </c>
      <c r="J207" s="1964">
        <v>0</v>
      </c>
      <c r="K207" s="2159">
        <v>0</v>
      </c>
      <c r="L207" s="2160">
        <f>'[2]ALL BULAN'!E208</f>
        <v>0</v>
      </c>
      <c r="M207" s="4253">
        <f t="shared" si="28"/>
        <v>0</v>
      </c>
      <c r="N207" s="4253">
        <v>0</v>
      </c>
      <c r="O207" s="4254">
        <f t="shared" si="30"/>
        <v>0</v>
      </c>
      <c r="P207" s="4061">
        <v>0</v>
      </c>
      <c r="Q207" s="4839"/>
    </row>
    <row r="208" spans="1:17" s="2070" customFormat="1">
      <c r="A208" s="4101">
        <v>4</v>
      </c>
      <c r="B208" s="4101">
        <v>1</v>
      </c>
      <c r="C208" s="4101" t="s">
        <v>443</v>
      </c>
      <c r="D208" s="4101" t="s">
        <v>444</v>
      </c>
      <c r="E208" s="4101" t="s">
        <v>441</v>
      </c>
      <c r="F208" s="4049"/>
      <c r="G208" s="4067"/>
      <c r="H208" s="4060" t="s">
        <v>308</v>
      </c>
      <c r="I208" s="4090" t="s">
        <v>75</v>
      </c>
      <c r="J208" s="1964">
        <v>0</v>
      </c>
      <c r="K208" s="2159">
        <v>0</v>
      </c>
      <c r="L208" s="2160">
        <f>'[2]ALL BULAN'!E209</f>
        <v>0</v>
      </c>
      <c r="M208" s="4253">
        <f t="shared" si="28"/>
        <v>0</v>
      </c>
      <c r="N208" s="4253">
        <v>0</v>
      </c>
      <c r="O208" s="4254">
        <f t="shared" si="30"/>
        <v>0</v>
      </c>
      <c r="P208" s="4061">
        <v>0</v>
      </c>
      <c r="Q208" s="4839"/>
    </row>
    <row r="209" spans="1:17" s="2070" customFormat="1">
      <c r="A209" s="4079">
        <v>4</v>
      </c>
      <c r="B209" s="4079">
        <v>1</v>
      </c>
      <c r="C209" s="4079" t="s">
        <v>443</v>
      </c>
      <c r="D209" s="4079" t="s">
        <v>447</v>
      </c>
      <c r="E209" s="4093" t="s">
        <v>437</v>
      </c>
      <c r="F209" s="4049"/>
      <c r="G209" s="4067"/>
      <c r="H209" s="4062" t="s">
        <v>50</v>
      </c>
      <c r="I209" s="4090" t="s">
        <v>85</v>
      </c>
      <c r="J209" s="1964">
        <v>0</v>
      </c>
      <c r="K209" s="2159">
        <v>0</v>
      </c>
      <c r="L209" s="2160">
        <f>'[2]ALL BULAN'!E210</f>
        <v>0</v>
      </c>
      <c r="M209" s="4253">
        <f t="shared" si="28"/>
        <v>0</v>
      </c>
      <c r="N209" s="4253">
        <v>0</v>
      </c>
      <c r="O209" s="4254">
        <f t="shared" si="30"/>
        <v>0</v>
      </c>
      <c r="P209" s="4061">
        <v>0</v>
      </c>
      <c r="Q209" s="4839"/>
    </row>
    <row r="210" spans="1:17" s="2070" customFormat="1" ht="5.35" customHeight="1">
      <c r="A210" s="4048"/>
      <c r="B210" s="4048"/>
      <c r="C210" s="4048"/>
      <c r="D210" s="4048"/>
      <c r="E210" s="4048"/>
      <c r="F210" s="4049"/>
      <c r="G210" s="4150"/>
      <c r="H210" s="4151"/>
      <c r="I210" s="4131"/>
      <c r="J210" s="4541"/>
      <c r="K210" s="2159">
        <v>0</v>
      </c>
      <c r="L210" s="4541"/>
      <c r="M210" s="4253">
        <f t="shared" si="28"/>
        <v>0</v>
      </c>
      <c r="N210" s="4253"/>
      <c r="O210" s="4254">
        <f t="shared" si="30"/>
        <v>0</v>
      </c>
      <c r="P210" s="4061">
        <f>O210-K210</f>
        <v>0</v>
      </c>
      <c r="Q210" s="4839"/>
    </row>
    <row r="211" spans="1:17" s="2070" customFormat="1">
      <c r="A211" s="4048"/>
      <c r="B211" s="4048"/>
      <c r="C211" s="4048"/>
      <c r="D211" s="4048"/>
      <c r="E211" s="4048"/>
      <c r="F211" s="4049"/>
      <c r="G211" s="4150"/>
      <c r="H211" s="4135" t="s">
        <v>130</v>
      </c>
      <c r="I211" s="4108"/>
      <c r="J211" s="4542">
        <v>0</v>
      </c>
      <c r="K211" s="2159">
        <v>0</v>
      </c>
      <c r="L211" s="4542">
        <f>SUM(L212)</f>
        <v>0</v>
      </c>
      <c r="M211" s="4253">
        <f t="shared" si="28"/>
        <v>0</v>
      </c>
      <c r="N211" s="4253">
        <v>0</v>
      </c>
      <c r="O211" s="4254">
        <f t="shared" si="30"/>
        <v>0</v>
      </c>
      <c r="P211" s="4061">
        <v>0</v>
      </c>
      <c r="Q211" s="4839"/>
    </row>
    <row r="212" spans="1:17" s="2070" customFormat="1">
      <c r="A212" s="4048"/>
      <c r="B212" s="4048"/>
      <c r="C212" s="4048"/>
      <c r="D212" s="4048"/>
      <c r="E212" s="4048"/>
      <c r="F212" s="4049"/>
      <c r="G212" s="4150"/>
      <c r="H212" s="4155" t="s">
        <v>50</v>
      </c>
      <c r="I212" s="4108" t="s">
        <v>131</v>
      </c>
      <c r="J212" s="1964">
        <v>0</v>
      </c>
      <c r="K212" s="2159">
        <v>0</v>
      </c>
      <c r="L212" s="2160">
        <f>'[2]ALL BULAN'!E213</f>
        <v>0</v>
      </c>
      <c r="M212" s="4253">
        <f t="shared" si="28"/>
        <v>0</v>
      </c>
      <c r="N212" s="4253">
        <v>0</v>
      </c>
      <c r="O212" s="4254">
        <f t="shared" si="30"/>
        <v>0</v>
      </c>
      <c r="P212" s="4061">
        <v>0</v>
      </c>
      <c r="Q212" s="4839"/>
    </row>
    <row r="213" spans="1:17" s="2070" customFormat="1" ht="5.95" customHeight="1">
      <c r="A213" s="4048"/>
      <c r="B213" s="4048"/>
      <c r="C213" s="4048"/>
      <c r="D213" s="4048"/>
      <c r="E213" s="4048"/>
      <c r="F213" s="4049"/>
      <c r="G213" s="4156"/>
      <c r="H213" s="4157"/>
      <c r="I213" s="4157"/>
      <c r="J213" s="4528"/>
      <c r="K213" s="2183"/>
      <c r="L213" s="4528"/>
      <c r="M213" s="4529"/>
      <c r="N213" s="4529"/>
      <c r="O213" s="4529"/>
      <c r="P213" s="4158"/>
      <c r="Q213" s="4839"/>
    </row>
    <row r="214" spans="1:17" s="2073" customFormat="1" ht="15.65">
      <c r="A214" s="4039"/>
      <c r="B214" s="4039"/>
      <c r="C214" s="4039"/>
      <c r="D214" s="4039"/>
      <c r="E214" s="4039"/>
      <c r="F214" s="4040"/>
      <c r="G214" s="4041" t="s">
        <v>132</v>
      </c>
      <c r="H214" s="4042" t="s">
        <v>133</v>
      </c>
      <c r="I214" s="4097"/>
      <c r="J214" s="4519">
        <f>J215</f>
        <v>1530000000</v>
      </c>
      <c r="K214" s="4520">
        <v>337445000</v>
      </c>
      <c r="L214" s="4519">
        <f>L215+L223+L230</f>
        <v>137055000</v>
      </c>
      <c r="M214" s="4519">
        <f>SUM(K214:L214)</f>
        <v>474500000</v>
      </c>
      <c r="N214" s="4519">
        <f>N215</f>
        <v>1775000000</v>
      </c>
      <c r="O214" s="4519">
        <f>O215</f>
        <v>245000000</v>
      </c>
      <c r="P214" s="4044">
        <f>O214/J214*100</f>
        <v>16.013071895424837</v>
      </c>
      <c r="Q214" s="4840"/>
    </row>
    <row r="215" spans="1:17" s="2075" customFormat="1">
      <c r="A215" s="4117"/>
      <c r="B215" s="4117"/>
      <c r="C215" s="4117"/>
      <c r="D215" s="4117"/>
      <c r="E215" s="4117"/>
      <c r="F215" s="4075">
        <v>1</v>
      </c>
      <c r="G215" s="4110"/>
      <c r="H215" s="4143" t="s">
        <v>106</v>
      </c>
      <c r="I215" s="4111"/>
      <c r="J215" s="4534">
        <f>SUM(J216+J220)</f>
        <v>1530000000</v>
      </c>
      <c r="K215" s="2159">
        <v>335225000</v>
      </c>
      <c r="L215" s="4534">
        <f>L216+L220</f>
        <v>137055000</v>
      </c>
      <c r="M215" s="4253">
        <f>SUM(K215:L215)</f>
        <v>472280000</v>
      </c>
      <c r="N215" s="4253">
        <f>SUM(N216+N220)</f>
        <v>1775000000</v>
      </c>
      <c r="O215" s="4254">
        <f>N215-J215</f>
        <v>245000000</v>
      </c>
      <c r="P215" s="4061">
        <f>O215/J215*100</f>
        <v>16.013071895424837</v>
      </c>
      <c r="Q215" s="4845"/>
    </row>
    <row r="216" spans="1:17" s="4099" customFormat="1">
      <c r="A216" s="4046">
        <v>4</v>
      </c>
      <c r="B216" s="4046">
        <v>1</v>
      </c>
      <c r="C216" s="4046">
        <v>2</v>
      </c>
      <c r="D216" s="4047" t="s">
        <v>438</v>
      </c>
      <c r="E216" s="4128"/>
      <c r="F216" s="4105"/>
      <c r="G216" s="4055"/>
      <c r="H216" s="4056" t="s">
        <v>109</v>
      </c>
      <c r="I216" s="4056"/>
      <c r="J216" s="2260">
        <f>J218</f>
        <v>75000000</v>
      </c>
      <c r="K216" s="2159">
        <v>14645000</v>
      </c>
      <c r="L216" s="2260">
        <f>SUM(L217:L218)</f>
        <v>8895000</v>
      </c>
      <c r="M216" s="4253">
        <f>SUM(K216:L216)</f>
        <v>23540000</v>
      </c>
      <c r="N216" s="4253">
        <f>SUM(N217:N218)</f>
        <v>125000000</v>
      </c>
      <c r="O216" s="4254">
        <f t="shared" ref="O216:O221" si="31">N216-J216</f>
        <v>50000000</v>
      </c>
      <c r="P216" s="4061">
        <f t="shared" ref="P216:P221" si="32">O216/J216*100</f>
        <v>66.666666666666657</v>
      </c>
      <c r="Q216" s="4839"/>
    </row>
    <row r="217" spans="1:17" s="2070" customFormat="1">
      <c r="A217" s="4046">
        <v>4</v>
      </c>
      <c r="B217" s="4046">
        <v>1</v>
      </c>
      <c r="C217" s="4046">
        <v>2</v>
      </c>
      <c r="D217" s="4047" t="s">
        <v>438</v>
      </c>
      <c r="E217" s="4093" t="s">
        <v>437</v>
      </c>
      <c r="F217" s="4049"/>
      <c r="G217" s="4059"/>
      <c r="H217" s="4062" t="s">
        <v>50</v>
      </c>
      <c r="I217" s="2070" t="s">
        <v>1217</v>
      </c>
      <c r="J217" s="1964">
        <v>0</v>
      </c>
      <c r="K217" s="2236">
        <v>4765000</v>
      </c>
      <c r="L217" s="2160">
        <v>8895000</v>
      </c>
      <c r="M217" s="4248">
        <f>SUM(K217:L217)</f>
        <v>13660000</v>
      </c>
      <c r="N217" s="4248">
        <v>50000000</v>
      </c>
      <c r="O217" s="4254">
        <f t="shared" si="31"/>
        <v>50000000</v>
      </c>
      <c r="P217" s="4061">
        <v>0</v>
      </c>
      <c r="Q217" s="4839"/>
    </row>
    <row r="218" spans="1:17" s="2070" customFormat="1">
      <c r="A218" s="4048"/>
      <c r="B218" s="4048"/>
      <c r="C218" s="4048"/>
      <c r="D218" s="4048"/>
      <c r="E218" s="4048"/>
      <c r="F218" s="4049"/>
      <c r="G218" s="4067"/>
      <c r="H218" s="4062" t="s">
        <v>50</v>
      </c>
      <c r="I218" s="4060" t="s">
        <v>1218</v>
      </c>
      <c r="J218" s="1964">
        <v>75000000</v>
      </c>
      <c r="K218" s="2159">
        <v>9880000</v>
      </c>
      <c r="L218" s="2160">
        <v>0</v>
      </c>
      <c r="M218" s="4253">
        <f>SUM(K218:L218)</f>
        <v>9880000</v>
      </c>
      <c r="N218" s="4248">
        <v>75000000</v>
      </c>
      <c r="O218" s="4254">
        <f t="shared" si="31"/>
        <v>0</v>
      </c>
      <c r="P218" s="4061">
        <f t="shared" si="32"/>
        <v>0</v>
      </c>
      <c r="Q218" s="4839"/>
    </row>
    <row r="219" spans="1:17" s="2070" customFormat="1" ht="5.35" customHeight="1">
      <c r="A219" s="4048"/>
      <c r="B219" s="4048"/>
      <c r="C219" s="4048"/>
      <c r="D219" s="4048"/>
      <c r="E219" s="4048"/>
      <c r="F219" s="4049"/>
      <c r="G219" s="4067"/>
      <c r="H219" s="4060"/>
      <c r="I219" s="4060"/>
      <c r="J219" s="4523"/>
      <c r="K219" s="2159"/>
      <c r="L219" s="4523"/>
      <c r="M219" s="4253"/>
      <c r="N219" s="4253"/>
      <c r="O219" s="4254">
        <f t="shared" si="31"/>
        <v>0</v>
      </c>
      <c r="P219" s="4061">
        <v>0</v>
      </c>
      <c r="Q219" s="4839"/>
    </row>
    <row r="220" spans="1:17" s="4099" customFormat="1">
      <c r="A220" s="4046">
        <v>4</v>
      </c>
      <c r="B220" s="4046">
        <v>1</v>
      </c>
      <c r="C220" s="4046">
        <v>2</v>
      </c>
      <c r="D220" s="4047" t="s">
        <v>437</v>
      </c>
      <c r="E220" s="4093"/>
      <c r="F220" s="4105"/>
      <c r="G220" s="4067"/>
      <c r="H220" s="4064" t="s">
        <v>116</v>
      </c>
      <c r="I220" s="4068"/>
      <c r="J220" s="4254">
        <f>J221</f>
        <v>1455000000</v>
      </c>
      <c r="K220" s="2159">
        <v>320580000</v>
      </c>
      <c r="L220" s="4254">
        <f>L221</f>
        <v>128160000</v>
      </c>
      <c r="M220" s="4253">
        <f>SUM(K220:L220)</f>
        <v>448740000</v>
      </c>
      <c r="N220" s="4253">
        <v>1650000000</v>
      </c>
      <c r="O220" s="4254">
        <f t="shared" si="31"/>
        <v>195000000</v>
      </c>
      <c r="P220" s="4061">
        <f t="shared" si="32"/>
        <v>13.402061855670103</v>
      </c>
      <c r="Q220" s="4839"/>
    </row>
    <row r="221" spans="1:17" s="2070" customFormat="1">
      <c r="A221" s="4046">
        <v>4</v>
      </c>
      <c r="B221" s="4046">
        <v>1</v>
      </c>
      <c r="C221" s="4046">
        <v>2</v>
      </c>
      <c r="D221" s="4047" t="s">
        <v>437</v>
      </c>
      <c r="E221" s="4093" t="s">
        <v>456</v>
      </c>
      <c r="F221" s="4049"/>
      <c r="G221" s="4067"/>
      <c r="H221" s="4062" t="s">
        <v>50</v>
      </c>
      <c r="I221" s="4060" t="s">
        <v>136</v>
      </c>
      <c r="J221" s="1964">
        <v>1455000000</v>
      </c>
      <c r="K221" s="2159">
        <v>320580000</v>
      </c>
      <c r="L221" s="2160">
        <v>128160000</v>
      </c>
      <c r="M221" s="4253">
        <f>SUM(K221:L221)</f>
        <v>448740000</v>
      </c>
      <c r="N221" s="4248">
        <v>1650000000</v>
      </c>
      <c r="O221" s="4254">
        <f t="shared" si="31"/>
        <v>195000000</v>
      </c>
      <c r="P221" s="4061">
        <f t="shared" si="32"/>
        <v>13.402061855670103</v>
      </c>
      <c r="Q221" s="4839"/>
    </row>
    <row r="222" spans="1:17" s="2070" customFormat="1" ht="5.95" customHeight="1">
      <c r="A222" s="4048"/>
      <c r="B222" s="4048"/>
      <c r="C222" s="4048"/>
      <c r="D222" s="4048"/>
      <c r="E222" s="4048"/>
      <c r="F222" s="4049"/>
      <c r="G222" s="4067"/>
      <c r="H222" s="4060"/>
      <c r="I222" s="4060"/>
      <c r="J222" s="4523"/>
      <c r="K222" s="2159"/>
      <c r="L222" s="4523"/>
      <c r="M222" s="4253"/>
      <c r="N222" s="4253"/>
      <c r="O222" s="4254">
        <f t="shared" ref="O222:O234" si="33">M222-J222</f>
        <v>0</v>
      </c>
      <c r="P222" s="4061">
        <f>O222-K222</f>
        <v>0</v>
      </c>
      <c r="Q222" s="4839"/>
    </row>
    <row r="223" spans="1:17" s="2070" customFormat="1">
      <c r="A223" s="4065">
        <v>4</v>
      </c>
      <c r="B223" s="4065">
        <v>1</v>
      </c>
      <c r="C223" s="4065">
        <v>4</v>
      </c>
      <c r="D223" s="4048"/>
      <c r="E223" s="4048"/>
      <c r="F223" s="4066">
        <v>3</v>
      </c>
      <c r="G223" s="4067"/>
      <c r="H223" s="4068" t="s">
        <v>71</v>
      </c>
      <c r="I223" s="4068"/>
      <c r="J223" s="1727"/>
      <c r="K223" s="2159">
        <v>2220000</v>
      </c>
      <c r="L223" s="2143">
        <f>SUM(L224:L228)</f>
        <v>0</v>
      </c>
      <c r="M223" s="4253">
        <f t="shared" ref="M223:M228" si="34">SUM(K223:L223)</f>
        <v>2220000</v>
      </c>
      <c r="N223" s="4253"/>
      <c r="O223" s="4254">
        <v>0</v>
      </c>
      <c r="P223" s="4061">
        <v>0</v>
      </c>
      <c r="Q223" s="4839"/>
    </row>
    <row r="224" spans="1:17" s="2070" customFormat="1">
      <c r="A224" s="4065">
        <v>4</v>
      </c>
      <c r="B224" s="4065">
        <v>1</v>
      </c>
      <c r="C224" s="4065">
        <v>4</v>
      </c>
      <c r="D224" s="4065" t="s">
        <v>441</v>
      </c>
      <c r="E224" s="4048"/>
      <c r="F224" s="4049"/>
      <c r="G224" s="4067"/>
      <c r="H224" s="4062" t="s">
        <v>50</v>
      </c>
      <c r="I224" s="4060" t="s">
        <v>72</v>
      </c>
      <c r="J224" s="1964"/>
      <c r="K224" s="2159">
        <v>0</v>
      </c>
      <c r="L224" s="2160">
        <f>'[2]ALL BULAN'!E225</f>
        <v>0</v>
      </c>
      <c r="M224" s="4253">
        <f t="shared" si="34"/>
        <v>0</v>
      </c>
      <c r="N224" s="4253"/>
      <c r="O224" s="4254">
        <f t="shared" si="33"/>
        <v>0</v>
      </c>
      <c r="P224" s="4061">
        <v>0</v>
      </c>
      <c r="Q224" s="4839"/>
    </row>
    <row r="225" spans="1:17" s="2070" customFormat="1">
      <c r="A225" s="4074">
        <v>4</v>
      </c>
      <c r="B225" s="4074">
        <v>1</v>
      </c>
      <c r="C225" s="4074" t="s">
        <v>443</v>
      </c>
      <c r="D225" s="4074" t="s">
        <v>444</v>
      </c>
      <c r="E225" s="4074" t="s">
        <v>440</v>
      </c>
      <c r="F225" s="4049"/>
      <c r="G225" s="4067"/>
      <c r="H225" s="4062" t="s">
        <v>50</v>
      </c>
      <c r="I225" s="4060" t="s">
        <v>73</v>
      </c>
      <c r="J225" s="1964">
        <v>0</v>
      </c>
      <c r="K225" s="2159">
        <v>0</v>
      </c>
      <c r="L225" s="2160">
        <f>'[2]ALL BULAN'!E226</f>
        <v>0</v>
      </c>
      <c r="M225" s="4253">
        <f t="shared" si="34"/>
        <v>0</v>
      </c>
      <c r="N225" s="4253"/>
      <c r="O225" s="4254">
        <f t="shared" si="33"/>
        <v>0</v>
      </c>
      <c r="P225" s="4061">
        <v>0</v>
      </c>
      <c r="Q225" s="4839"/>
    </row>
    <row r="226" spans="1:17" s="2070" customFormat="1">
      <c r="A226" s="4069">
        <v>4</v>
      </c>
      <c r="B226" s="4069">
        <v>1</v>
      </c>
      <c r="C226" s="4069" t="s">
        <v>443</v>
      </c>
      <c r="D226" s="4069" t="s">
        <v>444</v>
      </c>
      <c r="E226" s="4070" t="s">
        <v>445</v>
      </c>
      <c r="F226" s="4049"/>
      <c r="G226" s="4067"/>
      <c r="H226" s="4062" t="s">
        <v>50</v>
      </c>
      <c r="I226" s="4060" t="s">
        <v>74</v>
      </c>
      <c r="J226" s="1964">
        <v>0</v>
      </c>
      <c r="K226" s="2159">
        <v>0</v>
      </c>
      <c r="L226" s="2160">
        <f>'[2]ALL BULAN'!E227</f>
        <v>0</v>
      </c>
      <c r="M226" s="4253">
        <f t="shared" si="34"/>
        <v>0</v>
      </c>
      <c r="N226" s="4253"/>
      <c r="O226" s="4254">
        <f t="shared" si="33"/>
        <v>0</v>
      </c>
      <c r="P226" s="4061">
        <v>0</v>
      </c>
      <c r="Q226" s="4839"/>
    </row>
    <row r="227" spans="1:17" s="2070" customFormat="1">
      <c r="A227" s="4101">
        <v>4</v>
      </c>
      <c r="B227" s="4101">
        <v>1</v>
      </c>
      <c r="C227" s="4101" t="s">
        <v>443</v>
      </c>
      <c r="D227" s="4101" t="s">
        <v>444</v>
      </c>
      <c r="E227" s="4101" t="s">
        <v>441</v>
      </c>
      <c r="F227" s="4049"/>
      <c r="G227" s="4067"/>
      <c r="H227" s="4060" t="s">
        <v>308</v>
      </c>
      <c r="I227" s="4090" t="s">
        <v>75</v>
      </c>
      <c r="J227" s="1964">
        <v>0</v>
      </c>
      <c r="K227" s="2159">
        <v>2220000</v>
      </c>
      <c r="L227" s="2160">
        <v>0</v>
      </c>
      <c r="M227" s="4253">
        <f t="shared" si="34"/>
        <v>2220000</v>
      </c>
      <c r="N227" s="4253"/>
      <c r="O227" s="4254">
        <v>0</v>
      </c>
      <c r="P227" s="4061">
        <v>0</v>
      </c>
      <c r="Q227" s="4839"/>
    </row>
    <row r="228" spans="1:17" s="2070" customFormat="1">
      <c r="A228" s="4079">
        <v>4</v>
      </c>
      <c r="B228" s="4079">
        <v>1</v>
      </c>
      <c r="C228" s="4079" t="s">
        <v>443</v>
      </c>
      <c r="D228" s="4079" t="s">
        <v>447</v>
      </c>
      <c r="E228" s="4093" t="s">
        <v>437</v>
      </c>
      <c r="F228" s="4049"/>
      <c r="G228" s="4067"/>
      <c r="H228" s="4062" t="s">
        <v>50</v>
      </c>
      <c r="I228" s="4090" t="s">
        <v>85</v>
      </c>
      <c r="J228" s="1964">
        <v>0</v>
      </c>
      <c r="K228" s="2159">
        <v>0</v>
      </c>
      <c r="L228" s="2160">
        <f>'[2]ALL BULAN'!E229</f>
        <v>0</v>
      </c>
      <c r="M228" s="4253">
        <f t="shared" si="34"/>
        <v>0</v>
      </c>
      <c r="N228" s="4253"/>
      <c r="O228" s="4254">
        <f t="shared" si="33"/>
        <v>0</v>
      </c>
      <c r="P228" s="4061">
        <v>0</v>
      </c>
      <c r="Q228" s="4839"/>
    </row>
    <row r="229" spans="1:17" s="2070" customFormat="1" ht="5.35" customHeight="1">
      <c r="A229" s="4048"/>
      <c r="B229" s="4048"/>
      <c r="C229" s="4048"/>
      <c r="D229" s="4048"/>
      <c r="E229" s="4048"/>
      <c r="F229" s="4049"/>
      <c r="G229" s="4067"/>
      <c r="J229" s="4254"/>
      <c r="K229" s="2159"/>
      <c r="L229" s="4254"/>
      <c r="M229" s="4253"/>
      <c r="N229" s="4253"/>
      <c r="O229" s="4254">
        <f t="shared" si="33"/>
        <v>0</v>
      </c>
      <c r="P229" s="4061">
        <f>O229-K229</f>
        <v>0</v>
      </c>
      <c r="Q229" s="4839"/>
    </row>
    <row r="230" spans="1:17" s="2070" customFormat="1">
      <c r="A230" s="4048"/>
      <c r="B230" s="4048"/>
      <c r="C230" s="4048"/>
      <c r="D230" s="4048"/>
      <c r="E230" s="4048"/>
      <c r="F230" s="4066">
        <v>4</v>
      </c>
      <c r="G230" s="4067"/>
      <c r="H230" s="1318" t="s">
        <v>1249</v>
      </c>
      <c r="I230" s="4068"/>
      <c r="J230" s="4254">
        <f>SUM(J231:J234)</f>
        <v>0</v>
      </c>
      <c r="K230" s="2159">
        <v>0</v>
      </c>
      <c r="L230" s="4254">
        <f>SUM(L231:L234)</f>
        <v>0</v>
      </c>
      <c r="M230" s="4253">
        <f>SUM(K230:L230)</f>
        <v>0</v>
      </c>
      <c r="N230" s="4254">
        <f>SUM(N231:N234)</f>
        <v>0</v>
      </c>
      <c r="O230" s="4254">
        <f t="shared" si="33"/>
        <v>0</v>
      </c>
      <c r="P230" s="4061">
        <v>0</v>
      </c>
      <c r="Q230" s="4839"/>
    </row>
    <row r="231" spans="1:17" s="2070" customFormat="1">
      <c r="A231" s="4048"/>
      <c r="B231" s="4048"/>
      <c r="C231" s="4048"/>
      <c r="D231" s="4048"/>
      <c r="E231" s="4048"/>
      <c r="F231" s="4049"/>
      <c r="G231" s="4067"/>
      <c r="H231" s="4062" t="s">
        <v>50</v>
      </c>
      <c r="I231" s="4060" t="s">
        <v>137</v>
      </c>
      <c r="J231" s="1964">
        <v>0</v>
      </c>
      <c r="K231" s="2159">
        <v>0</v>
      </c>
      <c r="L231" s="2160">
        <f>'[2]ALL BULAN'!E232</f>
        <v>0</v>
      </c>
      <c r="M231" s="4253">
        <f>SUM(K231:L231)</f>
        <v>0</v>
      </c>
      <c r="N231" s="1964">
        <v>0</v>
      </c>
      <c r="O231" s="4254">
        <f t="shared" si="33"/>
        <v>0</v>
      </c>
      <c r="P231" s="4061">
        <v>0</v>
      </c>
      <c r="Q231" s="4839"/>
    </row>
    <row r="232" spans="1:17" s="2070" customFormat="1">
      <c r="A232" s="4048"/>
      <c r="B232" s="4048"/>
      <c r="C232" s="4048"/>
      <c r="D232" s="4048"/>
      <c r="E232" s="4048"/>
      <c r="F232" s="4049"/>
      <c r="G232" s="4067"/>
      <c r="H232" s="4062" t="s">
        <v>50</v>
      </c>
      <c r="I232" s="4060" t="s">
        <v>138</v>
      </c>
      <c r="J232" s="1964">
        <v>0</v>
      </c>
      <c r="K232" s="2159">
        <v>0</v>
      </c>
      <c r="L232" s="2160">
        <f>'[2]ALL BULAN'!E233</f>
        <v>0</v>
      </c>
      <c r="M232" s="4253">
        <f>SUM(K232:L232)</f>
        <v>0</v>
      </c>
      <c r="N232" s="1964">
        <v>0</v>
      </c>
      <c r="O232" s="4254">
        <f t="shared" si="33"/>
        <v>0</v>
      </c>
      <c r="P232" s="4061">
        <v>0</v>
      </c>
      <c r="Q232" s="4839"/>
    </row>
    <row r="233" spans="1:17" s="2070" customFormat="1">
      <c r="A233" s="4048"/>
      <c r="B233" s="4048"/>
      <c r="C233" s="4048"/>
      <c r="D233" s="4048"/>
      <c r="E233" s="4048"/>
      <c r="F233" s="4049"/>
      <c r="G233" s="4067"/>
      <c r="H233" s="4062" t="s">
        <v>50</v>
      </c>
      <c r="I233" s="4060" t="s">
        <v>139</v>
      </c>
      <c r="J233" s="1964">
        <v>0</v>
      </c>
      <c r="K233" s="2159">
        <v>0</v>
      </c>
      <c r="L233" s="2160">
        <f>'[2]ALL BULAN'!E234</f>
        <v>0</v>
      </c>
      <c r="M233" s="4253">
        <f>SUM(K233:L233)</f>
        <v>0</v>
      </c>
      <c r="N233" s="1964">
        <v>0</v>
      </c>
      <c r="O233" s="4254">
        <f t="shared" si="33"/>
        <v>0</v>
      </c>
      <c r="P233" s="4061">
        <v>0</v>
      </c>
      <c r="Q233" s="4839"/>
    </row>
    <row r="234" spans="1:17" s="2070" customFormat="1">
      <c r="A234" s="4048"/>
      <c r="B234" s="4048"/>
      <c r="C234" s="4048"/>
      <c r="D234" s="4048"/>
      <c r="E234" s="4048"/>
      <c r="F234" s="4049"/>
      <c r="G234" s="4067"/>
      <c r="H234" s="4062" t="s">
        <v>50</v>
      </c>
      <c r="I234" s="4060" t="s">
        <v>140</v>
      </c>
      <c r="J234" s="1964">
        <v>0</v>
      </c>
      <c r="K234" s="2159">
        <v>0</v>
      </c>
      <c r="L234" s="2160">
        <f>'[2]ALL BULAN'!E235</f>
        <v>0</v>
      </c>
      <c r="M234" s="4253">
        <f>SUM(K234:L234)</f>
        <v>0</v>
      </c>
      <c r="N234" s="1964">
        <v>0</v>
      </c>
      <c r="O234" s="4254">
        <f t="shared" si="33"/>
        <v>0</v>
      </c>
      <c r="P234" s="4061">
        <v>0</v>
      </c>
      <c r="Q234" s="4839"/>
    </row>
    <row r="235" spans="1:17" s="2070" customFormat="1" ht="6.75" customHeight="1">
      <c r="A235" s="4048"/>
      <c r="B235" s="4048"/>
      <c r="C235" s="4048"/>
      <c r="D235" s="4048"/>
      <c r="E235" s="4048"/>
      <c r="F235" s="4049"/>
      <c r="G235" s="4102"/>
      <c r="H235" s="4083"/>
      <c r="I235" s="4083"/>
      <c r="J235" s="4528"/>
      <c r="K235" s="2183"/>
      <c r="L235" s="4528"/>
      <c r="M235" s="4529"/>
      <c r="N235" s="4529"/>
      <c r="O235" s="4529"/>
      <c r="P235" s="4084"/>
      <c r="Q235" s="4839"/>
    </row>
    <row r="236" spans="1:17" s="2073" customFormat="1" ht="15.65">
      <c r="A236" s="4039"/>
      <c r="B236" s="4039"/>
      <c r="C236" s="4039"/>
      <c r="D236" s="4039"/>
      <c r="E236" s="4039"/>
      <c r="F236" s="4040"/>
      <c r="G236" s="4041" t="s">
        <v>141</v>
      </c>
      <c r="H236" s="4042" t="s">
        <v>142</v>
      </c>
      <c r="I236" s="4097"/>
      <c r="J236" s="4519">
        <f>J237</f>
        <v>501125000</v>
      </c>
      <c r="K236" s="4519">
        <f>K237</f>
        <v>19350000</v>
      </c>
      <c r="L236" s="4519">
        <f>L237</f>
        <v>74050000</v>
      </c>
      <c r="M236" s="4519">
        <f>M237</f>
        <v>93400000</v>
      </c>
      <c r="N236" s="4519">
        <f>N237</f>
        <v>356500000</v>
      </c>
      <c r="O236" s="4519">
        <f>N236-J236</f>
        <v>-144625000</v>
      </c>
      <c r="P236" s="4044">
        <f>P237</f>
        <v>-28.86006485407832</v>
      </c>
      <c r="Q236" s="4840"/>
    </row>
    <row r="237" spans="1:17" s="2070" customFormat="1">
      <c r="A237" s="4048"/>
      <c r="B237" s="4048"/>
      <c r="C237" s="4048"/>
      <c r="D237" s="4048"/>
      <c r="E237" s="4048"/>
      <c r="F237" s="4066">
        <v>1</v>
      </c>
      <c r="G237" s="4110"/>
      <c r="H237" s="4143" t="s">
        <v>106</v>
      </c>
      <c r="I237" s="4111"/>
      <c r="J237" s="4534">
        <f>J238</f>
        <v>501125000</v>
      </c>
      <c r="K237" s="2159">
        <v>19350000</v>
      </c>
      <c r="L237" s="4534">
        <f>L238</f>
        <v>74050000</v>
      </c>
      <c r="M237" s="4253">
        <f t="shared" ref="M237:M254" si="35">SUM(K237:L237)</f>
        <v>93400000</v>
      </c>
      <c r="N237" s="2181">
        <f>N238</f>
        <v>356500000</v>
      </c>
      <c r="O237" s="4254">
        <f>N237-J237</f>
        <v>-144625000</v>
      </c>
      <c r="P237" s="4061">
        <f>O237/J237*100</f>
        <v>-28.86006485407832</v>
      </c>
      <c r="Q237" s="4839"/>
    </row>
    <row r="238" spans="1:17" s="2070" customFormat="1">
      <c r="A238" s="4046">
        <v>4</v>
      </c>
      <c r="B238" s="4046">
        <v>1</v>
      </c>
      <c r="C238" s="4046">
        <v>2</v>
      </c>
      <c r="D238" s="4047" t="s">
        <v>438</v>
      </c>
      <c r="E238" s="4128"/>
      <c r="F238" s="4105"/>
      <c r="G238" s="4144"/>
      <c r="H238" s="4126" t="s">
        <v>109</v>
      </c>
      <c r="I238" s="4114"/>
      <c r="J238" s="2181">
        <f>SUM(J239+J242)</f>
        <v>501125000</v>
      </c>
      <c r="K238" s="2159">
        <v>19350000</v>
      </c>
      <c r="L238" s="2181">
        <f>L239+L242</f>
        <v>74050000</v>
      </c>
      <c r="M238" s="4253">
        <f t="shared" si="35"/>
        <v>93400000</v>
      </c>
      <c r="N238" s="2291">
        <f>SUM(N239+N242)</f>
        <v>356500000</v>
      </c>
      <c r="O238" s="4254">
        <f t="shared" ref="O238:O243" si="36">N238-J238</f>
        <v>-144625000</v>
      </c>
      <c r="P238" s="4061">
        <f t="shared" ref="P238:P243" si="37">O238/J238*100</f>
        <v>-28.86006485407832</v>
      </c>
      <c r="Q238" s="4839"/>
    </row>
    <row r="239" spans="1:17" s="4099" customFormat="1">
      <c r="A239" s="4046">
        <v>4</v>
      </c>
      <c r="B239" s="4046">
        <v>1</v>
      </c>
      <c r="C239" s="4046">
        <v>2</v>
      </c>
      <c r="D239" s="4047" t="s">
        <v>438</v>
      </c>
      <c r="E239" s="4093" t="s">
        <v>437</v>
      </c>
      <c r="F239" s="4105"/>
      <c r="G239" s="4144"/>
      <c r="H239" s="4056" t="s">
        <v>64</v>
      </c>
      <c r="I239" s="4115"/>
      <c r="J239" s="2189">
        <f>J240</f>
        <v>152500000</v>
      </c>
      <c r="K239" s="2159">
        <v>2850000</v>
      </c>
      <c r="L239" s="2189">
        <f>L240</f>
        <v>6950000</v>
      </c>
      <c r="M239" s="4253">
        <f t="shared" si="35"/>
        <v>9800000</v>
      </c>
      <c r="N239" s="2291">
        <f>N240</f>
        <v>31500000</v>
      </c>
      <c r="O239" s="4254">
        <f t="shared" si="36"/>
        <v>-121000000</v>
      </c>
      <c r="P239" s="4061">
        <f t="shared" si="37"/>
        <v>-79.344262295081975</v>
      </c>
      <c r="Q239" s="4839"/>
    </row>
    <row r="240" spans="1:17" s="2070" customFormat="1">
      <c r="A240" s="4048"/>
      <c r="B240" s="4048"/>
      <c r="C240" s="4048"/>
      <c r="D240" s="4048"/>
      <c r="E240" s="4048"/>
      <c r="F240" s="4049"/>
      <c r="G240" s="4159"/>
      <c r="H240" s="4062" t="s">
        <v>50</v>
      </c>
      <c r="I240" s="4160" t="s">
        <v>143</v>
      </c>
      <c r="J240" s="1964">
        <v>152500000</v>
      </c>
      <c r="K240" s="2159">
        <v>2850000</v>
      </c>
      <c r="L240" s="2160">
        <v>6950000</v>
      </c>
      <c r="M240" s="4253">
        <f t="shared" si="35"/>
        <v>9800000</v>
      </c>
      <c r="N240" s="4248">
        <v>31500000</v>
      </c>
      <c r="O240" s="4254">
        <f t="shared" si="36"/>
        <v>-121000000</v>
      </c>
      <c r="P240" s="4061">
        <f t="shared" si="37"/>
        <v>-79.344262295081975</v>
      </c>
      <c r="Q240" s="4839"/>
    </row>
    <row r="241" spans="1:17" s="2070" customFormat="1" ht="6.75" customHeight="1">
      <c r="A241" s="4048"/>
      <c r="B241" s="4048"/>
      <c r="C241" s="4048"/>
      <c r="D241" s="4048"/>
      <c r="E241" s="4048"/>
      <c r="F241" s="4049"/>
      <c r="G241" s="4159"/>
      <c r="H241" s="4131"/>
      <c r="I241" s="4161"/>
      <c r="J241" s="2291"/>
      <c r="K241" s="2159">
        <v>0</v>
      </c>
      <c r="L241" s="2291"/>
      <c r="M241" s="4253">
        <f t="shared" si="35"/>
        <v>0</v>
      </c>
      <c r="N241" s="4253"/>
      <c r="O241" s="4254">
        <f t="shared" si="36"/>
        <v>0</v>
      </c>
      <c r="P241" s="4061"/>
      <c r="Q241" s="4839"/>
    </row>
    <row r="242" spans="1:17" s="4099" customFormat="1">
      <c r="A242" s="4046">
        <v>4</v>
      </c>
      <c r="B242" s="4046">
        <v>1</v>
      </c>
      <c r="C242" s="4046">
        <v>2</v>
      </c>
      <c r="D242" s="4047" t="s">
        <v>438</v>
      </c>
      <c r="E242" s="4093" t="s">
        <v>440</v>
      </c>
      <c r="F242" s="4105"/>
      <c r="G242" s="4159"/>
      <c r="H242" s="4068" t="s">
        <v>68</v>
      </c>
      <c r="I242" s="4161"/>
      <c r="J242" s="2291">
        <f>J243</f>
        <v>348625000</v>
      </c>
      <c r="K242" s="2159">
        <v>16500000</v>
      </c>
      <c r="L242" s="2291">
        <f>L243</f>
        <v>67100000</v>
      </c>
      <c r="M242" s="4253">
        <f t="shared" si="35"/>
        <v>83600000</v>
      </c>
      <c r="N242" s="2291">
        <f>N243</f>
        <v>325000000</v>
      </c>
      <c r="O242" s="4254">
        <f t="shared" si="36"/>
        <v>-23625000</v>
      </c>
      <c r="P242" s="4061">
        <f t="shared" si="37"/>
        <v>-6.7766224453209043</v>
      </c>
      <c r="Q242" s="4839"/>
    </row>
    <row r="243" spans="1:17" s="2070" customFormat="1">
      <c r="A243" s="4048"/>
      <c r="B243" s="4048"/>
      <c r="C243" s="4048"/>
      <c r="D243" s="4048"/>
      <c r="E243" s="4048"/>
      <c r="F243" s="4049"/>
      <c r="G243" s="4159"/>
      <c r="H243" s="4125" t="s">
        <v>50</v>
      </c>
      <c r="I243" s="4160" t="s">
        <v>144</v>
      </c>
      <c r="J243" s="1964">
        <v>348625000</v>
      </c>
      <c r="K243" s="2159">
        <v>16500000</v>
      </c>
      <c r="L243" s="2160">
        <v>67100000</v>
      </c>
      <c r="M243" s="4253">
        <f t="shared" si="35"/>
        <v>83600000</v>
      </c>
      <c r="N243" s="4248">
        <v>325000000</v>
      </c>
      <c r="O243" s="4254">
        <f t="shared" si="36"/>
        <v>-23625000</v>
      </c>
      <c r="P243" s="4061">
        <f t="shared" si="37"/>
        <v>-6.7766224453209043</v>
      </c>
      <c r="Q243" s="4839"/>
    </row>
    <row r="244" spans="1:17" s="2070" customFormat="1" ht="5.95" customHeight="1">
      <c r="A244" s="4048"/>
      <c r="B244" s="4048"/>
      <c r="C244" s="4048"/>
      <c r="D244" s="4048"/>
      <c r="E244" s="4048"/>
      <c r="F244" s="4049"/>
      <c r="G244" s="4159"/>
      <c r="H244" s="4131"/>
      <c r="I244" s="4161"/>
      <c r="J244" s="2291"/>
      <c r="K244" s="2159">
        <v>0</v>
      </c>
      <c r="L244" s="2291"/>
      <c r="M244" s="4253">
        <f t="shared" si="35"/>
        <v>0</v>
      </c>
      <c r="N244" s="4253"/>
      <c r="O244" s="4254">
        <f t="shared" ref="O244:O250" si="38">M244-J244</f>
        <v>0</v>
      </c>
      <c r="P244" s="4061">
        <f>O244-K244</f>
        <v>0</v>
      </c>
      <c r="Q244" s="4839"/>
    </row>
    <row r="245" spans="1:17" s="2070" customFormat="1">
      <c r="A245" s="4065">
        <v>4</v>
      </c>
      <c r="B245" s="4065">
        <v>1</v>
      </c>
      <c r="C245" s="4065">
        <v>4</v>
      </c>
      <c r="D245" s="4048"/>
      <c r="E245" s="4048"/>
      <c r="F245" s="4066">
        <v>3</v>
      </c>
      <c r="G245" s="4091"/>
      <c r="H245" s="4092" t="s">
        <v>71</v>
      </c>
      <c r="I245" s="4092"/>
      <c r="J245" s="2292">
        <v>0</v>
      </c>
      <c r="K245" s="2159">
        <v>0</v>
      </c>
      <c r="L245" s="2292">
        <f>SUM(L246:L249)</f>
        <v>0</v>
      </c>
      <c r="M245" s="4253">
        <f t="shared" si="35"/>
        <v>0</v>
      </c>
      <c r="N245" s="4253">
        <v>0</v>
      </c>
      <c r="O245" s="4254">
        <f t="shared" si="38"/>
        <v>0</v>
      </c>
      <c r="P245" s="4061">
        <v>0</v>
      </c>
      <c r="Q245" s="4839"/>
    </row>
    <row r="246" spans="1:17" s="2070" customFormat="1">
      <c r="A246" s="4065">
        <v>4</v>
      </c>
      <c r="B246" s="4065">
        <v>1</v>
      </c>
      <c r="C246" s="4065">
        <v>4</v>
      </c>
      <c r="D246" s="4065" t="s">
        <v>441</v>
      </c>
      <c r="E246" s="4048"/>
      <c r="F246" s="4049"/>
      <c r="G246" s="4091"/>
      <c r="H246" s="4062" t="s">
        <v>50</v>
      </c>
      <c r="I246" s="4060" t="s">
        <v>72</v>
      </c>
      <c r="J246" s="1964">
        <v>0</v>
      </c>
      <c r="K246" s="2159">
        <v>0</v>
      </c>
      <c r="L246" s="2160">
        <f>'[2]ALL BULAN'!E247</f>
        <v>0</v>
      </c>
      <c r="M246" s="4253">
        <f t="shared" si="35"/>
        <v>0</v>
      </c>
      <c r="N246" s="4253">
        <v>0</v>
      </c>
      <c r="O246" s="4254">
        <f t="shared" si="38"/>
        <v>0</v>
      </c>
      <c r="P246" s="4061">
        <v>0</v>
      </c>
      <c r="Q246" s="4839"/>
    </row>
    <row r="247" spans="1:17" s="2070" customFormat="1">
      <c r="A247" s="4074">
        <v>4</v>
      </c>
      <c r="B247" s="4074">
        <v>1</v>
      </c>
      <c r="C247" s="4074" t="s">
        <v>443</v>
      </c>
      <c r="D247" s="4074" t="s">
        <v>444</v>
      </c>
      <c r="E247" s="4074" t="s">
        <v>440</v>
      </c>
      <c r="F247" s="4049"/>
      <c r="G247" s="4091"/>
      <c r="H247" s="4062" t="s">
        <v>50</v>
      </c>
      <c r="I247" s="4060" t="s">
        <v>73</v>
      </c>
      <c r="J247" s="1964">
        <v>0</v>
      </c>
      <c r="K247" s="2159">
        <v>0</v>
      </c>
      <c r="L247" s="2160">
        <f>'[2]ALL BULAN'!E248</f>
        <v>0</v>
      </c>
      <c r="M247" s="4253">
        <f t="shared" si="35"/>
        <v>0</v>
      </c>
      <c r="N247" s="4253">
        <v>0</v>
      </c>
      <c r="O247" s="4254">
        <f t="shared" si="38"/>
        <v>0</v>
      </c>
      <c r="P247" s="4061">
        <v>0</v>
      </c>
      <c r="Q247" s="4839"/>
    </row>
    <row r="248" spans="1:17" s="2070" customFormat="1">
      <c r="A248" s="4069">
        <v>4</v>
      </c>
      <c r="B248" s="4069">
        <v>1</v>
      </c>
      <c r="C248" s="4069" t="s">
        <v>443</v>
      </c>
      <c r="D248" s="4069" t="s">
        <v>444</v>
      </c>
      <c r="E248" s="4070" t="s">
        <v>445</v>
      </c>
      <c r="F248" s="4049"/>
      <c r="G248" s="4091"/>
      <c r="H248" s="4062" t="s">
        <v>50</v>
      </c>
      <c r="I248" s="4060" t="s">
        <v>74</v>
      </c>
      <c r="J248" s="1964">
        <v>0</v>
      </c>
      <c r="K248" s="2159">
        <v>0</v>
      </c>
      <c r="L248" s="2160">
        <f>'[2]ALL BULAN'!E249</f>
        <v>0</v>
      </c>
      <c r="M248" s="4253">
        <f t="shared" si="35"/>
        <v>0</v>
      </c>
      <c r="N248" s="4253">
        <v>0</v>
      </c>
      <c r="O248" s="4254">
        <f t="shared" si="38"/>
        <v>0</v>
      </c>
      <c r="P248" s="4061">
        <v>0</v>
      </c>
      <c r="Q248" s="4839"/>
    </row>
    <row r="249" spans="1:17" s="2070" customFormat="1">
      <c r="A249" s="4101">
        <v>4</v>
      </c>
      <c r="B249" s="4101">
        <v>1</v>
      </c>
      <c r="C249" s="4101" t="s">
        <v>443</v>
      </c>
      <c r="D249" s="4101" t="s">
        <v>444</v>
      </c>
      <c r="E249" s="4101" t="s">
        <v>441</v>
      </c>
      <c r="F249" s="4049"/>
      <c r="G249" s="4088"/>
      <c r="H249" s="4062" t="s">
        <v>50</v>
      </c>
      <c r="I249" s="4090" t="s">
        <v>75</v>
      </c>
      <c r="J249" s="1964">
        <v>0</v>
      </c>
      <c r="K249" s="2159">
        <v>0</v>
      </c>
      <c r="L249" s="2160">
        <f>'[2]ALL BULAN'!E250</f>
        <v>0</v>
      </c>
      <c r="M249" s="4253">
        <f t="shared" si="35"/>
        <v>0</v>
      </c>
      <c r="N249" s="4253">
        <v>0</v>
      </c>
      <c r="O249" s="4254">
        <f t="shared" si="38"/>
        <v>0</v>
      </c>
      <c r="P249" s="4061">
        <v>0</v>
      </c>
      <c r="Q249" s="4839"/>
    </row>
    <row r="250" spans="1:17" s="2070" customFormat="1" ht="4.55" customHeight="1">
      <c r="A250" s="4048"/>
      <c r="B250" s="4048"/>
      <c r="C250" s="4048"/>
      <c r="D250" s="4048"/>
      <c r="E250" s="4048"/>
      <c r="F250" s="4049"/>
      <c r="G250" s="4088"/>
      <c r="H250" s="4090"/>
      <c r="I250" s="4090"/>
      <c r="J250" s="1964"/>
      <c r="K250" s="2159">
        <v>0</v>
      </c>
      <c r="L250" s="1964"/>
      <c r="M250" s="4253">
        <f t="shared" si="35"/>
        <v>0</v>
      </c>
      <c r="N250" s="4253"/>
      <c r="O250" s="4254">
        <f t="shared" si="38"/>
        <v>0</v>
      </c>
      <c r="P250" s="4061">
        <f>O250-K250</f>
        <v>0</v>
      </c>
      <c r="Q250" s="4839"/>
    </row>
    <row r="251" spans="1:17" s="2070" customFormat="1">
      <c r="A251" s="4048"/>
      <c r="B251" s="4048"/>
      <c r="C251" s="4048"/>
      <c r="D251" s="4048"/>
      <c r="E251" s="4048"/>
      <c r="F251" s="4066">
        <v>4</v>
      </c>
      <c r="G251" s="4088"/>
      <c r="H251" s="1318" t="s">
        <v>1249</v>
      </c>
      <c r="I251" s="4090"/>
      <c r="J251" s="2181">
        <f>SUM(J252:J254)</f>
        <v>0</v>
      </c>
      <c r="K251" s="2159">
        <v>44168718</v>
      </c>
      <c r="L251" s="2181">
        <f>SUM(L252:L254)</f>
        <v>10589500</v>
      </c>
      <c r="M251" s="4253">
        <f t="shared" si="35"/>
        <v>54758218</v>
      </c>
      <c r="N251" s="4253"/>
      <c r="O251" s="4254">
        <v>0</v>
      </c>
      <c r="P251" s="4061">
        <v>0</v>
      </c>
      <c r="Q251" s="4839"/>
    </row>
    <row r="252" spans="1:17" s="2070" customFormat="1">
      <c r="A252" s="4048"/>
      <c r="B252" s="4048"/>
      <c r="C252" s="4048"/>
      <c r="D252" s="4048"/>
      <c r="E252" s="4048"/>
      <c r="F252" s="4049"/>
      <c r="G252" s="4088"/>
      <c r="H252" s="4090" t="s">
        <v>50</v>
      </c>
      <c r="I252" s="4090" t="s">
        <v>145</v>
      </c>
      <c r="J252" s="1964">
        <v>0</v>
      </c>
      <c r="K252" s="2159">
        <v>4835000</v>
      </c>
      <c r="L252" s="2160">
        <v>0</v>
      </c>
      <c r="M252" s="4253">
        <f t="shared" si="35"/>
        <v>4835000</v>
      </c>
      <c r="N252" s="4248">
        <v>0</v>
      </c>
      <c r="O252" s="4254">
        <v>0</v>
      </c>
      <c r="P252" s="4061">
        <v>0</v>
      </c>
      <c r="Q252" s="4839"/>
    </row>
    <row r="253" spans="1:17" s="2070" customFormat="1">
      <c r="A253" s="4048"/>
      <c r="B253" s="4048"/>
      <c r="C253" s="4048"/>
      <c r="D253" s="4048"/>
      <c r="E253" s="4048"/>
      <c r="F253" s="4049"/>
      <c r="G253" s="4088"/>
      <c r="H253" s="4090" t="s">
        <v>50</v>
      </c>
      <c r="I253" s="4090" t="s">
        <v>146</v>
      </c>
      <c r="J253" s="1964">
        <v>0</v>
      </c>
      <c r="K253" s="2159">
        <v>6750000</v>
      </c>
      <c r="L253" s="2160">
        <v>0</v>
      </c>
      <c r="M253" s="4253">
        <f t="shared" si="35"/>
        <v>6750000</v>
      </c>
      <c r="N253" s="4248">
        <v>0</v>
      </c>
      <c r="O253" s="4254">
        <v>0</v>
      </c>
      <c r="P253" s="4061">
        <v>0</v>
      </c>
      <c r="Q253" s="4839"/>
    </row>
    <row r="254" spans="1:17" s="2070" customFormat="1">
      <c r="A254" s="4048"/>
      <c r="B254" s="4048"/>
      <c r="C254" s="4048"/>
      <c r="D254" s="4048"/>
      <c r="E254" s="4048"/>
      <c r="F254" s="4049"/>
      <c r="G254" s="4088"/>
      <c r="H254" s="4090" t="s">
        <v>50</v>
      </c>
      <c r="I254" s="4090" t="s">
        <v>147</v>
      </c>
      <c r="J254" s="1964">
        <v>0</v>
      </c>
      <c r="K254" s="2159">
        <v>32583718</v>
      </c>
      <c r="L254" s="2160">
        <v>10589500</v>
      </c>
      <c r="M254" s="4253">
        <f t="shared" si="35"/>
        <v>43173218</v>
      </c>
      <c r="N254" s="4248">
        <v>0</v>
      </c>
      <c r="O254" s="4254">
        <v>0</v>
      </c>
      <c r="P254" s="4061">
        <v>0</v>
      </c>
      <c r="Q254" s="4839"/>
    </row>
    <row r="255" spans="1:17" s="2070" customFormat="1" ht="5.35" customHeight="1">
      <c r="A255" s="4048"/>
      <c r="B255" s="4048"/>
      <c r="C255" s="4048"/>
      <c r="D255" s="4048"/>
      <c r="E255" s="4048"/>
      <c r="F255" s="4049"/>
      <c r="G255" s="4162"/>
      <c r="H255" s="4090"/>
      <c r="I255" s="4163"/>
      <c r="J255" s="1964"/>
      <c r="K255" s="2180"/>
      <c r="L255" s="1964"/>
      <c r="M255" s="2181"/>
      <c r="N255" s="2181"/>
      <c r="O255" s="2181"/>
      <c r="P255" s="4164"/>
      <c r="Q255" s="4839"/>
    </row>
    <row r="256" spans="1:17" s="2073" customFormat="1" ht="15.65">
      <c r="A256" s="4039"/>
      <c r="B256" s="4039"/>
      <c r="C256" s="4039"/>
      <c r="D256" s="4039"/>
      <c r="E256" s="4039"/>
      <c r="F256" s="4040"/>
      <c r="G256" s="4041" t="s">
        <v>148</v>
      </c>
      <c r="H256" s="4042" t="s">
        <v>149</v>
      </c>
      <c r="I256" s="4097"/>
      <c r="J256" s="4519">
        <v>0</v>
      </c>
      <c r="K256" s="4520">
        <v>0</v>
      </c>
      <c r="L256" s="4519">
        <f>L257</f>
        <v>0</v>
      </c>
      <c r="M256" s="4519">
        <f t="shared" ref="M256:M262" si="39">SUM(K256:L256)</f>
        <v>0</v>
      </c>
      <c r="N256" s="4519"/>
      <c r="O256" s="4519">
        <f t="shared" ref="O256:O262" si="40">M256-J256</f>
        <v>0</v>
      </c>
      <c r="P256" s="4044">
        <v>0</v>
      </c>
      <c r="Q256" s="4840"/>
    </row>
    <row r="257" spans="1:17" s="2070" customFormat="1">
      <c r="A257" s="4065">
        <v>4</v>
      </c>
      <c r="B257" s="4065">
        <v>1</v>
      </c>
      <c r="C257" s="4065">
        <v>4</v>
      </c>
      <c r="D257" s="4048"/>
      <c r="E257" s="4048"/>
      <c r="F257" s="4066">
        <v>3</v>
      </c>
      <c r="G257" s="4050"/>
      <c r="H257" s="4068" t="s">
        <v>71</v>
      </c>
      <c r="I257" s="4068"/>
      <c r="J257" s="4521">
        <v>0</v>
      </c>
      <c r="K257" s="2159">
        <v>0</v>
      </c>
      <c r="L257" s="4521">
        <f>SUM(L258:L262)</f>
        <v>0</v>
      </c>
      <c r="M257" s="4253">
        <f t="shared" si="39"/>
        <v>0</v>
      </c>
      <c r="N257" s="4253"/>
      <c r="O257" s="4254">
        <f t="shared" si="40"/>
        <v>0</v>
      </c>
      <c r="P257" s="4061">
        <v>0</v>
      </c>
      <c r="Q257" s="4839"/>
    </row>
    <row r="258" spans="1:17" s="2070" customFormat="1">
      <c r="A258" s="4065">
        <v>4</v>
      </c>
      <c r="B258" s="4065">
        <v>1</v>
      </c>
      <c r="C258" s="4065">
        <v>4</v>
      </c>
      <c r="D258" s="4065" t="s">
        <v>441</v>
      </c>
      <c r="E258" s="4048"/>
      <c r="F258" s="4049"/>
      <c r="G258" s="4059"/>
      <c r="H258" s="4062" t="s">
        <v>50</v>
      </c>
      <c r="I258" s="4060" t="s">
        <v>72</v>
      </c>
      <c r="J258" s="1964">
        <v>0</v>
      </c>
      <c r="K258" s="2159">
        <v>0</v>
      </c>
      <c r="L258" s="2160">
        <f>'[2]ALL BULAN'!E259</f>
        <v>0</v>
      </c>
      <c r="M258" s="4253">
        <f t="shared" si="39"/>
        <v>0</v>
      </c>
      <c r="N258" s="4253"/>
      <c r="O258" s="4254">
        <f t="shared" si="40"/>
        <v>0</v>
      </c>
      <c r="P258" s="4061">
        <v>0</v>
      </c>
      <c r="Q258" s="4839"/>
    </row>
    <row r="259" spans="1:17" s="2070" customFormat="1">
      <c r="A259" s="4074">
        <v>4</v>
      </c>
      <c r="B259" s="4074">
        <v>1</v>
      </c>
      <c r="C259" s="4074" t="s">
        <v>443</v>
      </c>
      <c r="D259" s="4074" t="s">
        <v>444</v>
      </c>
      <c r="E259" s="4074" t="s">
        <v>440</v>
      </c>
      <c r="F259" s="4049"/>
      <c r="G259" s="4067"/>
      <c r="H259" s="4062" t="s">
        <v>50</v>
      </c>
      <c r="I259" s="4060" t="s">
        <v>73</v>
      </c>
      <c r="J259" s="1964">
        <v>0</v>
      </c>
      <c r="K259" s="2159">
        <v>0</v>
      </c>
      <c r="L259" s="2160">
        <f>'[2]ALL BULAN'!E260</f>
        <v>0</v>
      </c>
      <c r="M259" s="4253">
        <f t="shared" si="39"/>
        <v>0</v>
      </c>
      <c r="N259" s="4253"/>
      <c r="O259" s="4254">
        <f t="shared" si="40"/>
        <v>0</v>
      </c>
      <c r="P259" s="4061">
        <v>0</v>
      </c>
      <c r="Q259" s="4839"/>
    </row>
    <row r="260" spans="1:17" s="2070" customFormat="1">
      <c r="A260" s="4069">
        <v>4</v>
      </c>
      <c r="B260" s="4069">
        <v>1</v>
      </c>
      <c r="C260" s="4069" t="s">
        <v>443</v>
      </c>
      <c r="D260" s="4069" t="s">
        <v>444</v>
      </c>
      <c r="E260" s="4070" t="s">
        <v>445</v>
      </c>
      <c r="F260" s="4049"/>
      <c r="G260" s="4067"/>
      <c r="H260" s="4062" t="s">
        <v>50</v>
      </c>
      <c r="I260" s="4060" t="s">
        <v>74</v>
      </c>
      <c r="J260" s="1964">
        <v>0</v>
      </c>
      <c r="K260" s="2159">
        <v>0</v>
      </c>
      <c r="L260" s="2160">
        <f>'[2]ALL BULAN'!E261</f>
        <v>0</v>
      </c>
      <c r="M260" s="4253">
        <f t="shared" si="39"/>
        <v>0</v>
      </c>
      <c r="N260" s="4253"/>
      <c r="O260" s="4254">
        <f t="shared" si="40"/>
        <v>0</v>
      </c>
      <c r="P260" s="4061">
        <v>0</v>
      </c>
      <c r="Q260" s="4839"/>
    </row>
    <row r="261" spans="1:17" s="2070" customFormat="1">
      <c r="A261" s="4101">
        <v>4</v>
      </c>
      <c r="B261" s="4101">
        <v>1</v>
      </c>
      <c r="C261" s="4101" t="s">
        <v>443</v>
      </c>
      <c r="D261" s="4101" t="s">
        <v>444</v>
      </c>
      <c r="E261" s="4101" t="s">
        <v>441</v>
      </c>
      <c r="F261" s="4049"/>
      <c r="G261" s="4067"/>
      <c r="H261" s="4060" t="s">
        <v>308</v>
      </c>
      <c r="I261" s="4090" t="s">
        <v>75</v>
      </c>
      <c r="J261" s="1964">
        <v>0</v>
      </c>
      <c r="K261" s="2159">
        <v>0</v>
      </c>
      <c r="L261" s="2160">
        <f>'[2]ALL BULAN'!E262</f>
        <v>0</v>
      </c>
      <c r="M261" s="4253">
        <f t="shared" si="39"/>
        <v>0</v>
      </c>
      <c r="N261" s="4253"/>
      <c r="O261" s="4254">
        <f t="shared" si="40"/>
        <v>0</v>
      </c>
      <c r="P261" s="4061">
        <v>0</v>
      </c>
      <c r="Q261" s="4839"/>
    </row>
    <row r="262" spans="1:17" s="2070" customFormat="1">
      <c r="A262" s="4079">
        <v>4</v>
      </c>
      <c r="B262" s="4079">
        <v>1</v>
      </c>
      <c r="C262" s="4079" t="s">
        <v>443</v>
      </c>
      <c r="D262" s="4079" t="s">
        <v>447</v>
      </c>
      <c r="E262" s="4093" t="s">
        <v>437</v>
      </c>
      <c r="F262" s="4049"/>
      <c r="G262" s="4067"/>
      <c r="H262" s="4062" t="s">
        <v>50</v>
      </c>
      <c r="I262" s="4090" t="s">
        <v>85</v>
      </c>
      <c r="J262" s="1964">
        <v>0</v>
      </c>
      <c r="K262" s="2159">
        <v>0</v>
      </c>
      <c r="L262" s="2160">
        <f>'[2]ALL BULAN'!E263</f>
        <v>0</v>
      </c>
      <c r="M262" s="4253">
        <f t="shared" si="39"/>
        <v>0</v>
      </c>
      <c r="N262" s="4253"/>
      <c r="O262" s="4254">
        <f t="shared" si="40"/>
        <v>0</v>
      </c>
      <c r="P262" s="4061">
        <v>0</v>
      </c>
      <c r="Q262" s="4839"/>
    </row>
    <row r="263" spans="1:17" s="2070" customFormat="1" ht="4.55" customHeight="1">
      <c r="A263" s="4048"/>
      <c r="B263" s="4048"/>
      <c r="C263" s="4048"/>
      <c r="D263" s="4048"/>
      <c r="E263" s="4048"/>
      <c r="F263" s="4049"/>
      <c r="G263" s="4102"/>
      <c r="H263" s="4083"/>
      <c r="I263" s="4083"/>
      <c r="J263" s="4528"/>
      <c r="K263" s="2183"/>
      <c r="L263" s="4528"/>
      <c r="M263" s="4529"/>
      <c r="N263" s="4529"/>
      <c r="O263" s="4529"/>
      <c r="P263" s="4084"/>
      <c r="Q263" s="4839"/>
    </row>
    <row r="264" spans="1:17" s="2073" customFormat="1" ht="15.65">
      <c r="A264" s="4039"/>
      <c r="B264" s="4039"/>
      <c r="C264" s="4039"/>
      <c r="D264" s="4039"/>
      <c r="E264" s="4039"/>
      <c r="F264" s="4040"/>
      <c r="G264" s="4041" t="s">
        <v>150</v>
      </c>
      <c r="H264" s="4042" t="s">
        <v>151</v>
      </c>
      <c r="I264" s="4097"/>
      <c r="J264" s="4519">
        <v>0</v>
      </c>
      <c r="K264" s="4520">
        <v>0</v>
      </c>
      <c r="L264" s="4519">
        <f>L265</f>
        <v>0</v>
      </c>
      <c r="M264" s="4519">
        <f t="shared" ref="M264:M270" si="41">SUM(K264:L264)</f>
        <v>0</v>
      </c>
      <c r="N264" s="4519"/>
      <c r="O264" s="4519">
        <f t="shared" ref="O264:O270" si="42">M264-J264</f>
        <v>0</v>
      </c>
      <c r="P264" s="4044">
        <v>0</v>
      </c>
      <c r="Q264" s="4840"/>
    </row>
    <row r="265" spans="1:17" s="2070" customFormat="1">
      <c r="A265" s="4065">
        <v>4</v>
      </c>
      <c r="B265" s="4065">
        <v>1</v>
      </c>
      <c r="C265" s="4065">
        <v>4</v>
      </c>
      <c r="D265" s="4048"/>
      <c r="E265" s="4048"/>
      <c r="F265" s="4066">
        <v>3</v>
      </c>
      <c r="G265" s="4050"/>
      <c r="H265" s="4135" t="s">
        <v>71</v>
      </c>
      <c r="I265" s="4107"/>
      <c r="J265" s="4521">
        <v>0</v>
      </c>
      <c r="K265" s="2159">
        <v>0</v>
      </c>
      <c r="L265" s="4521">
        <f>SUM(L266:L270)</f>
        <v>0</v>
      </c>
      <c r="M265" s="4253">
        <f t="shared" si="41"/>
        <v>0</v>
      </c>
      <c r="N265" s="4253"/>
      <c r="O265" s="4254">
        <f t="shared" si="42"/>
        <v>0</v>
      </c>
      <c r="P265" s="4061">
        <v>0</v>
      </c>
      <c r="Q265" s="4839"/>
    </row>
    <row r="266" spans="1:17" s="2070" customFormat="1">
      <c r="A266" s="4065">
        <v>4</v>
      </c>
      <c r="B266" s="4065">
        <v>1</v>
      </c>
      <c r="C266" s="4065">
        <v>4</v>
      </c>
      <c r="D266" s="4065" t="s">
        <v>441</v>
      </c>
      <c r="E266" s="4048"/>
      <c r="F266" s="4049"/>
      <c r="G266" s="4067"/>
      <c r="H266" s="4062" t="s">
        <v>50</v>
      </c>
      <c r="I266" s="4060" t="s">
        <v>72</v>
      </c>
      <c r="J266" s="1964">
        <v>0</v>
      </c>
      <c r="K266" s="2159">
        <v>0</v>
      </c>
      <c r="L266" s="2160">
        <f>'[2]ALL BULAN'!E267</f>
        <v>0</v>
      </c>
      <c r="M266" s="4253">
        <f t="shared" si="41"/>
        <v>0</v>
      </c>
      <c r="N266" s="4253"/>
      <c r="O266" s="4254">
        <f t="shared" si="42"/>
        <v>0</v>
      </c>
      <c r="P266" s="4061">
        <v>0</v>
      </c>
      <c r="Q266" s="4839"/>
    </row>
    <row r="267" spans="1:17" s="2070" customFormat="1">
      <c r="A267" s="4074">
        <v>4</v>
      </c>
      <c r="B267" s="4074">
        <v>1</v>
      </c>
      <c r="C267" s="4074" t="s">
        <v>443</v>
      </c>
      <c r="D267" s="4074" t="s">
        <v>444</v>
      </c>
      <c r="E267" s="4074" t="s">
        <v>440</v>
      </c>
      <c r="F267" s="4049"/>
      <c r="G267" s="4067"/>
      <c r="H267" s="4062" t="s">
        <v>50</v>
      </c>
      <c r="I267" s="4060" t="s">
        <v>73</v>
      </c>
      <c r="J267" s="1964">
        <v>0</v>
      </c>
      <c r="K267" s="2159">
        <v>0</v>
      </c>
      <c r="L267" s="2160">
        <f>'[2]ALL BULAN'!E268</f>
        <v>0</v>
      </c>
      <c r="M267" s="4253">
        <f t="shared" si="41"/>
        <v>0</v>
      </c>
      <c r="N267" s="4253"/>
      <c r="O267" s="4254">
        <f t="shared" si="42"/>
        <v>0</v>
      </c>
      <c r="P267" s="4061">
        <v>0</v>
      </c>
      <c r="Q267" s="4839"/>
    </row>
    <row r="268" spans="1:17" s="2070" customFormat="1">
      <c r="A268" s="4069">
        <v>4</v>
      </c>
      <c r="B268" s="4069">
        <v>1</v>
      </c>
      <c r="C268" s="4069" t="s">
        <v>443</v>
      </c>
      <c r="D268" s="4069" t="s">
        <v>444</v>
      </c>
      <c r="E268" s="4070" t="s">
        <v>445</v>
      </c>
      <c r="F268" s="4049"/>
      <c r="G268" s="4067"/>
      <c r="H268" s="4062" t="s">
        <v>50</v>
      </c>
      <c r="I268" s="4060" t="s">
        <v>74</v>
      </c>
      <c r="J268" s="1964">
        <v>0</v>
      </c>
      <c r="K268" s="2159">
        <v>0</v>
      </c>
      <c r="L268" s="2160">
        <f>'[2]ALL BULAN'!E269</f>
        <v>0</v>
      </c>
      <c r="M268" s="4253">
        <f t="shared" si="41"/>
        <v>0</v>
      </c>
      <c r="N268" s="4253"/>
      <c r="O268" s="4254">
        <f t="shared" si="42"/>
        <v>0</v>
      </c>
      <c r="P268" s="4061">
        <v>0</v>
      </c>
      <c r="Q268" s="4839"/>
    </row>
    <row r="269" spans="1:17" s="2070" customFormat="1">
      <c r="A269" s="4101">
        <v>4</v>
      </c>
      <c r="B269" s="4101">
        <v>1</v>
      </c>
      <c r="C269" s="4101" t="s">
        <v>443</v>
      </c>
      <c r="D269" s="4101" t="s">
        <v>444</v>
      </c>
      <c r="E269" s="4101" t="s">
        <v>441</v>
      </c>
      <c r="F269" s="4049"/>
      <c r="G269" s="4067"/>
      <c r="H269" s="4060" t="s">
        <v>308</v>
      </c>
      <c r="I269" s="4090" t="s">
        <v>75</v>
      </c>
      <c r="J269" s="1964">
        <v>0</v>
      </c>
      <c r="K269" s="2159">
        <v>0</v>
      </c>
      <c r="L269" s="2160">
        <f>'[2]ALL BULAN'!E270</f>
        <v>0</v>
      </c>
      <c r="M269" s="4253">
        <f t="shared" si="41"/>
        <v>0</v>
      </c>
      <c r="N269" s="4253"/>
      <c r="O269" s="4254">
        <f t="shared" si="42"/>
        <v>0</v>
      </c>
      <c r="P269" s="4061">
        <v>0</v>
      </c>
      <c r="Q269" s="4839"/>
    </row>
    <row r="270" spans="1:17" s="2070" customFormat="1">
      <c r="A270" s="4079">
        <v>4</v>
      </c>
      <c r="B270" s="4079">
        <v>1</v>
      </c>
      <c r="C270" s="4079" t="s">
        <v>443</v>
      </c>
      <c r="D270" s="4079" t="s">
        <v>447</v>
      </c>
      <c r="E270" s="4093" t="s">
        <v>437</v>
      </c>
      <c r="F270" s="4049"/>
      <c r="G270" s="4067"/>
      <c r="H270" s="4062" t="s">
        <v>50</v>
      </c>
      <c r="I270" s="4090" t="s">
        <v>85</v>
      </c>
      <c r="J270" s="1964">
        <v>0</v>
      </c>
      <c r="K270" s="2159">
        <v>0</v>
      </c>
      <c r="L270" s="2160">
        <f>'[2]ALL BULAN'!E271</f>
        <v>0</v>
      </c>
      <c r="M270" s="4253">
        <f t="shared" si="41"/>
        <v>0</v>
      </c>
      <c r="N270" s="4253"/>
      <c r="O270" s="4254">
        <f t="shared" si="42"/>
        <v>0</v>
      </c>
      <c r="P270" s="4061">
        <v>0</v>
      </c>
      <c r="Q270" s="4839"/>
    </row>
    <row r="271" spans="1:17" s="2070" customFormat="1" ht="3.8" customHeight="1">
      <c r="A271" s="4048"/>
      <c r="B271" s="4048"/>
      <c r="C271" s="4048"/>
      <c r="D271" s="4048"/>
      <c r="E271" s="4048"/>
      <c r="F271" s="4049"/>
      <c r="G271" s="4102"/>
      <c r="H271" s="4083"/>
      <c r="I271" s="4083"/>
      <c r="J271" s="4528"/>
      <c r="K271" s="2183"/>
      <c r="L271" s="4528"/>
      <c r="M271" s="4529"/>
      <c r="N271" s="4529"/>
      <c r="O271" s="4529"/>
      <c r="P271" s="4084"/>
      <c r="Q271" s="4839"/>
    </row>
    <row r="272" spans="1:17" s="2073" customFormat="1" ht="15.65">
      <c r="A272" s="4039"/>
      <c r="B272" s="4039"/>
      <c r="C272" s="4039"/>
      <c r="D272" s="4039"/>
      <c r="E272" s="4039"/>
      <c r="F272" s="4040"/>
      <c r="G272" s="4041" t="s">
        <v>152</v>
      </c>
      <c r="H272" s="4042" t="s">
        <v>153</v>
      </c>
      <c r="I272" s="4097"/>
      <c r="J272" s="4519">
        <v>0</v>
      </c>
      <c r="K272" s="4520">
        <v>0</v>
      </c>
      <c r="L272" s="4519">
        <f>L273</f>
        <v>0</v>
      </c>
      <c r="M272" s="4519">
        <f t="shared" ref="M272:M278" si="43">SUM(K272:L272)</f>
        <v>0</v>
      </c>
      <c r="N272" s="4519"/>
      <c r="O272" s="4519">
        <f t="shared" ref="O272:O278" si="44">M272-J272</f>
        <v>0</v>
      </c>
      <c r="P272" s="4044">
        <v>0</v>
      </c>
      <c r="Q272" s="4840"/>
    </row>
    <row r="273" spans="1:17" s="2070" customFormat="1">
      <c r="A273" s="4065">
        <v>4</v>
      </c>
      <c r="B273" s="4065">
        <v>1</v>
      </c>
      <c r="C273" s="4065">
        <v>4</v>
      </c>
      <c r="D273" s="4048"/>
      <c r="E273" s="4048"/>
      <c r="F273" s="4066">
        <v>3</v>
      </c>
      <c r="G273" s="4067"/>
      <c r="H273" s="4068" t="s">
        <v>71</v>
      </c>
      <c r="I273" s="4068"/>
      <c r="J273" s="4254">
        <v>0</v>
      </c>
      <c r="K273" s="2159">
        <v>0</v>
      </c>
      <c r="L273" s="4254">
        <f>SUM(L274:L278)</f>
        <v>0</v>
      </c>
      <c r="M273" s="4253">
        <f t="shared" si="43"/>
        <v>0</v>
      </c>
      <c r="N273" s="4253"/>
      <c r="O273" s="4254">
        <f t="shared" si="44"/>
        <v>0</v>
      </c>
      <c r="P273" s="4061">
        <v>0</v>
      </c>
      <c r="Q273" s="4839"/>
    </row>
    <row r="274" spans="1:17" s="2070" customFormat="1">
      <c r="A274" s="4065">
        <v>4</v>
      </c>
      <c r="B274" s="4065">
        <v>1</v>
      </c>
      <c r="C274" s="4065">
        <v>4</v>
      </c>
      <c r="D274" s="4065" t="s">
        <v>441</v>
      </c>
      <c r="E274" s="4048"/>
      <c r="F274" s="4049"/>
      <c r="G274" s="4067"/>
      <c r="H274" s="4062" t="s">
        <v>50</v>
      </c>
      <c r="I274" s="4060" t="s">
        <v>72</v>
      </c>
      <c r="J274" s="1964">
        <v>0</v>
      </c>
      <c r="K274" s="2159">
        <v>0</v>
      </c>
      <c r="L274" s="2160">
        <f>'[2]ALL BULAN'!E275</f>
        <v>0</v>
      </c>
      <c r="M274" s="4253">
        <f t="shared" si="43"/>
        <v>0</v>
      </c>
      <c r="N274" s="4253"/>
      <c r="O274" s="4254">
        <f t="shared" si="44"/>
        <v>0</v>
      </c>
      <c r="P274" s="4061">
        <v>0</v>
      </c>
      <c r="Q274" s="4839"/>
    </row>
    <row r="275" spans="1:17" s="2070" customFormat="1">
      <c r="A275" s="4074">
        <v>4</v>
      </c>
      <c r="B275" s="4074">
        <v>1</v>
      </c>
      <c r="C275" s="4074" t="s">
        <v>443</v>
      </c>
      <c r="D275" s="4074" t="s">
        <v>444</v>
      </c>
      <c r="E275" s="4074" t="s">
        <v>440</v>
      </c>
      <c r="F275" s="4049"/>
      <c r="G275" s="4067"/>
      <c r="H275" s="4062" t="s">
        <v>50</v>
      </c>
      <c r="I275" s="4060" t="s">
        <v>73</v>
      </c>
      <c r="J275" s="1964">
        <v>0</v>
      </c>
      <c r="K275" s="2159">
        <v>0</v>
      </c>
      <c r="L275" s="2160">
        <f>'[2]ALL BULAN'!E276</f>
        <v>0</v>
      </c>
      <c r="M275" s="4253">
        <f t="shared" si="43"/>
        <v>0</v>
      </c>
      <c r="N275" s="4253"/>
      <c r="O275" s="4254">
        <f t="shared" si="44"/>
        <v>0</v>
      </c>
      <c r="P275" s="4061">
        <v>0</v>
      </c>
      <c r="Q275" s="4839"/>
    </row>
    <row r="276" spans="1:17" s="2070" customFormat="1">
      <c r="A276" s="4069">
        <v>4</v>
      </c>
      <c r="B276" s="4069">
        <v>1</v>
      </c>
      <c r="C276" s="4069" t="s">
        <v>443</v>
      </c>
      <c r="D276" s="4069" t="s">
        <v>444</v>
      </c>
      <c r="E276" s="4070" t="s">
        <v>445</v>
      </c>
      <c r="F276" s="4049"/>
      <c r="G276" s="4150"/>
      <c r="H276" s="4062" t="s">
        <v>50</v>
      </c>
      <c r="I276" s="4060" t="s">
        <v>74</v>
      </c>
      <c r="J276" s="1964">
        <v>0</v>
      </c>
      <c r="K276" s="2159">
        <v>0</v>
      </c>
      <c r="L276" s="2160">
        <f>'[2]ALL BULAN'!E277</f>
        <v>0</v>
      </c>
      <c r="M276" s="4253">
        <f t="shared" si="43"/>
        <v>0</v>
      </c>
      <c r="N276" s="4253"/>
      <c r="O276" s="4254">
        <f t="shared" si="44"/>
        <v>0</v>
      </c>
      <c r="P276" s="4061">
        <v>0</v>
      </c>
      <c r="Q276" s="4839"/>
    </row>
    <row r="277" spans="1:17" s="2070" customFormat="1">
      <c r="A277" s="4101">
        <v>4</v>
      </c>
      <c r="B277" s="4101">
        <v>1</v>
      </c>
      <c r="C277" s="4101" t="s">
        <v>443</v>
      </c>
      <c r="D277" s="4101" t="s">
        <v>444</v>
      </c>
      <c r="E277" s="4101" t="s">
        <v>441</v>
      </c>
      <c r="F277" s="4049"/>
      <c r="G277" s="4150"/>
      <c r="H277" s="4060" t="s">
        <v>308</v>
      </c>
      <c r="I277" s="4090" t="s">
        <v>75</v>
      </c>
      <c r="J277" s="1964">
        <v>0</v>
      </c>
      <c r="K277" s="2159">
        <v>0</v>
      </c>
      <c r="L277" s="2160">
        <f>'[2]ALL BULAN'!E278</f>
        <v>0</v>
      </c>
      <c r="M277" s="4253">
        <f t="shared" si="43"/>
        <v>0</v>
      </c>
      <c r="N277" s="4253"/>
      <c r="O277" s="4254">
        <f t="shared" si="44"/>
        <v>0</v>
      </c>
      <c r="P277" s="4061">
        <v>0</v>
      </c>
      <c r="Q277" s="4839"/>
    </row>
    <row r="278" spans="1:17" s="2070" customFormat="1">
      <c r="A278" s="4079">
        <v>4</v>
      </c>
      <c r="B278" s="4079">
        <v>1</v>
      </c>
      <c r="C278" s="4079" t="s">
        <v>443</v>
      </c>
      <c r="D278" s="4079" t="s">
        <v>447</v>
      </c>
      <c r="E278" s="4093" t="s">
        <v>437</v>
      </c>
      <c r="F278" s="4049"/>
      <c r="G278" s="4150"/>
      <c r="H278" s="4062" t="s">
        <v>50</v>
      </c>
      <c r="I278" s="4090" t="s">
        <v>85</v>
      </c>
      <c r="J278" s="1964">
        <v>0</v>
      </c>
      <c r="K278" s="2159">
        <v>0</v>
      </c>
      <c r="L278" s="2160">
        <f>'[2]ALL BULAN'!E279</f>
        <v>0</v>
      </c>
      <c r="M278" s="4253">
        <f t="shared" si="43"/>
        <v>0</v>
      </c>
      <c r="N278" s="4253"/>
      <c r="O278" s="4254">
        <f t="shared" si="44"/>
        <v>0</v>
      </c>
      <c r="P278" s="4061">
        <v>0</v>
      </c>
      <c r="Q278" s="4839"/>
    </row>
    <row r="279" spans="1:17" s="2070" customFormat="1" ht="5.35" customHeight="1">
      <c r="A279" s="4048"/>
      <c r="B279" s="4048"/>
      <c r="C279" s="4048"/>
      <c r="D279" s="4048"/>
      <c r="E279" s="4048"/>
      <c r="F279" s="4049"/>
      <c r="G279" s="4150"/>
      <c r="H279" s="4151"/>
      <c r="I279" s="4151"/>
      <c r="J279" s="2143"/>
      <c r="K279" s="2144"/>
      <c r="L279" s="2143"/>
      <c r="M279" s="1727"/>
      <c r="N279" s="1727"/>
      <c r="O279" s="1727"/>
      <c r="P279" s="4038"/>
      <c r="Q279" s="4839"/>
    </row>
    <row r="280" spans="1:17" s="2070" customFormat="1" ht="15.65">
      <c r="A280" s="4048"/>
      <c r="B280" s="4048"/>
      <c r="C280" s="4048"/>
      <c r="D280" s="4048"/>
      <c r="E280" s="4048"/>
      <c r="F280" s="4049"/>
      <c r="G280" s="4165" t="s">
        <v>154</v>
      </c>
      <c r="H280" s="4166" t="s">
        <v>155</v>
      </c>
      <c r="I280" s="4167"/>
      <c r="J280" s="4543">
        <v>131250000</v>
      </c>
      <c r="K280" s="4544">
        <v>13309500</v>
      </c>
      <c r="L280" s="4543">
        <f>L282+L297+L305+L313+L321+L329+L349</f>
        <v>16963600</v>
      </c>
      <c r="M280" s="4543">
        <f>SUM(K280:L280)</f>
        <v>30273100</v>
      </c>
      <c r="N280" s="4543">
        <f>N282</f>
        <v>131250000</v>
      </c>
      <c r="O280" s="4543">
        <f>N280-J280</f>
        <v>0</v>
      </c>
      <c r="P280" s="4168">
        <f>P282</f>
        <v>0</v>
      </c>
      <c r="Q280" s="4839"/>
    </row>
    <row r="281" spans="1:17" s="2070" customFormat="1" ht="4.55" customHeight="1">
      <c r="A281" s="4048"/>
      <c r="B281" s="4048"/>
      <c r="C281" s="4048"/>
      <c r="D281" s="4048"/>
      <c r="E281" s="4048"/>
      <c r="F281" s="4049"/>
      <c r="G281" s="4169"/>
      <c r="H281" s="4131"/>
      <c r="I281" s="4131"/>
      <c r="J281" s="2303"/>
      <c r="K281" s="2144"/>
      <c r="L281" s="2303"/>
      <c r="M281" s="2304"/>
      <c r="N281" s="2304"/>
      <c r="O281" s="2304"/>
      <c r="P281" s="4170"/>
      <c r="Q281" s="4839"/>
    </row>
    <row r="282" spans="1:17" s="2073" customFormat="1" ht="15.65">
      <c r="A282" s="4039"/>
      <c r="B282" s="4039"/>
      <c r="C282" s="4039"/>
      <c r="D282" s="4039"/>
      <c r="E282" s="4039"/>
      <c r="F282" s="4040"/>
      <c r="G282" s="4041"/>
      <c r="H282" s="4042" t="s">
        <v>156</v>
      </c>
      <c r="I282" s="4097" t="s">
        <v>157</v>
      </c>
      <c r="J282" s="4545">
        <f>J283</f>
        <v>131250000</v>
      </c>
      <c r="K282" s="4520">
        <v>13309500</v>
      </c>
      <c r="L282" s="4545">
        <f>L283+L290</f>
        <v>16963600</v>
      </c>
      <c r="M282" s="4519">
        <f t="shared" ref="M282:M288" si="45">SUM(K282:L282)</f>
        <v>30273100</v>
      </c>
      <c r="N282" s="4545">
        <f>N283</f>
        <v>131250000</v>
      </c>
      <c r="O282" s="4519">
        <f>O283</f>
        <v>0</v>
      </c>
      <c r="P282" s="4044">
        <f>O282/J282*100</f>
        <v>0</v>
      </c>
      <c r="Q282" s="4840"/>
    </row>
    <row r="283" spans="1:17" s="2070" customFormat="1">
      <c r="A283" s="4048"/>
      <c r="B283" s="4048"/>
      <c r="C283" s="4048"/>
      <c r="D283" s="4048"/>
      <c r="E283" s="4048"/>
      <c r="F283" s="4066">
        <v>1</v>
      </c>
      <c r="G283" s="4067"/>
      <c r="H283" s="4068" t="s">
        <v>106</v>
      </c>
      <c r="I283" s="4060"/>
      <c r="J283" s="4546">
        <f>J284</f>
        <v>131250000</v>
      </c>
      <c r="K283" s="2159">
        <v>2500000</v>
      </c>
      <c r="L283" s="4546">
        <f>+L284</f>
        <v>5500000</v>
      </c>
      <c r="M283" s="4253">
        <f t="shared" si="45"/>
        <v>8000000</v>
      </c>
      <c r="N283" s="4546">
        <f>N284</f>
        <v>131250000</v>
      </c>
      <c r="O283" s="4254">
        <f>N283-J283</f>
        <v>0</v>
      </c>
      <c r="P283" s="4758">
        <f t="shared" ref="P283:P288" si="46">O283/J283*100</f>
        <v>0</v>
      </c>
      <c r="Q283" s="4839"/>
    </row>
    <row r="284" spans="1:17" s="2070" customFormat="1">
      <c r="A284" s="4046">
        <v>4</v>
      </c>
      <c r="B284" s="4046">
        <v>1</v>
      </c>
      <c r="C284" s="4046">
        <v>2</v>
      </c>
      <c r="D284" s="4047" t="s">
        <v>438</v>
      </c>
      <c r="E284" s="4128"/>
      <c r="F284" s="4049"/>
      <c r="G284" s="4067"/>
      <c r="H284" s="4068" t="s">
        <v>63</v>
      </c>
      <c r="I284" s="4060"/>
      <c r="J284" s="4546">
        <f>J285</f>
        <v>131250000</v>
      </c>
      <c r="K284" s="2159">
        <v>2500000</v>
      </c>
      <c r="L284" s="4546">
        <f>L285</f>
        <v>5500000</v>
      </c>
      <c r="M284" s="4253">
        <f t="shared" si="45"/>
        <v>8000000</v>
      </c>
      <c r="N284" s="4546">
        <f>N285</f>
        <v>131250000</v>
      </c>
      <c r="O284" s="4254">
        <f t="shared" ref="O284:O296" si="47">N284-J284</f>
        <v>0</v>
      </c>
      <c r="P284" s="4061">
        <f t="shared" si="46"/>
        <v>0</v>
      </c>
      <c r="Q284" s="4839"/>
    </row>
    <row r="285" spans="1:17" s="2070" customFormat="1">
      <c r="A285" s="4046">
        <v>4</v>
      </c>
      <c r="B285" s="4046">
        <v>1</v>
      </c>
      <c r="C285" s="4046">
        <v>2</v>
      </c>
      <c r="D285" s="4047" t="s">
        <v>438</v>
      </c>
      <c r="E285" s="4093" t="s">
        <v>437</v>
      </c>
      <c r="F285" s="4049"/>
      <c r="G285" s="4059"/>
      <c r="H285" s="4068" t="s">
        <v>64</v>
      </c>
      <c r="I285" s="4060"/>
      <c r="J285" s="4547">
        <f>SUM(J286:J288)</f>
        <v>131250000</v>
      </c>
      <c r="K285" s="2159">
        <v>2500000</v>
      </c>
      <c r="L285" s="4547">
        <f>SUM(L286:L288)</f>
        <v>5500000</v>
      </c>
      <c r="M285" s="4253">
        <f t="shared" si="45"/>
        <v>8000000</v>
      </c>
      <c r="N285" s="4547">
        <f>SUM(N286:N288)</f>
        <v>131250000</v>
      </c>
      <c r="O285" s="4254">
        <f t="shared" si="47"/>
        <v>0</v>
      </c>
      <c r="P285" s="4061">
        <f t="shared" si="46"/>
        <v>0</v>
      </c>
      <c r="Q285" s="4839"/>
    </row>
    <row r="286" spans="1:17" s="2070" customFormat="1">
      <c r="A286" s="4048"/>
      <c r="B286" s="4048"/>
      <c r="C286" s="4048"/>
      <c r="D286" s="4048"/>
      <c r="E286" s="4048"/>
      <c r="F286" s="4049"/>
      <c r="G286" s="4067"/>
      <c r="H286" s="4060" t="s">
        <v>50</v>
      </c>
      <c r="I286" s="4060" t="s">
        <v>158</v>
      </c>
      <c r="J286" s="1964">
        <v>30000000</v>
      </c>
      <c r="K286" s="2159">
        <v>0</v>
      </c>
      <c r="L286" s="2160">
        <f>'[2]ALL BULAN'!E287</f>
        <v>0</v>
      </c>
      <c r="M286" s="4253">
        <f t="shared" si="45"/>
        <v>0</v>
      </c>
      <c r="N286" s="4248">
        <v>30000000</v>
      </c>
      <c r="O286" s="4254">
        <f t="shared" si="47"/>
        <v>0</v>
      </c>
      <c r="P286" s="4061">
        <f t="shared" si="46"/>
        <v>0</v>
      </c>
      <c r="Q286" s="4839"/>
    </row>
    <row r="287" spans="1:17" s="2070" customFormat="1">
      <c r="A287" s="4048"/>
      <c r="B287" s="4048"/>
      <c r="C287" s="4048"/>
      <c r="D287" s="4048"/>
      <c r="E287" s="4048"/>
      <c r="F287" s="4049"/>
      <c r="G287" s="4067"/>
      <c r="H287" s="4060" t="s">
        <v>50</v>
      </c>
      <c r="I287" s="4060" t="s">
        <v>159</v>
      </c>
      <c r="J287" s="1964">
        <v>26250000</v>
      </c>
      <c r="K287" s="2159">
        <v>1500000</v>
      </c>
      <c r="L287" s="2160">
        <v>0</v>
      </c>
      <c r="M287" s="4253">
        <f t="shared" si="45"/>
        <v>1500000</v>
      </c>
      <c r="N287" s="1964">
        <v>26250000</v>
      </c>
      <c r="O287" s="4254">
        <f t="shared" si="47"/>
        <v>0</v>
      </c>
      <c r="P287" s="4061">
        <f t="shared" si="46"/>
        <v>0</v>
      </c>
      <c r="Q287" s="4839"/>
    </row>
    <row r="288" spans="1:17" s="2070" customFormat="1">
      <c r="A288" s="4048"/>
      <c r="B288" s="4048"/>
      <c r="C288" s="4048"/>
      <c r="D288" s="4048"/>
      <c r="E288" s="4048"/>
      <c r="F288" s="4049"/>
      <c r="G288" s="4067"/>
      <c r="H288" s="4060" t="s">
        <v>50</v>
      </c>
      <c r="I288" s="4060" t="s">
        <v>160</v>
      </c>
      <c r="J288" s="1964">
        <v>75000000</v>
      </c>
      <c r="K288" s="2159">
        <v>1000000</v>
      </c>
      <c r="L288" s="2160">
        <v>5500000</v>
      </c>
      <c r="M288" s="4253">
        <f t="shared" si="45"/>
        <v>6500000</v>
      </c>
      <c r="N288" s="1964">
        <v>75000000</v>
      </c>
      <c r="O288" s="4254">
        <f t="shared" si="47"/>
        <v>0</v>
      </c>
      <c r="P288" s="4061">
        <f t="shared" si="46"/>
        <v>0</v>
      </c>
      <c r="Q288" s="4839"/>
    </row>
    <row r="289" spans="1:17" s="2070" customFormat="1" ht="5.95" customHeight="1">
      <c r="A289" s="4048"/>
      <c r="B289" s="4048"/>
      <c r="C289" s="4048"/>
      <c r="D289" s="4048"/>
      <c r="E289" s="4048"/>
      <c r="F289" s="4049"/>
      <c r="G289" s="4067"/>
      <c r="H289" s="4060"/>
      <c r="I289" s="4060"/>
      <c r="J289" s="2309"/>
      <c r="K289" s="2159"/>
      <c r="L289" s="2309"/>
      <c r="M289" s="4253"/>
      <c r="N289" s="4253"/>
      <c r="O289" s="4254">
        <f t="shared" si="47"/>
        <v>0</v>
      </c>
      <c r="P289" s="4057">
        <f>O289-K289</f>
        <v>0</v>
      </c>
      <c r="Q289" s="4839"/>
    </row>
    <row r="290" spans="1:17" s="2070" customFormat="1">
      <c r="A290" s="4065">
        <v>4</v>
      </c>
      <c r="B290" s="4065">
        <v>1</v>
      </c>
      <c r="C290" s="4065">
        <v>4</v>
      </c>
      <c r="D290" s="4048"/>
      <c r="E290" s="4048"/>
      <c r="F290" s="4066">
        <v>3</v>
      </c>
      <c r="G290" s="4067"/>
      <c r="H290" s="4068" t="s">
        <v>71</v>
      </c>
      <c r="I290" s="4068"/>
      <c r="J290" s="4541">
        <v>0</v>
      </c>
      <c r="K290" s="2159">
        <v>10809500</v>
      </c>
      <c r="L290" s="4541">
        <f>SUM(L291:L295)</f>
        <v>11463600</v>
      </c>
      <c r="M290" s="4253">
        <f t="shared" ref="M290:M295" si="48">SUM(K290:L290)</f>
        <v>22273100</v>
      </c>
      <c r="N290" s="4253"/>
      <c r="O290" s="4254">
        <f t="shared" si="47"/>
        <v>0</v>
      </c>
      <c r="P290" s="4061">
        <v>0</v>
      </c>
      <c r="Q290" s="4839"/>
    </row>
    <row r="291" spans="1:17" s="2070" customFormat="1">
      <c r="A291" s="4065">
        <v>4</v>
      </c>
      <c r="B291" s="4065">
        <v>1</v>
      </c>
      <c r="C291" s="4065">
        <v>4</v>
      </c>
      <c r="D291" s="4065" t="s">
        <v>441</v>
      </c>
      <c r="E291" s="4048"/>
      <c r="F291" s="4049"/>
      <c r="G291" s="4067"/>
      <c r="H291" s="4062" t="s">
        <v>50</v>
      </c>
      <c r="I291" s="4060" t="s">
        <v>72</v>
      </c>
      <c r="J291" s="1964">
        <v>0</v>
      </c>
      <c r="K291" s="2159">
        <v>0</v>
      </c>
      <c r="L291" s="2160">
        <f>'[2]ALL BULAN'!E292</f>
        <v>0</v>
      </c>
      <c r="M291" s="4253">
        <f t="shared" si="48"/>
        <v>0</v>
      </c>
      <c r="N291" s="4253"/>
      <c r="O291" s="4254">
        <f t="shared" si="47"/>
        <v>0</v>
      </c>
      <c r="P291" s="4061">
        <v>0</v>
      </c>
      <c r="Q291" s="4839"/>
    </row>
    <row r="292" spans="1:17" s="2070" customFormat="1">
      <c r="A292" s="4074">
        <v>4</v>
      </c>
      <c r="B292" s="4074">
        <v>1</v>
      </c>
      <c r="C292" s="4074" t="s">
        <v>443</v>
      </c>
      <c r="D292" s="4074" t="s">
        <v>444</v>
      </c>
      <c r="E292" s="4074" t="s">
        <v>440</v>
      </c>
      <c r="F292" s="4049"/>
      <c r="G292" s="4067"/>
      <c r="H292" s="4062" t="s">
        <v>50</v>
      </c>
      <c r="I292" s="4060" t="s">
        <v>73</v>
      </c>
      <c r="J292" s="1964">
        <v>0</v>
      </c>
      <c r="K292" s="2159">
        <v>0</v>
      </c>
      <c r="L292" s="2160">
        <v>11463600</v>
      </c>
      <c r="M292" s="4253">
        <f t="shared" si="48"/>
        <v>11463600</v>
      </c>
      <c r="N292" s="4253"/>
      <c r="O292" s="4254">
        <f t="shared" si="47"/>
        <v>0</v>
      </c>
      <c r="P292" s="4061">
        <v>0</v>
      </c>
      <c r="Q292" s="4839"/>
    </row>
    <row r="293" spans="1:17" s="2070" customFormat="1">
      <c r="A293" s="4069">
        <v>4</v>
      </c>
      <c r="B293" s="4069">
        <v>1</v>
      </c>
      <c r="C293" s="4069" t="s">
        <v>443</v>
      </c>
      <c r="D293" s="4069" t="s">
        <v>444</v>
      </c>
      <c r="E293" s="4070" t="s">
        <v>445</v>
      </c>
      <c r="F293" s="4049"/>
      <c r="G293" s="4067"/>
      <c r="H293" s="4062" t="s">
        <v>50</v>
      </c>
      <c r="I293" s="4060" t="s">
        <v>74</v>
      </c>
      <c r="J293" s="1964">
        <v>0</v>
      </c>
      <c r="K293" s="2159">
        <v>0</v>
      </c>
      <c r="L293" s="2160">
        <v>0</v>
      </c>
      <c r="M293" s="4253">
        <f t="shared" si="48"/>
        <v>0</v>
      </c>
      <c r="N293" s="4253"/>
      <c r="O293" s="4254">
        <f t="shared" si="47"/>
        <v>0</v>
      </c>
      <c r="P293" s="4061">
        <v>0</v>
      </c>
      <c r="Q293" s="4839"/>
    </row>
    <row r="294" spans="1:17" s="2070" customFormat="1">
      <c r="A294" s="4101">
        <v>4</v>
      </c>
      <c r="B294" s="4101">
        <v>1</v>
      </c>
      <c r="C294" s="4101" t="s">
        <v>443</v>
      </c>
      <c r="D294" s="4101" t="s">
        <v>444</v>
      </c>
      <c r="E294" s="4101" t="s">
        <v>441</v>
      </c>
      <c r="F294" s="4049"/>
      <c r="G294" s="4067"/>
      <c r="H294" s="4060" t="s">
        <v>308</v>
      </c>
      <c r="I294" s="4090" t="s">
        <v>75</v>
      </c>
      <c r="J294" s="1964">
        <v>0</v>
      </c>
      <c r="K294" s="2159">
        <v>0</v>
      </c>
      <c r="L294" s="2160">
        <v>0</v>
      </c>
      <c r="M294" s="4253">
        <f t="shared" si="48"/>
        <v>0</v>
      </c>
      <c r="N294" s="4253"/>
      <c r="O294" s="4254">
        <f t="shared" si="47"/>
        <v>0</v>
      </c>
      <c r="P294" s="4061">
        <v>0</v>
      </c>
      <c r="Q294" s="4839"/>
    </row>
    <row r="295" spans="1:17" s="2070" customFormat="1">
      <c r="A295" s="4079">
        <v>4</v>
      </c>
      <c r="B295" s="4079">
        <v>1</v>
      </c>
      <c r="C295" s="4079" t="s">
        <v>443</v>
      </c>
      <c r="D295" s="4079" t="s">
        <v>447</v>
      </c>
      <c r="E295" s="4093" t="s">
        <v>437</v>
      </c>
      <c r="F295" s="4049"/>
      <c r="G295" s="4067"/>
      <c r="H295" s="4062" t="s">
        <v>50</v>
      </c>
      <c r="I295" s="4090" t="s">
        <v>85</v>
      </c>
      <c r="J295" s="1964">
        <v>0</v>
      </c>
      <c r="K295" s="2159">
        <v>10809500</v>
      </c>
      <c r="L295" s="2160">
        <v>0</v>
      </c>
      <c r="M295" s="4253">
        <f t="shared" si="48"/>
        <v>10809500</v>
      </c>
      <c r="N295" s="4253"/>
      <c r="O295" s="4254">
        <f t="shared" si="47"/>
        <v>0</v>
      </c>
      <c r="P295" s="4061">
        <v>0</v>
      </c>
      <c r="Q295" s="4839"/>
    </row>
    <row r="296" spans="1:17" s="2070" customFormat="1" ht="5.35" customHeight="1">
      <c r="A296" s="4048"/>
      <c r="B296" s="4048"/>
      <c r="C296" s="4048"/>
      <c r="D296" s="4048"/>
      <c r="E296" s="4048"/>
      <c r="F296" s="4049"/>
      <c r="G296" s="4102"/>
      <c r="H296" s="4171"/>
      <c r="I296" s="4171"/>
      <c r="J296" s="4548">
        <v>0</v>
      </c>
      <c r="K296" s="2183">
        <v>0</v>
      </c>
      <c r="L296" s="4548">
        <v>0</v>
      </c>
      <c r="M296" s="4549">
        <v>0</v>
      </c>
      <c r="N296" s="4549"/>
      <c r="O296" s="4254">
        <f t="shared" si="47"/>
        <v>0</v>
      </c>
      <c r="P296" s="4172">
        <v>0</v>
      </c>
      <c r="Q296" s="4839"/>
    </row>
    <row r="297" spans="1:17" s="2073" customFormat="1" ht="15.05">
      <c r="A297" s="4039"/>
      <c r="B297" s="4039"/>
      <c r="C297" s="4039"/>
      <c r="D297" s="4039"/>
      <c r="E297" s="4039"/>
      <c r="F297" s="4040"/>
      <c r="G297" s="4041"/>
      <c r="H297" s="4097" t="s">
        <v>161</v>
      </c>
      <c r="I297" s="4173" t="s">
        <v>162</v>
      </c>
      <c r="J297" s="4545">
        <v>0</v>
      </c>
      <c r="K297" s="4520">
        <v>0</v>
      </c>
      <c r="L297" s="4545">
        <f>SUM(L298)</f>
        <v>0</v>
      </c>
      <c r="M297" s="4519">
        <f t="shared" ref="M297:M303" si="49">SUM(K297:L297)</f>
        <v>0</v>
      </c>
      <c r="N297" s="4519"/>
      <c r="O297" s="4519">
        <f>M297-J297</f>
        <v>0</v>
      </c>
      <c r="P297" s="4044">
        <f>O297-K297</f>
        <v>0</v>
      </c>
      <c r="Q297" s="4840"/>
    </row>
    <row r="298" spans="1:17" s="2070" customFormat="1">
      <c r="A298" s="4065">
        <v>4</v>
      </c>
      <c r="B298" s="4065">
        <v>1</v>
      </c>
      <c r="C298" s="4065">
        <v>4</v>
      </c>
      <c r="D298" s="4048"/>
      <c r="E298" s="4048"/>
      <c r="F298" s="4066">
        <v>3</v>
      </c>
      <c r="G298" s="4067"/>
      <c r="H298" s="4068" t="s">
        <v>71</v>
      </c>
      <c r="I298" s="4068"/>
      <c r="J298" s="4546">
        <v>0</v>
      </c>
      <c r="K298" s="2159">
        <v>0</v>
      </c>
      <c r="L298" s="4546">
        <f>SUM(L299:L303)</f>
        <v>0</v>
      </c>
      <c r="M298" s="4253">
        <f t="shared" si="49"/>
        <v>0</v>
      </c>
      <c r="N298" s="4253"/>
      <c r="O298" s="4254">
        <f t="shared" ref="O298:O303" si="50">M298-J298</f>
        <v>0</v>
      </c>
      <c r="P298" s="4061">
        <v>0</v>
      </c>
      <c r="Q298" s="4839"/>
    </row>
    <row r="299" spans="1:17" s="2070" customFormat="1">
      <c r="A299" s="4065">
        <v>4</v>
      </c>
      <c r="B299" s="4065">
        <v>1</v>
      </c>
      <c r="C299" s="4065">
        <v>4</v>
      </c>
      <c r="D299" s="4065" t="s">
        <v>441</v>
      </c>
      <c r="E299" s="4048"/>
      <c r="F299" s="4049"/>
      <c r="G299" s="4067"/>
      <c r="H299" s="4062" t="s">
        <v>50</v>
      </c>
      <c r="I299" s="4060" t="s">
        <v>72</v>
      </c>
      <c r="J299" s="1964">
        <v>0</v>
      </c>
      <c r="K299" s="2159">
        <v>0</v>
      </c>
      <c r="L299" s="2160">
        <f>'[2]ALL BULAN'!E300</f>
        <v>0</v>
      </c>
      <c r="M299" s="4253">
        <f t="shared" si="49"/>
        <v>0</v>
      </c>
      <c r="N299" s="4253"/>
      <c r="O299" s="4254">
        <f t="shared" si="50"/>
        <v>0</v>
      </c>
      <c r="P299" s="4061">
        <v>0</v>
      </c>
      <c r="Q299" s="4839"/>
    </row>
    <row r="300" spans="1:17" s="2070" customFormat="1">
      <c r="A300" s="4074">
        <v>4</v>
      </c>
      <c r="B300" s="4074">
        <v>1</v>
      </c>
      <c r="C300" s="4074" t="s">
        <v>443</v>
      </c>
      <c r="D300" s="4074" t="s">
        <v>444</v>
      </c>
      <c r="E300" s="4074" t="s">
        <v>440</v>
      </c>
      <c r="F300" s="4049"/>
      <c r="G300" s="4067"/>
      <c r="H300" s="4062" t="s">
        <v>50</v>
      </c>
      <c r="I300" s="4060" t="s">
        <v>73</v>
      </c>
      <c r="J300" s="1964">
        <v>0</v>
      </c>
      <c r="K300" s="2159">
        <v>0</v>
      </c>
      <c r="L300" s="2160">
        <f>'[2]ALL BULAN'!E301</f>
        <v>0</v>
      </c>
      <c r="M300" s="4253">
        <f t="shared" si="49"/>
        <v>0</v>
      </c>
      <c r="N300" s="4253"/>
      <c r="O300" s="4254">
        <f t="shared" si="50"/>
        <v>0</v>
      </c>
      <c r="P300" s="4061">
        <v>0</v>
      </c>
      <c r="Q300" s="4839"/>
    </row>
    <row r="301" spans="1:17" s="2070" customFormat="1">
      <c r="A301" s="4069">
        <v>4</v>
      </c>
      <c r="B301" s="4069">
        <v>1</v>
      </c>
      <c r="C301" s="4069" t="s">
        <v>443</v>
      </c>
      <c r="D301" s="4069" t="s">
        <v>444</v>
      </c>
      <c r="E301" s="4070" t="s">
        <v>445</v>
      </c>
      <c r="F301" s="4049"/>
      <c r="G301" s="4067"/>
      <c r="H301" s="4062" t="s">
        <v>50</v>
      </c>
      <c r="I301" s="4060" t="s">
        <v>74</v>
      </c>
      <c r="J301" s="1964">
        <v>0</v>
      </c>
      <c r="K301" s="2159">
        <v>0</v>
      </c>
      <c r="L301" s="2160">
        <f>'[2]ALL BULAN'!E302</f>
        <v>0</v>
      </c>
      <c r="M301" s="4253">
        <f t="shared" si="49"/>
        <v>0</v>
      </c>
      <c r="N301" s="4253"/>
      <c r="O301" s="4254">
        <f t="shared" si="50"/>
        <v>0</v>
      </c>
      <c r="P301" s="4061">
        <v>0</v>
      </c>
      <c r="Q301" s="4839"/>
    </row>
    <row r="302" spans="1:17" s="2070" customFormat="1">
      <c r="A302" s="4101">
        <v>4</v>
      </c>
      <c r="B302" s="4101">
        <v>1</v>
      </c>
      <c r="C302" s="4101" t="s">
        <v>443</v>
      </c>
      <c r="D302" s="4101" t="s">
        <v>444</v>
      </c>
      <c r="E302" s="4101" t="s">
        <v>441</v>
      </c>
      <c r="F302" s="4049"/>
      <c r="G302" s="4067"/>
      <c r="H302" s="4060" t="s">
        <v>308</v>
      </c>
      <c r="I302" s="4090" t="s">
        <v>75</v>
      </c>
      <c r="J302" s="1964">
        <v>0</v>
      </c>
      <c r="K302" s="2159">
        <v>0</v>
      </c>
      <c r="L302" s="2160">
        <f>'[2]ALL BULAN'!E303</f>
        <v>0</v>
      </c>
      <c r="M302" s="4253">
        <f t="shared" si="49"/>
        <v>0</v>
      </c>
      <c r="N302" s="4253"/>
      <c r="O302" s="4254">
        <f t="shared" si="50"/>
        <v>0</v>
      </c>
      <c r="P302" s="4061">
        <v>0</v>
      </c>
      <c r="Q302" s="4839"/>
    </row>
    <row r="303" spans="1:17" s="2070" customFormat="1">
      <c r="A303" s="4079">
        <v>4</v>
      </c>
      <c r="B303" s="4079">
        <v>1</v>
      </c>
      <c r="C303" s="4079" t="s">
        <v>443</v>
      </c>
      <c r="D303" s="4079" t="s">
        <v>447</v>
      </c>
      <c r="E303" s="4093" t="s">
        <v>437</v>
      </c>
      <c r="F303" s="4049"/>
      <c r="G303" s="4067"/>
      <c r="H303" s="4062" t="s">
        <v>50</v>
      </c>
      <c r="I303" s="4090" t="s">
        <v>85</v>
      </c>
      <c r="J303" s="1964">
        <v>0</v>
      </c>
      <c r="K303" s="2159">
        <v>0</v>
      </c>
      <c r="L303" s="2160">
        <f>'[2]ALL BULAN'!E304</f>
        <v>0</v>
      </c>
      <c r="M303" s="4253">
        <f t="shared" si="49"/>
        <v>0</v>
      </c>
      <c r="N303" s="4253"/>
      <c r="O303" s="4254">
        <f t="shared" si="50"/>
        <v>0</v>
      </c>
      <c r="P303" s="4061">
        <v>0</v>
      </c>
      <c r="Q303" s="4839"/>
    </row>
    <row r="304" spans="1:17" s="2070" customFormat="1" ht="5.35" customHeight="1">
      <c r="A304" s="4048"/>
      <c r="B304" s="4048"/>
      <c r="C304" s="4048"/>
      <c r="D304" s="4048"/>
      <c r="E304" s="4048"/>
      <c r="F304" s="4049"/>
      <c r="G304" s="4102"/>
      <c r="H304" s="4083"/>
      <c r="I304" s="4083"/>
      <c r="J304" s="2314"/>
      <c r="K304" s="2220"/>
      <c r="L304" s="2314"/>
      <c r="M304" s="2315"/>
      <c r="N304" s="2315"/>
      <c r="O304" s="2315"/>
      <c r="P304" s="4174"/>
      <c r="Q304" s="4839"/>
    </row>
    <row r="305" spans="1:17" s="2073" customFormat="1" ht="15.05">
      <c r="A305" s="4039"/>
      <c r="B305" s="4039"/>
      <c r="C305" s="4039"/>
      <c r="D305" s="4039"/>
      <c r="E305" s="4039"/>
      <c r="F305" s="4040"/>
      <c r="G305" s="4041"/>
      <c r="H305" s="4097" t="s">
        <v>163</v>
      </c>
      <c r="I305" s="4173" t="s">
        <v>164</v>
      </c>
      <c r="J305" s="4545">
        <v>0</v>
      </c>
      <c r="K305" s="4520">
        <v>0</v>
      </c>
      <c r="L305" s="4545">
        <f>SUM(L306)</f>
        <v>0</v>
      </c>
      <c r="M305" s="4519">
        <f t="shared" ref="M305:M311" si="51">SUM(K305:L305)</f>
        <v>0</v>
      </c>
      <c r="N305" s="4519"/>
      <c r="O305" s="4519">
        <f>M305-J305</f>
        <v>0</v>
      </c>
      <c r="P305" s="4044">
        <f>O305-K305</f>
        <v>0</v>
      </c>
      <c r="Q305" s="4840"/>
    </row>
    <row r="306" spans="1:17" s="2070" customFormat="1">
      <c r="A306" s="4065">
        <v>4</v>
      </c>
      <c r="B306" s="4065">
        <v>1</v>
      </c>
      <c r="C306" s="4065">
        <v>4</v>
      </c>
      <c r="D306" s="4048"/>
      <c r="E306" s="4048"/>
      <c r="F306" s="4066">
        <v>3</v>
      </c>
      <c r="G306" s="4067"/>
      <c r="H306" s="4068" t="s">
        <v>71</v>
      </c>
      <c r="I306" s="4068"/>
      <c r="J306" s="4546">
        <v>0</v>
      </c>
      <c r="K306" s="2159">
        <v>0</v>
      </c>
      <c r="L306" s="4546">
        <f>SUM(L307:L311)</f>
        <v>0</v>
      </c>
      <c r="M306" s="4253">
        <f t="shared" si="51"/>
        <v>0</v>
      </c>
      <c r="N306" s="4253"/>
      <c r="O306" s="4254">
        <f t="shared" ref="O306:O311" si="52">M306-J306</f>
        <v>0</v>
      </c>
      <c r="P306" s="4061">
        <v>0</v>
      </c>
      <c r="Q306" s="4839"/>
    </row>
    <row r="307" spans="1:17" s="2070" customFormat="1">
      <c r="A307" s="4065">
        <v>4</v>
      </c>
      <c r="B307" s="4065">
        <v>1</v>
      </c>
      <c r="C307" s="4065">
        <v>4</v>
      </c>
      <c r="D307" s="4065" t="s">
        <v>441</v>
      </c>
      <c r="E307" s="4048"/>
      <c r="F307" s="4049"/>
      <c r="G307" s="4067"/>
      <c r="H307" s="4062" t="s">
        <v>50</v>
      </c>
      <c r="I307" s="4060" t="s">
        <v>72</v>
      </c>
      <c r="J307" s="1964">
        <v>0</v>
      </c>
      <c r="K307" s="2159">
        <v>0</v>
      </c>
      <c r="L307" s="2160">
        <f>'[2]ALL BULAN'!E308</f>
        <v>0</v>
      </c>
      <c r="M307" s="4253">
        <f t="shared" si="51"/>
        <v>0</v>
      </c>
      <c r="N307" s="4253"/>
      <c r="O307" s="4254">
        <f t="shared" si="52"/>
        <v>0</v>
      </c>
      <c r="P307" s="4061">
        <v>0</v>
      </c>
      <c r="Q307" s="4839"/>
    </row>
    <row r="308" spans="1:17" s="2070" customFormat="1">
      <c r="A308" s="4074">
        <v>4</v>
      </c>
      <c r="B308" s="4074">
        <v>1</v>
      </c>
      <c r="C308" s="4074" t="s">
        <v>443</v>
      </c>
      <c r="D308" s="4074" t="s">
        <v>444</v>
      </c>
      <c r="E308" s="4074" t="s">
        <v>440</v>
      </c>
      <c r="F308" s="4049"/>
      <c r="G308" s="4067"/>
      <c r="H308" s="4062" t="s">
        <v>50</v>
      </c>
      <c r="I308" s="4060" t="s">
        <v>73</v>
      </c>
      <c r="J308" s="1964">
        <v>0</v>
      </c>
      <c r="K308" s="2159">
        <v>0</v>
      </c>
      <c r="L308" s="2160">
        <f>'[2]ALL BULAN'!E309</f>
        <v>0</v>
      </c>
      <c r="M308" s="4253">
        <f t="shared" si="51"/>
        <v>0</v>
      </c>
      <c r="N308" s="4253"/>
      <c r="O308" s="4254">
        <f t="shared" si="52"/>
        <v>0</v>
      </c>
      <c r="P308" s="4061">
        <v>0</v>
      </c>
      <c r="Q308" s="4839"/>
    </row>
    <row r="309" spans="1:17" s="2070" customFormat="1">
      <c r="A309" s="4069">
        <v>4</v>
      </c>
      <c r="B309" s="4069">
        <v>1</v>
      </c>
      <c r="C309" s="4069" t="s">
        <v>443</v>
      </c>
      <c r="D309" s="4069" t="s">
        <v>444</v>
      </c>
      <c r="E309" s="4070" t="s">
        <v>445</v>
      </c>
      <c r="F309" s="4049"/>
      <c r="G309" s="4067"/>
      <c r="H309" s="4062" t="s">
        <v>50</v>
      </c>
      <c r="I309" s="4060" t="s">
        <v>74</v>
      </c>
      <c r="J309" s="1964">
        <v>0</v>
      </c>
      <c r="K309" s="2159">
        <v>0</v>
      </c>
      <c r="L309" s="2160">
        <f>'[2]ALL BULAN'!E310</f>
        <v>0</v>
      </c>
      <c r="M309" s="4253">
        <f t="shared" si="51"/>
        <v>0</v>
      </c>
      <c r="N309" s="4253"/>
      <c r="O309" s="4254">
        <f t="shared" si="52"/>
        <v>0</v>
      </c>
      <c r="P309" s="4061">
        <v>0</v>
      </c>
      <c r="Q309" s="4839"/>
    </row>
    <row r="310" spans="1:17" s="2070" customFormat="1">
      <c r="A310" s="4101">
        <v>4</v>
      </c>
      <c r="B310" s="4101">
        <v>1</v>
      </c>
      <c r="C310" s="4101" t="s">
        <v>443</v>
      </c>
      <c r="D310" s="4101" t="s">
        <v>444</v>
      </c>
      <c r="E310" s="4101" t="s">
        <v>441</v>
      </c>
      <c r="F310" s="4049"/>
      <c r="G310" s="4067"/>
      <c r="H310" s="4060" t="s">
        <v>308</v>
      </c>
      <c r="I310" s="4090" t="s">
        <v>75</v>
      </c>
      <c r="J310" s="1964">
        <v>0</v>
      </c>
      <c r="K310" s="2159">
        <v>0</v>
      </c>
      <c r="L310" s="2160">
        <f>'[2]ALL BULAN'!E311</f>
        <v>0</v>
      </c>
      <c r="M310" s="4253">
        <f t="shared" si="51"/>
        <v>0</v>
      </c>
      <c r="N310" s="4253"/>
      <c r="O310" s="4254">
        <f t="shared" si="52"/>
        <v>0</v>
      </c>
      <c r="P310" s="4061">
        <v>0</v>
      </c>
      <c r="Q310" s="4839"/>
    </row>
    <row r="311" spans="1:17" s="2070" customFormat="1">
      <c r="A311" s="4079">
        <v>4</v>
      </c>
      <c r="B311" s="4079">
        <v>1</v>
      </c>
      <c r="C311" s="4079" t="s">
        <v>443</v>
      </c>
      <c r="D311" s="4079" t="s">
        <v>447</v>
      </c>
      <c r="E311" s="4093" t="s">
        <v>437</v>
      </c>
      <c r="F311" s="4049"/>
      <c r="G311" s="4067"/>
      <c r="H311" s="4062" t="s">
        <v>50</v>
      </c>
      <c r="I311" s="4090" t="s">
        <v>85</v>
      </c>
      <c r="J311" s="1964">
        <v>0</v>
      </c>
      <c r="K311" s="2159">
        <v>0</v>
      </c>
      <c r="L311" s="2160">
        <f>'[2]ALL BULAN'!E312</f>
        <v>0</v>
      </c>
      <c r="M311" s="4253">
        <f t="shared" si="51"/>
        <v>0</v>
      </c>
      <c r="N311" s="4253"/>
      <c r="O311" s="4254">
        <f t="shared" si="52"/>
        <v>0</v>
      </c>
      <c r="P311" s="4061">
        <v>0</v>
      </c>
      <c r="Q311" s="4839"/>
    </row>
    <row r="312" spans="1:17" s="2070" customFormat="1" ht="5.35" customHeight="1">
      <c r="A312" s="4048"/>
      <c r="B312" s="4048"/>
      <c r="C312" s="4048"/>
      <c r="D312" s="4048"/>
      <c r="E312" s="4048"/>
      <c r="F312" s="4049"/>
      <c r="G312" s="4067"/>
      <c r="H312" s="4060"/>
      <c r="I312" s="4060"/>
      <c r="J312" s="2303"/>
      <c r="K312" s="2144"/>
      <c r="L312" s="2303"/>
      <c r="M312" s="2304"/>
      <c r="N312" s="2304"/>
      <c r="O312" s="2304"/>
      <c r="P312" s="4170"/>
      <c r="Q312" s="4839"/>
    </row>
    <row r="313" spans="1:17" s="2073" customFormat="1" ht="15.05">
      <c r="A313" s="4039"/>
      <c r="B313" s="4039"/>
      <c r="C313" s="4039"/>
      <c r="D313" s="4039"/>
      <c r="E313" s="4039"/>
      <c r="F313" s="4040"/>
      <c r="G313" s="4041"/>
      <c r="H313" s="4097" t="s">
        <v>165</v>
      </c>
      <c r="I313" s="4173" t="s">
        <v>166</v>
      </c>
      <c r="J313" s="4545">
        <v>0</v>
      </c>
      <c r="K313" s="4520">
        <v>0</v>
      </c>
      <c r="L313" s="4545">
        <f>SUM(L314)</f>
        <v>0</v>
      </c>
      <c r="M313" s="4519">
        <f t="shared" ref="M313:M319" si="53">SUM(K313:L313)</f>
        <v>0</v>
      </c>
      <c r="N313" s="4519"/>
      <c r="O313" s="4519">
        <f>M313-J313</f>
        <v>0</v>
      </c>
      <c r="P313" s="4044">
        <f>O313-K313</f>
        <v>0</v>
      </c>
      <c r="Q313" s="4840"/>
    </row>
    <row r="314" spans="1:17" s="2070" customFormat="1">
      <c r="A314" s="4065">
        <v>4</v>
      </c>
      <c r="B314" s="4065">
        <v>1</v>
      </c>
      <c r="C314" s="4065">
        <v>4</v>
      </c>
      <c r="D314" s="4048"/>
      <c r="E314" s="4048"/>
      <c r="F314" s="4066">
        <v>3</v>
      </c>
      <c r="G314" s="4067"/>
      <c r="H314" s="4068" t="s">
        <v>71</v>
      </c>
      <c r="I314" s="4068"/>
      <c r="J314" s="4546">
        <v>0</v>
      </c>
      <c r="K314" s="2159">
        <v>0</v>
      </c>
      <c r="L314" s="4546">
        <f>SUM(L315:L319)</f>
        <v>0</v>
      </c>
      <c r="M314" s="4253">
        <f t="shared" si="53"/>
        <v>0</v>
      </c>
      <c r="N314" s="4253"/>
      <c r="O314" s="4254">
        <f t="shared" ref="O314:O319" si="54">M314-J314</f>
        <v>0</v>
      </c>
      <c r="P314" s="4061">
        <v>0</v>
      </c>
      <c r="Q314" s="4839"/>
    </row>
    <row r="315" spans="1:17" s="2070" customFormat="1">
      <c r="A315" s="4065">
        <v>4</v>
      </c>
      <c r="B315" s="4065">
        <v>1</v>
      </c>
      <c r="C315" s="4065">
        <v>4</v>
      </c>
      <c r="D315" s="4065" t="s">
        <v>441</v>
      </c>
      <c r="E315" s="4048"/>
      <c r="F315" s="4049"/>
      <c r="G315" s="4067"/>
      <c r="H315" s="4062" t="s">
        <v>50</v>
      </c>
      <c r="I315" s="4060" t="s">
        <v>72</v>
      </c>
      <c r="J315" s="1964">
        <v>0</v>
      </c>
      <c r="K315" s="2159">
        <v>0</v>
      </c>
      <c r="L315" s="2160">
        <f>'[2]ALL BULAN'!E316</f>
        <v>0</v>
      </c>
      <c r="M315" s="4253">
        <f t="shared" si="53"/>
        <v>0</v>
      </c>
      <c r="N315" s="4253"/>
      <c r="O315" s="4254">
        <f t="shared" si="54"/>
        <v>0</v>
      </c>
      <c r="P315" s="4061">
        <v>0</v>
      </c>
      <c r="Q315" s="4839"/>
    </row>
    <row r="316" spans="1:17" s="2070" customFormat="1">
      <c r="A316" s="4074">
        <v>4</v>
      </c>
      <c r="B316" s="4074">
        <v>1</v>
      </c>
      <c r="C316" s="4074" t="s">
        <v>443</v>
      </c>
      <c r="D316" s="4074" t="s">
        <v>444</v>
      </c>
      <c r="E316" s="4074" t="s">
        <v>440</v>
      </c>
      <c r="F316" s="4049"/>
      <c r="G316" s="4067"/>
      <c r="H316" s="4062" t="s">
        <v>50</v>
      </c>
      <c r="I316" s="4060" t="s">
        <v>73</v>
      </c>
      <c r="J316" s="1964">
        <v>0</v>
      </c>
      <c r="K316" s="2159">
        <v>0</v>
      </c>
      <c r="L316" s="2160">
        <f>'[2]ALL BULAN'!E317</f>
        <v>0</v>
      </c>
      <c r="M316" s="4253">
        <f t="shared" si="53"/>
        <v>0</v>
      </c>
      <c r="N316" s="4253"/>
      <c r="O316" s="4254">
        <f t="shared" si="54"/>
        <v>0</v>
      </c>
      <c r="P316" s="4061">
        <v>0</v>
      </c>
      <c r="Q316" s="4839"/>
    </row>
    <row r="317" spans="1:17" s="2070" customFormat="1">
      <c r="A317" s="4069">
        <v>4</v>
      </c>
      <c r="B317" s="4069">
        <v>1</v>
      </c>
      <c r="C317" s="4069" t="s">
        <v>443</v>
      </c>
      <c r="D317" s="4069" t="s">
        <v>444</v>
      </c>
      <c r="E317" s="4070" t="s">
        <v>445</v>
      </c>
      <c r="F317" s="4049"/>
      <c r="G317" s="4067"/>
      <c r="H317" s="4062" t="s">
        <v>50</v>
      </c>
      <c r="I317" s="4060" t="s">
        <v>74</v>
      </c>
      <c r="J317" s="1964">
        <v>0</v>
      </c>
      <c r="K317" s="2159">
        <v>0</v>
      </c>
      <c r="L317" s="2160">
        <f>'[2]ALL BULAN'!E318</f>
        <v>0</v>
      </c>
      <c r="M317" s="4253">
        <f t="shared" si="53"/>
        <v>0</v>
      </c>
      <c r="N317" s="4253"/>
      <c r="O317" s="4254">
        <f t="shared" si="54"/>
        <v>0</v>
      </c>
      <c r="P317" s="4061">
        <v>0</v>
      </c>
      <c r="Q317" s="4839"/>
    </row>
    <row r="318" spans="1:17" s="2070" customFormat="1">
      <c r="A318" s="4101">
        <v>4</v>
      </c>
      <c r="B318" s="4101">
        <v>1</v>
      </c>
      <c r="C318" s="4101" t="s">
        <v>443</v>
      </c>
      <c r="D318" s="4101" t="s">
        <v>444</v>
      </c>
      <c r="E318" s="4101" t="s">
        <v>441</v>
      </c>
      <c r="F318" s="4049"/>
      <c r="G318" s="4067"/>
      <c r="H318" s="4060" t="s">
        <v>308</v>
      </c>
      <c r="I318" s="4090" t="s">
        <v>75</v>
      </c>
      <c r="J318" s="1964">
        <v>0</v>
      </c>
      <c r="K318" s="2159">
        <v>0</v>
      </c>
      <c r="L318" s="2160">
        <f>'[2]ALL BULAN'!E319</f>
        <v>0</v>
      </c>
      <c r="M318" s="4253">
        <f t="shared" si="53"/>
        <v>0</v>
      </c>
      <c r="N318" s="4253"/>
      <c r="O318" s="4254">
        <f t="shared" si="54"/>
        <v>0</v>
      </c>
      <c r="P318" s="4061">
        <v>0</v>
      </c>
      <c r="Q318" s="4839"/>
    </row>
    <row r="319" spans="1:17" s="2070" customFormat="1">
      <c r="A319" s="4079">
        <v>4</v>
      </c>
      <c r="B319" s="4079">
        <v>1</v>
      </c>
      <c r="C319" s="4079" t="s">
        <v>443</v>
      </c>
      <c r="D319" s="4079" t="s">
        <v>447</v>
      </c>
      <c r="E319" s="4093" t="s">
        <v>437</v>
      </c>
      <c r="F319" s="4049"/>
      <c r="G319" s="4067"/>
      <c r="H319" s="4062" t="s">
        <v>50</v>
      </c>
      <c r="I319" s="4090" t="s">
        <v>85</v>
      </c>
      <c r="J319" s="1964">
        <v>0</v>
      </c>
      <c r="K319" s="2159">
        <v>0</v>
      </c>
      <c r="L319" s="2160">
        <f>'[2]ALL BULAN'!E320</f>
        <v>0</v>
      </c>
      <c r="M319" s="4253">
        <f t="shared" si="53"/>
        <v>0</v>
      </c>
      <c r="N319" s="4253"/>
      <c r="O319" s="4254">
        <f t="shared" si="54"/>
        <v>0</v>
      </c>
      <c r="P319" s="4061">
        <v>0</v>
      </c>
      <c r="Q319" s="4839"/>
    </row>
    <row r="320" spans="1:17" s="2070" customFormat="1" ht="4.55" customHeight="1">
      <c r="A320" s="4048"/>
      <c r="B320" s="4048"/>
      <c r="C320" s="4048"/>
      <c r="D320" s="4048"/>
      <c r="E320" s="4048"/>
      <c r="F320" s="4049"/>
      <c r="G320" s="4067"/>
      <c r="H320" s="4060"/>
      <c r="I320" s="4131"/>
      <c r="J320" s="2309"/>
      <c r="K320" s="2317"/>
      <c r="L320" s="2309"/>
      <c r="M320" s="2318"/>
      <c r="N320" s="2318"/>
      <c r="O320" s="2318"/>
      <c r="P320" s="4175"/>
      <c r="Q320" s="4839"/>
    </row>
    <row r="321" spans="1:17" s="2070" customFormat="1" ht="15.05">
      <c r="A321" s="4048"/>
      <c r="B321" s="4048"/>
      <c r="C321" s="4048"/>
      <c r="D321" s="4048"/>
      <c r="E321" s="4048"/>
      <c r="F321" s="4049"/>
      <c r="G321" s="4176"/>
      <c r="H321" s="4177" t="s">
        <v>167</v>
      </c>
      <c r="I321" s="4173" t="s">
        <v>168</v>
      </c>
      <c r="J321" s="4550">
        <v>0</v>
      </c>
      <c r="K321" s="4520">
        <v>0</v>
      </c>
      <c r="L321" s="4550">
        <f>SUM(L322)</f>
        <v>0</v>
      </c>
      <c r="M321" s="4519">
        <f t="shared" ref="M321:M327" si="55">SUM(K321:L321)</f>
        <v>0</v>
      </c>
      <c r="N321" s="4519"/>
      <c r="O321" s="4519">
        <f>M321-J321</f>
        <v>0</v>
      </c>
      <c r="P321" s="4044">
        <f>O321-K321</f>
        <v>0</v>
      </c>
      <c r="Q321" s="4839"/>
    </row>
    <row r="322" spans="1:17" s="2070" customFormat="1">
      <c r="A322" s="4065">
        <v>4</v>
      </c>
      <c r="B322" s="4065">
        <v>1</v>
      </c>
      <c r="C322" s="4065">
        <v>4</v>
      </c>
      <c r="D322" s="4048"/>
      <c r="E322" s="4048"/>
      <c r="F322" s="4066">
        <v>3</v>
      </c>
      <c r="G322" s="4178"/>
      <c r="H322" s="4179" t="s">
        <v>71</v>
      </c>
      <c r="I322" s="4179"/>
      <c r="J322" s="4551">
        <v>0</v>
      </c>
      <c r="K322" s="2159">
        <v>0</v>
      </c>
      <c r="L322" s="4551">
        <f>SUM(L323:L327)</f>
        <v>0</v>
      </c>
      <c r="M322" s="4253">
        <f t="shared" si="55"/>
        <v>0</v>
      </c>
      <c r="N322" s="4253"/>
      <c r="O322" s="4254">
        <f t="shared" ref="O322:O327" si="56">M322-J322</f>
        <v>0</v>
      </c>
      <c r="P322" s="4061">
        <v>0</v>
      </c>
      <c r="Q322" s="4839"/>
    </row>
    <row r="323" spans="1:17" s="2070" customFormat="1">
      <c r="A323" s="4065">
        <v>4</v>
      </c>
      <c r="B323" s="4065">
        <v>1</v>
      </c>
      <c r="C323" s="4065">
        <v>4</v>
      </c>
      <c r="D323" s="4065" t="s">
        <v>441</v>
      </c>
      <c r="E323" s="4048"/>
      <c r="F323" s="4049"/>
      <c r="G323" s="4178"/>
      <c r="H323" s="4060" t="s">
        <v>50</v>
      </c>
      <c r="I323" s="4126" t="s">
        <v>73</v>
      </c>
      <c r="J323" s="1964">
        <v>0</v>
      </c>
      <c r="K323" s="2159">
        <v>0</v>
      </c>
      <c r="L323" s="2160">
        <f>'[2]ALL BULAN'!E324</f>
        <v>0</v>
      </c>
      <c r="M323" s="4253">
        <f t="shared" si="55"/>
        <v>0</v>
      </c>
      <c r="N323" s="4253"/>
      <c r="O323" s="4254">
        <f t="shared" si="56"/>
        <v>0</v>
      </c>
      <c r="P323" s="4061">
        <v>0</v>
      </c>
      <c r="Q323" s="4839"/>
    </row>
    <row r="324" spans="1:17" s="2070" customFormat="1">
      <c r="A324" s="4074">
        <v>4</v>
      </c>
      <c r="B324" s="4074">
        <v>1</v>
      </c>
      <c r="C324" s="4074" t="s">
        <v>443</v>
      </c>
      <c r="D324" s="4074" t="s">
        <v>444</v>
      </c>
      <c r="E324" s="4074" t="s">
        <v>440</v>
      </c>
      <c r="F324" s="4049"/>
      <c r="G324" s="4178"/>
      <c r="H324" s="4060" t="s">
        <v>50</v>
      </c>
      <c r="I324" s="4060" t="s">
        <v>74</v>
      </c>
      <c r="J324" s="1964">
        <v>0</v>
      </c>
      <c r="K324" s="2159">
        <v>0</v>
      </c>
      <c r="L324" s="2160">
        <f>'[2]ALL BULAN'!E325</f>
        <v>0</v>
      </c>
      <c r="M324" s="4253">
        <f t="shared" si="55"/>
        <v>0</v>
      </c>
      <c r="N324" s="4253"/>
      <c r="O324" s="4254">
        <f t="shared" si="56"/>
        <v>0</v>
      </c>
      <c r="P324" s="4061">
        <v>0</v>
      </c>
      <c r="Q324" s="4839"/>
    </row>
    <row r="325" spans="1:17" s="2070" customFormat="1">
      <c r="A325" s="4069">
        <v>4</v>
      </c>
      <c r="B325" s="4069">
        <v>1</v>
      </c>
      <c r="C325" s="4069" t="s">
        <v>443</v>
      </c>
      <c r="D325" s="4069" t="s">
        <v>444</v>
      </c>
      <c r="E325" s="4070" t="s">
        <v>445</v>
      </c>
      <c r="F325" s="4049"/>
      <c r="G325" s="4178"/>
      <c r="H325" s="4060" t="s">
        <v>308</v>
      </c>
      <c r="I325" s="4060" t="s">
        <v>75</v>
      </c>
      <c r="J325" s="1964">
        <v>0</v>
      </c>
      <c r="K325" s="2159">
        <v>0</v>
      </c>
      <c r="L325" s="2160">
        <f>'[2]ALL BULAN'!E326</f>
        <v>0</v>
      </c>
      <c r="M325" s="4253">
        <f t="shared" si="55"/>
        <v>0</v>
      </c>
      <c r="N325" s="4253"/>
      <c r="O325" s="4254">
        <f t="shared" si="56"/>
        <v>0</v>
      </c>
      <c r="P325" s="4061">
        <v>0</v>
      </c>
      <c r="Q325" s="4839"/>
    </row>
    <row r="326" spans="1:17" s="2070" customFormat="1">
      <c r="A326" s="4101">
        <v>4</v>
      </c>
      <c r="B326" s="4101">
        <v>1</v>
      </c>
      <c r="C326" s="4101" t="s">
        <v>443</v>
      </c>
      <c r="D326" s="4101" t="s">
        <v>444</v>
      </c>
      <c r="E326" s="4101" t="s">
        <v>441</v>
      </c>
      <c r="F326" s="4049"/>
      <c r="G326" s="4178"/>
      <c r="H326" s="4060" t="s">
        <v>50</v>
      </c>
      <c r="I326" s="4060" t="s">
        <v>169</v>
      </c>
      <c r="J326" s="1964">
        <v>0</v>
      </c>
      <c r="K326" s="2159">
        <v>0</v>
      </c>
      <c r="L326" s="2160">
        <f>'[2]ALL BULAN'!E327</f>
        <v>0</v>
      </c>
      <c r="M326" s="4253">
        <f t="shared" si="55"/>
        <v>0</v>
      </c>
      <c r="N326" s="4253"/>
      <c r="O326" s="4254">
        <f t="shared" si="56"/>
        <v>0</v>
      </c>
      <c r="P326" s="4061">
        <v>0</v>
      </c>
      <c r="Q326" s="4839"/>
    </row>
    <row r="327" spans="1:17" s="2070" customFormat="1">
      <c r="A327" s="4079">
        <v>4</v>
      </c>
      <c r="B327" s="4079">
        <v>1</v>
      </c>
      <c r="C327" s="4079" t="s">
        <v>443</v>
      </c>
      <c r="D327" s="4079" t="s">
        <v>447</v>
      </c>
      <c r="E327" s="4093" t="s">
        <v>437</v>
      </c>
      <c r="F327" s="4049"/>
      <c r="G327" s="4178"/>
      <c r="H327" s="4060" t="s">
        <v>50</v>
      </c>
      <c r="I327" s="4060" t="s">
        <v>85</v>
      </c>
      <c r="J327" s="1964">
        <v>0</v>
      </c>
      <c r="K327" s="2159">
        <v>0</v>
      </c>
      <c r="L327" s="2160">
        <f>'[2]ALL BULAN'!E328</f>
        <v>0</v>
      </c>
      <c r="M327" s="4253">
        <f t="shared" si="55"/>
        <v>0</v>
      </c>
      <c r="N327" s="4253"/>
      <c r="O327" s="4254">
        <f t="shared" si="56"/>
        <v>0</v>
      </c>
      <c r="P327" s="4061">
        <v>0</v>
      </c>
      <c r="Q327" s="4839"/>
    </row>
    <row r="328" spans="1:17" s="2070" customFormat="1" ht="4.55" customHeight="1">
      <c r="A328" s="4048"/>
      <c r="B328" s="4048"/>
      <c r="C328" s="4048"/>
      <c r="D328" s="4048"/>
      <c r="E328" s="4048"/>
      <c r="F328" s="4049"/>
      <c r="G328" s="4067"/>
      <c r="H328" s="4060"/>
      <c r="I328" s="4060"/>
      <c r="J328" s="2303"/>
      <c r="K328" s="2144"/>
      <c r="L328" s="2303"/>
      <c r="M328" s="2304"/>
      <c r="N328" s="2304"/>
      <c r="O328" s="2304"/>
      <c r="P328" s="4170"/>
      <c r="Q328" s="4839"/>
    </row>
    <row r="329" spans="1:17" s="2073" customFormat="1" ht="15.05">
      <c r="A329" s="4039"/>
      <c r="B329" s="4039"/>
      <c r="C329" s="4039"/>
      <c r="D329" s="4039"/>
      <c r="E329" s="4039"/>
      <c r="F329" s="4040"/>
      <c r="G329" s="4041"/>
      <c r="H329" s="4097" t="s">
        <v>170</v>
      </c>
      <c r="I329" s="4173" t="s">
        <v>171</v>
      </c>
      <c r="J329" s="4545">
        <v>0</v>
      </c>
      <c r="K329" s="4520">
        <v>0</v>
      </c>
      <c r="L329" s="4545">
        <f>SUM(L330)</f>
        <v>0</v>
      </c>
      <c r="M329" s="4519">
        <f t="shared" ref="M329:M335" si="57">SUM(K329:L329)</f>
        <v>0</v>
      </c>
      <c r="N329" s="4519">
        <v>0</v>
      </c>
      <c r="O329" s="4519">
        <f>M329-J329</f>
        <v>0</v>
      </c>
      <c r="P329" s="4044">
        <f>O329-K329</f>
        <v>0</v>
      </c>
      <c r="Q329" s="4840"/>
    </row>
    <row r="330" spans="1:17" s="2070" customFormat="1">
      <c r="A330" s="4065">
        <v>4</v>
      </c>
      <c r="B330" s="4065">
        <v>1</v>
      </c>
      <c r="C330" s="4065">
        <v>4</v>
      </c>
      <c r="D330" s="4048"/>
      <c r="E330" s="4048"/>
      <c r="F330" s="4066">
        <v>3</v>
      </c>
      <c r="G330" s="4067"/>
      <c r="H330" s="4068" t="s">
        <v>71</v>
      </c>
      <c r="I330" s="4068"/>
      <c r="J330" s="4546">
        <v>0</v>
      </c>
      <c r="K330" s="2159">
        <v>0</v>
      </c>
      <c r="L330" s="4546">
        <f>SUM(L331:L335)</f>
        <v>0</v>
      </c>
      <c r="M330" s="4253">
        <f t="shared" si="57"/>
        <v>0</v>
      </c>
      <c r="N330" s="4253">
        <v>0</v>
      </c>
      <c r="O330" s="4254">
        <f t="shared" ref="O330:O335" si="58">M330-J330</f>
        <v>0</v>
      </c>
      <c r="P330" s="4061">
        <v>0</v>
      </c>
      <c r="Q330" s="4839"/>
    </row>
    <row r="331" spans="1:17" s="2070" customFormat="1">
      <c r="A331" s="4065">
        <v>4</v>
      </c>
      <c r="B331" s="4065">
        <v>1</v>
      </c>
      <c r="C331" s="4065">
        <v>4</v>
      </c>
      <c r="D331" s="4065" t="s">
        <v>441</v>
      </c>
      <c r="E331" s="4048"/>
      <c r="F331" s="4049"/>
      <c r="G331" s="4067"/>
      <c r="H331" s="4062" t="s">
        <v>50</v>
      </c>
      <c r="I331" s="4060" t="s">
        <v>72</v>
      </c>
      <c r="J331" s="1964">
        <v>0</v>
      </c>
      <c r="K331" s="2159">
        <v>0</v>
      </c>
      <c r="L331" s="2160">
        <f>'[2]ALL BULAN'!E332</f>
        <v>0</v>
      </c>
      <c r="M331" s="4253">
        <f t="shared" si="57"/>
        <v>0</v>
      </c>
      <c r="N331" s="4253">
        <v>0</v>
      </c>
      <c r="O331" s="4254">
        <f t="shared" si="58"/>
        <v>0</v>
      </c>
      <c r="P331" s="4061">
        <v>0</v>
      </c>
      <c r="Q331" s="4839"/>
    </row>
    <row r="332" spans="1:17" s="2070" customFormat="1">
      <c r="A332" s="4074">
        <v>4</v>
      </c>
      <c r="B332" s="4074">
        <v>1</v>
      </c>
      <c r="C332" s="4074" t="s">
        <v>443</v>
      </c>
      <c r="D332" s="4074" t="s">
        <v>444</v>
      </c>
      <c r="E332" s="4074" t="s">
        <v>440</v>
      </c>
      <c r="F332" s="4049"/>
      <c r="G332" s="4067"/>
      <c r="H332" s="4062" t="s">
        <v>50</v>
      </c>
      <c r="I332" s="4060" t="s">
        <v>73</v>
      </c>
      <c r="J332" s="1964">
        <v>0</v>
      </c>
      <c r="K332" s="2159">
        <v>0</v>
      </c>
      <c r="L332" s="2160">
        <f>'[2]ALL BULAN'!E333</f>
        <v>0</v>
      </c>
      <c r="M332" s="4253">
        <f t="shared" si="57"/>
        <v>0</v>
      </c>
      <c r="N332" s="4253">
        <v>0</v>
      </c>
      <c r="O332" s="4254">
        <f t="shared" si="58"/>
        <v>0</v>
      </c>
      <c r="P332" s="4061">
        <v>0</v>
      </c>
      <c r="Q332" s="4839"/>
    </row>
    <row r="333" spans="1:17" s="2070" customFormat="1">
      <c r="A333" s="4069">
        <v>4</v>
      </c>
      <c r="B333" s="4069">
        <v>1</v>
      </c>
      <c r="C333" s="4069" t="s">
        <v>443</v>
      </c>
      <c r="D333" s="4069" t="s">
        <v>444</v>
      </c>
      <c r="E333" s="4070" t="s">
        <v>445</v>
      </c>
      <c r="F333" s="4049"/>
      <c r="G333" s="4067"/>
      <c r="H333" s="4062" t="s">
        <v>50</v>
      </c>
      <c r="I333" s="4060" t="s">
        <v>74</v>
      </c>
      <c r="J333" s="1964">
        <v>0</v>
      </c>
      <c r="K333" s="2159">
        <v>0</v>
      </c>
      <c r="L333" s="2160">
        <f>'[2]ALL BULAN'!E334</f>
        <v>0</v>
      </c>
      <c r="M333" s="4253">
        <f t="shared" si="57"/>
        <v>0</v>
      </c>
      <c r="N333" s="4253">
        <v>0</v>
      </c>
      <c r="O333" s="4254">
        <f t="shared" si="58"/>
        <v>0</v>
      </c>
      <c r="P333" s="4061">
        <v>0</v>
      </c>
      <c r="Q333" s="4839"/>
    </row>
    <row r="334" spans="1:17" s="2070" customFormat="1">
      <c r="A334" s="4101">
        <v>4</v>
      </c>
      <c r="B334" s="4101">
        <v>1</v>
      </c>
      <c r="C334" s="4101" t="s">
        <v>443</v>
      </c>
      <c r="D334" s="4101" t="s">
        <v>444</v>
      </c>
      <c r="E334" s="4101" t="s">
        <v>441</v>
      </c>
      <c r="F334" s="4049"/>
      <c r="G334" s="4067"/>
      <c r="H334" s="4060" t="s">
        <v>308</v>
      </c>
      <c r="I334" s="4090" t="s">
        <v>75</v>
      </c>
      <c r="J334" s="1964">
        <v>0</v>
      </c>
      <c r="K334" s="2159">
        <v>0</v>
      </c>
      <c r="L334" s="2160">
        <f>'[2]ALL BULAN'!E335</f>
        <v>0</v>
      </c>
      <c r="M334" s="4253">
        <f t="shared" si="57"/>
        <v>0</v>
      </c>
      <c r="N334" s="4253">
        <v>0</v>
      </c>
      <c r="O334" s="4254">
        <f t="shared" si="58"/>
        <v>0</v>
      </c>
      <c r="P334" s="4061">
        <v>0</v>
      </c>
      <c r="Q334" s="4839"/>
    </row>
    <row r="335" spans="1:17" s="2070" customFormat="1">
      <c r="A335" s="4079">
        <v>4</v>
      </c>
      <c r="B335" s="4079">
        <v>1</v>
      </c>
      <c r="C335" s="4079" t="s">
        <v>443</v>
      </c>
      <c r="D335" s="4079" t="s">
        <v>447</v>
      </c>
      <c r="E335" s="4093" t="s">
        <v>437</v>
      </c>
      <c r="F335" s="4049"/>
      <c r="G335" s="4067"/>
      <c r="H335" s="4062" t="s">
        <v>50</v>
      </c>
      <c r="I335" s="4090" t="s">
        <v>85</v>
      </c>
      <c r="J335" s="1964">
        <v>0</v>
      </c>
      <c r="K335" s="2159">
        <v>0</v>
      </c>
      <c r="L335" s="2160">
        <f>'[2]ALL BULAN'!E336</f>
        <v>0</v>
      </c>
      <c r="M335" s="4253">
        <f t="shared" si="57"/>
        <v>0</v>
      </c>
      <c r="N335" s="4253">
        <v>0</v>
      </c>
      <c r="O335" s="4254">
        <f t="shared" si="58"/>
        <v>0</v>
      </c>
      <c r="P335" s="4061">
        <v>0</v>
      </c>
      <c r="Q335" s="4839"/>
    </row>
    <row r="336" spans="1:17" s="4769" customFormat="1">
      <c r="A336" s="4759"/>
      <c r="B336" s="4759"/>
      <c r="C336" s="4759"/>
      <c r="D336" s="4759"/>
      <c r="E336" s="4760"/>
      <c r="F336" s="4761"/>
      <c r="G336" s="4762"/>
      <c r="H336" s="4763" t="s">
        <v>1250</v>
      </c>
      <c r="I336" s="4764"/>
      <c r="J336" s="4765">
        <f>SUM(J337+J346)</f>
        <v>92558485190</v>
      </c>
      <c r="K336" s="4766">
        <v>0</v>
      </c>
      <c r="L336" s="4765">
        <f>'[2]ALL BULAN'!E337</f>
        <v>0</v>
      </c>
      <c r="M336" s="4767">
        <f t="shared" ref="M336:M347" si="59">SUM(K336:L336)</f>
        <v>0</v>
      </c>
      <c r="N336" s="4767">
        <f>N337+N346</f>
        <v>93009585651</v>
      </c>
      <c r="O336" s="4767">
        <f>N336-J336</f>
        <v>451100461</v>
      </c>
      <c r="P336" s="4768">
        <f>P337</f>
        <v>0.49813163289287571</v>
      </c>
      <c r="Q336" s="4848"/>
    </row>
    <row r="337" spans="1:17" s="4782" customFormat="1">
      <c r="A337" s="4770"/>
      <c r="B337" s="4770"/>
      <c r="C337" s="4770"/>
      <c r="D337" s="4770"/>
      <c r="E337" s="4771"/>
      <c r="F337" s="4772"/>
      <c r="G337" s="4773"/>
      <c r="H337" s="4774" t="s">
        <v>1229</v>
      </c>
      <c r="I337" s="4775"/>
      <c r="J337" s="4776">
        <v>90558485190</v>
      </c>
      <c r="K337" s="4777">
        <v>0</v>
      </c>
      <c r="L337" s="4778">
        <f>'[2]ALL BULAN'!E338</f>
        <v>0</v>
      </c>
      <c r="M337" s="4779">
        <f t="shared" si="59"/>
        <v>0</v>
      </c>
      <c r="N337" s="4779">
        <f>N338</f>
        <v>91009585651</v>
      </c>
      <c r="O337" s="4780">
        <f>N337-J337</f>
        <v>451100461</v>
      </c>
      <c r="P337" s="4781">
        <f>O337/J337*100</f>
        <v>0.49813163289287571</v>
      </c>
      <c r="Q337" s="4849"/>
    </row>
    <row r="338" spans="1:17" s="4782" customFormat="1">
      <c r="A338" s="4770"/>
      <c r="B338" s="4770"/>
      <c r="C338" s="4770"/>
      <c r="D338" s="4770"/>
      <c r="E338" s="4771"/>
      <c r="F338" s="4772"/>
      <c r="G338" s="4773"/>
      <c r="H338" s="4774" t="s">
        <v>1228</v>
      </c>
      <c r="I338" s="4783"/>
      <c r="J338" s="4776">
        <f>SUM(J339:J345)</f>
        <v>90558485190</v>
      </c>
      <c r="K338" s="4777"/>
      <c r="L338" s="4784"/>
      <c r="M338" s="4779"/>
      <c r="N338" s="4779">
        <f>SUM(N339:N345)</f>
        <v>91009585651</v>
      </c>
      <c r="O338" s="4780">
        <f>N338-J338</f>
        <v>451100461</v>
      </c>
      <c r="P338" s="4781">
        <f t="shared" ref="P338:P347" si="60">O338/J338*100</f>
        <v>0.49813163289287571</v>
      </c>
      <c r="Q338" s="4849"/>
    </row>
    <row r="339" spans="1:17" s="4782" customFormat="1">
      <c r="A339" s="4770"/>
      <c r="B339" s="4770"/>
      <c r="C339" s="4770"/>
      <c r="D339" s="4770"/>
      <c r="E339" s="4771"/>
      <c r="F339" s="4772"/>
      <c r="G339" s="4773"/>
      <c r="H339" s="4785" t="s">
        <v>50</v>
      </c>
      <c r="I339" s="4783" t="s">
        <v>196</v>
      </c>
      <c r="J339" s="4755">
        <v>13374571865</v>
      </c>
      <c r="K339" s="4777"/>
      <c r="L339" s="4784"/>
      <c r="M339" s="4779"/>
      <c r="N339" s="4786">
        <v>11305220112</v>
      </c>
      <c r="O339" s="4780">
        <f t="shared" ref="O339:O345" si="61">N339-J339</f>
        <v>-2069351753</v>
      </c>
      <c r="P339" s="4781">
        <f t="shared" si="60"/>
        <v>-15.47228407673594</v>
      </c>
      <c r="Q339" s="4849"/>
    </row>
    <row r="340" spans="1:17" s="4782" customFormat="1">
      <c r="A340" s="4770"/>
      <c r="B340" s="4770"/>
      <c r="C340" s="4770"/>
      <c r="D340" s="4770"/>
      <c r="E340" s="4771"/>
      <c r="F340" s="4772"/>
      <c r="G340" s="4773"/>
      <c r="H340" s="4785" t="s">
        <v>50</v>
      </c>
      <c r="I340" s="4783" t="s">
        <v>1230</v>
      </c>
      <c r="J340" s="4755">
        <v>59958450102</v>
      </c>
      <c r="K340" s="4777"/>
      <c r="L340" s="4784"/>
      <c r="M340" s="4779"/>
      <c r="N340" s="4755">
        <v>62065732074</v>
      </c>
      <c r="O340" s="4780">
        <f t="shared" si="61"/>
        <v>2107281972</v>
      </c>
      <c r="P340" s="4781">
        <f t="shared" si="60"/>
        <v>3.5145704540646703</v>
      </c>
      <c r="Q340" s="4849"/>
    </row>
    <row r="341" spans="1:17" s="4782" customFormat="1">
      <c r="A341" s="4770"/>
      <c r="B341" s="4770"/>
      <c r="C341" s="4770"/>
      <c r="D341" s="4770"/>
      <c r="E341" s="4771"/>
      <c r="F341" s="4772"/>
      <c r="G341" s="4773"/>
      <c r="H341" s="4785" t="s">
        <v>50</v>
      </c>
      <c r="I341" s="4783" t="s">
        <v>1231</v>
      </c>
      <c r="J341" s="4755">
        <v>1000000000</v>
      </c>
      <c r="K341" s="4777"/>
      <c r="L341" s="4784"/>
      <c r="M341" s="4779"/>
      <c r="N341" s="4786">
        <v>1100000000</v>
      </c>
      <c r="O341" s="4780">
        <f t="shared" si="61"/>
        <v>100000000</v>
      </c>
      <c r="P341" s="4781">
        <f t="shared" si="60"/>
        <v>10</v>
      </c>
      <c r="Q341" s="4849"/>
    </row>
    <row r="342" spans="1:17" s="4782" customFormat="1">
      <c r="A342" s="4770"/>
      <c r="B342" s="4770"/>
      <c r="C342" s="4770"/>
      <c r="D342" s="4770"/>
      <c r="E342" s="4771"/>
      <c r="F342" s="4772"/>
      <c r="G342" s="4773"/>
      <c r="H342" s="4785" t="s">
        <v>50</v>
      </c>
      <c r="I342" s="4783" t="s">
        <v>1232</v>
      </c>
      <c r="J342" s="4755">
        <v>16000000000</v>
      </c>
      <c r="K342" s="4777">
        <v>0</v>
      </c>
      <c r="L342" s="4784">
        <f>'[2]ALL BULAN'!E339</f>
        <v>0</v>
      </c>
      <c r="M342" s="4779">
        <f t="shared" si="59"/>
        <v>0</v>
      </c>
      <c r="N342" s="4755">
        <v>16000000000</v>
      </c>
      <c r="O342" s="4780">
        <f t="shared" si="61"/>
        <v>0</v>
      </c>
      <c r="P342" s="4781">
        <f t="shared" si="60"/>
        <v>0</v>
      </c>
      <c r="Q342" s="4849"/>
    </row>
    <row r="343" spans="1:17" s="4782" customFormat="1">
      <c r="A343" s="4770"/>
      <c r="B343" s="4770"/>
      <c r="C343" s="4770"/>
      <c r="D343" s="4770"/>
      <c r="E343" s="4771"/>
      <c r="F343" s="4772"/>
      <c r="G343" s="4773"/>
      <c r="H343" s="4785" t="s">
        <v>50</v>
      </c>
      <c r="I343" s="4783" t="s">
        <v>1233</v>
      </c>
      <c r="J343" s="4755">
        <v>0</v>
      </c>
      <c r="K343" s="4777">
        <v>0</v>
      </c>
      <c r="L343" s="4784">
        <f>'[2]ALL BULAN'!E340</f>
        <v>0</v>
      </c>
      <c r="M343" s="4779">
        <f t="shared" si="59"/>
        <v>0</v>
      </c>
      <c r="N343" s="4779">
        <v>0</v>
      </c>
      <c r="O343" s="4780">
        <f t="shared" si="61"/>
        <v>0</v>
      </c>
      <c r="P343" s="4781">
        <v>0</v>
      </c>
      <c r="Q343" s="4849"/>
    </row>
    <row r="344" spans="1:17" s="4782" customFormat="1">
      <c r="A344" s="4770"/>
      <c r="B344" s="4770"/>
      <c r="C344" s="4770"/>
      <c r="D344" s="4770"/>
      <c r="E344" s="4771"/>
      <c r="F344" s="4772"/>
      <c r="G344" s="4773"/>
      <c r="H344" s="4785" t="s">
        <v>50</v>
      </c>
      <c r="I344" s="4783" t="s">
        <v>1093</v>
      </c>
      <c r="J344" s="4755">
        <v>136702012</v>
      </c>
      <c r="K344" s="4777">
        <v>0</v>
      </c>
      <c r="L344" s="4784">
        <f>'[2]ALL BULAN'!E341</f>
        <v>0</v>
      </c>
      <c r="M344" s="4779">
        <f t="shared" si="59"/>
        <v>0</v>
      </c>
      <c r="N344" s="4786">
        <v>437998804</v>
      </c>
      <c r="O344" s="4780">
        <f t="shared" si="61"/>
        <v>301296792</v>
      </c>
      <c r="P344" s="4781">
        <f t="shared" si="60"/>
        <v>220.40406545003884</v>
      </c>
      <c r="Q344" s="4849"/>
    </row>
    <row r="345" spans="1:17" s="4782" customFormat="1">
      <c r="A345" s="4770"/>
      <c r="B345" s="4770"/>
      <c r="C345" s="4770"/>
      <c r="D345" s="4770"/>
      <c r="E345" s="4771"/>
      <c r="F345" s="4772"/>
      <c r="G345" s="4773"/>
      <c r="H345" s="4785"/>
      <c r="I345" s="4783" t="s">
        <v>1234</v>
      </c>
      <c r="J345" s="4755">
        <v>88761211</v>
      </c>
      <c r="K345" s="4777"/>
      <c r="L345" s="4784"/>
      <c r="M345" s="4779"/>
      <c r="N345" s="4786">
        <v>100634661</v>
      </c>
      <c r="O345" s="4780">
        <f t="shared" si="61"/>
        <v>11873450</v>
      </c>
      <c r="P345" s="4781">
        <f t="shared" si="60"/>
        <v>13.376845433079998</v>
      </c>
      <c r="Q345" s="4849"/>
    </row>
    <row r="346" spans="1:17" s="4782" customFormat="1">
      <c r="A346" s="4770"/>
      <c r="B346" s="4770"/>
      <c r="C346" s="4770"/>
      <c r="D346" s="4770"/>
      <c r="E346" s="4771"/>
      <c r="F346" s="4772"/>
      <c r="G346" s="4773"/>
      <c r="H346" s="4774" t="s">
        <v>1235</v>
      </c>
      <c r="I346" s="4783"/>
      <c r="J346" s="4776">
        <f>J347</f>
        <v>2000000000</v>
      </c>
      <c r="K346" s="4777"/>
      <c r="L346" s="4784"/>
      <c r="M346" s="4779"/>
      <c r="N346" s="4779">
        <f>N347</f>
        <v>2000000000</v>
      </c>
      <c r="O346" s="4780">
        <f>N346-J346</f>
        <v>0</v>
      </c>
      <c r="P346" s="4781">
        <f t="shared" si="60"/>
        <v>0</v>
      </c>
      <c r="Q346" s="4849"/>
    </row>
    <row r="347" spans="1:17" s="4782" customFormat="1">
      <c r="A347" s="4770"/>
      <c r="B347" s="4770"/>
      <c r="C347" s="4770"/>
      <c r="D347" s="4770"/>
      <c r="E347" s="4771"/>
      <c r="F347" s="4772"/>
      <c r="G347" s="4773"/>
      <c r="H347" s="4785" t="s">
        <v>50</v>
      </c>
      <c r="I347" s="4783" t="s">
        <v>1236</v>
      </c>
      <c r="J347" s="4755">
        <v>2000000000</v>
      </c>
      <c r="K347" s="4777">
        <v>0</v>
      </c>
      <c r="L347" s="4784">
        <f>'[2]ALL BULAN'!E342</f>
        <v>0</v>
      </c>
      <c r="M347" s="4779">
        <f t="shared" si="59"/>
        <v>0</v>
      </c>
      <c r="N347" s="4779">
        <v>2000000000</v>
      </c>
      <c r="O347" s="4780">
        <f>N347-J347</f>
        <v>0</v>
      </c>
      <c r="P347" s="4781">
        <f t="shared" si="60"/>
        <v>0</v>
      </c>
      <c r="Q347" s="4849"/>
    </row>
    <row r="348" spans="1:17" s="4782" customFormat="1" ht="7.55" customHeight="1">
      <c r="A348" s="4787"/>
      <c r="B348" s="4787"/>
      <c r="C348" s="4787"/>
      <c r="D348" s="4787"/>
      <c r="E348" s="4787"/>
      <c r="F348" s="4772"/>
      <c r="G348" s="4773"/>
      <c r="H348" s="4788"/>
      <c r="I348" s="4783"/>
      <c r="J348" s="4789"/>
      <c r="K348" s="4790"/>
      <c r="L348" s="4789"/>
      <c r="M348" s="4791"/>
      <c r="N348" s="4791"/>
      <c r="O348" s="4791"/>
      <c r="P348" s="4792"/>
      <c r="Q348" s="4849"/>
    </row>
    <row r="349" spans="1:17" s="2070" customFormat="1" ht="15.05">
      <c r="A349" s="4048"/>
      <c r="B349" s="4048"/>
      <c r="C349" s="4048"/>
      <c r="D349" s="4048"/>
      <c r="E349" s="4048"/>
      <c r="F349" s="4049"/>
      <c r="G349" s="4041"/>
      <c r="H349" s="4180" t="s">
        <v>172</v>
      </c>
      <c r="I349" s="4173" t="s">
        <v>173</v>
      </c>
      <c r="J349" s="4545">
        <v>0</v>
      </c>
      <c r="K349" s="4520">
        <v>0</v>
      </c>
      <c r="L349" s="4545">
        <f>SUM(L350)</f>
        <v>0</v>
      </c>
      <c r="M349" s="4519">
        <f t="shared" ref="M349:M355" si="62">SUM(K349:L349)</f>
        <v>0</v>
      </c>
      <c r="N349" s="4519"/>
      <c r="O349" s="4519">
        <f>M349-J349</f>
        <v>0</v>
      </c>
      <c r="P349" s="4044">
        <f>O349-K349</f>
        <v>0</v>
      </c>
      <c r="Q349" s="4839"/>
    </row>
    <row r="350" spans="1:17" s="2070" customFormat="1">
      <c r="A350" s="4065">
        <v>4</v>
      </c>
      <c r="B350" s="4065">
        <v>1</v>
      </c>
      <c r="C350" s="4065">
        <v>4</v>
      </c>
      <c r="D350" s="4048"/>
      <c r="E350" s="4048"/>
      <c r="F350" s="4066">
        <v>3</v>
      </c>
      <c r="G350" s="4067"/>
      <c r="H350" s="4068" t="s">
        <v>71</v>
      </c>
      <c r="I350" s="4068"/>
      <c r="J350" s="4546">
        <v>0</v>
      </c>
      <c r="K350" s="2159">
        <v>0</v>
      </c>
      <c r="L350" s="4546">
        <f>SUM(L351:L355)</f>
        <v>0</v>
      </c>
      <c r="M350" s="4253">
        <f t="shared" si="62"/>
        <v>0</v>
      </c>
      <c r="N350" s="4253">
        <v>0</v>
      </c>
      <c r="O350" s="4254">
        <f t="shared" ref="O350:O355" si="63">M350-J350</f>
        <v>0</v>
      </c>
      <c r="P350" s="4061">
        <v>0</v>
      </c>
      <c r="Q350" s="4839"/>
    </row>
    <row r="351" spans="1:17" s="2070" customFormat="1">
      <c r="A351" s="4065">
        <v>4</v>
      </c>
      <c r="B351" s="4065">
        <v>1</v>
      </c>
      <c r="C351" s="4065">
        <v>4</v>
      </c>
      <c r="D351" s="4065" t="s">
        <v>441</v>
      </c>
      <c r="E351" s="4048"/>
      <c r="F351" s="4049"/>
      <c r="G351" s="4059"/>
      <c r="H351" s="4131" t="s">
        <v>50</v>
      </c>
      <c r="I351" s="4060" t="s">
        <v>72</v>
      </c>
      <c r="J351" s="1964">
        <v>0</v>
      </c>
      <c r="K351" s="2159">
        <v>0</v>
      </c>
      <c r="L351" s="2160">
        <f>'[2]ALL BULAN'!E340</f>
        <v>0</v>
      </c>
      <c r="M351" s="4253">
        <f t="shared" si="62"/>
        <v>0</v>
      </c>
      <c r="N351" s="4253">
        <v>0</v>
      </c>
      <c r="O351" s="4254">
        <f t="shared" si="63"/>
        <v>0</v>
      </c>
      <c r="P351" s="4061">
        <v>0</v>
      </c>
      <c r="Q351" s="4839"/>
    </row>
    <row r="352" spans="1:17" s="2070" customFormat="1">
      <c r="A352" s="4074">
        <v>4</v>
      </c>
      <c r="B352" s="4074">
        <v>1</v>
      </c>
      <c r="C352" s="4074" t="s">
        <v>443</v>
      </c>
      <c r="D352" s="4074" t="s">
        <v>444</v>
      </c>
      <c r="E352" s="4074" t="s">
        <v>440</v>
      </c>
      <c r="F352" s="4049"/>
      <c r="G352" s="4059"/>
      <c r="H352" s="4131" t="s">
        <v>50</v>
      </c>
      <c r="I352" s="4060" t="s">
        <v>73</v>
      </c>
      <c r="J352" s="1964">
        <v>0</v>
      </c>
      <c r="K352" s="2159">
        <v>0</v>
      </c>
      <c r="L352" s="2160">
        <f>'[2]ALL BULAN'!E341</f>
        <v>0</v>
      </c>
      <c r="M352" s="4253">
        <f t="shared" si="62"/>
        <v>0</v>
      </c>
      <c r="N352" s="4253">
        <v>0</v>
      </c>
      <c r="O352" s="4254">
        <f t="shared" si="63"/>
        <v>0</v>
      </c>
      <c r="P352" s="4061">
        <v>0</v>
      </c>
      <c r="Q352" s="4839"/>
    </row>
    <row r="353" spans="1:17" s="2070" customFormat="1">
      <c r="A353" s="4069">
        <v>4</v>
      </c>
      <c r="B353" s="4069">
        <v>1</v>
      </c>
      <c r="C353" s="4069" t="s">
        <v>443</v>
      </c>
      <c r="D353" s="4069" t="s">
        <v>444</v>
      </c>
      <c r="E353" s="4070" t="s">
        <v>445</v>
      </c>
      <c r="F353" s="4049"/>
      <c r="G353" s="4059"/>
      <c r="H353" s="4131" t="s">
        <v>50</v>
      </c>
      <c r="I353" s="4060" t="s">
        <v>74</v>
      </c>
      <c r="J353" s="1964">
        <v>0</v>
      </c>
      <c r="K353" s="2159">
        <v>0</v>
      </c>
      <c r="L353" s="2160">
        <f>'[2]ALL BULAN'!E342</f>
        <v>0</v>
      </c>
      <c r="M353" s="4253">
        <f t="shared" si="62"/>
        <v>0</v>
      </c>
      <c r="N353" s="4253">
        <v>0</v>
      </c>
      <c r="O353" s="4254">
        <f t="shared" si="63"/>
        <v>0</v>
      </c>
      <c r="P353" s="4061">
        <v>0</v>
      </c>
      <c r="Q353" s="4839"/>
    </row>
    <row r="354" spans="1:17" s="2070" customFormat="1">
      <c r="A354" s="4101">
        <v>4</v>
      </c>
      <c r="B354" s="4101">
        <v>1</v>
      </c>
      <c r="C354" s="4101" t="s">
        <v>443</v>
      </c>
      <c r="D354" s="4101" t="s">
        <v>444</v>
      </c>
      <c r="E354" s="4101" t="s">
        <v>441</v>
      </c>
      <c r="F354" s="4049"/>
      <c r="G354" s="4059"/>
      <c r="H354" s="4060" t="s">
        <v>308</v>
      </c>
      <c r="I354" s="4060" t="s">
        <v>75</v>
      </c>
      <c r="J354" s="1964">
        <v>0</v>
      </c>
      <c r="K354" s="2159">
        <v>0</v>
      </c>
      <c r="L354" s="2160">
        <f>'[2]ALL BULAN'!E343</f>
        <v>0</v>
      </c>
      <c r="M354" s="4253">
        <f t="shared" si="62"/>
        <v>0</v>
      </c>
      <c r="N354" s="4253">
        <v>0</v>
      </c>
      <c r="O354" s="4254">
        <f t="shared" si="63"/>
        <v>0</v>
      </c>
      <c r="P354" s="4061">
        <v>0</v>
      </c>
      <c r="Q354" s="4839"/>
    </row>
    <row r="355" spans="1:17" s="2070" customFormat="1">
      <c r="A355" s="4079">
        <v>4</v>
      </c>
      <c r="B355" s="4079">
        <v>1</v>
      </c>
      <c r="C355" s="4079" t="s">
        <v>443</v>
      </c>
      <c r="D355" s="4079" t="s">
        <v>447</v>
      </c>
      <c r="E355" s="4093" t="s">
        <v>437</v>
      </c>
      <c r="F355" s="4049"/>
      <c r="G355" s="4059"/>
      <c r="H355" s="4181" t="s">
        <v>50</v>
      </c>
      <c r="I355" s="4060" t="s">
        <v>85</v>
      </c>
      <c r="J355" s="1964">
        <v>0</v>
      </c>
      <c r="K355" s="2159">
        <v>0</v>
      </c>
      <c r="L355" s="2160">
        <f>'[2]ALL BULAN'!E344</f>
        <v>0</v>
      </c>
      <c r="M355" s="4253">
        <f t="shared" si="62"/>
        <v>0</v>
      </c>
      <c r="N355" s="4253">
        <v>0</v>
      </c>
      <c r="O355" s="4254">
        <f t="shared" si="63"/>
        <v>0</v>
      </c>
      <c r="P355" s="4061">
        <v>0</v>
      </c>
      <c r="Q355" s="4839"/>
    </row>
    <row r="356" spans="1:17" s="2070" customFormat="1" ht="5.95" customHeight="1">
      <c r="A356" s="4048"/>
      <c r="B356" s="4048"/>
      <c r="C356" s="4048"/>
      <c r="D356" s="4048"/>
      <c r="E356" s="4048"/>
      <c r="F356" s="4049"/>
      <c r="G356" s="4150"/>
      <c r="H356" s="4151"/>
      <c r="I356" s="4133"/>
      <c r="J356" s="2334"/>
      <c r="K356" s="2335"/>
      <c r="L356" s="2334"/>
      <c r="M356" s="2336"/>
      <c r="N356" s="2336"/>
      <c r="O356" s="2336"/>
      <c r="P356" s="4182"/>
      <c r="Q356" s="4839"/>
    </row>
    <row r="357" spans="1:17" s="2073" customFormat="1" ht="15.05">
      <c r="A357" s="4039"/>
      <c r="B357" s="4039"/>
      <c r="C357" s="4039"/>
      <c r="D357" s="4039"/>
      <c r="E357" s="4039"/>
      <c r="F357" s="4040"/>
      <c r="G357" s="4183" t="s">
        <v>174</v>
      </c>
      <c r="H357" s="4173" t="s">
        <v>175</v>
      </c>
      <c r="I357" s="4173"/>
      <c r="J357" s="4552">
        <v>0</v>
      </c>
      <c r="K357" s="4520">
        <v>19067890</v>
      </c>
      <c r="L357" s="4552">
        <f>SUM(L358)</f>
        <v>0</v>
      </c>
      <c r="M357" s="4519">
        <f t="shared" ref="M357:M363" si="64">SUM(K357:L357)</f>
        <v>19067890</v>
      </c>
      <c r="N357" s="4519"/>
      <c r="O357" s="4519">
        <f>O358</f>
        <v>0</v>
      </c>
      <c r="P357" s="4044">
        <v>0</v>
      </c>
      <c r="Q357" s="4840"/>
    </row>
    <row r="358" spans="1:17" s="2070" customFormat="1">
      <c r="A358" s="4065">
        <v>4</v>
      </c>
      <c r="B358" s="4065">
        <v>1</v>
      </c>
      <c r="C358" s="4065">
        <v>4</v>
      </c>
      <c r="D358" s="4048"/>
      <c r="E358" s="4048"/>
      <c r="F358" s="4066">
        <v>3</v>
      </c>
      <c r="G358" s="4067"/>
      <c r="H358" s="4068" t="s">
        <v>71</v>
      </c>
      <c r="I358" s="4068"/>
      <c r="J358" s="4546">
        <v>0</v>
      </c>
      <c r="K358" s="2159">
        <v>19067890</v>
      </c>
      <c r="L358" s="4546">
        <f>SUM(L359:L363)</f>
        <v>0</v>
      </c>
      <c r="M358" s="4253">
        <f t="shared" si="64"/>
        <v>19067890</v>
      </c>
      <c r="N358" s="4253">
        <v>0</v>
      </c>
      <c r="O358" s="4254">
        <f>SUM(O359:O363)</f>
        <v>0</v>
      </c>
      <c r="P358" s="4061">
        <v>0</v>
      </c>
      <c r="Q358" s="4839"/>
    </row>
    <row r="359" spans="1:17" s="2070" customFormat="1">
      <c r="A359" s="4065">
        <v>4</v>
      </c>
      <c r="B359" s="4065">
        <v>1</v>
      </c>
      <c r="C359" s="4065">
        <v>4</v>
      </c>
      <c r="D359" s="4065" t="s">
        <v>441</v>
      </c>
      <c r="E359" s="4048"/>
      <c r="F359" s="4049"/>
      <c r="G359" s="4067"/>
      <c r="H359" s="4062" t="s">
        <v>50</v>
      </c>
      <c r="I359" s="4060" t="s">
        <v>72</v>
      </c>
      <c r="J359" s="1964">
        <v>0</v>
      </c>
      <c r="K359" s="2159">
        <v>0</v>
      </c>
      <c r="L359" s="2160">
        <f>'[2]ALL BULAN'!E348</f>
        <v>0</v>
      </c>
      <c r="M359" s="4253">
        <f t="shared" si="64"/>
        <v>0</v>
      </c>
      <c r="N359" s="4253">
        <v>0</v>
      </c>
      <c r="O359" s="4254">
        <f>M359-J359</f>
        <v>0</v>
      </c>
      <c r="P359" s="4061">
        <v>0</v>
      </c>
      <c r="Q359" s="4839"/>
    </row>
    <row r="360" spans="1:17" s="2070" customFormat="1">
      <c r="A360" s="4074">
        <v>4</v>
      </c>
      <c r="B360" s="4074">
        <v>1</v>
      </c>
      <c r="C360" s="4074" t="s">
        <v>443</v>
      </c>
      <c r="D360" s="4074" t="s">
        <v>444</v>
      </c>
      <c r="E360" s="4074" t="s">
        <v>440</v>
      </c>
      <c r="F360" s="4049"/>
      <c r="G360" s="4067"/>
      <c r="H360" s="4062" t="s">
        <v>50</v>
      </c>
      <c r="I360" s="4060" t="s">
        <v>73</v>
      </c>
      <c r="J360" s="1964">
        <v>0</v>
      </c>
      <c r="K360" s="2159">
        <v>0</v>
      </c>
      <c r="L360" s="2160">
        <f>'[2]ALL BULAN'!E349</f>
        <v>0</v>
      </c>
      <c r="M360" s="4253">
        <f t="shared" si="64"/>
        <v>0</v>
      </c>
      <c r="N360" s="4253">
        <v>0</v>
      </c>
      <c r="O360" s="4254">
        <f>M360-J360</f>
        <v>0</v>
      </c>
      <c r="P360" s="4061">
        <v>0</v>
      </c>
      <c r="Q360" s="4839"/>
    </row>
    <row r="361" spans="1:17" s="2070" customFormat="1">
      <c r="A361" s="4069">
        <v>4</v>
      </c>
      <c r="B361" s="4069">
        <v>1</v>
      </c>
      <c r="C361" s="4069" t="s">
        <v>443</v>
      </c>
      <c r="D361" s="4069" t="s">
        <v>444</v>
      </c>
      <c r="E361" s="4070" t="s">
        <v>445</v>
      </c>
      <c r="F361" s="4049"/>
      <c r="G361" s="4067"/>
      <c r="H361" s="4062" t="s">
        <v>50</v>
      </c>
      <c r="I361" s="4060" t="s">
        <v>74</v>
      </c>
      <c r="J361" s="1964">
        <v>0</v>
      </c>
      <c r="K361" s="2159">
        <v>0</v>
      </c>
      <c r="L361" s="2160">
        <f>'[2]ALL BULAN'!E350</f>
        <v>0</v>
      </c>
      <c r="M361" s="4253">
        <f t="shared" si="64"/>
        <v>0</v>
      </c>
      <c r="N361" s="4253">
        <v>0</v>
      </c>
      <c r="O361" s="4254">
        <f>M361-J361</f>
        <v>0</v>
      </c>
      <c r="P361" s="4061">
        <v>0</v>
      </c>
      <c r="Q361" s="4839"/>
    </row>
    <row r="362" spans="1:17" s="2070" customFormat="1">
      <c r="A362" s="4101">
        <v>4</v>
      </c>
      <c r="B362" s="4101">
        <v>1</v>
      </c>
      <c r="C362" s="4101" t="s">
        <v>443</v>
      </c>
      <c r="D362" s="4101" t="s">
        <v>444</v>
      </c>
      <c r="E362" s="4101" t="s">
        <v>441</v>
      </c>
      <c r="F362" s="4049"/>
      <c r="G362" s="4067"/>
      <c r="H362" s="4062" t="s">
        <v>50</v>
      </c>
      <c r="I362" s="4090" t="s">
        <v>75</v>
      </c>
      <c r="J362" s="1964">
        <v>0</v>
      </c>
      <c r="K362" s="2159">
        <v>18154890</v>
      </c>
      <c r="L362" s="2160">
        <v>0</v>
      </c>
      <c r="M362" s="4253">
        <f t="shared" si="64"/>
        <v>18154890</v>
      </c>
      <c r="N362" s="4253">
        <v>0</v>
      </c>
      <c r="O362" s="4254">
        <v>0</v>
      </c>
      <c r="P362" s="4061">
        <v>0</v>
      </c>
      <c r="Q362" s="4839"/>
    </row>
    <row r="363" spans="1:17" s="2070" customFormat="1">
      <c r="A363" s="4079">
        <v>4</v>
      </c>
      <c r="B363" s="4079">
        <v>1</v>
      </c>
      <c r="C363" s="4079" t="s">
        <v>443</v>
      </c>
      <c r="D363" s="4079" t="s">
        <v>447</v>
      </c>
      <c r="E363" s="4093" t="s">
        <v>437</v>
      </c>
      <c r="F363" s="4049"/>
      <c r="G363" s="4067"/>
      <c r="H363" s="4062" t="s">
        <v>50</v>
      </c>
      <c r="I363" s="4090" t="s">
        <v>85</v>
      </c>
      <c r="J363" s="1964">
        <v>0</v>
      </c>
      <c r="K363" s="2159">
        <v>913000</v>
      </c>
      <c r="L363" s="2160">
        <v>0</v>
      </c>
      <c r="M363" s="4253">
        <f t="shared" si="64"/>
        <v>913000</v>
      </c>
      <c r="N363" s="4253">
        <v>0</v>
      </c>
      <c r="O363" s="4254">
        <v>0</v>
      </c>
      <c r="P363" s="4061">
        <v>0</v>
      </c>
      <c r="Q363" s="4839"/>
    </row>
    <row r="364" spans="1:17" s="2070" customFormat="1" ht="6.75" customHeight="1">
      <c r="A364" s="4048"/>
      <c r="B364" s="4048"/>
      <c r="C364" s="4048"/>
      <c r="D364" s="4048"/>
      <c r="E364" s="4048"/>
      <c r="F364" s="4049"/>
      <c r="G364" s="4184"/>
      <c r="H364" s="4185"/>
      <c r="I364" s="4185"/>
      <c r="J364" s="2314"/>
      <c r="K364" s="2220"/>
      <c r="L364" s="2314"/>
      <c r="M364" s="2315"/>
      <c r="N364" s="2315"/>
      <c r="O364" s="2315"/>
      <c r="P364" s="4174"/>
      <c r="Q364" s="4839"/>
    </row>
    <row r="365" spans="1:17" s="2070" customFormat="1" ht="15.05">
      <c r="A365" s="4048"/>
      <c r="B365" s="4048"/>
      <c r="C365" s="4048"/>
      <c r="D365" s="4048"/>
      <c r="E365" s="4048"/>
      <c r="F365" s="4049"/>
      <c r="G365" s="4041" t="s">
        <v>176</v>
      </c>
      <c r="H365" s="4173" t="s">
        <v>177</v>
      </c>
      <c r="I365" s="4097"/>
      <c r="J365" s="4519">
        <f>J366</f>
        <v>181842529274</v>
      </c>
      <c r="K365" s="4520">
        <v>3277262985</v>
      </c>
      <c r="L365" s="4519">
        <f>L366</f>
        <v>875532884</v>
      </c>
      <c r="M365" s="4519">
        <f>SUM(K365:L365)</f>
        <v>4152795869</v>
      </c>
      <c r="N365" s="4519">
        <f>N366</f>
        <v>184848501576</v>
      </c>
      <c r="O365" s="4519">
        <f>N365-J365</f>
        <v>3005972302</v>
      </c>
      <c r="P365" s="4044">
        <f>O365/J365*100</f>
        <v>1.6530634027151074</v>
      </c>
      <c r="Q365" s="4839"/>
    </row>
    <row r="366" spans="1:17" s="2070" customFormat="1">
      <c r="A366" s="4048"/>
      <c r="B366" s="4048"/>
      <c r="C366" s="4048"/>
      <c r="D366" s="4048"/>
      <c r="E366" s="4048"/>
      <c r="F366" s="4049"/>
      <c r="G366" s="4186" t="s">
        <v>179</v>
      </c>
      <c r="H366" s="4068" t="s">
        <v>180</v>
      </c>
      <c r="I366" s="4068"/>
      <c r="J366" s="4254">
        <f>SUM(J367+J382+J396)</f>
        <v>181842529274</v>
      </c>
      <c r="K366" s="2159">
        <v>3277262985</v>
      </c>
      <c r="L366" s="4254">
        <f>L367+L382+L396</f>
        <v>875532884</v>
      </c>
      <c r="M366" s="4253">
        <f t="shared" ref="M366:M396" si="65">SUM(K366:L366)</f>
        <v>4152795869</v>
      </c>
      <c r="N366" s="4253">
        <f>SUM(N367+N382+N396)</f>
        <v>184848501576</v>
      </c>
      <c r="O366" s="4254">
        <f>N366-J366</f>
        <v>3005972302</v>
      </c>
      <c r="P366" s="4061">
        <f>O366/J366*100</f>
        <v>1.6530634027151074</v>
      </c>
      <c r="Q366" s="4839"/>
    </row>
    <row r="367" spans="1:17" s="2076" customFormat="1">
      <c r="A367" s="4048"/>
      <c r="B367" s="4048"/>
      <c r="C367" s="4048"/>
      <c r="D367" s="4048"/>
      <c r="E367" s="4048"/>
      <c r="F367" s="4066">
        <v>1</v>
      </c>
      <c r="G367" s="4067"/>
      <c r="H367" s="4068" t="s">
        <v>106</v>
      </c>
      <c r="I367" s="4068"/>
      <c r="J367" s="4254">
        <f>J368</f>
        <v>2235631500</v>
      </c>
      <c r="K367" s="2159">
        <v>181908726</v>
      </c>
      <c r="L367" s="4254">
        <f>L369</f>
        <v>0</v>
      </c>
      <c r="M367" s="4253">
        <f t="shared" si="65"/>
        <v>181908726</v>
      </c>
      <c r="N367" s="4254">
        <f>N368</f>
        <v>2235631500</v>
      </c>
      <c r="O367" s="4254">
        <f>N367-J367</f>
        <v>0</v>
      </c>
      <c r="P367" s="4061">
        <f t="shared" ref="P367:P379" si="66">O367/J367*100</f>
        <v>0</v>
      </c>
      <c r="Q367" s="4839"/>
    </row>
    <row r="368" spans="1:17" s="2076" customFormat="1">
      <c r="A368" s="4046">
        <v>4</v>
      </c>
      <c r="B368" s="4046">
        <v>1</v>
      </c>
      <c r="C368" s="4046">
        <v>2</v>
      </c>
      <c r="D368" s="4047" t="s">
        <v>438</v>
      </c>
      <c r="E368" s="4128"/>
      <c r="F368" s="4049"/>
      <c r="G368" s="4067"/>
      <c r="H368" s="4068" t="s">
        <v>109</v>
      </c>
      <c r="I368" s="4068"/>
      <c r="J368" s="4254">
        <f>J369</f>
        <v>2235631500</v>
      </c>
      <c r="K368" s="2159">
        <v>181908726</v>
      </c>
      <c r="L368" s="4254">
        <f>L370</f>
        <v>0</v>
      </c>
      <c r="M368" s="4253">
        <f t="shared" si="65"/>
        <v>181908726</v>
      </c>
      <c r="N368" s="4254">
        <f>N369</f>
        <v>2235631500</v>
      </c>
      <c r="O368" s="4254">
        <f>N368-J368</f>
        <v>0</v>
      </c>
      <c r="P368" s="4061">
        <f t="shared" si="66"/>
        <v>0</v>
      </c>
      <c r="Q368" s="4839"/>
    </row>
    <row r="369" spans="1:17" s="2076" customFormat="1" ht="15.05">
      <c r="A369" s="4046">
        <v>4</v>
      </c>
      <c r="B369" s="4046">
        <v>1</v>
      </c>
      <c r="C369" s="4046">
        <v>2</v>
      </c>
      <c r="D369" s="4047" t="s">
        <v>438</v>
      </c>
      <c r="E369" s="4093" t="s">
        <v>437</v>
      </c>
      <c r="F369" s="4049"/>
      <c r="G369" s="4187"/>
      <c r="H369" s="4188" t="s">
        <v>181</v>
      </c>
      <c r="I369" s="4189"/>
      <c r="J369" s="4254">
        <f>SUM(J370+J373+J374)</f>
        <v>2235631500</v>
      </c>
      <c r="K369" s="2159">
        <v>181908726</v>
      </c>
      <c r="L369" s="4254">
        <f>L370</f>
        <v>0</v>
      </c>
      <c r="M369" s="4253">
        <f t="shared" si="65"/>
        <v>181908726</v>
      </c>
      <c r="N369" s="4254">
        <f>SUM(N370+N373+N374)</f>
        <v>2235631500</v>
      </c>
      <c r="O369" s="4254">
        <f t="shared" ref="O369:O379" si="67">N369-J369</f>
        <v>0</v>
      </c>
      <c r="P369" s="4061">
        <f t="shared" si="66"/>
        <v>0</v>
      </c>
      <c r="Q369" s="4839"/>
    </row>
    <row r="370" spans="1:17" s="2076" customFormat="1">
      <c r="A370" s="4048"/>
      <c r="B370" s="4048"/>
      <c r="C370" s="4048"/>
      <c r="D370" s="4048"/>
      <c r="E370" s="4048"/>
      <c r="F370" s="4049"/>
      <c r="G370" s="4067"/>
      <c r="H370" s="4062" t="s">
        <v>156</v>
      </c>
      <c r="I370" s="847" t="s">
        <v>182</v>
      </c>
      <c r="J370" s="4719">
        <f>SUM(J371:J372)</f>
        <v>1575381500</v>
      </c>
      <c r="K370" s="2159">
        <v>181908726</v>
      </c>
      <c r="L370" s="4254">
        <f>SUM(L371:L374)</f>
        <v>0</v>
      </c>
      <c r="M370" s="4253">
        <f t="shared" si="65"/>
        <v>181908726</v>
      </c>
      <c r="N370" s="4719">
        <f>SUM(N371:N372)</f>
        <v>1575381500</v>
      </c>
      <c r="O370" s="4254">
        <f t="shared" si="67"/>
        <v>0</v>
      </c>
      <c r="P370" s="4061">
        <f t="shared" si="66"/>
        <v>0</v>
      </c>
      <c r="Q370" s="4839"/>
    </row>
    <row r="371" spans="1:17" s="2076" customFormat="1">
      <c r="A371" s="4048"/>
      <c r="B371" s="4048"/>
      <c r="C371" s="4048"/>
      <c r="D371" s="4048"/>
      <c r="E371" s="4048"/>
      <c r="F371" s="4049"/>
      <c r="G371" s="4067"/>
      <c r="H371" s="4060"/>
      <c r="I371" s="4062" t="s">
        <v>183</v>
      </c>
      <c r="J371" s="1964">
        <v>1043101100</v>
      </c>
      <c r="K371" s="2159">
        <v>6500000</v>
      </c>
      <c r="L371" s="2160">
        <v>0</v>
      </c>
      <c r="M371" s="4253">
        <f t="shared" si="65"/>
        <v>6500000</v>
      </c>
      <c r="N371" s="1964">
        <v>1043101100</v>
      </c>
      <c r="O371" s="4254">
        <f t="shared" si="67"/>
        <v>0</v>
      </c>
      <c r="P371" s="4061">
        <f t="shared" si="66"/>
        <v>0</v>
      </c>
      <c r="Q371" s="4839"/>
    </row>
    <row r="372" spans="1:17" s="2076" customFormat="1">
      <c r="A372" s="4048"/>
      <c r="B372" s="4048"/>
      <c r="C372" s="4048"/>
      <c r="D372" s="4048"/>
      <c r="E372" s="4048"/>
      <c r="F372" s="4049"/>
      <c r="G372" s="4067"/>
      <c r="H372" s="4060"/>
      <c r="I372" s="4062" t="s">
        <v>184</v>
      </c>
      <c r="J372" s="1964">
        <v>532280400</v>
      </c>
      <c r="K372" s="2159">
        <v>23000000</v>
      </c>
      <c r="L372" s="2160">
        <v>0</v>
      </c>
      <c r="M372" s="4253">
        <f t="shared" si="65"/>
        <v>23000000</v>
      </c>
      <c r="N372" s="1964">
        <v>532280400</v>
      </c>
      <c r="O372" s="4254">
        <f t="shared" si="67"/>
        <v>0</v>
      </c>
      <c r="P372" s="4061">
        <f t="shared" si="66"/>
        <v>0</v>
      </c>
      <c r="Q372" s="4839"/>
    </row>
    <row r="373" spans="1:17" s="2076" customFormat="1">
      <c r="A373" s="4048"/>
      <c r="B373" s="4048"/>
      <c r="C373" s="4048"/>
      <c r="D373" s="4048"/>
      <c r="E373" s="4048"/>
      <c r="F373" s="4049"/>
      <c r="G373" s="4067"/>
      <c r="H373" s="4062" t="s">
        <v>161</v>
      </c>
      <c r="I373" s="4062" t="s">
        <v>185</v>
      </c>
      <c r="J373" s="4720">
        <v>500000000</v>
      </c>
      <c r="K373" s="2159">
        <v>112658726</v>
      </c>
      <c r="L373" s="2160">
        <v>0</v>
      </c>
      <c r="M373" s="4253">
        <f t="shared" si="65"/>
        <v>112658726</v>
      </c>
      <c r="N373" s="4720">
        <v>500000000</v>
      </c>
      <c r="O373" s="4254">
        <f t="shared" si="67"/>
        <v>0</v>
      </c>
      <c r="P373" s="4061">
        <f t="shared" si="66"/>
        <v>0</v>
      </c>
      <c r="Q373" s="4839"/>
    </row>
    <row r="374" spans="1:17" s="2076" customFormat="1">
      <c r="A374" s="4048"/>
      <c r="B374" s="4048"/>
      <c r="C374" s="4048"/>
      <c r="D374" s="4048"/>
      <c r="E374" s="4048"/>
      <c r="F374" s="4049"/>
      <c r="G374" s="4067"/>
      <c r="H374" s="4062" t="s">
        <v>163</v>
      </c>
      <c r="I374" s="4060" t="s">
        <v>186</v>
      </c>
      <c r="J374" s="4719">
        <f>SUM(J375:J379)</f>
        <v>160250000</v>
      </c>
      <c r="K374" s="2159">
        <v>39750000</v>
      </c>
      <c r="L374" s="4254">
        <f>SUM(L375:L380)</f>
        <v>0</v>
      </c>
      <c r="M374" s="4253">
        <f t="shared" si="65"/>
        <v>39750000</v>
      </c>
      <c r="N374" s="4719">
        <f>SUM(N375:N379)</f>
        <v>160250000</v>
      </c>
      <c r="O374" s="4254">
        <f t="shared" si="67"/>
        <v>0</v>
      </c>
      <c r="P374" s="4061">
        <f t="shared" si="66"/>
        <v>0</v>
      </c>
      <c r="Q374" s="4839"/>
    </row>
    <row r="375" spans="1:17" s="2076" customFormat="1">
      <c r="A375" s="4048"/>
      <c r="B375" s="4048"/>
      <c r="C375" s="4048"/>
      <c r="D375" s="4048"/>
      <c r="E375" s="4048"/>
      <c r="F375" s="4049"/>
      <c r="G375" s="4067"/>
      <c r="H375" s="4060"/>
      <c r="I375" s="4062" t="s">
        <v>187</v>
      </c>
      <c r="J375" s="1964">
        <v>35000000</v>
      </c>
      <c r="K375" s="2159">
        <v>22500000</v>
      </c>
      <c r="L375" s="2160">
        <v>0</v>
      </c>
      <c r="M375" s="4253">
        <f t="shared" si="65"/>
        <v>22500000</v>
      </c>
      <c r="N375" s="1964">
        <v>35000000</v>
      </c>
      <c r="O375" s="4254">
        <f t="shared" si="67"/>
        <v>0</v>
      </c>
      <c r="P375" s="4061">
        <f t="shared" si="66"/>
        <v>0</v>
      </c>
      <c r="Q375" s="4839"/>
    </row>
    <row r="376" spans="1:17" s="2076" customFormat="1">
      <c r="A376" s="4048"/>
      <c r="B376" s="4048"/>
      <c r="C376" s="4048"/>
      <c r="D376" s="4048"/>
      <c r="E376" s="4048"/>
      <c r="F376" s="4049"/>
      <c r="G376" s="4067"/>
      <c r="H376" s="4060"/>
      <c r="I376" s="4062" t="s">
        <v>188</v>
      </c>
      <c r="J376" s="1964">
        <v>28000000</v>
      </c>
      <c r="K376" s="2159">
        <v>0</v>
      </c>
      <c r="L376" s="2160">
        <f>'[2]ALL BULAN'!E365</f>
        <v>0</v>
      </c>
      <c r="M376" s="4253">
        <f t="shared" si="65"/>
        <v>0</v>
      </c>
      <c r="N376" s="1964">
        <v>28000000</v>
      </c>
      <c r="O376" s="4254">
        <f t="shared" si="67"/>
        <v>0</v>
      </c>
      <c r="P376" s="4061">
        <f t="shared" si="66"/>
        <v>0</v>
      </c>
      <c r="Q376" s="4839"/>
    </row>
    <row r="377" spans="1:17" s="2076" customFormat="1">
      <c r="A377" s="4048"/>
      <c r="B377" s="4048"/>
      <c r="C377" s="4048"/>
      <c r="D377" s="4048"/>
      <c r="E377" s="4048"/>
      <c r="F377" s="4049"/>
      <c r="G377" s="4067"/>
      <c r="H377" s="4060"/>
      <c r="I377" s="4062" t="s">
        <v>189</v>
      </c>
      <c r="J377" s="1964">
        <v>17250000</v>
      </c>
      <c r="K377" s="2159">
        <v>17250000</v>
      </c>
      <c r="L377" s="2160">
        <v>0</v>
      </c>
      <c r="M377" s="4253">
        <f t="shared" si="65"/>
        <v>17250000</v>
      </c>
      <c r="N377" s="1964">
        <v>17250000</v>
      </c>
      <c r="O377" s="4254">
        <f t="shared" si="67"/>
        <v>0</v>
      </c>
      <c r="P377" s="4061">
        <f t="shared" si="66"/>
        <v>0</v>
      </c>
      <c r="Q377" s="4839"/>
    </row>
    <row r="378" spans="1:17" s="2076" customFormat="1">
      <c r="A378" s="4048"/>
      <c r="B378" s="4048"/>
      <c r="C378" s="4048"/>
      <c r="D378" s="4048"/>
      <c r="E378" s="4048"/>
      <c r="F378" s="4049"/>
      <c r="G378" s="4067"/>
      <c r="H378" s="4068"/>
      <c r="I378" s="4062" t="s">
        <v>190</v>
      </c>
      <c r="J378" s="1964">
        <v>30000000</v>
      </c>
      <c r="K378" s="2159">
        <v>0</v>
      </c>
      <c r="L378" s="2160">
        <f>'[2]ALL BULAN'!E367</f>
        <v>0</v>
      </c>
      <c r="M378" s="4253">
        <f t="shared" si="65"/>
        <v>0</v>
      </c>
      <c r="N378" s="1964">
        <v>30000000</v>
      </c>
      <c r="O378" s="4254">
        <f t="shared" si="67"/>
        <v>0</v>
      </c>
      <c r="P378" s="4061">
        <f>O378/J378*100</f>
        <v>0</v>
      </c>
      <c r="Q378" s="4839"/>
    </row>
    <row r="379" spans="1:17" s="2076" customFormat="1">
      <c r="A379" s="4048"/>
      <c r="B379" s="4048"/>
      <c r="C379" s="4048"/>
      <c r="D379" s="4048"/>
      <c r="E379" s="4048"/>
      <c r="F379" s="4049"/>
      <c r="G379" s="4067"/>
      <c r="H379" s="4068"/>
      <c r="I379" s="4062" t="s">
        <v>191</v>
      </c>
      <c r="J379" s="1964">
        <v>50000000</v>
      </c>
      <c r="K379" s="2159">
        <v>0</v>
      </c>
      <c r="L379" s="2160">
        <f>'[2]ALL BULAN'!E368</f>
        <v>0</v>
      </c>
      <c r="M379" s="4253">
        <f t="shared" si="65"/>
        <v>0</v>
      </c>
      <c r="N379" s="1964">
        <v>50000000</v>
      </c>
      <c r="O379" s="4254">
        <f t="shared" si="67"/>
        <v>0</v>
      </c>
      <c r="P379" s="4061">
        <f t="shared" si="66"/>
        <v>0</v>
      </c>
      <c r="Q379" s="4839"/>
    </row>
    <row r="380" spans="1:17" s="2076" customFormat="1">
      <c r="A380" s="4048"/>
      <c r="B380" s="4048"/>
      <c r="C380" s="4048"/>
      <c r="D380" s="4048"/>
      <c r="E380" s="4048"/>
      <c r="F380" s="4049"/>
      <c r="G380" s="4067"/>
      <c r="H380" s="4062" t="s">
        <v>165</v>
      </c>
      <c r="I380" s="4060" t="s">
        <v>192</v>
      </c>
      <c r="J380" s="1964">
        <v>0</v>
      </c>
      <c r="K380" s="2159">
        <v>0</v>
      </c>
      <c r="L380" s="2160">
        <f>'[2]ALL BULAN'!E369</f>
        <v>0</v>
      </c>
      <c r="M380" s="4253">
        <f t="shared" si="65"/>
        <v>0</v>
      </c>
      <c r="N380" s="1964">
        <v>0</v>
      </c>
      <c r="O380" s="4254">
        <f>M380-J380</f>
        <v>0</v>
      </c>
      <c r="P380" s="4061">
        <v>0</v>
      </c>
      <c r="Q380" s="4839"/>
    </row>
    <row r="381" spans="1:17" s="2076" customFormat="1" ht="6.75" customHeight="1">
      <c r="A381" s="4048"/>
      <c r="B381" s="4048"/>
      <c r="C381" s="4048"/>
      <c r="D381" s="4048"/>
      <c r="E381" s="4048"/>
      <c r="F381" s="4049"/>
      <c r="G381" s="4067"/>
      <c r="H381" s="4068"/>
      <c r="I381" s="4060"/>
      <c r="J381" s="4253"/>
      <c r="K381" s="2159">
        <v>0</v>
      </c>
      <c r="L381" s="4253"/>
      <c r="M381" s="4253">
        <f t="shared" si="65"/>
        <v>0</v>
      </c>
      <c r="N381" s="4253"/>
      <c r="O381" s="4254">
        <f>M381-J381</f>
        <v>0</v>
      </c>
      <c r="P381" s="4061">
        <f>O381-K381</f>
        <v>0</v>
      </c>
      <c r="Q381" s="4839"/>
    </row>
    <row r="382" spans="1:17" s="4734" customFormat="1" ht="15.05">
      <c r="A382" s="4725">
        <v>4</v>
      </c>
      <c r="B382" s="4725">
        <v>1</v>
      </c>
      <c r="C382" s="4725" t="s">
        <v>457</v>
      </c>
      <c r="D382" s="4726"/>
      <c r="E382" s="4726"/>
      <c r="F382" s="4727">
        <v>2</v>
      </c>
      <c r="G382" s="4728" t="s">
        <v>179</v>
      </c>
      <c r="H382" s="4729" t="s">
        <v>193</v>
      </c>
      <c r="I382" s="4730"/>
      <c r="J382" s="4731">
        <f>SUM(J383+J393)</f>
        <v>92558485190</v>
      </c>
      <c r="K382" s="4732">
        <v>0</v>
      </c>
      <c r="L382" s="4731">
        <f>+L383</f>
        <v>0</v>
      </c>
      <c r="M382" s="4731">
        <f t="shared" si="65"/>
        <v>0</v>
      </c>
      <c r="N382" s="4731">
        <f>SUM(N383+N393)</f>
        <v>93009585651</v>
      </c>
      <c r="O382" s="4723">
        <f>N382-J382</f>
        <v>451100461</v>
      </c>
      <c r="P382" s="4724">
        <f>O382/J382*100</f>
        <v>0.48736802474025021</v>
      </c>
      <c r="Q382" s="4850"/>
    </row>
    <row r="383" spans="1:17" s="2076" customFormat="1">
      <c r="A383" s="4065">
        <v>4</v>
      </c>
      <c r="B383" s="4065">
        <v>1</v>
      </c>
      <c r="C383" s="4065" t="s">
        <v>457</v>
      </c>
      <c r="D383" s="4093" t="s">
        <v>437</v>
      </c>
      <c r="E383" s="4048"/>
      <c r="F383" s="4049"/>
      <c r="G383" s="4067"/>
      <c r="H383" s="4060" t="s">
        <v>194</v>
      </c>
      <c r="I383" s="4060"/>
      <c r="J383" s="4254">
        <f>J384</f>
        <v>90558485190</v>
      </c>
      <c r="K383" s="2343">
        <v>0</v>
      </c>
      <c r="L383" s="4254">
        <f>+L384</f>
        <v>0</v>
      </c>
      <c r="M383" s="2344">
        <f t="shared" si="65"/>
        <v>0</v>
      </c>
      <c r="N383" s="4254">
        <f>N384</f>
        <v>91009585651</v>
      </c>
      <c r="O383" s="4254">
        <f>N383-J383</f>
        <v>451100461</v>
      </c>
      <c r="P383" s="4061">
        <f>O383/J383*100</f>
        <v>0.49813163289287571</v>
      </c>
      <c r="Q383" s="4839"/>
    </row>
    <row r="384" spans="1:17" s="2076" customFormat="1">
      <c r="A384" s="4048"/>
      <c r="B384" s="4048"/>
      <c r="C384" s="4048"/>
      <c r="D384" s="4048"/>
      <c r="E384" s="4048"/>
      <c r="F384" s="4049"/>
      <c r="G384" s="4067"/>
      <c r="H384" s="4060" t="s">
        <v>195</v>
      </c>
      <c r="I384" s="4060"/>
      <c r="J384" s="4254">
        <f>SUM(J385:J391)</f>
        <v>90558485190</v>
      </c>
      <c r="K384" s="2159">
        <v>0</v>
      </c>
      <c r="L384" s="4254">
        <f>SUM(L385:L393)</f>
        <v>0</v>
      </c>
      <c r="M384" s="4253">
        <f t="shared" si="65"/>
        <v>0</v>
      </c>
      <c r="N384" s="4254">
        <f>SUM(N385:N391)</f>
        <v>91009585651</v>
      </c>
      <c r="O384" s="4254">
        <f>N384-J384</f>
        <v>451100461</v>
      </c>
      <c r="P384" s="4061">
        <f t="shared" ref="P384:P391" si="68">O384/J384*100</f>
        <v>0.49813163289287571</v>
      </c>
      <c r="Q384" s="4839"/>
    </row>
    <row r="385" spans="1:17" s="2076" customFormat="1">
      <c r="A385" s="4048"/>
      <c r="B385" s="4048"/>
      <c r="C385" s="4048"/>
      <c r="D385" s="4048"/>
      <c r="E385" s="4048"/>
      <c r="F385" s="4049"/>
      <c r="G385" s="4067"/>
      <c r="H385" s="4060" t="s">
        <v>50</v>
      </c>
      <c r="I385" s="4060" t="s">
        <v>196</v>
      </c>
      <c r="J385" s="1964">
        <v>13374571865</v>
      </c>
      <c r="K385" s="2159">
        <v>0</v>
      </c>
      <c r="L385" s="2160">
        <f>'[2]ALL BULAN'!E374</f>
        <v>0</v>
      </c>
      <c r="M385" s="4253">
        <f t="shared" si="65"/>
        <v>0</v>
      </c>
      <c r="N385" s="1964">
        <v>11305220112</v>
      </c>
      <c r="O385" s="4254">
        <f t="shared" ref="O385:O391" si="69">N385-J385</f>
        <v>-2069351753</v>
      </c>
      <c r="P385" s="4061">
        <f t="shared" si="68"/>
        <v>-15.47228407673594</v>
      </c>
      <c r="Q385" s="4839"/>
    </row>
    <row r="386" spans="1:17" s="2076" customFormat="1">
      <c r="A386" s="4048"/>
      <c r="B386" s="4048"/>
      <c r="C386" s="4048"/>
      <c r="D386" s="4048"/>
      <c r="E386" s="4048"/>
      <c r="F386" s="4049"/>
      <c r="G386" s="4067"/>
      <c r="H386" s="4060" t="s">
        <v>50</v>
      </c>
      <c r="I386" s="4060" t="s">
        <v>197</v>
      </c>
      <c r="J386" s="1964">
        <v>59958450102</v>
      </c>
      <c r="K386" s="2159">
        <v>0</v>
      </c>
      <c r="L386" s="2160">
        <f>'[2]ALL BULAN'!E375</f>
        <v>0</v>
      </c>
      <c r="M386" s="4253">
        <f t="shared" si="65"/>
        <v>0</v>
      </c>
      <c r="N386" s="1964">
        <v>62065732074</v>
      </c>
      <c r="O386" s="4254">
        <f t="shared" si="69"/>
        <v>2107281972</v>
      </c>
      <c r="P386" s="4061">
        <f t="shared" si="68"/>
        <v>3.5145704540646703</v>
      </c>
      <c r="Q386" s="4839"/>
    </row>
    <row r="387" spans="1:17" s="2076" customFormat="1">
      <c r="A387" s="4048"/>
      <c r="B387" s="4048"/>
      <c r="C387" s="4048"/>
      <c r="D387" s="4048"/>
      <c r="E387" s="4048"/>
      <c r="F387" s="4049"/>
      <c r="G387" s="4067"/>
      <c r="H387" s="4060" t="s">
        <v>50</v>
      </c>
      <c r="I387" s="4060" t="s">
        <v>198</v>
      </c>
      <c r="J387" s="1964">
        <v>1000000000</v>
      </c>
      <c r="K387" s="2159">
        <v>0</v>
      </c>
      <c r="L387" s="2160">
        <f>'[2]ALL BULAN'!E376</f>
        <v>0</v>
      </c>
      <c r="M387" s="4253">
        <f t="shared" si="65"/>
        <v>0</v>
      </c>
      <c r="N387" s="1964">
        <v>1100000000</v>
      </c>
      <c r="O387" s="4254">
        <f t="shared" si="69"/>
        <v>100000000</v>
      </c>
      <c r="P387" s="4061">
        <f t="shared" si="68"/>
        <v>10</v>
      </c>
      <c r="Q387" s="4839"/>
    </row>
    <row r="388" spans="1:17" s="2076" customFormat="1">
      <c r="A388" s="4048"/>
      <c r="B388" s="4048"/>
      <c r="C388" s="4048"/>
      <c r="D388" s="4048"/>
      <c r="E388" s="4048"/>
      <c r="F388" s="4049"/>
      <c r="G388" s="4067"/>
      <c r="H388" s="4060" t="s">
        <v>50</v>
      </c>
      <c r="I388" s="4060" t="s">
        <v>199</v>
      </c>
      <c r="J388" s="1964">
        <v>16000000000</v>
      </c>
      <c r="K388" s="2159">
        <v>0</v>
      </c>
      <c r="L388" s="2160">
        <f>'[2]ALL BULAN'!E377</f>
        <v>0</v>
      </c>
      <c r="M388" s="4253">
        <f t="shared" si="65"/>
        <v>0</v>
      </c>
      <c r="N388" s="1964">
        <v>16000000000</v>
      </c>
      <c r="O388" s="4254">
        <f t="shared" si="69"/>
        <v>0</v>
      </c>
      <c r="P388" s="4061">
        <f t="shared" si="68"/>
        <v>0</v>
      </c>
      <c r="Q388" s="4839"/>
    </row>
    <row r="389" spans="1:17" s="2076" customFormat="1">
      <c r="A389" s="4048"/>
      <c r="B389" s="4048"/>
      <c r="C389" s="4048"/>
      <c r="D389" s="4048"/>
      <c r="E389" s="4048"/>
      <c r="F389" s="4049"/>
      <c r="G389" s="4067"/>
      <c r="H389" s="4060" t="s">
        <v>50</v>
      </c>
      <c r="I389" s="4060" t="s">
        <v>200</v>
      </c>
      <c r="J389" s="1964">
        <v>0</v>
      </c>
      <c r="K389" s="2159">
        <v>0</v>
      </c>
      <c r="L389" s="2160">
        <f>'[2]ALL BULAN'!E378</f>
        <v>0</v>
      </c>
      <c r="M389" s="4253">
        <f t="shared" si="65"/>
        <v>0</v>
      </c>
      <c r="N389" s="1964">
        <v>0</v>
      </c>
      <c r="O389" s="4254">
        <f t="shared" si="69"/>
        <v>0</v>
      </c>
      <c r="P389" s="4061">
        <v>0</v>
      </c>
      <c r="Q389" s="4839"/>
    </row>
    <row r="390" spans="1:17" s="2076" customFormat="1">
      <c r="A390" s="4048"/>
      <c r="B390" s="4048"/>
      <c r="C390" s="4048"/>
      <c r="D390" s="4048"/>
      <c r="E390" s="4048"/>
      <c r="F390" s="4049"/>
      <c r="G390" s="4067"/>
      <c r="H390" s="4060" t="s">
        <v>50</v>
      </c>
      <c r="I390" s="4060" t="s">
        <v>201</v>
      </c>
      <c r="J390" s="1964">
        <v>136702012</v>
      </c>
      <c r="K390" s="2159">
        <v>0</v>
      </c>
      <c r="L390" s="2160">
        <f>'[2]ALL BULAN'!E379</f>
        <v>0</v>
      </c>
      <c r="M390" s="4253">
        <f t="shared" si="65"/>
        <v>0</v>
      </c>
      <c r="N390" s="1964">
        <v>437998804</v>
      </c>
      <c r="O390" s="4254">
        <f t="shared" si="69"/>
        <v>301296792</v>
      </c>
      <c r="P390" s="4061">
        <f t="shared" si="68"/>
        <v>220.40406545003884</v>
      </c>
      <c r="Q390" s="4839"/>
    </row>
    <row r="391" spans="1:17" s="2076" customFormat="1">
      <c r="A391" s="4048"/>
      <c r="B391" s="4048"/>
      <c r="C391" s="4048"/>
      <c r="D391" s="4048"/>
      <c r="E391" s="4048"/>
      <c r="F391" s="4049"/>
      <c r="G391" s="4067"/>
      <c r="H391" s="4060" t="s">
        <v>50</v>
      </c>
      <c r="I391" s="4060" t="s">
        <v>202</v>
      </c>
      <c r="J391" s="1964">
        <v>88761211</v>
      </c>
      <c r="K391" s="2159">
        <v>0</v>
      </c>
      <c r="L391" s="2160">
        <f>'[2]ALL BULAN'!E380</f>
        <v>0</v>
      </c>
      <c r="M391" s="4253">
        <f t="shared" si="65"/>
        <v>0</v>
      </c>
      <c r="N391" s="1964">
        <v>100634661</v>
      </c>
      <c r="O391" s="4254">
        <f t="shared" si="69"/>
        <v>11873450</v>
      </c>
      <c r="P391" s="4061">
        <f t="shared" si="68"/>
        <v>13.376845433079998</v>
      </c>
      <c r="Q391" s="4839"/>
    </row>
    <row r="392" spans="1:17" s="2076" customFormat="1" ht="6.75" customHeight="1">
      <c r="A392" s="4048"/>
      <c r="B392" s="4048"/>
      <c r="C392" s="4048"/>
      <c r="D392" s="4048"/>
      <c r="E392" s="4048"/>
      <c r="F392" s="4049"/>
      <c r="G392" s="4067"/>
      <c r="H392" s="4060"/>
      <c r="I392" s="4189"/>
      <c r="J392" s="2346"/>
      <c r="K392" s="2159">
        <v>0</v>
      </c>
      <c r="L392" s="2346"/>
      <c r="M392" s="4253">
        <f t="shared" si="65"/>
        <v>0</v>
      </c>
      <c r="N392" s="2346"/>
      <c r="O392" s="4254">
        <f>N392-J392</f>
        <v>0</v>
      </c>
      <c r="P392" s="4061">
        <v>0</v>
      </c>
      <c r="Q392" s="4839"/>
    </row>
    <row r="393" spans="1:17" s="2076" customFormat="1" ht="15.05">
      <c r="A393" s="4048"/>
      <c r="B393" s="4048"/>
      <c r="C393" s="4048"/>
      <c r="D393" s="4048"/>
      <c r="E393" s="4048"/>
      <c r="F393" s="4049"/>
      <c r="G393" s="4067"/>
      <c r="H393" s="4060" t="s">
        <v>203</v>
      </c>
      <c r="I393" s="4189"/>
      <c r="J393" s="4253">
        <v>2000000000</v>
      </c>
      <c r="K393" s="2159">
        <v>0</v>
      </c>
      <c r="L393" s="4253">
        <f>L394</f>
        <v>0</v>
      </c>
      <c r="M393" s="4253">
        <f t="shared" si="65"/>
        <v>0</v>
      </c>
      <c r="N393" s="4253">
        <v>2000000000</v>
      </c>
      <c r="O393" s="4254">
        <f>N393-J393</f>
        <v>0</v>
      </c>
      <c r="P393" s="4061">
        <f>O393/J393*100</f>
        <v>0</v>
      </c>
      <c r="Q393" s="4839"/>
    </row>
    <row r="394" spans="1:17" s="2076" customFormat="1">
      <c r="A394" s="4048"/>
      <c r="B394" s="4048"/>
      <c r="C394" s="4048"/>
      <c r="D394" s="4048"/>
      <c r="E394" s="4048"/>
      <c r="F394" s="4049"/>
      <c r="G394" s="4067"/>
      <c r="H394" s="4064" t="s">
        <v>50</v>
      </c>
      <c r="I394" s="4060" t="s">
        <v>204</v>
      </c>
      <c r="J394" s="1964">
        <v>2000000000</v>
      </c>
      <c r="K394" s="2159">
        <v>0</v>
      </c>
      <c r="L394" s="2160">
        <f>'[2]ALL BULAN'!E383</f>
        <v>0</v>
      </c>
      <c r="M394" s="4253">
        <f t="shared" si="65"/>
        <v>0</v>
      </c>
      <c r="N394" s="1964">
        <v>2000000000</v>
      </c>
      <c r="O394" s="4254">
        <f>N394-J394</f>
        <v>0</v>
      </c>
      <c r="P394" s="4061">
        <f>O394/J394*100</f>
        <v>0</v>
      </c>
      <c r="Q394" s="4839"/>
    </row>
    <row r="395" spans="1:17" s="2076" customFormat="1" ht="5.95" customHeight="1">
      <c r="A395" s="4048"/>
      <c r="B395" s="4048"/>
      <c r="C395" s="4048"/>
      <c r="D395" s="4048"/>
      <c r="E395" s="4048"/>
      <c r="F395" s="4049"/>
      <c r="G395" s="4067"/>
      <c r="H395" s="4068"/>
      <c r="I395" s="4060"/>
      <c r="J395" s="4248"/>
      <c r="K395" s="2159">
        <v>0</v>
      </c>
      <c r="L395" s="4248"/>
      <c r="M395" s="4253">
        <f t="shared" si="65"/>
        <v>0</v>
      </c>
      <c r="N395" s="4253"/>
      <c r="O395" s="4254">
        <f>M395-J395</f>
        <v>0</v>
      </c>
      <c r="P395" s="4061">
        <f>O395-K395</f>
        <v>0</v>
      </c>
      <c r="Q395" s="4839"/>
    </row>
    <row r="396" spans="1:17" s="4734" customFormat="1" ht="15.05">
      <c r="A396" s="4725">
        <v>4</v>
      </c>
      <c r="B396" s="4725">
        <v>1</v>
      </c>
      <c r="C396" s="4725">
        <v>4</v>
      </c>
      <c r="D396" s="4726"/>
      <c r="E396" s="4726"/>
      <c r="F396" s="4727">
        <v>3</v>
      </c>
      <c r="G396" s="4728" t="s">
        <v>179</v>
      </c>
      <c r="H396" s="4826" t="s">
        <v>71</v>
      </c>
      <c r="I396" s="4827"/>
      <c r="J396" s="4723">
        <f>SUM(J397+J404+J408+J411+J418+J421+J435)</f>
        <v>87048412584</v>
      </c>
      <c r="K396" s="4828">
        <v>3095354259</v>
      </c>
      <c r="L396" s="4723">
        <f>L397+L404+L408+L411+L418+L421+L435</f>
        <v>875532884</v>
      </c>
      <c r="M396" s="4723">
        <f t="shared" si="65"/>
        <v>3970887143</v>
      </c>
      <c r="N396" s="4723">
        <f>SUM(N397+N404+N408+N411+N415+N418+N421+N435)</f>
        <v>89603284425</v>
      </c>
      <c r="O396" s="4733">
        <f t="shared" ref="O396:O404" si="70">N396-J396</f>
        <v>2554871841</v>
      </c>
      <c r="P396" s="4724">
        <f t="shared" ref="P396:P440" si="71">M396/J396*100</f>
        <v>4.5616996624357418</v>
      </c>
      <c r="Q396" s="4850"/>
    </row>
    <row r="397" spans="1:17" s="2076" customFormat="1">
      <c r="A397" s="4065">
        <v>4</v>
      </c>
      <c r="B397" s="4065">
        <v>1</v>
      </c>
      <c r="C397" s="4065">
        <v>4</v>
      </c>
      <c r="D397" s="4047" t="s">
        <v>437</v>
      </c>
      <c r="E397" s="4048"/>
      <c r="F397" s="4049"/>
      <c r="G397" s="4190" t="s">
        <v>205</v>
      </c>
      <c r="H397" s="4056" t="s">
        <v>206</v>
      </c>
      <c r="I397" s="4037"/>
      <c r="J397" s="2344">
        <f>SUM(J398:J403)</f>
        <v>250000000</v>
      </c>
      <c r="K397" s="4555">
        <v>0</v>
      </c>
      <c r="L397" s="2344">
        <f>SUM(L398:L402)</f>
        <v>0</v>
      </c>
      <c r="M397" s="4556">
        <f t="shared" ref="M397:M440" si="72">SUM(K397:L397)</f>
        <v>0</v>
      </c>
      <c r="N397" s="2344">
        <f>SUM(N398:N403)</f>
        <v>250000000</v>
      </c>
      <c r="O397" s="4254">
        <f t="shared" si="70"/>
        <v>0</v>
      </c>
      <c r="P397" s="4061">
        <f t="shared" si="71"/>
        <v>0</v>
      </c>
      <c r="Q397" s="4839"/>
    </row>
    <row r="398" spans="1:17" s="2076" customFormat="1">
      <c r="A398" s="4048"/>
      <c r="B398" s="4048"/>
      <c r="C398" s="4048"/>
      <c r="D398" s="4048"/>
      <c r="E398" s="4048"/>
      <c r="F398" s="4049"/>
      <c r="G398" s="4067"/>
      <c r="H398" s="4062" t="s">
        <v>50</v>
      </c>
      <c r="I398" s="4191" t="s">
        <v>207</v>
      </c>
      <c r="J398" s="1964">
        <v>0</v>
      </c>
      <c r="K398" s="2343">
        <v>0</v>
      </c>
      <c r="L398" s="2160">
        <f>'[2]ALL BULAN'!E387</f>
        <v>0</v>
      </c>
      <c r="M398" s="2344">
        <f t="shared" si="72"/>
        <v>0</v>
      </c>
      <c r="N398" s="2344">
        <v>0</v>
      </c>
      <c r="O398" s="4254">
        <f t="shared" si="70"/>
        <v>0</v>
      </c>
      <c r="P398" s="4061">
        <v>0</v>
      </c>
      <c r="Q398" s="4839"/>
    </row>
    <row r="399" spans="1:17" s="2076" customFormat="1">
      <c r="A399" s="4048"/>
      <c r="B399" s="4048"/>
      <c r="C399" s="4048"/>
      <c r="D399" s="4048"/>
      <c r="E399" s="4048"/>
      <c r="F399" s="4049"/>
      <c r="G399" s="4067"/>
      <c r="H399" s="4062" t="s">
        <v>50</v>
      </c>
      <c r="I399" s="4191" t="s">
        <v>208</v>
      </c>
      <c r="J399" s="1964">
        <v>50000000</v>
      </c>
      <c r="K399" s="2159">
        <v>0</v>
      </c>
      <c r="L399" s="2160">
        <f>'[2]ALL BULAN'!E388</f>
        <v>0</v>
      </c>
      <c r="M399" s="4253">
        <f t="shared" si="72"/>
        <v>0</v>
      </c>
      <c r="N399" s="4248">
        <v>50000000</v>
      </c>
      <c r="O399" s="4254">
        <f t="shared" si="70"/>
        <v>0</v>
      </c>
      <c r="P399" s="4061">
        <f t="shared" si="71"/>
        <v>0</v>
      </c>
      <c r="Q399" s="4839"/>
    </row>
    <row r="400" spans="1:17" s="2076" customFormat="1">
      <c r="A400" s="4048"/>
      <c r="B400" s="4048"/>
      <c r="C400" s="4048"/>
      <c r="D400" s="4048"/>
      <c r="E400" s="4048"/>
      <c r="F400" s="4049"/>
      <c r="G400" s="4067"/>
      <c r="H400" s="4062" t="s">
        <v>50</v>
      </c>
      <c r="I400" s="4191" t="s">
        <v>209</v>
      </c>
      <c r="J400" s="1964">
        <v>0</v>
      </c>
      <c r="K400" s="2159">
        <v>0</v>
      </c>
      <c r="L400" s="2160">
        <f>'[2]ALL BULAN'!E389</f>
        <v>0</v>
      </c>
      <c r="M400" s="4253">
        <f t="shared" si="72"/>
        <v>0</v>
      </c>
      <c r="N400" s="4253"/>
      <c r="O400" s="4254">
        <f t="shared" si="70"/>
        <v>0</v>
      </c>
      <c r="P400" s="4061">
        <v>0</v>
      </c>
      <c r="Q400" s="4839"/>
    </row>
    <row r="401" spans="1:17" s="2076" customFormat="1">
      <c r="A401" s="4048"/>
      <c r="B401" s="4048"/>
      <c r="C401" s="4048"/>
      <c r="D401" s="4048"/>
      <c r="E401" s="4048"/>
      <c r="F401" s="4049"/>
      <c r="G401" s="4067"/>
      <c r="H401" s="4062" t="s">
        <v>50</v>
      </c>
      <c r="I401" s="4191" t="s">
        <v>210</v>
      </c>
      <c r="J401" s="1964">
        <v>0</v>
      </c>
      <c r="K401" s="2159">
        <v>0</v>
      </c>
      <c r="L401" s="2160">
        <f>'[2]ALL BULAN'!E390</f>
        <v>0</v>
      </c>
      <c r="M401" s="4253">
        <f t="shared" si="72"/>
        <v>0</v>
      </c>
      <c r="N401" s="4253"/>
      <c r="O401" s="4254">
        <f t="shared" si="70"/>
        <v>0</v>
      </c>
      <c r="P401" s="4061">
        <v>0</v>
      </c>
      <c r="Q401" s="4839"/>
    </row>
    <row r="402" spans="1:17" s="2076" customFormat="1">
      <c r="A402" s="4048"/>
      <c r="B402" s="4048"/>
      <c r="C402" s="4048"/>
      <c r="D402" s="4048"/>
      <c r="E402" s="4048"/>
      <c r="F402" s="4049"/>
      <c r="G402" s="4067"/>
      <c r="H402" s="4062" t="s">
        <v>50</v>
      </c>
      <c r="I402" s="4191" t="s">
        <v>211</v>
      </c>
      <c r="J402" s="1964">
        <v>200000000</v>
      </c>
      <c r="K402" s="2159">
        <v>0</v>
      </c>
      <c r="L402" s="2160">
        <f>'[2]ALL BULAN'!E391</f>
        <v>0</v>
      </c>
      <c r="M402" s="4253">
        <f t="shared" si="72"/>
        <v>0</v>
      </c>
      <c r="N402" s="4248">
        <v>200000000</v>
      </c>
      <c r="O402" s="4254">
        <f t="shared" si="70"/>
        <v>0</v>
      </c>
      <c r="P402" s="4061">
        <f t="shared" si="71"/>
        <v>0</v>
      </c>
      <c r="Q402" s="4839"/>
    </row>
    <row r="403" spans="1:17" s="2076" customFormat="1" ht="5.95" customHeight="1">
      <c r="A403" s="4048"/>
      <c r="B403" s="4048"/>
      <c r="C403" s="4048"/>
      <c r="D403" s="4048"/>
      <c r="E403" s="4048"/>
      <c r="F403" s="4049"/>
      <c r="G403" s="4067"/>
      <c r="H403" s="4060"/>
      <c r="I403" s="4126"/>
      <c r="J403" s="4248"/>
      <c r="K403" s="2159">
        <v>0</v>
      </c>
      <c r="L403" s="4248"/>
      <c r="M403" s="4253">
        <f t="shared" si="72"/>
        <v>0</v>
      </c>
      <c r="N403" s="4253"/>
      <c r="O403" s="4254">
        <f t="shared" si="70"/>
        <v>0</v>
      </c>
      <c r="P403" s="4061">
        <v>0</v>
      </c>
      <c r="Q403" s="4839"/>
    </row>
    <row r="404" spans="1:17" s="2076" customFormat="1">
      <c r="A404" s="4065">
        <v>4</v>
      </c>
      <c r="B404" s="4065">
        <v>1</v>
      </c>
      <c r="C404" s="4065">
        <v>4</v>
      </c>
      <c r="D404" s="4047" t="s">
        <v>438</v>
      </c>
      <c r="E404" s="4048"/>
      <c r="F404" s="4049"/>
      <c r="G404" s="4190" t="s">
        <v>205</v>
      </c>
      <c r="H404" s="4135" t="s">
        <v>212</v>
      </c>
      <c r="I404" s="4060"/>
      <c r="J404" s="4253">
        <f>J405</f>
        <v>4500000000</v>
      </c>
      <c r="K404" s="4795">
        <v>3094595763</v>
      </c>
      <c r="L404" s="4253">
        <f>SUM(L405:L406)</f>
        <v>532884</v>
      </c>
      <c r="M404" s="4253">
        <f t="shared" si="72"/>
        <v>3095128647</v>
      </c>
      <c r="N404" s="4253">
        <f>SUM(N405:N406)</f>
        <v>7037000000</v>
      </c>
      <c r="O404" s="4254">
        <f t="shared" si="70"/>
        <v>2537000000</v>
      </c>
      <c r="P404" s="4061">
        <f t="shared" si="71"/>
        <v>68.780636599999994</v>
      </c>
      <c r="Q404" s="4839"/>
    </row>
    <row r="405" spans="1:17" s="2076" customFormat="1">
      <c r="A405" s="4048"/>
      <c r="B405" s="4048"/>
      <c r="C405" s="4048"/>
      <c r="D405" s="4048"/>
      <c r="E405" s="4048"/>
      <c r="F405" s="4049"/>
      <c r="G405" s="4067"/>
      <c r="H405" s="4192" t="s">
        <v>50</v>
      </c>
      <c r="I405" s="4126" t="s">
        <v>213</v>
      </c>
      <c r="J405" s="4793">
        <v>4500000000</v>
      </c>
      <c r="K405" s="2343">
        <v>3057719834</v>
      </c>
      <c r="L405" s="4794">
        <v>35912</v>
      </c>
      <c r="M405" s="2344">
        <f t="shared" si="72"/>
        <v>3057755746</v>
      </c>
      <c r="N405" s="4255">
        <v>7000000000</v>
      </c>
      <c r="O405" s="4523">
        <f t="shared" ref="O405:O427" si="73">N405-J405</f>
        <v>2500000000</v>
      </c>
      <c r="P405" s="4061">
        <f t="shared" si="71"/>
        <v>67.950127688888884</v>
      </c>
      <c r="Q405" s="4839"/>
    </row>
    <row r="406" spans="1:17" s="2076" customFormat="1">
      <c r="A406" s="4048"/>
      <c r="B406" s="4048"/>
      <c r="C406" s="4048"/>
      <c r="D406" s="4048"/>
      <c r="E406" s="4048"/>
      <c r="F406" s="4049"/>
      <c r="G406" s="4067"/>
      <c r="H406" s="4193" t="s">
        <v>50</v>
      </c>
      <c r="I406" s="4060" t="s">
        <v>214</v>
      </c>
      <c r="J406" s="1964">
        <v>0</v>
      </c>
      <c r="K406" s="2159">
        <v>36875929</v>
      </c>
      <c r="L406" s="2160">
        <v>496972</v>
      </c>
      <c r="M406" s="4253">
        <f t="shared" si="72"/>
        <v>37372901</v>
      </c>
      <c r="N406" s="4248">
        <v>37000000</v>
      </c>
      <c r="O406" s="4523">
        <f t="shared" si="73"/>
        <v>37000000</v>
      </c>
      <c r="P406" s="4061">
        <v>0</v>
      </c>
      <c r="Q406" s="4839"/>
    </row>
    <row r="407" spans="1:17" s="2076" customFormat="1" ht="3.8" customHeight="1">
      <c r="A407" s="4048"/>
      <c r="B407" s="4048"/>
      <c r="C407" s="4048"/>
      <c r="D407" s="4048"/>
      <c r="E407" s="4048"/>
      <c r="F407" s="4049"/>
      <c r="G407" s="4067"/>
      <c r="H407" s="4060"/>
      <c r="I407" s="4060"/>
      <c r="J407" s="4248"/>
      <c r="K407" s="2159">
        <v>0</v>
      </c>
      <c r="L407" s="4248"/>
      <c r="M407" s="4253">
        <f t="shared" si="72"/>
        <v>0</v>
      </c>
      <c r="N407" s="4253"/>
      <c r="O407" s="4523">
        <f t="shared" si="73"/>
        <v>0</v>
      </c>
      <c r="P407" s="4061">
        <v>0</v>
      </c>
      <c r="Q407" s="4839"/>
    </row>
    <row r="408" spans="1:17" s="2076" customFormat="1">
      <c r="A408" s="4065">
        <v>4</v>
      </c>
      <c r="B408" s="4065">
        <v>1</v>
      </c>
      <c r="C408" s="4065">
        <v>4</v>
      </c>
      <c r="D408" s="4047" t="s">
        <v>440</v>
      </c>
      <c r="E408" s="4048"/>
      <c r="F408" s="4049"/>
      <c r="G408" s="4190" t="s">
        <v>205</v>
      </c>
      <c r="H408" s="4135" t="s">
        <v>215</v>
      </c>
      <c r="I408" s="4068"/>
      <c r="J408" s="4253">
        <f>J409</f>
        <v>6875000000</v>
      </c>
      <c r="K408" s="4795">
        <v>0</v>
      </c>
      <c r="L408" s="4253">
        <f>L409</f>
        <v>875000000</v>
      </c>
      <c r="M408" s="4253">
        <f t="shared" si="72"/>
        <v>875000000</v>
      </c>
      <c r="N408" s="4253">
        <f>N409</f>
        <v>7000000000</v>
      </c>
      <c r="O408" s="4254">
        <f t="shared" si="73"/>
        <v>125000000</v>
      </c>
      <c r="P408" s="4061">
        <f t="shared" si="71"/>
        <v>12.727272727272727</v>
      </c>
      <c r="Q408" s="4839"/>
    </row>
    <row r="409" spans="1:17" s="2076" customFormat="1">
      <c r="A409" s="4048"/>
      <c r="B409" s="4048"/>
      <c r="C409" s="4048"/>
      <c r="D409" s="4048"/>
      <c r="E409" s="4048"/>
      <c r="F409" s="4049"/>
      <c r="G409" s="4067"/>
      <c r="H409" s="4192" t="s">
        <v>50</v>
      </c>
      <c r="I409" s="4126" t="s">
        <v>216</v>
      </c>
      <c r="J409" s="4793">
        <v>6875000000</v>
      </c>
      <c r="K409" s="2343">
        <v>0</v>
      </c>
      <c r="L409" s="4794">
        <v>875000000</v>
      </c>
      <c r="M409" s="2344">
        <f t="shared" si="72"/>
        <v>875000000</v>
      </c>
      <c r="N409" s="2344">
        <v>7000000000</v>
      </c>
      <c r="O409" s="4523">
        <f t="shared" si="73"/>
        <v>125000000</v>
      </c>
      <c r="P409" s="4061">
        <f t="shared" si="71"/>
        <v>12.727272727272727</v>
      </c>
      <c r="Q409" s="4839"/>
    </row>
    <row r="410" spans="1:17" s="2076" customFormat="1" ht="3.8" customHeight="1">
      <c r="A410" s="4048"/>
      <c r="B410" s="4048"/>
      <c r="C410" s="4048"/>
      <c r="D410" s="4048"/>
      <c r="E410" s="4048"/>
      <c r="F410" s="4049"/>
      <c r="G410" s="4067"/>
      <c r="H410" s="4060"/>
      <c r="I410" s="4060"/>
      <c r="J410" s="4248"/>
      <c r="K410" s="2159">
        <v>0</v>
      </c>
      <c r="L410" s="4248"/>
      <c r="M410" s="4253">
        <f t="shared" si="72"/>
        <v>0</v>
      </c>
      <c r="N410" s="4253"/>
      <c r="O410" s="4523">
        <f t="shared" si="73"/>
        <v>0</v>
      </c>
      <c r="P410" s="4061">
        <v>0</v>
      </c>
      <c r="Q410" s="4839"/>
    </row>
    <row r="411" spans="1:17" s="2076" customFormat="1">
      <c r="A411" s="4065">
        <v>4</v>
      </c>
      <c r="B411" s="4065">
        <v>1</v>
      </c>
      <c r="C411" s="4065">
        <v>4</v>
      </c>
      <c r="D411" s="4047" t="s">
        <v>445</v>
      </c>
      <c r="E411" s="4048"/>
      <c r="F411" s="4049"/>
      <c r="G411" s="4190" t="s">
        <v>205</v>
      </c>
      <c r="H411" s="4796" t="s">
        <v>217</v>
      </c>
      <c r="I411" s="4151"/>
      <c r="J411" s="4554">
        <f>SUM(J412:J413)</f>
        <v>1205211975</v>
      </c>
      <c r="K411" s="2390">
        <v>200000</v>
      </c>
      <c r="L411" s="4554">
        <f>SUM(L412:L413)</f>
        <v>0</v>
      </c>
      <c r="M411" s="4554">
        <f t="shared" si="72"/>
        <v>200000</v>
      </c>
      <c r="N411" s="4554">
        <f>SUM(N412:N413)</f>
        <v>1205211975</v>
      </c>
      <c r="O411" s="4523">
        <f t="shared" si="73"/>
        <v>0</v>
      </c>
      <c r="P411" s="4061">
        <f t="shared" si="71"/>
        <v>1.6594591171399536E-2</v>
      </c>
      <c r="Q411" s="4839"/>
    </row>
    <row r="412" spans="1:17" s="2070" customFormat="1">
      <c r="A412" s="4048"/>
      <c r="B412" s="4048"/>
      <c r="C412" s="4048"/>
      <c r="D412" s="4048"/>
      <c r="E412" s="4048"/>
      <c r="F412" s="4049"/>
      <c r="G412" s="4067"/>
      <c r="H412" s="4196" t="s">
        <v>50</v>
      </c>
      <c r="I412" s="4060" t="s">
        <v>218</v>
      </c>
      <c r="J412" s="4541">
        <v>1190211975</v>
      </c>
      <c r="K412" s="4797">
        <v>0</v>
      </c>
      <c r="L412" s="4798">
        <f>'[2]ALL BULAN'!E401</f>
        <v>0</v>
      </c>
      <c r="M412" s="4253">
        <f t="shared" si="72"/>
        <v>0</v>
      </c>
      <c r="N412" s="4541">
        <v>1190211975</v>
      </c>
      <c r="O412" s="4523">
        <f t="shared" si="73"/>
        <v>0</v>
      </c>
      <c r="P412" s="4061">
        <f t="shared" si="71"/>
        <v>0</v>
      </c>
      <c r="Q412" s="4839"/>
    </row>
    <row r="413" spans="1:17" s="2070" customFormat="1">
      <c r="A413" s="4048"/>
      <c r="B413" s="4048"/>
      <c r="C413" s="4048"/>
      <c r="D413" s="4048"/>
      <c r="E413" s="4048"/>
      <c r="F413" s="4049"/>
      <c r="G413" s="4067"/>
      <c r="H413" s="4196" t="s">
        <v>50</v>
      </c>
      <c r="I413" s="4060" t="s">
        <v>219</v>
      </c>
      <c r="J413" s="4541">
        <v>15000000</v>
      </c>
      <c r="K413" s="4797">
        <v>200000</v>
      </c>
      <c r="L413" s="4798">
        <f>'[2]ALL BULAN'!E402</f>
        <v>0</v>
      </c>
      <c r="M413" s="4253">
        <f t="shared" si="72"/>
        <v>200000</v>
      </c>
      <c r="N413" s="4541">
        <v>15000000</v>
      </c>
      <c r="O413" s="4523">
        <f t="shared" si="73"/>
        <v>0</v>
      </c>
      <c r="P413" s="4061">
        <f t="shared" si="71"/>
        <v>1.3333333333333335</v>
      </c>
      <c r="Q413" s="4839"/>
    </row>
    <row r="414" spans="1:17" s="2070" customFormat="1" ht="12.05" customHeight="1">
      <c r="A414" s="4048"/>
      <c r="B414" s="4048"/>
      <c r="C414" s="4048"/>
      <c r="D414" s="4048"/>
      <c r="E414" s="4048"/>
      <c r="F414" s="4049"/>
      <c r="G414" s="4194"/>
      <c r="H414" s="4181"/>
      <c r="I414" s="4060"/>
      <c r="J414" s="4248"/>
      <c r="K414" s="4797">
        <v>0</v>
      </c>
      <c r="L414" s="4248"/>
      <c r="M414" s="4253">
        <f t="shared" si="72"/>
        <v>0</v>
      </c>
      <c r="N414" s="4248"/>
      <c r="O414" s="4523">
        <f t="shared" si="73"/>
        <v>0</v>
      </c>
      <c r="P414" s="4061">
        <v>0</v>
      </c>
      <c r="Q414" s="4839"/>
    </row>
    <row r="415" spans="1:17" s="2070" customFormat="1" ht="12.05" customHeight="1">
      <c r="A415" s="4837"/>
      <c r="B415" s="4837"/>
      <c r="C415" s="4837"/>
      <c r="D415" s="4838"/>
      <c r="E415" s="4048"/>
      <c r="F415" s="4049"/>
      <c r="G415" s="4190" t="s">
        <v>205</v>
      </c>
      <c r="H415" s="2856" t="s">
        <v>557</v>
      </c>
      <c r="I415" s="4151"/>
      <c r="J415" s="4554">
        <f>SUM(J416:J416)</f>
        <v>0</v>
      </c>
      <c r="K415" s="2390">
        <v>200000</v>
      </c>
      <c r="L415" s="4554">
        <f>SUM(L416:L416)</f>
        <v>0</v>
      </c>
      <c r="M415" s="4554">
        <f>SUM(K415:L415)</f>
        <v>200000</v>
      </c>
      <c r="N415" s="4554">
        <f>SUM(N416:N416)</f>
        <v>82408000</v>
      </c>
      <c r="O415" s="4523">
        <f>N415-J415</f>
        <v>82408000</v>
      </c>
      <c r="P415" s="4061">
        <v>0</v>
      </c>
      <c r="Q415" s="4839"/>
    </row>
    <row r="416" spans="1:17" s="2070" customFormat="1" ht="12.05" customHeight="1">
      <c r="A416" s="4837"/>
      <c r="B416" s="4837"/>
      <c r="C416" s="4837"/>
      <c r="D416" s="4838"/>
      <c r="E416" s="4048"/>
      <c r="F416" s="4049"/>
      <c r="G416" s="4067"/>
      <c r="H416" s="4196" t="s">
        <v>50</v>
      </c>
      <c r="I416" s="200" t="s">
        <v>1253</v>
      </c>
      <c r="J416" s="4541">
        <v>0</v>
      </c>
      <c r="K416" s="4797">
        <v>0</v>
      </c>
      <c r="L416" s="4798">
        <f>'[2]ALL BULAN'!E405</f>
        <v>0</v>
      </c>
      <c r="M416" s="4253">
        <f>SUM(K416:L416)</f>
        <v>0</v>
      </c>
      <c r="N416" s="4541">
        <v>82408000</v>
      </c>
      <c r="O416" s="4523">
        <f>N416-J416</f>
        <v>82408000</v>
      </c>
      <c r="P416" s="4061">
        <v>0</v>
      </c>
      <c r="Q416" s="4839"/>
    </row>
    <row r="417" spans="1:17" s="2070" customFormat="1" ht="12.05" customHeight="1">
      <c r="A417" s="4837"/>
      <c r="B417" s="4837"/>
      <c r="C417" s="4837"/>
      <c r="D417" s="4838"/>
      <c r="E417" s="4048"/>
      <c r="F417" s="4049"/>
      <c r="G417" s="4194"/>
      <c r="H417" s="4181"/>
      <c r="I417" s="4060"/>
      <c r="J417" s="4248"/>
      <c r="K417" s="4797"/>
      <c r="L417" s="4248"/>
      <c r="M417" s="4253"/>
      <c r="N417" s="4248"/>
      <c r="O417" s="4523"/>
      <c r="P417" s="4061"/>
      <c r="Q417" s="4839"/>
    </row>
    <row r="418" spans="1:17" s="2070" customFormat="1">
      <c r="A418" s="4065">
        <v>4</v>
      </c>
      <c r="B418" s="4065">
        <v>1</v>
      </c>
      <c r="C418" s="4065">
        <v>4</v>
      </c>
      <c r="D418" s="4047" t="s">
        <v>448</v>
      </c>
      <c r="E418" s="4048"/>
      <c r="F418" s="4049"/>
      <c r="G418" s="4190" t="s">
        <v>205</v>
      </c>
      <c r="H418" s="4799" t="s">
        <v>220</v>
      </c>
      <c r="I418" s="4060"/>
      <c r="J418" s="4253">
        <f>J419</f>
        <v>217536159</v>
      </c>
      <c r="K418" s="4797">
        <v>558496</v>
      </c>
      <c r="L418" s="4253">
        <f>SUM(L419:L419)</f>
        <v>0</v>
      </c>
      <c r="M418" s="4253">
        <f t="shared" si="72"/>
        <v>558496</v>
      </c>
      <c r="N418" s="4253">
        <f>N419</f>
        <v>13000000</v>
      </c>
      <c r="O418" s="4254">
        <f t="shared" si="73"/>
        <v>-204536159</v>
      </c>
      <c r="P418" s="4061">
        <f t="shared" si="71"/>
        <v>0.25673708801670991</v>
      </c>
      <c r="Q418" s="4839"/>
    </row>
    <row r="419" spans="1:17" s="2070" customFormat="1">
      <c r="A419" s="4048"/>
      <c r="B419" s="4048"/>
      <c r="C419" s="4048"/>
      <c r="D419" s="4048"/>
      <c r="E419" s="4048"/>
      <c r="F419" s="4049"/>
      <c r="G419" s="4194"/>
      <c r="H419" s="4196" t="s">
        <v>50</v>
      </c>
      <c r="I419" s="4800" t="s">
        <v>221</v>
      </c>
      <c r="J419" s="4541">
        <v>217536159</v>
      </c>
      <c r="K419" s="4797">
        <v>558496</v>
      </c>
      <c r="L419" s="4798">
        <v>0</v>
      </c>
      <c r="M419" s="4253">
        <f t="shared" si="72"/>
        <v>558496</v>
      </c>
      <c r="N419" s="4541">
        <v>13000000</v>
      </c>
      <c r="O419" s="4523">
        <f t="shared" si="73"/>
        <v>-204536159</v>
      </c>
      <c r="P419" s="4061">
        <f t="shared" si="71"/>
        <v>0.25673708801670991</v>
      </c>
      <c r="Q419" s="4839"/>
    </row>
    <row r="420" spans="1:17" s="2070" customFormat="1" ht="4.55" customHeight="1">
      <c r="A420" s="4048"/>
      <c r="B420" s="4048"/>
      <c r="C420" s="4048"/>
      <c r="D420" s="4048"/>
      <c r="E420" s="4048"/>
      <c r="F420" s="4049"/>
      <c r="G420" s="4194"/>
      <c r="H420" s="4181"/>
      <c r="I420" s="4060"/>
      <c r="J420" s="4248"/>
      <c r="K420" s="4797">
        <v>0</v>
      </c>
      <c r="L420" s="4248"/>
      <c r="M420" s="4253">
        <f t="shared" si="72"/>
        <v>0</v>
      </c>
      <c r="N420" s="4253"/>
      <c r="O420" s="4523">
        <f t="shared" si="73"/>
        <v>0</v>
      </c>
      <c r="P420" s="4061">
        <v>0</v>
      </c>
      <c r="Q420" s="4839"/>
    </row>
    <row r="421" spans="1:17" s="2070" customFormat="1">
      <c r="A421" s="4065">
        <v>4</v>
      </c>
      <c r="B421" s="4065">
        <v>1</v>
      </c>
      <c r="C421" s="4065">
        <v>4</v>
      </c>
      <c r="D421" s="4047" t="s">
        <v>444</v>
      </c>
      <c r="E421" s="4048"/>
      <c r="F421" s="4049"/>
      <c r="G421" s="4190" t="s">
        <v>205</v>
      </c>
      <c r="H421" s="4135" t="s">
        <v>222</v>
      </c>
      <c r="I421" s="4060"/>
      <c r="J421" s="4253">
        <f>SUM(J422+J425+J430)</f>
        <v>73939763650</v>
      </c>
      <c r="K421" s="4797">
        <v>0</v>
      </c>
      <c r="L421" s="4253">
        <f>SUM(L422:L430)</f>
        <v>0</v>
      </c>
      <c r="M421" s="4253">
        <f t="shared" si="72"/>
        <v>0</v>
      </c>
      <c r="N421" s="4253">
        <f>SUM(N422+N425+N430)</f>
        <v>73954763650</v>
      </c>
      <c r="O421" s="4523">
        <f t="shared" si="73"/>
        <v>15000000</v>
      </c>
      <c r="P421" s="4061">
        <f t="shared" si="71"/>
        <v>0</v>
      </c>
      <c r="Q421" s="4839"/>
    </row>
    <row r="422" spans="1:17" s="2070" customFormat="1">
      <c r="A422" s="4074">
        <v>4</v>
      </c>
      <c r="B422" s="4074">
        <v>1</v>
      </c>
      <c r="C422" s="4074" t="s">
        <v>443</v>
      </c>
      <c r="D422" s="4074" t="s">
        <v>444</v>
      </c>
      <c r="E422" s="4074" t="s">
        <v>440</v>
      </c>
      <c r="F422" s="4049"/>
      <c r="G422" s="4194"/>
      <c r="H422" s="4195" t="s">
        <v>50</v>
      </c>
      <c r="I422" s="4126" t="s">
        <v>73</v>
      </c>
      <c r="J422" s="4793">
        <v>0</v>
      </c>
      <c r="K422" s="2343">
        <v>0</v>
      </c>
      <c r="L422" s="4794">
        <f>'[2]ALL BULAN'!E408</f>
        <v>0</v>
      </c>
      <c r="M422" s="2344">
        <f t="shared" si="72"/>
        <v>0</v>
      </c>
      <c r="N422" s="4793">
        <f>N423</f>
        <v>15000000</v>
      </c>
      <c r="O422" s="4523">
        <f t="shared" si="73"/>
        <v>15000000</v>
      </c>
      <c r="P422" s="4061">
        <v>0</v>
      </c>
      <c r="Q422" s="4839"/>
    </row>
    <row r="423" spans="1:17" s="2070" customFormat="1">
      <c r="A423" s="4101"/>
      <c r="B423" s="4101"/>
      <c r="C423" s="4101"/>
      <c r="D423" s="4101"/>
      <c r="E423" s="4829"/>
      <c r="F423" s="4049"/>
      <c r="G423" s="4194"/>
      <c r="H423" s="4195"/>
      <c r="I423" s="224" t="s">
        <v>570</v>
      </c>
      <c r="J423" s="4793">
        <v>0</v>
      </c>
      <c r="K423" s="2343"/>
      <c r="L423" s="4794"/>
      <c r="M423" s="2344"/>
      <c r="N423" s="4793">
        <v>15000000</v>
      </c>
      <c r="O423" s="4523">
        <f t="shared" si="73"/>
        <v>15000000</v>
      </c>
      <c r="P423" s="4061"/>
      <c r="Q423" s="4839"/>
    </row>
    <row r="424" spans="1:17" s="2070" customFormat="1">
      <c r="A424" s="4069">
        <v>4</v>
      </c>
      <c r="B424" s="4069">
        <v>1</v>
      </c>
      <c r="C424" s="4069" t="s">
        <v>443</v>
      </c>
      <c r="D424" s="4069" t="s">
        <v>444</v>
      </c>
      <c r="E424" s="4070" t="s">
        <v>445</v>
      </c>
      <c r="F424" s="4049"/>
      <c r="G424" s="4194"/>
      <c r="H424" s="4196" t="s">
        <v>50</v>
      </c>
      <c r="I424" s="4060" t="s">
        <v>74</v>
      </c>
      <c r="J424" s="1964">
        <v>0</v>
      </c>
      <c r="K424" s="2159">
        <v>0</v>
      </c>
      <c r="L424" s="2160">
        <f>'[2]ALL BULAN'!E409</f>
        <v>0</v>
      </c>
      <c r="M424" s="4253">
        <f t="shared" si="72"/>
        <v>0</v>
      </c>
      <c r="N424" s="1964">
        <v>0</v>
      </c>
      <c r="O424" s="4523">
        <f t="shared" si="73"/>
        <v>0</v>
      </c>
      <c r="P424" s="4061">
        <v>0</v>
      </c>
      <c r="Q424" s="4839"/>
    </row>
    <row r="425" spans="1:17" s="2070" customFormat="1">
      <c r="A425" s="4101">
        <v>4</v>
      </c>
      <c r="B425" s="4101">
        <v>1</v>
      </c>
      <c r="C425" s="4101" t="s">
        <v>443</v>
      </c>
      <c r="D425" s="4101" t="s">
        <v>444</v>
      </c>
      <c r="E425" s="4101" t="s">
        <v>441</v>
      </c>
      <c r="F425" s="4049"/>
      <c r="G425" s="4194"/>
      <c r="H425" s="4181" t="s">
        <v>308</v>
      </c>
      <c r="I425" s="4068" t="s">
        <v>75</v>
      </c>
      <c r="J425" s="2181">
        <f>J426</f>
        <v>3000000000</v>
      </c>
      <c r="K425" s="2159">
        <v>0</v>
      </c>
      <c r="L425" s="2224">
        <f>SUM(L426:L428)</f>
        <v>0</v>
      </c>
      <c r="M425" s="4253">
        <f t="shared" si="72"/>
        <v>0</v>
      </c>
      <c r="N425" s="2181">
        <f>N426</f>
        <v>3000000000</v>
      </c>
      <c r="O425" s="4523">
        <f t="shared" si="73"/>
        <v>0</v>
      </c>
      <c r="P425" s="4061">
        <f t="shared" si="71"/>
        <v>0</v>
      </c>
      <c r="Q425" s="4839"/>
    </row>
    <row r="426" spans="1:17" s="2070" customFormat="1">
      <c r="A426" s="4048"/>
      <c r="B426" s="4048"/>
      <c r="C426" s="4048"/>
      <c r="D426" s="4048"/>
      <c r="E426" s="4048"/>
      <c r="F426" s="4049"/>
      <c r="G426" s="4194"/>
      <c r="H426" s="4196"/>
      <c r="I426" s="4060" t="s">
        <v>458</v>
      </c>
      <c r="J426" s="1964">
        <v>3000000000</v>
      </c>
      <c r="K426" s="2159">
        <v>0</v>
      </c>
      <c r="L426" s="2160">
        <f>'[2]ALL BULAN'!E411</f>
        <v>0</v>
      </c>
      <c r="M426" s="4253">
        <f t="shared" si="72"/>
        <v>0</v>
      </c>
      <c r="N426" s="1964">
        <v>3000000000</v>
      </c>
      <c r="O426" s="4523">
        <f t="shared" si="73"/>
        <v>0</v>
      </c>
      <c r="P426" s="4061">
        <f t="shared" si="71"/>
        <v>0</v>
      </c>
      <c r="Q426" s="4839"/>
    </row>
    <row r="427" spans="1:17" s="2070" customFormat="1">
      <c r="A427" s="4048"/>
      <c r="B427" s="4048"/>
      <c r="C427" s="4048"/>
      <c r="D427" s="4048"/>
      <c r="E427" s="4048"/>
      <c r="F427" s="4049"/>
      <c r="G427" s="4194"/>
      <c r="H427" s="4196"/>
      <c r="I427" s="4060" t="s">
        <v>224</v>
      </c>
      <c r="J427" s="1964">
        <v>0</v>
      </c>
      <c r="K427" s="2159">
        <v>0</v>
      </c>
      <c r="L427" s="2160">
        <f>'[2]ALL BULAN'!E412</f>
        <v>0</v>
      </c>
      <c r="M427" s="4253">
        <f t="shared" si="72"/>
        <v>0</v>
      </c>
      <c r="N427" s="1964">
        <v>0</v>
      </c>
      <c r="O427" s="4523">
        <f t="shared" si="73"/>
        <v>0</v>
      </c>
      <c r="P427" s="4061">
        <v>0</v>
      </c>
      <c r="Q427" s="4839"/>
    </row>
    <row r="428" spans="1:17" s="2070" customFormat="1">
      <c r="A428" s="4048"/>
      <c r="B428" s="4048"/>
      <c r="C428" s="4048"/>
      <c r="D428" s="4048"/>
      <c r="E428" s="4048"/>
      <c r="F428" s="4049"/>
      <c r="G428" s="4194"/>
      <c r="H428" s="4196"/>
      <c r="I428" s="4060" t="s">
        <v>225</v>
      </c>
      <c r="J428" s="1964">
        <v>0</v>
      </c>
      <c r="K428" s="2159">
        <v>0</v>
      </c>
      <c r="L428" s="2160">
        <f>'[2]ALL BULAN'!E413</f>
        <v>0</v>
      </c>
      <c r="M428" s="4253">
        <f t="shared" si="72"/>
        <v>0</v>
      </c>
      <c r="N428" s="1964">
        <v>0</v>
      </c>
      <c r="O428" s="4254">
        <f t="shared" ref="O428:O440" si="74">N428-J428</f>
        <v>0</v>
      </c>
      <c r="P428" s="4061">
        <v>0</v>
      </c>
      <c r="Q428" s="4839"/>
    </row>
    <row r="429" spans="1:17" s="2070" customFormat="1" ht="3.8" customHeight="1">
      <c r="A429" s="4048"/>
      <c r="B429" s="4048"/>
      <c r="C429" s="4048"/>
      <c r="D429" s="4048"/>
      <c r="E429" s="4048"/>
      <c r="F429" s="4049"/>
      <c r="G429" s="4194"/>
      <c r="H429" s="4196"/>
      <c r="I429" s="4060"/>
      <c r="J429" s="4248"/>
      <c r="K429" s="2159">
        <v>0</v>
      </c>
      <c r="L429" s="4248"/>
      <c r="M429" s="4253">
        <f t="shared" si="72"/>
        <v>0</v>
      </c>
      <c r="N429" s="4253"/>
      <c r="O429" s="4254">
        <f t="shared" si="74"/>
        <v>0</v>
      </c>
      <c r="P429" s="4061">
        <v>0</v>
      </c>
      <c r="Q429" s="4839"/>
    </row>
    <row r="430" spans="1:17" s="2070" customFormat="1">
      <c r="A430" s="4101">
        <v>4</v>
      </c>
      <c r="B430" s="4101">
        <v>1</v>
      </c>
      <c r="C430" s="4101" t="s">
        <v>443</v>
      </c>
      <c r="D430" s="4101" t="s">
        <v>444</v>
      </c>
      <c r="E430" s="4101" t="s">
        <v>456</v>
      </c>
      <c r="F430" s="4049"/>
      <c r="G430" s="4067"/>
      <c r="H430" s="4197" t="s">
        <v>50</v>
      </c>
      <c r="I430" s="4198" t="s">
        <v>1219</v>
      </c>
      <c r="J430" s="4557">
        <f>J431</f>
        <v>70939763650</v>
      </c>
      <c r="K430" s="2341">
        <v>0</v>
      </c>
      <c r="L430" s="4557">
        <f>SUM(L431:L433)</f>
        <v>0</v>
      </c>
      <c r="M430" s="4553">
        <f t="shared" si="72"/>
        <v>0</v>
      </c>
      <c r="N430" s="4557">
        <v>70939763650</v>
      </c>
      <c r="O430" s="4254">
        <f t="shared" si="74"/>
        <v>0</v>
      </c>
      <c r="P430" s="4061">
        <f t="shared" si="71"/>
        <v>0</v>
      </c>
      <c r="Q430" s="4839"/>
    </row>
    <row r="431" spans="1:17" s="2070" customFormat="1">
      <c r="A431" s="4048"/>
      <c r="B431" s="4048"/>
      <c r="C431" s="4048"/>
      <c r="D431" s="4048"/>
      <c r="E431" s="4048"/>
      <c r="F431" s="4049"/>
      <c r="G431" s="4067"/>
      <c r="H431" s="4126"/>
      <c r="I431" s="4199" t="s">
        <v>227</v>
      </c>
      <c r="J431" s="1964">
        <v>70939763650</v>
      </c>
      <c r="K431" s="2343">
        <v>0</v>
      </c>
      <c r="L431" s="2160">
        <f>'[2]ALL BULAN'!E416</f>
        <v>0</v>
      </c>
      <c r="M431" s="2344">
        <f t="shared" si="72"/>
        <v>0</v>
      </c>
      <c r="N431" s="1964">
        <v>70939763650</v>
      </c>
      <c r="O431" s="4254">
        <f t="shared" si="74"/>
        <v>0</v>
      </c>
      <c r="P431" s="4061">
        <f t="shared" si="71"/>
        <v>0</v>
      </c>
      <c r="Q431" s="4839"/>
    </row>
    <row r="432" spans="1:17" s="2070" customFormat="1">
      <c r="A432" s="4048"/>
      <c r="B432" s="4048"/>
      <c r="C432" s="4048"/>
      <c r="D432" s="4048"/>
      <c r="E432" s="4048"/>
      <c r="F432" s="4049"/>
      <c r="G432" s="4067"/>
      <c r="H432" s="4060"/>
      <c r="I432" s="4200" t="s">
        <v>228</v>
      </c>
      <c r="J432" s="1964">
        <v>0</v>
      </c>
      <c r="K432" s="2159">
        <v>0</v>
      </c>
      <c r="L432" s="2160">
        <f>'[2]ALL BULAN'!E417</f>
        <v>0</v>
      </c>
      <c r="M432" s="4253">
        <f t="shared" si="72"/>
        <v>0</v>
      </c>
      <c r="N432" s="1964">
        <v>0</v>
      </c>
      <c r="O432" s="4254">
        <f t="shared" si="74"/>
        <v>0</v>
      </c>
      <c r="P432" s="4061">
        <v>0</v>
      </c>
      <c r="Q432" s="4839"/>
    </row>
    <row r="433" spans="1:17" s="2070" customFormat="1">
      <c r="A433" s="4048"/>
      <c r="B433" s="4048"/>
      <c r="C433" s="4048"/>
      <c r="D433" s="4048"/>
      <c r="E433" s="4048"/>
      <c r="F433" s="4049"/>
      <c r="G433" s="4067"/>
      <c r="H433" s="4060"/>
      <c r="I433" s="4200" t="s">
        <v>229</v>
      </c>
      <c r="J433" s="1964">
        <v>0</v>
      </c>
      <c r="K433" s="2159">
        <v>0</v>
      </c>
      <c r="L433" s="2160">
        <f>'[2]ALL BULAN'!E418</f>
        <v>0</v>
      </c>
      <c r="M433" s="4253">
        <f t="shared" si="72"/>
        <v>0</v>
      </c>
      <c r="N433" s="1964">
        <v>0</v>
      </c>
      <c r="O433" s="4254">
        <f t="shared" si="74"/>
        <v>0</v>
      </c>
      <c r="P433" s="4061">
        <v>0</v>
      </c>
      <c r="Q433" s="4839"/>
    </row>
    <row r="434" spans="1:17" s="2070" customFormat="1" ht="5.35" customHeight="1">
      <c r="A434" s="4048"/>
      <c r="B434" s="4048"/>
      <c r="C434" s="4048"/>
      <c r="D434" s="4048"/>
      <c r="E434" s="4048"/>
      <c r="F434" s="4049"/>
      <c r="G434" s="4067"/>
      <c r="H434" s="4060"/>
      <c r="I434" s="4126"/>
      <c r="J434" s="4248"/>
      <c r="K434" s="2159">
        <v>0</v>
      </c>
      <c r="L434" s="4248"/>
      <c r="M434" s="4253">
        <f t="shared" si="72"/>
        <v>0</v>
      </c>
      <c r="N434" s="4248"/>
      <c r="O434" s="4254">
        <f t="shared" si="74"/>
        <v>0</v>
      </c>
      <c r="P434" s="4061">
        <v>0</v>
      </c>
      <c r="Q434" s="4839"/>
    </row>
    <row r="435" spans="1:17" s="2070" customFormat="1">
      <c r="A435" s="4065">
        <v>4</v>
      </c>
      <c r="B435" s="4065">
        <v>1</v>
      </c>
      <c r="C435" s="4065">
        <v>4</v>
      </c>
      <c r="D435" s="4047" t="s">
        <v>459</v>
      </c>
      <c r="E435" s="4048"/>
      <c r="F435" s="4049"/>
      <c r="G435" s="4190" t="s">
        <v>205</v>
      </c>
      <c r="H435" s="4201" t="s">
        <v>230</v>
      </c>
      <c r="I435" s="4202"/>
      <c r="J435" s="4558">
        <f>SUM(J436+J438)</f>
        <v>60900800</v>
      </c>
      <c r="K435" s="2341">
        <v>0</v>
      </c>
      <c r="L435" s="4558">
        <f>L436+L438</f>
        <v>0</v>
      </c>
      <c r="M435" s="4553">
        <f t="shared" si="72"/>
        <v>0</v>
      </c>
      <c r="N435" s="4558">
        <f>SUM(N436+N438)</f>
        <v>60900800</v>
      </c>
      <c r="O435" s="4254">
        <f t="shared" si="74"/>
        <v>0</v>
      </c>
      <c r="P435" s="4061">
        <f t="shared" si="71"/>
        <v>0</v>
      </c>
      <c r="Q435" s="4839"/>
    </row>
    <row r="436" spans="1:17" s="4099" customFormat="1">
      <c r="A436" s="4128"/>
      <c r="B436" s="4128"/>
      <c r="C436" s="4128"/>
      <c r="D436" s="4128"/>
      <c r="E436" s="4128"/>
      <c r="F436" s="4105"/>
      <c r="G436" s="4067"/>
      <c r="H436" s="4203" t="s">
        <v>231</v>
      </c>
      <c r="J436" s="2291">
        <f>J437</f>
        <v>12035600</v>
      </c>
      <c r="K436" s="2343">
        <v>0</v>
      </c>
      <c r="L436" s="2291">
        <f>L437</f>
        <v>0</v>
      </c>
      <c r="M436" s="2344">
        <f t="shared" si="72"/>
        <v>0</v>
      </c>
      <c r="N436" s="2291">
        <f>N437</f>
        <v>12035600</v>
      </c>
      <c r="O436" s="4254">
        <f t="shared" si="74"/>
        <v>0</v>
      </c>
      <c r="P436" s="4061">
        <f t="shared" si="71"/>
        <v>0</v>
      </c>
      <c r="Q436" s="4839"/>
    </row>
    <row r="437" spans="1:17" s="2070" customFormat="1">
      <c r="A437" s="4048"/>
      <c r="B437" s="4048"/>
      <c r="C437" s="4048"/>
      <c r="D437" s="4048"/>
      <c r="E437" s="4048"/>
      <c r="F437" s="4049"/>
      <c r="G437" s="4067"/>
      <c r="H437" s="4193" t="s">
        <v>50</v>
      </c>
      <c r="I437" s="4204" t="s">
        <v>232</v>
      </c>
      <c r="J437" s="1964">
        <v>12035600</v>
      </c>
      <c r="K437" s="2159">
        <v>0</v>
      </c>
      <c r="L437" s="2160">
        <f>'[2]ALL BULAN'!E422</f>
        <v>0</v>
      </c>
      <c r="M437" s="4253">
        <f t="shared" si="72"/>
        <v>0</v>
      </c>
      <c r="N437" s="1964">
        <v>12035600</v>
      </c>
      <c r="O437" s="4254">
        <f t="shared" si="74"/>
        <v>0</v>
      </c>
      <c r="P437" s="4061">
        <f t="shared" si="71"/>
        <v>0</v>
      </c>
      <c r="Q437" s="4839"/>
    </row>
    <row r="438" spans="1:17" s="4099" customFormat="1">
      <c r="A438" s="4128"/>
      <c r="B438" s="4128"/>
      <c r="C438" s="4128"/>
      <c r="D438" s="4128"/>
      <c r="E438" s="4128"/>
      <c r="F438" s="4105"/>
      <c r="G438" s="4067"/>
      <c r="H438" s="4205" t="s">
        <v>233</v>
      </c>
      <c r="J438" s="4542">
        <f>SUM(J439:J440)</f>
        <v>48865200</v>
      </c>
      <c r="K438" s="2159">
        <v>0</v>
      </c>
      <c r="L438" s="4542">
        <f>SUM(L439:L440)</f>
        <v>0</v>
      </c>
      <c r="M438" s="4253">
        <f t="shared" si="72"/>
        <v>0</v>
      </c>
      <c r="N438" s="4542">
        <f>SUM(N439:N440)</f>
        <v>48865200</v>
      </c>
      <c r="O438" s="4254">
        <f t="shared" si="74"/>
        <v>0</v>
      </c>
      <c r="P438" s="4061">
        <f t="shared" si="71"/>
        <v>0</v>
      </c>
      <c r="Q438" s="4839"/>
    </row>
    <row r="439" spans="1:17" s="2070" customFormat="1">
      <c r="A439" s="4048"/>
      <c r="B439" s="4048"/>
      <c r="C439" s="4048"/>
      <c r="D439" s="4048"/>
      <c r="E439" s="4048"/>
      <c r="F439" s="4049"/>
      <c r="G439" s="4067"/>
      <c r="H439" s="4193" t="s">
        <v>50</v>
      </c>
      <c r="I439" s="4200" t="s">
        <v>234</v>
      </c>
      <c r="J439" s="1964">
        <v>4492800</v>
      </c>
      <c r="K439" s="2159">
        <v>0</v>
      </c>
      <c r="L439" s="2160">
        <f>'[2]ALL BULAN'!E424</f>
        <v>0</v>
      </c>
      <c r="M439" s="4253">
        <f t="shared" si="72"/>
        <v>0</v>
      </c>
      <c r="N439" s="1964">
        <v>4492800</v>
      </c>
      <c r="O439" s="4254">
        <f t="shared" si="74"/>
        <v>0</v>
      </c>
      <c r="P439" s="4061">
        <f t="shared" si="71"/>
        <v>0</v>
      </c>
      <c r="Q439" s="4839"/>
    </row>
    <row r="440" spans="1:17" s="2070" customFormat="1">
      <c r="A440" s="4048"/>
      <c r="B440" s="4048"/>
      <c r="C440" s="4048"/>
      <c r="D440" s="4048"/>
      <c r="E440" s="4048"/>
      <c r="F440" s="4049"/>
      <c r="G440" s="4067"/>
      <c r="H440" s="4193" t="s">
        <v>50</v>
      </c>
      <c r="I440" s="4200" t="s">
        <v>235</v>
      </c>
      <c r="J440" s="1964">
        <v>44372400</v>
      </c>
      <c r="K440" s="2159">
        <v>0</v>
      </c>
      <c r="L440" s="2160">
        <f>'[2]ALL BULAN'!E425</f>
        <v>0</v>
      </c>
      <c r="M440" s="4253">
        <f t="shared" si="72"/>
        <v>0</v>
      </c>
      <c r="N440" s="1964">
        <v>44372400</v>
      </c>
      <c r="O440" s="4254">
        <f t="shared" si="74"/>
        <v>0</v>
      </c>
      <c r="P440" s="4061">
        <f t="shared" si="71"/>
        <v>0</v>
      </c>
      <c r="Q440" s="4839"/>
    </row>
    <row r="441" spans="1:17" s="2070" customFormat="1" ht="5.35" customHeight="1">
      <c r="A441" s="4048"/>
      <c r="B441" s="4048"/>
      <c r="C441" s="4048"/>
      <c r="D441" s="4048"/>
      <c r="E441" s="4048"/>
      <c r="F441" s="4049"/>
      <c r="G441" s="4150"/>
      <c r="H441" s="4206"/>
      <c r="I441" s="4206"/>
      <c r="J441" s="2389"/>
      <c r="K441" s="2390"/>
      <c r="L441" s="2389"/>
      <c r="M441" s="2391"/>
      <c r="N441" s="2391"/>
      <c r="O441" s="2391"/>
      <c r="P441" s="4207"/>
      <c r="Q441" s="4839"/>
    </row>
    <row r="442" spans="1:17" s="4745" customFormat="1" ht="14.25" customHeight="1">
      <c r="A442" s="4735">
        <v>4</v>
      </c>
      <c r="B442" s="4735" t="s">
        <v>460</v>
      </c>
      <c r="C442" s="4736"/>
      <c r="D442" s="4736"/>
      <c r="E442" s="4736"/>
      <c r="F442" s="4737"/>
      <c r="G442" s="4738"/>
      <c r="H442" s="4739" t="s">
        <v>236</v>
      </c>
      <c r="I442" s="4740"/>
      <c r="J442" s="4741">
        <f>SUM(J443+J456+J461)</f>
        <v>3222521202310</v>
      </c>
      <c r="K442" s="4742">
        <v>602895773311</v>
      </c>
      <c r="L442" s="4741">
        <f>+L443+L456+L461+L471+L506</f>
        <v>253510823600</v>
      </c>
      <c r="M442" s="4741">
        <f>+M443+M456+M461+M471+M506</f>
        <v>856406596911</v>
      </c>
      <c r="N442" s="4741">
        <f>SUM(N443+N456+N461)</f>
        <v>3116570908600</v>
      </c>
      <c r="O442" s="4743">
        <f>M442-J442</f>
        <v>-2366114605399</v>
      </c>
      <c r="P442" s="4744">
        <f>P443</f>
        <v>-7.0796322924849067</v>
      </c>
      <c r="Q442" s="4851"/>
    </row>
    <row r="443" spans="1:17" s="4637" customFormat="1" ht="14.25" customHeight="1">
      <c r="A443" s="4632">
        <v>4</v>
      </c>
      <c r="B443" s="4632" t="s">
        <v>460</v>
      </c>
      <c r="C443" s="4632">
        <v>1</v>
      </c>
      <c r="D443" s="4633"/>
      <c r="E443" s="4633"/>
      <c r="F443" s="4634"/>
      <c r="G443" s="4638" t="s">
        <v>237</v>
      </c>
      <c r="H443" s="4639" t="s">
        <v>238</v>
      </c>
      <c r="I443" s="4639"/>
      <c r="J443" s="4640">
        <f>SUM(J444+J451)</f>
        <v>353125684600</v>
      </c>
      <c r="K443" s="4640">
        <v>77134449311</v>
      </c>
      <c r="L443" s="4640">
        <f>+L444+L451</f>
        <v>43645442600</v>
      </c>
      <c r="M443" s="4640">
        <f t="shared" ref="M443:M459" si="75">SUM(K443:L443)</f>
        <v>120779891911</v>
      </c>
      <c r="N443" s="4640">
        <f>SUM(N444+N451)</f>
        <v>328125684600</v>
      </c>
      <c r="O443" s="4640">
        <f>N443-J443</f>
        <v>-25000000000</v>
      </c>
      <c r="P443" s="4641">
        <f>O443/J443*100</f>
        <v>-7.0796322924849067</v>
      </c>
      <c r="Q443" s="4839"/>
    </row>
    <row r="444" spans="1:17" s="2070" customFormat="1" ht="15.05">
      <c r="A444" s="4065">
        <v>4</v>
      </c>
      <c r="B444" s="4065" t="s">
        <v>460</v>
      </c>
      <c r="C444" s="4065">
        <v>1</v>
      </c>
      <c r="D444" s="4047" t="s">
        <v>437</v>
      </c>
      <c r="E444" s="4048"/>
      <c r="F444" s="4049"/>
      <c r="G444" s="4055"/>
      <c r="H444" s="4056" t="s">
        <v>239</v>
      </c>
      <c r="I444" s="4126"/>
      <c r="J444" s="4721">
        <f>SUM(J445:J449)</f>
        <v>185190481600</v>
      </c>
      <c r="K444" s="4560">
        <v>15220097700</v>
      </c>
      <c r="L444" s="4559">
        <f>SUM(L445:L449)</f>
        <v>43568767100</v>
      </c>
      <c r="M444" s="4561">
        <f t="shared" si="75"/>
        <v>58788864800</v>
      </c>
      <c r="N444" s="4721">
        <f>SUM(N445:N449)</f>
        <v>176690481600</v>
      </c>
      <c r="O444" s="4805">
        <f t="shared" ref="O444:O455" si="76">N444-J444</f>
        <v>-8500000000</v>
      </c>
      <c r="P444" s="4806">
        <f t="shared" ref="P444:P454" si="77">O444/J444*100</f>
        <v>-4.5898687268168974</v>
      </c>
      <c r="Q444" s="4839"/>
    </row>
    <row r="445" spans="1:17" s="2070" customFormat="1" ht="15.05">
      <c r="A445" s="4065">
        <v>4</v>
      </c>
      <c r="B445" s="4065" t="s">
        <v>460</v>
      </c>
      <c r="C445" s="4065">
        <v>1</v>
      </c>
      <c r="D445" s="4047" t="s">
        <v>437</v>
      </c>
      <c r="E445" s="4047" t="s">
        <v>437</v>
      </c>
      <c r="F445" s="4049"/>
      <c r="G445" s="4150"/>
      <c r="H445" s="4081" t="s">
        <v>50</v>
      </c>
      <c r="I445" s="4151" t="s">
        <v>240</v>
      </c>
      <c r="J445" s="1964">
        <v>10416269000</v>
      </c>
      <c r="K445" s="2159">
        <v>2542990867</v>
      </c>
      <c r="L445" s="2160">
        <v>2000213850</v>
      </c>
      <c r="M445" s="4253">
        <f t="shared" si="75"/>
        <v>4543204717</v>
      </c>
      <c r="N445" s="1964">
        <v>10416269000</v>
      </c>
      <c r="O445" s="4807">
        <f t="shared" si="76"/>
        <v>0</v>
      </c>
      <c r="P445" s="4808">
        <f t="shared" si="77"/>
        <v>0</v>
      </c>
      <c r="Q445" s="4839"/>
    </row>
    <row r="446" spans="1:17" s="2070" customFormat="1" ht="15.05">
      <c r="A446" s="4065">
        <v>4</v>
      </c>
      <c r="B446" s="4065" t="s">
        <v>460</v>
      </c>
      <c r="C446" s="4065">
        <v>1</v>
      </c>
      <c r="D446" s="4047" t="s">
        <v>437</v>
      </c>
      <c r="F446" s="4049"/>
      <c r="G446" s="4208"/>
      <c r="H446" s="4081" t="s">
        <v>50</v>
      </c>
      <c r="I446" s="4090" t="s">
        <v>241</v>
      </c>
      <c r="J446" s="1964">
        <v>0</v>
      </c>
      <c r="K446" s="2159">
        <v>0</v>
      </c>
      <c r="L446" s="2160">
        <f>'[2]ALL BULAN'!E431</f>
        <v>0</v>
      </c>
      <c r="M446" s="4253">
        <f t="shared" si="75"/>
        <v>0</v>
      </c>
      <c r="N446" s="1964">
        <v>0</v>
      </c>
      <c r="O446" s="4807">
        <f t="shared" si="76"/>
        <v>0</v>
      </c>
      <c r="P446" s="4808">
        <v>0</v>
      </c>
      <c r="Q446" s="4839"/>
    </row>
    <row r="447" spans="1:17" s="2070" customFormat="1" ht="15.05">
      <c r="A447" s="4065">
        <v>4</v>
      </c>
      <c r="B447" s="4065" t="s">
        <v>460</v>
      </c>
      <c r="C447" s="4065">
        <v>1</v>
      </c>
      <c r="D447" s="4047" t="s">
        <v>437</v>
      </c>
      <c r="E447" s="4047" t="s">
        <v>440</v>
      </c>
      <c r="F447" s="4049"/>
      <c r="G447" s="4208"/>
      <c r="H447" s="4081" t="s">
        <v>50</v>
      </c>
      <c r="I447" s="4090" t="s">
        <v>242</v>
      </c>
      <c r="J447" s="1964">
        <v>104034902000</v>
      </c>
      <c r="K447" s="2159">
        <v>12576808932</v>
      </c>
      <c r="L447" s="2160">
        <v>23883725500</v>
      </c>
      <c r="M447" s="4253">
        <f t="shared" si="75"/>
        <v>36460534432</v>
      </c>
      <c r="N447" s="1964">
        <v>95534902000</v>
      </c>
      <c r="O447" s="4807">
        <f t="shared" si="76"/>
        <v>-8500000000</v>
      </c>
      <c r="P447" s="4808">
        <f t="shared" si="77"/>
        <v>-8.1703349900786169</v>
      </c>
      <c r="Q447" s="4839"/>
    </row>
    <row r="448" spans="1:17" s="2070" customFormat="1" ht="15.05">
      <c r="A448" s="4065">
        <v>4</v>
      </c>
      <c r="B448" s="4065" t="s">
        <v>460</v>
      </c>
      <c r="C448" s="4065">
        <v>1</v>
      </c>
      <c r="D448" s="4047" t="s">
        <v>437</v>
      </c>
      <c r="E448" s="4047"/>
      <c r="F448" s="4049"/>
      <c r="G448" s="4208"/>
      <c r="H448" s="4081" t="s">
        <v>50</v>
      </c>
      <c r="I448" s="4090" t="s">
        <v>243</v>
      </c>
      <c r="J448" s="1964">
        <v>0</v>
      </c>
      <c r="K448" s="2159">
        <v>0</v>
      </c>
      <c r="L448" s="2160">
        <f>'[2]ALL BULAN'!E433</f>
        <v>0</v>
      </c>
      <c r="M448" s="4253">
        <f t="shared" si="75"/>
        <v>0</v>
      </c>
      <c r="N448" s="1964">
        <v>0</v>
      </c>
      <c r="O448" s="4807">
        <f t="shared" si="76"/>
        <v>0</v>
      </c>
      <c r="P448" s="4808">
        <v>0</v>
      </c>
      <c r="Q448" s="4839"/>
    </row>
    <row r="449" spans="1:17" s="2070" customFormat="1" ht="15.05">
      <c r="A449" s="4065">
        <v>4</v>
      </c>
      <c r="B449" s="4065" t="s">
        <v>460</v>
      </c>
      <c r="C449" s="4065">
        <v>1</v>
      </c>
      <c r="D449" s="4047" t="s">
        <v>437</v>
      </c>
      <c r="E449" s="4047" t="s">
        <v>445</v>
      </c>
      <c r="F449" s="4049"/>
      <c r="G449" s="4208"/>
      <c r="H449" s="4081" t="s">
        <v>50</v>
      </c>
      <c r="I449" s="4090" t="s">
        <v>244</v>
      </c>
      <c r="J449" s="1964">
        <v>70739310600</v>
      </c>
      <c r="K449" s="2159">
        <v>100297901</v>
      </c>
      <c r="L449" s="2160">
        <v>17684827750</v>
      </c>
      <c r="M449" s="4253">
        <f t="shared" si="75"/>
        <v>17785125651</v>
      </c>
      <c r="N449" s="1964">
        <v>70739310600</v>
      </c>
      <c r="O449" s="4807">
        <f t="shared" si="76"/>
        <v>0</v>
      </c>
      <c r="P449" s="4808">
        <f t="shared" si="77"/>
        <v>0</v>
      </c>
      <c r="Q449" s="4839"/>
    </row>
    <row r="450" spans="1:17" s="2070" customFormat="1" ht="5.95" customHeight="1">
      <c r="A450" s="4048"/>
      <c r="B450" s="4048"/>
      <c r="C450" s="4048"/>
      <c r="D450" s="4048"/>
      <c r="E450" s="4048"/>
      <c r="F450" s="4049"/>
      <c r="G450" s="4208"/>
      <c r="H450" s="4151"/>
      <c r="I450" s="4090"/>
      <c r="J450" s="4562"/>
      <c r="K450" s="2159">
        <v>0</v>
      </c>
      <c r="L450" s="4562"/>
      <c r="M450" s="4253">
        <f t="shared" si="75"/>
        <v>0</v>
      </c>
      <c r="N450" s="4562"/>
      <c r="O450" s="4807">
        <f t="shared" si="76"/>
        <v>0</v>
      </c>
      <c r="P450" s="4808">
        <v>0</v>
      </c>
      <c r="Q450" s="4839"/>
    </row>
    <row r="451" spans="1:17" s="2070" customFormat="1" ht="15.05">
      <c r="A451" s="4065">
        <v>4</v>
      </c>
      <c r="B451" s="4065" t="s">
        <v>460</v>
      </c>
      <c r="C451" s="4065">
        <v>1</v>
      </c>
      <c r="D451" s="4047" t="s">
        <v>438</v>
      </c>
      <c r="E451" s="4048"/>
      <c r="F451" s="4049"/>
      <c r="G451" s="4208"/>
      <c r="H451" s="4100" t="s">
        <v>245</v>
      </c>
      <c r="I451" s="4090"/>
      <c r="J451" s="4562">
        <f>SUM(J452:J454)</f>
        <v>167935203000</v>
      </c>
      <c r="K451" s="4564">
        <v>61914351611</v>
      </c>
      <c r="L451" s="4563">
        <f>SUM(L452:L455)</f>
        <v>76675500</v>
      </c>
      <c r="M451" s="4563">
        <f>SUM(M452:M455)</f>
        <v>61991027111</v>
      </c>
      <c r="N451" s="4562">
        <f>SUM(N452:N454)</f>
        <v>151435203000</v>
      </c>
      <c r="O451" s="4807">
        <f t="shared" si="76"/>
        <v>-16500000000</v>
      </c>
      <c r="P451" s="4808">
        <f t="shared" si="77"/>
        <v>-9.8252181229685362</v>
      </c>
      <c r="Q451" s="4839"/>
    </row>
    <row r="452" spans="1:17" s="2070" customFormat="1" ht="15.05">
      <c r="A452" s="4065">
        <v>4</v>
      </c>
      <c r="B452" s="4065" t="s">
        <v>460</v>
      </c>
      <c r="C452" s="4065">
        <v>1</v>
      </c>
      <c r="D452" s="4047" t="s">
        <v>438</v>
      </c>
      <c r="E452" s="4047" t="s">
        <v>437</v>
      </c>
      <c r="F452" s="4049"/>
      <c r="G452" s="4208"/>
      <c r="H452" s="4089" t="s">
        <v>50</v>
      </c>
      <c r="I452" s="4090" t="s">
        <v>246</v>
      </c>
      <c r="J452" s="1964">
        <v>511170000</v>
      </c>
      <c r="K452" s="2159">
        <v>0</v>
      </c>
      <c r="L452" s="2160">
        <v>66556500</v>
      </c>
      <c r="M452" s="4253">
        <f t="shared" si="75"/>
        <v>66556500</v>
      </c>
      <c r="N452" s="1964">
        <v>511170000</v>
      </c>
      <c r="O452" s="4807">
        <f t="shared" si="76"/>
        <v>0</v>
      </c>
      <c r="P452" s="4808">
        <f t="shared" si="77"/>
        <v>0</v>
      </c>
      <c r="Q452" s="4839"/>
    </row>
    <row r="453" spans="1:17" s="2070" customFormat="1" ht="15.05">
      <c r="A453" s="4065">
        <v>4</v>
      </c>
      <c r="B453" s="4065" t="s">
        <v>460</v>
      </c>
      <c r="C453" s="4065">
        <v>1</v>
      </c>
      <c r="D453" s="4047" t="s">
        <v>438</v>
      </c>
      <c r="E453" s="4070" t="s">
        <v>445</v>
      </c>
      <c r="F453" s="4049"/>
      <c r="G453" s="4208"/>
      <c r="H453" s="4089" t="s">
        <v>50</v>
      </c>
      <c r="I453" s="4090" t="s">
        <v>247</v>
      </c>
      <c r="J453" s="1964">
        <v>4168131000</v>
      </c>
      <c r="K453" s="2159">
        <v>1232728624</v>
      </c>
      <c r="L453" s="2160">
        <v>0</v>
      </c>
      <c r="M453" s="4253">
        <f t="shared" si="75"/>
        <v>1232728624</v>
      </c>
      <c r="N453" s="1964">
        <v>4168131000</v>
      </c>
      <c r="O453" s="4807">
        <f t="shared" si="76"/>
        <v>0</v>
      </c>
      <c r="P453" s="4808">
        <f t="shared" si="77"/>
        <v>0</v>
      </c>
      <c r="Q453" s="4839"/>
    </row>
    <row r="454" spans="1:17" s="2070" customFormat="1" ht="15.05">
      <c r="A454" s="4065">
        <v>4</v>
      </c>
      <c r="B454" s="4065" t="s">
        <v>460</v>
      </c>
      <c r="C454" s="4065">
        <v>1</v>
      </c>
      <c r="D454" s="4047" t="s">
        <v>438</v>
      </c>
      <c r="E454" s="4070" t="s">
        <v>451</v>
      </c>
      <c r="F454" s="4049"/>
      <c r="G454" s="4208"/>
      <c r="H454" s="4089" t="s">
        <v>50</v>
      </c>
      <c r="I454" s="4090" t="s">
        <v>248</v>
      </c>
      <c r="J454" s="1964">
        <v>163255902000</v>
      </c>
      <c r="K454" s="2159">
        <v>60654372288</v>
      </c>
      <c r="L454" s="2160">
        <v>0</v>
      </c>
      <c r="M454" s="4253">
        <f t="shared" si="75"/>
        <v>60654372288</v>
      </c>
      <c r="N454" s="1964">
        <v>146755902000</v>
      </c>
      <c r="O454" s="4807">
        <f t="shared" si="76"/>
        <v>-16500000000</v>
      </c>
      <c r="P454" s="4808">
        <f t="shared" si="77"/>
        <v>-10.106832156058896</v>
      </c>
      <c r="Q454" s="4839"/>
    </row>
    <row r="455" spans="1:17" s="2070" customFormat="1" ht="13.5" customHeight="1">
      <c r="A455" s="4048"/>
      <c r="B455" s="4048"/>
      <c r="C455" s="4048"/>
      <c r="D455" s="4048"/>
      <c r="E455" s="4048"/>
      <c r="F455" s="4049"/>
      <c r="G455" s="4211"/>
      <c r="H455" s="4089" t="s">
        <v>50</v>
      </c>
      <c r="I455" s="4133" t="s">
        <v>461</v>
      </c>
      <c r="J455" s="4642"/>
      <c r="K455" s="2255">
        <v>27250699</v>
      </c>
      <c r="L455" s="4642">
        <v>10119000</v>
      </c>
      <c r="M455" s="4254">
        <f t="shared" si="75"/>
        <v>37369699</v>
      </c>
      <c r="N455" s="4254"/>
      <c r="O455" s="4801">
        <f t="shared" si="76"/>
        <v>0</v>
      </c>
      <c r="P455" s="4803">
        <v>0</v>
      </c>
      <c r="Q455" s="4839"/>
    </row>
    <row r="456" spans="1:17" s="4637" customFormat="1" ht="15.05">
      <c r="A456" s="4632">
        <v>4</v>
      </c>
      <c r="B456" s="4632" t="s">
        <v>460</v>
      </c>
      <c r="C456" s="4632" t="s">
        <v>460</v>
      </c>
      <c r="D456" s="4633"/>
      <c r="E456" s="4633"/>
      <c r="F456" s="4634"/>
      <c r="G456" s="4638" t="s">
        <v>249</v>
      </c>
      <c r="H456" s="4643" t="s">
        <v>250</v>
      </c>
      <c r="I456" s="4635"/>
      <c r="J456" s="4644">
        <f>J457</f>
        <v>1496972549710</v>
      </c>
      <c r="K456" s="4640">
        <v>354005724000</v>
      </c>
      <c r="L456" s="4644">
        <f>L457</f>
        <v>118001908000</v>
      </c>
      <c r="M456" s="4640">
        <f t="shared" si="75"/>
        <v>472007632000</v>
      </c>
      <c r="N456" s="4644">
        <f>N457</f>
        <v>1416022952000</v>
      </c>
      <c r="O456" s="4640">
        <f>N456-J456</f>
        <v>-80949597710</v>
      </c>
      <c r="P456" s="4641">
        <f>O456/J456*100</f>
        <v>-5.4075539144443168</v>
      </c>
      <c r="Q456" s="4839"/>
    </row>
    <row r="457" spans="1:17" s="2070" customFormat="1" ht="15.05">
      <c r="A457" s="4065">
        <v>4</v>
      </c>
      <c r="B457" s="4065" t="s">
        <v>460</v>
      </c>
      <c r="C457" s="4065" t="s">
        <v>460</v>
      </c>
      <c r="D457" s="4047" t="s">
        <v>437</v>
      </c>
      <c r="E457" s="4048"/>
      <c r="F457" s="4049"/>
      <c r="G457" s="4209"/>
      <c r="H457" s="4210" t="s">
        <v>251</v>
      </c>
      <c r="I457" s="4136"/>
      <c r="J457" s="4559">
        <f>SUM(J458:J459)</f>
        <v>1496972549710</v>
      </c>
      <c r="K457" s="2159">
        <v>354005724000</v>
      </c>
      <c r="L457" s="4559">
        <f>SUM(L458:L459)</f>
        <v>118001908000</v>
      </c>
      <c r="M457" s="4253">
        <f t="shared" si="75"/>
        <v>472007632000</v>
      </c>
      <c r="N457" s="4559">
        <f>SUM(N458:N459)</f>
        <v>1416022952000</v>
      </c>
      <c r="O457" s="4523">
        <f>N457-J457</f>
        <v>-80949597710</v>
      </c>
      <c r="P457" s="4806">
        <f>O457/J457*100</f>
        <v>-5.4075539144443168</v>
      </c>
      <c r="Q457" s="4839"/>
    </row>
    <row r="458" spans="1:17" s="2070" customFormat="1" ht="15.05">
      <c r="A458" s="4048"/>
      <c r="B458" s="4048"/>
      <c r="C458" s="4048"/>
      <c r="D458" s="4048"/>
      <c r="E458" s="4048"/>
      <c r="F458" s="4049"/>
      <c r="G458" s="4208"/>
      <c r="H458" s="4089" t="s">
        <v>50</v>
      </c>
      <c r="I458" s="4090" t="s">
        <v>252</v>
      </c>
      <c r="J458" s="1964">
        <v>1416022952000</v>
      </c>
      <c r="K458" s="2159">
        <v>354005724000</v>
      </c>
      <c r="L458" s="2160">
        <v>118001908000</v>
      </c>
      <c r="M458" s="4253">
        <f t="shared" si="75"/>
        <v>472007632000</v>
      </c>
      <c r="N458" s="1964">
        <v>1416022952000</v>
      </c>
      <c r="O458" s="4523">
        <f>N458-J458</f>
        <v>0</v>
      </c>
      <c r="P458" s="4808">
        <f>O458/J458*100</f>
        <v>0</v>
      </c>
      <c r="Q458" s="4839"/>
    </row>
    <row r="459" spans="1:17" s="2070" customFormat="1" ht="15.05">
      <c r="A459" s="4048"/>
      <c r="B459" s="4048"/>
      <c r="C459" s="4048"/>
      <c r="D459" s="4048"/>
      <c r="E459" s="4048"/>
      <c r="F459" s="4049"/>
      <c r="G459" s="4208"/>
      <c r="H459" s="4089" t="s">
        <v>50</v>
      </c>
      <c r="I459" s="4090" t="s">
        <v>253</v>
      </c>
      <c r="J459" s="1964">
        <v>80949597710</v>
      </c>
      <c r="K459" s="2159">
        <v>0</v>
      </c>
      <c r="L459" s="2160">
        <f>'[2]ALL BULAN'!E444</f>
        <v>0</v>
      </c>
      <c r="M459" s="4253">
        <f t="shared" si="75"/>
        <v>0</v>
      </c>
      <c r="N459" s="1964">
        <v>0</v>
      </c>
      <c r="O459" s="4523">
        <f>M459-J459</f>
        <v>-80949597710</v>
      </c>
      <c r="P459" s="4808">
        <f>O459/J459*100</f>
        <v>-100</v>
      </c>
      <c r="Q459" s="4839"/>
    </row>
    <row r="460" spans="1:17" s="2070" customFormat="1" ht="5.95" customHeight="1">
      <c r="A460" s="4048"/>
      <c r="B460" s="4048"/>
      <c r="C460" s="4048"/>
      <c r="D460" s="4048"/>
      <c r="E460" s="4048"/>
      <c r="F460" s="4049"/>
      <c r="G460" s="4211"/>
      <c r="H460" s="4133"/>
      <c r="I460" s="4133"/>
      <c r="J460" s="4565"/>
      <c r="K460" s="4566"/>
      <c r="L460" s="4565"/>
      <c r="M460" s="4567"/>
      <c r="N460" s="4565"/>
      <c r="O460" s="4567"/>
      <c r="P460" s="4809"/>
      <c r="Q460" s="4839"/>
    </row>
    <row r="461" spans="1:17" s="4637" customFormat="1" ht="15.05">
      <c r="A461" s="4632">
        <v>4</v>
      </c>
      <c r="B461" s="4632" t="s">
        <v>460</v>
      </c>
      <c r="C461" s="4632" t="s">
        <v>457</v>
      </c>
      <c r="D461" s="4633"/>
      <c r="E461" s="4633"/>
      <c r="F461" s="4634"/>
      <c r="G461" s="4638" t="s">
        <v>254</v>
      </c>
      <c r="H461" s="4643" t="s">
        <v>255</v>
      </c>
      <c r="I461" s="4635"/>
      <c r="J461" s="4644">
        <f>J462</f>
        <v>1372422968000</v>
      </c>
      <c r="K461" s="4640">
        <v>171755600000</v>
      </c>
      <c r="L461" s="4644">
        <f>L462</f>
        <v>65166318000</v>
      </c>
      <c r="M461" s="4640">
        <f t="shared" ref="M461:M469" si="78">SUM(K461:L461)</f>
        <v>236921918000</v>
      </c>
      <c r="N461" s="4644">
        <f>N462</f>
        <v>1372422272000</v>
      </c>
      <c r="O461" s="4640">
        <f>N461-J461</f>
        <v>-696000</v>
      </c>
      <c r="P461" s="4641">
        <f>O461/J461*100</f>
        <v>-5.0713228809793575E-5</v>
      </c>
      <c r="Q461" s="4839"/>
    </row>
    <row r="462" spans="1:17" s="2070" customFormat="1" ht="15.05">
      <c r="A462" s="4065">
        <v>4</v>
      </c>
      <c r="B462" s="4065" t="s">
        <v>460</v>
      </c>
      <c r="C462" s="4065" t="s">
        <v>457</v>
      </c>
      <c r="D462" s="4047" t="s">
        <v>437</v>
      </c>
      <c r="E462" s="4048"/>
      <c r="F462" s="4049"/>
      <c r="G462" s="4213"/>
      <c r="H462" s="4210" t="s">
        <v>256</v>
      </c>
      <c r="I462" s="4136"/>
      <c r="J462" s="4810">
        <f>SUM(J463+J469)</f>
        <v>1372422968000</v>
      </c>
      <c r="K462" s="2390">
        <v>171755600000</v>
      </c>
      <c r="L462" s="4810">
        <f>L463+L469</f>
        <v>65166318000</v>
      </c>
      <c r="M462" s="4554">
        <f t="shared" si="78"/>
        <v>236921918000</v>
      </c>
      <c r="N462" s="4810">
        <f>SUM(N463+N469)</f>
        <v>1372422272000</v>
      </c>
      <c r="O462" s="4811">
        <f t="shared" ref="O462:O469" si="79">N462-J462</f>
        <v>-696000</v>
      </c>
      <c r="P462" s="4806">
        <f t="shared" ref="P462:P467" si="80">O462/J462*100</f>
        <v>-5.0713228809793575E-5</v>
      </c>
      <c r="Q462" s="4839"/>
    </row>
    <row r="463" spans="1:17" s="2070" customFormat="1" ht="15.05">
      <c r="A463" s="4048"/>
      <c r="B463" s="4048"/>
      <c r="C463" s="4048"/>
      <c r="D463" s="4048"/>
      <c r="E463" s="4048"/>
      <c r="F463" s="4049"/>
      <c r="G463" s="4208"/>
      <c r="H463" s="4089" t="s">
        <v>50</v>
      </c>
      <c r="I463" s="4090" t="s">
        <v>257</v>
      </c>
      <c r="J463" s="4563">
        <f>SUM(J464:J468)</f>
        <v>1074923968000</v>
      </c>
      <c r="K463" s="2180">
        <v>171755600000</v>
      </c>
      <c r="L463" s="4563">
        <f>SUM(L464:L468)</f>
        <v>65166318000</v>
      </c>
      <c r="M463" s="2189">
        <f t="shared" si="78"/>
        <v>236921918000</v>
      </c>
      <c r="N463" s="4563">
        <f>SUM(N464:N468)</f>
        <v>1074923968000</v>
      </c>
      <c r="O463" s="4802">
        <f t="shared" si="79"/>
        <v>0</v>
      </c>
      <c r="P463" s="4804">
        <f t="shared" si="80"/>
        <v>0</v>
      </c>
      <c r="Q463" s="4839"/>
    </row>
    <row r="464" spans="1:17" s="2070" customFormat="1" ht="15.05">
      <c r="A464" s="4048"/>
      <c r="B464" s="4048"/>
      <c r="C464" s="4048"/>
      <c r="D464" s="4048"/>
      <c r="E464" s="4048"/>
      <c r="F464" s="4049"/>
      <c r="G464" s="4208"/>
      <c r="H464" s="4090"/>
      <c r="I464" s="4089" t="s">
        <v>258</v>
      </c>
      <c r="J464" s="1964">
        <v>858778000000</v>
      </c>
      <c r="K464" s="2180">
        <v>171755600000</v>
      </c>
      <c r="L464" s="2160">
        <f>'[2]ALL BULAN'!E449</f>
        <v>0</v>
      </c>
      <c r="M464" s="2189">
        <f t="shared" si="78"/>
        <v>171755600000</v>
      </c>
      <c r="N464" s="1964">
        <v>858778000000</v>
      </c>
      <c r="O464" s="4802">
        <f t="shared" si="79"/>
        <v>0</v>
      </c>
      <c r="P464" s="4804">
        <f t="shared" si="80"/>
        <v>0</v>
      </c>
      <c r="Q464" s="4839"/>
    </row>
    <row r="465" spans="1:17" s="2070" customFormat="1" ht="15.05">
      <c r="A465" s="4048"/>
      <c r="B465" s="4048"/>
      <c r="C465" s="4048"/>
      <c r="D465" s="4048"/>
      <c r="E465" s="4048"/>
      <c r="F465" s="4049"/>
      <c r="G465" s="4208"/>
      <c r="H465" s="4090"/>
      <c r="I465" s="4089" t="s">
        <v>259</v>
      </c>
      <c r="J465" s="1964">
        <v>207376785000</v>
      </c>
      <c r="K465" s="2180">
        <v>0</v>
      </c>
      <c r="L465" s="2160">
        <v>62213035000</v>
      </c>
      <c r="M465" s="2189">
        <f t="shared" si="78"/>
        <v>62213035000</v>
      </c>
      <c r="N465" s="1964">
        <v>207376785000</v>
      </c>
      <c r="O465" s="4802">
        <f t="shared" si="79"/>
        <v>0</v>
      </c>
      <c r="P465" s="4804">
        <f t="shared" si="80"/>
        <v>0</v>
      </c>
      <c r="Q465" s="4839"/>
    </row>
    <row r="466" spans="1:17" s="2070" customFormat="1" ht="15.05">
      <c r="A466" s="4048"/>
      <c r="B466" s="4048"/>
      <c r="C466" s="4048"/>
      <c r="D466" s="4048"/>
      <c r="E466" s="4048"/>
      <c r="F466" s="4049"/>
      <c r="G466" s="4208"/>
      <c r="H466" s="4090"/>
      <c r="I466" s="4089" t="s">
        <v>260</v>
      </c>
      <c r="J466" s="1964">
        <v>4737000000</v>
      </c>
      <c r="K466" s="2180">
        <v>0</v>
      </c>
      <c r="L466" s="2160">
        <v>1421100000</v>
      </c>
      <c r="M466" s="2189">
        <f t="shared" si="78"/>
        <v>1421100000</v>
      </c>
      <c r="N466" s="1964">
        <v>4737000000</v>
      </c>
      <c r="O466" s="4802">
        <f t="shared" si="79"/>
        <v>0</v>
      </c>
      <c r="P466" s="4804">
        <f t="shared" si="80"/>
        <v>0</v>
      </c>
      <c r="Q466" s="4839"/>
    </row>
    <row r="467" spans="1:17" s="2070" customFormat="1" ht="15.05">
      <c r="A467" s="4048"/>
      <c r="B467" s="4048"/>
      <c r="C467" s="4048"/>
      <c r="D467" s="4048"/>
      <c r="E467" s="4048"/>
      <c r="F467" s="4049"/>
      <c r="G467" s="4208"/>
      <c r="H467" s="4090"/>
      <c r="I467" s="4089" t="s">
        <v>261</v>
      </c>
      <c r="J467" s="1964">
        <v>2500000000</v>
      </c>
      <c r="K467" s="2180">
        <v>0</v>
      </c>
      <c r="L467" s="2160">
        <v>1532183000</v>
      </c>
      <c r="M467" s="2189">
        <f t="shared" si="78"/>
        <v>1532183000</v>
      </c>
      <c r="N467" s="1964">
        <v>2500000000</v>
      </c>
      <c r="O467" s="4802">
        <f t="shared" si="79"/>
        <v>0</v>
      </c>
      <c r="P467" s="4804">
        <f t="shared" si="80"/>
        <v>0</v>
      </c>
      <c r="Q467" s="4839"/>
    </row>
    <row r="468" spans="1:17" s="2070" customFormat="1" ht="15.05">
      <c r="A468" s="4048"/>
      <c r="B468" s="4048"/>
      <c r="C468" s="4048"/>
      <c r="D468" s="4048"/>
      <c r="E468" s="4048"/>
      <c r="F468" s="4049"/>
      <c r="G468" s="4208"/>
      <c r="H468" s="4090"/>
      <c r="I468" s="4089" t="s">
        <v>262</v>
      </c>
      <c r="J468" s="1964">
        <v>1532183000</v>
      </c>
      <c r="K468" s="2180">
        <v>0</v>
      </c>
      <c r="L468" s="2160">
        <f>'[2]ALL BULAN'!E453</f>
        <v>0</v>
      </c>
      <c r="M468" s="2189">
        <f t="shared" si="78"/>
        <v>0</v>
      </c>
      <c r="N468" s="1964">
        <v>1532183000</v>
      </c>
      <c r="O468" s="4802">
        <f t="shared" si="79"/>
        <v>0</v>
      </c>
      <c r="P468" s="4814">
        <f>M468/J468*100</f>
        <v>0</v>
      </c>
      <c r="Q468" s="4839"/>
    </row>
    <row r="469" spans="1:17" s="2070" customFormat="1" ht="15.05">
      <c r="A469" s="4048"/>
      <c r="B469" s="4048"/>
      <c r="C469" s="4048"/>
      <c r="D469" s="4048"/>
      <c r="E469" s="4048"/>
      <c r="F469" s="4049"/>
      <c r="G469" s="4208"/>
      <c r="H469" s="4089" t="s">
        <v>50</v>
      </c>
      <c r="I469" s="4090" t="s">
        <v>263</v>
      </c>
      <c r="J469" s="4815">
        <v>297499000000</v>
      </c>
      <c r="K469" s="2180">
        <v>0</v>
      </c>
      <c r="L469" s="2160">
        <f>'[2]ALL BULAN'!E454</f>
        <v>0</v>
      </c>
      <c r="M469" s="2189">
        <f t="shared" si="78"/>
        <v>0</v>
      </c>
      <c r="N469" s="4815">
        <v>297498304000</v>
      </c>
      <c r="O469" s="4807">
        <f t="shared" si="79"/>
        <v>-696000</v>
      </c>
      <c r="P469" s="4814">
        <f>M469/J469*100</f>
        <v>0</v>
      </c>
      <c r="Q469" s="4839"/>
    </row>
    <row r="470" spans="1:17" s="2070" customFormat="1" ht="6.75" customHeight="1">
      <c r="A470" s="4048"/>
      <c r="B470" s="4048"/>
      <c r="C470" s="4048"/>
      <c r="D470" s="4048"/>
      <c r="E470" s="4048"/>
      <c r="F470" s="4049"/>
      <c r="G470" s="4211"/>
      <c r="H470" s="4133"/>
      <c r="I470" s="4133"/>
      <c r="J470" s="4810"/>
      <c r="K470" s="4812"/>
      <c r="L470" s="4810"/>
      <c r="M470" s="4813"/>
      <c r="N470" s="4813"/>
      <c r="O470" s="4813"/>
      <c r="P470" s="4809"/>
      <c r="Q470" s="4839"/>
    </row>
    <row r="471" spans="1:17" s="4754" customFormat="1" ht="15.05">
      <c r="A471" s="4735">
        <v>4</v>
      </c>
      <c r="B471" s="4735" t="s">
        <v>457</v>
      </c>
      <c r="C471" s="4746"/>
      <c r="D471" s="4746"/>
      <c r="E471" s="4746"/>
      <c r="F471" s="4747">
        <v>4</v>
      </c>
      <c r="G471" s="4748" t="s">
        <v>264</v>
      </c>
      <c r="H471" s="4749" t="s">
        <v>265</v>
      </c>
      <c r="I471" s="4750"/>
      <c r="J471" s="4751">
        <f>J472+J506</f>
        <v>67264821900</v>
      </c>
      <c r="K471" s="4752">
        <v>0</v>
      </c>
      <c r="L471" s="4751">
        <f>L472</f>
        <v>0</v>
      </c>
      <c r="M471" s="4752">
        <f t="shared" ref="M471:M504" si="81">SUM(K471:L471)</f>
        <v>0</v>
      </c>
      <c r="N471" s="4751">
        <f>N472+N506</f>
        <v>85598457900</v>
      </c>
      <c r="O471" s="4752">
        <f>N471-J471</f>
        <v>18333636000</v>
      </c>
      <c r="P471" s="4753">
        <f>O471/J471*100</f>
        <v>27.255905066181406</v>
      </c>
      <c r="Q471" s="4851"/>
    </row>
    <row r="472" spans="1:17" s="4099" customFormat="1">
      <c r="A472" s="4065">
        <v>4</v>
      </c>
      <c r="B472" s="4065" t="s">
        <v>457</v>
      </c>
      <c r="C472" s="4065" t="s">
        <v>58</v>
      </c>
      <c r="D472" s="4128"/>
      <c r="E472" s="4128"/>
      <c r="F472" s="4105"/>
      <c r="G472" s="4209" t="s">
        <v>264</v>
      </c>
      <c r="H472" s="4214" t="s">
        <v>266</v>
      </c>
      <c r="I472" s="4132"/>
      <c r="J472" s="4561">
        <f>J473+J476</f>
        <v>13870510900</v>
      </c>
      <c r="K472" s="2159">
        <v>0</v>
      </c>
      <c r="L472" s="4561">
        <f>L473+L476+L498</f>
        <v>0</v>
      </c>
      <c r="M472" s="4253">
        <f t="shared" si="81"/>
        <v>0</v>
      </c>
      <c r="N472" s="4561">
        <f>SUM(N473+N476)</f>
        <v>32204146900</v>
      </c>
      <c r="O472" s="4254">
        <f>N472-J472</f>
        <v>18333636000</v>
      </c>
      <c r="P472" s="4061">
        <f>O472/J472*100</f>
        <v>132.17707791859348</v>
      </c>
      <c r="Q472" s="4839"/>
    </row>
    <row r="473" spans="1:17" s="4099" customFormat="1">
      <c r="A473" s="4065">
        <v>4</v>
      </c>
      <c r="B473" s="4065" t="s">
        <v>457</v>
      </c>
      <c r="C473" s="4065" t="s">
        <v>58</v>
      </c>
      <c r="D473" s="4065" t="s">
        <v>437</v>
      </c>
      <c r="E473" s="4128"/>
      <c r="F473" s="4105"/>
      <c r="G473" s="4208" t="s">
        <v>205</v>
      </c>
      <c r="H473" s="4100" t="s">
        <v>267</v>
      </c>
      <c r="I473" s="4092"/>
      <c r="J473" s="4568">
        <v>0</v>
      </c>
      <c r="K473" s="2159">
        <v>0</v>
      </c>
      <c r="L473" s="4568">
        <f>SUM(L474)</f>
        <v>0</v>
      </c>
      <c r="M473" s="4253">
        <f t="shared" si="81"/>
        <v>0</v>
      </c>
      <c r="N473" s="4568">
        <v>0</v>
      </c>
      <c r="O473" s="4254">
        <f t="shared" ref="O473:O512" si="82">N473-J473</f>
        <v>0</v>
      </c>
      <c r="P473" s="4061">
        <v>0</v>
      </c>
      <c r="Q473" s="4839"/>
    </row>
    <row r="474" spans="1:17" s="2070" customFormat="1">
      <c r="A474" s="4048"/>
      <c r="B474" s="4048"/>
      <c r="C474" s="4048"/>
      <c r="D474" s="4048"/>
      <c r="E474" s="4048"/>
      <c r="F474" s="4049"/>
      <c r="G474" s="4208"/>
      <c r="H474" s="4100" t="s">
        <v>50</v>
      </c>
      <c r="I474" s="4090" t="s">
        <v>268</v>
      </c>
      <c r="J474" s="1964">
        <v>0</v>
      </c>
      <c r="K474" s="2159">
        <v>0</v>
      </c>
      <c r="L474" s="2160">
        <f>'[2]ALL BULAN'!E459</f>
        <v>0</v>
      </c>
      <c r="M474" s="4253">
        <f t="shared" si="81"/>
        <v>0</v>
      </c>
      <c r="N474" s="1964">
        <v>0</v>
      </c>
      <c r="O474" s="4254">
        <f t="shared" si="82"/>
        <v>0</v>
      </c>
      <c r="P474" s="4061">
        <v>0</v>
      </c>
      <c r="Q474" s="4839"/>
    </row>
    <row r="475" spans="1:17" s="2070" customFormat="1" ht="6.75" customHeight="1">
      <c r="A475" s="4048"/>
      <c r="B475" s="4048"/>
      <c r="C475" s="4048"/>
      <c r="D475" s="4048"/>
      <c r="E475" s="4048"/>
      <c r="F475" s="4049"/>
      <c r="G475" s="4208"/>
      <c r="H475" s="4092"/>
      <c r="I475" s="4090"/>
      <c r="J475" s="4563"/>
      <c r="K475" s="2159">
        <v>0</v>
      </c>
      <c r="L475" s="4563"/>
      <c r="M475" s="4253">
        <f t="shared" si="81"/>
        <v>0</v>
      </c>
      <c r="N475" s="4563"/>
      <c r="O475" s="4254">
        <f t="shared" si="82"/>
        <v>0</v>
      </c>
      <c r="P475" s="4061">
        <v>0</v>
      </c>
      <c r="Q475" s="4839"/>
    </row>
    <row r="476" spans="1:17" s="4099" customFormat="1">
      <c r="A476" s="4065">
        <v>4</v>
      </c>
      <c r="B476" s="4065" t="s">
        <v>457</v>
      </c>
      <c r="C476" s="4065" t="s">
        <v>58</v>
      </c>
      <c r="D476" s="4065" t="s">
        <v>440</v>
      </c>
      <c r="E476" s="4128"/>
      <c r="F476" s="4105"/>
      <c r="G476" s="4208" t="s">
        <v>205</v>
      </c>
      <c r="H476" s="4100" t="s">
        <v>269</v>
      </c>
      <c r="I476" s="4092"/>
      <c r="J476" s="4569">
        <f>SUM(J477+J498)</f>
        <v>13870510900</v>
      </c>
      <c r="K476" s="2159">
        <v>0</v>
      </c>
      <c r="L476" s="4570">
        <f>SUM(L477)</f>
        <v>0</v>
      </c>
      <c r="M476" s="4253">
        <f t="shared" si="81"/>
        <v>0</v>
      </c>
      <c r="N476" s="4569">
        <f>SUM(N477+N498)</f>
        <v>32204146900</v>
      </c>
      <c r="O476" s="4254">
        <f t="shared" si="82"/>
        <v>18333636000</v>
      </c>
      <c r="P476" s="4061">
        <f t="shared" ref="P476:P511" si="83">O476/J476*100</f>
        <v>132.17707791859348</v>
      </c>
      <c r="Q476" s="4839">
        <v>32204146900</v>
      </c>
    </row>
    <row r="477" spans="1:17" s="2070" customFormat="1">
      <c r="A477" s="4048"/>
      <c r="B477" s="4048"/>
      <c r="C477" s="4048"/>
      <c r="D477" s="4048"/>
      <c r="E477" s="4048"/>
      <c r="F477" s="4049"/>
      <c r="G477" s="4208"/>
      <c r="H477" s="4089" t="s">
        <v>270</v>
      </c>
      <c r="I477" s="4090"/>
      <c r="J477" s="4563">
        <f>SUM(J478+J481+J486+J490+J491+J88+J493+J496+J479)</f>
        <v>10177085900</v>
      </c>
      <c r="K477" s="2159">
        <v>0</v>
      </c>
      <c r="L477" s="4563">
        <f>L478+L479+L481+L486+L490+L491+L493+L496</f>
        <v>0</v>
      </c>
      <c r="M477" s="4253">
        <f t="shared" si="81"/>
        <v>0</v>
      </c>
      <c r="N477" s="4563">
        <f>SUM(N478+N479+N481+N486+N490+N491+N492+N493+N496)</f>
        <v>28510721900</v>
      </c>
      <c r="O477" s="4254">
        <f t="shared" si="82"/>
        <v>18333636000</v>
      </c>
      <c r="P477" s="4061">
        <f t="shared" si="83"/>
        <v>180.14622437253871</v>
      </c>
      <c r="Q477" s="4839">
        <f>Q476-N476</f>
        <v>0</v>
      </c>
    </row>
    <row r="478" spans="1:17" s="2070" customFormat="1">
      <c r="A478" s="4048"/>
      <c r="B478" s="4048"/>
      <c r="C478" s="4048"/>
      <c r="D478" s="4048"/>
      <c r="E478" s="4048"/>
      <c r="F478" s="4049"/>
      <c r="G478" s="4208"/>
      <c r="H478" s="4089" t="s">
        <v>50</v>
      </c>
      <c r="I478" s="4092" t="s">
        <v>462</v>
      </c>
      <c r="J478" s="4720">
        <v>3291945800</v>
      </c>
      <c r="K478" s="2159">
        <v>0</v>
      </c>
      <c r="L478" s="2160">
        <f>'[2]ALL BULAN'!E463</f>
        <v>0</v>
      </c>
      <c r="M478" s="4253">
        <f t="shared" si="81"/>
        <v>0</v>
      </c>
      <c r="N478" s="4720">
        <v>3291945800</v>
      </c>
      <c r="O478" s="4254">
        <f t="shared" si="82"/>
        <v>0</v>
      </c>
      <c r="P478" s="4061">
        <f t="shared" si="83"/>
        <v>0</v>
      </c>
      <c r="Q478" s="4839"/>
    </row>
    <row r="479" spans="1:17" s="2070" customFormat="1">
      <c r="A479" s="4048"/>
      <c r="B479" s="4048"/>
      <c r="C479" s="4048"/>
      <c r="D479" s="4048"/>
      <c r="E479" s="4048"/>
      <c r="F479" s="4049"/>
      <c r="G479" s="4208"/>
      <c r="H479" s="4100" t="s">
        <v>50</v>
      </c>
      <c r="I479" s="4092" t="s">
        <v>271</v>
      </c>
      <c r="J479" s="4562">
        <v>51419400</v>
      </c>
      <c r="K479" s="2159">
        <v>0</v>
      </c>
      <c r="L479" s="4563">
        <f>L480</f>
        <v>0</v>
      </c>
      <c r="M479" s="4253">
        <f t="shared" si="81"/>
        <v>0</v>
      </c>
      <c r="N479" s="4562">
        <v>51419400</v>
      </c>
      <c r="O479" s="4254">
        <f t="shared" si="82"/>
        <v>0</v>
      </c>
      <c r="P479" s="4061">
        <f t="shared" si="83"/>
        <v>0</v>
      </c>
      <c r="Q479" s="4839"/>
    </row>
    <row r="480" spans="1:17" s="2070" customFormat="1">
      <c r="A480" s="4048"/>
      <c r="B480" s="4048"/>
      <c r="C480" s="4048"/>
      <c r="D480" s="4048"/>
      <c r="E480" s="4048"/>
      <c r="F480" s="4049"/>
      <c r="G480" s="4208"/>
      <c r="H480" s="4092"/>
      <c r="I480" s="4090" t="s">
        <v>272</v>
      </c>
      <c r="J480" s="1964">
        <v>51419400</v>
      </c>
      <c r="K480" s="2159">
        <v>0</v>
      </c>
      <c r="L480" s="2160">
        <f>'[2]ALL BULAN'!E465</f>
        <v>0</v>
      </c>
      <c r="M480" s="4253">
        <f t="shared" si="81"/>
        <v>0</v>
      </c>
      <c r="N480" s="1964">
        <v>51419400</v>
      </c>
      <c r="O480" s="4254">
        <f t="shared" si="82"/>
        <v>0</v>
      </c>
      <c r="P480" s="4061">
        <f t="shared" si="83"/>
        <v>0</v>
      </c>
      <c r="Q480" s="4839"/>
    </row>
    <row r="481" spans="1:17" s="2070" customFormat="1">
      <c r="A481" s="4048"/>
      <c r="B481" s="4048"/>
      <c r="C481" s="4048"/>
      <c r="D481" s="4048"/>
      <c r="E481" s="4048"/>
      <c r="F481" s="4049"/>
      <c r="G481" s="4208"/>
      <c r="H481" s="4100" t="s">
        <v>50</v>
      </c>
      <c r="I481" s="4092" t="s">
        <v>273</v>
      </c>
      <c r="J481" s="4562">
        <f>SUM(J482:J485)</f>
        <v>335291000</v>
      </c>
      <c r="K481" s="2159">
        <v>0</v>
      </c>
      <c r="L481" s="4563">
        <f>SUM(L482:L485)</f>
        <v>0</v>
      </c>
      <c r="M481" s="4253">
        <f t="shared" si="81"/>
        <v>0</v>
      </c>
      <c r="N481" s="4562">
        <f>SUM(N482:N485)</f>
        <v>335291000</v>
      </c>
      <c r="O481" s="4254">
        <f t="shared" si="82"/>
        <v>0</v>
      </c>
      <c r="P481" s="4061">
        <f t="shared" si="83"/>
        <v>0</v>
      </c>
      <c r="Q481" s="4839"/>
    </row>
    <row r="482" spans="1:17" s="2070" customFormat="1">
      <c r="A482" s="4048"/>
      <c r="B482" s="4048"/>
      <c r="C482" s="4048"/>
      <c r="D482" s="4048"/>
      <c r="E482" s="4048"/>
      <c r="F482" s="4049"/>
      <c r="G482" s="4208"/>
      <c r="H482" s="4092"/>
      <c r="I482" s="4090" t="s">
        <v>274</v>
      </c>
      <c r="J482" s="1964">
        <v>55355000</v>
      </c>
      <c r="K482" s="2159">
        <v>0</v>
      </c>
      <c r="L482" s="2160">
        <f>'[2]ALL BULAN'!E467</f>
        <v>0</v>
      </c>
      <c r="M482" s="4253">
        <f t="shared" si="81"/>
        <v>0</v>
      </c>
      <c r="N482" s="1964">
        <v>55355000</v>
      </c>
      <c r="O482" s="4254">
        <f t="shared" si="82"/>
        <v>0</v>
      </c>
      <c r="P482" s="4061">
        <f t="shared" si="83"/>
        <v>0</v>
      </c>
      <c r="Q482" s="4839"/>
    </row>
    <row r="483" spans="1:17" s="2070" customFormat="1">
      <c r="A483" s="4048"/>
      <c r="B483" s="4048"/>
      <c r="C483" s="4048"/>
      <c r="D483" s="4048"/>
      <c r="E483" s="4048"/>
      <c r="F483" s="4049"/>
      <c r="G483" s="4208"/>
      <c r="H483" s="4092"/>
      <c r="I483" s="4090" t="s">
        <v>138</v>
      </c>
      <c r="J483" s="1964">
        <v>57136000</v>
      </c>
      <c r="K483" s="2159">
        <v>0</v>
      </c>
      <c r="L483" s="2160">
        <f>'[2]ALL BULAN'!E468</f>
        <v>0</v>
      </c>
      <c r="M483" s="4253">
        <f t="shared" si="81"/>
        <v>0</v>
      </c>
      <c r="N483" s="1964">
        <v>57136000</v>
      </c>
      <c r="O483" s="4254">
        <f t="shared" si="82"/>
        <v>0</v>
      </c>
      <c r="P483" s="4061">
        <f t="shared" si="83"/>
        <v>0</v>
      </c>
      <c r="Q483" s="4839"/>
    </row>
    <row r="484" spans="1:17" s="2070" customFormat="1">
      <c r="A484" s="4048"/>
      <c r="B484" s="4048"/>
      <c r="C484" s="4048"/>
      <c r="D484" s="4048"/>
      <c r="E484" s="4048"/>
      <c r="F484" s="4049"/>
      <c r="G484" s="4208"/>
      <c r="H484" s="4092"/>
      <c r="I484" s="4090" t="s">
        <v>275</v>
      </c>
      <c r="J484" s="1964">
        <v>24760000</v>
      </c>
      <c r="K484" s="2159">
        <v>0</v>
      </c>
      <c r="L484" s="2160">
        <f>'[2]ALL BULAN'!E469</f>
        <v>0</v>
      </c>
      <c r="M484" s="4253">
        <f t="shared" si="81"/>
        <v>0</v>
      </c>
      <c r="N484" s="1964">
        <v>24760000</v>
      </c>
      <c r="O484" s="4254">
        <f t="shared" si="82"/>
        <v>0</v>
      </c>
      <c r="P484" s="4061">
        <f t="shared" si="83"/>
        <v>0</v>
      </c>
      <c r="Q484" s="4839"/>
    </row>
    <row r="485" spans="1:17" s="2070" customFormat="1">
      <c r="A485" s="4048"/>
      <c r="B485" s="4048"/>
      <c r="C485" s="4048"/>
      <c r="D485" s="4048"/>
      <c r="E485" s="4048"/>
      <c r="F485" s="4049"/>
      <c r="G485" s="4208"/>
      <c r="H485" s="4092"/>
      <c r="I485" s="4090" t="s">
        <v>140</v>
      </c>
      <c r="J485" s="1964">
        <v>198040000</v>
      </c>
      <c r="K485" s="2159">
        <v>0</v>
      </c>
      <c r="L485" s="2160">
        <f>'[2]ALL BULAN'!E470</f>
        <v>0</v>
      </c>
      <c r="M485" s="4253">
        <f t="shared" si="81"/>
        <v>0</v>
      </c>
      <c r="N485" s="1964">
        <v>198040000</v>
      </c>
      <c r="O485" s="4254">
        <f t="shared" si="82"/>
        <v>0</v>
      </c>
      <c r="P485" s="4061">
        <f t="shared" si="83"/>
        <v>0</v>
      </c>
      <c r="Q485" s="4839"/>
    </row>
    <row r="486" spans="1:17" s="2070" customFormat="1">
      <c r="A486" s="4048"/>
      <c r="B486" s="4048"/>
      <c r="C486" s="4048"/>
      <c r="D486" s="4048"/>
      <c r="E486" s="4048"/>
      <c r="F486" s="4049"/>
      <c r="G486" s="4215"/>
      <c r="H486" s="4216" t="s">
        <v>50</v>
      </c>
      <c r="I486" s="4217" t="s">
        <v>224</v>
      </c>
      <c r="J486" s="4722">
        <f>SUM(J487:J489)</f>
        <v>400714300</v>
      </c>
      <c r="K486" s="4572">
        <v>0</v>
      </c>
      <c r="L486" s="4571">
        <f>SUM(L487:L489)</f>
        <v>0</v>
      </c>
      <c r="M486" s="4573">
        <f t="shared" si="81"/>
        <v>0</v>
      </c>
      <c r="N486" s="4722">
        <f>SUM(N487:N489)</f>
        <v>400714300</v>
      </c>
      <c r="O486" s="4254">
        <f t="shared" si="82"/>
        <v>0</v>
      </c>
      <c r="P486" s="4061">
        <f t="shared" si="83"/>
        <v>0</v>
      </c>
      <c r="Q486" s="4839"/>
    </row>
    <row r="487" spans="1:17" s="2070" customFormat="1">
      <c r="A487" s="4048"/>
      <c r="B487" s="4048"/>
      <c r="C487" s="4048"/>
      <c r="D487" s="4048"/>
      <c r="E487" s="4048"/>
      <c r="F487" s="4049"/>
      <c r="G487" s="4208"/>
      <c r="H487" s="4092"/>
      <c r="I487" s="4089" t="s">
        <v>276</v>
      </c>
      <c r="J487" s="1964">
        <v>63698000</v>
      </c>
      <c r="K487" s="2159">
        <v>0</v>
      </c>
      <c r="L487" s="2160">
        <f>'[2]ALL BULAN'!E472</f>
        <v>0</v>
      </c>
      <c r="M487" s="4253">
        <f t="shared" si="81"/>
        <v>0</v>
      </c>
      <c r="N487" s="1964">
        <v>63698000</v>
      </c>
      <c r="O487" s="4254">
        <f t="shared" si="82"/>
        <v>0</v>
      </c>
      <c r="P487" s="4061">
        <f t="shared" si="83"/>
        <v>0</v>
      </c>
      <c r="Q487" s="4839"/>
    </row>
    <row r="488" spans="1:17" s="2070" customFormat="1">
      <c r="A488" s="4048"/>
      <c r="B488" s="4048"/>
      <c r="C488" s="4048"/>
      <c r="D488" s="4048"/>
      <c r="E488" s="4048"/>
      <c r="F488" s="4049"/>
      <c r="G488" s="4208"/>
      <c r="H488" s="4092"/>
      <c r="I488" s="4089" t="s">
        <v>277</v>
      </c>
      <c r="J488" s="1964">
        <v>285233000</v>
      </c>
      <c r="K488" s="2159">
        <v>0</v>
      </c>
      <c r="L488" s="2160">
        <f>'[2]ALL BULAN'!E473</f>
        <v>0</v>
      </c>
      <c r="M488" s="4253">
        <f t="shared" si="81"/>
        <v>0</v>
      </c>
      <c r="N488" s="1964">
        <v>285233000</v>
      </c>
      <c r="O488" s="4254">
        <f t="shared" si="82"/>
        <v>0</v>
      </c>
      <c r="P488" s="4061">
        <f t="shared" si="83"/>
        <v>0</v>
      </c>
      <c r="Q488" s="4839"/>
    </row>
    <row r="489" spans="1:17" s="2070" customFormat="1">
      <c r="A489" s="4048"/>
      <c r="B489" s="4048"/>
      <c r="C489" s="4048"/>
      <c r="D489" s="4048"/>
      <c r="E489" s="4048"/>
      <c r="F489" s="4049"/>
      <c r="G489" s="4208"/>
      <c r="H489" s="4092"/>
      <c r="I489" s="4089" t="s">
        <v>278</v>
      </c>
      <c r="J489" s="1964">
        <v>51783300</v>
      </c>
      <c r="K489" s="2159">
        <v>0</v>
      </c>
      <c r="L489" s="2160">
        <f>'[2]ALL BULAN'!E474</f>
        <v>0</v>
      </c>
      <c r="M489" s="4253">
        <f t="shared" si="81"/>
        <v>0</v>
      </c>
      <c r="N489" s="1964">
        <v>51783300</v>
      </c>
      <c r="O489" s="4254">
        <f t="shared" si="82"/>
        <v>0</v>
      </c>
      <c r="P489" s="4061">
        <f t="shared" si="83"/>
        <v>0</v>
      </c>
      <c r="Q489" s="4839"/>
    </row>
    <row r="490" spans="1:17" s="2070" customFormat="1">
      <c r="A490" s="4048"/>
      <c r="B490" s="4048"/>
      <c r="C490" s="4048"/>
      <c r="D490" s="4048"/>
      <c r="E490" s="4048"/>
      <c r="F490" s="4049"/>
      <c r="G490" s="4208"/>
      <c r="H490" s="4100" t="s">
        <v>50</v>
      </c>
      <c r="I490" s="4092" t="s">
        <v>279</v>
      </c>
      <c r="J490" s="4720">
        <v>25741600</v>
      </c>
      <c r="K490" s="2159">
        <v>0</v>
      </c>
      <c r="L490" s="2160">
        <f>'[2]ALL BULAN'!E475</f>
        <v>0</v>
      </c>
      <c r="M490" s="4253">
        <f t="shared" si="81"/>
        <v>0</v>
      </c>
      <c r="N490" s="4720">
        <v>25741600</v>
      </c>
      <c r="O490" s="4254">
        <f t="shared" si="82"/>
        <v>0</v>
      </c>
      <c r="P490" s="4061">
        <f t="shared" si="83"/>
        <v>0</v>
      </c>
      <c r="Q490" s="4839"/>
    </row>
    <row r="491" spans="1:17" s="2070" customFormat="1">
      <c r="A491" s="4048"/>
      <c r="B491" s="4048"/>
      <c r="C491" s="4048"/>
      <c r="D491" s="4048"/>
      <c r="E491" s="4048"/>
      <c r="F491" s="4049"/>
      <c r="G491" s="4208"/>
      <c r="H491" s="4100" t="s">
        <v>50</v>
      </c>
      <c r="I491" s="4092" t="s">
        <v>280</v>
      </c>
      <c r="J491" s="4720">
        <v>1100000</v>
      </c>
      <c r="K491" s="2159">
        <v>0</v>
      </c>
      <c r="L491" s="2160">
        <f>'[2]ALL BULAN'!E476</f>
        <v>0</v>
      </c>
      <c r="M491" s="4253">
        <f t="shared" si="81"/>
        <v>0</v>
      </c>
      <c r="N491" s="4720">
        <v>1100000</v>
      </c>
      <c r="O491" s="4254">
        <f t="shared" si="82"/>
        <v>0</v>
      </c>
      <c r="P491" s="4061">
        <f t="shared" si="83"/>
        <v>0</v>
      </c>
      <c r="Q491" s="4839"/>
    </row>
    <row r="492" spans="1:17" s="2070" customFormat="1">
      <c r="A492" s="4048"/>
      <c r="B492" s="4048"/>
      <c r="C492" s="4048"/>
      <c r="D492" s="4048"/>
      <c r="E492" s="4048"/>
      <c r="F492" s="4049"/>
      <c r="G492" s="4208"/>
      <c r="H492" s="4100" t="s">
        <v>50</v>
      </c>
      <c r="I492" s="2124" t="s">
        <v>1252</v>
      </c>
      <c r="J492" s="4720">
        <v>0</v>
      </c>
      <c r="K492" s="2159">
        <v>0</v>
      </c>
      <c r="L492" s="2160">
        <f>'[2]ALL BULAN'!E477</f>
        <v>0</v>
      </c>
      <c r="M492" s="4253">
        <f>SUM(K492:L492)</f>
        <v>0</v>
      </c>
      <c r="N492" s="4720">
        <v>18120000000</v>
      </c>
      <c r="O492" s="4254">
        <f>N492-J492</f>
        <v>18120000000</v>
      </c>
      <c r="P492" s="4061">
        <v>0</v>
      </c>
      <c r="Q492" s="4839"/>
    </row>
    <row r="493" spans="1:17" s="2070" customFormat="1">
      <c r="A493" s="4048"/>
      <c r="B493" s="4048"/>
      <c r="C493" s="4048"/>
      <c r="D493" s="4048"/>
      <c r="E493" s="4048"/>
      <c r="F493" s="4049"/>
      <c r="G493" s="4208"/>
      <c r="H493" s="4100" t="s">
        <v>50</v>
      </c>
      <c r="I493" s="4092" t="s">
        <v>281</v>
      </c>
      <c r="J493" s="4562">
        <f>SUM(J494:J495)</f>
        <v>4562382400</v>
      </c>
      <c r="K493" s="2159">
        <v>0</v>
      </c>
      <c r="L493" s="4563">
        <f>SUM(L494:L495)</f>
        <v>0</v>
      </c>
      <c r="M493" s="4253">
        <f t="shared" si="81"/>
        <v>0</v>
      </c>
      <c r="N493" s="4562">
        <f>SUM(N494:N495)</f>
        <v>4776018400</v>
      </c>
      <c r="O493" s="4254">
        <f t="shared" si="82"/>
        <v>213636000</v>
      </c>
      <c r="P493" s="4061">
        <f t="shared" si="83"/>
        <v>4.682553571134239</v>
      </c>
      <c r="Q493" s="4839"/>
    </row>
    <row r="494" spans="1:17" s="2070" customFormat="1">
      <c r="A494" s="4048"/>
      <c r="B494" s="4048"/>
      <c r="C494" s="4048"/>
      <c r="D494" s="4048"/>
      <c r="E494" s="4048"/>
      <c r="F494" s="4049"/>
      <c r="G494" s="4208"/>
      <c r="H494" s="4092"/>
      <c r="I494" s="4089" t="s">
        <v>282</v>
      </c>
      <c r="J494" s="1964">
        <v>1439364000</v>
      </c>
      <c r="K494" s="2159">
        <v>0</v>
      </c>
      <c r="L494" s="2160">
        <f>'[2]ALL BULAN'!E478</f>
        <v>0</v>
      </c>
      <c r="M494" s="4253">
        <f t="shared" si="81"/>
        <v>0</v>
      </c>
      <c r="N494" s="1964">
        <v>1653000000</v>
      </c>
      <c r="O494" s="4254">
        <f t="shared" si="82"/>
        <v>213636000</v>
      </c>
      <c r="P494" s="4061">
        <f t="shared" si="83"/>
        <v>14.842388721685412</v>
      </c>
      <c r="Q494" s="4839"/>
    </row>
    <row r="495" spans="1:17" s="2070" customFormat="1">
      <c r="A495" s="4048"/>
      <c r="B495" s="4048"/>
      <c r="C495" s="4048"/>
      <c r="D495" s="4048"/>
      <c r="E495" s="4048"/>
      <c r="F495" s="4049"/>
      <c r="G495" s="4208"/>
      <c r="H495" s="4092"/>
      <c r="I495" s="4089" t="s">
        <v>283</v>
      </c>
      <c r="J495" s="1964">
        <v>3123018400</v>
      </c>
      <c r="K495" s="2159">
        <v>0</v>
      </c>
      <c r="L495" s="2160">
        <f>'[2]ALL BULAN'!E479</f>
        <v>0</v>
      </c>
      <c r="M495" s="4253">
        <f t="shared" si="81"/>
        <v>0</v>
      </c>
      <c r="N495" s="1964">
        <v>3123018400</v>
      </c>
      <c r="O495" s="4254">
        <f t="shared" si="82"/>
        <v>0</v>
      </c>
      <c r="P495" s="4061">
        <f t="shared" si="83"/>
        <v>0</v>
      </c>
      <c r="Q495" s="4839"/>
    </row>
    <row r="496" spans="1:17" s="2070" customFormat="1">
      <c r="A496" s="4048"/>
      <c r="B496" s="4048"/>
      <c r="C496" s="4048"/>
      <c r="D496" s="4048"/>
      <c r="E496" s="4048"/>
      <c r="F496" s="4049"/>
      <c r="G496" s="4208"/>
      <c r="H496" s="4100" t="s">
        <v>50</v>
      </c>
      <c r="I496" s="4092" t="s">
        <v>463</v>
      </c>
      <c r="J496" s="4720">
        <v>1508491400</v>
      </c>
      <c r="K496" s="2159">
        <v>0</v>
      </c>
      <c r="L496" s="2160">
        <f>'[2]ALL BULAN'!E480</f>
        <v>0</v>
      </c>
      <c r="M496" s="4253">
        <f t="shared" si="81"/>
        <v>0</v>
      </c>
      <c r="N496" s="4720">
        <v>1508491400</v>
      </c>
      <c r="O496" s="4254">
        <f t="shared" si="82"/>
        <v>0</v>
      </c>
      <c r="P496" s="4061">
        <f t="shared" si="83"/>
        <v>0</v>
      </c>
      <c r="Q496" s="4839"/>
    </row>
    <row r="497" spans="1:17" s="2070" customFormat="1" ht="5.95" customHeight="1">
      <c r="A497" s="4048"/>
      <c r="B497" s="4048"/>
      <c r="C497" s="4048"/>
      <c r="D497" s="4048"/>
      <c r="E497" s="4048"/>
      <c r="F497" s="4049"/>
      <c r="G497" s="4208"/>
      <c r="H497" s="4092"/>
      <c r="I497" s="4090"/>
      <c r="J497" s="4563"/>
      <c r="K497" s="2159">
        <v>0</v>
      </c>
      <c r="L497" s="4563"/>
      <c r="M497" s="4253">
        <f t="shared" si="81"/>
        <v>0</v>
      </c>
      <c r="N497" s="4563"/>
      <c r="O497" s="4254">
        <f t="shared" si="82"/>
        <v>0</v>
      </c>
      <c r="P497" s="4061">
        <v>0</v>
      </c>
      <c r="Q497" s="4839"/>
    </row>
    <row r="498" spans="1:17" s="2070" customFormat="1">
      <c r="A498" s="4048"/>
      <c r="B498" s="4048"/>
      <c r="C498" s="4048"/>
      <c r="D498" s="4048"/>
      <c r="E498" s="4048"/>
      <c r="F498" s="4049"/>
      <c r="G498" s="4208" t="s">
        <v>205</v>
      </c>
      <c r="H498" s="4100" t="s">
        <v>285</v>
      </c>
      <c r="I498" s="4090"/>
      <c r="J498" s="4563">
        <f>J499</f>
        <v>3693425000</v>
      </c>
      <c r="K498" s="2159">
        <v>0</v>
      </c>
      <c r="L498" s="4563">
        <f>L499</f>
        <v>0</v>
      </c>
      <c r="M498" s="4253">
        <f t="shared" si="81"/>
        <v>0</v>
      </c>
      <c r="N498" s="4563">
        <f>N499</f>
        <v>3693425000</v>
      </c>
      <c r="O498" s="4254">
        <f t="shared" si="82"/>
        <v>0</v>
      </c>
      <c r="P498" s="4061">
        <f t="shared" si="83"/>
        <v>0</v>
      </c>
      <c r="Q498" s="4839"/>
    </row>
    <row r="499" spans="1:17" s="2070" customFormat="1">
      <c r="A499" s="4048"/>
      <c r="B499" s="4048"/>
      <c r="C499" s="4048"/>
      <c r="D499" s="4048"/>
      <c r="E499" s="4048"/>
      <c r="F499" s="4049"/>
      <c r="G499" s="4208"/>
      <c r="H499" s="4089" t="s">
        <v>286</v>
      </c>
      <c r="I499" s="4090"/>
      <c r="J499" s="4563">
        <f>SUM(J500+J503)</f>
        <v>3693425000</v>
      </c>
      <c r="K499" s="2159">
        <v>0</v>
      </c>
      <c r="L499" s="4563">
        <f>L500+L503</f>
        <v>0</v>
      </c>
      <c r="M499" s="4253">
        <f t="shared" si="81"/>
        <v>0</v>
      </c>
      <c r="N499" s="4563">
        <f>SUM(N500+N503)</f>
        <v>3693425000</v>
      </c>
      <c r="O499" s="4254">
        <f t="shared" si="82"/>
        <v>0</v>
      </c>
      <c r="P499" s="4061">
        <f t="shared" si="83"/>
        <v>0</v>
      </c>
      <c r="Q499" s="4839"/>
    </row>
    <row r="500" spans="1:17" s="2070" customFormat="1">
      <c r="A500" s="4048"/>
      <c r="B500" s="4048"/>
      <c r="C500" s="4048"/>
      <c r="D500" s="4048"/>
      <c r="E500" s="4048"/>
      <c r="F500" s="4049"/>
      <c r="G500" s="4208"/>
      <c r="H500" s="4100" t="s">
        <v>50</v>
      </c>
      <c r="I500" s="4090" t="s">
        <v>287</v>
      </c>
      <c r="J500" s="4563">
        <v>4625000</v>
      </c>
      <c r="K500" s="2159">
        <v>0</v>
      </c>
      <c r="L500" s="4563">
        <f>L501+L502</f>
        <v>0</v>
      </c>
      <c r="M500" s="4253">
        <f t="shared" si="81"/>
        <v>0</v>
      </c>
      <c r="N500" s="4563">
        <v>4625000</v>
      </c>
      <c r="O500" s="4254">
        <f t="shared" si="82"/>
        <v>0</v>
      </c>
      <c r="P500" s="4061">
        <f t="shared" si="83"/>
        <v>0</v>
      </c>
      <c r="Q500" s="4839"/>
    </row>
    <row r="501" spans="1:17" s="2070" customFormat="1">
      <c r="A501" s="4048"/>
      <c r="B501" s="4048"/>
      <c r="C501" s="4048"/>
      <c r="D501" s="4048"/>
      <c r="E501" s="4048"/>
      <c r="F501" s="4049"/>
      <c r="G501" s="4208"/>
      <c r="H501" s="4092"/>
      <c r="I501" s="4089" t="s">
        <v>288</v>
      </c>
      <c r="J501" s="1964">
        <v>4625000</v>
      </c>
      <c r="K501" s="2159">
        <v>0</v>
      </c>
      <c r="L501" s="2160">
        <f>'[2]ALL BULAN'!E485</f>
        <v>0</v>
      </c>
      <c r="M501" s="4253">
        <f t="shared" si="81"/>
        <v>0</v>
      </c>
      <c r="N501" s="1964">
        <v>4625000</v>
      </c>
      <c r="O501" s="4254">
        <f t="shared" si="82"/>
        <v>0</v>
      </c>
      <c r="P501" s="4061">
        <f t="shared" si="83"/>
        <v>0</v>
      </c>
      <c r="Q501" s="4839"/>
    </row>
    <row r="502" spans="1:17" s="2070" customFormat="1">
      <c r="A502" s="4048"/>
      <c r="B502" s="4048"/>
      <c r="C502" s="4048"/>
      <c r="D502" s="4048"/>
      <c r="E502" s="4048"/>
      <c r="F502" s="4049"/>
      <c r="G502" s="4208"/>
      <c r="H502" s="4092"/>
      <c r="I502" s="4089" t="s">
        <v>289</v>
      </c>
      <c r="J502" s="1964">
        <v>0</v>
      </c>
      <c r="K502" s="2159">
        <v>0</v>
      </c>
      <c r="L502" s="2160">
        <f>'[2]ALL BULAN'!E486</f>
        <v>0</v>
      </c>
      <c r="M502" s="4253">
        <f t="shared" si="81"/>
        <v>0</v>
      </c>
      <c r="N502" s="1964">
        <v>0</v>
      </c>
      <c r="O502" s="4254">
        <f t="shared" si="82"/>
        <v>0</v>
      </c>
      <c r="P502" s="4061">
        <v>0</v>
      </c>
      <c r="Q502" s="4839"/>
    </row>
    <row r="503" spans="1:17" s="2070" customFormat="1">
      <c r="A503" s="4048"/>
      <c r="B503" s="4048"/>
      <c r="C503" s="4048"/>
      <c r="D503" s="4048"/>
      <c r="E503" s="4048"/>
      <c r="F503" s="4049"/>
      <c r="G503" s="4208"/>
      <c r="H503" s="4100" t="s">
        <v>50</v>
      </c>
      <c r="I503" s="4092" t="s">
        <v>462</v>
      </c>
      <c r="J503" s="4563">
        <v>3688800000</v>
      </c>
      <c r="K503" s="2159">
        <v>0</v>
      </c>
      <c r="L503" s="4563">
        <f>L504</f>
        <v>0</v>
      </c>
      <c r="M503" s="4253">
        <f t="shared" si="81"/>
        <v>0</v>
      </c>
      <c r="N503" s="4563">
        <v>3688800000</v>
      </c>
      <c r="O503" s="4254">
        <f t="shared" si="82"/>
        <v>0</v>
      </c>
      <c r="P503" s="4061">
        <f t="shared" si="83"/>
        <v>0</v>
      </c>
      <c r="Q503" s="4839"/>
    </row>
    <row r="504" spans="1:17" s="2070" customFormat="1">
      <c r="A504" s="4048"/>
      <c r="B504" s="4048"/>
      <c r="C504" s="4048"/>
      <c r="D504" s="4048"/>
      <c r="E504" s="4048"/>
      <c r="F504" s="4049"/>
      <c r="G504" s="4218"/>
      <c r="H504" s="4090"/>
      <c r="I504" s="4089" t="s">
        <v>290</v>
      </c>
      <c r="J504" s="1964">
        <v>3688800000</v>
      </c>
      <c r="K504" s="2236">
        <v>0</v>
      </c>
      <c r="L504" s="2160">
        <f>'[2]ALL BULAN'!E488</f>
        <v>0</v>
      </c>
      <c r="M504" s="4248">
        <f t="shared" si="81"/>
        <v>0</v>
      </c>
      <c r="N504" s="1964">
        <v>3688800000</v>
      </c>
      <c r="O504" s="4254">
        <f t="shared" si="82"/>
        <v>0</v>
      </c>
      <c r="P504" s="4061">
        <f t="shared" si="83"/>
        <v>0</v>
      </c>
      <c r="Q504" s="4839"/>
    </row>
    <row r="505" spans="1:17" s="2070" customFormat="1" ht="5.95" customHeight="1">
      <c r="A505" s="4048"/>
      <c r="B505" s="4048"/>
      <c r="C505" s="4048"/>
      <c r="D505" s="4048"/>
      <c r="E505" s="4048"/>
      <c r="F505" s="4049"/>
      <c r="G505" s="4211"/>
      <c r="H505" s="4219"/>
      <c r="I505" s="4133"/>
      <c r="J505" s="4565"/>
      <c r="K505" s="4566"/>
      <c r="L505" s="4565"/>
      <c r="M505" s="4567"/>
      <c r="N505" s="4565"/>
      <c r="O505" s="4254">
        <f t="shared" si="82"/>
        <v>0</v>
      </c>
      <c r="P505" s="4061">
        <v>0</v>
      </c>
      <c r="Q505" s="4839"/>
    </row>
    <row r="506" spans="1:17" s="4648" customFormat="1" ht="15.05">
      <c r="A506" s="4632">
        <v>4</v>
      </c>
      <c r="B506" s="4632" t="s">
        <v>457</v>
      </c>
      <c r="C506" s="4632" t="s">
        <v>443</v>
      </c>
      <c r="D506" s="4645"/>
      <c r="E506" s="4645"/>
      <c r="F506" s="4646"/>
      <c r="G506" s="4638" t="s">
        <v>291</v>
      </c>
      <c r="H506" s="4647" t="s">
        <v>292</v>
      </c>
      <c r="I506" s="4639"/>
      <c r="J506" s="4644">
        <f>J507</f>
        <v>53394311000</v>
      </c>
      <c r="K506" s="4640">
        <v>0</v>
      </c>
      <c r="L506" s="4644">
        <f>L507</f>
        <v>26697155000</v>
      </c>
      <c r="M506" s="4640">
        <f t="shared" ref="M506:M513" si="84">SUM(K506:L506)</f>
        <v>26697155000</v>
      </c>
      <c r="N506" s="4644">
        <f>N507</f>
        <v>53394311000</v>
      </c>
      <c r="O506" s="4254">
        <f t="shared" si="82"/>
        <v>0</v>
      </c>
      <c r="P506" s="4061">
        <f t="shared" si="83"/>
        <v>0</v>
      </c>
      <c r="Q506" s="4839"/>
    </row>
    <row r="507" spans="1:17" s="4099" customFormat="1">
      <c r="A507" s="4065">
        <v>4</v>
      </c>
      <c r="B507" s="4065" t="s">
        <v>457</v>
      </c>
      <c r="C507" s="4065" t="s">
        <v>443</v>
      </c>
      <c r="D507" s="4065" t="s">
        <v>437</v>
      </c>
      <c r="E507" s="4128"/>
      <c r="F507" s="4105"/>
      <c r="G507" s="4209"/>
      <c r="H507" s="4214" t="s">
        <v>293</v>
      </c>
      <c r="I507" s="4132"/>
      <c r="J507" s="4561">
        <f>J508</f>
        <v>53394311000</v>
      </c>
      <c r="K507" s="2159">
        <v>0</v>
      </c>
      <c r="L507" s="4561">
        <f>L508</f>
        <v>26697155000</v>
      </c>
      <c r="M507" s="4253">
        <f t="shared" si="84"/>
        <v>26697155000</v>
      </c>
      <c r="N507" s="4561">
        <f>N508</f>
        <v>53394311000</v>
      </c>
      <c r="O507" s="4254">
        <f t="shared" si="82"/>
        <v>0</v>
      </c>
      <c r="P507" s="4061">
        <f t="shared" si="83"/>
        <v>0</v>
      </c>
      <c r="Q507" s="4839"/>
    </row>
    <row r="508" spans="1:17" s="4099" customFormat="1">
      <c r="A508" s="4128"/>
      <c r="B508" s="4128"/>
      <c r="C508" s="4128"/>
      <c r="D508" s="4128"/>
      <c r="E508" s="4128"/>
      <c r="F508" s="4105"/>
      <c r="G508" s="4208"/>
      <c r="H508" s="4100" t="s">
        <v>294</v>
      </c>
      <c r="I508" s="4092"/>
      <c r="J508" s="4568">
        <f>J509</f>
        <v>53394311000</v>
      </c>
      <c r="K508" s="2159">
        <v>0</v>
      </c>
      <c r="L508" s="4568">
        <f>L509</f>
        <v>26697155000</v>
      </c>
      <c r="M508" s="4253">
        <f t="shared" si="84"/>
        <v>26697155000</v>
      </c>
      <c r="N508" s="4568">
        <f>N509</f>
        <v>53394311000</v>
      </c>
      <c r="O508" s="4254">
        <f t="shared" si="82"/>
        <v>0</v>
      </c>
      <c r="P508" s="4061">
        <f t="shared" si="83"/>
        <v>0</v>
      </c>
      <c r="Q508" s="4839"/>
    </row>
    <row r="509" spans="1:17" s="2070" customFormat="1" ht="15.05">
      <c r="A509" s="4048"/>
      <c r="B509" s="4048"/>
      <c r="C509" s="4048"/>
      <c r="D509" s="4048"/>
      <c r="E509" s="4048"/>
      <c r="F509" s="4049"/>
      <c r="G509" s="4208"/>
      <c r="H509" s="4100" t="s">
        <v>50</v>
      </c>
      <c r="I509" s="4220" t="s">
        <v>295</v>
      </c>
      <c r="J509" s="4563">
        <f>J511</f>
        <v>53394311000</v>
      </c>
      <c r="K509" s="2159">
        <v>0</v>
      </c>
      <c r="L509" s="4563">
        <f>SUM(L510:L511)</f>
        <v>26697155000</v>
      </c>
      <c r="M509" s="4253">
        <f t="shared" si="84"/>
        <v>26697155000</v>
      </c>
      <c r="N509" s="4563">
        <f>N511</f>
        <v>53394311000</v>
      </c>
      <c r="O509" s="4254">
        <f t="shared" si="82"/>
        <v>0</v>
      </c>
      <c r="P509" s="4061">
        <f t="shared" si="83"/>
        <v>0</v>
      </c>
      <c r="Q509" s="4839"/>
    </row>
    <row r="510" spans="1:17" s="2070" customFormat="1">
      <c r="A510" s="4048"/>
      <c r="B510" s="4048"/>
      <c r="C510" s="4048"/>
      <c r="D510" s="4048"/>
      <c r="E510" s="4048"/>
      <c r="F510" s="4049"/>
      <c r="G510" s="4208"/>
      <c r="H510" s="4092"/>
      <c r="I510" s="4089" t="s">
        <v>296</v>
      </c>
      <c r="J510" s="1964">
        <v>0</v>
      </c>
      <c r="K510" s="2159">
        <v>0</v>
      </c>
      <c r="L510" s="2160">
        <v>0</v>
      </c>
      <c r="M510" s="4253">
        <f t="shared" si="84"/>
        <v>0</v>
      </c>
      <c r="N510" s="1964">
        <v>0</v>
      </c>
      <c r="O510" s="4254">
        <f t="shared" si="82"/>
        <v>0</v>
      </c>
      <c r="P510" s="4061">
        <v>0</v>
      </c>
      <c r="Q510" s="4839"/>
    </row>
    <row r="511" spans="1:17" s="2070" customFormat="1">
      <c r="A511" s="4048"/>
      <c r="B511" s="4048"/>
      <c r="C511" s="4048"/>
      <c r="D511" s="4048"/>
      <c r="E511" s="4048"/>
      <c r="F511" s="4049"/>
      <c r="G511" s="4208"/>
      <c r="H511" s="4092"/>
      <c r="I511" s="4089" t="s">
        <v>297</v>
      </c>
      <c r="J511" s="1964">
        <v>53394311000</v>
      </c>
      <c r="K511" s="2159">
        <v>0</v>
      </c>
      <c r="L511" s="2160">
        <v>26697155000</v>
      </c>
      <c r="M511" s="4253">
        <f t="shared" si="84"/>
        <v>26697155000</v>
      </c>
      <c r="N511" s="1964">
        <v>53394311000</v>
      </c>
      <c r="O511" s="4254">
        <f t="shared" si="82"/>
        <v>0</v>
      </c>
      <c r="P511" s="4061">
        <f t="shared" si="83"/>
        <v>0</v>
      </c>
      <c r="Q511" s="4839"/>
    </row>
    <row r="512" spans="1:17" s="2070" customFormat="1" ht="15.05">
      <c r="A512" s="4048"/>
      <c r="B512" s="4048"/>
      <c r="C512" s="4048"/>
      <c r="D512" s="4048"/>
      <c r="E512" s="4048"/>
      <c r="F512" s="4049"/>
      <c r="G512" s="4208"/>
      <c r="H512" s="4100" t="s">
        <v>50</v>
      </c>
      <c r="I512" s="4220" t="s">
        <v>298</v>
      </c>
      <c r="J512" s="4563">
        <v>0</v>
      </c>
      <c r="K512" s="2159">
        <v>0</v>
      </c>
      <c r="L512" s="4563">
        <f>SUM(L513)</f>
        <v>0</v>
      </c>
      <c r="M512" s="4253">
        <f t="shared" si="84"/>
        <v>0</v>
      </c>
      <c r="N512" s="4563">
        <v>0</v>
      </c>
      <c r="O512" s="4254">
        <f t="shared" si="82"/>
        <v>0</v>
      </c>
      <c r="P512" s="4061">
        <v>0</v>
      </c>
      <c r="Q512" s="4839"/>
    </row>
    <row r="513" spans="1:17" s="2070" customFormat="1">
      <c r="A513" s="4048"/>
      <c r="B513" s="4048"/>
      <c r="C513" s="4048"/>
      <c r="D513" s="4048"/>
      <c r="E513" s="4048"/>
      <c r="F513" s="4049"/>
      <c r="G513" s="4208"/>
      <c r="H513" s="4092"/>
      <c r="I513" s="4089" t="s">
        <v>299</v>
      </c>
      <c r="J513" s="1964">
        <v>0</v>
      </c>
      <c r="K513" s="2159">
        <v>0</v>
      </c>
      <c r="L513" s="2160">
        <f>'[2]ALL BULAN'!E497</f>
        <v>0</v>
      </c>
      <c r="M513" s="4253">
        <f t="shared" si="84"/>
        <v>0</v>
      </c>
      <c r="N513" s="1964">
        <v>0</v>
      </c>
      <c r="O513" s="4254">
        <f>M513-J513</f>
        <v>0</v>
      </c>
      <c r="P513" s="4061">
        <v>0</v>
      </c>
      <c r="Q513" s="4839"/>
    </row>
    <row r="514" spans="1:17" s="2070" customFormat="1" ht="4.55" customHeight="1">
      <c r="A514" s="4048"/>
      <c r="B514" s="4048"/>
      <c r="C514" s="4048"/>
      <c r="D514" s="4048"/>
      <c r="E514" s="4048"/>
      <c r="F514" s="4049"/>
      <c r="G514" s="4178"/>
      <c r="H514" s="4037"/>
      <c r="I514" s="4131"/>
      <c r="J514" s="4565"/>
      <c r="K514" s="4566"/>
      <c r="L514" s="4565"/>
      <c r="M514" s="4567"/>
      <c r="N514" s="4567"/>
      <c r="O514" s="4567"/>
      <c r="P514" s="4212"/>
      <c r="Q514" s="4839"/>
    </row>
    <row r="515" spans="1:17" s="2070" customFormat="1" ht="15.05">
      <c r="A515" s="4048"/>
      <c r="B515" s="4048"/>
      <c r="C515" s="4048"/>
      <c r="D515" s="4048"/>
      <c r="E515" s="4048"/>
      <c r="F515" s="4049"/>
      <c r="G515" s="4176" t="s">
        <v>300</v>
      </c>
      <c r="H515" s="4173" t="s">
        <v>301</v>
      </c>
      <c r="I515" s="4173"/>
      <c r="J515" s="4550">
        <v>0</v>
      </c>
      <c r="K515" s="4574">
        <v>0</v>
      </c>
      <c r="L515" s="4550">
        <f>SUM(L516)</f>
        <v>0</v>
      </c>
      <c r="M515" s="4575">
        <f t="shared" ref="M515:M521" si="85">SUM(K515:L515)</f>
        <v>0</v>
      </c>
      <c r="N515" s="4576"/>
      <c r="O515" s="4519">
        <f t="shared" ref="O515:O521" si="86">M515-J515</f>
        <v>0</v>
      </c>
      <c r="P515" s="4044">
        <v>0</v>
      </c>
      <c r="Q515" s="4839"/>
    </row>
    <row r="516" spans="1:17" s="2070" customFormat="1">
      <c r="A516" s="4065">
        <v>4</v>
      </c>
      <c r="B516" s="4065">
        <v>1</v>
      </c>
      <c r="C516" s="4065">
        <v>4</v>
      </c>
      <c r="D516" s="4048"/>
      <c r="E516" s="4048"/>
      <c r="F516" s="4049">
        <v>3</v>
      </c>
      <c r="G516" s="4209"/>
      <c r="H516" s="4179" t="s">
        <v>71</v>
      </c>
      <c r="I516" s="4179"/>
      <c r="J516" s="4559">
        <v>0</v>
      </c>
      <c r="K516" s="2159">
        <v>0</v>
      </c>
      <c r="L516" s="4559">
        <f>SUM(L517:L521)</f>
        <v>0</v>
      </c>
      <c r="M516" s="4253">
        <f t="shared" si="85"/>
        <v>0</v>
      </c>
      <c r="N516" s="4253"/>
      <c r="O516" s="4254">
        <f t="shared" si="86"/>
        <v>0</v>
      </c>
      <c r="P516" s="4061">
        <v>0</v>
      </c>
      <c r="Q516" s="4839"/>
    </row>
    <row r="517" spans="1:17" s="2070" customFormat="1">
      <c r="A517" s="4065">
        <v>4</v>
      </c>
      <c r="B517" s="4065">
        <v>1</v>
      </c>
      <c r="C517" s="4065">
        <v>4</v>
      </c>
      <c r="D517" s="4065" t="s">
        <v>441</v>
      </c>
      <c r="E517" s="4048"/>
      <c r="F517" s="4049"/>
      <c r="G517" s="4211"/>
      <c r="H517" s="4060" t="s">
        <v>50</v>
      </c>
      <c r="I517" s="4126" t="s">
        <v>73</v>
      </c>
      <c r="J517" s="1964">
        <v>0</v>
      </c>
      <c r="K517" s="2159">
        <v>0</v>
      </c>
      <c r="L517" s="2160">
        <f>'[2]ALL BULAN'!E501</f>
        <v>0</v>
      </c>
      <c r="M517" s="4253">
        <f t="shared" si="85"/>
        <v>0</v>
      </c>
      <c r="N517" s="4253"/>
      <c r="O517" s="4254">
        <f t="shared" si="86"/>
        <v>0</v>
      </c>
      <c r="P517" s="4061">
        <v>0</v>
      </c>
      <c r="Q517" s="4839"/>
    </row>
    <row r="518" spans="1:17" s="2070" customFormat="1">
      <c r="A518" s="4074">
        <v>4</v>
      </c>
      <c r="B518" s="4074">
        <v>1</v>
      </c>
      <c r="C518" s="4074" t="s">
        <v>443</v>
      </c>
      <c r="D518" s="4074" t="s">
        <v>444</v>
      </c>
      <c r="E518" s="4074" t="s">
        <v>440</v>
      </c>
      <c r="F518" s="4049"/>
      <c r="G518" s="4178"/>
      <c r="H518" s="4060" t="s">
        <v>50</v>
      </c>
      <c r="I518" s="4060" t="s">
        <v>74</v>
      </c>
      <c r="J518" s="1964">
        <v>0</v>
      </c>
      <c r="K518" s="2159">
        <v>0</v>
      </c>
      <c r="L518" s="2160">
        <f>'[2]ALL BULAN'!E502</f>
        <v>0</v>
      </c>
      <c r="M518" s="4253">
        <f t="shared" si="85"/>
        <v>0</v>
      </c>
      <c r="N518" s="4253"/>
      <c r="O518" s="4254">
        <f t="shared" si="86"/>
        <v>0</v>
      </c>
      <c r="P518" s="4061">
        <v>0</v>
      </c>
      <c r="Q518" s="4839"/>
    </row>
    <row r="519" spans="1:17" s="2070" customFormat="1">
      <c r="A519" s="4069">
        <v>4</v>
      </c>
      <c r="B519" s="4069">
        <v>1</v>
      </c>
      <c r="C519" s="4069" t="s">
        <v>443</v>
      </c>
      <c r="D519" s="4069" t="s">
        <v>444</v>
      </c>
      <c r="E519" s="4070" t="s">
        <v>445</v>
      </c>
      <c r="F519" s="4049"/>
      <c r="G519" s="4178"/>
      <c r="H519" s="4060" t="s">
        <v>308</v>
      </c>
      <c r="I519" s="4060" t="s">
        <v>75</v>
      </c>
      <c r="J519" s="1964">
        <v>0</v>
      </c>
      <c r="K519" s="2159">
        <v>0</v>
      </c>
      <c r="L519" s="2160">
        <f>'[2]ALL BULAN'!E503</f>
        <v>0</v>
      </c>
      <c r="M519" s="4253">
        <f t="shared" si="85"/>
        <v>0</v>
      </c>
      <c r="N519" s="4253"/>
      <c r="O519" s="4254">
        <f t="shared" si="86"/>
        <v>0</v>
      </c>
      <c r="P519" s="4061">
        <v>0</v>
      </c>
      <c r="Q519" s="4839"/>
    </row>
    <row r="520" spans="1:17" s="2070" customFormat="1">
      <c r="A520" s="4101">
        <v>4</v>
      </c>
      <c r="B520" s="4101">
        <v>1</v>
      </c>
      <c r="C520" s="4101" t="s">
        <v>443</v>
      </c>
      <c r="D520" s="4101" t="s">
        <v>444</v>
      </c>
      <c r="E520" s="4101" t="s">
        <v>441</v>
      </c>
      <c r="F520" s="4049"/>
      <c r="G520" s="4178"/>
      <c r="H520" s="4060" t="s">
        <v>50</v>
      </c>
      <c r="I520" s="4060" t="s">
        <v>169</v>
      </c>
      <c r="J520" s="1964">
        <v>0</v>
      </c>
      <c r="K520" s="2159">
        <v>0</v>
      </c>
      <c r="L520" s="2160">
        <f>'[2]ALL BULAN'!E504</f>
        <v>0</v>
      </c>
      <c r="M520" s="4253">
        <f t="shared" si="85"/>
        <v>0</v>
      </c>
      <c r="N520" s="4253"/>
      <c r="O520" s="4254">
        <f t="shared" si="86"/>
        <v>0</v>
      </c>
      <c r="P520" s="4061">
        <v>0</v>
      </c>
      <c r="Q520" s="4839"/>
    </row>
    <row r="521" spans="1:17" s="2070" customFormat="1">
      <c r="A521" s="4079">
        <v>4</v>
      </c>
      <c r="B521" s="4079">
        <v>1</v>
      </c>
      <c r="C521" s="4079" t="s">
        <v>443</v>
      </c>
      <c r="D521" s="4079" t="s">
        <v>447</v>
      </c>
      <c r="E521" s="4093" t="s">
        <v>437</v>
      </c>
      <c r="F521" s="4049"/>
      <c r="G521" s="4178"/>
      <c r="H521" s="4060" t="s">
        <v>50</v>
      </c>
      <c r="I521" s="4060" t="s">
        <v>85</v>
      </c>
      <c r="J521" s="1964">
        <v>0</v>
      </c>
      <c r="K521" s="2159">
        <v>0</v>
      </c>
      <c r="L521" s="2160">
        <f>'[2]ALL BULAN'!E505</f>
        <v>0</v>
      </c>
      <c r="M521" s="4253">
        <f t="shared" si="85"/>
        <v>0</v>
      </c>
      <c r="N521" s="4253"/>
      <c r="O521" s="4254">
        <f t="shared" si="86"/>
        <v>0</v>
      </c>
      <c r="P521" s="4061">
        <v>0</v>
      </c>
      <c r="Q521" s="4839"/>
    </row>
    <row r="522" spans="1:17" s="2070" customFormat="1" ht="5.35" customHeight="1">
      <c r="A522" s="4048"/>
      <c r="B522" s="4048"/>
      <c r="C522" s="4048"/>
      <c r="D522" s="4048"/>
      <c r="E522" s="4048"/>
      <c r="F522" s="4049"/>
      <c r="G522" s="4055"/>
      <c r="H522" s="4023"/>
      <c r="I522" s="4126"/>
      <c r="J522" s="4577"/>
      <c r="K522" s="4578"/>
      <c r="L522" s="4577"/>
      <c r="M522" s="4579"/>
      <c r="N522" s="4579"/>
      <c r="O522" s="4579"/>
      <c r="P522" s="4221"/>
      <c r="Q522" s="4839"/>
    </row>
    <row r="523" spans="1:17" s="2073" customFormat="1" ht="15.05">
      <c r="A523" s="4039"/>
      <c r="B523" s="4039"/>
      <c r="C523" s="4039"/>
      <c r="D523" s="4039"/>
      <c r="E523" s="4039"/>
      <c r="F523" s="4040"/>
      <c r="G523" s="4041" t="s">
        <v>302</v>
      </c>
      <c r="H523" s="4222" t="s">
        <v>303</v>
      </c>
      <c r="I523" s="4223"/>
      <c r="J523" s="4580">
        <f>J524</f>
        <v>1500000000</v>
      </c>
      <c r="K523" s="4574">
        <v>131950000</v>
      </c>
      <c r="L523" s="4580">
        <f>L524+L527</f>
        <v>69400000</v>
      </c>
      <c r="M523" s="4575">
        <f t="shared" ref="M523:M532" si="87">SUM(K523:L523)</f>
        <v>201350000</v>
      </c>
      <c r="N523" s="4580">
        <v>1500000000</v>
      </c>
      <c r="O523" s="4519">
        <f>N523-J523</f>
        <v>0</v>
      </c>
      <c r="P523" s="4044">
        <f>O523/J523*100</f>
        <v>0</v>
      </c>
      <c r="Q523" s="4840"/>
    </row>
    <row r="524" spans="1:17" s="2070" customFormat="1">
      <c r="A524" s="4046">
        <v>4</v>
      </c>
      <c r="B524" s="4046">
        <v>1</v>
      </c>
      <c r="C524" s="4046">
        <v>2</v>
      </c>
      <c r="D524" s="4047" t="s">
        <v>438</v>
      </c>
      <c r="E524" s="4048"/>
      <c r="F524" s="4049">
        <v>1</v>
      </c>
      <c r="G524" s="4050"/>
      <c r="H524" s="4051" t="s">
        <v>63</v>
      </c>
      <c r="I524" s="4224"/>
      <c r="J524" s="4581">
        <f>J525</f>
        <v>1500000000</v>
      </c>
      <c r="K524" s="2159">
        <v>131950000</v>
      </c>
      <c r="L524" s="4581">
        <f>L525</f>
        <v>69400000</v>
      </c>
      <c r="M524" s="4253">
        <f t="shared" si="87"/>
        <v>201350000</v>
      </c>
      <c r="N524" s="4249">
        <v>1500000000</v>
      </c>
      <c r="O524" s="4820">
        <f>N524-J524</f>
        <v>0</v>
      </c>
      <c r="P524" s="4636">
        <f>O524/J524*100</f>
        <v>0</v>
      </c>
      <c r="Q524" s="4839"/>
    </row>
    <row r="525" spans="1:17" s="2070" customFormat="1">
      <c r="A525" s="4046">
        <v>4</v>
      </c>
      <c r="B525" s="4046">
        <v>1</v>
      </c>
      <c r="C525" s="4046">
        <v>2</v>
      </c>
      <c r="D525" s="4047" t="s">
        <v>438</v>
      </c>
      <c r="E525" s="4093" t="s">
        <v>440</v>
      </c>
      <c r="F525" s="4049"/>
      <c r="G525" s="4067"/>
      <c r="H525" s="4062" t="s">
        <v>50</v>
      </c>
      <c r="I525" s="4060" t="s">
        <v>304</v>
      </c>
      <c r="J525" s="1964">
        <v>1500000000</v>
      </c>
      <c r="K525" s="2159">
        <v>131950000</v>
      </c>
      <c r="L525" s="2160">
        <v>69400000</v>
      </c>
      <c r="M525" s="4253">
        <f t="shared" si="87"/>
        <v>201350000</v>
      </c>
      <c r="N525" s="4249">
        <v>1500000000</v>
      </c>
      <c r="O525" s="4820">
        <f>N525-J525</f>
        <v>0</v>
      </c>
      <c r="P525" s="4636">
        <f>O525/J525*100</f>
        <v>0</v>
      </c>
      <c r="Q525" s="4839"/>
    </row>
    <row r="526" spans="1:17" s="2070" customFormat="1" ht="4.55" customHeight="1">
      <c r="A526" s="4048"/>
      <c r="B526" s="4048"/>
      <c r="C526" s="4048"/>
      <c r="D526" s="4048"/>
      <c r="E526" s="4048"/>
      <c r="F526" s="4049"/>
      <c r="G526" s="4067"/>
      <c r="H526" s="4060"/>
      <c r="I526" s="4060"/>
      <c r="J526" s="4541"/>
      <c r="K526" s="2159">
        <v>0</v>
      </c>
      <c r="L526" s="4541"/>
      <c r="M526" s="4253">
        <f t="shared" si="87"/>
        <v>0</v>
      </c>
      <c r="N526" s="4253"/>
      <c r="O526" s="4254">
        <f t="shared" ref="O526:O532" si="88">M526-J526</f>
        <v>0</v>
      </c>
      <c r="P526" s="4061">
        <f>O526-K526</f>
        <v>0</v>
      </c>
      <c r="Q526" s="4839"/>
    </row>
    <row r="527" spans="1:17" s="2070" customFormat="1">
      <c r="A527" s="4065">
        <v>4</v>
      </c>
      <c r="B527" s="4065">
        <v>1</v>
      </c>
      <c r="C527" s="4065">
        <v>4</v>
      </c>
      <c r="D527" s="4048"/>
      <c r="E527" s="4048"/>
      <c r="F527" s="4049">
        <v>3</v>
      </c>
      <c r="G527" s="4067"/>
      <c r="H527" s="4068" t="s">
        <v>71</v>
      </c>
      <c r="I527" s="4068"/>
      <c r="J527" s="4542">
        <v>0</v>
      </c>
      <c r="K527" s="2159">
        <v>0</v>
      </c>
      <c r="L527" s="4542">
        <f>SUM(L528:L532)</f>
        <v>0</v>
      </c>
      <c r="M527" s="4253">
        <f t="shared" si="87"/>
        <v>0</v>
      </c>
      <c r="N527" s="4253">
        <v>0</v>
      </c>
      <c r="O527" s="4254">
        <f t="shared" si="88"/>
        <v>0</v>
      </c>
      <c r="P527" s="4061">
        <v>0</v>
      </c>
      <c r="Q527" s="4839"/>
    </row>
    <row r="528" spans="1:17" s="2070" customFormat="1">
      <c r="A528" s="4065">
        <v>4</v>
      </c>
      <c r="B528" s="4065">
        <v>1</v>
      </c>
      <c r="C528" s="4065">
        <v>4</v>
      </c>
      <c r="D528" s="4065" t="s">
        <v>441</v>
      </c>
      <c r="E528" s="4048"/>
      <c r="F528" s="4049"/>
      <c r="G528" s="4067"/>
      <c r="H528" s="4062" t="s">
        <v>50</v>
      </c>
      <c r="I528" s="4060" t="s">
        <v>72</v>
      </c>
      <c r="J528" s="1964">
        <v>0</v>
      </c>
      <c r="K528" s="2159">
        <v>0</v>
      </c>
      <c r="L528" s="2160">
        <f>'[2]ALL BULAN'!E512</f>
        <v>0</v>
      </c>
      <c r="M528" s="4253">
        <f t="shared" si="87"/>
        <v>0</v>
      </c>
      <c r="N528" s="4253">
        <v>0</v>
      </c>
      <c r="O528" s="4254">
        <f t="shared" si="88"/>
        <v>0</v>
      </c>
      <c r="P528" s="4061">
        <v>0</v>
      </c>
      <c r="Q528" s="4839"/>
    </row>
    <row r="529" spans="1:17" s="2070" customFormat="1">
      <c r="A529" s="4074">
        <v>4</v>
      </c>
      <c r="B529" s="4074">
        <v>1</v>
      </c>
      <c r="C529" s="4074" t="s">
        <v>443</v>
      </c>
      <c r="D529" s="4074" t="s">
        <v>444</v>
      </c>
      <c r="E529" s="4074" t="s">
        <v>440</v>
      </c>
      <c r="F529" s="4049"/>
      <c r="G529" s="4067"/>
      <c r="H529" s="4062" t="s">
        <v>50</v>
      </c>
      <c r="I529" s="4060" t="s">
        <v>73</v>
      </c>
      <c r="J529" s="1964">
        <v>0</v>
      </c>
      <c r="K529" s="2159">
        <v>0</v>
      </c>
      <c r="L529" s="2160">
        <f>'[2]ALL BULAN'!E513</f>
        <v>0</v>
      </c>
      <c r="M529" s="4253">
        <f t="shared" si="87"/>
        <v>0</v>
      </c>
      <c r="N529" s="4253">
        <v>0</v>
      </c>
      <c r="O529" s="4254">
        <f t="shared" si="88"/>
        <v>0</v>
      </c>
      <c r="P529" s="4061">
        <v>0</v>
      </c>
      <c r="Q529" s="4839"/>
    </row>
    <row r="530" spans="1:17" s="2070" customFormat="1">
      <c r="A530" s="4069">
        <v>4</v>
      </c>
      <c r="B530" s="4069">
        <v>1</v>
      </c>
      <c r="C530" s="4069" t="s">
        <v>443</v>
      </c>
      <c r="D530" s="4069" t="s">
        <v>444</v>
      </c>
      <c r="E530" s="4070" t="s">
        <v>445</v>
      </c>
      <c r="F530" s="4049"/>
      <c r="G530" s="4150"/>
      <c r="H530" s="4062" t="s">
        <v>50</v>
      </c>
      <c r="I530" s="4060" t="s">
        <v>74</v>
      </c>
      <c r="J530" s="1964">
        <v>0</v>
      </c>
      <c r="K530" s="2159">
        <v>0</v>
      </c>
      <c r="L530" s="2160">
        <f>'[2]ALL BULAN'!E514</f>
        <v>0</v>
      </c>
      <c r="M530" s="4253">
        <f t="shared" si="87"/>
        <v>0</v>
      </c>
      <c r="N530" s="4253">
        <v>0</v>
      </c>
      <c r="O530" s="4254">
        <f t="shared" si="88"/>
        <v>0</v>
      </c>
      <c r="P530" s="4061">
        <v>0</v>
      </c>
      <c r="Q530" s="4839"/>
    </row>
    <row r="531" spans="1:17" s="2070" customFormat="1">
      <c r="A531" s="4101">
        <v>4</v>
      </c>
      <c r="B531" s="4101">
        <v>1</v>
      </c>
      <c r="C531" s="4101" t="s">
        <v>443</v>
      </c>
      <c r="D531" s="4101" t="s">
        <v>444</v>
      </c>
      <c r="E531" s="4101" t="s">
        <v>441</v>
      </c>
      <c r="F531" s="4049"/>
      <c r="G531" s="4150"/>
      <c r="H531" s="4060" t="s">
        <v>308</v>
      </c>
      <c r="I531" s="4090" t="s">
        <v>75</v>
      </c>
      <c r="J531" s="1964">
        <v>0</v>
      </c>
      <c r="K531" s="2159">
        <v>0</v>
      </c>
      <c r="L531" s="2160">
        <f>'[2]ALL BULAN'!E515</f>
        <v>0</v>
      </c>
      <c r="M531" s="4253">
        <f t="shared" si="87"/>
        <v>0</v>
      </c>
      <c r="N531" s="4253">
        <v>0</v>
      </c>
      <c r="O531" s="4254">
        <f t="shared" si="88"/>
        <v>0</v>
      </c>
      <c r="P531" s="4061">
        <v>0</v>
      </c>
      <c r="Q531" s="4839"/>
    </row>
    <row r="532" spans="1:17" s="2070" customFormat="1">
      <c r="A532" s="4079">
        <v>4</v>
      </c>
      <c r="B532" s="4079">
        <v>1</v>
      </c>
      <c r="C532" s="4079" t="s">
        <v>443</v>
      </c>
      <c r="D532" s="4079" t="s">
        <v>447</v>
      </c>
      <c r="E532" s="4093" t="s">
        <v>437</v>
      </c>
      <c r="F532" s="4049"/>
      <c r="G532" s="4150"/>
      <c r="H532" s="4062" t="s">
        <v>50</v>
      </c>
      <c r="I532" s="4090" t="s">
        <v>85</v>
      </c>
      <c r="J532" s="1964">
        <v>0</v>
      </c>
      <c r="K532" s="2159">
        <v>0</v>
      </c>
      <c r="L532" s="2160">
        <f>'[2]ALL BULAN'!E516</f>
        <v>0</v>
      </c>
      <c r="M532" s="4253">
        <f t="shared" si="87"/>
        <v>0</v>
      </c>
      <c r="N532" s="4253">
        <v>0</v>
      </c>
      <c r="O532" s="4254">
        <f t="shared" si="88"/>
        <v>0</v>
      </c>
      <c r="P532" s="4061">
        <v>0</v>
      </c>
      <c r="Q532" s="4839"/>
    </row>
    <row r="533" spans="1:17" s="2070" customFormat="1" ht="5.35" customHeight="1">
      <c r="A533" s="4048"/>
      <c r="B533" s="4048"/>
      <c r="C533" s="4048"/>
      <c r="D533" s="4048"/>
      <c r="E533" s="4048"/>
      <c r="F533" s="4049"/>
      <c r="G533" s="4102"/>
      <c r="H533" s="4083"/>
      <c r="I533" s="4083"/>
      <c r="J533" s="4548"/>
      <c r="K533" s="2183"/>
      <c r="L533" s="4548"/>
      <c r="M533" s="4549"/>
      <c r="N533" s="4549"/>
      <c r="O533" s="4549"/>
      <c r="P533" s="4172"/>
      <c r="Q533" s="4839"/>
    </row>
    <row r="534" spans="1:17" s="2073" customFormat="1" ht="15.65">
      <c r="A534" s="4039"/>
      <c r="B534" s="4039"/>
      <c r="C534" s="4039"/>
      <c r="D534" s="4039"/>
      <c r="E534" s="4039"/>
      <c r="F534" s="4040"/>
      <c r="G534" s="4041" t="s">
        <v>305</v>
      </c>
      <c r="H534" s="4042" t="s">
        <v>464</v>
      </c>
      <c r="I534" s="4097"/>
      <c r="J534" s="4545">
        <f>SUM(J535+J566)</f>
        <v>1140687567935</v>
      </c>
      <c r="K534" s="4574">
        <v>3919495400</v>
      </c>
      <c r="L534" s="4545">
        <f>L566</f>
        <v>2708421661</v>
      </c>
      <c r="M534" s="4575">
        <f>SUM(K534:L534)</f>
        <v>6627917061</v>
      </c>
      <c r="N534" s="4545">
        <f>SUM(N535+N566)</f>
        <v>1151721150000</v>
      </c>
      <c r="O534" s="4545">
        <f>SUM(N534-J534)</f>
        <v>11033582065</v>
      </c>
      <c r="P534" s="4044">
        <f>SUM(J534/N534*100-100)</f>
        <v>-0.95800811376955153</v>
      </c>
      <c r="Q534" s="4840"/>
    </row>
    <row r="535" spans="1:17" s="4707" customFormat="1" ht="15.05" customHeight="1">
      <c r="A535" s="4698" t="s">
        <v>58</v>
      </c>
      <c r="B535" s="4698"/>
      <c r="C535" s="4699"/>
      <c r="D535" s="4699"/>
      <c r="E535" s="4699"/>
      <c r="F535" s="4700"/>
      <c r="G535" s="4701"/>
      <c r="H535" s="4702" t="s">
        <v>1141</v>
      </c>
      <c r="I535" s="4703"/>
      <c r="J535" s="4704">
        <f>SUM(J536+J548+J560+J562+J564)</f>
        <v>1122139007935</v>
      </c>
      <c r="K535" s="4705"/>
      <c r="L535" s="4704"/>
      <c r="M535" s="4704"/>
      <c r="N535" s="4704">
        <f>SUM(N536+N548+N560+N562+N564)</f>
        <v>1132922590000</v>
      </c>
      <c r="O535" s="4704">
        <f>SUM(N535-J535)</f>
        <v>10783582065</v>
      </c>
      <c r="P535" s="4706">
        <f>SUM(N535/J535*100-100)</f>
        <v>0.96098451161093124</v>
      </c>
      <c r="Q535" s="4852"/>
    </row>
    <row r="536" spans="1:17" s="2070" customFormat="1" ht="15.05" customHeight="1">
      <c r="A536" s="1944" t="s">
        <v>58</v>
      </c>
      <c r="B536" s="4692" t="s">
        <v>437</v>
      </c>
      <c r="C536" s="4679"/>
      <c r="D536" s="4679"/>
      <c r="E536" s="4679"/>
      <c r="F536" s="4680"/>
      <c r="G536" s="2123"/>
      <c r="H536" s="2124" t="s">
        <v>1142</v>
      </c>
      <c r="I536" s="2124"/>
      <c r="J536" s="4681">
        <f>SUM(J537:J546)</f>
        <v>311893723935</v>
      </c>
      <c r="K536" s="4569"/>
      <c r="L536" s="4681"/>
      <c r="M536" s="4681"/>
      <c r="N536" s="4681">
        <f>SUM(N537:N546)</f>
        <v>304317000000</v>
      </c>
      <c r="O536" s="4681">
        <f>SUM(O537:O546)</f>
        <v>-7576723935</v>
      </c>
      <c r="P536" s="4682">
        <f>SUM(N536/J536*100-100)</f>
        <v>-2.4292646352124194</v>
      </c>
      <c r="Q536" s="4839"/>
    </row>
    <row r="537" spans="1:17" s="2070" customFormat="1" ht="15.05" customHeight="1">
      <c r="A537" s="4693"/>
      <c r="B537" s="4694"/>
      <c r="C537" s="4694"/>
      <c r="D537" s="4694"/>
      <c r="E537" s="4694"/>
      <c r="F537" s="4677"/>
      <c r="G537" s="4055"/>
      <c r="H537" s="3017" t="s">
        <v>1143</v>
      </c>
      <c r="I537" s="4126"/>
      <c r="J537" s="4659">
        <v>103905461339</v>
      </c>
      <c r="K537" s="4657"/>
      <c r="L537" s="4660"/>
      <c r="M537" s="4656"/>
      <c r="N537" s="4661">
        <v>100488781000</v>
      </c>
      <c r="O537" s="3135">
        <f>N537-J537</f>
        <v>-3416680339</v>
      </c>
      <c r="P537" s="3608">
        <f>+N537/J537*100-100</f>
        <v>-3.2882586679951373</v>
      </c>
      <c r="Q537" s="4839"/>
    </row>
    <row r="538" spans="1:17" s="2070" customFormat="1" ht="15.05" customHeight="1">
      <c r="A538" s="4655"/>
      <c r="B538" s="4655"/>
      <c r="C538" s="4655"/>
      <c r="D538" s="4655"/>
      <c r="E538" s="4655"/>
      <c r="F538" s="4040"/>
      <c r="G538" s="4055"/>
      <c r="H538" s="2877" t="s">
        <v>1144</v>
      </c>
      <c r="I538" s="4126"/>
      <c r="J538" s="3482">
        <v>34714931659</v>
      </c>
      <c r="K538" s="4657"/>
      <c r="L538" s="4660"/>
      <c r="M538" s="4656"/>
      <c r="N538" s="4662">
        <v>34058448000</v>
      </c>
      <c r="O538" s="3135">
        <f t="shared" ref="O538:O546" si="89">N538-J538</f>
        <v>-656483659</v>
      </c>
      <c r="P538" s="4010">
        <f t="shared" ref="P538:P546" si="90">+N538/J538*100-100</f>
        <v>-1.8910700025238469</v>
      </c>
      <c r="Q538" s="4839"/>
    </row>
    <row r="539" spans="1:17" s="2070" customFormat="1" ht="15.05" customHeight="1">
      <c r="A539" s="4693"/>
      <c r="B539" s="4693"/>
      <c r="C539" s="4693"/>
      <c r="D539" s="4693"/>
      <c r="E539" s="4693"/>
      <c r="F539" s="4049"/>
      <c r="G539" s="4055"/>
      <c r="H539" s="2877" t="s">
        <v>1146</v>
      </c>
      <c r="I539" s="4126"/>
      <c r="J539" s="3482">
        <v>9610012775</v>
      </c>
      <c r="K539" s="4657"/>
      <c r="L539" s="4660"/>
      <c r="M539" s="4656"/>
      <c r="N539" s="4662">
        <v>9583503000</v>
      </c>
      <c r="O539" s="3135">
        <f t="shared" si="89"/>
        <v>-26509775</v>
      </c>
      <c r="P539" s="4010">
        <f t="shared" si="90"/>
        <v>-0.27585577273075046</v>
      </c>
      <c r="Q539" s="4839"/>
    </row>
    <row r="540" spans="1:17" s="2070" customFormat="1" ht="15.05" customHeight="1">
      <c r="A540" s="4655"/>
      <c r="B540" s="4655"/>
      <c r="C540" s="4655"/>
      <c r="D540" s="4655"/>
      <c r="E540" s="4655"/>
      <c r="F540" s="4040"/>
      <c r="G540" s="4055"/>
      <c r="H540" s="2877" t="s">
        <v>1145</v>
      </c>
      <c r="I540" s="4126"/>
      <c r="J540" s="3482">
        <v>42614528606</v>
      </c>
      <c r="K540" s="4657"/>
      <c r="L540" s="4660"/>
      <c r="M540" s="4656"/>
      <c r="N540" s="4662">
        <v>41891586000</v>
      </c>
      <c r="O540" s="3135">
        <f t="shared" si="89"/>
        <v>-722942606</v>
      </c>
      <c r="P540" s="4010">
        <f t="shared" si="90"/>
        <v>-1.6964697948065748</v>
      </c>
      <c r="Q540" s="4839"/>
    </row>
    <row r="541" spans="1:17" s="2070" customFormat="1" ht="15.05" customHeight="1">
      <c r="A541" s="4693"/>
      <c r="B541" s="4693"/>
      <c r="C541" s="4693"/>
      <c r="D541" s="4693"/>
      <c r="E541" s="4693"/>
      <c r="F541" s="4049"/>
      <c r="G541" s="4055"/>
      <c r="H541" s="2877" t="s">
        <v>1147</v>
      </c>
      <c r="I541" s="4126"/>
      <c r="J541" s="3482">
        <v>45159023780</v>
      </c>
      <c r="K541" s="4657"/>
      <c r="L541" s="4660"/>
      <c r="M541" s="4656"/>
      <c r="N541" s="4662">
        <v>45372187000</v>
      </c>
      <c r="O541" s="3135">
        <f t="shared" si="89"/>
        <v>213163220</v>
      </c>
      <c r="P541" s="4010">
        <f t="shared" si="90"/>
        <v>0.47202796286842386</v>
      </c>
      <c r="Q541" s="4839"/>
    </row>
    <row r="542" spans="1:17" s="2070" customFormat="1" ht="15.05" customHeight="1">
      <c r="A542" s="4655"/>
      <c r="B542" s="4655"/>
      <c r="C542" s="4655"/>
      <c r="D542" s="4655"/>
      <c r="E542" s="4655"/>
      <c r="F542" s="4040"/>
      <c r="G542" s="4055"/>
      <c r="H542" s="2877" t="s">
        <v>1149</v>
      </c>
      <c r="I542" s="4126"/>
      <c r="J542" s="3482">
        <v>24602495136</v>
      </c>
      <c r="K542" s="4657"/>
      <c r="L542" s="4660"/>
      <c r="M542" s="4656"/>
      <c r="N542" s="4662">
        <v>23827946000</v>
      </c>
      <c r="O542" s="3135">
        <f t="shared" si="89"/>
        <v>-774549136</v>
      </c>
      <c r="P542" s="4010">
        <f t="shared" si="90"/>
        <v>-3.1482544015083533</v>
      </c>
      <c r="Q542" s="4839"/>
    </row>
    <row r="543" spans="1:17" s="2070" customFormat="1" ht="15.05" customHeight="1">
      <c r="A543" s="4693"/>
      <c r="B543" s="4693"/>
      <c r="C543" s="4693"/>
      <c r="D543" s="4693"/>
      <c r="E543" s="4693"/>
      <c r="F543" s="4049"/>
      <c r="G543" s="4055"/>
      <c r="H543" s="2877" t="s">
        <v>1148</v>
      </c>
      <c r="I543" s="4126"/>
      <c r="J543" s="3482">
        <v>19282915315</v>
      </c>
      <c r="K543" s="4657"/>
      <c r="L543" s="4660"/>
      <c r="M543" s="4656"/>
      <c r="N543" s="4662">
        <v>17678428000</v>
      </c>
      <c r="O543" s="3135">
        <f t="shared" si="89"/>
        <v>-1604487315</v>
      </c>
      <c r="P543" s="4010">
        <f t="shared" si="90"/>
        <v>-8.320771464218808</v>
      </c>
      <c r="Q543" s="4839"/>
    </row>
    <row r="544" spans="1:17" s="2070" customFormat="1" ht="15.05" customHeight="1">
      <c r="A544" s="4655"/>
      <c r="B544" s="4655"/>
      <c r="C544" s="4655"/>
      <c r="D544" s="4655"/>
      <c r="E544" s="4655"/>
      <c r="F544" s="4040"/>
      <c r="G544" s="4055"/>
      <c r="H544" s="2877" t="s">
        <v>1150</v>
      </c>
      <c r="I544" s="4126"/>
      <c r="J544" s="3482">
        <v>8832161493</v>
      </c>
      <c r="K544" s="4657"/>
      <c r="L544" s="4660"/>
      <c r="M544" s="4656"/>
      <c r="N544" s="4662">
        <v>8513731000</v>
      </c>
      <c r="O544" s="3135">
        <f t="shared" si="89"/>
        <v>-318430493</v>
      </c>
      <c r="P544" s="4010">
        <f t="shared" si="90"/>
        <v>-3.6053517958471986</v>
      </c>
      <c r="Q544" s="4839"/>
    </row>
    <row r="545" spans="1:17" s="2070" customFormat="1" ht="15.05" customHeight="1">
      <c r="A545" s="4693"/>
      <c r="B545" s="4693"/>
      <c r="C545" s="4693"/>
      <c r="D545" s="4693"/>
      <c r="E545" s="4693"/>
      <c r="F545" s="4049"/>
      <c r="G545" s="4055"/>
      <c r="H545" s="2877" t="s">
        <v>1151</v>
      </c>
      <c r="I545" s="4126"/>
      <c r="J545" s="3482">
        <v>9908631964</v>
      </c>
      <c r="K545" s="4657"/>
      <c r="L545" s="4660"/>
      <c r="M545" s="4656"/>
      <c r="N545" s="4662">
        <v>9941223000</v>
      </c>
      <c r="O545" s="3135">
        <f t="shared" si="89"/>
        <v>32591036</v>
      </c>
      <c r="P545" s="4010">
        <f t="shared" si="90"/>
        <v>0.32891559721271335</v>
      </c>
      <c r="Q545" s="4839"/>
    </row>
    <row r="546" spans="1:17" s="2070" customFormat="1" ht="15.05" customHeight="1">
      <c r="A546" s="4655"/>
      <c r="B546" s="4655"/>
      <c r="C546" s="4655"/>
      <c r="D546" s="4655"/>
      <c r="E546" s="4655"/>
      <c r="F546" s="4040"/>
      <c r="G546" s="4055"/>
      <c r="H546" s="2877" t="s">
        <v>1152</v>
      </c>
      <c r="I546" s="4126"/>
      <c r="J546" s="3482">
        <v>13263561868</v>
      </c>
      <c r="K546" s="4657"/>
      <c r="L546" s="4660"/>
      <c r="M546" s="4656"/>
      <c r="N546" s="4662">
        <v>12961167000</v>
      </c>
      <c r="O546" s="3135">
        <f t="shared" si="89"/>
        <v>-302394868</v>
      </c>
      <c r="P546" s="4010">
        <f t="shared" si="90"/>
        <v>-2.2798918647151964</v>
      </c>
      <c r="Q546" s="4839"/>
    </row>
    <row r="547" spans="1:17" s="2070" customFormat="1" ht="15.05" customHeight="1">
      <c r="A547" s="4693"/>
      <c r="B547" s="4691"/>
      <c r="C547" s="4691"/>
      <c r="D547" s="4691"/>
      <c r="E547" s="4691"/>
      <c r="F547" s="4672"/>
      <c r="G547" s="4169"/>
      <c r="H547" s="4131"/>
      <c r="I547" s="4131"/>
      <c r="J547" s="4673"/>
      <c r="K547" s="4674"/>
      <c r="L547" s="4673"/>
      <c r="M547" s="4675"/>
      <c r="N547" s="4676"/>
      <c r="O547" s="2304"/>
      <c r="P547" s="4170"/>
      <c r="Q547" s="4839"/>
    </row>
    <row r="548" spans="1:17" s="2070" customFormat="1" ht="15.05" customHeight="1">
      <c r="A548" s="1944" t="s">
        <v>58</v>
      </c>
      <c r="B548" s="4692" t="s">
        <v>440</v>
      </c>
      <c r="C548" s="4695"/>
      <c r="D548" s="4695"/>
      <c r="E548" s="4695"/>
      <c r="F548" s="4678"/>
      <c r="G548" s="4091"/>
      <c r="H548" s="4683" t="s">
        <v>1153</v>
      </c>
      <c r="I548" s="4090"/>
      <c r="J548" s="4681">
        <f>SUM(J549:J558)</f>
        <v>321503155000</v>
      </c>
      <c r="K548" s="4569"/>
      <c r="L548" s="4681"/>
      <c r="M548" s="4681"/>
      <c r="N548" s="4681">
        <f>SUM(N549:N558)</f>
        <v>299817600000</v>
      </c>
      <c r="O548" s="4681">
        <f>SUM(O549:O558)</f>
        <v>-21685555000</v>
      </c>
      <c r="P548" s="4681">
        <f>SUM(P549:P558)</f>
        <v>-75.284550865419035</v>
      </c>
      <c r="Q548" s="4839"/>
    </row>
    <row r="549" spans="1:17" s="2070" customFormat="1" ht="15.05" customHeight="1">
      <c r="A549" s="4693"/>
      <c r="B549" s="4694"/>
      <c r="C549" s="4694"/>
      <c r="D549" s="4694"/>
      <c r="E549" s="4694"/>
      <c r="F549" s="4677"/>
      <c r="G549" s="4055"/>
      <c r="H549" s="3017" t="s">
        <v>1143</v>
      </c>
      <c r="I549" s="4126"/>
      <c r="J549" s="4659">
        <v>89048587600</v>
      </c>
      <c r="K549" s="4663"/>
      <c r="L549" s="4659"/>
      <c r="M549" s="4659">
        <v>21008364305</v>
      </c>
      <c r="N549" s="4661">
        <v>85210794910</v>
      </c>
      <c r="O549" s="3135">
        <f>N549-J549</f>
        <v>-3837792690</v>
      </c>
      <c r="P549" s="3608">
        <f>+N549/J549*100-100</f>
        <v>-4.3097737914037424</v>
      </c>
      <c r="Q549" s="4839"/>
    </row>
    <row r="550" spans="1:17" s="2070" customFormat="1" ht="15.05" customHeight="1">
      <c r="A550" s="4655"/>
      <c r="B550" s="4655"/>
      <c r="C550" s="4655"/>
      <c r="D550" s="4655"/>
      <c r="E550" s="4655"/>
      <c r="F550" s="4040"/>
      <c r="G550" s="4055"/>
      <c r="H550" s="2877" t="s">
        <v>1144</v>
      </c>
      <c r="I550" s="4126"/>
      <c r="J550" s="3482">
        <v>43050445200</v>
      </c>
      <c r="K550" s="4663"/>
      <c r="L550" s="3482"/>
      <c r="M550" s="3482">
        <v>12974559000</v>
      </c>
      <c r="N550" s="4662">
        <v>38687005933</v>
      </c>
      <c r="O550" s="3135">
        <f t="shared" ref="O550:O558" si="91">N550-J550</f>
        <v>-4363439267</v>
      </c>
      <c r="P550" s="4010">
        <f t="shared" ref="P550:P558" si="92">+N550/J550*100-100</f>
        <v>-10.135642608871322</v>
      </c>
      <c r="Q550" s="4839"/>
    </row>
    <row r="551" spans="1:17" s="2070" customFormat="1" ht="15.05" customHeight="1">
      <c r="A551" s="4693"/>
      <c r="B551" s="4693"/>
      <c r="C551" s="4693"/>
      <c r="D551" s="4693"/>
      <c r="E551" s="4693"/>
      <c r="F551" s="4049"/>
      <c r="G551" s="4055"/>
      <c r="H551" s="2877" t="s">
        <v>1145</v>
      </c>
      <c r="I551" s="4126"/>
      <c r="J551" s="3482">
        <v>15367063100</v>
      </c>
      <c r="K551" s="4663"/>
      <c r="L551" s="3482"/>
      <c r="M551" s="3482">
        <v>0</v>
      </c>
      <c r="N551" s="4662">
        <v>15451217308</v>
      </c>
      <c r="O551" s="3135">
        <f t="shared" si="91"/>
        <v>84154208</v>
      </c>
      <c r="P551" s="4010">
        <f t="shared" si="92"/>
        <v>0.54762713898142579</v>
      </c>
      <c r="Q551" s="4839"/>
    </row>
    <row r="552" spans="1:17" s="2070" customFormat="1" ht="15.05" customHeight="1">
      <c r="A552" s="4655"/>
      <c r="B552" s="4655"/>
      <c r="C552" s="4655"/>
      <c r="D552" s="4655"/>
      <c r="E552" s="4655"/>
      <c r="F552" s="4040"/>
      <c r="G552" s="4055"/>
      <c r="H552" s="2877" t="s">
        <v>1146</v>
      </c>
      <c r="I552" s="4126"/>
      <c r="J552" s="3482">
        <v>46313162500</v>
      </c>
      <c r="K552" s="4663"/>
      <c r="L552" s="3482"/>
      <c r="M552" s="3482">
        <v>10590982300</v>
      </c>
      <c r="N552" s="4662">
        <v>41540262518</v>
      </c>
      <c r="O552" s="3135">
        <f t="shared" si="91"/>
        <v>-4772899982</v>
      </c>
      <c r="P552" s="4010">
        <f t="shared" si="92"/>
        <v>-10.305709488096397</v>
      </c>
      <c r="Q552" s="4839"/>
    </row>
    <row r="553" spans="1:17" s="2070" customFormat="1" ht="15.05" customHeight="1">
      <c r="A553" s="4693"/>
      <c r="B553" s="4693"/>
      <c r="C553" s="4693"/>
      <c r="D553" s="4693"/>
      <c r="E553" s="4693"/>
      <c r="F553" s="4049"/>
      <c r="G553" s="4055"/>
      <c r="H553" s="2877" t="s">
        <v>1147</v>
      </c>
      <c r="I553" s="4126"/>
      <c r="J553" s="3482">
        <v>54297917400</v>
      </c>
      <c r="K553" s="4663"/>
      <c r="L553" s="3482"/>
      <c r="M553" s="3482">
        <v>13243838750</v>
      </c>
      <c r="N553" s="4662">
        <v>54925491645</v>
      </c>
      <c r="O553" s="3135">
        <f t="shared" si="91"/>
        <v>627574245</v>
      </c>
      <c r="P553" s="4010">
        <f t="shared" si="92"/>
        <v>1.1557980030372192</v>
      </c>
      <c r="Q553" s="4839"/>
    </row>
    <row r="554" spans="1:17" s="2070" customFormat="1" ht="15.05" customHeight="1">
      <c r="A554" s="4655"/>
      <c r="B554" s="4655"/>
      <c r="C554" s="4655"/>
      <c r="D554" s="4655"/>
      <c r="E554" s="4655"/>
      <c r="F554" s="4040"/>
      <c r="G554" s="4055"/>
      <c r="H554" s="2877" t="s">
        <v>1149</v>
      </c>
      <c r="I554" s="4126"/>
      <c r="J554" s="3482">
        <v>26331859300</v>
      </c>
      <c r="K554" s="4663"/>
      <c r="L554" s="3482"/>
      <c r="M554" s="3482">
        <v>4970869900</v>
      </c>
      <c r="N554" s="4662">
        <v>21656173662</v>
      </c>
      <c r="O554" s="3135">
        <f t="shared" si="91"/>
        <v>-4675685638</v>
      </c>
      <c r="P554" s="4010">
        <f t="shared" si="92"/>
        <v>-17.756762197191293</v>
      </c>
      <c r="Q554" s="4839"/>
    </row>
    <row r="555" spans="1:17" s="2070" customFormat="1" ht="15.05" customHeight="1">
      <c r="A555" s="4693"/>
      <c r="B555" s="4693"/>
      <c r="C555" s="4693"/>
      <c r="D555" s="4693"/>
      <c r="E555" s="4693"/>
      <c r="F555" s="4049"/>
      <c r="G555" s="4055"/>
      <c r="H555" s="2877" t="s">
        <v>1148</v>
      </c>
      <c r="I555" s="4126"/>
      <c r="J555" s="3482">
        <v>14367919300</v>
      </c>
      <c r="K555" s="4663"/>
      <c r="L555" s="3482"/>
      <c r="M555" s="3482">
        <v>2888678800</v>
      </c>
      <c r="N555" s="4662">
        <v>10870384670</v>
      </c>
      <c r="O555" s="3135">
        <f t="shared" si="91"/>
        <v>-3497534630</v>
      </c>
      <c r="P555" s="4010">
        <f t="shared" si="92"/>
        <v>-24.342666164612993</v>
      </c>
      <c r="Q555" s="4839"/>
    </row>
    <row r="556" spans="1:17" s="2070" customFormat="1" ht="15.05" customHeight="1">
      <c r="A556" s="4655"/>
      <c r="B556" s="4655"/>
      <c r="C556" s="4655"/>
      <c r="D556" s="4655"/>
      <c r="E556" s="4655"/>
      <c r="F556" s="4040"/>
      <c r="G556" s="4055"/>
      <c r="H556" s="2877" t="s">
        <v>1150</v>
      </c>
      <c r="I556" s="4126"/>
      <c r="J556" s="3482">
        <v>10029004300</v>
      </c>
      <c r="K556" s="4663"/>
      <c r="L556" s="3482"/>
      <c r="M556" s="3482">
        <v>1741245300</v>
      </c>
      <c r="N556" s="4662">
        <v>10682242857</v>
      </c>
      <c r="O556" s="3135">
        <f t="shared" si="91"/>
        <v>653238557</v>
      </c>
      <c r="P556" s="4010">
        <f t="shared" si="92"/>
        <v>6.5134936376485513</v>
      </c>
      <c r="Q556" s="4839"/>
    </row>
    <row r="557" spans="1:17" s="2070" customFormat="1" ht="15.05" customHeight="1">
      <c r="A557" s="4693"/>
      <c r="B557" s="4693"/>
      <c r="C557" s="4693"/>
      <c r="D557" s="4693"/>
      <c r="E557" s="4693"/>
      <c r="F557" s="4049"/>
      <c r="G557" s="4055"/>
      <c r="H557" s="2877" t="s">
        <v>1151</v>
      </c>
      <c r="I557" s="4126"/>
      <c r="J557" s="3482">
        <v>10866726200</v>
      </c>
      <c r="K557" s="4663"/>
      <c r="L557" s="3482"/>
      <c r="M557" s="3482">
        <v>2296433100</v>
      </c>
      <c r="N557" s="4662">
        <v>10114515498</v>
      </c>
      <c r="O557" s="3135">
        <f t="shared" si="91"/>
        <v>-752210702</v>
      </c>
      <c r="P557" s="4010">
        <f t="shared" si="92"/>
        <v>-6.9221464510626873</v>
      </c>
      <c r="Q557" s="4839"/>
    </row>
    <row r="558" spans="1:17" s="2070" customFormat="1" ht="15.05" customHeight="1">
      <c r="A558" s="4655"/>
      <c r="B558" s="4655"/>
      <c r="C558" s="4655"/>
      <c r="D558" s="4655"/>
      <c r="E558" s="4655"/>
      <c r="F558" s="4040"/>
      <c r="G558" s="4055"/>
      <c r="H558" s="2877" t="s">
        <v>1152</v>
      </c>
      <c r="I558" s="4126"/>
      <c r="J558" s="3482">
        <v>11830470100</v>
      </c>
      <c r="K558" s="4663"/>
      <c r="L558" s="3482"/>
      <c r="M558" s="3482">
        <v>3006474100</v>
      </c>
      <c r="N558" s="4662">
        <v>10679510999</v>
      </c>
      <c r="O558" s="3135">
        <f t="shared" si="91"/>
        <v>-1150959101</v>
      </c>
      <c r="P558" s="3606">
        <f t="shared" si="92"/>
        <v>-9.7287689438477969</v>
      </c>
      <c r="Q558" s="4839"/>
    </row>
    <row r="559" spans="1:17" s="2070" customFormat="1" ht="15.05" customHeight="1">
      <c r="A559" s="4693"/>
      <c r="B559" s="4693"/>
      <c r="C559" s="4693"/>
      <c r="D559" s="4693"/>
      <c r="E559" s="4693"/>
      <c r="F559" s="4049"/>
      <c r="G559" s="4055"/>
      <c r="H559" s="4131"/>
      <c r="I559" s="4126"/>
      <c r="J559" s="4673"/>
      <c r="K559" s="4674"/>
      <c r="L559" s="4673"/>
      <c r="M559" s="4675"/>
      <c r="N559" s="4676"/>
      <c r="O559" s="2304"/>
      <c r="P559" s="4170"/>
      <c r="Q559" s="4839"/>
    </row>
    <row r="560" spans="1:17" s="2070" customFormat="1" ht="15.05" customHeight="1">
      <c r="A560" s="1944" t="s">
        <v>58</v>
      </c>
      <c r="B560" s="4696" t="s">
        <v>451</v>
      </c>
      <c r="C560" s="4655"/>
      <c r="D560" s="4655"/>
      <c r="E560" s="4655"/>
      <c r="F560" s="4040"/>
      <c r="G560" s="4055"/>
      <c r="H560" s="4653" t="s">
        <v>1154</v>
      </c>
      <c r="I560" s="224"/>
      <c r="J560" s="3204">
        <v>192900000000</v>
      </c>
      <c r="K560" s="3204">
        <v>46114131883</v>
      </c>
      <c r="L560" s="3204"/>
      <c r="M560" s="3204">
        <v>46114131883</v>
      </c>
      <c r="N560" s="4686">
        <v>188945861000</v>
      </c>
      <c r="O560" s="4687">
        <f>N560-J560</f>
        <v>-3954139000</v>
      </c>
      <c r="P560" s="4688">
        <f>+N560/J560*100-100</f>
        <v>-2.0498387765681656</v>
      </c>
      <c r="Q560" s="4839"/>
    </row>
    <row r="561" spans="1:17" s="2070" customFormat="1" ht="15.05" customHeight="1">
      <c r="A561" s="4693"/>
      <c r="B561" s="4693"/>
      <c r="C561" s="4693"/>
      <c r="D561" s="4693"/>
      <c r="E561" s="4693"/>
      <c r="F561" s="4049"/>
      <c r="G561" s="4055"/>
      <c r="H561" s="4654"/>
      <c r="I561" s="224"/>
      <c r="J561" s="4684"/>
      <c r="K561" s="4569"/>
      <c r="L561" s="4684"/>
      <c r="M561" s="4681"/>
      <c r="N561" s="4685"/>
      <c r="O561" s="2292"/>
      <c r="P561" s="4689"/>
      <c r="Q561" s="4839"/>
    </row>
    <row r="562" spans="1:17" s="2070" customFormat="1" ht="15.05" customHeight="1">
      <c r="A562" s="1944" t="s">
        <v>58</v>
      </c>
      <c r="B562" s="4696" t="s">
        <v>441</v>
      </c>
      <c r="C562" s="4655"/>
      <c r="D562" s="4655"/>
      <c r="E562" s="4655"/>
      <c r="F562" s="4040"/>
      <c r="G562" s="4055"/>
      <c r="H562" s="4653" t="s">
        <v>1156</v>
      </c>
      <c r="I562" s="224"/>
      <c r="J562" s="3204">
        <v>1000000000</v>
      </c>
      <c r="K562" s="3204"/>
      <c r="L562" s="3204"/>
      <c r="M562" s="3204">
        <v>228953247</v>
      </c>
      <c r="N562" s="4686">
        <v>1000000000</v>
      </c>
      <c r="O562" s="4690">
        <f>N562-J562</f>
        <v>0</v>
      </c>
      <c r="P562" s="4688">
        <f>+N562/J562*100-100</f>
        <v>0</v>
      </c>
      <c r="Q562" s="4839"/>
    </row>
    <row r="563" spans="1:17" s="2070" customFormat="1" ht="15.05" customHeight="1">
      <c r="A563" s="4693"/>
      <c r="B563" s="4693"/>
      <c r="C563" s="4693"/>
      <c r="D563" s="4693"/>
      <c r="E563" s="4693"/>
      <c r="F563" s="4049"/>
      <c r="G563" s="4055"/>
      <c r="H563" s="4654"/>
      <c r="I563" s="224"/>
      <c r="J563" s="4684"/>
      <c r="K563" s="4569"/>
      <c r="L563" s="4684"/>
      <c r="M563" s="4681"/>
      <c r="N563" s="4685"/>
      <c r="O563" s="2292"/>
      <c r="P563" s="4689"/>
      <c r="Q563" s="4839"/>
    </row>
    <row r="564" spans="1:17" s="2070" customFormat="1" ht="15.05" customHeight="1">
      <c r="A564" s="1944" t="s">
        <v>58</v>
      </c>
      <c r="B564" s="1944" t="s">
        <v>456</v>
      </c>
      <c r="C564" s="4655"/>
      <c r="D564" s="4655"/>
      <c r="E564" s="4655"/>
      <c r="F564" s="4040"/>
      <c r="G564" s="4055"/>
      <c r="H564" s="4653" t="s">
        <v>1157</v>
      </c>
      <c r="I564" s="224"/>
      <c r="J564" s="3204">
        <v>294842129000</v>
      </c>
      <c r="K564" s="3204">
        <v>44786003561</v>
      </c>
      <c r="L564" s="3204"/>
      <c r="M564" s="3204">
        <v>44786003561</v>
      </c>
      <c r="N564" s="4686">
        <v>338842129000</v>
      </c>
      <c r="O564" s="4690">
        <f>N564-J564</f>
        <v>44000000000</v>
      </c>
      <c r="P564" s="4688">
        <f>+N564/J564*100-100</f>
        <v>14.923240497968322</v>
      </c>
      <c r="Q564" s="4839"/>
    </row>
    <row r="565" spans="1:17" s="2070" customFormat="1" ht="15.05" customHeight="1">
      <c r="A565" s="4693"/>
      <c r="B565" s="4693"/>
      <c r="C565" s="4693"/>
      <c r="D565" s="4693"/>
      <c r="E565" s="4693"/>
      <c r="F565" s="4049"/>
      <c r="G565" s="4055"/>
      <c r="H565" s="4126"/>
      <c r="I565" s="4126"/>
      <c r="J565" s="4660"/>
      <c r="K565" s="4657"/>
      <c r="L565" s="4660"/>
      <c r="M565" s="4656"/>
      <c r="N565" s="4658"/>
      <c r="O565" s="4649"/>
      <c r="P565" s="4650"/>
      <c r="Q565" s="4839"/>
    </row>
    <row r="566" spans="1:17" s="4707" customFormat="1" ht="12.05" customHeight="1">
      <c r="A566" s="4708">
        <v>4</v>
      </c>
      <c r="B566" s="4708">
        <v>1</v>
      </c>
      <c r="C566" s="4708" t="s">
        <v>443</v>
      </c>
      <c r="D566" s="4708"/>
      <c r="E566" s="4709"/>
      <c r="F566" s="4710">
        <v>3</v>
      </c>
      <c r="G566" s="4711"/>
      <c r="H566" s="4712" t="s">
        <v>71</v>
      </c>
      <c r="I566" s="4712"/>
      <c r="J566" s="4713">
        <f>J568</f>
        <v>18548560000</v>
      </c>
      <c r="K566" s="4714">
        <v>3919495400</v>
      </c>
      <c r="L566" s="4713">
        <f>L569+L581+L593+L609+L611+L613+L624</f>
        <v>2708421661</v>
      </c>
      <c r="M566" s="4715">
        <f t="shared" ref="M566:M599" si="93">SUM(K566:L566)</f>
        <v>6627917061</v>
      </c>
      <c r="N566" s="4713">
        <f>N568</f>
        <v>18798560000</v>
      </c>
      <c r="O566" s="4716">
        <f>N566-J566</f>
        <v>250000000</v>
      </c>
      <c r="P566" s="4717">
        <v>0</v>
      </c>
      <c r="Q566" s="4852"/>
    </row>
    <row r="567" spans="1:17" s="2070" customFormat="1" ht="4.55" customHeight="1">
      <c r="A567" s="4693"/>
      <c r="B567" s="4693"/>
      <c r="C567" s="4693"/>
      <c r="D567" s="4693"/>
      <c r="E567" s="4693"/>
      <c r="F567" s="4049"/>
      <c r="G567" s="4067"/>
      <c r="H567" s="4068"/>
      <c r="I567" s="4068"/>
      <c r="J567" s="4664"/>
      <c r="K567" s="4665">
        <v>0</v>
      </c>
      <c r="L567" s="4664"/>
      <c r="M567" s="4666">
        <f t="shared" si="93"/>
        <v>0</v>
      </c>
      <c r="N567" s="4664"/>
      <c r="O567" s="4716">
        <f t="shared" ref="O567:O625" si="94">N567-J567</f>
        <v>0</v>
      </c>
      <c r="P567" s="4061">
        <f>O567-K567</f>
        <v>0</v>
      </c>
      <c r="Q567" s="4839"/>
    </row>
    <row r="568" spans="1:17" s="2070" customFormat="1">
      <c r="A568" s="4697">
        <v>4</v>
      </c>
      <c r="B568" s="4697">
        <v>1</v>
      </c>
      <c r="C568" s="4697" t="s">
        <v>443</v>
      </c>
      <c r="D568" s="4697" t="s">
        <v>456</v>
      </c>
      <c r="E568" s="4693"/>
      <c r="F568" s="4049"/>
      <c r="G568" s="4067"/>
      <c r="H568" s="4068" t="s">
        <v>307</v>
      </c>
      <c r="I568" s="4060"/>
      <c r="J568" s="4664">
        <f>SUM(J569+J581)</f>
        <v>18548560000</v>
      </c>
      <c r="K568" s="4665">
        <v>3186070400</v>
      </c>
      <c r="L568" s="4664">
        <f>L569+L581</f>
        <v>2296646661</v>
      </c>
      <c r="M568" s="4666">
        <f t="shared" si="93"/>
        <v>5482717061</v>
      </c>
      <c r="N568" s="4664">
        <f>SUM(N569+N581)</f>
        <v>18798560000</v>
      </c>
      <c r="O568" s="4716">
        <f t="shared" si="94"/>
        <v>250000000</v>
      </c>
      <c r="P568" s="4061">
        <v>0</v>
      </c>
      <c r="Q568" s="4839"/>
    </row>
    <row r="569" spans="1:17" s="2070" customFormat="1">
      <c r="A569" s="4697">
        <v>4</v>
      </c>
      <c r="B569" s="4697">
        <v>1</v>
      </c>
      <c r="C569" s="4697" t="s">
        <v>443</v>
      </c>
      <c r="D569" s="4697" t="s">
        <v>456</v>
      </c>
      <c r="E569" s="4697" t="s">
        <v>437</v>
      </c>
      <c r="F569" s="4049"/>
      <c r="G569" s="4067" t="s">
        <v>308</v>
      </c>
      <c r="H569" s="4068" t="s">
        <v>309</v>
      </c>
      <c r="I569" s="4068"/>
      <c r="J569" s="4816">
        <v>18448560000</v>
      </c>
      <c r="K569" s="4817">
        <v>3064125447</v>
      </c>
      <c r="L569" s="4816">
        <f>SUM(L570:L579)</f>
        <v>2223238906</v>
      </c>
      <c r="M569" s="4818">
        <f t="shared" si="93"/>
        <v>5287364353</v>
      </c>
      <c r="N569" s="4816">
        <v>18448560000</v>
      </c>
      <c r="O569" s="4716">
        <f t="shared" si="94"/>
        <v>0</v>
      </c>
      <c r="P569" s="4061">
        <v>0</v>
      </c>
      <c r="Q569" s="4839"/>
    </row>
    <row r="570" spans="1:17" s="2070" customFormat="1">
      <c r="A570" s="4693"/>
      <c r="B570" s="4693"/>
      <c r="C570" s="4693"/>
      <c r="D570" s="4693"/>
      <c r="E570" s="4693"/>
      <c r="F570" s="4049"/>
      <c r="G570" s="4067"/>
      <c r="H570" s="4193">
        <v>1</v>
      </c>
      <c r="I570" s="4060" t="s">
        <v>310</v>
      </c>
      <c r="J570" s="2466">
        <v>0</v>
      </c>
      <c r="K570" s="4665">
        <v>950178232</v>
      </c>
      <c r="L570" s="4667">
        <v>483669403</v>
      </c>
      <c r="M570" s="4668">
        <f t="shared" si="93"/>
        <v>1433847635</v>
      </c>
      <c r="N570" s="2466">
        <v>0</v>
      </c>
      <c r="O570" s="4716">
        <f t="shared" si="94"/>
        <v>0</v>
      </c>
      <c r="P570" s="4061">
        <v>0</v>
      </c>
      <c r="Q570" s="4839"/>
    </row>
    <row r="571" spans="1:17" s="2070" customFormat="1">
      <c r="A571" s="4693"/>
      <c r="B571" s="4693"/>
      <c r="C571" s="4693"/>
      <c r="D571" s="4693"/>
      <c r="E571" s="4693"/>
      <c r="F571" s="4049"/>
      <c r="G571" s="4067"/>
      <c r="H571" s="4193">
        <v>2</v>
      </c>
      <c r="I571" s="4060" t="s">
        <v>311</v>
      </c>
      <c r="J571" s="2466">
        <v>0</v>
      </c>
      <c r="K571" s="4665">
        <v>464483071</v>
      </c>
      <c r="L571" s="2491">
        <v>700930596</v>
      </c>
      <c r="M571" s="4666">
        <f t="shared" si="93"/>
        <v>1165413667</v>
      </c>
      <c r="N571" s="2466">
        <v>0</v>
      </c>
      <c r="O571" s="4716">
        <f t="shared" si="94"/>
        <v>0</v>
      </c>
      <c r="P571" s="4061">
        <v>0</v>
      </c>
      <c r="Q571" s="4839"/>
    </row>
    <row r="572" spans="1:17" s="2070" customFormat="1">
      <c r="A572" s="4693"/>
      <c r="B572" s="4693"/>
      <c r="C572" s="4693"/>
      <c r="D572" s="4693"/>
      <c r="E572" s="4693"/>
      <c r="F572" s="4049"/>
      <c r="G572" s="4067"/>
      <c r="H572" s="4193">
        <v>3</v>
      </c>
      <c r="I572" s="4060" t="s">
        <v>312</v>
      </c>
      <c r="J572" s="2466">
        <v>0</v>
      </c>
      <c r="K572" s="4665">
        <v>526640801</v>
      </c>
      <c r="L572" s="2491">
        <v>257640400</v>
      </c>
      <c r="M572" s="4666">
        <f t="shared" si="93"/>
        <v>784281201</v>
      </c>
      <c r="N572" s="2466">
        <v>0</v>
      </c>
      <c r="O572" s="4716">
        <f t="shared" si="94"/>
        <v>0</v>
      </c>
      <c r="P572" s="4061">
        <v>0</v>
      </c>
      <c r="Q572" s="4839"/>
    </row>
    <row r="573" spans="1:17" s="2070" customFormat="1">
      <c r="A573" s="4693"/>
      <c r="B573" s="4693"/>
      <c r="C573" s="4693"/>
      <c r="D573" s="4693"/>
      <c r="E573" s="4693"/>
      <c r="F573" s="4049"/>
      <c r="G573" s="4067"/>
      <c r="H573" s="4193">
        <v>4</v>
      </c>
      <c r="I573" s="4060" t="s">
        <v>313</v>
      </c>
      <c r="J573" s="2466">
        <v>0</v>
      </c>
      <c r="K573" s="4665">
        <v>210189810</v>
      </c>
      <c r="L573" s="4667">
        <v>117317727</v>
      </c>
      <c r="M573" s="4668">
        <f t="shared" si="93"/>
        <v>327507537</v>
      </c>
      <c r="N573" s="2466">
        <v>0</v>
      </c>
      <c r="O573" s="4716">
        <f t="shared" si="94"/>
        <v>0</v>
      </c>
      <c r="P573" s="4061">
        <v>0</v>
      </c>
      <c r="Q573" s="4839"/>
    </row>
    <row r="574" spans="1:17" s="2070" customFormat="1">
      <c r="A574" s="4693"/>
      <c r="B574" s="4693"/>
      <c r="C574" s="4693"/>
      <c r="D574" s="4693"/>
      <c r="E574" s="4693"/>
      <c r="F574" s="4049"/>
      <c r="G574" s="4067"/>
      <c r="H574" s="4193">
        <v>5</v>
      </c>
      <c r="I574" s="4060" t="s">
        <v>465</v>
      </c>
      <c r="J574" s="2466">
        <v>0</v>
      </c>
      <c r="K574" s="4665">
        <v>198751703</v>
      </c>
      <c r="L574" s="2491">
        <v>92358050</v>
      </c>
      <c r="M574" s="4666">
        <f t="shared" si="93"/>
        <v>291109753</v>
      </c>
      <c r="N574" s="2466">
        <v>0</v>
      </c>
      <c r="O574" s="4716">
        <f t="shared" si="94"/>
        <v>0</v>
      </c>
      <c r="P574" s="4061">
        <v>0</v>
      </c>
      <c r="Q574" s="4839"/>
    </row>
    <row r="575" spans="1:17" s="2070" customFormat="1">
      <c r="A575" s="4693"/>
      <c r="B575" s="4693"/>
      <c r="C575" s="4693"/>
      <c r="D575" s="4693"/>
      <c r="E575" s="4693"/>
      <c r="F575" s="4049"/>
      <c r="G575" s="4067"/>
      <c r="H575" s="4193">
        <v>6</v>
      </c>
      <c r="I575" s="4060" t="s">
        <v>466</v>
      </c>
      <c r="J575" s="2466"/>
      <c r="K575" s="4665">
        <v>96723700</v>
      </c>
      <c r="L575" s="2491">
        <v>51092666</v>
      </c>
      <c r="M575" s="4666">
        <f t="shared" si="93"/>
        <v>147816366</v>
      </c>
      <c r="N575" s="2466"/>
      <c r="O575" s="4716">
        <f t="shared" si="94"/>
        <v>0</v>
      </c>
      <c r="P575" s="4061"/>
      <c r="Q575" s="4839"/>
    </row>
    <row r="576" spans="1:17" s="2070" customFormat="1">
      <c r="A576" s="4693"/>
      <c r="B576" s="4693"/>
      <c r="C576" s="4693"/>
      <c r="D576" s="4693"/>
      <c r="E576" s="4693"/>
      <c r="F576" s="4049"/>
      <c r="G576" s="4067"/>
      <c r="H576" s="4193">
        <v>7</v>
      </c>
      <c r="I576" s="4060" t="s">
        <v>315</v>
      </c>
      <c r="J576" s="2466">
        <v>0</v>
      </c>
      <c r="K576" s="4665">
        <v>94411077</v>
      </c>
      <c r="L576" s="2491">
        <v>45850047</v>
      </c>
      <c r="M576" s="4666">
        <f t="shared" si="93"/>
        <v>140261124</v>
      </c>
      <c r="N576" s="2466">
        <v>0</v>
      </c>
      <c r="O576" s="4716">
        <f t="shared" si="94"/>
        <v>0</v>
      </c>
      <c r="P576" s="4061">
        <v>0</v>
      </c>
      <c r="Q576" s="4839"/>
    </row>
    <row r="577" spans="1:17" s="2070" customFormat="1">
      <c r="A577" s="4693"/>
      <c r="B577" s="4693"/>
      <c r="C577" s="4693"/>
      <c r="D577" s="4693"/>
      <c r="E577" s="4693"/>
      <c r="F577" s="4049"/>
      <c r="G577" s="4067"/>
      <c r="H577" s="4193">
        <v>8</v>
      </c>
      <c r="I577" s="4060" t="s">
        <v>316</v>
      </c>
      <c r="J577" s="2466">
        <v>0</v>
      </c>
      <c r="K577" s="4665">
        <v>310303928</v>
      </c>
      <c r="L577" s="4667">
        <v>180694105</v>
      </c>
      <c r="M577" s="4668">
        <f t="shared" si="93"/>
        <v>490998033</v>
      </c>
      <c r="N577" s="2466">
        <v>0</v>
      </c>
      <c r="O577" s="4716">
        <f t="shared" si="94"/>
        <v>0</v>
      </c>
      <c r="P577" s="4061">
        <v>0</v>
      </c>
      <c r="Q577" s="4839"/>
    </row>
    <row r="578" spans="1:17" s="2070" customFormat="1">
      <c r="A578" s="4693"/>
      <c r="B578" s="4693"/>
      <c r="C578" s="4693"/>
      <c r="D578" s="4693"/>
      <c r="E578" s="4693"/>
      <c r="F578" s="4049"/>
      <c r="G578" s="4067"/>
      <c r="H578" s="4193">
        <v>9</v>
      </c>
      <c r="I578" s="4060" t="s">
        <v>317</v>
      </c>
      <c r="J578" s="2466">
        <v>0</v>
      </c>
      <c r="K578" s="4665">
        <v>107538725</v>
      </c>
      <c r="L578" s="2491">
        <v>242828712</v>
      </c>
      <c r="M578" s="4666">
        <f t="shared" si="93"/>
        <v>350367437</v>
      </c>
      <c r="N578" s="2466">
        <v>0</v>
      </c>
      <c r="O578" s="4716">
        <f t="shared" si="94"/>
        <v>0</v>
      </c>
      <c r="P578" s="4061">
        <v>0</v>
      </c>
      <c r="Q578" s="4839"/>
    </row>
    <row r="579" spans="1:17" s="2070" customFormat="1">
      <c r="A579" s="4048"/>
      <c r="B579" s="4048"/>
      <c r="C579" s="4048"/>
      <c r="D579" s="4048"/>
      <c r="E579" s="4048"/>
      <c r="F579" s="4049"/>
      <c r="G579" s="4067"/>
      <c r="H579" s="4193">
        <v>10</v>
      </c>
      <c r="I579" s="4060" t="s">
        <v>318</v>
      </c>
      <c r="J579" s="2466">
        <v>0</v>
      </c>
      <c r="K579" s="4665">
        <v>104904400</v>
      </c>
      <c r="L579" s="2491">
        <v>50857200</v>
      </c>
      <c r="M579" s="4666">
        <f t="shared" si="93"/>
        <v>155761600</v>
      </c>
      <c r="N579" s="2466">
        <v>0</v>
      </c>
      <c r="O579" s="4716">
        <f t="shared" si="94"/>
        <v>0</v>
      </c>
      <c r="P579" s="4061">
        <v>0</v>
      </c>
      <c r="Q579" s="4839"/>
    </row>
    <row r="580" spans="1:17" s="2070" customFormat="1" ht="7.55" customHeight="1">
      <c r="A580" s="4048"/>
      <c r="B580" s="4048"/>
      <c r="C580" s="4048"/>
      <c r="D580" s="4048"/>
      <c r="E580" s="4048"/>
      <c r="F580" s="4049"/>
      <c r="G580" s="4067"/>
      <c r="H580" s="4193"/>
      <c r="I580" s="4060"/>
      <c r="J580" s="4669"/>
      <c r="K580" s="4665">
        <v>0</v>
      </c>
      <c r="L580" s="4669"/>
      <c r="M580" s="4666">
        <f t="shared" si="93"/>
        <v>0</v>
      </c>
      <c r="N580" s="4669"/>
      <c r="O580" s="4716">
        <f t="shared" si="94"/>
        <v>0</v>
      </c>
      <c r="P580" s="4061">
        <f>O580-K580</f>
        <v>0</v>
      </c>
      <c r="Q580" s="4839"/>
    </row>
    <row r="581" spans="1:17" s="2070" customFormat="1">
      <c r="A581" s="4079">
        <v>4</v>
      </c>
      <c r="B581" s="4079">
        <v>1</v>
      </c>
      <c r="C581" s="4079" t="s">
        <v>443</v>
      </c>
      <c r="D581" s="4079" t="s">
        <v>456</v>
      </c>
      <c r="E581" s="4079" t="s">
        <v>438</v>
      </c>
      <c r="F581" s="4049"/>
      <c r="G581" s="4067" t="s">
        <v>308</v>
      </c>
      <c r="H581" s="4068" t="s">
        <v>319</v>
      </c>
      <c r="I581" s="4068"/>
      <c r="J581" s="4819">
        <f>J582</f>
        <v>100000000</v>
      </c>
      <c r="K581" s="4817">
        <v>121944953</v>
      </c>
      <c r="L581" s="4819">
        <f>SUM(L582:L591)</f>
        <v>73407755</v>
      </c>
      <c r="M581" s="4818">
        <f t="shared" si="93"/>
        <v>195352708</v>
      </c>
      <c r="N581" s="4819">
        <f>N582</f>
        <v>350000000</v>
      </c>
      <c r="O581" s="4716">
        <f t="shared" si="94"/>
        <v>250000000</v>
      </c>
      <c r="P581" s="4061">
        <v>0</v>
      </c>
      <c r="Q581" s="4839"/>
    </row>
    <row r="582" spans="1:17" s="2070" customFormat="1">
      <c r="A582" s="4048"/>
      <c r="B582" s="4048"/>
      <c r="C582" s="4048"/>
      <c r="D582" s="4048"/>
      <c r="E582" s="4048"/>
      <c r="F582" s="4049"/>
      <c r="G582" s="4067"/>
      <c r="H582" s="4193">
        <v>1</v>
      </c>
      <c r="I582" s="4060" t="s">
        <v>310</v>
      </c>
      <c r="J582" s="2466">
        <v>100000000</v>
      </c>
      <c r="K582" s="4665">
        <v>51221268</v>
      </c>
      <c r="L582" s="4667">
        <v>9587463</v>
      </c>
      <c r="M582" s="4668">
        <f t="shared" si="93"/>
        <v>60808731</v>
      </c>
      <c r="N582" s="2466">
        <v>350000000</v>
      </c>
      <c r="O582" s="4716">
        <f t="shared" si="94"/>
        <v>250000000</v>
      </c>
      <c r="P582" s="4061">
        <v>0</v>
      </c>
      <c r="Q582" s="4839"/>
    </row>
    <row r="583" spans="1:17" s="2070" customFormat="1">
      <c r="A583" s="4048"/>
      <c r="B583" s="4048"/>
      <c r="C583" s="4048"/>
      <c r="D583" s="4048"/>
      <c r="E583" s="4048"/>
      <c r="F583" s="4049"/>
      <c r="G583" s="4067"/>
      <c r="H583" s="4193">
        <v>2</v>
      </c>
      <c r="I583" s="4060" t="s">
        <v>311</v>
      </c>
      <c r="J583" s="2466">
        <v>0</v>
      </c>
      <c r="K583" s="4665">
        <v>14910125</v>
      </c>
      <c r="L583" s="2491">
        <v>23481425</v>
      </c>
      <c r="M583" s="4666">
        <f t="shared" si="93"/>
        <v>38391550</v>
      </c>
      <c r="N583" s="2466">
        <v>0</v>
      </c>
      <c r="O583" s="4716">
        <f t="shared" si="94"/>
        <v>0</v>
      </c>
      <c r="P583" s="4061">
        <v>0</v>
      </c>
      <c r="Q583" s="4839"/>
    </row>
    <row r="584" spans="1:17" s="2070" customFormat="1">
      <c r="A584" s="4048"/>
      <c r="B584" s="4048"/>
      <c r="C584" s="4048"/>
      <c r="D584" s="4048"/>
      <c r="E584" s="4048"/>
      <c r="F584" s="4049"/>
      <c r="G584" s="4067"/>
      <c r="H584" s="4193">
        <v>3</v>
      </c>
      <c r="I584" s="4060" t="s">
        <v>312</v>
      </c>
      <c r="J584" s="2466">
        <v>0</v>
      </c>
      <c r="K584" s="4665">
        <v>11853570</v>
      </c>
      <c r="L584" s="2491">
        <v>8988200</v>
      </c>
      <c r="M584" s="4666">
        <f t="shared" si="93"/>
        <v>20841770</v>
      </c>
      <c r="N584" s="2466">
        <v>0</v>
      </c>
      <c r="O584" s="4716">
        <f t="shared" si="94"/>
        <v>0</v>
      </c>
      <c r="P584" s="4061">
        <v>0</v>
      </c>
      <c r="Q584" s="4839"/>
    </row>
    <row r="585" spans="1:17" s="2070" customFormat="1">
      <c r="A585" s="4048"/>
      <c r="B585" s="4048"/>
      <c r="C585" s="4048"/>
      <c r="D585" s="4048"/>
      <c r="E585" s="4048"/>
      <c r="F585" s="4049"/>
      <c r="G585" s="4067"/>
      <c r="H585" s="4193">
        <v>4</v>
      </c>
      <c r="I585" s="4060" t="s">
        <v>313</v>
      </c>
      <c r="J585" s="2466">
        <v>0</v>
      </c>
      <c r="K585" s="4665">
        <v>8483975</v>
      </c>
      <c r="L585" s="4667">
        <v>4618600</v>
      </c>
      <c r="M585" s="4668">
        <f t="shared" si="93"/>
        <v>13102575</v>
      </c>
      <c r="N585" s="2466">
        <v>0</v>
      </c>
      <c r="O585" s="4716">
        <f t="shared" si="94"/>
        <v>0</v>
      </c>
      <c r="P585" s="4061">
        <v>0</v>
      </c>
      <c r="Q585" s="4839"/>
    </row>
    <row r="586" spans="1:17" s="2070" customFormat="1">
      <c r="A586" s="4048"/>
      <c r="B586" s="4048"/>
      <c r="C586" s="4048"/>
      <c r="D586" s="4048"/>
      <c r="E586" s="4048"/>
      <c r="F586" s="4049"/>
      <c r="G586" s="4067"/>
      <c r="H586" s="4193">
        <v>5</v>
      </c>
      <c r="I586" s="4060" t="s">
        <v>465</v>
      </c>
      <c r="J586" s="2466">
        <v>0</v>
      </c>
      <c r="K586" s="4665">
        <v>10865555</v>
      </c>
      <c r="L586" s="2491">
        <v>3584900</v>
      </c>
      <c r="M586" s="4666">
        <f t="shared" si="93"/>
        <v>14450455</v>
      </c>
      <c r="N586" s="2466">
        <v>0</v>
      </c>
      <c r="O586" s="4716">
        <f t="shared" si="94"/>
        <v>0</v>
      </c>
      <c r="P586" s="4061">
        <v>0</v>
      </c>
      <c r="Q586" s="4839"/>
    </row>
    <row r="587" spans="1:17" s="2070" customFormat="1">
      <c r="A587" s="4048"/>
      <c r="B587" s="4048"/>
      <c r="C587" s="4048"/>
      <c r="D587" s="4048"/>
      <c r="E587" s="4048"/>
      <c r="F587" s="4049"/>
      <c r="G587" s="4067"/>
      <c r="H587" s="4193">
        <v>6</v>
      </c>
      <c r="I587" s="4060" t="s">
        <v>466</v>
      </c>
      <c r="J587" s="2466"/>
      <c r="K587" s="4665">
        <v>3475300</v>
      </c>
      <c r="L587" s="2491">
        <v>7300390</v>
      </c>
      <c r="M587" s="4666">
        <f t="shared" si="93"/>
        <v>10775690</v>
      </c>
      <c r="N587" s="2466"/>
      <c r="O587" s="4716">
        <f t="shared" si="94"/>
        <v>0</v>
      </c>
      <c r="P587" s="4061"/>
      <c r="Q587" s="4839"/>
    </row>
    <row r="588" spans="1:17" s="2070" customFormat="1">
      <c r="A588" s="4048"/>
      <c r="B588" s="4048"/>
      <c r="C588" s="4048"/>
      <c r="D588" s="4048"/>
      <c r="E588" s="4048"/>
      <c r="F588" s="4049"/>
      <c r="G588" s="4067"/>
      <c r="H588" s="4193">
        <v>7</v>
      </c>
      <c r="I588" s="4060" t="s">
        <v>315</v>
      </c>
      <c r="J588" s="2466">
        <v>0</v>
      </c>
      <c r="K588" s="4665">
        <v>4177145</v>
      </c>
      <c r="L588" s="2491">
        <v>2170250</v>
      </c>
      <c r="M588" s="4666">
        <f t="shared" si="93"/>
        <v>6347395</v>
      </c>
      <c r="N588" s="2466">
        <v>0</v>
      </c>
      <c r="O588" s="4716">
        <f t="shared" si="94"/>
        <v>0</v>
      </c>
      <c r="P588" s="4061">
        <v>0</v>
      </c>
      <c r="Q588" s="4839"/>
    </row>
    <row r="589" spans="1:17" s="2070" customFormat="1">
      <c r="A589" s="4048"/>
      <c r="B589" s="4048"/>
      <c r="C589" s="4048"/>
      <c r="D589" s="4048"/>
      <c r="E589" s="4048"/>
      <c r="F589" s="4049"/>
      <c r="G589" s="4067"/>
      <c r="H589" s="4193">
        <v>8</v>
      </c>
      <c r="I589" s="4060" t="s">
        <v>316</v>
      </c>
      <c r="J589" s="2466">
        <v>0</v>
      </c>
      <c r="K589" s="4665">
        <v>12073539</v>
      </c>
      <c r="L589" s="4667">
        <v>9903007</v>
      </c>
      <c r="M589" s="4668">
        <f t="shared" si="93"/>
        <v>21976546</v>
      </c>
      <c r="N589" s="2466">
        <v>0</v>
      </c>
      <c r="O589" s="4716">
        <f t="shared" si="94"/>
        <v>0</v>
      </c>
      <c r="P589" s="4061">
        <v>0</v>
      </c>
      <c r="Q589" s="4839"/>
    </row>
    <row r="590" spans="1:17" s="2070" customFormat="1">
      <c r="A590" s="4048"/>
      <c r="B590" s="4048"/>
      <c r="C590" s="4048"/>
      <c r="D590" s="4048"/>
      <c r="E590" s="4048"/>
      <c r="F590" s="4049"/>
      <c r="G590" s="4067"/>
      <c r="H590" s="4193">
        <v>9</v>
      </c>
      <c r="I590" s="4060" t="s">
        <v>317</v>
      </c>
      <c r="J590" s="2466">
        <v>0</v>
      </c>
      <c r="K590" s="4665">
        <v>2760945</v>
      </c>
      <c r="L590" s="2491">
        <v>2402495</v>
      </c>
      <c r="M590" s="4666">
        <f t="shared" si="93"/>
        <v>5163440</v>
      </c>
      <c r="N590" s="2466">
        <v>0</v>
      </c>
      <c r="O590" s="4716">
        <f t="shared" si="94"/>
        <v>0</v>
      </c>
      <c r="P590" s="4061">
        <v>0</v>
      </c>
      <c r="Q590" s="4839"/>
    </row>
    <row r="591" spans="1:17" s="2070" customFormat="1">
      <c r="A591" s="4048"/>
      <c r="B591" s="4048"/>
      <c r="C591" s="4048"/>
      <c r="D591" s="4048"/>
      <c r="E591" s="4048"/>
      <c r="F591" s="4049"/>
      <c r="G591" s="4067"/>
      <c r="H591" s="4193">
        <v>10</v>
      </c>
      <c r="I591" s="4060" t="s">
        <v>318</v>
      </c>
      <c r="J591" s="2466">
        <v>0</v>
      </c>
      <c r="K591" s="4665">
        <v>2123531</v>
      </c>
      <c r="L591" s="2491">
        <v>1371025</v>
      </c>
      <c r="M591" s="4666">
        <f t="shared" si="93"/>
        <v>3494556</v>
      </c>
      <c r="N591" s="2466">
        <v>0</v>
      </c>
      <c r="O591" s="4716">
        <f t="shared" si="94"/>
        <v>0</v>
      </c>
      <c r="P591" s="4061">
        <v>0</v>
      </c>
      <c r="Q591" s="4839"/>
    </row>
    <row r="592" spans="1:17" s="2070" customFormat="1" ht="4.55" customHeight="1">
      <c r="A592" s="4048"/>
      <c r="B592" s="4048"/>
      <c r="C592" s="4048"/>
      <c r="D592" s="4048"/>
      <c r="E592" s="4048"/>
      <c r="F592" s="4049"/>
      <c r="G592" s="4067"/>
      <c r="H592" s="4193"/>
      <c r="I592" s="4226"/>
      <c r="J592" s="4669"/>
      <c r="K592" s="4665">
        <v>0</v>
      </c>
      <c r="L592" s="4669"/>
      <c r="M592" s="4666">
        <f t="shared" si="93"/>
        <v>0</v>
      </c>
      <c r="N592" s="4669"/>
      <c r="O592" s="4716">
        <f t="shared" si="94"/>
        <v>0</v>
      </c>
      <c r="P592" s="4061">
        <f>O592-K592</f>
        <v>0</v>
      </c>
      <c r="Q592" s="4839"/>
    </row>
    <row r="593" spans="1:17" s="2070" customFormat="1">
      <c r="A593" s="4079">
        <v>4</v>
      </c>
      <c r="B593" s="4079">
        <v>1</v>
      </c>
      <c r="C593" s="4079" t="s">
        <v>443</v>
      </c>
      <c r="D593" s="4079" t="s">
        <v>444</v>
      </c>
      <c r="E593" s="4048"/>
      <c r="F593" s="4049"/>
      <c r="G593" s="4067" t="s">
        <v>308</v>
      </c>
      <c r="H593" s="4068" t="s">
        <v>222</v>
      </c>
      <c r="I593" s="4068"/>
      <c r="J593" s="4670">
        <v>0</v>
      </c>
      <c r="K593" s="4665">
        <v>0</v>
      </c>
      <c r="L593" s="4670">
        <f>SUM(L594:L596)</f>
        <v>0</v>
      </c>
      <c r="M593" s="4666">
        <f t="shared" si="93"/>
        <v>0</v>
      </c>
      <c r="N593" s="4670">
        <v>0</v>
      </c>
      <c r="O593" s="4716">
        <f t="shared" si="94"/>
        <v>0</v>
      </c>
      <c r="P593" s="4061">
        <v>0</v>
      </c>
      <c r="Q593" s="4839"/>
    </row>
    <row r="594" spans="1:17" s="2070" customFormat="1">
      <c r="A594" s="4074">
        <v>4</v>
      </c>
      <c r="B594" s="4074">
        <v>1</v>
      </c>
      <c r="C594" s="4074" t="s">
        <v>443</v>
      </c>
      <c r="D594" s="4074" t="s">
        <v>444</v>
      </c>
      <c r="E594" s="4074" t="s">
        <v>440</v>
      </c>
      <c r="F594" s="4049"/>
      <c r="G594" s="4059"/>
      <c r="H594" s="4227" t="s">
        <v>50</v>
      </c>
      <c r="I594" s="4060" t="s">
        <v>73</v>
      </c>
      <c r="J594" s="2466">
        <v>0</v>
      </c>
      <c r="K594" s="4665">
        <v>0</v>
      </c>
      <c r="L594" s="2491">
        <f>'[2]ALL BULAN'!E546</f>
        <v>0</v>
      </c>
      <c r="M594" s="4666">
        <f t="shared" si="93"/>
        <v>0</v>
      </c>
      <c r="N594" s="2466">
        <v>0</v>
      </c>
      <c r="O594" s="4716">
        <f t="shared" si="94"/>
        <v>0</v>
      </c>
      <c r="P594" s="4061">
        <v>0</v>
      </c>
      <c r="Q594" s="4839"/>
    </row>
    <row r="595" spans="1:17" s="2070" customFormat="1">
      <c r="A595" s="4069">
        <v>4</v>
      </c>
      <c r="B595" s="4069">
        <v>1</v>
      </c>
      <c r="C595" s="4069" t="s">
        <v>443</v>
      </c>
      <c r="D595" s="4069" t="s">
        <v>444</v>
      </c>
      <c r="E595" s="4070" t="s">
        <v>445</v>
      </c>
      <c r="F595" s="4049"/>
      <c r="G595" s="4059"/>
      <c r="H595" s="4227" t="s">
        <v>50</v>
      </c>
      <c r="I595" s="4060" t="s">
        <v>74</v>
      </c>
      <c r="J595" s="2466">
        <v>0</v>
      </c>
      <c r="K595" s="4665">
        <v>0</v>
      </c>
      <c r="L595" s="2491">
        <f>'[2]ALL BULAN'!E547</f>
        <v>0</v>
      </c>
      <c r="M595" s="4666">
        <f t="shared" si="93"/>
        <v>0</v>
      </c>
      <c r="N595" s="2466">
        <v>0</v>
      </c>
      <c r="O595" s="4716">
        <f t="shared" si="94"/>
        <v>0</v>
      </c>
      <c r="P595" s="4061">
        <v>0</v>
      </c>
      <c r="Q595" s="4839"/>
    </row>
    <row r="596" spans="1:17" s="2070" customFormat="1">
      <c r="A596" s="4101">
        <v>4</v>
      </c>
      <c r="B596" s="4101">
        <v>1</v>
      </c>
      <c r="C596" s="4101" t="s">
        <v>443</v>
      </c>
      <c r="D596" s="4101" t="s">
        <v>444</v>
      </c>
      <c r="E596" s="4101" t="s">
        <v>441</v>
      </c>
      <c r="F596" s="4049"/>
      <c r="G596" s="4059"/>
      <c r="H596" s="4060" t="s">
        <v>308</v>
      </c>
      <c r="I596" s="4060" t="s">
        <v>75</v>
      </c>
      <c r="J596" s="4669">
        <v>0</v>
      </c>
      <c r="K596" s="4665">
        <v>0</v>
      </c>
      <c r="L596" s="4669">
        <f>SUM(L597:L607)</f>
        <v>0</v>
      </c>
      <c r="M596" s="4666">
        <f t="shared" si="93"/>
        <v>0</v>
      </c>
      <c r="N596" s="4669">
        <v>0</v>
      </c>
      <c r="O596" s="4716">
        <f t="shared" si="94"/>
        <v>0</v>
      </c>
      <c r="P596" s="4061">
        <v>0</v>
      </c>
      <c r="Q596" s="4839"/>
    </row>
    <row r="597" spans="1:17" s="2070" customFormat="1">
      <c r="A597" s="4048"/>
      <c r="B597" s="4048"/>
      <c r="C597" s="4048"/>
      <c r="D597" s="4048"/>
      <c r="E597" s="4048"/>
      <c r="F597" s="4049"/>
      <c r="G597" s="4059"/>
      <c r="H597" s="4193">
        <v>1</v>
      </c>
      <c r="I597" s="4060" t="s">
        <v>320</v>
      </c>
      <c r="J597" s="2466">
        <v>0</v>
      </c>
      <c r="K597" s="4665">
        <v>0</v>
      </c>
      <c r="L597" s="2491">
        <f>'[2]ALL BULAN'!E549</f>
        <v>0</v>
      </c>
      <c r="M597" s="4666">
        <f t="shared" si="93"/>
        <v>0</v>
      </c>
      <c r="N597" s="2466">
        <v>0</v>
      </c>
      <c r="O597" s="4716">
        <f t="shared" si="94"/>
        <v>0</v>
      </c>
      <c r="P597" s="4061">
        <v>0</v>
      </c>
      <c r="Q597" s="4839"/>
    </row>
    <row r="598" spans="1:17" s="2070" customFormat="1">
      <c r="A598" s="4048"/>
      <c r="B598" s="4048"/>
      <c r="C598" s="4048"/>
      <c r="D598" s="4048"/>
      <c r="E598" s="4048"/>
      <c r="F598" s="4049"/>
      <c r="G598" s="4059"/>
      <c r="H598" s="4193">
        <v>2</v>
      </c>
      <c r="I598" s="4060" t="s">
        <v>310</v>
      </c>
      <c r="J598" s="2466">
        <v>0</v>
      </c>
      <c r="K598" s="4665">
        <v>0</v>
      </c>
      <c r="L598" s="2491">
        <f>'[2]ALL BULAN'!E550</f>
        <v>0</v>
      </c>
      <c r="M598" s="4666">
        <f t="shared" si="93"/>
        <v>0</v>
      </c>
      <c r="N598" s="2466">
        <v>0</v>
      </c>
      <c r="O598" s="4716">
        <f t="shared" si="94"/>
        <v>0</v>
      </c>
      <c r="P598" s="4061">
        <v>0</v>
      </c>
      <c r="Q598" s="4839"/>
    </row>
    <row r="599" spans="1:17" s="2070" customFormat="1">
      <c r="A599" s="4048"/>
      <c r="B599" s="4048"/>
      <c r="C599" s="4048"/>
      <c r="D599" s="4048"/>
      <c r="E599" s="4048"/>
      <c r="F599" s="4049"/>
      <c r="G599" s="4059"/>
      <c r="H599" s="4193">
        <v>3</v>
      </c>
      <c r="I599" s="4060" t="s">
        <v>311</v>
      </c>
      <c r="J599" s="2466">
        <v>0</v>
      </c>
      <c r="K599" s="4665">
        <v>0</v>
      </c>
      <c r="L599" s="2491">
        <f>'[2]ALL BULAN'!E551</f>
        <v>0</v>
      </c>
      <c r="M599" s="4666">
        <f t="shared" si="93"/>
        <v>0</v>
      </c>
      <c r="N599" s="2466">
        <v>0</v>
      </c>
      <c r="O599" s="4716">
        <f t="shared" si="94"/>
        <v>0</v>
      </c>
      <c r="P599" s="4061">
        <v>0</v>
      </c>
      <c r="Q599" s="4839"/>
    </row>
    <row r="600" spans="1:17" s="2070" customFormat="1">
      <c r="A600" s="4048"/>
      <c r="B600" s="4048"/>
      <c r="C600" s="4048"/>
      <c r="D600" s="4048"/>
      <c r="E600" s="4048"/>
      <c r="F600" s="4049"/>
      <c r="G600" s="4059"/>
      <c r="H600" s="4193">
        <v>4</v>
      </c>
      <c r="I600" s="4060" t="s">
        <v>312</v>
      </c>
      <c r="J600" s="2466">
        <v>0</v>
      </c>
      <c r="K600" s="4665">
        <v>0</v>
      </c>
      <c r="L600" s="2491">
        <f>'[2]ALL BULAN'!E552</f>
        <v>0</v>
      </c>
      <c r="M600" s="4666">
        <f t="shared" ref="M600:M625" si="95">SUM(K600:L600)</f>
        <v>0</v>
      </c>
      <c r="N600" s="2466">
        <v>0</v>
      </c>
      <c r="O600" s="4716">
        <f t="shared" si="94"/>
        <v>0</v>
      </c>
      <c r="P600" s="4061">
        <v>0</v>
      </c>
      <c r="Q600" s="4839"/>
    </row>
    <row r="601" spans="1:17" s="2070" customFormat="1">
      <c r="A601" s="4048"/>
      <c r="B601" s="4048"/>
      <c r="C601" s="4048"/>
      <c r="D601" s="4048"/>
      <c r="E601" s="4048"/>
      <c r="F601" s="4049"/>
      <c r="G601" s="4059"/>
      <c r="H601" s="4193">
        <v>5</v>
      </c>
      <c r="I601" s="4060" t="s">
        <v>313</v>
      </c>
      <c r="J601" s="2466">
        <v>0</v>
      </c>
      <c r="K601" s="4665">
        <v>0</v>
      </c>
      <c r="L601" s="2491">
        <f>'[2]ALL BULAN'!E553</f>
        <v>0</v>
      </c>
      <c r="M601" s="4666">
        <f t="shared" si="95"/>
        <v>0</v>
      </c>
      <c r="N601" s="2466">
        <v>0</v>
      </c>
      <c r="O601" s="4716">
        <f t="shared" si="94"/>
        <v>0</v>
      </c>
      <c r="P601" s="4061">
        <v>0</v>
      </c>
      <c r="Q601" s="4839"/>
    </row>
    <row r="602" spans="1:17" s="2070" customFormat="1">
      <c r="A602" s="4048"/>
      <c r="B602" s="4048"/>
      <c r="C602" s="4048"/>
      <c r="D602" s="4048"/>
      <c r="E602" s="4048"/>
      <c r="F602" s="4049"/>
      <c r="G602" s="4059"/>
      <c r="H602" s="4193">
        <v>6</v>
      </c>
      <c r="I602" s="4060" t="s">
        <v>465</v>
      </c>
      <c r="J602" s="2466">
        <v>0</v>
      </c>
      <c r="K602" s="4665">
        <v>0</v>
      </c>
      <c r="L602" s="2491">
        <f>'[2]ALL BULAN'!E554</f>
        <v>0</v>
      </c>
      <c r="M602" s="4666">
        <f t="shared" si="95"/>
        <v>0</v>
      </c>
      <c r="N602" s="2466">
        <v>0</v>
      </c>
      <c r="O602" s="4716">
        <f t="shared" si="94"/>
        <v>0</v>
      </c>
      <c r="P602" s="4061">
        <v>0</v>
      </c>
      <c r="Q602" s="4839"/>
    </row>
    <row r="603" spans="1:17" s="2070" customFormat="1">
      <c r="A603" s="4048"/>
      <c r="B603" s="4048"/>
      <c r="C603" s="4048"/>
      <c r="D603" s="4048"/>
      <c r="E603" s="4048"/>
      <c r="F603" s="4049"/>
      <c r="G603" s="4059"/>
      <c r="H603" s="4193">
        <v>7</v>
      </c>
      <c r="I603" s="4060" t="s">
        <v>466</v>
      </c>
      <c r="J603" s="2466"/>
      <c r="K603" s="4665"/>
      <c r="L603" s="2491"/>
      <c r="M603" s="4666"/>
      <c r="N603" s="2466"/>
      <c r="O603" s="4716">
        <f t="shared" si="94"/>
        <v>0</v>
      </c>
      <c r="P603" s="4061"/>
      <c r="Q603" s="4839"/>
    </row>
    <row r="604" spans="1:17" s="2070" customFormat="1">
      <c r="A604" s="4048"/>
      <c r="B604" s="4048"/>
      <c r="C604" s="4048"/>
      <c r="D604" s="4048"/>
      <c r="E604" s="4048"/>
      <c r="F604" s="4049"/>
      <c r="G604" s="4067"/>
      <c r="H604" s="4193">
        <v>8</v>
      </c>
      <c r="I604" s="4060" t="s">
        <v>315</v>
      </c>
      <c r="J604" s="2466">
        <v>0</v>
      </c>
      <c r="K604" s="4665">
        <v>0</v>
      </c>
      <c r="L604" s="2491">
        <f>'[2]ALL BULAN'!E555</f>
        <v>0</v>
      </c>
      <c r="M604" s="4666">
        <f t="shared" si="95"/>
        <v>0</v>
      </c>
      <c r="N604" s="2466">
        <v>0</v>
      </c>
      <c r="O604" s="4716">
        <f t="shared" si="94"/>
        <v>0</v>
      </c>
      <c r="P604" s="4061">
        <v>0</v>
      </c>
      <c r="Q604" s="4839"/>
    </row>
    <row r="605" spans="1:17" s="2070" customFormat="1">
      <c r="A605" s="4048"/>
      <c r="B605" s="4048"/>
      <c r="C605" s="4048"/>
      <c r="D605" s="4048"/>
      <c r="E605" s="4048"/>
      <c r="F605" s="4049"/>
      <c r="G605" s="4067"/>
      <c r="H605" s="4193">
        <v>9</v>
      </c>
      <c r="I605" s="4060" t="s">
        <v>316</v>
      </c>
      <c r="J605" s="2466">
        <v>0</v>
      </c>
      <c r="K605" s="4665">
        <v>0</v>
      </c>
      <c r="L605" s="2491">
        <f>'[2]ALL BULAN'!E556</f>
        <v>0</v>
      </c>
      <c r="M605" s="4666">
        <f t="shared" si="95"/>
        <v>0</v>
      </c>
      <c r="N605" s="2466">
        <v>0</v>
      </c>
      <c r="O605" s="4716">
        <f t="shared" si="94"/>
        <v>0</v>
      </c>
      <c r="P605" s="4061">
        <v>0</v>
      </c>
      <c r="Q605" s="4839"/>
    </row>
    <row r="606" spans="1:17" s="2070" customFormat="1">
      <c r="A606" s="4048"/>
      <c r="B606" s="4048"/>
      <c r="C606" s="4048"/>
      <c r="D606" s="4048"/>
      <c r="E606" s="4048"/>
      <c r="F606" s="4049"/>
      <c r="G606" s="4067"/>
      <c r="H606" s="4193">
        <v>10</v>
      </c>
      <c r="I606" s="4060" t="s">
        <v>317</v>
      </c>
      <c r="J606" s="2466">
        <v>0</v>
      </c>
      <c r="K606" s="4665">
        <v>0</v>
      </c>
      <c r="L606" s="2491">
        <f>'[2]ALL BULAN'!E557</f>
        <v>0</v>
      </c>
      <c r="M606" s="4666">
        <f t="shared" si="95"/>
        <v>0</v>
      </c>
      <c r="N606" s="2466">
        <v>0</v>
      </c>
      <c r="O606" s="4716">
        <f t="shared" si="94"/>
        <v>0</v>
      </c>
      <c r="P606" s="4061">
        <v>0</v>
      </c>
      <c r="Q606" s="4839"/>
    </row>
    <row r="607" spans="1:17" s="2070" customFormat="1">
      <c r="A607" s="4048"/>
      <c r="B607" s="4048"/>
      <c r="C607" s="4048"/>
      <c r="D607" s="4048"/>
      <c r="E607" s="4048"/>
      <c r="F607" s="4049"/>
      <c r="G607" s="4067"/>
      <c r="H607" s="4193">
        <v>11</v>
      </c>
      <c r="I607" s="4060" t="s">
        <v>318</v>
      </c>
      <c r="J607" s="2466">
        <v>0</v>
      </c>
      <c r="K607" s="4665">
        <v>0</v>
      </c>
      <c r="L607" s="2491">
        <f>'[2]ALL BULAN'!E558</f>
        <v>0</v>
      </c>
      <c r="M607" s="4666">
        <f t="shared" si="95"/>
        <v>0</v>
      </c>
      <c r="N607" s="2466">
        <v>0</v>
      </c>
      <c r="O607" s="4716">
        <f t="shared" si="94"/>
        <v>0</v>
      </c>
      <c r="P607" s="4061">
        <v>0</v>
      </c>
      <c r="Q607" s="4839"/>
    </row>
    <row r="608" spans="1:17" s="2070" customFormat="1" ht="5.35" customHeight="1">
      <c r="A608" s="4048"/>
      <c r="B608" s="4048"/>
      <c r="C608" s="4048"/>
      <c r="D608" s="4048"/>
      <c r="E608" s="4048"/>
      <c r="F608" s="4049"/>
      <c r="G608" s="4067"/>
      <c r="H608" s="4193"/>
      <c r="I608" s="4060"/>
      <c r="J608" s="4671"/>
      <c r="K608" s="4665">
        <v>0</v>
      </c>
      <c r="L608" s="4671"/>
      <c r="M608" s="4666">
        <f t="shared" si="95"/>
        <v>0</v>
      </c>
      <c r="N608" s="4671"/>
      <c r="O608" s="4716">
        <f t="shared" si="94"/>
        <v>0</v>
      </c>
      <c r="P608" s="4061">
        <f>O608-K608</f>
        <v>0</v>
      </c>
      <c r="Q608" s="4839"/>
    </row>
    <row r="609" spans="1:17" s="2070" customFormat="1">
      <c r="A609" s="4048"/>
      <c r="B609" s="4048"/>
      <c r="C609" s="4048"/>
      <c r="D609" s="4048"/>
      <c r="E609" s="4048"/>
      <c r="F609" s="4049"/>
      <c r="G609" s="4067" t="s">
        <v>308</v>
      </c>
      <c r="H609" s="4068" t="s">
        <v>321</v>
      </c>
      <c r="I609" s="4060"/>
      <c r="J609" s="4546">
        <v>0</v>
      </c>
      <c r="K609" s="2159">
        <v>275500000</v>
      </c>
      <c r="L609" s="4585">
        <v>137750000</v>
      </c>
      <c r="M609" s="4253">
        <f t="shared" si="95"/>
        <v>413250000</v>
      </c>
      <c r="N609" s="4546">
        <v>0</v>
      </c>
      <c r="O609" s="4716">
        <f t="shared" si="94"/>
        <v>0</v>
      </c>
      <c r="P609" s="4061">
        <v>0</v>
      </c>
      <c r="Q609" s="4839"/>
    </row>
    <row r="610" spans="1:17" s="2070" customFormat="1" ht="4.55" customHeight="1">
      <c r="A610" s="4048"/>
      <c r="B610" s="4048"/>
      <c r="C610" s="4048"/>
      <c r="D610" s="4048"/>
      <c r="E610" s="4048"/>
      <c r="F610" s="4049"/>
      <c r="G610" s="4067"/>
      <c r="H610" s="4068"/>
      <c r="I610" s="4060"/>
      <c r="J610" s="4546"/>
      <c r="K610" s="2159">
        <v>0</v>
      </c>
      <c r="L610" s="4546"/>
      <c r="M610" s="4253">
        <f t="shared" si="95"/>
        <v>0</v>
      </c>
      <c r="N610" s="4546"/>
      <c r="O610" s="4716">
        <f t="shared" si="94"/>
        <v>0</v>
      </c>
      <c r="P610" s="4061">
        <f>O610-K610</f>
        <v>0</v>
      </c>
      <c r="Q610" s="4839"/>
    </row>
    <row r="611" spans="1:17" s="2070" customFormat="1">
      <c r="A611" s="4048"/>
      <c r="B611" s="4048"/>
      <c r="C611" s="4048"/>
      <c r="D611" s="4048"/>
      <c r="E611" s="4048"/>
      <c r="F611" s="4049"/>
      <c r="G611" s="4067" t="s">
        <v>308</v>
      </c>
      <c r="H611" s="4068" t="s">
        <v>322</v>
      </c>
      <c r="I611" s="4060"/>
      <c r="J611" s="1964">
        <v>0</v>
      </c>
      <c r="K611" s="2159">
        <v>0</v>
      </c>
      <c r="L611" s="2160">
        <f>'[2]ALL BULAN'!E562</f>
        <v>0</v>
      </c>
      <c r="M611" s="4253">
        <f t="shared" si="95"/>
        <v>0</v>
      </c>
      <c r="N611" s="1964">
        <v>0</v>
      </c>
      <c r="O611" s="4716">
        <f t="shared" si="94"/>
        <v>0</v>
      </c>
      <c r="P611" s="4061">
        <v>0</v>
      </c>
      <c r="Q611" s="4839"/>
    </row>
    <row r="612" spans="1:17" s="2070" customFormat="1" ht="5.35" customHeight="1">
      <c r="A612" s="4048"/>
      <c r="B612" s="4048"/>
      <c r="C612" s="4048"/>
      <c r="D612" s="4048"/>
      <c r="E612" s="4048"/>
      <c r="F612" s="4049"/>
      <c r="G612" s="4067"/>
      <c r="H612" s="4068"/>
      <c r="I612" s="4060"/>
      <c r="J612" s="4542"/>
      <c r="K612" s="2159">
        <v>0</v>
      </c>
      <c r="L612" s="4542"/>
      <c r="M612" s="4253">
        <f t="shared" si="95"/>
        <v>0</v>
      </c>
      <c r="N612" s="4542"/>
      <c r="O612" s="4716">
        <f t="shared" si="94"/>
        <v>0</v>
      </c>
      <c r="P612" s="4061">
        <f>O612-K612</f>
        <v>0</v>
      </c>
      <c r="Q612" s="4839"/>
    </row>
    <row r="613" spans="1:17" s="2070" customFormat="1">
      <c r="A613" s="4048"/>
      <c r="B613" s="4048"/>
      <c r="C613" s="4048"/>
      <c r="D613" s="4048"/>
      <c r="E613" s="4048"/>
      <c r="F613" s="4049"/>
      <c r="G613" s="4067" t="s">
        <v>308</v>
      </c>
      <c r="H613" s="5761" t="s">
        <v>323</v>
      </c>
      <c r="I613" s="5761"/>
      <c r="J613" s="4542">
        <v>0</v>
      </c>
      <c r="K613" s="2159">
        <v>457925000</v>
      </c>
      <c r="L613" s="4542">
        <f>SUM(L614:L623)</f>
        <v>274025000</v>
      </c>
      <c r="M613" s="4253">
        <f t="shared" si="95"/>
        <v>731950000</v>
      </c>
      <c r="N613" s="4542">
        <v>0</v>
      </c>
      <c r="O613" s="4716">
        <f t="shared" si="94"/>
        <v>0</v>
      </c>
      <c r="P613" s="4061">
        <v>0</v>
      </c>
      <c r="Q613" s="4839"/>
    </row>
    <row r="614" spans="1:17" s="2070" customFormat="1">
      <c r="A614" s="4048"/>
      <c r="B614" s="4048"/>
      <c r="C614" s="4048"/>
      <c r="D614" s="4048"/>
      <c r="E614" s="4048"/>
      <c r="F614" s="4049"/>
      <c r="G614" s="4067"/>
      <c r="H614" s="4193"/>
      <c r="I614" s="4060" t="s">
        <v>310</v>
      </c>
      <c r="J614" s="1964">
        <v>0</v>
      </c>
      <c r="K614" s="2159">
        <v>98675000</v>
      </c>
      <c r="L614" s="2450">
        <v>46375000</v>
      </c>
      <c r="M614" s="4583">
        <f t="shared" si="95"/>
        <v>145050000</v>
      </c>
      <c r="N614" s="1964">
        <v>0</v>
      </c>
      <c r="O614" s="4716">
        <f t="shared" si="94"/>
        <v>0</v>
      </c>
      <c r="P614" s="4061">
        <v>0</v>
      </c>
      <c r="Q614" s="4839"/>
    </row>
    <row r="615" spans="1:17" s="2070" customFormat="1">
      <c r="A615" s="4048"/>
      <c r="B615" s="4048"/>
      <c r="C615" s="4048"/>
      <c r="D615" s="4048"/>
      <c r="E615" s="4048"/>
      <c r="F615" s="4049"/>
      <c r="G615" s="4067"/>
      <c r="H615" s="4193"/>
      <c r="I615" s="4060" t="s">
        <v>311</v>
      </c>
      <c r="J615" s="1964">
        <v>0</v>
      </c>
      <c r="K615" s="2159">
        <v>70250000</v>
      </c>
      <c r="L615" s="2160">
        <v>103425000</v>
      </c>
      <c r="M615" s="4253">
        <f t="shared" si="95"/>
        <v>173675000</v>
      </c>
      <c r="N615" s="1964">
        <v>0</v>
      </c>
      <c r="O615" s="4716">
        <f t="shared" si="94"/>
        <v>0</v>
      </c>
      <c r="P615" s="4061">
        <v>0</v>
      </c>
      <c r="Q615" s="4839"/>
    </row>
    <row r="616" spans="1:17" s="2070" customFormat="1">
      <c r="A616" s="4048"/>
      <c r="B616" s="4048"/>
      <c r="C616" s="4048"/>
      <c r="D616" s="4048"/>
      <c r="E616" s="4048"/>
      <c r="F616" s="4049"/>
      <c r="G616" s="4067"/>
      <c r="H616" s="4193"/>
      <c r="I616" s="4060" t="s">
        <v>312</v>
      </c>
      <c r="J616" s="1964">
        <v>0</v>
      </c>
      <c r="K616" s="2159">
        <v>95350000</v>
      </c>
      <c r="L616" s="2160">
        <v>42725000</v>
      </c>
      <c r="M616" s="4253">
        <f t="shared" si="95"/>
        <v>138075000</v>
      </c>
      <c r="N616" s="1964">
        <v>0</v>
      </c>
      <c r="O616" s="4716">
        <f t="shared" si="94"/>
        <v>0</v>
      </c>
      <c r="P616" s="4061">
        <v>0</v>
      </c>
      <c r="Q616" s="4839"/>
    </row>
    <row r="617" spans="1:17" s="2070" customFormat="1">
      <c r="A617" s="4048"/>
      <c r="B617" s="4048"/>
      <c r="C617" s="4048"/>
      <c r="D617" s="4048"/>
      <c r="E617" s="4048"/>
      <c r="F617" s="4049"/>
      <c r="G617" s="4067"/>
      <c r="H617" s="4193"/>
      <c r="I617" s="4060" t="s">
        <v>313</v>
      </c>
      <c r="J617" s="1964">
        <v>0</v>
      </c>
      <c r="K617" s="2159">
        <v>49650000</v>
      </c>
      <c r="L617" s="2450">
        <v>14725000</v>
      </c>
      <c r="M617" s="4583">
        <f t="shared" si="95"/>
        <v>64375000</v>
      </c>
      <c r="N617" s="1964">
        <v>0</v>
      </c>
      <c r="O617" s="4716">
        <f t="shared" si="94"/>
        <v>0</v>
      </c>
      <c r="P617" s="4061">
        <v>0</v>
      </c>
      <c r="Q617" s="4839"/>
    </row>
    <row r="618" spans="1:17" s="2070" customFormat="1">
      <c r="A618" s="4048"/>
      <c r="B618" s="4048"/>
      <c r="C618" s="4048"/>
      <c r="D618" s="4048"/>
      <c r="E618" s="4048"/>
      <c r="F618" s="4049"/>
      <c r="G618" s="4067"/>
      <c r="H618" s="4193"/>
      <c r="I618" s="4060" t="s">
        <v>465</v>
      </c>
      <c r="J618" s="1964">
        <v>0</v>
      </c>
      <c r="K618" s="2159">
        <v>16975000</v>
      </c>
      <c r="L618" s="2160">
        <v>8525000</v>
      </c>
      <c r="M618" s="4253">
        <f t="shared" si="95"/>
        <v>25500000</v>
      </c>
      <c r="N618" s="1964">
        <v>0</v>
      </c>
      <c r="O618" s="4716">
        <f t="shared" si="94"/>
        <v>0</v>
      </c>
      <c r="P618" s="4061">
        <v>0</v>
      </c>
      <c r="Q618" s="4839"/>
    </row>
    <row r="619" spans="1:17" s="2070" customFormat="1">
      <c r="A619" s="4048"/>
      <c r="B619" s="4048"/>
      <c r="C619" s="4048"/>
      <c r="D619" s="4048"/>
      <c r="E619" s="4048"/>
      <c r="F619" s="4049"/>
      <c r="G619" s="4067"/>
      <c r="H619" s="4193"/>
      <c r="I619" s="4060" t="s">
        <v>466</v>
      </c>
      <c r="J619" s="1964">
        <v>0</v>
      </c>
      <c r="K619" s="2159">
        <v>13000000</v>
      </c>
      <c r="L619" s="2160">
        <v>6250000</v>
      </c>
      <c r="M619" s="4253">
        <f t="shared" si="95"/>
        <v>19250000</v>
      </c>
      <c r="N619" s="1964">
        <v>0</v>
      </c>
      <c r="O619" s="4716">
        <f t="shared" si="94"/>
        <v>0</v>
      </c>
      <c r="P619" s="4061">
        <v>0</v>
      </c>
      <c r="Q619" s="4839"/>
    </row>
    <row r="620" spans="1:17" s="2070" customFormat="1">
      <c r="A620" s="4048"/>
      <c r="B620" s="4048"/>
      <c r="C620" s="4048"/>
      <c r="D620" s="4048"/>
      <c r="E620" s="4048"/>
      <c r="F620" s="4049"/>
      <c r="G620" s="4067"/>
      <c r="H620" s="4193"/>
      <c r="I620" s="4060" t="s">
        <v>315</v>
      </c>
      <c r="J620" s="1964">
        <v>0</v>
      </c>
      <c r="K620" s="2159">
        <v>10775000</v>
      </c>
      <c r="L620" s="2160">
        <v>3550000</v>
      </c>
      <c r="M620" s="4253">
        <f t="shared" si="95"/>
        <v>14325000</v>
      </c>
      <c r="N620" s="1964">
        <v>0</v>
      </c>
      <c r="O620" s="4716">
        <f t="shared" si="94"/>
        <v>0</v>
      </c>
      <c r="P620" s="4061">
        <v>0</v>
      </c>
      <c r="Q620" s="4839"/>
    </row>
    <row r="621" spans="1:17" s="2070" customFormat="1">
      <c r="A621" s="4048"/>
      <c r="B621" s="4048"/>
      <c r="C621" s="4048"/>
      <c r="D621" s="4048"/>
      <c r="E621" s="4048"/>
      <c r="F621" s="4049"/>
      <c r="G621" s="4067"/>
      <c r="H621" s="4193"/>
      <c r="I621" s="4060" t="s">
        <v>316</v>
      </c>
      <c r="J621" s="1964">
        <v>0</v>
      </c>
      <c r="K621" s="2159">
        <v>85725000</v>
      </c>
      <c r="L621" s="2450">
        <v>40875000</v>
      </c>
      <c r="M621" s="4583">
        <f t="shared" si="95"/>
        <v>126600000</v>
      </c>
      <c r="N621" s="1964">
        <v>0</v>
      </c>
      <c r="O621" s="4716">
        <f t="shared" si="94"/>
        <v>0</v>
      </c>
      <c r="P621" s="4061">
        <v>0</v>
      </c>
      <c r="Q621" s="4839"/>
    </row>
    <row r="622" spans="1:17" s="2070" customFormat="1">
      <c r="A622" s="4048"/>
      <c r="B622" s="4048"/>
      <c r="C622" s="4048"/>
      <c r="D622" s="4048"/>
      <c r="E622" s="4048"/>
      <c r="F622" s="4049"/>
      <c r="G622" s="4067"/>
      <c r="H622" s="4193"/>
      <c r="I622" s="4060" t="s">
        <v>317</v>
      </c>
      <c r="J622" s="1964">
        <v>0</v>
      </c>
      <c r="K622" s="2159">
        <v>17525000</v>
      </c>
      <c r="L622" s="2160">
        <v>7575000</v>
      </c>
      <c r="M622" s="4253">
        <f t="shared" si="95"/>
        <v>25100000</v>
      </c>
      <c r="N622" s="1964">
        <v>0</v>
      </c>
      <c r="O622" s="4716">
        <f t="shared" si="94"/>
        <v>0</v>
      </c>
      <c r="P622" s="4061">
        <v>0</v>
      </c>
      <c r="Q622" s="4839"/>
    </row>
    <row r="623" spans="1:17" s="2070" customFormat="1">
      <c r="A623" s="4048"/>
      <c r="B623" s="4048"/>
      <c r="C623" s="4048"/>
      <c r="D623" s="4048"/>
      <c r="E623" s="4048"/>
      <c r="F623" s="4049"/>
      <c r="G623" s="4067"/>
      <c r="H623" s="4193"/>
      <c r="I623" s="4060" t="s">
        <v>318</v>
      </c>
      <c r="J623" s="1964">
        <v>0</v>
      </c>
      <c r="K623" s="2159">
        <v>0</v>
      </c>
      <c r="L623" s="2160">
        <f>'[2]ALL BULAN'!E573</f>
        <v>0</v>
      </c>
      <c r="M623" s="4253">
        <f t="shared" si="95"/>
        <v>0</v>
      </c>
      <c r="N623" s="1964">
        <v>0</v>
      </c>
      <c r="O623" s="4716">
        <f t="shared" si="94"/>
        <v>0</v>
      </c>
      <c r="P623" s="4061">
        <f>O623-K623</f>
        <v>0</v>
      </c>
      <c r="Q623" s="4839"/>
    </row>
    <row r="624" spans="1:17" s="2070" customFormat="1">
      <c r="A624" s="4048"/>
      <c r="B624" s="4048"/>
      <c r="C624" s="4048"/>
      <c r="D624" s="4048"/>
      <c r="E624" s="4048"/>
      <c r="F624" s="4049"/>
      <c r="G624" s="4067" t="s">
        <v>308</v>
      </c>
      <c r="H624" s="5762" t="s">
        <v>85</v>
      </c>
      <c r="I624" s="5762"/>
      <c r="J624" s="4542">
        <v>0</v>
      </c>
      <c r="K624" s="2159">
        <v>0</v>
      </c>
      <c r="L624" s="4542">
        <f>SUM(L625)</f>
        <v>0</v>
      </c>
      <c r="M624" s="4253">
        <f t="shared" si="95"/>
        <v>0</v>
      </c>
      <c r="N624" s="4542">
        <v>0</v>
      </c>
      <c r="O624" s="4716">
        <f t="shared" si="94"/>
        <v>0</v>
      </c>
      <c r="P624" s="4061">
        <v>0</v>
      </c>
      <c r="Q624" s="4839"/>
    </row>
    <row r="625" spans="1:17" s="2070" customFormat="1">
      <c r="A625" s="4048"/>
      <c r="B625" s="4048"/>
      <c r="C625" s="4048"/>
      <c r="D625" s="4048"/>
      <c r="E625" s="4048"/>
      <c r="F625" s="4049"/>
      <c r="G625" s="4067"/>
      <c r="H625" s="4193"/>
      <c r="I625" s="4068" t="s">
        <v>324</v>
      </c>
      <c r="J625" s="1964">
        <v>0</v>
      </c>
      <c r="K625" s="2159">
        <v>0</v>
      </c>
      <c r="L625" s="2160">
        <f>'[2]ALL BULAN'!E575</f>
        <v>0</v>
      </c>
      <c r="M625" s="4253">
        <f t="shared" si="95"/>
        <v>0</v>
      </c>
      <c r="N625" s="1964">
        <v>0</v>
      </c>
      <c r="O625" s="4716">
        <f t="shared" si="94"/>
        <v>0</v>
      </c>
      <c r="P625" s="4061">
        <f>O625-K625</f>
        <v>0</v>
      </c>
      <c r="Q625" s="4839"/>
    </row>
    <row r="626" spans="1:17" s="2070" customFormat="1" ht="6.75" customHeight="1">
      <c r="A626" s="4048"/>
      <c r="B626" s="4048"/>
      <c r="C626" s="4048"/>
      <c r="D626" s="4048"/>
      <c r="E626" s="4048"/>
      <c r="F626" s="4049"/>
      <c r="G626" s="4102"/>
      <c r="H626" s="4083"/>
      <c r="I626" s="4083"/>
      <c r="J626" s="4548"/>
      <c r="K626" s="2183"/>
      <c r="L626" s="4548"/>
      <c r="M626" s="4549"/>
      <c r="N626" s="4549"/>
      <c r="O626" s="4549"/>
      <c r="P626" s="4172"/>
      <c r="Q626" s="4839"/>
    </row>
    <row r="627" spans="1:17" s="2073" customFormat="1" ht="15.65">
      <c r="A627" s="4039"/>
      <c r="B627" s="4039"/>
      <c r="C627" s="4039"/>
      <c r="D627" s="4039"/>
      <c r="E627" s="4039"/>
      <c r="F627" s="4040"/>
      <c r="G627" s="4041" t="s">
        <v>325</v>
      </c>
      <c r="H627" s="4042" t="s">
        <v>326</v>
      </c>
      <c r="I627" s="4097"/>
      <c r="J627" s="4545">
        <f>SUM(J628+J641)</f>
        <v>4692225000</v>
      </c>
      <c r="K627" s="4520">
        <v>40000000</v>
      </c>
      <c r="L627" s="4545">
        <f>L630+L633+L641</f>
        <v>10625000</v>
      </c>
      <c r="M627" s="4545">
        <f t="shared" ref="M627:M648" si="96">SUM(K627:L627)</f>
        <v>50625000</v>
      </c>
      <c r="N627" s="4545">
        <f>SUM(N628+N641)</f>
        <v>4897825000</v>
      </c>
      <c r="O627" s="4821">
        <f>N627-J627</f>
        <v>205600000</v>
      </c>
      <c r="P627" s="4044">
        <f>O627/J627*100</f>
        <v>4.3817165630377914</v>
      </c>
      <c r="Q627" s="4840"/>
    </row>
    <row r="628" spans="1:17" s="4099" customFormat="1">
      <c r="A628" s="4128"/>
      <c r="B628" s="4128"/>
      <c r="C628" s="4128"/>
      <c r="D628" s="4128"/>
      <c r="E628" s="4128"/>
      <c r="F628" s="4105">
        <v>1</v>
      </c>
      <c r="G628" s="4050"/>
      <c r="H628" s="4143" t="s">
        <v>106</v>
      </c>
      <c r="I628" s="4051"/>
      <c r="J628" s="4582">
        <f>J629</f>
        <v>300000000</v>
      </c>
      <c r="K628" s="2159">
        <v>40000000</v>
      </c>
      <c r="L628" s="4586">
        <f>L629</f>
        <v>10625000</v>
      </c>
      <c r="M628" s="4253">
        <f t="shared" si="96"/>
        <v>50625000</v>
      </c>
      <c r="N628" s="4253">
        <f>N629</f>
        <v>505600000</v>
      </c>
      <c r="O628" s="2188">
        <f t="shared" ref="O628:O648" si="97">N628-J628</f>
        <v>205600000</v>
      </c>
      <c r="P628" s="4061">
        <f>O628/J628*100</f>
        <v>68.533333333333331</v>
      </c>
      <c r="Q628" s="4839"/>
    </row>
    <row r="629" spans="1:17" s="4099" customFormat="1" ht="13.5" customHeight="1">
      <c r="A629" s="4046">
        <v>4</v>
      </c>
      <c r="B629" s="4046">
        <v>1</v>
      </c>
      <c r="C629" s="4046">
        <v>2</v>
      </c>
      <c r="D629" s="4047" t="s">
        <v>438</v>
      </c>
      <c r="E629" s="4128"/>
      <c r="F629" s="4105"/>
      <c r="G629" s="4055"/>
      <c r="H629" s="4056" t="s">
        <v>63</v>
      </c>
      <c r="I629" s="4056"/>
      <c r="J629" s="2482">
        <f>SUM(J630+J633)</f>
        <v>300000000</v>
      </c>
      <c r="K629" s="2159">
        <v>40000000</v>
      </c>
      <c r="L629" s="4587">
        <f>L630+L633</f>
        <v>10625000</v>
      </c>
      <c r="M629" s="4253">
        <f t="shared" si="96"/>
        <v>50625000</v>
      </c>
      <c r="N629" s="4253">
        <f>SUM(N630+N633)</f>
        <v>505600000</v>
      </c>
      <c r="O629" s="2188">
        <f t="shared" si="97"/>
        <v>205600000</v>
      </c>
      <c r="P629" s="4061">
        <f t="shared" ref="P629:P646" si="98">O629/J629*100</f>
        <v>68.533333333333331</v>
      </c>
      <c r="Q629" s="4839"/>
    </row>
    <row r="630" spans="1:17" s="4099" customFormat="1" ht="13.5" customHeight="1">
      <c r="A630" s="4046">
        <v>4</v>
      </c>
      <c r="B630" s="4046">
        <v>1</v>
      </c>
      <c r="C630" s="4046">
        <v>2</v>
      </c>
      <c r="D630" s="4047" t="s">
        <v>438</v>
      </c>
      <c r="E630" s="4093" t="s">
        <v>440</v>
      </c>
      <c r="F630" s="4105"/>
      <c r="G630" s="4067"/>
      <c r="H630" s="4064" t="s">
        <v>50</v>
      </c>
      <c r="I630" s="4068" t="s">
        <v>304</v>
      </c>
      <c r="J630" s="2465">
        <f>SUM(J631:J632)</f>
        <v>150000000</v>
      </c>
      <c r="K630" s="2159">
        <v>13050000</v>
      </c>
      <c r="L630" s="1964">
        <f>L632</f>
        <v>0</v>
      </c>
      <c r="M630" s="4253">
        <f t="shared" si="96"/>
        <v>13050000</v>
      </c>
      <c r="N630" s="4253">
        <f>N631</f>
        <v>265000000</v>
      </c>
      <c r="O630" s="2188">
        <f t="shared" si="97"/>
        <v>115000000</v>
      </c>
      <c r="P630" s="4061">
        <f t="shared" si="98"/>
        <v>76.666666666666671</v>
      </c>
      <c r="Q630" s="4839"/>
    </row>
    <row r="631" spans="1:17" s="4099" customFormat="1" ht="13.5" customHeight="1">
      <c r="A631" s="4250"/>
      <c r="B631" s="4250"/>
      <c r="C631" s="4250"/>
      <c r="D631" s="4251"/>
      <c r="E631" s="4252"/>
      <c r="F631" s="4105"/>
      <c r="G631" s="4067"/>
      <c r="H631" s="4064"/>
      <c r="I631" s="2727" t="s">
        <v>1226</v>
      </c>
      <c r="J631" s="2466">
        <v>125000000</v>
      </c>
      <c r="K631" s="2159"/>
      <c r="L631" s="1964"/>
      <c r="M631" s="4253"/>
      <c r="N631" s="4248">
        <v>265000000</v>
      </c>
      <c r="O631" s="2188">
        <f t="shared" si="97"/>
        <v>140000000</v>
      </c>
      <c r="P631" s="4061">
        <f t="shared" si="98"/>
        <v>112.00000000000001</v>
      </c>
      <c r="Q631" s="4839"/>
    </row>
    <row r="632" spans="1:17" s="2070" customFormat="1" ht="13.5" customHeight="1">
      <c r="A632" s="4048"/>
      <c r="B632" s="4048"/>
      <c r="C632" s="4048"/>
      <c r="D632" s="4048"/>
      <c r="E632" s="4048"/>
      <c r="F632" s="4049"/>
      <c r="G632" s="4067"/>
      <c r="H632" s="4060"/>
      <c r="I632" s="2727" t="s">
        <v>1227</v>
      </c>
      <c r="J632" s="2466">
        <v>25000000</v>
      </c>
      <c r="K632" s="2159">
        <v>13050000</v>
      </c>
      <c r="L632" s="2467">
        <v>0</v>
      </c>
      <c r="M632" s="4253">
        <f t="shared" si="96"/>
        <v>13050000</v>
      </c>
      <c r="N632" s="4248">
        <v>0</v>
      </c>
      <c r="O632" s="2188">
        <f t="shared" si="97"/>
        <v>-25000000</v>
      </c>
      <c r="P632" s="4061">
        <f t="shared" si="98"/>
        <v>-100</v>
      </c>
      <c r="Q632" s="4839"/>
    </row>
    <row r="633" spans="1:17" s="4099" customFormat="1" ht="13.5" customHeight="1">
      <c r="A633" s="4046">
        <v>4</v>
      </c>
      <c r="B633" s="4046">
        <v>1</v>
      </c>
      <c r="C633" s="4046">
        <v>2</v>
      </c>
      <c r="D633" s="4047" t="s">
        <v>438</v>
      </c>
      <c r="E633" s="4093" t="s">
        <v>437</v>
      </c>
      <c r="F633" s="4105"/>
      <c r="G633" s="4067"/>
      <c r="H633" s="4064" t="s">
        <v>50</v>
      </c>
      <c r="I633" s="4068" t="s">
        <v>64</v>
      </c>
      <c r="J633" s="2465">
        <f>SUM(J634:J636)</f>
        <v>150000000</v>
      </c>
      <c r="K633" s="2159">
        <v>26950000</v>
      </c>
      <c r="L633" s="2465">
        <f>SUM(L634:L639)</f>
        <v>10625000</v>
      </c>
      <c r="M633" s="4253">
        <f t="shared" si="96"/>
        <v>37575000</v>
      </c>
      <c r="N633" s="4253">
        <f>SUM(N634:N638)</f>
        <v>240600000</v>
      </c>
      <c r="O633" s="2188">
        <f t="shared" si="97"/>
        <v>90600000</v>
      </c>
      <c r="P633" s="4061">
        <f t="shared" si="98"/>
        <v>60.4</v>
      </c>
      <c r="Q633" s="4839"/>
    </row>
    <row r="634" spans="1:17" s="2070" customFormat="1" ht="13.5" customHeight="1">
      <c r="A634" s="4048"/>
      <c r="B634" s="4048"/>
      <c r="C634" s="4048"/>
      <c r="D634" s="4048"/>
      <c r="E634" s="4048"/>
      <c r="F634" s="4049"/>
      <c r="G634" s="4059"/>
      <c r="H634" s="4060"/>
      <c r="I634" s="2727" t="s">
        <v>1221</v>
      </c>
      <c r="J634" s="1964">
        <v>45000000</v>
      </c>
      <c r="K634" s="2159">
        <v>26950000</v>
      </c>
      <c r="L634" s="2160">
        <v>10625000</v>
      </c>
      <c r="M634" s="4253">
        <f t="shared" si="96"/>
        <v>37575000</v>
      </c>
      <c r="N634" s="4248">
        <v>95000000</v>
      </c>
      <c r="O634" s="2188">
        <f t="shared" si="97"/>
        <v>50000000</v>
      </c>
      <c r="P634" s="4061">
        <f t="shared" si="98"/>
        <v>111.11111111111111</v>
      </c>
      <c r="Q634" s="4839"/>
    </row>
    <row r="635" spans="1:17" s="2070" customFormat="1" ht="13.5" customHeight="1">
      <c r="A635" s="4048"/>
      <c r="B635" s="4048"/>
      <c r="C635" s="4048"/>
      <c r="D635" s="4048"/>
      <c r="E635" s="4048"/>
      <c r="F635" s="4049"/>
      <c r="G635" s="4059"/>
      <c r="H635" s="4060"/>
      <c r="I635" s="2727" t="s">
        <v>1222</v>
      </c>
      <c r="J635" s="1964">
        <v>50000000</v>
      </c>
      <c r="K635" s="2159"/>
      <c r="L635" s="2160"/>
      <c r="M635" s="4253"/>
      <c r="N635" s="1964">
        <v>50000000</v>
      </c>
      <c r="O635" s="2188">
        <f t="shared" si="97"/>
        <v>0</v>
      </c>
      <c r="P635" s="4061">
        <f t="shared" si="98"/>
        <v>0</v>
      </c>
      <c r="Q635" s="4839"/>
    </row>
    <row r="636" spans="1:17" s="2070" customFormat="1" ht="13.5" customHeight="1">
      <c r="A636" s="4048"/>
      <c r="B636" s="4048"/>
      <c r="C636" s="4048"/>
      <c r="D636" s="4048"/>
      <c r="E636" s="4048"/>
      <c r="F636" s="4049"/>
      <c r="G636" s="4059"/>
      <c r="H636" s="4060"/>
      <c r="I636" s="2727" t="s">
        <v>1223</v>
      </c>
      <c r="J636" s="1964">
        <v>55000000</v>
      </c>
      <c r="K636" s="2159"/>
      <c r="L636" s="2160"/>
      <c r="M636" s="4253"/>
      <c r="N636" s="4248">
        <v>85000000</v>
      </c>
      <c r="O636" s="2188">
        <f t="shared" si="97"/>
        <v>30000000</v>
      </c>
      <c r="P636" s="4061">
        <f t="shared" si="98"/>
        <v>54.54545454545454</v>
      </c>
      <c r="Q636" s="4839"/>
    </row>
    <row r="637" spans="1:17" s="2070" customFormat="1" ht="13.5" customHeight="1">
      <c r="A637" s="4048"/>
      <c r="B637" s="4048"/>
      <c r="C637" s="4048"/>
      <c r="D637" s="4048"/>
      <c r="E637" s="4048"/>
      <c r="F637" s="4049"/>
      <c r="G637" s="4059"/>
      <c r="H637" s="4060"/>
      <c r="I637" s="2727" t="s">
        <v>1224</v>
      </c>
      <c r="J637" s="1964">
        <v>0</v>
      </c>
      <c r="K637" s="2159"/>
      <c r="L637" s="2160"/>
      <c r="M637" s="4253"/>
      <c r="N637" s="4248">
        <v>7000000</v>
      </c>
      <c r="O637" s="2188">
        <f t="shared" si="97"/>
        <v>7000000</v>
      </c>
      <c r="P637" s="4061">
        <v>0</v>
      </c>
      <c r="Q637" s="4839"/>
    </row>
    <row r="638" spans="1:17" s="2070" customFormat="1" ht="13.5" customHeight="1">
      <c r="A638" s="4048"/>
      <c r="B638" s="4048"/>
      <c r="C638" s="4048"/>
      <c r="D638" s="4048"/>
      <c r="E638" s="4048"/>
      <c r="F638" s="4049"/>
      <c r="G638" s="4059"/>
      <c r="H638" s="4060"/>
      <c r="I638" s="2727" t="s">
        <v>1225</v>
      </c>
      <c r="J638" s="1964"/>
      <c r="K638" s="2159"/>
      <c r="L638" s="2160"/>
      <c r="M638" s="4253"/>
      <c r="N638" s="4248">
        <v>3600000</v>
      </c>
      <c r="O638" s="2188">
        <f t="shared" si="97"/>
        <v>3600000</v>
      </c>
      <c r="P638" s="4061">
        <v>0</v>
      </c>
      <c r="Q638" s="4839"/>
    </row>
    <row r="639" spans="1:17" s="2070" customFormat="1" ht="13.5" customHeight="1">
      <c r="A639" s="4048"/>
      <c r="B639" s="4048"/>
      <c r="C639" s="4048"/>
      <c r="D639" s="4048"/>
      <c r="E639" s="4048"/>
      <c r="F639" s="4049"/>
      <c r="G639" s="4059"/>
      <c r="H639" s="4060"/>
      <c r="I639" s="4062"/>
      <c r="J639" s="1964"/>
      <c r="K639" s="2159">
        <v>0</v>
      </c>
      <c r="L639" s="2160">
        <f>'[2]ALL BULAN'!E584</f>
        <v>0</v>
      </c>
      <c r="M639" s="4253">
        <f t="shared" si="96"/>
        <v>0</v>
      </c>
      <c r="N639" s="4253"/>
      <c r="O639" s="2188">
        <f t="shared" si="97"/>
        <v>0</v>
      </c>
      <c r="P639" s="4061">
        <v>0</v>
      </c>
      <c r="Q639" s="4839"/>
    </row>
    <row r="640" spans="1:17" s="2070" customFormat="1" ht="6.75" customHeight="1">
      <c r="A640" s="4048"/>
      <c r="B640" s="4048"/>
      <c r="C640" s="4048"/>
      <c r="D640" s="4048"/>
      <c r="E640" s="4048"/>
      <c r="F640" s="4049"/>
      <c r="G640" s="4067"/>
      <c r="H640" s="4060"/>
      <c r="I640" s="4060"/>
      <c r="J640" s="2468"/>
      <c r="K640" s="2159">
        <v>0</v>
      </c>
      <c r="L640" s="2468"/>
      <c r="M640" s="4253">
        <f t="shared" si="96"/>
        <v>0</v>
      </c>
      <c r="N640" s="4253"/>
      <c r="O640" s="2188">
        <f t="shared" si="97"/>
        <v>0</v>
      </c>
      <c r="P640" s="4061">
        <v>0</v>
      </c>
      <c r="Q640" s="4839"/>
    </row>
    <row r="641" spans="1:17" s="2070" customFormat="1">
      <c r="A641" s="4065">
        <v>4</v>
      </c>
      <c r="B641" s="4065">
        <v>1</v>
      </c>
      <c r="C641" s="4065">
        <v>4</v>
      </c>
      <c r="D641" s="4048"/>
      <c r="E641" s="4048"/>
      <c r="F641" s="4049">
        <v>3</v>
      </c>
      <c r="G641" s="4067"/>
      <c r="H641" s="4068" t="s">
        <v>71</v>
      </c>
      <c r="I641" s="4068"/>
      <c r="J641" s="4542">
        <f>J645</f>
        <v>4392225000</v>
      </c>
      <c r="K641" s="2159">
        <v>0</v>
      </c>
      <c r="L641" s="4542">
        <f>SUM(L642:L645)</f>
        <v>0</v>
      </c>
      <c r="M641" s="4253">
        <f t="shared" si="96"/>
        <v>0</v>
      </c>
      <c r="N641" s="4542">
        <f>N645</f>
        <v>4392225000</v>
      </c>
      <c r="O641" s="2188">
        <f t="shared" si="97"/>
        <v>0</v>
      </c>
      <c r="P641" s="4061">
        <f t="shared" si="98"/>
        <v>0</v>
      </c>
      <c r="Q641" s="4839"/>
    </row>
    <row r="642" spans="1:17" s="2070" customFormat="1">
      <c r="A642" s="4074">
        <v>4</v>
      </c>
      <c r="B642" s="4074">
        <v>1</v>
      </c>
      <c r="C642" s="4074" t="s">
        <v>443</v>
      </c>
      <c r="D642" s="4074" t="s">
        <v>444</v>
      </c>
      <c r="E642" s="4074" t="s">
        <v>440</v>
      </c>
      <c r="F642" s="4049"/>
      <c r="G642" s="4059"/>
      <c r="H642" s="4062" t="s">
        <v>50</v>
      </c>
      <c r="I642" s="4060" t="s">
        <v>73</v>
      </c>
      <c r="J642" s="1964">
        <v>0</v>
      </c>
      <c r="K642" s="2159">
        <v>0</v>
      </c>
      <c r="L642" s="2160">
        <f>'[2]ALL BULAN'!E587</f>
        <v>0</v>
      </c>
      <c r="M642" s="4253">
        <f t="shared" si="96"/>
        <v>0</v>
      </c>
      <c r="N642" s="4253">
        <v>0</v>
      </c>
      <c r="O642" s="2188">
        <f t="shared" si="97"/>
        <v>0</v>
      </c>
      <c r="P642" s="4061">
        <v>0</v>
      </c>
      <c r="Q642" s="4839"/>
    </row>
    <row r="643" spans="1:17" s="2070" customFormat="1">
      <c r="A643" s="4069">
        <v>4</v>
      </c>
      <c r="B643" s="4069">
        <v>1</v>
      </c>
      <c r="C643" s="4069" t="s">
        <v>443</v>
      </c>
      <c r="D643" s="4069" t="s">
        <v>444</v>
      </c>
      <c r="E643" s="4070" t="s">
        <v>445</v>
      </c>
      <c r="F643" s="4049"/>
      <c r="G643" s="4059"/>
      <c r="H643" s="4062" t="s">
        <v>50</v>
      </c>
      <c r="I643" s="4060" t="s">
        <v>74</v>
      </c>
      <c r="J643" s="1964">
        <v>0</v>
      </c>
      <c r="K643" s="2159">
        <v>0</v>
      </c>
      <c r="L643" s="2160">
        <f>'[2]ALL BULAN'!E588</f>
        <v>0</v>
      </c>
      <c r="M643" s="4253">
        <f t="shared" si="96"/>
        <v>0</v>
      </c>
      <c r="N643" s="4253">
        <v>0</v>
      </c>
      <c r="O643" s="2188">
        <f t="shared" si="97"/>
        <v>0</v>
      </c>
      <c r="P643" s="4061">
        <v>0</v>
      </c>
      <c r="Q643" s="4839"/>
    </row>
    <row r="644" spans="1:17" s="2070" customFormat="1">
      <c r="A644" s="4101">
        <v>4</v>
      </c>
      <c r="B644" s="4101">
        <v>1</v>
      </c>
      <c r="C644" s="4101" t="s">
        <v>443</v>
      </c>
      <c r="D644" s="4101" t="s">
        <v>444</v>
      </c>
      <c r="E644" s="4101" t="s">
        <v>441</v>
      </c>
      <c r="F644" s="4049"/>
      <c r="G644" s="4059"/>
      <c r="H644" s="4060" t="s">
        <v>308</v>
      </c>
      <c r="I644" s="4060" t="s">
        <v>75</v>
      </c>
      <c r="J644" s="1964">
        <v>0</v>
      </c>
      <c r="K644" s="2159">
        <v>0</v>
      </c>
      <c r="L644" s="2160">
        <f>'[2]ALL BULAN'!E589</f>
        <v>0</v>
      </c>
      <c r="M644" s="4253">
        <f t="shared" si="96"/>
        <v>0</v>
      </c>
      <c r="N644" s="4253">
        <v>0</v>
      </c>
      <c r="O644" s="2188">
        <f t="shared" si="97"/>
        <v>0</v>
      </c>
      <c r="P644" s="4061">
        <v>0</v>
      </c>
      <c r="Q644" s="4839"/>
    </row>
    <row r="645" spans="1:17" s="2070" customFormat="1">
      <c r="A645" s="4048"/>
      <c r="B645" s="4048"/>
      <c r="C645" s="4048"/>
      <c r="D645" s="4048"/>
      <c r="E645" s="4048"/>
      <c r="F645" s="4049"/>
      <c r="G645" s="4059"/>
      <c r="H645" s="4064" t="s">
        <v>50</v>
      </c>
      <c r="I645" s="4068" t="s">
        <v>329</v>
      </c>
      <c r="J645" s="2465">
        <f>J646</f>
        <v>4392225000</v>
      </c>
      <c r="K645" s="2159">
        <v>0</v>
      </c>
      <c r="L645" s="2465">
        <f>SUM(L646:L648)</f>
        <v>0</v>
      </c>
      <c r="M645" s="4253">
        <f t="shared" si="96"/>
        <v>0</v>
      </c>
      <c r="N645" s="2465">
        <f>N646</f>
        <v>4392225000</v>
      </c>
      <c r="O645" s="2188">
        <f t="shared" si="97"/>
        <v>0</v>
      </c>
      <c r="P645" s="4061">
        <f t="shared" si="98"/>
        <v>0</v>
      </c>
      <c r="Q645" s="4839"/>
    </row>
    <row r="646" spans="1:17" s="2070" customFormat="1">
      <c r="A646" s="4048"/>
      <c r="B646" s="4048"/>
      <c r="C646" s="4048"/>
      <c r="D646" s="4048"/>
      <c r="E646" s="4048"/>
      <c r="F646" s="4049"/>
      <c r="G646" s="4080"/>
      <c r="H646" s="4151"/>
      <c r="I646" s="4081" t="s">
        <v>330</v>
      </c>
      <c r="J646" s="1964">
        <v>4392225000</v>
      </c>
      <c r="K646" s="2159">
        <v>0</v>
      </c>
      <c r="L646" s="2160">
        <f>'[2]ALL BULAN'!E591</f>
        <v>0</v>
      </c>
      <c r="M646" s="4253">
        <f t="shared" si="96"/>
        <v>0</v>
      </c>
      <c r="N646" s="1964">
        <v>4392225000</v>
      </c>
      <c r="O646" s="2188">
        <f t="shared" si="97"/>
        <v>0</v>
      </c>
      <c r="P646" s="4061">
        <f t="shared" si="98"/>
        <v>0</v>
      </c>
      <c r="Q646" s="4839"/>
    </row>
    <row r="647" spans="1:17" s="2070" customFormat="1">
      <c r="A647" s="4048"/>
      <c r="B647" s="4048"/>
      <c r="C647" s="4048"/>
      <c r="D647" s="4048"/>
      <c r="E647" s="4048"/>
      <c r="F647" s="4049"/>
      <c r="G647" s="4080"/>
      <c r="H647" s="4151"/>
      <c r="I647" s="4081" t="s">
        <v>331</v>
      </c>
      <c r="J647" s="1964">
        <v>0</v>
      </c>
      <c r="K647" s="2159">
        <v>0</v>
      </c>
      <c r="L647" s="2160">
        <f>'[2]ALL BULAN'!E592</f>
        <v>0</v>
      </c>
      <c r="M647" s="4253">
        <f t="shared" si="96"/>
        <v>0</v>
      </c>
      <c r="N647" s="4253">
        <v>0</v>
      </c>
      <c r="O647" s="2188">
        <f t="shared" si="97"/>
        <v>0</v>
      </c>
      <c r="P647" s="4061">
        <v>0</v>
      </c>
      <c r="Q647" s="4839"/>
    </row>
    <row r="648" spans="1:17" s="2070" customFormat="1">
      <c r="A648" s="4048"/>
      <c r="B648" s="4048"/>
      <c r="C648" s="4048"/>
      <c r="D648" s="4048"/>
      <c r="E648" s="4048"/>
      <c r="F648" s="4049"/>
      <c r="G648" s="4080"/>
      <c r="H648" s="4151"/>
      <c r="I648" s="4081" t="s">
        <v>332</v>
      </c>
      <c r="J648" s="1964">
        <v>0</v>
      </c>
      <c r="K648" s="2159">
        <v>0</v>
      </c>
      <c r="L648" s="2160">
        <f>'[2]ALL BULAN'!E593</f>
        <v>0</v>
      </c>
      <c r="M648" s="4253">
        <f t="shared" si="96"/>
        <v>0</v>
      </c>
      <c r="N648" s="4253">
        <v>0</v>
      </c>
      <c r="O648" s="2188">
        <f t="shared" si="97"/>
        <v>0</v>
      </c>
      <c r="P648" s="4061">
        <v>0</v>
      </c>
      <c r="Q648" s="4839"/>
    </row>
    <row r="649" spans="1:17" s="2070" customFormat="1" ht="4.55" customHeight="1">
      <c r="A649" s="4048"/>
      <c r="B649" s="4048"/>
      <c r="C649" s="4048"/>
      <c r="D649" s="4048"/>
      <c r="E649" s="4048"/>
      <c r="F649" s="4049"/>
      <c r="G649" s="4102"/>
      <c r="H649" s="4083"/>
      <c r="I649" s="4083"/>
      <c r="J649" s="4548"/>
      <c r="K649" s="2183"/>
      <c r="L649" s="4548"/>
      <c r="M649" s="4549"/>
      <c r="N649" s="4549"/>
      <c r="O649" s="2315"/>
      <c r="P649" s="4172"/>
      <c r="Q649" s="4839"/>
    </row>
    <row r="650" spans="1:17" s="2070" customFormat="1" ht="15.65">
      <c r="A650" s="4048"/>
      <c r="B650" s="4048"/>
      <c r="C650" s="4048"/>
      <c r="D650" s="4048"/>
      <c r="E650" s="4048"/>
      <c r="F650" s="4049"/>
      <c r="G650" s="4041" t="s">
        <v>333</v>
      </c>
      <c r="H650" s="4042" t="s">
        <v>334</v>
      </c>
      <c r="I650" s="4097"/>
      <c r="J650" s="4545">
        <v>0</v>
      </c>
      <c r="K650" s="4520">
        <v>0</v>
      </c>
      <c r="L650" s="4545">
        <f>L651</f>
        <v>9346050</v>
      </c>
      <c r="M650" s="4545">
        <f t="shared" ref="M650:M656" si="99">SUM(K650:L650)</f>
        <v>9346050</v>
      </c>
      <c r="N650" s="4545">
        <v>0</v>
      </c>
      <c r="O650" s="4519">
        <v>0</v>
      </c>
      <c r="P650" s="4044">
        <v>0</v>
      </c>
      <c r="Q650" s="4839"/>
    </row>
    <row r="651" spans="1:17" s="2070" customFormat="1">
      <c r="A651" s="4065">
        <v>4</v>
      </c>
      <c r="B651" s="4065">
        <v>1</v>
      </c>
      <c r="C651" s="4065">
        <v>4</v>
      </c>
      <c r="D651" s="4048"/>
      <c r="E651" s="4048"/>
      <c r="F651" s="4049">
        <v>3</v>
      </c>
      <c r="G651" s="4150"/>
      <c r="H651" s="4179" t="s">
        <v>71</v>
      </c>
      <c r="I651" s="4179"/>
      <c r="J651" s="2304">
        <v>0</v>
      </c>
      <c r="K651" s="2159">
        <v>0</v>
      </c>
      <c r="L651" s="2304">
        <f>SUM(L652:L656)</f>
        <v>9346050</v>
      </c>
      <c r="M651" s="4253">
        <f t="shared" si="99"/>
        <v>9346050</v>
      </c>
      <c r="N651" s="4253">
        <v>0</v>
      </c>
      <c r="O651" s="4254">
        <v>0</v>
      </c>
      <c r="P651" s="4061">
        <v>0</v>
      </c>
      <c r="Q651" s="4839"/>
    </row>
    <row r="652" spans="1:17" s="2070" customFormat="1">
      <c r="A652" s="4074">
        <v>4</v>
      </c>
      <c r="B652" s="4074">
        <v>1</v>
      </c>
      <c r="C652" s="4074" t="s">
        <v>443</v>
      </c>
      <c r="D652" s="4074" t="s">
        <v>444</v>
      </c>
      <c r="E652" s="4074" t="s">
        <v>440</v>
      </c>
      <c r="F652" s="4049"/>
      <c r="G652" s="4124"/>
      <c r="H652" s="4060" t="s">
        <v>50</v>
      </c>
      <c r="I652" s="4126" t="s">
        <v>73</v>
      </c>
      <c r="J652" s="1964">
        <v>0</v>
      </c>
      <c r="K652" s="2159">
        <v>0</v>
      </c>
      <c r="L652" s="2160">
        <f>'[2]ALL BULAN'!E597</f>
        <v>0</v>
      </c>
      <c r="M652" s="4253">
        <f t="shared" si="99"/>
        <v>0</v>
      </c>
      <c r="N652" s="4253">
        <v>0</v>
      </c>
      <c r="O652" s="4254">
        <f>M652-J652</f>
        <v>0</v>
      </c>
      <c r="P652" s="4061">
        <v>0</v>
      </c>
      <c r="Q652" s="4839"/>
    </row>
    <row r="653" spans="1:17" s="2070" customFormat="1">
      <c r="A653" s="4069">
        <v>4</v>
      </c>
      <c r="B653" s="4069">
        <v>1</v>
      </c>
      <c r="C653" s="4069" t="s">
        <v>443</v>
      </c>
      <c r="D653" s="4069" t="s">
        <v>444</v>
      </c>
      <c r="E653" s="4070" t="s">
        <v>445</v>
      </c>
      <c r="F653" s="4049"/>
      <c r="G653" s="4059"/>
      <c r="H653" s="4060" t="s">
        <v>50</v>
      </c>
      <c r="I653" s="4060" t="s">
        <v>74</v>
      </c>
      <c r="J653" s="1964">
        <v>0</v>
      </c>
      <c r="K653" s="2159">
        <v>0</v>
      </c>
      <c r="L653" s="2160">
        <f>'[2]ALL BULAN'!E598</f>
        <v>0</v>
      </c>
      <c r="M653" s="4253">
        <f t="shared" si="99"/>
        <v>0</v>
      </c>
      <c r="N653" s="4253">
        <v>0</v>
      </c>
      <c r="O653" s="4254">
        <f>M653-J653</f>
        <v>0</v>
      </c>
      <c r="P653" s="4061">
        <v>0</v>
      </c>
      <c r="Q653" s="4839"/>
    </row>
    <row r="654" spans="1:17" s="2070" customFormat="1">
      <c r="A654" s="4101">
        <v>4</v>
      </c>
      <c r="B654" s="4101">
        <v>1</v>
      </c>
      <c r="C654" s="4101" t="s">
        <v>443</v>
      </c>
      <c r="D654" s="4101" t="s">
        <v>444</v>
      </c>
      <c r="E654" s="4101" t="s">
        <v>441</v>
      </c>
      <c r="F654" s="4049"/>
      <c r="G654" s="4059"/>
      <c r="H654" s="4060" t="s">
        <v>308</v>
      </c>
      <c r="I654" s="4060" t="s">
        <v>75</v>
      </c>
      <c r="J654" s="1964">
        <v>0</v>
      </c>
      <c r="K654" s="2159">
        <v>0</v>
      </c>
      <c r="L654" s="2160">
        <v>9346050</v>
      </c>
      <c r="M654" s="4253">
        <f t="shared" si="99"/>
        <v>9346050</v>
      </c>
      <c r="N654" s="4253">
        <v>0</v>
      </c>
      <c r="O654" s="4254">
        <v>0</v>
      </c>
      <c r="P654" s="4061">
        <v>0</v>
      </c>
      <c r="Q654" s="4839"/>
    </row>
    <row r="655" spans="1:17" s="2070" customFormat="1">
      <c r="A655" s="4048"/>
      <c r="B655" s="4048"/>
      <c r="C655" s="4048"/>
      <c r="D655" s="4048"/>
      <c r="E655" s="4048"/>
      <c r="F655" s="4049"/>
      <c r="G655" s="4059"/>
      <c r="H655" s="4060" t="s">
        <v>50</v>
      </c>
      <c r="I655" s="4060" t="s">
        <v>169</v>
      </c>
      <c r="J655" s="1964">
        <v>0</v>
      </c>
      <c r="K655" s="2159">
        <v>0</v>
      </c>
      <c r="L655" s="2160">
        <f>'[2]ALL BULAN'!E600</f>
        <v>0</v>
      </c>
      <c r="M655" s="4253">
        <f t="shared" si="99"/>
        <v>0</v>
      </c>
      <c r="N655" s="4253">
        <v>0</v>
      </c>
      <c r="O655" s="4254">
        <f>M655-J655</f>
        <v>0</v>
      </c>
      <c r="P655" s="4061">
        <v>0</v>
      </c>
      <c r="Q655" s="4839"/>
    </row>
    <row r="656" spans="1:17" s="2070" customFormat="1">
      <c r="A656" s="4079">
        <v>4</v>
      </c>
      <c r="B656" s="4079">
        <v>1</v>
      </c>
      <c r="C656" s="4079" t="s">
        <v>443</v>
      </c>
      <c r="D656" s="4079" t="s">
        <v>447</v>
      </c>
      <c r="E656" s="4093" t="s">
        <v>437</v>
      </c>
      <c r="F656" s="4049"/>
      <c r="G656" s="4067"/>
      <c r="H656" s="4060" t="s">
        <v>50</v>
      </c>
      <c r="I656" s="4060" t="s">
        <v>85</v>
      </c>
      <c r="J656" s="1964">
        <v>0</v>
      </c>
      <c r="K656" s="2159">
        <v>0</v>
      </c>
      <c r="L656" s="2160">
        <f>'[2]ALL BULAN'!E601</f>
        <v>0</v>
      </c>
      <c r="M656" s="4253">
        <f t="shared" si="99"/>
        <v>0</v>
      </c>
      <c r="N656" s="4253">
        <v>0</v>
      </c>
      <c r="O656" s="4254">
        <f>M656-J656</f>
        <v>0</v>
      </c>
      <c r="P656" s="4061">
        <v>0</v>
      </c>
      <c r="Q656" s="4839"/>
    </row>
    <row r="657" spans="1:17" s="2070" customFormat="1" ht="5.35" customHeight="1">
      <c r="A657" s="4048"/>
      <c r="B657" s="4048"/>
      <c r="C657" s="4048"/>
      <c r="D657" s="4048"/>
      <c r="E657" s="4048"/>
      <c r="F657" s="4049"/>
      <c r="G657" s="4067"/>
      <c r="H657" s="4060"/>
      <c r="I657" s="4060"/>
      <c r="J657" s="4588"/>
      <c r="K657" s="2471"/>
      <c r="L657" s="4588"/>
      <c r="M657" s="4558"/>
      <c r="N657" s="4558"/>
      <c r="O657" s="4558"/>
      <c r="P657" s="4228"/>
      <c r="Q657" s="4839"/>
    </row>
    <row r="658" spans="1:17" s="2070" customFormat="1" ht="15.65">
      <c r="A658" s="4048"/>
      <c r="B658" s="4048"/>
      <c r="C658" s="4048"/>
      <c r="D658" s="4048"/>
      <c r="E658" s="4048"/>
      <c r="F658" s="4049"/>
      <c r="G658" s="4229" t="s">
        <v>335</v>
      </c>
      <c r="H658" s="4085" t="s">
        <v>336</v>
      </c>
      <c r="I658" s="4223"/>
      <c r="J658" s="4580">
        <f>J659</f>
        <v>0</v>
      </c>
      <c r="K658" s="4520">
        <v>200000</v>
      </c>
      <c r="L658" s="4580">
        <f>L659</f>
        <v>0</v>
      </c>
      <c r="M658" s="4545">
        <f t="shared" ref="M658:M664" si="100">SUM(K658:L658)</f>
        <v>200000</v>
      </c>
      <c r="N658" s="4580">
        <f>N659</f>
        <v>0</v>
      </c>
      <c r="O658" s="4519">
        <v>0</v>
      </c>
      <c r="P658" s="4044">
        <v>0</v>
      </c>
      <c r="Q658" s="4839"/>
    </row>
    <row r="659" spans="1:17" s="2070" customFormat="1">
      <c r="A659" s="4065">
        <v>4</v>
      </c>
      <c r="B659" s="4065">
        <v>1</v>
      </c>
      <c r="C659" s="4065">
        <v>4</v>
      </c>
      <c r="D659" s="4048"/>
      <c r="E659" s="4048"/>
      <c r="F659" s="4049">
        <v>3</v>
      </c>
      <c r="G659" s="4076"/>
      <c r="H659" s="4077" t="s">
        <v>71</v>
      </c>
      <c r="I659" s="4077"/>
      <c r="J659" s="4589">
        <v>0</v>
      </c>
      <c r="K659" s="2159">
        <v>200000</v>
      </c>
      <c r="L659" s="4589">
        <f>SUM(L660:L664)</f>
        <v>0</v>
      </c>
      <c r="M659" s="4253">
        <f t="shared" si="100"/>
        <v>200000</v>
      </c>
      <c r="N659" s="4589">
        <f>N663</f>
        <v>0</v>
      </c>
      <c r="O659" s="4254">
        <v>0</v>
      </c>
      <c r="P659" s="4061">
        <v>0</v>
      </c>
      <c r="Q659" s="4839"/>
    </row>
    <row r="660" spans="1:17" s="2070" customFormat="1">
      <c r="A660" s="4074">
        <v>4</v>
      </c>
      <c r="B660" s="4074">
        <v>1</v>
      </c>
      <c r="C660" s="4074" t="s">
        <v>443</v>
      </c>
      <c r="D660" s="4074" t="s">
        <v>444</v>
      </c>
      <c r="E660" s="4074" t="s">
        <v>440</v>
      </c>
      <c r="F660" s="4049"/>
      <c r="G660" s="4059"/>
      <c r="H660" s="4060" t="s">
        <v>50</v>
      </c>
      <c r="I660" s="4060" t="s">
        <v>73</v>
      </c>
      <c r="J660" s="1964">
        <v>0</v>
      </c>
      <c r="K660" s="2159">
        <v>0</v>
      </c>
      <c r="L660" s="2160">
        <f>'[2]ALL BULAN'!E605</f>
        <v>0</v>
      </c>
      <c r="M660" s="4253">
        <f t="shared" si="100"/>
        <v>0</v>
      </c>
      <c r="N660" s="4248">
        <v>0</v>
      </c>
      <c r="O660" s="4254">
        <f>M660-J660</f>
        <v>0</v>
      </c>
      <c r="P660" s="4061">
        <v>0</v>
      </c>
      <c r="Q660" s="4839"/>
    </row>
    <row r="661" spans="1:17" s="2070" customFormat="1">
      <c r="A661" s="4069">
        <v>4</v>
      </c>
      <c r="B661" s="4069">
        <v>1</v>
      </c>
      <c r="C661" s="4069" t="s">
        <v>443</v>
      </c>
      <c r="D661" s="4069" t="s">
        <v>444</v>
      </c>
      <c r="E661" s="4070" t="s">
        <v>445</v>
      </c>
      <c r="F661" s="4049"/>
      <c r="G661" s="4059"/>
      <c r="H661" s="4060" t="s">
        <v>50</v>
      </c>
      <c r="I661" s="4060" t="s">
        <v>74</v>
      </c>
      <c r="J661" s="1964">
        <v>0</v>
      </c>
      <c r="K661" s="2159">
        <v>0</v>
      </c>
      <c r="L661" s="2160">
        <f>'[2]ALL BULAN'!E606</f>
        <v>0</v>
      </c>
      <c r="M661" s="4253">
        <f t="shared" si="100"/>
        <v>0</v>
      </c>
      <c r="N661" s="4248">
        <v>0</v>
      </c>
      <c r="O661" s="4254">
        <f>M661-J661</f>
        <v>0</v>
      </c>
      <c r="P661" s="4061">
        <v>0</v>
      </c>
      <c r="Q661" s="4839"/>
    </row>
    <row r="662" spans="1:17" s="2070" customFormat="1">
      <c r="A662" s="4101">
        <v>4</v>
      </c>
      <c r="B662" s="4101">
        <v>1</v>
      </c>
      <c r="C662" s="4101" t="s">
        <v>443</v>
      </c>
      <c r="D662" s="4101" t="s">
        <v>444</v>
      </c>
      <c r="E662" s="4101" t="s">
        <v>441</v>
      </c>
      <c r="F662" s="4049"/>
      <c r="G662" s="4059"/>
      <c r="H662" s="4060" t="s">
        <v>308</v>
      </c>
      <c r="I662" s="4060" t="s">
        <v>75</v>
      </c>
      <c r="J662" s="1964">
        <v>0</v>
      </c>
      <c r="K662" s="2159">
        <v>200000</v>
      </c>
      <c r="L662" s="2160">
        <v>0</v>
      </c>
      <c r="M662" s="4253">
        <f t="shared" si="100"/>
        <v>200000</v>
      </c>
      <c r="N662" s="4248">
        <v>0</v>
      </c>
      <c r="O662" s="4254">
        <v>0</v>
      </c>
      <c r="P662" s="4061">
        <v>0</v>
      </c>
      <c r="Q662" s="4839"/>
    </row>
    <row r="663" spans="1:17" s="2070" customFormat="1">
      <c r="A663" s="4079">
        <v>4</v>
      </c>
      <c r="B663" s="4079">
        <v>1</v>
      </c>
      <c r="C663" s="4079" t="s">
        <v>443</v>
      </c>
      <c r="D663" s="4079" t="s">
        <v>447</v>
      </c>
      <c r="E663" s="4093" t="s">
        <v>437</v>
      </c>
      <c r="F663" s="4049"/>
      <c r="G663" s="4059"/>
      <c r="H663" s="4060" t="s">
        <v>50</v>
      </c>
      <c r="I663" s="3963" t="s">
        <v>1248</v>
      </c>
      <c r="J663" s="4755">
        <v>4625000</v>
      </c>
      <c r="K663" s="2159">
        <v>0</v>
      </c>
      <c r="L663" s="2160">
        <f>'[2]ALL BULAN'!E608</f>
        <v>0</v>
      </c>
      <c r="M663" s="4253">
        <f t="shared" si="100"/>
        <v>0</v>
      </c>
      <c r="N663" s="1964">
        <v>0</v>
      </c>
      <c r="O663" s="4254">
        <v>0</v>
      </c>
      <c r="P663" s="4061">
        <v>0</v>
      </c>
      <c r="Q663" s="4839"/>
    </row>
    <row r="664" spans="1:17" s="2070" customFormat="1">
      <c r="A664" s="4048"/>
      <c r="B664" s="4048"/>
      <c r="C664" s="4048"/>
      <c r="D664" s="4048"/>
      <c r="E664" s="4048"/>
      <c r="F664" s="4049"/>
      <c r="G664" s="4059"/>
      <c r="H664" s="4060" t="s">
        <v>50</v>
      </c>
      <c r="I664" s="4060" t="s">
        <v>338</v>
      </c>
      <c r="J664" s="1964">
        <v>0</v>
      </c>
      <c r="K664" s="2159">
        <v>0</v>
      </c>
      <c r="L664" s="2160">
        <f>'[2]ALL BULAN'!E609</f>
        <v>0</v>
      </c>
      <c r="M664" s="4253">
        <f t="shared" si="100"/>
        <v>0</v>
      </c>
      <c r="N664" s="4248">
        <v>0</v>
      </c>
      <c r="O664" s="4254">
        <f>M664-J664</f>
        <v>0</v>
      </c>
      <c r="P664" s="4061">
        <v>0</v>
      </c>
      <c r="Q664" s="4839"/>
    </row>
    <row r="665" spans="1:17" s="2070" customFormat="1" ht="5.95" customHeight="1">
      <c r="A665" s="4048"/>
      <c r="B665" s="4048"/>
      <c r="C665" s="4048"/>
      <c r="D665" s="4048"/>
      <c r="E665" s="4048"/>
      <c r="F665" s="4049"/>
      <c r="G665" s="4071"/>
      <c r="H665" s="4072"/>
      <c r="I665" s="4072"/>
      <c r="J665" s="4588"/>
      <c r="K665" s="2167"/>
      <c r="L665" s="4588"/>
      <c r="M665" s="4590"/>
      <c r="N665" s="4590"/>
      <c r="O665" s="4590"/>
      <c r="P665" s="4230"/>
      <c r="Q665" s="4839"/>
    </row>
    <row r="666" spans="1:17" s="2070" customFormat="1" ht="15.65">
      <c r="A666" s="4048"/>
      <c r="B666" s="4048"/>
      <c r="C666" s="4048"/>
      <c r="D666" s="4048"/>
      <c r="E666" s="4048"/>
      <c r="F666" s="4049"/>
      <c r="G666" s="4231" t="s">
        <v>339</v>
      </c>
      <c r="H666" s="4232" t="s">
        <v>340</v>
      </c>
      <c r="I666" s="4233"/>
      <c r="J666" s="2478">
        <f>J667</f>
        <v>1274387000</v>
      </c>
      <c r="K666" s="4520">
        <v>258384000</v>
      </c>
      <c r="L666" s="2478">
        <f>L667+L685</f>
        <v>38260000</v>
      </c>
      <c r="M666" s="4545">
        <f t="shared" ref="M666:M690" si="101">SUM(K666:L666)</f>
        <v>296644000</v>
      </c>
      <c r="N666" s="2478">
        <f>SUM(N667+N685)</f>
        <v>1153018000</v>
      </c>
      <c r="O666" s="4822">
        <f>N666-J666</f>
        <v>-121369000</v>
      </c>
      <c r="P666" s="4044">
        <f>O666/J666*100</f>
        <v>-9.5237161082151651</v>
      </c>
      <c r="Q666" s="4839"/>
    </row>
    <row r="667" spans="1:17" s="2070" customFormat="1">
      <c r="A667" s="4048"/>
      <c r="B667" s="4048"/>
      <c r="C667" s="4048"/>
      <c r="D667" s="4048"/>
      <c r="E667" s="4048"/>
      <c r="F667" s="4049">
        <v>1</v>
      </c>
      <c r="G667" s="4050"/>
      <c r="H667" s="4037" t="s">
        <v>106</v>
      </c>
      <c r="I667" s="4051"/>
      <c r="J667" s="4582">
        <f>SUM(J668+J672)</f>
        <v>1274387000</v>
      </c>
      <c r="K667" s="2159">
        <v>256284000</v>
      </c>
      <c r="L667" s="4582">
        <f>L668+L672</f>
        <v>38260000</v>
      </c>
      <c r="M667" s="4253">
        <f t="shared" si="101"/>
        <v>294544000</v>
      </c>
      <c r="N667" s="4582">
        <f>SUM(N668+N672)</f>
        <v>1153018000</v>
      </c>
      <c r="O667" s="4823">
        <f t="shared" ref="O667:O690" si="102">N667-J667</f>
        <v>-121369000</v>
      </c>
      <c r="P667" s="4758">
        <f>O667/J667*100</f>
        <v>-9.5237161082151651</v>
      </c>
      <c r="Q667" s="4839"/>
    </row>
    <row r="668" spans="1:17" s="2070" customFormat="1">
      <c r="A668" s="4046">
        <v>4</v>
      </c>
      <c r="B668" s="4046">
        <v>1</v>
      </c>
      <c r="C668" s="4046">
        <v>2</v>
      </c>
      <c r="D668" s="4047" t="s">
        <v>438</v>
      </c>
      <c r="E668" s="4128"/>
      <c r="F668" s="4049"/>
      <c r="G668" s="4055"/>
      <c r="H668" s="4056" t="s">
        <v>63</v>
      </c>
      <c r="I668" s="4056"/>
      <c r="J668" s="4591">
        <f>J669</f>
        <v>200000000</v>
      </c>
      <c r="K668" s="2159">
        <v>0</v>
      </c>
      <c r="L668" s="4591">
        <f>L669</f>
        <v>400000</v>
      </c>
      <c r="M668" s="4253">
        <f t="shared" si="101"/>
        <v>400000</v>
      </c>
      <c r="N668" s="4591">
        <f>N669</f>
        <v>200000000</v>
      </c>
      <c r="O668" s="4523">
        <f t="shared" si="102"/>
        <v>0</v>
      </c>
      <c r="P668" s="4061">
        <f>O668/J668*100</f>
        <v>0</v>
      </c>
      <c r="Q668" s="4839"/>
    </row>
    <row r="669" spans="1:17" s="2070" customFormat="1">
      <c r="A669" s="4046">
        <v>4</v>
      </c>
      <c r="B669" s="4046">
        <v>1</v>
      </c>
      <c r="C669" s="4046">
        <v>2</v>
      </c>
      <c r="D669" s="4047" t="s">
        <v>438</v>
      </c>
      <c r="E669" s="4093" t="s">
        <v>440</v>
      </c>
      <c r="F669" s="4049"/>
      <c r="G669" s="4055"/>
      <c r="H669" s="4234" t="s">
        <v>50</v>
      </c>
      <c r="I669" s="4126" t="s">
        <v>304</v>
      </c>
      <c r="J669" s="4591">
        <f>J670</f>
        <v>200000000</v>
      </c>
      <c r="K669" s="2159">
        <v>0</v>
      </c>
      <c r="L669" s="4591">
        <f>SUM(L670)</f>
        <v>400000</v>
      </c>
      <c r="M669" s="4253">
        <f t="shared" si="101"/>
        <v>400000</v>
      </c>
      <c r="N669" s="4591">
        <f>N670</f>
        <v>200000000</v>
      </c>
      <c r="O669" s="4523">
        <f t="shared" si="102"/>
        <v>0</v>
      </c>
      <c r="P669" s="4061">
        <f t="shared" ref="P669:P683" si="103">O669/J669*100</f>
        <v>0</v>
      </c>
      <c r="Q669" s="4839"/>
    </row>
    <row r="670" spans="1:17" s="2070" customFormat="1">
      <c r="A670" s="4046">
        <v>4</v>
      </c>
      <c r="B670" s="4046">
        <v>1</v>
      </c>
      <c r="C670" s="4046">
        <v>2</v>
      </c>
      <c r="D670" s="4047" t="s">
        <v>438</v>
      </c>
      <c r="E670" s="4093" t="s">
        <v>437</v>
      </c>
      <c r="F670" s="4049"/>
      <c r="G670" s="4055"/>
      <c r="H670" s="4056"/>
      <c r="I670" s="4145" t="s">
        <v>341</v>
      </c>
      <c r="J670" s="1964">
        <v>200000000</v>
      </c>
      <c r="K670" s="2159">
        <v>0</v>
      </c>
      <c r="L670" s="2160">
        <v>400000</v>
      </c>
      <c r="M670" s="4253">
        <f t="shared" si="101"/>
        <v>400000</v>
      </c>
      <c r="N670" s="1964">
        <v>200000000</v>
      </c>
      <c r="O670" s="4523">
        <f t="shared" si="102"/>
        <v>0</v>
      </c>
      <c r="P670" s="4061">
        <f t="shared" si="103"/>
        <v>0</v>
      </c>
      <c r="Q670" s="4839"/>
    </row>
    <row r="671" spans="1:17" s="2070" customFormat="1" ht="5.35" customHeight="1">
      <c r="A671" s="4048"/>
      <c r="B671" s="4048"/>
      <c r="C671" s="4048"/>
      <c r="D671" s="4048"/>
      <c r="E671" s="4048"/>
      <c r="F671" s="4049"/>
      <c r="G671" s="4055"/>
      <c r="H671" s="4056"/>
      <c r="I671" s="4056"/>
      <c r="J671" s="4591"/>
      <c r="K671" s="2159">
        <v>0</v>
      </c>
      <c r="L671" s="4591"/>
      <c r="M671" s="4253">
        <f t="shared" si="101"/>
        <v>0</v>
      </c>
      <c r="N671" s="4253"/>
      <c r="O671" s="4523">
        <f t="shared" si="102"/>
        <v>0</v>
      </c>
      <c r="P671" s="4061">
        <v>0</v>
      </c>
      <c r="Q671" s="4839"/>
    </row>
    <row r="672" spans="1:17" s="2070" customFormat="1">
      <c r="A672" s="4046">
        <v>4</v>
      </c>
      <c r="B672" s="4046">
        <v>1</v>
      </c>
      <c r="C672" s="4046">
        <v>2</v>
      </c>
      <c r="D672" s="4047" t="s">
        <v>438</v>
      </c>
      <c r="E672" s="4093" t="s">
        <v>448</v>
      </c>
      <c r="F672" s="4049"/>
      <c r="G672" s="4055"/>
      <c r="H672" s="4051" t="s">
        <v>342</v>
      </c>
      <c r="I672" s="4056"/>
      <c r="J672" s="2482">
        <f>SUM(J673:J683)</f>
        <v>1074387000</v>
      </c>
      <c r="K672" s="2159">
        <v>256284000</v>
      </c>
      <c r="L672" s="2482">
        <f>SUM(L673:L683)</f>
        <v>37860000</v>
      </c>
      <c r="M672" s="4253">
        <f t="shared" si="101"/>
        <v>294144000</v>
      </c>
      <c r="N672" s="2482">
        <f>SUM(N673:N683)</f>
        <v>953018000</v>
      </c>
      <c r="O672" s="4523">
        <f t="shared" si="102"/>
        <v>-121369000</v>
      </c>
      <c r="P672" s="4061">
        <f t="shared" si="103"/>
        <v>-11.296581213287205</v>
      </c>
      <c r="Q672" s="4839"/>
    </row>
    <row r="673" spans="1:17" s="2070" customFormat="1">
      <c r="A673" s="4048"/>
      <c r="B673" s="4048"/>
      <c r="C673" s="4048"/>
      <c r="D673" s="4048"/>
      <c r="E673" s="4048"/>
      <c r="F673" s="4049"/>
      <c r="G673" s="4067"/>
      <c r="H673" s="4060" t="s">
        <v>50</v>
      </c>
      <c r="I673" s="4060" t="s">
        <v>343</v>
      </c>
      <c r="J673" s="1964">
        <v>259229500</v>
      </c>
      <c r="K673" s="2159">
        <v>133580000</v>
      </c>
      <c r="L673" s="2160">
        <f>9000000+2430000</f>
        <v>11430000</v>
      </c>
      <c r="M673" s="4253">
        <f t="shared" si="101"/>
        <v>145010000</v>
      </c>
      <c r="N673" s="1964">
        <v>281240000</v>
      </c>
      <c r="O673" s="4523">
        <f t="shared" si="102"/>
        <v>22010500</v>
      </c>
      <c r="P673" s="4061">
        <f t="shared" si="103"/>
        <v>8.4907389012438781</v>
      </c>
      <c r="Q673" s="4839"/>
    </row>
    <row r="674" spans="1:17" s="2070" customFormat="1">
      <c r="A674" s="4048"/>
      <c r="B674" s="4048"/>
      <c r="C674" s="4048"/>
      <c r="D674" s="4048"/>
      <c r="E674" s="4048"/>
      <c r="F674" s="4049"/>
      <c r="G674" s="4067"/>
      <c r="H674" s="4060" t="s">
        <v>50</v>
      </c>
      <c r="I674" s="4060" t="s">
        <v>344</v>
      </c>
      <c r="J674" s="1964">
        <v>374739500</v>
      </c>
      <c r="K674" s="2159">
        <v>28650000</v>
      </c>
      <c r="L674" s="2160">
        <v>2310000</v>
      </c>
      <c r="M674" s="4253">
        <f t="shared" si="101"/>
        <v>30960000</v>
      </c>
      <c r="N674" s="1964">
        <v>246440000</v>
      </c>
      <c r="O674" s="4523">
        <f t="shared" si="102"/>
        <v>-128299500</v>
      </c>
      <c r="P674" s="4061">
        <f t="shared" si="103"/>
        <v>-34.236983291059524</v>
      </c>
      <c r="Q674" s="4839"/>
    </row>
    <row r="675" spans="1:17" s="2070" customFormat="1">
      <c r="A675" s="4048"/>
      <c r="B675" s="4048"/>
      <c r="C675" s="4048"/>
      <c r="D675" s="4048"/>
      <c r="E675" s="4048"/>
      <c r="F675" s="4049"/>
      <c r="G675" s="4067"/>
      <c r="H675" s="4060" t="s">
        <v>50</v>
      </c>
      <c r="I675" s="4060" t="s">
        <v>345</v>
      </c>
      <c r="J675" s="1964">
        <v>271618000</v>
      </c>
      <c r="K675" s="2159">
        <v>32440000</v>
      </c>
      <c r="L675" s="2160">
        <f>'[2]ALL BULAN'!E620</f>
        <v>0</v>
      </c>
      <c r="M675" s="4253">
        <f t="shared" si="101"/>
        <v>32440000</v>
      </c>
      <c r="N675" s="1964">
        <v>271985000</v>
      </c>
      <c r="O675" s="4523">
        <f t="shared" si="102"/>
        <v>367000</v>
      </c>
      <c r="P675" s="4061">
        <f t="shared" si="103"/>
        <v>0.13511622941042198</v>
      </c>
      <c r="Q675" s="4839"/>
    </row>
    <row r="676" spans="1:17" s="2070" customFormat="1">
      <c r="A676" s="4048"/>
      <c r="B676" s="4048"/>
      <c r="C676" s="4048"/>
      <c r="D676" s="4048"/>
      <c r="E676" s="4048"/>
      <c r="F676" s="4049"/>
      <c r="G676" s="4067"/>
      <c r="H676" s="4060" t="s">
        <v>50</v>
      </c>
      <c r="I676" s="4060" t="s">
        <v>346</v>
      </c>
      <c r="J676" s="1964">
        <v>0</v>
      </c>
      <c r="K676" s="2159">
        <v>0</v>
      </c>
      <c r="L676" s="2160">
        <f>'[2]ALL BULAN'!E621</f>
        <v>0</v>
      </c>
      <c r="M676" s="4253">
        <f t="shared" si="101"/>
        <v>0</v>
      </c>
      <c r="N676" s="4253">
        <v>0</v>
      </c>
      <c r="O676" s="4523">
        <f t="shared" si="102"/>
        <v>0</v>
      </c>
      <c r="P676" s="4061">
        <v>0</v>
      </c>
      <c r="Q676" s="4839"/>
    </row>
    <row r="677" spans="1:17" s="2070" customFormat="1">
      <c r="A677" s="4048"/>
      <c r="B677" s="4048"/>
      <c r="C677" s="4048"/>
      <c r="D677" s="4048"/>
      <c r="E677" s="4048"/>
      <c r="F677" s="4049"/>
      <c r="G677" s="4067"/>
      <c r="H677" s="4060" t="s">
        <v>50</v>
      </c>
      <c r="I677" s="4060" t="s">
        <v>347</v>
      </c>
      <c r="J677" s="1964">
        <v>0</v>
      </c>
      <c r="K677" s="2159">
        <v>0</v>
      </c>
      <c r="L677" s="2160">
        <f>'[2]ALL BULAN'!E622</f>
        <v>0</v>
      </c>
      <c r="M677" s="4253">
        <f t="shared" si="101"/>
        <v>0</v>
      </c>
      <c r="N677" s="4253">
        <v>0</v>
      </c>
      <c r="O677" s="4523">
        <f t="shared" si="102"/>
        <v>0</v>
      </c>
      <c r="P677" s="4061">
        <v>0</v>
      </c>
      <c r="Q677" s="4839"/>
    </row>
    <row r="678" spans="1:17" s="2070" customFormat="1">
      <c r="A678" s="4048"/>
      <c r="B678" s="4048"/>
      <c r="C678" s="4048"/>
      <c r="D678" s="4048"/>
      <c r="E678" s="4048"/>
      <c r="F678" s="4049"/>
      <c r="G678" s="4067"/>
      <c r="H678" s="4060" t="s">
        <v>50</v>
      </c>
      <c r="I678" s="4060" t="s">
        <v>348</v>
      </c>
      <c r="J678" s="1964">
        <v>46200000</v>
      </c>
      <c r="K678" s="2159">
        <v>29700000</v>
      </c>
      <c r="L678" s="2160">
        <v>0</v>
      </c>
      <c r="M678" s="4253">
        <f t="shared" si="101"/>
        <v>29700000</v>
      </c>
      <c r="N678" s="4248">
        <v>50200000</v>
      </c>
      <c r="O678" s="4523">
        <f t="shared" si="102"/>
        <v>4000000</v>
      </c>
      <c r="P678" s="4061">
        <f t="shared" si="103"/>
        <v>8.6580086580086579</v>
      </c>
      <c r="Q678" s="4839"/>
    </row>
    <row r="679" spans="1:17" s="2070" customFormat="1">
      <c r="A679" s="4048"/>
      <c r="B679" s="4048"/>
      <c r="C679" s="4048"/>
      <c r="D679" s="4048"/>
      <c r="E679" s="4048"/>
      <c r="F679" s="4049"/>
      <c r="G679" s="4067"/>
      <c r="H679" s="4060" t="s">
        <v>50</v>
      </c>
      <c r="I679" s="4060" t="s">
        <v>349</v>
      </c>
      <c r="J679" s="1964">
        <v>88200000</v>
      </c>
      <c r="K679" s="2159">
        <v>16920000</v>
      </c>
      <c r="L679" s="2160">
        <f>13320000+10800000</f>
        <v>24120000</v>
      </c>
      <c r="M679" s="4253">
        <f t="shared" si="101"/>
        <v>41040000</v>
      </c>
      <c r="N679" s="4248">
        <v>68200000</v>
      </c>
      <c r="O679" s="4523">
        <f t="shared" si="102"/>
        <v>-20000000</v>
      </c>
      <c r="P679" s="4061">
        <f t="shared" si="103"/>
        <v>-22.67573696145125</v>
      </c>
      <c r="Q679" s="4839"/>
    </row>
    <row r="680" spans="1:17" s="2070" customFormat="1">
      <c r="A680" s="4048"/>
      <c r="B680" s="4048"/>
      <c r="C680" s="4048"/>
      <c r="D680" s="4048"/>
      <c r="E680" s="4048"/>
      <c r="F680" s="4049"/>
      <c r="G680" s="4067"/>
      <c r="H680" s="4060" t="s">
        <v>50</v>
      </c>
      <c r="I680" s="4060" t="s">
        <v>350</v>
      </c>
      <c r="J680" s="1964">
        <v>24400000</v>
      </c>
      <c r="K680" s="2159">
        <v>14994000</v>
      </c>
      <c r="L680" s="2160">
        <f>'[2]ALL BULAN'!E625</f>
        <v>0</v>
      </c>
      <c r="M680" s="4253">
        <f t="shared" si="101"/>
        <v>14994000</v>
      </c>
      <c r="N680" s="4248">
        <v>24453000</v>
      </c>
      <c r="O680" s="4523">
        <f t="shared" si="102"/>
        <v>53000</v>
      </c>
      <c r="P680" s="4061">
        <f t="shared" si="103"/>
        <v>0.21721311475409838</v>
      </c>
      <c r="Q680" s="4839"/>
    </row>
    <row r="681" spans="1:17" s="2070" customFormat="1">
      <c r="A681" s="4048"/>
      <c r="B681" s="4048"/>
      <c r="C681" s="4048"/>
      <c r="D681" s="4048"/>
      <c r="E681" s="4048"/>
      <c r="F681" s="4049"/>
      <c r="G681" s="4067"/>
      <c r="H681" s="4060" t="s">
        <v>50</v>
      </c>
      <c r="I681" s="4060" t="s">
        <v>351</v>
      </c>
      <c r="J681" s="1964">
        <v>0</v>
      </c>
      <c r="K681" s="2159">
        <v>0</v>
      </c>
      <c r="L681" s="2160">
        <f>'[2]ALL BULAN'!E626</f>
        <v>0</v>
      </c>
      <c r="M681" s="4253">
        <f t="shared" si="101"/>
        <v>0</v>
      </c>
      <c r="N681" s="4253">
        <v>0</v>
      </c>
      <c r="O681" s="4523">
        <f t="shared" si="102"/>
        <v>0</v>
      </c>
      <c r="P681" s="4061">
        <v>0</v>
      </c>
      <c r="Q681" s="4839"/>
    </row>
    <row r="682" spans="1:17" s="2070" customFormat="1">
      <c r="A682" s="4048"/>
      <c r="B682" s="4048"/>
      <c r="C682" s="4048"/>
      <c r="D682" s="4048"/>
      <c r="E682" s="4048"/>
      <c r="F682" s="4049"/>
      <c r="G682" s="4067"/>
      <c r="H682" s="4235" t="s">
        <v>50</v>
      </c>
      <c r="I682" s="4236" t="s">
        <v>352</v>
      </c>
      <c r="J682" s="1964">
        <v>0</v>
      </c>
      <c r="K682" s="2159">
        <v>0</v>
      </c>
      <c r="L682" s="2160">
        <f>'[2]ALL BULAN'!E627</f>
        <v>0</v>
      </c>
      <c r="M682" s="4253">
        <f t="shared" si="101"/>
        <v>0</v>
      </c>
      <c r="N682" s="4253">
        <v>0</v>
      </c>
      <c r="O682" s="4523">
        <f t="shared" si="102"/>
        <v>0</v>
      </c>
      <c r="P682" s="4061">
        <v>0</v>
      </c>
      <c r="Q682" s="4839"/>
    </row>
    <row r="683" spans="1:17" s="2070" customFormat="1">
      <c r="A683" s="4048"/>
      <c r="B683" s="4048"/>
      <c r="C683" s="4048"/>
      <c r="D683" s="4048"/>
      <c r="E683" s="4048"/>
      <c r="F683" s="4049"/>
      <c r="G683" s="4067"/>
      <c r="H683" s="4237" t="s">
        <v>50</v>
      </c>
      <c r="I683" s="4236" t="s">
        <v>353</v>
      </c>
      <c r="J683" s="1964">
        <v>10000000</v>
      </c>
      <c r="K683" s="2159">
        <v>0</v>
      </c>
      <c r="L683" s="2160">
        <f>'[2]ALL BULAN'!E628</f>
        <v>0</v>
      </c>
      <c r="M683" s="4253">
        <f t="shared" si="101"/>
        <v>0</v>
      </c>
      <c r="N683" s="4248">
        <v>10500000</v>
      </c>
      <c r="O683" s="4523">
        <f t="shared" si="102"/>
        <v>500000</v>
      </c>
      <c r="P683" s="4061">
        <f t="shared" si="103"/>
        <v>5</v>
      </c>
      <c r="Q683" s="4839"/>
    </row>
    <row r="684" spans="1:17" s="2070" customFormat="1" ht="5.35" customHeight="1">
      <c r="A684" s="4048"/>
      <c r="B684" s="4048"/>
      <c r="C684" s="4048"/>
      <c r="D684" s="4048"/>
      <c r="E684" s="4048"/>
      <c r="F684" s="4049"/>
      <c r="G684" s="4067"/>
      <c r="H684" s="4060"/>
      <c r="I684" s="4060"/>
      <c r="J684" s="4541"/>
      <c r="K684" s="2159">
        <v>0</v>
      </c>
      <c r="L684" s="4541"/>
      <c r="M684" s="4253">
        <f t="shared" si="101"/>
        <v>0</v>
      </c>
      <c r="N684" s="4253"/>
      <c r="O684" s="4523">
        <f t="shared" si="102"/>
        <v>0</v>
      </c>
      <c r="P684" s="4061">
        <v>0</v>
      </c>
      <c r="Q684" s="4839"/>
    </row>
    <row r="685" spans="1:17" s="2070" customFormat="1">
      <c r="A685" s="4065">
        <v>4</v>
      </c>
      <c r="B685" s="4065">
        <v>1</v>
      </c>
      <c r="C685" s="4065">
        <v>4</v>
      </c>
      <c r="D685" s="4048"/>
      <c r="E685" s="4048"/>
      <c r="F685" s="4049">
        <v>3</v>
      </c>
      <c r="G685" s="4067"/>
      <c r="H685" s="4068" t="s">
        <v>71</v>
      </c>
      <c r="I685" s="4068"/>
      <c r="J685" s="4542">
        <v>0</v>
      </c>
      <c r="K685" s="2159">
        <v>2100000</v>
      </c>
      <c r="L685" s="4542">
        <f>SUM(L686:L690)</f>
        <v>0</v>
      </c>
      <c r="M685" s="4253">
        <f t="shared" si="101"/>
        <v>2100000</v>
      </c>
      <c r="N685" s="4542">
        <f>N689</f>
        <v>0</v>
      </c>
      <c r="O685" s="4523">
        <f t="shared" si="102"/>
        <v>0</v>
      </c>
      <c r="P685" s="4061">
        <v>0</v>
      </c>
      <c r="Q685" s="4839"/>
    </row>
    <row r="686" spans="1:17" s="2070" customFormat="1">
      <c r="A686" s="4074">
        <v>4</v>
      </c>
      <c r="B686" s="4074">
        <v>1</v>
      </c>
      <c r="C686" s="4074" t="s">
        <v>443</v>
      </c>
      <c r="D686" s="4074" t="s">
        <v>444</v>
      </c>
      <c r="E686" s="4074" t="s">
        <v>440</v>
      </c>
      <c r="F686" s="4049"/>
      <c r="G686" s="4059"/>
      <c r="H686" s="4060" t="s">
        <v>50</v>
      </c>
      <c r="I686" s="4060" t="s">
        <v>73</v>
      </c>
      <c r="J686" s="1964">
        <v>0</v>
      </c>
      <c r="K686" s="2159">
        <v>0</v>
      </c>
      <c r="L686" s="2160">
        <f>'[2]ALL BULAN'!E631</f>
        <v>0</v>
      </c>
      <c r="M686" s="4253">
        <f t="shared" si="101"/>
        <v>0</v>
      </c>
      <c r="N686" s="4253"/>
      <c r="O686" s="4523">
        <f t="shared" si="102"/>
        <v>0</v>
      </c>
      <c r="P686" s="4061">
        <v>0</v>
      </c>
      <c r="Q686" s="4839"/>
    </row>
    <row r="687" spans="1:17" s="2070" customFormat="1">
      <c r="A687" s="4069">
        <v>4</v>
      </c>
      <c r="B687" s="4069">
        <v>1</v>
      </c>
      <c r="C687" s="4069" t="s">
        <v>443</v>
      </c>
      <c r="D687" s="4069" t="s">
        <v>444</v>
      </c>
      <c r="E687" s="4070" t="s">
        <v>445</v>
      </c>
      <c r="F687" s="4049"/>
      <c r="G687" s="4059"/>
      <c r="H687" s="4060" t="s">
        <v>50</v>
      </c>
      <c r="I687" s="4060" t="s">
        <v>74</v>
      </c>
      <c r="J687" s="1964">
        <v>0</v>
      </c>
      <c r="K687" s="2159">
        <v>0</v>
      </c>
      <c r="L687" s="2160">
        <f>'[2]ALL BULAN'!E632</f>
        <v>0</v>
      </c>
      <c r="M687" s="4253">
        <f t="shared" si="101"/>
        <v>0</v>
      </c>
      <c r="N687" s="4253"/>
      <c r="O687" s="4523">
        <f t="shared" si="102"/>
        <v>0</v>
      </c>
      <c r="P687" s="4061">
        <v>0</v>
      </c>
      <c r="Q687" s="4839"/>
    </row>
    <row r="688" spans="1:17" s="2070" customFormat="1">
      <c r="A688" s="4101">
        <v>4</v>
      </c>
      <c r="B688" s="4101">
        <v>1</v>
      </c>
      <c r="C688" s="4101" t="s">
        <v>443</v>
      </c>
      <c r="D688" s="4101" t="s">
        <v>444</v>
      </c>
      <c r="E688" s="4101" t="s">
        <v>441</v>
      </c>
      <c r="F688" s="4049"/>
      <c r="G688" s="4059"/>
      <c r="H688" s="4060" t="s">
        <v>308</v>
      </c>
      <c r="I688" s="4060" t="s">
        <v>75</v>
      </c>
      <c r="J688" s="1964">
        <v>0</v>
      </c>
      <c r="K688" s="2159">
        <v>0</v>
      </c>
      <c r="L688" s="2160">
        <f>'[2]ALL BULAN'!E633</f>
        <v>0</v>
      </c>
      <c r="M688" s="4253">
        <f t="shared" si="101"/>
        <v>0</v>
      </c>
      <c r="N688" s="4253"/>
      <c r="O688" s="4523">
        <f t="shared" si="102"/>
        <v>0</v>
      </c>
      <c r="P688" s="4061">
        <v>0</v>
      </c>
      <c r="Q688" s="4839"/>
    </row>
    <row r="689" spans="1:17" s="2070" customFormat="1">
      <c r="A689" s="4048"/>
      <c r="B689" s="4048"/>
      <c r="C689" s="4048"/>
      <c r="D689" s="4048"/>
      <c r="E689" s="4048"/>
      <c r="F689" s="4049"/>
      <c r="G689" s="4067"/>
      <c r="H689" s="4060" t="s">
        <v>50</v>
      </c>
      <c r="I689" s="3963" t="s">
        <v>1251</v>
      </c>
      <c r="J689" s="4755">
        <v>1508491400</v>
      </c>
      <c r="K689" s="2159">
        <v>2100000</v>
      </c>
      <c r="L689" s="2160">
        <v>0</v>
      </c>
      <c r="M689" s="4253">
        <f t="shared" si="101"/>
        <v>2100000</v>
      </c>
      <c r="N689" s="4248">
        <v>0</v>
      </c>
      <c r="O689" s="4523">
        <f t="shared" si="102"/>
        <v>-1508491400</v>
      </c>
      <c r="P689" s="4061">
        <v>0</v>
      </c>
      <c r="Q689" s="4839"/>
    </row>
    <row r="690" spans="1:17" s="2070" customFormat="1">
      <c r="A690" s="4065">
        <v>4</v>
      </c>
      <c r="B690" s="4065">
        <v>1</v>
      </c>
      <c r="C690" s="4065">
        <v>4</v>
      </c>
      <c r="D690" s="4065" t="s">
        <v>441</v>
      </c>
      <c r="E690" s="4048"/>
      <c r="F690" s="4049"/>
      <c r="G690" s="4067"/>
      <c r="H690" s="4238" t="s">
        <v>50</v>
      </c>
      <c r="I690" s="4238" t="s">
        <v>324</v>
      </c>
      <c r="J690" s="1964">
        <v>0</v>
      </c>
      <c r="K690" s="2159">
        <v>0</v>
      </c>
      <c r="L690" s="2160">
        <f>'[2]ALL BULAN'!E635</f>
        <v>0</v>
      </c>
      <c r="M690" s="4253">
        <f t="shared" si="101"/>
        <v>0</v>
      </c>
      <c r="N690" s="4253"/>
      <c r="O690" s="4523">
        <f t="shared" si="102"/>
        <v>0</v>
      </c>
      <c r="P690" s="4061">
        <v>0</v>
      </c>
      <c r="Q690" s="4839"/>
    </row>
    <row r="691" spans="1:17" s="2070" customFormat="1" ht="5.35" customHeight="1">
      <c r="A691" s="4048"/>
      <c r="B691" s="4048"/>
      <c r="C691" s="4048"/>
      <c r="D691" s="4048"/>
      <c r="E691" s="4048"/>
      <c r="F691" s="4049"/>
      <c r="G691" s="4102"/>
      <c r="H691" s="4083"/>
      <c r="I691" s="4083"/>
      <c r="J691" s="4592"/>
      <c r="K691" s="2341"/>
      <c r="L691" s="4592"/>
      <c r="M691" s="4593"/>
      <c r="N691" s="4593"/>
      <c r="O691" s="4824"/>
      <c r="P691" s="4239"/>
      <c r="Q691" s="4839"/>
    </row>
    <row r="692" spans="1:17" s="2070" customFormat="1" ht="15.65">
      <c r="A692" s="4048"/>
      <c r="B692" s="4048"/>
      <c r="C692" s="4048"/>
      <c r="D692" s="4048"/>
      <c r="E692" s="4048"/>
      <c r="F692" s="4049"/>
      <c r="G692" s="4041" t="s">
        <v>355</v>
      </c>
      <c r="H692" s="4042" t="s">
        <v>356</v>
      </c>
      <c r="I692" s="4097"/>
      <c r="J692" s="4545">
        <f>J693</f>
        <v>1004500000</v>
      </c>
      <c r="K692" s="4520">
        <v>14881950</v>
      </c>
      <c r="L692" s="4545">
        <f>L693+L710</f>
        <v>120000</v>
      </c>
      <c r="M692" s="4545">
        <f t="shared" ref="M692:M714" si="104">SUM(K692:L692)</f>
        <v>15001950</v>
      </c>
      <c r="N692" s="4545">
        <f>N693</f>
        <v>291000000</v>
      </c>
      <c r="O692" s="4519">
        <f>N692-J692</f>
        <v>-713500000</v>
      </c>
      <c r="P692" s="4044">
        <f>O692/J692*100</f>
        <v>-71.030363364858147</v>
      </c>
      <c r="Q692" s="4839"/>
    </row>
    <row r="693" spans="1:17" s="2070" customFormat="1">
      <c r="A693" s="4046">
        <v>4</v>
      </c>
      <c r="B693" s="4046">
        <v>1</v>
      </c>
      <c r="C693" s="4046">
        <v>2</v>
      </c>
      <c r="D693" s="4047" t="s">
        <v>438</v>
      </c>
      <c r="E693" s="4128"/>
      <c r="F693" s="4049">
        <v>1</v>
      </c>
      <c r="G693" s="4050"/>
      <c r="H693" s="4051" t="s">
        <v>63</v>
      </c>
      <c r="I693" s="4224"/>
      <c r="J693" s="4586">
        <f>SUM(J694+J701)</f>
        <v>1004500000</v>
      </c>
      <c r="K693" s="2159">
        <v>14161950</v>
      </c>
      <c r="L693" s="4586">
        <f>+L694+L701</f>
        <v>120000</v>
      </c>
      <c r="M693" s="4253">
        <f t="shared" si="104"/>
        <v>14281950</v>
      </c>
      <c r="N693" s="4253">
        <f>SUM(N694+N701)</f>
        <v>291000000</v>
      </c>
      <c r="O693" s="2263">
        <f t="shared" ref="O693:O714" si="105">N693-J693</f>
        <v>-713500000</v>
      </c>
      <c r="P693" s="4061">
        <f>O693/J693*100</f>
        <v>-71.030363364858147</v>
      </c>
      <c r="Q693" s="4839"/>
    </row>
    <row r="694" spans="1:17" s="2070" customFormat="1">
      <c r="A694" s="4046">
        <v>4</v>
      </c>
      <c r="B694" s="4046">
        <v>1</v>
      </c>
      <c r="C694" s="4046">
        <v>2</v>
      </c>
      <c r="D694" s="4047" t="s">
        <v>438</v>
      </c>
      <c r="E694" s="4093" t="s">
        <v>437</v>
      </c>
      <c r="F694" s="4049"/>
      <c r="G694" s="4059"/>
      <c r="H694" s="4068" t="s">
        <v>64</v>
      </c>
      <c r="I694" s="4060"/>
      <c r="J694" s="4542">
        <f>SUM(J695:J698)</f>
        <v>785500000</v>
      </c>
      <c r="K694" s="2159">
        <v>13303900</v>
      </c>
      <c r="L694" s="4542">
        <f>SUM(L695:L699)</f>
        <v>120000</v>
      </c>
      <c r="M694" s="4253">
        <f t="shared" si="104"/>
        <v>13423900</v>
      </c>
      <c r="N694" s="4542">
        <f>SUM(N695:N698)</f>
        <v>72000000</v>
      </c>
      <c r="O694" s="4523">
        <f t="shared" si="105"/>
        <v>-713500000</v>
      </c>
      <c r="P694" s="4061">
        <f>O694/J694*100</f>
        <v>-90.833863781031184</v>
      </c>
      <c r="Q694" s="4839"/>
    </row>
    <row r="695" spans="1:17" s="2070" customFormat="1">
      <c r="A695" s="4048"/>
      <c r="B695" s="4048"/>
      <c r="C695" s="4048"/>
      <c r="D695" s="4048"/>
      <c r="E695" s="4048"/>
      <c r="F695" s="4049"/>
      <c r="G695" s="4067"/>
      <c r="H695" s="4060" t="s">
        <v>50</v>
      </c>
      <c r="I695" s="4060" t="s">
        <v>357</v>
      </c>
      <c r="J695" s="1964">
        <v>40000000</v>
      </c>
      <c r="K695" s="2159">
        <v>7487600</v>
      </c>
      <c r="L695" s="2160">
        <v>0</v>
      </c>
      <c r="M695" s="4253">
        <f t="shared" si="104"/>
        <v>7487600</v>
      </c>
      <c r="N695" s="4253">
        <v>0</v>
      </c>
      <c r="O695" s="4523">
        <f t="shared" si="105"/>
        <v>-40000000</v>
      </c>
      <c r="P695" s="4061">
        <f>O695/J695*100</f>
        <v>-100</v>
      </c>
      <c r="Q695" s="4839"/>
    </row>
    <row r="696" spans="1:17" s="2070" customFormat="1">
      <c r="A696" s="4048"/>
      <c r="B696" s="4048"/>
      <c r="C696" s="4048"/>
      <c r="D696" s="4048"/>
      <c r="E696" s="4048"/>
      <c r="F696" s="4049"/>
      <c r="G696" s="4067"/>
      <c r="H696" s="4060" t="s">
        <v>50</v>
      </c>
      <c r="I696" s="4060" t="s">
        <v>358</v>
      </c>
      <c r="J696" s="1964">
        <v>23000000</v>
      </c>
      <c r="K696" s="2159">
        <v>2276300</v>
      </c>
      <c r="L696" s="2160">
        <v>0</v>
      </c>
      <c r="M696" s="4253">
        <f t="shared" si="104"/>
        <v>2276300</v>
      </c>
      <c r="N696" s="4253">
        <v>0</v>
      </c>
      <c r="O696" s="4523">
        <f t="shared" si="105"/>
        <v>-23000000</v>
      </c>
      <c r="P696" s="4061">
        <f t="shared" ref="P696:P704" si="106">O696/J696*100</f>
        <v>-100</v>
      </c>
      <c r="Q696" s="4839"/>
    </row>
    <row r="697" spans="1:17" s="2070" customFormat="1">
      <c r="A697" s="4048"/>
      <c r="B697" s="4048"/>
      <c r="C697" s="4048"/>
      <c r="D697" s="4048"/>
      <c r="E697" s="4048"/>
      <c r="F697" s="4049"/>
      <c r="G697" s="4067"/>
      <c r="H697" s="200" t="s">
        <v>50</v>
      </c>
      <c r="I697" s="200" t="s">
        <v>1237</v>
      </c>
      <c r="J697" s="1964">
        <v>0</v>
      </c>
      <c r="K697" s="2159"/>
      <c r="L697" s="2160"/>
      <c r="M697" s="4253"/>
      <c r="N697" s="4248">
        <v>45000000</v>
      </c>
      <c r="O697" s="4523">
        <f t="shared" si="105"/>
        <v>45000000</v>
      </c>
      <c r="P697" s="4061">
        <v>0</v>
      </c>
      <c r="Q697" s="4839"/>
    </row>
    <row r="698" spans="1:17" s="2070" customFormat="1">
      <c r="A698" s="4048"/>
      <c r="B698" s="4048"/>
      <c r="C698" s="4048"/>
      <c r="D698" s="4048"/>
      <c r="E698" s="4048"/>
      <c r="F698" s="4049"/>
      <c r="G698" s="4067"/>
      <c r="H698" s="4060" t="s">
        <v>50</v>
      </c>
      <c r="I698" s="4060" t="s">
        <v>359</v>
      </c>
      <c r="J698" s="1964">
        <v>722500000</v>
      </c>
      <c r="K698" s="2159">
        <v>0</v>
      </c>
      <c r="L698" s="2160">
        <v>120000</v>
      </c>
      <c r="M698" s="4253">
        <f t="shared" si="104"/>
        <v>120000</v>
      </c>
      <c r="N698" s="4248">
        <v>27000000</v>
      </c>
      <c r="O698" s="4523">
        <f t="shared" si="105"/>
        <v>-695500000</v>
      </c>
      <c r="P698" s="4061">
        <v>0</v>
      </c>
      <c r="Q698" s="4839"/>
    </row>
    <row r="699" spans="1:17" s="2070" customFormat="1">
      <c r="A699" s="4048"/>
      <c r="B699" s="4048"/>
      <c r="C699" s="4048"/>
      <c r="D699" s="4048"/>
      <c r="E699" s="4048"/>
      <c r="F699" s="4049"/>
      <c r="G699" s="4067"/>
      <c r="H699" s="4060" t="s">
        <v>50</v>
      </c>
      <c r="I699" s="4060" t="s">
        <v>360</v>
      </c>
      <c r="J699" s="1964">
        <v>0</v>
      </c>
      <c r="K699" s="2159">
        <v>3540000</v>
      </c>
      <c r="L699" s="2160">
        <v>0</v>
      </c>
      <c r="M699" s="4253">
        <f t="shared" si="104"/>
        <v>3540000</v>
      </c>
      <c r="N699" s="4253"/>
      <c r="O699" s="4523">
        <f t="shared" si="105"/>
        <v>0</v>
      </c>
      <c r="P699" s="4061">
        <v>0</v>
      </c>
      <c r="Q699" s="4839"/>
    </row>
    <row r="700" spans="1:17" s="2070" customFormat="1" ht="3.8" customHeight="1">
      <c r="A700" s="4048"/>
      <c r="B700" s="4048"/>
      <c r="C700" s="4048"/>
      <c r="D700" s="4048"/>
      <c r="E700" s="4048"/>
      <c r="F700" s="4049"/>
      <c r="G700" s="4067"/>
      <c r="H700" s="4060"/>
      <c r="I700" s="4060"/>
      <c r="J700" s="4541"/>
      <c r="K700" s="2159">
        <v>0</v>
      </c>
      <c r="L700" s="4541"/>
      <c r="M700" s="4253">
        <f t="shared" si="104"/>
        <v>0</v>
      </c>
      <c r="N700" s="4253"/>
      <c r="O700" s="4523">
        <f t="shared" si="105"/>
        <v>0</v>
      </c>
      <c r="P700" s="4061">
        <v>0</v>
      </c>
      <c r="Q700" s="4839"/>
    </row>
    <row r="701" spans="1:17" s="2070" customFormat="1">
      <c r="A701" s="4046">
        <v>4</v>
      </c>
      <c r="B701" s="4046">
        <v>1</v>
      </c>
      <c r="C701" s="4046">
        <v>2</v>
      </c>
      <c r="D701" s="4047" t="s">
        <v>438</v>
      </c>
      <c r="E701" s="4093" t="s">
        <v>448</v>
      </c>
      <c r="F701" s="4049"/>
      <c r="G701" s="4067"/>
      <c r="H701" s="4068" t="s">
        <v>361</v>
      </c>
      <c r="I701" s="4060"/>
      <c r="J701" s="4542">
        <f>SUM(J702:J707)</f>
        <v>219000000</v>
      </c>
      <c r="K701" s="2159">
        <v>858050</v>
      </c>
      <c r="L701" s="4542">
        <f>SUM(L702:L708)</f>
        <v>0</v>
      </c>
      <c r="M701" s="4253">
        <f t="shared" si="104"/>
        <v>858050</v>
      </c>
      <c r="N701" s="4253">
        <f>SUM(N702:N708)</f>
        <v>219000000</v>
      </c>
      <c r="O701" s="4523">
        <f t="shared" si="105"/>
        <v>0</v>
      </c>
      <c r="P701" s="4061">
        <f t="shared" si="106"/>
        <v>0</v>
      </c>
      <c r="Q701" s="4839"/>
    </row>
    <row r="702" spans="1:17" s="2070" customFormat="1">
      <c r="A702" s="4048"/>
      <c r="B702" s="4048"/>
      <c r="C702" s="4048"/>
      <c r="D702" s="4048"/>
      <c r="E702" s="4048"/>
      <c r="F702" s="4049"/>
      <c r="G702" s="4067"/>
      <c r="H702" s="4060" t="s">
        <v>50</v>
      </c>
      <c r="I702" s="4060" t="s">
        <v>362</v>
      </c>
      <c r="J702" s="1964">
        <v>0</v>
      </c>
      <c r="K702" s="2159">
        <v>0</v>
      </c>
      <c r="L702" s="2160">
        <f>'[2]ALL BULAN'!E646</f>
        <v>0</v>
      </c>
      <c r="M702" s="4253">
        <f t="shared" si="104"/>
        <v>0</v>
      </c>
      <c r="N702" s="4253"/>
      <c r="O702" s="4523">
        <f t="shared" si="105"/>
        <v>0</v>
      </c>
      <c r="P702" s="4061">
        <v>0</v>
      </c>
      <c r="Q702" s="4839"/>
    </row>
    <row r="703" spans="1:17" s="2070" customFormat="1">
      <c r="A703" s="4048"/>
      <c r="B703" s="4048"/>
      <c r="C703" s="4048"/>
      <c r="D703" s="4048"/>
      <c r="E703" s="4048"/>
      <c r="F703" s="4049"/>
      <c r="G703" s="4067"/>
      <c r="H703" s="4060" t="s">
        <v>50</v>
      </c>
      <c r="I703" s="4060" t="s">
        <v>363</v>
      </c>
      <c r="J703" s="1964">
        <v>75000000</v>
      </c>
      <c r="K703" s="2159">
        <v>858050</v>
      </c>
      <c r="L703" s="2160">
        <v>0</v>
      </c>
      <c r="M703" s="4253">
        <f t="shared" si="104"/>
        <v>858050</v>
      </c>
      <c r="N703" s="1964">
        <v>75000000</v>
      </c>
      <c r="O703" s="4523">
        <f t="shared" si="105"/>
        <v>0</v>
      </c>
      <c r="P703" s="4061">
        <f t="shared" si="106"/>
        <v>0</v>
      </c>
      <c r="Q703" s="4839"/>
    </row>
    <row r="704" spans="1:17" s="2070" customFormat="1">
      <c r="A704" s="4048"/>
      <c r="B704" s="4048"/>
      <c r="C704" s="4048"/>
      <c r="D704" s="4048"/>
      <c r="E704" s="4048"/>
      <c r="F704" s="4049"/>
      <c r="G704" s="4067"/>
      <c r="H704" s="4060" t="s">
        <v>50</v>
      </c>
      <c r="I704" s="4060" t="s">
        <v>364</v>
      </c>
      <c r="J704" s="1964">
        <v>19000000</v>
      </c>
      <c r="K704" s="2159">
        <v>0</v>
      </c>
      <c r="L704" s="2160">
        <f>'[2]ALL BULAN'!E648</f>
        <v>0</v>
      </c>
      <c r="M704" s="4253">
        <f t="shared" si="104"/>
        <v>0</v>
      </c>
      <c r="N704" s="1964">
        <v>19000000</v>
      </c>
      <c r="O704" s="4523">
        <f t="shared" si="105"/>
        <v>0</v>
      </c>
      <c r="P704" s="4061">
        <f t="shared" si="106"/>
        <v>0</v>
      </c>
      <c r="Q704" s="4839"/>
    </row>
    <row r="705" spans="1:17" s="2070" customFormat="1">
      <c r="A705" s="4048"/>
      <c r="B705" s="4048"/>
      <c r="C705" s="4048"/>
      <c r="D705" s="4048"/>
      <c r="E705" s="4048"/>
      <c r="F705" s="4049"/>
      <c r="G705" s="4067"/>
      <c r="H705" s="4060" t="s">
        <v>50</v>
      </c>
      <c r="I705" s="4060" t="s">
        <v>365</v>
      </c>
      <c r="J705" s="1964">
        <v>125000000</v>
      </c>
      <c r="K705" s="2159">
        <v>0</v>
      </c>
      <c r="L705" s="2160">
        <f>'[2]ALL BULAN'!E649</f>
        <v>0</v>
      </c>
      <c r="M705" s="4253">
        <f t="shared" si="104"/>
        <v>0</v>
      </c>
      <c r="N705" s="1964">
        <v>125000000</v>
      </c>
      <c r="O705" s="4523">
        <f t="shared" si="105"/>
        <v>0</v>
      </c>
      <c r="P705" s="4061">
        <f>M705/J705*100</f>
        <v>0</v>
      </c>
      <c r="Q705" s="4839"/>
    </row>
    <row r="706" spans="1:17" s="2070" customFormat="1">
      <c r="A706" s="4048"/>
      <c r="B706" s="4048"/>
      <c r="C706" s="4048"/>
      <c r="D706" s="4048"/>
      <c r="E706" s="4048"/>
      <c r="F706" s="4049"/>
      <c r="G706" s="4067"/>
      <c r="H706" s="4060" t="s">
        <v>50</v>
      </c>
      <c r="I706" s="4060" t="s">
        <v>366</v>
      </c>
      <c r="J706" s="1964">
        <v>0</v>
      </c>
      <c r="K706" s="2159">
        <v>0</v>
      </c>
      <c r="L706" s="2160">
        <f>'[2]ALL BULAN'!E650</f>
        <v>0</v>
      </c>
      <c r="M706" s="4253">
        <f t="shared" si="104"/>
        <v>0</v>
      </c>
      <c r="N706" s="4253">
        <v>0</v>
      </c>
      <c r="O706" s="4523">
        <f t="shared" si="105"/>
        <v>0</v>
      </c>
      <c r="P706" s="4061">
        <v>0</v>
      </c>
      <c r="Q706" s="4839"/>
    </row>
    <row r="707" spans="1:17" s="2070" customFormat="1">
      <c r="A707" s="4048"/>
      <c r="B707" s="4048"/>
      <c r="C707" s="4048"/>
      <c r="D707" s="4048"/>
      <c r="E707" s="4048"/>
      <c r="F707" s="4049"/>
      <c r="G707" s="4067"/>
      <c r="H707" s="4060" t="s">
        <v>50</v>
      </c>
      <c r="I707" s="4060" t="s">
        <v>367</v>
      </c>
      <c r="J707" s="1964">
        <v>0</v>
      </c>
      <c r="K707" s="2159">
        <v>0</v>
      </c>
      <c r="L707" s="2160">
        <f>'[2]ALL BULAN'!E651</f>
        <v>0</v>
      </c>
      <c r="M707" s="4253">
        <f t="shared" si="104"/>
        <v>0</v>
      </c>
      <c r="N707" s="4253">
        <v>0</v>
      </c>
      <c r="O707" s="4523">
        <f t="shared" si="105"/>
        <v>0</v>
      </c>
      <c r="P707" s="4061">
        <v>0</v>
      </c>
      <c r="Q707" s="4839"/>
    </row>
    <row r="708" spans="1:17" s="2070" customFormat="1">
      <c r="A708" s="4048"/>
      <c r="B708" s="4048"/>
      <c r="C708" s="4048"/>
      <c r="D708" s="4048"/>
      <c r="E708" s="4048"/>
      <c r="F708" s="4049"/>
      <c r="G708" s="4067"/>
      <c r="H708" s="4060" t="s">
        <v>50</v>
      </c>
      <c r="I708" s="4060" t="s">
        <v>368</v>
      </c>
      <c r="J708" s="1964">
        <v>0</v>
      </c>
      <c r="K708" s="2159">
        <v>0</v>
      </c>
      <c r="L708" s="2160">
        <f>'[2]ALL BULAN'!E652</f>
        <v>0</v>
      </c>
      <c r="M708" s="4253">
        <f t="shared" si="104"/>
        <v>0</v>
      </c>
      <c r="N708" s="4253">
        <v>0</v>
      </c>
      <c r="O708" s="4523">
        <f t="shared" si="105"/>
        <v>0</v>
      </c>
      <c r="P708" s="4061">
        <v>0</v>
      </c>
      <c r="Q708" s="4839"/>
    </row>
    <row r="709" spans="1:17" s="2070" customFormat="1" ht="4.55" customHeight="1">
      <c r="A709" s="4048"/>
      <c r="B709" s="4048"/>
      <c r="C709" s="4048"/>
      <c r="D709" s="4048"/>
      <c r="E709" s="4048"/>
      <c r="F709" s="4049"/>
      <c r="G709" s="4067"/>
      <c r="H709" s="4060"/>
      <c r="I709" s="4060"/>
      <c r="J709" s="4541"/>
      <c r="K709" s="2159">
        <v>0</v>
      </c>
      <c r="L709" s="4541"/>
      <c r="M709" s="4253">
        <f t="shared" si="104"/>
        <v>0</v>
      </c>
      <c r="N709" s="4253">
        <v>0</v>
      </c>
      <c r="O709" s="4523">
        <f t="shared" si="105"/>
        <v>0</v>
      </c>
      <c r="P709" s="4061">
        <f>O709-K709</f>
        <v>0</v>
      </c>
      <c r="Q709" s="4839"/>
    </row>
    <row r="710" spans="1:17" s="2070" customFormat="1">
      <c r="A710" s="4048"/>
      <c r="B710" s="4048"/>
      <c r="C710" s="4048"/>
      <c r="D710" s="4048"/>
      <c r="E710" s="4048"/>
      <c r="F710" s="4049">
        <v>3</v>
      </c>
      <c r="G710" s="4067"/>
      <c r="H710" s="4068" t="s">
        <v>71</v>
      </c>
      <c r="I710" s="4068"/>
      <c r="J710" s="4542">
        <v>0</v>
      </c>
      <c r="K710" s="2159">
        <v>720000</v>
      </c>
      <c r="L710" s="4542">
        <f>SUM(L711:L714)</f>
        <v>0</v>
      </c>
      <c r="M710" s="4253">
        <f t="shared" si="104"/>
        <v>720000</v>
      </c>
      <c r="N710" s="4253">
        <v>0</v>
      </c>
      <c r="O710" s="4523">
        <f t="shared" si="105"/>
        <v>0</v>
      </c>
      <c r="P710" s="4061">
        <v>0</v>
      </c>
      <c r="Q710" s="4839"/>
    </row>
    <row r="711" spans="1:17" s="2070" customFormat="1">
      <c r="A711" s="4048"/>
      <c r="B711" s="4048"/>
      <c r="C711" s="4048"/>
      <c r="D711" s="4048"/>
      <c r="E711" s="4048"/>
      <c r="F711" s="4049"/>
      <c r="G711" s="4059"/>
      <c r="H711" s="4060" t="s">
        <v>50</v>
      </c>
      <c r="I711" s="4188" t="s">
        <v>369</v>
      </c>
      <c r="J711" s="1964">
        <v>0</v>
      </c>
      <c r="K711" s="2159">
        <v>0</v>
      </c>
      <c r="L711" s="2160">
        <f>'[2]ALL BULAN'!E655</f>
        <v>0</v>
      </c>
      <c r="M711" s="4253">
        <f t="shared" si="104"/>
        <v>0</v>
      </c>
      <c r="N711" s="4253">
        <v>0</v>
      </c>
      <c r="O711" s="4523">
        <f t="shared" si="105"/>
        <v>0</v>
      </c>
      <c r="P711" s="4061">
        <v>0</v>
      </c>
      <c r="Q711" s="4839"/>
    </row>
    <row r="712" spans="1:17" s="2070" customFormat="1">
      <c r="A712" s="4069">
        <v>4</v>
      </c>
      <c r="B712" s="4069">
        <v>1</v>
      </c>
      <c r="C712" s="4069" t="s">
        <v>443</v>
      </c>
      <c r="D712" s="4069" t="s">
        <v>444</v>
      </c>
      <c r="E712" s="4070" t="s">
        <v>445</v>
      </c>
      <c r="F712" s="4049"/>
      <c r="G712" s="4059"/>
      <c r="H712" s="4060" t="s">
        <v>50</v>
      </c>
      <c r="I712" s="4060" t="s">
        <v>74</v>
      </c>
      <c r="J712" s="1964">
        <v>0</v>
      </c>
      <c r="K712" s="2159">
        <v>0</v>
      </c>
      <c r="L712" s="2160">
        <f>'[2]ALL BULAN'!E656</f>
        <v>0</v>
      </c>
      <c r="M712" s="4253">
        <f t="shared" si="104"/>
        <v>0</v>
      </c>
      <c r="N712" s="4253">
        <v>0</v>
      </c>
      <c r="O712" s="4523">
        <f t="shared" si="105"/>
        <v>0</v>
      </c>
      <c r="P712" s="4061">
        <v>0</v>
      </c>
      <c r="Q712" s="4839"/>
    </row>
    <row r="713" spans="1:17" s="2070" customFormat="1">
      <c r="A713" s="4101">
        <v>4</v>
      </c>
      <c r="B713" s="4101">
        <v>1</v>
      </c>
      <c r="C713" s="4101" t="s">
        <v>443</v>
      </c>
      <c r="D713" s="4101" t="s">
        <v>444</v>
      </c>
      <c r="E713" s="4101" t="s">
        <v>441</v>
      </c>
      <c r="F713" s="4049"/>
      <c r="G713" s="4059"/>
      <c r="H713" s="4060" t="s">
        <v>308</v>
      </c>
      <c r="I713" s="4060" t="s">
        <v>75</v>
      </c>
      <c r="J713" s="1964">
        <v>0</v>
      </c>
      <c r="K713" s="2159">
        <v>0</v>
      </c>
      <c r="L713" s="2160">
        <f>'[2]ALL BULAN'!E657</f>
        <v>0</v>
      </c>
      <c r="M713" s="4253">
        <f t="shared" si="104"/>
        <v>0</v>
      </c>
      <c r="N713" s="4253">
        <v>0</v>
      </c>
      <c r="O713" s="4523">
        <f t="shared" si="105"/>
        <v>0</v>
      </c>
      <c r="P713" s="4061">
        <v>0</v>
      </c>
      <c r="Q713" s="4839"/>
    </row>
    <row r="714" spans="1:17" s="2070" customFormat="1">
      <c r="A714" s="4079">
        <v>4</v>
      </c>
      <c r="B714" s="4079">
        <v>1</v>
      </c>
      <c r="C714" s="4079" t="s">
        <v>443</v>
      </c>
      <c r="D714" s="4079" t="s">
        <v>447</v>
      </c>
      <c r="E714" s="4093" t="s">
        <v>437</v>
      </c>
      <c r="F714" s="4049"/>
      <c r="G714" s="4059"/>
      <c r="H714" s="4060" t="s">
        <v>50</v>
      </c>
      <c r="I714" s="4060" t="s">
        <v>85</v>
      </c>
      <c r="J714" s="1964">
        <v>0</v>
      </c>
      <c r="K714" s="2159">
        <v>720000</v>
      </c>
      <c r="L714" s="2160">
        <v>0</v>
      </c>
      <c r="M714" s="4253">
        <f t="shared" si="104"/>
        <v>720000</v>
      </c>
      <c r="N714" s="4253">
        <v>0</v>
      </c>
      <c r="O714" s="4523">
        <f t="shared" si="105"/>
        <v>0</v>
      </c>
      <c r="P714" s="4061">
        <v>0</v>
      </c>
      <c r="Q714" s="4839"/>
    </row>
    <row r="715" spans="1:17" s="2070" customFormat="1" ht="5.35" customHeight="1">
      <c r="A715" s="4048"/>
      <c r="B715" s="4048"/>
      <c r="C715" s="4048"/>
      <c r="D715" s="4048"/>
      <c r="E715" s="4048"/>
      <c r="F715" s="4049"/>
      <c r="G715" s="4102"/>
      <c r="H715" s="4083"/>
      <c r="I715" s="4083"/>
      <c r="J715" s="4548"/>
      <c r="K715" s="2183"/>
      <c r="L715" s="4548"/>
      <c r="M715" s="4549"/>
      <c r="N715" s="4549">
        <v>0</v>
      </c>
      <c r="O715" s="2315"/>
      <c r="P715" s="4172"/>
      <c r="Q715" s="4839"/>
    </row>
    <row r="716" spans="1:17" s="2070" customFormat="1" ht="15.65">
      <c r="A716" s="4048"/>
      <c r="B716" s="4048"/>
      <c r="C716" s="4048"/>
      <c r="D716" s="4048"/>
      <c r="E716" s="4048"/>
      <c r="F716" s="4049"/>
      <c r="G716" s="4041" t="s">
        <v>370</v>
      </c>
      <c r="H716" s="4042" t="s">
        <v>371</v>
      </c>
      <c r="I716" s="4097"/>
      <c r="J716" s="4545">
        <v>0</v>
      </c>
      <c r="K716" s="4520">
        <v>0</v>
      </c>
      <c r="L716" s="4545">
        <f>L717</f>
        <v>0</v>
      </c>
      <c r="M716" s="4545">
        <f t="shared" ref="M716:M722" si="107">SUM(K716:L716)</f>
        <v>0</v>
      </c>
      <c r="N716" s="4545">
        <v>0</v>
      </c>
      <c r="O716" s="4519">
        <f t="shared" ref="O716:O722" si="108">M716-J716</f>
        <v>0</v>
      </c>
      <c r="P716" s="4044">
        <v>0</v>
      </c>
      <c r="Q716" s="4839"/>
    </row>
    <row r="717" spans="1:17" s="2070" customFormat="1">
      <c r="A717" s="4065">
        <v>4</v>
      </c>
      <c r="B717" s="4065">
        <v>1</v>
      </c>
      <c r="C717" s="4065">
        <v>4</v>
      </c>
      <c r="D717" s="4048"/>
      <c r="E717" s="4048"/>
      <c r="F717" s="4049">
        <v>3</v>
      </c>
      <c r="G717" s="4150"/>
      <c r="H717" s="4179" t="s">
        <v>71</v>
      </c>
      <c r="I717" s="4179"/>
      <c r="J717" s="2304">
        <v>0</v>
      </c>
      <c r="K717" s="2159">
        <v>0</v>
      </c>
      <c r="L717" s="2304">
        <f>SUM(L718:L722)</f>
        <v>0</v>
      </c>
      <c r="M717" s="4253">
        <f t="shared" si="107"/>
        <v>0</v>
      </c>
      <c r="N717" s="4253"/>
      <c r="O717" s="4254">
        <f t="shared" si="108"/>
        <v>0</v>
      </c>
      <c r="P717" s="4061">
        <v>0</v>
      </c>
      <c r="Q717" s="4839"/>
    </row>
    <row r="718" spans="1:17" s="2070" customFormat="1">
      <c r="A718" s="4065">
        <v>4</v>
      </c>
      <c r="B718" s="4065">
        <v>1</v>
      </c>
      <c r="C718" s="4065">
        <v>4</v>
      </c>
      <c r="D718" s="4065" t="s">
        <v>441</v>
      </c>
      <c r="E718" s="4048"/>
      <c r="F718" s="4049"/>
      <c r="G718" s="4067"/>
      <c r="H718" s="4131" t="s">
        <v>50</v>
      </c>
      <c r="I718" s="4060" t="s">
        <v>72</v>
      </c>
      <c r="J718" s="1964">
        <v>0</v>
      </c>
      <c r="K718" s="2159">
        <v>0</v>
      </c>
      <c r="L718" s="2160">
        <f>'[2]ALL BULAN'!E662</f>
        <v>0</v>
      </c>
      <c r="M718" s="4253">
        <f t="shared" si="107"/>
        <v>0</v>
      </c>
      <c r="N718" s="4253"/>
      <c r="O718" s="4254">
        <f t="shared" si="108"/>
        <v>0</v>
      </c>
      <c r="P718" s="4061">
        <v>0</v>
      </c>
      <c r="Q718" s="4839"/>
    </row>
    <row r="719" spans="1:17" s="2070" customFormat="1">
      <c r="A719" s="4074">
        <v>4</v>
      </c>
      <c r="B719" s="4074">
        <v>1</v>
      </c>
      <c r="C719" s="4074" t="s">
        <v>443</v>
      </c>
      <c r="D719" s="4074" t="s">
        <v>444</v>
      </c>
      <c r="E719" s="4074" t="s">
        <v>440</v>
      </c>
      <c r="F719" s="4049"/>
      <c r="G719" s="4059"/>
      <c r="H719" s="4131" t="s">
        <v>50</v>
      </c>
      <c r="I719" s="4060" t="s">
        <v>73</v>
      </c>
      <c r="J719" s="1964">
        <v>0</v>
      </c>
      <c r="K719" s="2159">
        <v>0</v>
      </c>
      <c r="L719" s="2160">
        <f>'[2]ALL BULAN'!E663</f>
        <v>0</v>
      </c>
      <c r="M719" s="4253">
        <f t="shared" si="107"/>
        <v>0</v>
      </c>
      <c r="N719" s="4253"/>
      <c r="O719" s="4254">
        <f t="shared" si="108"/>
        <v>0</v>
      </c>
      <c r="P719" s="4061">
        <v>0</v>
      </c>
      <c r="Q719" s="4839"/>
    </row>
    <row r="720" spans="1:17" s="2070" customFormat="1">
      <c r="A720" s="4069">
        <v>4</v>
      </c>
      <c r="B720" s="4069">
        <v>1</v>
      </c>
      <c r="C720" s="4069" t="s">
        <v>443</v>
      </c>
      <c r="D720" s="4069" t="s">
        <v>444</v>
      </c>
      <c r="E720" s="4070" t="s">
        <v>445</v>
      </c>
      <c r="F720" s="4049"/>
      <c r="G720" s="4059"/>
      <c r="H720" s="4131" t="s">
        <v>50</v>
      </c>
      <c r="I720" s="4060" t="s">
        <v>74</v>
      </c>
      <c r="J720" s="1964">
        <v>0</v>
      </c>
      <c r="K720" s="2159">
        <v>0</v>
      </c>
      <c r="L720" s="2160">
        <f>'[2]ALL BULAN'!E664</f>
        <v>0</v>
      </c>
      <c r="M720" s="4253">
        <f t="shared" si="107"/>
        <v>0</v>
      </c>
      <c r="N720" s="4253"/>
      <c r="O720" s="4254">
        <f t="shared" si="108"/>
        <v>0</v>
      </c>
      <c r="P720" s="4061">
        <v>0</v>
      </c>
      <c r="Q720" s="4839"/>
    </row>
    <row r="721" spans="1:17" s="2070" customFormat="1">
      <c r="A721" s="4101">
        <v>4</v>
      </c>
      <c r="B721" s="4101">
        <v>1</v>
      </c>
      <c r="C721" s="4101" t="s">
        <v>443</v>
      </c>
      <c r="D721" s="4101" t="s">
        <v>444</v>
      </c>
      <c r="E721" s="4101" t="s">
        <v>441</v>
      </c>
      <c r="F721" s="4049"/>
      <c r="G721" s="4059"/>
      <c r="H721" s="4060" t="s">
        <v>308</v>
      </c>
      <c r="I721" s="4060" t="s">
        <v>75</v>
      </c>
      <c r="J721" s="1964">
        <v>0</v>
      </c>
      <c r="K721" s="2159">
        <v>0</v>
      </c>
      <c r="L721" s="2160">
        <f>'[2]ALL BULAN'!E665</f>
        <v>0</v>
      </c>
      <c r="M721" s="4253">
        <f t="shared" si="107"/>
        <v>0</v>
      </c>
      <c r="N721" s="4253"/>
      <c r="O721" s="4254">
        <f t="shared" si="108"/>
        <v>0</v>
      </c>
      <c r="P721" s="4061">
        <v>0</v>
      </c>
      <c r="Q721" s="4839"/>
    </row>
    <row r="722" spans="1:17" s="2070" customFormat="1">
      <c r="A722" s="4079">
        <v>4</v>
      </c>
      <c r="B722" s="4079">
        <v>1</v>
      </c>
      <c r="C722" s="4079" t="s">
        <v>443</v>
      </c>
      <c r="D722" s="4079" t="s">
        <v>447</v>
      </c>
      <c r="E722" s="4093" t="s">
        <v>437</v>
      </c>
      <c r="F722" s="4049"/>
      <c r="G722" s="4067"/>
      <c r="H722" s="4181" t="s">
        <v>50</v>
      </c>
      <c r="I722" s="4060" t="s">
        <v>85</v>
      </c>
      <c r="J722" s="1964">
        <v>0</v>
      </c>
      <c r="K722" s="2159">
        <v>0</v>
      </c>
      <c r="L722" s="2160">
        <f>'[2]ALL BULAN'!E666</f>
        <v>0</v>
      </c>
      <c r="M722" s="4253">
        <f t="shared" si="107"/>
        <v>0</v>
      </c>
      <c r="N722" s="4253"/>
      <c r="O722" s="4254">
        <f t="shared" si="108"/>
        <v>0</v>
      </c>
      <c r="P722" s="4061">
        <v>0</v>
      </c>
      <c r="Q722" s="4839"/>
    </row>
    <row r="723" spans="1:17" s="2070" customFormat="1" ht="5.35" customHeight="1">
      <c r="A723" s="4048"/>
      <c r="B723" s="4048"/>
      <c r="C723" s="4048"/>
      <c r="D723" s="4048"/>
      <c r="E723" s="4048"/>
      <c r="F723" s="4049"/>
      <c r="G723" s="4102"/>
      <c r="H723" s="4185"/>
      <c r="I723" s="4185"/>
      <c r="J723" s="2314"/>
      <c r="K723" s="2220"/>
      <c r="L723" s="2314"/>
      <c r="M723" s="2315"/>
      <c r="N723" s="2315"/>
      <c r="O723" s="2315"/>
      <c r="P723" s="4174"/>
      <c r="Q723" s="4839"/>
    </row>
    <row r="724" spans="1:17" s="2070" customFormat="1" ht="15.65">
      <c r="A724" s="4048"/>
      <c r="B724" s="4048"/>
      <c r="C724" s="4048"/>
      <c r="D724" s="4048"/>
      <c r="E724" s="4048"/>
      <c r="F724" s="4049"/>
      <c r="G724" s="4041" t="s">
        <v>372</v>
      </c>
      <c r="H724" s="4042" t="s">
        <v>373</v>
      </c>
      <c r="I724" s="4097"/>
      <c r="J724" s="4545">
        <f>J726</f>
        <v>1338680000</v>
      </c>
      <c r="K724" s="4594">
        <v>81424500</v>
      </c>
      <c r="L724" s="4545">
        <f>L726+L750</f>
        <v>148650500</v>
      </c>
      <c r="M724" s="4595">
        <f>SUM(K724:L724)</f>
        <v>230075000</v>
      </c>
      <c r="N724" s="4545">
        <f>N726</f>
        <v>1263680000</v>
      </c>
      <c r="O724" s="4519">
        <f>N724-J724</f>
        <v>-75000000</v>
      </c>
      <c r="P724" s="4044">
        <f>O724/J724*100</f>
        <v>-5.6025338393043898</v>
      </c>
      <c r="Q724" s="4839"/>
    </row>
    <row r="725" spans="1:17" s="2070" customFormat="1" ht="3.8" customHeight="1">
      <c r="A725" s="4048"/>
      <c r="B725" s="4048"/>
      <c r="C725" s="4048"/>
      <c r="D725" s="4048"/>
      <c r="E725" s="4048"/>
      <c r="F725" s="4049"/>
      <c r="G725" s="4050"/>
      <c r="H725" s="4224"/>
      <c r="I725" s="4051"/>
      <c r="J725" s="4581"/>
      <c r="K725" s="4522"/>
      <c r="L725" s="4581"/>
      <c r="M725" s="4582"/>
      <c r="N725" s="4581"/>
      <c r="O725" s="4582"/>
      <c r="P725" s="4225"/>
      <c r="Q725" s="4839"/>
    </row>
    <row r="726" spans="1:17" s="2070" customFormat="1">
      <c r="A726" s="4048"/>
      <c r="B726" s="4048"/>
      <c r="C726" s="4048"/>
      <c r="D726" s="4048"/>
      <c r="E726" s="4048"/>
      <c r="F726" s="4049">
        <v>1</v>
      </c>
      <c r="G726" s="4067"/>
      <c r="H726" s="4068" t="s">
        <v>106</v>
      </c>
      <c r="I726" s="4068"/>
      <c r="J726" s="4546">
        <v>1338680000</v>
      </c>
      <c r="K726" s="2159">
        <v>81424500</v>
      </c>
      <c r="L726" s="4546">
        <f>+L728+L748+L740</f>
        <v>147615500</v>
      </c>
      <c r="M726" s="4253">
        <f t="shared" ref="M726:M755" si="109">SUM(K726:L726)</f>
        <v>229040000</v>
      </c>
      <c r="N726" s="4546">
        <f>N728</f>
        <v>1263680000</v>
      </c>
      <c r="O726" s="4254">
        <f>N726-J726</f>
        <v>-75000000</v>
      </c>
      <c r="P726" s="4061">
        <f>O726/J726*100</f>
        <v>-5.6025338393043898</v>
      </c>
      <c r="Q726" s="4839"/>
    </row>
    <row r="727" spans="1:17" s="2070" customFormat="1" ht="3.8" customHeight="1">
      <c r="A727" s="4048"/>
      <c r="B727" s="4048"/>
      <c r="C727" s="4048"/>
      <c r="D727" s="4048"/>
      <c r="E727" s="4048"/>
      <c r="F727" s="4049"/>
      <c r="G727" s="4067"/>
      <c r="H727" s="4060"/>
      <c r="I727" s="4060"/>
      <c r="J727" s="4584"/>
      <c r="K727" s="2159">
        <v>0</v>
      </c>
      <c r="L727" s="4584"/>
      <c r="M727" s="4253">
        <f t="shared" si="109"/>
        <v>0</v>
      </c>
      <c r="N727" s="4584"/>
      <c r="O727" s="4254">
        <f>M727-J727</f>
        <v>0</v>
      </c>
      <c r="P727" s="4061">
        <v>0</v>
      </c>
      <c r="Q727" s="4839"/>
    </row>
    <row r="728" spans="1:17" s="2070" customFormat="1">
      <c r="A728" s="4046">
        <v>4</v>
      </c>
      <c r="B728" s="4046">
        <v>1</v>
      </c>
      <c r="C728" s="4046">
        <v>2</v>
      </c>
      <c r="D728" s="4047" t="s">
        <v>438</v>
      </c>
      <c r="E728" s="4128"/>
      <c r="F728" s="4049"/>
      <c r="G728" s="4067"/>
      <c r="H728" s="4068" t="s">
        <v>374</v>
      </c>
      <c r="I728" s="4068"/>
      <c r="J728" s="4546">
        <f>SUM(J729+J740)</f>
        <v>1338680000</v>
      </c>
      <c r="K728" s="2159">
        <v>26025000</v>
      </c>
      <c r="L728" s="4546">
        <f>+L729</f>
        <v>27371000</v>
      </c>
      <c r="M728" s="4253">
        <f t="shared" si="109"/>
        <v>53396000</v>
      </c>
      <c r="N728" s="4546">
        <f>SUM(N729+N740)</f>
        <v>1263680000</v>
      </c>
      <c r="O728" s="4254">
        <f>N728-J728</f>
        <v>-75000000</v>
      </c>
      <c r="P728" s="4061">
        <f t="shared" ref="P728:P747" si="110">O728/J728*100</f>
        <v>-5.6025338393043898</v>
      </c>
      <c r="Q728" s="4839"/>
    </row>
    <row r="729" spans="1:17" s="2070" customFormat="1">
      <c r="A729" s="4046">
        <v>4</v>
      </c>
      <c r="B729" s="4046">
        <v>1</v>
      </c>
      <c r="C729" s="4046">
        <v>2</v>
      </c>
      <c r="D729" s="4047" t="s">
        <v>438</v>
      </c>
      <c r="E729" s="4093" t="s">
        <v>437</v>
      </c>
      <c r="F729" s="4049"/>
      <c r="G729" s="4059"/>
      <c r="H729" s="4068" t="s">
        <v>64</v>
      </c>
      <c r="I729" s="4068"/>
      <c r="J729" s="4546">
        <f>SUM(J730:J738)</f>
        <v>518680000</v>
      </c>
      <c r="K729" s="2159">
        <v>26025000</v>
      </c>
      <c r="L729" s="4546">
        <f>SUM(L730:L738)</f>
        <v>27371000</v>
      </c>
      <c r="M729" s="4253">
        <f t="shared" si="109"/>
        <v>53396000</v>
      </c>
      <c r="N729" s="4546">
        <f>SUM(N730:N738)</f>
        <v>443680000</v>
      </c>
      <c r="O729" s="4254">
        <f t="shared" ref="O729:O755" si="111">N729-J729</f>
        <v>-75000000</v>
      </c>
      <c r="P729" s="4061">
        <f t="shared" si="110"/>
        <v>-14.459782524870826</v>
      </c>
      <c r="Q729" s="4839"/>
    </row>
    <row r="730" spans="1:17" s="2070" customFormat="1">
      <c r="A730" s="4048"/>
      <c r="B730" s="4048"/>
      <c r="C730" s="4048"/>
      <c r="D730" s="4048"/>
      <c r="E730" s="4048"/>
      <c r="F730" s="4049"/>
      <c r="G730" s="4067"/>
      <c r="H730" s="4068" t="s">
        <v>50</v>
      </c>
      <c r="I730" s="4060" t="s">
        <v>375</v>
      </c>
      <c r="J730" s="1964">
        <v>328430000</v>
      </c>
      <c r="K730" s="2159">
        <v>11650000</v>
      </c>
      <c r="L730" s="2160">
        <v>13471000</v>
      </c>
      <c r="M730" s="4253">
        <f t="shared" si="109"/>
        <v>25121000</v>
      </c>
      <c r="N730" s="1964">
        <v>328430000</v>
      </c>
      <c r="O730" s="4254">
        <f t="shared" si="111"/>
        <v>0</v>
      </c>
      <c r="P730" s="4061">
        <f t="shared" si="110"/>
        <v>0</v>
      </c>
      <c r="Q730" s="4839"/>
    </row>
    <row r="731" spans="1:17" s="2070" customFormat="1">
      <c r="A731" s="4048"/>
      <c r="B731" s="4048"/>
      <c r="C731" s="4048"/>
      <c r="D731" s="4048"/>
      <c r="E731" s="4048"/>
      <c r="F731" s="4049"/>
      <c r="G731" s="4067"/>
      <c r="H731" s="4060" t="s">
        <v>50</v>
      </c>
      <c r="I731" s="4060" t="s">
        <v>376</v>
      </c>
      <c r="J731" s="1964">
        <v>15000000</v>
      </c>
      <c r="K731" s="2159">
        <v>2000000</v>
      </c>
      <c r="L731" s="2160">
        <v>0</v>
      </c>
      <c r="M731" s="4253">
        <f t="shared" si="109"/>
        <v>2000000</v>
      </c>
      <c r="N731" s="1964">
        <v>15000000</v>
      </c>
      <c r="O731" s="4254">
        <f t="shared" si="111"/>
        <v>0</v>
      </c>
      <c r="P731" s="4061">
        <f t="shared" si="110"/>
        <v>0</v>
      </c>
      <c r="Q731" s="4839"/>
    </row>
    <row r="732" spans="1:17" s="2070" customFormat="1">
      <c r="A732" s="4048"/>
      <c r="B732" s="4048"/>
      <c r="C732" s="4048"/>
      <c r="D732" s="4048"/>
      <c r="E732" s="4048"/>
      <c r="F732" s="4049"/>
      <c r="G732" s="4067"/>
      <c r="H732" s="4060" t="s">
        <v>50</v>
      </c>
      <c r="I732" s="4060" t="s">
        <v>377</v>
      </c>
      <c r="J732" s="1964">
        <v>50000000</v>
      </c>
      <c r="K732" s="2159">
        <v>0</v>
      </c>
      <c r="L732" s="2160">
        <v>1500000</v>
      </c>
      <c r="M732" s="4253">
        <f t="shared" si="109"/>
        <v>1500000</v>
      </c>
      <c r="N732" s="1964">
        <v>25000000</v>
      </c>
      <c r="O732" s="4254">
        <f t="shared" si="111"/>
        <v>-25000000</v>
      </c>
      <c r="P732" s="4061">
        <f t="shared" si="110"/>
        <v>-50</v>
      </c>
      <c r="Q732" s="4839"/>
    </row>
    <row r="733" spans="1:17" s="2070" customFormat="1">
      <c r="A733" s="4048"/>
      <c r="B733" s="4048"/>
      <c r="C733" s="4048"/>
      <c r="D733" s="4048"/>
      <c r="E733" s="4048"/>
      <c r="F733" s="4049"/>
      <c r="G733" s="4067"/>
      <c r="H733" s="4068" t="s">
        <v>50</v>
      </c>
      <c r="I733" s="4060" t="s">
        <v>378</v>
      </c>
      <c r="J733" s="1964">
        <v>40250000</v>
      </c>
      <c r="K733" s="2159">
        <v>1375000</v>
      </c>
      <c r="L733" s="2160">
        <v>0</v>
      </c>
      <c r="M733" s="4253">
        <f t="shared" si="109"/>
        <v>1375000</v>
      </c>
      <c r="N733" s="1964">
        <v>40250000</v>
      </c>
      <c r="O733" s="4254">
        <f t="shared" si="111"/>
        <v>0</v>
      </c>
      <c r="P733" s="4061">
        <f t="shared" si="110"/>
        <v>0</v>
      </c>
      <c r="Q733" s="4839"/>
    </row>
    <row r="734" spans="1:17" s="2070" customFormat="1">
      <c r="A734" s="4048"/>
      <c r="B734" s="4048"/>
      <c r="C734" s="4048"/>
      <c r="D734" s="4048"/>
      <c r="E734" s="4048"/>
      <c r="F734" s="4049"/>
      <c r="G734" s="4067"/>
      <c r="H734" s="4060" t="s">
        <v>50</v>
      </c>
      <c r="I734" s="4060" t="s">
        <v>379</v>
      </c>
      <c r="J734" s="1964">
        <v>25000000</v>
      </c>
      <c r="K734" s="2159">
        <v>10000000</v>
      </c>
      <c r="L734" s="2160">
        <f>900000+7000000+2000000+1000000</f>
        <v>10900000</v>
      </c>
      <c r="M734" s="4253">
        <f t="shared" si="109"/>
        <v>20900000</v>
      </c>
      <c r="N734" s="1964">
        <v>5000000</v>
      </c>
      <c r="O734" s="4254">
        <f t="shared" si="111"/>
        <v>-20000000</v>
      </c>
      <c r="P734" s="4061">
        <f t="shared" si="110"/>
        <v>-80</v>
      </c>
      <c r="Q734" s="4839"/>
    </row>
    <row r="735" spans="1:17" s="2070" customFormat="1">
      <c r="A735" s="4048"/>
      <c r="B735" s="4048"/>
      <c r="C735" s="4048"/>
      <c r="D735" s="4048"/>
      <c r="E735" s="4048"/>
      <c r="F735" s="4049"/>
      <c r="G735" s="4067"/>
      <c r="H735" s="4060" t="s">
        <v>50</v>
      </c>
      <c r="I735" s="4060" t="s">
        <v>380</v>
      </c>
      <c r="J735" s="1964">
        <v>0</v>
      </c>
      <c r="K735" s="2159">
        <v>0</v>
      </c>
      <c r="L735" s="2160">
        <f>'[2]ALL BULAN'!E679</f>
        <v>0</v>
      </c>
      <c r="M735" s="4253">
        <f t="shared" si="109"/>
        <v>0</v>
      </c>
      <c r="N735" s="1964">
        <v>0</v>
      </c>
      <c r="O735" s="4254">
        <f t="shared" si="111"/>
        <v>0</v>
      </c>
      <c r="P735" s="4061">
        <v>0</v>
      </c>
      <c r="Q735" s="4839"/>
    </row>
    <row r="736" spans="1:17" s="2070" customFormat="1">
      <c r="A736" s="4048"/>
      <c r="B736" s="4048"/>
      <c r="C736" s="4048"/>
      <c r="D736" s="4048"/>
      <c r="E736" s="4048"/>
      <c r="F736" s="4049"/>
      <c r="G736" s="4067"/>
      <c r="H736" s="4060" t="s">
        <v>50</v>
      </c>
      <c r="I736" s="4060" t="s">
        <v>381</v>
      </c>
      <c r="J736" s="1964">
        <v>60000000</v>
      </c>
      <c r="K736" s="2159">
        <v>1000000</v>
      </c>
      <c r="L736" s="2160">
        <v>1500000</v>
      </c>
      <c r="M736" s="4253">
        <f t="shared" si="109"/>
        <v>2500000</v>
      </c>
      <c r="N736" s="1964">
        <v>30000000</v>
      </c>
      <c r="O736" s="4254">
        <f t="shared" si="111"/>
        <v>-30000000</v>
      </c>
      <c r="P736" s="4061">
        <f t="shared" si="110"/>
        <v>-50</v>
      </c>
      <c r="Q736" s="4839"/>
    </row>
    <row r="737" spans="1:17" s="2070" customFormat="1">
      <c r="A737" s="4048"/>
      <c r="B737" s="4048"/>
      <c r="C737" s="4048"/>
      <c r="D737" s="4048"/>
      <c r="E737" s="4048"/>
      <c r="F737" s="4049"/>
      <c r="G737" s="4067"/>
      <c r="H737" s="4060" t="s">
        <v>50</v>
      </c>
      <c r="I737" s="4060" t="s">
        <v>382</v>
      </c>
      <c r="J737" s="1964">
        <v>0</v>
      </c>
      <c r="K737" s="2159">
        <v>0</v>
      </c>
      <c r="L737" s="2160">
        <f>'[2]ALL BULAN'!E681</f>
        <v>0</v>
      </c>
      <c r="M737" s="4253">
        <f t="shared" si="109"/>
        <v>0</v>
      </c>
      <c r="N737" s="1964">
        <v>0</v>
      </c>
      <c r="O737" s="4254">
        <f t="shared" si="111"/>
        <v>0</v>
      </c>
      <c r="P737" s="4061">
        <v>0</v>
      </c>
      <c r="Q737" s="4839"/>
    </row>
    <row r="738" spans="1:17" s="2070" customFormat="1">
      <c r="A738" s="4048"/>
      <c r="B738" s="4048"/>
      <c r="C738" s="4048"/>
      <c r="D738" s="4048"/>
      <c r="E738" s="4048"/>
      <c r="F738" s="4049"/>
      <c r="G738" s="4067"/>
      <c r="H738" s="4060" t="s">
        <v>50</v>
      </c>
      <c r="I738" s="4060" t="s">
        <v>383</v>
      </c>
      <c r="J738" s="1964">
        <v>0</v>
      </c>
      <c r="K738" s="2159">
        <v>0</v>
      </c>
      <c r="L738" s="2160">
        <f>'[2]ALL BULAN'!E682</f>
        <v>0</v>
      </c>
      <c r="M738" s="4253">
        <f t="shared" si="109"/>
        <v>0</v>
      </c>
      <c r="N738" s="1964">
        <v>0</v>
      </c>
      <c r="O738" s="4254">
        <f t="shared" si="111"/>
        <v>0</v>
      </c>
      <c r="P738" s="4061">
        <v>0</v>
      </c>
      <c r="Q738" s="4839"/>
    </row>
    <row r="739" spans="1:17" s="2070" customFormat="1" ht="7.55" customHeight="1">
      <c r="A739" s="4048"/>
      <c r="B739" s="4048"/>
      <c r="C739" s="4048"/>
      <c r="D739" s="4048"/>
      <c r="E739" s="4048"/>
      <c r="F739" s="4049"/>
      <c r="G739" s="4067"/>
      <c r="H739" s="4068"/>
      <c r="I739" s="4060"/>
      <c r="J739" s="4541"/>
      <c r="K739" s="2159">
        <v>0</v>
      </c>
      <c r="L739" s="4541"/>
      <c r="M739" s="4253">
        <f t="shared" si="109"/>
        <v>0</v>
      </c>
      <c r="N739" s="4541"/>
      <c r="O739" s="4254">
        <f t="shared" si="111"/>
        <v>0</v>
      </c>
      <c r="P739" s="4061">
        <v>0</v>
      </c>
      <c r="Q739" s="4839"/>
    </row>
    <row r="740" spans="1:17" s="2070" customFormat="1">
      <c r="A740" s="4046">
        <v>4</v>
      </c>
      <c r="B740" s="4046">
        <v>1</v>
      </c>
      <c r="C740" s="4046">
        <v>2</v>
      </c>
      <c r="D740" s="4047" t="s">
        <v>438</v>
      </c>
      <c r="E740" s="4093" t="s">
        <v>448</v>
      </c>
      <c r="F740" s="4049"/>
      <c r="G740" s="4067"/>
      <c r="H740" s="4068" t="s">
        <v>361</v>
      </c>
      <c r="I740" s="4068"/>
      <c r="J740" s="4546">
        <f>SUM(J741:J747)</f>
        <v>820000000</v>
      </c>
      <c r="K740" s="2159">
        <v>55399500</v>
      </c>
      <c r="L740" s="4546">
        <f>SUM(L741:L747)</f>
        <v>120244500</v>
      </c>
      <c r="M740" s="4253">
        <f t="shared" si="109"/>
        <v>175644000</v>
      </c>
      <c r="N740" s="4546">
        <f>SUM(N741:N747)</f>
        <v>820000000</v>
      </c>
      <c r="O740" s="4254">
        <f t="shared" si="111"/>
        <v>0</v>
      </c>
      <c r="P740" s="4061">
        <f t="shared" si="110"/>
        <v>0</v>
      </c>
      <c r="Q740" s="4839"/>
    </row>
    <row r="741" spans="1:17" s="2070" customFormat="1">
      <c r="A741" s="4048"/>
      <c r="B741" s="4048"/>
      <c r="C741" s="4048"/>
      <c r="D741" s="4048"/>
      <c r="E741" s="4048"/>
      <c r="F741" s="4049"/>
      <c r="G741" s="4067"/>
      <c r="H741" s="4060" t="s">
        <v>50</v>
      </c>
      <c r="I741" s="4060" t="s">
        <v>384</v>
      </c>
      <c r="J741" s="1964">
        <v>190000000</v>
      </c>
      <c r="K741" s="2159">
        <v>30000000</v>
      </c>
      <c r="L741" s="2160">
        <f>12190000+1660000+5650000</f>
        <v>19500000</v>
      </c>
      <c r="M741" s="4253">
        <f t="shared" si="109"/>
        <v>49500000</v>
      </c>
      <c r="N741" s="1964">
        <v>190000000</v>
      </c>
      <c r="O741" s="4254">
        <f t="shared" si="111"/>
        <v>0</v>
      </c>
      <c r="P741" s="4061">
        <f t="shared" si="110"/>
        <v>0</v>
      </c>
      <c r="Q741" s="4839"/>
    </row>
    <row r="742" spans="1:17" s="2070" customFormat="1">
      <c r="A742" s="4048"/>
      <c r="B742" s="4048"/>
      <c r="C742" s="4048"/>
      <c r="D742" s="4048"/>
      <c r="E742" s="4048"/>
      <c r="F742" s="4049"/>
      <c r="G742" s="4067"/>
      <c r="H742" s="4060" t="s">
        <v>50</v>
      </c>
      <c r="I742" s="4060" t="s">
        <v>385</v>
      </c>
      <c r="J742" s="1964">
        <v>160000000</v>
      </c>
      <c r="K742" s="2159">
        <v>6528500</v>
      </c>
      <c r="L742" s="2160">
        <v>15425500</v>
      </c>
      <c r="M742" s="4253">
        <f t="shared" si="109"/>
        <v>21954000</v>
      </c>
      <c r="N742" s="1964">
        <v>160000000</v>
      </c>
      <c r="O742" s="4254">
        <f t="shared" si="111"/>
        <v>0</v>
      </c>
      <c r="P742" s="4061">
        <f t="shared" si="110"/>
        <v>0</v>
      </c>
      <c r="Q742" s="4839"/>
    </row>
    <row r="743" spans="1:17" s="2070" customFormat="1">
      <c r="A743" s="4048"/>
      <c r="B743" s="4048"/>
      <c r="C743" s="4048"/>
      <c r="D743" s="4048"/>
      <c r="E743" s="4048"/>
      <c r="F743" s="4049"/>
      <c r="G743" s="4067"/>
      <c r="H743" s="4060" t="s">
        <v>50</v>
      </c>
      <c r="I743" s="4060" t="s">
        <v>386</v>
      </c>
      <c r="J743" s="1964">
        <v>90000000</v>
      </c>
      <c r="K743" s="2159">
        <v>16191000</v>
      </c>
      <c r="L743" s="2160">
        <v>11950000</v>
      </c>
      <c r="M743" s="4253">
        <f t="shared" si="109"/>
        <v>28141000</v>
      </c>
      <c r="N743" s="1964">
        <v>90000000</v>
      </c>
      <c r="O743" s="4254">
        <f t="shared" si="111"/>
        <v>0</v>
      </c>
      <c r="P743" s="4061">
        <f t="shared" si="110"/>
        <v>0</v>
      </c>
      <c r="Q743" s="4839"/>
    </row>
    <row r="744" spans="1:17" s="2070" customFormat="1">
      <c r="A744" s="4048"/>
      <c r="B744" s="4048"/>
      <c r="C744" s="4048"/>
      <c r="D744" s="4048"/>
      <c r="E744" s="4048"/>
      <c r="F744" s="4049"/>
      <c r="G744" s="4067"/>
      <c r="H744" s="4060" t="s">
        <v>50</v>
      </c>
      <c r="I744" s="4060" t="s">
        <v>387</v>
      </c>
      <c r="J744" s="1964">
        <v>0</v>
      </c>
      <c r="K744" s="2159">
        <v>0</v>
      </c>
      <c r="L744" s="2160">
        <v>0</v>
      </c>
      <c r="M744" s="4253">
        <f t="shared" si="109"/>
        <v>0</v>
      </c>
      <c r="N744" s="1964">
        <v>0</v>
      </c>
      <c r="O744" s="4254">
        <f t="shared" si="111"/>
        <v>0</v>
      </c>
      <c r="P744" s="4061">
        <v>0</v>
      </c>
      <c r="Q744" s="4839"/>
    </row>
    <row r="745" spans="1:17" s="2070" customFormat="1">
      <c r="A745" s="4048"/>
      <c r="B745" s="4048"/>
      <c r="C745" s="4048"/>
      <c r="D745" s="4048"/>
      <c r="E745" s="4048"/>
      <c r="F745" s="4049"/>
      <c r="G745" s="4067"/>
      <c r="H745" s="4060" t="s">
        <v>50</v>
      </c>
      <c r="I745" s="4060" t="s">
        <v>388</v>
      </c>
      <c r="J745" s="1964">
        <v>15000000</v>
      </c>
      <c r="K745" s="2159">
        <v>1200000</v>
      </c>
      <c r="L745" s="2160">
        <v>1400000</v>
      </c>
      <c r="M745" s="4253">
        <f t="shared" si="109"/>
        <v>2600000</v>
      </c>
      <c r="N745" s="1964">
        <v>15000000</v>
      </c>
      <c r="O745" s="4254">
        <f t="shared" si="111"/>
        <v>0</v>
      </c>
      <c r="P745" s="4061">
        <f t="shared" si="110"/>
        <v>0</v>
      </c>
      <c r="Q745" s="4839"/>
    </row>
    <row r="746" spans="1:17" s="2070" customFormat="1">
      <c r="A746" s="4048"/>
      <c r="B746" s="4048"/>
      <c r="C746" s="4048"/>
      <c r="D746" s="4048"/>
      <c r="E746" s="4048"/>
      <c r="F746" s="4049"/>
      <c r="G746" s="4067"/>
      <c r="H746" s="4060" t="s">
        <v>50</v>
      </c>
      <c r="I746" s="4060" t="s">
        <v>389</v>
      </c>
      <c r="J746" s="1964">
        <v>30000000</v>
      </c>
      <c r="K746" s="2159">
        <v>1480000</v>
      </c>
      <c r="L746" s="2160">
        <v>569000</v>
      </c>
      <c r="M746" s="4253">
        <f t="shared" si="109"/>
        <v>2049000</v>
      </c>
      <c r="N746" s="1964">
        <v>30000000</v>
      </c>
      <c r="O746" s="4254">
        <f t="shared" si="111"/>
        <v>0</v>
      </c>
      <c r="P746" s="4061">
        <f t="shared" si="110"/>
        <v>0</v>
      </c>
      <c r="Q746" s="4839"/>
    </row>
    <row r="747" spans="1:17" s="2070" customFormat="1">
      <c r="A747" s="4048"/>
      <c r="B747" s="4048"/>
      <c r="C747" s="4048"/>
      <c r="D747" s="4048"/>
      <c r="E747" s="4048"/>
      <c r="F747" s="4049"/>
      <c r="G747" s="4067"/>
      <c r="H747" s="4060" t="s">
        <v>50</v>
      </c>
      <c r="I747" s="4060" t="s">
        <v>390</v>
      </c>
      <c r="J747" s="1964">
        <v>335000000</v>
      </c>
      <c r="K747" s="2159">
        <v>0</v>
      </c>
      <c r="L747" s="2160">
        <v>71400000</v>
      </c>
      <c r="M747" s="4253">
        <f t="shared" si="109"/>
        <v>71400000</v>
      </c>
      <c r="N747" s="1964">
        <v>335000000</v>
      </c>
      <c r="O747" s="4254">
        <f t="shared" si="111"/>
        <v>0</v>
      </c>
      <c r="P747" s="4061">
        <f t="shared" si="110"/>
        <v>0</v>
      </c>
      <c r="Q747" s="4839"/>
    </row>
    <row r="748" spans="1:17" s="2070" customFormat="1">
      <c r="A748" s="4048"/>
      <c r="B748" s="4048"/>
      <c r="C748" s="4048"/>
      <c r="D748" s="4048"/>
      <c r="E748" s="4048"/>
      <c r="F748" s="4049"/>
      <c r="G748" s="4067"/>
      <c r="H748" s="4068" t="s">
        <v>391</v>
      </c>
      <c r="I748" s="4060"/>
      <c r="J748" s="1964">
        <v>0</v>
      </c>
      <c r="K748" s="2159">
        <v>0</v>
      </c>
      <c r="L748" s="2491">
        <v>0</v>
      </c>
      <c r="M748" s="4253">
        <f t="shared" si="109"/>
        <v>0</v>
      </c>
      <c r="N748" s="1964">
        <v>0</v>
      </c>
      <c r="O748" s="4254">
        <f t="shared" si="111"/>
        <v>0</v>
      </c>
      <c r="P748" s="4061">
        <v>0</v>
      </c>
      <c r="Q748" s="4839"/>
    </row>
    <row r="749" spans="1:17" s="2070" customFormat="1" ht="5.95" customHeight="1">
      <c r="A749" s="4048"/>
      <c r="B749" s="4048"/>
      <c r="C749" s="4048"/>
      <c r="D749" s="4048"/>
      <c r="E749" s="4048"/>
      <c r="F749" s="4049"/>
      <c r="G749" s="4067"/>
      <c r="H749" s="4060"/>
      <c r="I749" s="4060"/>
      <c r="J749" s="4541"/>
      <c r="K749" s="2159">
        <v>0</v>
      </c>
      <c r="L749" s="4541"/>
      <c r="M749" s="4253">
        <f t="shared" si="109"/>
        <v>0</v>
      </c>
      <c r="N749" s="4541"/>
      <c r="O749" s="4254">
        <f t="shared" si="111"/>
        <v>0</v>
      </c>
      <c r="P749" s="4061">
        <v>0</v>
      </c>
      <c r="Q749" s="4839"/>
    </row>
    <row r="750" spans="1:17" s="2070" customFormat="1">
      <c r="A750" s="4065">
        <v>4</v>
      </c>
      <c r="B750" s="4065">
        <v>1</v>
      </c>
      <c r="C750" s="4065">
        <v>4</v>
      </c>
      <c r="D750" s="4048"/>
      <c r="E750" s="4048"/>
      <c r="F750" s="4049">
        <v>3</v>
      </c>
      <c r="G750" s="4067"/>
      <c r="H750" s="4068" t="s">
        <v>71</v>
      </c>
      <c r="I750" s="4068"/>
      <c r="J750" s="4542">
        <v>0</v>
      </c>
      <c r="K750" s="2159">
        <v>0</v>
      </c>
      <c r="L750" s="4542">
        <f>SUM(L751:L755)</f>
        <v>1035000</v>
      </c>
      <c r="M750" s="4253">
        <f t="shared" si="109"/>
        <v>1035000</v>
      </c>
      <c r="N750" s="4542">
        <v>0</v>
      </c>
      <c r="O750" s="4254">
        <f t="shared" si="111"/>
        <v>0</v>
      </c>
      <c r="P750" s="4061">
        <v>0</v>
      </c>
      <c r="Q750" s="4839"/>
    </row>
    <row r="751" spans="1:17" s="2070" customFormat="1">
      <c r="A751" s="4065">
        <v>4</v>
      </c>
      <c r="B751" s="4065">
        <v>1</v>
      </c>
      <c r="C751" s="4065">
        <v>4</v>
      </c>
      <c r="D751" s="4065" t="s">
        <v>441</v>
      </c>
      <c r="E751" s="4048"/>
      <c r="F751" s="4049"/>
      <c r="G751" s="4059"/>
      <c r="H751" s="4131" t="s">
        <v>50</v>
      </c>
      <c r="I751" s="4060" t="s">
        <v>72</v>
      </c>
      <c r="J751" s="1964">
        <v>0</v>
      </c>
      <c r="K751" s="2159">
        <v>0</v>
      </c>
      <c r="L751" s="2160">
        <f>'[2]ALL BULAN'!E695</f>
        <v>0</v>
      </c>
      <c r="M751" s="4253">
        <f t="shared" si="109"/>
        <v>0</v>
      </c>
      <c r="N751" s="1964">
        <v>0</v>
      </c>
      <c r="O751" s="4254">
        <f t="shared" si="111"/>
        <v>0</v>
      </c>
      <c r="P751" s="4061">
        <v>0</v>
      </c>
      <c r="Q751" s="4839"/>
    </row>
    <row r="752" spans="1:17" s="2070" customFormat="1">
      <c r="A752" s="4074">
        <v>4</v>
      </c>
      <c r="B752" s="4074">
        <v>1</v>
      </c>
      <c r="C752" s="4074" t="s">
        <v>443</v>
      </c>
      <c r="D752" s="4074" t="s">
        <v>444</v>
      </c>
      <c r="E752" s="4074" t="s">
        <v>440</v>
      </c>
      <c r="F752" s="4049"/>
      <c r="G752" s="4059"/>
      <c r="H752" s="4131" t="s">
        <v>50</v>
      </c>
      <c r="I752" s="4060" t="s">
        <v>73</v>
      </c>
      <c r="J752" s="1964">
        <v>0</v>
      </c>
      <c r="K752" s="2159">
        <v>0</v>
      </c>
      <c r="L752" s="2160">
        <f>'[2]ALL BULAN'!E696</f>
        <v>0</v>
      </c>
      <c r="M752" s="4253">
        <f t="shared" si="109"/>
        <v>0</v>
      </c>
      <c r="N752" s="1964">
        <v>0</v>
      </c>
      <c r="O752" s="4254">
        <f t="shared" si="111"/>
        <v>0</v>
      </c>
      <c r="P752" s="4061">
        <v>0</v>
      </c>
      <c r="Q752" s="4839"/>
    </row>
    <row r="753" spans="1:17" s="2070" customFormat="1">
      <c r="A753" s="4069">
        <v>4</v>
      </c>
      <c r="B753" s="4069">
        <v>1</v>
      </c>
      <c r="C753" s="4069" t="s">
        <v>443</v>
      </c>
      <c r="D753" s="4069" t="s">
        <v>444</v>
      </c>
      <c r="E753" s="4070" t="s">
        <v>445</v>
      </c>
      <c r="F753" s="4049"/>
      <c r="G753" s="4059"/>
      <c r="H753" s="4131" t="s">
        <v>50</v>
      </c>
      <c r="I753" s="4060" t="s">
        <v>74</v>
      </c>
      <c r="J753" s="1964">
        <v>0</v>
      </c>
      <c r="K753" s="2159">
        <v>0</v>
      </c>
      <c r="L753" s="2160">
        <f>'[2]ALL BULAN'!E697</f>
        <v>0</v>
      </c>
      <c r="M753" s="4253">
        <f t="shared" si="109"/>
        <v>0</v>
      </c>
      <c r="N753" s="1964">
        <v>0</v>
      </c>
      <c r="O753" s="4254">
        <f t="shared" si="111"/>
        <v>0</v>
      </c>
      <c r="P753" s="4061">
        <v>0</v>
      </c>
      <c r="Q753" s="4839"/>
    </row>
    <row r="754" spans="1:17" s="2070" customFormat="1">
      <c r="A754" s="4101">
        <v>4</v>
      </c>
      <c r="B754" s="4101">
        <v>1</v>
      </c>
      <c r="C754" s="4101" t="s">
        <v>443</v>
      </c>
      <c r="D754" s="4101" t="s">
        <v>444</v>
      </c>
      <c r="E754" s="4101" t="s">
        <v>441</v>
      </c>
      <c r="F754" s="4049"/>
      <c r="G754" s="4067"/>
      <c r="H754" s="4060" t="s">
        <v>308</v>
      </c>
      <c r="I754" s="4060" t="s">
        <v>75</v>
      </c>
      <c r="J754" s="1964">
        <v>0</v>
      </c>
      <c r="K754" s="2159">
        <v>0</v>
      </c>
      <c r="L754" s="2160">
        <f>'[2]ALL BULAN'!E698</f>
        <v>0</v>
      </c>
      <c r="M754" s="4253">
        <f t="shared" si="109"/>
        <v>0</v>
      </c>
      <c r="N754" s="1964">
        <v>0</v>
      </c>
      <c r="O754" s="4254">
        <f t="shared" si="111"/>
        <v>0</v>
      </c>
      <c r="P754" s="4061">
        <v>0</v>
      </c>
      <c r="Q754" s="4839"/>
    </row>
    <row r="755" spans="1:17" s="2070" customFormat="1">
      <c r="A755" s="4079">
        <v>4</v>
      </c>
      <c r="B755" s="4079">
        <v>1</v>
      </c>
      <c r="C755" s="4079" t="s">
        <v>443</v>
      </c>
      <c r="D755" s="4079" t="s">
        <v>447</v>
      </c>
      <c r="E755" s="4093" t="s">
        <v>437</v>
      </c>
      <c r="F755" s="4049"/>
      <c r="G755" s="4067"/>
      <c r="H755" s="4181" t="s">
        <v>50</v>
      </c>
      <c r="I755" s="4060" t="s">
        <v>85</v>
      </c>
      <c r="J755" s="1964">
        <v>0</v>
      </c>
      <c r="K755" s="2159">
        <v>0</v>
      </c>
      <c r="L755" s="2160">
        <v>1035000</v>
      </c>
      <c r="M755" s="4253">
        <f t="shared" si="109"/>
        <v>1035000</v>
      </c>
      <c r="N755" s="1964">
        <v>0</v>
      </c>
      <c r="O755" s="4254">
        <f t="shared" si="111"/>
        <v>0</v>
      </c>
      <c r="P755" s="4061">
        <v>0</v>
      </c>
      <c r="Q755" s="4839"/>
    </row>
    <row r="756" spans="1:17" s="2070" customFormat="1" ht="5.35" customHeight="1">
      <c r="A756" s="4048"/>
      <c r="B756" s="4048"/>
      <c r="C756" s="4048"/>
      <c r="D756" s="4048"/>
      <c r="E756" s="4048"/>
      <c r="F756" s="4049"/>
      <c r="G756" s="4102"/>
      <c r="H756" s="4083"/>
      <c r="I756" s="4083"/>
      <c r="J756" s="4548"/>
      <c r="K756" s="2183"/>
      <c r="L756" s="4548"/>
      <c r="M756" s="4549"/>
      <c r="N756" s="4549"/>
      <c r="O756" s="4549"/>
      <c r="P756" s="4172"/>
      <c r="Q756" s="4839"/>
    </row>
    <row r="757" spans="1:17" s="2073" customFormat="1" ht="15.65">
      <c r="A757" s="4039"/>
      <c r="B757" s="4039"/>
      <c r="C757" s="4039"/>
      <c r="D757" s="4039"/>
      <c r="E757" s="4039"/>
      <c r="F757" s="4040"/>
      <c r="G757" s="4041" t="s">
        <v>392</v>
      </c>
      <c r="H757" s="4042" t="s">
        <v>393</v>
      </c>
      <c r="I757" s="4097"/>
      <c r="J757" s="4545">
        <v>0</v>
      </c>
      <c r="K757" s="4594">
        <v>0</v>
      </c>
      <c r="L757" s="4545">
        <f>L759+L763</f>
        <v>0</v>
      </c>
      <c r="M757" s="4595">
        <f>SUM(K757:L757)</f>
        <v>0</v>
      </c>
      <c r="N757" s="4545">
        <v>0</v>
      </c>
      <c r="O757" s="4519">
        <f>M757-J757</f>
        <v>0</v>
      </c>
      <c r="P757" s="4044">
        <v>0</v>
      </c>
      <c r="Q757" s="4840"/>
    </row>
    <row r="758" spans="1:17" s="2070" customFormat="1" ht="3.8" customHeight="1">
      <c r="A758" s="4048"/>
      <c r="B758" s="4048"/>
      <c r="C758" s="4048"/>
      <c r="D758" s="4048"/>
      <c r="E758" s="4048"/>
      <c r="F758" s="4049"/>
      <c r="G758" s="4050"/>
      <c r="H758" s="4224"/>
      <c r="I758" s="4051"/>
      <c r="J758" s="4581"/>
      <c r="K758" s="4522"/>
      <c r="L758" s="4581"/>
      <c r="M758" s="4582"/>
      <c r="N758" s="4581"/>
      <c r="O758" s="4582"/>
      <c r="P758" s="4225">
        <v>0</v>
      </c>
      <c r="Q758" s="4839"/>
    </row>
    <row r="759" spans="1:17" s="2070" customFormat="1">
      <c r="A759" s="4048"/>
      <c r="B759" s="4048"/>
      <c r="C759" s="4048"/>
      <c r="D759" s="4048"/>
      <c r="E759" s="4048"/>
      <c r="F759" s="4049">
        <v>1</v>
      </c>
      <c r="G759" s="4067"/>
      <c r="H759" s="4068" t="s">
        <v>106</v>
      </c>
      <c r="I759" s="4068"/>
      <c r="J759" s="4542">
        <v>0</v>
      </c>
      <c r="K759" s="2159">
        <v>0</v>
      </c>
      <c r="L759" s="4542">
        <f>L760</f>
        <v>0</v>
      </c>
      <c r="M759" s="4253">
        <f t="shared" ref="M759:M768" si="112">SUM(K759:L759)</f>
        <v>0</v>
      </c>
      <c r="N759" s="4542">
        <v>0</v>
      </c>
      <c r="O759" s="4254">
        <f t="shared" ref="O759:O768" si="113">M759-J759</f>
        <v>0</v>
      </c>
      <c r="P759" s="4061">
        <v>0</v>
      </c>
      <c r="Q759" s="4839"/>
    </row>
    <row r="760" spans="1:17" s="2070" customFormat="1">
      <c r="A760" s="4046">
        <v>4</v>
      </c>
      <c r="B760" s="4046">
        <v>1</v>
      </c>
      <c r="C760" s="4046">
        <v>2</v>
      </c>
      <c r="D760" s="4047" t="s">
        <v>437</v>
      </c>
      <c r="E760" s="4048"/>
      <c r="F760" s="4049"/>
      <c r="G760" s="4067"/>
      <c r="H760" s="4060" t="s">
        <v>107</v>
      </c>
      <c r="I760" s="4068"/>
      <c r="J760" s="4541">
        <v>0</v>
      </c>
      <c r="K760" s="2159">
        <v>0</v>
      </c>
      <c r="L760" s="4541">
        <f>L761</f>
        <v>0</v>
      </c>
      <c r="M760" s="4253">
        <f t="shared" si="112"/>
        <v>0</v>
      </c>
      <c r="N760" s="4541">
        <v>0</v>
      </c>
      <c r="O760" s="4254">
        <f t="shared" si="113"/>
        <v>0</v>
      </c>
      <c r="P760" s="4061">
        <v>0</v>
      </c>
      <c r="Q760" s="4839"/>
    </row>
    <row r="761" spans="1:17" s="2070" customFormat="1">
      <c r="A761" s="4046">
        <v>4</v>
      </c>
      <c r="B761" s="4046">
        <v>1</v>
      </c>
      <c r="C761" s="4046">
        <v>2</v>
      </c>
      <c r="D761" s="4047" t="s">
        <v>437</v>
      </c>
      <c r="E761" s="4070" t="s">
        <v>445</v>
      </c>
      <c r="F761" s="4049"/>
      <c r="G761" s="4067"/>
      <c r="H761" s="4060" t="s">
        <v>50</v>
      </c>
      <c r="I761" s="4060" t="s">
        <v>394</v>
      </c>
      <c r="J761" s="1964">
        <v>0</v>
      </c>
      <c r="K761" s="2159">
        <v>0</v>
      </c>
      <c r="L761" s="2160">
        <f>'[2]ALL BULAN'!E705</f>
        <v>0</v>
      </c>
      <c r="M761" s="4253">
        <f t="shared" si="112"/>
        <v>0</v>
      </c>
      <c r="N761" s="1964">
        <v>0</v>
      </c>
      <c r="O761" s="4254">
        <f t="shared" si="113"/>
        <v>0</v>
      </c>
      <c r="P761" s="4061">
        <v>0</v>
      </c>
      <c r="Q761" s="4839"/>
    </row>
    <row r="762" spans="1:17" s="2070" customFormat="1" ht="5.95" customHeight="1">
      <c r="A762" s="4048"/>
      <c r="B762" s="4048"/>
      <c r="C762" s="4048"/>
      <c r="D762" s="4048"/>
      <c r="E762" s="4048"/>
      <c r="F762" s="4049"/>
      <c r="G762" s="4067"/>
      <c r="H762" s="4060"/>
      <c r="I762" s="4060"/>
      <c r="J762" s="4541"/>
      <c r="K762" s="2159">
        <v>0</v>
      </c>
      <c r="L762" s="4541"/>
      <c r="M762" s="4253">
        <f t="shared" si="112"/>
        <v>0</v>
      </c>
      <c r="N762" s="4541"/>
      <c r="O762" s="4254">
        <f t="shared" si="113"/>
        <v>0</v>
      </c>
      <c r="P762" s="4061">
        <f>O762-K762</f>
        <v>0</v>
      </c>
      <c r="Q762" s="4839"/>
    </row>
    <row r="763" spans="1:17" s="2070" customFormat="1">
      <c r="A763" s="4065">
        <v>4</v>
      </c>
      <c r="B763" s="4065">
        <v>1</v>
      </c>
      <c r="C763" s="4065">
        <v>4</v>
      </c>
      <c r="D763" s="4048"/>
      <c r="E763" s="4048"/>
      <c r="F763" s="4049">
        <v>3</v>
      </c>
      <c r="G763" s="4067"/>
      <c r="H763" s="4068" t="s">
        <v>71</v>
      </c>
      <c r="I763" s="4068"/>
      <c r="J763" s="4542">
        <v>0</v>
      </c>
      <c r="K763" s="2159">
        <v>0</v>
      </c>
      <c r="L763" s="4542">
        <f>SUM(L764:L768)</f>
        <v>0</v>
      </c>
      <c r="M763" s="4253">
        <f t="shared" si="112"/>
        <v>0</v>
      </c>
      <c r="N763" s="4542">
        <v>0</v>
      </c>
      <c r="O763" s="4254">
        <f t="shared" si="113"/>
        <v>0</v>
      </c>
      <c r="P763" s="4061">
        <v>0</v>
      </c>
      <c r="Q763" s="4839"/>
    </row>
    <row r="764" spans="1:17" s="2070" customFormat="1">
      <c r="A764" s="4065">
        <v>4</v>
      </c>
      <c r="B764" s="4065">
        <v>1</v>
      </c>
      <c r="C764" s="4065">
        <v>4</v>
      </c>
      <c r="D764" s="4065" t="s">
        <v>441</v>
      </c>
      <c r="E764" s="4048"/>
      <c r="F764" s="4049"/>
      <c r="G764" s="4059"/>
      <c r="H764" s="4131" t="s">
        <v>50</v>
      </c>
      <c r="I764" s="4060" t="s">
        <v>72</v>
      </c>
      <c r="J764" s="1964">
        <v>0</v>
      </c>
      <c r="K764" s="2159">
        <v>0</v>
      </c>
      <c r="L764" s="2160">
        <f>'[2]ALL BULAN'!E708</f>
        <v>0</v>
      </c>
      <c r="M764" s="4253">
        <f t="shared" si="112"/>
        <v>0</v>
      </c>
      <c r="N764" s="1964">
        <v>0</v>
      </c>
      <c r="O764" s="4254">
        <f t="shared" si="113"/>
        <v>0</v>
      </c>
      <c r="P764" s="4061">
        <v>0</v>
      </c>
      <c r="Q764" s="4839"/>
    </row>
    <row r="765" spans="1:17" s="2070" customFormat="1">
      <c r="A765" s="4074">
        <v>4</v>
      </c>
      <c r="B765" s="4074">
        <v>1</v>
      </c>
      <c r="C765" s="4074" t="s">
        <v>443</v>
      </c>
      <c r="D765" s="4074" t="s">
        <v>444</v>
      </c>
      <c r="E765" s="4074" t="s">
        <v>440</v>
      </c>
      <c r="F765" s="4049"/>
      <c r="G765" s="4059"/>
      <c r="H765" s="4131" t="s">
        <v>50</v>
      </c>
      <c r="I765" s="4060" t="s">
        <v>73</v>
      </c>
      <c r="J765" s="1964">
        <v>0</v>
      </c>
      <c r="K765" s="2159">
        <v>0</v>
      </c>
      <c r="L765" s="2160">
        <f>'[2]ALL BULAN'!E709</f>
        <v>0</v>
      </c>
      <c r="M765" s="4253">
        <f t="shared" si="112"/>
        <v>0</v>
      </c>
      <c r="N765" s="1964">
        <v>0</v>
      </c>
      <c r="O765" s="4254">
        <f t="shared" si="113"/>
        <v>0</v>
      </c>
      <c r="P765" s="4061">
        <v>0</v>
      </c>
      <c r="Q765" s="4839"/>
    </row>
    <row r="766" spans="1:17" s="2070" customFormat="1">
      <c r="A766" s="4069">
        <v>4</v>
      </c>
      <c r="B766" s="4069">
        <v>1</v>
      </c>
      <c r="C766" s="4069" t="s">
        <v>443</v>
      </c>
      <c r="D766" s="4069" t="s">
        <v>444</v>
      </c>
      <c r="E766" s="4070" t="s">
        <v>445</v>
      </c>
      <c r="F766" s="4049"/>
      <c r="G766" s="4059"/>
      <c r="H766" s="4131" t="s">
        <v>50</v>
      </c>
      <c r="I766" s="4060" t="s">
        <v>74</v>
      </c>
      <c r="J766" s="1964">
        <v>0</v>
      </c>
      <c r="K766" s="2159">
        <v>0</v>
      </c>
      <c r="L766" s="2160">
        <f>'[2]ALL BULAN'!E710</f>
        <v>0</v>
      </c>
      <c r="M766" s="4253">
        <f t="shared" si="112"/>
        <v>0</v>
      </c>
      <c r="N766" s="1964">
        <v>0</v>
      </c>
      <c r="O766" s="4254">
        <f t="shared" si="113"/>
        <v>0</v>
      </c>
      <c r="P766" s="4061">
        <v>0</v>
      </c>
      <c r="Q766" s="4839"/>
    </row>
    <row r="767" spans="1:17" s="2070" customFormat="1">
      <c r="A767" s="4101">
        <v>4</v>
      </c>
      <c r="B767" s="4101">
        <v>1</v>
      </c>
      <c r="C767" s="4101" t="s">
        <v>443</v>
      </c>
      <c r="D767" s="4101" t="s">
        <v>444</v>
      </c>
      <c r="E767" s="4101" t="s">
        <v>441</v>
      </c>
      <c r="F767" s="4049"/>
      <c r="G767" s="4067"/>
      <c r="H767" s="4060" t="s">
        <v>308</v>
      </c>
      <c r="I767" s="4060" t="s">
        <v>75</v>
      </c>
      <c r="J767" s="1964">
        <v>0</v>
      </c>
      <c r="K767" s="2159">
        <v>0</v>
      </c>
      <c r="L767" s="2160">
        <f>'[2]ALL BULAN'!E711</f>
        <v>0</v>
      </c>
      <c r="M767" s="4253">
        <f t="shared" si="112"/>
        <v>0</v>
      </c>
      <c r="N767" s="1964">
        <v>0</v>
      </c>
      <c r="O767" s="4254">
        <f t="shared" si="113"/>
        <v>0</v>
      </c>
      <c r="P767" s="4061">
        <v>0</v>
      </c>
      <c r="Q767" s="4839"/>
    </row>
    <row r="768" spans="1:17" s="2070" customFormat="1">
      <c r="A768" s="4079">
        <v>4</v>
      </c>
      <c r="B768" s="4079">
        <v>1</v>
      </c>
      <c r="C768" s="4079" t="s">
        <v>443</v>
      </c>
      <c r="D768" s="4079" t="s">
        <v>447</v>
      </c>
      <c r="E768" s="4093" t="s">
        <v>437</v>
      </c>
      <c r="F768" s="4049"/>
      <c r="G768" s="4067"/>
      <c r="H768" s="4181" t="s">
        <v>50</v>
      </c>
      <c r="I768" s="4060" t="s">
        <v>85</v>
      </c>
      <c r="J768" s="1964">
        <v>0</v>
      </c>
      <c r="K768" s="2159">
        <v>0</v>
      </c>
      <c r="L768" s="2160">
        <f>'[2]ALL BULAN'!E712</f>
        <v>0</v>
      </c>
      <c r="M768" s="4253">
        <f t="shared" si="112"/>
        <v>0</v>
      </c>
      <c r="N768" s="1964">
        <v>0</v>
      </c>
      <c r="O768" s="4254">
        <f t="shared" si="113"/>
        <v>0</v>
      </c>
      <c r="P768" s="4061">
        <v>0</v>
      </c>
      <c r="Q768" s="4839"/>
    </row>
    <row r="769" spans="1:17" s="2070" customFormat="1" ht="5.35" customHeight="1">
      <c r="A769" s="4048"/>
      <c r="B769" s="4048"/>
      <c r="C769" s="4048"/>
      <c r="D769" s="4048"/>
      <c r="E769" s="4048"/>
      <c r="F769" s="4049"/>
      <c r="G769" s="4102"/>
      <c r="H769" s="4083"/>
      <c r="I769" s="4083"/>
      <c r="J769" s="4548"/>
      <c r="K769" s="2183"/>
      <c r="L769" s="4548"/>
      <c r="M769" s="4549"/>
      <c r="N769" s="4549"/>
      <c r="O769" s="4549"/>
      <c r="P769" s="4172"/>
      <c r="Q769" s="4839"/>
    </row>
    <row r="770" spans="1:17" s="2070" customFormat="1" ht="15.65">
      <c r="A770" s="4048"/>
      <c r="B770" s="4048"/>
      <c r="C770" s="4048"/>
      <c r="D770" s="4048"/>
      <c r="E770" s="4048"/>
      <c r="F770" s="4049"/>
      <c r="G770" s="4041" t="s">
        <v>396</v>
      </c>
      <c r="H770" s="4240" t="s">
        <v>397</v>
      </c>
      <c r="I770" s="4097"/>
      <c r="J770" s="4545">
        <v>0</v>
      </c>
      <c r="K770" s="4594">
        <v>0</v>
      </c>
      <c r="L770" s="4545">
        <f>SUM(L772)</f>
        <v>0</v>
      </c>
      <c r="M770" s="4595">
        <f>SUM(K770:L770)</f>
        <v>0</v>
      </c>
      <c r="N770" s="4545">
        <v>0</v>
      </c>
      <c r="O770" s="4519">
        <f>M770-J770</f>
        <v>0</v>
      </c>
      <c r="P770" s="4044">
        <v>0</v>
      </c>
      <c r="Q770" s="4839"/>
    </row>
    <row r="771" spans="1:17" s="2070" customFormat="1" ht="4.55" customHeight="1">
      <c r="A771" s="4048"/>
      <c r="B771" s="4048"/>
      <c r="C771" s="4048"/>
      <c r="D771" s="4048"/>
      <c r="E771" s="4048"/>
      <c r="F771" s="4049"/>
      <c r="G771" s="4050"/>
      <c r="H771" s="4224"/>
      <c r="I771" s="4224"/>
      <c r="J771" s="4581"/>
      <c r="K771" s="4522"/>
      <c r="L771" s="4581"/>
      <c r="M771" s="4582"/>
      <c r="N771" s="4581"/>
      <c r="O771" s="4582"/>
      <c r="P771" s="4225"/>
      <c r="Q771" s="4839"/>
    </row>
    <row r="772" spans="1:17" s="2070" customFormat="1">
      <c r="A772" s="4065">
        <v>4</v>
      </c>
      <c r="B772" s="4065">
        <v>1</v>
      </c>
      <c r="C772" s="4065">
        <v>4</v>
      </c>
      <c r="D772" s="4048"/>
      <c r="E772" s="4048"/>
      <c r="F772" s="4049">
        <v>3</v>
      </c>
      <c r="G772" s="4067"/>
      <c r="H772" s="4068" t="s">
        <v>71</v>
      </c>
      <c r="I772" s="4068"/>
      <c r="J772" s="4546">
        <v>0</v>
      </c>
      <c r="K772" s="2159">
        <v>0</v>
      </c>
      <c r="L772" s="4546">
        <f>SUM(L773:L777)</f>
        <v>0</v>
      </c>
      <c r="M772" s="4253">
        <f t="shared" ref="M772:M777" si="114">SUM(K772:L772)</f>
        <v>0</v>
      </c>
      <c r="N772" s="4546">
        <v>0</v>
      </c>
      <c r="O772" s="4254">
        <f t="shared" ref="O772:O777" si="115">M772-J772</f>
        <v>0</v>
      </c>
      <c r="P772" s="4061">
        <v>0</v>
      </c>
      <c r="Q772" s="4839"/>
    </row>
    <row r="773" spans="1:17" s="2070" customFormat="1">
      <c r="A773" s="4065">
        <v>4</v>
      </c>
      <c r="B773" s="4065">
        <v>1</v>
      </c>
      <c r="C773" s="4065">
        <v>4</v>
      </c>
      <c r="D773" s="4065" t="s">
        <v>441</v>
      </c>
      <c r="E773" s="4048"/>
      <c r="F773" s="4049"/>
      <c r="G773" s="4059"/>
      <c r="H773" s="4131" t="s">
        <v>50</v>
      </c>
      <c r="I773" s="4060" t="s">
        <v>72</v>
      </c>
      <c r="J773" s="1964">
        <v>0</v>
      </c>
      <c r="K773" s="2159">
        <v>0</v>
      </c>
      <c r="L773" s="2160">
        <f>'[2]ALL BULAN'!E717</f>
        <v>0</v>
      </c>
      <c r="M773" s="4253">
        <f t="shared" si="114"/>
        <v>0</v>
      </c>
      <c r="N773" s="1964">
        <v>0</v>
      </c>
      <c r="O773" s="4254">
        <f t="shared" si="115"/>
        <v>0</v>
      </c>
      <c r="P773" s="4061">
        <v>0</v>
      </c>
      <c r="Q773" s="4839"/>
    </row>
    <row r="774" spans="1:17" s="2070" customFormat="1">
      <c r="A774" s="4074">
        <v>4</v>
      </c>
      <c r="B774" s="4074">
        <v>1</v>
      </c>
      <c r="C774" s="4074" t="s">
        <v>443</v>
      </c>
      <c r="D774" s="4074" t="s">
        <v>444</v>
      </c>
      <c r="E774" s="4074" t="s">
        <v>440</v>
      </c>
      <c r="F774" s="4049"/>
      <c r="G774" s="4059"/>
      <c r="H774" s="4131" t="s">
        <v>50</v>
      </c>
      <c r="I774" s="4060" t="s">
        <v>73</v>
      </c>
      <c r="J774" s="1964">
        <v>0</v>
      </c>
      <c r="K774" s="2159">
        <v>0</v>
      </c>
      <c r="L774" s="2160">
        <f>'[2]ALL BULAN'!E718</f>
        <v>0</v>
      </c>
      <c r="M774" s="4253">
        <f t="shared" si="114"/>
        <v>0</v>
      </c>
      <c r="N774" s="1964">
        <v>0</v>
      </c>
      <c r="O774" s="4254">
        <f t="shared" si="115"/>
        <v>0</v>
      </c>
      <c r="P774" s="4061">
        <v>0</v>
      </c>
      <c r="Q774" s="4839"/>
    </row>
    <row r="775" spans="1:17" s="2070" customFormat="1">
      <c r="A775" s="4069">
        <v>4</v>
      </c>
      <c r="B775" s="4069">
        <v>1</v>
      </c>
      <c r="C775" s="4069" t="s">
        <v>443</v>
      </c>
      <c r="D775" s="4069" t="s">
        <v>444</v>
      </c>
      <c r="E775" s="4070" t="s">
        <v>445</v>
      </c>
      <c r="F775" s="4049"/>
      <c r="G775" s="4059"/>
      <c r="H775" s="4131" t="s">
        <v>50</v>
      </c>
      <c r="I775" s="4060" t="s">
        <v>74</v>
      </c>
      <c r="J775" s="1964">
        <v>0</v>
      </c>
      <c r="K775" s="2159">
        <v>0</v>
      </c>
      <c r="L775" s="2160">
        <f>'[2]ALL BULAN'!E719</f>
        <v>0</v>
      </c>
      <c r="M775" s="4253">
        <f t="shared" si="114"/>
        <v>0</v>
      </c>
      <c r="N775" s="1964">
        <v>0</v>
      </c>
      <c r="O775" s="4254">
        <f t="shared" si="115"/>
        <v>0</v>
      </c>
      <c r="P775" s="4061">
        <v>0</v>
      </c>
      <c r="Q775" s="4839"/>
    </row>
    <row r="776" spans="1:17" s="2070" customFormat="1">
      <c r="A776" s="4101">
        <v>4</v>
      </c>
      <c r="B776" s="4101">
        <v>1</v>
      </c>
      <c r="C776" s="4101" t="s">
        <v>443</v>
      </c>
      <c r="D776" s="4101" t="s">
        <v>444</v>
      </c>
      <c r="E776" s="4101" t="s">
        <v>441</v>
      </c>
      <c r="F776" s="4049"/>
      <c r="G776" s="4059"/>
      <c r="H776" s="4060" t="s">
        <v>308</v>
      </c>
      <c r="I776" s="4060" t="s">
        <v>75</v>
      </c>
      <c r="J776" s="1964">
        <v>0</v>
      </c>
      <c r="K776" s="2159">
        <v>0</v>
      </c>
      <c r="L776" s="2160">
        <f>'[2]ALL BULAN'!E720</f>
        <v>0</v>
      </c>
      <c r="M776" s="4253">
        <f t="shared" si="114"/>
        <v>0</v>
      </c>
      <c r="N776" s="1964">
        <v>0</v>
      </c>
      <c r="O776" s="4254">
        <f t="shared" si="115"/>
        <v>0</v>
      </c>
      <c r="P776" s="4061">
        <v>0</v>
      </c>
      <c r="Q776" s="4839"/>
    </row>
    <row r="777" spans="1:17" s="2070" customFormat="1">
      <c r="A777" s="4079">
        <v>4</v>
      </c>
      <c r="B777" s="4079">
        <v>1</v>
      </c>
      <c r="C777" s="4079" t="s">
        <v>443</v>
      </c>
      <c r="D777" s="4079" t="s">
        <v>447</v>
      </c>
      <c r="E777" s="4093" t="s">
        <v>437</v>
      </c>
      <c r="F777" s="4049"/>
      <c r="G777" s="4150"/>
      <c r="H777" s="4181" t="s">
        <v>50</v>
      </c>
      <c r="I777" s="4060" t="s">
        <v>85</v>
      </c>
      <c r="J777" s="1964">
        <v>0</v>
      </c>
      <c r="K777" s="2159">
        <v>0</v>
      </c>
      <c r="L777" s="2160">
        <f>'[2]ALL BULAN'!E721</f>
        <v>0</v>
      </c>
      <c r="M777" s="4253">
        <f t="shared" si="114"/>
        <v>0</v>
      </c>
      <c r="N777" s="1964">
        <v>0</v>
      </c>
      <c r="O777" s="4254">
        <f t="shared" si="115"/>
        <v>0</v>
      </c>
      <c r="P777" s="4061">
        <v>0</v>
      </c>
      <c r="Q777" s="4839"/>
    </row>
    <row r="778" spans="1:17" s="2070" customFormat="1" ht="5.95" customHeight="1">
      <c r="A778" s="4048"/>
      <c r="B778" s="4048"/>
      <c r="C778" s="4048"/>
      <c r="D778" s="4048"/>
      <c r="E778" s="4048"/>
      <c r="F778" s="4049"/>
      <c r="G778" s="4162"/>
      <c r="H778" s="4131"/>
      <c r="I778" s="4131"/>
      <c r="J778" s="2494"/>
      <c r="K778" s="4578"/>
      <c r="L778" s="2494"/>
      <c r="M778" s="2496"/>
      <c r="N778" s="2494"/>
      <c r="O778" s="2496"/>
      <c r="P778" s="4241"/>
      <c r="Q778" s="4839"/>
    </row>
    <row r="779" spans="1:17" s="2073" customFormat="1" ht="15.65">
      <c r="A779" s="4039"/>
      <c r="B779" s="4039"/>
      <c r="C779" s="4039"/>
      <c r="D779" s="4039"/>
      <c r="E779" s="4039"/>
      <c r="F779" s="4040"/>
      <c r="G779" s="4041" t="s">
        <v>398</v>
      </c>
      <c r="H779" s="4042" t="s">
        <v>399</v>
      </c>
      <c r="I779" s="4097"/>
      <c r="J779" s="4545">
        <v>0</v>
      </c>
      <c r="K779" s="4594">
        <v>0</v>
      </c>
      <c r="L779" s="4545">
        <f>SUM(L781)</f>
        <v>0</v>
      </c>
      <c r="M779" s="4595">
        <f>SUM(K779:L779)</f>
        <v>0</v>
      </c>
      <c r="N779" s="4545">
        <v>0</v>
      </c>
      <c r="O779" s="4519">
        <f>M779-J779</f>
        <v>0</v>
      </c>
      <c r="P779" s="4044">
        <v>0</v>
      </c>
      <c r="Q779" s="4840"/>
    </row>
    <row r="780" spans="1:17" s="2070" customFormat="1" ht="5.95" customHeight="1">
      <c r="A780" s="4048"/>
      <c r="B780" s="4048"/>
      <c r="C780" s="4048"/>
      <c r="D780" s="4048"/>
      <c r="E780" s="4048"/>
      <c r="F780" s="4049"/>
      <c r="G780" s="4050"/>
      <c r="H780" s="4224"/>
      <c r="I780" s="4224"/>
      <c r="J780" s="4581"/>
      <c r="K780" s="4522"/>
      <c r="L780" s="4581"/>
      <c r="M780" s="4582"/>
      <c r="N780" s="4581"/>
      <c r="O780" s="4582"/>
      <c r="P780" s="4225"/>
      <c r="Q780" s="4839"/>
    </row>
    <row r="781" spans="1:17" s="2070" customFormat="1">
      <c r="A781" s="4065">
        <v>4</v>
      </c>
      <c r="B781" s="4065">
        <v>1</v>
      </c>
      <c r="C781" s="4065">
        <v>4</v>
      </c>
      <c r="D781" s="4048"/>
      <c r="E781" s="4048"/>
      <c r="F781" s="4049">
        <v>3</v>
      </c>
      <c r="G781" s="4067"/>
      <c r="H781" s="4068" t="s">
        <v>71</v>
      </c>
      <c r="I781" s="4068"/>
      <c r="J781" s="4546">
        <v>0</v>
      </c>
      <c r="K781" s="2159">
        <v>0</v>
      </c>
      <c r="L781" s="4546">
        <f>SUM(L782:L786)</f>
        <v>0</v>
      </c>
      <c r="M781" s="4253">
        <f t="shared" ref="M781:M786" si="116">SUM(K781:L781)</f>
        <v>0</v>
      </c>
      <c r="N781" s="4546">
        <v>0</v>
      </c>
      <c r="O781" s="4254">
        <f t="shared" ref="O781:O786" si="117">M781-J781</f>
        <v>0</v>
      </c>
      <c r="P781" s="4061">
        <v>0</v>
      </c>
      <c r="Q781" s="4839"/>
    </row>
    <row r="782" spans="1:17" s="2070" customFormat="1">
      <c r="A782" s="4065">
        <v>4</v>
      </c>
      <c r="B782" s="4065">
        <v>1</v>
      </c>
      <c r="C782" s="4065">
        <v>4</v>
      </c>
      <c r="D782" s="4065" t="s">
        <v>441</v>
      </c>
      <c r="E782" s="4048"/>
      <c r="F782" s="4049"/>
      <c r="G782" s="4059"/>
      <c r="H782" s="4131" t="s">
        <v>50</v>
      </c>
      <c r="I782" s="4060" t="s">
        <v>72</v>
      </c>
      <c r="J782" s="1964">
        <v>0</v>
      </c>
      <c r="K782" s="2159">
        <v>0</v>
      </c>
      <c r="L782" s="2160">
        <f>'[2]ALL BULAN'!E726</f>
        <v>0</v>
      </c>
      <c r="M782" s="4253">
        <f t="shared" si="116"/>
        <v>0</v>
      </c>
      <c r="N782" s="1964">
        <v>0</v>
      </c>
      <c r="O782" s="4254">
        <f t="shared" si="117"/>
        <v>0</v>
      </c>
      <c r="P782" s="4061">
        <v>0</v>
      </c>
      <c r="Q782" s="4839"/>
    </row>
    <row r="783" spans="1:17" s="2070" customFormat="1">
      <c r="A783" s="4074">
        <v>4</v>
      </c>
      <c r="B783" s="4074">
        <v>1</v>
      </c>
      <c r="C783" s="4074" t="s">
        <v>443</v>
      </c>
      <c r="D783" s="4074" t="s">
        <v>444</v>
      </c>
      <c r="E783" s="4074" t="s">
        <v>440</v>
      </c>
      <c r="F783" s="4049"/>
      <c r="G783" s="4059"/>
      <c r="H783" s="4131" t="s">
        <v>50</v>
      </c>
      <c r="I783" s="4060" t="s">
        <v>73</v>
      </c>
      <c r="J783" s="1964">
        <v>0</v>
      </c>
      <c r="K783" s="2159">
        <v>0</v>
      </c>
      <c r="L783" s="2160">
        <f>'[2]ALL BULAN'!E727</f>
        <v>0</v>
      </c>
      <c r="M783" s="4253">
        <f t="shared" si="116"/>
        <v>0</v>
      </c>
      <c r="N783" s="1964">
        <v>0</v>
      </c>
      <c r="O783" s="4254">
        <f t="shared" si="117"/>
        <v>0</v>
      </c>
      <c r="P783" s="4061">
        <v>0</v>
      </c>
      <c r="Q783" s="4839"/>
    </row>
    <row r="784" spans="1:17" s="2070" customFormat="1">
      <c r="A784" s="4069">
        <v>4</v>
      </c>
      <c r="B784" s="4069">
        <v>1</v>
      </c>
      <c r="C784" s="4069" t="s">
        <v>443</v>
      </c>
      <c r="D784" s="4069" t="s">
        <v>444</v>
      </c>
      <c r="E784" s="4070" t="s">
        <v>445</v>
      </c>
      <c r="F784" s="4049"/>
      <c r="G784" s="4059"/>
      <c r="H784" s="4131" t="s">
        <v>50</v>
      </c>
      <c r="I784" s="4060" t="s">
        <v>74</v>
      </c>
      <c r="J784" s="1964">
        <v>0</v>
      </c>
      <c r="K784" s="2159">
        <v>0</v>
      </c>
      <c r="L784" s="2160">
        <f>'[2]ALL BULAN'!E728</f>
        <v>0</v>
      </c>
      <c r="M784" s="4253">
        <f t="shared" si="116"/>
        <v>0</v>
      </c>
      <c r="N784" s="1964">
        <v>0</v>
      </c>
      <c r="O784" s="4254">
        <f t="shared" si="117"/>
        <v>0</v>
      </c>
      <c r="P784" s="4061">
        <v>0</v>
      </c>
      <c r="Q784" s="4839"/>
    </row>
    <row r="785" spans="1:17" s="2070" customFormat="1">
      <c r="A785" s="4101">
        <v>4</v>
      </c>
      <c r="B785" s="4101">
        <v>1</v>
      </c>
      <c r="C785" s="4101" t="s">
        <v>443</v>
      </c>
      <c r="D785" s="4101" t="s">
        <v>444</v>
      </c>
      <c r="E785" s="4101" t="s">
        <v>441</v>
      </c>
      <c r="F785" s="4049"/>
      <c r="G785" s="4059"/>
      <c r="H785" s="4060" t="s">
        <v>308</v>
      </c>
      <c r="I785" s="4060" t="s">
        <v>75</v>
      </c>
      <c r="J785" s="1964">
        <v>0</v>
      </c>
      <c r="K785" s="2159">
        <v>0</v>
      </c>
      <c r="L785" s="2160">
        <f>'[2]ALL BULAN'!E729</f>
        <v>0</v>
      </c>
      <c r="M785" s="4253">
        <f t="shared" si="116"/>
        <v>0</v>
      </c>
      <c r="N785" s="1964">
        <v>0</v>
      </c>
      <c r="O785" s="4254">
        <f t="shared" si="117"/>
        <v>0</v>
      </c>
      <c r="P785" s="4061">
        <v>0</v>
      </c>
      <c r="Q785" s="4839"/>
    </row>
    <row r="786" spans="1:17" s="2070" customFormat="1">
      <c r="A786" s="4079">
        <v>4</v>
      </c>
      <c r="B786" s="4079">
        <v>1</v>
      </c>
      <c r="C786" s="4079" t="s">
        <v>443</v>
      </c>
      <c r="D786" s="4079" t="s">
        <v>447</v>
      </c>
      <c r="E786" s="4093" t="s">
        <v>437</v>
      </c>
      <c r="F786" s="4049"/>
      <c r="G786" s="4150"/>
      <c r="H786" s="4181" t="s">
        <v>50</v>
      </c>
      <c r="I786" s="4060" t="s">
        <v>85</v>
      </c>
      <c r="J786" s="1964">
        <v>0</v>
      </c>
      <c r="K786" s="2159">
        <v>0</v>
      </c>
      <c r="L786" s="2160">
        <f>'[2]ALL BULAN'!E730</f>
        <v>0</v>
      </c>
      <c r="M786" s="4253">
        <f t="shared" si="116"/>
        <v>0</v>
      </c>
      <c r="N786" s="1964">
        <v>0</v>
      </c>
      <c r="O786" s="4254">
        <f t="shared" si="117"/>
        <v>0</v>
      </c>
      <c r="P786" s="4061">
        <v>0</v>
      </c>
      <c r="Q786" s="4839"/>
    </row>
    <row r="787" spans="1:17" s="2070" customFormat="1" ht="5.35" customHeight="1">
      <c r="A787" s="4048"/>
      <c r="B787" s="4048"/>
      <c r="C787" s="4048"/>
      <c r="D787" s="4048"/>
      <c r="E787" s="4048"/>
      <c r="F787" s="4049"/>
      <c r="G787" s="4162"/>
      <c r="H787" s="4131"/>
      <c r="I787" s="4131"/>
      <c r="J787" s="2314"/>
      <c r="K787" s="2220"/>
      <c r="L787" s="2314"/>
      <c r="M787" s="2315"/>
      <c r="N787" s="2314"/>
      <c r="O787" s="2315"/>
      <c r="P787" s="4174"/>
      <c r="Q787" s="4839"/>
    </row>
    <row r="788" spans="1:17" s="2073" customFormat="1" ht="15.65">
      <c r="A788" s="4039"/>
      <c r="B788" s="4039"/>
      <c r="C788" s="4039"/>
      <c r="D788" s="4039"/>
      <c r="E788" s="4039"/>
      <c r="F788" s="4040"/>
      <c r="G788" s="4041" t="s">
        <v>400</v>
      </c>
      <c r="H788" s="4242" t="s">
        <v>401</v>
      </c>
      <c r="I788" s="4097"/>
      <c r="J788" s="4545">
        <v>0</v>
      </c>
      <c r="K788" s="4594">
        <v>0</v>
      </c>
      <c r="L788" s="4545">
        <f>SUM(L790)</f>
        <v>0</v>
      </c>
      <c r="M788" s="4595">
        <f>SUM(K788:L788)</f>
        <v>0</v>
      </c>
      <c r="N788" s="4545">
        <v>0</v>
      </c>
      <c r="O788" s="4519">
        <f>M788-J788</f>
        <v>0</v>
      </c>
      <c r="P788" s="4044">
        <v>0</v>
      </c>
      <c r="Q788" s="4840"/>
    </row>
    <row r="789" spans="1:17" s="2070" customFormat="1" ht="3.8" customHeight="1">
      <c r="A789" s="4048"/>
      <c r="B789" s="4048"/>
      <c r="C789" s="4048"/>
      <c r="D789" s="4048"/>
      <c r="E789" s="4048"/>
      <c r="F789" s="4049"/>
      <c r="G789" s="4067"/>
      <c r="H789" s="4126"/>
      <c r="I789" s="4060"/>
      <c r="J789" s="4584"/>
      <c r="K789" s="2255"/>
      <c r="L789" s="4584"/>
      <c r="M789" s="4546"/>
      <c r="N789" s="4584"/>
      <c r="O789" s="4546"/>
      <c r="P789" s="4243"/>
      <c r="Q789" s="4839"/>
    </row>
    <row r="790" spans="1:17" s="2070" customFormat="1">
      <c r="A790" s="4065">
        <v>4</v>
      </c>
      <c r="B790" s="4065">
        <v>1</v>
      </c>
      <c r="C790" s="4065">
        <v>4</v>
      </c>
      <c r="D790" s="4048"/>
      <c r="E790" s="4048"/>
      <c r="F790" s="4049">
        <v>3</v>
      </c>
      <c r="G790" s="4067"/>
      <c r="H790" s="4068" t="s">
        <v>71</v>
      </c>
      <c r="I790" s="4068"/>
      <c r="J790" s="4546">
        <v>0</v>
      </c>
      <c r="K790" s="2159">
        <v>0</v>
      </c>
      <c r="L790" s="4546">
        <f>SUM(L791:L795)</f>
        <v>0</v>
      </c>
      <c r="M790" s="4253">
        <f t="shared" ref="M790:M795" si="118">SUM(K790:L790)</f>
        <v>0</v>
      </c>
      <c r="N790" s="4546">
        <v>0</v>
      </c>
      <c r="O790" s="4254">
        <f t="shared" ref="O790:O795" si="119">M790-J790</f>
        <v>0</v>
      </c>
      <c r="P790" s="4061">
        <v>0</v>
      </c>
      <c r="Q790" s="4839"/>
    </row>
    <row r="791" spans="1:17" s="2070" customFormat="1">
      <c r="A791" s="4065">
        <v>4</v>
      </c>
      <c r="B791" s="4065">
        <v>1</v>
      </c>
      <c r="C791" s="4065">
        <v>4</v>
      </c>
      <c r="D791" s="4065" t="s">
        <v>441</v>
      </c>
      <c r="E791" s="4048"/>
      <c r="F791" s="4049"/>
      <c r="G791" s="4059"/>
      <c r="H791" s="4131" t="s">
        <v>50</v>
      </c>
      <c r="I791" s="4060" t="s">
        <v>72</v>
      </c>
      <c r="J791" s="1964">
        <v>0</v>
      </c>
      <c r="K791" s="2159">
        <v>0</v>
      </c>
      <c r="L791" s="2160">
        <f>'[2]ALL BULAN'!E735</f>
        <v>0</v>
      </c>
      <c r="M791" s="4253">
        <f t="shared" si="118"/>
        <v>0</v>
      </c>
      <c r="N791" s="1964">
        <v>0</v>
      </c>
      <c r="O791" s="4254">
        <f t="shared" si="119"/>
        <v>0</v>
      </c>
      <c r="P791" s="4061">
        <v>0</v>
      </c>
      <c r="Q791" s="4839"/>
    </row>
    <row r="792" spans="1:17" s="2070" customFormat="1">
      <c r="A792" s="4074">
        <v>4</v>
      </c>
      <c r="B792" s="4074">
        <v>1</v>
      </c>
      <c r="C792" s="4074" t="s">
        <v>443</v>
      </c>
      <c r="D792" s="4074" t="s">
        <v>444</v>
      </c>
      <c r="E792" s="4074" t="s">
        <v>440</v>
      </c>
      <c r="F792" s="4049"/>
      <c r="G792" s="4059"/>
      <c r="H792" s="4131" t="s">
        <v>50</v>
      </c>
      <c r="I792" s="4060" t="s">
        <v>73</v>
      </c>
      <c r="J792" s="1964">
        <v>0</v>
      </c>
      <c r="K792" s="2159">
        <v>0</v>
      </c>
      <c r="L792" s="2160">
        <f>'[2]ALL BULAN'!E736</f>
        <v>0</v>
      </c>
      <c r="M792" s="4253">
        <f t="shared" si="118"/>
        <v>0</v>
      </c>
      <c r="N792" s="1964">
        <v>0</v>
      </c>
      <c r="O792" s="4254">
        <f t="shared" si="119"/>
        <v>0</v>
      </c>
      <c r="P792" s="4061">
        <v>0</v>
      </c>
      <c r="Q792" s="4839"/>
    </row>
    <row r="793" spans="1:17" s="2070" customFormat="1">
      <c r="A793" s="4069">
        <v>4</v>
      </c>
      <c r="B793" s="4069">
        <v>1</v>
      </c>
      <c r="C793" s="4069" t="s">
        <v>443</v>
      </c>
      <c r="D793" s="4069" t="s">
        <v>444</v>
      </c>
      <c r="E793" s="4070" t="s">
        <v>445</v>
      </c>
      <c r="F793" s="4049"/>
      <c r="G793" s="4059"/>
      <c r="H793" s="4131" t="s">
        <v>50</v>
      </c>
      <c r="I793" s="4060" t="s">
        <v>74</v>
      </c>
      <c r="J793" s="1964">
        <v>0</v>
      </c>
      <c r="K793" s="2159">
        <v>0</v>
      </c>
      <c r="L793" s="2160">
        <f>'[2]ALL BULAN'!E737</f>
        <v>0</v>
      </c>
      <c r="M793" s="4253">
        <f t="shared" si="118"/>
        <v>0</v>
      </c>
      <c r="N793" s="1964">
        <v>0</v>
      </c>
      <c r="O793" s="4254">
        <f t="shared" si="119"/>
        <v>0</v>
      </c>
      <c r="P793" s="4061">
        <v>0</v>
      </c>
      <c r="Q793" s="4839"/>
    </row>
    <row r="794" spans="1:17" s="2070" customFormat="1">
      <c r="A794" s="4101">
        <v>4</v>
      </c>
      <c r="B794" s="4101">
        <v>1</v>
      </c>
      <c r="C794" s="4101" t="s">
        <v>443</v>
      </c>
      <c r="D794" s="4101" t="s">
        <v>444</v>
      </c>
      <c r="E794" s="4101" t="s">
        <v>441</v>
      </c>
      <c r="F794" s="4049"/>
      <c r="G794" s="4059"/>
      <c r="H794" s="4060" t="s">
        <v>308</v>
      </c>
      <c r="I794" s="4060" t="s">
        <v>75</v>
      </c>
      <c r="J794" s="1964">
        <v>0</v>
      </c>
      <c r="K794" s="2159">
        <v>0</v>
      </c>
      <c r="L794" s="2160">
        <f>'[2]ALL BULAN'!E738</f>
        <v>0</v>
      </c>
      <c r="M794" s="4253">
        <f t="shared" si="118"/>
        <v>0</v>
      </c>
      <c r="N794" s="1964">
        <v>0</v>
      </c>
      <c r="O794" s="4254">
        <f t="shared" si="119"/>
        <v>0</v>
      </c>
      <c r="P794" s="4061">
        <v>0</v>
      </c>
      <c r="Q794" s="4839"/>
    </row>
    <row r="795" spans="1:17" s="2070" customFormat="1">
      <c r="A795" s="4079">
        <v>4</v>
      </c>
      <c r="B795" s="4079">
        <v>1</v>
      </c>
      <c r="C795" s="4079" t="s">
        <v>443</v>
      </c>
      <c r="D795" s="4079" t="s">
        <v>447</v>
      </c>
      <c r="E795" s="4093" t="s">
        <v>437</v>
      </c>
      <c r="F795" s="4049"/>
      <c r="G795" s="4080"/>
      <c r="H795" s="4181" t="s">
        <v>50</v>
      </c>
      <c r="I795" s="4060" t="s">
        <v>85</v>
      </c>
      <c r="J795" s="1964">
        <v>0</v>
      </c>
      <c r="K795" s="2159">
        <v>0</v>
      </c>
      <c r="L795" s="2160">
        <f>'[2]ALL BULAN'!E739</f>
        <v>0</v>
      </c>
      <c r="M795" s="4253">
        <f t="shared" si="118"/>
        <v>0</v>
      </c>
      <c r="N795" s="1964">
        <v>0</v>
      </c>
      <c r="O795" s="4254">
        <f t="shared" si="119"/>
        <v>0</v>
      </c>
      <c r="P795" s="4061">
        <v>0</v>
      </c>
      <c r="Q795" s="4839"/>
    </row>
    <row r="796" spans="1:17" s="2070" customFormat="1" ht="5.95" customHeight="1">
      <c r="A796" s="4048"/>
      <c r="B796" s="4048"/>
      <c r="C796" s="4048"/>
      <c r="D796" s="4048"/>
      <c r="E796" s="4048"/>
      <c r="F796" s="4049"/>
      <c r="G796" s="4102"/>
      <c r="H796" s="4083"/>
      <c r="I796" s="4083"/>
      <c r="J796" s="4548"/>
      <c r="K796" s="2183"/>
      <c r="L796" s="4548"/>
      <c r="M796" s="4549"/>
      <c r="N796" s="4548"/>
      <c r="O796" s="4549"/>
      <c r="P796" s="4172"/>
      <c r="Q796" s="4839"/>
    </row>
    <row r="797" spans="1:17" s="2073" customFormat="1" ht="15.65">
      <c r="A797" s="4039"/>
      <c r="B797" s="4039"/>
      <c r="C797" s="4039"/>
      <c r="D797" s="4039"/>
      <c r="E797" s="4039"/>
      <c r="F797" s="4040"/>
      <c r="G797" s="4041" t="s">
        <v>402</v>
      </c>
      <c r="H797" s="4042" t="s">
        <v>403</v>
      </c>
      <c r="I797" s="4097"/>
      <c r="J797" s="4545">
        <v>0</v>
      </c>
      <c r="K797" s="4594">
        <v>0</v>
      </c>
      <c r="L797" s="4545">
        <f>SUM(L799)</f>
        <v>0</v>
      </c>
      <c r="M797" s="4595">
        <f>SUM(K797:L797)</f>
        <v>0</v>
      </c>
      <c r="N797" s="4545">
        <v>0</v>
      </c>
      <c r="O797" s="4519">
        <f>M797-J797</f>
        <v>0</v>
      </c>
      <c r="P797" s="4044">
        <v>0</v>
      </c>
      <c r="Q797" s="4840"/>
    </row>
    <row r="798" spans="1:17" s="2070" customFormat="1" ht="5.35" customHeight="1">
      <c r="A798" s="4048"/>
      <c r="B798" s="4048"/>
      <c r="C798" s="4048"/>
      <c r="D798" s="4048"/>
      <c r="E798" s="4048"/>
      <c r="F798" s="4049"/>
      <c r="G798" s="4050"/>
      <c r="H798" s="4224"/>
      <c r="I798" s="4224"/>
      <c r="J798" s="4581"/>
      <c r="K798" s="4522"/>
      <c r="L798" s="4581"/>
      <c r="M798" s="4582"/>
      <c r="N798" s="4581"/>
      <c r="O798" s="4582"/>
      <c r="P798" s="4225"/>
      <c r="Q798" s="4839"/>
    </row>
    <row r="799" spans="1:17" s="2070" customFormat="1">
      <c r="A799" s="4065">
        <v>4</v>
      </c>
      <c r="B799" s="4065">
        <v>1</v>
      </c>
      <c r="C799" s="4065">
        <v>4</v>
      </c>
      <c r="D799" s="4048"/>
      <c r="E799" s="4048"/>
      <c r="F799" s="4049">
        <v>3</v>
      </c>
      <c r="G799" s="4067"/>
      <c r="H799" s="4068" t="s">
        <v>71</v>
      </c>
      <c r="I799" s="4068"/>
      <c r="J799" s="4546">
        <v>0</v>
      </c>
      <c r="K799" s="2159">
        <v>0</v>
      </c>
      <c r="L799" s="4546">
        <f>SUM(L800:L804)</f>
        <v>0</v>
      </c>
      <c r="M799" s="4253">
        <f t="shared" ref="M799:M804" si="120">SUM(K799:L799)</f>
        <v>0</v>
      </c>
      <c r="N799" s="4546">
        <v>0</v>
      </c>
      <c r="O799" s="4254">
        <f t="shared" ref="O799:O804" si="121">M799-J799</f>
        <v>0</v>
      </c>
      <c r="P799" s="4061">
        <v>0</v>
      </c>
      <c r="Q799" s="4839"/>
    </row>
    <row r="800" spans="1:17" s="2070" customFormat="1">
      <c r="A800" s="4065">
        <v>4</v>
      </c>
      <c r="B800" s="4065">
        <v>1</v>
      </c>
      <c r="C800" s="4065">
        <v>4</v>
      </c>
      <c r="D800" s="4065" t="s">
        <v>441</v>
      </c>
      <c r="E800" s="4048"/>
      <c r="F800" s="4049"/>
      <c r="G800" s="4059"/>
      <c r="H800" s="4131" t="s">
        <v>50</v>
      </c>
      <c r="I800" s="4060" t="s">
        <v>72</v>
      </c>
      <c r="J800" s="1964">
        <v>0</v>
      </c>
      <c r="K800" s="2159">
        <v>0</v>
      </c>
      <c r="L800" s="2160">
        <f>'[2]ALL BULAN'!E744</f>
        <v>0</v>
      </c>
      <c r="M800" s="4253">
        <f t="shared" si="120"/>
        <v>0</v>
      </c>
      <c r="N800" s="1964">
        <v>0</v>
      </c>
      <c r="O800" s="4254">
        <f t="shared" si="121"/>
        <v>0</v>
      </c>
      <c r="P800" s="4061">
        <v>0</v>
      </c>
      <c r="Q800" s="4839"/>
    </row>
    <row r="801" spans="1:17" s="2070" customFormat="1">
      <c r="A801" s="4074">
        <v>4</v>
      </c>
      <c r="B801" s="4074">
        <v>1</v>
      </c>
      <c r="C801" s="4074" t="s">
        <v>443</v>
      </c>
      <c r="D801" s="4074" t="s">
        <v>444</v>
      </c>
      <c r="E801" s="4074" t="s">
        <v>440</v>
      </c>
      <c r="F801" s="4049"/>
      <c r="G801" s="4059"/>
      <c r="H801" s="4131" t="s">
        <v>50</v>
      </c>
      <c r="I801" s="4060" t="s">
        <v>73</v>
      </c>
      <c r="J801" s="1964">
        <v>0</v>
      </c>
      <c r="K801" s="2159">
        <v>0</v>
      </c>
      <c r="L801" s="2160">
        <f>'[2]ALL BULAN'!E745</f>
        <v>0</v>
      </c>
      <c r="M801" s="4253">
        <f t="shared" si="120"/>
        <v>0</v>
      </c>
      <c r="N801" s="1964">
        <v>0</v>
      </c>
      <c r="O801" s="4254">
        <f t="shared" si="121"/>
        <v>0</v>
      </c>
      <c r="P801" s="4061">
        <v>0</v>
      </c>
      <c r="Q801" s="4839"/>
    </row>
    <row r="802" spans="1:17" s="2070" customFormat="1">
      <c r="A802" s="4069">
        <v>4</v>
      </c>
      <c r="B802" s="4069">
        <v>1</v>
      </c>
      <c r="C802" s="4069" t="s">
        <v>443</v>
      </c>
      <c r="D802" s="4069" t="s">
        <v>444</v>
      </c>
      <c r="E802" s="4070" t="s">
        <v>445</v>
      </c>
      <c r="F802" s="4049"/>
      <c r="G802" s="4059"/>
      <c r="H802" s="4131" t="s">
        <v>50</v>
      </c>
      <c r="I802" s="4060" t="s">
        <v>74</v>
      </c>
      <c r="J802" s="1964">
        <v>0</v>
      </c>
      <c r="K802" s="2159">
        <v>0</v>
      </c>
      <c r="L802" s="2160">
        <f>'[2]ALL BULAN'!E746</f>
        <v>0</v>
      </c>
      <c r="M802" s="4253">
        <f t="shared" si="120"/>
        <v>0</v>
      </c>
      <c r="N802" s="1964">
        <v>0</v>
      </c>
      <c r="O802" s="4254">
        <f t="shared" si="121"/>
        <v>0</v>
      </c>
      <c r="P802" s="4061">
        <v>0</v>
      </c>
      <c r="Q802" s="4839"/>
    </row>
    <row r="803" spans="1:17" s="2070" customFormat="1">
      <c r="A803" s="4101">
        <v>4</v>
      </c>
      <c r="B803" s="4101">
        <v>1</v>
      </c>
      <c r="C803" s="4101" t="s">
        <v>443</v>
      </c>
      <c r="D803" s="4101" t="s">
        <v>444</v>
      </c>
      <c r="E803" s="4101" t="s">
        <v>441</v>
      </c>
      <c r="F803" s="4049"/>
      <c r="G803" s="4059"/>
      <c r="H803" s="4060" t="s">
        <v>308</v>
      </c>
      <c r="I803" s="4060" t="s">
        <v>75</v>
      </c>
      <c r="J803" s="1964">
        <v>0</v>
      </c>
      <c r="K803" s="2159">
        <v>0</v>
      </c>
      <c r="L803" s="2160">
        <f>'[2]ALL BULAN'!E747</f>
        <v>0</v>
      </c>
      <c r="M803" s="4253">
        <f t="shared" si="120"/>
        <v>0</v>
      </c>
      <c r="N803" s="1964">
        <v>0</v>
      </c>
      <c r="O803" s="4254">
        <f t="shared" si="121"/>
        <v>0</v>
      </c>
      <c r="P803" s="4061">
        <v>0</v>
      </c>
      <c r="Q803" s="4839"/>
    </row>
    <row r="804" spans="1:17" s="2070" customFormat="1">
      <c r="A804" s="4079">
        <v>4</v>
      </c>
      <c r="B804" s="4079">
        <v>1</v>
      </c>
      <c r="C804" s="4079" t="s">
        <v>443</v>
      </c>
      <c r="D804" s="4079" t="s">
        <v>447</v>
      </c>
      <c r="E804" s="4093" t="s">
        <v>437</v>
      </c>
      <c r="F804" s="4049"/>
      <c r="G804" s="4080"/>
      <c r="H804" s="4181" t="s">
        <v>50</v>
      </c>
      <c r="I804" s="4060" t="s">
        <v>85</v>
      </c>
      <c r="J804" s="1964">
        <v>0</v>
      </c>
      <c r="K804" s="2159">
        <v>0</v>
      </c>
      <c r="L804" s="2160">
        <f>'[2]ALL BULAN'!E748</f>
        <v>0</v>
      </c>
      <c r="M804" s="4253">
        <f t="shared" si="120"/>
        <v>0</v>
      </c>
      <c r="N804" s="1964">
        <v>0</v>
      </c>
      <c r="O804" s="4254">
        <f t="shared" si="121"/>
        <v>0</v>
      </c>
      <c r="P804" s="4061">
        <v>0</v>
      </c>
      <c r="Q804" s="4839"/>
    </row>
    <row r="805" spans="1:17" s="2070" customFormat="1" ht="5.95" customHeight="1">
      <c r="A805" s="4048"/>
      <c r="B805" s="4048"/>
      <c r="C805" s="4048"/>
      <c r="D805" s="4048"/>
      <c r="E805" s="4048"/>
      <c r="F805" s="4049"/>
      <c r="G805" s="4102"/>
      <c r="H805" s="4083"/>
      <c r="I805" s="4083"/>
      <c r="J805" s="4548"/>
      <c r="K805" s="2183"/>
      <c r="L805" s="4548"/>
      <c r="M805" s="4549"/>
      <c r="N805" s="4548"/>
      <c r="O805" s="4549"/>
      <c r="P805" s="4172"/>
      <c r="Q805" s="4839"/>
    </row>
    <row r="806" spans="1:17" s="2070" customFormat="1" ht="15.05">
      <c r="A806" s="4048"/>
      <c r="B806" s="4048"/>
      <c r="C806" s="4048"/>
      <c r="D806" s="4048"/>
      <c r="E806" s="4048"/>
      <c r="F806" s="4049"/>
      <c r="G806" s="4183" t="s">
        <v>404</v>
      </c>
      <c r="H806" s="4173" t="s">
        <v>405</v>
      </c>
      <c r="I806" s="4173"/>
      <c r="J806" s="4595">
        <v>0</v>
      </c>
      <c r="K806" s="4594">
        <v>0</v>
      </c>
      <c r="L806" s="4595">
        <f>SUM(L808)</f>
        <v>0</v>
      </c>
      <c r="M806" s="4595">
        <f>SUM(K806:L806)</f>
        <v>0</v>
      </c>
      <c r="N806" s="4595">
        <v>0</v>
      </c>
      <c r="O806" s="4519">
        <f>M806-J806</f>
        <v>0</v>
      </c>
      <c r="P806" s="4044">
        <v>0</v>
      </c>
      <c r="Q806" s="4839"/>
    </row>
    <row r="807" spans="1:17" s="2070" customFormat="1" ht="5.35" customHeight="1">
      <c r="A807" s="4048"/>
      <c r="B807" s="4048"/>
      <c r="C807" s="4048"/>
      <c r="D807" s="4048"/>
      <c r="E807" s="4048"/>
      <c r="F807" s="4049"/>
      <c r="G807" s="4036"/>
      <c r="H807" s="4131"/>
      <c r="I807" s="4131"/>
      <c r="J807" s="2499"/>
      <c r="K807" s="2500"/>
      <c r="L807" s="2499"/>
      <c r="M807" s="2501"/>
      <c r="N807" s="2499"/>
      <c r="O807" s="2501"/>
      <c r="P807" s="4244"/>
      <c r="Q807" s="4839"/>
    </row>
    <row r="808" spans="1:17" s="2070" customFormat="1">
      <c r="A808" s="4065">
        <v>4</v>
      </c>
      <c r="B808" s="4065">
        <v>1</v>
      </c>
      <c r="C808" s="4065">
        <v>4</v>
      </c>
      <c r="D808" s="4048"/>
      <c r="E808" s="4048"/>
      <c r="F808" s="4049">
        <v>3</v>
      </c>
      <c r="G808" s="4080"/>
      <c r="H808" s="4068" t="s">
        <v>71</v>
      </c>
      <c r="I808" s="4068"/>
      <c r="J808" s="2466">
        <v>0</v>
      </c>
      <c r="K808" s="2159">
        <v>0</v>
      </c>
      <c r="L808" s="2466">
        <f>SUM(L809:L813)</f>
        <v>0</v>
      </c>
      <c r="M808" s="4253">
        <f t="shared" ref="M808:M813" si="122">SUM(K808:L808)</f>
        <v>0</v>
      </c>
      <c r="N808" s="2466">
        <v>0</v>
      </c>
      <c r="O808" s="4254">
        <f t="shared" ref="O808:O813" si="123">M808-J808</f>
        <v>0</v>
      </c>
      <c r="P808" s="4061">
        <v>0</v>
      </c>
      <c r="Q808" s="4839"/>
    </row>
    <row r="809" spans="1:17" s="2070" customFormat="1">
      <c r="A809" s="4065">
        <v>4</v>
      </c>
      <c r="B809" s="4065">
        <v>1</v>
      </c>
      <c r="C809" s="4065">
        <v>4</v>
      </c>
      <c r="D809" s="4065" t="s">
        <v>441</v>
      </c>
      <c r="E809" s="4048"/>
      <c r="F809" s="4049"/>
      <c r="G809" s="4080"/>
      <c r="H809" s="4131" t="s">
        <v>50</v>
      </c>
      <c r="I809" s="4060" t="s">
        <v>72</v>
      </c>
      <c r="J809" s="1964">
        <v>0</v>
      </c>
      <c r="K809" s="2159">
        <v>0</v>
      </c>
      <c r="L809" s="2160">
        <f>'[2]ALL BULAN'!E753</f>
        <v>0</v>
      </c>
      <c r="M809" s="4253">
        <f t="shared" si="122"/>
        <v>0</v>
      </c>
      <c r="N809" s="1964">
        <v>0</v>
      </c>
      <c r="O809" s="4254">
        <f t="shared" si="123"/>
        <v>0</v>
      </c>
      <c r="P809" s="4061">
        <v>0</v>
      </c>
      <c r="Q809" s="4839"/>
    </row>
    <row r="810" spans="1:17" s="2070" customFormat="1">
      <c r="A810" s="4074">
        <v>4</v>
      </c>
      <c r="B810" s="4074">
        <v>1</v>
      </c>
      <c r="C810" s="4074" t="s">
        <v>443</v>
      </c>
      <c r="D810" s="4074" t="s">
        <v>444</v>
      </c>
      <c r="E810" s="4074" t="s">
        <v>440</v>
      </c>
      <c r="F810" s="4049"/>
      <c r="G810" s="4080"/>
      <c r="H810" s="4131" t="s">
        <v>50</v>
      </c>
      <c r="I810" s="4060" t="s">
        <v>73</v>
      </c>
      <c r="J810" s="1964">
        <v>0</v>
      </c>
      <c r="K810" s="2159">
        <v>0</v>
      </c>
      <c r="L810" s="2160">
        <f>'[2]ALL BULAN'!E754</f>
        <v>0</v>
      </c>
      <c r="M810" s="4253">
        <f t="shared" si="122"/>
        <v>0</v>
      </c>
      <c r="N810" s="1964">
        <v>0</v>
      </c>
      <c r="O810" s="4254">
        <f t="shared" si="123"/>
        <v>0</v>
      </c>
      <c r="P810" s="4061">
        <v>0</v>
      </c>
      <c r="Q810" s="4839"/>
    </row>
    <row r="811" spans="1:17" s="2070" customFormat="1">
      <c r="A811" s="4069">
        <v>4</v>
      </c>
      <c r="B811" s="4069">
        <v>1</v>
      </c>
      <c r="C811" s="4069" t="s">
        <v>443</v>
      </c>
      <c r="D811" s="4069" t="s">
        <v>444</v>
      </c>
      <c r="E811" s="4070" t="s">
        <v>445</v>
      </c>
      <c r="F811" s="4049"/>
      <c r="G811" s="4080"/>
      <c r="H811" s="4131" t="s">
        <v>50</v>
      </c>
      <c r="I811" s="4060" t="s">
        <v>74</v>
      </c>
      <c r="J811" s="1964">
        <v>0</v>
      </c>
      <c r="K811" s="2159">
        <v>0</v>
      </c>
      <c r="L811" s="2160">
        <f>'[2]ALL BULAN'!E755</f>
        <v>0</v>
      </c>
      <c r="M811" s="4253">
        <f t="shared" si="122"/>
        <v>0</v>
      </c>
      <c r="N811" s="1964">
        <v>0</v>
      </c>
      <c r="O811" s="4254">
        <f t="shared" si="123"/>
        <v>0</v>
      </c>
      <c r="P811" s="4061">
        <v>0</v>
      </c>
      <c r="Q811" s="4839"/>
    </row>
    <row r="812" spans="1:17" s="2070" customFormat="1">
      <c r="A812" s="4101">
        <v>4</v>
      </c>
      <c r="B812" s="4101">
        <v>1</v>
      </c>
      <c r="C812" s="4101" t="s">
        <v>443</v>
      </c>
      <c r="D812" s="4101" t="s">
        <v>444</v>
      </c>
      <c r="E812" s="4101" t="s">
        <v>441</v>
      </c>
      <c r="F812" s="4049"/>
      <c r="G812" s="4080"/>
      <c r="H812" s="4060" t="s">
        <v>308</v>
      </c>
      <c r="I812" s="4060" t="s">
        <v>75</v>
      </c>
      <c r="J812" s="1964">
        <v>0</v>
      </c>
      <c r="K812" s="2159">
        <v>0</v>
      </c>
      <c r="L812" s="2160">
        <f>'[2]ALL BULAN'!E756</f>
        <v>0</v>
      </c>
      <c r="M812" s="4253">
        <f t="shared" si="122"/>
        <v>0</v>
      </c>
      <c r="N812" s="1964">
        <v>0</v>
      </c>
      <c r="O812" s="4254">
        <f t="shared" si="123"/>
        <v>0</v>
      </c>
      <c r="P812" s="4061">
        <v>0</v>
      </c>
      <c r="Q812" s="4839"/>
    </row>
    <row r="813" spans="1:17" s="2070" customFormat="1">
      <c r="A813" s="4079">
        <v>4</v>
      </c>
      <c r="B813" s="4079">
        <v>1</v>
      </c>
      <c r="C813" s="4079" t="s">
        <v>443</v>
      </c>
      <c r="D813" s="4079" t="s">
        <v>447</v>
      </c>
      <c r="E813" s="4093" t="s">
        <v>437</v>
      </c>
      <c r="F813" s="4049"/>
      <c r="G813" s="4080"/>
      <c r="H813" s="4181" t="s">
        <v>50</v>
      </c>
      <c r="I813" s="4060" t="s">
        <v>85</v>
      </c>
      <c r="J813" s="1964">
        <v>0</v>
      </c>
      <c r="K813" s="2159">
        <v>0</v>
      </c>
      <c r="L813" s="2160">
        <f>'[2]ALL BULAN'!E757</f>
        <v>0</v>
      </c>
      <c r="M813" s="4253">
        <f t="shared" si="122"/>
        <v>0</v>
      </c>
      <c r="N813" s="1964">
        <v>0</v>
      </c>
      <c r="O813" s="4254">
        <f t="shared" si="123"/>
        <v>0</v>
      </c>
      <c r="P813" s="4061">
        <v>0</v>
      </c>
      <c r="Q813" s="4839"/>
    </row>
    <row r="814" spans="1:17" s="2070" customFormat="1" ht="6.75" customHeight="1">
      <c r="A814" s="4048"/>
      <c r="B814" s="4048"/>
      <c r="C814" s="4048"/>
      <c r="D814" s="4048"/>
      <c r="E814" s="4048"/>
      <c r="F814" s="4049"/>
      <c r="G814" s="4080"/>
      <c r="H814" s="4151"/>
      <c r="I814" s="4151"/>
      <c r="J814" s="2503"/>
      <c r="K814" s="2504"/>
      <c r="L814" s="2503"/>
      <c r="M814" s="2505"/>
      <c r="N814" s="2503"/>
      <c r="O814" s="2505"/>
      <c r="P814" s="4245"/>
      <c r="Q814" s="4839"/>
    </row>
    <row r="815" spans="1:17" s="2070" customFormat="1" ht="15.05">
      <c r="A815" s="4048"/>
      <c r="B815" s="4048"/>
      <c r="C815" s="4048"/>
      <c r="D815" s="4048"/>
      <c r="E815" s="4048"/>
      <c r="F815" s="4049"/>
      <c r="G815" s="4183" t="s">
        <v>406</v>
      </c>
      <c r="H815" s="4173" t="s">
        <v>407</v>
      </c>
      <c r="I815" s="4173"/>
      <c r="J815" s="4595">
        <v>0</v>
      </c>
      <c r="K815" s="4594">
        <v>0</v>
      </c>
      <c r="L815" s="4595">
        <f>SUM(L817)</f>
        <v>0</v>
      </c>
      <c r="M815" s="4595">
        <f>SUM(K815:L815)</f>
        <v>0</v>
      </c>
      <c r="N815" s="4595">
        <v>0</v>
      </c>
      <c r="O815" s="4519">
        <f>M815-J815</f>
        <v>0</v>
      </c>
      <c r="P815" s="4044">
        <v>0</v>
      </c>
      <c r="Q815" s="4839"/>
    </row>
    <row r="816" spans="1:17" s="2070" customFormat="1" ht="6.75" customHeight="1">
      <c r="A816" s="4048"/>
      <c r="B816" s="4048"/>
      <c r="C816" s="4048"/>
      <c r="D816" s="4048"/>
      <c r="E816" s="4048"/>
      <c r="F816" s="4049"/>
      <c r="G816" s="4036"/>
      <c r="H816" s="4131"/>
      <c r="I816" s="4131"/>
      <c r="J816" s="2499"/>
      <c r="K816" s="2500"/>
      <c r="L816" s="2499"/>
      <c r="M816" s="2501"/>
      <c r="N816" s="2499"/>
      <c r="O816" s="2501"/>
      <c r="P816" s="4244"/>
      <c r="Q816" s="4839"/>
    </row>
    <row r="817" spans="1:17" s="2070" customFormat="1">
      <c r="A817" s="4065">
        <v>4</v>
      </c>
      <c r="B817" s="4065">
        <v>1</v>
      </c>
      <c r="C817" s="4065">
        <v>4</v>
      </c>
      <c r="D817" s="4048"/>
      <c r="E817" s="4048"/>
      <c r="F817" s="4049">
        <v>3</v>
      </c>
      <c r="G817" s="4080"/>
      <c r="H817" s="4068" t="s">
        <v>71</v>
      </c>
      <c r="I817" s="4068"/>
      <c r="J817" s="2466">
        <v>0</v>
      </c>
      <c r="K817" s="2159">
        <v>0</v>
      </c>
      <c r="L817" s="2466">
        <f>SUM(L818:L822)</f>
        <v>0</v>
      </c>
      <c r="M817" s="4253">
        <f t="shared" ref="M817:M822" si="124">SUM(K817:L817)</f>
        <v>0</v>
      </c>
      <c r="N817" s="2466">
        <v>0</v>
      </c>
      <c r="O817" s="4254">
        <f t="shared" ref="O817:O822" si="125">M817-J817</f>
        <v>0</v>
      </c>
      <c r="P817" s="4061">
        <v>0</v>
      </c>
      <c r="Q817" s="4839"/>
    </row>
    <row r="818" spans="1:17" s="2070" customFormat="1">
      <c r="A818" s="4065">
        <v>4</v>
      </c>
      <c r="B818" s="4065">
        <v>1</v>
      </c>
      <c r="C818" s="4065">
        <v>4</v>
      </c>
      <c r="D818" s="4065" t="s">
        <v>441</v>
      </c>
      <c r="E818" s="4048"/>
      <c r="F818" s="4049"/>
      <c r="G818" s="4080"/>
      <c r="H818" s="4131" t="s">
        <v>50</v>
      </c>
      <c r="I818" s="4060" t="s">
        <v>72</v>
      </c>
      <c r="J818" s="1964">
        <v>0</v>
      </c>
      <c r="K818" s="2159">
        <v>0</v>
      </c>
      <c r="L818" s="2160">
        <f>'[2]ALL BULAN'!E762</f>
        <v>0</v>
      </c>
      <c r="M818" s="4253">
        <f t="shared" si="124"/>
        <v>0</v>
      </c>
      <c r="N818" s="1964">
        <v>0</v>
      </c>
      <c r="O818" s="4254">
        <f t="shared" si="125"/>
        <v>0</v>
      </c>
      <c r="P818" s="4061">
        <v>0</v>
      </c>
      <c r="Q818" s="4839"/>
    </row>
    <row r="819" spans="1:17" s="2070" customFormat="1">
      <c r="A819" s="4074">
        <v>4</v>
      </c>
      <c r="B819" s="4074">
        <v>1</v>
      </c>
      <c r="C819" s="4074" t="s">
        <v>443</v>
      </c>
      <c r="D819" s="4074" t="s">
        <v>444</v>
      </c>
      <c r="E819" s="4074" t="s">
        <v>440</v>
      </c>
      <c r="F819" s="4049"/>
      <c r="G819" s="4080"/>
      <c r="H819" s="4131" t="s">
        <v>50</v>
      </c>
      <c r="I819" s="4060" t="s">
        <v>73</v>
      </c>
      <c r="J819" s="1964">
        <v>0</v>
      </c>
      <c r="K819" s="2159">
        <v>0</v>
      </c>
      <c r="L819" s="2160">
        <f>'[2]ALL BULAN'!E763</f>
        <v>0</v>
      </c>
      <c r="M819" s="4253">
        <f t="shared" si="124"/>
        <v>0</v>
      </c>
      <c r="N819" s="1964">
        <v>0</v>
      </c>
      <c r="O819" s="4254">
        <f t="shared" si="125"/>
        <v>0</v>
      </c>
      <c r="P819" s="4061">
        <v>0</v>
      </c>
      <c r="Q819" s="4839"/>
    </row>
    <row r="820" spans="1:17" s="2070" customFormat="1">
      <c r="A820" s="4069">
        <v>4</v>
      </c>
      <c r="B820" s="4069">
        <v>1</v>
      </c>
      <c r="C820" s="4069" t="s">
        <v>443</v>
      </c>
      <c r="D820" s="4069" t="s">
        <v>444</v>
      </c>
      <c r="E820" s="4070" t="s">
        <v>445</v>
      </c>
      <c r="F820" s="4049"/>
      <c r="G820" s="4080"/>
      <c r="H820" s="4131" t="s">
        <v>50</v>
      </c>
      <c r="I820" s="4060" t="s">
        <v>74</v>
      </c>
      <c r="J820" s="1964">
        <v>0</v>
      </c>
      <c r="K820" s="2159">
        <v>0</v>
      </c>
      <c r="L820" s="2160">
        <f>'[2]ALL BULAN'!E764</f>
        <v>0</v>
      </c>
      <c r="M820" s="4253">
        <f t="shared" si="124"/>
        <v>0</v>
      </c>
      <c r="N820" s="1964">
        <v>0</v>
      </c>
      <c r="O820" s="4254">
        <f t="shared" si="125"/>
        <v>0</v>
      </c>
      <c r="P820" s="4061">
        <v>0</v>
      </c>
      <c r="Q820" s="4839"/>
    </row>
    <row r="821" spans="1:17" s="2070" customFormat="1">
      <c r="A821" s="4101">
        <v>4</v>
      </c>
      <c r="B821" s="4101">
        <v>1</v>
      </c>
      <c r="C821" s="4101" t="s">
        <v>443</v>
      </c>
      <c r="D821" s="4101" t="s">
        <v>444</v>
      </c>
      <c r="E821" s="4101" t="s">
        <v>441</v>
      </c>
      <c r="F821" s="4049"/>
      <c r="G821" s="4080"/>
      <c r="H821" s="4060" t="s">
        <v>308</v>
      </c>
      <c r="I821" s="4060" t="s">
        <v>75</v>
      </c>
      <c r="J821" s="1964">
        <v>0</v>
      </c>
      <c r="K821" s="2159">
        <v>0</v>
      </c>
      <c r="L821" s="2160">
        <f>'[2]ALL BULAN'!E765</f>
        <v>0</v>
      </c>
      <c r="M821" s="4253">
        <f t="shared" si="124"/>
        <v>0</v>
      </c>
      <c r="N821" s="1964">
        <v>0</v>
      </c>
      <c r="O821" s="4254">
        <f t="shared" si="125"/>
        <v>0</v>
      </c>
      <c r="P821" s="4061">
        <v>0</v>
      </c>
      <c r="Q821" s="4839"/>
    </row>
    <row r="822" spans="1:17" s="2070" customFormat="1">
      <c r="A822" s="4079">
        <v>4</v>
      </c>
      <c r="B822" s="4079">
        <v>1</v>
      </c>
      <c r="C822" s="4079" t="s">
        <v>443</v>
      </c>
      <c r="D822" s="4079" t="s">
        <v>447</v>
      </c>
      <c r="E822" s="4093" t="s">
        <v>437</v>
      </c>
      <c r="F822" s="4049"/>
      <c r="G822" s="4080"/>
      <c r="H822" s="4181" t="s">
        <v>50</v>
      </c>
      <c r="I822" s="4060" t="s">
        <v>85</v>
      </c>
      <c r="J822" s="1964">
        <v>0</v>
      </c>
      <c r="K822" s="2159">
        <v>0</v>
      </c>
      <c r="L822" s="2160">
        <f>'[2]ALL BULAN'!E766</f>
        <v>0</v>
      </c>
      <c r="M822" s="4253">
        <f t="shared" si="124"/>
        <v>0</v>
      </c>
      <c r="N822" s="1964">
        <v>0</v>
      </c>
      <c r="O822" s="4254">
        <f t="shared" si="125"/>
        <v>0</v>
      </c>
      <c r="P822" s="4061">
        <v>0</v>
      </c>
      <c r="Q822" s="4839"/>
    </row>
    <row r="823" spans="1:17" s="2070" customFormat="1" ht="6.75" customHeight="1">
      <c r="A823" s="4048"/>
      <c r="B823" s="4048"/>
      <c r="C823" s="4048"/>
      <c r="D823" s="4048"/>
      <c r="E823" s="4048"/>
      <c r="F823" s="4049"/>
      <c r="G823" s="4080"/>
      <c r="H823" s="4151"/>
      <c r="I823" s="4151"/>
      <c r="J823" s="2503"/>
      <c r="K823" s="2504"/>
      <c r="L823" s="2503"/>
      <c r="M823" s="2505"/>
      <c r="N823" s="2503"/>
      <c r="O823" s="2505"/>
      <c r="P823" s="4245"/>
      <c r="Q823" s="4839"/>
    </row>
    <row r="824" spans="1:17" s="2070" customFormat="1" ht="15.05">
      <c r="A824" s="4048"/>
      <c r="B824" s="4048"/>
      <c r="C824" s="4048"/>
      <c r="D824" s="4048"/>
      <c r="E824" s="4048"/>
      <c r="F824" s="4049"/>
      <c r="G824" s="4183" t="s">
        <v>408</v>
      </c>
      <c r="H824" s="4173" t="s">
        <v>409</v>
      </c>
      <c r="I824" s="4173"/>
      <c r="J824" s="4595">
        <v>0</v>
      </c>
      <c r="K824" s="4594">
        <v>0</v>
      </c>
      <c r="L824" s="4595">
        <f>L826</f>
        <v>0</v>
      </c>
      <c r="M824" s="4595">
        <f>SUM(K824:L824)</f>
        <v>0</v>
      </c>
      <c r="N824" s="4595">
        <v>0</v>
      </c>
      <c r="O824" s="4519">
        <f>M824-J824</f>
        <v>0</v>
      </c>
      <c r="P824" s="4044">
        <v>0</v>
      </c>
      <c r="Q824" s="4839"/>
    </row>
    <row r="825" spans="1:17" s="2070" customFormat="1" ht="5.95" customHeight="1">
      <c r="A825" s="4048"/>
      <c r="B825" s="4048"/>
      <c r="C825" s="4048"/>
      <c r="D825" s="4048"/>
      <c r="E825" s="4048"/>
      <c r="F825" s="4049"/>
      <c r="G825" s="4036"/>
      <c r="H825" s="4131"/>
      <c r="I825" s="4131"/>
      <c r="J825" s="2499"/>
      <c r="K825" s="2500"/>
      <c r="L825" s="2499"/>
      <c r="M825" s="2501"/>
      <c r="N825" s="2499"/>
      <c r="O825" s="2501"/>
      <c r="P825" s="4244"/>
      <c r="Q825" s="4839"/>
    </row>
    <row r="826" spans="1:17" s="2070" customFormat="1">
      <c r="A826" s="4065">
        <v>4</v>
      </c>
      <c r="B826" s="4065">
        <v>1</v>
      </c>
      <c r="C826" s="4065">
        <v>4</v>
      </c>
      <c r="D826" s="4048"/>
      <c r="E826" s="4048"/>
      <c r="F826" s="4049">
        <v>3</v>
      </c>
      <c r="G826" s="4080"/>
      <c r="H826" s="4068" t="s">
        <v>71</v>
      </c>
      <c r="I826" s="4068"/>
      <c r="J826" s="2466">
        <v>0</v>
      </c>
      <c r="K826" s="2159">
        <v>0</v>
      </c>
      <c r="L826" s="2466">
        <f>SUM(L827:L831)</f>
        <v>0</v>
      </c>
      <c r="M826" s="4253">
        <f t="shared" ref="M826:M831" si="126">SUM(K826:L826)</f>
        <v>0</v>
      </c>
      <c r="N826" s="2466">
        <v>0</v>
      </c>
      <c r="O826" s="4254">
        <f t="shared" ref="O826:O831" si="127">M826-J826</f>
        <v>0</v>
      </c>
      <c r="P826" s="4061">
        <v>0</v>
      </c>
      <c r="Q826" s="4839"/>
    </row>
    <row r="827" spans="1:17" s="2070" customFormat="1">
      <c r="A827" s="4065">
        <v>4</v>
      </c>
      <c r="B827" s="4065">
        <v>1</v>
      </c>
      <c r="C827" s="4065">
        <v>4</v>
      </c>
      <c r="D827" s="4065" t="s">
        <v>441</v>
      </c>
      <c r="E827" s="4048"/>
      <c r="F827" s="4049"/>
      <c r="G827" s="4080"/>
      <c r="H827" s="4131" t="s">
        <v>50</v>
      </c>
      <c r="I827" s="4060" t="s">
        <v>72</v>
      </c>
      <c r="J827" s="1964">
        <v>0</v>
      </c>
      <c r="K827" s="2159">
        <v>0</v>
      </c>
      <c r="L827" s="2160">
        <f>'[2]ALL BULAN'!E771</f>
        <v>0</v>
      </c>
      <c r="M827" s="4253">
        <f t="shared" si="126"/>
        <v>0</v>
      </c>
      <c r="N827" s="1964">
        <v>0</v>
      </c>
      <c r="O827" s="4254">
        <f t="shared" si="127"/>
        <v>0</v>
      </c>
      <c r="P827" s="4061">
        <v>0</v>
      </c>
      <c r="Q827" s="4839"/>
    </row>
    <row r="828" spans="1:17" s="2070" customFormat="1">
      <c r="A828" s="4074">
        <v>4</v>
      </c>
      <c r="B828" s="4074">
        <v>1</v>
      </c>
      <c r="C828" s="4074" t="s">
        <v>443</v>
      </c>
      <c r="D828" s="4074" t="s">
        <v>444</v>
      </c>
      <c r="E828" s="4074" t="s">
        <v>440</v>
      </c>
      <c r="F828" s="4049"/>
      <c r="G828" s="4080"/>
      <c r="H828" s="4131" t="s">
        <v>50</v>
      </c>
      <c r="I828" s="4060" t="s">
        <v>73</v>
      </c>
      <c r="J828" s="1964">
        <v>0</v>
      </c>
      <c r="K828" s="2159">
        <v>0</v>
      </c>
      <c r="L828" s="2160">
        <f>'[2]ALL BULAN'!E772</f>
        <v>0</v>
      </c>
      <c r="M828" s="4253">
        <f t="shared" si="126"/>
        <v>0</v>
      </c>
      <c r="N828" s="1964">
        <v>0</v>
      </c>
      <c r="O828" s="4254">
        <f t="shared" si="127"/>
        <v>0</v>
      </c>
      <c r="P828" s="4061">
        <v>0</v>
      </c>
      <c r="Q828" s="4839"/>
    </row>
    <row r="829" spans="1:17" s="2070" customFormat="1">
      <c r="A829" s="4069">
        <v>4</v>
      </c>
      <c r="B829" s="4069">
        <v>1</v>
      </c>
      <c r="C829" s="4069" t="s">
        <v>443</v>
      </c>
      <c r="D829" s="4069" t="s">
        <v>444</v>
      </c>
      <c r="E829" s="4070" t="s">
        <v>445</v>
      </c>
      <c r="F829" s="4049"/>
      <c r="G829" s="4080"/>
      <c r="H829" s="4131" t="s">
        <v>50</v>
      </c>
      <c r="I829" s="4060" t="s">
        <v>74</v>
      </c>
      <c r="J829" s="1964">
        <v>0</v>
      </c>
      <c r="K829" s="2159">
        <v>0</v>
      </c>
      <c r="L829" s="2160">
        <f>'[2]ALL BULAN'!E773</f>
        <v>0</v>
      </c>
      <c r="M829" s="4253">
        <f t="shared" si="126"/>
        <v>0</v>
      </c>
      <c r="N829" s="1964">
        <v>0</v>
      </c>
      <c r="O829" s="4254">
        <f t="shared" si="127"/>
        <v>0</v>
      </c>
      <c r="P829" s="4061">
        <v>0</v>
      </c>
      <c r="Q829" s="4839"/>
    </row>
    <row r="830" spans="1:17" s="2070" customFormat="1">
      <c r="A830" s="4101">
        <v>4</v>
      </c>
      <c r="B830" s="4101">
        <v>1</v>
      </c>
      <c r="C830" s="4101" t="s">
        <v>443</v>
      </c>
      <c r="D830" s="4101" t="s">
        <v>444</v>
      </c>
      <c r="E830" s="4101" t="s">
        <v>441</v>
      </c>
      <c r="F830" s="4049"/>
      <c r="G830" s="4080"/>
      <c r="H830" s="4060" t="s">
        <v>308</v>
      </c>
      <c r="I830" s="4060" t="s">
        <v>75</v>
      </c>
      <c r="J830" s="1964">
        <v>0</v>
      </c>
      <c r="K830" s="2159">
        <v>0</v>
      </c>
      <c r="L830" s="2160">
        <f>'[2]ALL BULAN'!E774</f>
        <v>0</v>
      </c>
      <c r="M830" s="4253">
        <f t="shared" si="126"/>
        <v>0</v>
      </c>
      <c r="N830" s="1964">
        <v>0</v>
      </c>
      <c r="O830" s="4254">
        <f t="shared" si="127"/>
        <v>0</v>
      </c>
      <c r="P830" s="4061">
        <v>0</v>
      </c>
      <c r="Q830" s="4839"/>
    </row>
    <row r="831" spans="1:17" s="2070" customFormat="1">
      <c r="A831" s="4079">
        <v>4</v>
      </c>
      <c r="B831" s="4079">
        <v>1</v>
      </c>
      <c r="C831" s="4079" t="s">
        <v>443</v>
      </c>
      <c r="D831" s="4079" t="s">
        <v>447</v>
      </c>
      <c r="E831" s="4093" t="s">
        <v>437</v>
      </c>
      <c r="F831" s="4049"/>
      <c r="G831" s="4080"/>
      <c r="H831" s="4181" t="s">
        <v>50</v>
      </c>
      <c r="I831" s="4060" t="s">
        <v>85</v>
      </c>
      <c r="J831" s="1964">
        <v>0</v>
      </c>
      <c r="K831" s="2159">
        <v>0</v>
      </c>
      <c r="L831" s="2160">
        <f>'[2]ALL BULAN'!E775</f>
        <v>0</v>
      </c>
      <c r="M831" s="4253">
        <f t="shared" si="126"/>
        <v>0</v>
      </c>
      <c r="N831" s="1964">
        <v>0</v>
      </c>
      <c r="O831" s="4254">
        <f t="shared" si="127"/>
        <v>0</v>
      </c>
      <c r="P831" s="4061">
        <v>0</v>
      </c>
      <c r="Q831" s="4839"/>
    </row>
    <row r="832" spans="1:17" s="2070" customFormat="1" ht="6.75" customHeight="1">
      <c r="A832" s="4048"/>
      <c r="B832" s="4048"/>
      <c r="C832" s="4048"/>
      <c r="D832" s="4048"/>
      <c r="E832" s="4048"/>
      <c r="F832" s="4049"/>
      <c r="G832" s="4080"/>
      <c r="H832" s="4151"/>
      <c r="I832" s="4151"/>
      <c r="J832" s="2503"/>
      <c r="K832" s="2504"/>
      <c r="L832" s="2503"/>
      <c r="M832" s="2505"/>
      <c r="N832" s="2505"/>
      <c r="O832" s="2505"/>
      <c r="P832" s="4245"/>
      <c r="Q832" s="4839"/>
    </row>
    <row r="833" spans="1:17" s="2070" customFormat="1" ht="15.05">
      <c r="A833" s="4048"/>
      <c r="B833" s="4048"/>
      <c r="C833" s="4048"/>
      <c r="D833" s="4048"/>
      <c r="E833" s="4048"/>
      <c r="F833" s="4049"/>
      <c r="G833" s="4183" t="s">
        <v>410</v>
      </c>
      <c r="H833" s="4173" t="s">
        <v>411</v>
      </c>
      <c r="I833" s="4173"/>
      <c r="J833" s="4595">
        <f>J834</f>
        <v>0</v>
      </c>
      <c r="K833" s="4594">
        <v>9495000</v>
      </c>
      <c r="L833" s="4595">
        <f>L834+L838</f>
        <v>15445000</v>
      </c>
      <c r="M833" s="4595">
        <f t="shared" ref="M833:M843" si="128">SUM(K833:L833)</f>
        <v>24940000</v>
      </c>
      <c r="N833" s="4596">
        <f>N836</f>
        <v>75000000</v>
      </c>
      <c r="O833" s="4519">
        <f>N833-J833</f>
        <v>75000000</v>
      </c>
      <c r="P833" s="4044">
        <v>0</v>
      </c>
      <c r="Q833" s="4839"/>
    </row>
    <row r="834" spans="1:17" s="2070" customFormat="1">
      <c r="A834" s="4048"/>
      <c r="B834" s="4048"/>
      <c r="C834" s="4048"/>
      <c r="D834" s="4048"/>
      <c r="E834" s="4048"/>
      <c r="F834" s="4049">
        <v>1</v>
      </c>
      <c r="G834" s="4036"/>
      <c r="H834" s="4037" t="s">
        <v>412</v>
      </c>
      <c r="I834" s="4056"/>
      <c r="J834" s="2501">
        <f>J835</f>
        <v>0</v>
      </c>
      <c r="K834" s="2159">
        <v>9495000</v>
      </c>
      <c r="L834" s="2499">
        <f>L835</f>
        <v>15445000</v>
      </c>
      <c r="M834" s="4253">
        <f t="shared" si="128"/>
        <v>24940000</v>
      </c>
      <c r="N834" s="4253">
        <f>N835</f>
        <v>75000000</v>
      </c>
      <c r="O834" s="4254">
        <f>O835</f>
        <v>75000000</v>
      </c>
      <c r="P834" s="4061">
        <v>0</v>
      </c>
      <c r="Q834" s="4839"/>
    </row>
    <row r="835" spans="1:17" s="2070" customFormat="1">
      <c r="A835" s="4046">
        <v>4</v>
      </c>
      <c r="B835" s="4046">
        <v>1</v>
      </c>
      <c r="C835" s="4046">
        <v>2</v>
      </c>
      <c r="D835" s="4047" t="s">
        <v>438</v>
      </c>
      <c r="E835" s="4128"/>
      <c r="F835" s="4049"/>
      <c r="G835" s="4080"/>
      <c r="H835" s="4056" t="s">
        <v>109</v>
      </c>
      <c r="I835" s="4056"/>
      <c r="J835" s="2465">
        <f>J836</f>
        <v>0</v>
      </c>
      <c r="K835" s="2159">
        <v>9495000</v>
      </c>
      <c r="L835" s="2466">
        <f>L836</f>
        <v>15445000</v>
      </c>
      <c r="M835" s="4253">
        <f t="shared" si="128"/>
        <v>24940000</v>
      </c>
      <c r="N835" s="4253">
        <f>N836</f>
        <v>75000000</v>
      </c>
      <c r="O835" s="4254">
        <f>O836</f>
        <v>75000000</v>
      </c>
      <c r="P835" s="4061">
        <v>0</v>
      </c>
      <c r="Q835" s="4839"/>
    </row>
    <row r="836" spans="1:17" s="2070" customFormat="1">
      <c r="A836" s="4046">
        <v>4</v>
      </c>
      <c r="B836" s="4046">
        <v>1</v>
      </c>
      <c r="C836" s="4046">
        <v>2</v>
      </c>
      <c r="D836" s="4047" t="s">
        <v>438</v>
      </c>
      <c r="E836" s="4093" t="s">
        <v>437</v>
      </c>
      <c r="F836" s="4049"/>
      <c r="G836" s="4080"/>
      <c r="H836" s="4234" t="s">
        <v>50</v>
      </c>
      <c r="I836" s="4126" t="s">
        <v>413</v>
      </c>
      <c r="J836" s="1964">
        <v>0</v>
      </c>
      <c r="K836" s="2159">
        <v>9495000</v>
      </c>
      <c r="L836" s="2160">
        <f>8070000+6875000+500000</f>
        <v>15445000</v>
      </c>
      <c r="M836" s="4253">
        <f t="shared" si="128"/>
        <v>24940000</v>
      </c>
      <c r="N836" s="4248">
        <v>75000000</v>
      </c>
      <c r="O836" s="4254">
        <f>N836-J836</f>
        <v>75000000</v>
      </c>
      <c r="P836" s="4061">
        <v>0</v>
      </c>
      <c r="Q836" s="4839"/>
    </row>
    <row r="837" spans="1:17" s="2070" customFormat="1" ht="5.95" customHeight="1">
      <c r="A837" s="4048"/>
      <c r="B837" s="4048"/>
      <c r="C837" s="4048"/>
      <c r="D837" s="4048"/>
      <c r="E837" s="4048"/>
      <c r="F837" s="4049"/>
      <c r="G837" s="4080"/>
      <c r="H837" s="4151"/>
      <c r="I837" s="4151"/>
      <c r="J837" s="2466"/>
      <c r="K837" s="2159">
        <v>0</v>
      </c>
      <c r="L837" s="2466"/>
      <c r="M837" s="4253">
        <f t="shared" si="128"/>
        <v>0</v>
      </c>
      <c r="N837" s="4253"/>
      <c r="O837" s="4254">
        <f t="shared" ref="O837:O843" si="129">M837-J837</f>
        <v>0</v>
      </c>
      <c r="P837" s="4061">
        <f>O837-K837</f>
        <v>0</v>
      </c>
      <c r="Q837" s="4839"/>
    </row>
    <row r="838" spans="1:17" s="2070" customFormat="1">
      <c r="A838" s="4065">
        <v>4</v>
      </c>
      <c r="B838" s="4065">
        <v>1</v>
      </c>
      <c r="C838" s="4065">
        <v>4</v>
      </c>
      <c r="D838" s="4048"/>
      <c r="E838" s="4048"/>
      <c r="F838" s="4049">
        <v>3</v>
      </c>
      <c r="G838" s="4080"/>
      <c r="H838" s="4068" t="s">
        <v>71</v>
      </c>
      <c r="I838" s="4068"/>
      <c r="J838" s="2466">
        <v>0</v>
      </c>
      <c r="K838" s="2159">
        <v>0</v>
      </c>
      <c r="L838" s="2466">
        <f>SUM(L839:L843)</f>
        <v>0</v>
      </c>
      <c r="M838" s="4253">
        <f t="shared" si="128"/>
        <v>0</v>
      </c>
      <c r="N838" s="4253"/>
      <c r="O838" s="4254">
        <f t="shared" si="129"/>
        <v>0</v>
      </c>
      <c r="P838" s="4061">
        <v>0</v>
      </c>
      <c r="Q838" s="4839"/>
    </row>
    <row r="839" spans="1:17" s="2070" customFormat="1">
      <c r="A839" s="4065">
        <v>4</v>
      </c>
      <c r="B839" s="4065">
        <v>1</v>
      </c>
      <c r="C839" s="4065">
        <v>4</v>
      </c>
      <c r="D839" s="4065" t="s">
        <v>441</v>
      </c>
      <c r="E839" s="4048"/>
      <c r="F839" s="4049"/>
      <c r="G839" s="4080"/>
      <c r="H839" s="4131" t="s">
        <v>50</v>
      </c>
      <c r="I839" s="4060" t="s">
        <v>72</v>
      </c>
      <c r="J839" s="1964">
        <v>0</v>
      </c>
      <c r="K839" s="2159">
        <v>0</v>
      </c>
      <c r="L839" s="2160">
        <f>'[2]ALL BULAN'!E783</f>
        <v>0</v>
      </c>
      <c r="M839" s="4253">
        <f t="shared" si="128"/>
        <v>0</v>
      </c>
      <c r="N839" s="4253"/>
      <c r="O839" s="4254">
        <f t="shared" si="129"/>
        <v>0</v>
      </c>
      <c r="P839" s="4061">
        <v>0</v>
      </c>
      <c r="Q839" s="4839"/>
    </row>
    <row r="840" spans="1:17" s="2070" customFormat="1">
      <c r="A840" s="4074">
        <v>4</v>
      </c>
      <c r="B840" s="4074">
        <v>1</v>
      </c>
      <c r="C840" s="4074" t="s">
        <v>443</v>
      </c>
      <c r="D840" s="4074" t="s">
        <v>444</v>
      </c>
      <c r="E840" s="4074" t="s">
        <v>440</v>
      </c>
      <c r="F840" s="4049"/>
      <c r="G840" s="4080"/>
      <c r="H840" s="4131" t="s">
        <v>50</v>
      </c>
      <c r="I840" s="4060" t="s">
        <v>73</v>
      </c>
      <c r="J840" s="1964">
        <v>0</v>
      </c>
      <c r="K840" s="2159">
        <v>0</v>
      </c>
      <c r="L840" s="2160">
        <f>'[2]ALL BULAN'!E784</f>
        <v>0</v>
      </c>
      <c r="M840" s="4253">
        <f t="shared" si="128"/>
        <v>0</v>
      </c>
      <c r="N840" s="4253"/>
      <c r="O840" s="4254">
        <f t="shared" si="129"/>
        <v>0</v>
      </c>
      <c r="P840" s="4061">
        <v>0</v>
      </c>
      <c r="Q840" s="4839"/>
    </row>
    <row r="841" spans="1:17" s="2070" customFormat="1">
      <c r="A841" s="4069">
        <v>4</v>
      </c>
      <c r="B841" s="4069">
        <v>1</v>
      </c>
      <c r="C841" s="4069" t="s">
        <v>443</v>
      </c>
      <c r="D841" s="4069" t="s">
        <v>444</v>
      </c>
      <c r="E841" s="4070" t="s">
        <v>445</v>
      </c>
      <c r="F841" s="4049"/>
      <c r="G841" s="4080"/>
      <c r="H841" s="4131" t="s">
        <v>50</v>
      </c>
      <c r="I841" s="4060" t="s">
        <v>74</v>
      </c>
      <c r="J841" s="1964">
        <v>0</v>
      </c>
      <c r="K841" s="2159">
        <v>0</v>
      </c>
      <c r="L841" s="2160">
        <f>'[2]ALL BULAN'!E785</f>
        <v>0</v>
      </c>
      <c r="M841" s="4253">
        <f t="shared" si="128"/>
        <v>0</v>
      </c>
      <c r="N841" s="4253"/>
      <c r="O841" s="4254">
        <f t="shared" si="129"/>
        <v>0</v>
      </c>
      <c r="P841" s="4061">
        <v>0</v>
      </c>
      <c r="Q841" s="4839"/>
    </row>
    <row r="842" spans="1:17" s="2070" customFormat="1">
      <c r="A842" s="4101">
        <v>4</v>
      </c>
      <c r="B842" s="4101">
        <v>1</v>
      </c>
      <c r="C842" s="4101" t="s">
        <v>443</v>
      </c>
      <c r="D842" s="4101" t="s">
        <v>444</v>
      </c>
      <c r="E842" s="4101" t="s">
        <v>441</v>
      </c>
      <c r="F842" s="4049"/>
      <c r="G842" s="4080"/>
      <c r="H842" s="4060" t="s">
        <v>308</v>
      </c>
      <c r="I842" s="4060" t="s">
        <v>75</v>
      </c>
      <c r="J842" s="1964">
        <v>0</v>
      </c>
      <c r="K842" s="2159">
        <v>0</v>
      </c>
      <c r="L842" s="2160">
        <f>'[2]ALL BULAN'!E786</f>
        <v>0</v>
      </c>
      <c r="M842" s="4253">
        <f t="shared" si="128"/>
        <v>0</v>
      </c>
      <c r="N842" s="4253"/>
      <c r="O842" s="4254">
        <f t="shared" si="129"/>
        <v>0</v>
      </c>
      <c r="P842" s="4061">
        <v>0</v>
      </c>
      <c r="Q842" s="4839"/>
    </row>
    <row r="843" spans="1:17" s="2070" customFormat="1">
      <c r="A843" s="4079">
        <v>4</v>
      </c>
      <c r="B843" s="4079">
        <v>1</v>
      </c>
      <c r="C843" s="4079" t="s">
        <v>443</v>
      </c>
      <c r="D843" s="4079" t="s">
        <v>447</v>
      </c>
      <c r="E843" s="4093" t="s">
        <v>437</v>
      </c>
      <c r="F843" s="4049"/>
      <c r="G843" s="4080"/>
      <c r="H843" s="4181" t="s">
        <v>50</v>
      </c>
      <c r="I843" s="4060" t="s">
        <v>85</v>
      </c>
      <c r="J843" s="1964">
        <v>0</v>
      </c>
      <c r="K843" s="2159">
        <v>0</v>
      </c>
      <c r="L843" s="2160">
        <f>'[2]ALL BULAN'!E787</f>
        <v>0</v>
      </c>
      <c r="M843" s="4253">
        <f t="shared" si="128"/>
        <v>0</v>
      </c>
      <c r="N843" s="4253"/>
      <c r="O843" s="4254">
        <f t="shared" si="129"/>
        <v>0</v>
      </c>
      <c r="P843" s="4061">
        <v>0</v>
      </c>
      <c r="Q843" s="4839"/>
    </row>
    <row r="844" spans="1:17" s="2070" customFormat="1" ht="7.55" customHeight="1">
      <c r="G844" s="4102"/>
      <c r="J844" s="4548"/>
      <c r="K844" s="4548"/>
      <c r="L844" s="4548"/>
      <c r="M844" s="4549"/>
      <c r="N844" s="4549"/>
      <c r="O844" s="4549"/>
      <c r="P844" s="4172"/>
      <c r="Q844" s="4839"/>
    </row>
    <row r="845" spans="1:17" s="2070" customFormat="1" ht="21.8" customHeight="1">
      <c r="G845" s="5763" t="s">
        <v>414</v>
      </c>
      <c r="H845" s="5764"/>
      <c r="I845" s="5765"/>
      <c r="J845" s="4597">
        <f>J8</f>
        <v>4791397359569</v>
      </c>
      <c r="K845" s="4597">
        <f>K833+K824+K815+K806+K797+K788+K779+K770+K757+K724+K716+K692+K666+K658+K650+K627+K534+K523+K515+K442+K365+K357+K349+K329+K321+K313+K305+K297+K282+K272+K264+K256+K236+K214+K196+K182+K169+K154+K146+K129+K116+K104+K91+K78+K66+K54+K43+K31+K10</f>
        <v>637482475549.53003</v>
      </c>
      <c r="L845" s="4597">
        <f>L833+L824+L815+L806+L797+L788+L779+L770+L757+L724+L716+L692+L666+L658+L650+L627+L534+L523+L515+L442+L365+L357+L349+L329+L321+L313+L305+L297+L282+L272+L264+L256+L236+L214+L196+L182+L169+L154+L146+L129+L116+L104+L91+L78+L66+L54+L43+L31+L10</f>
        <v>274657896027.19</v>
      </c>
      <c r="M845" s="4597">
        <f>M833+M824+M815+M806+M797+M788+M779+M770+M757+M724+M716+M692+M666+M658+M650+M627+M534+M523+M515+M442+M365+M357+M349+M329+M321+M313+M305+M297+M282+M272+M264+M256+M236+M214+M196+M182+M169+M154+M146+M129+M116+M104+M91+M78+M66+M54+M43+M31+M10</f>
        <v>912140371576.72009</v>
      </c>
      <c r="N845" s="4598"/>
      <c r="O845" s="4603">
        <f>M845-J845</f>
        <v>-3879256987992.2798</v>
      </c>
      <c r="P845" s="4246">
        <f>M845/J845*100</f>
        <v>19.037042915154291</v>
      </c>
      <c r="Q845" s="4839"/>
    </row>
    <row r="846" spans="1:17">
      <c r="J846" s="4599">
        <f>J471</f>
        <v>67264821900</v>
      </c>
      <c r="N846" s="4825">
        <f>N471</f>
        <v>85598457900</v>
      </c>
    </row>
    <row r="847" spans="1:17">
      <c r="J847" s="4599">
        <f>J442</f>
        <v>3222521202310</v>
      </c>
      <c r="N847" s="4825">
        <f>N442</f>
        <v>3116570908600</v>
      </c>
    </row>
    <row r="848" spans="1:17">
      <c r="J848" s="4599">
        <f>SUM(J846:J847)</f>
        <v>3289786024210</v>
      </c>
      <c r="K848" s="4600" t="s">
        <v>469</v>
      </c>
      <c r="L848" s="4601">
        <f>L834+L759+L726+L693+L667+L628+L524+L367+L283+L237+L215+L197+L183+L170+L155+L130+L79+L55+L44+L32+L11</f>
        <v>1497724200</v>
      </c>
      <c r="N848" s="4825">
        <f>N9</f>
        <v>1534279709076</v>
      </c>
      <c r="O848" s="2081">
        <v>1534922590076</v>
      </c>
    </row>
    <row r="849" spans="1:18">
      <c r="J849" s="4599">
        <f>J8</f>
        <v>4791397359569</v>
      </c>
      <c r="K849" s="4600" t="s">
        <v>470</v>
      </c>
      <c r="L849" s="4601">
        <f>+L838+L826+L817+L808+L799+L790+L781+L772+L763+L750+L717+L710+L685+L659+L651+L641+L566+L527+L516+L396+L358+L350+L330+L322+L314+L306+L298+L290+L273+L265+L257+L245+L223+L204+L189+L175+L161+L147+L139+L118+L106+L93+L84+L67+L59+L47+L35+L21+L11</f>
        <v>19654130227.189999</v>
      </c>
      <c r="N849" s="4836">
        <f>SUM(N848-'KOM sementara'!P10)</f>
        <v>0</v>
      </c>
    </row>
    <row r="850" spans="1:18">
      <c r="J850" s="4599">
        <f>SUM(J849-J848)</f>
        <v>1501611335359</v>
      </c>
      <c r="L850" s="4601">
        <f>L849-[2]KOM!N196</f>
        <v>417056999.99999619</v>
      </c>
    </row>
    <row r="852" spans="1:18">
      <c r="K852" s="4600" t="s">
        <v>471</v>
      </c>
      <c r="L852" s="4601">
        <f>+L842+L830+L821+L812+L803+L794+L785+L776+L767+L754+L721+L713+L688+L662+L654+L644+L596+L531+L520+L425+L362+L354+L334+L326+L318+L310+L302+L294+L277+L269+L261+L249+L227+L208+L193+L179+L166+L151+L143+L126+L113+L101+L88+L75+L63+L51+L39+L25</f>
        <v>9346050</v>
      </c>
    </row>
    <row r="853" spans="1:18">
      <c r="K853" s="4600" t="s">
        <v>472</v>
      </c>
      <c r="L853" s="4601">
        <f>+L843+L831+L822+L813+L804+L795+L786+L777+L768+L755+L722+L714+L663+L656+L532+L521+L363+L355+L335+L327+L319+L311+L303+L295+L278+L270+L262+L228+L209+L194+L180+L167+L152+L144+L127+L114+L102+L89+L76+L64+L52+L41+L27</f>
        <v>1535000</v>
      </c>
    </row>
    <row r="854" spans="1:18" s="4247" customFormat="1">
      <c r="A854"/>
      <c r="B854"/>
      <c r="C854"/>
      <c r="D854"/>
      <c r="E854"/>
      <c r="F854"/>
      <c r="G854"/>
      <c r="H854"/>
      <c r="I854"/>
      <c r="J854" s="4599"/>
      <c r="K854" s="4600"/>
      <c r="L854" s="4601">
        <f>L853-[2]KOM!N393</f>
        <v>-26695620000</v>
      </c>
      <c r="M854" s="2081"/>
      <c r="N854" s="2081"/>
      <c r="O854" s="2081"/>
      <c r="Q854" s="4853"/>
      <c r="R854"/>
    </row>
    <row r="855" spans="1:18" s="4247" customFormat="1">
      <c r="A855"/>
      <c r="B855"/>
      <c r="C855"/>
      <c r="D855"/>
      <c r="E855"/>
      <c r="F855"/>
      <c r="G855"/>
      <c r="H855"/>
      <c r="I855"/>
      <c r="J855" s="4599"/>
      <c r="K855" s="4600"/>
      <c r="L855" s="4601">
        <f>L850+L854</f>
        <v>-26278563000.000004</v>
      </c>
      <c r="M855" s="2081"/>
      <c r="N855" s="2081"/>
      <c r="O855" s="2081"/>
      <c r="Q855" s="4853"/>
      <c r="R855"/>
    </row>
  </sheetData>
  <autoFilter ref="K11:M845"/>
  <mergeCells count="13">
    <mergeCell ref="N4:N5"/>
    <mergeCell ref="G2:P2"/>
    <mergeCell ref="G4:G5"/>
    <mergeCell ref="H4:I5"/>
    <mergeCell ref="J4:J5"/>
    <mergeCell ref="K4:M4"/>
    <mergeCell ref="O4:O5"/>
    <mergeCell ref="P4:P5"/>
    <mergeCell ref="G845:I845"/>
    <mergeCell ref="H6:I6"/>
    <mergeCell ref="A8:F8"/>
    <mergeCell ref="H613:I613"/>
    <mergeCell ref="H624:I624"/>
  </mergeCells>
  <printOptions horizontalCentered="1"/>
  <pageMargins left="0.78740157480314965" right="0.19685039370078741" top="0.78740157480314965" bottom="0.39370078740157483" header="0.31496062992125984" footer="0.31496062992125984"/>
  <pageSetup paperSize="9" scale="80" orientation="landscape" r:id="rId1"/>
  <rowBreaks count="3" manualBreakCount="3">
    <brk id="722" min="6" max="15" man="1"/>
    <brk id="773" min="6" max="15" man="1"/>
    <brk id="825" min="6" max="15" man="1"/>
  </row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tabColor rgb="FF92D050"/>
  </sheetPr>
  <dimension ref="A1:AE724"/>
  <sheetViews>
    <sheetView view="pageBreakPreview" zoomScale="94" zoomScaleNormal="90" zoomScaleSheetLayoutView="94" workbookViewId="0">
      <pane ySplit="6" topLeftCell="A10" activePane="bottomLeft" state="frozen"/>
      <selection pane="bottomLeft" activeCell="H26" sqref="H26"/>
    </sheetView>
  </sheetViews>
  <sheetFormatPr defaultColWidth="9.109375" defaultRowHeight="13.15"/>
  <cols>
    <col min="1" max="2" width="3.44140625" style="1843" customWidth="1"/>
    <col min="3" max="5" width="3.44140625" style="1844" customWidth="1"/>
    <col min="6" max="6" width="2.5546875" style="1845" customWidth="1"/>
    <col min="7" max="7" width="2.109375" style="1845" customWidth="1"/>
    <col min="8" max="8" width="20.6640625" style="1844" customWidth="1"/>
    <col min="9" max="9" width="19.5546875" style="1844" customWidth="1"/>
    <col min="10" max="10" width="22.5546875" style="1844" customWidth="1"/>
    <col min="11" max="11" width="22.44140625" style="1844" customWidth="1"/>
    <col min="12" max="12" width="22.5546875" style="1844" customWidth="1"/>
    <col min="13" max="13" width="20.33203125" style="1844" hidden="1" customWidth="1"/>
    <col min="14" max="14" width="20.109375" style="1844" hidden="1" customWidth="1"/>
    <col min="15" max="15" width="22.109375" style="1844" customWidth="1"/>
    <col min="16" max="16" width="22.44140625" style="1844" customWidth="1"/>
    <col min="17" max="17" width="21.44140625" style="1844" customWidth="1"/>
    <col min="18" max="18" width="8" style="3649" customWidth="1"/>
    <col min="19" max="19" width="15.5546875" style="2883" customWidth="1"/>
    <col min="20" max="20" width="21" style="2883" bestFit="1" customWidth="1"/>
    <col min="21" max="21" width="7.44140625" style="1844" customWidth="1"/>
    <col min="22" max="22" width="21.6640625" style="1846" customWidth="1"/>
    <col min="23" max="23" width="20.33203125" style="1844" customWidth="1"/>
    <col min="24" max="16384" width="9.109375" style="1844"/>
  </cols>
  <sheetData>
    <row r="1" spans="1:22" s="1831" customFormat="1" ht="9.6999999999999993" customHeight="1">
      <c r="A1" s="1847"/>
      <c r="B1" s="1847"/>
      <c r="C1" s="1840"/>
      <c r="D1" s="1840"/>
      <c r="E1" s="1840"/>
      <c r="F1" s="1848"/>
      <c r="G1" s="1848"/>
      <c r="H1" s="1840"/>
      <c r="I1" s="1840"/>
      <c r="J1" s="1840"/>
      <c r="K1" s="1840"/>
      <c r="L1" s="1840"/>
      <c r="M1" s="1840"/>
      <c r="N1" s="1840"/>
      <c r="O1" s="1840"/>
      <c r="P1" s="1840"/>
      <c r="Q1" s="1840"/>
      <c r="R1" s="3596"/>
      <c r="S1" s="2990"/>
      <c r="T1" s="2990"/>
      <c r="U1" s="1840"/>
      <c r="V1" s="1846"/>
    </row>
    <row r="2" spans="1:22" ht="18" customHeight="1">
      <c r="A2" s="5785" t="s">
        <v>1182</v>
      </c>
      <c r="B2" s="5785"/>
      <c r="C2" s="5785"/>
      <c r="D2" s="5785"/>
      <c r="E2" s="5785"/>
      <c r="F2" s="5785"/>
      <c r="G2" s="5785"/>
      <c r="H2" s="5785"/>
      <c r="I2" s="5785"/>
      <c r="J2" s="5785"/>
      <c r="K2" s="5785"/>
      <c r="L2" s="5785"/>
      <c r="M2" s="5785"/>
      <c r="N2" s="5785"/>
      <c r="O2" s="5785"/>
      <c r="P2" s="5785"/>
      <c r="Q2" s="5785"/>
      <c r="R2" s="5785"/>
      <c r="S2" s="3891"/>
      <c r="T2" s="3891"/>
      <c r="U2" s="3891"/>
    </row>
    <row r="3" spans="1:22" ht="18" customHeight="1">
      <c r="B3" s="1849"/>
      <c r="C3" s="1849"/>
      <c r="D3" s="1849"/>
      <c r="E3" s="1849"/>
      <c r="F3" s="1849"/>
      <c r="G3" s="1849"/>
      <c r="H3" s="1840"/>
      <c r="I3" s="1864"/>
      <c r="J3" s="1864"/>
      <c r="K3" s="1864"/>
      <c r="L3" s="1849"/>
      <c r="M3" s="1865"/>
      <c r="N3" s="1849"/>
      <c r="O3" s="1849"/>
      <c r="P3" s="1849"/>
      <c r="Q3" s="1849"/>
      <c r="R3" s="3597"/>
      <c r="S3" s="2991"/>
      <c r="T3" s="2991"/>
      <c r="U3" s="1849"/>
    </row>
    <row r="4" spans="1:22" ht="18" customHeight="1">
      <c r="A4" s="1850" t="s">
        <v>473</v>
      </c>
      <c r="B4" s="1847"/>
      <c r="C4" s="1847"/>
      <c r="D4" s="1847"/>
      <c r="E4" s="1847"/>
      <c r="F4" s="1840"/>
      <c r="G4" s="1840"/>
      <c r="H4" s="1840"/>
      <c r="I4" s="1840"/>
      <c r="J4" s="1840"/>
      <c r="K4" s="1840"/>
      <c r="L4" s="1866"/>
      <c r="M4" s="1866"/>
      <c r="N4" s="1866"/>
      <c r="O4" s="1866"/>
      <c r="P4" s="1867"/>
      <c r="Q4" s="1867"/>
      <c r="R4" s="3911"/>
      <c r="S4" s="3590"/>
      <c r="T4" s="3590"/>
      <c r="U4" s="1878"/>
    </row>
    <row r="5" spans="1:22" s="257" customFormat="1" ht="13" customHeight="1">
      <c r="A5" s="5786" t="s">
        <v>435</v>
      </c>
      <c r="B5" s="5786"/>
      <c r="C5" s="5786"/>
      <c r="D5" s="5786"/>
      <c r="E5" s="5786"/>
      <c r="F5" s="5787" t="s">
        <v>56</v>
      </c>
      <c r="G5" s="5787"/>
      <c r="H5" s="5787"/>
      <c r="I5" s="5787"/>
      <c r="J5" s="5788" t="s">
        <v>474</v>
      </c>
      <c r="K5" s="5788" t="s">
        <v>475</v>
      </c>
      <c r="L5" s="5790" t="str">
        <f>PerDinas!K5</f>
        <v>TARGET 2017</v>
      </c>
      <c r="M5" s="5791" t="s">
        <v>5</v>
      </c>
      <c r="N5" s="5792"/>
      <c r="O5" s="5793"/>
      <c r="P5" s="1869" t="s">
        <v>476</v>
      </c>
      <c r="Q5" s="5794" t="s">
        <v>477</v>
      </c>
      <c r="R5" s="5796" t="s">
        <v>6</v>
      </c>
      <c r="S5" s="5804" t="s">
        <v>1195</v>
      </c>
      <c r="T5" s="5794" t="s">
        <v>477</v>
      </c>
      <c r="U5" s="5781" t="s">
        <v>478</v>
      </c>
      <c r="V5" s="1846"/>
    </row>
    <row r="6" spans="1:22" s="257" customFormat="1" ht="13" customHeight="1">
      <c r="A6" s="5786"/>
      <c r="B6" s="5786"/>
      <c r="C6" s="5786"/>
      <c r="D6" s="5786"/>
      <c r="E6" s="5786"/>
      <c r="F6" s="5787"/>
      <c r="G6" s="5787"/>
      <c r="H6" s="5787"/>
      <c r="I6" s="5787"/>
      <c r="J6" s="5789"/>
      <c r="K6" s="5789"/>
      <c r="L6" s="5790"/>
      <c r="M6" s="1868" t="s">
        <v>479</v>
      </c>
      <c r="N6" s="1868" t="s">
        <v>433</v>
      </c>
      <c r="O6" s="1868" t="s">
        <v>480</v>
      </c>
      <c r="P6" s="1870" t="s">
        <v>481</v>
      </c>
      <c r="Q6" s="5795"/>
      <c r="R6" s="5797"/>
      <c r="S6" s="5805"/>
      <c r="T6" s="5795"/>
      <c r="U6" s="5781"/>
      <c r="V6" s="1846"/>
    </row>
    <row r="7" spans="1:22" s="257" customFormat="1" ht="12.05" customHeight="1">
      <c r="A7" s="5782" t="s">
        <v>58</v>
      </c>
      <c r="B7" s="5782"/>
      <c r="C7" s="5782"/>
      <c r="D7" s="5782"/>
      <c r="E7" s="5782"/>
      <c r="F7" s="5783" t="s">
        <v>460</v>
      </c>
      <c r="G7" s="5783"/>
      <c r="H7" s="5783"/>
      <c r="I7" s="5783"/>
      <c r="J7" s="2754" t="s">
        <v>457</v>
      </c>
      <c r="K7" s="2754" t="s">
        <v>443</v>
      </c>
      <c r="L7" s="2755" t="s">
        <v>482</v>
      </c>
      <c r="M7" s="1871" t="s">
        <v>443</v>
      </c>
      <c r="N7" s="1871" t="s">
        <v>482</v>
      </c>
      <c r="O7" s="2755" t="s">
        <v>483</v>
      </c>
      <c r="P7" s="2755" t="s">
        <v>484</v>
      </c>
      <c r="Q7" s="2755" t="s">
        <v>485</v>
      </c>
      <c r="R7" s="3912" t="s">
        <v>486</v>
      </c>
      <c r="S7" s="3767"/>
      <c r="T7" s="3814"/>
      <c r="U7" s="3769" t="s">
        <v>444</v>
      </c>
      <c r="V7" s="1879"/>
    </row>
    <row r="8" spans="1:22" s="2899" customFormat="1" ht="15.05" customHeight="1">
      <c r="A8" s="2893" t="s">
        <v>443</v>
      </c>
      <c r="B8" s="2893"/>
      <c r="C8" s="2893"/>
      <c r="D8" s="2893"/>
      <c r="E8" s="2893"/>
      <c r="F8" s="2894" t="s">
        <v>60</v>
      </c>
      <c r="G8" s="2895"/>
      <c r="H8" s="2895"/>
      <c r="I8" s="2896"/>
      <c r="J8" s="3121">
        <f t="shared" ref="J8:Q8" si="0">J10+J396+J429</f>
        <v>3802933445799</v>
      </c>
      <c r="K8" s="3121">
        <f t="shared" si="0"/>
        <v>3954156416678.9697</v>
      </c>
      <c r="L8" s="3121">
        <f t="shared" si="0"/>
        <v>4791397359569</v>
      </c>
      <c r="M8" s="3121">
        <f t="shared" si="0"/>
        <v>728312659711.53003</v>
      </c>
      <c r="N8" s="3121">
        <f t="shared" si="0"/>
        <v>274653040527.19</v>
      </c>
      <c r="O8" s="3121">
        <f t="shared" si="0"/>
        <v>1163476630856.72</v>
      </c>
      <c r="P8" s="3121">
        <f t="shared" si="0"/>
        <v>4712349737652</v>
      </c>
      <c r="Q8" s="3121">
        <f t="shared" si="0"/>
        <v>-79047621917</v>
      </c>
      <c r="R8" s="3600">
        <f>+P8/L8*100-100</f>
        <v>-1.6497822239504387</v>
      </c>
      <c r="S8" s="3765"/>
      <c r="T8" s="3815"/>
      <c r="U8" s="3770"/>
      <c r="V8" s="2898">
        <f>O8-L8</f>
        <v>-3627920728712.2803</v>
      </c>
    </row>
    <row r="9" spans="1:22" s="257" customFormat="1" ht="15.05" customHeight="1">
      <c r="A9" s="1855"/>
      <c r="B9" s="1855"/>
      <c r="C9" s="1855"/>
      <c r="D9" s="1855"/>
      <c r="E9" s="1855"/>
      <c r="F9" s="1856"/>
      <c r="G9" s="202"/>
      <c r="H9" s="202"/>
      <c r="I9" s="218"/>
      <c r="J9" s="3123"/>
      <c r="K9" s="3123"/>
      <c r="L9" s="3123"/>
      <c r="M9" s="3124"/>
      <c r="N9" s="3125"/>
      <c r="O9" s="3125"/>
      <c r="P9" s="3125"/>
      <c r="Q9" s="3125"/>
      <c r="R9" s="3601"/>
      <c r="S9" s="3697"/>
      <c r="T9" s="3816"/>
      <c r="U9" s="3771"/>
      <c r="V9" s="1846"/>
    </row>
    <row r="10" spans="1:22" s="2899" customFormat="1" ht="15.05" customHeight="1">
      <c r="A10" s="2893">
        <v>4</v>
      </c>
      <c r="B10" s="2893">
        <v>1</v>
      </c>
      <c r="C10" s="2893"/>
      <c r="D10" s="2893"/>
      <c r="E10" s="2893"/>
      <c r="F10" s="2900" t="s">
        <v>180</v>
      </c>
      <c r="G10" s="2901"/>
      <c r="H10" s="2895"/>
      <c r="I10" s="2896"/>
      <c r="J10" s="3127">
        <f>J12+J43+J212+J225</f>
        <v>1450044930319</v>
      </c>
      <c r="K10" s="3127">
        <f t="shared" ref="K10:P10" si="1">K12+K43+K212+K225</f>
        <v>1348970161792.4299</v>
      </c>
      <c r="L10" s="3127">
        <f t="shared" si="1"/>
        <v>1501611335359</v>
      </c>
      <c r="M10" s="3127">
        <f t="shared" si="1"/>
        <v>124612682553.54001</v>
      </c>
      <c r="N10" s="3127">
        <f t="shared" si="1"/>
        <v>20719352427.190002</v>
      </c>
      <c r="O10" s="3127">
        <f t="shared" si="1"/>
        <v>287722965598.72998</v>
      </c>
      <c r="P10" s="3127">
        <f t="shared" si="1"/>
        <v>1510180371152</v>
      </c>
      <c r="Q10" s="3127">
        <f>Q12+Q43+Q212+Q225</f>
        <v>8569035793</v>
      </c>
      <c r="R10" s="3600">
        <f>+P10/L10*100-100</f>
        <v>0.57065604069586584</v>
      </c>
      <c r="S10" s="3698"/>
      <c r="T10" s="3815"/>
      <c r="U10" s="3770"/>
      <c r="V10" s="2898"/>
    </row>
    <row r="11" spans="1:22" s="257" customFormat="1" ht="15.05" customHeight="1">
      <c r="A11" s="1854"/>
      <c r="B11" s="1854"/>
      <c r="C11" s="1854"/>
      <c r="D11" s="1854"/>
      <c r="E11" s="1854"/>
      <c r="F11" s="1464"/>
      <c r="G11" s="1860"/>
      <c r="H11" s="202"/>
      <c r="I11" s="218"/>
      <c r="J11" s="3128"/>
      <c r="K11" s="3128"/>
      <c r="L11" s="3123"/>
      <c r="M11" s="3129"/>
      <c r="N11" s="3123"/>
      <c r="O11" s="3123"/>
      <c r="P11" s="3123"/>
      <c r="Q11" s="3123"/>
      <c r="R11" s="3601"/>
      <c r="S11" s="3697"/>
      <c r="T11" s="3816"/>
      <c r="U11" s="3771"/>
      <c r="V11" s="1846"/>
    </row>
    <row r="12" spans="1:22" s="2905" customFormat="1" ht="15.05" customHeight="1">
      <c r="A12" s="3012" t="s">
        <v>443</v>
      </c>
      <c r="B12" s="3012" t="s">
        <v>58</v>
      </c>
      <c r="C12" s="3012" t="s">
        <v>58</v>
      </c>
      <c r="D12" s="2918"/>
      <c r="E12" s="2918"/>
      <c r="F12" s="3013" t="s">
        <v>1141</v>
      </c>
      <c r="G12" s="3014"/>
      <c r="H12" s="2919"/>
      <c r="I12" s="3015"/>
      <c r="J12" s="3130">
        <f>J13+J25+J37+J39+J41</f>
        <v>1037549599000</v>
      </c>
      <c r="K12" s="3130">
        <f t="shared" ref="K12:Q12" si="2">K13+K25+K37+K39+K41</f>
        <v>1003260953668</v>
      </c>
      <c r="L12" s="3130">
        <f t="shared" si="2"/>
        <v>1122139007935</v>
      </c>
      <c r="M12" s="3130">
        <f t="shared" si="2"/>
        <v>90900135444</v>
      </c>
      <c r="N12" s="3130">
        <f t="shared" si="2"/>
        <v>0</v>
      </c>
      <c r="O12" s="3130">
        <f t="shared" si="2"/>
        <v>233266101062</v>
      </c>
      <c r="P12" s="3130">
        <f t="shared" si="2"/>
        <v>1126480668000</v>
      </c>
      <c r="Q12" s="3130">
        <f t="shared" si="2"/>
        <v>4341660065</v>
      </c>
      <c r="R12" s="3602">
        <f>+P12/L12*100-100</f>
        <v>0.3869092896957369</v>
      </c>
      <c r="S12" s="3699"/>
      <c r="T12" s="3817"/>
      <c r="U12" s="3772"/>
      <c r="V12" s="2904"/>
    </row>
    <row r="13" spans="1:22" s="2947" customFormat="1" ht="15.05" customHeight="1">
      <c r="A13" s="3021" t="s">
        <v>443</v>
      </c>
      <c r="B13" s="3021" t="s">
        <v>58</v>
      </c>
      <c r="C13" s="3021" t="s">
        <v>58</v>
      </c>
      <c r="D13" s="3022" t="s">
        <v>437</v>
      </c>
      <c r="E13" s="3021"/>
      <c r="F13" s="3023" t="s">
        <v>1142</v>
      </c>
      <c r="G13" s="3024"/>
      <c r="H13" s="3025"/>
      <c r="I13" s="3337" t="s">
        <v>1194</v>
      </c>
      <c r="J13" s="3132">
        <f t="shared" ref="J13:O13" si="3">SUM(J14:J23)</f>
        <v>248153000000</v>
      </c>
      <c r="K13" s="3132">
        <f t="shared" si="3"/>
        <v>269187973631</v>
      </c>
      <c r="L13" s="3132">
        <f t="shared" si="3"/>
        <v>311893723935</v>
      </c>
      <c r="M13" s="3132">
        <f t="shared" si="3"/>
        <v>0</v>
      </c>
      <c r="N13" s="3132">
        <f t="shared" si="3"/>
        <v>0</v>
      </c>
      <c r="O13" s="3132">
        <f t="shared" si="3"/>
        <v>69415566816</v>
      </c>
      <c r="P13" s="3336">
        <v>304182000000</v>
      </c>
      <c r="Q13" s="3335">
        <f>P13-L13</f>
        <v>-7711723935</v>
      </c>
      <c r="R13" s="3603">
        <f>+P13/L13*100-100</f>
        <v>-2.4725486097332094</v>
      </c>
      <c r="S13" s="3700"/>
      <c r="T13" s="3818"/>
      <c r="U13" s="3773"/>
      <c r="V13" s="2944"/>
    </row>
    <row r="14" spans="1:22" s="2883" customFormat="1" ht="15.05" customHeight="1">
      <c r="A14" s="2984"/>
      <c r="B14" s="2984"/>
      <c r="C14" s="2984"/>
      <c r="D14" s="3016"/>
      <c r="E14" s="2984"/>
      <c r="F14" s="3017" t="s">
        <v>1143</v>
      </c>
      <c r="G14" s="3018"/>
      <c r="H14" s="3019"/>
      <c r="I14" s="3020"/>
      <c r="J14" s="3134">
        <v>86036572000</v>
      </c>
      <c r="K14" s="3134">
        <v>88888793805</v>
      </c>
      <c r="L14" s="3135">
        <v>103905461339</v>
      </c>
      <c r="M14" s="3136"/>
      <c r="N14" s="3135"/>
      <c r="O14" s="3135">
        <v>23394301628</v>
      </c>
      <c r="P14" s="3135"/>
      <c r="Q14" s="3135"/>
      <c r="R14" s="3604"/>
      <c r="S14" s="3701"/>
      <c r="T14" s="3819"/>
      <c r="U14" s="3774"/>
      <c r="V14" s="2882"/>
    </row>
    <row r="15" spans="1:22" s="2883" customFormat="1" ht="15.05" customHeight="1">
      <c r="A15" s="2875"/>
      <c r="B15" s="2875"/>
      <c r="C15" s="2875"/>
      <c r="D15" s="2876"/>
      <c r="E15" s="2875"/>
      <c r="F15" s="2877" t="s">
        <v>1144</v>
      </c>
      <c r="G15" s="2878"/>
      <c r="H15" s="2879"/>
      <c r="I15" s="2880"/>
      <c r="J15" s="3138">
        <v>28423220000</v>
      </c>
      <c r="K15" s="3138">
        <v>30126889110</v>
      </c>
      <c r="L15" s="3139">
        <v>34714931659</v>
      </c>
      <c r="M15" s="3136"/>
      <c r="N15" s="3139"/>
      <c r="O15" s="3139">
        <v>8078866798</v>
      </c>
      <c r="P15" s="3139"/>
      <c r="Q15" s="3139"/>
      <c r="R15" s="3605"/>
      <c r="S15" s="3702"/>
      <c r="T15" s="3820"/>
      <c r="U15" s="3774"/>
      <c r="V15" s="2882"/>
    </row>
    <row r="16" spans="1:22" s="2883" customFormat="1" ht="15.05" customHeight="1">
      <c r="A16" s="2875"/>
      <c r="B16" s="2875"/>
      <c r="C16" s="2875"/>
      <c r="D16" s="2876"/>
      <c r="E16" s="2875"/>
      <c r="F16" s="2877" t="s">
        <v>1146</v>
      </c>
      <c r="G16" s="2878"/>
      <c r="H16" s="2879"/>
      <c r="I16" s="2880"/>
      <c r="J16" s="3138">
        <v>6651423000</v>
      </c>
      <c r="K16" s="3138">
        <v>8477225617</v>
      </c>
      <c r="L16" s="3139">
        <v>9610012775</v>
      </c>
      <c r="M16" s="3136"/>
      <c r="N16" s="3139"/>
      <c r="O16" s="3139">
        <v>2157193100</v>
      </c>
      <c r="P16" s="3139"/>
      <c r="Q16" s="3139"/>
      <c r="R16" s="3605"/>
      <c r="S16" s="3702"/>
      <c r="T16" s="3820"/>
      <c r="U16" s="3774"/>
      <c r="V16" s="2882"/>
    </row>
    <row r="17" spans="1:22" s="2883" customFormat="1" ht="15.05" customHeight="1">
      <c r="A17" s="2875"/>
      <c r="B17" s="2875"/>
      <c r="C17" s="2875"/>
      <c r="D17" s="2876"/>
      <c r="E17" s="2875"/>
      <c r="F17" s="2877" t="s">
        <v>1145</v>
      </c>
      <c r="G17" s="2878"/>
      <c r="H17" s="2879"/>
      <c r="I17" s="2880"/>
      <c r="J17" s="3138">
        <v>33246442000</v>
      </c>
      <c r="K17" s="3138">
        <v>37055803776</v>
      </c>
      <c r="L17" s="3139">
        <v>42614528606</v>
      </c>
      <c r="M17" s="3136"/>
      <c r="N17" s="3139"/>
      <c r="O17" s="3139">
        <v>9536539453</v>
      </c>
      <c r="P17" s="3139"/>
      <c r="Q17" s="3139"/>
      <c r="R17" s="3605"/>
      <c r="S17" s="3702"/>
      <c r="T17" s="3820"/>
      <c r="U17" s="3774"/>
      <c r="V17" s="2882"/>
    </row>
    <row r="18" spans="1:22" s="2883" customFormat="1" ht="15.05" customHeight="1">
      <c r="A18" s="2875"/>
      <c r="B18" s="2875"/>
      <c r="C18" s="2875"/>
      <c r="D18" s="2876"/>
      <c r="E18" s="2875"/>
      <c r="F18" s="2877" t="s">
        <v>1147</v>
      </c>
      <c r="G18" s="2878"/>
      <c r="H18" s="2879"/>
      <c r="I18" s="2880"/>
      <c r="J18" s="3138">
        <v>36492414000</v>
      </c>
      <c r="K18" s="3138">
        <v>40134619809</v>
      </c>
      <c r="L18" s="3139">
        <v>45159023780</v>
      </c>
      <c r="M18" s="3136"/>
      <c r="N18" s="3139"/>
      <c r="O18" s="3139">
        <v>10944515392</v>
      </c>
      <c r="P18" s="3139"/>
      <c r="Q18" s="3139"/>
      <c r="R18" s="3605"/>
      <c r="S18" s="3702"/>
      <c r="T18" s="3820"/>
      <c r="U18" s="3774"/>
      <c r="V18" s="2882"/>
    </row>
    <row r="19" spans="1:22" s="2883" customFormat="1" ht="15.05" customHeight="1">
      <c r="A19" s="2875"/>
      <c r="B19" s="2875"/>
      <c r="C19" s="2875"/>
      <c r="D19" s="2876"/>
      <c r="E19" s="2875"/>
      <c r="F19" s="2877" t="s">
        <v>1149</v>
      </c>
      <c r="G19" s="2878"/>
      <c r="H19" s="2879"/>
      <c r="I19" s="2880"/>
      <c r="J19" s="3138">
        <v>19330379000</v>
      </c>
      <c r="K19" s="3138">
        <v>21077352223</v>
      </c>
      <c r="L19" s="3139">
        <v>24602495136</v>
      </c>
      <c r="M19" s="3136"/>
      <c r="N19" s="3139"/>
      <c r="O19" s="3139">
        <v>4726131862</v>
      </c>
      <c r="P19" s="3139"/>
      <c r="Q19" s="3139"/>
      <c r="R19" s="3605"/>
      <c r="S19" s="3702"/>
      <c r="T19" s="3820"/>
      <c r="U19" s="3774"/>
      <c r="V19" s="2882"/>
    </row>
    <row r="20" spans="1:22" s="2883" customFormat="1" ht="15.05" customHeight="1">
      <c r="A20" s="2875"/>
      <c r="B20" s="2875"/>
      <c r="C20" s="2875"/>
      <c r="D20" s="2876"/>
      <c r="E20" s="2875"/>
      <c r="F20" s="2877" t="s">
        <v>1148</v>
      </c>
      <c r="G20" s="2878"/>
      <c r="H20" s="2879"/>
      <c r="I20" s="2880"/>
      <c r="J20" s="3138">
        <v>13063598000</v>
      </c>
      <c r="K20" s="3138">
        <v>15637707858</v>
      </c>
      <c r="L20" s="3139">
        <v>19282915315</v>
      </c>
      <c r="M20" s="3136"/>
      <c r="N20" s="3139"/>
      <c r="O20" s="3139">
        <v>3363555821</v>
      </c>
      <c r="P20" s="3139"/>
      <c r="Q20" s="3139"/>
      <c r="R20" s="3605"/>
      <c r="S20" s="3702"/>
      <c r="T20" s="3820"/>
      <c r="U20" s="3774"/>
      <c r="V20" s="2882"/>
    </row>
    <row r="21" spans="1:22" s="2883" customFormat="1" ht="15.05" customHeight="1">
      <c r="A21" s="2875"/>
      <c r="B21" s="2875"/>
      <c r="C21" s="2875"/>
      <c r="D21" s="2876"/>
      <c r="E21" s="2875"/>
      <c r="F21" s="2877" t="s">
        <v>1150</v>
      </c>
      <c r="G21" s="2878"/>
      <c r="H21" s="2879"/>
      <c r="I21" s="2880"/>
      <c r="J21" s="3138">
        <v>7135313000</v>
      </c>
      <c r="K21" s="3138">
        <v>7530942967</v>
      </c>
      <c r="L21" s="3139">
        <v>8832161493</v>
      </c>
      <c r="M21" s="3136"/>
      <c r="N21" s="3139"/>
      <c r="O21" s="3139">
        <v>1894855705</v>
      </c>
      <c r="P21" s="3139"/>
      <c r="Q21" s="3139"/>
      <c r="R21" s="3605"/>
      <c r="S21" s="3702"/>
      <c r="T21" s="3820"/>
      <c r="U21" s="3774"/>
      <c r="V21" s="2882"/>
    </row>
    <row r="22" spans="1:22" s="2883" customFormat="1" ht="15.05" customHeight="1">
      <c r="A22" s="2875"/>
      <c r="B22" s="2875"/>
      <c r="C22" s="2875"/>
      <c r="D22" s="2876"/>
      <c r="E22" s="2875"/>
      <c r="F22" s="2877" t="s">
        <v>1151</v>
      </c>
      <c r="G22" s="2878"/>
      <c r="H22" s="2879"/>
      <c r="I22" s="2880"/>
      <c r="J22" s="3138">
        <v>7455885000</v>
      </c>
      <c r="K22" s="3138">
        <v>8793651686</v>
      </c>
      <c r="L22" s="3139">
        <v>9908631964</v>
      </c>
      <c r="M22" s="3136"/>
      <c r="N22" s="3139"/>
      <c r="O22" s="3139">
        <v>1892159075</v>
      </c>
      <c r="P22" s="3139"/>
      <c r="Q22" s="3139"/>
      <c r="R22" s="3605"/>
      <c r="S22" s="3702"/>
      <c r="T22" s="3820"/>
      <c r="U22" s="3774"/>
      <c r="V22" s="2882"/>
    </row>
    <row r="23" spans="1:22" s="2883" customFormat="1" ht="15.05" customHeight="1">
      <c r="A23" s="2875"/>
      <c r="B23" s="2875"/>
      <c r="C23" s="2875"/>
      <c r="D23" s="2876"/>
      <c r="E23" s="2875"/>
      <c r="F23" s="2877" t="s">
        <v>1152</v>
      </c>
      <c r="G23" s="2878"/>
      <c r="H23" s="2879"/>
      <c r="I23" s="2880"/>
      <c r="J23" s="3138">
        <v>10317754000</v>
      </c>
      <c r="K23" s="3138">
        <v>11464986780</v>
      </c>
      <c r="L23" s="3139">
        <v>13263561868</v>
      </c>
      <c r="M23" s="3136"/>
      <c r="N23" s="3139"/>
      <c r="O23" s="3139">
        <v>3427447982</v>
      </c>
      <c r="P23" s="3139"/>
      <c r="Q23" s="3139"/>
      <c r="R23" s="3605"/>
      <c r="S23" s="3702"/>
      <c r="T23" s="3820"/>
      <c r="U23" s="3774"/>
      <c r="V23" s="2882"/>
    </row>
    <row r="24" spans="1:22" s="257" customFormat="1" ht="15.05" customHeight="1">
      <c r="A24" s="3027"/>
      <c r="B24" s="3027"/>
      <c r="C24" s="3027"/>
      <c r="D24" s="3028"/>
      <c r="E24" s="1902"/>
      <c r="F24" s="3029"/>
      <c r="G24" s="2831"/>
      <c r="H24" s="2322"/>
      <c r="I24" s="1907"/>
      <c r="J24" s="3141"/>
      <c r="K24" s="3141"/>
      <c r="L24" s="3142"/>
      <c r="M24" s="3129"/>
      <c r="N24" s="3142"/>
      <c r="O24" s="3142"/>
      <c r="P24" s="3142"/>
      <c r="Q24" s="3142"/>
      <c r="R24" s="3606"/>
      <c r="S24" s="3703"/>
      <c r="T24" s="3821"/>
      <c r="U24" s="3771"/>
      <c r="V24" s="1846"/>
    </row>
    <row r="25" spans="1:22" s="2947" customFormat="1" ht="15.05" customHeight="1">
      <c r="A25" s="3021" t="s">
        <v>443</v>
      </c>
      <c r="B25" s="3021" t="s">
        <v>58</v>
      </c>
      <c r="C25" s="3021" t="s">
        <v>58</v>
      </c>
      <c r="D25" s="3022" t="s">
        <v>440</v>
      </c>
      <c r="E25" s="3021"/>
      <c r="F25" s="3023" t="s">
        <v>1153</v>
      </c>
      <c r="G25" s="3024"/>
      <c r="H25" s="3025"/>
      <c r="I25" s="3026"/>
      <c r="J25" s="3132">
        <f t="shared" ref="J25:O25" si="4">SUM(J26:J35)</f>
        <v>318503155000</v>
      </c>
      <c r="K25" s="3132">
        <f t="shared" si="4"/>
        <v>322208887701</v>
      </c>
      <c r="L25" s="3132">
        <f t="shared" si="4"/>
        <v>321503155000</v>
      </c>
      <c r="M25" s="3132">
        <f t="shared" si="4"/>
        <v>0</v>
      </c>
      <c r="N25" s="3132">
        <f t="shared" si="4"/>
        <v>0</v>
      </c>
      <c r="O25" s="3132">
        <f t="shared" si="4"/>
        <v>72721445555</v>
      </c>
      <c r="P25" s="3132">
        <v>322208888000</v>
      </c>
      <c r="Q25" s="3132">
        <f>P25-L25</f>
        <v>705733000</v>
      </c>
      <c r="R25" s="3603">
        <f>+P25/L25*100-100</f>
        <v>0.21951044306236156</v>
      </c>
      <c r="S25" s="3700"/>
      <c r="T25" s="3818"/>
      <c r="U25" s="3773"/>
      <c r="V25" s="2944"/>
    </row>
    <row r="26" spans="1:22" s="2883" customFormat="1" ht="15.05" customHeight="1">
      <c r="A26" s="2984"/>
      <c r="B26" s="2984"/>
      <c r="C26" s="2984"/>
      <c r="D26" s="3016"/>
      <c r="E26" s="2984"/>
      <c r="F26" s="3017" t="s">
        <v>1143</v>
      </c>
      <c r="G26" s="3018"/>
      <c r="H26" s="3019"/>
      <c r="I26" s="3020"/>
      <c r="J26" s="3134">
        <v>88217042000</v>
      </c>
      <c r="K26" s="3134">
        <v>88750043334</v>
      </c>
      <c r="L26" s="3135">
        <v>89048587600</v>
      </c>
      <c r="M26" s="3136"/>
      <c r="N26" s="3135"/>
      <c r="O26" s="3135">
        <v>21008364305</v>
      </c>
      <c r="P26" s="3135"/>
      <c r="Q26" s="3135"/>
      <c r="R26" s="3604"/>
      <c r="S26" s="3701"/>
      <c r="T26" s="3819"/>
      <c r="U26" s="3774"/>
      <c r="V26" s="2882"/>
    </row>
    <row r="27" spans="1:22" s="2883" customFormat="1" ht="15.05" customHeight="1">
      <c r="A27" s="2875"/>
      <c r="B27" s="2875"/>
      <c r="C27" s="2875"/>
      <c r="D27" s="2876"/>
      <c r="E27" s="2875"/>
      <c r="F27" s="2877" t="s">
        <v>1144</v>
      </c>
      <c r="G27" s="2878"/>
      <c r="H27" s="2879"/>
      <c r="I27" s="2880"/>
      <c r="J27" s="3138">
        <v>44806080000</v>
      </c>
      <c r="K27" s="3138">
        <v>58359055747</v>
      </c>
      <c r="L27" s="3139">
        <v>43050445200</v>
      </c>
      <c r="M27" s="3136"/>
      <c r="N27" s="3139"/>
      <c r="O27" s="3139">
        <v>12974559000</v>
      </c>
      <c r="P27" s="3139"/>
      <c r="Q27" s="3139"/>
      <c r="R27" s="3605"/>
      <c r="S27" s="3702"/>
      <c r="T27" s="3820"/>
      <c r="U27" s="3774"/>
      <c r="V27" s="2882"/>
    </row>
    <row r="28" spans="1:22" s="2883" customFormat="1" ht="15.05" customHeight="1">
      <c r="A28" s="2875"/>
      <c r="B28" s="2875"/>
      <c r="C28" s="2875"/>
      <c r="D28" s="2876"/>
      <c r="E28" s="2875"/>
      <c r="F28" s="2877" t="s">
        <v>1145</v>
      </c>
      <c r="G28" s="2878"/>
      <c r="H28" s="2879"/>
      <c r="I28" s="2880"/>
      <c r="J28" s="3138">
        <v>13188012000</v>
      </c>
      <c r="K28" s="3138">
        <v>0</v>
      </c>
      <c r="L28" s="3139">
        <v>15367063100</v>
      </c>
      <c r="M28" s="3136"/>
      <c r="N28" s="3139"/>
      <c r="O28" s="3139">
        <v>0</v>
      </c>
      <c r="P28" s="3139"/>
      <c r="Q28" s="3139"/>
      <c r="R28" s="3605"/>
      <c r="S28" s="3702"/>
      <c r="T28" s="3820"/>
      <c r="U28" s="3774"/>
      <c r="V28" s="2882"/>
    </row>
    <row r="29" spans="1:22" s="2883" customFormat="1" ht="15.05" customHeight="1">
      <c r="A29" s="2875"/>
      <c r="B29" s="2875"/>
      <c r="C29" s="2875"/>
      <c r="D29" s="2876"/>
      <c r="E29" s="2875"/>
      <c r="F29" s="2877" t="s">
        <v>1146</v>
      </c>
      <c r="G29" s="2878"/>
      <c r="H29" s="2879"/>
      <c r="I29" s="2880"/>
      <c r="J29" s="3138">
        <v>46143610000</v>
      </c>
      <c r="K29" s="3138">
        <v>46642700157</v>
      </c>
      <c r="L29" s="3139">
        <v>46313162500</v>
      </c>
      <c r="M29" s="3136"/>
      <c r="N29" s="3139"/>
      <c r="O29" s="3139">
        <v>10590982300</v>
      </c>
      <c r="P29" s="3139"/>
      <c r="Q29" s="3139"/>
      <c r="R29" s="3605"/>
      <c r="S29" s="3702"/>
      <c r="T29" s="3820"/>
      <c r="U29" s="3774"/>
      <c r="V29" s="2882"/>
    </row>
    <row r="30" spans="1:22" s="2883" customFormat="1" ht="15.05" customHeight="1">
      <c r="A30" s="2875"/>
      <c r="B30" s="2875"/>
      <c r="C30" s="2875"/>
      <c r="D30" s="2876"/>
      <c r="E30" s="2875"/>
      <c r="F30" s="2877" t="s">
        <v>1147</v>
      </c>
      <c r="G30" s="2878"/>
      <c r="H30" s="2879"/>
      <c r="I30" s="2880"/>
      <c r="J30" s="3138">
        <v>55404156000</v>
      </c>
      <c r="K30" s="3138">
        <v>55757219048</v>
      </c>
      <c r="L30" s="3139">
        <v>54297917400</v>
      </c>
      <c r="M30" s="3136"/>
      <c r="N30" s="3139"/>
      <c r="O30" s="3139">
        <v>13243838750</v>
      </c>
      <c r="P30" s="3139"/>
      <c r="Q30" s="3139"/>
      <c r="R30" s="3605"/>
      <c r="S30" s="3702"/>
      <c r="T30" s="3820"/>
      <c r="U30" s="3774"/>
      <c r="V30" s="2882"/>
    </row>
    <row r="31" spans="1:22" s="2883" customFormat="1" ht="15.05" customHeight="1">
      <c r="A31" s="2875"/>
      <c r="B31" s="2875"/>
      <c r="C31" s="2875"/>
      <c r="D31" s="2876"/>
      <c r="E31" s="2875"/>
      <c r="F31" s="2877" t="s">
        <v>1148</v>
      </c>
      <c r="G31" s="2878"/>
      <c r="H31" s="2879"/>
      <c r="I31" s="2880"/>
      <c r="J31" s="3138">
        <v>24530826000</v>
      </c>
      <c r="K31" s="3138">
        <v>26280750366</v>
      </c>
      <c r="L31" s="3139">
        <v>26331859300</v>
      </c>
      <c r="M31" s="3136"/>
      <c r="N31" s="3139"/>
      <c r="O31" s="3139">
        <v>4970869900</v>
      </c>
      <c r="P31" s="3139"/>
      <c r="Q31" s="3139"/>
      <c r="R31" s="3605"/>
      <c r="S31" s="3702"/>
      <c r="T31" s="3820"/>
      <c r="U31" s="3774"/>
      <c r="V31" s="2882"/>
    </row>
    <row r="32" spans="1:22" s="2883" customFormat="1" ht="15.05" customHeight="1">
      <c r="A32" s="2875"/>
      <c r="B32" s="2875"/>
      <c r="C32" s="2875"/>
      <c r="D32" s="2876"/>
      <c r="E32" s="2875"/>
      <c r="F32" s="2877" t="s">
        <v>1149</v>
      </c>
      <c r="G32" s="2878"/>
      <c r="H32" s="2879"/>
      <c r="I32" s="2880"/>
      <c r="J32" s="3138">
        <v>13229500000</v>
      </c>
      <c r="K32" s="3138">
        <v>14055787009</v>
      </c>
      <c r="L32" s="3139">
        <v>14367919300</v>
      </c>
      <c r="M32" s="3136"/>
      <c r="N32" s="3139"/>
      <c r="O32" s="3139">
        <v>2888678800</v>
      </c>
      <c r="P32" s="3139"/>
      <c r="Q32" s="3139"/>
      <c r="R32" s="3605"/>
      <c r="S32" s="3702"/>
      <c r="T32" s="3820"/>
      <c r="U32" s="3774"/>
      <c r="V32" s="2882"/>
    </row>
    <row r="33" spans="1:22" s="2883" customFormat="1" ht="15.05" customHeight="1">
      <c r="A33" s="2875"/>
      <c r="B33" s="2875"/>
      <c r="C33" s="2875"/>
      <c r="D33" s="2876"/>
      <c r="E33" s="2875"/>
      <c r="F33" s="2877" t="s">
        <v>1150</v>
      </c>
      <c r="G33" s="2878"/>
      <c r="H33" s="2879"/>
      <c r="I33" s="2880"/>
      <c r="J33" s="3138">
        <v>11200800000</v>
      </c>
      <c r="K33" s="3138">
        <v>9869342560</v>
      </c>
      <c r="L33" s="3139">
        <v>10029004300</v>
      </c>
      <c r="M33" s="3136"/>
      <c r="N33" s="3139"/>
      <c r="O33" s="3139">
        <v>1741245300</v>
      </c>
      <c r="P33" s="3139"/>
      <c r="Q33" s="3139"/>
      <c r="R33" s="3605"/>
      <c r="S33" s="3702"/>
      <c r="T33" s="3820"/>
      <c r="U33" s="3774"/>
      <c r="V33" s="2882"/>
    </row>
    <row r="34" spans="1:22" s="2883" customFormat="1" ht="15.05" customHeight="1">
      <c r="A34" s="2875"/>
      <c r="B34" s="2875"/>
      <c r="C34" s="2875"/>
      <c r="D34" s="2876"/>
      <c r="E34" s="2875"/>
      <c r="F34" s="2877" t="s">
        <v>1151</v>
      </c>
      <c r="G34" s="2878"/>
      <c r="H34" s="2879"/>
      <c r="I34" s="2880"/>
      <c r="J34" s="3138">
        <v>9976046000</v>
      </c>
      <c r="K34" s="3138">
        <v>10667507201</v>
      </c>
      <c r="L34" s="3139">
        <v>10866726200</v>
      </c>
      <c r="M34" s="3136"/>
      <c r="N34" s="3139"/>
      <c r="O34" s="3139">
        <v>2296433100</v>
      </c>
      <c r="P34" s="3139"/>
      <c r="Q34" s="3139"/>
      <c r="R34" s="3605"/>
      <c r="S34" s="3702"/>
      <c r="T34" s="3820"/>
      <c r="U34" s="3774"/>
      <c r="V34" s="2882"/>
    </row>
    <row r="35" spans="1:22" s="2883" customFormat="1" ht="15.05" customHeight="1">
      <c r="A35" s="2875"/>
      <c r="B35" s="2875"/>
      <c r="C35" s="2875"/>
      <c r="D35" s="2876"/>
      <c r="E35" s="2875"/>
      <c r="F35" s="2877" t="s">
        <v>1152</v>
      </c>
      <c r="G35" s="2878"/>
      <c r="H35" s="2879"/>
      <c r="I35" s="2880"/>
      <c r="J35" s="3138">
        <v>11807083000</v>
      </c>
      <c r="K35" s="3138">
        <v>11826482279</v>
      </c>
      <c r="L35" s="3139">
        <v>11830470100</v>
      </c>
      <c r="M35" s="3136"/>
      <c r="N35" s="3139"/>
      <c r="O35" s="3139">
        <v>3006474100</v>
      </c>
      <c r="P35" s="3139"/>
      <c r="Q35" s="3139"/>
      <c r="R35" s="3605"/>
      <c r="S35" s="3702"/>
      <c r="T35" s="3820"/>
      <c r="U35" s="3774"/>
      <c r="V35" s="2882"/>
    </row>
    <row r="36" spans="1:22" s="257" customFormat="1" ht="15.05" customHeight="1">
      <c r="A36" s="3027"/>
      <c r="B36" s="3027"/>
      <c r="C36" s="3027"/>
      <c r="D36" s="3028"/>
      <c r="E36" s="1902"/>
      <c r="F36" s="3029"/>
      <c r="G36" s="2831"/>
      <c r="H36" s="2322"/>
      <c r="I36" s="1907"/>
      <c r="J36" s="3141"/>
      <c r="K36" s="3141"/>
      <c r="L36" s="3142"/>
      <c r="M36" s="3129"/>
      <c r="N36" s="3142"/>
      <c r="O36" s="3142"/>
      <c r="P36" s="3142"/>
      <c r="Q36" s="3142"/>
      <c r="R36" s="3606"/>
      <c r="S36" s="3703"/>
      <c r="T36" s="3821"/>
      <c r="U36" s="3771"/>
      <c r="V36" s="1846"/>
    </row>
    <row r="37" spans="1:22" s="2947" customFormat="1" ht="15.05" customHeight="1">
      <c r="A37" s="3021" t="s">
        <v>443</v>
      </c>
      <c r="B37" s="3021" t="s">
        <v>58</v>
      </c>
      <c r="C37" s="3021" t="s">
        <v>58</v>
      </c>
      <c r="D37" s="3022" t="s">
        <v>451</v>
      </c>
      <c r="E37" s="3021"/>
      <c r="F37" s="3023" t="s">
        <v>1154</v>
      </c>
      <c r="G37" s="3024"/>
      <c r="H37" s="3025"/>
      <c r="I37" s="3026"/>
      <c r="J37" s="3132">
        <v>192900000000</v>
      </c>
      <c r="K37" s="3132">
        <v>188945861622</v>
      </c>
      <c r="L37" s="3144">
        <v>192900000000</v>
      </c>
      <c r="M37" s="3145">
        <v>46114131883</v>
      </c>
      <c r="N37" s="3144"/>
      <c r="O37" s="3144">
        <v>46114131883</v>
      </c>
      <c r="P37" s="3144">
        <v>188945861000</v>
      </c>
      <c r="Q37" s="3334">
        <f>P37-L37</f>
        <v>-3954139000</v>
      </c>
      <c r="R37" s="3603">
        <f>+P37/L37*100-100</f>
        <v>-2.0498387765681656</v>
      </c>
      <c r="S37" s="3700"/>
      <c r="T37" s="3818"/>
      <c r="U37" s="3773"/>
      <c r="V37" s="2944"/>
    </row>
    <row r="38" spans="1:22" s="257" customFormat="1" ht="15.05" customHeight="1">
      <c r="A38" s="3031"/>
      <c r="B38" s="3031"/>
      <c r="C38" s="3031"/>
      <c r="D38" s="3032"/>
      <c r="E38" s="1725"/>
      <c r="F38" s="3033"/>
      <c r="G38" s="3034"/>
      <c r="H38" s="1318"/>
      <c r="I38" s="3035"/>
      <c r="J38" s="3146"/>
      <c r="K38" s="3146"/>
      <c r="L38" s="3147"/>
      <c r="M38" s="3129"/>
      <c r="N38" s="3147"/>
      <c r="O38" s="3147"/>
      <c r="P38" s="3147"/>
      <c r="Q38" s="3147"/>
      <c r="R38" s="3607"/>
      <c r="S38" s="3700"/>
      <c r="T38" s="3818"/>
      <c r="U38" s="3771"/>
      <c r="V38" s="1846"/>
    </row>
    <row r="39" spans="1:22" s="2947" customFormat="1" ht="15.05" customHeight="1">
      <c r="A39" s="3021" t="s">
        <v>443</v>
      </c>
      <c r="B39" s="3021" t="s">
        <v>58</v>
      </c>
      <c r="C39" s="3021" t="s">
        <v>58</v>
      </c>
      <c r="D39" s="3022" t="s">
        <v>441</v>
      </c>
      <c r="E39" s="3021"/>
      <c r="F39" s="3023" t="s">
        <v>1156</v>
      </c>
      <c r="G39" s="3024"/>
      <c r="H39" s="3025"/>
      <c r="I39" s="3026"/>
      <c r="J39" s="3149">
        <v>300000000</v>
      </c>
      <c r="K39" s="3150">
        <v>361290857</v>
      </c>
      <c r="L39" s="3144">
        <v>1000000000</v>
      </c>
      <c r="M39" s="3145"/>
      <c r="N39" s="3144"/>
      <c r="O39" s="3144">
        <v>228953247</v>
      </c>
      <c r="P39" s="3144">
        <v>1000000000</v>
      </c>
      <c r="Q39" s="3144">
        <f>P39-L39</f>
        <v>0</v>
      </c>
      <c r="R39" s="3603">
        <f>+P39/L39*100-100</f>
        <v>0</v>
      </c>
      <c r="S39" s="3700"/>
      <c r="T39" s="3818"/>
      <c r="U39" s="3773"/>
      <c r="V39" s="2944"/>
    </row>
    <row r="40" spans="1:22" s="257" customFormat="1" ht="15.05" customHeight="1">
      <c r="A40" s="3036"/>
      <c r="B40" s="3036"/>
      <c r="C40" s="3036"/>
      <c r="D40" s="3037"/>
      <c r="E40" s="1944"/>
      <c r="F40" s="3038"/>
      <c r="G40" s="3039"/>
      <c r="H40" s="3040"/>
      <c r="I40" s="3041"/>
      <c r="J40" s="3151"/>
      <c r="K40" s="3151"/>
      <c r="L40" s="3152"/>
      <c r="M40" s="3153"/>
      <c r="N40" s="3152"/>
      <c r="O40" s="3152"/>
      <c r="P40" s="3152"/>
      <c r="Q40" s="3152"/>
      <c r="R40" s="3603"/>
      <c r="S40" s="3700"/>
      <c r="T40" s="3818"/>
      <c r="U40" s="3771"/>
      <c r="V40" s="1846"/>
    </row>
    <row r="41" spans="1:22" s="2947" customFormat="1" ht="15.05" customHeight="1">
      <c r="A41" s="3021" t="s">
        <v>443</v>
      </c>
      <c r="B41" s="3021" t="s">
        <v>58</v>
      </c>
      <c r="C41" s="3021" t="s">
        <v>58</v>
      </c>
      <c r="D41" s="3021" t="s">
        <v>1155</v>
      </c>
      <c r="E41" s="3021"/>
      <c r="F41" s="3023" t="s">
        <v>1157</v>
      </c>
      <c r="G41" s="3024"/>
      <c r="H41" s="3025"/>
      <c r="I41" s="3026"/>
      <c r="J41" s="3132">
        <v>277693444000</v>
      </c>
      <c r="K41" s="3132">
        <v>222556939857</v>
      </c>
      <c r="L41" s="3144">
        <v>294842129000</v>
      </c>
      <c r="M41" s="3145">
        <v>44786003561</v>
      </c>
      <c r="N41" s="3144"/>
      <c r="O41" s="3144">
        <v>44786003561</v>
      </c>
      <c r="P41" s="3144">
        <v>310143919000</v>
      </c>
      <c r="Q41" s="3144">
        <f>P41-L41</f>
        <v>15301790000</v>
      </c>
      <c r="R41" s="3603">
        <f>+P41/L41*100-100</f>
        <v>5.1898248231683368</v>
      </c>
      <c r="S41" s="3700"/>
      <c r="T41" s="3818"/>
      <c r="U41" s="3773"/>
      <c r="V41" s="2944"/>
    </row>
    <row r="42" spans="1:22" s="257" customFormat="1" ht="15.05" customHeight="1">
      <c r="A42" s="2985"/>
      <c r="B42" s="2985"/>
      <c r="C42" s="2985"/>
      <c r="D42" s="3030"/>
      <c r="E42" s="1905"/>
      <c r="F42" s="2986"/>
      <c r="G42" s="2828"/>
      <c r="H42" s="212"/>
      <c r="I42" s="225"/>
      <c r="J42" s="3154"/>
      <c r="K42" s="3154"/>
      <c r="L42" s="3155"/>
      <c r="M42" s="3129"/>
      <c r="N42" s="3155"/>
      <c r="O42" s="3155"/>
      <c r="P42" s="3155"/>
      <c r="Q42" s="3155"/>
      <c r="R42" s="3608"/>
      <c r="S42" s="3704"/>
      <c r="T42" s="3822"/>
      <c r="U42" s="3771"/>
      <c r="V42" s="1846"/>
    </row>
    <row r="43" spans="1:22" s="2908" customFormat="1" ht="15.05" customHeight="1">
      <c r="A43" s="3042">
        <v>4</v>
      </c>
      <c r="B43" s="3042">
        <v>1</v>
      </c>
      <c r="C43" s="3042">
        <v>2</v>
      </c>
      <c r="D43" s="3042"/>
      <c r="E43" s="3042"/>
      <c r="F43" s="3043" t="s">
        <v>106</v>
      </c>
      <c r="G43" s="3044"/>
      <c r="H43" s="3045"/>
      <c r="I43" s="3046"/>
      <c r="J43" s="3157">
        <f>J44+J55+J200</f>
        <v>29890858000</v>
      </c>
      <c r="K43" s="3157">
        <f t="shared" ref="K43:P43" si="5">K44+K55+K200</f>
        <v>29792038549</v>
      </c>
      <c r="L43" s="3157">
        <f t="shared" si="5"/>
        <v>18459358000</v>
      </c>
      <c r="M43" s="3157">
        <f t="shared" si="5"/>
        <v>2868914276</v>
      </c>
      <c r="N43" s="3157">
        <f t="shared" si="5"/>
        <v>1482279200</v>
      </c>
      <c r="O43" s="3157">
        <f t="shared" si="5"/>
        <v>4448558476</v>
      </c>
      <c r="P43" s="3157">
        <f t="shared" si="5"/>
        <v>19945053500</v>
      </c>
      <c r="Q43" s="3158">
        <f t="shared" ref="Q43:Q50" si="6">+P43-L43</f>
        <v>1485695500</v>
      </c>
      <c r="R43" s="3609">
        <f>+P43/L43*100-100</f>
        <v>8.0484678827941849</v>
      </c>
      <c r="S43" s="3705"/>
      <c r="T43" s="3823"/>
      <c r="U43" s="3775"/>
      <c r="V43" s="2907"/>
    </row>
    <row r="44" spans="1:22" s="2947" customFormat="1" ht="15.05" customHeight="1">
      <c r="A44" s="3021">
        <v>4</v>
      </c>
      <c r="B44" s="3021">
        <v>1</v>
      </c>
      <c r="C44" s="3021">
        <v>2</v>
      </c>
      <c r="D44" s="3021" t="s">
        <v>437</v>
      </c>
      <c r="E44" s="3021"/>
      <c r="F44" s="3023" t="s">
        <v>107</v>
      </c>
      <c r="G44" s="3024"/>
      <c r="H44" s="3025"/>
      <c r="I44" s="3026"/>
      <c r="J44" s="3132">
        <f>J45+J50+J51+J53</f>
        <v>19059250000</v>
      </c>
      <c r="K44" s="3132">
        <f t="shared" ref="K44:P44" si="7">K45+K50+K51+K53</f>
        <v>19214538092</v>
      </c>
      <c r="L44" s="3132">
        <f t="shared" si="7"/>
        <v>7519250000</v>
      </c>
      <c r="M44" s="3132">
        <f t="shared" si="7"/>
        <v>1772108700</v>
      </c>
      <c r="N44" s="3132">
        <f t="shared" si="7"/>
        <v>942614200</v>
      </c>
      <c r="O44" s="3132">
        <f t="shared" si="7"/>
        <v>2714722900</v>
      </c>
      <c r="P44" s="3132">
        <f t="shared" si="7"/>
        <v>9000000000</v>
      </c>
      <c r="Q44" s="3160">
        <f t="shared" si="6"/>
        <v>1480750000</v>
      </c>
      <c r="R44" s="3603">
        <f>+P44/L44*100-100</f>
        <v>19.692788509492303</v>
      </c>
      <c r="S44" s="3706"/>
      <c r="T44" s="3824"/>
      <c r="U44" s="3773"/>
      <c r="V44" s="2944"/>
    </row>
    <row r="45" spans="1:22" s="2932" customFormat="1" ht="15.05" customHeight="1">
      <c r="A45" s="3047">
        <v>4</v>
      </c>
      <c r="B45" s="3047">
        <v>1</v>
      </c>
      <c r="C45" s="3047">
        <v>2</v>
      </c>
      <c r="D45" s="3047" t="s">
        <v>437</v>
      </c>
      <c r="E45" s="3047" t="s">
        <v>437</v>
      </c>
      <c r="F45" s="3048" t="s">
        <v>84</v>
      </c>
      <c r="G45" s="3049"/>
      <c r="H45" s="3050"/>
      <c r="I45" s="3051"/>
      <c r="J45" s="3162">
        <f>SUM(J46:J49)</f>
        <v>18800000000</v>
      </c>
      <c r="K45" s="3162">
        <f t="shared" ref="K45:P45" si="8">SUM(K46:K49)</f>
        <v>18927671342</v>
      </c>
      <c r="L45" s="3162">
        <f t="shared" si="8"/>
        <v>7500000000</v>
      </c>
      <c r="M45" s="3162">
        <f t="shared" si="8"/>
        <v>1772108700</v>
      </c>
      <c r="N45" s="3162">
        <f t="shared" si="8"/>
        <v>942614200</v>
      </c>
      <c r="O45" s="3162">
        <f t="shared" si="8"/>
        <v>2714722900</v>
      </c>
      <c r="P45" s="3162">
        <f t="shared" si="8"/>
        <v>9000000000</v>
      </c>
      <c r="Q45" s="3163">
        <f t="shared" si="6"/>
        <v>1500000000</v>
      </c>
      <c r="R45" s="3610">
        <f>+P45/L45*100-100</f>
        <v>20</v>
      </c>
      <c r="S45" s="3707"/>
      <c r="T45" s="3825"/>
      <c r="U45" s="3776"/>
      <c r="V45" s="2931"/>
    </row>
    <row r="46" spans="1:22" s="1832" customFormat="1" ht="15.05" customHeight="1">
      <c r="A46" s="1855"/>
      <c r="B46" s="1855"/>
      <c r="C46" s="1855"/>
      <c r="D46" s="1855"/>
      <c r="E46" s="1855"/>
      <c r="F46" s="1857" t="s">
        <v>82</v>
      </c>
      <c r="G46" s="1858"/>
      <c r="H46" s="200"/>
      <c r="I46" s="217"/>
      <c r="J46" s="3165">
        <v>4000000000</v>
      </c>
      <c r="K46" s="3165">
        <v>4571728000</v>
      </c>
      <c r="L46" s="3125">
        <v>4500000000</v>
      </c>
      <c r="M46" s="3124">
        <v>1633527700</v>
      </c>
      <c r="N46" s="3125">
        <v>818193200</v>
      </c>
      <c r="O46" s="3125">
        <v>2451720900</v>
      </c>
      <c r="P46" s="3125">
        <v>7000000000</v>
      </c>
      <c r="Q46" s="3125">
        <f t="shared" si="6"/>
        <v>2500000000</v>
      </c>
      <c r="R46" s="3605">
        <f>+P46/L46*100-100</f>
        <v>55.555555555555571</v>
      </c>
      <c r="S46" s="3275"/>
      <c r="T46" s="3826"/>
      <c r="U46" s="3771"/>
      <c r="V46" s="1882">
        <f t="shared" ref="V46:V104" si="9">O46*4</f>
        <v>9806883600</v>
      </c>
    </row>
    <row r="47" spans="1:22" s="1832" customFormat="1" ht="15.05" customHeight="1">
      <c r="A47" s="1855"/>
      <c r="B47" s="1855"/>
      <c r="C47" s="1855"/>
      <c r="D47" s="1855"/>
      <c r="E47" s="1855"/>
      <c r="F47" s="1857" t="s">
        <v>487</v>
      </c>
      <c r="G47" s="1858"/>
      <c r="H47" s="200"/>
      <c r="I47" s="217"/>
      <c r="J47" s="3165">
        <v>1100000000</v>
      </c>
      <c r="K47" s="3165">
        <v>1352812500</v>
      </c>
      <c r="L47" s="3125">
        <v>3000000000</v>
      </c>
      <c r="M47" s="3124">
        <v>138581000</v>
      </c>
      <c r="N47" s="3125">
        <v>124421000</v>
      </c>
      <c r="O47" s="3125">
        <v>263002000</v>
      </c>
      <c r="P47" s="3125">
        <v>2000000000</v>
      </c>
      <c r="Q47" s="3125">
        <f t="shared" si="6"/>
        <v>-1000000000</v>
      </c>
      <c r="R47" s="3605">
        <f>+P47/L47*100-100</f>
        <v>-33.333333333333343</v>
      </c>
      <c r="S47" s="3275"/>
      <c r="T47" s="3826"/>
      <c r="U47" s="3771"/>
      <c r="V47" s="1882">
        <f t="shared" si="9"/>
        <v>1052008000</v>
      </c>
    </row>
    <row r="48" spans="1:22" s="257" customFormat="1" ht="15.05" customHeight="1">
      <c r="A48" s="1855"/>
      <c r="B48" s="1855"/>
      <c r="C48" s="1855"/>
      <c r="D48" s="1855"/>
      <c r="E48" s="1855"/>
      <c r="F48" s="2884" t="s">
        <v>1158</v>
      </c>
      <c r="G48" s="2885"/>
      <c r="H48" s="2886"/>
      <c r="I48" s="217"/>
      <c r="J48" s="3167">
        <v>200000000</v>
      </c>
      <c r="K48" s="3167">
        <v>291113500</v>
      </c>
      <c r="L48" s="3125">
        <v>0</v>
      </c>
      <c r="M48" s="3124">
        <v>0</v>
      </c>
      <c r="N48" s="3125">
        <v>0</v>
      </c>
      <c r="O48" s="3125">
        <v>0</v>
      </c>
      <c r="P48" s="3125">
        <v>0</v>
      </c>
      <c r="Q48" s="3125">
        <f t="shared" si="6"/>
        <v>0</v>
      </c>
      <c r="R48" s="3605">
        <v>0</v>
      </c>
      <c r="S48" s="3275"/>
      <c r="T48" s="3826"/>
      <c r="U48" s="3771"/>
      <c r="V48" s="1846">
        <f t="shared" si="9"/>
        <v>0</v>
      </c>
    </row>
    <row r="49" spans="1:22" s="257" customFormat="1" ht="15.05" customHeight="1">
      <c r="A49" s="1855"/>
      <c r="B49" s="1855"/>
      <c r="C49" s="1855"/>
      <c r="D49" s="1855"/>
      <c r="E49" s="1855"/>
      <c r="F49" s="2884" t="s">
        <v>1159</v>
      </c>
      <c r="G49" s="2885"/>
      <c r="H49" s="2886"/>
      <c r="I49" s="217"/>
      <c r="J49" s="3167">
        <v>13500000000</v>
      </c>
      <c r="K49" s="3167">
        <v>12712017342</v>
      </c>
      <c r="L49" s="3125">
        <v>0</v>
      </c>
      <c r="M49" s="3124">
        <v>0</v>
      </c>
      <c r="N49" s="3125">
        <v>0</v>
      </c>
      <c r="O49" s="3125">
        <v>0</v>
      </c>
      <c r="P49" s="3125">
        <v>0</v>
      </c>
      <c r="Q49" s="3125">
        <f t="shared" si="6"/>
        <v>0</v>
      </c>
      <c r="R49" s="3605">
        <v>0</v>
      </c>
      <c r="S49" s="3275"/>
      <c r="T49" s="3826"/>
      <c r="U49" s="3771"/>
      <c r="V49" s="1846">
        <f t="shared" si="9"/>
        <v>0</v>
      </c>
    </row>
    <row r="50" spans="1:22" s="2932" customFormat="1" ht="15.05" customHeight="1">
      <c r="A50" s="2925">
        <v>4</v>
      </c>
      <c r="B50" s="2925">
        <v>1</v>
      </c>
      <c r="C50" s="2925">
        <v>2</v>
      </c>
      <c r="D50" s="2925" t="s">
        <v>437</v>
      </c>
      <c r="E50" s="2925" t="s">
        <v>445</v>
      </c>
      <c r="F50" s="2926" t="s">
        <v>488</v>
      </c>
      <c r="G50" s="2927"/>
      <c r="H50" s="2933"/>
      <c r="I50" s="2934"/>
      <c r="J50" s="3168">
        <v>240000000</v>
      </c>
      <c r="K50" s="3168">
        <v>286866750</v>
      </c>
      <c r="L50" s="3169">
        <v>0</v>
      </c>
      <c r="M50" s="3170">
        <v>0</v>
      </c>
      <c r="N50" s="3169">
        <v>0</v>
      </c>
      <c r="O50" s="3169">
        <v>0</v>
      </c>
      <c r="P50" s="3169">
        <f>MAR!N708</f>
        <v>0</v>
      </c>
      <c r="Q50" s="3169">
        <f t="shared" si="6"/>
        <v>0</v>
      </c>
      <c r="R50" s="3611">
        <v>0</v>
      </c>
      <c r="S50" s="3708"/>
      <c r="T50" s="3827"/>
      <c r="U50" s="3776"/>
      <c r="V50" s="2931">
        <f t="shared" si="9"/>
        <v>0</v>
      </c>
    </row>
    <row r="51" spans="1:22" s="2932" customFormat="1" ht="15.05" customHeight="1">
      <c r="A51" s="2925" t="s">
        <v>443</v>
      </c>
      <c r="B51" s="2925" t="s">
        <v>58</v>
      </c>
      <c r="C51" s="2925" t="s">
        <v>460</v>
      </c>
      <c r="D51" s="2925" t="s">
        <v>437</v>
      </c>
      <c r="E51" s="2925" t="s">
        <v>440</v>
      </c>
      <c r="F51" s="2926" t="s">
        <v>489</v>
      </c>
      <c r="G51" s="2927"/>
      <c r="H51" s="2928"/>
      <c r="I51" s="2934"/>
      <c r="J51" s="3168">
        <v>19250000</v>
      </c>
      <c r="K51" s="3168">
        <v>0</v>
      </c>
      <c r="L51" s="3169">
        <v>19250000</v>
      </c>
      <c r="M51" s="3170">
        <v>0</v>
      </c>
      <c r="N51" s="3169">
        <v>0</v>
      </c>
      <c r="O51" s="3169">
        <v>0</v>
      </c>
      <c r="P51" s="3169">
        <f>P52</f>
        <v>0</v>
      </c>
      <c r="Q51" s="3169">
        <f>+P51-L51</f>
        <v>-19250000</v>
      </c>
      <c r="R51" s="3611">
        <f>+P51/L51*100-100</f>
        <v>-100</v>
      </c>
      <c r="S51" s="3708"/>
      <c r="T51" s="3827"/>
      <c r="U51" s="3776"/>
      <c r="V51" s="2931">
        <f t="shared" si="9"/>
        <v>0</v>
      </c>
    </row>
    <row r="52" spans="1:22" s="257" customFormat="1" ht="15.05" customHeight="1">
      <c r="A52" s="1855"/>
      <c r="B52" s="1855"/>
      <c r="C52" s="1855"/>
      <c r="D52" s="1855"/>
      <c r="E52" s="1855"/>
      <c r="F52" s="2756" t="s">
        <v>50</v>
      </c>
      <c r="G52" s="1858" t="s">
        <v>490</v>
      </c>
      <c r="H52" s="200"/>
      <c r="I52" s="217"/>
      <c r="J52" s="3171">
        <v>19250000</v>
      </c>
      <c r="K52" s="3171">
        <v>0</v>
      </c>
      <c r="L52" s="3125">
        <v>19250000</v>
      </c>
      <c r="M52" s="3124">
        <v>0</v>
      </c>
      <c r="N52" s="3125">
        <v>0</v>
      </c>
      <c r="O52" s="3125">
        <v>0</v>
      </c>
      <c r="P52" s="3125">
        <v>0</v>
      </c>
      <c r="Q52" s="3125">
        <f>+P52-L52</f>
        <v>-19250000</v>
      </c>
      <c r="R52" s="3605">
        <f>+P52/L52*100-100</f>
        <v>-100</v>
      </c>
      <c r="S52" s="3275"/>
      <c r="T52" s="3826"/>
      <c r="U52" s="3771"/>
      <c r="V52" s="1846">
        <f t="shared" si="9"/>
        <v>0</v>
      </c>
    </row>
    <row r="53" spans="1:22" s="2932" customFormat="1" ht="15.05" customHeight="1">
      <c r="A53" s="2925">
        <v>4</v>
      </c>
      <c r="B53" s="2925">
        <v>1</v>
      </c>
      <c r="C53" s="2925">
        <v>2</v>
      </c>
      <c r="D53" s="2925" t="s">
        <v>437</v>
      </c>
      <c r="E53" s="2935" t="s">
        <v>451</v>
      </c>
      <c r="F53" s="2926" t="s">
        <v>1180</v>
      </c>
      <c r="G53" s="2927"/>
      <c r="H53" s="2928"/>
      <c r="I53" s="2929"/>
      <c r="J53" s="3172"/>
      <c r="K53" s="3172">
        <v>0</v>
      </c>
      <c r="L53" s="3169">
        <v>0</v>
      </c>
      <c r="M53" s="3170">
        <v>0</v>
      </c>
      <c r="N53" s="3169">
        <v>0</v>
      </c>
      <c r="O53" s="3169">
        <v>0</v>
      </c>
      <c r="P53" s="3169">
        <f>O53-L53</f>
        <v>0</v>
      </c>
      <c r="Q53" s="3169">
        <f>+P53-L53</f>
        <v>0</v>
      </c>
      <c r="R53" s="3611" t="e">
        <f>+P53/L53*100-100</f>
        <v>#DIV/0!</v>
      </c>
      <c r="S53" s="3708"/>
      <c r="T53" s="3827"/>
      <c r="U53" s="3776"/>
      <c r="V53" s="2931">
        <f t="shared" si="9"/>
        <v>0</v>
      </c>
    </row>
    <row r="54" spans="1:22" s="257" customFormat="1" ht="15.05" customHeight="1">
      <c r="A54" s="1886"/>
      <c r="B54" s="1886"/>
      <c r="C54" s="1886"/>
      <c r="D54" s="1886"/>
      <c r="E54" s="1886"/>
      <c r="F54" s="1887"/>
      <c r="G54" s="1888"/>
      <c r="H54" s="856"/>
      <c r="I54" s="1894"/>
      <c r="J54" s="3173"/>
      <c r="K54" s="3173">
        <f>K56-3676781427</f>
        <v>0</v>
      </c>
      <c r="L54" s="3174"/>
      <c r="M54" s="3175"/>
      <c r="N54" s="3174"/>
      <c r="O54" s="3174"/>
      <c r="P54" s="3174"/>
      <c r="Q54" s="3174"/>
      <c r="R54" s="3612"/>
      <c r="S54" s="3709"/>
      <c r="T54" s="3828"/>
      <c r="U54" s="3771"/>
      <c r="V54" s="1846">
        <f t="shared" si="9"/>
        <v>0</v>
      </c>
    </row>
    <row r="55" spans="1:22" s="2947" customFormat="1" ht="15.05" customHeight="1">
      <c r="A55" s="3053">
        <v>4</v>
      </c>
      <c r="B55" s="3054">
        <v>1</v>
      </c>
      <c r="C55" s="3054">
        <v>2</v>
      </c>
      <c r="D55" s="3054" t="s">
        <v>438</v>
      </c>
      <c r="E55" s="3055"/>
      <c r="F55" s="3056" t="s">
        <v>374</v>
      </c>
      <c r="G55" s="3057"/>
      <c r="H55" s="3058"/>
      <c r="I55" s="3059"/>
      <c r="J55" s="3177">
        <f>J56+J136+J155+J161</f>
        <v>9182718500</v>
      </c>
      <c r="K55" s="3177">
        <f t="shared" ref="K55:P55" si="10">K56+K136+K155+K161</f>
        <v>8816358857</v>
      </c>
      <c r="L55" s="3177">
        <f t="shared" si="10"/>
        <v>9291218500</v>
      </c>
      <c r="M55" s="3177">
        <f t="shared" si="10"/>
        <v>773060576</v>
      </c>
      <c r="N55" s="3177">
        <f t="shared" si="10"/>
        <v>386105000</v>
      </c>
      <c r="O55" s="3177">
        <f t="shared" si="10"/>
        <v>1256530576</v>
      </c>
      <c r="P55" s="3177">
        <f t="shared" si="10"/>
        <v>9081164000</v>
      </c>
      <c r="Q55" s="3178">
        <f>+P55-L55</f>
        <v>-210054500</v>
      </c>
      <c r="R55" s="3613">
        <f t="shared" ref="R55:R67" si="11">+P55/L55*100-100</f>
        <v>-2.2607852780558346</v>
      </c>
      <c r="S55" s="3700"/>
      <c r="T55" s="3818"/>
      <c r="U55" s="3773"/>
      <c r="V55" s="2944">
        <f t="shared" si="9"/>
        <v>5026122304</v>
      </c>
    </row>
    <row r="56" spans="1:22" s="2932" customFormat="1" ht="15.05" customHeight="1">
      <c r="A56" s="3047">
        <v>4</v>
      </c>
      <c r="B56" s="3047">
        <v>1</v>
      </c>
      <c r="C56" s="3047">
        <v>2</v>
      </c>
      <c r="D56" s="3047" t="s">
        <v>438</v>
      </c>
      <c r="E56" s="3047" t="s">
        <v>437</v>
      </c>
      <c r="F56" s="3048" t="s">
        <v>64</v>
      </c>
      <c r="G56" s="3049"/>
      <c r="H56" s="3050"/>
      <c r="I56" s="3052"/>
      <c r="J56" s="3181">
        <f>J57+J61+J64+J66+J72+J75+J92+J109+J112+J117+J127+J130</f>
        <v>4557206500</v>
      </c>
      <c r="K56" s="3181">
        <f>K57+K61+K64+K66+K72+K75+K92+K109+K112+K117+K127+K130+K134</f>
        <v>3676781427</v>
      </c>
      <c r="L56" s="3181">
        <f t="shared" ref="L56:Q56" si="12">L57+L61+L64+L66+L72+L75+L92+L109+L112+L117+L127+L130</f>
        <v>4630706500</v>
      </c>
      <c r="M56" s="3181">
        <f t="shared" si="12"/>
        <v>285659026</v>
      </c>
      <c r="N56" s="3181">
        <f t="shared" si="12"/>
        <v>91100500</v>
      </c>
      <c r="O56" s="3181">
        <f t="shared" si="12"/>
        <v>376759526</v>
      </c>
      <c r="P56" s="3181">
        <f t="shared" si="12"/>
        <v>3804881500</v>
      </c>
      <c r="Q56" s="3163">
        <f t="shared" si="12"/>
        <v>-825825000</v>
      </c>
      <c r="R56" s="3610">
        <f t="shared" si="11"/>
        <v>-17.83367181660077</v>
      </c>
      <c r="S56" s="3707"/>
      <c r="T56" s="3825"/>
      <c r="U56" s="3776"/>
      <c r="V56" s="2931">
        <f t="shared" si="9"/>
        <v>1507038104</v>
      </c>
    </row>
    <row r="57" spans="1:22" s="1833" customFormat="1" ht="15.05" customHeight="1">
      <c r="A57" s="1854"/>
      <c r="B57" s="1854"/>
      <c r="C57" s="1854"/>
      <c r="D57" s="1854"/>
      <c r="E57" s="1854"/>
      <c r="F57" s="1464" t="s">
        <v>62</v>
      </c>
      <c r="G57" s="1860"/>
      <c r="H57" s="202"/>
      <c r="I57" s="218"/>
      <c r="J57" s="3123">
        <f>SUM(J58:J60)</f>
        <v>89895000</v>
      </c>
      <c r="K57" s="3123">
        <f t="shared" ref="K57:P57" si="13">SUM(K58:K60)</f>
        <v>78988830</v>
      </c>
      <c r="L57" s="3123">
        <f t="shared" si="13"/>
        <v>98395000</v>
      </c>
      <c r="M57" s="3123">
        <f t="shared" si="13"/>
        <v>4949500</v>
      </c>
      <c r="N57" s="3123">
        <f t="shared" si="13"/>
        <v>4782000</v>
      </c>
      <c r="O57" s="3123">
        <f t="shared" si="13"/>
        <v>9731500</v>
      </c>
      <c r="P57" s="3123">
        <f t="shared" si="13"/>
        <v>65000000</v>
      </c>
      <c r="Q57" s="3182">
        <f t="shared" ref="Q57:Q104" si="14">+P57-L57</f>
        <v>-33395000</v>
      </c>
      <c r="R57" s="3601">
        <f t="shared" si="11"/>
        <v>-33.939732709995425</v>
      </c>
      <c r="S57" s="3710"/>
      <c r="T57" s="3829"/>
      <c r="U57" s="3777"/>
      <c r="V57" s="1882">
        <f t="shared" si="9"/>
        <v>38926000</v>
      </c>
    </row>
    <row r="58" spans="1:22" s="1832" customFormat="1" ht="15.05" customHeight="1">
      <c r="A58" s="1854"/>
      <c r="B58" s="1854"/>
      <c r="C58" s="1854"/>
      <c r="D58" s="1854"/>
      <c r="E58" s="1854"/>
      <c r="F58" s="1857" t="s">
        <v>50</v>
      </c>
      <c r="G58" s="1858"/>
      <c r="H58" s="200" t="str">
        <f>MAR!I13</f>
        <v>Aula BPKBM</v>
      </c>
      <c r="I58" s="217"/>
      <c r="J58" s="3171">
        <v>33395000</v>
      </c>
      <c r="K58" s="3171">
        <v>36456830</v>
      </c>
      <c r="L58" s="3125">
        <v>33395000</v>
      </c>
      <c r="M58" s="3124">
        <v>0</v>
      </c>
      <c r="N58" s="3125">
        <v>750000</v>
      </c>
      <c r="O58" s="3125">
        <v>750000</v>
      </c>
      <c r="P58" s="3125">
        <v>0</v>
      </c>
      <c r="Q58" s="3125">
        <f t="shared" si="14"/>
        <v>-33395000</v>
      </c>
      <c r="R58" s="3605">
        <f t="shared" si="11"/>
        <v>-100</v>
      </c>
      <c r="S58" s="3275"/>
      <c r="T58" s="3826"/>
      <c r="U58" s="3771"/>
      <c r="V58" s="1882">
        <f t="shared" si="9"/>
        <v>3000000</v>
      </c>
    </row>
    <row r="59" spans="1:22" s="1832" customFormat="1" ht="15.05" customHeight="1">
      <c r="A59" s="1854"/>
      <c r="B59" s="1854"/>
      <c r="C59" s="1854"/>
      <c r="D59" s="1854"/>
      <c r="E59" s="1854"/>
      <c r="F59" s="1857" t="s">
        <v>50</v>
      </c>
      <c r="G59" s="1858"/>
      <c r="H59" s="200" t="str">
        <f>MAR!I14</f>
        <v>Aula Taman Budaya (Eks Dinas Pariwisata)</v>
      </c>
      <c r="I59" s="217"/>
      <c r="J59" s="3171">
        <v>16500000</v>
      </c>
      <c r="K59" s="3171">
        <v>2500000</v>
      </c>
      <c r="L59" s="3125">
        <v>25000000</v>
      </c>
      <c r="M59" s="3124">
        <v>0</v>
      </c>
      <c r="N59" s="3125">
        <v>2000000</v>
      </c>
      <c r="O59" s="3125">
        <v>2000000</v>
      </c>
      <c r="P59" s="3125">
        <v>25000000</v>
      </c>
      <c r="Q59" s="3125">
        <f t="shared" si="14"/>
        <v>0</v>
      </c>
      <c r="R59" s="3605">
        <f t="shared" si="11"/>
        <v>0</v>
      </c>
      <c r="S59" s="3275"/>
      <c r="T59" s="3826"/>
      <c r="U59" s="3771"/>
      <c r="V59" s="1882">
        <f t="shared" si="9"/>
        <v>8000000</v>
      </c>
    </row>
    <row r="60" spans="1:22" s="1832" customFormat="1" ht="15.05" customHeight="1">
      <c r="A60" s="1854"/>
      <c r="B60" s="1854"/>
      <c r="C60" s="1854"/>
      <c r="D60" s="1854"/>
      <c r="E60" s="1854"/>
      <c r="F60" s="1857" t="s">
        <v>50</v>
      </c>
      <c r="G60" s="1858"/>
      <c r="H60" s="200" t="str">
        <f>MAR!I15</f>
        <v>Museum (Eks Dinas Pariwisata)</v>
      </c>
      <c r="I60" s="217"/>
      <c r="J60" s="3171">
        <v>40000000</v>
      </c>
      <c r="K60" s="3171">
        <v>40032000</v>
      </c>
      <c r="L60" s="3125">
        <v>40000000</v>
      </c>
      <c r="M60" s="3124">
        <v>4949500</v>
      </c>
      <c r="N60" s="3125">
        <v>2032000</v>
      </c>
      <c r="O60" s="3125">
        <v>6981500</v>
      </c>
      <c r="P60" s="3125">
        <v>40000000</v>
      </c>
      <c r="Q60" s="3125">
        <f t="shared" si="14"/>
        <v>0</v>
      </c>
      <c r="R60" s="3605">
        <f t="shared" si="11"/>
        <v>0</v>
      </c>
      <c r="S60" s="3275"/>
      <c r="T60" s="3826"/>
      <c r="U60" s="3771"/>
      <c r="V60" s="1882">
        <f t="shared" si="9"/>
        <v>27926000</v>
      </c>
    </row>
    <row r="61" spans="1:22" s="1318" customFormat="1" ht="15.05" customHeight="1">
      <c r="A61" s="1854"/>
      <c r="B61" s="1854"/>
      <c r="C61" s="1854"/>
      <c r="D61" s="1854"/>
      <c r="E61" s="1854"/>
      <c r="F61" s="1464" t="s">
        <v>491</v>
      </c>
      <c r="G61" s="1860"/>
      <c r="H61" s="202"/>
      <c r="I61" s="2824"/>
      <c r="J61" s="3185">
        <f>SUM(J62:J63)</f>
        <v>466750000</v>
      </c>
      <c r="K61" s="3185">
        <f t="shared" ref="K61:P61" si="15">SUM(K62:K63)</f>
        <v>411360000</v>
      </c>
      <c r="L61" s="3185">
        <f t="shared" si="15"/>
        <v>466750000</v>
      </c>
      <c r="M61" s="3185">
        <f t="shared" si="15"/>
        <v>22406900</v>
      </c>
      <c r="N61" s="3185">
        <f t="shared" si="15"/>
        <v>26657500</v>
      </c>
      <c r="O61" s="3185">
        <f t="shared" si="15"/>
        <v>49064400</v>
      </c>
      <c r="P61" s="3185">
        <f t="shared" si="15"/>
        <v>466750000</v>
      </c>
      <c r="Q61" s="3182">
        <f t="shared" si="14"/>
        <v>0</v>
      </c>
      <c r="R61" s="3601">
        <f t="shared" si="11"/>
        <v>0</v>
      </c>
      <c r="S61" s="3710"/>
      <c r="T61" s="3829"/>
      <c r="U61" s="3777"/>
      <c r="V61" s="1846">
        <f t="shared" si="9"/>
        <v>196257600</v>
      </c>
    </row>
    <row r="62" spans="1:22" s="257" customFormat="1" ht="15.05" customHeight="1">
      <c r="A62" s="1855"/>
      <c r="B62" s="1855"/>
      <c r="C62" s="1855"/>
      <c r="D62" s="1855"/>
      <c r="E62" s="1855"/>
      <c r="F62" s="1857" t="s">
        <v>50</v>
      </c>
      <c r="G62" s="1858"/>
      <c r="H62" s="200" t="s">
        <v>492</v>
      </c>
      <c r="I62" s="2823"/>
      <c r="J62" s="3186">
        <v>216750000</v>
      </c>
      <c r="K62" s="3186">
        <v>82166000</v>
      </c>
      <c r="L62" s="3125">
        <v>216750000</v>
      </c>
      <c r="M62" s="3124">
        <v>1400000</v>
      </c>
      <c r="N62" s="3125">
        <v>0</v>
      </c>
      <c r="O62" s="3125">
        <v>1400000</v>
      </c>
      <c r="P62" s="3125">
        <v>216750000</v>
      </c>
      <c r="Q62" s="3125">
        <f t="shared" si="14"/>
        <v>0</v>
      </c>
      <c r="R62" s="3605">
        <f t="shared" si="11"/>
        <v>0</v>
      </c>
      <c r="S62" s="3275"/>
      <c r="T62" s="3826"/>
      <c r="U62" s="3771"/>
      <c r="V62" s="1846">
        <f t="shared" si="9"/>
        <v>5600000</v>
      </c>
    </row>
    <row r="63" spans="1:22" s="257" customFormat="1" ht="15.05" customHeight="1">
      <c r="A63" s="1855"/>
      <c r="B63" s="1855"/>
      <c r="C63" s="1855"/>
      <c r="D63" s="1855"/>
      <c r="E63" s="1855"/>
      <c r="F63" s="1857" t="s">
        <v>50</v>
      </c>
      <c r="G63" s="1858"/>
      <c r="H63" s="200" t="s">
        <v>493</v>
      </c>
      <c r="I63" s="2823"/>
      <c r="J63" s="3186">
        <v>250000000</v>
      </c>
      <c r="K63" s="3186">
        <v>329194000</v>
      </c>
      <c r="L63" s="3125">
        <v>250000000</v>
      </c>
      <c r="M63" s="3124">
        <v>21006900</v>
      </c>
      <c r="N63" s="3125">
        <v>26657500</v>
      </c>
      <c r="O63" s="3125">
        <v>47664400</v>
      </c>
      <c r="P63" s="3125">
        <v>250000000</v>
      </c>
      <c r="Q63" s="3125">
        <f t="shared" si="14"/>
        <v>0</v>
      </c>
      <c r="R63" s="3605">
        <f t="shared" si="11"/>
        <v>0</v>
      </c>
      <c r="S63" s="3275"/>
      <c r="T63" s="3826"/>
      <c r="U63" s="3771"/>
      <c r="V63" s="1846">
        <f t="shared" si="9"/>
        <v>190657600</v>
      </c>
    </row>
    <row r="64" spans="1:22" s="1318" customFormat="1" ht="15.05" customHeight="1">
      <c r="A64" s="1854"/>
      <c r="B64" s="1854"/>
      <c r="C64" s="1854"/>
      <c r="D64" s="1854"/>
      <c r="E64" s="1854"/>
      <c r="F64" s="1464" t="s">
        <v>494</v>
      </c>
      <c r="G64" s="1860"/>
      <c r="H64" s="202"/>
      <c r="I64" s="2824"/>
      <c r="J64" s="3185">
        <v>2000000</v>
      </c>
      <c r="K64" s="3185">
        <v>0</v>
      </c>
      <c r="L64" s="3182">
        <v>2000000</v>
      </c>
      <c r="M64" s="3183">
        <v>0</v>
      </c>
      <c r="N64" s="3182">
        <v>200000</v>
      </c>
      <c r="O64" s="3182">
        <v>200000</v>
      </c>
      <c r="P64" s="3182">
        <v>2000000</v>
      </c>
      <c r="Q64" s="3182">
        <f t="shared" si="14"/>
        <v>0</v>
      </c>
      <c r="R64" s="3601">
        <f t="shared" si="11"/>
        <v>0</v>
      </c>
      <c r="S64" s="3710"/>
      <c r="T64" s="3829"/>
      <c r="U64" s="3777"/>
      <c r="V64" s="1846">
        <f t="shared" si="9"/>
        <v>800000</v>
      </c>
    </row>
    <row r="65" spans="1:22" s="257" customFormat="1" ht="15.05" customHeight="1">
      <c r="A65" s="1855"/>
      <c r="B65" s="1855"/>
      <c r="C65" s="1855"/>
      <c r="D65" s="1855"/>
      <c r="E65" s="1855"/>
      <c r="F65" s="1857" t="s">
        <v>50</v>
      </c>
      <c r="G65" s="1858"/>
      <c r="H65" s="200" t="s">
        <v>495</v>
      </c>
      <c r="I65" s="217"/>
      <c r="J65" s="3171">
        <v>2000000</v>
      </c>
      <c r="K65" s="3171">
        <v>0</v>
      </c>
      <c r="L65" s="3125">
        <v>2000000</v>
      </c>
      <c r="M65" s="3124">
        <v>0</v>
      </c>
      <c r="N65" s="3125">
        <v>200000</v>
      </c>
      <c r="O65" s="3125">
        <v>200000</v>
      </c>
      <c r="P65" s="3125">
        <v>2000000</v>
      </c>
      <c r="Q65" s="3125">
        <f t="shared" si="14"/>
        <v>0</v>
      </c>
      <c r="R65" s="3605">
        <f t="shared" si="11"/>
        <v>0</v>
      </c>
      <c r="S65" s="3275"/>
      <c r="T65" s="3826"/>
      <c r="U65" s="3771"/>
      <c r="V65" s="1846">
        <f t="shared" si="9"/>
        <v>800000</v>
      </c>
    </row>
    <row r="66" spans="1:22" s="1318" customFormat="1" ht="15.05" customHeight="1">
      <c r="A66" s="1854"/>
      <c r="B66" s="1854"/>
      <c r="C66" s="1854"/>
      <c r="D66" s="1854"/>
      <c r="E66" s="1854"/>
      <c r="F66" s="1464" t="s">
        <v>496</v>
      </c>
      <c r="G66" s="1860"/>
      <c r="H66" s="202"/>
      <c r="I66" s="218"/>
      <c r="J66" s="3123">
        <v>152500000</v>
      </c>
      <c r="K66" s="3123">
        <v>41900000</v>
      </c>
      <c r="L66" s="3182">
        <v>152500000</v>
      </c>
      <c r="M66" s="3183">
        <v>2850000</v>
      </c>
      <c r="N66" s="3182">
        <v>6950000</v>
      </c>
      <c r="O66" s="3182">
        <v>9800000</v>
      </c>
      <c r="P66" s="3182">
        <f>SUM(P67)</f>
        <v>50000000</v>
      </c>
      <c r="Q66" s="3182">
        <f t="shared" si="14"/>
        <v>-102500000</v>
      </c>
      <c r="R66" s="3601">
        <f t="shared" si="11"/>
        <v>-67.21311475409837</v>
      </c>
      <c r="S66" s="3710"/>
      <c r="T66" s="3829"/>
      <c r="U66" s="3777"/>
      <c r="V66" s="1846">
        <f t="shared" si="9"/>
        <v>39200000</v>
      </c>
    </row>
    <row r="67" spans="1:22" s="257" customFormat="1" ht="15.05" customHeight="1">
      <c r="A67" s="1855"/>
      <c r="B67" s="1855"/>
      <c r="C67" s="1855"/>
      <c r="D67" s="1855"/>
      <c r="E67" s="1855"/>
      <c r="F67" s="1857" t="s">
        <v>50</v>
      </c>
      <c r="G67" s="1858"/>
      <c r="H67" s="200" t="s">
        <v>143</v>
      </c>
      <c r="I67" s="217"/>
      <c r="J67" s="3171">
        <v>152500000</v>
      </c>
      <c r="K67" s="3171">
        <v>41900000</v>
      </c>
      <c r="L67" s="3125">
        <v>152500000</v>
      </c>
      <c r="M67" s="3124">
        <v>2850000</v>
      </c>
      <c r="N67" s="3125">
        <v>6950000</v>
      </c>
      <c r="O67" s="3125">
        <v>9800000</v>
      </c>
      <c r="P67" s="3125">
        <v>50000000</v>
      </c>
      <c r="Q67" s="3125">
        <f t="shared" si="14"/>
        <v>-102500000</v>
      </c>
      <c r="R67" s="3605">
        <f t="shared" si="11"/>
        <v>-67.21311475409837</v>
      </c>
      <c r="S67" s="3275"/>
      <c r="T67" s="3826"/>
      <c r="U67" s="3771"/>
      <c r="V67" s="1846">
        <f t="shared" si="9"/>
        <v>39200000</v>
      </c>
    </row>
    <row r="68" spans="1:22" s="1318" customFormat="1" ht="15.05" hidden="1" customHeight="1">
      <c r="A68" s="1854"/>
      <c r="B68" s="1854"/>
      <c r="C68" s="1854"/>
      <c r="D68" s="1854"/>
      <c r="E68" s="1854"/>
      <c r="F68" s="1464" t="s">
        <v>497</v>
      </c>
      <c r="G68" s="1860"/>
      <c r="H68" s="202"/>
      <c r="I68" s="218"/>
      <c r="J68" s="3123">
        <v>56500000</v>
      </c>
      <c r="K68" s="3123">
        <v>42532000</v>
      </c>
      <c r="L68" s="3182">
        <v>0</v>
      </c>
      <c r="M68" s="3183">
        <v>0</v>
      </c>
      <c r="N68" s="3182">
        <v>0</v>
      </c>
      <c r="O68" s="3182">
        <v>0</v>
      </c>
      <c r="P68" s="3182">
        <v>0</v>
      </c>
      <c r="Q68" s="3182">
        <f t="shared" si="14"/>
        <v>0</v>
      </c>
      <c r="R68" s="3601">
        <v>0</v>
      </c>
      <c r="S68" s="3710"/>
      <c r="T68" s="3829"/>
      <c r="U68" s="3777"/>
      <c r="V68" s="1846">
        <f t="shared" si="9"/>
        <v>0</v>
      </c>
    </row>
    <row r="69" spans="1:22" s="257" customFormat="1" ht="15.05" hidden="1" customHeight="1">
      <c r="A69" s="1855"/>
      <c r="B69" s="1855"/>
      <c r="C69" s="1855"/>
      <c r="D69" s="1855"/>
      <c r="E69" s="1855"/>
      <c r="F69" s="2756" t="s">
        <v>50</v>
      </c>
      <c r="G69" s="1858" t="s">
        <v>498</v>
      </c>
      <c r="H69" s="200"/>
      <c r="I69" s="217"/>
      <c r="J69" s="3171">
        <v>16500000</v>
      </c>
      <c r="K69" s="3171">
        <v>2500000</v>
      </c>
      <c r="L69" s="3125">
        <v>0</v>
      </c>
      <c r="M69" s="3124">
        <v>0</v>
      </c>
      <c r="N69" s="3125">
        <v>0</v>
      </c>
      <c r="O69" s="3125">
        <v>0</v>
      </c>
      <c r="P69" s="3125">
        <v>0</v>
      </c>
      <c r="Q69" s="3125">
        <f t="shared" si="14"/>
        <v>0</v>
      </c>
      <c r="R69" s="3605">
        <v>0</v>
      </c>
      <c r="S69" s="3275"/>
      <c r="T69" s="3826"/>
      <c r="U69" s="3771"/>
      <c r="V69" s="1846">
        <f t="shared" si="9"/>
        <v>0</v>
      </c>
    </row>
    <row r="70" spans="1:22" s="257" customFormat="1" ht="15.05" hidden="1" customHeight="1">
      <c r="A70" s="1855"/>
      <c r="B70" s="1855"/>
      <c r="C70" s="1855"/>
      <c r="D70" s="1855"/>
      <c r="E70" s="1855"/>
      <c r="F70" s="2756" t="s">
        <v>50</v>
      </c>
      <c r="G70" s="1858" t="s">
        <v>499</v>
      </c>
      <c r="H70" s="200"/>
      <c r="I70" s="217"/>
      <c r="J70" s="3171">
        <v>40000000</v>
      </c>
      <c r="K70" s="3171">
        <v>40032000</v>
      </c>
      <c r="L70" s="3125">
        <v>0</v>
      </c>
      <c r="M70" s="3124">
        <v>0</v>
      </c>
      <c r="N70" s="3125">
        <v>0</v>
      </c>
      <c r="O70" s="3125">
        <v>0</v>
      </c>
      <c r="P70" s="3125">
        <v>0</v>
      </c>
      <c r="Q70" s="3125">
        <f t="shared" si="14"/>
        <v>0</v>
      </c>
      <c r="R70" s="3605">
        <v>0</v>
      </c>
      <c r="S70" s="3748"/>
      <c r="T70" s="3826"/>
      <c r="U70" s="3778">
        <f>PerDinas!Q372</f>
        <v>0</v>
      </c>
      <c r="V70" s="1846">
        <f t="shared" si="9"/>
        <v>0</v>
      </c>
    </row>
    <row r="71" spans="1:22" s="257" customFormat="1" ht="15.05" hidden="1" customHeight="1">
      <c r="A71" s="1855"/>
      <c r="B71" s="1855"/>
      <c r="C71" s="1855"/>
      <c r="D71" s="1855"/>
      <c r="E71" s="1855"/>
      <c r="F71" s="2756" t="s">
        <v>50</v>
      </c>
      <c r="G71" s="1858" t="s">
        <v>500</v>
      </c>
      <c r="H71" s="200"/>
      <c r="I71" s="217"/>
      <c r="J71" s="3171">
        <v>0</v>
      </c>
      <c r="K71" s="3171">
        <v>0</v>
      </c>
      <c r="L71" s="3125">
        <v>0</v>
      </c>
      <c r="M71" s="3124">
        <v>0</v>
      </c>
      <c r="N71" s="3125">
        <v>0</v>
      </c>
      <c r="O71" s="3125">
        <v>0</v>
      </c>
      <c r="P71" s="3125">
        <v>0</v>
      </c>
      <c r="Q71" s="3125">
        <f t="shared" si="14"/>
        <v>0</v>
      </c>
      <c r="R71" s="3605">
        <v>0</v>
      </c>
      <c r="S71" s="3275"/>
      <c r="T71" s="3826"/>
      <c r="U71" s="3778">
        <v>0</v>
      </c>
      <c r="V71" s="1846">
        <f t="shared" si="9"/>
        <v>0</v>
      </c>
    </row>
    <row r="72" spans="1:22" s="257" customFormat="1" ht="15.05" customHeight="1">
      <c r="A72" s="1855"/>
      <c r="B72" s="1855"/>
      <c r="C72" s="1855"/>
      <c r="D72" s="1855"/>
      <c r="E72" s="1855"/>
      <c r="F72" s="1901" t="s">
        <v>326</v>
      </c>
      <c r="G72" s="1858"/>
      <c r="H72" s="200"/>
      <c r="I72" s="217"/>
      <c r="J72" s="3256">
        <f>SUM(J73:J74)</f>
        <v>100000000</v>
      </c>
      <c r="K72" s="3256">
        <f t="shared" ref="K72:P72" si="16">SUM(K73:K74)</f>
        <v>271265000</v>
      </c>
      <c r="L72" s="3256">
        <f t="shared" si="16"/>
        <v>150000000</v>
      </c>
      <c r="M72" s="3256">
        <f t="shared" si="16"/>
        <v>26950000</v>
      </c>
      <c r="N72" s="3256">
        <f t="shared" si="16"/>
        <v>10625000</v>
      </c>
      <c r="O72" s="3256">
        <f t="shared" si="16"/>
        <v>37575000</v>
      </c>
      <c r="P72" s="3256">
        <f t="shared" si="16"/>
        <v>150000000</v>
      </c>
      <c r="Q72" s="3182">
        <f t="shared" si="14"/>
        <v>0</v>
      </c>
      <c r="R72" s="3601">
        <f t="shared" ref="R72:R78" si="17">+P72/L72*100-100</f>
        <v>0</v>
      </c>
      <c r="S72" s="3710"/>
      <c r="T72" s="3829"/>
      <c r="U72" s="3771"/>
      <c r="V72" s="1846">
        <f t="shared" si="9"/>
        <v>150300000</v>
      </c>
    </row>
    <row r="73" spans="1:22" s="257" customFormat="1" ht="15.05" customHeight="1">
      <c r="A73" s="1855"/>
      <c r="B73" s="1855"/>
      <c r="C73" s="1855"/>
      <c r="D73" s="1855"/>
      <c r="E73" s="1855"/>
      <c r="F73" s="2756" t="s">
        <v>50</v>
      </c>
      <c r="G73" s="1858" t="s">
        <v>501</v>
      </c>
      <c r="H73" s="200"/>
      <c r="I73" s="217"/>
      <c r="J73" s="3171">
        <v>100000000</v>
      </c>
      <c r="K73" s="3171">
        <v>271265000</v>
      </c>
      <c r="L73" s="3125">
        <v>100000000</v>
      </c>
      <c r="M73" s="3124">
        <v>26950000</v>
      </c>
      <c r="N73" s="3125">
        <v>10625000</v>
      </c>
      <c r="O73" s="3125">
        <v>37575000</v>
      </c>
      <c r="P73" s="3125">
        <v>100000000</v>
      </c>
      <c r="Q73" s="3125">
        <f t="shared" si="14"/>
        <v>0</v>
      </c>
      <c r="R73" s="3605">
        <f t="shared" si="17"/>
        <v>0</v>
      </c>
      <c r="S73" s="3748"/>
      <c r="T73" s="3826"/>
      <c r="U73" s="3778">
        <f>MAR!P586</f>
        <v>0</v>
      </c>
      <c r="V73" s="1846">
        <f t="shared" si="9"/>
        <v>150300000</v>
      </c>
    </row>
    <row r="74" spans="1:22" s="257" customFormat="1" ht="15.05" customHeight="1">
      <c r="A74" s="1855"/>
      <c r="B74" s="1855"/>
      <c r="C74" s="1855"/>
      <c r="D74" s="1855"/>
      <c r="E74" s="1855"/>
      <c r="F74" s="2756" t="s">
        <v>50</v>
      </c>
      <c r="G74" s="1858" t="s">
        <v>502</v>
      </c>
      <c r="H74" s="200"/>
      <c r="I74" s="217"/>
      <c r="J74" s="3171">
        <v>0</v>
      </c>
      <c r="K74" s="3171">
        <v>0</v>
      </c>
      <c r="L74" s="3125">
        <v>50000000</v>
      </c>
      <c r="M74" s="3124">
        <v>0</v>
      </c>
      <c r="N74" s="3125">
        <v>0</v>
      </c>
      <c r="O74" s="3125">
        <v>0</v>
      </c>
      <c r="P74" s="3125">
        <v>50000000</v>
      </c>
      <c r="Q74" s="3125">
        <f t="shared" si="14"/>
        <v>0</v>
      </c>
      <c r="R74" s="3605">
        <f t="shared" si="17"/>
        <v>0</v>
      </c>
      <c r="S74" s="3275"/>
      <c r="T74" s="3826"/>
      <c r="U74" s="3778"/>
      <c r="V74" s="1846">
        <f t="shared" si="9"/>
        <v>0</v>
      </c>
    </row>
    <row r="75" spans="1:22" s="257" customFormat="1" ht="15.05" customHeight="1">
      <c r="A75" s="1855"/>
      <c r="B75" s="1855"/>
      <c r="C75" s="1855"/>
      <c r="D75" s="1855"/>
      <c r="E75" s="1855"/>
      <c r="F75" s="1464" t="s">
        <v>157</v>
      </c>
      <c r="G75" s="1860"/>
      <c r="H75" s="202"/>
      <c r="I75" s="218"/>
      <c r="J75" s="3123">
        <f>SUM(J76:J78)</f>
        <v>131250000</v>
      </c>
      <c r="K75" s="3123">
        <f t="shared" ref="K75:P75" si="18">SUM(K76:K78)</f>
        <v>45175000</v>
      </c>
      <c r="L75" s="3123">
        <f t="shared" si="18"/>
        <v>131250000</v>
      </c>
      <c r="M75" s="3123">
        <f t="shared" si="18"/>
        <v>2500000</v>
      </c>
      <c r="N75" s="3123">
        <f t="shared" si="18"/>
        <v>5500000</v>
      </c>
      <c r="O75" s="3123">
        <f t="shared" si="18"/>
        <v>8000000</v>
      </c>
      <c r="P75" s="3123">
        <f t="shared" si="18"/>
        <v>131250000</v>
      </c>
      <c r="Q75" s="3182">
        <f t="shared" si="14"/>
        <v>0</v>
      </c>
      <c r="R75" s="3601">
        <f t="shared" si="17"/>
        <v>0</v>
      </c>
      <c r="S75" s="3710"/>
      <c r="T75" s="3829"/>
      <c r="U75" s="3771"/>
      <c r="V75" s="1846">
        <f t="shared" si="9"/>
        <v>32000000</v>
      </c>
    </row>
    <row r="76" spans="1:22" s="257" customFormat="1" ht="15.05" customHeight="1">
      <c r="A76" s="1855"/>
      <c r="B76" s="1855"/>
      <c r="C76" s="1855"/>
      <c r="D76" s="1855"/>
      <c r="E76" s="1855"/>
      <c r="F76" s="1863" t="s">
        <v>50</v>
      </c>
      <c r="G76" s="200"/>
      <c r="H76" s="200" t="s">
        <v>503</v>
      </c>
      <c r="I76" s="217"/>
      <c r="J76" s="3171">
        <v>30000000</v>
      </c>
      <c r="K76" s="3171">
        <v>23400000</v>
      </c>
      <c r="L76" s="3125">
        <v>30000000</v>
      </c>
      <c r="M76" s="3124">
        <v>0</v>
      </c>
      <c r="N76" s="3125">
        <v>0</v>
      </c>
      <c r="O76" s="3125">
        <v>0</v>
      </c>
      <c r="P76" s="3125">
        <v>30000000</v>
      </c>
      <c r="Q76" s="3125">
        <f t="shared" si="14"/>
        <v>0</v>
      </c>
      <c r="R76" s="3605">
        <f t="shared" si="17"/>
        <v>0</v>
      </c>
      <c r="S76" s="3748"/>
      <c r="T76" s="3826"/>
      <c r="U76" s="3778">
        <f>MAR!P286</f>
        <v>0</v>
      </c>
      <c r="V76" s="1846">
        <f t="shared" si="9"/>
        <v>0</v>
      </c>
    </row>
    <row r="77" spans="1:22" s="257" customFormat="1" ht="15.05" customHeight="1">
      <c r="A77" s="1855"/>
      <c r="B77" s="1855"/>
      <c r="C77" s="1855"/>
      <c r="D77" s="1855"/>
      <c r="E77" s="1855"/>
      <c r="F77" s="1863" t="s">
        <v>50</v>
      </c>
      <c r="G77" s="200"/>
      <c r="H77" s="200" t="s">
        <v>504</v>
      </c>
      <c r="I77" s="217"/>
      <c r="J77" s="3171">
        <v>26250000</v>
      </c>
      <c r="K77" s="3171">
        <v>14300000</v>
      </c>
      <c r="L77" s="3125">
        <v>26250000</v>
      </c>
      <c r="M77" s="3124">
        <v>1500000</v>
      </c>
      <c r="N77" s="3125">
        <v>0</v>
      </c>
      <c r="O77" s="3125">
        <v>1500000</v>
      </c>
      <c r="P77" s="3125">
        <v>26250000</v>
      </c>
      <c r="Q77" s="3125">
        <f t="shared" si="14"/>
        <v>0</v>
      </c>
      <c r="R77" s="3605">
        <f t="shared" si="17"/>
        <v>0</v>
      </c>
      <c r="S77" s="3748"/>
      <c r="T77" s="3826"/>
      <c r="U77" s="3778">
        <f>MAR!P287</f>
        <v>0</v>
      </c>
      <c r="V77" s="1846">
        <f t="shared" si="9"/>
        <v>6000000</v>
      </c>
    </row>
    <row r="78" spans="1:22" s="257" customFormat="1" ht="15.05" customHeight="1">
      <c r="A78" s="1855"/>
      <c r="B78" s="1855"/>
      <c r="C78" s="1855"/>
      <c r="D78" s="1855"/>
      <c r="E78" s="1855"/>
      <c r="F78" s="1863" t="s">
        <v>50</v>
      </c>
      <c r="G78" s="200"/>
      <c r="H78" s="200" t="s">
        <v>505</v>
      </c>
      <c r="I78" s="217"/>
      <c r="J78" s="3171">
        <v>75000000</v>
      </c>
      <c r="K78" s="3171">
        <v>7475000</v>
      </c>
      <c r="L78" s="3125">
        <v>75000000</v>
      </c>
      <c r="M78" s="3124">
        <v>1000000</v>
      </c>
      <c r="N78" s="3125">
        <v>5500000</v>
      </c>
      <c r="O78" s="3125">
        <v>6500000</v>
      </c>
      <c r="P78" s="3125">
        <v>75000000</v>
      </c>
      <c r="Q78" s="3125">
        <f t="shared" si="14"/>
        <v>0</v>
      </c>
      <c r="R78" s="3605">
        <f t="shared" si="17"/>
        <v>0</v>
      </c>
      <c r="S78" s="3748"/>
      <c r="T78" s="3826"/>
      <c r="U78" s="3778">
        <f>MAR!P288</f>
        <v>0</v>
      </c>
      <c r="V78" s="1846">
        <f t="shared" si="9"/>
        <v>26000000</v>
      </c>
    </row>
    <row r="79" spans="1:22" s="257" customFormat="1" ht="15.05" hidden="1" customHeight="1">
      <c r="A79" s="1855"/>
      <c r="B79" s="1855"/>
      <c r="C79" s="1855"/>
      <c r="D79" s="1855"/>
      <c r="E79" s="1855"/>
      <c r="F79" s="1863" t="s">
        <v>50</v>
      </c>
      <c r="G79" s="200"/>
      <c r="H79" s="202" t="s">
        <v>182</v>
      </c>
      <c r="I79" s="217"/>
      <c r="J79" s="3171"/>
      <c r="K79" s="3171"/>
      <c r="L79" s="3125">
        <v>0</v>
      </c>
      <c r="M79" s="3124">
        <v>0</v>
      </c>
      <c r="N79" s="3125">
        <v>0</v>
      </c>
      <c r="O79" s="3125">
        <v>0</v>
      </c>
      <c r="P79" s="3125">
        <v>0</v>
      </c>
      <c r="Q79" s="3125">
        <f t="shared" si="14"/>
        <v>0</v>
      </c>
      <c r="R79" s="3605">
        <v>0</v>
      </c>
      <c r="S79" s="3275"/>
      <c r="T79" s="3826"/>
      <c r="U79" s="3771"/>
      <c r="V79" s="1846">
        <f t="shared" si="9"/>
        <v>0</v>
      </c>
    </row>
    <row r="80" spans="1:22" s="257" customFormat="1" ht="15.05" hidden="1" customHeight="1">
      <c r="A80" s="1855"/>
      <c r="B80" s="1855"/>
      <c r="C80" s="1855"/>
      <c r="D80" s="1855"/>
      <c r="E80" s="1855"/>
      <c r="F80" s="1863"/>
      <c r="G80" s="2727" t="s">
        <v>50</v>
      </c>
      <c r="H80" s="200" t="s">
        <v>506</v>
      </c>
      <c r="I80" s="217"/>
      <c r="J80" s="3171"/>
      <c r="K80" s="3171"/>
      <c r="L80" s="3125">
        <v>0</v>
      </c>
      <c r="M80" s="3124">
        <v>0</v>
      </c>
      <c r="N80" s="3125">
        <v>0</v>
      </c>
      <c r="O80" s="3125">
        <v>0</v>
      </c>
      <c r="P80" s="3125">
        <v>0</v>
      </c>
      <c r="Q80" s="3125">
        <f t="shared" si="14"/>
        <v>0</v>
      </c>
      <c r="R80" s="3605">
        <v>0</v>
      </c>
      <c r="S80" s="3275"/>
      <c r="T80" s="3826"/>
      <c r="U80" s="3771"/>
      <c r="V80" s="1846">
        <f t="shared" si="9"/>
        <v>0</v>
      </c>
    </row>
    <row r="81" spans="1:22" s="257" customFormat="1" ht="15.05" hidden="1" customHeight="1">
      <c r="A81" s="1855"/>
      <c r="B81" s="1855"/>
      <c r="C81" s="1855"/>
      <c r="D81" s="1855"/>
      <c r="E81" s="1855"/>
      <c r="F81" s="1863"/>
      <c r="G81" s="2727" t="s">
        <v>50</v>
      </c>
      <c r="H81" s="200" t="s">
        <v>182</v>
      </c>
      <c r="I81" s="217"/>
      <c r="J81" s="3171"/>
      <c r="K81" s="3171"/>
      <c r="L81" s="3125">
        <v>0</v>
      </c>
      <c r="M81" s="3124">
        <v>0</v>
      </c>
      <c r="N81" s="3125">
        <v>0</v>
      </c>
      <c r="O81" s="3125">
        <v>0</v>
      </c>
      <c r="P81" s="3125">
        <v>0</v>
      </c>
      <c r="Q81" s="3125">
        <f t="shared" si="14"/>
        <v>0</v>
      </c>
      <c r="R81" s="3605">
        <v>0</v>
      </c>
      <c r="S81" s="3275"/>
      <c r="T81" s="3826"/>
      <c r="U81" s="3771"/>
      <c r="V81" s="1846">
        <f t="shared" si="9"/>
        <v>0</v>
      </c>
    </row>
    <row r="82" spans="1:22" s="257" customFormat="1" ht="15.05" hidden="1" customHeight="1">
      <c r="A82" s="1855"/>
      <c r="B82" s="1855"/>
      <c r="C82" s="1855"/>
      <c r="D82" s="1855"/>
      <c r="E82" s="1855"/>
      <c r="F82" s="1863"/>
      <c r="G82" s="2727" t="s">
        <v>50</v>
      </c>
      <c r="H82" s="200" t="s">
        <v>185</v>
      </c>
      <c r="I82" s="217"/>
      <c r="J82" s="3171"/>
      <c r="K82" s="3171"/>
      <c r="L82" s="3125">
        <v>0</v>
      </c>
      <c r="M82" s="3124">
        <v>0</v>
      </c>
      <c r="N82" s="3125">
        <v>0</v>
      </c>
      <c r="O82" s="3125">
        <v>0</v>
      </c>
      <c r="P82" s="3125">
        <v>0</v>
      </c>
      <c r="Q82" s="3125">
        <f t="shared" si="14"/>
        <v>0</v>
      </c>
      <c r="R82" s="3605">
        <v>0</v>
      </c>
      <c r="S82" s="3275"/>
      <c r="T82" s="3826"/>
      <c r="U82" s="3771"/>
      <c r="V82" s="1846">
        <f t="shared" si="9"/>
        <v>0</v>
      </c>
    </row>
    <row r="83" spans="1:22" s="257" customFormat="1" ht="15.05" hidden="1" customHeight="1">
      <c r="A83" s="1855"/>
      <c r="B83" s="1855"/>
      <c r="C83" s="1855"/>
      <c r="D83" s="1855"/>
      <c r="E83" s="1855"/>
      <c r="F83" s="1863" t="s">
        <v>50</v>
      </c>
      <c r="G83" s="200"/>
      <c r="H83" s="202" t="s">
        <v>507</v>
      </c>
      <c r="I83" s="217"/>
      <c r="J83" s="3171"/>
      <c r="K83" s="3171"/>
      <c r="L83" s="3125">
        <v>0</v>
      </c>
      <c r="M83" s="3124">
        <v>0</v>
      </c>
      <c r="N83" s="3125">
        <v>0</v>
      </c>
      <c r="O83" s="3125">
        <v>0</v>
      </c>
      <c r="P83" s="3125">
        <v>0</v>
      </c>
      <c r="Q83" s="3125">
        <f t="shared" si="14"/>
        <v>0</v>
      </c>
      <c r="R83" s="3605">
        <v>0</v>
      </c>
      <c r="S83" s="3275"/>
      <c r="T83" s="3826"/>
      <c r="U83" s="3771"/>
      <c r="V83" s="1846">
        <f t="shared" si="9"/>
        <v>0</v>
      </c>
    </row>
    <row r="84" spans="1:22" s="257" customFormat="1" ht="15.05" hidden="1" customHeight="1">
      <c r="A84" s="1855"/>
      <c r="B84" s="1855"/>
      <c r="C84" s="1855"/>
      <c r="D84" s="1855"/>
      <c r="E84" s="1855"/>
      <c r="F84" s="1863"/>
      <c r="G84" s="2727" t="s">
        <v>50</v>
      </c>
      <c r="H84" s="200" t="s">
        <v>508</v>
      </c>
      <c r="I84" s="217"/>
      <c r="J84" s="3171"/>
      <c r="K84" s="3171"/>
      <c r="L84" s="3125">
        <v>0</v>
      </c>
      <c r="M84" s="3124">
        <v>0</v>
      </c>
      <c r="N84" s="3125">
        <v>0</v>
      </c>
      <c r="O84" s="3125">
        <v>0</v>
      </c>
      <c r="P84" s="3125">
        <v>0</v>
      </c>
      <c r="Q84" s="3125">
        <f t="shared" si="14"/>
        <v>0</v>
      </c>
      <c r="R84" s="3605">
        <v>0</v>
      </c>
      <c r="S84" s="3275"/>
      <c r="T84" s="3826"/>
      <c r="U84" s="3771"/>
      <c r="V84" s="1846">
        <f t="shared" si="9"/>
        <v>0</v>
      </c>
    </row>
    <row r="85" spans="1:22" s="257" customFormat="1" ht="15.05" hidden="1" customHeight="1">
      <c r="A85" s="1855"/>
      <c r="B85" s="1855"/>
      <c r="C85" s="1855"/>
      <c r="D85" s="1855"/>
      <c r="E85" s="1855"/>
      <c r="F85" s="1863"/>
      <c r="G85" s="2727" t="s">
        <v>50</v>
      </c>
      <c r="H85" s="200" t="s">
        <v>509</v>
      </c>
      <c r="I85" s="217"/>
      <c r="J85" s="3171"/>
      <c r="K85" s="3171"/>
      <c r="L85" s="3125">
        <v>0</v>
      </c>
      <c r="M85" s="3124">
        <v>0</v>
      </c>
      <c r="N85" s="3125">
        <v>0</v>
      </c>
      <c r="O85" s="3125">
        <v>0</v>
      </c>
      <c r="P85" s="3125">
        <v>0</v>
      </c>
      <c r="Q85" s="3125">
        <f t="shared" si="14"/>
        <v>0</v>
      </c>
      <c r="R85" s="3605">
        <v>0</v>
      </c>
      <c r="S85" s="3275"/>
      <c r="T85" s="3826"/>
      <c r="U85" s="3771"/>
      <c r="V85" s="1846">
        <f t="shared" si="9"/>
        <v>0</v>
      </c>
    </row>
    <row r="86" spans="1:22" s="257" customFormat="1" ht="15.05" hidden="1" customHeight="1">
      <c r="A86" s="1855"/>
      <c r="B86" s="1855"/>
      <c r="C86" s="1855"/>
      <c r="D86" s="1855"/>
      <c r="E86" s="1855"/>
      <c r="F86" s="1863"/>
      <c r="G86" s="2727" t="s">
        <v>50</v>
      </c>
      <c r="H86" s="200" t="s">
        <v>510</v>
      </c>
      <c r="I86" s="217"/>
      <c r="J86" s="3171"/>
      <c r="K86" s="3171"/>
      <c r="L86" s="3125">
        <v>0</v>
      </c>
      <c r="M86" s="3124">
        <v>0</v>
      </c>
      <c r="N86" s="3125">
        <v>0</v>
      </c>
      <c r="O86" s="3125">
        <v>0</v>
      </c>
      <c r="P86" s="3125">
        <v>0</v>
      </c>
      <c r="Q86" s="3125">
        <f t="shared" si="14"/>
        <v>0</v>
      </c>
      <c r="R86" s="3605">
        <v>0</v>
      </c>
      <c r="S86" s="3275"/>
      <c r="T86" s="3826"/>
      <c r="U86" s="3771"/>
      <c r="V86" s="1846">
        <f t="shared" si="9"/>
        <v>0</v>
      </c>
    </row>
    <row r="87" spans="1:22" s="257" customFormat="1" ht="15.05" hidden="1" customHeight="1">
      <c r="A87" s="1855"/>
      <c r="B87" s="1855"/>
      <c r="C87" s="1855"/>
      <c r="D87" s="1855"/>
      <c r="E87" s="1855"/>
      <c r="F87" s="1863"/>
      <c r="G87" s="2727" t="s">
        <v>50</v>
      </c>
      <c r="H87" s="200" t="s">
        <v>511</v>
      </c>
      <c r="I87" s="217"/>
      <c r="J87" s="3171"/>
      <c r="K87" s="3171"/>
      <c r="L87" s="3125">
        <v>0</v>
      </c>
      <c r="M87" s="3124">
        <v>0</v>
      </c>
      <c r="N87" s="3125">
        <v>0</v>
      </c>
      <c r="O87" s="3125">
        <v>0</v>
      </c>
      <c r="P87" s="3125">
        <v>0</v>
      </c>
      <c r="Q87" s="3125">
        <f t="shared" si="14"/>
        <v>0</v>
      </c>
      <c r="R87" s="3605">
        <v>0</v>
      </c>
      <c r="S87" s="3275"/>
      <c r="T87" s="3826"/>
      <c r="U87" s="3771"/>
      <c r="V87" s="1846">
        <f t="shared" si="9"/>
        <v>0</v>
      </c>
    </row>
    <row r="88" spans="1:22" s="257" customFormat="1" ht="15.05" hidden="1" customHeight="1">
      <c r="A88" s="1855"/>
      <c r="B88" s="1855"/>
      <c r="C88" s="1855"/>
      <c r="D88" s="1855"/>
      <c r="E88" s="1855"/>
      <c r="F88" s="1863"/>
      <c r="G88" s="2727" t="s">
        <v>50</v>
      </c>
      <c r="H88" s="200" t="s">
        <v>512</v>
      </c>
      <c r="I88" s="217"/>
      <c r="J88" s="3171"/>
      <c r="K88" s="3171"/>
      <c r="L88" s="3125">
        <v>0</v>
      </c>
      <c r="M88" s="3124">
        <v>0</v>
      </c>
      <c r="N88" s="3125">
        <v>0</v>
      </c>
      <c r="O88" s="3125">
        <v>0</v>
      </c>
      <c r="P88" s="3125">
        <v>0</v>
      </c>
      <c r="Q88" s="3125">
        <f t="shared" si="14"/>
        <v>0</v>
      </c>
      <c r="R88" s="3605">
        <v>0</v>
      </c>
      <c r="S88" s="3275"/>
      <c r="T88" s="3826"/>
      <c r="U88" s="3771"/>
      <c r="V88" s="1846">
        <f t="shared" si="9"/>
        <v>0</v>
      </c>
    </row>
    <row r="89" spans="1:22" s="257" customFormat="1" ht="15.05" hidden="1" customHeight="1">
      <c r="A89" s="1855"/>
      <c r="B89" s="1855"/>
      <c r="C89" s="1855"/>
      <c r="D89" s="1855"/>
      <c r="E89" s="1855"/>
      <c r="F89" s="2757" t="s">
        <v>50</v>
      </c>
      <c r="G89" s="202"/>
      <c r="H89" s="200" t="s">
        <v>513</v>
      </c>
      <c r="I89" s="217"/>
      <c r="J89" s="3171"/>
      <c r="K89" s="3171"/>
      <c r="L89" s="3125">
        <v>0</v>
      </c>
      <c r="M89" s="3124">
        <v>0</v>
      </c>
      <c r="N89" s="3125">
        <v>0</v>
      </c>
      <c r="O89" s="3125">
        <v>0</v>
      </c>
      <c r="P89" s="3125">
        <v>0</v>
      </c>
      <c r="Q89" s="3125">
        <f t="shared" si="14"/>
        <v>0</v>
      </c>
      <c r="R89" s="3605">
        <v>0</v>
      </c>
      <c r="S89" s="3275"/>
      <c r="T89" s="3826"/>
      <c r="U89" s="3771"/>
      <c r="V89" s="1846">
        <f t="shared" si="9"/>
        <v>0</v>
      </c>
    </row>
    <row r="90" spans="1:22" s="257" customFormat="1" ht="15.05" hidden="1" customHeight="1">
      <c r="A90" s="1855"/>
      <c r="B90" s="1855"/>
      <c r="C90" s="1855"/>
      <c r="D90" s="1855"/>
      <c r="E90" s="1855"/>
      <c r="F90" s="2757" t="s">
        <v>50</v>
      </c>
      <c r="G90" s="202"/>
      <c r="H90" s="200" t="s">
        <v>514</v>
      </c>
      <c r="I90" s="217"/>
      <c r="J90" s="3171"/>
      <c r="K90" s="3171"/>
      <c r="L90" s="3125">
        <v>0</v>
      </c>
      <c r="M90" s="3124">
        <v>0</v>
      </c>
      <c r="N90" s="3125">
        <v>0</v>
      </c>
      <c r="O90" s="3125">
        <v>0</v>
      </c>
      <c r="P90" s="3125">
        <v>0</v>
      </c>
      <c r="Q90" s="3125">
        <f t="shared" si="14"/>
        <v>0</v>
      </c>
      <c r="R90" s="3605">
        <v>0</v>
      </c>
      <c r="S90" s="3275"/>
      <c r="T90" s="3826"/>
      <c r="U90" s="3771"/>
      <c r="V90" s="1846">
        <f t="shared" si="9"/>
        <v>0</v>
      </c>
    </row>
    <row r="91" spans="1:22" s="257" customFormat="1" ht="15.05" hidden="1" customHeight="1">
      <c r="A91" s="1855"/>
      <c r="B91" s="1855"/>
      <c r="C91" s="1855"/>
      <c r="D91" s="1855"/>
      <c r="E91" s="1855"/>
      <c r="F91" s="2757" t="s">
        <v>50</v>
      </c>
      <c r="G91" s="202"/>
      <c r="H91" s="202" t="s">
        <v>515</v>
      </c>
      <c r="I91" s="218"/>
      <c r="J91" s="3123"/>
      <c r="K91" s="3123"/>
      <c r="L91" s="3182">
        <v>0</v>
      </c>
      <c r="M91" s="3183">
        <v>0</v>
      </c>
      <c r="N91" s="3182">
        <v>0</v>
      </c>
      <c r="O91" s="3182">
        <v>0</v>
      </c>
      <c r="P91" s="3182">
        <v>0</v>
      </c>
      <c r="Q91" s="3182">
        <f t="shared" si="14"/>
        <v>0</v>
      </c>
      <c r="R91" s="3601">
        <v>0</v>
      </c>
      <c r="S91" s="3710"/>
      <c r="T91" s="3829"/>
      <c r="U91" s="3779">
        <v>0</v>
      </c>
      <c r="V91" s="1846">
        <f t="shared" si="9"/>
        <v>0</v>
      </c>
    </row>
    <row r="92" spans="1:22" s="1318" customFormat="1" ht="15.05" customHeight="1">
      <c r="A92" s="1854"/>
      <c r="B92" s="1854"/>
      <c r="C92" s="1854"/>
      <c r="D92" s="1854"/>
      <c r="E92" s="1854"/>
      <c r="F92" s="1464" t="s">
        <v>516</v>
      </c>
      <c r="G92" s="1860"/>
      <c r="H92" s="202"/>
      <c r="I92" s="218"/>
      <c r="J92" s="3123">
        <f>J93</f>
        <v>2235631500</v>
      </c>
      <c r="K92" s="3123">
        <f t="shared" ref="K92:P92" si="19">K93</f>
        <v>2302353487</v>
      </c>
      <c r="L92" s="3123">
        <f t="shared" si="19"/>
        <v>2235631500</v>
      </c>
      <c r="M92" s="3123">
        <f t="shared" si="19"/>
        <v>181908726</v>
      </c>
      <c r="N92" s="3123">
        <f t="shared" si="19"/>
        <v>0</v>
      </c>
      <c r="O92" s="3123">
        <f t="shared" si="19"/>
        <v>181908726</v>
      </c>
      <c r="P92" s="3123">
        <f t="shared" si="19"/>
        <v>2235631500</v>
      </c>
      <c r="Q92" s="3182">
        <f t="shared" si="14"/>
        <v>0</v>
      </c>
      <c r="R92" s="3601">
        <f t="shared" ref="R92:R103" si="20">+P92/L92*100-100</f>
        <v>0</v>
      </c>
      <c r="S92" s="3710"/>
      <c r="T92" s="3829"/>
      <c r="U92" s="3779">
        <v>0</v>
      </c>
      <c r="V92" s="1846">
        <f t="shared" si="9"/>
        <v>727634904</v>
      </c>
    </row>
    <row r="93" spans="1:22" s="2883" customFormat="1" ht="15.05" customHeight="1">
      <c r="A93" s="2875"/>
      <c r="B93" s="2875"/>
      <c r="C93" s="2875"/>
      <c r="D93" s="2875"/>
      <c r="E93" s="2875"/>
      <c r="F93" s="2877" t="s">
        <v>50</v>
      </c>
      <c r="G93" s="2879" t="s">
        <v>517</v>
      </c>
      <c r="I93" s="2880"/>
      <c r="J93" s="3139">
        <f>J94+J98</f>
        <v>2235631500</v>
      </c>
      <c r="K93" s="3139">
        <f t="shared" ref="K93:P93" si="21">K94+K98</f>
        <v>2302353487</v>
      </c>
      <c r="L93" s="3139">
        <f t="shared" si="21"/>
        <v>2235631500</v>
      </c>
      <c r="M93" s="3139">
        <f t="shared" si="21"/>
        <v>181908726</v>
      </c>
      <c r="N93" s="3139">
        <f t="shared" si="21"/>
        <v>0</v>
      </c>
      <c r="O93" s="3139">
        <f t="shared" si="21"/>
        <v>181908726</v>
      </c>
      <c r="P93" s="3139">
        <f t="shared" si="21"/>
        <v>2235631500</v>
      </c>
      <c r="Q93" s="3138">
        <f t="shared" si="14"/>
        <v>0</v>
      </c>
      <c r="R93" s="3605">
        <f t="shared" si="20"/>
        <v>0</v>
      </c>
      <c r="S93" s="3748"/>
      <c r="T93" s="3826"/>
      <c r="U93" s="3780">
        <f>PerDinas!Q506</f>
        <v>0</v>
      </c>
      <c r="V93" s="2882">
        <f t="shared" si="9"/>
        <v>727634904</v>
      </c>
    </row>
    <row r="94" spans="1:22" s="257" customFormat="1" ht="15.05" customHeight="1">
      <c r="A94" s="1855"/>
      <c r="B94" s="1855"/>
      <c r="C94" s="1855"/>
      <c r="D94" s="1855"/>
      <c r="E94" s="1855"/>
      <c r="F94" s="2879"/>
      <c r="G94" s="202" t="s">
        <v>518</v>
      </c>
      <c r="H94" s="200"/>
      <c r="I94" s="217"/>
      <c r="J94" s="3171">
        <f t="shared" ref="J94:P94" si="22">SUM(J95:J97)</f>
        <v>2075381500</v>
      </c>
      <c r="K94" s="3171">
        <f t="shared" si="22"/>
        <v>2275353487</v>
      </c>
      <c r="L94" s="3171">
        <f t="shared" si="22"/>
        <v>2075381500</v>
      </c>
      <c r="M94" s="3171">
        <f t="shared" si="22"/>
        <v>142158726</v>
      </c>
      <c r="N94" s="3171">
        <f t="shared" si="22"/>
        <v>0</v>
      </c>
      <c r="O94" s="3171">
        <f t="shared" si="22"/>
        <v>142158726</v>
      </c>
      <c r="P94" s="3166">
        <f t="shared" si="22"/>
        <v>2075381500</v>
      </c>
      <c r="Q94" s="3166">
        <f t="shared" si="14"/>
        <v>0</v>
      </c>
      <c r="R94" s="3605">
        <f t="shared" si="20"/>
        <v>0</v>
      </c>
      <c r="S94" s="3748"/>
      <c r="T94" s="3826"/>
      <c r="U94" s="3778">
        <f>MAR!P358</f>
        <v>0</v>
      </c>
      <c r="V94" s="1846">
        <f t="shared" si="9"/>
        <v>568634904</v>
      </c>
    </row>
    <row r="95" spans="1:22" s="257" customFormat="1" ht="15.05" customHeight="1">
      <c r="A95" s="1855"/>
      <c r="B95" s="1855"/>
      <c r="C95" s="1855"/>
      <c r="D95" s="1855"/>
      <c r="E95" s="1855"/>
      <c r="F95" s="200"/>
      <c r="G95" s="2771" t="s">
        <v>519</v>
      </c>
      <c r="H95" s="200"/>
      <c r="I95" s="217"/>
      <c r="J95" s="3171">
        <v>1043101100</v>
      </c>
      <c r="K95" s="3171">
        <v>885184616</v>
      </c>
      <c r="L95" s="3125">
        <v>1043101100</v>
      </c>
      <c r="M95" s="3124">
        <v>6500000</v>
      </c>
      <c r="N95" s="3125">
        <v>0</v>
      </c>
      <c r="O95" s="3125">
        <v>6500000</v>
      </c>
      <c r="P95" s="3166">
        <v>1043101100</v>
      </c>
      <c r="Q95" s="3166">
        <f t="shared" si="14"/>
        <v>0</v>
      </c>
      <c r="R95" s="3605">
        <f t="shared" si="20"/>
        <v>0</v>
      </c>
      <c r="S95" s="3748"/>
      <c r="T95" s="3826"/>
      <c r="U95" s="3778">
        <f>MAR!P359</f>
        <v>0</v>
      </c>
      <c r="V95" s="1846">
        <f t="shared" si="9"/>
        <v>26000000</v>
      </c>
    </row>
    <row r="96" spans="1:22" s="257" customFormat="1" ht="15.05" customHeight="1">
      <c r="A96" s="1855"/>
      <c r="B96" s="1855"/>
      <c r="C96" s="1855"/>
      <c r="D96" s="1855"/>
      <c r="E96" s="1855"/>
      <c r="F96" s="200"/>
      <c r="G96" s="2771" t="s">
        <v>520</v>
      </c>
      <c r="H96" s="200"/>
      <c r="I96" s="217"/>
      <c r="J96" s="3171">
        <v>532280400</v>
      </c>
      <c r="K96" s="3171">
        <v>131086220</v>
      </c>
      <c r="L96" s="3125">
        <v>532280400</v>
      </c>
      <c r="M96" s="3124">
        <v>23000000</v>
      </c>
      <c r="N96" s="3125">
        <v>0</v>
      </c>
      <c r="O96" s="3125">
        <v>23000000</v>
      </c>
      <c r="P96" s="3166">
        <v>532280400</v>
      </c>
      <c r="Q96" s="3166">
        <f t="shared" si="14"/>
        <v>0</v>
      </c>
      <c r="R96" s="3605">
        <f t="shared" si="20"/>
        <v>0</v>
      </c>
      <c r="S96" s="3748"/>
      <c r="T96" s="3826"/>
      <c r="U96" s="3778">
        <f>MAR!P360</f>
        <v>0</v>
      </c>
      <c r="V96" s="1846">
        <f t="shared" si="9"/>
        <v>92000000</v>
      </c>
    </row>
    <row r="97" spans="1:22" s="257" customFormat="1" ht="15.05" customHeight="1">
      <c r="A97" s="1855"/>
      <c r="B97" s="1855"/>
      <c r="C97" s="1855"/>
      <c r="D97" s="1855"/>
      <c r="E97" s="1855"/>
      <c r="F97" s="200"/>
      <c r="G97" s="2771" t="s">
        <v>521</v>
      </c>
      <c r="H97" s="200"/>
      <c r="I97" s="217"/>
      <c r="J97" s="3171">
        <v>500000000</v>
      </c>
      <c r="K97" s="3171">
        <v>1259082651</v>
      </c>
      <c r="L97" s="3125">
        <v>500000000</v>
      </c>
      <c r="M97" s="3124">
        <v>112658726</v>
      </c>
      <c r="N97" s="3125">
        <v>0</v>
      </c>
      <c r="O97" s="3125">
        <v>112658726</v>
      </c>
      <c r="P97" s="3166">
        <v>500000000</v>
      </c>
      <c r="Q97" s="3166">
        <f t="shared" si="14"/>
        <v>0</v>
      </c>
      <c r="R97" s="3605">
        <f t="shared" si="20"/>
        <v>0</v>
      </c>
      <c r="S97" s="3748"/>
      <c r="T97" s="3826"/>
      <c r="U97" s="3778">
        <f>MAR!P361</f>
        <v>0</v>
      </c>
      <c r="V97" s="1846">
        <f t="shared" si="9"/>
        <v>450634904</v>
      </c>
    </row>
    <row r="98" spans="1:22" s="257" customFormat="1" ht="15.05" customHeight="1">
      <c r="A98" s="1855"/>
      <c r="B98" s="1855"/>
      <c r="C98" s="1855"/>
      <c r="D98" s="1855"/>
      <c r="E98" s="1855"/>
      <c r="F98" s="200"/>
      <c r="G98" s="202" t="s">
        <v>522</v>
      </c>
      <c r="H98" s="200"/>
      <c r="I98" s="217"/>
      <c r="J98" s="3171">
        <f>SUM(J99:J104)</f>
        <v>160250000</v>
      </c>
      <c r="K98" s="3171">
        <v>27000000</v>
      </c>
      <c r="L98" s="3171">
        <f>SUM(L99:L104)</f>
        <v>160250000</v>
      </c>
      <c r="M98" s="3171">
        <f>SUM(M99:M104)</f>
        <v>39750000</v>
      </c>
      <c r="N98" s="3171">
        <f>SUM(N99:N104)</f>
        <v>0</v>
      </c>
      <c r="O98" s="3171">
        <f>SUM(O99:O104)</f>
        <v>39750000</v>
      </c>
      <c r="P98" s="3171">
        <f>SUM(P99:P104)</f>
        <v>160250000</v>
      </c>
      <c r="Q98" s="3166">
        <f t="shared" si="14"/>
        <v>0</v>
      </c>
      <c r="R98" s="3605">
        <f t="shared" si="20"/>
        <v>0</v>
      </c>
      <c r="S98" s="3275"/>
      <c r="T98" s="3826"/>
      <c r="U98" s="3778"/>
      <c r="V98" s="1846">
        <f t="shared" si="9"/>
        <v>159000000</v>
      </c>
    </row>
    <row r="99" spans="1:22" s="257" customFormat="1" ht="15.05" customHeight="1">
      <c r="A99" s="1855"/>
      <c r="B99" s="1855"/>
      <c r="C99" s="1855"/>
      <c r="D99" s="1855"/>
      <c r="E99" s="1855"/>
      <c r="F99" s="200"/>
      <c r="G99" s="2772" t="s">
        <v>187</v>
      </c>
      <c r="H99" s="200"/>
      <c r="I99" s="217"/>
      <c r="J99" s="3188">
        <v>35000000</v>
      </c>
      <c r="K99" s="3171">
        <v>0</v>
      </c>
      <c r="L99" s="3125">
        <v>35000000</v>
      </c>
      <c r="M99" s="3124">
        <v>22500000</v>
      </c>
      <c r="N99" s="3125">
        <v>0</v>
      </c>
      <c r="O99" s="3125">
        <v>22500000</v>
      </c>
      <c r="P99" s="3125">
        <v>35000000</v>
      </c>
      <c r="Q99" s="3125">
        <f t="shared" si="14"/>
        <v>0</v>
      </c>
      <c r="R99" s="3605">
        <f t="shared" si="20"/>
        <v>0</v>
      </c>
      <c r="S99" s="3748"/>
      <c r="T99" s="3826"/>
      <c r="U99" s="3778">
        <f>MAR!P363</f>
        <v>0</v>
      </c>
      <c r="V99" s="1846">
        <f t="shared" si="9"/>
        <v>90000000</v>
      </c>
    </row>
    <row r="100" spans="1:22" s="257" customFormat="1" ht="15.05" customHeight="1">
      <c r="A100" s="1855"/>
      <c r="B100" s="1855"/>
      <c r="C100" s="1855"/>
      <c r="D100" s="1855"/>
      <c r="E100" s="1855"/>
      <c r="F100" s="200"/>
      <c r="G100" s="2772" t="s">
        <v>188</v>
      </c>
      <c r="H100" s="200"/>
      <c r="I100" s="217"/>
      <c r="J100" s="3188">
        <v>28000000</v>
      </c>
      <c r="K100" s="3171">
        <v>0</v>
      </c>
      <c r="L100" s="3125">
        <v>28000000</v>
      </c>
      <c r="M100" s="3124">
        <v>0</v>
      </c>
      <c r="N100" s="3125">
        <v>0</v>
      </c>
      <c r="O100" s="3125">
        <v>0</v>
      </c>
      <c r="P100" s="3125">
        <v>28000000</v>
      </c>
      <c r="Q100" s="3125">
        <f t="shared" si="14"/>
        <v>0</v>
      </c>
      <c r="R100" s="3605">
        <f t="shared" si="20"/>
        <v>0</v>
      </c>
      <c r="S100" s="3748"/>
      <c r="T100" s="3826"/>
      <c r="U100" s="3778">
        <f>MAR!P364</f>
        <v>0</v>
      </c>
      <c r="V100" s="1846">
        <f t="shared" si="9"/>
        <v>0</v>
      </c>
    </row>
    <row r="101" spans="1:22" s="257" customFormat="1" ht="15.05" customHeight="1">
      <c r="A101" s="1855"/>
      <c r="B101" s="1855"/>
      <c r="C101" s="1855"/>
      <c r="D101" s="1855"/>
      <c r="E101" s="1855"/>
      <c r="F101" s="200"/>
      <c r="G101" s="2772" t="s">
        <v>189</v>
      </c>
      <c r="H101" s="200"/>
      <c r="I101" s="217"/>
      <c r="J101" s="3188">
        <v>17250000</v>
      </c>
      <c r="K101" s="3171">
        <v>0</v>
      </c>
      <c r="L101" s="3125">
        <v>17250000</v>
      </c>
      <c r="M101" s="3124">
        <v>17250000</v>
      </c>
      <c r="N101" s="3125">
        <v>0</v>
      </c>
      <c r="O101" s="3125">
        <v>17250000</v>
      </c>
      <c r="P101" s="3125">
        <v>17250000</v>
      </c>
      <c r="Q101" s="3125">
        <f t="shared" si="14"/>
        <v>0</v>
      </c>
      <c r="R101" s="3605">
        <f t="shared" si="20"/>
        <v>0</v>
      </c>
      <c r="S101" s="3748"/>
      <c r="T101" s="3826"/>
      <c r="U101" s="3778">
        <f>MAR!P365</f>
        <v>0</v>
      </c>
      <c r="V101" s="1846">
        <f t="shared" si="9"/>
        <v>69000000</v>
      </c>
    </row>
    <row r="102" spans="1:22" s="257" customFormat="1" ht="15.05" customHeight="1">
      <c r="A102" s="1855"/>
      <c r="B102" s="1855"/>
      <c r="C102" s="1855"/>
      <c r="D102" s="1855"/>
      <c r="E102" s="1855"/>
      <c r="F102" s="202"/>
      <c r="G102" s="2772" t="s">
        <v>190</v>
      </c>
      <c r="H102" s="200"/>
      <c r="I102" s="217"/>
      <c r="J102" s="3188">
        <v>30000000</v>
      </c>
      <c r="K102" s="3171">
        <v>0</v>
      </c>
      <c r="L102" s="3125">
        <v>30000000</v>
      </c>
      <c r="M102" s="3124">
        <v>0</v>
      </c>
      <c r="N102" s="3125">
        <v>0</v>
      </c>
      <c r="O102" s="3125">
        <v>0</v>
      </c>
      <c r="P102" s="3125">
        <v>30000000</v>
      </c>
      <c r="Q102" s="3125">
        <f t="shared" si="14"/>
        <v>0</v>
      </c>
      <c r="R102" s="3605">
        <f t="shared" si="20"/>
        <v>0</v>
      </c>
      <c r="S102" s="3748"/>
      <c r="T102" s="3826"/>
      <c r="U102" s="3778">
        <f>MAR!P366</f>
        <v>0</v>
      </c>
      <c r="V102" s="1846">
        <f t="shared" si="9"/>
        <v>0</v>
      </c>
    </row>
    <row r="103" spans="1:22" s="257" customFormat="1" ht="15.05" customHeight="1">
      <c r="A103" s="1855"/>
      <c r="B103" s="1855"/>
      <c r="C103" s="1855"/>
      <c r="D103" s="1855"/>
      <c r="E103" s="1855"/>
      <c r="F103" s="202"/>
      <c r="G103" s="2772" t="s">
        <v>191</v>
      </c>
      <c r="H103" s="200"/>
      <c r="I103" s="217"/>
      <c r="J103" s="3188">
        <v>50000000</v>
      </c>
      <c r="K103" s="3171">
        <v>0</v>
      </c>
      <c r="L103" s="3125">
        <v>50000000</v>
      </c>
      <c r="M103" s="3124">
        <v>0</v>
      </c>
      <c r="N103" s="3125">
        <v>0</v>
      </c>
      <c r="O103" s="3125">
        <v>0</v>
      </c>
      <c r="P103" s="3125">
        <v>50000000</v>
      </c>
      <c r="Q103" s="3125">
        <f t="shared" si="14"/>
        <v>0</v>
      </c>
      <c r="R103" s="3605">
        <f t="shared" si="20"/>
        <v>0</v>
      </c>
      <c r="S103" s="3748"/>
      <c r="T103" s="3826"/>
      <c r="U103" s="3778">
        <f>MAR!P367</f>
        <v>0</v>
      </c>
      <c r="V103" s="1846">
        <f t="shared" si="9"/>
        <v>0</v>
      </c>
    </row>
    <row r="104" spans="1:22" s="257" customFormat="1" ht="15.05" customHeight="1">
      <c r="A104" s="1855"/>
      <c r="B104" s="1855"/>
      <c r="C104" s="1855"/>
      <c r="D104" s="1855"/>
      <c r="E104" s="1855"/>
      <c r="F104" s="200"/>
      <c r="G104" s="847" t="s">
        <v>192</v>
      </c>
      <c r="H104" s="200"/>
      <c r="I104" s="217"/>
      <c r="J104" s="3171"/>
      <c r="K104" s="3171"/>
      <c r="L104" s="3125">
        <v>0</v>
      </c>
      <c r="M104" s="3124">
        <v>0</v>
      </c>
      <c r="N104" s="3125">
        <v>0</v>
      </c>
      <c r="O104" s="3125">
        <v>0</v>
      </c>
      <c r="P104" s="3125">
        <v>0</v>
      </c>
      <c r="Q104" s="3125">
        <f t="shared" si="14"/>
        <v>0</v>
      </c>
      <c r="R104" s="3605">
        <v>0</v>
      </c>
      <c r="S104" s="3748"/>
      <c r="T104" s="3826"/>
      <c r="U104" s="3778">
        <f>MAR!P368</f>
        <v>0</v>
      </c>
      <c r="V104" s="1846">
        <f t="shared" si="9"/>
        <v>0</v>
      </c>
    </row>
    <row r="105" spans="1:22" s="257" customFormat="1" ht="15.05" customHeight="1">
      <c r="A105" s="1855"/>
      <c r="B105" s="1855"/>
      <c r="C105" s="1855"/>
      <c r="D105" s="1855"/>
      <c r="E105" s="1855"/>
      <c r="F105" s="200"/>
      <c r="G105" s="847"/>
      <c r="H105" s="200"/>
      <c r="I105" s="217"/>
      <c r="J105" s="3171"/>
      <c r="K105" s="3171"/>
      <c r="L105" s="3125"/>
      <c r="M105" s="3124"/>
      <c r="N105" s="3189"/>
      <c r="O105" s="3125"/>
      <c r="P105" s="3125"/>
      <c r="Q105" s="3125"/>
      <c r="R105" s="3605"/>
      <c r="S105" s="3275"/>
      <c r="T105" s="3826"/>
      <c r="U105" s="3778"/>
      <c r="V105" s="1846"/>
    </row>
    <row r="106" spans="1:22" s="257" customFormat="1" ht="15.05" hidden="1" customHeight="1">
      <c r="A106" s="1855"/>
      <c r="B106" s="1855"/>
      <c r="C106" s="1855"/>
      <c r="D106" s="1855"/>
      <c r="E106" s="1855"/>
      <c r="F106" s="1856" t="s">
        <v>411</v>
      </c>
      <c r="G106" s="847"/>
      <c r="H106" s="200"/>
      <c r="I106" s="217"/>
      <c r="J106" s="3171"/>
      <c r="K106" s="3171"/>
      <c r="L106" s="3125"/>
      <c r="M106" s="3190">
        <v>9495000</v>
      </c>
      <c r="N106" s="3191">
        <v>15445000</v>
      </c>
      <c r="O106" s="3128">
        <v>24940000</v>
      </c>
      <c r="P106" s="3128">
        <f>+P107</f>
        <v>75000000</v>
      </c>
      <c r="Q106" s="3128">
        <f>+P106-L106</f>
        <v>75000000</v>
      </c>
      <c r="R106" s="3605">
        <v>0</v>
      </c>
      <c r="S106" s="3275"/>
      <c r="T106" s="3826"/>
      <c r="U106" s="3778"/>
      <c r="V106" s="1846">
        <f t="shared" ref="V106:V169" si="23">O106*4</f>
        <v>99760000</v>
      </c>
    </row>
    <row r="107" spans="1:22" s="257" customFormat="1" ht="15.05" hidden="1" customHeight="1">
      <c r="A107" s="1855"/>
      <c r="B107" s="1855"/>
      <c r="C107" s="1855"/>
      <c r="D107" s="1855"/>
      <c r="E107" s="1855"/>
      <c r="F107" s="2744" t="s">
        <v>50</v>
      </c>
      <c r="G107" s="224" t="s">
        <v>413</v>
      </c>
      <c r="H107" s="200"/>
      <c r="I107" s="217"/>
      <c r="J107" s="3171"/>
      <c r="K107" s="3171"/>
      <c r="L107" s="3125"/>
      <c r="M107" s="3190">
        <v>9495000</v>
      </c>
      <c r="N107" s="3192">
        <v>15445000</v>
      </c>
      <c r="O107" s="3165">
        <v>24940000</v>
      </c>
      <c r="P107" s="3165">
        <v>75000000</v>
      </c>
      <c r="Q107" s="3165">
        <f>+P107-L107</f>
        <v>75000000</v>
      </c>
      <c r="R107" s="3605">
        <v>0</v>
      </c>
      <c r="S107" s="3275"/>
      <c r="T107" s="3826"/>
      <c r="U107" s="3778"/>
      <c r="V107" s="1846">
        <f t="shared" si="23"/>
        <v>99760000</v>
      </c>
    </row>
    <row r="108" spans="1:22" s="257" customFormat="1" ht="15.05" hidden="1" customHeight="1">
      <c r="A108" s="1855"/>
      <c r="B108" s="1855"/>
      <c r="C108" s="1855"/>
      <c r="D108" s="1855"/>
      <c r="E108" s="1855"/>
      <c r="F108" s="1857"/>
      <c r="G108" s="1858"/>
      <c r="H108" s="200"/>
      <c r="I108" s="217"/>
      <c r="J108" s="3171"/>
      <c r="K108" s="3171"/>
      <c r="L108" s="3125"/>
      <c r="M108" s="3124"/>
      <c r="N108" s="3125"/>
      <c r="O108" s="3125"/>
      <c r="P108" s="3125"/>
      <c r="Q108" s="3125"/>
      <c r="R108" s="3605"/>
      <c r="S108" s="3275"/>
      <c r="T108" s="3826"/>
      <c r="U108" s="3778"/>
      <c r="V108" s="1846">
        <f t="shared" si="23"/>
        <v>0</v>
      </c>
    </row>
    <row r="109" spans="1:22" s="1318" customFormat="1" ht="15.05" customHeight="1">
      <c r="A109" s="1854"/>
      <c r="B109" s="1854"/>
      <c r="C109" s="1854"/>
      <c r="D109" s="1854"/>
      <c r="E109" s="1854"/>
      <c r="F109" s="2825" t="s">
        <v>523</v>
      </c>
      <c r="G109" s="1860"/>
      <c r="H109" s="202"/>
      <c r="I109" s="218"/>
      <c r="J109" s="3123">
        <f>SUM(J110:J111)</f>
        <v>0</v>
      </c>
      <c r="K109" s="3123">
        <f t="shared" ref="K109:P109" si="24">SUM(K110:K111)</f>
        <v>10063750</v>
      </c>
      <c r="L109" s="3123">
        <f t="shared" si="24"/>
        <v>0</v>
      </c>
      <c r="M109" s="3123">
        <f t="shared" si="24"/>
        <v>0</v>
      </c>
      <c r="N109" s="3123">
        <f t="shared" si="24"/>
        <v>0</v>
      </c>
      <c r="O109" s="3123">
        <f t="shared" si="24"/>
        <v>0</v>
      </c>
      <c r="P109" s="3123">
        <f t="shared" si="24"/>
        <v>0</v>
      </c>
      <c r="Q109" s="3182">
        <f t="shared" ref="Q109:Q133" si="25">+P109-L109</f>
        <v>0</v>
      </c>
      <c r="R109" s="3601">
        <v>0</v>
      </c>
      <c r="S109" s="3710"/>
      <c r="T109" s="3829"/>
      <c r="U109" s="3777"/>
      <c r="V109" s="1846">
        <f t="shared" si="23"/>
        <v>0</v>
      </c>
    </row>
    <row r="110" spans="1:22" s="257" customFormat="1" ht="15.05" customHeight="1">
      <c r="A110" s="1855"/>
      <c r="B110" s="1855"/>
      <c r="C110" s="1855"/>
      <c r="D110" s="1855"/>
      <c r="E110" s="1855"/>
      <c r="F110" s="1857" t="s">
        <v>50</v>
      </c>
      <c r="G110" s="1858"/>
      <c r="H110" s="200" t="s">
        <v>524</v>
      </c>
      <c r="I110" s="217"/>
      <c r="J110" s="3171">
        <v>0</v>
      </c>
      <c r="K110" s="3171">
        <v>0</v>
      </c>
      <c r="L110" s="3125"/>
      <c r="M110" s="3124"/>
      <c r="N110" s="3125"/>
      <c r="O110" s="3125"/>
      <c r="P110" s="3125"/>
      <c r="Q110" s="3125">
        <f t="shared" si="25"/>
        <v>0</v>
      </c>
      <c r="R110" s="3605">
        <v>0</v>
      </c>
      <c r="S110" s="3275"/>
      <c r="T110" s="3826"/>
      <c r="U110" s="3771"/>
      <c r="V110" s="1846">
        <f t="shared" si="23"/>
        <v>0</v>
      </c>
    </row>
    <row r="111" spans="1:22" s="257" customFormat="1" ht="15.05" customHeight="1">
      <c r="A111" s="1855"/>
      <c r="B111" s="1855"/>
      <c r="C111" s="1855"/>
      <c r="D111" s="1855"/>
      <c r="E111" s="1855"/>
      <c r="F111" s="1857" t="s">
        <v>50</v>
      </c>
      <c r="G111" s="1858"/>
      <c r="H111" s="200" t="s">
        <v>525</v>
      </c>
      <c r="I111" s="217"/>
      <c r="J111" s="3171">
        <v>0</v>
      </c>
      <c r="K111" s="3171">
        <v>10063750</v>
      </c>
      <c r="L111" s="3125"/>
      <c r="M111" s="3124"/>
      <c r="N111" s="3125"/>
      <c r="O111" s="3125"/>
      <c r="P111" s="3125"/>
      <c r="Q111" s="3125">
        <f t="shared" si="25"/>
        <v>0</v>
      </c>
      <c r="R111" s="3605">
        <v>0</v>
      </c>
      <c r="S111" s="3275"/>
      <c r="T111" s="3826"/>
      <c r="U111" s="3771"/>
      <c r="V111" s="1846">
        <f t="shared" si="23"/>
        <v>0</v>
      </c>
    </row>
    <row r="112" spans="1:22" s="1318" customFormat="1" ht="15.05" customHeight="1">
      <c r="A112" s="1854"/>
      <c r="B112" s="1854"/>
      <c r="C112" s="1854"/>
      <c r="D112" s="1854"/>
      <c r="E112" s="1854"/>
      <c r="F112" s="1464" t="s">
        <v>356</v>
      </c>
      <c r="G112" s="1860"/>
      <c r="H112" s="202"/>
      <c r="I112" s="218"/>
      <c r="J112" s="3123">
        <f t="shared" ref="J112:P112" si="26">SUM(J113:J116)</f>
        <v>785500000</v>
      </c>
      <c r="K112" s="3123">
        <f t="shared" si="26"/>
        <v>69752160</v>
      </c>
      <c r="L112" s="3123">
        <f t="shared" si="26"/>
        <v>785500000</v>
      </c>
      <c r="M112" s="3123">
        <f t="shared" si="26"/>
        <v>13303900</v>
      </c>
      <c r="N112" s="3123">
        <f t="shared" si="26"/>
        <v>120000</v>
      </c>
      <c r="O112" s="3123">
        <f t="shared" si="26"/>
        <v>13423900</v>
      </c>
      <c r="P112" s="3182">
        <f t="shared" si="26"/>
        <v>133000000</v>
      </c>
      <c r="Q112" s="3182">
        <f t="shared" si="25"/>
        <v>-652500000</v>
      </c>
      <c r="R112" s="3601">
        <f>+P112/L112*100-100</f>
        <v>-83.068109484404829</v>
      </c>
      <c r="S112" s="3710"/>
      <c r="T112" s="3829"/>
      <c r="U112" s="3777"/>
      <c r="V112" s="1846">
        <f t="shared" si="23"/>
        <v>53695600</v>
      </c>
    </row>
    <row r="113" spans="1:22" s="257" customFormat="1" ht="15.05" customHeight="1">
      <c r="A113" s="1855"/>
      <c r="B113" s="1855"/>
      <c r="C113" s="1855"/>
      <c r="D113" s="1855"/>
      <c r="E113" s="1855"/>
      <c r="F113" s="1857" t="s">
        <v>50</v>
      </c>
      <c r="G113" s="1858"/>
      <c r="H113" s="200" t="s">
        <v>357</v>
      </c>
      <c r="I113" s="217"/>
      <c r="J113" s="3171">
        <v>40000000</v>
      </c>
      <c r="K113" s="3171">
        <v>31988660</v>
      </c>
      <c r="L113" s="3125">
        <v>40000000</v>
      </c>
      <c r="M113" s="3124">
        <v>7487600</v>
      </c>
      <c r="N113" s="3125">
        <v>0</v>
      </c>
      <c r="O113" s="3125">
        <v>7487600</v>
      </c>
      <c r="P113" s="3125">
        <v>40000000</v>
      </c>
      <c r="Q113" s="3125">
        <f t="shared" si="25"/>
        <v>0</v>
      </c>
      <c r="R113" s="3605">
        <f>+P113/L113*100-100</f>
        <v>0</v>
      </c>
      <c r="S113" s="3748"/>
      <c r="T113" s="3826"/>
      <c r="U113" s="3778">
        <f>MAR!P643</f>
        <v>0</v>
      </c>
      <c r="V113" s="1846">
        <f t="shared" si="23"/>
        <v>29950400</v>
      </c>
    </row>
    <row r="114" spans="1:22" s="257" customFormat="1" ht="15.05" customHeight="1">
      <c r="A114" s="1855"/>
      <c r="B114" s="1855"/>
      <c r="C114" s="1855"/>
      <c r="D114" s="1855"/>
      <c r="E114" s="1855"/>
      <c r="F114" s="1857" t="s">
        <v>50</v>
      </c>
      <c r="G114" s="1858"/>
      <c r="H114" s="200" t="s">
        <v>526</v>
      </c>
      <c r="I114" s="217"/>
      <c r="J114" s="3171">
        <v>23000000</v>
      </c>
      <c r="K114" s="3171">
        <v>17749500</v>
      </c>
      <c r="L114" s="3125">
        <v>23000000</v>
      </c>
      <c r="M114" s="3124">
        <v>2276300</v>
      </c>
      <c r="N114" s="3125">
        <v>0</v>
      </c>
      <c r="O114" s="3125">
        <v>2276300</v>
      </c>
      <c r="P114" s="3125">
        <v>23000000</v>
      </c>
      <c r="Q114" s="3125">
        <f t="shared" si="25"/>
        <v>0</v>
      </c>
      <c r="R114" s="3605">
        <f>+P114/L114*100-100</f>
        <v>0</v>
      </c>
      <c r="S114" s="3748"/>
      <c r="T114" s="3826"/>
      <c r="U114" s="3778">
        <f>MAR!P644</f>
        <v>0</v>
      </c>
      <c r="V114" s="1846">
        <f t="shared" si="23"/>
        <v>9105200</v>
      </c>
    </row>
    <row r="115" spans="1:22" s="257" customFormat="1" ht="15.05" customHeight="1">
      <c r="A115" s="1855"/>
      <c r="B115" s="1855"/>
      <c r="C115" s="1855"/>
      <c r="D115" s="1855"/>
      <c r="E115" s="1855"/>
      <c r="F115" s="1857" t="s">
        <v>50</v>
      </c>
      <c r="G115" s="1858"/>
      <c r="H115" s="200" t="s">
        <v>527</v>
      </c>
      <c r="I115" s="217"/>
      <c r="J115" s="3171">
        <v>722500000</v>
      </c>
      <c r="K115" s="3171">
        <v>19497000</v>
      </c>
      <c r="L115" s="3125">
        <v>722500000</v>
      </c>
      <c r="M115" s="3124">
        <v>0</v>
      </c>
      <c r="N115" s="3125">
        <v>120000</v>
      </c>
      <c r="O115" s="3125">
        <v>120000</v>
      </c>
      <c r="P115" s="3125">
        <v>50000000</v>
      </c>
      <c r="Q115" s="3125">
        <f t="shared" si="25"/>
        <v>-672500000</v>
      </c>
      <c r="R115" s="3605">
        <f>+P115/L115*100-100</f>
        <v>-93.079584775086502</v>
      </c>
      <c r="S115" s="3748"/>
      <c r="T115" s="3826"/>
      <c r="U115" s="3778">
        <f>MAR!P645</f>
        <v>0</v>
      </c>
      <c r="V115" s="1846">
        <f t="shared" si="23"/>
        <v>480000</v>
      </c>
    </row>
    <row r="116" spans="1:22" s="257" customFormat="1" ht="15.05" customHeight="1">
      <c r="A116" s="1855"/>
      <c r="B116" s="1855"/>
      <c r="C116" s="1855"/>
      <c r="D116" s="1855"/>
      <c r="E116" s="1855"/>
      <c r="F116" s="1857" t="s">
        <v>50</v>
      </c>
      <c r="G116" s="1858"/>
      <c r="H116" s="200" t="s">
        <v>360</v>
      </c>
      <c r="I116" s="217"/>
      <c r="J116" s="3171">
        <v>0</v>
      </c>
      <c r="K116" s="3171">
        <v>517000</v>
      </c>
      <c r="L116" s="3125">
        <v>0</v>
      </c>
      <c r="M116" s="3124">
        <v>3540000</v>
      </c>
      <c r="N116" s="3125">
        <v>0</v>
      </c>
      <c r="O116" s="3125">
        <v>3540000</v>
      </c>
      <c r="P116" s="3125">
        <v>20000000</v>
      </c>
      <c r="Q116" s="3125">
        <f t="shared" si="25"/>
        <v>20000000</v>
      </c>
      <c r="R116" s="3605">
        <v>0</v>
      </c>
      <c r="S116" s="3748"/>
      <c r="T116" s="3826"/>
      <c r="U116" s="3778">
        <f>MAR!P646</f>
        <v>0</v>
      </c>
      <c r="V116" s="1846">
        <f t="shared" si="23"/>
        <v>14160000</v>
      </c>
    </row>
    <row r="117" spans="1:22" s="1318" customFormat="1" ht="15.05" customHeight="1">
      <c r="A117" s="1854"/>
      <c r="B117" s="1854"/>
      <c r="C117" s="1854"/>
      <c r="D117" s="1854"/>
      <c r="E117" s="1854"/>
      <c r="F117" s="1464" t="s">
        <v>528</v>
      </c>
      <c r="G117" s="1860"/>
      <c r="H117" s="202"/>
      <c r="I117" s="218"/>
      <c r="J117" s="3123">
        <f t="shared" ref="J117:P117" si="27">SUM(J118:J126)</f>
        <v>518680000</v>
      </c>
      <c r="K117" s="3123">
        <f t="shared" si="27"/>
        <v>348421200</v>
      </c>
      <c r="L117" s="3123">
        <f t="shared" si="27"/>
        <v>518680000</v>
      </c>
      <c r="M117" s="3123">
        <f t="shared" si="27"/>
        <v>26025000</v>
      </c>
      <c r="N117" s="3123">
        <f t="shared" si="27"/>
        <v>27371000</v>
      </c>
      <c r="O117" s="3123">
        <f t="shared" si="27"/>
        <v>53396000</v>
      </c>
      <c r="P117" s="3182">
        <f t="shared" si="27"/>
        <v>431250000</v>
      </c>
      <c r="Q117" s="3182">
        <f t="shared" si="25"/>
        <v>-87430000</v>
      </c>
      <c r="R117" s="3601">
        <f t="shared" ref="R117:R122" si="28">+P117/L117*100-100</f>
        <v>-16.856250481992745</v>
      </c>
      <c r="S117" s="3710"/>
      <c r="T117" s="3829"/>
      <c r="U117" s="3777"/>
      <c r="V117" s="1846">
        <f t="shared" si="23"/>
        <v>213584000</v>
      </c>
    </row>
    <row r="118" spans="1:22" s="257" customFormat="1" ht="15.05" customHeight="1">
      <c r="A118" s="1855"/>
      <c r="B118" s="1855"/>
      <c r="C118" s="1855"/>
      <c r="D118" s="1855"/>
      <c r="E118" s="1855"/>
      <c r="F118" s="1857" t="s">
        <v>50</v>
      </c>
      <c r="G118" s="1858"/>
      <c r="H118" s="200" t="s">
        <v>375</v>
      </c>
      <c r="I118" s="217"/>
      <c r="J118" s="3171">
        <v>328430000</v>
      </c>
      <c r="K118" s="3171">
        <v>166841200</v>
      </c>
      <c r="L118" s="3125">
        <v>328430000</v>
      </c>
      <c r="M118" s="3124">
        <v>11650000</v>
      </c>
      <c r="N118" s="3125">
        <v>13471000</v>
      </c>
      <c r="O118" s="3125">
        <v>25121000</v>
      </c>
      <c r="P118" s="3125">
        <v>200000000</v>
      </c>
      <c r="Q118" s="3125">
        <f t="shared" si="25"/>
        <v>-128430000</v>
      </c>
      <c r="R118" s="3605">
        <f t="shared" si="28"/>
        <v>-39.104223122126477</v>
      </c>
      <c r="S118" s="3748"/>
      <c r="T118" s="3826"/>
      <c r="U118" s="3778">
        <f>MAR!P677</f>
        <v>0</v>
      </c>
      <c r="V118" s="1846">
        <f t="shared" si="23"/>
        <v>100484000</v>
      </c>
    </row>
    <row r="119" spans="1:22" s="257" customFormat="1" ht="15.05" customHeight="1">
      <c r="A119" s="1855"/>
      <c r="B119" s="1855"/>
      <c r="C119" s="1855"/>
      <c r="D119" s="1855"/>
      <c r="E119" s="1855"/>
      <c r="F119" s="1857" t="s">
        <v>50</v>
      </c>
      <c r="G119" s="1858"/>
      <c r="H119" s="200" t="s">
        <v>376</v>
      </c>
      <c r="I119" s="217"/>
      <c r="J119" s="3171">
        <v>15000000</v>
      </c>
      <c r="K119" s="3171">
        <v>16000000</v>
      </c>
      <c r="L119" s="3125">
        <v>15000000</v>
      </c>
      <c r="M119" s="3124">
        <v>2000000</v>
      </c>
      <c r="N119" s="3125">
        <v>0</v>
      </c>
      <c r="O119" s="3125">
        <v>2000000</v>
      </c>
      <c r="P119" s="3125">
        <v>16000000</v>
      </c>
      <c r="Q119" s="3125">
        <f t="shared" si="25"/>
        <v>1000000</v>
      </c>
      <c r="R119" s="3605">
        <f t="shared" si="28"/>
        <v>6.6666666666666714</v>
      </c>
      <c r="S119" s="3748"/>
      <c r="T119" s="3826"/>
      <c r="U119" s="3778">
        <f>MAR!P678</f>
        <v>0</v>
      </c>
      <c r="V119" s="1846">
        <f t="shared" si="23"/>
        <v>8000000</v>
      </c>
    </row>
    <row r="120" spans="1:22" s="257" customFormat="1" ht="15.05" customHeight="1">
      <c r="A120" s="1855"/>
      <c r="B120" s="1855"/>
      <c r="C120" s="1855"/>
      <c r="D120" s="1855"/>
      <c r="E120" s="1855"/>
      <c r="F120" s="1857" t="s">
        <v>50</v>
      </c>
      <c r="G120" s="1858"/>
      <c r="H120" s="200" t="s">
        <v>377</v>
      </c>
      <c r="I120" s="217"/>
      <c r="J120" s="3171">
        <v>50000000</v>
      </c>
      <c r="K120" s="3171">
        <v>54930000</v>
      </c>
      <c r="L120" s="3125">
        <v>50000000</v>
      </c>
      <c r="M120" s="3124">
        <v>0</v>
      </c>
      <c r="N120" s="3125">
        <v>1500000</v>
      </c>
      <c r="O120" s="3125">
        <v>1500000</v>
      </c>
      <c r="P120" s="3125">
        <v>55000000</v>
      </c>
      <c r="Q120" s="3125">
        <f t="shared" si="25"/>
        <v>5000000</v>
      </c>
      <c r="R120" s="3605">
        <f t="shared" si="28"/>
        <v>10.000000000000014</v>
      </c>
      <c r="S120" s="3748"/>
      <c r="T120" s="3826"/>
      <c r="U120" s="3778">
        <f>MAR!P679</f>
        <v>0</v>
      </c>
      <c r="V120" s="1846">
        <f t="shared" si="23"/>
        <v>6000000</v>
      </c>
    </row>
    <row r="121" spans="1:22" s="257" customFormat="1" ht="15.05" customHeight="1">
      <c r="A121" s="1855"/>
      <c r="B121" s="1855"/>
      <c r="C121" s="1855"/>
      <c r="D121" s="1855"/>
      <c r="E121" s="1855"/>
      <c r="F121" s="1857" t="s">
        <v>50</v>
      </c>
      <c r="G121" s="1858"/>
      <c r="H121" s="200" t="s">
        <v>378</v>
      </c>
      <c r="I121" s="217"/>
      <c r="J121" s="3171">
        <v>40250000</v>
      </c>
      <c r="K121" s="3171">
        <v>33200000</v>
      </c>
      <c r="L121" s="3125">
        <v>40250000</v>
      </c>
      <c r="M121" s="3124">
        <v>1375000</v>
      </c>
      <c r="N121" s="3125">
        <v>0</v>
      </c>
      <c r="O121" s="3125">
        <v>1375000</v>
      </c>
      <c r="P121" s="3125">
        <v>40250000</v>
      </c>
      <c r="Q121" s="3125">
        <f t="shared" si="25"/>
        <v>0</v>
      </c>
      <c r="R121" s="3605">
        <f t="shared" si="28"/>
        <v>0</v>
      </c>
      <c r="S121" s="3748"/>
      <c r="T121" s="3826"/>
      <c r="U121" s="3778">
        <f>MAR!P680</f>
        <v>0</v>
      </c>
      <c r="V121" s="1846">
        <f t="shared" si="23"/>
        <v>5500000</v>
      </c>
    </row>
    <row r="122" spans="1:22" s="257" customFormat="1" ht="15.05" customHeight="1">
      <c r="A122" s="1855"/>
      <c r="B122" s="1855"/>
      <c r="C122" s="1855"/>
      <c r="D122" s="1855"/>
      <c r="E122" s="1855"/>
      <c r="F122" s="1857" t="s">
        <v>50</v>
      </c>
      <c r="G122" s="1858"/>
      <c r="H122" s="200" t="s">
        <v>379</v>
      </c>
      <c r="I122" s="217"/>
      <c r="J122" s="3171">
        <v>25000000</v>
      </c>
      <c r="K122" s="3171">
        <v>50450000</v>
      </c>
      <c r="L122" s="3125">
        <v>25000000</v>
      </c>
      <c r="M122" s="3124">
        <v>10000000</v>
      </c>
      <c r="N122" s="3125">
        <v>10900000</v>
      </c>
      <c r="O122" s="3125">
        <v>20900000</v>
      </c>
      <c r="P122" s="3125">
        <v>60000000</v>
      </c>
      <c r="Q122" s="3125">
        <f t="shared" si="25"/>
        <v>35000000</v>
      </c>
      <c r="R122" s="3605">
        <f t="shared" si="28"/>
        <v>140</v>
      </c>
      <c r="S122" s="3748"/>
      <c r="T122" s="3826"/>
      <c r="U122" s="3778">
        <f>MAR!P681</f>
        <v>0</v>
      </c>
      <c r="V122" s="1846">
        <f t="shared" si="23"/>
        <v>83600000</v>
      </c>
    </row>
    <row r="123" spans="1:22" s="257" customFormat="1" ht="15.05" customHeight="1">
      <c r="A123" s="1855"/>
      <c r="B123" s="1855"/>
      <c r="C123" s="1855"/>
      <c r="D123" s="1855"/>
      <c r="E123" s="1855"/>
      <c r="F123" s="1857" t="s">
        <v>50</v>
      </c>
      <c r="G123" s="1858"/>
      <c r="H123" s="200" t="s">
        <v>380</v>
      </c>
      <c r="I123" s="217"/>
      <c r="J123" s="3171">
        <v>0</v>
      </c>
      <c r="K123" s="3171">
        <v>0</v>
      </c>
      <c r="L123" s="3125">
        <v>0</v>
      </c>
      <c r="M123" s="3124">
        <v>0</v>
      </c>
      <c r="N123" s="3125">
        <v>0</v>
      </c>
      <c r="O123" s="3125">
        <v>0</v>
      </c>
      <c r="P123" s="3125">
        <v>0</v>
      </c>
      <c r="Q123" s="3125">
        <f t="shared" si="25"/>
        <v>0</v>
      </c>
      <c r="R123" s="3605">
        <v>0</v>
      </c>
      <c r="S123" s="3748"/>
      <c r="T123" s="3826"/>
      <c r="U123" s="3778">
        <f>MAR!P682</f>
        <v>0</v>
      </c>
      <c r="V123" s="1846">
        <f t="shared" si="23"/>
        <v>0</v>
      </c>
    </row>
    <row r="124" spans="1:22" s="257" customFormat="1" ht="15.05" customHeight="1">
      <c r="A124" s="1855"/>
      <c r="B124" s="1855"/>
      <c r="C124" s="1855"/>
      <c r="D124" s="1855"/>
      <c r="E124" s="1855"/>
      <c r="F124" s="1857" t="s">
        <v>50</v>
      </c>
      <c r="G124" s="1858"/>
      <c r="H124" s="200" t="s">
        <v>381</v>
      </c>
      <c r="I124" s="217"/>
      <c r="J124" s="3171">
        <v>60000000</v>
      </c>
      <c r="K124" s="3193">
        <v>27000000</v>
      </c>
      <c r="L124" s="3125">
        <v>60000000</v>
      </c>
      <c r="M124" s="3124">
        <v>1000000</v>
      </c>
      <c r="N124" s="3125">
        <v>1500000</v>
      </c>
      <c r="O124" s="3125">
        <v>2500000</v>
      </c>
      <c r="P124" s="3125">
        <v>60000000</v>
      </c>
      <c r="Q124" s="3125">
        <f t="shared" si="25"/>
        <v>0</v>
      </c>
      <c r="R124" s="3605">
        <f>+P124/L124*100-100</f>
        <v>0</v>
      </c>
      <c r="S124" s="3748"/>
      <c r="T124" s="3826"/>
      <c r="U124" s="3778">
        <f>MAR!P683</f>
        <v>0</v>
      </c>
      <c r="V124" s="1846">
        <f t="shared" si="23"/>
        <v>10000000</v>
      </c>
    </row>
    <row r="125" spans="1:22" s="257" customFormat="1" ht="15.05" customHeight="1">
      <c r="A125" s="1855"/>
      <c r="B125" s="1855"/>
      <c r="C125" s="1855"/>
      <c r="D125" s="1855"/>
      <c r="E125" s="1855"/>
      <c r="F125" s="1857" t="s">
        <v>50</v>
      </c>
      <c r="G125" s="1858"/>
      <c r="H125" s="200" t="s">
        <v>382</v>
      </c>
      <c r="I125" s="217"/>
      <c r="J125" s="3193">
        <v>0</v>
      </c>
      <c r="K125" s="3193">
        <v>0</v>
      </c>
      <c r="L125" s="3125">
        <v>0</v>
      </c>
      <c r="M125" s="3124">
        <v>0</v>
      </c>
      <c r="N125" s="3125">
        <v>0</v>
      </c>
      <c r="O125" s="3125">
        <v>0</v>
      </c>
      <c r="P125" s="3125">
        <v>0</v>
      </c>
      <c r="Q125" s="3125">
        <f t="shared" si="25"/>
        <v>0</v>
      </c>
      <c r="R125" s="3605">
        <v>0</v>
      </c>
      <c r="S125" s="3748"/>
      <c r="T125" s="3826"/>
      <c r="U125" s="3778">
        <f>MAR!P684</f>
        <v>0</v>
      </c>
      <c r="V125" s="1846">
        <f t="shared" si="23"/>
        <v>0</v>
      </c>
    </row>
    <row r="126" spans="1:22" s="257" customFormat="1" ht="15.05" customHeight="1">
      <c r="A126" s="1855"/>
      <c r="B126" s="1855"/>
      <c r="C126" s="1855"/>
      <c r="D126" s="1855"/>
      <c r="E126" s="1855"/>
      <c r="F126" s="1857" t="s">
        <v>50</v>
      </c>
      <c r="G126" s="1858"/>
      <c r="H126" s="200" t="s">
        <v>383</v>
      </c>
      <c r="I126" s="217"/>
      <c r="J126" s="3193">
        <v>0</v>
      </c>
      <c r="K126" s="3193">
        <v>0</v>
      </c>
      <c r="L126" s="3125">
        <v>0</v>
      </c>
      <c r="M126" s="3124">
        <v>0</v>
      </c>
      <c r="N126" s="3125">
        <v>0</v>
      </c>
      <c r="O126" s="3125">
        <v>0</v>
      </c>
      <c r="P126" s="3125">
        <v>0</v>
      </c>
      <c r="Q126" s="3125">
        <f t="shared" si="25"/>
        <v>0</v>
      </c>
      <c r="R126" s="3605">
        <v>0</v>
      </c>
      <c r="S126" s="3748"/>
      <c r="T126" s="3826"/>
      <c r="U126" s="3778">
        <f>MAR!P685</f>
        <v>0</v>
      </c>
      <c r="V126" s="1846">
        <f t="shared" si="23"/>
        <v>0</v>
      </c>
    </row>
    <row r="127" spans="1:22" s="1318" customFormat="1" ht="15.05" customHeight="1">
      <c r="A127" s="1854"/>
      <c r="B127" s="1854"/>
      <c r="C127" s="1854"/>
      <c r="D127" s="1854"/>
      <c r="E127" s="1854"/>
      <c r="F127" s="1464" t="s">
        <v>529</v>
      </c>
      <c r="G127" s="1860"/>
      <c r="H127" s="202"/>
      <c r="I127" s="218"/>
      <c r="J127" s="3123">
        <v>0</v>
      </c>
      <c r="K127" s="3123">
        <v>39252000</v>
      </c>
      <c r="L127" s="3182">
        <v>0</v>
      </c>
      <c r="M127" s="3183">
        <v>4765000</v>
      </c>
      <c r="N127" s="3182">
        <v>8895000</v>
      </c>
      <c r="O127" s="3182">
        <v>13660000</v>
      </c>
      <c r="P127" s="3182">
        <f>SUM(P128:P129)</f>
        <v>50000000</v>
      </c>
      <c r="Q127" s="3182">
        <f t="shared" si="25"/>
        <v>50000000</v>
      </c>
      <c r="R127" s="3601">
        <v>0</v>
      </c>
      <c r="S127" s="3710"/>
      <c r="T127" s="3829"/>
      <c r="U127" s="3777"/>
      <c r="V127" s="1846">
        <f t="shared" si="23"/>
        <v>54640000</v>
      </c>
    </row>
    <row r="128" spans="1:22" s="257" customFormat="1" ht="15.05" customHeight="1">
      <c r="A128" s="1855"/>
      <c r="B128" s="1855"/>
      <c r="C128" s="1855"/>
      <c r="D128" s="1855"/>
      <c r="E128" s="1855"/>
      <c r="F128" s="1857" t="s">
        <v>50</v>
      </c>
      <c r="G128" s="1858"/>
      <c r="H128" s="200" t="s">
        <v>185</v>
      </c>
      <c r="I128" s="217"/>
      <c r="J128" s="3171">
        <v>0</v>
      </c>
      <c r="K128" s="3171"/>
      <c r="L128" s="3125">
        <v>0</v>
      </c>
      <c r="M128" s="3124">
        <v>0</v>
      </c>
      <c r="N128" s="3125">
        <v>0</v>
      </c>
      <c r="O128" s="3125">
        <v>0</v>
      </c>
      <c r="P128" s="3125">
        <v>0</v>
      </c>
      <c r="Q128" s="3125">
        <f t="shared" si="25"/>
        <v>0</v>
      </c>
      <c r="R128" s="3605">
        <v>0</v>
      </c>
      <c r="S128" s="3748"/>
      <c r="T128" s="3826"/>
      <c r="U128" s="3778">
        <v>0</v>
      </c>
      <c r="V128" s="1846">
        <f t="shared" si="23"/>
        <v>0</v>
      </c>
    </row>
    <row r="129" spans="1:22" s="257" customFormat="1" ht="15.05" customHeight="1">
      <c r="A129" s="1855"/>
      <c r="B129" s="1855"/>
      <c r="C129" s="1855"/>
      <c r="D129" s="1855"/>
      <c r="E129" s="1855"/>
      <c r="F129" s="1857" t="s">
        <v>50</v>
      </c>
      <c r="G129" s="1860"/>
      <c r="H129" s="200" t="s">
        <v>530</v>
      </c>
      <c r="I129" s="218"/>
      <c r="J129" s="3123">
        <v>0</v>
      </c>
      <c r="K129" s="3123"/>
      <c r="L129" s="3125">
        <v>0</v>
      </c>
      <c r="M129" s="3124">
        <v>4765000</v>
      </c>
      <c r="N129" s="3125">
        <v>8895000</v>
      </c>
      <c r="O129" s="3125">
        <v>13660000</v>
      </c>
      <c r="P129" s="3125">
        <v>50000000</v>
      </c>
      <c r="Q129" s="3125">
        <f t="shared" si="25"/>
        <v>50000000</v>
      </c>
      <c r="R129" s="3605">
        <v>0</v>
      </c>
      <c r="S129" s="3748"/>
      <c r="T129" s="3826"/>
      <c r="U129" s="3778">
        <f>MAR!P217</f>
        <v>0</v>
      </c>
      <c r="V129" s="1846">
        <f t="shared" si="23"/>
        <v>54640000</v>
      </c>
    </row>
    <row r="130" spans="1:22" s="1318" customFormat="1" ht="15.05" customHeight="1">
      <c r="A130" s="1854"/>
      <c r="B130" s="1854"/>
      <c r="C130" s="1854"/>
      <c r="D130" s="1854"/>
      <c r="E130" s="1854"/>
      <c r="F130" s="1464" t="s">
        <v>531</v>
      </c>
      <c r="G130" s="1860"/>
      <c r="H130" s="202"/>
      <c r="I130" s="218"/>
      <c r="J130" s="3123">
        <v>75000000</v>
      </c>
      <c r="K130" s="3123">
        <f>K131</f>
        <v>45800000</v>
      </c>
      <c r="L130" s="3182">
        <f>L131</f>
        <v>90000000</v>
      </c>
      <c r="M130" s="3183">
        <v>0</v>
      </c>
      <c r="N130" s="3182">
        <v>0</v>
      </c>
      <c r="O130" s="3182">
        <v>0</v>
      </c>
      <c r="P130" s="3182">
        <v>90000000</v>
      </c>
      <c r="Q130" s="3182">
        <f t="shared" si="25"/>
        <v>0</v>
      </c>
      <c r="R130" s="3601">
        <f>+P130/L130*100-100</f>
        <v>0</v>
      </c>
      <c r="S130" s="3710"/>
      <c r="T130" s="3829"/>
      <c r="U130" s="3781"/>
      <c r="V130" s="1846">
        <f t="shared" si="23"/>
        <v>0</v>
      </c>
    </row>
    <row r="131" spans="1:22" s="257" customFormat="1" ht="15.05" customHeight="1">
      <c r="A131" s="1855"/>
      <c r="B131" s="1855"/>
      <c r="C131" s="1855"/>
      <c r="D131" s="1855"/>
      <c r="E131" s="1855"/>
      <c r="F131" s="1857" t="s">
        <v>50</v>
      </c>
      <c r="G131" s="2826"/>
      <c r="H131" s="200" t="s">
        <v>532</v>
      </c>
      <c r="I131" s="217"/>
      <c r="J131" s="3171"/>
      <c r="K131" s="3171">
        <v>45800000</v>
      </c>
      <c r="L131" s="3125">
        <v>90000000</v>
      </c>
      <c r="M131" s="3124">
        <v>0</v>
      </c>
      <c r="N131" s="3125">
        <v>0</v>
      </c>
      <c r="O131" s="3125">
        <v>0</v>
      </c>
      <c r="P131" s="3125">
        <v>90000000</v>
      </c>
      <c r="Q131" s="3125">
        <f t="shared" si="25"/>
        <v>0</v>
      </c>
      <c r="R131" s="3605">
        <f>+P131/L131*100-100</f>
        <v>0</v>
      </c>
      <c r="S131" s="3748"/>
      <c r="T131" s="3826"/>
      <c r="U131" s="3778">
        <f>MAR!P80</f>
        <v>0</v>
      </c>
      <c r="V131" s="1846">
        <f t="shared" si="23"/>
        <v>0</v>
      </c>
    </row>
    <row r="132" spans="1:22" s="1318" customFormat="1" ht="15.05" hidden="1" customHeight="1">
      <c r="A132" s="1885" t="s">
        <v>443</v>
      </c>
      <c r="B132" s="1885">
        <v>1</v>
      </c>
      <c r="C132" s="1885">
        <v>2</v>
      </c>
      <c r="D132" s="1885" t="s">
        <v>438</v>
      </c>
      <c r="E132" s="1885"/>
      <c r="F132" s="1856" t="str">
        <f>MAR!H169</f>
        <v>DINAS LINGKUNGAN HIDUP DAN KEHUTANAN</v>
      </c>
      <c r="G132" s="1860"/>
      <c r="H132" s="202"/>
      <c r="I132" s="218"/>
      <c r="J132" s="3123"/>
      <c r="K132" s="3123"/>
      <c r="L132" s="3182">
        <v>0</v>
      </c>
      <c r="M132" s="3183">
        <v>72425000</v>
      </c>
      <c r="N132" s="3182">
        <v>0</v>
      </c>
      <c r="O132" s="3182">
        <v>72425000</v>
      </c>
      <c r="P132" s="3182">
        <f>P133</f>
        <v>300000000</v>
      </c>
      <c r="Q132" s="3182">
        <f t="shared" si="25"/>
        <v>300000000</v>
      </c>
      <c r="R132" s="3601">
        <v>0</v>
      </c>
      <c r="S132" s="3710"/>
      <c r="T132" s="3829"/>
      <c r="U132" s="3781"/>
      <c r="V132" s="1846">
        <f t="shared" si="23"/>
        <v>289700000</v>
      </c>
    </row>
    <row r="133" spans="1:22" s="257" customFormat="1" ht="15.05" hidden="1" customHeight="1">
      <c r="A133" s="3875">
        <v>4</v>
      </c>
      <c r="B133" s="3875">
        <v>1</v>
      </c>
      <c r="C133" s="3875">
        <v>2</v>
      </c>
      <c r="D133" s="3875" t="s">
        <v>438</v>
      </c>
      <c r="E133" s="1885" t="s">
        <v>440</v>
      </c>
      <c r="F133" s="2214" t="str">
        <f>MAR!I173</f>
        <v>- TEMPAT WISATA DAN OLAH RAGA</v>
      </c>
      <c r="G133" s="200"/>
      <c r="H133" s="200"/>
      <c r="I133" s="217"/>
      <c r="J133" s="3171"/>
      <c r="K133" s="3171"/>
      <c r="L133" s="3125">
        <v>0</v>
      </c>
      <c r="M133" s="3124">
        <v>72425000</v>
      </c>
      <c r="N133" s="3125">
        <v>0</v>
      </c>
      <c r="O133" s="3125">
        <v>72425000</v>
      </c>
      <c r="P133" s="3125">
        <v>300000000</v>
      </c>
      <c r="Q133" s="3125">
        <f t="shared" si="25"/>
        <v>300000000</v>
      </c>
      <c r="R133" s="3605">
        <v>0</v>
      </c>
      <c r="S133" s="3748"/>
      <c r="T133" s="3826"/>
      <c r="U133" s="3778">
        <f>MAR!P618</f>
        <v>0</v>
      </c>
      <c r="V133" s="1846">
        <f t="shared" si="23"/>
        <v>289700000</v>
      </c>
    </row>
    <row r="134" spans="1:22" s="2920" customFormat="1" ht="15.05" customHeight="1">
      <c r="A134" s="3594"/>
      <c r="B134" s="3594"/>
      <c r="C134" s="3594"/>
      <c r="D134" s="3594"/>
      <c r="E134" s="3457"/>
      <c r="F134" s="3458" t="s">
        <v>1189</v>
      </c>
      <c r="G134" s="3459"/>
      <c r="H134" s="3459"/>
      <c r="I134" s="3460"/>
      <c r="J134" s="3461"/>
      <c r="K134" s="3461">
        <v>12450000</v>
      </c>
      <c r="L134" s="3291"/>
      <c r="M134" s="3462"/>
      <c r="N134" s="3291"/>
      <c r="O134" s="3291"/>
      <c r="P134" s="3291"/>
      <c r="Q134" s="3291"/>
      <c r="R134" s="3606"/>
      <c r="S134" s="3711"/>
      <c r="T134" s="3830"/>
      <c r="U134" s="3782"/>
      <c r="V134" s="2923"/>
    </row>
    <row r="135" spans="1:22" s="257" customFormat="1" ht="15.05" customHeight="1">
      <c r="A135" s="1886"/>
      <c r="B135" s="1886"/>
      <c r="C135" s="1886"/>
      <c r="D135" s="1886"/>
      <c r="E135" s="1886"/>
      <c r="F135" s="3456" t="s">
        <v>50</v>
      </c>
      <c r="G135" s="1888"/>
      <c r="H135" s="3455" t="s">
        <v>1190</v>
      </c>
      <c r="I135" s="1894"/>
      <c r="J135" s="3173"/>
      <c r="K135" s="3173">
        <v>12450000</v>
      </c>
      <c r="L135" s="3174"/>
      <c r="M135" s="3175">
        <v>0</v>
      </c>
      <c r="N135" s="3174"/>
      <c r="O135" s="3174"/>
      <c r="P135" s="3174"/>
      <c r="Q135" s="3174"/>
      <c r="R135" s="3612"/>
      <c r="S135" s="3712"/>
      <c r="T135" s="3831"/>
      <c r="U135" s="1899"/>
      <c r="V135" s="1846">
        <f t="shared" si="23"/>
        <v>0</v>
      </c>
    </row>
    <row r="136" spans="1:22" s="2932" customFormat="1" ht="15.05" customHeight="1">
      <c r="A136" s="3060">
        <v>4</v>
      </c>
      <c r="B136" s="3060">
        <v>1</v>
      </c>
      <c r="C136" s="3060">
        <v>2</v>
      </c>
      <c r="D136" s="3060" t="s">
        <v>438</v>
      </c>
      <c r="E136" s="3060" t="s">
        <v>440</v>
      </c>
      <c r="F136" s="3061" t="s">
        <v>304</v>
      </c>
      <c r="G136" s="3061"/>
      <c r="H136" s="3062"/>
      <c r="I136" s="3062"/>
      <c r="J136" s="3195">
        <v>2512125000</v>
      </c>
      <c r="K136" s="3195">
        <f t="shared" ref="K136:P136" si="29">K137+K140+K142+K144+K148+K150+K152</f>
        <v>2733928400</v>
      </c>
      <c r="L136" s="3195">
        <f t="shared" si="29"/>
        <v>2547125000</v>
      </c>
      <c r="M136" s="3195">
        <f t="shared" si="29"/>
        <v>174860000</v>
      </c>
      <c r="N136" s="3195">
        <f t="shared" si="29"/>
        <v>136900000</v>
      </c>
      <c r="O136" s="3195">
        <f t="shared" si="29"/>
        <v>311760000</v>
      </c>
      <c r="P136" s="3195">
        <f t="shared" si="29"/>
        <v>2547125000</v>
      </c>
      <c r="Q136" s="3196">
        <f t="shared" ref="Q136:Q154" si="30">+P136-L136</f>
        <v>0</v>
      </c>
      <c r="R136" s="3614">
        <f t="shared" ref="R136:R145" si="31">+P136/L136*100-100</f>
        <v>0</v>
      </c>
      <c r="S136" s="3766"/>
      <c r="T136" s="3196"/>
      <c r="U136" s="3783"/>
      <c r="V136" s="2931">
        <f t="shared" si="23"/>
        <v>1247040000</v>
      </c>
    </row>
    <row r="137" spans="1:22" s="257" customFormat="1" ht="15.05" customHeight="1">
      <c r="A137" s="1889"/>
      <c r="B137" s="1889"/>
      <c r="C137" s="1889"/>
      <c r="D137" s="1889"/>
      <c r="E137" s="1889"/>
      <c r="F137" s="2827" t="s">
        <v>62</v>
      </c>
      <c r="G137" s="2828"/>
      <c r="H137" s="212"/>
      <c r="I137" s="225"/>
      <c r="J137" s="3155">
        <f>SUM(J138:J139)</f>
        <v>63500000</v>
      </c>
      <c r="K137" s="3155">
        <f t="shared" ref="K137:P137" si="32">SUM(K138:K139)</f>
        <v>66678400</v>
      </c>
      <c r="L137" s="3155">
        <f t="shared" si="32"/>
        <v>63500000</v>
      </c>
      <c r="M137" s="3155">
        <f t="shared" si="32"/>
        <v>3480000</v>
      </c>
      <c r="N137" s="3155">
        <f t="shared" si="32"/>
        <v>0</v>
      </c>
      <c r="O137" s="3155">
        <f t="shared" si="32"/>
        <v>3480000</v>
      </c>
      <c r="P137" s="3155">
        <f t="shared" si="32"/>
        <v>63500000</v>
      </c>
      <c r="Q137" s="3197">
        <f t="shared" si="30"/>
        <v>0</v>
      </c>
      <c r="R137" s="3608">
        <f t="shared" si="31"/>
        <v>0</v>
      </c>
      <c r="S137" s="3713"/>
      <c r="T137" s="3832"/>
      <c r="U137" s="1900"/>
      <c r="V137" s="1846">
        <f t="shared" si="23"/>
        <v>13920000</v>
      </c>
    </row>
    <row r="138" spans="1:22" s="257" customFormat="1" ht="15.05" customHeight="1">
      <c r="A138" s="1855"/>
      <c r="B138" s="1855"/>
      <c r="C138" s="1855"/>
      <c r="D138" s="1855"/>
      <c r="E138" s="1855"/>
      <c r="F138" s="1857" t="s">
        <v>50</v>
      </c>
      <c r="G138" s="1858"/>
      <c r="H138" s="200" t="str">
        <f>MAR!I18</f>
        <v>Wisma Seruni</v>
      </c>
      <c r="I138" s="217"/>
      <c r="J138" s="3171">
        <v>60000000</v>
      </c>
      <c r="K138" s="3171">
        <v>66678400</v>
      </c>
      <c r="L138" s="3125">
        <v>60000000</v>
      </c>
      <c r="M138" s="3124">
        <v>3480000</v>
      </c>
      <c r="N138" s="3125">
        <v>0</v>
      </c>
      <c r="O138" s="3125">
        <v>3480000</v>
      </c>
      <c r="P138" s="3125">
        <v>60000000</v>
      </c>
      <c r="Q138" s="3125">
        <f t="shared" si="30"/>
        <v>0</v>
      </c>
      <c r="R138" s="3605">
        <f t="shared" si="31"/>
        <v>0</v>
      </c>
      <c r="S138" s="3275"/>
      <c r="T138" s="3826"/>
      <c r="U138" s="3771"/>
      <c r="V138" s="1846">
        <f t="shared" si="23"/>
        <v>13920000</v>
      </c>
    </row>
    <row r="139" spans="1:22" s="257" customFormat="1" ht="15.05" customHeight="1">
      <c r="A139" s="1855"/>
      <c r="B139" s="1855"/>
      <c r="C139" s="1855"/>
      <c r="D139" s="1855"/>
      <c r="E139" s="1855"/>
      <c r="F139" s="1857" t="s">
        <v>50</v>
      </c>
      <c r="G139" s="1858"/>
      <c r="H139" s="200" t="str">
        <f>MAR!I19</f>
        <v>Penginapan Taman Budaya (Eks Dinas Pariwisata)</v>
      </c>
      <c r="I139" s="217"/>
      <c r="J139" s="3171">
        <v>3500000</v>
      </c>
      <c r="K139" s="3171"/>
      <c r="L139" s="3125">
        <v>3500000</v>
      </c>
      <c r="M139" s="3124">
        <v>0</v>
      </c>
      <c r="N139" s="3125">
        <v>0</v>
      </c>
      <c r="O139" s="3125">
        <v>0</v>
      </c>
      <c r="P139" s="3125">
        <v>3500000</v>
      </c>
      <c r="Q139" s="3125">
        <f t="shared" si="30"/>
        <v>0</v>
      </c>
      <c r="R139" s="3605">
        <f t="shared" si="31"/>
        <v>0</v>
      </c>
      <c r="S139" s="3275"/>
      <c r="T139" s="3826"/>
      <c r="U139" s="3771"/>
      <c r="V139" s="1846">
        <f t="shared" si="23"/>
        <v>0</v>
      </c>
    </row>
    <row r="140" spans="1:22" s="257" customFormat="1" ht="15.05" customHeight="1">
      <c r="A140" s="1855"/>
      <c r="B140" s="1855"/>
      <c r="C140" s="1855"/>
      <c r="D140" s="1855"/>
      <c r="E140" s="1855"/>
      <c r="F140" s="1464" t="s">
        <v>531</v>
      </c>
      <c r="G140" s="1860"/>
      <c r="H140" s="202"/>
      <c r="I140" s="218"/>
      <c r="J140" s="3123">
        <v>175000000</v>
      </c>
      <c r="K140" s="3123">
        <v>148775000</v>
      </c>
      <c r="L140" s="3182">
        <v>210000000</v>
      </c>
      <c r="M140" s="3183">
        <v>0</v>
      </c>
      <c r="N140" s="3182">
        <v>0</v>
      </c>
      <c r="O140" s="3182">
        <v>0</v>
      </c>
      <c r="P140" s="3182">
        <v>210000000</v>
      </c>
      <c r="Q140" s="3182">
        <f t="shared" si="30"/>
        <v>0</v>
      </c>
      <c r="R140" s="3601">
        <f t="shared" si="31"/>
        <v>0</v>
      </c>
      <c r="S140" s="3710"/>
      <c r="T140" s="3829"/>
      <c r="U140" s="3771"/>
      <c r="V140" s="1846">
        <f t="shared" si="23"/>
        <v>0</v>
      </c>
    </row>
    <row r="141" spans="1:22" s="257" customFormat="1" ht="15.05" customHeight="1">
      <c r="A141" s="1855"/>
      <c r="B141" s="1855"/>
      <c r="C141" s="1855"/>
      <c r="D141" s="1855"/>
      <c r="E141" s="1855"/>
      <c r="F141" s="1857" t="s">
        <v>50</v>
      </c>
      <c r="G141" s="1858"/>
      <c r="H141" s="200" t="str">
        <f>PerDinas!G115</f>
        <v>Retribusi Tempat Penginapan/Pesanggrahan/Villa</v>
      </c>
      <c r="I141" s="217"/>
      <c r="J141" s="3171">
        <v>175000000</v>
      </c>
      <c r="K141" s="3171">
        <v>148775000</v>
      </c>
      <c r="L141" s="3125">
        <v>210000000</v>
      </c>
      <c r="M141" s="3124">
        <v>0</v>
      </c>
      <c r="N141" s="3125">
        <v>0</v>
      </c>
      <c r="O141" s="3125">
        <v>0</v>
      </c>
      <c r="P141" s="3125">
        <v>210000000</v>
      </c>
      <c r="Q141" s="3125">
        <f t="shared" si="30"/>
        <v>0</v>
      </c>
      <c r="R141" s="3605">
        <f t="shared" si="31"/>
        <v>0</v>
      </c>
      <c r="S141" s="3275"/>
      <c r="T141" s="3826"/>
      <c r="U141" s="3771"/>
      <c r="V141" s="1846">
        <f t="shared" si="23"/>
        <v>0</v>
      </c>
    </row>
    <row r="142" spans="1:22" s="257" customFormat="1" ht="15.05" customHeight="1">
      <c r="A142" s="1855"/>
      <c r="B142" s="1855"/>
      <c r="C142" s="1855"/>
      <c r="D142" s="1855"/>
      <c r="E142" s="1855"/>
      <c r="F142" s="1464" t="s">
        <v>133</v>
      </c>
      <c r="G142" s="1860"/>
      <c r="H142" s="202"/>
      <c r="I142" s="218"/>
      <c r="J142" s="3123">
        <v>75000000</v>
      </c>
      <c r="K142" s="3123">
        <v>83250000</v>
      </c>
      <c r="L142" s="3182">
        <v>75000000</v>
      </c>
      <c r="M142" s="3183">
        <v>9880000</v>
      </c>
      <c r="N142" s="3182">
        <v>0</v>
      </c>
      <c r="O142" s="3182">
        <v>9880000</v>
      </c>
      <c r="P142" s="3182">
        <v>75000000</v>
      </c>
      <c r="Q142" s="3182">
        <f t="shared" si="30"/>
        <v>0</v>
      </c>
      <c r="R142" s="3601">
        <f t="shared" si="31"/>
        <v>0</v>
      </c>
      <c r="S142" s="3710"/>
      <c r="T142" s="3829"/>
      <c r="U142" s="3771"/>
      <c r="V142" s="1846">
        <f t="shared" si="23"/>
        <v>39520000</v>
      </c>
    </row>
    <row r="143" spans="1:22" s="257" customFormat="1" ht="15.05" customHeight="1">
      <c r="A143" s="1855"/>
      <c r="B143" s="1855"/>
      <c r="C143" s="1855"/>
      <c r="D143" s="1855"/>
      <c r="E143" s="1855"/>
      <c r="F143" s="1857" t="s">
        <v>50</v>
      </c>
      <c r="G143" s="1858"/>
      <c r="H143" s="200" t="s">
        <v>533</v>
      </c>
      <c r="I143" s="217"/>
      <c r="J143" s="3171">
        <v>75000000</v>
      </c>
      <c r="K143" s="3171">
        <v>83250000</v>
      </c>
      <c r="L143" s="3125">
        <v>75000000</v>
      </c>
      <c r="M143" s="3124">
        <v>9880000</v>
      </c>
      <c r="N143" s="3125">
        <v>0</v>
      </c>
      <c r="O143" s="3125">
        <v>9880000</v>
      </c>
      <c r="P143" s="3125">
        <v>75000000</v>
      </c>
      <c r="Q143" s="3125">
        <f t="shared" si="30"/>
        <v>0</v>
      </c>
      <c r="R143" s="3605">
        <f t="shared" si="31"/>
        <v>0</v>
      </c>
      <c r="S143" s="3275"/>
      <c r="T143" s="3826"/>
      <c r="U143" s="3771"/>
      <c r="V143" s="1846">
        <f t="shared" si="23"/>
        <v>39520000</v>
      </c>
    </row>
    <row r="144" spans="1:22" s="257" customFormat="1" ht="15.05" customHeight="1">
      <c r="A144" s="1855"/>
      <c r="B144" s="1855"/>
      <c r="C144" s="1855"/>
      <c r="D144" s="1855"/>
      <c r="E144" s="1855"/>
      <c r="F144" s="1464" t="s">
        <v>496</v>
      </c>
      <c r="G144" s="1860"/>
      <c r="H144" s="202"/>
      <c r="I144" s="218"/>
      <c r="J144" s="3123">
        <v>348625000</v>
      </c>
      <c r="K144" s="3123">
        <v>494000000</v>
      </c>
      <c r="L144" s="3182">
        <v>348625000</v>
      </c>
      <c r="M144" s="3183">
        <v>16500000</v>
      </c>
      <c r="N144" s="3182">
        <v>67100000</v>
      </c>
      <c r="O144" s="3182">
        <v>83600000</v>
      </c>
      <c r="P144" s="3182">
        <v>348625000</v>
      </c>
      <c r="Q144" s="3182">
        <f t="shared" si="30"/>
        <v>0</v>
      </c>
      <c r="R144" s="3601">
        <f t="shared" si="31"/>
        <v>0</v>
      </c>
      <c r="S144" s="3710"/>
      <c r="T144" s="3829"/>
      <c r="U144" s="3771"/>
      <c r="V144" s="1846">
        <f t="shared" si="23"/>
        <v>334400000</v>
      </c>
    </row>
    <row r="145" spans="1:22" s="257" customFormat="1" ht="15.05" customHeight="1">
      <c r="A145" s="1855"/>
      <c r="B145" s="1855"/>
      <c r="C145" s="1855"/>
      <c r="D145" s="1855"/>
      <c r="E145" s="1855"/>
      <c r="F145" s="1857" t="s">
        <v>50</v>
      </c>
      <c r="G145" s="1858"/>
      <c r="H145" s="200" t="s">
        <v>144</v>
      </c>
      <c r="I145" s="217"/>
      <c r="J145" s="3171">
        <v>348625000</v>
      </c>
      <c r="K145" s="3171">
        <v>494000000</v>
      </c>
      <c r="L145" s="3125">
        <v>348625000</v>
      </c>
      <c r="M145" s="3124">
        <v>16500000</v>
      </c>
      <c r="N145" s="3125">
        <v>67100000</v>
      </c>
      <c r="O145" s="3125">
        <v>83600000</v>
      </c>
      <c r="P145" s="3125">
        <v>348625000</v>
      </c>
      <c r="Q145" s="3125">
        <f t="shared" si="30"/>
        <v>0</v>
      </c>
      <c r="R145" s="3605">
        <f t="shared" si="31"/>
        <v>0</v>
      </c>
      <c r="S145" s="3748"/>
      <c r="T145" s="3826"/>
      <c r="U145" s="3778">
        <f>PerDinas!Q348</f>
        <v>0</v>
      </c>
      <c r="V145" s="1846">
        <f t="shared" si="23"/>
        <v>334400000</v>
      </c>
    </row>
    <row r="146" spans="1:22" s="257" customFormat="1" ht="15.05" hidden="1" customHeight="1">
      <c r="A146" s="1855"/>
      <c r="B146" s="1855"/>
      <c r="C146" s="1855"/>
      <c r="D146" s="1855"/>
      <c r="E146" s="1855"/>
      <c r="F146" s="1464" t="s">
        <v>534</v>
      </c>
      <c r="G146" s="1860"/>
      <c r="H146" s="202"/>
      <c r="I146" s="218"/>
      <c r="J146" s="3123" t="s">
        <v>50</v>
      </c>
      <c r="K146" s="3123"/>
      <c r="L146" s="3182">
        <v>0</v>
      </c>
      <c r="M146" s="3183">
        <v>0</v>
      </c>
      <c r="N146" s="3182">
        <v>0</v>
      </c>
      <c r="O146" s="3182">
        <v>0</v>
      </c>
      <c r="P146" s="3182">
        <v>0</v>
      </c>
      <c r="Q146" s="3182">
        <f t="shared" si="30"/>
        <v>0</v>
      </c>
      <c r="R146" s="3601">
        <v>0</v>
      </c>
      <c r="S146" s="3710"/>
      <c r="T146" s="3829"/>
      <c r="U146" s="3771"/>
      <c r="V146" s="1846">
        <f t="shared" si="23"/>
        <v>0</v>
      </c>
    </row>
    <row r="147" spans="1:22" s="257" customFormat="1" ht="15.05" hidden="1" customHeight="1">
      <c r="A147" s="1855"/>
      <c r="B147" s="1855"/>
      <c r="C147" s="1855"/>
      <c r="D147" s="1855"/>
      <c r="E147" s="1855"/>
      <c r="F147" s="1857" t="s">
        <v>50</v>
      </c>
      <c r="G147" s="1858"/>
      <c r="H147" s="200" t="s">
        <v>500</v>
      </c>
      <c r="I147" s="217"/>
      <c r="J147" s="3171">
        <v>3500000</v>
      </c>
      <c r="K147" s="3171">
        <v>0</v>
      </c>
      <c r="L147" s="3125">
        <v>0</v>
      </c>
      <c r="M147" s="3124">
        <v>0</v>
      </c>
      <c r="N147" s="3125">
        <v>0</v>
      </c>
      <c r="O147" s="3125">
        <v>0</v>
      </c>
      <c r="P147" s="3125">
        <v>0</v>
      </c>
      <c r="Q147" s="3125">
        <f t="shared" si="30"/>
        <v>0</v>
      </c>
      <c r="R147" s="3605">
        <v>0</v>
      </c>
      <c r="S147" s="3748"/>
      <c r="T147" s="3826"/>
      <c r="U147" s="3778">
        <f>PerDinas!Q375</f>
        <v>0</v>
      </c>
      <c r="V147" s="1846">
        <f t="shared" si="23"/>
        <v>0</v>
      </c>
    </row>
    <row r="148" spans="1:22" s="257" customFormat="1" ht="15.05" customHeight="1">
      <c r="A148" s="1855"/>
      <c r="B148" s="1855"/>
      <c r="C148" s="1855"/>
      <c r="D148" s="1855"/>
      <c r="E148" s="1855"/>
      <c r="F148" s="1464" t="s">
        <v>535</v>
      </c>
      <c r="G148" s="1860"/>
      <c r="H148" s="202"/>
      <c r="I148" s="218"/>
      <c r="J148" s="3123">
        <v>1500000000</v>
      </c>
      <c r="K148" s="3123">
        <v>1073900000</v>
      </c>
      <c r="L148" s="3182">
        <v>1500000000</v>
      </c>
      <c r="M148" s="3183">
        <v>131950000</v>
      </c>
      <c r="N148" s="3182">
        <v>69400000</v>
      </c>
      <c r="O148" s="3182">
        <v>201350000</v>
      </c>
      <c r="P148" s="3182">
        <v>1500000000</v>
      </c>
      <c r="Q148" s="3182">
        <f t="shared" si="30"/>
        <v>0</v>
      </c>
      <c r="R148" s="3601">
        <f t="shared" ref="R148:R153" si="33">+P148/L148*100-100</f>
        <v>0</v>
      </c>
      <c r="S148" s="3710"/>
      <c r="T148" s="3829"/>
      <c r="U148" s="3771"/>
      <c r="V148" s="1846">
        <f t="shared" si="23"/>
        <v>805400000</v>
      </c>
    </row>
    <row r="149" spans="1:22" s="257" customFormat="1" ht="15.05" customHeight="1">
      <c r="A149" s="1855"/>
      <c r="B149" s="1855"/>
      <c r="C149" s="1855"/>
      <c r="D149" s="1855"/>
      <c r="E149" s="1855"/>
      <c r="F149" s="1857" t="s">
        <v>50</v>
      </c>
      <c r="G149" s="1858"/>
      <c r="H149" s="200" t="str">
        <f>PerDinas!G645</f>
        <v xml:space="preserve">KANTOR PENGHUBUNG PROVINSI NTB  </v>
      </c>
      <c r="I149" s="217"/>
      <c r="J149" s="3171">
        <v>1500000000</v>
      </c>
      <c r="K149" s="3171">
        <v>1073900000</v>
      </c>
      <c r="L149" s="3125">
        <v>1500000000</v>
      </c>
      <c r="M149" s="3124">
        <v>131950000</v>
      </c>
      <c r="N149" s="3125">
        <v>69400000</v>
      </c>
      <c r="O149" s="3125">
        <v>201350000</v>
      </c>
      <c r="P149" s="3125">
        <v>1500000000</v>
      </c>
      <c r="Q149" s="3125">
        <f t="shared" si="30"/>
        <v>0</v>
      </c>
      <c r="R149" s="3605">
        <f t="shared" si="33"/>
        <v>0</v>
      </c>
      <c r="S149" s="3275"/>
      <c r="T149" s="3826"/>
      <c r="U149" s="3771"/>
      <c r="V149" s="1846">
        <f t="shared" si="23"/>
        <v>805400000</v>
      </c>
    </row>
    <row r="150" spans="1:22" s="257" customFormat="1" ht="15.05" customHeight="1">
      <c r="A150" s="1855"/>
      <c r="B150" s="1855"/>
      <c r="C150" s="1855"/>
      <c r="D150" s="1855"/>
      <c r="E150" s="1855"/>
      <c r="F150" s="1464" t="s">
        <v>326</v>
      </c>
      <c r="G150" s="1860"/>
      <c r="H150" s="202"/>
      <c r="I150" s="218"/>
      <c r="J150" s="3123">
        <f>J151</f>
        <v>150000000</v>
      </c>
      <c r="K150" s="3123">
        <f>K151</f>
        <v>534475000</v>
      </c>
      <c r="L150" s="3182">
        <v>150000000</v>
      </c>
      <c r="M150" s="3183">
        <v>13050000</v>
      </c>
      <c r="N150" s="3182">
        <v>0</v>
      </c>
      <c r="O150" s="3182">
        <v>13050000</v>
      </c>
      <c r="P150" s="3182">
        <v>150000000</v>
      </c>
      <c r="Q150" s="3182">
        <f t="shared" si="30"/>
        <v>0</v>
      </c>
      <c r="R150" s="3601">
        <f t="shared" si="33"/>
        <v>0</v>
      </c>
      <c r="S150" s="3710"/>
      <c r="T150" s="3829"/>
      <c r="U150" s="3771"/>
      <c r="V150" s="1846">
        <f t="shared" si="23"/>
        <v>52200000</v>
      </c>
    </row>
    <row r="151" spans="1:22" s="257" customFormat="1" ht="15.05" customHeight="1">
      <c r="A151" s="1855"/>
      <c r="B151" s="1855"/>
      <c r="C151" s="1855"/>
      <c r="D151" s="1855"/>
      <c r="E151" s="1855"/>
      <c r="F151" s="1857" t="s">
        <v>50</v>
      </c>
      <c r="G151" s="1858"/>
      <c r="H151" s="200" t="str">
        <f>H141</f>
        <v>Retribusi Tempat Penginapan/Pesanggrahan/Villa</v>
      </c>
      <c r="I151" s="217"/>
      <c r="J151" s="3171">
        <v>150000000</v>
      </c>
      <c r="K151" s="3171">
        <v>534475000</v>
      </c>
      <c r="L151" s="3125">
        <v>150000000</v>
      </c>
      <c r="M151" s="3124">
        <v>13050000</v>
      </c>
      <c r="N151" s="3125">
        <v>0</v>
      </c>
      <c r="O151" s="3125">
        <v>13050000</v>
      </c>
      <c r="P151" s="3125">
        <v>150000000</v>
      </c>
      <c r="Q151" s="3125">
        <f t="shared" si="30"/>
        <v>0</v>
      </c>
      <c r="R151" s="3605">
        <f t="shared" si="33"/>
        <v>0</v>
      </c>
      <c r="S151" s="3275"/>
      <c r="T151" s="3826"/>
      <c r="U151" s="3771"/>
      <c r="V151" s="1846">
        <f t="shared" si="23"/>
        <v>52200000</v>
      </c>
    </row>
    <row r="152" spans="1:22" s="257" customFormat="1" ht="15.05" customHeight="1">
      <c r="A152" s="1855"/>
      <c r="B152" s="1855"/>
      <c r="C152" s="1855"/>
      <c r="D152" s="1855"/>
      <c r="E152" s="1855"/>
      <c r="F152" s="1464" t="s">
        <v>463</v>
      </c>
      <c r="G152" s="1860"/>
      <c r="H152" s="202"/>
      <c r="I152" s="218"/>
      <c r="J152" s="3123">
        <f>J153</f>
        <v>200000000</v>
      </c>
      <c r="K152" s="3123">
        <f>K153</f>
        <v>332850000</v>
      </c>
      <c r="L152" s="3182">
        <v>200000000</v>
      </c>
      <c r="M152" s="3183">
        <v>0</v>
      </c>
      <c r="N152" s="3182">
        <v>400000</v>
      </c>
      <c r="O152" s="3182">
        <v>400000</v>
      </c>
      <c r="P152" s="3182">
        <v>200000000</v>
      </c>
      <c r="Q152" s="3182">
        <f t="shared" si="30"/>
        <v>0</v>
      </c>
      <c r="R152" s="3601">
        <f t="shared" si="33"/>
        <v>0</v>
      </c>
      <c r="S152" s="3710"/>
      <c r="T152" s="3829"/>
      <c r="U152" s="3771"/>
      <c r="V152" s="1846">
        <f t="shared" si="23"/>
        <v>1600000</v>
      </c>
    </row>
    <row r="153" spans="1:22" s="257" customFormat="1" ht="15.05" customHeight="1">
      <c r="A153" s="1855"/>
      <c r="B153" s="1855"/>
      <c r="C153" s="1855"/>
      <c r="D153" s="1855"/>
      <c r="E153" s="1855"/>
      <c r="F153" s="1857" t="s">
        <v>50</v>
      </c>
      <c r="G153" s="1858"/>
      <c r="H153" s="200" t="s">
        <v>536</v>
      </c>
      <c r="I153" s="217"/>
      <c r="J153" s="3171">
        <v>200000000</v>
      </c>
      <c r="K153" s="3171">
        <v>332850000</v>
      </c>
      <c r="L153" s="3125">
        <v>200000000</v>
      </c>
      <c r="M153" s="3124">
        <v>0</v>
      </c>
      <c r="N153" s="3125">
        <v>400000</v>
      </c>
      <c r="O153" s="3125">
        <v>400000</v>
      </c>
      <c r="P153" s="3125">
        <v>200000000</v>
      </c>
      <c r="Q153" s="3125">
        <f t="shared" si="30"/>
        <v>0</v>
      </c>
      <c r="R153" s="3605">
        <f t="shared" si="33"/>
        <v>0</v>
      </c>
      <c r="S153" s="3748"/>
      <c r="T153" s="3826"/>
      <c r="U153" s="3778">
        <f>PerDinas!Q1017</f>
        <v>0</v>
      </c>
      <c r="V153" s="1846">
        <f t="shared" si="23"/>
        <v>1600000</v>
      </c>
    </row>
    <row r="154" spans="1:22" s="257" customFormat="1" ht="15.05" customHeight="1">
      <c r="A154" s="1855"/>
      <c r="B154" s="1855"/>
      <c r="C154" s="1855"/>
      <c r="D154" s="1855"/>
      <c r="E154" s="1855"/>
      <c r="F154" s="1901"/>
      <c r="G154" s="1858"/>
      <c r="H154" s="200"/>
      <c r="I154" s="217"/>
      <c r="J154" s="3171"/>
      <c r="K154" s="3171"/>
      <c r="L154" s="3182">
        <v>0</v>
      </c>
      <c r="M154" s="3183">
        <v>0</v>
      </c>
      <c r="N154" s="3182">
        <v>0</v>
      </c>
      <c r="O154" s="3182">
        <v>0</v>
      </c>
      <c r="P154" s="3182">
        <v>0</v>
      </c>
      <c r="Q154" s="3182">
        <f t="shared" si="30"/>
        <v>0</v>
      </c>
      <c r="R154" s="3601">
        <v>0</v>
      </c>
      <c r="S154" s="3710"/>
      <c r="T154" s="3829"/>
      <c r="U154" s="3771"/>
      <c r="V154" s="1846">
        <f t="shared" si="23"/>
        <v>0</v>
      </c>
    </row>
    <row r="155" spans="1:22" s="2936" customFormat="1" ht="15.05" customHeight="1">
      <c r="A155" s="3047" t="s">
        <v>443</v>
      </c>
      <c r="B155" s="3047" t="s">
        <v>58</v>
      </c>
      <c r="C155" s="3047" t="s">
        <v>460</v>
      </c>
      <c r="D155" s="3878" t="s">
        <v>438</v>
      </c>
      <c r="E155" s="3878" t="s">
        <v>451</v>
      </c>
      <c r="F155" s="2926" t="s">
        <v>1179</v>
      </c>
      <c r="H155" s="2927"/>
      <c r="I155" s="2929"/>
      <c r="J155" s="3172">
        <f>J156+J158</f>
        <v>0</v>
      </c>
      <c r="K155" s="3172">
        <f>K156+K158</f>
        <v>0</v>
      </c>
      <c r="L155" s="3172">
        <f>L156+L158</f>
        <v>0</v>
      </c>
      <c r="M155" s="3170">
        <v>0</v>
      </c>
      <c r="N155" s="3169">
        <v>0</v>
      </c>
      <c r="O155" s="3169">
        <f>O156+O158</f>
        <v>97365000</v>
      </c>
      <c r="P155" s="3169">
        <f>P156+P158</f>
        <v>375000000</v>
      </c>
      <c r="Q155" s="3169">
        <f>Q156+Q158</f>
        <v>375000000</v>
      </c>
      <c r="R155" s="3611">
        <v>0</v>
      </c>
      <c r="S155" s="3708"/>
      <c r="T155" s="3827"/>
      <c r="U155" s="3784"/>
      <c r="V155" s="2938">
        <f t="shared" si="23"/>
        <v>389460000</v>
      </c>
    </row>
    <row r="156" spans="1:22" s="257" customFormat="1" ht="15.05" customHeight="1">
      <c r="A156" s="2875"/>
      <c r="B156" s="2875"/>
      <c r="C156" s="2875"/>
      <c r="D156" s="2876"/>
      <c r="E156" s="2876"/>
      <c r="F156" s="1856" t="s">
        <v>411</v>
      </c>
      <c r="G156" s="847"/>
      <c r="H156" s="200"/>
      <c r="I156" s="217"/>
      <c r="J156" s="3171"/>
      <c r="K156" s="3171"/>
      <c r="L156" s="3125"/>
      <c r="M156" s="3190">
        <v>9495000</v>
      </c>
      <c r="N156" s="3191">
        <v>15445000</v>
      </c>
      <c r="O156" s="3128">
        <v>24940000</v>
      </c>
      <c r="P156" s="3128">
        <f>+P157</f>
        <v>75000000</v>
      </c>
      <c r="Q156" s="3128">
        <f>+P156-L156</f>
        <v>75000000</v>
      </c>
      <c r="R156" s="3605">
        <v>0</v>
      </c>
      <c r="S156" s="3275"/>
      <c r="T156" s="3826"/>
      <c r="U156" s="3778"/>
      <c r="V156" s="1846"/>
    </row>
    <row r="157" spans="1:22" s="257" customFormat="1" ht="15.05" customHeight="1">
      <c r="A157" s="2875"/>
      <c r="B157" s="2875"/>
      <c r="C157" s="2875"/>
      <c r="D157" s="2876"/>
      <c r="E157" s="2876"/>
      <c r="F157" s="2744" t="s">
        <v>50</v>
      </c>
      <c r="G157" s="224" t="s">
        <v>413</v>
      </c>
      <c r="H157" s="200"/>
      <c r="I157" s="217"/>
      <c r="J157" s="3171"/>
      <c r="K157" s="3171"/>
      <c r="L157" s="3125"/>
      <c r="M157" s="3190">
        <v>9495000</v>
      </c>
      <c r="N157" s="3192">
        <v>15445000</v>
      </c>
      <c r="O157" s="3165">
        <v>24940000</v>
      </c>
      <c r="P157" s="3165">
        <v>75000000</v>
      </c>
      <c r="Q157" s="3165">
        <f>+P157-L157</f>
        <v>75000000</v>
      </c>
      <c r="R157" s="3605">
        <v>0</v>
      </c>
      <c r="S157" s="3275"/>
      <c r="T157" s="3826"/>
      <c r="U157" s="3778"/>
      <c r="V157" s="1846"/>
    </row>
    <row r="158" spans="1:22" s="257" customFormat="1" ht="15.05" customHeight="1">
      <c r="A158" s="2875"/>
      <c r="B158" s="2875"/>
      <c r="C158" s="2875"/>
      <c r="D158" s="2876"/>
      <c r="E158" s="2876"/>
      <c r="F158" s="1856" t="s">
        <v>122</v>
      </c>
      <c r="G158" s="1860"/>
      <c r="H158" s="202"/>
      <c r="I158" s="218"/>
      <c r="J158" s="3123"/>
      <c r="K158" s="3123"/>
      <c r="L158" s="3182">
        <v>0</v>
      </c>
      <c r="M158" s="3183">
        <v>72425000</v>
      </c>
      <c r="N158" s="3182">
        <v>0</v>
      </c>
      <c r="O158" s="3182">
        <v>72425000</v>
      </c>
      <c r="P158" s="3182">
        <f>P159</f>
        <v>300000000</v>
      </c>
      <c r="Q158" s="3182">
        <f>Q159</f>
        <v>300000000</v>
      </c>
      <c r="R158" s="3601">
        <v>0</v>
      </c>
      <c r="S158" s="3710"/>
      <c r="T158" s="3829"/>
      <c r="U158" s="3781"/>
      <c r="V158" s="1846"/>
    </row>
    <row r="159" spans="1:22" s="257" customFormat="1" ht="15.05" customHeight="1">
      <c r="A159" s="2875"/>
      <c r="B159" s="2875"/>
      <c r="C159" s="2875"/>
      <c r="D159" s="2876"/>
      <c r="E159" s="2876"/>
      <c r="F159" s="2744" t="s">
        <v>50</v>
      </c>
      <c r="G159" s="224" t="s">
        <v>413</v>
      </c>
      <c r="H159" s="200"/>
      <c r="I159" s="217"/>
      <c r="J159" s="3171"/>
      <c r="K159" s="3171"/>
      <c r="L159" s="3125">
        <v>0</v>
      </c>
      <c r="M159" s="3124">
        <v>72425000</v>
      </c>
      <c r="N159" s="3125">
        <v>0</v>
      </c>
      <c r="O159" s="3125">
        <v>72425000</v>
      </c>
      <c r="P159" s="3125">
        <v>300000000</v>
      </c>
      <c r="Q159" s="3125">
        <v>300000000</v>
      </c>
      <c r="R159" s="3605">
        <v>0</v>
      </c>
      <c r="S159" s="3748"/>
      <c r="T159" s="3826"/>
      <c r="U159" s="3778">
        <v>0</v>
      </c>
      <c r="V159" s="1846"/>
    </row>
    <row r="160" spans="1:22" s="257" customFormat="1" ht="15.05" customHeight="1">
      <c r="A160" s="1855"/>
      <c r="B160" s="1855"/>
      <c r="C160" s="1855"/>
      <c r="D160" s="1855"/>
      <c r="E160" s="1855"/>
      <c r="F160" s="1857"/>
      <c r="G160" s="1858"/>
      <c r="H160" s="200"/>
      <c r="I160" s="217"/>
      <c r="J160" s="3171"/>
      <c r="K160" s="3171"/>
      <c r="L160" s="3125"/>
      <c r="M160" s="3124">
        <v>0</v>
      </c>
      <c r="N160" s="3125"/>
      <c r="O160" s="3125">
        <v>0</v>
      </c>
      <c r="P160" s="3125"/>
      <c r="Q160" s="3125"/>
      <c r="R160" s="3605"/>
      <c r="S160" s="3702"/>
      <c r="T160" s="3820"/>
      <c r="U160" s="3771"/>
      <c r="V160" s="1846">
        <f t="shared" si="23"/>
        <v>0</v>
      </c>
    </row>
    <row r="161" spans="1:22" s="2932" customFormat="1" ht="15.05" customHeight="1">
      <c r="A161" s="2925">
        <v>4</v>
      </c>
      <c r="B161" s="2925">
        <v>1</v>
      </c>
      <c r="C161" s="2925">
        <v>2</v>
      </c>
      <c r="D161" s="2925" t="s">
        <v>438</v>
      </c>
      <c r="E161" s="2925" t="s">
        <v>448</v>
      </c>
      <c r="F161" s="2926" t="s">
        <v>361</v>
      </c>
      <c r="G161" s="2927"/>
      <c r="H161" s="2933"/>
      <c r="I161" s="2934"/>
      <c r="J161" s="3172">
        <f>J162+J164+J176+J178+J183+J191</f>
        <v>2113387000</v>
      </c>
      <c r="K161" s="3172">
        <f t="shared" ref="K161:P161" si="34">K162+K164+K176+K178+K183+K191</f>
        <v>2405649030</v>
      </c>
      <c r="L161" s="3172">
        <f t="shared" si="34"/>
        <v>2113387000</v>
      </c>
      <c r="M161" s="3172">
        <f t="shared" si="34"/>
        <v>312541550</v>
      </c>
      <c r="N161" s="3172">
        <f t="shared" si="34"/>
        <v>158104500</v>
      </c>
      <c r="O161" s="3172">
        <f t="shared" si="34"/>
        <v>470646050</v>
      </c>
      <c r="P161" s="3172">
        <f t="shared" si="34"/>
        <v>2354157500</v>
      </c>
      <c r="Q161" s="3169">
        <f>+P161-L161</f>
        <v>240770500</v>
      </c>
      <c r="R161" s="3611">
        <f t="shared" ref="R161:R167" si="35">+P161/L161*100-100</f>
        <v>11.392636559229331</v>
      </c>
      <c r="S161" s="3708"/>
      <c r="T161" s="3827"/>
      <c r="U161" s="3776"/>
      <c r="V161" s="2931">
        <f t="shared" si="23"/>
        <v>1882584200</v>
      </c>
    </row>
    <row r="162" spans="1:22" s="257" customFormat="1" ht="15.05" customHeight="1">
      <c r="A162" s="1855"/>
      <c r="B162" s="1855"/>
      <c r="C162" s="1855"/>
      <c r="D162" s="1855"/>
      <c r="E162" s="1855"/>
      <c r="F162" s="1464" t="s">
        <v>537</v>
      </c>
      <c r="G162" s="1860"/>
      <c r="H162" s="202"/>
      <c r="I162" s="218"/>
      <c r="J162" s="3200">
        <f>J163</f>
        <v>0</v>
      </c>
      <c r="K162" s="3123">
        <v>0</v>
      </c>
      <c r="L162" s="3182">
        <v>0</v>
      </c>
      <c r="M162" s="3183">
        <v>0</v>
      </c>
      <c r="N162" s="3182">
        <v>0</v>
      </c>
      <c r="O162" s="3182">
        <v>0</v>
      </c>
      <c r="P162" s="3182">
        <v>0</v>
      </c>
      <c r="Q162" s="3182">
        <f t="shared" ref="Q162:Q198" si="36">+P162-L162</f>
        <v>0</v>
      </c>
      <c r="R162" s="3601">
        <v>0</v>
      </c>
      <c r="S162" s="3710"/>
      <c r="T162" s="3829"/>
      <c r="U162" s="3771"/>
      <c r="V162" s="1846">
        <f t="shared" si="23"/>
        <v>0</v>
      </c>
    </row>
    <row r="163" spans="1:22" s="257" customFormat="1" ht="15.05" customHeight="1">
      <c r="A163" s="1855"/>
      <c r="B163" s="1855"/>
      <c r="C163" s="1855"/>
      <c r="D163" s="1855"/>
      <c r="E163" s="1855"/>
      <c r="F163" s="1857" t="s">
        <v>50</v>
      </c>
      <c r="G163" s="1858"/>
      <c r="H163" s="200" t="s">
        <v>538</v>
      </c>
      <c r="I163" s="217"/>
      <c r="J163" s="3193">
        <v>0</v>
      </c>
      <c r="K163" s="3171">
        <v>0</v>
      </c>
      <c r="L163" s="3125">
        <v>0</v>
      </c>
      <c r="M163" s="3124">
        <v>0</v>
      </c>
      <c r="N163" s="3125">
        <v>0</v>
      </c>
      <c r="O163" s="3125">
        <v>0</v>
      </c>
      <c r="P163" s="3125">
        <v>0</v>
      </c>
      <c r="Q163" s="3125">
        <f t="shared" si="36"/>
        <v>0</v>
      </c>
      <c r="R163" s="3605">
        <v>0</v>
      </c>
      <c r="S163" s="3275"/>
      <c r="T163" s="3826"/>
      <c r="U163" s="3771"/>
      <c r="V163" s="1846">
        <f t="shared" si="23"/>
        <v>0</v>
      </c>
    </row>
    <row r="164" spans="1:22" s="257" customFormat="1" ht="15.05" customHeight="1">
      <c r="A164" s="1855"/>
      <c r="B164" s="1855"/>
      <c r="C164" s="1855"/>
      <c r="D164" s="1855"/>
      <c r="E164" s="1855"/>
      <c r="F164" s="1464" t="s">
        <v>463</v>
      </c>
      <c r="G164" s="1860"/>
      <c r="H164" s="202"/>
      <c r="I164" s="218"/>
      <c r="J164" s="3200">
        <f>SUM(J165:J175)</f>
        <v>1064387000</v>
      </c>
      <c r="K164" s="3200">
        <f t="shared" ref="K164:P164" si="37">SUM(K165:K175)</f>
        <v>969658000</v>
      </c>
      <c r="L164" s="3200">
        <f t="shared" si="37"/>
        <v>1074387000</v>
      </c>
      <c r="M164" s="3200">
        <f t="shared" si="37"/>
        <v>256284000</v>
      </c>
      <c r="N164" s="3200">
        <f t="shared" si="37"/>
        <v>37860000</v>
      </c>
      <c r="O164" s="3200">
        <f t="shared" si="37"/>
        <v>294144000</v>
      </c>
      <c r="P164" s="3200">
        <f t="shared" si="37"/>
        <v>1265157500</v>
      </c>
      <c r="Q164" s="3182">
        <f t="shared" si="36"/>
        <v>190770500</v>
      </c>
      <c r="R164" s="3601">
        <f t="shared" si="35"/>
        <v>17.756218196981166</v>
      </c>
      <c r="S164" s="3710"/>
      <c r="T164" s="3829"/>
      <c r="U164" s="3771"/>
      <c r="V164" s="1846">
        <f t="shared" si="23"/>
        <v>1176576000</v>
      </c>
    </row>
    <row r="165" spans="1:22" s="257" customFormat="1" ht="15.05" customHeight="1">
      <c r="A165" s="1855"/>
      <c r="B165" s="1855"/>
      <c r="C165" s="1855"/>
      <c r="D165" s="1855"/>
      <c r="E165" s="1855"/>
      <c r="F165" s="1857" t="s">
        <v>50</v>
      </c>
      <c r="G165" s="1858"/>
      <c r="H165" s="200" t="str">
        <f>MAR!I621</f>
        <v>UPB Peninjauan</v>
      </c>
      <c r="I165" s="217"/>
      <c r="J165" s="3193">
        <v>259229500</v>
      </c>
      <c r="K165" s="3171">
        <v>410279000</v>
      </c>
      <c r="L165" s="3125">
        <v>259229500</v>
      </c>
      <c r="M165" s="3124">
        <v>133580000</v>
      </c>
      <c r="N165" s="3125">
        <v>11430000</v>
      </c>
      <c r="O165" s="3125">
        <v>145010000</v>
      </c>
      <c r="P165" s="3125">
        <v>450000000</v>
      </c>
      <c r="Q165" s="3125">
        <f t="shared" si="36"/>
        <v>190770500</v>
      </c>
      <c r="R165" s="3605">
        <f t="shared" si="35"/>
        <v>73.591354379034783</v>
      </c>
      <c r="S165" s="3275"/>
      <c r="T165" s="3826"/>
      <c r="U165" s="3771"/>
      <c r="V165" s="1846">
        <f t="shared" si="23"/>
        <v>580040000</v>
      </c>
    </row>
    <row r="166" spans="1:22" s="257" customFormat="1" ht="15.05" customHeight="1">
      <c r="A166" s="1855"/>
      <c r="B166" s="1855"/>
      <c r="C166" s="1855"/>
      <c r="D166" s="1855"/>
      <c r="E166" s="1855"/>
      <c r="F166" s="1857" t="s">
        <v>50</v>
      </c>
      <c r="G166" s="1858"/>
      <c r="H166" s="200" t="str">
        <f>MAR!I622</f>
        <v>UPB Puyung</v>
      </c>
      <c r="I166" s="217"/>
      <c r="J166" s="3193">
        <v>374739500</v>
      </c>
      <c r="K166" s="3171">
        <v>210010000</v>
      </c>
      <c r="L166" s="3125">
        <v>374739500</v>
      </c>
      <c r="M166" s="3124">
        <v>28650000</v>
      </c>
      <c r="N166" s="3125">
        <v>2310000</v>
      </c>
      <c r="O166" s="3125">
        <v>30960000</v>
      </c>
      <c r="P166" s="3125">
        <v>374739500</v>
      </c>
      <c r="Q166" s="3125">
        <f t="shared" si="36"/>
        <v>0</v>
      </c>
      <c r="R166" s="3605">
        <f t="shared" si="35"/>
        <v>0</v>
      </c>
      <c r="S166" s="3275"/>
      <c r="T166" s="3826"/>
      <c r="U166" s="3771"/>
      <c r="V166" s="1846">
        <f t="shared" si="23"/>
        <v>123840000</v>
      </c>
    </row>
    <row r="167" spans="1:22" s="257" customFormat="1" ht="15.05" customHeight="1">
      <c r="A167" s="1855"/>
      <c r="B167" s="1855"/>
      <c r="C167" s="1855"/>
      <c r="D167" s="1855"/>
      <c r="E167" s="1855"/>
      <c r="F167" s="1857" t="s">
        <v>50</v>
      </c>
      <c r="G167" s="1858"/>
      <c r="H167" s="200" t="str">
        <f>MAR!I623</f>
        <v>UPB Uthan</v>
      </c>
      <c r="I167" s="217"/>
      <c r="J167" s="3193">
        <v>271618000</v>
      </c>
      <c r="K167" s="3171">
        <v>193340000</v>
      </c>
      <c r="L167" s="3125">
        <v>271618000</v>
      </c>
      <c r="M167" s="3124">
        <v>32440000</v>
      </c>
      <c r="N167" s="3125">
        <v>0</v>
      </c>
      <c r="O167" s="3125">
        <v>32440000</v>
      </c>
      <c r="P167" s="3125">
        <v>271618000</v>
      </c>
      <c r="Q167" s="3125">
        <f t="shared" si="36"/>
        <v>0</v>
      </c>
      <c r="R167" s="3605">
        <f t="shared" si="35"/>
        <v>0</v>
      </c>
      <c r="S167" s="3275"/>
      <c r="T167" s="3826"/>
      <c r="U167" s="3771"/>
      <c r="V167" s="1846">
        <f t="shared" si="23"/>
        <v>129760000</v>
      </c>
    </row>
    <row r="168" spans="1:22" s="257" customFormat="1" ht="15.05" customHeight="1">
      <c r="A168" s="1855"/>
      <c r="B168" s="1855"/>
      <c r="C168" s="1855"/>
      <c r="D168" s="1855"/>
      <c r="E168" s="1855"/>
      <c r="F168" s="1857" t="s">
        <v>50</v>
      </c>
      <c r="G168" s="1858"/>
      <c r="H168" s="200" t="str">
        <f>MAR!I624</f>
        <v>BKUT Kotaraja</v>
      </c>
      <c r="I168" s="217"/>
      <c r="J168" s="3193" t="s">
        <v>50</v>
      </c>
      <c r="K168" s="3171" t="s">
        <v>50</v>
      </c>
      <c r="L168" s="3125">
        <v>0</v>
      </c>
      <c r="M168" s="3124">
        <v>0</v>
      </c>
      <c r="N168" s="3125">
        <v>0</v>
      </c>
      <c r="O168" s="3125">
        <v>0</v>
      </c>
      <c r="P168" s="3125">
        <v>0</v>
      </c>
      <c r="Q168" s="3125">
        <f t="shared" si="36"/>
        <v>0</v>
      </c>
      <c r="R168" s="3605">
        <v>0</v>
      </c>
      <c r="S168" s="3275"/>
      <c r="T168" s="3826"/>
      <c r="U168" s="3771"/>
      <c r="V168" s="1846">
        <f t="shared" si="23"/>
        <v>0</v>
      </c>
    </row>
    <row r="169" spans="1:22" s="257" customFormat="1" ht="15.05" customHeight="1">
      <c r="A169" s="1855"/>
      <c r="B169" s="1855"/>
      <c r="C169" s="1855"/>
      <c r="D169" s="1855"/>
      <c r="E169" s="1855"/>
      <c r="F169" s="1857" t="s">
        <v>50</v>
      </c>
      <c r="G169" s="1858"/>
      <c r="H169" s="200" t="str">
        <f>MAR!I625</f>
        <v>UPB Kesik</v>
      </c>
      <c r="I169" s="217"/>
      <c r="J169" s="3193" t="s">
        <v>50</v>
      </c>
      <c r="K169" s="3171" t="s">
        <v>50</v>
      </c>
      <c r="L169" s="3125">
        <v>0</v>
      </c>
      <c r="M169" s="3124">
        <v>0</v>
      </c>
      <c r="N169" s="3125">
        <v>0</v>
      </c>
      <c r="O169" s="3125">
        <v>0</v>
      </c>
      <c r="P169" s="3125">
        <v>0</v>
      </c>
      <c r="Q169" s="3125">
        <f t="shared" si="36"/>
        <v>0</v>
      </c>
      <c r="R169" s="3605">
        <v>0</v>
      </c>
      <c r="S169" s="3275"/>
      <c r="T169" s="3826"/>
      <c r="U169" s="3771"/>
      <c r="V169" s="1846">
        <f t="shared" si="23"/>
        <v>0</v>
      </c>
    </row>
    <row r="170" spans="1:22" s="257" customFormat="1" ht="15.05" customHeight="1">
      <c r="A170" s="1855"/>
      <c r="B170" s="1855"/>
      <c r="C170" s="1855"/>
      <c r="D170" s="1855"/>
      <c r="E170" s="1855"/>
      <c r="F170" s="1857" t="s">
        <v>50</v>
      </c>
      <c r="G170" s="1858"/>
      <c r="H170" s="200" t="str">
        <f>MAR!I626</f>
        <v>UPB Sedau</v>
      </c>
      <c r="I170" s="217"/>
      <c r="J170" s="3193">
        <v>46200000</v>
      </c>
      <c r="K170" s="3171">
        <v>46600000</v>
      </c>
      <c r="L170" s="3125">
        <v>46200000</v>
      </c>
      <c r="M170" s="3124">
        <v>29700000</v>
      </c>
      <c r="N170" s="3125">
        <v>0</v>
      </c>
      <c r="O170" s="3125">
        <v>29700000</v>
      </c>
      <c r="P170" s="3125">
        <v>46200000</v>
      </c>
      <c r="Q170" s="3125">
        <f t="shared" si="36"/>
        <v>0</v>
      </c>
      <c r="R170" s="3605">
        <f>+P170/L170*100-100</f>
        <v>0</v>
      </c>
      <c r="S170" s="3275"/>
      <c r="T170" s="3826"/>
      <c r="U170" s="3771"/>
      <c r="V170" s="1846">
        <f t="shared" ref="V170:V210" si="38">O170*4</f>
        <v>118800000</v>
      </c>
    </row>
    <row r="171" spans="1:22" s="257" customFormat="1" ht="15.05" customHeight="1">
      <c r="A171" s="1855"/>
      <c r="B171" s="1855"/>
      <c r="C171" s="1855"/>
      <c r="D171" s="1855"/>
      <c r="E171" s="1855"/>
      <c r="F171" s="1857" t="s">
        <v>50</v>
      </c>
      <c r="G171" s="1858"/>
      <c r="H171" s="200" t="str">
        <f>MAR!I627</f>
        <v>UPB Santong</v>
      </c>
      <c r="I171" s="217"/>
      <c r="J171" s="3193">
        <v>88200000</v>
      </c>
      <c r="K171" s="3171">
        <v>74940000</v>
      </c>
      <c r="L171" s="3125">
        <v>88200000</v>
      </c>
      <c r="M171" s="3124">
        <v>16920000</v>
      </c>
      <c r="N171" s="3125">
        <v>24120000</v>
      </c>
      <c r="O171" s="3125">
        <v>41040000</v>
      </c>
      <c r="P171" s="3125">
        <v>88200000</v>
      </c>
      <c r="Q171" s="3125">
        <f t="shared" si="36"/>
        <v>0</v>
      </c>
      <c r="R171" s="3605">
        <f>+P171/L171*100-100</f>
        <v>0</v>
      </c>
      <c r="S171" s="3275"/>
      <c r="T171" s="3826"/>
      <c r="U171" s="3771"/>
      <c r="V171" s="1846">
        <f t="shared" si="38"/>
        <v>164160000</v>
      </c>
    </row>
    <row r="172" spans="1:22" s="257" customFormat="1" ht="15.05" customHeight="1">
      <c r="A172" s="1855"/>
      <c r="B172" s="1855"/>
      <c r="C172" s="1855"/>
      <c r="D172" s="1855"/>
      <c r="E172" s="1855"/>
      <c r="F172" s="1857" t="s">
        <v>50</v>
      </c>
      <c r="G172" s="1858"/>
      <c r="H172" s="200" t="str">
        <f>MAR!I628</f>
        <v>Kebun Timbanuh</v>
      </c>
      <c r="I172" s="217"/>
      <c r="J172" s="3193">
        <v>24400000</v>
      </c>
      <c r="K172" s="3171">
        <v>24453000</v>
      </c>
      <c r="L172" s="3125">
        <v>24400000</v>
      </c>
      <c r="M172" s="3124">
        <v>14994000</v>
      </c>
      <c r="N172" s="3125">
        <v>0</v>
      </c>
      <c r="O172" s="3125">
        <v>14994000</v>
      </c>
      <c r="P172" s="3125">
        <v>24400000</v>
      </c>
      <c r="Q172" s="3125">
        <f t="shared" si="36"/>
        <v>0</v>
      </c>
      <c r="R172" s="3605">
        <f>+P172/L172*100-100</f>
        <v>0</v>
      </c>
      <c r="S172" s="3275"/>
      <c r="T172" s="3826"/>
      <c r="U172" s="3771"/>
      <c r="V172" s="1846">
        <f t="shared" si="38"/>
        <v>59976000</v>
      </c>
    </row>
    <row r="173" spans="1:22" s="257" customFormat="1" ht="15.05" customHeight="1">
      <c r="A173" s="1855"/>
      <c r="B173" s="1855"/>
      <c r="C173" s="1855"/>
      <c r="D173" s="1855"/>
      <c r="E173" s="1855"/>
      <c r="F173" s="1857" t="s">
        <v>50</v>
      </c>
      <c r="G173" s="1858"/>
      <c r="H173" s="200" t="str">
        <f>MAR!I629</f>
        <v>Kerjasama dengan penangkar</v>
      </c>
      <c r="I173" s="217"/>
      <c r="J173" s="3193" t="s">
        <v>50</v>
      </c>
      <c r="K173" s="3171">
        <v>10036000</v>
      </c>
      <c r="L173" s="3125">
        <v>0</v>
      </c>
      <c r="M173" s="3124">
        <v>0</v>
      </c>
      <c r="N173" s="3125">
        <v>0</v>
      </c>
      <c r="O173" s="3125">
        <v>0</v>
      </c>
      <c r="P173" s="3125">
        <v>0</v>
      </c>
      <c r="Q173" s="3125">
        <f t="shared" si="36"/>
        <v>0</v>
      </c>
      <c r="R173" s="3605">
        <v>0</v>
      </c>
      <c r="S173" s="3275"/>
      <c r="T173" s="3826"/>
      <c r="U173" s="3771"/>
      <c r="V173" s="1846">
        <f t="shared" si="38"/>
        <v>0</v>
      </c>
    </row>
    <row r="174" spans="1:22" s="257" customFormat="1" ht="15.05" customHeight="1">
      <c r="A174" s="1855"/>
      <c r="B174" s="1855"/>
      <c r="C174" s="1855"/>
      <c r="D174" s="1855"/>
      <c r="E174" s="1855"/>
      <c r="F174" s="1857" t="s">
        <v>50</v>
      </c>
      <c r="G174" s="1858"/>
      <c r="H174" s="200" t="str">
        <f>MAR!I630</f>
        <v>Hasil Kebun (SPPN Mataram)</v>
      </c>
      <c r="I174" s="217"/>
      <c r="J174" s="3171"/>
      <c r="K174" s="3171"/>
      <c r="L174" s="3125">
        <v>0</v>
      </c>
      <c r="M174" s="3124">
        <v>0</v>
      </c>
      <c r="N174" s="3125">
        <v>0</v>
      </c>
      <c r="O174" s="3125">
        <v>0</v>
      </c>
      <c r="P174" s="3125">
        <v>0</v>
      </c>
      <c r="Q174" s="3125">
        <f t="shared" si="36"/>
        <v>0</v>
      </c>
      <c r="R174" s="3605">
        <v>0</v>
      </c>
      <c r="S174" s="3275"/>
      <c r="T174" s="3826"/>
      <c r="U174" s="3771"/>
      <c r="V174" s="1846">
        <f t="shared" si="38"/>
        <v>0</v>
      </c>
    </row>
    <row r="175" spans="1:22" s="257" customFormat="1" ht="15.05" customHeight="1">
      <c r="A175" s="1855"/>
      <c r="B175" s="1855"/>
      <c r="C175" s="1855"/>
      <c r="D175" s="1855"/>
      <c r="E175" s="1855"/>
      <c r="F175" s="1857" t="s">
        <v>50</v>
      </c>
      <c r="G175" s="1858"/>
      <c r="H175" s="200" t="str">
        <f>MAR!I631</f>
        <v>Lain-lain (Sertifikasi Benih)</v>
      </c>
      <c r="I175" s="217"/>
      <c r="J175" s="3171"/>
      <c r="K175" s="3171"/>
      <c r="L175" s="3125">
        <v>10000000</v>
      </c>
      <c r="M175" s="3124">
        <v>0</v>
      </c>
      <c r="N175" s="3125">
        <v>0</v>
      </c>
      <c r="O175" s="3125">
        <v>0</v>
      </c>
      <c r="P175" s="3125">
        <v>10000000</v>
      </c>
      <c r="Q175" s="3125">
        <f t="shared" si="36"/>
        <v>0</v>
      </c>
      <c r="R175" s="3605">
        <f>+P175/L175*100-100</f>
        <v>0</v>
      </c>
      <c r="S175" s="3275"/>
      <c r="T175" s="3826"/>
      <c r="U175" s="3771"/>
      <c r="V175" s="1846">
        <f t="shared" si="38"/>
        <v>0</v>
      </c>
    </row>
    <row r="176" spans="1:22" s="257" customFormat="1" ht="15.05" customHeight="1">
      <c r="A176" s="1855"/>
      <c r="B176" s="1855"/>
      <c r="C176" s="1855"/>
      <c r="D176" s="1855"/>
      <c r="E176" s="1855"/>
      <c r="F176" s="1464" t="s">
        <v>463</v>
      </c>
      <c r="G176" s="1858"/>
      <c r="H176" s="200"/>
      <c r="I176" s="217"/>
      <c r="J176" s="3171"/>
      <c r="K176" s="3171"/>
      <c r="L176" s="3125">
        <v>0</v>
      </c>
      <c r="M176" s="3124">
        <v>0</v>
      </c>
      <c r="N176" s="3125">
        <v>0</v>
      </c>
      <c r="O176" s="3125">
        <v>0</v>
      </c>
      <c r="P176" s="3125">
        <v>0</v>
      </c>
      <c r="Q176" s="3125">
        <f t="shared" si="36"/>
        <v>0</v>
      </c>
      <c r="R176" s="3605">
        <v>0</v>
      </c>
      <c r="S176" s="3275"/>
      <c r="T176" s="3826"/>
      <c r="U176" s="3771"/>
      <c r="V176" s="1846">
        <f t="shared" si="38"/>
        <v>0</v>
      </c>
    </row>
    <row r="177" spans="1:22" s="257" customFormat="1" ht="15.05" customHeight="1">
      <c r="A177" s="1855"/>
      <c r="B177" s="1855"/>
      <c r="C177" s="1855"/>
      <c r="D177" s="1855"/>
      <c r="E177" s="1855"/>
      <c r="F177" s="1857" t="s">
        <v>50</v>
      </c>
      <c r="G177" s="1858"/>
      <c r="H177" s="200" t="s">
        <v>539</v>
      </c>
      <c r="I177" s="217"/>
      <c r="J177" s="3171"/>
      <c r="K177" s="3171"/>
      <c r="L177" s="3125">
        <v>0</v>
      </c>
      <c r="M177" s="3124">
        <v>0</v>
      </c>
      <c r="N177" s="3125">
        <v>0</v>
      </c>
      <c r="O177" s="3125">
        <v>0</v>
      </c>
      <c r="P177" s="3125">
        <v>0</v>
      </c>
      <c r="Q177" s="3125">
        <f t="shared" si="36"/>
        <v>0</v>
      </c>
      <c r="R177" s="3605">
        <v>0</v>
      </c>
      <c r="S177" s="3275"/>
      <c r="T177" s="3826"/>
      <c r="U177" s="3771"/>
      <c r="V177" s="1846">
        <f t="shared" si="38"/>
        <v>0</v>
      </c>
    </row>
    <row r="178" spans="1:22" s="257" customFormat="1" ht="15.05" customHeight="1">
      <c r="A178" s="1855"/>
      <c r="B178" s="1855"/>
      <c r="C178" s="1855"/>
      <c r="D178" s="1855"/>
      <c r="E178" s="1855"/>
      <c r="F178" s="1464" t="s">
        <v>523</v>
      </c>
      <c r="G178" s="1860"/>
      <c r="H178" s="202"/>
      <c r="I178" s="218"/>
      <c r="J178" s="3123">
        <f>SUM(J179:J182)</f>
        <v>10000000</v>
      </c>
      <c r="K178" s="3123">
        <f t="shared" ref="K178:P178" si="39">SUM(K179:K182)</f>
        <v>42289500</v>
      </c>
      <c r="L178" s="3123">
        <f t="shared" si="39"/>
        <v>0</v>
      </c>
      <c r="M178" s="3123">
        <f t="shared" si="39"/>
        <v>0</v>
      </c>
      <c r="N178" s="3123">
        <f t="shared" si="39"/>
        <v>0</v>
      </c>
      <c r="O178" s="3123">
        <f t="shared" si="39"/>
        <v>0</v>
      </c>
      <c r="P178" s="3123">
        <f t="shared" si="39"/>
        <v>50000000</v>
      </c>
      <c r="Q178" s="3182">
        <f t="shared" si="36"/>
        <v>50000000</v>
      </c>
      <c r="R178" s="3601">
        <v>0</v>
      </c>
      <c r="S178" s="3710"/>
      <c r="T178" s="3829"/>
      <c r="U178" s="3771"/>
      <c r="V178" s="1846">
        <f t="shared" si="38"/>
        <v>0</v>
      </c>
    </row>
    <row r="179" spans="1:22" s="257" customFormat="1" ht="15.05" customHeight="1">
      <c r="A179" s="1855"/>
      <c r="B179" s="1855"/>
      <c r="C179" s="1855"/>
      <c r="D179" s="1855"/>
      <c r="E179" s="1855"/>
      <c r="F179" s="1857" t="s">
        <v>50</v>
      </c>
      <c r="G179" s="1858"/>
      <c r="H179" s="200" t="s">
        <v>540</v>
      </c>
      <c r="I179" s="217"/>
      <c r="J179" s="3193" t="s">
        <v>50</v>
      </c>
      <c r="K179" s="3193" t="s">
        <v>50</v>
      </c>
      <c r="L179" s="3125">
        <v>0</v>
      </c>
      <c r="M179" s="3124">
        <v>0</v>
      </c>
      <c r="N179" s="3125">
        <v>0</v>
      </c>
      <c r="O179" s="3125">
        <v>0</v>
      </c>
      <c r="P179" s="3125">
        <v>0</v>
      </c>
      <c r="Q179" s="3125">
        <f t="shared" si="36"/>
        <v>0</v>
      </c>
      <c r="R179" s="3605">
        <v>0</v>
      </c>
      <c r="S179" s="3275"/>
      <c r="T179" s="3826"/>
      <c r="U179" s="3771"/>
      <c r="V179" s="1846">
        <f t="shared" si="38"/>
        <v>0</v>
      </c>
    </row>
    <row r="180" spans="1:22" s="257" customFormat="1" ht="15.05" customHeight="1">
      <c r="A180" s="1855"/>
      <c r="B180" s="1855"/>
      <c r="C180" s="1855"/>
      <c r="D180" s="1855"/>
      <c r="E180" s="1855"/>
      <c r="F180" s="1857" t="s">
        <v>50</v>
      </c>
      <c r="G180" s="1858"/>
      <c r="H180" s="200" t="s">
        <v>541</v>
      </c>
      <c r="I180" s="217"/>
      <c r="J180" s="3193" t="s">
        <v>50</v>
      </c>
      <c r="K180" s="3193" t="s">
        <v>50</v>
      </c>
      <c r="L180" s="3125">
        <v>0</v>
      </c>
      <c r="M180" s="3124">
        <v>0</v>
      </c>
      <c r="N180" s="3125">
        <v>0</v>
      </c>
      <c r="O180" s="3125">
        <v>0</v>
      </c>
      <c r="P180" s="3125">
        <v>0</v>
      </c>
      <c r="Q180" s="3125">
        <f t="shared" si="36"/>
        <v>0</v>
      </c>
      <c r="R180" s="3605">
        <v>0</v>
      </c>
      <c r="S180" s="3275"/>
      <c r="T180" s="3826"/>
      <c r="U180" s="3771"/>
      <c r="V180" s="1846">
        <f t="shared" si="38"/>
        <v>0</v>
      </c>
    </row>
    <row r="181" spans="1:22" s="257" customFormat="1" ht="15.05" customHeight="1">
      <c r="A181" s="1855"/>
      <c r="B181" s="1855"/>
      <c r="C181" s="1855"/>
      <c r="D181" s="1855"/>
      <c r="E181" s="1855"/>
      <c r="F181" s="1857" t="s">
        <v>50</v>
      </c>
      <c r="G181" s="1858"/>
      <c r="H181" s="200" t="s">
        <v>542</v>
      </c>
      <c r="I181" s="217"/>
      <c r="J181" s="3193" t="s">
        <v>50</v>
      </c>
      <c r="K181" s="3193" t="s">
        <v>50</v>
      </c>
      <c r="L181" s="3125">
        <v>0</v>
      </c>
      <c r="M181" s="3124">
        <v>0</v>
      </c>
      <c r="N181" s="3125">
        <v>0</v>
      </c>
      <c r="O181" s="3125">
        <v>0</v>
      </c>
      <c r="P181" s="3125">
        <v>0</v>
      </c>
      <c r="Q181" s="3125">
        <f t="shared" si="36"/>
        <v>0</v>
      </c>
      <c r="R181" s="3605">
        <v>0</v>
      </c>
      <c r="S181" s="3275"/>
      <c r="T181" s="3826"/>
      <c r="U181" s="3771"/>
      <c r="V181" s="1846">
        <f t="shared" si="38"/>
        <v>0</v>
      </c>
    </row>
    <row r="182" spans="1:22" s="257" customFormat="1" ht="15.05" customHeight="1">
      <c r="A182" s="1855"/>
      <c r="B182" s="1855"/>
      <c r="C182" s="1855"/>
      <c r="D182" s="1855"/>
      <c r="E182" s="1855"/>
      <c r="F182" s="1857" t="s">
        <v>50</v>
      </c>
      <c r="G182" s="1858"/>
      <c r="H182" s="200" t="s">
        <v>543</v>
      </c>
      <c r="I182" s="217"/>
      <c r="J182" s="3193">
        <v>10000000</v>
      </c>
      <c r="K182" s="3193">
        <v>42289500</v>
      </c>
      <c r="L182" s="3125">
        <v>0</v>
      </c>
      <c r="M182" s="3124">
        <v>0</v>
      </c>
      <c r="N182" s="3125">
        <v>0</v>
      </c>
      <c r="O182" s="3125">
        <v>0</v>
      </c>
      <c r="P182" s="3125">
        <v>50000000</v>
      </c>
      <c r="Q182" s="3125">
        <f t="shared" si="36"/>
        <v>50000000</v>
      </c>
      <c r="R182" s="3605">
        <v>0</v>
      </c>
      <c r="S182" s="3275"/>
      <c r="T182" s="3826"/>
      <c r="U182" s="3771"/>
      <c r="V182" s="1846">
        <f t="shared" si="38"/>
        <v>0</v>
      </c>
    </row>
    <row r="183" spans="1:22" s="257" customFormat="1" ht="15.05" customHeight="1">
      <c r="A183" s="1855"/>
      <c r="B183" s="1855"/>
      <c r="C183" s="1855"/>
      <c r="D183" s="1855"/>
      <c r="E183" s="1855"/>
      <c r="F183" s="1464" t="s">
        <v>544</v>
      </c>
      <c r="G183" s="1860"/>
      <c r="H183" s="202"/>
      <c r="I183" s="218"/>
      <c r="J183" s="3123">
        <f>SUM(J184:J190)</f>
        <v>219000000</v>
      </c>
      <c r="K183" s="3123">
        <f t="shared" ref="K183:P183" si="40">SUM(K184:K190)</f>
        <v>502760530</v>
      </c>
      <c r="L183" s="3123">
        <f t="shared" si="40"/>
        <v>219000000</v>
      </c>
      <c r="M183" s="3123">
        <f t="shared" si="40"/>
        <v>858050</v>
      </c>
      <c r="N183" s="3123">
        <f t="shared" si="40"/>
        <v>0</v>
      </c>
      <c r="O183" s="3123">
        <f t="shared" si="40"/>
        <v>858050</v>
      </c>
      <c r="P183" s="3123">
        <f t="shared" si="40"/>
        <v>219000000</v>
      </c>
      <c r="Q183" s="3182">
        <f t="shared" si="36"/>
        <v>0</v>
      </c>
      <c r="R183" s="3601">
        <f>+P183/L183*100-100</f>
        <v>0</v>
      </c>
      <c r="S183" s="3710"/>
      <c r="T183" s="3829"/>
      <c r="U183" s="3771"/>
      <c r="V183" s="1846">
        <f t="shared" si="38"/>
        <v>3432200</v>
      </c>
    </row>
    <row r="184" spans="1:22" s="1538" customFormat="1" ht="15.05" customHeight="1">
      <c r="A184" s="1855"/>
      <c r="B184" s="1855"/>
      <c r="C184" s="1855"/>
      <c r="D184" s="1855"/>
      <c r="E184" s="1855"/>
      <c r="F184" s="1857" t="s">
        <v>50</v>
      </c>
      <c r="G184" s="1858"/>
      <c r="H184" s="200" t="str">
        <f>MAR!I649</f>
        <v>Penj. Sapi fetening</v>
      </c>
      <c r="I184" s="217"/>
      <c r="J184" s="3171">
        <v>0</v>
      </c>
      <c r="K184" s="3171">
        <v>777000</v>
      </c>
      <c r="L184" s="3125">
        <v>0</v>
      </c>
      <c r="M184" s="3124">
        <v>0</v>
      </c>
      <c r="N184" s="3125">
        <v>0</v>
      </c>
      <c r="O184" s="3125">
        <v>0</v>
      </c>
      <c r="P184" s="3125">
        <v>0</v>
      </c>
      <c r="Q184" s="3125">
        <f t="shared" si="36"/>
        <v>0</v>
      </c>
      <c r="R184" s="3605">
        <v>0</v>
      </c>
      <c r="S184" s="3275"/>
      <c r="T184" s="3826"/>
      <c r="U184" s="3771"/>
      <c r="V184" s="1846">
        <f t="shared" si="38"/>
        <v>0</v>
      </c>
    </row>
    <row r="185" spans="1:22" s="1538" customFormat="1" ht="15.05" customHeight="1">
      <c r="A185" s="1855"/>
      <c r="B185" s="1855"/>
      <c r="C185" s="1855"/>
      <c r="D185" s="1855"/>
      <c r="E185" s="1855"/>
      <c r="F185" s="1857" t="s">
        <v>50</v>
      </c>
      <c r="G185" s="1858"/>
      <c r="H185" s="200" t="str">
        <f>MAR!I650</f>
        <v>Inseminasi buatan BLPKH Banyumulek</v>
      </c>
      <c r="I185" s="217"/>
      <c r="J185" s="3171">
        <v>75000000</v>
      </c>
      <c r="K185" s="3171">
        <v>76523650</v>
      </c>
      <c r="L185" s="3125">
        <v>75000000</v>
      </c>
      <c r="M185" s="3124">
        <v>858050</v>
      </c>
      <c r="N185" s="3125">
        <v>0</v>
      </c>
      <c r="O185" s="3125">
        <v>858050</v>
      </c>
      <c r="P185" s="3125">
        <v>75000000</v>
      </c>
      <c r="Q185" s="3125">
        <f t="shared" si="36"/>
        <v>0</v>
      </c>
      <c r="R185" s="3605">
        <f>+P185/L185*100-100</f>
        <v>0</v>
      </c>
      <c r="S185" s="3275"/>
      <c r="T185" s="3826"/>
      <c r="U185" s="3771"/>
      <c r="V185" s="1846">
        <f t="shared" si="38"/>
        <v>3432200</v>
      </c>
    </row>
    <row r="186" spans="1:22" s="1538" customFormat="1" ht="15.05" customHeight="1">
      <c r="A186" s="1855"/>
      <c r="B186" s="1855"/>
      <c r="C186" s="1855"/>
      <c r="D186" s="1855"/>
      <c r="E186" s="1855"/>
      <c r="F186" s="1857" t="s">
        <v>50</v>
      </c>
      <c r="G186" s="1858"/>
      <c r="H186" s="200" t="str">
        <f>MAR!I651</f>
        <v>Penj. HMT BPTHMT Serading Sumbawa</v>
      </c>
      <c r="I186" s="217"/>
      <c r="J186" s="3171">
        <v>19000000</v>
      </c>
      <c r="K186" s="3171">
        <v>58119880</v>
      </c>
      <c r="L186" s="3125">
        <v>19000000</v>
      </c>
      <c r="M186" s="3124">
        <v>0</v>
      </c>
      <c r="N186" s="3125">
        <v>0</v>
      </c>
      <c r="O186" s="3125">
        <v>0</v>
      </c>
      <c r="P186" s="3125">
        <v>19000000</v>
      </c>
      <c r="Q186" s="3125">
        <f t="shared" si="36"/>
        <v>0</v>
      </c>
      <c r="R186" s="3605">
        <f>+P186/L186*100-100</f>
        <v>0</v>
      </c>
      <c r="S186" s="3275"/>
      <c r="T186" s="3826"/>
      <c r="U186" s="3771"/>
      <c r="V186" s="1846">
        <f t="shared" si="38"/>
        <v>0</v>
      </c>
    </row>
    <row r="187" spans="1:22" s="1538" customFormat="1" ht="15.05" customHeight="1">
      <c r="A187" s="1855"/>
      <c r="B187" s="1855"/>
      <c r="C187" s="1855"/>
      <c r="D187" s="1855"/>
      <c r="E187" s="1855"/>
      <c r="F187" s="1857" t="s">
        <v>50</v>
      </c>
      <c r="G187" s="1858"/>
      <c r="H187" s="200" t="str">
        <f>MAR!I652</f>
        <v>Penj.Ternak tdk layak bibit Serading</v>
      </c>
      <c r="I187" s="217"/>
      <c r="J187" s="3171">
        <v>125000000</v>
      </c>
      <c r="K187" s="3171">
        <v>367340000</v>
      </c>
      <c r="L187" s="3125">
        <v>125000000</v>
      </c>
      <c r="M187" s="3124">
        <v>0</v>
      </c>
      <c r="N187" s="3125">
        <v>0</v>
      </c>
      <c r="O187" s="3125">
        <v>0</v>
      </c>
      <c r="P187" s="3125">
        <v>125000000</v>
      </c>
      <c r="Q187" s="3125">
        <f t="shared" si="36"/>
        <v>0</v>
      </c>
      <c r="R187" s="3605">
        <f>+P187/L187*100-100</f>
        <v>0</v>
      </c>
      <c r="S187" s="3275"/>
      <c r="T187" s="3826"/>
      <c r="U187" s="3771"/>
      <c r="V187" s="1846">
        <f t="shared" si="38"/>
        <v>0</v>
      </c>
    </row>
    <row r="188" spans="1:22" s="1538" customFormat="1" ht="15.05" customHeight="1">
      <c r="A188" s="1855"/>
      <c r="B188" s="1855"/>
      <c r="C188" s="1855"/>
      <c r="D188" s="1855"/>
      <c r="E188" s="1855"/>
      <c r="F188" s="1857" t="s">
        <v>50</v>
      </c>
      <c r="G188" s="1858"/>
      <c r="H188" s="200" t="str">
        <f>MAR!I653</f>
        <v xml:space="preserve">Penj. Susu &amp; Sapi perah non produktif BIB </v>
      </c>
      <c r="I188" s="217"/>
      <c r="J188" s="3193" t="s">
        <v>50</v>
      </c>
      <c r="K188" s="3193" t="s">
        <v>50</v>
      </c>
      <c r="L188" s="3125">
        <v>0</v>
      </c>
      <c r="M188" s="3124">
        <v>0</v>
      </c>
      <c r="N188" s="3125">
        <v>0</v>
      </c>
      <c r="O188" s="3125">
        <v>0</v>
      </c>
      <c r="P188" s="3125">
        <v>0</v>
      </c>
      <c r="Q188" s="3125">
        <f t="shared" si="36"/>
        <v>0</v>
      </c>
      <c r="R188" s="3605">
        <v>0</v>
      </c>
      <c r="S188" s="3275"/>
      <c r="T188" s="3826"/>
      <c r="U188" s="3771"/>
      <c r="V188" s="1846">
        <f t="shared" si="38"/>
        <v>0</v>
      </c>
    </row>
    <row r="189" spans="1:22" s="1538" customFormat="1" ht="15.05" customHeight="1">
      <c r="A189" s="1855"/>
      <c r="B189" s="1855"/>
      <c r="C189" s="1855"/>
      <c r="D189" s="1855"/>
      <c r="E189" s="1855"/>
      <c r="F189" s="1857" t="s">
        <v>50</v>
      </c>
      <c r="G189" s="1858"/>
      <c r="H189" s="200" t="str">
        <f>MAR!I654</f>
        <v>Penj. Ayam Pedaging BIB Banyumulek</v>
      </c>
      <c r="I189" s="217"/>
      <c r="J189" s="3193" t="s">
        <v>50</v>
      </c>
      <c r="K189" s="3193" t="s">
        <v>50</v>
      </c>
      <c r="L189" s="3125">
        <v>0</v>
      </c>
      <c r="M189" s="3124">
        <v>0</v>
      </c>
      <c r="N189" s="3125">
        <v>0</v>
      </c>
      <c r="O189" s="3125">
        <v>0</v>
      </c>
      <c r="P189" s="3125">
        <v>0</v>
      </c>
      <c r="Q189" s="3125">
        <f t="shared" si="36"/>
        <v>0</v>
      </c>
      <c r="R189" s="3605">
        <v>0</v>
      </c>
      <c r="S189" s="3275"/>
      <c r="T189" s="3826"/>
      <c r="U189" s="3771"/>
      <c r="V189" s="1846">
        <f t="shared" si="38"/>
        <v>0</v>
      </c>
    </row>
    <row r="190" spans="1:22" s="1538" customFormat="1" ht="15.05" customHeight="1">
      <c r="A190" s="1855"/>
      <c r="B190" s="1855"/>
      <c r="C190" s="1855"/>
      <c r="D190" s="1855"/>
      <c r="E190" s="1855"/>
      <c r="F190" s="1857" t="s">
        <v>50</v>
      </c>
      <c r="G190" s="1858"/>
      <c r="H190" s="200" t="str">
        <f>MAR!I655</f>
        <v>Penj. Daging RPH Banyumulek</v>
      </c>
      <c r="I190" s="217"/>
      <c r="J190" s="3193" t="s">
        <v>50</v>
      </c>
      <c r="K190" s="3193" t="s">
        <v>50</v>
      </c>
      <c r="L190" s="3125">
        <v>0</v>
      </c>
      <c r="M190" s="3124">
        <v>0</v>
      </c>
      <c r="N190" s="3125">
        <v>0</v>
      </c>
      <c r="O190" s="3125">
        <v>0</v>
      </c>
      <c r="P190" s="3125">
        <v>0</v>
      </c>
      <c r="Q190" s="3125">
        <f t="shared" si="36"/>
        <v>0</v>
      </c>
      <c r="R190" s="3605">
        <v>0</v>
      </c>
      <c r="S190" s="3275"/>
      <c r="T190" s="3826"/>
      <c r="U190" s="3771"/>
      <c r="V190" s="1846">
        <f t="shared" si="38"/>
        <v>0</v>
      </c>
    </row>
    <row r="191" spans="1:22" s="1538" customFormat="1" ht="15.05" customHeight="1">
      <c r="A191" s="1855"/>
      <c r="B191" s="1855"/>
      <c r="C191" s="1855"/>
      <c r="D191" s="1855"/>
      <c r="E191" s="1855"/>
      <c r="F191" s="1464" t="s">
        <v>528</v>
      </c>
      <c r="G191" s="1860"/>
      <c r="H191" s="202"/>
      <c r="I191" s="218"/>
      <c r="J191" s="3123">
        <f>SUM(J192:J198)</f>
        <v>820000000</v>
      </c>
      <c r="K191" s="3123">
        <f t="shared" ref="K191:P191" si="41">SUM(K192:K198)</f>
        <v>890941000</v>
      </c>
      <c r="L191" s="3123">
        <f t="shared" si="41"/>
        <v>820000000</v>
      </c>
      <c r="M191" s="3123">
        <f t="shared" si="41"/>
        <v>55399500</v>
      </c>
      <c r="N191" s="3123">
        <f t="shared" si="41"/>
        <v>120244500</v>
      </c>
      <c r="O191" s="3123">
        <f t="shared" si="41"/>
        <v>175644000</v>
      </c>
      <c r="P191" s="3123">
        <f t="shared" si="41"/>
        <v>820000000</v>
      </c>
      <c r="Q191" s="3182">
        <f t="shared" si="36"/>
        <v>0</v>
      </c>
      <c r="R191" s="3601">
        <f>+P191/L191*100-100</f>
        <v>0</v>
      </c>
      <c r="S191" s="3731"/>
      <c r="T191" s="3829"/>
      <c r="U191" s="3781">
        <f>SUM(U192:U198)</f>
        <v>0</v>
      </c>
      <c r="V191" s="1846">
        <f t="shared" si="38"/>
        <v>702576000</v>
      </c>
    </row>
    <row r="192" spans="1:22" s="1538" customFormat="1" ht="15.05" customHeight="1">
      <c r="A192" s="1855"/>
      <c r="B192" s="1855"/>
      <c r="C192" s="1855"/>
      <c r="D192" s="1855"/>
      <c r="E192" s="1855"/>
      <c r="F192" s="1857" t="s">
        <v>50</v>
      </c>
      <c r="G192" s="1858"/>
      <c r="H192" s="200" t="str">
        <f>MAR!I688</f>
        <v>BPBIAT Aikmel</v>
      </c>
      <c r="I192" s="217"/>
      <c r="J192" s="3171">
        <v>190000000</v>
      </c>
      <c r="K192" s="3171">
        <v>185000000</v>
      </c>
      <c r="L192" s="3125">
        <v>190000000</v>
      </c>
      <c r="M192" s="3124">
        <v>30000000</v>
      </c>
      <c r="N192" s="3125">
        <v>19500000</v>
      </c>
      <c r="O192" s="3125">
        <v>49500000</v>
      </c>
      <c r="P192" s="3125">
        <v>190000000</v>
      </c>
      <c r="Q192" s="3125">
        <f t="shared" si="36"/>
        <v>0</v>
      </c>
      <c r="R192" s="3605">
        <f>+P192/L192*100-100</f>
        <v>0</v>
      </c>
      <c r="S192" s="3275"/>
      <c r="T192" s="3826"/>
      <c r="U192" s="3771"/>
      <c r="V192" s="1846">
        <f t="shared" si="38"/>
        <v>198000000</v>
      </c>
    </row>
    <row r="193" spans="1:22" s="1538" customFormat="1" ht="15.05" customHeight="1">
      <c r="A193" s="1855"/>
      <c r="B193" s="1855"/>
      <c r="C193" s="1855"/>
      <c r="D193" s="1855"/>
      <c r="E193" s="1855"/>
      <c r="F193" s="1857" t="s">
        <v>50</v>
      </c>
      <c r="G193" s="1858"/>
      <c r="H193" s="200" t="str">
        <f>MAR!I689</f>
        <v>BBI Batu kumbung</v>
      </c>
      <c r="I193" s="217"/>
      <c r="J193" s="3171">
        <v>160000000</v>
      </c>
      <c r="K193" s="3171">
        <v>160153500</v>
      </c>
      <c r="L193" s="3125">
        <v>160000000</v>
      </c>
      <c r="M193" s="3124">
        <v>6528500</v>
      </c>
      <c r="N193" s="3125">
        <v>15425500</v>
      </c>
      <c r="O193" s="3125">
        <v>21954000</v>
      </c>
      <c r="P193" s="3125">
        <v>160000000</v>
      </c>
      <c r="Q193" s="3125">
        <f t="shared" si="36"/>
        <v>0</v>
      </c>
      <c r="R193" s="3605">
        <f>+P193/L193*100-100</f>
        <v>0</v>
      </c>
      <c r="S193" s="3275"/>
      <c r="T193" s="3826"/>
      <c r="U193" s="3771"/>
      <c r="V193" s="1846">
        <f t="shared" si="38"/>
        <v>87816000</v>
      </c>
    </row>
    <row r="194" spans="1:22" s="1538" customFormat="1" ht="15.05" customHeight="1">
      <c r="A194" s="1855"/>
      <c r="B194" s="1855"/>
      <c r="C194" s="1855"/>
      <c r="D194" s="1855"/>
      <c r="E194" s="1855"/>
      <c r="F194" s="1857" t="s">
        <v>50</v>
      </c>
      <c r="G194" s="1858"/>
      <c r="H194" s="200" t="str">
        <f>MAR!I690</f>
        <v>BBI Lingsar</v>
      </c>
      <c r="I194" s="217"/>
      <c r="J194" s="3171">
        <v>90000000</v>
      </c>
      <c r="K194" s="3171">
        <v>90772500</v>
      </c>
      <c r="L194" s="3125">
        <v>90000000</v>
      </c>
      <c r="M194" s="3124">
        <v>16191000</v>
      </c>
      <c r="N194" s="3125">
        <v>11950000</v>
      </c>
      <c r="O194" s="3125">
        <v>28141000</v>
      </c>
      <c r="P194" s="3125">
        <v>90000000</v>
      </c>
      <c r="Q194" s="3125">
        <f t="shared" si="36"/>
        <v>0</v>
      </c>
      <c r="R194" s="3605">
        <f>+P194/L194*100-100</f>
        <v>0</v>
      </c>
      <c r="S194" s="3275"/>
      <c r="T194" s="3826"/>
      <c r="U194" s="3771"/>
      <c r="V194" s="1846">
        <f t="shared" si="38"/>
        <v>112564000</v>
      </c>
    </row>
    <row r="195" spans="1:22" s="1538" customFormat="1" ht="15.05" customHeight="1">
      <c r="A195" s="1855"/>
      <c r="B195" s="1855"/>
      <c r="C195" s="1855"/>
      <c r="D195" s="1855"/>
      <c r="E195" s="1855"/>
      <c r="F195" s="1857" t="s">
        <v>50</v>
      </c>
      <c r="G195" s="1858"/>
      <c r="H195" s="200" t="str">
        <f>MAR!I691</f>
        <v>Matua</v>
      </c>
      <c r="I195" s="217"/>
      <c r="J195" s="3193" t="s">
        <v>50</v>
      </c>
      <c r="K195" s="3193" t="s">
        <v>50</v>
      </c>
      <c r="L195" s="3125">
        <v>0</v>
      </c>
      <c r="M195" s="3124">
        <v>0</v>
      </c>
      <c r="N195" s="3125">
        <v>0</v>
      </c>
      <c r="O195" s="3125">
        <v>0</v>
      </c>
      <c r="P195" s="3125">
        <v>0</v>
      </c>
      <c r="Q195" s="3125">
        <f t="shared" si="36"/>
        <v>0</v>
      </c>
      <c r="R195" s="3605">
        <v>0</v>
      </c>
      <c r="S195" s="3275"/>
      <c r="T195" s="3826"/>
      <c r="U195" s="3771"/>
      <c r="V195" s="1846">
        <f t="shared" si="38"/>
        <v>0</v>
      </c>
    </row>
    <row r="196" spans="1:22" s="1538" customFormat="1" ht="15.05" customHeight="1">
      <c r="A196" s="1855"/>
      <c r="B196" s="1855"/>
      <c r="C196" s="1855"/>
      <c r="D196" s="1855"/>
      <c r="E196" s="1855"/>
      <c r="F196" s="1857" t="s">
        <v>50</v>
      </c>
      <c r="G196" s="1858"/>
      <c r="H196" s="200" t="str">
        <f>MAR!I692</f>
        <v>BBI Rade Bima</v>
      </c>
      <c r="I196" s="217"/>
      <c r="J196" s="3171">
        <v>15000000</v>
      </c>
      <c r="K196" s="3193">
        <v>15000000</v>
      </c>
      <c r="L196" s="3125">
        <v>15000000</v>
      </c>
      <c r="M196" s="3124">
        <v>1200000</v>
      </c>
      <c r="N196" s="3125">
        <v>1400000</v>
      </c>
      <c r="O196" s="3125">
        <v>2600000</v>
      </c>
      <c r="P196" s="3125">
        <v>15000000</v>
      </c>
      <c r="Q196" s="3125">
        <f t="shared" si="36"/>
        <v>0</v>
      </c>
      <c r="R196" s="3605">
        <f>+P196/L196*100-100</f>
        <v>0</v>
      </c>
      <c r="S196" s="3275"/>
      <c r="T196" s="3826"/>
      <c r="U196" s="3771"/>
      <c r="V196" s="1846">
        <f t="shared" si="38"/>
        <v>10400000</v>
      </c>
    </row>
    <row r="197" spans="1:22" s="1538" customFormat="1" ht="15.05" customHeight="1">
      <c r="A197" s="1855"/>
      <c r="B197" s="1855"/>
      <c r="C197" s="1855"/>
      <c r="D197" s="1855"/>
      <c r="E197" s="1855"/>
      <c r="F197" s="1857" t="s">
        <v>50</v>
      </c>
      <c r="G197" s="1858"/>
      <c r="H197" s="200" t="str">
        <f>MAR!I693</f>
        <v>BBI Taliwang</v>
      </c>
      <c r="I197" s="217"/>
      <c r="J197" s="3171">
        <v>30000000</v>
      </c>
      <c r="K197" s="3193">
        <v>4000000</v>
      </c>
      <c r="L197" s="3125">
        <v>30000000</v>
      </c>
      <c r="M197" s="3124">
        <v>1480000</v>
      </c>
      <c r="N197" s="3125">
        <v>569000</v>
      </c>
      <c r="O197" s="3125">
        <v>2049000</v>
      </c>
      <c r="P197" s="3125">
        <v>30000000</v>
      </c>
      <c r="Q197" s="3125">
        <f t="shared" si="36"/>
        <v>0</v>
      </c>
      <c r="R197" s="3605">
        <f>+P197/L197*100-100</f>
        <v>0</v>
      </c>
      <c r="S197" s="3275"/>
      <c r="T197" s="3826"/>
      <c r="U197" s="3771"/>
      <c r="V197" s="1846">
        <f t="shared" si="38"/>
        <v>8196000</v>
      </c>
    </row>
    <row r="198" spans="1:22" s="1538" customFormat="1" ht="15.05" customHeight="1">
      <c r="A198" s="1855"/>
      <c r="B198" s="1855"/>
      <c r="C198" s="1855"/>
      <c r="D198" s="1855"/>
      <c r="E198" s="1855"/>
      <c r="F198" s="1857" t="s">
        <v>50</v>
      </c>
      <c r="G198" s="1858"/>
      <c r="H198" s="200" t="str">
        <f>MAR!I694</f>
        <v>BPBPP Sekotong</v>
      </c>
      <c r="I198" s="217"/>
      <c r="J198" s="3171">
        <v>335000000</v>
      </c>
      <c r="K198" s="3193">
        <v>436015000</v>
      </c>
      <c r="L198" s="3125">
        <v>335000000</v>
      </c>
      <c r="M198" s="3124">
        <v>0</v>
      </c>
      <c r="N198" s="3125">
        <v>71400000</v>
      </c>
      <c r="O198" s="3125">
        <v>71400000</v>
      </c>
      <c r="P198" s="3125">
        <v>335000000</v>
      </c>
      <c r="Q198" s="3125">
        <f t="shared" si="36"/>
        <v>0</v>
      </c>
      <c r="R198" s="3605">
        <f>+P198/L198*100-100</f>
        <v>0</v>
      </c>
      <c r="S198" s="3748"/>
      <c r="T198" s="3826"/>
      <c r="U198" s="3778">
        <f>PerDinas!Q947</f>
        <v>0</v>
      </c>
      <c r="V198" s="1846">
        <f t="shared" si="38"/>
        <v>285600000</v>
      </c>
    </row>
    <row r="199" spans="1:22" s="1538" customFormat="1" ht="15.05" customHeight="1">
      <c r="A199" s="3573"/>
      <c r="B199" s="3573"/>
      <c r="C199" s="3573"/>
      <c r="D199" s="3573"/>
      <c r="E199" s="3573"/>
      <c r="F199" s="3574"/>
      <c r="G199" s="3581"/>
      <c r="H199" s="3575"/>
      <c r="I199" s="3582"/>
      <c r="J199" s="3577"/>
      <c r="K199" s="3583"/>
      <c r="L199" s="3578"/>
      <c r="M199" s="3579"/>
      <c r="N199" s="3578"/>
      <c r="O199" s="3578"/>
      <c r="P199" s="3578"/>
      <c r="Q199" s="3578"/>
      <c r="R199" s="3615"/>
      <c r="S199" s="3709"/>
      <c r="T199" s="3828"/>
      <c r="U199" s="3771"/>
      <c r="V199" s="1846">
        <f t="shared" si="38"/>
        <v>0</v>
      </c>
    </row>
    <row r="200" spans="1:22" s="2945" customFormat="1" ht="15.05" customHeight="1">
      <c r="A200" s="3053">
        <v>4</v>
      </c>
      <c r="B200" s="3054">
        <v>1</v>
      </c>
      <c r="C200" s="3054">
        <v>2</v>
      </c>
      <c r="D200" s="3054" t="s">
        <v>440</v>
      </c>
      <c r="E200" s="3054"/>
      <c r="F200" s="3056" t="s">
        <v>545</v>
      </c>
      <c r="G200" s="3057"/>
      <c r="H200" s="3064"/>
      <c r="I200" s="3065"/>
      <c r="J200" s="3202">
        <f>+J201+J206+J209</f>
        <v>1648889500</v>
      </c>
      <c r="K200" s="3202">
        <f>+K201+K206+K209</f>
        <v>1761141600</v>
      </c>
      <c r="L200" s="3178">
        <f>+L201+L206+L209</f>
        <v>1648889500</v>
      </c>
      <c r="M200" s="3179">
        <v>323745000</v>
      </c>
      <c r="N200" s="3178">
        <f>+N201+N206+N209</f>
        <v>153560000</v>
      </c>
      <c r="O200" s="3178">
        <f>+O201+O206+O209</f>
        <v>477305000</v>
      </c>
      <c r="P200" s="3178">
        <f>+P201+P206+P209</f>
        <v>1863889500</v>
      </c>
      <c r="Q200" s="3178">
        <f>+Q201+Q206+Q209</f>
        <v>215000000</v>
      </c>
      <c r="R200" s="3613">
        <f>+P200/L200*100-100</f>
        <v>13.039078725408842</v>
      </c>
      <c r="S200" s="3700"/>
      <c r="T200" s="3818"/>
      <c r="U200" s="3773"/>
      <c r="V200" s="2944">
        <f t="shared" si="38"/>
        <v>1909220000</v>
      </c>
    </row>
    <row r="201" spans="1:22" s="2932" customFormat="1" ht="15.05" customHeight="1">
      <c r="A201" s="3047">
        <v>4</v>
      </c>
      <c r="B201" s="3047">
        <v>1</v>
      </c>
      <c r="C201" s="3047">
        <v>2</v>
      </c>
      <c r="D201" s="3047" t="s">
        <v>440</v>
      </c>
      <c r="E201" s="3047" t="s">
        <v>437</v>
      </c>
      <c r="F201" s="3048" t="s">
        <v>117</v>
      </c>
      <c r="G201" s="3049"/>
      <c r="H201" s="3050"/>
      <c r="I201" s="3051"/>
      <c r="J201" s="3441">
        <f>SUM(J202:J204)</f>
        <v>193889500</v>
      </c>
      <c r="K201" s="3442">
        <f>SUM(K202:K204)</f>
        <v>122160000</v>
      </c>
      <c r="L201" s="3163">
        <f>SUM(L202:L205)</f>
        <v>193889500</v>
      </c>
      <c r="M201" s="3164">
        <v>3165000</v>
      </c>
      <c r="N201" s="3163">
        <f>SUM(N202:N205)</f>
        <v>25400000</v>
      </c>
      <c r="O201" s="3163">
        <f>N201+M201</f>
        <v>28565000</v>
      </c>
      <c r="P201" s="3163">
        <f>SUM(P202:P204)</f>
        <v>193889500</v>
      </c>
      <c r="Q201" s="3163">
        <f>+P201-L201</f>
        <v>0</v>
      </c>
      <c r="R201" s="3610">
        <f>+P201/L201*100-100</f>
        <v>0</v>
      </c>
      <c r="S201" s="3714"/>
      <c r="T201" s="3833"/>
      <c r="U201" s="3784"/>
      <c r="V201" s="2931">
        <f t="shared" si="38"/>
        <v>114260000</v>
      </c>
    </row>
    <row r="202" spans="1:22" s="1538" customFormat="1" ht="15.05" customHeight="1">
      <c r="A202" s="1855"/>
      <c r="B202" s="1855"/>
      <c r="C202" s="1855"/>
      <c r="D202" s="1855"/>
      <c r="E202" s="1855"/>
      <c r="F202" s="1857" t="s">
        <v>50</v>
      </c>
      <c r="G202" s="1858"/>
      <c r="H202" s="200" t="s">
        <v>546</v>
      </c>
      <c r="I202" s="217"/>
      <c r="J202" s="3171">
        <v>103889500</v>
      </c>
      <c r="K202" s="3193">
        <v>75250000</v>
      </c>
      <c r="L202" s="3125">
        <f>MAR!J158</f>
        <v>103889500</v>
      </c>
      <c r="M202" s="3124">
        <v>230000</v>
      </c>
      <c r="N202" s="3125">
        <f>MAR!L158</f>
        <v>24900000</v>
      </c>
      <c r="O202" s="3125">
        <f>MAR!M158</f>
        <v>25130000</v>
      </c>
      <c r="P202" s="3125">
        <v>103889500</v>
      </c>
      <c r="Q202" s="3125">
        <f>+P202-L202</f>
        <v>0</v>
      </c>
      <c r="R202" s="3605">
        <f>+P202/L202*100-100</f>
        <v>0</v>
      </c>
      <c r="S202" s="3275"/>
      <c r="T202" s="3826"/>
      <c r="U202" s="3771"/>
      <c r="V202" s="1846">
        <f t="shared" si="38"/>
        <v>100520000</v>
      </c>
    </row>
    <row r="203" spans="1:22" s="1538" customFormat="1" ht="15.05" customHeight="1">
      <c r="A203" s="1855"/>
      <c r="B203" s="1855"/>
      <c r="C203" s="1855"/>
      <c r="D203" s="1855"/>
      <c r="E203" s="1855"/>
      <c r="F203" s="1857" t="s">
        <v>50</v>
      </c>
      <c r="G203" s="1858"/>
      <c r="H203" s="200" t="s">
        <v>547</v>
      </c>
      <c r="I203" s="217"/>
      <c r="J203" s="3171">
        <v>90000000</v>
      </c>
      <c r="K203" s="3193" t="s">
        <v>50</v>
      </c>
      <c r="L203" s="3125">
        <f>MAR!J159</f>
        <v>90000000</v>
      </c>
      <c r="M203" s="3124">
        <v>0</v>
      </c>
      <c r="N203" s="3125">
        <f>MAR!L159</f>
        <v>0</v>
      </c>
      <c r="O203" s="3125">
        <f>MAR!M159</f>
        <v>0</v>
      </c>
      <c r="P203" s="3125">
        <v>90000000</v>
      </c>
      <c r="Q203" s="3125">
        <f>+P203-L203</f>
        <v>0</v>
      </c>
      <c r="R203" s="3605">
        <f>+P203/L203*100-100</f>
        <v>0</v>
      </c>
      <c r="S203" s="3275"/>
      <c r="T203" s="3826"/>
      <c r="U203" s="3771"/>
      <c r="V203" s="1846">
        <f t="shared" si="38"/>
        <v>0</v>
      </c>
    </row>
    <row r="204" spans="1:22" s="1538" customFormat="1" ht="15.05" customHeight="1">
      <c r="A204" s="1855"/>
      <c r="B204" s="1855"/>
      <c r="C204" s="1855"/>
      <c r="D204" s="1855"/>
      <c r="E204" s="1855"/>
      <c r="F204" s="1857" t="s">
        <v>50</v>
      </c>
      <c r="G204" s="1858"/>
      <c r="H204" s="200" t="s">
        <v>548</v>
      </c>
      <c r="I204" s="217"/>
      <c r="J204" s="3193" t="s">
        <v>50</v>
      </c>
      <c r="K204" s="3171">
        <v>46910000</v>
      </c>
      <c r="L204" s="3125">
        <f>MAR!J185</f>
        <v>0</v>
      </c>
      <c r="M204" s="3124">
        <v>2935000</v>
      </c>
      <c r="N204" s="3125">
        <f>MAR!L185</f>
        <v>500000</v>
      </c>
      <c r="O204" s="3125">
        <f>MAR!M185</f>
        <v>3435000</v>
      </c>
      <c r="P204" s="3125">
        <v>0</v>
      </c>
      <c r="Q204" s="3125">
        <f>+P204-L204</f>
        <v>0</v>
      </c>
      <c r="R204" s="3605">
        <v>0</v>
      </c>
      <c r="S204" s="3275"/>
      <c r="T204" s="3826"/>
      <c r="U204" s="3771"/>
      <c r="V204" s="1846">
        <f t="shared" si="38"/>
        <v>13740000</v>
      </c>
    </row>
    <row r="205" spans="1:22" s="1538" customFormat="1" ht="15.05" customHeight="1">
      <c r="A205" s="1855"/>
      <c r="B205" s="1855"/>
      <c r="C205" s="1855"/>
      <c r="D205" s="1855"/>
      <c r="E205" s="1855"/>
      <c r="F205" s="1857"/>
      <c r="G205" s="1858"/>
      <c r="H205" s="200"/>
      <c r="I205" s="217"/>
      <c r="J205" s="3171"/>
      <c r="K205" s="3171"/>
      <c r="L205" s="3125"/>
      <c r="M205" s="3124"/>
      <c r="N205" s="3125"/>
      <c r="O205" s="3125"/>
      <c r="P205" s="3125"/>
      <c r="Q205" s="3125"/>
      <c r="R205" s="3605"/>
      <c r="S205" s="3702"/>
      <c r="T205" s="3820"/>
      <c r="U205" s="3771"/>
      <c r="V205" s="1846">
        <f t="shared" si="38"/>
        <v>0</v>
      </c>
    </row>
    <row r="206" spans="1:22" s="2932" customFormat="1" ht="15.05" customHeight="1">
      <c r="A206" s="2925">
        <v>4</v>
      </c>
      <c r="B206" s="2925">
        <v>1</v>
      </c>
      <c r="C206" s="2925">
        <v>2</v>
      </c>
      <c r="D206" s="2925" t="s">
        <v>440</v>
      </c>
      <c r="E206" s="2925" t="s">
        <v>438</v>
      </c>
      <c r="F206" s="2926" t="s">
        <v>391</v>
      </c>
      <c r="G206" s="2927"/>
      <c r="H206" s="2928"/>
      <c r="I206" s="2929"/>
      <c r="J206" s="3444">
        <f>+J207</f>
        <v>0</v>
      </c>
      <c r="K206" s="3444">
        <f>+K207</f>
        <v>16404000</v>
      </c>
      <c r="L206" s="3169">
        <f>SUM(L207:L208)</f>
        <v>0</v>
      </c>
      <c r="M206" s="3170">
        <v>0</v>
      </c>
      <c r="N206" s="3169">
        <f>SUM(N207:N208)</f>
        <v>0</v>
      </c>
      <c r="O206" s="3169">
        <f>N206+M206</f>
        <v>0</v>
      </c>
      <c r="P206" s="3169">
        <f>+P207</f>
        <v>20000000</v>
      </c>
      <c r="Q206" s="3169">
        <f>+P206-L206</f>
        <v>20000000</v>
      </c>
      <c r="R206" s="3616">
        <v>0</v>
      </c>
      <c r="S206" s="3715"/>
      <c r="T206" s="3834"/>
      <c r="U206" s="3760"/>
      <c r="V206" s="2931">
        <f t="shared" si="38"/>
        <v>0</v>
      </c>
    </row>
    <row r="207" spans="1:22" s="1538" customFormat="1" ht="15.05" customHeight="1">
      <c r="A207" s="1854"/>
      <c r="B207" s="1854"/>
      <c r="C207" s="1854"/>
      <c r="D207" s="1854"/>
      <c r="E207" s="1854"/>
      <c r="F207" s="2829" t="s">
        <v>50</v>
      </c>
      <c r="G207" s="1860"/>
      <c r="H207" s="200" t="s">
        <v>549</v>
      </c>
      <c r="I207" s="218"/>
      <c r="J207" s="3200"/>
      <c r="K207" s="3171">
        <v>16404000</v>
      </c>
      <c r="L207" s="3125">
        <f>MAR!J695</f>
        <v>0</v>
      </c>
      <c r="M207" s="3124">
        <v>0</v>
      </c>
      <c r="N207" s="3125">
        <f>MAR!L695</f>
        <v>0</v>
      </c>
      <c r="O207" s="3125">
        <f>MAR!M695</f>
        <v>0</v>
      </c>
      <c r="P207" s="3125">
        <v>20000000</v>
      </c>
      <c r="Q207" s="3125">
        <f>+P207-L207</f>
        <v>20000000</v>
      </c>
      <c r="R207" s="3605">
        <v>0</v>
      </c>
      <c r="S207" s="3275"/>
      <c r="T207" s="3835"/>
      <c r="U207" s="3785"/>
      <c r="V207" s="1846">
        <f t="shared" si="38"/>
        <v>0</v>
      </c>
    </row>
    <row r="208" spans="1:22" s="1538" customFormat="1" ht="15.05" customHeight="1">
      <c r="A208" s="1902"/>
      <c r="B208" s="1902"/>
      <c r="C208" s="1902"/>
      <c r="D208" s="1902"/>
      <c r="E208" s="1902"/>
      <c r="F208" s="2830"/>
      <c r="G208" s="2831"/>
      <c r="H208" s="200"/>
      <c r="I208" s="1907"/>
      <c r="J208" s="3203"/>
      <c r="K208" s="3142"/>
      <c r="L208" s="3174"/>
      <c r="M208" s="3175"/>
      <c r="N208" s="3174"/>
      <c r="O208" s="3174"/>
      <c r="P208" s="3174"/>
      <c r="Q208" s="3174"/>
      <c r="R208" s="3612"/>
      <c r="S208" s="3741"/>
      <c r="T208" s="3828"/>
      <c r="U208" s="3786"/>
      <c r="V208" s="1846">
        <f t="shared" si="38"/>
        <v>0</v>
      </c>
    </row>
    <row r="209" spans="1:22" s="2932" customFormat="1" ht="15.05" customHeight="1">
      <c r="A209" s="3446"/>
      <c r="B209" s="3446"/>
      <c r="C209" s="3446"/>
      <c r="D209" s="3446"/>
      <c r="E209" s="3447" t="s">
        <v>440</v>
      </c>
      <c r="F209" s="3448" t="s">
        <v>550</v>
      </c>
      <c r="G209" s="3448"/>
      <c r="H209" s="3449"/>
      <c r="I209" s="3450"/>
      <c r="J209" s="3451">
        <f>+J210</f>
        <v>1455000000</v>
      </c>
      <c r="K209" s="3451">
        <f>+K210</f>
        <v>1622577600</v>
      </c>
      <c r="L209" s="3452">
        <f>L210</f>
        <v>1455000000</v>
      </c>
      <c r="M209" s="3453">
        <v>320580000</v>
      </c>
      <c r="N209" s="3452">
        <f t="shared" ref="N209:U209" si="42">N210</f>
        <v>128160000</v>
      </c>
      <c r="O209" s="3452">
        <f t="shared" si="42"/>
        <v>448740000</v>
      </c>
      <c r="P209" s="3452">
        <f t="shared" si="42"/>
        <v>1650000000</v>
      </c>
      <c r="Q209" s="3452">
        <f>+P209-L209</f>
        <v>195000000</v>
      </c>
      <c r="R209" s="3617">
        <f>+P209/L209*100-100</f>
        <v>13.402061855670098</v>
      </c>
      <c r="S209" s="3742"/>
      <c r="T209" s="3452"/>
      <c r="U209" s="3787">
        <f t="shared" si="42"/>
        <v>0</v>
      </c>
      <c r="V209" s="2931">
        <f t="shared" si="38"/>
        <v>1794960000</v>
      </c>
    </row>
    <row r="210" spans="1:22" s="1538" customFormat="1" ht="15.05" customHeight="1">
      <c r="A210" s="1902"/>
      <c r="B210" s="1902"/>
      <c r="C210" s="1902"/>
      <c r="D210" s="1902"/>
      <c r="E210" s="2832"/>
      <c r="F210" s="2833" t="s">
        <v>50</v>
      </c>
      <c r="G210" s="2834"/>
      <c r="H210" s="206" t="s">
        <v>551</v>
      </c>
      <c r="I210" s="2835"/>
      <c r="J210" s="3204">
        <v>1455000000</v>
      </c>
      <c r="K210" s="3204">
        <v>1622577600</v>
      </c>
      <c r="L210" s="3205">
        <f>MAR!J221</f>
        <v>1455000000</v>
      </c>
      <c r="M210" s="3205">
        <v>320580000</v>
      </c>
      <c r="N210" s="3205">
        <f>MAR!L221</f>
        <v>128160000</v>
      </c>
      <c r="O210" s="3205">
        <f>MAR!M221</f>
        <v>448740000</v>
      </c>
      <c r="P210" s="3205">
        <v>1650000000</v>
      </c>
      <c r="Q210" s="3205">
        <f>+P210-L210</f>
        <v>195000000</v>
      </c>
      <c r="R210" s="3618">
        <f>+P210/L210*100-100</f>
        <v>13.402061855670098</v>
      </c>
      <c r="S210" s="3743"/>
      <c r="T210" s="3206"/>
      <c r="U210" s="3788">
        <f>PerDinas!Q316</f>
        <v>0</v>
      </c>
      <c r="V210" s="1846">
        <f t="shared" si="38"/>
        <v>1794960000</v>
      </c>
    </row>
    <row r="211" spans="1:22" s="1538" customFormat="1" ht="15.05" customHeight="1">
      <c r="A211" s="3876"/>
      <c r="B211" s="3876"/>
      <c r="C211" s="3876"/>
      <c r="D211" s="3876"/>
      <c r="E211" s="3876"/>
      <c r="F211" s="2836"/>
      <c r="G211" s="2837"/>
      <c r="H211" s="2127"/>
      <c r="I211" s="2838"/>
      <c r="J211" s="3207"/>
      <c r="K211" s="3207"/>
      <c r="L211" s="3208"/>
      <c r="M211" s="3208"/>
      <c r="N211" s="3208"/>
      <c r="O211" s="3208"/>
      <c r="P211" s="3208"/>
      <c r="Q211" s="3208"/>
      <c r="R211" s="3619"/>
      <c r="S211" s="3744"/>
      <c r="T211" s="3836"/>
      <c r="U211" s="3789"/>
      <c r="V211" s="1846"/>
    </row>
    <row r="212" spans="1:22" s="2955" customFormat="1" ht="15.05" customHeight="1">
      <c r="A212" s="2949">
        <v>4</v>
      </c>
      <c r="B212" s="2949">
        <v>1</v>
      </c>
      <c r="C212" s="2949">
        <v>3</v>
      </c>
      <c r="D212" s="2949"/>
      <c r="E212" s="2949"/>
      <c r="F212" s="2950" t="s">
        <v>552</v>
      </c>
      <c r="G212" s="2951"/>
      <c r="H212" s="2952"/>
      <c r="I212" s="2952"/>
      <c r="J212" s="3210">
        <f>+J213</f>
        <v>157964885190</v>
      </c>
      <c r="K212" s="3210">
        <f>+K213</f>
        <v>72827611744</v>
      </c>
      <c r="L212" s="3211">
        <f>+L213+L222</f>
        <v>92558485190</v>
      </c>
      <c r="M212" s="3211">
        <f>+M213+M222</f>
        <v>0</v>
      </c>
      <c r="N212" s="3211">
        <f>+N213+N222</f>
        <v>0</v>
      </c>
      <c r="O212" s="3211">
        <f>+O213+O222</f>
        <v>0</v>
      </c>
      <c r="P212" s="3211">
        <f>+P213+P222</f>
        <v>90943853577</v>
      </c>
      <c r="Q212" s="3867">
        <f>P212-L212</f>
        <v>-1614631613</v>
      </c>
      <c r="R212" s="3620">
        <f>+P212/L212*100-100</f>
        <v>-1.7444447256084175</v>
      </c>
      <c r="S212" s="3745"/>
      <c r="T212" s="3837"/>
      <c r="U212" s="3117"/>
      <c r="V212" s="2954">
        <f t="shared" ref="V212:V275" si="43">O212*4</f>
        <v>0</v>
      </c>
    </row>
    <row r="213" spans="1:22" s="2956" customFormat="1" ht="15.05" customHeight="1">
      <c r="A213" s="3053">
        <v>4</v>
      </c>
      <c r="B213" s="3054">
        <v>1</v>
      </c>
      <c r="C213" s="3054">
        <v>3</v>
      </c>
      <c r="D213" s="3054" t="s">
        <v>437</v>
      </c>
      <c r="E213" s="3054"/>
      <c r="F213" s="3056" t="s">
        <v>553</v>
      </c>
      <c r="G213" s="3057"/>
      <c r="H213" s="3064"/>
      <c r="I213" s="3064"/>
      <c r="J213" s="3212">
        <f>+J214</f>
        <v>157964885190</v>
      </c>
      <c r="K213" s="3212">
        <f>+K214</f>
        <v>72827611744</v>
      </c>
      <c r="L213" s="3178">
        <f>SUM(L214)</f>
        <v>90558485190</v>
      </c>
      <c r="M213" s="3179">
        <v>0</v>
      </c>
      <c r="N213" s="3178">
        <f>SUM(N214)</f>
        <v>0</v>
      </c>
      <c r="O213" s="3178">
        <f>SUM(O214)</f>
        <v>0</v>
      </c>
      <c r="P213" s="3178">
        <f>P214</f>
        <v>88943853577</v>
      </c>
      <c r="Q213" s="3866">
        <f t="shared" ref="Q213:Q223" si="44">+P213-L213</f>
        <v>-1614631613</v>
      </c>
      <c r="R213" s="3621">
        <f t="shared" ref="R213:R218" si="45">+P213/L213*100-100</f>
        <v>-1.7829710927831428</v>
      </c>
      <c r="S213" s="3716"/>
      <c r="T213" s="3838"/>
      <c r="U213" s="3066"/>
      <c r="V213" s="2944">
        <f t="shared" si="43"/>
        <v>0</v>
      </c>
    </row>
    <row r="214" spans="1:22" s="1834" customFormat="1" ht="15.05" customHeight="1">
      <c r="A214" s="1905">
        <v>4</v>
      </c>
      <c r="B214" s="1905">
        <v>1</v>
      </c>
      <c r="C214" s="1905">
        <v>3</v>
      </c>
      <c r="D214" s="1905" t="s">
        <v>437</v>
      </c>
      <c r="E214" s="1905" t="s">
        <v>437</v>
      </c>
      <c r="F214" s="2827" t="s">
        <v>554</v>
      </c>
      <c r="G214" s="2828"/>
      <c r="H214" s="212"/>
      <c r="I214" s="212"/>
      <c r="J214" s="3214">
        <f>SUM(J215:J223)</f>
        <v>157964885190</v>
      </c>
      <c r="K214" s="3214">
        <f>SUM(K215:K223)</f>
        <v>72827611744</v>
      </c>
      <c r="L214" s="3197">
        <f>SUM(L215:L221)</f>
        <v>90558485190</v>
      </c>
      <c r="M214" s="3198">
        <v>0</v>
      </c>
      <c r="N214" s="3197">
        <f>SUM(N215:N221)</f>
        <v>0</v>
      </c>
      <c r="O214" s="3197">
        <f>N214+M214</f>
        <v>0</v>
      </c>
      <c r="P214" s="3197">
        <f>SUM(P215:P221)</f>
        <v>88943853577</v>
      </c>
      <c r="Q214" s="3865">
        <f t="shared" si="44"/>
        <v>-1614631613</v>
      </c>
      <c r="R214" s="3608">
        <f t="shared" si="45"/>
        <v>-1.7829710927831428</v>
      </c>
      <c r="S214" s="3704"/>
      <c r="T214" s="3822"/>
      <c r="U214" s="1911"/>
      <c r="V214" s="1846">
        <f t="shared" si="43"/>
        <v>0</v>
      </c>
    </row>
    <row r="215" spans="1:22" s="1538" customFormat="1" ht="15.05" customHeight="1">
      <c r="A215" s="1855"/>
      <c r="B215" s="1855"/>
      <c r="C215" s="1855"/>
      <c r="D215" s="1855"/>
      <c r="E215" s="1855"/>
      <c r="F215" s="1857" t="s">
        <v>50</v>
      </c>
      <c r="G215" s="200" t="str">
        <f>MAR!I373</f>
        <v>PD. BPR NTB</v>
      </c>
      <c r="H215" s="1906"/>
      <c r="I215" s="200"/>
      <c r="J215" s="3215">
        <v>11374571865</v>
      </c>
      <c r="K215" s="3216">
        <v>11631764969</v>
      </c>
      <c r="L215" s="3125">
        <v>13374571865</v>
      </c>
      <c r="M215" s="3124">
        <v>0</v>
      </c>
      <c r="N215" s="3125">
        <v>0</v>
      </c>
      <c r="O215" s="3125">
        <v>0</v>
      </c>
      <c r="P215" s="3125">
        <v>11305220112</v>
      </c>
      <c r="Q215" s="3696">
        <f t="shared" si="44"/>
        <v>-2069351753</v>
      </c>
      <c r="R215" s="3605">
        <f t="shared" si="45"/>
        <v>-15.472284076735946</v>
      </c>
      <c r="S215" s="3275">
        <v>13601303170</v>
      </c>
      <c r="T215" s="3826">
        <f>S215-P215</f>
        <v>2296083058</v>
      </c>
      <c r="U215" s="3771"/>
      <c r="V215" s="1846">
        <f t="shared" si="43"/>
        <v>0</v>
      </c>
    </row>
    <row r="216" spans="1:22" s="1538" customFormat="1" ht="15.05" customHeight="1">
      <c r="A216" s="1855"/>
      <c r="B216" s="1855"/>
      <c r="C216" s="1855"/>
      <c r="D216" s="1855"/>
      <c r="E216" s="1855"/>
      <c r="F216" s="1857" t="s">
        <v>50</v>
      </c>
      <c r="G216" s="200" t="str">
        <f>MAR!I374</f>
        <v>Bank NTB/Deviden</v>
      </c>
      <c r="H216" s="1906"/>
      <c r="I216" s="2839"/>
      <c r="J216" s="3217">
        <v>59958450102</v>
      </c>
      <c r="K216" s="3186">
        <v>59958510102</v>
      </c>
      <c r="L216" s="3125">
        <v>59958450102</v>
      </c>
      <c r="M216" s="3124">
        <v>0</v>
      </c>
      <c r="N216" s="3125">
        <v>0</v>
      </c>
      <c r="O216" s="3125">
        <v>0</v>
      </c>
      <c r="P216" s="3125">
        <v>60000000000</v>
      </c>
      <c r="Q216" s="3125">
        <f t="shared" si="44"/>
        <v>41549898</v>
      </c>
      <c r="R216" s="3605">
        <f t="shared" si="45"/>
        <v>6.9297818621592455E-2</v>
      </c>
      <c r="S216" s="3275">
        <v>60000000000</v>
      </c>
      <c r="T216" s="3826">
        <f t="shared" ref="T216:T221" si="46">S216-P216</f>
        <v>0</v>
      </c>
      <c r="U216" s="3771"/>
      <c r="V216" s="1846">
        <f t="shared" si="43"/>
        <v>0</v>
      </c>
    </row>
    <row r="217" spans="1:22" s="1538" customFormat="1" ht="15.05" customHeight="1">
      <c r="A217" s="1855"/>
      <c r="B217" s="1855"/>
      <c r="C217" s="1855"/>
      <c r="D217" s="1855"/>
      <c r="E217" s="1855"/>
      <c r="F217" s="1857" t="s">
        <v>50</v>
      </c>
      <c r="G217" s="200" t="str">
        <f>MAR!I375</f>
        <v>PT. Gerbang NTB Emas</v>
      </c>
      <c r="H217" s="1906"/>
      <c r="I217" s="2839"/>
      <c r="J217" s="3217">
        <v>1000000000</v>
      </c>
      <c r="K217" s="3186">
        <v>1000000000</v>
      </c>
      <c r="L217" s="3125">
        <v>1000000000</v>
      </c>
      <c r="M217" s="3124">
        <v>0</v>
      </c>
      <c r="N217" s="3125">
        <v>0</v>
      </c>
      <c r="O217" s="3125">
        <v>0</v>
      </c>
      <c r="P217" s="3125">
        <v>1100000000</v>
      </c>
      <c r="Q217" s="3125">
        <f t="shared" si="44"/>
        <v>100000000</v>
      </c>
      <c r="R217" s="3605">
        <f t="shared" si="45"/>
        <v>10.000000000000014</v>
      </c>
      <c r="S217" s="3275">
        <v>1100000000</v>
      </c>
      <c r="T217" s="3826">
        <f t="shared" si="46"/>
        <v>0</v>
      </c>
      <c r="U217" s="3771"/>
      <c r="V217" s="1846">
        <f t="shared" si="43"/>
        <v>0</v>
      </c>
    </row>
    <row r="218" spans="1:22" s="1538" customFormat="1" ht="15.05" customHeight="1">
      <c r="A218" s="1855"/>
      <c r="B218" s="1855"/>
      <c r="C218" s="1855"/>
      <c r="D218" s="1855"/>
      <c r="E218" s="1855"/>
      <c r="F218" s="1857" t="s">
        <v>50</v>
      </c>
      <c r="G218" s="200" t="str">
        <f>MAR!I376</f>
        <v>PT. Daerah Mandiri Bersaing (DMB)</v>
      </c>
      <c r="H218" s="1906"/>
      <c r="I218" s="2839"/>
      <c r="J218" s="3217">
        <v>85406400000</v>
      </c>
      <c r="K218" s="3186">
        <v>0</v>
      </c>
      <c r="L218" s="3125">
        <v>16000000000</v>
      </c>
      <c r="M218" s="3124">
        <v>0</v>
      </c>
      <c r="N218" s="3125">
        <v>0</v>
      </c>
      <c r="O218" s="3125">
        <v>0</v>
      </c>
      <c r="P218" s="3125">
        <v>16000000000</v>
      </c>
      <c r="Q218" s="3125">
        <f t="shared" si="44"/>
        <v>0</v>
      </c>
      <c r="R218" s="3605">
        <f t="shared" si="45"/>
        <v>0</v>
      </c>
      <c r="S218" s="3275">
        <v>16000000000</v>
      </c>
      <c r="T218" s="3826">
        <f t="shared" si="46"/>
        <v>0</v>
      </c>
      <c r="U218" s="3771"/>
      <c r="V218" s="1846">
        <f t="shared" si="43"/>
        <v>0</v>
      </c>
    </row>
    <row r="219" spans="1:22" s="1538" customFormat="1" ht="15.05" customHeight="1">
      <c r="A219" s="1855"/>
      <c r="B219" s="1855"/>
      <c r="C219" s="1855"/>
      <c r="D219" s="1855"/>
      <c r="E219" s="1855"/>
      <c r="F219" s="1857" t="s">
        <v>50</v>
      </c>
      <c r="G219" s="200" t="str">
        <f>MAR!I377</f>
        <v>Deviden PT. Suara Nusa Media Pratama</v>
      </c>
      <c r="H219" s="1906"/>
      <c r="I219" s="2823"/>
      <c r="J219" s="3218" t="s">
        <v>50</v>
      </c>
      <c r="K219" s="3186">
        <v>0</v>
      </c>
      <c r="L219" s="3125">
        <v>0</v>
      </c>
      <c r="M219" s="3124">
        <v>0</v>
      </c>
      <c r="N219" s="3125">
        <v>0</v>
      </c>
      <c r="O219" s="3125">
        <v>0</v>
      </c>
      <c r="P219" s="3125">
        <v>0</v>
      </c>
      <c r="Q219" s="3125">
        <f t="shared" si="44"/>
        <v>0</v>
      </c>
      <c r="R219" s="3605">
        <v>0</v>
      </c>
      <c r="S219" s="3275"/>
      <c r="T219" s="3826">
        <f t="shared" si="46"/>
        <v>0</v>
      </c>
      <c r="U219" s="3771"/>
      <c r="V219" s="1846">
        <f t="shared" si="43"/>
        <v>0</v>
      </c>
    </row>
    <row r="220" spans="1:22" s="1538" customFormat="1" ht="15.05" customHeight="1">
      <c r="A220" s="1855"/>
      <c r="B220" s="1855"/>
      <c r="C220" s="1855"/>
      <c r="D220" s="1855"/>
      <c r="E220" s="1855"/>
      <c r="F220" s="1857" t="s">
        <v>50</v>
      </c>
      <c r="G220" s="200" t="str">
        <f>MAR!I378</f>
        <v>PT. Jam Krida</v>
      </c>
      <c r="H220" s="1906"/>
      <c r="I220" s="2823"/>
      <c r="J220" s="3186">
        <v>136702012</v>
      </c>
      <c r="K220" s="3186">
        <v>136702012</v>
      </c>
      <c r="L220" s="3125">
        <v>136702012</v>
      </c>
      <c r="M220" s="3124">
        <v>0</v>
      </c>
      <c r="N220" s="3125">
        <v>0</v>
      </c>
      <c r="O220" s="3125">
        <v>0</v>
      </c>
      <c r="P220" s="3125">
        <v>437998804</v>
      </c>
      <c r="Q220" s="3125">
        <f t="shared" si="44"/>
        <v>301296792</v>
      </c>
      <c r="R220" s="3605">
        <f>+P220/L220*100-100</f>
        <v>220.40406545003884</v>
      </c>
      <c r="S220" s="3275">
        <v>692000000</v>
      </c>
      <c r="T220" s="3826">
        <f t="shared" si="46"/>
        <v>254001196</v>
      </c>
      <c r="U220" s="3771"/>
      <c r="V220" s="1846">
        <f t="shared" si="43"/>
        <v>0</v>
      </c>
    </row>
    <row r="221" spans="1:22" s="1538" customFormat="1" ht="15.05" customHeight="1">
      <c r="A221" s="1886"/>
      <c r="B221" s="1886"/>
      <c r="C221" s="1886"/>
      <c r="D221" s="1886"/>
      <c r="E221" s="1886"/>
      <c r="F221" s="1887" t="s">
        <v>50</v>
      </c>
      <c r="G221" s="856" t="str">
        <f>MAR!I379</f>
        <v>PT. Bangun Askrida</v>
      </c>
      <c r="H221" s="3067"/>
      <c r="I221" s="3068"/>
      <c r="J221" s="3219">
        <v>88761211</v>
      </c>
      <c r="K221" s="3219">
        <v>100634661</v>
      </c>
      <c r="L221" s="3174">
        <v>88761211</v>
      </c>
      <c r="M221" s="3175">
        <v>0</v>
      </c>
      <c r="N221" s="3174">
        <v>0</v>
      </c>
      <c r="O221" s="3174">
        <v>0</v>
      </c>
      <c r="P221" s="3174">
        <v>100634661</v>
      </c>
      <c r="Q221" s="3174">
        <f t="shared" si="44"/>
        <v>11873450</v>
      </c>
      <c r="R221" s="3612">
        <f>+P221/L221*100-100</f>
        <v>13.376845433079993</v>
      </c>
      <c r="S221" s="3709">
        <v>100634661</v>
      </c>
      <c r="T221" s="3826">
        <f t="shared" si="46"/>
        <v>0</v>
      </c>
      <c r="U221" s="1899"/>
      <c r="V221" s="1846">
        <f t="shared" si="43"/>
        <v>0</v>
      </c>
    </row>
    <row r="222" spans="1:22" s="2957" customFormat="1" ht="16" customHeight="1">
      <c r="A222" s="3076">
        <v>4</v>
      </c>
      <c r="B222" s="3076">
        <v>1</v>
      </c>
      <c r="C222" s="3076">
        <v>3</v>
      </c>
      <c r="D222" s="3077" t="s">
        <v>438</v>
      </c>
      <c r="E222" s="3076"/>
      <c r="F222" s="3078" t="s">
        <v>203</v>
      </c>
      <c r="G222" s="3079"/>
      <c r="H222" s="3080"/>
      <c r="I222" s="3081"/>
      <c r="J222" s="3220" t="s">
        <v>50</v>
      </c>
      <c r="K222" s="3220" t="s">
        <v>50</v>
      </c>
      <c r="L222" s="3221">
        <v>2000000000</v>
      </c>
      <c r="M222" s="3179">
        <v>0</v>
      </c>
      <c r="N222" s="3221">
        <v>0</v>
      </c>
      <c r="O222" s="3221">
        <v>0</v>
      </c>
      <c r="P222" s="3221">
        <v>2000000000</v>
      </c>
      <c r="Q222" s="3221">
        <f t="shared" si="44"/>
        <v>0</v>
      </c>
      <c r="R222" s="3622">
        <f>+P222/L222*100-100</f>
        <v>0</v>
      </c>
      <c r="S222" s="3717"/>
      <c r="T222" s="3839"/>
      <c r="U222" s="3082"/>
      <c r="V222" s="2944">
        <f t="shared" si="43"/>
        <v>0</v>
      </c>
    </row>
    <row r="223" spans="1:22" s="1835" customFormat="1" ht="15.05" customHeight="1">
      <c r="A223" s="3069">
        <v>4</v>
      </c>
      <c r="B223" s="3069">
        <v>1</v>
      </c>
      <c r="C223" s="3069">
        <v>3</v>
      </c>
      <c r="D223" s="3070" t="s">
        <v>438</v>
      </c>
      <c r="E223" s="3070" t="s">
        <v>437</v>
      </c>
      <c r="F223" s="3071" t="s">
        <v>555</v>
      </c>
      <c r="G223" s="3072"/>
      <c r="H223" s="3073"/>
      <c r="I223" s="3074"/>
      <c r="J223" s="3223" t="s">
        <v>50</v>
      </c>
      <c r="K223" s="3223" t="s">
        <v>50</v>
      </c>
      <c r="L223" s="3224">
        <v>2000000000</v>
      </c>
      <c r="M223" s="3225">
        <v>0</v>
      </c>
      <c r="N223" s="3224">
        <v>0</v>
      </c>
      <c r="O223" s="3224">
        <v>0</v>
      </c>
      <c r="P223" s="3224">
        <v>2000000000</v>
      </c>
      <c r="Q223" s="3224">
        <f t="shared" si="44"/>
        <v>0</v>
      </c>
      <c r="R223" s="3623">
        <f>+P223/L223*100-100</f>
        <v>0</v>
      </c>
      <c r="S223" s="3718"/>
      <c r="T223" s="3840"/>
      <c r="U223" s="3075"/>
      <c r="V223" s="1846">
        <f t="shared" si="43"/>
        <v>0</v>
      </c>
    </row>
    <row r="224" spans="1:22" s="1538" customFormat="1" ht="15.05" customHeight="1">
      <c r="A224" s="1913"/>
      <c r="B224" s="1913"/>
      <c r="C224" s="1913"/>
      <c r="D224" s="1913"/>
      <c r="E224" s="1913"/>
      <c r="F224" s="1942"/>
      <c r="G224" s="1943"/>
      <c r="H224" s="238"/>
      <c r="I224" s="2840"/>
      <c r="J224" s="3227"/>
      <c r="K224" s="3227"/>
      <c r="L224" s="3228"/>
      <c r="M224" s="3229"/>
      <c r="N224" s="3228"/>
      <c r="O224" s="3228"/>
      <c r="P224" s="3228"/>
      <c r="Q224" s="3228"/>
      <c r="R224" s="3624"/>
      <c r="S224" s="3719"/>
      <c r="T224" s="3841"/>
      <c r="U224" s="3790"/>
      <c r="V224" s="1846">
        <f t="shared" si="43"/>
        <v>0</v>
      </c>
    </row>
    <row r="225" spans="1:23" s="2916" customFormat="1" ht="15.05" customHeight="1">
      <c r="A225" s="2909">
        <v>4</v>
      </c>
      <c r="B225" s="2909">
        <v>1</v>
      </c>
      <c r="C225" s="2909">
        <v>4</v>
      </c>
      <c r="D225" s="2909"/>
      <c r="E225" s="2909"/>
      <c r="F225" s="2910" t="s">
        <v>71</v>
      </c>
      <c r="G225" s="2911"/>
      <c r="H225" s="2912"/>
      <c r="I225" s="2913"/>
      <c r="J225" s="3231">
        <v>224639588129</v>
      </c>
      <c r="K225" s="3231">
        <v>243089557831.42999</v>
      </c>
      <c r="L225" s="3231">
        <f>L226+L233+L239+L242+L246+L264+L287+L295+L364+L371+L380+L386</f>
        <v>268454484234</v>
      </c>
      <c r="M225" s="3231">
        <f>M226+M233+M239+M242+M246+M264+M287+M295+M364+M371+M380+M386</f>
        <v>30843632833.540001</v>
      </c>
      <c r="N225" s="3231">
        <f>N226+N233+N239+N242+N246+N264+N287+N295+N364+N371+N380+N386</f>
        <v>19237073227.190002</v>
      </c>
      <c r="O225" s="3231">
        <f>O226+O233+O239+O242+O246+O264+O287+O295+O364+O371+O380+O386</f>
        <v>50008306060.729996</v>
      </c>
      <c r="P225" s="3231">
        <f>P226+P233+P239+P242+P246+P264+P287+P295+P364+P371+P380+P386</f>
        <v>272810796075</v>
      </c>
      <c r="Q225" s="3231">
        <f t="shared" ref="Q225:Q231" si="47">+P225-L225</f>
        <v>4356311841</v>
      </c>
      <c r="R225" s="3625">
        <f>+P225/L225*100-100</f>
        <v>1.6227375949521559</v>
      </c>
      <c r="S225" s="3746"/>
      <c r="T225" s="3842"/>
      <c r="U225" s="2914"/>
      <c r="V225" s="2904">
        <f t="shared" si="43"/>
        <v>200033224242.91998</v>
      </c>
      <c r="W225" s="2915">
        <f>+O225-REKAPOK!N43</f>
        <v>0</v>
      </c>
    </row>
    <row r="226" spans="1:23" s="2945" customFormat="1" ht="15.05" customHeight="1">
      <c r="A226" s="3053">
        <v>4</v>
      </c>
      <c r="B226" s="3054">
        <v>1</v>
      </c>
      <c r="C226" s="3054">
        <v>4</v>
      </c>
      <c r="D226" s="3054" t="s">
        <v>437</v>
      </c>
      <c r="E226" s="3054"/>
      <c r="F226" s="3056" t="s">
        <v>206</v>
      </c>
      <c r="G226" s="3057"/>
      <c r="H226" s="3064"/>
      <c r="I226" s="3086"/>
      <c r="J226" s="3177">
        <f>SUM(J227:J231)</f>
        <v>250000000</v>
      </c>
      <c r="K226" s="3177">
        <f>SUM(K227:K231)</f>
        <v>25364000</v>
      </c>
      <c r="L226" s="3178">
        <f>SUM(L227:L231)</f>
        <v>250000000</v>
      </c>
      <c r="M226" s="3179">
        <v>0</v>
      </c>
      <c r="N226" s="3178">
        <f>SUM(N227:N231)</f>
        <v>0</v>
      </c>
      <c r="O226" s="3178">
        <f>N226+M226</f>
        <v>0</v>
      </c>
      <c r="P226" s="3178">
        <f>SUM(P227:P231)</f>
        <v>250000000</v>
      </c>
      <c r="Q226" s="3178">
        <f t="shared" si="47"/>
        <v>0</v>
      </c>
      <c r="R226" s="3613">
        <f>+P226/L226*100-100</f>
        <v>0</v>
      </c>
      <c r="S226" s="3700"/>
      <c r="T226" s="3818"/>
      <c r="U226" s="3791"/>
      <c r="V226" s="2944">
        <f t="shared" si="43"/>
        <v>0</v>
      </c>
    </row>
    <row r="227" spans="1:23" s="1538" customFormat="1" ht="15.05" customHeight="1">
      <c r="A227" s="1889">
        <v>4</v>
      </c>
      <c r="B227" s="1889">
        <v>1</v>
      </c>
      <c r="C227" s="1889">
        <v>4</v>
      </c>
      <c r="D227" s="1889" t="s">
        <v>437</v>
      </c>
      <c r="E227" s="1889" t="s">
        <v>437</v>
      </c>
      <c r="F227" s="3083" t="str">
        <f>MAR!I386</f>
        <v>Pelepasan Hak Atas Tanah</v>
      </c>
      <c r="G227" s="3084"/>
      <c r="H227" s="224"/>
      <c r="I227" s="3085"/>
      <c r="J227" s="3233">
        <v>0</v>
      </c>
      <c r="K227" s="3233">
        <v>0</v>
      </c>
      <c r="L227" s="3234">
        <v>0</v>
      </c>
      <c r="M227" s="3225">
        <v>0</v>
      </c>
      <c r="N227" s="3234">
        <v>0</v>
      </c>
      <c r="O227" s="3234">
        <v>0</v>
      </c>
      <c r="P227" s="3234">
        <v>0</v>
      </c>
      <c r="Q227" s="3234">
        <f t="shared" si="47"/>
        <v>0</v>
      </c>
      <c r="R227" s="3604">
        <v>0</v>
      </c>
      <c r="S227" s="3747"/>
      <c r="T227" s="3835"/>
      <c r="U227" s="3778">
        <f>PerDinas!Q534</f>
        <v>0</v>
      </c>
      <c r="V227" s="1846">
        <f t="shared" si="43"/>
        <v>0</v>
      </c>
    </row>
    <row r="228" spans="1:23" s="1538" customFormat="1" ht="15.05" customHeight="1">
      <c r="A228" s="1855">
        <v>4</v>
      </c>
      <c r="B228" s="1855">
        <v>1</v>
      </c>
      <c r="C228" s="1855">
        <v>4</v>
      </c>
      <c r="D228" s="1855" t="s">
        <v>437</v>
      </c>
      <c r="E228" s="1855" t="s">
        <v>438</v>
      </c>
      <c r="F228" s="2842" t="str">
        <f>MAR!I387</f>
        <v>Penjualan Peralatan/Perlengkapan Kantor Tdk Terpakai</v>
      </c>
      <c r="G228" s="1858"/>
      <c r="H228" s="200"/>
      <c r="I228" s="2823"/>
      <c r="J228" s="3186">
        <v>50000000</v>
      </c>
      <c r="K228" s="3186">
        <v>0</v>
      </c>
      <c r="L228" s="3125">
        <v>50000000</v>
      </c>
      <c r="M228" s="3124">
        <v>0</v>
      </c>
      <c r="N228" s="3125">
        <v>0</v>
      </c>
      <c r="O228" s="3125">
        <v>0</v>
      </c>
      <c r="P228" s="3125">
        <v>50000000</v>
      </c>
      <c r="Q228" s="3125">
        <f t="shared" si="47"/>
        <v>0</v>
      </c>
      <c r="R228" s="3605">
        <f>+P228/L228*100-100</f>
        <v>0</v>
      </c>
      <c r="S228" s="3275"/>
      <c r="T228" s="3826"/>
      <c r="U228" s="3771"/>
      <c r="V228" s="1846">
        <f t="shared" si="43"/>
        <v>0</v>
      </c>
    </row>
    <row r="229" spans="1:23" s="1538" customFormat="1" ht="15.05" customHeight="1">
      <c r="A229" s="1855">
        <v>4</v>
      </c>
      <c r="B229" s="1855">
        <v>1</v>
      </c>
      <c r="C229" s="1855">
        <v>4</v>
      </c>
      <c r="D229" s="1855" t="s">
        <v>437</v>
      </c>
      <c r="E229" s="1855" t="s">
        <v>440</v>
      </c>
      <c r="F229" s="2842" t="str">
        <f>MAR!I388</f>
        <v>Penjualan Mesin/Alat Berat Tidak Terpakai</v>
      </c>
      <c r="G229" s="1858"/>
      <c r="H229" s="200"/>
      <c r="I229" s="2823"/>
      <c r="J229" s="3186"/>
      <c r="K229" s="3186"/>
      <c r="L229" s="3125">
        <v>0</v>
      </c>
      <c r="M229" s="3124">
        <v>0</v>
      </c>
      <c r="N229" s="3125">
        <v>0</v>
      </c>
      <c r="O229" s="3125">
        <v>0</v>
      </c>
      <c r="P229" s="3125">
        <v>0</v>
      </c>
      <c r="Q229" s="3125">
        <f t="shared" si="47"/>
        <v>0</v>
      </c>
      <c r="R229" s="3605">
        <v>0</v>
      </c>
      <c r="S229" s="3275"/>
      <c r="T229" s="3826"/>
      <c r="U229" s="3771"/>
      <c r="V229" s="1846">
        <f t="shared" si="43"/>
        <v>0</v>
      </c>
    </row>
    <row r="230" spans="1:23" s="1538" customFormat="1" ht="15.05" customHeight="1">
      <c r="A230" s="1855">
        <v>4</v>
      </c>
      <c r="B230" s="1855">
        <v>1</v>
      </c>
      <c r="C230" s="1855">
        <v>4</v>
      </c>
      <c r="D230" s="1855" t="s">
        <v>437</v>
      </c>
      <c r="E230" s="1855" t="s">
        <v>445</v>
      </c>
      <c r="F230" s="2842" t="str">
        <f>MAR!I389</f>
        <v>Penjualan Rumah Jabatan/Rumah Dinas</v>
      </c>
      <c r="G230" s="1858"/>
      <c r="H230" s="200"/>
      <c r="I230" s="2823"/>
      <c r="J230" s="3186"/>
      <c r="K230" s="3186"/>
      <c r="L230" s="3125">
        <v>0</v>
      </c>
      <c r="M230" s="3124">
        <v>0</v>
      </c>
      <c r="N230" s="3125">
        <v>0</v>
      </c>
      <c r="O230" s="3125">
        <v>0</v>
      </c>
      <c r="P230" s="3125">
        <v>0</v>
      </c>
      <c r="Q230" s="3125">
        <f t="shared" si="47"/>
        <v>0</v>
      </c>
      <c r="R230" s="3605">
        <v>0</v>
      </c>
      <c r="S230" s="3275"/>
      <c r="T230" s="3826"/>
      <c r="U230" s="3771"/>
      <c r="V230" s="1846">
        <f t="shared" si="43"/>
        <v>0</v>
      </c>
    </row>
    <row r="231" spans="1:23" s="1538" customFormat="1" ht="15.05" customHeight="1">
      <c r="A231" s="1855">
        <v>4</v>
      </c>
      <c r="B231" s="1855">
        <v>1</v>
      </c>
      <c r="C231" s="1855">
        <v>4</v>
      </c>
      <c r="D231" s="1855" t="s">
        <v>437</v>
      </c>
      <c r="E231" s="1855" t="s">
        <v>444</v>
      </c>
      <c r="F231" s="2842" t="str">
        <f>MAR!I390</f>
        <v>Penjualan Bahan-Bahan Bekas bangunan</v>
      </c>
      <c r="G231" s="1858"/>
      <c r="H231" s="200"/>
      <c r="I231" s="2823"/>
      <c r="J231" s="3186">
        <v>200000000</v>
      </c>
      <c r="K231" s="3186">
        <v>25364000</v>
      </c>
      <c r="L231" s="3125">
        <v>200000000</v>
      </c>
      <c r="M231" s="3124">
        <v>0</v>
      </c>
      <c r="N231" s="3125">
        <v>0</v>
      </c>
      <c r="O231" s="3125">
        <v>0</v>
      </c>
      <c r="P231" s="3125">
        <v>200000000</v>
      </c>
      <c r="Q231" s="3125">
        <f t="shared" si="47"/>
        <v>0</v>
      </c>
      <c r="R231" s="3605">
        <f t="shared" ref="R231:R236" si="48">+P231/L231*100-100</f>
        <v>0</v>
      </c>
      <c r="S231" s="3275"/>
      <c r="T231" s="3826"/>
      <c r="U231" s="3771"/>
      <c r="V231" s="1846">
        <f t="shared" si="43"/>
        <v>0</v>
      </c>
    </row>
    <row r="232" spans="1:23" s="1538" customFormat="1" ht="15.05" customHeight="1">
      <c r="A232" s="1886"/>
      <c r="B232" s="1886"/>
      <c r="C232" s="1886"/>
      <c r="D232" s="1886"/>
      <c r="E232" s="1886"/>
      <c r="F232" s="2356"/>
      <c r="G232" s="1888"/>
      <c r="H232" s="856"/>
      <c r="I232" s="3068"/>
      <c r="J232" s="3219"/>
      <c r="K232" s="3219"/>
      <c r="L232" s="3174"/>
      <c r="M232" s="3175"/>
      <c r="N232" s="3174"/>
      <c r="O232" s="3174"/>
      <c r="P232" s="3174"/>
      <c r="Q232" s="3174"/>
      <c r="R232" s="3612"/>
      <c r="S232" s="3712"/>
      <c r="T232" s="3831"/>
      <c r="U232" s="3771"/>
      <c r="V232" s="1846">
        <f t="shared" si="43"/>
        <v>0</v>
      </c>
    </row>
    <row r="233" spans="1:23" s="2945" customFormat="1" ht="15.05" customHeight="1">
      <c r="A233" s="3053">
        <v>4</v>
      </c>
      <c r="B233" s="3054">
        <v>1</v>
      </c>
      <c r="C233" s="3054">
        <v>4</v>
      </c>
      <c r="D233" s="3054" t="s">
        <v>438</v>
      </c>
      <c r="E233" s="3054"/>
      <c r="F233" s="3056" t="s">
        <v>212</v>
      </c>
      <c r="G233" s="3057"/>
      <c r="H233" s="3064"/>
      <c r="I233" s="3086"/>
      <c r="J233" s="3177">
        <f>SUM(J234:J235)</f>
        <v>4500000000</v>
      </c>
      <c r="K233" s="3177">
        <f t="shared" ref="K233:P233" si="49">SUM(K234:K235)</f>
        <v>12549664258.33</v>
      </c>
      <c r="L233" s="3177">
        <f t="shared" si="49"/>
        <v>4500000000</v>
      </c>
      <c r="M233" s="3177">
        <f t="shared" si="49"/>
        <v>3094595763</v>
      </c>
      <c r="N233" s="3177">
        <f t="shared" si="49"/>
        <v>532884</v>
      </c>
      <c r="O233" s="3177">
        <f t="shared" si="49"/>
        <v>3095128647</v>
      </c>
      <c r="P233" s="3177">
        <f t="shared" si="49"/>
        <v>7037000000</v>
      </c>
      <c r="Q233" s="3178">
        <f>+P233-L233</f>
        <v>2537000000</v>
      </c>
      <c r="R233" s="3613">
        <f t="shared" si="48"/>
        <v>56.377777777777766</v>
      </c>
      <c r="S233" s="3700"/>
      <c r="T233" s="3818"/>
      <c r="U233" s="3791"/>
      <c r="V233" s="2944">
        <f t="shared" si="43"/>
        <v>12380514588</v>
      </c>
    </row>
    <row r="234" spans="1:23" s="1538" customFormat="1" ht="15.05" customHeight="1">
      <c r="A234" s="1905">
        <v>4</v>
      </c>
      <c r="B234" s="1905">
        <v>1</v>
      </c>
      <c r="C234" s="1905">
        <v>4</v>
      </c>
      <c r="D234" s="1905" t="s">
        <v>438</v>
      </c>
      <c r="E234" s="1905" t="s">
        <v>437</v>
      </c>
      <c r="F234" s="2827" t="s">
        <v>214</v>
      </c>
      <c r="G234" s="2828"/>
      <c r="H234" s="212"/>
      <c r="I234" s="2841"/>
      <c r="J234" s="3236">
        <v>0</v>
      </c>
      <c r="K234" s="3236">
        <v>0</v>
      </c>
      <c r="L234" s="3197">
        <v>0</v>
      </c>
      <c r="M234" s="3198">
        <v>36875929</v>
      </c>
      <c r="N234" s="3197">
        <v>496972</v>
      </c>
      <c r="O234" s="3197">
        <v>37372901</v>
      </c>
      <c r="P234" s="3197">
        <v>37000000</v>
      </c>
      <c r="Q234" s="3197">
        <f>+P234-L234</f>
        <v>37000000</v>
      </c>
      <c r="R234" s="3608">
        <v>0</v>
      </c>
      <c r="S234" s="3713"/>
      <c r="T234" s="3832"/>
      <c r="U234" s="3777"/>
      <c r="V234" s="1846">
        <f t="shared" si="43"/>
        <v>149491604</v>
      </c>
    </row>
    <row r="235" spans="1:23" s="1538" customFormat="1" ht="15.05" customHeight="1">
      <c r="A235" s="1854">
        <v>4</v>
      </c>
      <c r="B235" s="1854">
        <v>1</v>
      </c>
      <c r="C235" s="1854">
        <v>4</v>
      </c>
      <c r="D235" s="1854" t="s">
        <v>438</v>
      </c>
      <c r="E235" s="1854" t="s">
        <v>438</v>
      </c>
      <c r="F235" s="1464" t="s">
        <v>213</v>
      </c>
      <c r="G235" s="1860"/>
      <c r="H235" s="202"/>
      <c r="I235" s="2824"/>
      <c r="J235" s="3185">
        <v>4500000000</v>
      </c>
      <c r="K235" s="3185">
        <v>12549664258.33</v>
      </c>
      <c r="L235" s="3182">
        <v>4500000000</v>
      </c>
      <c r="M235" s="3183">
        <v>3057719834</v>
      </c>
      <c r="N235" s="3182">
        <v>35912</v>
      </c>
      <c r="O235" s="3182">
        <v>3057755746</v>
      </c>
      <c r="P235" s="3182">
        <f>+P236</f>
        <v>7000000000</v>
      </c>
      <c r="Q235" s="3182">
        <f>+P235-L235</f>
        <v>2500000000</v>
      </c>
      <c r="R235" s="3601">
        <f t="shared" si="48"/>
        <v>55.555555555555571</v>
      </c>
      <c r="S235" s="3697"/>
      <c r="T235" s="3816"/>
      <c r="U235" s="3777"/>
      <c r="V235" s="1846">
        <f t="shared" si="43"/>
        <v>12231022984</v>
      </c>
    </row>
    <row r="236" spans="1:23" s="1538" customFormat="1" ht="15.05" customHeight="1">
      <c r="A236" s="1855"/>
      <c r="B236" s="1855"/>
      <c r="C236" s="1855"/>
      <c r="D236" s="1855"/>
      <c r="E236" s="1855"/>
      <c r="F236" s="2756" t="s">
        <v>50</v>
      </c>
      <c r="G236" s="1858" t="s">
        <v>223</v>
      </c>
      <c r="H236" s="200"/>
      <c r="I236" s="2823"/>
      <c r="J236" s="3186">
        <v>4500000000</v>
      </c>
      <c r="K236" s="3186">
        <v>12549664258.33</v>
      </c>
      <c r="L236" s="3125">
        <v>4500000000</v>
      </c>
      <c r="M236" s="3124">
        <v>3057719834</v>
      </c>
      <c r="N236" s="3125">
        <v>35912</v>
      </c>
      <c r="O236" s="3125">
        <v>3057755746</v>
      </c>
      <c r="P236" s="3125">
        <v>7000000000</v>
      </c>
      <c r="Q236" s="3125">
        <f>+P236-L236</f>
        <v>2500000000</v>
      </c>
      <c r="R236" s="3605">
        <f t="shared" si="48"/>
        <v>55.555555555555571</v>
      </c>
      <c r="S236" s="3275"/>
      <c r="T236" s="3826"/>
      <c r="U236" s="3771"/>
      <c r="V236" s="1846">
        <f t="shared" si="43"/>
        <v>12231022984</v>
      </c>
    </row>
    <row r="237" spans="1:23" s="1538" customFormat="1" ht="15.05" hidden="1" customHeight="1">
      <c r="A237" s="1855"/>
      <c r="B237" s="1855"/>
      <c r="C237" s="1855"/>
      <c r="D237" s="1855"/>
      <c r="E237" s="1855"/>
      <c r="F237" s="1857"/>
      <c r="G237" s="1858"/>
      <c r="H237" s="200"/>
      <c r="I237" s="2823"/>
      <c r="J237" s="3186"/>
      <c r="K237" s="3186"/>
      <c r="L237" s="3125"/>
      <c r="M237" s="3124"/>
      <c r="N237" s="3125"/>
      <c r="O237" s="3125"/>
      <c r="P237" s="3125"/>
      <c r="Q237" s="3125"/>
      <c r="R237" s="3605"/>
      <c r="S237" s="3702"/>
      <c r="T237" s="3820"/>
      <c r="U237" s="3771"/>
      <c r="V237" s="1846">
        <f t="shared" si="43"/>
        <v>0</v>
      </c>
    </row>
    <row r="238" spans="1:23" s="1538" customFormat="1" ht="15.05" customHeight="1">
      <c r="A238" s="1886"/>
      <c r="B238" s="1886"/>
      <c r="C238" s="1886"/>
      <c r="D238" s="1886"/>
      <c r="E238" s="1886"/>
      <c r="F238" s="1887"/>
      <c r="G238" s="1888"/>
      <c r="H238" s="856"/>
      <c r="I238" s="3068"/>
      <c r="J238" s="3219"/>
      <c r="K238" s="3219"/>
      <c r="L238" s="3174"/>
      <c r="M238" s="3175"/>
      <c r="N238" s="3174"/>
      <c r="O238" s="3174"/>
      <c r="P238" s="3174"/>
      <c r="Q238" s="3174"/>
      <c r="R238" s="3612"/>
      <c r="S238" s="3712"/>
      <c r="T238" s="3831"/>
      <c r="U238" s="1899"/>
      <c r="V238" s="1846">
        <f t="shared" si="43"/>
        <v>0</v>
      </c>
    </row>
    <row r="239" spans="1:23" s="2947" customFormat="1" ht="15.05" customHeight="1">
      <c r="A239" s="3053">
        <v>4</v>
      </c>
      <c r="B239" s="3054">
        <v>1</v>
      </c>
      <c r="C239" s="3054">
        <v>4</v>
      </c>
      <c r="D239" s="3054" t="s">
        <v>440</v>
      </c>
      <c r="E239" s="3054"/>
      <c r="F239" s="3056" t="s">
        <v>215</v>
      </c>
      <c r="G239" s="3057"/>
      <c r="H239" s="3064"/>
      <c r="I239" s="3086"/>
      <c r="J239" s="3177">
        <f>+J240</f>
        <v>6875000000</v>
      </c>
      <c r="K239" s="3177">
        <f t="shared" ref="K239:P239" si="50">+K240</f>
        <v>9375000000</v>
      </c>
      <c r="L239" s="3177">
        <f t="shared" si="50"/>
        <v>6875000000</v>
      </c>
      <c r="M239" s="3177">
        <f t="shared" si="50"/>
        <v>0</v>
      </c>
      <c r="N239" s="3177">
        <f t="shared" si="50"/>
        <v>875000000</v>
      </c>
      <c r="O239" s="3177">
        <f t="shared" si="50"/>
        <v>875000000</v>
      </c>
      <c r="P239" s="3178">
        <f t="shared" si="50"/>
        <v>7000000000</v>
      </c>
      <c r="Q239" s="3178">
        <f t="shared" ref="Q239:Q244" si="51">+P239-L239</f>
        <v>125000000</v>
      </c>
      <c r="R239" s="3621">
        <f t="shared" ref="R239:R244" si="52">+P239/L239*100-100</f>
        <v>1.818181818181813</v>
      </c>
      <c r="S239" s="3716"/>
      <c r="T239" s="3838"/>
      <c r="U239" s="3066"/>
      <c r="V239" s="2944">
        <f t="shared" si="43"/>
        <v>3500000000</v>
      </c>
    </row>
    <row r="240" spans="1:23" s="257" customFormat="1" ht="15.05" customHeight="1">
      <c r="A240" s="1889">
        <v>4</v>
      </c>
      <c r="B240" s="1889">
        <v>1</v>
      </c>
      <c r="C240" s="1889">
        <v>4</v>
      </c>
      <c r="D240" s="1889" t="s">
        <v>440</v>
      </c>
      <c r="E240" s="1889" t="s">
        <v>437</v>
      </c>
      <c r="F240" s="3087" t="s">
        <v>216</v>
      </c>
      <c r="G240" s="3084"/>
      <c r="H240" s="224"/>
      <c r="I240" s="3088"/>
      <c r="J240" s="3237">
        <v>6875000000</v>
      </c>
      <c r="K240" s="3237">
        <v>9375000000</v>
      </c>
      <c r="L240" s="3234">
        <v>6875000000</v>
      </c>
      <c r="M240" s="3225">
        <v>0</v>
      </c>
      <c r="N240" s="3234">
        <v>875000000</v>
      </c>
      <c r="O240" s="3234">
        <v>875000000</v>
      </c>
      <c r="P240" s="3234">
        <v>7000000000</v>
      </c>
      <c r="Q240" s="3234">
        <f t="shared" si="51"/>
        <v>125000000</v>
      </c>
      <c r="R240" s="3604">
        <f t="shared" si="52"/>
        <v>1.818181818181813</v>
      </c>
      <c r="S240" s="3720"/>
      <c r="T240" s="3835"/>
      <c r="U240" s="1900"/>
      <c r="V240" s="1846">
        <f t="shared" si="43"/>
        <v>3500000000</v>
      </c>
    </row>
    <row r="241" spans="1:22" s="257" customFormat="1" ht="15.05" customHeight="1">
      <c r="A241" s="1886"/>
      <c r="B241" s="1886"/>
      <c r="C241" s="1886"/>
      <c r="D241" s="1886"/>
      <c r="E241" s="1886"/>
      <c r="F241" s="1887"/>
      <c r="G241" s="1888"/>
      <c r="H241" s="856"/>
      <c r="I241" s="1894"/>
      <c r="J241" s="3173"/>
      <c r="K241" s="3173"/>
      <c r="L241" s="3174"/>
      <c r="M241" s="3175">
        <v>0</v>
      </c>
      <c r="N241" s="3174"/>
      <c r="O241" s="3174">
        <f>+N241+M241</f>
        <v>0</v>
      </c>
      <c r="P241" s="3174" t="s">
        <v>556</v>
      </c>
      <c r="Q241" s="3174"/>
      <c r="R241" s="3612"/>
      <c r="S241" s="3712"/>
      <c r="T241" s="3831"/>
      <c r="U241" s="3771"/>
      <c r="V241" s="1846">
        <f t="shared" si="43"/>
        <v>0</v>
      </c>
    </row>
    <row r="242" spans="1:22" s="2947" customFormat="1" ht="15.05" customHeight="1">
      <c r="A242" s="3053">
        <v>4</v>
      </c>
      <c r="B242" s="3054">
        <v>1</v>
      </c>
      <c r="C242" s="3054">
        <v>4</v>
      </c>
      <c r="D242" s="3054" t="s">
        <v>445</v>
      </c>
      <c r="E242" s="3054"/>
      <c r="F242" s="3056" t="s">
        <v>217</v>
      </c>
      <c r="G242" s="3057"/>
      <c r="H242" s="3064"/>
      <c r="I242" s="3065"/>
      <c r="J242" s="3202">
        <f t="shared" ref="J242:P242" si="53">SUM(J243:J244)</f>
        <v>1205211975</v>
      </c>
      <c r="K242" s="3202">
        <f t="shared" si="53"/>
        <v>354139064.23000002</v>
      </c>
      <c r="L242" s="3202">
        <f t="shared" si="53"/>
        <v>1205211975</v>
      </c>
      <c r="M242" s="3202">
        <f t="shared" si="53"/>
        <v>200000</v>
      </c>
      <c r="N242" s="3202">
        <f t="shared" si="53"/>
        <v>0</v>
      </c>
      <c r="O242" s="3202">
        <f t="shared" si="53"/>
        <v>200000</v>
      </c>
      <c r="P242" s="3178">
        <f t="shared" si="53"/>
        <v>1205211975</v>
      </c>
      <c r="Q242" s="3178">
        <f t="shared" si="51"/>
        <v>0</v>
      </c>
      <c r="R242" s="3613">
        <f t="shared" si="52"/>
        <v>0</v>
      </c>
      <c r="S242" s="3700"/>
      <c r="T242" s="3818"/>
      <c r="U242" s="3791"/>
      <c r="V242" s="2944">
        <f t="shared" si="43"/>
        <v>800000</v>
      </c>
    </row>
    <row r="243" spans="1:22" s="257" customFormat="1" ht="15.05" customHeight="1">
      <c r="A243" s="1889">
        <v>4</v>
      </c>
      <c r="B243" s="1889">
        <v>1</v>
      </c>
      <c r="C243" s="1889">
        <v>4</v>
      </c>
      <c r="D243" s="1889" t="s">
        <v>445</v>
      </c>
      <c r="E243" s="1889" t="s">
        <v>437</v>
      </c>
      <c r="F243" s="3087" t="s">
        <v>218</v>
      </c>
      <c r="G243" s="3084"/>
      <c r="H243" s="224"/>
      <c r="I243" s="3088"/>
      <c r="J243" s="3237">
        <v>1190211975</v>
      </c>
      <c r="K243" s="3237">
        <v>340768064.23000002</v>
      </c>
      <c r="L243" s="3234">
        <v>1190211975</v>
      </c>
      <c r="M243" s="3225">
        <v>0</v>
      </c>
      <c r="N243" s="3234">
        <v>0</v>
      </c>
      <c r="O243" s="3234">
        <v>0</v>
      </c>
      <c r="P243" s="3234">
        <v>1190211975</v>
      </c>
      <c r="Q243" s="3234">
        <f t="shared" si="51"/>
        <v>0</v>
      </c>
      <c r="R243" s="3604">
        <f t="shared" si="52"/>
        <v>0</v>
      </c>
      <c r="S243" s="3720"/>
      <c r="T243" s="3835"/>
      <c r="U243" s="3771"/>
      <c r="V243" s="1846">
        <f t="shared" si="43"/>
        <v>0</v>
      </c>
    </row>
    <row r="244" spans="1:22" s="257" customFormat="1" ht="15.05" customHeight="1">
      <c r="A244" s="1855">
        <v>4</v>
      </c>
      <c r="B244" s="1855">
        <v>1</v>
      </c>
      <c r="C244" s="1855">
        <v>4</v>
      </c>
      <c r="D244" s="1855" t="s">
        <v>445</v>
      </c>
      <c r="E244" s="1855" t="s">
        <v>438</v>
      </c>
      <c r="F244" s="1857" t="s">
        <v>219</v>
      </c>
      <c r="G244" s="1858"/>
      <c r="H244" s="200"/>
      <c r="I244" s="200"/>
      <c r="J244" s="3215">
        <v>15000000</v>
      </c>
      <c r="K244" s="3171">
        <v>13371000</v>
      </c>
      <c r="L244" s="3125">
        <v>15000000</v>
      </c>
      <c r="M244" s="3124">
        <v>200000</v>
      </c>
      <c r="N244" s="3125">
        <v>0</v>
      </c>
      <c r="O244" s="3125">
        <v>200000</v>
      </c>
      <c r="P244" s="3125">
        <v>15000000</v>
      </c>
      <c r="Q244" s="3125">
        <f t="shared" si="51"/>
        <v>0</v>
      </c>
      <c r="R244" s="3605">
        <f t="shared" si="52"/>
        <v>0</v>
      </c>
      <c r="S244" s="3275"/>
      <c r="T244" s="3826"/>
      <c r="U244" s="3771"/>
      <c r="V244" s="1846">
        <f t="shared" si="43"/>
        <v>800000</v>
      </c>
    </row>
    <row r="245" spans="1:22" s="257" customFormat="1" ht="15.05" customHeight="1">
      <c r="A245" s="1886"/>
      <c r="B245" s="1886"/>
      <c r="C245" s="1886"/>
      <c r="D245" s="1886"/>
      <c r="E245" s="1886"/>
      <c r="F245" s="1887"/>
      <c r="G245" s="1888"/>
      <c r="H245" s="856"/>
      <c r="I245" s="856"/>
      <c r="J245" s="3238"/>
      <c r="K245" s="3173"/>
      <c r="L245" s="3174"/>
      <c r="M245" s="3175"/>
      <c r="N245" s="3174"/>
      <c r="O245" s="3174"/>
      <c r="P245" s="3174"/>
      <c r="Q245" s="3174"/>
      <c r="R245" s="3612"/>
      <c r="S245" s="3712"/>
      <c r="T245" s="3831"/>
      <c r="U245" s="1899"/>
      <c r="V245" s="1846">
        <f t="shared" si="43"/>
        <v>0</v>
      </c>
    </row>
    <row r="246" spans="1:22" s="2947" customFormat="1" ht="15.05" customHeight="1">
      <c r="A246" s="3053">
        <v>4</v>
      </c>
      <c r="B246" s="3054">
        <v>1</v>
      </c>
      <c r="C246" s="3054">
        <v>4</v>
      </c>
      <c r="D246" s="3054" t="s">
        <v>441</v>
      </c>
      <c r="E246" s="3054"/>
      <c r="F246" s="3091" t="s">
        <v>557</v>
      </c>
      <c r="G246" s="3064"/>
      <c r="H246" s="3064"/>
      <c r="I246" s="3064"/>
      <c r="J246" s="3239">
        <v>0</v>
      </c>
      <c r="K246" s="3240">
        <f t="shared" ref="K246:P246" si="54">K247</f>
        <v>810940665.47000003</v>
      </c>
      <c r="L246" s="3240">
        <f t="shared" si="54"/>
        <v>0</v>
      </c>
      <c r="M246" s="3240">
        <f t="shared" si="54"/>
        <v>81048456.790000007</v>
      </c>
      <c r="N246" s="3240">
        <f t="shared" si="54"/>
        <v>73760000</v>
      </c>
      <c r="O246" s="3240">
        <f t="shared" si="54"/>
        <v>82408456.790000007</v>
      </c>
      <c r="P246" s="3240">
        <f t="shared" si="54"/>
        <v>82408000</v>
      </c>
      <c r="Q246" s="3241">
        <f t="shared" ref="Q246:Q262" si="55">+P246-L246</f>
        <v>82408000</v>
      </c>
      <c r="R246" s="3626">
        <v>0</v>
      </c>
      <c r="S246" s="3721"/>
      <c r="T246" s="3843"/>
      <c r="U246" s="3792"/>
      <c r="V246" s="2944">
        <f t="shared" si="43"/>
        <v>329633827.16000003</v>
      </c>
    </row>
    <row r="247" spans="1:22" s="1318" customFormat="1" ht="15.05" customHeight="1">
      <c r="A247" s="1905">
        <v>4</v>
      </c>
      <c r="B247" s="1905">
        <v>1</v>
      </c>
      <c r="C247" s="1905">
        <v>4</v>
      </c>
      <c r="D247" s="1905" t="s">
        <v>441</v>
      </c>
      <c r="E247" s="1905" t="s">
        <v>437</v>
      </c>
      <c r="F247" s="3089" t="s">
        <v>72</v>
      </c>
      <c r="G247" s="212"/>
      <c r="H247" s="212"/>
      <c r="I247" s="212"/>
      <c r="J247" s="3243" t="s">
        <v>50</v>
      </c>
      <c r="K247" s="3244">
        <f>SUM(K248:K262)</f>
        <v>810940665.47000003</v>
      </c>
      <c r="L247" s="3245">
        <v>0</v>
      </c>
      <c r="M247" s="3246">
        <v>81048456.790000007</v>
      </c>
      <c r="N247" s="3245">
        <v>73760000</v>
      </c>
      <c r="O247" s="3245">
        <v>82408456.790000007</v>
      </c>
      <c r="P247" s="3245">
        <f>SUM(P248:P262)</f>
        <v>82408000</v>
      </c>
      <c r="Q247" s="3245">
        <f t="shared" si="55"/>
        <v>82408000</v>
      </c>
      <c r="R247" s="3627">
        <v>0</v>
      </c>
      <c r="S247" s="3722"/>
      <c r="T247" s="3844"/>
      <c r="U247" s="3793"/>
      <c r="V247" s="1846">
        <f t="shared" si="43"/>
        <v>329633827.16000003</v>
      </c>
    </row>
    <row r="248" spans="1:22" s="257" customFormat="1" ht="15.05" customHeight="1">
      <c r="A248" s="1855"/>
      <c r="B248" s="1855"/>
      <c r="C248" s="1855"/>
      <c r="D248" s="1855"/>
      <c r="E248" s="1855"/>
      <c r="F248" s="2359" t="s">
        <v>50</v>
      </c>
      <c r="G248" s="200" t="s">
        <v>558</v>
      </c>
      <c r="H248" s="200"/>
      <c r="I248" s="200"/>
      <c r="J248" s="3248" t="s">
        <v>50</v>
      </c>
      <c r="K248" s="3216">
        <v>188674021.74000001</v>
      </c>
      <c r="L248" s="3249">
        <v>0</v>
      </c>
      <c r="M248" s="3250">
        <v>81048456.790000007</v>
      </c>
      <c r="N248" s="3249">
        <v>1360000</v>
      </c>
      <c r="O248" s="3249">
        <v>82408456.790000007</v>
      </c>
      <c r="P248" s="3249">
        <v>82408000</v>
      </c>
      <c r="Q248" s="3249">
        <f t="shared" si="55"/>
        <v>82408000</v>
      </c>
      <c r="R248" s="3605">
        <v>0</v>
      </c>
      <c r="S248" s="3748"/>
      <c r="T248" s="3826"/>
      <c r="U248" s="3794"/>
      <c r="V248" s="1846">
        <f t="shared" si="43"/>
        <v>329633827.16000003</v>
      </c>
    </row>
    <row r="249" spans="1:22" s="257" customFormat="1" ht="15.05" customHeight="1">
      <c r="A249" s="1855"/>
      <c r="B249" s="1855"/>
      <c r="C249" s="1855"/>
      <c r="D249" s="1855"/>
      <c r="E249" s="1855"/>
      <c r="F249" s="2359" t="s">
        <v>50</v>
      </c>
      <c r="G249" s="200" t="s">
        <v>559</v>
      </c>
      <c r="H249" s="200"/>
      <c r="I249" s="200"/>
      <c r="J249" s="3248" t="s">
        <v>50</v>
      </c>
      <c r="K249" s="3216">
        <v>0</v>
      </c>
      <c r="L249" s="3249"/>
      <c r="M249" s="3250"/>
      <c r="N249" s="3249">
        <v>72400000</v>
      </c>
      <c r="O249" s="3249"/>
      <c r="P249" s="3249"/>
      <c r="Q249" s="3249">
        <f t="shared" si="55"/>
        <v>0</v>
      </c>
      <c r="R249" s="3605">
        <v>0</v>
      </c>
      <c r="S249" s="3748"/>
      <c r="T249" s="3826"/>
      <c r="U249" s="3794"/>
      <c r="V249" s="1846">
        <f t="shared" si="43"/>
        <v>0</v>
      </c>
    </row>
    <row r="250" spans="1:22" s="257" customFormat="1" ht="15.05" customHeight="1">
      <c r="A250" s="1855"/>
      <c r="B250" s="1855"/>
      <c r="C250" s="1855"/>
      <c r="D250" s="1855"/>
      <c r="E250" s="1855"/>
      <c r="F250" s="2359" t="s">
        <v>50</v>
      </c>
      <c r="G250" s="253" t="s">
        <v>1160</v>
      </c>
      <c r="H250" s="253"/>
      <c r="I250" s="200"/>
      <c r="J250" s="3248" t="s">
        <v>50</v>
      </c>
      <c r="K250" s="3216">
        <v>7295582</v>
      </c>
      <c r="L250" s="3249"/>
      <c r="M250" s="3250"/>
      <c r="N250" s="3249"/>
      <c r="O250" s="3249"/>
      <c r="P250" s="3249"/>
      <c r="Q250" s="3249">
        <f t="shared" si="55"/>
        <v>0</v>
      </c>
      <c r="R250" s="3605">
        <v>0</v>
      </c>
      <c r="S250" s="3748"/>
      <c r="T250" s="3826"/>
      <c r="U250" s="3794"/>
      <c r="V250" s="1846">
        <f t="shared" si="43"/>
        <v>0</v>
      </c>
    </row>
    <row r="251" spans="1:22" s="257" customFormat="1" ht="15.05" customHeight="1">
      <c r="A251" s="1855"/>
      <c r="B251" s="1855"/>
      <c r="C251" s="1855"/>
      <c r="D251" s="1855"/>
      <c r="E251" s="1855"/>
      <c r="F251" s="2359" t="s">
        <v>50</v>
      </c>
      <c r="G251" s="200" t="s">
        <v>1161</v>
      </c>
      <c r="H251" s="2329"/>
      <c r="I251" s="200"/>
      <c r="J251" s="3248" t="s">
        <v>50</v>
      </c>
      <c r="K251" s="3216">
        <v>0</v>
      </c>
      <c r="L251" s="3249"/>
      <c r="M251" s="3250"/>
      <c r="N251" s="3249"/>
      <c r="O251" s="3249"/>
      <c r="P251" s="3249"/>
      <c r="Q251" s="3249">
        <f t="shared" si="55"/>
        <v>0</v>
      </c>
      <c r="R251" s="3605">
        <v>0</v>
      </c>
      <c r="S251" s="3748"/>
      <c r="T251" s="3826"/>
      <c r="U251" s="3794"/>
      <c r="V251" s="1846">
        <f t="shared" si="43"/>
        <v>0</v>
      </c>
    </row>
    <row r="252" spans="1:22" s="257" customFormat="1" ht="15.05" customHeight="1">
      <c r="A252" s="1855"/>
      <c r="B252" s="1855"/>
      <c r="C252" s="1855"/>
      <c r="D252" s="1855"/>
      <c r="E252" s="1855"/>
      <c r="F252" s="2359" t="s">
        <v>50</v>
      </c>
      <c r="G252" s="200" t="s">
        <v>681</v>
      </c>
      <c r="H252" s="200"/>
      <c r="I252" s="200"/>
      <c r="J252" s="3248" t="s">
        <v>50</v>
      </c>
      <c r="K252" s="3216">
        <v>164498989</v>
      </c>
      <c r="L252" s="3249"/>
      <c r="M252" s="3250"/>
      <c r="N252" s="3249"/>
      <c r="O252" s="3249"/>
      <c r="P252" s="3249"/>
      <c r="Q252" s="3249">
        <f t="shared" si="55"/>
        <v>0</v>
      </c>
      <c r="R252" s="3605">
        <v>0</v>
      </c>
      <c r="S252" s="3275"/>
      <c r="T252" s="3826"/>
      <c r="U252" s="3794"/>
      <c r="V252" s="1846">
        <f t="shared" si="43"/>
        <v>0</v>
      </c>
    </row>
    <row r="253" spans="1:22" s="257" customFormat="1" ht="15.05" customHeight="1">
      <c r="A253" s="1855"/>
      <c r="B253" s="1855"/>
      <c r="C253" s="1855"/>
      <c r="D253" s="1855"/>
      <c r="E253" s="1855"/>
      <c r="F253" s="2359" t="s">
        <v>50</v>
      </c>
      <c r="G253" s="200" t="s">
        <v>1162</v>
      </c>
      <c r="H253" s="200"/>
      <c r="I253" s="200"/>
      <c r="J253" s="3248" t="s">
        <v>50</v>
      </c>
      <c r="K253" s="3216">
        <v>19560365.73</v>
      </c>
      <c r="L253" s="3249"/>
      <c r="M253" s="3250"/>
      <c r="N253" s="3249"/>
      <c r="O253" s="3249"/>
      <c r="P253" s="3249"/>
      <c r="Q253" s="3249">
        <f t="shared" si="55"/>
        <v>0</v>
      </c>
      <c r="R253" s="3605">
        <v>0</v>
      </c>
      <c r="S253" s="3748"/>
      <c r="T253" s="3826"/>
      <c r="U253" s="3794"/>
      <c r="V253" s="1846">
        <f t="shared" si="43"/>
        <v>0</v>
      </c>
    </row>
    <row r="254" spans="1:22" s="257" customFormat="1" ht="15.05" customHeight="1">
      <c r="A254" s="1855"/>
      <c r="B254" s="1855"/>
      <c r="C254" s="1855"/>
      <c r="D254" s="1855"/>
      <c r="E254" s="1855"/>
      <c r="F254" s="2359" t="s">
        <v>50</v>
      </c>
      <c r="G254" s="200" t="s">
        <v>544</v>
      </c>
      <c r="H254" s="200"/>
      <c r="I254" s="200"/>
      <c r="J254" s="3248" t="s">
        <v>50</v>
      </c>
      <c r="K254" s="3216">
        <v>11790410</v>
      </c>
      <c r="L254" s="3249"/>
      <c r="M254" s="3250"/>
      <c r="N254" s="3249"/>
      <c r="O254" s="3249"/>
      <c r="P254" s="3249"/>
      <c r="Q254" s="3249">
        <f t="shared" si="55"/>
        <v>0</v>
      </c>
      <c r="R254" s="3605">
        <v>0</v>
      </c>
      <c r="S254" s="3748"/>
      <c r="T254" s="3826"/>
      <c r="U254" s="3794"/>
      <c r="V254" s="1846">
        <f t="shared" si="43"/>
        <v>0</v>
      </c>
    </row>
    <row r="255" spans="1:22" s="257" customFormat="1" ht="15.05" customHeight="1">
      <c r="A255" s="1855"/>
      <c r="B255" s="1855"/>
      <c r="C255" s="1855"/>
      <c r="D255" s="1855"/>
      <c r="E255" s="1855"/>
      <c r="F255" s="2359" t="s">
        <v>50</v>
      </c>
      <c r="G255" s="200" t="s">
        <v>1163</v>
      </c>
      <c r="H255" s="2329"/>
      <c r="I255" s="200"/>
      <c r="J255" s="3248" t="s">
        <v>50</v>
      </c>
      <c r="K255" s="3216">
        <v>90692121</v>
      </c>
      <c r="L255" s="3249"/>
      <c r="M255" s="3250"/>
      <c r="N255" s="3249"/>
      <c r="O255" s="3249"/>
      <c r="P255" s="3249"/>
      <c r="Q255" s="3249">
        <f t="shared" si="55"/>
        <v>0</v>
      </c>
      <c r="R255" s="3605">
        <v>0</v>
      </c>
      <c r="S255" s="3748"/>
      <c r="T255" s="3826"/>
      <c r="U255" s="3794"/>
      <c r="V255" s="1846">
        <f t="shared" si="43"/>
        <v>0</v>
      </c>
    </row>
    <row r="256" spans="1:22" s="257" customFormat="1" ht="15.05" customHeight="1">
      <c r="A256" s="1855"/>
      <c r="B256" s="1855"/>
      <c r="C256" s="1855"/>
      <c r="D256" s="1855"/>
      <c r="E256" s="1855"/>
      <c r="F256" s="2359" t="s">
        <v>50</v>
      </c>
      <c r="G256" s="200" t="s">
        <v>1164</v>
      </c>
      <c r="H256" s="2329"/>
      <c r="I256" s="200"/>
      <c r="J256" s="3248" t="s">
        <v>50</v>
      </c>
      <c r="K256" s="3216">
        <v>126061400</v>
      </c>
      <c r="L256" s="3249"/>
      <c r="M256" s="3250"/>
      <c r="N256" s="3249"/>
      <c r="O256" s="3249"/>
      <c r="P256" s="3249"/>
      <c r="Q256" s="3249">
        <f t="shared" si="55"/>
        <v>0</v>
      </c>
      <c r="R256" s="3605">
        <v>0</v>
      </c>
      <c r="S256" s="3748"/>
      <c r="T256" s="3826"/>
      <c r="U256" s="3794"/>
      <c r="V256" s="1846">
        <f t="shared" si="43"/>
        <v>0</v>
      </c>
    </row>
    <row r="257" spans="1:22" s="257" customFormat="1" ht="15.05" customHeight="1">
      <c r="A257" s="1855"/>
      <c r="B257" s="1855"/>
      <c r="C257" s="1855"/>
      <c r="D257" s="1855"/>
      <c r="E257" s="1855"/>
      <c r="F257" s="2359" t="s">
        <v>50</v>
      </c>
      <c r="G257" s="200" t="s">
        <v>1165</v>
      </c>
      <c r="H257" s="200"/>
      <c r="I257" s="200"/>
      <c r="J257" s="3248" t="s">
        <v>50</v>
      </c>
      <c r="K257" s="3216">
        <v>1835685</v>
      </c>
      <c r="L257" s="3249"/>
      <c r="M257" s="3250"/>
      <c r="N257" s="3249"/>
      <c r="O257" s="3249"/>
      <c r="P257" s="3249"/>
      <c r="Q257" s="3249">
        <f t="shared" si="55"/>
        <v>0</v>
      </c>
      <c r="R257" s="3605">
        <v>0</v>
      </c>
      <c r="S257" s="3748"/>
      <c r="T257" s="3826"/>
      <c r="U257" s="3794"/>
      <c r="V257" s="1846">
        <f t="shared" si="43"/>
        <v>0</v>
      </c>
    </row>
    <row r="258" spans="1:22" s="257" customFormat="1" ht="15.05" customHeight="1">
      <c r="A258" s="1855"/>
      <c r="B258" s="1855"/>
      <c r="C258" s="1855"/>
      <c r="D258" s="1855"/>
      <c r="E258" s="1855"/>
      <c r="F258" s="2359" t="s">
        <v>50</v>
      </c>
      <c r="G258" s="200" t="s">
        <v>924</v>
      </c>
      <c r="H258" s="2329"/>
      <c r="I258" s="200"/>
      <c r="J258" s="3248" t="s">
        <v>50</v>
      </c>
      <c r="K258" s="3216">
        <v>0</v>
      </c>
      <c r="L258" s="3249"/>
      <c r="M258" s="3250"/>
      <c r="N258" s="3249"/>
      <c r="O258" s="3249"/>
      <c r="P258" s="3249"/>
      <c r="Q258" s="3249">
        <f t="shared" si="55"/>
        <v>0</v>
      </c>
      <c r="R258" s="3605">
        <v>0</v>
      </c>
      <c r="S258" s="3748"/>
      <c r="T258" s="3826"/>
      <c r="U258" s="3794"/>
      <c r="V258" s="1846">
        <f t="shared" si="43"/>
        <v>0</v>
      </c>
    </row>
    <row r="259" spans="1:22" s="257" customFormat="1" ht="15.05" customHeight="1">
      <c r="A259" s="1855"/>
      <c r="B259" s="1855"/>
      <c r="C259" s="1855"/>
      <c r="D259" s="1855"/>
      <c r="E259" s="1855"/>
      <c r="F259" s="2359" t="s">
        <v>50</v>
      </c>
      <c r="G259" s="200" t="s">
        <v>1166</v>
      </c>
      <c r="H259" s="2329"/>
      <c r="I259" s="200"/>
      <c r="J259" s="3248" t="s">
        <v>50</v>
      </c>
      <c r="K259" s="3216">
        <v>21802000</v>
      </c>
      <c r="L259" s="3249"/>
      <c r="M259" s="3250"/>
      <c r="N259" s="3249"/>
      <c r="O259" s="3249"/>
      <c r="P259" s="3249"/>
      <c r="Q259" s="3249">
        <f t="shared" si="55"/>
        <v>0</v>
      </c>
      <c r="R259" s="3605">
        <v>0</v>
      </c>
      <c r="S259" s="3748"/>
      <c r="T259" s="3826"/>
      <c r="U259" s="3794"/>
      <c r="V259" s="1846">
        <f t="shared" si="43"/>
        <v>0</v>
      </c>
    </row>
    <row r="260" spans="1:22" s="257" customFormat="1" ht="15.05" customHeight="1">
      <c r="A260" s="1855"/>
      <c r="B260" s="1855"/>
      <c r="C260" s="1855"/>
      <c r="D260" s="1855"/>
      <c r="E260" s="1855"/>
      <c r="F260" s="2359" t="s">
        <v>50</v>
      </c>
      <c r="G260" s="200" t="s">
        <v>1167</v>
      </c>
      <c r="H260" s="2329"/>
      <c r="I260" s="200"/>
      <c r="J260" s="3248" t="s">
        <v>50</v>
      </c>
      <c r="K260" s="3216">
        <v>415440</v>
      </c>
      <c r="L260" s="3249"/>
      <c r="M260" s="3250"/>
      <c r="N260" s="3249"/>
      <c r="O260" s="3249"/>
      <c r="P260" s="3249"/>
      <c r="Q260" s="3249">
        <f t="shared" si="55"/>
        <v>0</v>
      </c>
      <c r="R260" s="3605">
        <v>0</v>
      </c>
      <c r="S260" s="3748"/>
      <c r="T260" s="3826"/>
      <c r="U260" s="3794"/>
      <c r="V260" s="1846">
        <f t="shared" si="43"/>
        <v>0</v>
      </c>
    </row>
    <row r="261" spans="1:22" s="257" customFormat="1" ht="15.05" customHeight="1">
      <c r="A261" s="1855"/>
      <c r="B261" s="1855"/>
      <c r="C261" s="1855"/>
      <c r="D261" s="1855"/>
      <c r="E261" s="1855"/>
      <c r="F261" s="2359" t="s">
        <v>50</v>
      </c>
      <c r="G261" s="200" t="s">
        <v>99</v>
      </c>
      <c r="H261" s="2329"/>
      <c r="I261" s="200"/>
      <c r="J261" s="3248" t="s">
        <v>50</v>
      </c>
      <c r="K261" s="3216">
        <v>178187151</v>
      </c>
      <c r="L261" s="3249"/>
      <c r="M261" s="3250"/>
      <c r="N261" s="3249"/>
      <c r="O261" s="3249"/>
      <c r="P261" s="3249"/>
      <c r="Q261" s="3249">
        <f t="shared" si="55"/>
        <v>0</v>
      </c>
      <c r="R261" s="3605">
        <v>0</v>
      </c>
      <c r="S261" s="3748"/>
      <c r="T261" s="3826"/>
      <c r="U261" s="3794"/>
      <c r="V261" s="1846">
        <f t="shared" si="43"/>
        <v>0</v>
      </c>
    </row>
    <row r="262" spans="1:22" s="257" customFormat="1" ht="15.05" customHeight="1">
      <c r="A262" s="1855"/>
      <c r="B262" s="1855"/>
      <c r="C262" s="1855"/>
      <c r="D262" s="1855"/>
      <c r="E262" s="1855"/>
      <c r="F262" s="2359" t="s">
        <v>50</v>
      </c>
      <c r="G262" s="200" t="s">
        <v>1168</v>
      </c>
      <c r="H262" s="2329"/>
      <c r="I262" s="200"/>
      <c r="J262" s="3215"/>
      <c r="K262" s="3216">
        <v>127500</v>
      </c>
      <c r="L262" s="3249"/>
      <c r="M262" s="3250"/>
      <c r="N262" s="3249"/>
      <c r="O262" s="3249"/>
      <c r="P262" s="3249"/>
      <c r="Q262" s="3249">
        <f t="shared" si="55"/>
        <v>0</v>
      </c>
      <c r="R262" s="3605">
        <v>0</v>
      </c>
      <c r="S262" s="3275"/>
      <c r="T262" s="3826"/>
      <c r="U262" s="3794"/>
      <c r="V262" s="1846">
        <f t="shared" si="43"/>
        <v>0</v>
      </c>
    </row>
    <row r="263" spans="1:22" s="257" customFormat="1" ht="15.05" customHeight="1">
      <c r="A263" s="1886"/>
      <c r="B263" s="1886"/>
      <c r="C263" s="1886"/>
      <c r="D263" s="1886"/>
      <c r="E263" s="1886"/>
      <c r="F263" s="2843"/>
      <c r="G263" s="2844"/>
      <c r="H263" s="856"/>
      <c r="I263" s="856"/>
      <c r="J263" s="3238"/>
      <c r="K263" s="3251"/>
      <c r="L263" s="3252"/>
      <c r="M263" s="3253"/>
      <c r="N263" s="3252"/>
      <c r="O263" s="3252"/>
      <c r="P263" s="3174"/>
      <c r="Q263" s="3174"/>
      <c r="R263" s="3612"/>
      <c r="S263" s="3712"/>
      <c r="T263" s="3831"/>
      <c r="U263" s="1899"/>
      <c r="V263" s="1846">
        <f t="shared" si="43"/>
        <v>0</v>
      </c>
    </row>
    <row r="264" spans="1:22" s="2947" customFormat="1" ht="15.05" customHeight="1">
      <c r="A264" s="3053">
        <v>4</v>
      </c>
      <c r="B264" s="3054">
        <v>1</v>
      </c>
      <c r="C264" s="3054">
        <v>4</v>
      </c>
      <c r="D264" s="3054" t="s">
        <v>456</v>
      </c>
      <c r="E264" s="3054"/>
      <c r="F264" s="3056" t="s">
        <v>307</v>
      </c>
      <c r="G264" s="3057"/>
      <c r="H264" s="3064"/>
      <c r="I264" s="3064"/>
      <c r="J264" s="3212">
        <f>J265+J276</f>
        <v>18548560000</v>
      </c>
      <c r="K264" s="3212">
        <f t="shared" ref="K264:P264" si="56">K265+K276</f>
        <v>19634060483</v>
      </c>
      <c r="L264" s="3212">
        <f t="shared" si="56"/>
        <v>18548560000</v>
      </c>
      <c r="M264" s="3212">
        <f t="shared" si="56"/>
        <v>3186070400</v>
      </c>
      <c r="N264" s="3212">
        <f t="shared" si="56"/>
        <v>2296646661</v>
      </c>
      <c r="O264" s="3212">
        <f t="shared" si="56"/>
        <v>5482717061</v>
      </c>
      <c r="P264" s="3212">
        <f t="shared" si="56"/>
        <v>20350000000</v>
      </c>
      <c r="Q264" s="3178">
        <f t="shared" ref="Q264:Q290" si="57">+P264-L264</f>
        <v>1801440000</v>
      </c>
      <c r="R264" s="3621">
        <f>+P264/L264*100-100</f>
        <v>9.7120207714237665</v>
      </c>
      <c r="S264" s="3716"/>
      <c r="T264" s="3838"/>
      <c r="U264" s="3066"/>
      <c r="V264" s="2944">
        <f t="shared" si="43"/>
        <v>21930868244</v>
      </c>
    </row>
    <row r="265" spans="1:22" s="257" customFormat="1" ht="15.05" customHeight="1">
      <c r="A265" s="1889">
        <v>4</v>
      </c>
      <c r="B265" s="1889">
        <v>1</v>
      </c>
      <c r="C265" s="1889">
        <v>4</v>
      </c>
      <c r="D265" s="1889" t="s">
        <v>456</v>
      </c>
      <c r="E265" s="1889" t="s">
        <v>437</v>
      </c>
      <c r="F265" s="3087" t="s">
        <v>309</v>
      </c>
      <c r="G265" s="3084"/>
      <c r="H265" s="224"/>
      <c r="I265" s="224"/>
      <c r="J265" s="3254">
        <v>18448560000</v>
      </c>
      <c r="K265" s="3237">
        <v>19268531170</v>
      </c>
      <c r="L265" s="3234">
        <v>18448560000</v>
      </c>
      <c r="M265" s="3225">
        <v>3064125447</v>
      </c>
      <c r="N265" s="3234">
        <v>2223238906</v>
      </c>
      <c r="O265" s="3234">
        <v>5287364353</v>
      </c>
      <c r="P265" s="3234">
        <v>20000000000</v>
      </c>
      <c r="Q265" s="3234">
        <f t="shared" si="57"/>
        <v>1551440000</v>
      </c>
      <c r="R265" s="3604">
        <f>+P265/L265*100-100</f>
        <v>8.409545243639613</v>
      </c>
      <c r="S265" s="3701"/>
      <c r="T265" s="3819"/>
      <c r="U265" s="1900"/>
      <c r="V265" s="1846">
        <f t="shared" si="43"/>
        <v>21149457412</v>
      </c>
    </row>
    <row r="266" spans="1:22" s="257" customFormat="1" ht="15.05" customHeight="1">
      <c r="A266" s="1855"/>
      <c r="B266" s="1855"/>
      <c r="C266" s="1855"/>
      <c r="D266" s="1855"/>
      <c r="E266" s="1855"/>
      <c r="F266" s="2359" t="s">
        <v>50</v>
      </c>
      <c r="G266" s="213"/>
      <c r="H266" s="200" t="str">
        <f>MAR!I523</f>
        <v>Samsat Mataram</v>
      </c>
      <c r="I266" s="200"/>
      <c r="J266" s="3215">
        <v>18448560000</v>
      </c>
      <c r="K266" s="3171">
        <v>5900994481</v>
      </c>
      <c r="L266" s="3125">
        <v>0</v>
      </c>
      <c r="M266" s="3124">
        <v>950178232</v>
      </c>
      <c r="N266" s="3125">
        <v>483669403</v>
      </c>
      <c r="O266" s="3125">
        <v>1433847635</v>
      </c>
      <c r="P266" s="3125">
        <v>0</v>
      </c>
      <c r="Q266" s="3125">
        <f t="shared" si="57"/>
        <v>0</v>
      </c>
      <c r="R266" s="3605">
        <v>0</v>
      </c>
      <c r="S266" s="3275"/>
      <c r="T266" s="3826"/>
      <c r="U266" s="3771"/>
      <c r="V266" s="1846">
        <f t="shared" si="43"/>
        <v>5735390540</v>
      </c>
    </row>
    <row r="267" spans="1:22" s="257" customFormat="1" ht="15.05" customHeight="1">
      <c r="A267" s="1855"/>
      <c r="B267" s="1855"/>
      <c r="C267" s="1855"/>
      <c r="D267" s="1855"/>
      <c r="E267" s="1855"/>
      <c r="F267" s="2359" t="s">
        <v>50</v>
      </c>
      <c r="G267" s="213"/>
      <c r="H267" s="200" t="str">
        <f>MAR!I524</f>
        <v>Samsat Praya</v>
      </c>
      <c r="I267" s="200"/>
      <c r="J267" s="3215"/>
      <c r="K267" s="3171">
        <v>2780920166</v>
      </c>
      <c r="L267" s="3125">
        <v>0</v>
      </c>
      <c r="M267" s="3124">
        <v>464483071</v>
      </c>
      <c r="N267" s="3125">
        <v>700930596</v>
      </c>
      <c r="O267" s="3125">
        <v>1165413667</v>
      </c>
      <c r="P267" s="3125">
        <v>0</v>
      </c>
      <c r="Q267" s="3125">
        <f t="shared" si="57"/>
        <v>0</v>
      </c>
      <c r="R267" s="3605">
        <v>0</v>
      </c>
      <c r="S267" s="3275"/>
      <c r="T267" s="3826"/>
      <c r="U267" s="3771"/>
      <c r="V267" s="1846">
        <f t="shared" si="43"/>
        <v>4661654668</v>
      </c>
    </row>
    <row r="268" spans="1:22" s="257" customFormat="1" ht="15.05" customHeight="1">
      <c r="A268" s="1855"/>
      <c r="B268" s="1855"/>
      <c r="C268" s="1855"/>
      <c r="D268" s="1855"/>
      <c r="E268" s="1855"/>
      <c r="F268" s="2359" t="s">
        <v>50</v>
      </c>
      <c r="G268" s="213"/>
      <c r="H268" s="200" t="str">
        <f>MAR!I525</f>
        <v>Samsat Selong</v>
      </c>
      <c r="I268" s="200"/>
      <c r="J268" s="3215"/>
      <c r="K268" s="3171">
        <v>334374917</v>
      </c>
      <c r="L268" s="3125">
        <v>0</v>
      </c>
      <c r="M268" s="3124">
        <v>526640801</v>
      </c>
      <c r="N268" s="3125">
        <v>257640400</v>
      </c>
      <c r="O268" s="3125">
        <v>784281201</v>
      </c>
      <c r="P268" s="3125">
        <v>0</v>
      </c>
      <c r="Q268" s="3125">
        <f t="shared" si="57"/>
        <v>0</v>
      </c>
      <c r="R268" s="3605">
        <v>0</v>
      </c>
      <c r="S268" s="3275"/>
      <c r="T268" s="3826"/>
      <c r="U268" s="3771"/>
      <c r="V268" s="1846">
        <f t="shared" si="43"/>
        <v>3137124804</v>
      </c>
    </row>
    <row r="269" spans="1:22" s="257" customFormat="1" ht="15.05" customHeight="1">
      <c r="A269" s="1855"/>
      <c r="B269" s="1855"/>
      <c r="C269" s="1855"/>
      <c r="D269" s="1855"/>
      <c r="E269" s="1855"/>
      <c r="F269" s="2359" t="s">
        <v>50</v>
      </c>
      <c r="G269" s="213"/>
      <c r="H269" s="200" t="str">
        <f>MAR!I526</f>
        <v>Samsat Sumbawa</v>
      </c>
      <c r="I269" s="200"/>
      <c r="J269" s="3215"/>
      <c r="K269" s="3171">
        <v>1616126594</v>
      </c>
      <c r="L269" s="3125">
        <v>0</v>
      </c>
      <c r="M269" s="3124">
        <v>210189810</v>
      </c>
      <c r="N269" s="3125">
        <v>117317727</v>
      </c>
      <c r="O269" s="3125">
        <v>327507537</v>
      </c>
      <c r="P269" s="3125">
        <v>0</v>
      </c>
      <c r="Q269" s="3125">
        <f t="shared" si="57"/>
        <v>0</v>
      </c>
      <c r="R269" s="3605">
        <v>0</v>
      </c>
      <c r="S269" s="3275"/>
      <c r="T269" s="3826"/>
      <c r="U269" s="3771"/>
      <c r="V269" s="1846">
        <f t="shared" si="43"/>
        <v>1310030148</v>
      </c>
    </row>
    <row r="270" spans="1:22" s="257" customFormat="1" ht="15.05" customHeight="1">
      <c r="A270" s="1855"/>
      <c r="B270" s="1855"/>
      <c r="C270" s="1855"/>
      <c r="D270" s="1855"/>
      <c r="E270" s="1855"/>
      <c r="F270" s="2359" t="s">
        <v>50</v>
      </c>
      <c r="G270" s="213"/>
      <c r="H270" s="200" t="str">
        <f>MAR!I527</f>
        <v>Samsat Kota Bima</v>
      </c>
      <c r="I270" s="200"/>
      <c r="J270" s="3215"/>
      <c r="K270" s="3171">
        <v>154003162</v>
      </c>
      <c r="L270" s="3125">
        <v>0</v>
      </c>
      <c r="M270" s="3124">
        <v>198751703</v>
      </c>
      <c r="N270" s="3125">
        <v>92358050</v>
      </c>
      <c r="O270" s="3125">
        <v>291109753</v>
      </c>
      <c r="P270" s="3125">
        <v>0</v>
      </c>
      <c r="Q270" s="3125">
        <f t="shared" si="57"/>
        <v>0</v>
      </c>
      <c r="R270" s="3605">
        <v>0</v>
      </c>
      <c r="S270" s="3275"/>
      <c r="T270" s="3826"/>
      <c r="U270" s="3771"/>
      <c r="V270" s="1846">
        <f t="shared" si="43"/>
        <v>1164439012</v>
      </c>
    </row>
    <row r="271" spans="1:22" s="257" customFormat="1" ht="15.05" customHeight="1">
      <c r="A271" s="1855"/>
      <c r="B271" s="1855"/>
      <c r="C271" s="1855"/>
      <c r="D271" s="1855"/>
      <c r="E271" s="1855"/>
      <c r="F271" s="2359"/>
      <c r="G271" s="213"/>
      <c r="H271" s="200" t="str">
        <f>MAR!I528</f>
        <v>Samsat Kab. Bima</v>
      </c>
      <c r="I271" s="200"/>
      <c r="J271" s="3215"/>
      <c r="K271" s="3193">
        <v>0</v>
      </c>
      <c r="L271" s="3125"/>
      <c r="M271" s="3124">
        <v>96723700</v>
      </c>
      <c r="N271" s="3125">
        <v>51092666</v>
      </c>
      <c r="O271" s="3125">
        <v>147816366</v>
      </c>
      <c r="P271" s="3125"/>
      <c r="Q271" s="3125">
        <f t="shared" si="57"/>
        <v>0</v>
      </c>
      <c r="R271" s="3605">
        <v>0</v>
      </c>
      <c r="S271" s="3275"/>
      <c r="T271" s="3826"/>
      <c r="U271" s="3771"/>
      <c r="V271" s="1846">
        <f t="shared" si="43"/>
        <v>591265464</v>
      </c>
    </row>
    <row r="272" spans="1:22" s="257" customFormat="1" ht="15.05" customHeight="1">
      <c r="A272" s="1855"/>
      <c r="B272" s="1855"/>
      <c r="C272" s="1855"/>
      <c r="D272" s="1855"/>
      <c r="E272" s="1855"/>
      <c r="F272" s="2359" t="s">
        <v>50</v>
      </c>
      <c r="G272" s="213"/>
      <c r="H272" s="200" t="str">
        <f>MAR!I529</f>
        <v>Samsat Dompu</v>
      </c>
      <c r="I272" s="200"/>
      <c r="J272" s="3215"/>
      <c r="K272" s="3171">
        <v>602053236</v>
      </c>
      <c r="L272" s="3125">
        <v>0</v>
      </c>
      <c r="M272" s="3124">
        <v>94411077</v>
      </c>
      <c r="N272" s="3125">
        <v>45850047</v>
      </c>
      <c r="O272" s="3125">
        <v>140261124</v>
      </c>
      <c r="P272" s="3125">
        <v>0</v>
      </c>
      <c r="Q272" s="3125">
        <f t="shared" si="57"/>
        <v>0</v>
      </c>
      <c r="R272" s="3605">
        <v>0</v>
      </c>
      <c r="S272" s="3275"/>
      <c r="T272" s="3826"/>
      <c r="U272" s="3771"/>
      <c r="V272" s="1846">
        <f t="shared" si="43"/>
        <v>561044496</v>
      </c>
    </row>
    <row r="273" spans="1:22" s="257" customFormat="1" ht="15.05" customHeight="1">
      <c r="A273" s="1855"/>
      <c r="B273" s="1855"/>
      <c r="C273" s="1855"/>
      <c r="D273" s="1855"/>
      <c r="E273" s="1855"/>
      <c r="F273" s="2359" t="s">
        <v>50</v>
      </c>
      <c r="G273" s="213"/>
      <c r="H273" s="200" t="str">
        <f>MAR!I530</f>
        <v>Samsat Lombok Barat</v>
      </c>
      <c r="I273" s="200"/>
      <c r="J273" s="3215"/>
      <c r="K273" s="3171">
        <v>1924735337</v>
      </c>
      <c r="L273" s="3125">
        <v>0</v>
      </c>
      <c r="M273" s="3124">
        <v>310303928</v>
      </c>
      <c r="N273" s="3125">
        <v>180694105</v>
      </c>
      <c r="O273" s="3125">
        <v>490998033</v>
      </c>
      <c r="P273" s="3125">
        <v>0</v>
      </c>
      <c r="Q273" s="3125">
        <f t="shared" si="57"/>
        <v>0</v>
      </c>
      <c r="R273" s="3605">
        <v>0</v>
      </c>
      <c r="S273" s="3275"/>
      <c r="T273" s="3826"/>
      <c r="U273" s="3771"/>
      <c r="V273" s="1846">
        <f t="shared" si="43"/>
        <v>1963992132</v>
      </c>
    </row>
    <row r="274" spans="1:22" s="257" customFormat="1" ht="15.05" customHeight="1">
      <c r="A274" s="1855"/>
      <c r="B274" s="1855"/>
      <c r="C274" s="1855"/>
      <c r="D274" s="1855"/>
      <c r="E274" s="1855"/>
      <c r="F274" s="2359" t="s">
        <v>50</v>
      </c>
      <c r="G274" s="213"/>
      <c r="H274" s="200" t="str">
        <f>MAR!I531</f>
        <v>Samsat Sumbawa Barat</v>
      </c>
      <c r="I274" s="200"/>
      <c r="J274" s="3215"/>
      <c r="K274" s="3171">
        <v>1005251893</v>
      </c>
      <c r="L274" s="3125">
        <v>0</v>
      </c>
      <c r="M274" s="3124">
        <v>107538725</v>
      </c>
      <c r="N274" s="3125">
        <v>242828712</v>
      </c>
      <c r="O274" s="3125">
        <v>350367437</v>
      </c>
      <c r="P274" s="3125">
        <v>0</v>
      </c>
      <c r="Q274" s="3125">
        <f t="shared" si="57"/>
        <v>0</v>
      </c>
      <c r="R274" s="3605">
        <v>0</v>
      </c>
      <c r="S274" s="3275"/>
      <c r="T274" s="3826"/>
      <c r="U274" s="3771"/>
      <c r="V274" s="1846">
        <f t="shared" si="43"/>
        <v>1401469748</v>
      </c>
    </row>
    <row r="275" spans="1:22" s="257" customFormat="1" ht="15.05" customHeight="1">
      <c r="A275" s="1855"/>
      <c r="B275" s="1855"/>
      <c r="C275" s="1855"/>
      <c r="D275" s="1855"/>
      <c r="E275" s="1855"/>
      <c r="F275" s="2359" t="s">
        <v>50</v>
      </c>
      <c r="G275" s="213"/>
      <c r="H275" s="200" t="str">
        <f>MAR!I532</f>
        <v>Samsat Kab.Lombok Utara</v>
      </c>
      <c r="I275" s="200"/>
      <c r="J275" s="3215"/>
      <c r="K275" s="3171">
        <v>657351848</v>
      </c>
      <c r="L275" s="3125">
        <v>0</v>
      </c>
      <c r="M275" s="3124">
        <v>104904400</v>
      </c>
      <c r="N275" s="3125">
        <v>50857200</v>
      </c>
      <c r="O275" s="3125">
        <v>155761600</v>
      </c>
      <c r="P275" s="3125">
        <v>0</v>
      </c>
      <c r="Q275" s="3125">
        <f t="shared" si="57"/>
        <v>0</v>
      </c>
      <c r="R275" s="3605">
        <v>0</v>
      </c>
      <c r="S275" s="3275"/>
      <c r="T275" s="3826"/>
      <c r="U275" s="3771"/>
      <c r="V275" s="1846">
        <f t="shared" si="43"/>
        <v>623046400</v>
      </c>
    </row>
    <row r="276" spans="1:22" s="2883" customFormat="1" ht="15.05" customHeight="1">
      <c r="A276" s="2873">
        <v>4</v>
      </c>
      <c r="B276" s="2873">
        <v>1</v>
      </c>
      <c r="C276" s="2873">
        <v>4</v>
      </c>
      <c r="D276" s="2873" t="s">
        <v>456</v>
      </c>
      <c r="E276" s="2873" t="s">
        <v>438</v>
      </c>
      <c r="F276" s="2874" t="s">
        <v>319</v>
      </c>
      <c r="G276" s="2921"/>
      <c r="H276" s="2961"/>
      <c r="I276" s="2961"/>
      <c r="J276" s="3255">
        <v>100000000</v>
      </c>
      <c r="K276" s="3256">
        <f>SUM(K277:K286)</f>
        <v>365529313</v>
      </c>
      <c r="L276" s="3184">
        <v>100000000</v>
      </c>
      <c r="M276" s="3440">
        <v>121944953</v>
      </c>
      <c r="N276" s="3184">
        <v>73407755</v>
      </c>
      <c r="O276" s="3184">
        <f>SUM(O277:O286)</f>
        <v>195352708</v>
      </c>
      <c r="P276" s="3184">
        <v>350000000</v>
      </c>
      <c r="Q276" s="3184">
        <f t="shared" si="57"/>
        <v>250000000</v>
      </c>
      <c r="R276" s="3601">
        <f>+P276/L276*100-100</f>
        <v>250</v>
      </c>
      <c r="S276" s="3697"/>
      <c r="T276" s="3816"/>
      <c r="U276" s="3795"/>
      <c r="V276" s="2882">
        <f t="shared" ref="V276:V339" si="58">O276*4</f>
        <v>781410832</v>
      </c>
    </row>
    <row r="277" spans="1:22" s="257" customFormat="1" ht="15.05" customHeight="1">
      <c r="A277" s="1855"/>
      <c r="B277" s="1855"/>
      <c r="C277" s="1855"/>
      <c r="D277" s="1855"/>
      <c r="E277" s="1855"/>
      <c r="F277" s="2359" t="s">
        <v>50</v>
      </c>
      <c r="G277" s="213"/>
      <c r="H277" s="200" t="str">
        <f>MAR!I535</f>
        <v>Samsat Mataram</v>
      </c>
      <c r="I277" s="200"/>
      <c r="J277" s="3215"/>
      <c r="K277" s="3171">
        <v>126307796</v>
      </c>
      <c r="L277" s="3125">
        <v>0</v>
      </c>
      <c r="M277" s="3124">
        <v>51221268</v>
      </c>
      <c r="N277" s="3125">
        <v>9587463</v>
      </c>
      <c r="O277" s="3125">
        <v>60808731</v>
      </c>
      <c r="P277" s="3125">
        <v>0</v>
      </c>
      <c r="Q277" s="3125">
        <f t="shared" si="57"/>
        <v>0</v>
      </c>
      <c r="R277" s="3605">
        <v>0</v>
      </c>
      <c r="S277" s="3275"/>
      <c r="T277" s="3826"/>
      <c r="U277" s="3771"/>
      <c r="V277" s="1846">
        <f t="shared" si="58"/>
        <v>243234924</v>
      </c>
    </row>
    <row r="278" spans="1:22" s="257" customFormat="1" ht="15.05" customHeight="1">
      <c r="A278" s="1855"/>
      <c r="B278" s="1855"/>
      <c r="C278" s="1855"/>
      <c r="D278" s="1855"/>
      <c r="E278" s="1855"/>
      <c r="F278" s="2359" t="s">
        <v>50</v>
      </c>
      <c r="G278" s="213"/>
      <c r="H278" s="200" t="str">
        <f>MAR!I536</f>
        <v>Samsat Praya</v>
      </c>
      <c r="I278" s="200"/>
      <c r="J278" s="3215"/>
      <c r="K278" s="3171">
        <v>48957177</v>
      </c>
      <c r="L278" s="3125">
        <v>0</v>
      </c>
      <c r="M278" s="3124">
        <v>14910125</v>
      </c>
      <c r="N278" s="3125">
        <v>23481425</v>
      </c>
      <c r="O278" s="3125">
        <v>38391550</v>
      </c>
      <c r="P278" s="3125">
        <v>0</v>
      </c>
      <c r="Q278" s="3125">
        <f t="shared" si="57"/>
        <v>0</v>
      </c>
      <c r="R278" s="3605">
        <v>0</v>
      </c>
      <c r="S278" s="3275"/>
      <c r="T278" s="3826"/>
      <c r="U278" s="3771"/>
      <c r="V278" s="1846">
        <f t="shared" si="58"/>
        <v>153566200</v>
      </c>
    </row>
    <row r="279" spans="1:22" s="257" customFormat="1" ht="15.05" customHeight="1">
      <c r="A279" s="1855"/>
      <c r="B279" s="1855"/>
      <c r="C279" s="1855"/>
      <c r="D279" s="1855"/>
      <c r="E279" s="1855"/>
      <c r="F279" s="2359" t="s">
        <v>50</v>
      </c>
      <c r="G279" s="213"/>
      <c r="H279" s="200" t="str">
        <f>MAR!I537</f>
        <v>Samsat Selong</v>
      </c>
      <c r="I279" s="200"/>
      <c r="J279" s="3215"/>
      <c r="K279" s="3171">
        <v>41943963</v>
      </c>
      <c r="L279" s="3125">
        <v>0</v>
      </c>
      <c r="M279" s="3124">
        <v>11853570</v>
      </c>
      <c r="N279" s="3125">
        <v>8988200</v>
      </c>
      <c r="O279" s="3125">
        <v>20841770</v>
      </c>
      <c r="P279" s="3125">
        <v>0</v>
      </c>
      <c r="Q279" s="3125">
        <f t="shared" si="57"/>
        <v>0</v>
      </c>
      <c r="R279" s="3605">
        <v>0</v>
      </c>
      <c r="S279" s="3275"/>
      <c r="T279" s="3826"/>
      <c r="U279" s="3771"/>
      <c r="V279" s="1846">
        <f t="shared" si="58"/>
        <v>83367080</v>
      </c>
    </row>
    <row r="280" spans="1:22" s="257" customFormat="1" ht="15.05" customHeight="1">
      <c r="A280" s="1855"/>
      <c r="B280" s="1855"/>
      <c r="C280" s="1855"/>
      <c r="D280" s="1855"/>
      <c r="E280" s="1855"/>
      <c r="F280" s="2359" t="s">
        <v>50</v>
      </c>
      <c r="G280" s="213"/>
      <c r="H280" s="200" t="str">
        <f>MAR!I538</f>
        <v>Samsat Sumbawa</v>
      </c>
      <c r="I280" s="200"/>
      <c r="J280" s="3215"/>
      <c r="K280" s="3171">
        <v>20483190</v>
      </c>
      <c r="L280" s="3125">
        <v>0</v>
      </c>
      <c r="M280" s="3124">
        <v>8483975</v>
      </c>
      <c r="N280" s="3125">
        <v>4618600</v>
      </c>
      <c r="O280" s="3125">
        <v>13102575</v>
      </c>
      <c r="P280" s="3125">
        <v>0</v>
      </c>
      <c r="Q280" s="3125">
        <f t="shared" si="57"/>
        <v>0</v>
      </c>
      <c r="R280" s="3605">
        <v>0</v>
      </c>
      <c r="S280" s="3275"/>
      <c r="T280" s="3826"/>
      <c r="U280" s="3771"/>
      <c r="V280" s="1846">
        <f t="shared" si="58"/>
        <v>52410300</v>
      </c>
    </row>
    <row r="281" spans="1:22" s="257" customFormat="1" ht="15.05" customHeight="1">
      <c r="A281" s="1855"/>
      <c r="B281" s="1855"/>
      <c r="C281" s="1855"/>
      <c r="D281" s="1855"/>
      <c r="E281" s="1855"/>
      <c r="F281" s="2359" t="s">
        <v>50</v>
      </c>
      <c r="G281" s="213"/>
      <c r="H281" s="200" t="str">
        <f>MAR!I539</f>
        <v>Samsat Kota Bima</v>
      </c>
      <c r="I281" s="200"/>
      <c r="J281" s="3215"/>
      <c r="K281" s="3171">
        <v>44694173</v>
      </c>
      <c r="L281" s="3125">
        <v>0</v>
      </c>
      <c r="M281" s="3124">
        <v>10865555</v>
      </c>
      <c r="N281" s="3125">
        <v>3584900</v>
      </c>
      <c r="O281" s="3125">
        <v>14450455</v>
      </c>
      <c r="P281" s="3125">
        <v>0</v>
      </c>
      <c r="Q281" s="3125">
        <f t="shared" si="57"/>
        <v>0</v>
      </c>
      <c r="R281" s="3605">
        <v>0</v>
      </c>
      <c r="S281" s="3275"/>
      <c r="T281" s="3826"/>
      <c r="U281" s="3771"/>
      <c r="V281" s="1846">
        <f t="shared" si="58"/>
        <v>57801820</v>
      </c>
    </row>
    <row r="282" spans="1:22" s="257" customFormat="1" ht="15.05" customHeight="1">
      <c r="A282" s="1855"/>
      <c r="B282" s="1855"/>
      <c r="C282" s="1855"/>
      <c r="D282" s="1855"/>
      <c r="E282" s="1855"/>
      <c r="F282" s="2359" t="s">
        <v>50</v>
      </c>
      <c r="G282" s="213"/>
      <c r="H282" s="200" t="str">
        <f>MAR!I540</f>
        <v>Samsat Kab. Bima</v>
      </c>
      <c r="I282" s="200"/>
      <c r="J282" s="3215"/>
      <c r="K282" s="3193">
        <v>0</v>
      </c>
      <c r="L282" s="3125">
        <v>0</v>
      </c>
      <c r="M282" s="3124">
        <v>3475300</v>
      </c>
      <c r="N282" s="3125">
        <v>7300390</v>
      </c>
      <c r="O282" s="3125">
        <v>10775690</v>
      </c>
      <c r="P282" s="3125">
        <v>0</v>
      </c>
      <c r="Q282" s="3125">
        <f t="shared" si="57"/>
        <v>0</v>
      </c>
      <c r="R282" s="3605">
        <v>0</v>
      </c>
      <c r="S282" s="3275"/>
      <c r="T282" s="3826"/>
      <c r="U282" s="3771"/>
      <c r="V282" s="1846">
        <f t="shared" si="58"/>
        <v>43102760</v>
      </c>
    </row>
    <row r="283" spans="1:22" s="257" customFormat="1" ht="15.05" customHeight="1">
      <c r="A283" s="1855"/>
      <c r="B283" s="1855"/>
      <c r="C283" s="1855"/>
      <c r="D283" s="1855"/>
      <c r="E283" s="1855"/>
      <c r="F283" s="2359" t="s">
        <v>50</v>
      </c>
      <c r="G283" s="213"/>
      <c r="H283" s="200" t="str">
        <f>MAR!I541</f>
        <v>Samsat Dompu</v>
      </c>
      <c r="I283" s="200"/>
      <c r="J283" s="3215"/>
      <c r="K283" s="3171">
        <v>6311971</v>
      </c>
      <c r="L283" s="3125">
        <v>0</v>
      </c>
      <c r="M283" s="3124">
        <v>4177145</v>
      </c>
      <c r="N283" s="3125">
        <v>2170250</v>
      </c>
      <c r="O283" s="3125">
        <v>6347395</v>
      </c>
      <c r="P283" s="3125">
        <v>0</v>
      </c>
      <c r="Q283" s="3125">
        <f t="shared" si="57"/>
        <v>0</v>
      </c>
      <c r="R283" s="3605">
        <v>0</v>
      </c>
      <c r="S283" s="3275"/>
      <c r="T283" s="3826"/>
      <c r="U283" s="3771"/>
      <c r="V283" s="1846">
        <f t="shared" si="58"/>
        <v>25389580</v>
      </c>
    </row>
    <row r="284" spans="1:22" s="257" customFormat="1" ht="15.05" customHeight="1">
      <c r="A284" s="1886"/>
      <c r="B284" s="1886"/>
      <c r="C284" s="1886"/>
      <c r="D284" s="1886"/>
      <c r="E284" s="1886"/>
      <c r="F284" s="2843" t="s">
        <v>50</v>
      </c>
      <c r="G284" s="2844"/>
      <c r="H284" s="200" t="str">
        <f>MAR!I542</f>
        <v>Samsat Lombok Barat</v>
      </c>
      <c r="I284" s="856"/>
      <c r="J284" s="3238"/>
      <c r="K284" s="3173">
        <v>35215672</v>
      </c>
      <c r="L284" s="3125">
        <v>0</v>
      </c>
      <c r="M284" s="3124">
        <v>12073539</v>
      </c>
      <c r="N284" s="3125">
        <v>9903007</v>
      </c>
      <c r="O284" s="3125">
        <v>21976546</v>
      </c>
      <c r="P284" s="3125">
        <v>0</v>
      </c>
      <c r="Q284" s="3125">
        <f t="shared" si="57"/>
        <v>0</v>
      </c>
      <c r="R284" s="3605">
        <v>0</v>
      </c>
      <c r="S284" s="3709"/>
      <c r="T284" s="3828"/>
      <c r="U284" s="1899"/>
      <c r="V284" s="1846">
        <f t="shared" si="58"/>
        <v>87906184</v>
      </c>
    </row>
    <row r="285" spans="1:22" s="257" customFormat="1" ht="15.05" customHeight="1">
      <c r="A285" s="1919"/>
      <c r="B285" s="1919"/>
      <c r="C285" s="1919"/>
      <c r="D285" s="1919"/>
      <c r="E285" s="1919"/>
      <c r="F285" s="2845" t="s">
        <v>50</v>
      </c>
      <c r="G285" s="1945"/>
      <c r="H285" s="200" t="str">
        <f>MAR!I543</f>
        <v>Samsat Sumbawa Barat</v>
      </c>
      <c r="J285" s="3257"/>
      <c r="K285" s="3258">
        <v>41615371</v>
      </c>
      <c r="L285" s="3125">
        <v>0</v>
      </c>
      <c r="M285" s="3124">
        <v>2760945</v>
      </c>
      <c r="N285" s="3125">
        <v>2402495</v>
      </c>
      <c r="O285" s="3125">
        <v>5163440</v>
      </c>
      <c r="P285" s="3125">
        <v>0</v>
      </c>
      <c r="Q285" s="3125">
        <f t="shared" si="57"/>
        <v>0</v>
      </c>
      <c r="R285" s="3605">
        <v>0</v>
      </c>
      <c r="S285" s="3723"/>
      <c r="T285" s="3845"/>
      <c r="U285" s="3796"/>
      <c r="V285" s="1846">
        <f t="shared" si="58"/>
        <v>20653760</v>
      </c>
    </row>
    <row r="286" spans="1:22" s="257" customFormat="1" ht="15.05" customHeight="1">
      <c r="A286" s="3573"/>
      <c r="B286" s="3573"/>
      <c r="C286" s="3573"/>
      <c r="D286" s="3573"/>
      <c r="E286" s="3573"/>
      <c r="F286" s="3588" t="s">
        <v>50</v>
      </c>
      <c r="G286" s="3589"/>
      <c r="H286" s="3575" t="str">
        <f>MAR!I544</f>
        <v>Samsat Kab.Lombok Utara</v>
      </c>
      <c r="I286" s="3575"/>
      <c r="J286" s="3576"/>
      <c r="K286" s="3583">
        <v>0</v>
      </c>
      <c r="L286" s="3578">
        <v>0</v>
      </c>
      <c r="M286" s="3579">
        <v>2123531</v>
      </c>
      <c r="N286" s="3578">
        <v>1371025</v>
      </c>
      <c r="O286" s="3578">
        <v>3494556</v>
      </c>
      <c r="P286" s="3578">
        <v>0</v>
      </c>
      <c r="Q286" s="3578">
        <f t="shared" si="57"/>
        <v>0</v>
      </c>
      <c r="R286" s="3615">
        <v>0</v>
      </c>
      <c r="S286" s="3709"/>
      <c r="T286" s="3828"/>
      <c r="U286" s="1899"/>
      <c r="V286" s="1846">
        <f t="shared" si="58"/>
        <v>13978224</v>
      </c>
    </row>
    <row r="287" spans="1:22" s="2947" customFormat="1" ht="15.05" customHeight="1">
      <c r="A287" s="3053">
        <v>4</v>
      </c>
      <c r="B287" s="3054">
        <v>1</v>
      </c>
      <c r="C287" s="3054">
        <v>4</v>
      </c>
      <c r="D287" s="3054" t="s">
        <v>448</v>
      </c>
      <c r="E287" s="3054"/>
      <c r="F287" s="3056" t="s">
        <v>220</v>
      </c>
      <c r="G287" s="3057"/>
      <c r="H287" s="3064"/>
      <c r="I287" s="3064"/>
      <c r="J287" s="3212">
        <f>J288+J289</f>
        <v>235536159</v>
      </c>
      <c r="K287" s="3212">
        <f t="shared" ref="K287:P287" si="59">K288+K289</f>
        <v>12930312</v>
      </c>
      <c r="L287" s="3212">
        <f t="shared" si="59"/>
        <v>235536159</v>
      </c>
      <c r="M287" s="3212">
        <f t="shared" si="59"/>
        <v>558496</v>
      </c>
      <c r="N287" s="3212">
        <f t="shared" si="59"/>
        <v>695000</v>
      </c>
      <c r="O287" s="3212">
        <f t="shared" si="59"/>
        <v>1253496</v>
      </c>
      <c r="P287" s="3212">
        <f t="shared" si="59"/>
        <v>31000000</v>
      </c>
      <c r="Q287" s="3178">
        <f t="shared" si="57"/>
        <v>-204536159</v>
      </c>
      <c r="R287" s="3621">
        <f>+P287/L287*100-100</f>
        <v>-86.838538875892937</v>
      </c>
      <c r="S287" s="3716"/>
      <c r="T287" s="3838"/>
      <c r="U287" s="3066"/>
      <c r="V287" s="2944">
        <f t="shared" si="58"/>
        <v>5013984</v>
      </c>
    </row>
    <row r="288" spans="1:22" s="257" customFormat="1" ht="15.05" customHeight="1">
      <c r="A288" s="1889">
        <v>4</v>
      </c>
      <c r="B288" s="1889">
        <v>1</v>
      </c>
      <c r="C288" s="1889">
        <v>4</v>
      </c>
      <c r="D288" s="1889" t="s">
        <v>448</v>
      </c>
      <c r="E288" s="1889" t="s">
        <v>438</v>
      </c>
      <c r="F288" s="2358" t="s">
        <v>50</v>
      </c>
      <c r="G288" s="3084" t="s">
        <v>560</v>
      </c>
      <c r="H288" s="212"/>
      <c r="I288" s="212"/>
      <c r="J288" s="3214">
        <v>217536159</v>
      </c>
      <c r="K288" s="3155">
        <v>12930312</v>
      </c>
      <c r="L288" s="3234">
        <v>217536159</v>
      </c>
      <c r="M288" s="3225">
        <v>558496</v>
      </c>
      <c r="N288" s="3234">
        <v>0</v>
      </c>
      <c r="O288" s="3234">
        <v>558496</v>
      </c>
      <c r="P288" s="3234">
        <v>13000000</v>
      </c>
      <c r="Q288" s="3234">
        <f t="shared" si="57"/>
        <v>-204536159</v>
      </c>
      <c r="R288" s="3604">
        <f>+P288/L288*100-100</f>
        <v>-94.023982008434743</v>
      </c>
      <c r="S288" s="3720"/>
      <c r="T288" s="3835"/>
      <c r="U288" s="1911"/>
      <c r="V288" s="1846">
        <f t="shared" si="58"/>
        <v>2233984</v>
      </c>
    </row>
    <row r="289" spans="1:22" s="257" customFormat="1" ht="15.05" customHeight="1">
      <c r="A289" s="1854">
        <v>4</v>
      </c>
      <c r="B289" s="1854">
        <v>1</v>
      </c>
      <c r="C289" s="1854">
        <v>4</v>
      </c>
      <c r="D289" s="1854" t="s">
        <v>448</v>
      </c>
      <c r="E289" s="1854" t="s">
        <v>440</v>
      </c>
      <c r="F289" s="1464" t="s">
        <v>561</v>
      </c>
      <c r="G289" s="1860"/>
      <c r="H289" s="202"/>
      <c r="I289" s="202"/>
      <c r="J289" s="3259">
        <v>18000000</v>
      </c>
      <c r="K289" s="3123">
        <v>0</v>
      </c>
      <c r="L289" s="3182">
        <v>18000000</v>
      </c>
      <c r="M289" s="3183">
        <v>0</v>
      </c>
      <c r="N289" s="3182">
        <v>695000</v>
      </c>
      <c r="O289" s="3182">
        <v>695000</v>
      </c>
      <c r="P289" s="3182">
        <v>18000000</v>
      </c>
      <c r="Q289" s="3182">
        <f t="shared" si="57"/>
        <v>0</v>
      </c>
      <c r="R289" s="3601">
        <f>+P289/L289*100-100</f>
        <v>0</v>
      </c>
      <c r="S289" s="3697"/>
      <c r="T289" s="3816"/>
      <c r="U289" s="3777"/>
      <c r="V289" s="1846">
        <f t="shared" si="58"/>
        <v>2780000</v>
      </c>
    </row>
    <row r="290" spans="1:22" s="257" customFormat="1" ht="15.05" customHeight="1">
      <c r="A290" s="1855">
        <v>4</v>
      </c>
      <c r="B290" s="1855">
        <v>1</v>
      </c>
      <c r="C290" s="1855">
        <v>4</v>
      </c>
      <c r="D290" s="1855" t="s">
        <v>448</v>
      </c>
      <c r="E290" s="1855" t="s">
        <v>440</v>
      </c>
      <c r="F290" s="1857" t="s">
        <v>50</v>
      </c>
      <c r="G290" s="200" t="s">
        <v>562</v>
      </c>
      <c r="I290" s="200"/>
      <c r="J290" s="3215">
        <v>18000000</v>
      </c>
      <c r="K290" s="3171">
        <v>0</v>
      </c>
      <c r="L290" s="3125">
        <v>18000000</v>
      </c>
      <c r="M290" s="3124">
        <v>0</v>
      </c>
      <c r="N290" s="3125">
        <v>695000</v>
      </c>
      <c r="O290" s="3125">
        <v>695000</v>
      </c>
      <c r="P290" s="3125">
        <v>18000000</v>
      </c>
      <c r="Q290" s="3125">
        <f t="shared" si="57"/>
        <v>0</v>
      </c>
      <c r="R290" s="3605">
        <f>+P290/L290*100-100</f>
        <v>0</v>
      </c>
      <c r="S290" s="3275"/>
      <c r="T290" s="3826"/>
      <c r="U290" s="3771"/>
      <c r="V290" s="1846">
        <f t="shared" si="58"/>
        <v>2780000</v>
      </c>
    </row>
    <row r="291" spans="1:22" s="257" customFormat="1" ht="15.05" customHeight="1">
      <c r="A291" s="1886"/>
      <c r="B291" s="1886"/>
      <c r="C291" s="1886"/>
      <c r="D291" s="1886"/>
      <c r="E291" s="1886"/>
      <c r="F291" s="1887"/>
      <c r="G291" s="1888"/>
      <c r="H291" s="856"/>
      <c r="I291" s="856"/>
      <c r="J291" s="3238"/>
      <c r="K291" s="3173"/>
      <c r="L291" s="3174"/>
      <c r="M291" s="3175"/>
      <c r="N291" s="3174"/>
      <c r="O291" s="3174"/>
      <c r="P291" s="3174"/>
      <c r="Q291" s="3174"/>
      <c r="R291" s="3612"/>
      <c r="S291" s="3712"/>
      <c r="T291" s="3831"/>
      <c r="U291" s="1899"/>
      <c r="V291" s="1846">
        <f t="shared" si="58"/>
        <v>0</v>
      </c>
    </row>
    <row r="292" spans="1:22" s="2947" customFormat="1" ht="14.4" hidden="1" customHeight="1">
      <c r="A292" s="3053">
        <v>4</v>
      </c>
      <c r="B292" s="3054">
        <v>1</v>
      </c>
      <c r="C292" s="3054">
        <v>4</v>
      </c>
      <c r="D292" s="3054" t="s">
        <v>563</v>
      </c>
      <c r="E292" s="3054"/>
      <c r="F292" s="3056" t="s">
        <v>564</v>
      </c>
      <c r="G292" s="3057"/>
      <c r="H292" s="3064"/>
      <c r="I292" s="3064"/>
      <c r="J292" s="3212" t="e">
        <f>+#REF!</f>
        <v>#REF!</v>
      </c>
      <c r="K292" s="3202" t="e">
        <f>+#REF!</f>
        <v>#REF!</v>
      </c>
      <c r="L292" s="3178">
        <f>SUM(L293)</f>
        <v>0</v>
      </c>
      <c r="M292" s="3179">
        <v>0</v>
      </c>
      <c r="N292" s="3178">
        <f>SUM(N293)</f>
        <v>0</v>
      </c>
      <c r="O292" s="3178">
        <f>+N292+M292</f>
        <v>0</v>
      </c>
      <c r="P292" s="3178">
        <v>0</v>
      </c>
      <c r="Q292" s="3178">
        <f>+P292-L292</f>
        <v>0</v>
      </c>
      <c r="R292" s="3621">
        <v>0</v>
      </c>
      <c r="S292" s="3716"/>
      <c r="T292" s="3838"/>
      <c r="U292" s="3066"/>
      <c r="V292" s="2944">
        <f t="shared" si="58"/>
        <v>0</v>
      </c>
    </row>
    <row r="293" spans="1:22" s="257" customFormat="1" ht="15.05" hidden="1" customHeight="1">
      <c r="A293" s="1889">
        <v>4</v>
      </c>
      <c r="B293" s="1889">
        <v>1</v>
      </c>
      <c r="C293" s="1889">
        <v>4</v>
      </c>
      <c r="D293" s="1905" t="s">
        <v>563</v>
      </c>
      <c r="E293" s="1889" t="s">
        <v>437</v>
      </c>
      <c r="F293" s="3087" t="s">
        <v>50</v>
      </c>
      <c r="G293" s="3084" t="s">
        <v>565</v>
      </c>
      <c r="H293" s="224"/>
      <c r="I293" s="224"/>
      <c r="J293" s="3254" t="e">
        <f>+#REF!</f>
        <v>#REF!</v>
      </c>
      <c r="K293" s="3237" t="e">
        <f>+#REF!</f>
        <v>#REF!</v>
      </c>
      <c r="L293" s="3234">
        <v>0</v>
      </c>
      <c r="M293" s="3225">
        <v>0</v>
      </c>
      <c r="N293" s="3234">
        <v>0</v>
      </c>
      <c r="O293" s="3234">
        <v>0</v>
      </c>
      <c r="P293" s="3234">
        <v>0</v>
      </c>
      <c r="Q293" s="3234">
        <f>+P293-L293</f>
        <v>0</v>
      </c>
      <c r="R293" s="3604">
        <v>0</v>
      </c>
      <c r="S293" s="3747"/>
      <c r="T293" s="3835"/>
      <c r="U293" s="3797">
        <f>PerDinas!Q167</f>
        <v>0</v>
      </c>
      <c r="V293" s="1846">
        <f t="shared" si="58"/>
        <v>0</v>
      </c>
    </row>
    <row r="294" spans="1:22" s="257" customFormat="1" ht="15.05" hidden="1" customHeight="1">
      <c r="A294" s="1886"/>
      <c r="B294" s="1886"/>
      <c r="C294" s="1886"/>
      <c r="D294" s="1886"/>
      <c r="E294" s="1886"/>
      <c r="F294" s="1887"/>
      <c r="G294" s="1888"/>
      <c r="H294" s="856"/>
      <c r="I294" s="856"/>
      <c r="J294" s="3238"/>
      <c r="K294" s="3173"/>
      <c r="L294" s="3174"/>
      <c r="M294" s="3175"/>
      <c r="N294" s="3174"/>
      <c r="O294" s="3174"/>
      <c r="P294" s="3174"/>
      <c r="Q294" s="3174"/>
      <c r="R294" s="3612"/>
      <c r="S294" s="3712"/>
      <c r="T294" s="3831"/>
      <c r="U294" s="3771"/>
      <c r="V294" s="1846">
        <f t="shared" si="58"/>
        <v>0</v>
      </c>
    </row>
    <row r="295" spans="1:22" s="2963" customFormat="1" ht="15.05" customHeight="1">
      <c r="A295" s="3053">
        <v>4</v>
      </c>
      <c r="B295" s="3054">
        <v>1</v>
      </c>
      <c r="C295" s="3054">
        <v>4</v>
      </c>
      <c r="D295" s="3054" t="s">
        <v>444</v>
      </c>
      <c r="E295" s="3054"/>
      <c r="F295" s="3091" t="s">
        <v>566</v>
      </c>
      <c r="G295" s="3064"/>
      <c r="H295" s="3064"/>
      <c r="I295" s="3064"/>
      <c r="J295" s="3212">
        <f>J296+J300+J308+J312</f>
        <v>68944925050</v>
      </c>
      <c r="K295" s="3212">
        <f t="shared" ref="K295:P295" si="60">K296+K300+K308+K312</f>
        <v>62912738507.940002</v>
      </c>
      <c r="L295" s="3212">
        <f t="shared" si="60"/>
        <v>73939763650</v>
      </c>
      <c r="M295" s="3212">
        <f t="shared" si="60"/>
        <v>29397490</v>
      </c>
      <c r="N295" s="3212">
        <f t="shared" si="60"/>
        <v>20809650</v>
      </c>
      <c r="O295" s="3212">
        <f t="shared" si="60"/>
        <v>50207140</v>
      </c>
      <c r="P295" s="3212">
        <f t="shared" si="60"/>
        <v>73954763650</v>
      </c>
      <c r="Q295" s="3178">
        <f t="shared" ref="Q295:Q310" si="61">+P295-L295</f>
        <v>15000000</v>
      </c>
      <c r="R295" s="3613">
        <f>+P295/L295*100-100</f>
        <v>2.0286783808231235E-2</v>
      </c>
      <c r="S295" s="3700"/>
      <c r="T295" s="3818"/>
      <c r="U295" s="3791"/>
      <c r="V295" s="2962">
        <f t="shared" si="58"/>
        <v>200828560</v>
      </c>
    </row>
    <row r="296" spans="1:22" s="1836" customFormat="1" ht="15.05" customHeight="1">
      <c r="A296" s="1889">
        <v>4</v>
      </c>
      <c r="B296" s="1889">
        <v>1</v>
      </c>
      <c r="C296" s="1889">
        <v>4</v>
      </c>
      <c r="D296" s="1889" t="s">
        <v>444</v>
      </c>
      <c r="E296" s="2985" t="s">
        <v>438</v>
      </c>
      <c r="F296" s="3089" t="s">
        <v>567</v>
      </c>
      <c r="G296" s="224"/>
      <c r="H296" s="224"/>
      <c r="I296" s="212"/>
      <c r="J296" s="3214">
        <v>0</v>
      </c>
      <c r="K296" s="3155">
        <v>0</v>
      </c>
      <c r="L296" s="3234">
        <v>0</v>
      </c>
      <c r="M296" s="3225">
        <v>0</v>
      </c>
      <c r="N296" s="3234">
        <v>0</v>
      </c>
      <c r="O296" s="3234">
        <v>0</v>
      </c>
      <c r="P296" s="3234">
        <v>0</v>
      </c>
      <c r="Q296" s="3234">
        <f t="shared" si="61"/>
        <v>0</v>
      </c>
      <c r="R296" s="3608">
        <v>0</v>
      </c>
      <c r="S296" s="3704"/>
      <c r="T296" s="3822"/>
      <c r="U296" s="3777"/>
      <c r="V296" s="1931">
        <f t="shared" si="58"/>
        <v>0</v>
      </c>
    </row>
    <row r="297" spans="1:22" s="1837" customFormat="1" ht="15.05" hidden="1" customHeight="1">
      <c r="A297" s="1925"/>
      <c r="B297" s="1925"/>
      <c r="C297" s="1925"/>
      <c r="D297" s="1925"/>
      <c r="E297" s="1925"/>
      <c r="F297" s="1928" t="s">
        <v>50</v>
      </c>
      <c r="G297" s="1927"/>
      <c r="H297" s="1927" t="s">
        <v>568</v>
      </c>
      <c r="I297" s="2846"/>
      <c r="J297" s="3260"/>
      <c r="K297" s="3261"/>
      <c r="L297" s="3262">
        <v>0</v>
      </c>
      <c r="M297" s="3263">
        <v>0</v>
      </c>
      <c r="N297" s="3262">
        <v>0</v>
      </c>
      <c r="O297" s="3262">
        <v>0</v>
      </c>
      <c r="P297" s="3262">
        <v>0</v>
      </c>
      <c r="Q297" s="3262">
        <f t="shared" si="61"/>
        <v>0</v>
      </c>
      <c r="R297" s="3629" t="e">
        <f>+P297/L297*100-100</f>
        <v>#DIV/0!</v>
      </c>
      <c r="S297" s="3724"/>
      <c r="T297" s="3846"/>
      <c r="U297" s="3798"/>
      <c r="V297" s="1933">
        <f t="shared" si="58"/>
        <v>0</v>
      </c>
    </row>
    <row r="298" spans="1:22" s="1836" customFormat="1" ht="15.05" hidden="1" customHeight="1">
      <c r="A298" s="1854"/>
      <c r="B298" s="1854"/>
      <c r="C298" s="1854"/>
      <c r="D298" s="1854"/>
      <c r="E298" s="1854"/>
      <c r="F298" s="1856"/>
      <c r="G298" s="202"/>
      <c r="H298" s="202"/>
      <c r="I298" s="202"/>
      <c r="J298" s="3259"/>
      <c r="K298" s="3123"/>
      <c r="L298" s="3182"/>
      <c r="M298" s="3183"/>
      <c r="N298" s="3182"/>
      <c r="O298" s="3182"/>
      <c r="P298" s="3182"/>
      <c r="Q298" s="3182">
        <f t="shared" si="61"/>
        <v>0</v>
      </c>
      <c r="R298" s="3601" t="e">
        <f>+P298/L298*100-100</f>
        <v>#DIV/0!</v>
      </c>
      <c r="S298" s="3697"/>
      <c r="T298" s="3816"/>
      <c r="U298" s="3777"/>
      <c r="V298" s="1931">
        <f t="shared" si="58"/>
        <v>0</v>
      </c>
    </row>
    <row r="299" spans="1:22" s="1836" customFormat="1" ht="15.05" hidden="1" customHeight="1">
      <c r="A299" s="1854"/>
      <c r="B299" s="1854"/>
      <c r="C299" s="1854"/>
      <c r="D299" s="1854"/>
      <c r="E299" s="1854"/>
      <c r="F299" s="1856"/>
      <c r="G299" s="202"/>
      <c r="H299" s="202"/>
      <c r="I299" s="202"/>
      <c r="J299" s="3259"/>
      <c r="K299" s="3123"/>
      <c r="L299" s="3182"/>
      <c r="M299" s="3183"/>
      <c r="N299" s="3182"/>
      <c r="O299" s="3182"/>
      <c r="P299" s="3182"/>
      <c r="Q299" s="3182">
        <f t="shared" si="61"/>
        <v>0</v>
      </c>
      <c r="R299" s="3601" t="e">
        <f>+P299/L299*100-100</f>
        <v>#DIV/0!</v>
      </c>
      <c r="S299" s="3697"/>
      <c r="T299" s="3816"/>
      <c r="U299" s="3777"/>
      <c r="V299" s="1931">
        <f t="shared" si="58"/>
        <v>0</v>
      </c>
    </row>
    <row r="300" spans="1:22" s="257" customFormat="1" ht="15.05" customHeight="1">
      <c r="A300" s="1855">
        <v>4</v>
      </c>
      <c r="B300" s="1855">
        <v>1</v>
      </c>
      <c r="C300" s="1855">
        <v>4</v>
      </c>
      <c r="D300" s="1855" t="s">
        <v>444</v>
      </c>
      <c r="E300" s="1854" t="s">
        <v>440</v>
      </c>
      <c r="F300" s="1856" t="s">
        <v>569</v>
      </c>
      <c r="G300" s="202"/>
      <c r="H300" s="202"/>
      <c r="I300" s="202"/>
      <c r="J300" s="3259">
        <v>0</v>
      </c>
      <c r="K300" s="3123">
        <v>30600000</v>
      </c>
      <c r="L300" s="3182">
        <v>0</v>
      </c>
      <c r="M300" s="3183">
        <v>0</v>
      </c>
      <c r="N300" s="3182">
        <v>11463600</v>
      </c>
      <c r="O300" s="3182">
        <v>11463600</v>
      </c>
      <c r="P300" s="3182">
        <f>+P301</f>
        <v>15000000</v>
      </c>
      <c r="Q300" s="3182">
        <f t="shared" si="61"/>
        <v>15000000</v>
      </c>
      <c r="R300" s="3601">
        <v>0</v>
      </c>
      <c r="S300" s="3697"/>
      <c r="T300" s="3816"/>
      <c r="U300" s="3771"/>
      <c r="V300" s="1846">
        <f t="shared" si="58"/>
        <v>45854400</v>
      </c>
    </row>
    <row r="301" spans="1:22" s="257" customFormat="1" ht="15.05" customHeight="1">
      <c r="A301" s="1855"/>
      <c r="B301" s="1855"/>
      <c r="C301" s="1855"/>
      <c r="D301" s="1855"/>
      <c r="E301" s="1855"/>
      <c r="F301" s="2732" t="s">
        <v>50</v>
      </c>
      <c r="G301" s="200" t="s">
        <v>570</v>
      </c>
      <c r="H301" s="200"/>
      <c r="I301" s="200"/>
      <c r="J301" s="3215"/>
      <c r="K301" s="3171"/>
      <c r="L301" s="3125">
        <v>0</v>
      </c>
      <c r="M301" s="3265"/>
      <c r="N301" s="3124">
        <v>11463600</v>
      </c>
      <c r="O301" s="3124">
        <v>11463600</v>
      </c>
      <c r="P301" s="3125">
        <v>15000000</v>
      </c>
      <c r="Q301" s="3125">
        <f t="shared" si="61"/>
        <v>15000000</v>
      </c>
      <c r="R301" s="3605">
        <v>0</v>
      </c>
      <c r="S301" s="3275"/>
      <c r="T301" s="3826"/>
      <c r="U301" s="3771"/>
      <c r="V301" s="1846">
        <f t="shared" si="58"/>
        <v>45854400</v>
      </c>
    </row>
    <row r="302" spans="1:22" s="1838" customFormat="1" ht="15.05" hidden="1" customHeight="1">
      <c r="A302" s="1926"/>
      <c r="B302" s="1926"/>
      <c r="C302" s="1926"/>
      <c r="D302" s="1926"/>
      <c r="E302" s="1926"/>
      <c r="F302" s="2732" t="s">
        <v>50</v>
      </c>
      <c r="G302" s="1927"/>
      <c r="H302" s="1927" t="s">
        <v>570</v>
      </c>
      <c r="I302" s="1927"/>
      <c r="J302" s="3266"/>
      <c r="K302" s="3267"/>
      <c r="L302" s="3262">
        <v>0</v>
      </c>
      <c r="M302" s="3263">
        <v>0</v>
      </c>
      <c r="N302" s="3262">
        <v>0</v>
      </c>
      <c r="O302" s="3262">
        <v>0</v>
      </c>
      <c r="P302" s="3262">
        <v>0</v>
      </c>
      <c r="Q302" s="3262">
        <f t="shared" si="61"/>
        <v>0</v>
      </c>
      <c r="R302" s="3630" t="e">
        <f>+P302/L302*100-100</f>
        <v>#DIV/0!</v>
      </c>
      <c r="S302" s="3725"/>
      <c r="T302" s="3847"/>
      <c r="U302" s="3799"/>
      <c r="V302" s="1846">
        <f t="shared" si="58"/>
        <v>0</v>
      </c>
    </row>
    <row r="303" spans="1:22" s="1838" customFormat="1" ht="15.05" hidden="1" customHeight="1">
      <c r="A303" s="1926"/>
      <c r="B303" s="1926"/>
      <c r="C303" s="1926"/>
      <c r="D303" s="1926"/>
      <c r="E303" s="1926"/>
      <c r="F303" s="2732" t="s">
        <v>50</v>
      </c>
      <c r="G303" s="1927"/>
      <c r="H303" s="1927" t="s">
        <v>571</v>
      </c>
      <c r="I303" s="1927"/>
      <c r="J303" s="3266"/>
      <c r="K303" s="3267"/>
      <c r="L303" s="3262">
        <f>PerDinas!K208</f>
        <v>0</v>
      </c>
      <c r="M303" s="3263">
        <v>0</v>
      </c>
      <c r="N303" s="3262">
        <f>PerDinas!M208</f>
        <v>0</v>
      </c>
      <c r="O303" s="3262">
        <f>PerDinas!N208</f>
        <v>0</v>
      </c>
      <c r="P303" s="3262">
        <v>0</v>
      </c>
      <c r="Q303" s="3262">
        <f t="shared" si="61"/>
        <v>0</v>
      </c>
      <c r="R303" s="3630" t="e">
        <f>+P303/L303*100-100</f>
        <v>#DIV/0!</v>
      </c>
      <c r="S303" s="3749"/>
      <c r="T303" s="3847"/>
      <c r="U303" s="3800">
        <f>PerDinas!Q208</f>
        <v>0</v>
      </c>
      <c r="V303" s="1846">
        <f t="shared" si="58"/>
        <v>0</v>
      </c>
    </row>
    <row r="304" spans="1:22" s="257" customFormat="1" ht="15.05" customHeight="1">
      <c r="A304" s="1855">
        <v>4</v>
      </c>
      <c r="B304" s="1855">
        <v>1</v>
      </c>
      <c r="C304" s="1855">
        <v>4</v>
      </c>
      <c r="D304" s="1855" t="s">
        <v>444</v>
      </c>
      <c r="E304" s="1854" t="s">
        <v>445</v>
      </c>
      <c r="F304" s="1856" t="s">
        <v>572</v>
      </c>
      <c r="G304" s="202"/>
      <c r="H304" s="202"/>
      <c r="I304" s="202"/>
      <c r="J304" s="3259"/>
      <c r="K304" s="3123"/>
      <c r="L304" s="3182">
        <f>SUM(L305:L307)</f>
        <v>0</v>
      </c>
      <c r="M304" s="3183">
        <v>0</v>
      </c>
      <c r="N304" s="3182">
        <f>SUM(N305:N307)</f>
        <v>0</v>
      </c>
      <c r="O304" s="3182">
        <f>SUM(O305:O307)</f>
        <v>0</v>
      </c>
      <c r="P304" s="3182">
        <v>0</v>
      </c>
      <c r="Q304" s="3182">
        <f t="shared" si="61"/>
        <v>0</v>
      </c>
      <c r="R304" s="3601">
        <v>0</v>
      </c>
      <c r="S304" s="3697"/>
      <c r="T304" s="3816"/>
      <c r="U304" s="3777"/>
      <c r="V304" s="1846">
        <f t="shared" si="58"/>
        <v>0</v>
      </c>
    </row>
    <row r="305" spans="1:22" s="1838" customFormat="1" ht="15.05" hidden="1" customHeight="1">
      <c r="A305" s="1926"/>
      <c r="B305" s="1926"/>
      <c r="C305" s="1926"/>
      <c r="D305" s="1926"/>
      <c r="E305" s="1926"/>
      <c r="F305" s="1928"/>
      <c r="G305" s="1927"/>
      <c r="H305" s="1927"/>
      <c r="I305" s="1927"/>
      <c r="J305" s="3266"/>
      <c r="K305" s="3267"/>
      <c r="L305" s="3262"/>
      <c r="M305" s="3263"/>
      <c r="N305" s="3262"/>
      <c r="O305" s="3262"/>
      <c r="P305" s="3262"/>
      <c r="Q305" s="3262">
        <f t="shared" si="61"/>
        <v>0</v>
      </c>
      <c r="R305" s="3630" t="e">
        <f t="shared" ref="R305:R310" si="62">+P305/L305*100-100</f>
        <v>#DIV/0!</v>
      </c>
      <c r="S305" s="3725"/>
      <c r="T305" s="3847"/>
      <c r="U305" s="3799"/>
      <c r="V305" s="1846">
        <f t="shared" si="58"/>
        <v>0</v>
      </c>
    </row>
    <row r="306" spans="1:22" s="1838" customFormat="1" ht="15.05" hidden="1" customHeight="1">
      <c r="A306" s="1926"/>
      <c r="B306" s="1926"/>
      <c r="C306" s="1926"/>
      <c r="D306" s="1926"/>
      <c r="E306" s="1926"/>
      <c r="F306" s="1928" t="s">
        <v>50</v>
      </c>
      <c r="G306" s="1927"/>
      <c r="H306" s="1927" t="s">
        <v>570</v>
      </c>
      <c r="I306" s="1927"/>
      <c r="J306" s="3266"/>
      <c r="K306" s="3267"/>
      <c r="L306" s="3262">
        <v>0</v>
      </c>
      <c r="M306" s="3263">
        <v>0</v>
      </c>
      <c r="N306" s="3262">
        <v>0</v>
      </c>
      <c r="O306" s="3262">
        <v>0</v>
      </c>
      <c r="P306" s="3262">
        <v>0</v>
      </c>
      <c r="Q306" s="3262">
        <f t="shared" si="61"/>
        <v>0</v>
      </c>
      <c r="R306" s="3630" t="e">
        <f t="shared" si="62"/>
        <v>#DIV/0!</v>
      </c>
      <c r="S306" s="3726"/>
      <c r="T306" s="3848"/>
      <c r="U306" s="3799"/>
      <c r="V306" s="1846">
        <f t="shared" si="58"/>
        <v>0</v>
      </c>
    </row>
    <row r="307" spans="1:22" s="1838" customFormat="1" ht="15.05" hidden="1" customHeight="1">
      <c r="A307" s="1926"/>
      <c r="B307" s="1926"/>
      <c r="C307" s="1926"/>
      <c r="D307" s="1926"/>
      <c r="E307" s="1926"/>
      <c r="F307" s="1928" t="s">
        <v>50</v>
      </c>
      <c r="G307" s="1927"/>
      <c r="H307" s="1927" t="s">
        <v>573</v>
      </c>
      <c r="I307" s="1927"/>
      <c r="J307" s="3266"/>
      <c r="K307" s="3267"/>
      <c r="L307" s="3262">
        <f>PerDinas!K253</f>
        <v>0</v>
      </c>
      <c r="M307" s="3263">
        <v>0</v>
      </c>
      <c r="N307" s="3262">
        <f>PerDinas!M253</f>
        <v>0</v>
      </c>
      <c r="O307" s="3262">
        <f>PerDinas!N253</f>
        <v>0</v>
      </c>
      <c r="P307" s="3262">
        <v>0</v>
      </c>
      <c r="Q307" s="3262">
        <f t="shared" si="61"/>
        <v>0</v>
      </c>
      <c r="R307" s="3630" t="e">
        <f t="shared" si="62"/>
        <v>#DIV/0!</v>
      </c>
      <c r="S307" s="3749"/>
      <c r="T307" s="3847"/>
      <c r="U307" s="3800">
        <f>PerDinas!Q253</f>
        <v>0</v>
      </c>
      <c r="V307" s="1846">
        <f t="shared" si="58"/>
        <v>0</v>
      </c>
    </row>
    <row r="308" spans="1:22" s="257" customFormat="1" ht="15.05" customHeight="1">
      <c r="A308" s="1855">
        <v>4</v>
      </c>
      <c r="B308" s="1855">
        <v>1</v>
      </c>
      <c r="C308" s="1855">
        <v>4</v>
      </c>
      <c r="D308" s="1855" t="s">
        <v>444</v>
      </c>
      <c r="E308" s="2873" t="s">
        <v>456</v>
      </c>
      <c r="F308" s="202" t="s">
        <v>574</v>
      </c>
      <c r="G308" s="202"/>
      <c r="H308" s="202"/>
      <c r="I308" s="202"/>
      <c r="J308" s="3259">
        <f>+J309</f>
        <v>65944925050</v>
      </c>
      <c r="K308" s="3259">
        <f>+K309</f>
        <v>60557314220</v>
      </c>
      <c r="L308" s="3259">
        <f>+L309</f>
        <v>70939763650</v>
      </c>
      <c r="M308" s="3183">
        <v>0</v>
      </c>
      <c r="N308" s="3182">
        <f>SUM(N309:N311)</f>
        <v>0</v>
      </c>
      <c r="O308" s="3182">
        <f>SUM(O309:O311)</f>
        <v>0</v>
      </c>
      <c r="P308" s="3182">
        <v>70939763650</v>
      </c>
      <c r="Q308" s="3182">
        <f t="shared" si="61"/>
        <v>0</v>
      </c>
      <c r="R308" s="3601">
        <f t="shared" si="62"/>
        <v>0</v>
      </c>
      <c r="S308" s="3710"/>
      <c r="T308" s="3829"/>
      <c r="U308" s="3777"/>
      <c r="V308" s="1846">
        <f t="shared" si="58"/>
        <v>0</v>
      </c>
    </row>
    <row r="309" spans="1:22" s="257" customFormat="1" ht="15.05" customHeight="1">
      <c r="A309" s="1855"/>
      <c r="B309" s="1855"/>
      <c r="C309" s="1855"/>
      <c r="D309" s="1855"/>
      <c r="E309" s="1855"/>
      <c r="F309" s="2214" t="s">
        <v>50</v>
      </c>
      <c r="G309" s="200" t="e">
        <f>+#REF!</f>
        <v>#REF!</v>
      </c>
      <c r="H309" s="200"/>
      <c r="I309" s="200"/>
      <c r="J309" s="3215">
        <v>65944925050</v>
      </c>
      <c r="K309" s="3171">
        <v>60557314220</v>
      </c>
      <c r="L309" s="3125">
        <v>70939763650</v>
      </c>
      <c r="M309" s="3124">
        <v>0</v>
      </c>
      <c r="N309" s="3125">
        <v>0</v>
      </c>
      <c r="O309" s="3125">
        <v>0</v>
      </c>
      <c r="P309" s="3125">
        <v>70939763650</v>
      </c>
      <c r="Q309" s="3125">
        <f t="shared" si="61"/>
        <v>0</v>
      </c>
      <c r="R309" s="3605">
        <f t="shared" si="62"/>
        <v>0</v>
      </c>
      <c r="S309" s="3275"/>
      <c r="T309" s="3826"/>
      <c r="U309" s="3771"/>
      <c r="V309" s="1846">
        <f t="shared" si="58"/>
        <v>0</v>
      </c>
    </row>
    <row r="310" spans="1:22" s="257" customFormat="1" ht="15.05" customHeight="1">
      <c r="A310" s="1855"/>
      <c r="B310" s="1855"/>
      <c r="C310" s="1855"/>
      <c r="D310" s="1855"/>
      <c r="E310" s="1855"/>
      <c r="F310" s="2214"/>
      <c r="G310" s="200" t="str">
        <f>[3]MAR!I416</f>
        <v>- Insentif Prem Indi Fase I</v>
      </c>
      <c r="H310" s="200"/>
      <c r="I310" s="200"/>
      <c r="J310" s="3215"/>
      <c r="K310" s="3171"/>
      <c r="L310" s="3125">
        <f>MAR!J416</f>
        <v>0</v>
      </c>
      <c r="M310" s="3124">
        <v>0</v>
      </c>
      <c r="N310" s="3125">
        <f>MAR!L416</f>
        <v>0</v>
      </c>
      <c r="O310" s="3125">
        <f>MAR!M416</f>
        <v>0</v>
      </c>
      <c r="P310" s="3125">
        <v>0</v>
      </c>
      <c r="Q310" s="3125">
        <f t="shared" si="61"/>
        <v>0</v>
      </c>
      <c r="R310" s="3605" t="e">
        <f t="shared" si="62"/>
        <v>#DIV/0!</v>
      </c>
      <c r="S310" s="3275"/>
      <c r="T310" s="3826"/>
      <c r="U310" s="3771"/>
      <c r="V310" s="1846">
        <f t="shared" si="58"/>
        <v>0</v>
      </c>
    </row>
    <row r="311" spans="1:22" s="257" customFormat="1" ht="15.05" customHeight="1">
      <c r="A311" s="1855"/>
      <c r="B311" s="1855"/>
      <c r="C311" s="1855"/>
      <c r="D311" s="1855"/>
      <c r="E311" s="1855"/>
      <c r="F311" s="2214"/>
      <c r="G311" s="200" t="str">
        <f>MAR!I417</f>
        <v>- Kekurangan Fase I</v>
      </c>
      <c r="H311" s="200"/>
      <c r="I311" s="200"/>
      <c r="J311" s="3215"/>
      <c r="K311" s="3171"/>
      <c r="L311" s="3125"/>
      <c r="M311" s="3124"/>
      <c r="N311" s="3125"/>
      <c r="O311" s="3125"/>
      <c r="P311" s="3125"/>
      <c r="Q311" s="3125"/>
      <c r="R311" s="3605"/>
      <c r="S311" s="3275"/>
      <c r="T311" s="3826"/>
      <c r="U311" s="3771"/>
      <c r="V311" s="1846">
        <f t="shared" si="58"/>
        <v>0</v>
      </c>
    </row>
    <row r="312" spans="1:22" s="257" customFormat="1" ht="15.05" customHeight="1">
      <c r="A312" s="2875">
        <v>4</v>
      </c>
      <c r="B312" s="2875">
        <v>1</v>
      </c>
      <c r="C312" s="2875">
        <v>4</v>
      </c>
      <c r="D312" s="2875" t="s">
        <v>444</v>
      </c>
      <c r="E312" s="1854" t="s">
        <v>441</v>
      </c>
      <c r="F312" s="1856" t="s">
        <v>75</v>
      </c>
      <c r="G312" s="202"/>
      <c r="H312" s="202"/>
      <c r="I312" s="202"/>
      <c r="J312" s="3259">
        <v>3000000000</v>
      </c>
      <c r="K312" s="3123">
        <v>2324824287.9400001</v>
      </c>
      <c r="L312" s="3182">
        <f>SUM(L313:L363)</f>
        <v>3000000000</v>
      </c>
      <c r="M312" s="3183">
        <v>29397490</v>
      </c>
      <c r="N312" s="3182">
        <f>SUM(N313:N360)</f>
        <v>9346050</v>
      </c>
      <c r="O312" s="3182">
        <f>SUM(O313:O360)</f>
        <v>38743540</v>
      </c>
      <c r="P312" s="3182">
        <v>3000000000</v>
      </c>
      <c r="Q312" s="3182">
        <f t="shared" ref="Q312:Q368" si="63">+P312-L312</f>
        <v>0</v>
      </c>
      <c r="R312" s="3601">
        <f>+P312/L312*100-100</f>
        <v>0</v>
      </c>
      <c r="S312" s="3697"/>
      <c r="T312" s="3816"/>
      <c r="U312" s="3771"/>
      <c r="V312" s="1846">
        <f t="shared" si="58"/>
        <v>154974160</v>
      </c>
    </row>
    <row r="313" spans="1:22" s="257" customFormat="1" ht="15.05" customHeight="1">
      <c r="A313" s="1855"/>
      <c r="B313" s="1855"/>
      <c r="C313" s="1855"/>
      <c r="D313" s="1855"/>
      <c r="E313" s="1855"/>
      <c r="F313" s="2214" t="s">
        <v>50</v>
      </c>
      <c r="G313" s="200" t="s">
        <v>1169</v>
      </c>
      <c r="H313" s="200"/>
      <c r="I313" s="200"/>
      <c r="J313" s="3215"/>
      <c r="K313" s="3171">
        <v>51341175</v>
      </c>
      <c r="L313" s="3125">
        <v>3000000000</v>
      </c>
      <c r="M313" s="3124">
        <v>0</v>
      </c>
      <c r="N313" s="3125">
        <v>0</v>
      </c>
      <c r="O313" s="3125">
        <v>0</v>
      </c>
      <c r="P313" s="3125">
        <v>3000000000</v>
      </c>
      <c r="Q313" s="3125">
        <f t="shared" si="63"/>
        <v>0</v>
      </c>
      <c r="R313" s="3605">
        <f>+P313/L313*100-100</f>
        <v>0</v>
      </c>
      <c r="S313" s="3275"/>
      <c r="T313" s="3826"/>
      <c r="U313" s="3771"/>
      <c r="V313" s="1846">
        <f t="shared" si="58"/>
        <v>0</v>
      </c>
    </row>
    <row r="314" spans="1:22" s="257" customFormat="1" ht="15.05" customHeight="1">
      <c r="A314" s="1855"/>
      <c r="B314" s="1855"/>
      <c r="C314" s="1855"/>
      <c r="D314" s="1855"/>
      <c r="E314" s="1855"/>
      <c r="F314" s="2214" t="s">
        <v>50</v>
      </c>
      <c r="G314" s="200" t="s">
        <v>1170</v>
      </c>
      <c r="H314" s="200"/>
      <c r="I314" s="200"/>
      <c r="J314" s="3215"/>
      <c r="K314" s="3171">
        <v>9703356.2599999998</v>
      </c>
      <c r="L314" s="3125">
        <v>0</v>
      </c>
      <c r="M314" s="3124">
        <v>0</v>
      </c>
      <c r="N314" s="3125">
        <v>0</v>
      </c>
      <c r="O314" s="3125">
        <v>0</v>
      </c>
      <c r="P314" s="3125">
        <v>0</v>
      </c>
      <c r="Q314" s="3125">
        <f t="shared" si="63"/>
        <v>0</v>
      </c>
      <c r="R314" s="3605">
        <v>0</v>
      </c>
      <c r="S314" s="3275"/>
      <c r="T314" s="3826"/>
      <c r="U314" s="3771"/>
      <c r="V314" s="1846">
        <f t="shared" si="58"/>
        <v>0</v>
      </c>
    </row>
    <row r="315" spans="1:22" s="257" customFormat="1" ht="15.05" customHeight="1">
      <c r="A315" s="1855"/>
      <c r="B315" s="1855"/>
      <c r="C315" s="1855"/>
      <c r="D315" s="1855"/>
      <c r="E315" s="1855"/>
      <c r="F315" s="2214" t="s">
        <v>50</v>
      </c>
      <c r="G315" s="200" t="s">
        <v>1171</v>
      </c>
      <c r="H315" s="200"/>
      <c r="I315" s="200"/>
      <c r="J315" s="3215"/>
      <c r="K315" s="3171">
        <v>50998000</v>
      </c>
      <c r="L315" s="3125">
        <v>0</v>
      </c>
      <c r="M315" s="3124">
        <v>0</v>
      </c>
      <c r="N315" s="3125">
        <v>0</v>
      </c>
      <c r="O315" s="3125">
        <v>0</v>
      </c>
      <c r="P315" s="3125">
        <v>0</v>
      </c>
      <c r="Q315" s="3125">
        <f t="shared" si="63"/>
        <v>0</v>
      </c>
      <c r="R315" s="3605">
        <v>0</v>
      </c>
      <c r="S315" s="3275"/>
      <c r="T315" s="3826"/>
      <c r="U315" s="3771"/>
      <c r="V315" s="1846">
        <f t="shared" si="58"/>
        <v>0</v>
      </c>
    </row>
    <row r="316" spans="1:22" s="257" customFormat="1" ht="15.05" customHeight="1">
      <c r="A316" s="1855"/>
      <c r="B316" s="1855"/>
      <c r="C316" s="1855"/>
      <c r="D316" s="1855"/>
      <c r="E316" s="1855"/>
      <c r="F316" s="2214" t="s">
        <v>50</v>
      </c>
      <c r="G316" s="200" t="s">
        <v>1172</v>
      </c>
      <c r="H316" s="200"/>
      <c r="I316" s="200"/>
      <c r="J316" s="3215"/>
      <c r="K316" s="3171">
        <v>3088075</v>
      </c>
      <c r="L316" s="3125">
        <v>0</v>
      </c>
      <c r="M316" s="3124">
        <v>0</v>
      </c>
      <c r="N316" s="3125">
        <v>0</v>
      </c>
      <c r="O316" s="3125">
        <v>0</v>
      </c>
      <c r="P316" s="3125">
        <v>0</v>
      </c>
      <c r="Q316" s="3125">
        <f t="shared" si="63"/>
        <v>0</v>
      </c>
      <c r="R316" s="3605">
        <v>0</v>
      </c>
      <c r="S316" s="3275"/>
      <c r="T316" s="3826"/>
      <c r="U316" s="3771"/>
      <c r="V316" s="1846">
        <f t="shared" si="58"/>
        <v>0</v>
      </c>
    </row>
    <row r="317" spans="1:22" s="257" customFormat="1" ht="15.05" customHeight="1">
      <c r="A317" s="1855"/>
      <c r="B317" s="1855"/>
      <c r="C317" s="1855"/>
      <c r="D317" s="1855"/>
      <c r="E317" s="1855"/>
      <c r="F317" s="2214" t="s">
        <v>50</v>
      </c>
      <c r="G317" s="200" t="s">
        <v>571</v>
      </c>
      <c r="H317" s="200"/>
      <c r="I317" s="200"/>
      <c r="J317" s="3215"/>
      <c r="K317" s="3171">
        <v>633797511.37</v>
      </c>
      <c r="L317" s="3125">
        <v>0</v>
      </c>
      <c r="M317" s="3124">
        <v>0</v>
      </c>
      <c r="N317" s="3125">
        <v>0</v>
      </c>
      <c r="O317" s="3125">
        <v>0</v>
      </c>
      <c r="P317" s="3125">
        <v>0</v>
      </c>
      <c r="Q317" s="3125">
        <f t="shared" si="63"/>
        <v>0</v>
      </c>
      <c r="R317" s="3605">
        <v>0</v>
      </c>
      <c r="S317" s="3275"/>
      <c r="T317" s="3828"/>
      <c r="U317" s="3801"/>
      <c r="V317" s="1846">
        <f t="shared" si="58"/>
        <v>0</v>
      </c>
    </row>
    <row r="318" spans="1:22" s="257" customFormat="1" ht="15.05" customHeight="1">
      <c r="A318" s="1855"/>
      <c r="B318" s="1855"/>
      <c r="C318" s="1855"/>
      <c r="D318" s="1855"/>
      <c r="E318" s="1855"/>
      <c r="F318" s="2214" t="s">
        <v>50</v>
      </c>
      <c r="G318" s="200" t="s">
        <v>1173</v>
      </c>
      <c r="H318" s="2329"/>
      <c r="I318" s="2329"/>
      <c r="J318" s="3270"/>
      <c r="K318" s="3256">
        <v>23739197</v>
      </c>
      <c r="L318" s="3182">
        <v>0</v>
      </c>
      <c r="M318" s="3183">
        <v>0</v>
      </c>
      <c r="N318" s="3182">
        <v>0</v>
      </c>
      <c r="O318" s="3182">
        <v>0</v>
      </c>
      <c r="P318" s="3182">
        <v>0</v>
      </c>
      <c r="Q318" s="3182">
        <f t="shared" si="63"/>
        <v>0</v>
      </c>
      <c r="R318" s="3605">
        <v>0</v>
      </c>
      <c r="S318" s="3748"/>
      <c r="T318" s="3835"/>
      <c r="U318" s="3802">
        <f>PerDinas!Q655</f>
        <v>0</v>
      </c>
      <c r="V318" s="1846">
        <f t="shared" si="58"/>
        <v>0</v>
      </c>
    </row>
    <row r="319" spans="1:22" s="257" customFormat="1" ht="15.05" customHeight="1">
      <c r="A319" s="1855"/>
      <c r="B319" s="1855"/>
      <c r="C319" s="1855"/>
      <c r="D319" s="1855"/>
      <c r="E319" s="1855"/>
      <c r="F319" s="2214" t="s">
        <v>50</v>
      </c>
      <c r="G319" s="200" t="s">
        <v>1174</v>
      </c>
      <c r="H319" s="200"/>
      <c r="I319" s="200"/>
      <c r="J319" s="3215"/>
      <c r="K319" s="3171">
        <v>32297000</v>
      </c>
      <c r="L319" s="3125">
        <v>0</v>
      </c>
      <c r="M319" s="3124">
        <v>855000</v>
      </c>
      <c r="N319" s="3125">
        <v>0</v>
      </c>
      <c r="O319" s="3125">
        <v>855000</v>
      </c>
      <c r="P319" s="3125">
        <v>0</v>
      </c>
      <c r="Q319" s="3125">
        <f t="shared" si="63"/>
        <v>0</v>
      </c>
      <c r="R319" s="3605">
        <v>0</v>
      </c>
      <c r="S319" s="3275"/>
      <c r="T319" s="3826"/>
      <c r="U319" s="3771"/>
      <c r="V319" s="1846">
        <f t="shared" si="58"/>
        <v>3420000</v>
      </c>
    </row>
    <row r="320" spans="1:22" s="257" customFormat="1" ht="15.05" customHeight="1">
      <c r="A320" s="1855"/>
      <c r="B320" s="1855"/>
      <c r="C320" s="1855"/>
      <c r="D320" s="1855"/>
      <c r="E320" s="1855"/>
      <c r="F320" s="2214" t="s">
        <v>50</v>
      </c>
      <c r="G320" s="200" t="s">
        <v>1175</v>
      </c>
      <c r="H320" s="200"/>
      <c r="I320" s="200"/>
      <c r="J320" s="3215"/>
      <c r="K320" s="3171">
        <v>26480806</v>
      </c>
      <c r="L320" s="3125">
        <v>0</v>
      </c>
      <c r="M320" s="3124">
        <v>0</v>
      </c>
      <c r="N320" s="3125">
        <v>0</v>
      </c>
      <c r="O320" s="3125">
        <v>0</v>
      </c>
      <c r="P320" s="3125">
        <v>0</v>
      </c>
      <c r="Q320" s="3125">
        <f t="shared" si="63"/>
        <v>0</v>
      </c>
      <c r="R320" s="3605">
        <v>0</v>
      </c>
      <c r="S320" s="3275"/>
      <c r="T320" s="3826"/>
      <c r="U320" s="3771"/>
      <c r="V320" s="1846">
        <f t="shared" si="58"/>
        <v>0</v>
      </c>
    </row>
    <row r="321" spans="1:22" s="257" customFormat="1" ht="15.05" customHeight="1">
      <c r="A321" s="1855"/>
      <c r="B321" s="1855"/>
      <c r="C321" s="1855"/>
      <c r="D321" s="1855"/>
      <c r="E321" s="1855"/>
      <c r="F321" s="2214" t="s">
        <v>50</v>
      </c>
      <c r="G321" s="200" t="s">
        <v>1176</v>
      </c>
      <c r="H321" s="200"/>
      <c r="I321" s="200"/>
      <c r="J321" s="3215"/>
      <c r="K321" s="3171">
        <v>33995946.960000001</v>
      </c>
      <c r="L321" s="3125">
        <v>0</v>
      </c>
      <c r="M321" s="3124">
        <v>0</v>
      </c>
      <c r="N321" s="3125">
        <v>0</v>
      </c>
      <c r="O321" s="3125">
        <v>0</v>
      </c>
      <c r="P321" s="3125">
        <v>0</v>
      </c>
      <c r="Q321" s="3125">
        <f t="shared" si="63"/>
        <v>0</v>
      </c>
      <c r="R321" s="3605">
        <v>0</v>
      </c>
      <c r="S321" s="3275"/>
      <c r="T321" s="3826"/>
      <c r="U321" s="3771"/>
      <c r="V321" s="1846">
        <f t="shared" si="58"/>
        <v>0</v>
      </c>
    </row>
    <row r="322" spans="1:22" s="257" customFormat="1" ht="15.05" customHeight="1">
      <c r="A322" s="1855"/>
      <c r="B322" s="1855"/>
      <c r="C322" s="1855"/>
      <c r="D322" s="1855"/>
      <c r="E322" s="1855"/>
      <c r="F322" s="2214" t="s">
        <v>50</v>
      </c>
      <c r="G322" s="200" t="s">
        <v>1177</v>
      </c>
      <c r="H322" s="200"/>
      <c r="I322" s="200"/>
      <c r="J322" s="3215"/>
      <c r="K322" s="3171">
        <v>110487727</v>
      </c>
      <c r="L322" s="3125">
        <v>0</v>
      </c>
      <c r="M322" s="3124">
        <v>0</v>
      </c>
      <c r="N322" s="3125">
        <v>0</v>
      </c>
      <c r="O322" s="3125">
        <v>0</v>
      </c>
      <c r="P322" s="3125">
        <v>0</v>
      </c>
      <c r="Q322" s="3125">
        <f t="shared" si="63"/>
        <v>0</v>
      </c>
      <c r="R322" s="3605">
        <v>0</v>
      </c>
      <c r="S322" s="3275"/>
      <c r="T322" s="3826"/>
      <c r="U322" s="3771"/>
      <c r="V322" s="1846">
        <f t="shared" si="58"/>
        <v>0</v>
      </c>
    </row>
    <row r="323" spans="1:22" s="257" customFormat="1" ht="15.05" customHeight="1">
      <c r="A323" s="1855"/>
      <c r="B323" s="1855"/>
      <c r="C323" s="1855"/>
      <c r="D323" s="1855"/>
      <c r="E323" s="1855"/>
      <c r="F323" s="2214" t="s">
        <v>50</v>
      </c>
      <c r="G323" s="200" t="s">
        <v>643</v>
      </c>
      <c r="H323" s="200"/>
      <c r="I323" s="200"/>
      <c r="J323" s="3215"/>
      <c r="K323" s="3171">
        <v>6650000</v>
      </c>
      <c r="L323" s="3125">
        <v>0</v>
      </c>
      <c r="M323" s="3124">
        <v>0</v>
      </c>
      <c r="N323" s="3125">
        <v>0</v>
      </c>
      <c r="O323" s="3125">
        <v>0</v>
      </c>
      <c r="P323" s="3125">
        <v>0</v>
      </c>
      <c r="Q323" s="3125">
        <f t="shared" si="63"/>
        <v>0</v>
      </c>
      <c r="R323" s="3605">
        <v>0</v>
      </c>
      <c r="S323" s="3275"/>
      <c r="T323" s="3826"/>
      <c r="U323" s="3771"/>
      <c r="V323" s="1846">
        <f t="shared" si="58"/>
        <v>0</v>
      </c>
    </row>
    <row r="324" spans="1:22" s="257" customFormat="1" ht="15.05" customHeight="1">
      <c r="A324" s="1855"/>
      <c r="B324" s="1855"/>
      <c r="C324" s="1855"/>
      <c r="D324" s="1855"/>
      <c r="E324" s="1855"/>
      <c r="F324" s="2214" t="s">
        <v>50</v>
      </c>
      <c r="G324" s="200" t="s">
        <v>224</v>
      </c>
      <c r="H324" s="200"/>
      <c r="I324" s="200"/>
      <c r="J324" s="3215"/>
      <c r="K324" s="3171">
        <v>19604200</v>
      </c>
      <c r="L324" s="3125">
        <v>0</v>
      </c>
      <c r="M324" s="3124">
        <v>0</v>
      </c>
      <c r="N324" s="3125">
        <v>0</v>
      </c>
      <c r="O324" s="3125">
        <v>0</v>
      </c>
      <c r="P324" s="3125">
        <v>0</v>
      </c>
      <c r="Q324" s="3125">
        <f t="shared" si="63"/>
        <v>0</v>
      </c>
      <c r="R324" s="3605">
        <v>0</v>
      </c>
      <c r="S324" s="3275"/>
      <c r="T324" s="3826"/>
      <c r="U324" s="3771"/>
      <c r="V324" s="1846">
        <f t="shared" si="58"/>
        <v>0</v>
      </c>
    </row>
    <row r="325" spans="1:22" s="257" customFormat="1" ht="15.05" customHeight="1">
      <c r="A325" s="1855"/>
      <c r="B325" s="1855"/>
      <c r="C325" s="1855"/>
      <c r="D325" s="1855"/>
      <c r="E325" s="1855"/>
      <c r="F325" s="2214" t="s">
        <v>50</v>
      </c>
      <c r="G325" s="200" t="s">
        <v>1178</v>
      </c>
      <c r="H325" s="200"/>
      <c r="I325" s="200"/>
      <c r="J325" s="3215"/>
      <c r="K325" s="3171">
        <v>33004350</v>
      </c>
      <c r="L325" s="3125">
        <v>0</v>
      </c>
      <c r="M325" s="3124">
        <v>0</v>
      </c>
      <c r="N325" s="3125">
        <v>0</v>
      </c>
      <c r="O325" s="3125">
        <v>0</v>
      </c>
      <c r="P325" s="3125">
        <v>0</v>
      </c>
      <c r="Q325" s="3125">
        <f t="shared" si="63"/>
        <v>0</v>
      </c>
      <c r="R325" s="3605">
        <v>0</v>
      </c>
      <c r="S325" s="3275"/>
      <c r="T325" s="3826"/>
      <c r="U325" s="3771"/>
      <c r="V325" s="1846">
        <f t="shared" si="58"/>
        <v>0</v>
      </c>
    </row>
    <row r="326" spans="1:22" s="257" customFormat="1" ht="15.05" customHeight="1">
      <c r="A326" s="1855"/>
      <c r="B326" s="1855"/>
      <c r="C326" s="1855"/>
      <c r="D326" s="1855"/>
      <c r="E326" s="1855"/>
      <c r="F326" s="2214" t="s">
        <v>50</v>
      </c>
      <c r="G326" s="253" t="s">
        <v>575</v>
      </c>
      <c r="H326" s="200"/>
      <c r="I326" s="200"/>
      <c r="J326" s="3215"/>
      <c r="K326" s="3171">
        <v>17971900</v>
      </c>
      <c r="L326" s="3125">
        <v>0</v>
      </c>
      <c r="M326" s="3124">
        <v>7967600</v>
      </c>
      <c r="N326" s="3125">
        <v>0</v>
      </c>
      <c r="O326" s="3125">
        <v>7967600</v>
      </c>
      <c r="P326" s="3125">
        <v>0</v>
      </c>
      <c r="Q326" s="3125">
        <f t="shared" si="63"/>
        <v>0</v>
      </c>
      <c r="R326" s="3605">
        <v>0</v>
      </c>
      <c r="S326" s="3748"/>
      <c r="T326" s="3826"/>
      <c r="U326" s="3778"/>
      <c r="V326" s="1846">
        <f t="shared" si="58"/>
        <v>31870400</v>
      </c>
    </row>
    <row r="327" spans="1:22" s="257" customFormat="1" ht="15.05" customHeight="1">
      <c r="A327" s="1855"/>
      <c r="B327" s="1855"/>
      <c r="C327" s="1855"/>
      <c r="D327" s="1855"/>
      <c r="E327" s="1855"/>
      <c r="F327" s="2214" t="s">
        <v>50</v>
      </c>
      <c r="G327" s="253" t="s">
        <v>576</v>
      </c>
      <c r="H327" s="200"/>
      <c r="I327" s="200"/>
      <c r="J327" s="3215"/>
      <c r="K327" s="3171">
        <v>131995452.15000001</v>
      </c>
      <c r="L327" s="3125">
        <v>0</v>
      </c>
      <c r="M327" s="3124">
        <v>0</v>
      </c>
      <c r="N327" s="3125">
        <v>0</v>
      </c>
      <c r="O327" s="3125">
        <v>0</v>
      </c>
      <c r="P327" s="3125">
        <v>0</v>
      </c>
      <c r="Q327" s="3125">
        <f t="shared" si="63"/>
        <v>0</v>
      </c>
      <c r="R327" s="3605">
        <v>0</v>
      </c>
      <c r="S327" s="3275"/>
      <c r="T327" s="3826"/>
      <c r="U327" s="3771"/>
      <c r="V327" s="1846">
        <f t="shared" si="58"/>
        <v>0</v>
      </c>
    </row>
    <row r="328" spans="1:22" s="257" customFormat="1" ht="15.05" customHeight="1">
      <c r="A328" s="1855"/>
      <c r="B328" s="1855"/>
      <c r="C328" s="1855"/>
      <c r="D328" s="1855"/>
      <c r="E328" s="1855"/>
      <c r="F328" s="2214" t="s">
        <v>50</v>
      </c>
      <c r="G328" s="253" t="s">
        <v>577</v>
      </c>
      <c r="H328" s="200"/>
      <c r="I328" s="202"/>
      <c r="J328" s="3259"/>
      <c r="K328" s="3123">
        <v>80279296.019999996</v>
      </c>
      <c r="L328" s="3125">
        <v>0</v>
      </c>
      <c r="M328" s="3124">
        <v>0</v>
      </c>
      <c r="N328" s="3125">
        <v>0</v>
      </c>
      <c r="O328" s="3125">
        <v>0</v>
      </c>
      <c r="P328" s="3125">
        <v>0</v>
      </c>
      <c r="Q328" s="3125">
        <f t="shared" si="63"/>
        <v>0</v>
      </c>
      <c r="R328" s="3605">
        <v>0</v>
      </c>
      <c r="S328" s="3275"/>
      <c r="T328" s="3826"/>
      <c r="U328" s="3771"/>
      <c r="V328" s="1846">
        <f t="shared" si="58"/>
        <v>0</v>
      </c>
    </row>
    <row r="329" spans="1:22" s="257" customFormat="1" ht="15.05" customHeight="1">
      <c r="A329" s="1855"/>
      <c r="B329" s="1855"/>
      <c r="C329" s="1855"/>
      <c r="D329" s="1855"/>
      <c r="E329" s="1855"/>
      <c r="F329" s="2214" t="s">
        <v>50</v>
      </c>
      <c r="G329" s="253" t="s">
        <v>578</v>
      </c>
      <c r="H329" s="200"/>
      <c r="I329" s="200"/>
      <c r="J329" s="3215"/>
      <c r="K329" s="3171">
        <v>6724929</v>
      </c>
      <c r="L329" s="3125">
        <v>0</v>
      </c>
      <c r="M329" s="3124">
        <v>2220000</v>
      </c>
      <c r="N329" s="3125">
        <v>0</v>
      </c>
      <c r="O329" s="3125">
        <v>2220000</v>
      </c>
      <c r="P329" s="3125">
        <v>0</v>
      </c>
      <c r="Q329" s="3125">
        <f t="shared" si="63"/>
        <v>0</v>
      </c>
      <c r="R329" s="3605">
        <v>0</v>
      </c>
      <c r="S329" s="3275"/>
      <c r="T329" s="3826"/>
      <c r="U329" s="3771"/>
      <c r="V329" s="1846">
        <f t="shared" si="58"/>
        <v>8880000</v>
      </c>
    </row>
    <row r="330" spans="1:22" s="257" customFormat="1" ht="15.05" customHeight="1">
      <c r="A330" s="1855"/>
      <c r="B330" s="1855"/>
      <c r="C330" s="1855"/>
      <c r="D330" s="1855"/>
      <c r="E330" s="1855"/>
      <c r="F330" s="2214" t="s">
        <v>50</v>
      </c>
      <c r="G330" s="253" t="s">
        <v>579</v>
      </c>
      <c r="H330" s="200"/>
      <c r="I330" s="200"/>
      <c r="J330" s="3215"/>
      <c r="K330" s="3171">
        <v>9604597</v>
      </c>
      <c r="L330" s="3125">
        <v>0</v>
      </c>
      <c r="M330" s="3124">
        <v>0</v>
      </c>
      <c r="N330" s="3125">
        <v>0</v>
      </c>
      <c r="O330" s="3125">
        <v>0</v>
      </c>
      <c r="P330" s="3125">
        <v>0</v>
      </c>
      <c r="Q330" s="3125">
        <f t="shared" si="63"/>
        <v>0</v>
      </c>
      <c r="R330" s="3605">
        <v>0</v>
      </c>
      <c r="S330" s="3275"/>
      <c r="T330" s="3826"/>
      <c r="U330" s="3771"/>
      <c r="V330" s="1846">
        <f t="shared" si="58"/>
        <v>0</v>
      </c>
    </row>
    <row r="331" spans="1:22" s="257" customFormat="1" ht="15.05" customHeight="1">
      <c r="A331" s="1855"/>
      <c r="B331" s="1855"/>
      <c r="C331" s="1855"/>
      <c r="D331" s="1855"/>
      <c r="E331" s="1855"/>
      <c r="F331" s="2214" t="s">
        <v>50</v>
      </c>
      <c r="G331" s="253" t="s">
        <v>580</v>
      </c>
      <c r="H331" s="200"/>
      <c r="I331" s="200"/>
      <c r="J331" s="3215"/>
      <c r="K331" s="3171">
        <v>5840000</v>
      </c>
      <c r="L331" s="3125">
        <v>0</v>
      </c>
      <c r="M331" s="3124">
        <v>0</v>
      </c>
      <c r="N331" s="3125">
        <v>0</v>
      </c>
      <c r="O331" s="3125">
        <v>0</v>
      </c>
      <c r="P331" s="3125">
        <v>0</v>
      </c>
      <c r="Q331" s="3125">
        <f t="shared" si="63"/>
        <v>0</v>
      </c>
      <c r="R331" s="3605">
        <v>0</v>
      </c>
      <c r="S331" s="3275"/>
      <c r="T331" s="3826"/>
      <c r="U331" s="3771"/>
      <c r="V331" s="1846">
        <f t="shared" si="58"/>
        <v>0</v>
      </c>
    </row>
    <row r="332" spans="1:22" s="257" customFormat="1" ht="15.05" customHeight="1">
      <c r="A332" s="1855"/>
      <c r="B332" s="1855"/>
      <c r="C332" s="1855"/>
      <c r="D332" s="1855"/>
      <c r="E332" s="1855"/>
      <c r="F332" s="2214" t="s">
        <v>50</v>
      </c>
      <c r="G332" s="253" t="s">
        <v>581</v>
      </c>
      <c r="H332" s="200"/>
      <c r="I332" s="200"/>
      <c r="J332" s="3215"/>
      <c r="K332" s="3171">
        <v>75598294</v>
      </c>
      <c r="L332" s="3125">
        <v>0</v>
      </c>
      <c r="M332" s="3124">
        <v>0</v>
      </c>
      <c r="N332" s="3125">
        <v>0</v>
      </c>
      <c r="O332" s="3125">
        <v>0</v>
      </c>
      <c r="P332" s="3125">
        <v>0</v>
      </c>
      <c r="Q332" s="3125">
        <f t="shared" si="63"/>
        <v>0</v>
      </c>
      <c r="R332" s="3605">
        <v>0</v>
      </c>
      <c r="S332" s="3275"/>
      <c r="T332" s="3826"/>
      <c r="U332" s="3771"/>
      <c r="V332" s="1846">
        <f t="shared" si="58"/>
        <v>0</v>
      </c>
    </row>
    <row r="333" spans="1:22" s="257" customFormat="1" ht="15.05" customHeight="1">
      <c r="A333" s="1855"/>
      <c r="B333" s="1855"/>
      <c r="C333" s="1855"/>
      <c r="D333" s="1855"/>
      <c r="E333" s="1855"/>
      <c r="F333" s="2214" t="s">
        <v>50</v>
      </c>
      <c r="G333" s="253" t="s">
        <v>582</v>
      </c>
      <c r="H333" s="200"/>
      <c r="I333" s="202"/>
      <c r="J333" s="3259"/>
      <c r="K333" s="3123">
        <v>118736055.84</v>
      </c>
      <c r="L333" s="3125">
        <v>0</v>
      </c>
      <c r="M333" s="3124">
        <v>0</v>
      </c>
      <c r="N333" s="3125">
        <v>0</v>
      </c>
      <c r="O333" s="3125">
        <v>0</v>
      </c>
      <c r="P333" s="3125">
        <v>0</v>
      </c>
      <c r="Q333" s="3125">
        <f t="shared" si="63"/>
        <v>0</v>
      </c>
      <c r="R333" s="3605">
        <v>0</v>
      </c>
      <c r="S333" s="3275"/>
      <c r="T333" s="3826"/>
      <c r="U333" s="3771"/>
      <c r="V333" s="1846">
        <f t="shared" si="58"/>
        <v>0</v>
      </c>
    </row>
    <row r="334" spans="1:22" s="257" customFormat="1" ht="15.05" customHeight="1">
      <c r="A334" s="1855"/>
      <c r="B334" s="1855"/>
      <c r="C334" s="1855"/>
      <c r="D334" s="1855"/>
      <c r="E334" s="1855"/>
      <c r="F334" s="2214" t="s">
        <v>50</v>
      </c>
      <c r="G334" s="253" t="s">
        <v>583</v>
      </c>
      <c r="H334" s="200"/>
      <c r="I334" s="202"/>
      <c r="J334" s="3259"/>
      <c r="K334" s="3123">
        <v>3882000</v>
      </c>
      <c r="L334" s="3125">
        <v>0</v>
      </c>
      <c r="M334" s="3124">
        <v>18154890</v>
      </c>
      <c r="N334" s="3125">
        <v>0</v>
      </c>
      <c r="O334" s="3125">
        <v>18154890</v>
      </c>
      <c r="P334" s="3125">
        <v>0</v>
      </c>
      <c r="Q334" s="3125">
        <f t="shared" si="63"/>
        <v>0</v>
      </c>
      <c r="R334" s="3605">
        <v>0</v>
      </c>
      <c r="S334" s="3275"/>
      <c r="T334" s="3826"/>
      <c r="U334" s="3771"/>
      <c r="V334" s="1846">
        <f t="shared" si="58"/>
        <v>72619560</v>
      </c>
    </row>
    <row r="335" spans="1:22" s="257" customFormat="1" ht="15.05" customHeight="1">
      <c r="A335" s="1855"/>
      <c r="B335" s="1855"/>
      <c r="C335" s="1855"/>
      <c r="D335" s="1855"/>
      <c r="E335" s="1855"/>
      <c r="F335" s="2214" t="s">
        <v>50</v>
      </c>
      <c r="G335" s="253" t="s">
        <v>584</v>
      </c>
      <c r="H335" s="200"/>
      <c r="I335" s="202"/>
      <c r="J335" s="3259"/>
      <c r="K335" s="3123">
        <v>22520000</v>
      </c>
      <c r="L335" s="3125">
        <v>0</v>
      </c>
      <c r="M335" s="3124">
        <v>0</v>
      </c>
      <c r="N335" s="3125">
        <v>0</v>
      </c>
      <c r="O335" s="3125">
        <v>0</v>
      </c>
      <c r="P335" s="3125">
        <v>0</v>
      </c>
      <c r="Q335" s="3125">
        <f t="shared" si="63"/>
        <v>0</v>
      </c>
      <c r="R335" s="3605">
        <v>0</v>
      </c>
      <c r="S335" s="3748"/>
      <c r="T335" s="3826"/>
      <c r="U335" s="3778"/>
      <c r="V335" s="1846">
        <f t="shared" si="58"/>
        <v>0</v>
      </c>
    </row>
    <row r="336" spans="1:22" s="257" customFormat="1" ht="15.05" customHeight="1">
      <c r="A336" s="1855"/>
      <c r="B336" s="1855"/>
      <c r="C336" s="1855"/>
      <c r="D336" s="1855"/>
      <c r="E336" s="1855"/>
      <c r="F336" s="2214" t="s">
        <v>50</v>
      </c>
      <c r="G336" s="253" t="s">
        <v>585</v>
      </c>
      <c r="H336" s="200"/>
      <c r="I336" s="202"/>
      <c r="J336" s="3259"/>
      <c r="K336" s="3123">
        <v>0</v>
      </c>
      <c r="L336" s="3125">
        <v>0</v>
      </c>
      <c r="M336" s="3124">
        <v>0</v>
      </c>
      <c r="N336" s="3125">
        <v>0</v>
      </c>
      <c r="O336" s="3125">
        <v>0</v>
      </c>
      <c r="P336" s="3125">
        <v>0</v>
      </c>
      <c r="Q336" s="3125">
        <f t="shared" si="63"/>
        <v>0</v>
      </c>
      <c r="R336" s="3605">
        <v>0</v>
      </c>
      <c r="S336" s="3275"/>
      <c r="T336" s="3826"/>
      <c r="U336" s="3778"/>
      <c r="V336" s="1846">
        <f t="shared" si="58"/>
        <v>0</v>
      </c>
    </row>
    <row r="337" spans="1:22" s="257" customFormat="1" ht="15.05" customHeight="1">
      <c r="A337" s="1855"/>
      <c r="B337" s="1855"/>
      <c r="C337" s="1855"/>
      <c r="D337" s="1855"/>
      <c r="E337" s="1855"/>
      <c r="F337" s="2214" t="s">
        <v>50</v>
      </c>
      <c r="G337" s="253" t="s">
        <v>586</v>
      </c>
      <c r="H337" s="200"/>
      <c r="I337" s="200"/>
      <c r="J337" s="3215"/>
      <c r="K337" s="3171">
        <v>11699500</v>
      </c>
      <c r="L337" s="3125">
        <v>0</v>
      </c>
      <c r="M337" s="3124">
        <v>0</v>
      </c>
      <c r="N337" s="3125">
        <v>0</v>
      </c>
      <c r="O337" s="3125">
        <v>0</v>
      </c>
      <c r="P337" s="3125">
        <v>0</v>
      </c>
      <c r="Q337" s="3125">
        <f t="shared" si="63"/>
        <v>0</v>
      </c>
      <c r="R337" s="3605">
        <v>0</v>
      </c>
      <c r="S337" s="3748"/>
      <c r="T337" s="3826"/>
      <c r="U337" s="3778"/>
      <c r="V337" s="1846">
        <f t="shared" si="58"/>
        <v>0</v>
      </c>
    </row>
    <row r="338" spans="1:22" s="257" customFormat="1" ht="15.05" customHeight="1">
      <c r="A338" s="1855"/>
      <c r="B338" s="1855"/>
      <c r="C338" s="1855"/>
      <c r="D338" s="1855"/>
      <c r="E338" s="1855"/>
      <c r="F338" s="2214" t="s">
        <v>50</v>
      </c>
      <c r="G338" s="253" t="s">
        <v>587</v>
      </c>
      <c r="H338" s="200"/>
      <c r="I338" s="200"/>
      <c r="J338" s="3254"/>
      <c r="K338" s="3237">
        <v>66970818</v>
      </c>
      <c r="L338" s="3234">
        <v>0</v>
      </c>
      <c r="M338" s="3225">
        <v>0</v>
      </c>
      <c r="N338" s="3234">
        <v>0</v>
      </c>
      <c r="O338" s="3234">
        <v>0</v>
      </c>
      <c r="P338" s="3234">
        <v>0</v>
      </c>
      <c r="Q338" s="3234">
        <f t="shared" si="63"/>
        <v>0</v>
      </c>
      <c r="R338" s="3605">
        <v>0</v>
      </c>
      <c r="S338" s="3275"/>
      <c r="T338" s="3826"/>
      <c r="U338" s="3771"/>
      <c r="V338" s="1846">
        <f t="shared" si="58"/>
        <v>0</v>
      </c>
    </row>
    <row r="339" spans="1:22" s="257" customFormat="1" ht="15.05" customHeight="1">
      <c r="A339" s="1855"/>
      <c r="B339" s="1855"/>
      <c r="C339" s="1855"/>
      <c r="D339" s="1855"/>
      <c r="E339" s="1855"/>
      <c r="F339" s="2214" t="s">
        <v>50</v>
      </c>
      <c r="G339" s="253" t="s">
        <v>588</v>
      </c>
      <c r="H339" s="200"/>
      <c r="I339" s="202"/>
      <c r="J339" s="3259"/>
      <c r="K339" s="3123">
        <v>57329525</v>
      </c>
      <c r="L339" s="3125">
        <v>0</v>
      </c>
      <c r="M339" s="3124">
        <v>0</v>
      </c>
      <c r="N339" s="3125">
        <v>9346050</v>
      </c>
      <c r="O339" s="3125">
        <v>9346050</v>
      </c>
      <c r="P339" s="3125">
        <v>0</v>
      </c>
      <c r="Q339" s="3125">
        <f t="shared" si="63"/>
        <v>0</v>
      </c>
      <c r="R339" s="3605">
        <v>0</v>
      </c>
      <c r="S339" s="3275"/>
      <c r="T339" s="3826"/>
      <c r="U339" s="3771"/>
      <c r="V339" s="1846">
        <f t="shared" si="58"/>
        <v>37384200</v>
      </c>
    </row>
    <row r="340" spans="1:22" s="257" customFormat="1" ht="15.05" customHeight="1">
      <c r="A340" s="1855"/>
      <c r="B340" s="1855"/>
      <c r="C340" s="1855"/>
      <c r="D340" s="1855"/>
      <c r="E340" s="1855"/>
      <c r="F340" s="2214" t="s">
        <v>50</v>
      </c>
      <c r="G340" s="253" t="s">
        <v>284</v>
      </c>
      <c r="H340" s="200"/>
      <c r="I340" s="200"/>
      <c r="J340" s="3215"/>
      <c r="K340" s="3171">
        <v>25644269</v>
      </c>
      <c r="L340" s="3125">
        <v>0</v>
      </c>
      <c r="M340" s="3124">
        <v>200000</v>
      </c>
      <c r="N340" s="3125">
        <v>0</v>
      </c>
      <c r="O340" s="3125">
        <v>200000</v>
      </c>
      <c r="P340" s="3125">
        <v>0</v>
      </c>
      <c r="Q340" s="3125">
        <f t="shared" si="63"/>
        <v>0</v>
      </c>
      <c r="R340" s="3605">
        <v>0</v>
      </c>
      <c r="S340" s="3275"/>
      <c r="T340" s="3826"/>
      <c r="U340" s="3771"/>
      <c r="V340" s="1846">
        <f t="shared" ref="V340:V411" si="64">O340*4</f>
        <v>800000</v>
      </c>
    </row>
    <row r="341" spans="1:22" s="257" customFormat="1" ht="15.05" customHeight="1">
      <c r="A341" s="1855"/>
      <c r="B341" s="1855"/>
      <c r="C341" s="1855"/>
      <c r="D341" s="1855"/>
      <c r="E341" s="1855"/>
      <c r="F341" s="2214" t="s">
        <v>50</v>
      </c>
      <c r="G341" s="253" t="s">
        <v>589</v>
      </c>
      <c r="H341" s="200"/>
      <c r="I341" s="200"/>
      <c r="J341" s="3215"/>
      <c r="K341" s="3171">
        <v>141645590</v>
      </c>
      <c r="L341" s="3125">
        <v>0</v>
      </c>
      <c r="M341" s="3124">
        <v>0</v>
      </c>
      <c r="N341" s="3125">
        <v>0</v>
      </c>
      <c r="O341" s="3125">
        <v>0</v>
      </c>
      <c r="P341" s="3125">
        <v>0</v>
      </c>
      <c r="Q341" s="3125">
        <f t="shared" si="63"/>
        <v>0</v>
      </c>
      <c r="R341" s="3605">
        <v>0</v>
      </c>
      <c r="S341" s="3275"/>
      <c r="T341" s="3826"/>
      <c r="U341" s="3771"/>
      <c r="V341" s="1846">
        <f t="shared" si="64"/>
        <v>0</v>
      </c>
    </row>
    <row r="342" spans="1:22" s="257" customFormat="1" ht="15.05" customHeight="1">
      <c r="A342" s="3573"/>
      <c r="B342" s="3573"/>
      <c r="C342" s="3573"/>
      <c r="D342" s="3573"/>
      <c r="E342" s="3573"/>
      <c r="F342" s="3584" t="s">
        <v>50</v>
      </c>
      <c r="G342" s="3585" t="s">
        <v>590</v>
      </c>
      <c r="H342" s="3575"/>
      <c r="I342" s="3537"/>
      <c r="J342" s="3566"/>
      <c r="K342" s="3587">
        <v>15952424</v>
      </c>
      <c r="L342" s="3578">
        <v>0</v>
      </c>
      <c r="M342" s="3579">
        <v>0</v>
      </c>
      <c r="N342" s="3578">
        <v>0</v>
      </c>
      <c r="O342" s="3578">
        <v>0</v>
      </c>
      <c r="P342" s="3578">
        <v>0</v>
      </c>
      <c r="Q342" s="3578">
        <f t="shared" si="63"/>
        <v>0</v>
      </c>
      <c r="R342" s="3615">
        <v>0</v>
      </c>
      <c r="S342" s="3709"/>
      <c r="T342" s="3828"/>
      <c r="U342" s="3771"/>
      <c r="V342" s="1846">
        <f t="shared" si="64"/>
        <v>0</v>
      </c>
    </row>
    <row r="343" spans="1:22" s="257" customFormat="1" ht="15.05" customHeight="1">
      <c r="A343" s="1889"/>
      <c r="B343" s="1889"/>
      <c r="C343" s="1889"/>
      <c r="D343" s="1889"/>
      <c r="E343" s="1889"/>
      <c r="F343" s="3586" t="s">
        <v>50</v>
      </c>
      <c r="G343" s="410" t="s">
        <v>591</v>
      </c>
      <c r="H343" s="224"/>
      <c r="I343" s="224"/>
      <c r="J343" s="3254"/>
      <c r="K343" s="3237">
        <v>92270821.590000004</v>
      </c>
      <c r="L343" s="3234">
        <v>0</v>
      </c>
      <c r="M343" s="3225">
        <v>0</v>
      </c>
      <c r="N343" s="3234">
        <v>0</v>
      </c>
      <c r="O343" s="3234">
        <v>0</v>
      </c>
      <c r="P343" s="3234">
        <v>0</v>
      </c>
      <c r="Q343" s="3234">
        <f t="shared" si="63"/>
        <v>0</v>
      </c>
      <c r="R343" s="3604">
        <v>0</v>
      </c>
      <c r="S343" s="3720"/>
      <c r="T343" s="3835"/>
      <c r="U343" s="3771"/>
      <c r="V343" s="1846">
        <f t="shared" si="64"/>
        <v>0</v>
      </c>
    </row>
    <row r="344" spans="1:22" s="257" customFormat="1" ht="15.05" customHeight="1">
      <c r="A344" s="1855"/>
      <c r="B344" s="1855"/>
      <c r="C344" s="1855"/>
      <c r="D344" s="1855"/>
      <c r="E344" s="1855"/>
      <c r="F344" s="2214" t="s">
        <v>50</v>
      </c>
      <c r="G344" s="253" t="s">
        <v>592</v>
      </c>
      <c r="H344" s="200"/>
      <c r="I344" s="202"/>
      <c r="J344" s="3259"/>
      <c r="K344" s="3123">
        <v>29684250</v>
      </c>
      <c r="L344" s="3125">
        <v>0</v>
      </c>
      <c r="M344" s="3124">
        <v>0</v>
      </c>
      <c r="N344" s="3125">
        <v>0</v>
      </c>
      <c r="O344" s="3125">
        <v>0</v>
      </c>
      <c r="P344" s="3125">
        <v>0</v>
      </c>
      <c r="Q344" s="3125">
        <f t="shared" si="63"/>
        <v>0</v>
      </c>
      <c r="R344" s="3605">
        <v>0</v>
      </c>
      <c r="S344" s="3275"/>
      <c r="T344" s="3826"/>
      <c r="U344" s="3771"/>
      <c r="V344" s="1846">
        <f t="shared" si="64"/>
        <v>0</v>
      </c>
    </row>
    <row r="345" spans="1:22" s="257" customFormat="1" ht="15.05" customHeight="1">
      <c r="A345" s="1855"/>
      <c r="B345" s="1855"/>
      <c r="C345" s="1855"/>
      <c r="D345" s="1855"/>
      <c r="E345" s="1855"/>
      <c r="F345" s="2214" t="s">
        <v>50</v>
      </c>
      <c r="G345" s="253" t="s">
        <v>593</v>
      </c>
      <c r="H345" s="200"/>
      <c r="I345" s="200"/>
      <c r="J345" s="3215"/>
      <c r="K345" s="3171">
        <v>28727627</v>
      </c>
      <c r="L345" s="3125">
        <v>0</v>
      </c>
      <c r="M345" s="3124">
        <v>0</v>
      </c>
      <c r="N345" s="3125">
        <v>0</v>
      </c>
      <c r="O345" s="3125">
        <v>0</v>
      </c>
      <c r="P345" s="3125">
        <v>0</v>
      </c>
      <c r="Q345" s="3125">
        <f t="shared" si="63"/>
        <v>0</v>
      </c>
      <c r="R345" s="3605">
        <v>0</v>
      </c>
      <c r="S345" s="3275"/>
      <c r="T345" s="3826"/>
      <c r="U345" s="3771"/>
      <c r="V345" s="1846">
        <f t="shared" si="64"/>
        <v>0</v>
      </c>
    </row>
    <row r="346" spans="1:22" s="257" customFormat="1" ht="15.05" customHeight="1">
      <c r="A346" s="1855"/>
      <c r="B346" s="1855"/>
      <c r="C346" s="1855"/>
      <c r="D346" s="1855"/>
      <c r="E346" s="1855"/>
      <c r="F346" s="2214" t="s">
        <v>50</v>
      </c>
      <c r="G346" s="297" t="s">
        <v>594</v>
      </c>
      <c r="H346" s="200"/>
      <c r="I346" s="200"/>
      <c r="J346" s="3215"/>
      <c r="K346" s="3171">
        <v>1710000</v>
      </c>
      <c r="L346" s="3125">
        <v>0</v>
      </c>
      <c r="M346" s="3124">
        <v>0</v>
      </c>
      <c r="N346" s="3125">
        <v>0</v>
      </c>
      <c r="O346" s="3125">
        <v>0</v>
      </c>
      <c r="P346" s="3125">
        <v>0</v>
      </c>
      <c r="Q346" s="3125">
        <f t="shared" si="63"/>
        <v>0</v>
      </c>
      <c r="R346" s="3605">
        <v>0</v>
      </c>
      <c r="S346" s="3275"/>
      <c r="T346" s="3826"/>
      <c r="U346" s="3771"/>
      <c r="V346" s="1846">
        <f t="shared" si="64"/>
        <v>0</v>
      </c>
    </row>
    <row r="347" spans="1:22" s="257" customFormat="1" ht="15.05" customHeight="1">
      <c r="A347" s="1886"/>
      <c r="B347" s="1886"/>
      <c r="C347" s="1886"/>
      <c r="D347" s="1886"/>
      <c r="E347" s="1886"/>
      <c r="F347" s="2356" t="s">
        <v>50</v>
      </c>
      <c r="G347" s="297" t="s">
        <v>595</v>
      </c>
      <c r="H347" s="856"/>
      <c r="I347" s="856"/>
      <c r="J347" s="3238"/>
      <c r="K347" s="3173">
        <v>380300</v>
      </c>
      <c r="L347" s="3174">
        <v>0</v>
      </c>
      <c r="M347" s="3175">
        <v>0</v>
      </c>
      <c r="N347" s="3174">
        <v>0</v>
      </c>
      <c r="O347" s="3174">
        <v>0</v>
      </c>
      <c r="P347" s="3174">
        <v>0</v>
      </c>
      <c r="Q347" s="3174">
        <f t="shared" si="63"/>
        <v>0</v>
      </c>
      <c r="R347" s="3605">
        <v>0</v>
      </c>
      <c r="S347" s="3741"/>
      <c r="T347" s="3828"/>
      <c r="U347" s="3786"/>
      <c r="V347" s="1846">
        <f t="shared" si="64"/>
        <v>0</v>
      </c>
    </row>
    <row r="348" spans="1:22" s="257" customFormat="1" ht="15.05" customHeight="1">
      <c r="A348" s="1886"/>
      <c r="B348" s="1886"/>
      <c r="C348" s="1886"/>
      <c r="D348" s="1886"/>
      <c r="E348" s="1886"/>
      <c r="F348" s="2356" t="s">
        <v>50</v>
      </c>
      <c r="G348" s="253" t="s">
        <v>596</v>
      </c>
      <c r="H348" s="856"/>
      <c r="I348" s="856"/>
      <c r="J348" s="3238"/>
      <c r="K348" s="3173">
        <v>61619698</v>
      </c>
      <c r="L348" s="3174">
        <v>0</v>
      </c>
      <c r="M348" s="3175">
        <v>0</v>
      </c>
      <c r="N348" s="3174">
        <v>0</v>
      </c>
      <c r="O348" s="3174">
        <v>0</v>
      </c>
      <c r="P348" s="3174">
        <v>0</v>
      </c>
      <c r="Q348" s="3174">
        <f t="shared" si="63"/>
        <v>0</v>
      </c>
      <c r="R348" s="3605">
        <v>0</v>
      </c>
      <c r="S348" s="3741"/>
      <c r="T348" s="3828"/>
      <c r="U348" s="3786"/>
      <c r="V348" s="1846">
        <f t="shared" si="64"/>
        <v>0</v>
      </c>
    </row>
    <row r="349" spans="1:22" s="257" customFormat="1" ht="15.05" customHeight="1">
      <c r="A349" s="1855"/>
      <c r="B349" s="1855"/>
      <c r="C349" s="1855"/>
      <c r="D349" s="1855"/>
      <c r="E349" s="1855"/>
      <c r="F349" s="2214" t="s">
        <v>50</v>
      </c>
      <c r="G349" s="3113" t="s">
        <v>597</v>
      </c>
      <c r="H349" s="200"/>
      <c r="I349" s="200"/>
      <c r="J349" s="3215"/>
      <c r="K349" s="3171">
        <v>1427500</v>
      </c>
      <c r="L349" s="3125">
        <v>0</v>
      </c>
      <c r="M349" s="3124">
        <v>0</v>
      </c>
      <c r="N349" s="3125">
        <v>0</v>
      </c>
      <c r="O349" s="3125">
        <v>0</v>
      </c>
      <c r="P349" s="3125">
        <v>0</v>
      </c>
      <c r="Q349" s="3125">
        <f t="shared" si="63"/>
        <v>0</v>
      </c>
      <c r="R349" s="3605">
        <v>0</v>
      </c>
      <c r="S349" s="3275"/>
      <c r="T349" s="3826"/>
      <c r="U349" s="3771"/>
      <c r="V349" s="1846">
        <f t="shared" si="64"/>
        <v>0</v>
      </c>
    </row>
    <row r="350" spans="1:22" s="257" customFormat="1" ht="15.05" customHeight="1">
      <c r="A350" s="1855"/>
      <c r="B350" s="1855"/>
      <c r="C350" s="1855"/>
      <c r="D350" s="1855"/>
      <c r="E350" s="1855"/>
      <c r="F350" s="2214" t="s">
        <v>50</v>
      </c>
      <c r="G350" s="3113" t="s">
        <v>598</v>
      </c>
      <c r="H350" s="2848"/>
      <c r="I350" s="200"/>
      <c r="J350" s="3215"/>
      <c r="K350" s="3171">
        <v>4059015</v>
      </c>
      <c r="L350" s="3125">
        <v>0</v>
      </c>
      <c r="M350" s="3124">
        <v>0</v>
      </c>
      <c r="N350" s="3125">
        <v>0</v>
      </c>
      <c r="O350" s="3125">
        <v>0</v>
      </c>
      <c r="P350" s="3125">
        <v>0</v>
      </c>
      <c r="Q350" s="3125">
        <f t="shared" si="63"/>
        <v>0</v>
      </c>
      <c r="R350" s="3605">
        <v>0</v>
      </c>
      <c r="S350" s="3748"/>
      <c r="T350" s="3826"/>
      <c r="U350" s="3778"/>
      <c r="V350" s="1846">
        <f t="shared" si="64"/>
        <v>0</v>
      </c>
    </row>
    <row r="351" spans="1:22" s="257" customFormat="1" ht="15.05" customHeight="1">
      <c r="A351" s="1855"/>
      <c r="B351" s="1855"/>
      <c r="C351" s="1855"/>
      <c r="D351" s="1855"/>
      <c r="E351" s="1855"/>
      <c r="F351" s="2214" t="s">
        <v>50</v>
      </c>
      <c r="G351" s="3113" t="s">
        <v>599</v>
      </c>
      <c r="H351" s="200"/>
      <c r="I351" s="200"/>
      <c r="J351" s="3215"/>
      <c r="K351" s="3171">
        <v>2000000</v>
      </c>
      <c r="L351" s="3125">
        <v>0</v>
      </c>
      <c r="M351" s="3124">
        <v>0</v>
      </c>
      <c r="N351" s="3125">
        <v>0</v>
      </c>
      <c r="O351" s="3125">
        <v>0</v>
      </c>
      <c r="P351" s="3125">
        <v>0</v>
      </c>
      <c r="Q351" s="3125">
        <f t="shared" si="63"/>
        <v>0</v>
      </c>
      <c r="R351" s="3605">
        <v>0</v>
      </c>
      <c r="S351" s="3748"/>
      <c r="T351" s="3826"/>
      <c r="U351" s="3778"/>
      <c r="V351" s="1846">
        <f t="shared" si="64"/>
        <v>0</v>
      </c>
    </row>
    <row r="352" spans="1:22" s="257" customFormat="1" ht="15.05" customHeight="1">
      <c r="A352" s="1855"/>
      <c r="B352" s="1855"/>
      <c r="C352" s="1855"/>
      <c r="D352" s="1855"/>
      <c r="E352" s="1855"/>
      <c r="F352" s="2214" t="s">
        <v>50</v>
      </c>
      <c r="G352" s="3113" t="s">
        <v>600</v>
      </c>
      <c r="H352" s="200"/>
      <c r="I352" s="200"/>
      <c r="J352" s="3215"/>
      <c r="K352" s="3171">
        <v>222626765</v>
      </c>
      <c r="L352" s="3125">
        <v>0</v>
      </c>
      <c r="M352" s="3124">
        <v>0</v>
      </c>
      <c r="N352" s="3125">
        <v>0</v>
      </c>
      <c r="O352" s="3125">
        <v>0</v>
      </c>
      <c r="P352" s="3125">
        <v>0</v>
      </c>
      <c r="Q352" s="3125">
        <f t="shared" si="63"/>
        <v>0</v>
      </c>
      <c r="R352" s="3605">
        <v>0</v>
      </c>
      <c r="S352" s="3748"/>
      <c r="T352" s="3826"/>
      <c r="U352" s="3778"/>
      <c r="V352" s="1846">
        <f t="shared" si="64"/>
        <v>0</v>
      </c>
    </row>
    <row r="353" spans="1:22" s="257" customFormat="1" ht="15.05" customHeight="1">
      <c r="A353" s="1855"/>
      <c r="B353" s="1855"/>
      <c r="C353" s="1855"/>
      <c r="D353" s="1855"/>
      <c r="E353" s="1855"/>
      <c r="F353" s="2214" t="s">
        <v>50</v>
      </c>
      <c r="G353" s="200" t="str">
        <f>MAR!H780</f>
        <v>DINAS PEMUDA DAN OLAH RAGA</v>
      </c>
      <c r="H353" s="200"/>
      <c r="I353" s="200"/>
      <c r="J353" s="3215"/>
      <c r="K353" s="3171"/>
      <c r="L353" s="3125">
        <f>MAR!J789</f>
        <v>0</v>
      </c>
      <c r="M353" s="3124">
        <v>0</v>
      </c>
      <c r="N353" s="3125">
        <f>MAR!L789</f>
        <v>0</v>
      </c>
      <c r="O353" s="3125">
        <f>MAR!M789</f>
        <v>0</v>
      </c>
      <c r="P353" s="3125">
        <v>0</v>
      </c>
      <c r="Q353" s="3125">
        <f t="shared" si="63"/>
        <v>0</v>
      </c>
      <c r="R353" s="3605">
        <v>0</v>
      </c>
      <c r="S353" s="3748"/>
      <c r="T353" s="3826"/>
      <c r="U353" s="3778"/>
      <c r="V353" s="1846">
        <f t="shared" si="64"/>
        <v>0</v>
      </c>
    </row>
    <row r="354" spans="1:22" s="257" customFormat="1" ht="15.05" customHeight="1">
      <c r="A354" s="1855"/>
      <c r="B354" s="1855"/>
      <c r="C354" s="1855"/>
      <c r="D354" s="1855"/>
      <c r="E354" s="1855"/>
      <c r="F354" s="2214" t="s">
        <v>50</v>
      </c>
      <c r="G354" s="257" t="str">
        <f>MAR!I282</f>
        <v>BIRO UMUM</v>
      </c>
      <c r="H354" s="200"/>
      <c r="I354" s="200"/>
      <c r="J354" s="3215"/>
      <c r="K354" s="3171"/>
      <c r="L354" s="3125">
        <f>MAR!J294</f>
        <v>0</v>
      </c>
      <c r="M354" s="3124">
        <v>0</v>
      </c>
      <c r="N354" s="3125">
        <f>MAR!L294</f>
        <v>0</v>
      </c>
      <c r="O354" s="3125">
        <f>MAR!M294</f>
        <v>0</v>
      </c>
      <c r="P354" s="3125">
        <v>0</v>
      </c>
      <c r="Q354" s="3125">
        <f t="shared" si="63"/>
        <v>0</v>
      </c>
      <c r="R354" s="3605">
        <v>0</v>
      </c>
      <c r="S354" s="3748"/>
      <c r="T354" s="3826"/>
      <c r="U354" s="3778"/>
      <c r="V354" s="1846">
        <f t="shared" si="64"/>
        <v>0</v>
      </c>
    </row>
    <row r="355" spans="1:22" s="257" customFormat="1" ht="15.05" customHeight="1">
      <c r="A355" s="1855"/>
      <c r="B355" s="1855"/>
      <c r="C355" s="1855"/>
      <c r="D355" s="1855"/>
      <c r="E355" s="1855"/>
      <c r="F355" s="2214" t="s">
        <v>50</v>
      </c>
      <c r="G355" s="200" t="str">
        <f>MAR!I297</f>
        <v>BIRO PEMERINTAHAN</v>
      </c>
      <c r="H355" s="200"/>
      <c r="I355" s="200"/>
      <c r="J355" s="3215"/>
      <c r="K355" s="3171"/>
      <c r="L355" s="3125">
        <f>MAR!J302</f>
        <v>0</v>
      </c>
      <c r="M355" s="3124">
        <v>0</v>
      </c>
      <c r="N355" s="3125">
        <f>MAR!L302</f>
        <v>0</v>
      </c>
      <c r="O355" s="3125">
        <f>MAR!M302</f>
        <v>0</v>
      </c>
      <c r="P355" s="3125">
        <v>0</v>
      </c>
      <c r="Q355" s="3125">
        <f t="shared" si="63"/>
        <v>0</v>
      </c>
      <c r="R355" s="3605">
        <v>0</v>
      </c>
      <c r="S355" s="3748"/>
      <c r="T355" s="3826"/>
      <c r="U355" s="3778"/>
      <c r="V355" s="1846">
        <f t="shared" si="64"/>
        <v>0</v>
      </c>
    </row>
    <row r="356" spans="1:22" s="257" customFormat="1" ht="15.05" customHeight="1">
      <c r="A356" s="1855"/>
      <c r="B356" s="1855"/>
      <c r="C356" s="1855"/>
      <c r="D356" s="1855"/>
      <c r="E356" s="1855"/>
      <c r="F356" s="2214" t="s">
        <v>50</v>
      </c>
      <c r="G356" s="200" t="str">
        <f>MAR!I305</f>
        <v>BIRO KESEJAHTERAAN RAKYAT</v>
      </c>
      <c r="H356" s="200"/>
      <c r="I356" s="200"/>
      <c r="J356" s="3215"/>
      <c r="K356" s="3171"/>
      <c r="L356" s="3125">
        <f>MAR!J310</f>
        <v>0</v>
      </c>
      <c r="M356" s="3124">
        <v>0</v>
      </c>
      <c r="N356" s="3125">
        <f>MAR!L310</f>
        <v>0</v>
      </c>
      <c r="O356" s="3125">
        <f>MAR!M310</f>
        <v>0</v>
      </c>
      <c r="P356" s="3125">
        <v>0</v>
      </c>
      <c r="Q356" s="3125">
        <f t="shared" si="63"/>
        <v>0</v>
      </c>
      <c r="R356" s="3605">
        <v>0</v>
      </c>
      <c r="S356" s="3748"/>
      <c r="T356" s="3826"/>
      <c r="U356" s="3778"/>
      <c r="V356" s="1846">
        <f t="shared" si="64"/>
        <v>0</v>
      </c>
    </row>
    <row r="357" spans="1:22" s="257" customFormat="1" ht="15.05" customHeight="1">
      <c r="A357" s="1855"/>
      <c r="B357" s="1855"/>
      <c r="C357" s="1855"/>
      <c r="D357" s="1855"/>
      <c r="E357" s="1855"/>
      <c r="F357" s="2214" t="s">
        <v>50</v>
      </c>
      <c r="G357" s="200" t="str">
        <f>MAR!I313</f>
        <v>BIRO ADMINISTRASI PENGENDALIAN PEMBANGUNAN &amp; LPBJP</v>
      </c>
      <c r="H357" s="200"/>
      <c r="I357" s="200"/>
      <c r="J357" s="3215"/>
      <c r="K357" s="3171"/>
      <c r="L357" s="3125">
        <f>MAR!J318</f>
        <v>0</v>
      </c>
      <c r="M357" s="3124">
        <v>0</v>
      </c>
      <c r="N357" s="3125">
        <f>MAR!L318</f>
        <v>0</v>
      </c>
      <c r="O357" s="3125">
        <f>MAR!M318</f>
        <v>0</v>
      </c>
      <c r="P357" s="3125">
        <v>0</v>
      </c>
      <c r="Q357" s="3125">
        <f t="shared" si="63"/>
        <v>0</v>
      </c>
      <c r="R357" s="3605">
        <v>0</v>
      </c>
      <c r="S357" s="3748"/>
      <c r="T357" s="3826"/>
      <c r="U357" s="3778"/>
      <c r="V357" s="1846">
        <f t="shared" si="64"/>
        <v>0</v>
      </c>
    </row>
    <row r="358" spans="1:22" s="257" customFormat="1" ht="15.05" customHeight="1">
      <c r="A358" s="1855"/>
      <c r="B358" s="1855"/>
      <c r="C358" s="1855"/>
      <c r="D358" s="1855"/>
      <c r="E358" s="1855"/>
      <c r="F358" s="2214" t="s">
        <v>50</v>
      </c>
      <c r="G358" s="200" t="str">
        <f>MAR!I321</f>
        <v>BIRO ORGANISASI</v>
      </c>
      <c r="H358" s="200"/>
      <c r="I358" s="200"/>
      <c r="J358" s="3215"/>
      <c r="K358" s="3171"/>
      <c r="L358" s="3125">
        <f>MAR!J325</f>
        <v>0</v>
      </c>
      <c r="M358" s="3124">
        <v>0</v>
      </c>
      <c r="N358" s="3125">
        <f>MAR!L325</f>
        <v>0</v>
      </c>
      <c r="O358" s="3125">
        <f>MAR!M325</f>
        <v>0</v>
      </c>
      <c r="P358" s="3125">
        <v>0</v>
      </c>
      <c r="Q358" s="3125">
        <f t="shared" si="63"/>
        <v>0</v>
      </c>
      <c r="R358" s="3605">
        <v>0</v>
      </c>
      <c r="S358" s="3748"/>
      <c r="T358" s="3826"/>
      <c r="U358" s="3778"/>
      <c r="V358" s="1846">
        <f t="shared" si="64"/>
        <v>0</v>
      </c>
    </row>
    <row r="359" spans="1:22" s="257" customFormat="1" ht="15.05" customHeight="1">
      <c r="A359" s="1855"/>
      <c r="B359" s="1855"/>
      <c r="C359" s="1855"/>
      <c r="D359" s="1855"/>
      <c r="E359" s="1855"/>
      <c r="F359" s="2214" t="s">
        <v>50</v>
      </c>
      <c r="G359" s="200" t="str">
        <f>MAR!I329</f>
        <v>BIRO PEREKONOMIAN</v>
      </c>
      <c r="H359" s="200"/>
      <c r="I359" s="200"/>
      <c r="J359" s="3215"/>
      <c r="K359" s="3171"/>
      <c r="L359" s="3125">
        <f>MAR!J334</f>
        <v>0</v>
      </c>
      <c r="M359" s="3124">
        <v>0</v>
      </c>
      <c r="N359" s="3125">
        <f>MAR!L334</f>
        <v>0</v>
      </c>
      <c r="O359" s="3125">
        <f>MAR!M334</f>
        <v>0</v>
      </c>
      <c r="P359" s="3125">
        <v>0</v>
      </c>
      <c r="Q359" s="3125">
        <f t="shared" si="63"/>
        <v>0</v>
      </c>
      <c r="R359" s="3605">
        <v>0</v>
      </c>
      <c r="S359" s="3748"/>
      <c r="T359" s="3826"/>
      <c r="U359" s="3778"/>
      <c r="V359" s="1846">
        <f t="shared" si="64"/>
        <v>0</v>
      </c>
    </row>
    <row r="360" spans="1:22" s="257" customFormat="1" ht="15.05" customHeight="1">
      <c r="A360" s="1855"/>
      <c r="B360" s="1855"/>
      <c r="C360" s="1855"/>
      <c r="D360" s="1855"/>
      <c r="E360" s="1855"/>
      <c r="F360" s="2214" t="s">
        <v>50</v>
      </c>
      <c r="G360" s="200" t="str">
        <f>MAR!I337</f>
        <v>BIRO HUMAS DAN PROTOKOL</v>
      </c>
      <c r="H360" s="202"/>
      <c r="I360" s="202"/>
      <c r="J360" s="3259"/>
      <c r="K360" s="3123"/>
      <c r="L360" s="3182">
        <f>MAR!J342</f>
        <v>0</v>
      </c>
      <c r="M360" s="3183">
        <v>0</v>
      </c>
      <c r="N360" s="3182">
        <f>MAR!L342</f>
        <v>0</v>
      </c>
      <c r="O360" s="3182">
        <f>MAR!M342</f>
        <v>0</v>
      </c>
      <c r="P360" s="3182">
        <v>0</v>
      </c>
      <c r="Q360" s="3182">
        <f t="shared" si="63"/>
        <v>0</v>
      </c>
      <c r="R360" s="3605">
        <v>0</v>
      </c>
      <c r="S360" s="3748"/>
      <c r="T360" s="3826"/>
      <c r="U360" s="3781"/>
      <c r="V360" s="1846">
        <f t="shared" si="64"/>
        <v>0</v>
      </c>
    </row>
    <row r="361" spans="1:22" s="257" customFormat="1" ht="15.05" customHeight="1">
      <c r="A361" s="1886"/>
      <c r="B361" s="1886"/>
      <c r="C361" s="1886"/>
      <c r="D361" s="1886"/>
      <c r="E361" s="1886"/>
      <c r="F361" s="2356"/>
      <c r="G361" s="856"/>
      <c r="H361" s="2322"/>
      <c r="I361" s="2322"/>
      <c r="J361" s="3272"/>
      <c r="K361" s="3142"/>
      <c r="L361" s="3289"/>
      <c r="M361" s="3290"/>
      <c r="N361" s="3289"/>
      <c r="O361" s="3289"/>
      <c r="P361" s="3289"/>
      <c r="Q361" s="3289"/>
      <c r="R361" s="3612"/>
      <c r="S361" s="3709"/>
      <c r="T361" s="3828"/>
      <c r="U361" s="3803"/>
      <c r="V361" s="1846"/>
    </row>
    <row r="362" spans="1:22" s="257" customFormat="1" ht="15.05" hidden="1" customHeight="1">
      <c r="A362" s="1886"/>
      <c r="B362" s="1886"/>
      <c r="C362" s="1886"/>
      <c r="D362" s="1886"/>
      <c r="E362" s="1886"/>
      <c r="F362" s="2356"/>
      <c r="G362" s="856"/>
      <c r="H362" s="2322"/>
      <c r="I362" s="2322"/>
      <c r="J362" s="3272"/>
      <c r="K362" s="3142"/>
      <c r="L362" s="3289"/>
      <c r="M362" s="3290"/>
      <c r="N362" s="3289"/>
      <c r="O362" s="3289"/>
      <c r="P362" s="3289"/>
      <c r="Q362" s="3289"/>
      <c r="R362" s="3612"/>
      <c r="S362" s="3709"/>
      <c r="T362" s="3828"/>
      <c r="U362" s="3803"/>
      <c r="V362" s="1846"/>
    </row>
    <row r="363" spans="1:22" s="257" customFormat="1" ht="15.65" hidden="1" customHeight="1">
      <c r="A363" s="1886"/>
      <c r="B363" s="1886"/>
      <c r="C363" s="1886"/>
      <c r="D363" s="1886"/>
      <c r="E363" s="1886"/>
      <c r="F363" s="2356" t="s">
        <v>50</v>
      </c>
      <c r="G363" s="856"/>
      <c r="H363" s="856"/>
      <c r="I363" s="2322"/>
      <c r="J363" s="3272"/>
      <c r="K363" s="3142"/>
      <c r="L363" s="3174"/>
      <c r="M363" s="3175"/>
      <c r="N363" s="3174"/>
      <c r="O363" s="3174"/>
      <c r="P363" s="3174"/>
      <c r="Q363" s="3174">
        <f t="shared" si="63"/>
        <v>0</v>
      </c>
      <c r="R363" s="3612">
        <v>0</v>
      </c>
      <c r="S363" s="3709"/>
      <c r="T363" s="3828"/>
      <c r="U363" s="1899"/>
      <c r="V363" s="1846">
        <f t="shared" si="64"/>
        <v>0</v>
      </c>
    </row>
    <row r="364" spans="1:22" s="2947" customFormat="1" ht="15.05" customHeight="1">
      <c r="A364" s="3053">
        <v>4</v>
      </c>
      <c r="B364" s="3054">
        <v>1</v>
      </c>
      <c r="C364" s="3054">
        <v>4</v>
      </c>
      <c r="D364" s="3054" t="s">
        <v>459</v>
      </c>
      <c r="E364" s="3054"/>
      <c r="F364" s="3091" t="s">
        <v>230</v>
      </c>
      <c r="G364" s="3064"/>
      <c r="H364" s="3064"/>
      <c r="I364" s="3064"/>
      <c r="J364" s="3212">
        <f>+J366</f>
        <v>77234295</v>
      </c>
      <c r="K364" s="3273">
        <f>K366</f>
        <v>0</v>
      </c>
      <c r="L364" s="3178">
        <f>+L365+L366</f>
        <v>60900800</v>
      </c>
      <c r="M364" s="3179">
        <v>0</v>
      </c>
      <c r="N364" s="3178">
        <f>+N365+N366</f>
        <v>0</v>
      </c>
      <c r="O364" s="3178">
        <f>N364+M364</f>
        <v>0</v>
      </c>
      <c r="P364" s="3178">
        <v>60900800</v>
      </c>
      <c r="Q364" s="3178">
        <f t="shared" si="63"/>
        <v>0</v>
      </c>
      <c r="R364" s="3621">
        <f>+P364/L364*100-100</f>
        <v>0</v>
      </c>
      <c r="S364" s="3716"/>
      <c r="T364" s="3838"/>
      <c r="U364" s="3066"/>
      <c r="V364" s="2944">
        <f t="shared" si="64"/>
        <v>0</v>
      </c>
    </row>
    <row r="365" spans="1:22" s="257" customFormat="1" ht="15.05" customHeight="1">
      <c r="A365" s="1889">
        <v>4</v>
      </c>
      <c r="B365" s="1889">
        <v>1</v>
      </c>
      <c r="C365" s="1889">
        <v>4</v>
      </c>
      <c r="D365" s="1889" t="s">
        <v>459</v>
      </c>
      <c r="E365" s="1905" t="s">
        <v>437</v>
      </c>
      <c r="F365" s="3089" t="s">
        <v>231</v>
      </c>
      <c r="G365" s="212"/>
      <c r="H365" s="3088"/>
      <c r="I365" s="212"/>
      <c r="J365" s="3243" t="s">
        <v>50</v>
      </c>
      <c r="K365" s="3155"/>
      <c r="L365" s="3197">
        <v>12035600</v>
      </c>
      <c r="M365" s="3198">
        <v>0</v>
      </c>
      <c r="N365" s="3197">
        <v>0</v>
      </c>
      <c r="O365" s="3197">
        <v>0</v>
      </c>
      <c r="P365" s="3197">
        <v>12035600</v>
      </c>
      <c r="Q365" s="3197">
        <f t="shared" si="63"/>
        <v>0</v>
      </c>
      <c r="R365" s="3608">
        <f>+P365/L365*100-100</f>
        <v>0</v>
      </c>
      <c r="S365" s="3750"/>
      <c r="T365" s="3832"/>
      <c r="U365" s="3802">
        <f>PerDinas!Q573</f>
        <v>0</v>
      </c>
      <c r="V365" s="1846">
        <f t="shared" si="64"/>
        <v>0</v>
      </c>
    </row>
    <row r="366" spans="1:22" s="257" customFormat="1" ht="15.05" customHeight="1">
      <c r="A366" s="1855">
        <v>4</v>
      </c>
      <c r="B366" s="1855">
        <v>1</v>
      </c>
      <c r="C366" s="1855">
        <v>4</v>
      </c>
      <c r="D366" s="1855" t="s">
        <v>459</v>
      </c>
      <c r="E366" s="1854" t="s">
        <v>438</v>
      </c>
      <c r="F366" s="1856" t="s">
        <v>601</v>
      </c>
      <c r="G366" s="202"/>
      <c r="H366" s="202"/>
      <c r="I366" s="202"/>
      <c r="J366" s="3259">
        <v>77234295</v>
      </c>
      <c r="K366" s="3200">
        <v>0</v>
      </c>
      <c r="L366" s="3182">
        <f>SUM(L367:L368)</f>
        <v>48865200</v>
      </c>
      <c r="M366" s="3183">
        <v>0</v>
      </c>
      <c r="N366" s="3182">
        <f>SUM(N367:N368)</f>
        <v>0</v>
      </c>
      <c r="O366" s="3182">
        <f>SUM(O367:O368)</f>
        <v>0</v>
      </c>
      <c r="P366" s="3182">
        <v>48865200</v>
      </c>
      <c r="Q366" s="3182">
        <f t="shared" si="63"/>
        <v>0</v>
      </c>
      <c r="R366" s="3601">
        <f>+P366/L366*100-100</f>
        <v>0</v>
      </c>
      <c r="S366" s="3731"/>
      <c r="T366" s="3829"/>
      <c r="U366" s="3781">
        <f>PerDinas!Q574</f>
        <v>0</v>
      </c>
      <c r="V366" s="1846">
        <f t="shared" si="64"/>
        <v>0</v>
      </c>
    </row>
    <row r="367" spans="1:22" s="257" customFormat="1" ht="15.05" customHeight="1">
      <c r="A367" s="1855"/>
      <c r="B367" s="1855"/>
      <c r="C367" s="1855"/>
      <c r="D367" s="1855"/>
      <c r="E367" s="1855"/>
      <c r="F367" s="2214" t="s">
        <v>50</v>
      </c>
      <c r="G367" s="200"/>
      <c r="H367" s="200" t="s">
        <v>234</v>
      </c>
      <c r="I367" s="200"/>
      <c r="J367" s="3215"/>
      <c r="K367" s="3171"/>
      <c r="L367" s="3125">
        <v>4492800</v>
      </c>
      <c r="M367" s="3124">
        <v>0</v>
      </c>
      <c r="N367" s="3125">
        <v>0</v>
      </c>
      <c r="O367" s="3125">
        <v>0</v>
      </c>
      <c r="P367" s="3125">
        <v>4492800</v>
      </c>
      <c r="Q367" s="3125">
        <f t="shared" si="63"/>
        <v>0</v>
      </c>
      <c r="R367" s="3605">
        <f>+P367/L367*100-100</f>
        <v>0</v>
      </c>
      <c r="S367" s="3275"/>
      <c r="T367" s="3826"/>
      <c r="U367" s="3771"/>
      <c r="V367" s="1846">
        <f t="shared" si="64"/>
        <v>0</v>
      </c>
    </row>
    <row r="368" spans="1:22" s="257" customFormat="1" ht="15.05" customHeight="1">
      <c r="A368" s="1855"/>
      <c r="B368" s="1855"/>
      <c r="C368" s="1855"/>
      <c r="D368" s="1855"/>
      <c r="E368" s="1855"/>
      <c r="F368" s="2214" t="s">
        <v>50</v>
      </c>
      <c r="G368" s="200"/>
      <c r="H368" s="200" t="s">
        <v>235</v>
      </c>
      <c r="I368" s="200"/>
      <c r="J368" s="3215"/>
      <c r="K368" s="3171"/>
      <c r="L368" s="3125">
        <v>44372400</v>
      </c>
      <c r="M368" s="3124">
        <v>0</v>
      </c>
      <c r="N368" s="3125">
        <v>0</v>
      </c>
      <c r="O368" s="3125">
        <v>0</v>
      </c>
      <c r="P368" s="3125">
        <v>44372400</v>
      </c>
      <c r="Q368" s="3125">
        <f t="shared" si="63"/>
        <v>0</v>
      </c>
      <c r="R368" s="3605">
        <f>+P368/L368*100-100</f>
        <v>0</v>
      </c>
      <c r="S368" s="3275"/>
      <c r="T368" s="3826"/>
      <c r="U368" s="3771"/>
      <c r="V368" s="1846">
        <f t="shared" si="64"/>
        <v>0</v>
      </c>
    </row>
    <row r="369" spans="1:22" s="257" customFormat="1" ht="15.05" hidden="1" customHeight="1">
      <c r="A369" s="1855"/>
      <c r="B369" s="1855"/>
      <c r="C369" s="1855"/>
      <c r="D369" s="1855"/>
      <c r="E369" s="1855"/>
      <c r="F369" s="2214"/>
      <c r="G369" s="200"/>
      <c r="H369" s="200"/>
      <c r="I369" s="200"/>
      <c r="J369" s="3215"/>
      <c r="K369" s="3171"/>
      <c r="L369" s="3125"/>
      <c r="M369" s="3124"/>
      <c r="N369" s="3125"/>
      <c r="O369" s="3125"/>
      <c r="P369" s="3125"/>
      <c r="Q369" s="3125"/>
      <c r="R369" s="3605"/>
      <c r="S369" s="3275"/>
      <c r="T369" s="3826"/>
      <c r="U369" s="3771"/>
      <c r="V369" s="1846">
        <f t="shared" si="64"/>
        <v>0</v>
      </c>
    </row>
    <row r="370" spans="1:22" s="257" customFormat="1" ht="15.05" customHeight="1">
      <c r="A370" s="1855"/>
      <c r="B370" s="1855"/>
      <c r="C370" s="1855"/>
      <c r="D370" s="1855"/>
      <c r="E370" s="1855"/>
      <c r="F370" s="2214"/>
      <c r="G370" s="200"/>
      <c r="H370" s="200"/>
      <c r="I370" s="200"/>
      <c r="J370" s="3215"/>
      <c r="K370" s="3216"/>
      <c r="L370" s="3274"/>
      <c r="M370" s="3189"/>
      <c r="N370" s="3274"/>
      <c r="O370" s="3274"/>
      <c r="P370" s="3274"/>
      <c r="Q370" s="3274"/>
      <c r="R370" s="3631"/>
      <c r="S370" s="3275"/>
      <c r="T370" s="3826"/>
      <c r="U370" s="3771"/>
      <c r="V370" s="1846"/>
    </row>
    <row r="371" spans="1:22" s="3115" customFormat="1" ht="15.05" customHeight="1">
      <c r="A371" s="2939" t="s">
        <v>443</v>
      </c>
      <c r="B371" s="2939" t="s">
        <v>58</v>
      </c>
      <c r="C371" s="2939" t="s">
        <v>443</v>
      </c>
      <c r="D371" s="2939" t="s">
        <v>449</v>
      </c>
      <c r="E371" s="2939"/>
      <c r="F371" s="2959" t="str">
        <f>F372</f>
        <v>Pendapatan BLUD</v>
      </c>
      <c r="G371" s="2946"/>
      <c r="H371" s="2946"/>
      <c r="I371" s="2946"/>
      <c r="J371" s="3276">
        <f>J372</f>
        <v>116197286650</v>
      </c>
      <c r="K371" s="3276">
        <f t="shared" ref="K371:U371" si="65">K372</f>
        <v>130237291540.46001</v>
      </c>
      <c r="L371" s="3276">
        <f t="shared" si="65"/>
        <v>158447286650</v>
      </c>
      <c r="M371" s="3276">
        <f t="shared" si="65"/>
        <v>24449662227.75</v>
      </c>
      <c r="N371" s="3276">
        <f t="shared" si="65"/>
        <v>15968594032.190001</v>
      </c>
      <c r="O371" s="3276">
        <f t="shared" si="65"/>
        <v>40418256259.939995</v>
      </c>
      <c r="P371" s="3276">
        <f t="shared" si="65"/>
        <v>158447286650</v>
      </c>
      <c r="Q371" s="3276">
        <f t="shared" si="65"/>
        <v>0</v>
      </c>
      <c r="R371" s="3632">
        <f t="shared" si="65"/>
        <v>0</v>
      </c>
      <c r="S371" s="3751"/>
      <c r="T371" s="3849"/>
      <c r="U371" s="3804">
        <f t="shared" si="65"/>
        <v>0</v>
      </c>
      <c r="V371" s="3114"/>
    </row>
    <row r="372" spans="1:22" s="257" customFormat="1" ht="15.05" customHeight="1">
      <c r="A372" s="2873" t="s">
        <v>443</v>
      </c>
      <c r="B372" s="2873" t="s">
        <v>58</v>
      </c>
      <c r="C372" s="2873" t="s">
        <v>443</v>
      </c>
      <c r="D372" s="2873" t="s">
        <v>449</v>
      </c>
      <c r="E372" s="1854" t="s">
        <v>437</v>
      </c>
      <c r="F372" s="1856" t="s">
        <v>89</v>
      </c>
      <c r="G372" s="202"/>
      <c r="H372" s="202"/>
      <c r="I372" s="202"/>
      <c r="J372" s="3259">
        <f>SUM(J373:J377)</f>
        <v>116197286650</v>
      </c>
      <c r="K372" s="3259">
        <f t="shared" ref="K372:P372" si="66">SUM(K373:K377)</f>
        <v>130237291540.46001</v>
      </c>
      <c r="L372" s="3259">
        <f t="shared" si="66"/>
        <v>158447286650</v>
      </c>
      <c r="M372" s="3259">
        <f t="shared" si="66"/>
        <v>24449662227.75</v>
      </c>
      <c r="N372" s="3259">
        <f t="shared" si="66"/>
        <v>15968594032.190001</v>
      </c>
      <c r="O372" s="3259">
        <f t="shared" si="66"/>
        <v>40418256259.939995</v>
      </c>
      <c r="P372" s="3259">
        <f t="shared" si="66"/>
        <v>158447286650</v>
      </c>
      <c r="Q372" s="3182">
        <f t="shared" ref="Q372:Q377" si="67">+P372-L372</f>
        <v>0</v>
      </c>
      <c r="R372" s="3601">
        <f t="shared" ref="R372:R377" si="68">+P372/L372*100-100</f>
        <v>0</v>
      </c>
      <c r="S372" s="3710"/>
      <c r="T372" s="3829"/>
      <c r="U372" s="3771"/>
      <c r="V372" s="1846">
        <f t="shared" si="64"/>
        <v>161673025039.75998</v>
      </c>
    </row>
    <row r="373" spans="1:22" s="257" customFormat="1" ht="15.05" customHeight="1">
      <c r="A373" s="1855"/>
      <c r="B373" s="1855"/>
      <c r="C373" s="1855"/>
      <c r="D373" s="1855"/>
      <c r="E373" s="1855"/>
      <c r="F373" s="2214" t="s">
        <v>50</v>
      </c>
      <c r="G373" s="200"/>
      <c r="H373" s="200" t="s">
        <v>602</v>
      </c>
      <c r="I373" s="200"/>
      <c r="J373" s="3215">
        <v>100000000000</v>
      </c>
      <c r="K373" s="3171">
        <v>115413370353.46001</v>
      </c>
      <c r="L373" s="3125">
        <v>125000000000</v>
      </c>
      <c r="M373" s="3124">
        <v>19046122482.029999</v>
      </c>
      <c r="N373" s="3125">
        <v>12944839389.030001</v>
      </c>
      <c r="O373" s="3125">
        <v>31990961871.060001</v>
      </c>
      <c r="P373" s="3125">
        <v>125000000000</v>
      </c>
      <c r="Q373" s="3125">
        <f t="shared" si="67"/>
        <v>0</v>
      </c>
      <c r="R373" s="3605">
        <f t="shared" si="68"/>
        <v>0</v>
      </c>
      <c r="S373" s="3275"/>
      <c r="T373" s="3826"/>
      <c r="U373" s="3771"/>
      <c r="V373" s="1846">
        <f t="shared" si="64"/>
        <v>127963847484.24001</v>
      </c>
    </row>
    <row r="374" spans="1:22" s="257" customFormat="1" ht="15.05" customHeight="1">
      <c r="A374" s="1855"/>
      <c r="B374" s="1855"/>
      <c r="C374" s="1855"/>
      <c r="D374" s="1855"/>
      <c r="E374" s="1855"/>
      <c r="F374" s="2214" t="s">
        <v>50</v>
      </c>
      <c r="G374" s="200"/>
      <c r="H374" s="200" t="s">
        <v>88</v>
      </c>
      <c r="I374" s="200"/>
      <c r="J374" s="3215">
        <v>2197286650</v>
      </c>
      <c r="K374" s="3171">
        <v>1770995732</v>
      </c>
      <c r="L374" s="3125">
        <v>2197286650</v>
      </c>
      <c r="M374" s="3124">
        <v>258576041</v>
      </c>
      <c r="N374" s="3125">
        <v>105214667</v>
      </c>
      <c r="O374" s="3125">
        <v>363790708</v>
      </c>
      <c r="P374" s="3125">
        <v>2197286650</v>
      </c>
      <c r="Q374" s="3125">
        <f t="shared" si="67"/>
        <v>0</v>
      </c>
      <c r="R374" s="3605">
        <f t="shared" si="68"/>
        <v>0</v>
      </c>
      <c r="S374" s="3275"/>
      <c r="T374" s="3826"/>
      <c r="U374" s="3771"/>
      <c r="V374" s="1846">
        <f t="shared" si="64"/>
        <v>1455162832</v>
      </c>
    </row>
    <row r="375" spans="1:22" s="257" customFormat="1" ht="15.05" customHeight="1">
      <c r="A375" s="1855"/>
      <c r="B375" s="1855"/>
      <c r="C375" s="1855"/>
      <c r="D375" s="1855"/>
      <c r="E375" s="1855"/>
      <c r="F375" s="2214" t="s">
        <v>50</v>
      </c>
      <c r="G375" s="200"/>
      <c r="H375" s="200" t="s">
        <v>603</v>
      </c>
      <c r="I375" s="200"/>
      <c r="J375" s="3215">
        <v>14000000000</v>
      </c>
      <c r="K375" s="3171">
        <v>13052925455</v>
      </c>
      <c r="L375" s="3125">
        <v>15000000000</v>
      </c>
      <c r="M375" s="3124">
        <v>2493831376</v>
      </c>
      <c r="N375" s="3125">
        <v>1671690063</v>
      </c>
      <c r="O375" s="3125">
        <v>4165521439</v>
      </c>
      <c r="P375" s="3125">
        <v>15000000000</v>
      </c>
      <c r="Q375" s="3125">
        <f t="shared" si="67"/>
        <v>0</v>
      </c>
      <c r="R375" s="3605">
        <f t="shared" si="68"/>
        <v>0</v>
      </c>
      <c r="S375" s="3275"/>
      <c r="T375" s="3826"/>
      <c r="U375" s="3771"/>
      <c r="V375" s="1846">
        <f t="shared" si="64"/>
        <v>16662085756</v>
      </c>
    </row>
    <row r="376" spans="1:22" s="257" customFormat="1" ht="15.05" customHeight="1">
      <c r="A376" s="1855"/>
      <c r="B376" s="1855"/>
      <c r="C376" s="1855"/>
      <c r="D376" s="1855"/>
      <c r="E376" s="1855"/>
      <c r="F376" s="2214" t="s">
        <v>50</v>
      </c>
      <c r="G376" s="200"/>
      <c r="H376" s="200" t="str">
        <f>MAR!H91</f>
        <v>RUMAH SAKIT UMUM H.L MANAMBAI ABDUL KADIR</v>
      </c>
      <c r="I376" s="200"/>
      <c r="J376" s="3215"/>
      <c r="K376" s="3193">
        <v>0</v>
      </c>
      <c r="L376" s="3125">
        <v>16000000000</v>
      </c>
      <c r="M376" s="3124">
        <v>2651132328.7199998</v>
      </c>
      <c r="N376" s="3125">
        <v>1246849913.1600001</v>
      </c>
      <c r="O376" s="3125">
        <v>3897982241.8800001</v>
      </c>
      <c r="P376" s="3125">
        <v>16000000000</v>
      </c>
      <c r="Q376" s="3125">
        <f t="shared" si="67"/>
        <v>0</v>
      </c>
      <c r="R376" s="3605">
        <f t="shared" si="68"/>
        <v>0</v>
      </c>
      <c r="S376" s="3275"/>
      <c r="T376" s="3826"/>
      <c r="U376" s="3771"/>
      <c r="V376" s="1846">
        <f t="shared" si="64"/>
        <v>15591928967.52</v>
      </c>
    </row>
    <row r="377" spans="1:22" s="257" customFormat="1" ht="15.05" customHeight="1">
      <c r="A377" s="1855"/>
      <c r="B377" s="1855"/>
      <c r="C377" s="1855"/>
      <c r="D377" s="1855"/>
      <c r="E377" s="1855"/>
      <c r="F377" s="2214" t="s">
        <v>50</v>
      </c>
      <c r="G377" s="200"/>
      <c r="H377" s="200" t="s">
        <v>604</v>
      </c>
      <c r="I377" s="200"/>
      <c r="J377" s="3215"/>
      <c r="K377" s="3193">
        <v>0</v>
      </c>
      <c r="L377" s="3125">
        <v>250000000</v>
      </c>
      <c r="M377" s="3124">
        <v>0</v>
      </c>
      <c r="N377" s="3125">
        <v>0</v>
      </c>
      <c r="O377" s="3125">
        <v>0</v>
      </c>
      <c r="P377" s="3125">
        <v>250000000</v>
      </c>
      <c r="Q377" s="3125">
        <f t="shared" si="67"/>
        <v>0</v>
      </c>
      <c r="R377" s="3605">
        <f t="shared" si="68"/>
        <v>0</v>
      </c>
      <c r="S377" s="3275"/>
      <c r="T377" s="3826"/>
      <c r="U377" s="3771"/>
      <c r="V377" s="1846">
        <f t="shared" si="64"/>
        <v>0</v>
      </c>
    </row>
    <row r="378" spans="1:22" s="257" customFormat="1" ht="15.05" hidden="1" customHeight="1">
      <c r="A378" s="1855"/>
      <c r="B378" s="1855"/>
      <c r="C378" s="1855"/>
      <c r="D378" s="1855"/>
      <c r="E378" s="1855"/>
      <c r="F378" s="2214"/>
      <c r="G378" s="200"/>
      <c r="H378" s="200"/>
      <c r="I378" s="200"/>
      <c r="J378" s="3215"/>
      <c r="K378" s="3171"/>
      <c r="L378" s="3125"/>
      <c r="M378" s="3124"/>
      <c r="N378" s="3125"/>
      <c r="O378" s="3125"/>
      <c r="P378" s="3125"/>
      <c r="Q378" s="3125"/>
      <c r="R378" s="3605"/>
      <c r="S378" s="3702"/>
      <c r="T378" s="3820"/>
      <c r="U378" s="3771"/>
      <c r="V378" s="1846">
        <f t="shared" si="64"/>
        <v>0</v>
      </c>
    </row>
    <row r="379" spans="1:22" s="257" customFormat="1" ht="15.05" customHeight="1">
      <c r="A379" s="1855"/>
      <c r="B379" s="1855"/>
      <c r="C379" s="1855"/>
      <c r="D379" s="1855"/>
      <c r="E379" s="1855"/>
      <c r="F379" s="2214"/>
      <c r="G379" s="200"/>
      <c r="H379" s="200"/>
      <c r="I379" s="200"/>
      <c r="J379" s="3215"/>
      <c r="K379" s="3216"/>
      <c r="L379" s="3125"/>
      <c r="M379" s="3124"/>
      <c r="N379" s="3125"/>
      <c r="O379" s="3125"/>
      <c r="P379" s="3125"/>
      <c r="Q379" s="3125"/>
      <c r="R379" s="3605"/>
      <c r="S379" s="3702"/>
      <c r="T379" s="3820"/>
      <c r="U379" s="3771"/>
      <c r="V379" s="1846"/>
    </row>
    <row r="380" spans="1:22" s="3115" customFormat="1" ht="15.05" customHeight="1">
      <c r="A380" s="2939" t="s">
        <v>443</v>
      </c>
      <c r="B380" s="2939" t="s">
        <v>58</v>
      </c>
      <c r="C380" s="2939" t="s">
        <v>443</v>
      </c>
      <c r="D380" s="2939" t="s">
        <v>1155</v>
      </c>
      <c r="E380" s="2939" t="s">
        <v>1155</v>
      </c>
      <c r="F380" s="2959" t="s">
        <v>1181</v>
      </c>
      <c r="G380" s="2946"/>
      <c r="H380" s="2946"/>
      <c r="I380" s="2946"/>
      <c r="J380" s="3276">
        <f>J381</f>
        <v>7805834000</v>
      </c>
      <c r="K380" s="3276">
        <f>K381</f>
        <v>7177429000</v>
      </c>
      <c r="L380" s="3277">
        <f>SUM(L381:L383)</f>
        <v>4392225000</v>
      </c>
      <c r="M380" s="3278">
        <v>0</v>
      </c>
      <c r="N380" s="3277">
        <f>SUM(N381:N383)</f>
        <v>0</v>
      </c>
      <c r="O380" s="3277">
        <f>SUM(O381:O383)</f>
        <v>0</v>
      </c>
      <c r="P380" s="3277">
        <v>4392225000</v>
      </c>
      <c r="Q380" s="3277">
        <f>+P380-L380</f>
        <v>0</v>
      </c>
      <c r="R380" s="3633">
        <f>+P380/L380*100-100</f>
        <v>0</v>
      </c>
      <c r="S380" s="3752"/>
      <c r="T380" s="3850"/>
      <c r="U380" s="3805">
        <f>PerDinas!Q750</f>
        <v>0</v>
      </c>
      <c r="V380" s="2944">
        <f t="shared" si="64"/>
        <v>0</v>
      </c>
    </row>
    <row r="381" spans="1:22" s="257" customFormat="1" ht="15.05" customHeight="1">
      <c r="A381" s="1855"/>
      <c r="B381" s="1855"/>
      <c r="C381" s="1855"/>
      <c r="D381" s="1855"/>
      <c r="E381" s="1855"/>
      <c r="F381" s="2214" t="s">
        <v>50</v>
      </c>
      <c r="G381" s="200" t="str">
        <f>MAR!I594</f>
        <v>- Diklat PIM III dan IV</v>
      </c>
      <c r="H381" s="200"/>
      <c r="I381" s="200"/>
      <c r="J381" s="3215">
        <v>7805834000</v>
      </c>
      <c r="K381" s="3215">
        <v>7177429000</v>
      </c>
      <c r="L381" s="3125">
        <f>MAR!J594</f>
        <v>4392225000</v>
      </c>
      <c r="M381" s="3124">
        <v>0</v>
      </c>
      <c r="N381" s="3125">
        <f>MAR!L594</f>
        <v>0</v>
      </c>
      <c r="O381" s="3125">
        <f>MAR!M594</f>
        <v>0</v>
      </c>
      <c r="P381" s="3125">
        <v>4392225000</v>
      </c>
      <c r="Q381" s="3125">
        <f>+P381-L381</f>
        <v>0</v>
      </c>
      <c r="R381" s="3605">
        <f>+P381/L381*100-100</f>
        <v>0</v>
      </c>
      <c r="S381" s="3275"/>
      <c r="T381" s="3826"/>
      <c r="U381" s="3771"/>
      <c r="V381" s="1846">
        <f t="shared" si="64"/>
        <v>0</v>
      </c>
    </row>
    <row r="382" spans="1:22" s="257" customFormat="1" ht="15.05" customHeight="1">
      <c r="A382" s="1855"/>
      <c r="B382" s="1855"/>
      <c r="C382" s="1855"/>
      <c r="D382" s="1855"/>
      <c r="E382" s="1855"/>
      <c r="F382" s="2214" t="s">
        <v>50</v>
      </c>
      <c r="G382" s="200" t="str">
        <f>MAR!I595</f>
        <v>- Diklat Prajabatan</v>
      </c>
      <c r="H382" s="200"/>
      <c r="I382" s="200"/>
      <c r="J382" s="3215"/>
      <c r="K382" s="3171"/>
      <c r="L382" s="3125">
        <f>MAR!J595</f>
        <v>0</v>
      </c>
      <c r="M382" s="3124">
        <v>0</v>
      </c>
      <c r="N382" s="3125">
        <f>MAR!L595</f>
        <v>0</v>
      </c>
      <c r="O382" s="3125">
        <f>MAR!M595</f>
        <v>0</v>
      </c>
      <c r="P382" s="3125">
        <v>0</v>
      </c>
      <c r="Q382" s="3125">
        <f>+P382-L382</f>
        <v>0</v>
      </c>
      <c r="R382" s="3605">
        <v>0</v>
      </c>
      <c r="S382" s="3275"/>
      <c r="T382" s="3826"/>
      <c r="U382" s="3771"/>
      <c r="V382" s="1846">
        <f t="shared" si="64"/>
        <v>0</v>
      </c>
    </row>
    <row r="383" spans="1:22" s="257" customFormat="1" ht="15.05" customHeight="1">
      <c r="A383" s="1855"/>
      <c r="B383" s="1855"/>
      <c r="C383" s="1855"/>
      <c r="D383" s="1855"/>
      <c r="E383" s="1855"/>
      <c r="F383" s="2214" t="s">
        <v>50</v>
      </c>
      <c r="G383" s="200" t="str">
        <f>MAR!I596</f>
        <v>- Diklat Pembentukan Arsiparis Ahli Kab/Kota</v>
      </c>
      <c r="H383" s="200"/>
      <c r="I383" s="200"/>
      <c r="J383" s="3215"/>
      <c r="K383" s="3171"/>
      <c r="L383" s="3125">
        <f>MAR!J596</f>
        <v>0</v>
      </c>
      <c r="M383" s="3124">
        <v>0</v>
      </c>
      <c r="N383" s="3125">
        <f>MAR!L596</f>
        <v>0</v>
      </c>
      <c r="O383" s="3125">
        <f>MAR!M596</f>
        <v>0</v>
      </c>
      <c r="P383" s="3125">
        <v>0</v>
      </c>
      <c r="Q383" s="3125">
        <f>+P383-L383</f>
        <v>0</v>
      </c>
      <c r="R383" s="3605">
        <v>0</v>
      </c>
      <c r="S383" s="3275"/>
      <c r="T383" s="3826"/>
      <c r="U383" s="3771"/>
      <c r="V383" s="1846">
        <f t="shared" si="64"/>
        <v>0</v>
      </c>
    </row>
    <row r="384" spans="1:22" s="257" customFormat="1" ht="15.05" hidden="1" customHeight="1">
      <c r="A384" s="1855"/>
      <c r="B384" s="1855"/>
      <c r="C384" s="1855"/>
      <c r="D384" s="1855"/>
      <c r="E384" s="1855"/>
      <c r="G384" s="200"/>
      <c r="H384" s="200"/>
      <c r="I384" s="200"/>
      <c r="J384" s="3215"/>
      <c r="K384" s="3171"/>
      <c r="L384" s="3125"/>
      <c r="M384" s="3124"/>
      <c r="N384" s="3125"/>
      <c r="O384" s="3125"/>
      <c r="P384" s="3125"/>
      <c r="Q384" s="3125"/>
      <c r="R384" s="3605"/>
      <c r="S384" s="3275"/>
      <c r="T384" s="3826"/>
      <c r="U384" s="3771"/>
      <c r="V384" s="1846">
        <f t="shared" si="64"/>
        <v>0</v>
      </c>
    </row>
    <row r="385" spans="1:22" s="257" customFormat="1" ht="15.05" customHeight="1">
      <c r="A385" s="1855"/>
      <c r="B385" s="1855"/>
      <c r="C385" s="1855"/>
      <c r="D385" s="1855"/>
      <c r="E385" s="1855"/>
      <c r="G385" s="200"/>
      <c r="H385" s="200"/>
      <c r="I385" s="200"/>
      <c r="J385" s="3215"/>
      <c r="K385" s="3216"/>
      <c r="L385" s="3125"/>
      <c r="M385" s="3124"/>
      <c r="N385" s="3125"/>
      <c r="O385" s="3125"/>
      <c r="P385" s="3125"/>
      <c r="Q385" s="3125"/>
      <c r="R385" s="3605"/>
      <c r="S385" s="3275"/>
      <c r="T385" s="3826"/>
      <c r="U385" s="3771"/>
      <c r="V385" s="1846"/>
    </row>
    <row r="386" spans="1:22" s="2947" customFormat="1" ht="15.05" customHeight="1">
      <c r="A386" s="2948" t="s">
        <v>443</v>
      </c>
      <c r="B386" s="2948" t="s">
        <v>58</v>
      </c>
      <c r="C386" s="2948" t="s">
        <v>443</v>
      </c>
      <c r="D386" s="2948" t="s">
        <v>447</v>
      </c>
      <c r="E386" s="2948" t="s">
        <v>437</v>
      </c>
      <c r="F386" s="2959" t="s">
        <v>605</v>
      </c>
      <c r="G386" s="2940"/>
      <c r="H386" s="2940"/>
      <c r="I386" s="2940"/>
      <c r="J386" s="3279">
        <v>0</v>
      </c>
      <c r="K386" s="3279">
        <v>0</v>
      </c>
      <c r="L386" s="3280">
        <f>SUM(L387:L394)</f>
        <v>0</v>
      </c>
      <c r="M386" s="3281">
        <v>2100000</v>
      </c>
      <c r="N386" s="3280">
        <f>SUM(N387:N394)</f>
        <v>1035000</v>
      </c>
      <c r="O386" s="3280">
        <f>N386+M386</f>
        <v>3135000</v>
      </c>
      <c r="P386" s="3280">
        <v>0</v>
      </c>
      <c r="Q386" s="3280">
        <f t="shared" ref="Q386:Q394" si="69">+P386-L386</f>
        <v>0</v>
      </c>
      <c r="R386" s="3634">
        <v>0</v>
      </c>
      <c r="S386" s="3753"/>
      <c r="T386" s="3851"/>
      <c r="U386" s="3806">
        <f>PerDinas!Q752</f>
        <v>0</v>
      </c>
      <c r="V386" s="2944">
        <f t="shared" si="64"/>
        <v>12540000</v>
      </c>
    </row>
    <row r="387" spans="1:22" s="257" customFormat="1" ht="15.05" customHeight="1">
      <c r="A387" s="1855"/>
      <c r="B387" s="1855"/>
      <c r="C387" s="1855"/>
      <c r="D387" s="1855"/>
      <c r="E387" s="1855"/>
      <c r="F387" s="2732" t="s">
        <v>50</v>
      </c>
      <c r="G387" s="200"/>
      <c r="H387" s="2849" t="s">
        <v>606</v>
      </c>
      <c r="I387" s="200"/>
      <c r="J387" s="3215"/>
      <c r="K387" s="3171"/>
      <c r="L387" s="3125">
        <v>0</v>
      </c>
      <c r="M387" s="3124">
        <v>0</v>
      </c>
      <c r="N387" s="3125">
        <v>0</v>
      </c>
      <c r="O387" s="3125">
        <v>0</v>
      </c>
      <c r="P387" s="3125">
        <v>0</v>
      </c>
      <c r="Q387" s="3125">
        <f t="shared" si="69"/>
        <v>0</v>
      </c>
      <c r="R387" s="3605" t="e">
        <f t="shared" ref="R387:R394" si="70">+P387/L387*100-100</f>
        <v>#DIV/0!</v>
      </c>
      <c r="S387" s="3702"/>
      <c r="T387" s="3820"/>
      <c r="U387" s="3771"/>
      <c r="V387" s="1846">
        <f t="shared" si="64"/>
        <v>0</v>
      </c>
    </row>
    <row r="388" spans="1:22" s="257" customFormat="1" ht="15.05" customHeight="1">
      <c r="A388" s="1855"/>
      <c r="B388" s="1855"/>
      <c r="C388" s="1855"/>
      <c r="D388" s="1855"/>
      <c r="E388" s="1855"/>
      <c r="F388" s="2732" t="s">
        <v>50</v>
      </c>
      <c r="G388" s="200"/>
      <c r="H388" s="2849" t="s">
        <v>607</v>
      </c>
      <c r="I388" s="200"/>
      <c r="J388" s="3215"/>
      <c r="K388" s="3171"/>
      <c r="L388" s="3125">
        <f>PerDinas!K106</f>
        <v>0</v>
      </c>
      <c r="M388" s="3124">
        <v>0</v>
      </c>
      <c r="N388" s="3125">
        <v>0</v>
      </c>
      <c r="O388" s="3125">
        <v>0</v>
      </c>
      <c r="P388" s="3125">
        <v>0</v>
      </c>
      <c r="Q388" s="3125">
        <f t="shared" si="69"/>
        <v>0</v>
      </c>
      <c r="R388" s="3605" t="e">
        <f t="shared" si="70"/>
        <v>#DIV/0!</v>
      </c>
      <c r="S388" s="3702"/>
      <c r="T388" s="3820"/>
      <c r="U388" s="3771"/>
      <c r="V388" s="1846">
        <f t="shared" si="64"/>
        <v>0</v>
      </c>
    </row>
    <row r="389" spans="1:22" s="257" customFormat="1" ht="15.05" customHeight="1">
      <c r="A389" s="1855"/>
      <c r="B389" s="1855"/>
      <c r="C389" s="1855"/>
      <c r="D389" s="1855"/>
      <c r="E389" s="1855"/>
      <c r="F389" s="2732" t="s">
        <v>50</v>
      </c>
      <c r="G389" s="200"/>
      <c r="H389" s="2849" t="s">
        <v>608</v>
      </c>
      <c r="I389" s="200"/>
      <c r="J389" s="3215"/>
      <c r="K389" s="3171"/>
      <c r="L389" s="3125">
        <v>0</v>
      </c>
      <c r="M389" s="3124">
        <v>2100000</v>
      </c>
      <c r="N389" s="3125">
        <v>0</v>
      </c>
      <c r="O389" s="3125">
        <v>2100000</v>
      </c>
      <c r="P389" s="3125">
        <v>0</v>
      </c>
      <c r="Q389" s="3125">
        <f t="shared" si="69"/>
        <v>0</v>
      </c>
      <c r="R389" s="3605">
        <v>0</v>
      </c>
      <c r="S389" s="3702"/>
      <c r="T389" s="3820"/>
      <c r="U389" s="3771"/>
      <c r="V389" s="1846">
        <f t="shared" si="64"/>
        <v>8400000</v>
      </c>
    </row>
    <row r="390" spans="1:22" s="257" customFormat="1" ht="15.05" customHeight="1">
      <c r="A390" s="1855"/>
      <c r="B390" s="1855"/>
      <c r="C390" s="1855"/>
      <c r="D390" s="1855"/>
      <c r="E390" s="1855"/>
      <c r="F390" s="2732" t="s">
        <v>50</v>
      </c>
      <c r="G390" s="200"/>
      <c r="H390" s="2849" t="s">
        <v>609</v>
      </c>
      <c r="I390" s="200"/>
      <c r="J390" s="3215"/>
      <c r="K390" s="3171"/>
      <c r="L390" s="3125">
        <v>0</v>
      </c>
      <c r="M390" s="3124">
        <v>0</v>
      </c>
      <c r="N390" s="3125">
        <v>1035000</v>
      </c>
      <c r="O390" s="3125">
        <v>1035000</v>
      </c>
      <c r="P390" s="3125">
        <v>0</v>
      </c>
      <c r="Q390" s="3125">
        <f t="shared" si="69"/>
        <v>0</v>
      </c>
      <c r="R390" s="3605">
        <v>0</v>
      </c>
      <c r="S390" s="3702"/>
      <c r="T390" s="3820"/>
      <c r="U390" s="3771"/>
      <c r="V390" s="1846">
        <f t="shared" si="64"/>
        <v>4140000</v>
      </c>
    </row>
    <row r="391" spans="1:22" s="257" customFormat="1" ht="15.05" hidden="1" customHeight="1">
      <c r="A391" s="1855"/>
      <c r="B391" s="1855"/>
      <c r="C391" s="1855"/>
      <c r="D391" s="1855"/>
      <c r="E391" s="1855"/>
      <c r="F391" s="2732" t="s">
        <v>50</v>
      </c>
      <c r="G391" s="200"/>
      <c r="H391" s="2849"/>
      <c r="I391" s="200"/>
      <c r="J391" s="3215"/>
      <c r="K391" s="3171"/>
      <c r="L391" s="3125">
        <f>PerDinas!K359</f>
        <v>0</v>
      </c>
      <c r="M391" s="3124">
        <v>0</v>
      </c>
      <c r="N391" s="3125">
        <f>PerDinas!M359</f>
        <v>0</v>
      </c>
      <c r="O391" s="3125">
        <f>N391+M391</f>
        <v>0</v>
      </c>
      <c r="P391" s="3125">
        <v>0</v>
      </c>
      <c r="Q391" s="3125">
        <f t="shared" si="69"/>
        <v>0</v>
      </c>
      <c r="R391" s="3605" t="e">
        <f t="shared" si="70"/>
        <v>#DIV/0!</v>
      </c>
      <c r="S391" s="3702"/>
      <c r="T391" s="3820"/>
      <c r="U391" s="3771"/>
      <c r="V391" s="1846">
        <f t="shared" si="64"/>
        <v>0</v>
      </c>
    </row>
    <row r="392" spans="1:22" s="257" customFormat="1" ht="15.05" hidden="1" customHeight="1">
      <c r="A392" s="1855"/>
      <c r="B392" s="1855"/>
      <c r="C392" s="1855"/>
      <c r="D392" s="1855"/>
      <c r="E392" s="1855"/>
      <c r="F392" s="2732" t="s">
        <v>50</v>
      </c>
      <c r="G392" s="200"/>
      <c r="H392" s="2849"/>
      <c r="I392" s="200"/>
      <c r="J392" s="3215"/>
      <c r="K392" s="3171"/>
      <c r="L392" s="3125">
        <f>PerDinas!K870</f>
        <v>0</v>
      </c>
      <c r="M392" s="3124">
        <v>0</v>
      </c>
      <c r="N392" s="3125">
        <f>PerDinas!M870</f>
        <v>0</v>
      </c>
      <c r="O392" s="3125">
        <f>N392+M392</f>
        <v>0</v>
      </c>
      <c r="P392" s="3125">
        <v>0</v>
      </c>
      <c r="Q392" s="3125">
        <f t="shared" si="69"/>
        <v>0</v>
      </c>
      <c r="R392" s="3605" t="e">
        <f t="shared" si="70"/>
        <v>#DIV/0!</v>
      </c>
      <c r="S392" s="3702"/>
      <c r="T392" s="3820"/>
      <c r="U392" s="3771"/>
      <c r="V392" s="1846">
        <f t="shared" si="64"/>
        <v>0</v>
      </c>
    </row>
    <row r="393" spans="1:22" s="257" customFormat="1" ht="15.05" hidden="1" customHeight="1">
      <c r="A393" s="1886"/>
      <c r="B393" s="1886"/>
      <c r="C393" s="1886"/>
      <c r="D393" s="1886"/>
      <c r="E393" s="1886"/>
      <c r="F393" s="2850" t="s">
        <v>50</v>
      </c>
      <c r="G393" s="856"/>
      <c r="H393" s="2851"/>
      <c r="I393" s="856"/>
      <c r="J393" s="3238"/>
      <c r="K393" s="3173"/>
      <c r="L393" s="3174">
        <f>PerDinas!K953</f>
        <v>0</v>
      </c>
      <c r="M393" s="3175">
        <v>0</v>
      </c>
      <c r="N393" s="3174">
        <f>PerDinas!M953</f>
        <v>0</v>
      </c>
      <c r="O393" s="3174">
        <f>N393+M393</f>
        <v>0</v>
      </c>
      <c r="P393" s="3174">
        <v>0</v>
      </c>
      <c r="Q393" s="3174">
        <f t="shared" si="69"/>
        <v>0</v>
      </c>
      <c r="R393" s="3605" t="e">
        <f t="shared" si="70"/>
        <v>#DIV/0!</v>
      </c>
      <c r="S393" s="3712"/>
      <c r="T393" s="3831"/>
      <c r="U393" s="1899"/>
      <c r="V393" s="1846">
        <f t="shared" si="64"/>
        <v>0</v>
      </c>
    </row>
    <row r="394" spans="1:22" s="257" customFormat="1" ht="15.05" hidden="1" customHeight="1">
      <c r="A394" s="1855"/>
      <c r="B394" s="1855"/>
      <c r="C394" s="1855"/>
      <c r="D394" s="1855"/>
      <c r="E394" s="1855"/>
      <c r="F394" s="2732" t="s">
        <v>50</v>
      </c>
      <c r="G394" s="200"/>
      <c r="H394" s="2852"/>
      <c r="I394" s="200"/>
      <c r="J394" s="3215"/>
      <c r="K394" s="3171"/>
      <c r="L394" s="3125">
        <f>PerDinas!K765</f>
        <v>0</v>
      </c>
      <c r="M394" s="3124">
        <v>0</v>
      </c>
      <c r="N394" s="3125">
        <f>PerDinas!M765</f>
        <v>0</v>
      </c>
      <c r="O394" s="3125">
        <f>N394+M394</f>
        <v>0</v>
      </c>
      <c r="P394" s="3125">
        <v>0</v>
      </c>
      <c r="Q394" s="3125">
        <f t="shared" si="69"/>
        <v>0</v>
      </c>
      <c r="R394" s="3605" t="e">
        <f t="shared" si="70"/>
        <v>#DIV/0!</v>
      </c>
      <c r="S394" s="3702"/>
      <c r="T394" s="3820"/>
      <c r="U394" s="3771"/>
      <c r="V394" s="1846">
        <f t="shared" si="64"/>
        <v>0</v>
      </c>
    </row>
    <row r="395" spans="1:22" s="257" customFormat="1" ht="15.05" customHeight="1">
      <c r="A395" s="3573"/>
      <c r="B395" s="3573"/>
      <c r="C395" s="3573"/>
      <c r="D395" s="3573"/>
      <c r="E395" s="3573"/>
      <c r="F395" s="3536"/>
      <c r="G395" s="3537"/>
      <c r="H395" s="3565"/>
      <c r="I395" s="3537"/>
      <c r="J395" s="3566"/>
      <c r="K395" s="3567"/>
      <c r="L395" s="3568"/>
      <c r="M395" s="3569"/>
      <c r="N395" s="3568"/>
      <c r="O395" s="3568"/>
      <c r="P395" s="3568"/>
      <c r="Q395" s="3568"/>
      <c r="R395" s="3635"/>
      <c r="S395" s="3727"/>
      <c r="T395" s="3852"/>
      <c r="U395" s="3796"/>
      <c r="V395" s="1846">
        <f t="shared" si="64"/>
        <v>0</v>
      </c>
    </row>
    <row r="396" spans="1:22" s="2965" customFormat="1" ht="15.05" customHeight="1">
      <c r="A396" s="3870" t="s">
        <v>443</v>
      </c>
      <c r="B396" s="3870" t="s">
        <v>460</v>
      </c>
      <c r="C396" s="3870"/>
      <c r="D396" s="3870"/>
      <c r="E396" s="3870"/>
      <c r="F396" s="3558" t="s">
        <v>236</v>
      </c>
      <c r="G396" s="3559"/>
      <c r="H396" s="3560"/>
      <c r="I396" s="3559"/>
      <c r="J396" s="3561">
        <f>J397+J411+J416</f>
        <v>2333604004580</v>
      </c>
      <c r="K396" s="3561">
        <f>K397+K411+K416</f>
        <v>2587184362905</v>
      </c>
      <c r="L396" s="3561">
        <f>L397+L411+L416</f>
        <v>3222521202310</v>
      </c>
      <c r="M396" s="3562">
        <v>602895773311</v>
      </c>
      <c r="N396" s="3561">
        <f>N397+N411+N416</f>
        <v>226813668600</v>
      </c>
      <c r="O396" s="3561">
        <f>N396+M396</f>
        <v>829709441911</v>
      </c>
      <c r="P396" s="3561">
        <f>P397+P411+P416</f>
        <v>3116570908600</v>
      </c>
      <c r="Q396" s="3561">
        <f t="shared" ref="Q396:Q414" si="71">+P396-L396</f>
        <v>-105950293710</v>
      </c>
      <c r="R396" s="3636">
        <f>+P396/L396*100-100</f>
        <v>-3.2878074978700482</v>
      </c>
      <c r="S396" s="3728"/>
      <c r="T396" s="3853"/>
      <c r="U396" s="3807"/>
      <c r="V396" s="2964">
        <f t="shared" si="64"/>
        <v>3318837767644</v>
      </c>
    </row>
    <row r="397" spans="1:22" s="2917" customFormat="1" ht="15.05" customHeight="1">
      <c r="A397" s="3108" t="s">
        <v>443</v>
      </c>
      <c r="B397" s="3108" t="s">
        <v>460</v>
      </c>
      <c r="C397" s="3108" t="s">
        <v>58</v>
      </c>
      <c r="D397" s="3108"/>
      <c r="E397" s="3108"/>
      <c r="F397" s="3109" t="str">
        <f>MAR!H427</f>
        <v>DANA BAGI HASIL PAJAK/BAGI HASIL BUKAN PAJAK</v>
      </c>
      <c r="G397" s="3110"/>
      <c r="H397" s="3111"/>
      <c r="I397" s="3110"/>
      <c r="J397" s="3284">
        <f>J398+J406</f>
        <v>247954406000</v>
      </c>
      <c r="K397" s="3285">
        <f>K398+K406</f>
        <v>375036424549</v>
      </c>
      <c r="L397" s="3285">
        <f>L398+L406</f>
        <v>353125684600</v>
      </c>
      <c r="M397" s="3286">
        <v>77134449311</v>
      </c>
      <c r="N397" s="3284">
        <f>N398+N406</f>
        <v>43645442600</v>
      </c>
      <c r="O397" s="3284">
        <f>O398+O406</f>
        <v>120779891911</v>
      </c>
      <c r="P397" s="3284">
        <f>P398+P406</f>
        <v>328125684600</v>
      </c>
      <c r="Q397" s="3284">
        <f t="shared" si="71"/>
        <v>-25000000000</v>
      </c>
      <c r="R397" s="3637">
        <f>+P397/L397*100-100</f>
        <v>-7.0796322924849022</v>
      </c>
      <c r="S397" s="3729"/>
      <c r="T397" s="3854"/>
      <c r="U397" s="3808"/>
      <c r="V397" s="2904">
        <f t="shared" si="64"/>
        <v>483119567644</v>
      </c>
    </row>
    <row r="398" spans="1:22" s="1318" customFormat="1" ht="15.05" customHeight="1">
      <c r="A398" s="1905"/>
      <c r="B398" s="1905"/>
      <c r="C398" s="1905"/>
      <c r="D398" s="1905"/>
      <c r="E398" s="1905"/>
      <c r="F398" s="3089"/>
      <c r="G398" s="212" t="str">
        <f>MAR!H428</f>
        <v>Bagi Hasil Pajak</v>
      </c>
      <c r="H398" s="3098"/>
      <c r="I398" s="212"/>
      <c r="J398" s="3197">
        <f>SUM(J399:J405)</f>
        <v>165277884000</v>
      </c>
      <c r="K398" s="3288">
        <f>SUM(K399:K405)</f>
        <v>165676022293</v>
      </c>
      <c r="L398" s="3288">
        <f>SUM(L399:L405)</f>
        <v>185190481600</v>
      </c>
      <c r="M398" s="3198">
        <v>15220097700</v>
      </c>
      <c r="N398" s="3197">
        <f>SUM(N399:N405)</f>
        <v>43568767100</v>
      </c>
      <c r="O398" s="3197">
        <f>SUM(O399:O405)</f>
        <v>58788864800</v>
      </c>
      <c r="P398" s="3197">
        <f>SUM(P401:P405)</f>
        <v>176690481600</v>
      </c>
      <c r="Q398" s="3197">
        <f t="shared" si="71"/>
        <v>-8500000000</v>
      </c>
      <c r="R398" s="3608">
        <f>+P398/L398*100-100</f>
        <v>-4.5898687268168885</v>
      </c>
      <c r="S398" s="3713"/>
      <c r="T398" s="3832"/>
      <c r="U398" s="1911"/>
      <c r="V398" s="1846">
        <f t="shared" si="64"/>
        <v>235155459200</v>
      </c>
    </row>
    <row r="399" spans="1:22" s="257" customFormat="1" ht="15.05" customHeight="1">
      <c r="A399" s="1855"/>
      <c r="B399" s="1855"/>
      <c r="C399" s="1855"/>
      <c r="D399" s="1855"/>
      <c r="E399" s="1855"/>
      <c r="F399" s="2214"/>
      <c r="G399" s="2727" t="s">
        <v>50</v>
      </c>
      <c r="H399" s="2852" t="str">
        <f>MAR!I429</f>
        <v>Bagi Hasil Pajak Bumi dan Bangunan</v>
      </c>
      <c r="I399" s="200"/>
      <c r="J399" s="3215">
        <v>13045670000</v>
      </c>
      <c r="K399" s="3171">
        <v>15360944277</v>
      </c>
      <c r="L399" s="3125">
        <v>10416269000</v>
      </c>
      <c r="M399" s="3124">
        <v>2542990867</v>
      </c>
      <c r="N399" s="3125">
        <v>2000213850</v>
      </c>
      <c r="O399" s="3125">
        <v>4543204717</v>
      </c>
      <c r="P399" s="3125">
        <v>10416269000</v>
      </c>
      <c r="Q399" s="3125">
        <f t="shared" si="71"/>
        <v>0</v>
      </c>
      <c r="R399" s="3605">
        <f>+P399/L399*100-100</f>
        <v>0</v>
      </c>
      <c r="S399" s="3275"/>
      <c r="T399" s="3826"/>
      <c r="U399" s="3771"/>
      <c r="V399" s="1846">
        <f t="shared" si="64"/>
        <v>18172818868</v>
      </c>
    </row>
    <row r="400" spans="1:22" s="257" customFormat="1" ht="15.05" hidden="1" customHeight="1">
      <c r="A400" s="1855"/>
      <c r="B400" s="1855"/>
      <c r="C400" s="1855"/>
      <c r="D400" s="1855"/>
      <c r="E400" s="1855"/>
      <c r="F400" s="2214"/>
      <c r="G400" s="2727" t="s">
        <v>50</v>
      </c>
      <c r="H400" s="2852" t="str">
        <f>MAR!I430</f>
        <v>Bagi Hasil dari Bea Perolehan Hak Atas Tanah dan Bangunan</v>
      </c>
      <c r="I400" s="200"/>
      <c r="J400" s="3248" t="s">
        <v>50</v>
      </c>
      <c r="K400" s="3193" t="s">
        <v>50</v>
      </c>
      <c r="L400" s="3125">
        <v>0</v>
      </c>
      <c r="M400" s="3124">
        <v>0</v>
      </c>
      <c r="N400" s="3125">
        <v>0</v>
      </c>
      <c r="O400" s="3125">
        <v>0</v>
      </c>
      <c r="P400" s="3125">
        <v>0</v>
      </c>
      <c r="Q400" s="3125">
        <f t="shared" si="71"/>
        <v>0</v>
      </c>
      <c r="R400" s="3605">
        <v>0</v>
      </c>
      <c r="S400" s="3275"/>
      <c r="T400" s="3826"/>
      <c r="U400" s="3771"/>
      <c r="V400" s="1846">
        <f t="shared" si="64"/>
        <v>0</v>
      </c>
    </row>
    <row r="401" spans="1:22" s="257" customFormat="1" ht="15.05" customHeight="1">
      <c r="A401" s="1855"/>
      <c r="B401" s="1855"/>
      <c r="C401" s="1855"/>
      <c r="D401" s="1855"/>
      <c r="E401" s="1855"/>
      <c r="F401" s="2214"/>
      <c r="G401" s="2727"/>
      <c r="H401" s="3904" t="s">
        <v>1204</v>
      </c>
      <c r="I401" s="3905"/>
      <c r="J401" s="3906"/>
      <c r="K401" s="3907"/>
      <c r="L401" s="3908"/>
      <c r="M401" s="3909"/>
      <c r="N401" s="3908"/>
      <c r="O401" s="3908"/>
      <c r="P401" s="3908">
        <v>10134749000</v>
      </c>
      <c r="Q401" s="3125"/>
      <c r="R401" s="3605"/>
      <c r="S401" s="3275"/>
      <c r="T401" s="3826"/>
      <c r="U401" s="3771"/>
      <c r="V401" s="1846"/>
    </row>
    <row r="402" spans="1:22" s="257" customFormat="1" ht="15.05" customHeight="1">
      <c r="A402" s="1855"/>
      <c r="B402" s="1855"/>
      <c r="C402" s="1855"/>
      <c r="D402" s="1855"/>
      <c r="E402" s="1855"/>
      <c r="F402" s="2214"/>
      <c r="G402" s="2727"/>
      <c r="H402" s="3904" t="s">
        <v>1203</v>
      </c>
      <c r="I402" s="3905"/>
      <c r="J402" s="3910"/>
      <c r="K402" s="3907"/>
      <c r="L402" s="3908"/>
      <c r="M402" s="3909"/>
      <c r="N402" s="3908"/>
      <c r="O402" s="3908"/>
      <c r="P402" s="3908">
        <v>281520000</v>
      </c>
      <c r="Q402" s="3125"/>
      <c r="R402" s="3605"/>
      <c r="S402" s="3275"/>
      <c r="T402" s="3826"/>
      <c r="U402" s="3771"/>
      <c r="V402" s="1846"/>
    </row>
    <row r="403" spans="1:22" s="257" customFormat="1" ht="15.05" customHeight="1">
      <c r="A403" s="1855"/>
      <c r="B403" s="1855"/>
      <c r="C403" s="1855"/>
      <c r="D403" s="1855"/>
      <c r="E403" s="1855"/>
      <c r="F403" s="2214"/>
      <c r="G403" s="2727" t="s">
        <v>50</v>
      </c>
      <c r="H403" s="2852" t="str">
        <f>MAR!I431</f>
        <v>Bagi Hasil dari Pajak Penghasilan (PPh) Pasal 25 dan Pasal 29</v>
      </c>
      <c r="I403" s="200"/>
      <c r="J403" s="3215">
        <v>78835708000</v>
      </c>
      <c r="K403" s="3171">
        <v>75733342003</v>
      </c>
      <c r="L403" s="3125">
        <v>104034902000</v>
      </c>
      <c r="M403" s="3124">
        <v>12576808932</v>
      </c>
      <c r="N403" s="3125">
        <v>23883725500</v>
      </c>
      <c r="O403" s="3125">
        <v>36460534432</v>
      </c>
      <c r="P403" s="3125">
        <v>95534902000</v>
      </c>
      <c r="Q403" s="3125">
        <f t="shared" si="71"/>
        <v>-8500000000</v>
      </c>
      <c r="R403" s="3605">
        <f t="shared" ref="R403:R409" si="72">+P403/L403*100-100</f>
        <v>-8.1703349900786151</v>
      </c>
      <c r="S403" s="3275"/>
      <c r="T403" s="3826"/>
      <c r="U403" s="3771"/>
      <c r="V403" s="1846">
        <f t="shared" si="64"/>
        <v>145842137728</v>
      </c>
    </row>
    <row r="404" spans="1:22" s="257" customFormat="1" ht="15.05" customHeight="1">
      <c r="A404" s="1855"/>
      <c r="B404" s="1855"/>
      <c r="C404" s="1855"/>
      <c r="D404" s="1855"/>
      <c r="E404" s="1855"/>
      <c r="F404" s="2214"/>
      <c r="G404" s="2727" t="s">
        <v>50</v>
      </c>
      <c r="H404" s="2852" t="str">
        <f>MAR!I432</f>
        <v>wajb pajak orang pribadi dalam negeri dan PPh Pasal 21</v>
      </c>
      <c r="I404" s="200"/>
      <c r="J404" s="3215"/>
      <c r="K404" s="3171"/>
      <c r="L404" s="3125">
        <f>MAR!J432</f>
        <v>0</v>
      </c>
      <c r="M404" s="3124">
        <v>0</v>
      </c>
      <c r="N404" s="3125">
        <f>MAR!L432</f>
        <v>0</v>
      </c>
      <c r="O404" s="3125">
        <f>MAR!M432</f>
        <v>0</v>
      </c>
      <c r="P404" s="3125">
        <v>0</v>
      </c>
      <c r="Q404" s="3125">
        <f t="shared" si="71"/>
        <v>0</v>
      </c>
      <c r="R404" s="3605">
        <v>0</v>
      </c>
      <c r="S404" s="3275"/>
      <c r="T404" s="3826"/>
      <c r="U404" s="3771"/>
      <c r="V404" s="1846">
        <f t="shared" si="64"/>
        <v>0</v>
      </c>
    </row>
    <row r="405" spans="1:22" s="257" customFormat="1" ht="15.05" customHeight="1">
      <c r="A405" s="1855"/>
      <c r="B405" s="1855"/>
      <c r="C405" s="1855"/>
      <c r="D405" s="1855"/>
      <c r="E405" s="1855"/>
      <c r="F405" s="2214"/>
      <c r="G405" s="2727" t="s">
        <v>50</v>
      </c>
      <c r="H405" s="2852" t="str">
        <f>MAR!I433</f>
        <v>Bagi Hasil Cukai Tembakau</v>
      </c>
      <c r="I405" s="200"/>
      <c r="J405" s="3215">
        <v>73396506000</v>
      </c>
      <c r="K405" s="3171">
        <v>74581736013</v>
      </c>
      <c r="L405" s="3125">
        <v>70739310600</v>
      </c>
      <c r="M405" s="3124">
        <v>100297901</v>
      </c>
      <c r="N405" s="3125">
        <v>17684827750</v>
      </c>
      <c r="O405" s="3125">
        <v>17785125651</v>
      </c>
      <c r="P405" s="3125">
        <v>70739310600</v>
      </c>
      <c r="Q405" s="3125">
        <f t="shared" si="71"/>
        <v>0</v>
      </c>
      <c r="R405" s="3605">
        <f t="shared" si="72"/>
        <v>0</v>
      </c>
      <c r="S405" s="3275"/>
      <c r="T405" s="3826"/>
      <c r="U405" s="3771"/>
      <c r="V405" s="1846">
        <f t="shared" si="64"/>
        <v>71140502604</v>
      </c>
    </row>
    <row r="406" spans="1:22" s="1318" customFormat="1" ht="15.05" customHeight="1">
      <c r="A406" s="1902"/>
      <c r="B406" s="1902"/>
      <c r="C406" s="1902"/>
      <c r="D406" s="1902"/>
      <c r="E406" s="1902"/>
      <c r="F406" s="1856"/>
      <c r="G406" s="2728" t="str">
        <f>MAR!H435</f>
        <v>Bagi Hasil Bukan Pajak/Sumber Daya Alam</v>
      </c>
      <c r="H406" s="2854"/>
      <c r="I406" s="2322"/>
      <c r="J406" s="3272">
        <f>SUM(J407:J409)</f>
        <v>82676522000</v>
      </c>
      <c r="K406" s="3272">
        <f>SUM(K407:K409)</f>
        <v>209360402256</v>
      </c>
      <c r="L406" s="3289">
        <f>SUM(L407:L409)</f>
        <v>167935203000</v>
      </c>
      <c r="M406" s="3290">
        <v>61914351611</v>
      </c>
      <c r="N406" s="3289">
        <f>SUM(N407:N410)</f>
        <v>76675500</v>
      </c>
      <c r="O406" s="3289">
        <f>SUM(O407:O410)</f>
        <v>61991027111</v>
      </c>
      <c r="P406" s="3289">
        <f>SUM(P407:P409)</f>
        <v>151435203000</v>
      </c>
      <c r="Q406" s="3289">
        <f t="shared" si="71"/>
        <v>-16500000000</v>
      </c>
      <c r="R406" s="3606">
        <f t="shared" si="72"/>
        <v>-9.8252181229685362</v>
      </c>
      <c r="S406" s="3711"/>
      <c r="T406" s="3830"/>
      <c r="U406" s="1936"/>
      <c r="V406" s="1846">
        <f t="shared" si="64"/>
        <v>247964108444</v>
      </c>
    </row>
    <row r="407" spans="1:22" s="257" customFormat="1" ht="15.05" customHeight="1">
      <c r="A407" s="1886"/>
      <c r="B407" s="1886"/>
      <c r="C407" s="1886"/>
      <c r="D407" s="1886"/>
      <c r="E407" s="1886"/>
      <c r="F407" s="2214"/>
      <c r="G407" s="2727" t="s">
        <v>50</v>
      </c>
      <c r="H407" s="2852" t="str">
        <f>MAR!I436</f>
        <v>Bagi Hasil dari Iuran Hak Pengusahaan Hutan</v>
      </c>
      <c r="I407" s="856"/>
      <c r="J407" s="3238">
        <v>13941000</v>
      </c>
      <c r="K407" s="3173">
        <v>28170635</v>
      </c>
      <c r="L407" s="3174">
        <v>511170000</v>
      </c>
      <c r="M407" s="3175">
        <v>0</v>
      </c>
      <c r="N407" s="3174">
        <v>66556500</v>
      </c>
      <c r="O407" s="3174">
        <v>66556500</v>
      </c>
      <c r="P407" s="3174">
        <v>511170000</v>
      </c>
      <c r="Q407" s="3174">
        <f t="shared" si="71"/>
        <v>0</v>
      </c>
      <c r="R407" s="3612">
        <f t="shared" si="72"/>
        <v>0</v>
      </c>
      <c r="S407" s="3709"/>
      <c r="T407" s="3828"/>
      <c r="U407" s="1899"/>
      <c r="V407" s="1846">
        <f t="shared" si="64"/>
        <v>266226000</v>
      </c>
    </row>
    <row r="408" spans="1:22" s="257" customFormat="1" ht="15.05" customHeight="1">
      <c r="A408" s="1886"/>
      <c r="B408" s="1886"/>
      <c r="C408" s="1886"/>
      <c r="D408" s="1886"/>
      <c r="E408" s="1886"/>
      <c r="F408" s="2214"/>
      <c r="G408" s="2727" t="s">
        <v>50</v>
      </c>
      <c r="H408" s="2852" t="str">
        <f>MAR!I437</f>
        <v>Bagi Hasil dari Iuran Tetap (Land-Rent)</v>
      </c>
      <c r="I408" s="856"/>
      <c r="J408" s="3238">
        <v>4202581000</v>
      </c>
      <c r="K408" s="3173">
        <v>2669992293</v>
      </c>
      <c r="L408" s="3174">
        <v>4168131000</v>
      </c>
      <c r="M408" s="3175">
        <v>1232728624</v>
      </c>
      <c r="N408" s="3174">
        <v>0</v>
      </c>
      <c r="O408" s="3174">
        <v>1232728624</v>
      </c>
      <c r="P408" s="3174">
        <v>4168131000</v>
      </c>
      <c r="Q408" s="3174">
        <f t="shared" si="71"/>
        <v>0</v>
      </c>
      <c r="R408" s="3612">
        <f t="shared" si="72"/>
        <v>0</v>
      </c>
      <c r="S408" s="3709"/>
      <c r="T408" s="3828"/>
      <c r="U408" s="1899"/>
      <c r="V408" s="1846">
        <f t="shared" si="64"/>
        <v>4930914496</v>
      </c>
    </row>
    <row r="409" spans="1:22" s="257" customFormat="1" ht="15.05" customHeight="1">
      <c r="A409" s="1886"/>
      <c r="B409" s="1886"/>
      <c r="C409" s="1886"/>
      <c r="D409" s="1886"/>
      <c r="E409" s="1886"/>
      <c r="F409" s="2214"/>
      <c r="G409" s="2727" t="s">
        <v>50</v>
      </c>
      <c r="H409" s="2852" t="str">
        <f>MAR!I438</f>
        <v>Bagi Hasil dari Iuran Eksplorasi dan Iuran Eksploitasi (Royalty)</v>
      </c>
      <c r="I409" s="856"/>
      <c r="J409" s="3238">
        <v>78460000000</v>
      </c>
      <c r="K409" s="3173">
        <v>206662239328</v>
      </c>
      <c r="L409" s="3174">
        <v>163255902000</v>
      </c>
      <c r="M409" s="3175">
        <v>60654372288</v>
      </c>
      <c r="N409" s="3174">
        <v>0</v>
      </c>
      <c r="O409" s="3174">
        <v>60654372288</v>
      </c>
      <c r="P409" s="3174">
        <v>146755902000</v>
      </c>
      <c r="Q409" s="3174">
        <f t="shared" si="71"/>
        <v>-16500000000</v>
      </c>
      <c r="R409" s="3612">
        <f t="shared" si="72"/>
        <v>-10.1068321560589</v>
      </c>
      <c r="S409" s="3709"/>
      <c r="T409" s="3828"/>
      <c r="U409" s="1899"/>
      <c r="V409" s="1846">
        <f t="shared" si="64"/>
        <v>242617489152</v>
      </c>
    </row>
    <row r="410" spans="1:22" s="257" customFormat="1" ht="15.05" customHeight="1">
      <c r="A410" s="1886"/>
      <c r="B410" s="1886"/>
      <c r="C410" s="1886"/>
      <c r="D410" s="1886"/>
      <c r="E410" s="1886"/>
      <c r="F410" s="856"/>
      <c r="G410" s="2729" t="s">
        <v>50</v>
      </c>
      <c r="H410" s="2858" t="s">
        <v>461</v>
      </c>
      <c r="I410" s="856"/>
      <c r="J410" s="3238"/>
      <c r="K410" s="3173"/>
      <c r="L410" s="3174"/>
      <c r="M410" s="3175">
        <v>27250699</v>
      </c>
      <c r="N410" s="3174">
        <f>MAR!L439</f>
        <v>10119000</v>
      </c>
      <c r="O410" s="3174">
        <f>MAR!M439</f>
        <v>37369699</v>
      </c>
      <c r="P410" s="3174"/>
      <c r="Q410" s="3174">
        <f t="shared" si="71"/>
        <v>0</v>
      </c>
      <c r="R410" s="3612">
        <v>0</v>
      </c>
      <c r="S410" s="3709"/>
      <c r="T410" s="3828"/>
      <c r="U410" s="1899"/>
      <c r="V410" s="1846">
        <f t="shared" si="64"/>
        <v>149478796</v>
      </c>
    </row>
    <row r="411" spans="1:22" s="2917" customFormat="1" ht="15.05" customHeight="1">
      <c r="A411" s="3100" t="s">
        <v>443</v>
      </c>
      <c r="B411" s="3101" t="s">
        <v>460</v>
      </c>
      <c r="C411" s="3101" t="s">
        <v>460</v>
      </c>
      <c r="D411" s="3101"/>
      <c r="E411" s="3101"/>
      <c r="F411" s="3106" t="str">
        <f>MAR!H440</f>
        <v>DANA ALOKASI UMUM</v>
      </c>
      <c r="G411" s="3103"/>
      <c r="H411" s="3104"/>
      <c r="I411" s="3103"/>
      <c r="J411" s="3292">
        <f>J412</f>
        <v>955792513580</v>
      </c>
      <c r="K411" s="3292">
        <f>K412</f>
        <v>1117691709000</v>
      </c>
      <c r="L411" s="3292">
        <f>L412</f>
        <v>1496972549710</v>
      </c>
      <c r="M411" s="3293">
        <v>354005724000</v>
      </c>
      <c r="N411" s="3292">
        <f>N412</f>
        <v>118001908000</v>
      </c>
      <c r="O411" s="3292">
        <f>O412</f>
        <v>472007632000</v>
      </c>
      <c r="P411" s="3292">
        <f>P412</f>
        <v>1416022952000</v>
      </c>
      <c r="Q411" s="3292">
        <f t="shared" si="71"/>
        <v>-80949597710</v>
      </c>
      <c r="R411" s="3638">
        <f>+P411/L411*100-100</f>
        <v>-5.4075539144443212</v>
      </c>
      <c r="S411" s="3730"/>
      <c r="T411" s="3837"/>
      <c r="U411" s="3105"/>
      <c r="V411" s="2904">
        <f t="shared" si="64"/>
        <v>1888030528000</v>
      </c>
    </row>
    <row r="412" spans="1:22" s="1318" customFormat="1" ht="15.05" customHeight="1">
      <c r="A412" s="1725"/>
      <c r="B412" s="1725"/>
      <c r="C412" s="1725"/>
      <c r="D412" s="1725"/>
      <c r="E412" s="1725"/>
      <c r="F412" s="3089"/>
      <c r="G412" s="2744" t="str">
        <f>MAR!H441</f>
        <v>Dana Alokai Umum</v>
      </c>
      <c r="H412" s="3098"/>
      <c r="J412" s="3295">
        <v>955792513580</v>
      </c>
      <c r="K412" s="3147">
        <v>1117691709000</v>
      </c>
      <c r="L412" s="3296">
        <f>SUM(L413:L414)</f>
        <v>1496972549710</v>
      </c>
      <c r="M412" s="3297">
        <v>354005724000</v>
      </c>
      <c r="N412" s="3296">
        <f>SUM(N413:N414)</f>
        <v>118001908000</v>
      </c>
      <c r="O412" s="3296">
        <f>SUM(O413:O414)</f>
        <v>472007632000</v>
      </c>
      <c r="P412" s="3296">
        <f>P413</f>
        <v>1416022952000</v>
      </c>
      <c r="Q412" s="3296">
        <f t="shared" si="71"/>
        <v>-80949597710</v>
      </c>
      <c r="R412" s="3607">
        <f>+P412/L412*100-100</f>
        <v>-5.4075539144443212</v>
      </c>
      <c r="S412" s="3700"/>
      <c r="T412" s="3818"/>
      <c r="U412" s="3099"/>
      <c r="V412" s="1846">
        <f t="shared" ref="V412:V423" si="73">O412*4</f>
        <v>1888030528000</v>
      </c>
    </row>
    <row r="413" spans="1:22" s="257" customFormat="1" ht="15.05" customHeight="1">
      <c r="A413" s="1886"/>
      <c r="B413" s="1886"/>
      <c r="C413" s="1886"/>
      <c r="D413" s="1886"/>
      <c r="E413" s="1886"/>
      <c r="F413" s="2214"/>
      <c r="G413" s="2727" t="s">
        <v>50</v>
      </c>
      <c r="H413" s="2852" t="str">
        <f>MAR!I442</f>
        <v>DAU Murni</v>
      </c>
      <c r="I413" s="856"/>
      <c r="J413" s="3238"/>
      <c r="K413" s="3173"/>
      <c r="L413" s="3174">
        <v>1416022952000</v>
      </c>
      <c r="M413" s="3175">
        <v>354005724000</v>
      </c>
      <c r="N413" s="3174">
        <v>118001908000</v>
      </c>
      <c r="O413" s="3174">
        <v>472007632000</v>
      </c>
      <c r="P413" s="3174">
        <v>1416022952000</v>
      </c>
      <c r="Q413" s="3174">
        <f t="shared" si="71"/>
        <v>0</v>
      </c>
      <c r="R413" s="3612">
        <f>+P413/L413*100-100</f>
        <v>0</v>
      </c>
      <c r="S413" s="3709"/>
      <c r="T413" s="3828"/>
      <c r="U413" s="1899"/>
      <c r="V413" s="1846">
        <f t="shared" si="73"/>
        <v>1888030528000</v>
      </c>
    </row>
    <row r="414" spans="1:22" s="257" customFormat="1" ht="15.05" customHeight="1">
      <c r="A414" s="1886"/>
      <c r="B414" s="1886"/>
      <c r="C414" s="1886"/>
      <c r="D414" s="1886"/>
      <c r="E414" s="1886"/>
      <c r="F414" s="2214"/>
      <c r="G414" s="2727" t="s">
        <v>50</v>
      </c>
      <c r="H414" s="2852" t="str">
        <f>MAR!I443</f>
        <v>Penambahan DAU Akibat Penundaan</v>
      </c>
      <c r="I414" s="856"/>
      <c r="J414" s="3238"/>
      <c r="K414" s="3173"/>
      <c r="L414" s="3174">
        <v>80949597710</v>
      </c>
      <c r="M414" s="3175">
        <v>0</v>
      </c>
      <c r="N414" s="3174">
        <v>0</v>
      </c>
      <c r="O414" s="3174">
        <v>0</v>
      </c>
      <c r="P414" s="3174">
        <v>0</v>
      </c>
      <c r="Q414" s="3174">
        <f t="shared" si="71"/>
        <v>-80949597710</v>
      </c>
      <c r="R414" s="3612">
        <f>+P414/L414*100-100</f>
        <v>-100</v>
      </c>
      <c r="S414" s="3709"/>
      <c r="T414" s="3828"/>
      <c r="U414" s="1899"/>
      <c r="V414" s="1846">
        <f t="shared" si="73"/>
        <v>0</v>
      </c>
    </row>
    <row r="415" spans="1:22" s="257" customFormat="1" ht="15.05" customHeight="1">
      <c r="A415" s="1886"/>
      <c r="B415" s="1886"/>
      <c r="C415" s="1886"/>
      <c r="D415" s="1886"/>
      <c r="E415" s="1886"/>
      <c r="F415" s="2356"/>
      <c r="G415" s="856"/>
      <c r="H415" s="2858"/>
      <c r="I415" s="856"/>
      <c r="J415" s="3238"/>
      <c r="K415" s="3173"/>
      <c r="L415" s="3174"/>
      <c r="M415" s="3175"/>
      <c r="N415" s="3174"/>
      <c r="O415" s="3174"/>
      <c r="P415" s="3174"/>
      <c r="Q415" s="3174"/>
      <c r="R415" s="3612"/>
      <c r="S415" s="3712"/>
      <c r="T415" s="3831"/>
      <c r="U415" s="1899"/>
      <c r="V415" s="1846">
        <f t="shared" si="73"/>
        <v>0</v>
      </c>
    </row>
    <row r="416" spans="1:22" s="2917" customFormat="1" ht="15.05" customHeight="1">
      <c r="A416" s="3100" t="s">
        <v>443</v>
      </c>
      <c r="B416" s="3101" t="s">
        <v>460</v>
      </c>
      <c r="C416" s="3101" t="s">
        <v>457</v>
      </c>
      <c r="D416" s="3101"/>
      <c r="E416" s="3101"/>
      <c r="F416" s="3102" t="str">
        <f>MAR!H445</f>
        <v>DANA ALOKASI KHUSUS</v>
      </c>
      <c r="G416" s="3103"/>
      <c r="H416" s="3104"/>
      <c r="I416" s="3103"/>
      <c r="J416" s="3292">
        <f>J417</f>
        <v>1129857085000</v>
      </c>
      <c r="K416" s="3292">
        <f>K417</f>
        <v>1094456229356</v>
      </c>
      <c r="L416" s="3292">
        <f>L417</f>
        <v>1372422968000</v>
      </c>
      <c r="M416" s="3293">
        <v>171755600000</v>
      </c>
      <c r="N416" s="3292">
        <f>N417</f>
        <v>65166318000</v>
      </c>
      <c r="O416" s="3292">
        <f>O417</f>
        <v>236921918000</v>
      </c>
      <c r="P416" s="3292">
        <f>P417</f>
        <v>1372422272000</v>
      </c>
      <c r="Q416" s="3292">
        <f t="shared" ref="Q416:Q423" si="74">+P416-L416</f>
        <v>-696000</v>
      </c>
      <c r="R416" s="3638">
        <f t="shared" ref="R416:R423" si="75">+P416/L416*100-100</f>
        <v>-5.0713228802123922E-5</v>
      </c>
      <c r="S416" s="3730"/>
      <c r="T416" s="3837"/>
      <c r="U416" s="3105"/>
      <c r="V416" s="2904">
        <f t="shared" si="73"/>
        <v>947687672000</v>
      </c>
    </row>
    <row r="417" spans="1:22" s="1318" customFormat="1" ht="15.05" customHeight="1">
      <c r="A417" s="1725"/>
      <c r="B417" s="1725"/>
      <c r="C417" s="1725"/>
      <c r="D417" s="1725"/>
      <c r="E417" s="1725"/>
      <c r="F417" s="3089"/>
      <c r="G417" s="2744" t="str">
        <f>MAR!H446</f>
        <v>Dana Alokasi Khusus</v>
      </c>
      <c r="H417" s="3098"/>
      <c r="J417" s="3296">
        <f>J418+J426</f>
        <v>1129857085000</v>
      </c>
      <c r="K417" s="3296">
        <f>K418+K426</f>
        <v>1094456229356</v>
      </c>
      <c r="L417" s="3296">
        <f>L418+L426</f>
        <v>1372422968000</v>
      </c>
      <c r="M417" s="3297">
        <v>171755600000</v>
      </c>
      <c r="N417" s="3296">
        <f>N418+N426</f>
        <v>65166318000</v>
      </c>
      <c r="O417" s="3296">
        <f>O418+O426</f>
        <v>236921918000</v>
      </c>
      <c r="P417" s="3296">
        <f>P418+P426</f>
        <v>1372422272000</v>
      </c>
      <c r="Q417" s="3296">
        <f t="shared" si="74"/>
        <v>-696000</v>
      </c>
      <c r="R417" s="3607">
        <f t="shared" si="75"/>
        <v>-5.0713228802123922E-5</v>
      </c>
      <c r="S417" s="3706"/>
      <c r="T417" s="3824"/>
      <c r="U417" s="3099"/>
      <c r="V417" s="1846">
        <f t="shared" si="73"/>
        <v>947687672000</v>
      </c>
    </row>
    <row r="418" spans="1:22" s="1318" customFormat="1" ht="15.05" customHeight="1">
      <c r="A418" s="1902"/>
      <c r="B418" s="1902"/>
      <c r="C418" s="1902"/>
      <c r="D418" s="1902"/>
      <c r="E418" s="1902"/>
      <c r="F418" s="1856"/>
      <c r="G418" s="202"/>
      <c r="H418" s="2854" t="str">
        <f>MAR!I447</f>
        <v>DAK Murni Non Fisik</v>
      </c>
      <c r="I418" s="2322"/>
      <c r="J418" s="3289">
        <f>SUM(J419:J425)</f>
        <v>625147065000</v>
      </c>
      <c r="K418" s="3289">
        <f>SUM(K419:K425)</f>
        <v>840054801000</v>
      </c>
      <c r="L418" s="3289">
        <f>SUM(L419:L425)</f>
        <v>1074923968000</v>
      </c>
      <c r="M418" s="3290">
        <v>171755600000</v>
      </c>
      <c r="N418" s="3289">
        <f>SUM(N419:N423)</f>
        <v>65166318000</v>
      </c>
      <c r="O418" s="3289">
        <f>SUM(O419:O423)</f>
        <v>236921918000</v>
      </c>
      <c r="P418" s="3289">
        <v>1074923968000</v>
      </c>
      <c r="Q418" s="3289">
        <f t="shared" si="74"/>
        <v>0</v>
      </c>
      <c r="R418" s="3606">
        <f t="shared" si="75"/>
        <v>0</v>
      </c>
      <c r="S418" s="3711"/>
      <c r="T418" s="3830"/>
      <c r="U418" s="1936"/>
      <c r="V418" s="1846">
        <f t="shared" si="73"/>
        <v>947687672000</v>
      </c>
    </row>
    <row r="419" spans="1:22" s="257" customFormat="1" ht="15.05" customHeight="1">
      <c r="A419" s="1886"/>
      <c r="B419" s="1886"/>
      <c r="C419" s="1886"/>
      <c r="D419" s="1886"/>
      <c r="E419" s="1886"/>
      <c r="F419" s="2214"/>
      <c r="G419" s="200"/>
      <c r="H419" s="2852" t="str">
        <f>MAR!I448</f>
        <v>- BOS</v>
      </c>
      <c r="I419" s="856"/>
      <c r="J419" s="3238">
        <v>619824550000</v>
      </c>
      <c r="K419" s="3173">
        <v>826042895000</v>
      </c>
      <c r="L419" s="3174">
        <v>858778000000</v>
      </c>
      <c r="M419" s="3175">
        <v>171755600000</v>
      </c>
      <c r="N419" s="3174">
        <v>0</v>
      </c>
      <c r="O419" s="3174">
        <v>171755600000</v>
      </c>
      <c r="P419" s="3174">
        <v>858778000000</v>
      </c>
      <c r="Q419" s="3174">
        <f t="shared" si="74"/>
        <v>0</v>
      </c>
      <c r="R419" s="3612">
        <f t="shared" si="75"/>
        <v>0</v>
      </c>
      <c r="S419" s="3709"/>
      <c r="T419" s="3828"/>
      <c r="U419" s="1899"/>
      <c r="V419" s="1846">
        <f t="shared" si="73"/>
        <v>687022400000</v>
      </c>
    </row>
    <row r="420" spans="1:22" s="257" customFormat="1" ht="15.05" customHeight="1">
      <c r="A420" s="1886"/>
      <c r="B420" s="1886"/>
      <c r="C420" s="1886"/>
      <c r="D420" s="1886"/>
      <c r="E420" s="1886"/>
      <c r="F420" s="2214"/>
      <c r="G420" s="200"/>
      <c r="H420" s="2852" t="str">
        <f>MAR!I449</f>
        <v>- Tunjangan Profesi Guru</v>
      </c>
      <c r="I420" s="856"/>
      <c r="J420" s="3238"/>
      <c r="K420" s="3173"/>
      <c r="L420" s="3174">
        <v>207376785000</v>
      </c>
      <c r="M420" s="3175">
        <v>0</v>
      </c>
      <c r="N420" s="3174">
        <v>62213035000</v>
      </c>
      <c r="O420" s="3174">
        <v>62213035000</v>
      </c>
      <c r="P420" s="3174">
        <v>207376785000</v>
      </c>
      <c r="Q420" s="3174">
        <f t="shared" si="74"/>
        <v>0</v>
      </c>
      <c r="R420" s="3612">
        <f t="shared" si="75"/>
        <v>0</v>
      </c>
      <c r="S420" s="3709"/>
      <c r="T420" s="3828"/>
      <c r="U420" s="1899"/>
      <c r="V420" s="1846">
        <f t="shared" si="73"/>
        <v>248852140000</v>
      </c>
    </row>
    <row r="421" spans="1:22" s="257" customFormat="1" ht="15.05" customHeight="1">
      <c r="A421" s="1886"/>
      <c r="B421" s="1886"/>
      <c r="C421" s="1886"/>
      <c r="D421" s="1886"/>
      <c r="E421" s="1886"/>
      <c r="F421" s="2214"/>
      <c r="G421" s="200"/>
      <c r="H421" s="2852" t="str">
        <f>MAR!I450</f>
        <v>- Tambahan Penghasilan</v>
      </c>
      <c r="I421" s="856"/>
      <c r="J421" s="3238"/>
      <c r="K421" s="3173"/>
      <c r="L421" s="3174">
        <v>4737000000</v>
      </c>
      <c r="M421" s="3175">
        <v>0</v>
      </c>
      <c r="N421" s="3174">
        <v>1421100000</v>
      </c>
      <c r="O421" s="3174">
        <v>1421100000</v>
      </c>
      <c r="P421" s="3174">
        <v>4737000000</v>
      </c>
      <c r="Q421" s="3174">
        <f t="shared" si="74"/>
        <v>0</v>
      </c>
      <c r="R421" s="3612">
        <f t="shared" si="75"/>
        <v>0</v>
      </c>
      <c r="S421" s="3709"/>
      <c r="T421" s="3828"/>
      <c r="U421" s="1899"/>
      <c r="V421" s="1846">
        <f t="shared" si="73"/>
        <v>5684400000</v>
      </c>
    </row>
    <row r="422" spans="1:22" s="257" customFormat="1" ht="15.05" customHeight="1">
      <c r="A422" s="1886"/>
      <c r="B422" s="1886"/>
      <c r="C422" s="1886"/>
      <c r="D422" s="1886"/>
      <c r="E422" s="1886"/>
      <c r="F422" s="2214"/>
      <c r="G422" s="200"/>
      <c r="H422" s="2852" t="str">
        <f>MAR!I451</f>
        <v>- Koperasi UKM</v>
      </c>
      <c r="I422" s="856"/>
      <c r="J422" s="3238">
        <v>2500000000</v>
      </c>
      <c r="K422" s="3173">
        <v>5000000000</v>
      </c>
      <c r="L422" s="3174">
        <v>2500000000</v>
      </c>
      <c r="M422" s="3175">
        <v>0</v>
      </c>
      <c r="N422" s="3174">
        <v>1532183000</v>
      </c>
      <c r="O422" s="3174">
        <v>1532183000</v>
      </c>
      <c r="P422" s="3174">
        <v>2500000000</v>
      </c>
      <c r="Q422" s="3174">
        <f t="shared" si="74"/>
        <v>0</v>
      </c>
      <c r="R422" s="3612">
        <f t="shared" si="75"/>
        <v>0</v>
      </c>
      <c r="S422" s="3709"/>
      <c r="T422" s="3828"/>
      <c r="U422" s="1899"/>
      <c r="V422" s="1846">
        <f t="shared" si="73"/>
        <v>6128732000</v>
      </c>
    </row>
    <row r="423" spans="1:22" s="257" customFormat="1" ht="15.05" customHeight="1">
      <c r="A423" s="1886"/>
      <c r="B423" s="1886"/>
      <c r="C423" s="1886"/>
      <c r="D423" s="1886"/>
      <c r="E423" s="1886"/>
      <c r="F423" s="2214"/>
      <c r="G423" s="200"/>
      <c r="H423" s="2852" t="str">
        <f>MAR!I452</f>
        <v>- Dinas Sosial Kependudukan</v>
      </c>
      <c r="I423" s="856"/>
      <c r="J423" s="3238">
        <v>0</v>
      </c>
      <c r="K423" s="3173">
        <v>4151773000</v>
      </c>
      <c r="L423" s="3174">
        <v>1532183000</v>
      </c>
      <c r="M423" s="3175">
        <v>0</v>
      </c>
      <c r="N423" s="3174">
        <v>0</v>
      </c>
      <c r="O423" s="3174">
        <v>0</v>
      </c>
      <c r="P423" s="3174">
        <v>1532183000</v>
      </c>
      <c r="Q423" s="3174">
        <f t="shared" si="74"/>
        <v>0</v>
      </c>
      <c r="R423" s="3612">
        <f t="shared" si="75"/>
        <v>0</v>
      </c>
      <c r="S423" s="3709"/>
      <c r="T423" s="3828"/>
      <c r="U423" s="1899"/>
      <c r="V423" s="1846">
        <f t="shared" si="73"/>
        <v>0</v>
      </c>
    </row>
    <row r="424" spans="1:22" s="257" customFormat="1" ht="15.05" customHeight="1">
      <c r="A424" s="1886"/>
      <c r="B424" s="1886"/>
      <c r="C424" s="1886"/>
      <c r="D424" s="1886"/>
      <c r="E424" s="1886"/>
      <c r="F424" s="2214"/>
      <c r="G424" s="200"/>
      <c r="H424" s="2855" t="s">
        <v>610</v>
      </c>
      <c r="I424" s="856"/>
      <c r="J424" s="3238">
        <v>708360000</v>
      </c>
      <c r="K424" s="3173">
        <v>708360000</v>
      </c>
      <c r="L424" s="3174"/>
      <c r="M424" s="3175"/>
      <c r="N424" s="3174"/>
      <c r="O424" s="3182">
        <f>L452+L453</f>
        <v>51419400</v>
      </c>
      <c r="P424" s="3174"/>
      <c r="Q424" s="3174"/>
      <c r="R424" s="3612"/>
      <c r="S424" s="3709"/>
      <c r="T424" s="3828"/>
      <c r="U424" s="1899"/>
      <c r="V424" s="1846"/>
    </row>
    <row r="425" spans="1:22" s="257" customFormat="1" ht="15.05" customHeight="1">
      <c r="A425" s="1886"/>
      <c r="B425" s="1886"/>
      <c r="C425" s="1886"/>
      <c r="D425" s="1886"/>
      <c r="E425" s="1886"/>
      <c r="F425" s="2214"/>
      <c r="G425" s="200"/>
      <c r="H425" s="2855" t="s">
        <v>611</v>
      </c>
      <c r="I425" s="856"/>
      <c r="J425" s="3238">
        <v>2114155000</v>
      </c>
      <c r="K425" s="3173">
        <v>4151773000</v>
      </c>
      <c r="L425" s="3174"/>
      <c r="M425" s="3175"/>
      <c r="N425" s="3174"/>
      <c r="O425" s="3174"/>
      <c r="P425" s="3174"/>
      <c r="Q425" s="3174"/>
      <c r="R425" s="3612"/>
      <c r="S425" s="3709"/>
      <c r="T425" s="3828"/>
      <c r="U425" s="1899"/>
      <c r="V425" s="1846"/>
    </row>
    <row r="426" spans="1:22" s="1318" customFormat="1" ht="15.05" customHeight="1">
      <c r="A426" s="1902"/>
      <c r="B426" s="1902"/>
      <c r="C426" s="1902"/>
      <c r="D426" s="1902"/>
      <c r="E426" s="1902"/>
      <c r="F426" s="1856"/>
      <c r="G426" s="202"/>
      <c r="H426" s="2854" t="str">
        <f>MAR!I453</f>
        <v>DAK Fisik</v>
      </c>
      <c r="I426" s="2322"/>
      <c r="J426" s="3272">
        <f>504710020000</f>
        <v>504710020000</v>
      </c>
      <c r="K426" s="3142">
        <f>10319496286+1625920000+1450931000+28095350000+184689298167+18179605000+10040827903</f>
        <v>254401428356</v>
      </c>
      <c r="L426" s="3174">
        <f>MAR!J453</f>
        <v>297499000000</v>
      </c>
      <c r="M426" s="3175">
        <v>0</v>
      </c>
      <c r="N426" s="3174">
        <f>MAR!L453</f>
        <v>0</v>
      </c>
      <c r="O426" s="3174">
        <f>MAR!M453</f>
        <v>0</v>
      </c>
      <c r="P426" s="3174">
        <v>297498304000</v>
      </c>
      <c r="Q426" s="3174">
        <f>+P426-L426</f>
        <v>-696000</v>
      </c>
      <c r="R426" s="3612">
        <f>+P426/L426*100-100</f>
        <v>-2.3395036622275711E-4</v>
      </c>
      <c r="S426" s="3709"/>
      <c r="T426" s="3828"/>
      <c r="U426" s="1936"/>
      <c r="V426" s="1846">
        <f>O426*4</f>
        <v>0</v>
      </c>
    </row>
    <row r="427" spans="1:22" s="1318" customFormat="1" ht="15.05" hidden="1" customHeight="1">
      <c r="A427" s="1902"/>
      <c r="B427" s="1902"/>
      <c r="C427" s="1902"/>
      <c r="D427" s="1902"/>
      <c r="E427" s="1902"/>
      <c r="F427" s="2856"/>
      <c r="G427" s="2322"/>
      <c r="H427" s="2857"/>
      <c r="I427" s="2322"/>
      <c r="J427" s="3272"/>
      <c r="K427" s="3142"/>
      <c r="L427" s="3174"/>
      <c r="M427" s="3175"/>
      <c r="N427" s="3174"/>
      <c r="O427" s="3174"/>
      <c r="P427" s="3174"/>
      <c r="Q427" s="3174"/>
      <c r="R427" s="3612"/>
      <c r="S427" s="3709"/>
      <c r="T427" s="3828"/>
      <c r="U427" s="1936"/>
      <c r="V427" s="1846"/>
    </row>
    <row r="428" spans="1:22" s="257" customFormat="1" ht="15.05" customHeight="1">
      <c r="A428" s="1886"/>
      <c r="B428" s="1886"/>
      <c r="C428" s="1886"/>
      <c r="D428" s="1886"/>
      <c r="E428" s="1886"/>
      <c r="F428" s="2356"/>
      <c r="G428" s="856"/>
      <c r="H428" s="2858"/>
      <c r="I428" s="856"/>
      <c r="J428" s="3238">
        <f>13870510900-J430</f>
        <v>0</v>
      </c>
      <c r="K428" s="3173">
        <f>13001891981.54-K430</f>
        <v>0</v>
      </c>
      <c r="L428" s="3174"/>
      <c r="M428" s="3175"/>
      <c r="N428" s="3174"/>
      <c r="O428" s="3174"/>
      <c r="P428" s="3174"/>
      <c r="Q428" s="3174"/>
      <c r="R428" s="3612"/>
      <c r="S428" s="3712"/>
      <c r="T428" s="3831"/>
      <c r="U428" s="1899"/>
      <c r="V428" s="1846">
        <f t="shared" ref="V428:V458" si="76">O428*4</f>
        <v>0</v>
      </c>
    </row>
    <row r="429" spans="1:22" s="2971" customFormat="1" ht="15.05" customHeight="1">
      <c r="A429" s="2966">
        <v>4</v>
      </c>
      <c r="B429" s="2966" t="s">
        <v>457</v>
      </c>
      <c r="C429" s="2966"/>
      <c r="D429" s="2966"/>
      <c r="E429" s="2966"/>
      <c r="F429" s="2967" t="s">
        <v>612</v>
      </c>
      <c r="G429" s="2968"/>
      <c r="H429" s="2969"/>
      <c r="I429" s="2969"/>
      <c r="J429" s="3299">
        <f t="shared" ref="J429:Q429" si="77">+J430+J564</f>
        <v>19284510900</v>
      </c>
      <c r="K429" s="3299">
        <f t="shared" si="77"/>
        <v>18001891981.540001</v>
      </c>
      <c r="L429" s="3299">
        <f t="shared" si="77"/>
        <v>67264821900</v>
      </c>
      <c r="M429" s="3299">
        <f t="shared" si="77"/>
        <v>804203846.99000001</v>
      </c>
      <c r="N429" s="3299">
        <f t="shared" si="77"/>
        <v>27120019500</v>
      </c>
      <c r="O429" s="3299">
        <f t="shared" si="77"/>
        <v>46044223346.990005</v>
      </c>
      <c r="P429" s="3299">
        <f t="shared" si="77"/>
        <v>85598457900</v>
      </c>
      <c r="Q429" s="3299">
        <f t="shared" si="77"/>
        <v>18333636000</v>
      </c>
      <c r="R429" s="3439">
        <f>+P429/L429*100-100</f>
        <v>27.255905066181413</v>
      </c>
      <c r="S429" s="3754"/>
      <c r="T429" s="3855"/>
      <c r="U429" s="3809"/>
      <c r="V429" s="2964">
        <f t="shared" si="76"/>
        <v>184176893387.96002</v>
      </c>
    </row>
    <row r="430" spans="1:22" s="3119" customFormat="1" ht="15.05" customHeight="1">
      <c r="A430" s="3116">
        <v>4</v>
      </c>
      <c r="B430" s="3093" t="s">
        <v>457</v>
      </c>
      <c r="C430" s="3093" t="s">
        <v>58</v>
      </c>
      <c r="D430" s="3093"/>
      <c r="E430" s="3093"/>
      <c r="F430" s="3094" t="s">
        <v>613</v>
      </c>
      <c r="G430" s="3095"/>
      <c r="H430" s="3096"/>
      <c r="I430" s="3097"/>
      <c r="J430" s="3300">
        <f>J431+J432</f>
        <v>13870510900</v>
      </c>
      <c r="K430" s="3300">
        <f t="shared" ref="K430:P430" si="78">K431+K432</f>
        <v>13001891981.540001</v>
      </c>
      <c r="L430" s="3300">
        <f t="shared" si="78"/>
        <v>13870510900</v>
      </c>
      <c r="M430" s="3300">
        <f t="shared" si="78"/>
        <v>804203846.99000001</v>
      </c>
      <c r="N430" s="3300">
        <f t="shared" si="78"/>
        <v>422864500</v>
      </c>
      <c r="O430" s="3300">
        <f t="shared" si="78"/>
        <v>19347068346.990002</v>
      </c>
      <c r="P430" s="3300">
        <f t="shared" si="78"/>
        <v>32204146900</v>
      </c>
      <c r="Q430" s="3294">
        <f t="shared" ref="Q430:Q458" si="79">+P430-L430</f>
        <v>18333636000</v>
      </c>
      <c r="R430" s="3638">
        <f>+P430/L430*100-100</f>
        <v>132.17707791859348</v>
      </c>
      <c r="S430" s="3730"/>
      <c r="T430" s="3837"/>
      <c r="U430" s="3117"/>
      <c r="V430" s="3118">
        <f t="shared" si="76"/>
        <v>77388273387.960007</v>
      </c>
    </row>
    <row r="431" spans="1:22" s="257" customFormat="1" ht="15.05" customHeight="1">
      <c r="A431" s="1889">
        <v>4</v>
      </c>
      <c r="B431" s="1889" t="s">
        <v>457</v>
      </c>
      <c r="C431" s="1889" t="s">
        <v>58</v>
      </c>
      <c r="D431" s="1889" t="s">
        <v>457</v>
      </c>
      <c r="E431" s="1905" t="s">
        <v>58</v>
      </c>
      <c r="F431" s="2827" t="s">
        <v>267</v>
      </c>
      <c r="G431" s="2828"/>
      <c r="H431" s="212"/>
      <c r="I431" s="2859"/>
      <c r="J431" s="3214"/>
      <c r="K431" s="3155"/>
      <c r="L431" s="3234">
        <v>0</v>
      </c>
      <c r="M431" s="3198"/>
      <c r="N431" s="3234"/>
      <c r="O431" s="3197"/>
      <c r="P431" s="3234">
        <f>MAR!N457</f>
        <v>0</v>
      </c>
      <c r="Q431" s="3197">
        <f t="shared" si="79"/>
        <v>0</v>
      </c>
      <c r="R431" s="3608">
        <v>0</v>
      </c>
      <c r="S431" s="3713"/>
      <c r="T431" s="3832"/>
      <c r="U431" s="1900"/>
      <c r="V431" s="1846">
        <f t="shared" si="76"/>
        <v>0</v>
      </c>
    </row>
    <row r="432" spans="1:22" s="2920" customFormat="1" ht="15.05" customHeight="1">
      <c r="A432" s="2985">
        <v>4</v>
      </c>
      <c r="B432" s="2985" t="s">
        <v>457</v>
      </c>
      <c r="C432" s="2985" t="s">
        <v>58</v>
      </c>
      <c r="D432" s="2985" t="s">
        <v>457</v>
      </c>
      <c r="E432" s="2985" t="s">
        <v>460</v>
      </c>
      <c r="F432" s="2986" t="s">
        <v>269</v>
      </c>
      <c r="G432" s="2987"/>
      <c r="H432" s="2988"/>
      <c r="I432" s="2989"/>
      <c r="J432" s="3199">
        <f>J433+J451+J448+J454+J460+J465+J470+J487+J490+J493+J496+J499+J502+J505+J508+J511+J513+J516+J518+J520+J522+J524+J528+J530+J534+J536+J539+J541+J543+J545+J547+J549+J551+J553+J556+J558+J560+J562</f>
        <v>13870510900</v>
      </c>
      <c r="K432" s="3199">
        <f t="shared" ref="K432:P432" si="80">K433+K451+K448+K454+K460+K465+K470+K487+K490+K493+K496+K499+K502+K505+K508+K511+K513+K516+K518+K520+K522+K524+K528+K530+K534+K536+K539+K541+K543+K545+K547+K549+K551+K553+K556+K558+K560+K562</f>
        <v>13001891981.540001</v>
      </c>
      <c r="L432" s="3199">
        <f t="shared" si="80"/>
        <v>13870510900</v>
      </c>
      <c r="M432" s="3199">
        <f t="shared" si="80"/>
        <v>804203846.99000001</v>
      </c>
      <c r="N432" s="3199">
        <f t="shared" si="80"/>
        <v>422864500</v>
      </c>
      <c r="O432" s="3199">
        <f t="shared" si="80"/>
        <v>19347068346.990002</v>
      </c>
      <c r="P432" s="3199">
        <f t="shared" si="80"/>
        <v>32204146900</v>
      </c>
      <c r="Q432" s="3199">
        <f t="shared" si="79"/>
        <v>18333636000</v>
      </c>
      <c r="R432" s="3608">
        <f>+P432/L432*100-100</f>
        <v>132.17707791859348</v>
      </c>
      <c r="S432" s="3713"/>
      <c r="T432" s="3832"/>
      <c r="U432" s="3120"/>
      <c r="V432" s="2923">
        <f t="shared" si="76"/>
        <v>77388273387.960007</v>
      </c>
    </row>
    <row r="433" spans="1:22" s="257" customFormat="1" ht="15.05" customHeight="1">
      <c r="A433" s="1855"/>
      <c r="B433" s="1855"/>
      <c r="C433" s="1855"/>
      <c r="D433" s="1855"/>
      <c r="E433" s="1855"/>
      <c r="F433" s="1464" t="s">
        <v>614</v>
      </c>
      <c r="G433" s="1860"/>
      <c r="H433" s="202"/>
      <c r="I433" s="202"/>
      <c r="J433" s="3259">
        <f>+J434</f>
        <v>4625000</v>
      </c>
      <c r="K433" s="3200">
        <v>0</v>
      </c>
      <c r="L433" s="3182">
        <f>SUM(L434:L435)</f>
        <v>4625000</v>
      </c>
      <c r="M433" s="3183">
        <v>0</v>
      </c>
      <c r="N433" s="3182">
        <f>SUM(N434:N435)</f>
        <v>0</v>
      </c>
      <c r="O433" s="3182">
        <f>N433+M433</f>
        <v>0</v>
      </c>
      <c r="P433" s="3182">
        <v>4625000</v>
      </c>
      <c r="Q433" s="3182">
        <f t="shared" si="79"/>
        <v>0</v>
      </c>
      <c r="R433" s="3601">
        <f>+P433/L433*100-100</f>
        <v>0</v>
      </c>
      <c r="S433" s="3710"/>
      <c r="T433" s="3829"/>
      <c r="U433" s="3777"/>
      <c r="V433" s="1846">
        <f t="shared" si="76"/>
        <v>0</v>
      </c>
    </row>
    <row r="434" spans="1:22" s="257" customFormat="1" ht="15.05" customHeight="1">
      <c r="A434" s="1855"/>
      <c r="B434" s="1855"/>
      <c r="C434" s="1855"/>
      <c r="D434" s="1855"/>
      <c r="E434" s="1855"/>
      <c r="F434" s="1857" t="s">
        <v>50</v>
      </c>
      <c r="G434" s="1858"/>
      <c r="H434" s="200" t="s">
        <v>615</v>
      </c>
      <c r="I434" s="200"/>
      <c r="J434" s="3215">
        <v>4625000</v>
      </c>
      <c r="K434" s="3301">
        <v>0</v>
      </c>
      <c r="L434" s="3125">
        <v>4625000</v>
      </c>
      <c r="M434" s="3124">
        <v>0</v>
      </c>
      <c r="N434" s="3125">
        <v>0</v>
      </c>
      <c r="O434" s="3125">
        <v>0</v>
      </c>
      <c r="P434" s="3125">
        <v>0</v>
      </c>
      <c r="Q434" s="3125">
        <f t="shared" si="79"/>
        <v>-4625000</v>
      </c>
      <c r="R434" s="3605">
        <f>+P434/L434*100-100</f>
        <v>-100</v>
      </c>
      <c r="S434" s="3748"/>
      <c r="T434" s="3826"/>
      <c r="U434" s="3778">
        <f>PerDinas!Q637</f>
        <v>0</v>
      </c>
      <c r="V434" s="1846">
        <f t="shared" si="76"/>
        <v>0</v>
      </c>
    </row>
    <row r="435" spans="1:22" s="257" customFormat="1" ht="15.05" customHeight="1">
      <c r="A435" s="1855"/>
      <c r="B435" s="1855"/>
      <c r="C435" s="1855"/>
      <c r="D435" s="1855"/>
      <c r="E435" s="1855"/>
      <c r="F435" s="1857" t="s">
        <v>50</v>
      </c>
      <c r="G435" s="1858"/>
      <c r="H435" s="200" t="s">
        <v>85</v>
      </c>
      <c r="I435" s="200"/>
      <c r="J435" s="3482" t="s">
        <v>700</v>
      </c>
      <c r="K435" s="3302"/>
      <c r="L435" s="3125">
        <f>MAR!J485</f>
        <v>0</v>
      </c>
      <c r="M435" s="3124">
        <v>0</v>
      </c>
      <c r="N435" s="3125">
        <f>MAR!L485</f>
        <v>0</v>
      </c>
      <c r="O435" s="3125">
        <f>MAR!M485</f>
        <v>0</v>
      </c>
      <c r="P435" s="3125">
        <v>0</v>
      </c>
      <c r="Q435" s="3125">
        <f t="shared" si="79"/>
        <v>0</v>
      </c>
      <c r="R435" s="3605">
        <v>0</v>
      </c>
      <c r="S435" s="3748"/>
      <c r="T435" s="3826"/>
      <c r="U435" s="3778">
        <f>PerDinas!Q638</f>
        <v>0</v>
      </c>
      <c r="V435" s="1846">
        <f t="shared" si="76"/>
        <v>0</v>
      </c>
    </row>
    <row r="436" spans="1:22" s="257" customFormat="1" ht="15.05" hidden="1" customHeight="1">
      <c r="A436" s="1855"/>
      <c r="B436" s="1855"/>
      <c r="C436" s="1855"/>
      <c r="D436" s="1855"/>
      <c r="E436" s="1855"/>
      <c r="F436" s="1464" t="s">
        <v>616</v>
      </c>
      <c r="G436" s="1860"/>
      <c r="H436" s="202"/>
      <c r="I436" s="202"/>
      <c r="J436" s="3259"/>
      <c r="K436" s="3302"/>
      <c r="L436" s="3182">
        <f>L437+L438</f>
        <v>0</v>
      </c>
      <c r="M436" s="3183">
        <v>0</v>
      </c>
      <c r="N436" s="3182">
        <f>N437+N438</f>
        <v>0</v>
      </c>
      <c r="O436" s="3182">
        <f>N436+M436</f>
        <v>0</v>
      </c>
      <c r="P436" s="3182">
        <v>0</v>
      </c>
      <c r="Q436" s="3182">
        <f t="shared" si="79"/>
        <v>0</v>
      </c>
      <c r="R436" s="3601" t="e">
        <f t="shared" ref="R436:R452" si="81">+P436/L436*100-100</f>
        <v>#DIV/0!</v>
      </c>
      <c r="S436" s="3710"/>
      <c r="T436" s="3829"/>
      <c r="U436" s="3777"/>
      <c r="V436" s="1846">
        <f t="shared" si="76"/>
        <v>0</v>
      </c>
    </row>
    <row r="437" spans="1:22" s="257" customFormat="1" ht="15.05" hidden="1" customHeight="1">
      <c r="A437" s="1855"/>
      <c r="B437" s="1855"/>
      <c r="C437" s="1855"/>
      <c r="D437" s="1855"/>
      <c r="E437" s="1855"/>
      <c r="F437" s="1857" t="s">
        <v>50</v>
      </c>
      <c r="G437" s="1858"/>
      <c r="H437" s="200" t="s">
        <v>85</v>
      </c>
      <c r="I437" s="200"/>
      <c r="J437" s="3215"/>
      <c r="K437" s="3302"/>
      <c r="L437" s="3125">
        <f>MAR!J127</f>
        <v>0</v>
      </c>
      <c r="M437" s="3124">
        <v>0</v>
      </c>
      <c r="N437" s="3125">
        <f>MAR!L127</f>
        <v>0</v>
      </c>
      <c r="O437" s="3125">
        <f>MAR!M127</f>
        <v>0</v>
      </c>
      <c r="P437" s="3125">
        <v>0</v>
      </c>
      <c r="Q437" s="3125">
        <f t="shared" si="79"/>
        <v>0</v>
      </c>
      <c r="R437" s="3605" t="e">
        <f t="shared" si="81"/>
        <v>#DIV/0!</v>
      </c>
      <c r="S437" s="3748"/>
      <c r="T437" s="3826"/>
      <c r="U437" s="3778">
        <f>PerDinas!Q583</f>
        <v>0</v>
      </c>
      <c r="V437" s="1846">
        <f t="shared" si="76"/>
        <v>0</v>
      </c>
    </row>
    <row r="438" spans="1:22" s="257" customFormat="1" ht="15.05" hidden="1" customHeight="1">
      <c r="A438" s="1855"/>
      <c r="B438" s="1855"/>
      <c r="C438" s="1855"/>
      <c r="D438" s="1855"/>
      <c r="E438" s="1855"/>
      <c r="F438" s="1857"/>
      <c r="G438" s="1858"/>
      <c r="H438" s="200"/>
      <c r="I438" s="200"/>
      <c r="J438" s="3215"/>
      <c r="K438" s="3302"/>
      <c r="L438" s="3125"/>
      <c r="M438" s="3124"/>
      <c r="N438" s="3125"/>
      <c r="O438" s="3125"/>
      <c r="P438" s="3125"/>
      <c r="Q438" s="3125">
        <f t="shared" si="79"/>
        <v>0</v>
      </c>
      <c r="R438" s="3605" t="e">
        <f t="shared" si="81"/>
        <v>#DIV/0!</v>
      </c>
      <c r="S438" s="3275"/>
      <c r="T438" s="3826"/>
      <c r="U438" s="3771"/>
      <c r="V438" s="1846">
        <f t="shared" si="76"/>
        <v>0</v>
      </c>
    </row>
    <row r="439" spans="1:22" s="257" customFormat="1" ht="15.05" hidden="1" customHeight="1">
      <c r="A439" s="1855"/>
      <c r="B439" s="1855"/>
      <c r="C439" s="1855"/>
      <c r="D439" s="1855"/>
      <c r="E439" s="1855"/>
      <c r="F439" s="1464" t="s">
        <v>617</v>
      </c>
      <c r="G439" s="1860"/>
      <c r="H439" s="202"/>
      <c r="I439" s="202"/>
      <c r="J439" s="3259"/>
      <c r="K439" s="3302"/>
      <c r="L439" s="3182">
        <f>L440</f>
        <v>0</v>
      </c>
      <c r="M439" s="3183">
        <v>0</v>
      </c>
      <c r="N439" s="3182">
        <f>N440</f>
        <v>0</v>
      </c>
      <c r="O439" s="3182">
        <f>N439+M439</f>
        <v>0</v>
      </c>
      <c r="P439" s="3182">
        <v>0</v>
      </c>
      <c r="Q439" s="3182">
        <f t="shared" si="79"/>
        <v>0</v>
      </c>
      <c r="R439" s="3601" t="e">
        <f t="shared" si="81"/>
        <v>#DIV/0!</v>
      </c>
      <c r="S439" s="3710"/>
      <c r="T439" s="3829"/>
      <c r="U439" s="3777"/>
      <c r="V439" s="1846">
        <f t="shared" si="76"/>
        <v>0</v>
      </c>
    </row>
    <row r="440" spans="1:22" s="257" customFormat="1" ht="15.05" hidden="1" customHeight="1">
      <c r="A440" s="1855"/>
      <c r="B440" s="1855"/>
      <c r="C440" s="1855"/>
      <c r="D440" s="1855"/>
      <c r="E440" s="1855"/>
      <c r="F440" s="1857" t="s">
        <v>50</v>
      </c>
      <c r="G440" s="1858"/>
      <c r="H440" s="200" t="s">
        <v>85</v>
      </c>
      <c r="I440" s="200"/>
      <c r="J440" s="3215"/>
      <c r="K440" s="3302"/>
      <c r="L440" s="3125">
        <f>MAR!J114</f>
        <v>0</v>
      </c>
      <c r="M440" s="3124">
        <v>0</v>
      </c>
      <c r="N440" s="3125">
        <f>MAR!L114</f>
        <v>0</v>
      </c>
      <c r="O440" s="3125">
        <f>MAR!M114</f>
        <v>0</v>
      </c>
      <c r="P440" s="3125">
        <v>0</v>
      </c>
      <c r="Q440" s="3125">
        <f t="shared" si="79"/>
        <v>0</v>
      </c>
      <c r="R440" s="3605" t="e">
        <f t="shared" si="81"/>
        <v>#DIV/0!</v>
      </c>
      <c r="S440" s="3275"/>
      <c r="T440" s="3826"/>
      <c r="U440" s="3771"/>
      <c r="V440" s="1846">
        <f t="shared" si="76"/>
        <v>0</v>
      </c>
    </row>
    <row r="441" spans="1:22" s="257" customFormat="1" ht="15.05" hidden="1" customHeight="1">
      <c r="A441" s="1855"/>
      <c r="B441" s="1855"/>
      <c r="C441" s="1855"/>
      <c r="D441" s="1855"/>
      <c r="E441" s="1855"/>
      <c r="F441" s="1857"/>
      <c r="G441" s="1858"/>
      <c r="H441" s="2860"/>
      <c r="I441" s="200"/>
      <c r="J441" s="3215"/>
      <c r="K441" s="3302"/>
      <c r="L441" s="3125"/>
      <c r="M441" s="3124"/>
      <c r="N441" s="3125"/>
      <c r="O441" s="3125"/>
      <c r="P441" s="3125"/>
      <c r="Q441" s="3125">
        <f t="shared" si="79"/>
        <v>0</v>
      </c>
      <c r="R441" s="3605" t="e">
        <f t="shared" si="81"/>
        <v>#DIV/0!</v>
      </c>
      <c r="S441" s="3275"/>
      <c r="T441" s="3826"/>
      <c r="U441" s="3771"/>
      <c r="V441" s="1846">
        <f t="shared" si="76"/>
        <v>0</v>
      </c>
    </row>
    <row r="442" spans="1:22" s="257" customFormat="1" ht="15.05" hidden="1" customHeight="1">
      <c r="A442" s="1855"/>
      <c r="B442" s="1855"/>
      <c r="C442" s="1855"/>
      <c r="D442" s="1855"/>
      <c r="E442" s="1855"/>
      <c r="F442" s="1464" t="s">
        <v>618</v>
      </c>
      <c r="G442" s="1860"/>
      <c r="H442" s="202"/>
      <c r="I442" s="202"/>
      <c r="J442" s="3259"/>
      <c r="K442" s="3302"/>
      <c r="L442" s="3182">
        <f>L443</f>
        <v>0</v>
      </c>
      <c r="M442" s="3183">
        <v>0</v>
      </c>
      <c r="N442" s="3182">
        <f>N443</f>
        <v>0</v>
      </c>
      <c r="O442" s="3182">
        <f>N442+M442</f>
        <v>0</v>
      </c>
      <c r="P442" s="3182">
        <v>0</v>
      </c>
      <c r="Q442" s="3182">
        <f t="shared" si="79"/>
        <v>0</v>
      </c>
      <c r="R442" s="3601" t="e">
        <f t="shared" si="81"/>
        <v>#DIV/0!</v>
      </c>
      <c r="S442" s="3710"/>
      <c r="T442" s="3829"/>
      <c r="U442" s="3777"/>
      <c r="V442" s="1846">
        <f t="shared" si="76"/>
        <v>0</v>
      </c>
    </row>
    <row r="443" spans="1:22" s="257" customFormat="1" ht="15.05" hidden="1" customHeight="1">
      <c r="A443" s="1855"/>
      <c r="B443" s="1855"/>
      <c r="C443" s="1855"/>
      <c r="D443" s="1855"/>
      <c r="E443" s="1855"/>
      <c r="F443" s="1857" t="s">
        <v>50</v>
      </c>
      <c r="G443" s="1858"/>
      <c r="H443" s="2860" t="s">
        <v>85</v>
      </c>
      <c r="I443" s="200"/>
      <c r="J443" s="3215"/>
      <c r="K443" s="3302"/>
      <c r="L443" s="3125">
        <f>MAR!J76</f>
        <v>0</v>
      </c>
      <c r="M443" s="3124">
        <v>0</v>
      </c>
      <c r="N443" s="3125">
        <f>MAR!L76</f>
        <v>0</v>
      </c>
      <c r="O443" s="3125">
        <f>MAR!M76</f>
        <v>0</v>
      </c>
      <c r="P443" s="3125">
        <v>0</v>
      </c>
      <c r="Q443" s="3125">
        <f t="shared" si="79"/>
        <v>0</v>
      </c>
      <c r="R443" s="3605" t="e">
        <f t="shared" si="81"/>
        <v>#DIV/0!</v>
      </c>
      <c r="S443" s="3748"/>
      <c r="T443" s="3826"/>
      <c r="U443" s="3778">
        <f>PerDinas!Q138</f>
        <v>0</v>
      </c>
      <c r="V443" s="1846">
        <f t="shared" si="76"/>
        <v>0</v>
      </c>
    </row>
    <row r="444" spans="1:22" s="257" customFormat="1" ht="15.05" hidden="1" customHeight="1">
      <c r="A444" s="1855"/>
      <c r="B444" s="1855"/>
      <c r="C444" s="1855"/>
      <c r="D444" s="1855"/>
      <c r="E444" s="1855"/>
      <c r="F444" s="1857"/>
      <c r="G444" s="1858"/>
      <c r="H444" s="2860"/>
      <c r="I444" s="200"/>
      <c r="J444" s="3215"/>
      <c r="K444" s="3302"/>
      <c r="L444" s="3125"/>
      <c r="M444" s="3124"/>
      <c r="N444" s="3125"/>
      <c r="O444" s="3125"/>
      <c r="P444" s="3125"/>
      <c r="Q444" s="3125">
        <f t="shared" si="79"/>
        <v>0</v>
      </c>
      <c r="R444" s="3605" t="e">
        <f t="shared" si="81"/>
        <v>#DIV/0!</v>
      </c>
      <c r="S444" s="3275"/>
      <c r="T444" s="3826"/>
      <c r="U444" s="3771"/>
      <c r="V444" s="1846">
        <f t="shared" si="76"/>
        <v>0</v>
      </c>
    </row>
    <row r="445" spans="1:22" s="257" customFormat="1" ht="15.05" hidden="1" customHeight="1">
      <c r="A445" s="1855"/>
      <c r="B445" s="1855"/>
      <c r="C445" s="1855"/>
      <c r="D445" s="1855"/>
      <c r="E445" s="1855"/>
      <c r="F445" s="1464" t="s">
        <v>619</v>
      </c>
      <c r="G445" s="1860"/>
      <c r="H445" s="202"/>
      <c r="I445" s="202"/>
      <c r="J445" s="3259"/>
      <c r="K445" s="3302"/>
      <c r="L445" s="3182">
        <f>L446</f>
        <v>0</v>
      </c>
      <c r="M445" s="3183">
        <v>0</v>
      </c>
      <c r="N445" s="3182">
        <f>N446</f>
        <v>0</v>
      </c>
      <c r="O445" s="3182">
        <f>O446</f>
        <v>0</v>
      </c>
      <c r="P445" s="3182">
        <v>0</v>
      </c>
      <c r="Q445" s="3182">
        <f t="shared" si="79"/>
        <v>0</v>
      </c>
      <c r="R445" s="3601" t="e">
        <f t="shared" si="81"/>
        <v>#DIV/0!</v>
      </c>
      <c r="S445" s="3731"/>
      <c r="T445" s="3829"/>
      <c r="U445" s="3781">
        <f>U446</f>
        <v>0</v>
      </c>
      <c r="V445" s="1846">
        <f t="shared" si="76"/>
        <v>0</v>
      </c>
    </row>
    <row r="446" spans="1:22" s="257" customFormat="1" ht="15.05" hidden="1" customHeight="1">
      <c r="A446" s="1855"/>
      <c r="B446" s="1855"/>
      <c r="C446" s="1855"/>
      <c r="D446" s="1855"/>
      <c r="E446" s="1855"/>
      <c r="F446" s="1857" t="s">
        <v>50</v>
      </c>
      <c r="G446" s="1858"/>
      <c r="H446" s="2860" t="s">
        <v>472</v>
      </c>
      <c r="I446" s="200"/>
      <c r="J446" s="3215"/>
      <c r="K446" s="3302"/>
      <c r="L446" s="3125">
        <f>MAR!J194</f>
        <v>0</v>
      </c>
      <c r="M446" s="3124">
        <v>0</v>
      </c>
      <c r="N446" s="3125">
        <f>MAR!L194</f>
        <v>0</v>
      </c>
      <c r="O446" s="3125">
        <f>MAR!M194</f>
        <v>0</v>
      </c>
      <c r="P446" s="3125">
        <v>0</v>
      </c>
      <c r="Q446" s="3125">
        <f t="shared" si="79"/>
        <v>0</v>
      </c>
      <c r="R446" s="3605" t="e">
        <f t="shared" si="81"/>
        <v>#DIV/0!</v>
      </c>
      <c r="S446" s="3748"/>
      <c r="T446" s="3826"/>
      <c r="U446" s="3778">
        <f>PerDinas!Q1090</f>
        <v>0</v>
      </c>
      <c r="V446" s="1846">
        <f t="shared" si="76"/>
        <v>0</v>
      </c>
    </row>
    <row r="447" spans="1:22" s="257" customFormat="1" ht="15.05" hidden="1" customHeight="1">
      <c r="A447" s="1855"/>
      <c r="B447" s="1855"/>
      <c r="C447" s="1855"/>
      <c r="D447" s="1855"/>
      <c r="E447" s="1855"/>
      <c r="F447" s="1857"/>
      <c r="G447" s="1858"/>
      <c r="H447" s="2860"/>
      <c r="I447" s="200"/>
      <c r="J447" s="3215"/>
      <c r="K447" s="3302"/>
      <c r="L447" s="3125"/>
      <c r="M447" s="3124"/>
      <c r="N447" s="3125"/>
      <c r="O447" s="3125"/>
      <c r="P447" s="3125"/>
      <c r="Q447" s="3125">
        <f t="shared" si="79"/>
        <v>0</v>
      </c>
      <c r="R447" s="3605" t="e">
        <f t="shared" si="81"/>
        <v>#DIV/0!</v>
      </c>
      <c r="S447" s="3275"/>
      <c r="T447" s="3826"/>
      <c r="U447" s="3771"/>
      <c r="V447" s="1846">
        <f t="shared" si="76"/>
        <v>0</v>
      </c>
    </row>
    <row r="448" spans="1:22" s="257" customFormat="1" ht="15.05" customHeight="1">
      <c r="A448" s="1855"/>
      <c r="B448" s="1855"/>
      <c r="C448" s="1855"/>
      <c r="D448" s="1855"/>
      <c r="E448" s="1855"/>
      <c r="F448" s="1464" t="s">
        <v>620</v>
      </c>
      <c r="G448" s="1860"/>
      <c r="H448" s="202"/>
      <c r="I448" s="202"/>
      <c r="J448" s="3259"/>
      <c r="K448" s="3476">
        <f>+K449</f>
        <v>20225025</v>
      </c>
      <c r="L448" s="3182">
        <f>L449+L450</f>
        <v>0</v>
      </c>
      <c r="M448" s="3183">
        <v>0</v>
      </c>
      <c r="N448" s="3182">
        <f>N449+N450</f>
        <v>0</v>
      </c>
      <c r="O448" s="3182">
        <f>N448+M448</f>
        <v>0</v>
      </c>
      <c r="P448" s="3182">
        <v>0</v>
      </c>
      <c r="Q448" s="3182">
        <f t="shared" si="79"/>
        <v>0</v>
      </c>
      <c r="R448" s="3601" t="e">
        <f t="shared" si="81"/>
        <v>#DIV/0!</v>
      </c>
      <c r="S448" s="3710"/>
      <c r="T448" s="3829"/>
      <c r="U448" s="3777"/>
      <c r="V448" s="1846">
        <f t="shared" si="76"/>
        <v>0</v>
      </c>
    </row>
    <row r="449" spans="1:22" s="257" customFormat="1" ht="15.05" customHeight="1">
      <c r="A449" s="1855"/>
      <c r="B449" s="1855"/>
      <c r="C449" s="1855"/>
      <c r="D449" s="1855"/>
      <c r="E449" s="1855"/>
      <c r="F449" s="1857" t="s">
        <v>50</v>
      </c>
      <c r="G449" s="1858"/>
      <c r="H449" s="200" t="s">
        <v>85</v>
      </c>
      <c r="I449" s="200"/>
      <c r="J449" s="3215"/>
      <c r="K449" s="3303">
        <v>20225025</v>
      </c>
      <c r="L449" s="3125">
        <v>0</v>
      </c>
      <c r="M449" s="3124">
        <v>0</v>
      </c>
      <c r="N449" s="3125">
        <v>0</v>
      </c>
      <c r="O449" s="3125">
        <v>0</v>
      </c>
      <c r="P449" s="3125">
        <v>0</v>
      </c>
      <c r="Q449" s="3125">
        <f t="shared" si="79"/>
        <v>0</v>
      </c>
      <c r="R449" s="3605" t="e">
        <f t="shared" si="81"/>
        <v>#DIV/0!</v>
      </c>
      <c r="S449" s="3748"/>
      <c r="T449" s="3826"/>
      <c r="U449" s="3778">
        <f>PerDinas!Q586</f>
        <v>0</v>
      </c>
      <c r="V449" s="1846">
        <f t="shared" si="76"/>
        <v>0</v>
      </c>
    </row>
    <row r="450" spans="1:22" s="257" customFormat="1" ht="15.05" hidden="1" customHeight="1">
      <c r="A450" s="1855"/>
      <c r="B450" s="1855"/>
      <c r="C450" s="1855"/>
      <c r="D450" s="1855"/>
      <c r="E450" s="1855"/>
      <c r="F450" s="1857"/>
      <c r="G450" s="1858"/>
      <c r="H450" s="200"/>
      <c r="I450" s="200"/>
      <c r="J450" s="3215"/>
      <c r="K450" s="3302"/>
      <c r="L450" s="3125"/>
      <c r="M450" s="3124"/>
      <c r="N450" s="3125"/>
      <c r="O450" s="3125"/>
      <c r="P450" s="3125"/>
      <c r="Q450" s="3125">
        <f t="shared" si="79"/>
        <v>0</v>
      </c>
      <c r="R450" s="3605" t="e">
        <f t="shared" si="81"/>
        <v>#DIV/0!</v>
      </c>
      <c r="S450" s="3275"/>
      <c r="T450" s="3826"/>
      <c r="U450" s="3771"/>
      <c r="V450" s="1846">
        <f t="shared" si="76"/>
        <v>0</v>
      </c>
    </row>
    <row r="451" spans="1:22" s="257" customFormat="1" ht="15.05" customHeight="1">
      <c r="A451" s="1855"/>
      <c r="B451" s="1855"/>
      <c r="C451" s="1855"/>
      <c r="D451" s="1855"/>
      <c r="E451" s="1855"/>
      <c r="F451" s="1464" t="s">
        <v>621</v>
      </c>
      <c r="G451" s="1860"/>
      <c r="H451" s="202"/>
      <c r="I451" s="202"/>
      <c r="J451" s="3182">
        <f>J452+J453</f>
        <v>51419400</v>
      </c>
      <c r="K451" s="3182">
        <f>K452+K453</f>
        <v>0</v>
      </c>
      <c r="L451" s="3271">
        <f>L452</f>
        <v>51419400</v>
      </c>
      <c r="M451" s="3183">
        <v>0</v>
      </c>
      <c r="N451" s="3182">
        <f>N452+N453</f>
        <v>0</v>
      </c>
      <c r="O451" s="3182">
        <f>N451+M451</f>
        <v>0</v>
      </c>
      <c r="P451" s="3182">
        <v>51419400</v>
      </c>
      <c r="Q451" s="3182">
        <f>+P451-O424</f>
        <v>0</v>
      </c>
      <c r="R451" s="3601">
        <f>+P451/O424*100-100</f>
        <v>0</v>
      </c>
      <c r="S451" s="3710"/>
      <c r="T451" s="3829"/>
      <c r="U451" s="3777"/>
      <c r="V451" s="1846">
        <f t="shared" si="76"/>
        <v>0</v>
      </c>
    </row>
    <row r="452" spans="1:22" s="257" customFormat="1" ht="15.05" customHeight="1">
      <c r="A452" s="1855"/>
      <c r="B452" s="1855"/>
      <c r="C452" s="1855"/>
      <c r="D452" s="1855"/>
      <c r="E452" s="1855"/>
      <c r="F452" s="1857" t="s">
        <v>50</v>
      </c>
      <c r="G452" s="1858"/>
      <c r="H452" s="200" t="s">
        <v>622</v>
      </c>
      <c r="I452" s="200"/>
      <c r="J452" s="3215">
        <v>51419400</v>
      </c>
      <c r="K452" s="3301">
        <v>0</v>
      </c>
      <c r="L452" s="3125">
        <v>51419400</v>
      </c>
      <c r="M452" s="3124">
        <v>0</v>
      </c>
      <c r="N452" s="3125">
        <v>0</v>
      </c>
      <c r="O452" s="3125">
        <v>0</v>
      </c>
      <c r="P452" s="3125">
        <v>51419400</v>
      </c>
      <c r="Q452" s="3125">
        <f t="shared" si="79"/>
        <v>0</v>
      </c>
      <c r="R452" s="3605">
        <f t="shared" si="81"/>
        <v>0</v>
      </c>
      <c r="S452" s="3748"/>
      <c r="T452" s="3826"/>
      <c r="U452" s="3778">
        <f>PerDinas!Q589</f>
        <v>0</v>
      </c>
      <c r="V452" s="1846">
        <f t="shared" si="76"/>
        <v>0</v>
      </c>
    </row>
    <row r="453" spans="1:22" s="257" customFormat="1" ht="15.05" customHeight="1">
      <c r="A453" s="1855"/>
      <c r="B453" s="1855"/>
      <c r="C453" s="1855"/>
      <c r="D453" s="1855"/>
      <c r="E453" s="1855"/>
      <c r="F453" s="1857" t="s">
        <v>50</v>
      </c>
      <c r="G453" s="1858"/>
      <c r="H453" s="200" t="s">
        <v>85</v>
      </c>
      <c r="I453" s="200"/>
      <c r="J453" s="3248">
        <v>0</v>
      </c>
      <c r="K453" s="3301">
        <v>0</v>
      </c>
      <c r="L453" s="3125">
        <f>MAR!J209</f>
        <v>0</v>
      </c>
      <c r="M453" s="3124">
        <v>0</v>
      </c>
      <c r="N453" s="3125">
        <f>MAR!L209</f>
        <v>0</v>
      </c>
      <c r="O453" s="3125">
        <f>MAR!M209</f>
        <v>0</v>
      </c>
      <c r="P453" s="3125">
        <v>0</v>
      </c>
      <c r="Q453" s="3125">
        <f t="shared" si="79"/>
        <v>0</v>
      </c>
      <c r="R453" s="3605">
        <v>0</v>
      </c>
      <c r="S453" s="3275"/>
      <c r="T453" s="3826"/>
      <c r="U453" s="3771"/>
      <c r="V453" s="1846">
        <f t="shared" si="76"/>
        <v>0</v>
      </c>
    </row>
    <row r="454" spans="1:22" s="257" customFormat="1" ht="15.05" customHeight="1">
      <c r="A454" s="1855"/>
      <c r="B454" s="1855"/>
      <c r="C454" s="1855"/>
      <c r="D454" s="1855"/>
      <c r="E454" s="1855"/>
      <c r="F454" s="1464" t="s">
        <v>273</v>
      </c>
      <c r="G454" s="1860"/>
      <c r="H454" s="202"/>
      <c r="I454" s="202"/>
      <c r="J454" s="3259">
        <f>SUM(J455:J458)</f>
        <v>335291000</v>
      </c>
      <c r="K454" s="3259">
        <f>SUM(K455:K458)</f>
        <v>42721830</v>
      </c>
      <c r="L454" s="3259">
        <f>SUM(L455:L458)</f>
        <v>335291000</v>
      </c>
      <c r="M454" s="3183">
        <v>0</v>
      </c>
      <c r="N454" s="3182">
        <f>SUM(N455:N459)</f>
        <v>0</v>
      </c>
      <c r="O454" s="3182">
        <f>N454+M454</f>
        <v>0</v>
      </c>
      <c r="P454" s="3182">
        <v>335291000</v>
      </c>
      <c r="Q454" s="3182">
        <f t="shared" si="79"/>
        <v>0</v>
      </c>
      <c r="R454" s="3601">
        <f>+P454/L454*100-100</f>
        <v>0</v>
      </c>
      <c r="S454" s="3710"/>
      <c r="T454" s="3829"/>
      <c r="U454" s="3777"/>
      <c r="V454" s="1846">
        <f t="shared" si="76"/>
        <v>0</v>
      </c>
    </row>
    <row r="455" spans="1:22" s="2883" customFormat="1" ht="15.05" customHeight="1">
      <c r="A455" s="2875"/>
      <c r="B455" s="2875"/>
      <c r="C455" s="2875"/>
      <c r="D455" s="2875"/>
      <c r="E455" s="2875"/>
      <c r="F455" s="2877" t="s">
        <v>50</v>
      </c>
      <c r="G455" s="2878"/>
      <c r="H455" s="2879" t="str">
        <f>MAR!I231</f>
        <v>Jasa Pengiriman TKI</v>
      </c>
      <c r="I455" s="3477"/>
      <c r="J455" s="3478">
        <v>55355000</v>
      </c>
      <c r="K455" s="3479">
        <v>4705830</v>
      </c>
      <c r="L455" s="3166">
        <v>55355000</v>
      </c>
      <c r="M455" s="3187">
        <v>0</v>
      </c>
      <c r="N455" s="3166">
        <v>0</v>
      </c>
      <c r="O455" s="3166">
        <v>0</v>
      </c>
      <c r="P455" s="3166">
        <v>55355000</v>
      </c>
      <c r="Q455" s="3166">
        <f t="shared" si="79"/>
        <v>0</v>
      </c>
      <c r="R455" s="3605">
        <f>+P455/L455*100-100</f>
        <v>0</v>
      </c>
      <c r="S455" s="3748"/>
      <c r="T455" s="3826"/>
      <c r="U455" s="3780">
        <f>PerDinas!Q591</f>
        <v>0</v>
      </c>
      <c r="V455" s="2882">
        <f t="shared" si="76"/>
        <v>0</v>
      </c>
    </row>
    <row r="456" spans="1:22" s="257" customFormat="1" ht="15.05" customHeight="1">
      <c r="A456" s="1855"/>
      <c r="B456" s="1855"/>
      <c r="C456" s="1855"/>
      <c r="D456" s="1855"/>
      <c r="E456" s="1855"/>
      <c r="F456" s="1857" t="s">
        <v>50</v>
      </c>
      <c r="G456" s="1858"/>
      <c r="H456" s="847" t="str">
        <f>MAR!I232</f>
        <v>Hibah Pihak Ketiga</v>
      </c>
      <c r="I456" s="1937"/>
      <c r="J456" s="3478">
        <v>57136000</v>
      </c>
      <c r="K456" s="3304">
        <v>0</v>
      </c>
      <c r="L456" s="3125">
        <v>57136000</v>
      </c>
      <c r="M456" s="3124">
        <v>0</v>
      </c>
      <c r="N456" s="3125">
        <v>0</v>
      </c>
      <c r="O456" s="3125">
        <v>0</v>
      </c>
      <c r="P456" s="3125">
        <v>57136000</v>
      </c>
      <c r="Q456" s="3125">
        <f t="shared" si="79"/>
        <v>0</v>
      </c>
      <c r="R456" s="3605">
        <f>+P456/L456*100-100</f>
        <v>0</v>
      </c>
      <c r="S456" s="3748"/>
      <c r="T456" s="3826"/>
      <c r="U456" s="3778">
        <f>PerDinas!Q592</f>
        <v>0</v>
      </c>
      <c r="V456" s="1846">
        <f t="shared" si="76"/>
        <v>0</v>
      </c>
    </row>
    <row r="457" spans="1:22" s="257" customFormat="1" ht="15.05" customHeight="1">
      <c r="A457" s="1855"/>
      <c r="B457" s="1855"/>
      <c r="C457" s="1855"/>
      <c r="D457" s="1855"/>
      <c r="E457" s="1855"/>
      <c r="F457" s="1857" t="s">
        <v>50</v>
      </c>
      <c r="G457" s="1858"/>
      <c r="H457" s="847" t="str">
        <f>MAR!I233</f>
        <v>Lain-lain Pendapatan yang sah (BLK)</v>
      </c>
      <c r="I457" s="1937"/>
      <c r="J457" s="3478">
        <v>24760000</v>
      </c>
      <c r="K457" s="3479">
        <v>9600000</v>
      </c>
      <c r="L457" s="3125">
        <v>24760000</v>
      </c>
      <c r="M457" s="3124">
        <v>0</v>
      </c>
      <c r="N457" s="3125">
        <v>0</v>
      </c>
      <c r="O457" s="3125">
        <v>0</v>
      </c>
      <c r="P457" s="3125">
        <v>24760000</v>
      </c>
      <c r="Q457" s="3125">
        <f t="shared" si="79"/>
        <v>0</v>
      </c>
      <c r="R457" s="3605">
        <f>+P457/L457*100-100</f>
        <v>0</v>
      </c>
      <c r="S457" s="3748"/>
      <c r="T457" s="3826"/>
      <c r="U457" s="3778">
        <f>PerDinas!Q593</f>
        <v>0</v>
      </c>
      <c r="V457" s="1846">
        <f t="shared" si="76"/>
        <v>0</v>
      </c>
    </row>
    <row r="458" spans="1:22" s="257" customFormat="1" ht="15.05" customHeight="1">
      <c r="A458" s="1855"/>
      <c r="B458" s="1855"/>
      <c r="C458" s="1855"/>
      <c r="D458" s="1855"/>
      <c r="E458" s="1855"/>
      <c r="F458" s="1857"/>
      <c r="G458" s="1858"/>
      <c r="H458" s="847" t="str">
        <f>MAR!I234</f>
        <v>Jasa Pelayanan TKI</v>
      </c>
      <c r="I458" s="1938"/>
      <c r="J458" s="3480">
        <v>198040000</v>
      </c>
      <c r="K458" s="3481">
        <v>28416000</v>
      </c>
      <c r="L458" s="3125">
        <v>198040000</v>
      </c>
      <c r="M458" s="3124">
        <v>0</v>
      </c>
      <c r="N458" s="3125">
        <v>0</v>
      </c>
      <c r="O458" s="3125">
        <v>0</v>
      </c>
      <c r="P458" s="3125">
        <v>198040000</v>
      </c>
      <c r="Q458" s="3125">
        <f t="shared" si="79"/>
        <v>0</v>
      </c>
      <c r="R458" s="3605">
        <f>+P458/L458*100-100</f>
        <v>0</v>
      </c>
      <c r="S458" s="3748"/>
      <c r="T458" s="3826"/>
      <c r="U458" s="3778">
        <v>0</v>
      </c>
      <c r="V458" s="1846">
        <f t="shared" si="76"/>
        <v>0</v>
      </c>
    </row>
    <row r="459" spans="1:22" s="257" customFormat="1" ht="15.05" hidden="1" customHeight="1">
      <c r="A459" s="1855"/>
      <c r="B459" s="1855"/>
      <c r="C459" s="1855"/>
      <c r="D459" s="1855"/>
      <c r="E459" s="1855"/>
      <c r="F459" s="1857"/>
      <c r="G459" s="1858"/>
      <c r="H459" s="847"/>
      <c r="I459" s="1937"/>
      <c r="J459" s="3305"/>
      <c r="K459" s="3304"/>
      <c r="L459" s="3125"/>
      <c r="M459" s="3124"/>
      <c r="N459" s="3125"/>
      <c r="O459" s="3125"/>
      <c r="P459" s="3125"/>
      <c r="Q459" s="3125"/>
      <c r="R459" s="3605"/>
      <c r="S459" s="3748"/>
      <c r="T459" s="3826"/>
      <c r="U459" s="3778"/>
      <c r="V459" s="1846"/>
    </row>
    <row r="460" spans="1:22" ht="15.05" customHeight="1">
      <c r="A460" s="1855"/>
      <c r="B460" s="1855"/>
      <c r="C460" s="1855"/>
      <c r="D460" s="1855"/>
      <c r="E460" s="1855"/>
      <c r="F460" s="1464" t="s">
        <v>224</v>
      </c>
      <c r="G460" s="1860"/>
      <c r="H460" s="202"/>
      <c r="I460" s="202"/>
      <c r="J460" s="3259">
        <f t="shared" ref="J460:O460" si="82">SUM(J461:J463)</f>
        <v>400714300</v>
      </c>
      <c r="K460" s="3259">
        <f>SUM(K461:K463)</f>
        <v>115089700</v>
      </c>
      <c r="L460" s="3259">
        <f>SUM(L461:L463)</f>
        <v>400714300</v>
      </c>
      <c r="M460" s="3183">
        <v>44168718</v>
      </c>
      <c r="N460" s="3182">
        <f t="shared" si="82"/>
        <v>10589500</v>
      </c>
      <c r="O460" s="3182">
        <f t="shared" si="82"/>
        <v>54758218</v>
      </c>
      <c r="P460" s="3182">
        <v>400714300</v>
      </c>
      <c r="Q460" s="3182">
        <f>+P460-L460</f>
        <v>0</v>
      </c>
      <c r="R460" s="3601">
        <f>+P460/L460*100-100</f>
        <v>0</v>
      </c>
      <c r="S460" s="3710"/>
      <c r="T460" s="3829"/>
      <c r="U460" s="3777"/>
      <c r="V460" s="1846">
        <f t="shared" ref="V460:V523" si="83">O460*4</f>
        <v>219032872</v>
      </c>
    </row>
    <row r="461" spans="1:22" ht="15.05" customHeight="1">
      <c r="A461" s="1855"/>
      <c r="B461" s="1855"/>
      <c r="C461" s="1855"/>
      <c r="D461" s="1855"/>
      <c r="E461" s="1855"/>
      <c r="F461" s="1857" t="s">
        <v>50</v>
      </c>
      <c r="G461" s="1860"/>
      <c r="H461" s="847" t="str">
        <f>MAR!I252</f>
        <v>Hibah Pihak III</v>
      </c>
      <c r="I461" s="200"/>
      <c r="J461" s="3215">
        <v>63698000</v>
      </c>
      <c r="K461" s="3171">
        <v>27842400</v>
      </c>
      <c r="L461" s="3125">
        <v>63698000</v>
      </c>
      <c r="M461" s="3124">
        <v>4835000</v>
      </c>
      <c r="N461" s="3125">
        <v>0</v>
      </c>
      <c r="O461" s="3125">
        <v>4835000</v>
      </c>
      <c r="P461" s="3125">
        <v>63698000</v>
      </c>
      <c r="Q461" s="3125">
        <f>+P461-L461</f>
        <v>0</v>
      </c>
      <c r="R461" s="3605">
        <f>+P461/L461*100-100</f>
        <v>0</v>
      </c>
      <c r="S461" s="3748"/>
      <c r="T461" s="3826"/>
      <c r="U461" s="3778">
        <f>PerDinas!Q596</f>
        <v>0</v>
      </c>
      <c r="V461" s="1846">
        <f t="shared" si="83"/>
        <v>19340000</v>
      </c>
    </row>
    <row r="462" spans="1:22" ht="15.05" customHeight="1">
      <c r="A462" s="1855"/>
      <c r="B462" s="1855"/>
      <c r="C462" s="1855"/>
      <c r="D462" s="1855"/>
      <c r="E462" s="1855"/>
      <c r="F462" s="1857" t="s">
        <v>50</v>
      </c>
      <c r="G462" s="1858"/>
      <c r="H462" s="847" t="str">
        <f>MAR!I253</f>
        <v>Jasa Pelayanan Koperasi</v>
      </c>
      <c r="I462" s="200"/>
      <c r="J462" s="3215">
        <v>285233000</v>
      </c>
      <c r="K462" s="3171">
        <v>23875000</v>
      </c>
      <c r="L462" s="3125">
        <v>285233000</v>
      </c>
      <c r="M462" s="3124">
        <v>6750000</v>
      </c>
      <c r="N462" s="3125">
        <v>0</v>
      </c>
      <c r="O462" s="3125">
        <v>6750000</v>
      </c>
      <c r="P462" s="3125">
        <v>285233000</v>
      </c>
      <c r="Q462" s="3125">
        <f>+P462-L462</f>
        <v>0</v>
      </c>
      <c r="R462" s="3605">
        <f>+P462/L462*100-100</f>
        <v>0</v>
      </c>
      <c r="S462" s="3748"/>
      <c r="T462" s="3826"/>
      <c r="U462" s="3778">
        <f>PerDinas!Q597</f>
        <v>0</v>
      </c>
      <c r="V462" s="1846">
        <f t="shared" si="83"/>
        <v>27000000</v>
      </c>
    </row>
    <row r="463" spans="1:22" ht="15.05" customHeight="1">
      <c r="A463" s="1855"/>
      <c r="B463" s="1855"/>
      <c r="C463" s="1855"/>
      <c r="D463" s="1855"/>
      <c r="E463" s="1855"/>
      <c r="F463" s="1857" t="s">
        <v>50</v>
      </c>
      <c r="G463" s="1858"/>
      <c r="H463" s="847" t="str">
        <f>MAR!I254</f>
        <v>Dana Pembangunan Daerah Kerja</v>
      </c>
      <c r="I463" s="200"/>
      <c r="J463" s="3215">
        <v>51783300</v>
      </c>
      <c r="K463" s="3171">
        <v>63372300</v>
      </c>
      <c r="L463" s="3125">
        <v>51783300</v>
      </c>
      <c r="M463" s="3124">
        <v>32583718</v>
      </c>
      <c r="N463" s="3125">
        <v>10589500</v>
      </c>
      <c r="O463" s="3125">
        <v>43173218</v>
      </c>
      <c r="P463" s="3125">
        <v>51783300</v>
      </c>
      <c r="Q463" s="3125">
        <f>+P463-L463</f>
        <v>0</v>
      </c>
      <c r="R463" s="3605">
        <f>+P463/L463*100-100</f>
        <v>0</v>
      </c>
      <c r="S463" s="3748"/>
      <c r="T463" s="3826"/>
      <c r="U463" s="3778">
        <f>PerDinas!Q598</f>
        <v>0</v>
      </c>
      <c r="V463" s="1846">
        <f t="shared" si="83"/>
        <v>172692872</v>
      </c>
    </row>
    <row r="464" spans="1:22" ht="15.05" hidden="1" customHeight="1">
      <c r="A464" s="1855"/>
      <c r="B464" s="1855"/>
      <c r="C464" s="1855"/>
      <c r="D464" s="1855"/>
      <c r="E464" s="1855"/>
      <c r="F464" s="1857"/>
      <c r="G464" s="1858"/>
      <c r="H464" s="847"/>
      <c r="I464" s="200"/>
      <c r="J464" s="3215"/>
      <c r="K464" s="3171"/>
      <c r="L464" s="3125"/>
      <c r="M464" s="3124"/>
      <c r="N464" s="3125"/>
      <c r="O464" s="3125"/>
      <c r="P464" s="3125"/>
      <c r="Q464" s="3125"/>
      <c r="R464" s="3605"/>
      <c r="S464" s="3748"/>
      <c r="T464" s="3826"/>
      <c r="U464" s="3778"/>
      <c r="V464" s="1846">
        <f t="shared" si="83"/>
        <v>0</v>
      </c>
    </row>
    <row r="465" spans="1:22" ht="15.05" customHeight="1">
      <c r="A465" s="1855"/>
      <c r="B465" s="1855"/>
      <c r="C465" s="1855"/>
      <c r="D465" s="1855"/>
      <c r="E465" s="1855"/>
      <c r="F465" s="1464" t="s">
        <v>623</v>
      </c>
      <c r="G465" s="1860"/>
      <c r="H465" s="202"/>
      <c r="I465" s="202"/>
      <c r="J465" s="3259">
        <f>SUM(J466:J468)</f>
        <v>6980745800</v>
      </c>
      <c r="K465" s="3259">
        <f>SUM(K466:K468)</f>
        <v>4930803205</v>
      </c>
      <c r="L465" s="3259">
        <f>SUM(L466:L468)</f>
        <v>6980745800</v>
      </c>
      <c r="M465" s="3183">
        <v>0</v>
      </c>
      <c r="N465" s="3182">
        <f>SUM(N466:N469)</f>
        <v>0</v>
      </c>
      <c r="O465" s="3182">
        <f>N465+M465</f>
        <v>0</v>
      </c>
      <c r="P465" s="3182">
        <v>6980745800</v>
      </c>
      <c r="Q465" s="3182">
        <f>+P465-L465</f>
        <v>0</v>
      </c>
      <c r="R465" s="3601">
        <f>+P465/L465*100-100</f>
        <v>0</v>
      </c>
      <c r="S465" s="3710"/>
      <c r="T465" s="3829"/>
      <c r="U465" s="3777"/>
      <c r="V465" s="1846">
        <f t="shared" si="83"/>
        <v>0</v>
      </c>
    </row>
    <row r="466" spans="1:22" ht="15.05" customHeight="1">
      <c r="A466" s="1855"/>
      <c r="B466" s="1855"/>
      <c r="C466" s="1855"/>
      <c r="D466" s="1855"/>
      <c r="E466" s="1855"/>
      <c r="F466" s="2861" t="s">
        <v>50</v>
      </c>
      <c r="G466" s="2862"/>
      <c r="H466" s="3464" t="s">
        <v>1191</v>
      </c>
      <c r="I466" s="847"/>
      <c r="J466" s="3306">
        <v>3688800000</v>
      </c>
      <c r="K466" s="3307">
        <v>2120189000</v>
      </c>
      <c r="L466" s="3125">
        <v>3688800000</v>
      </c>
      <c r="M466" s="3124">
        <v>0</v>
      </c>
      <c r="N466" s="3125">
        <v>0</v>
      </c>
      <c r="O466" s="3125">
        <v>0</v>
      </c>
      <c r="P466" s="3125">
        <v>3688800000</v>
      </c>
      <c r="Q466" s="3125">
        <f>+P466-L466</f>
        <v>0</v>
      </c>
      <c r="R466" s="3605">
        <f>+P466/L466*100-100</f>
        <v>0</v>
      </c>
      <c r="S466" s="3275"/>
      <c r="T466" s="3826"/>
      <c r="U466" s="3771"/>
      <c r="V466" s="1846">
        <f t="shared" si="83"/>
        <v>0</v>
      </c>
    </row>
    <row r="467" spans="1:22" ht="15.05" customHeight="1">
      <c r="A467" s="1855"/>
      <c r="B467" s="1855"/>
      <c r="C467" s="1855"/>
      <c r="D467" s="1855"/>
      <c r="E467" s="1855"/>
      <c r="F467" s="2861" t="s">
        <v>50</v>
      </c>
      <c r="G467" s="2862"/>
      <c r="H467" s="5837" t="s">
        <v>85</v>
      </c>
      <c r="I467" s="5784"/>
      <c r="J467" s="3305">
        <v>0</v>
      </c>
      <c r="K467" s="3438">
        <v>1967138126</v>
      </c>
      <c r="L467" s="3125">
        <v>3291945800</v>
      </c>
      <c r="M467" s="3124">
        <v>0</v>
      </c>
      <c r="N467" s="3125">
        <v>0</v>
      </c>
      <c r="O467" s="3125">
        <v>0</v>
      </c>
      <c r="P467" s="3125">
        <v>3291945800</v>
      </c>
      <c r="Q467" s="3125">
        <f>+P467-L467</f>
        <v>0</v>
      </c>
      <c r="R467" s="3605">
        <f>+P467/L467*100-100</f>
        <v>0</v>
      </c>
      <c r="S467" s="3275"/>
      <c r="T467" s="3826"/>
      <c r="U467" s="3771"/>
      <c r="V467" s="1846">
        <f t="shared" si="83"/>
        <v>0</v>
      </c>
    </row>
    <row r="468" spans="1:22" s="3475" customFormat="1" ht="15.05" customHeight="1">
      <c r="A468" s="3465"/>
      <c r="B468" s="3465"/>
      <c r="C468" s="3465"/>
      <c r="D468" s="3465"/>
      <c r="E468" s="3465"/>
      <c r="F468" s="3466" t="s">
        <v>50</v>
      </c>
      <c r="G468" s="3467"/>
      <c r="H468" s="3468" t="s">
        <v>624</v>
      </c>
      <c r="I468" s="3468"/>
      <c r="J468" s="3469">
        <v>3291945800</v>
      </c>
      <c r="K468" s="3470">
        <v>843476079</v>
      </c>
      <c r="L468" s="3471"/>
      <c r="M468" s="3472"/>
      <c r="N468" s="3471"/>
      <c r="O468" s="3471"/>
      <c r="P468" s="3471"/>
      <c r="Q468" s="3471">
        <f>+P468-L468</f>
        <v>0</v>
      </c>
      <c r="R468" s="3639">
        <v>0</v>
      </c>
      <c r="S468" s="3755"/>
      <c r="T468" s="3856"/>
      <c r="U468" s="3810">
        <f>PerDinas!Q587</f>
        <v>0</v>
      </c>
      <c r="V468" s="3474">
        <f t="shared" si="83"/>
        <v>0</v>
      </c>
    </row>
    <row r="469" spans="1:22" ht="15.05" hidden="1" customHeight="1">
      <c r="A469" s="1855"/>
      <c r="B469" s="1855"/>
      <c r="C469" s="1855"/>
      <c r="D469" s="1855"/>
      <c r="E469" s="1855"/>
      <c r="F469" s="2861"/>
      <c r="G469" s="2862"/>
      <c r="H469" s="200"/>
      <c r="I469" s="200"/>
      <c r="J469" s="3215"/>
      <c r="K469" s="3171"/>
      <c r="L469" s="3125"/>
      <c r="M469" s="3124"/>
      <c r="N469" s="3125"/>
      <c r="O469" s="3125"/>
      <c r="P469" s="3125"/>
      <c r="Q469" s="3125"/>
      <c r="R469" s="3605"/>
      <c r="S469" s="3748"/>
      <c r="T469" s="3826"/>
      <c r="U469" s="3778"/>
      <c r="V469" s="1846">
        <f t="shared" si="83"/>
        <v>0</v>
      </c>
    </row>
    <row r="470" spans="1:22" ht="15.05" customHeight="1">
      <c r="A470" s="1855"/>
      <c r="B470" s="1855"/>
      <c r="C470" s="1855"/>
      <c r="D470" s="1855"/>
      <c r="E470" s="1855"/>
      <c r="F470" s="1464" t="s">
        <v>625</v>
      </c>
      <c r="G470" s="1860"/>
      <c r="H470" s="202"/>
      <c r="I470" s="202"/>
      <c r="J470" s="3259">
        <f>J471</f>
        <v>4562382400</v>
      </c>
      <c r="K470" s="3259">
        <f t="shared" ref="K470:P470" si="84">K471</f>
        <v>4736422507.3400002</v>
      </c>
      <c r="L470" s="3259">
        <f t="shared" si="84"/>
        <v>4562382400</v>
      </c>
      <c r="M470" s="3259">
        <f t="shared" si="84"/>
        <v>733425000</v>
      </c>
      <c r="N470" s="3259">
        <f t="shared" si="84"/>
        <v>411775000</v>
      </c>
      <c r="O470" s="3259">
        <f t="shared" si="84"/>
        <v>1145200000</v>
      </c>
      <c r="P470" s="3259">
        <f t="shared" si="84"/>
        <v>4776018400</v>
      </c>
      <c r="Q470" s="3182">
        <f t="shared" ref="Q470:Q483" si="85">+P470-L470</f>
        <v>213636000</v>
      </c>
      <c r="R470" s="3601">
        <f>+P470/L470*100-100</f>
        <v>4.6825535711342354</v>
      </c>
      <c r="S470" s="3697"/>
      <c r="T470" s="3816"/>
      <c r="U470" s="3777"/>
      <c r="V470" s="1846">
        <f t="shared" si="83"/>
        <v>4580800000</v>
      </c>
    </row>
    <row r="471" spans="1:22" ht="15.05" customHeight="1">
      <c r="A471" s="1855"/>
      <c r="B471" s="1855"/>
      <c r="C471" s="1855"/>
      <c r="D471" s="1855"/>
      <c r="E471" s="1855"/>
      <c r="F471" s="2830" t="s">
        <v>626</v>
      </c>
      <c r="G471" s="2831"/>
      <c r="H471" s="2322"/>
      <c r="I471" s="2322"/>
      <c r="J471" s="3272">
        <f>J472+J473+J485</f>
        <v>4562382400</v>
      </c>
      <c r="K471" s="3272">
        <f>K472+K473+K485</f>
        <v>4736422507.3400002</v>
      </c>
      <c r="L471" s="3272">
        <f>L472+L473+L485</f>
        <v>4562382400</v>
      </c>
      <c r="M471" s="3272">
        <f>M472+M473+M485</f>
        <v>733425000</v>
      </c>
      <c r="N471" s="3272">
        <f>N472+N473+N485</f>
        <v>411775000</v>
      </c>
      <c r="O471" s="3272">
        <f>O472+O473</f>
        <v>1145200000</v>
      </c>
      <c r="P471" s="3272">
        <f>P472+P473+P485</f>
        <v>4776018400</v>
      </c>
      <c r="Q471" s="3182">
        <f t="shared" si="85"/>
        <v>213636000</v>
      </c>
      <c r="R471" s="3601">
        <f>+P471/L471*100-100</f>
        <v>4.6825535711342354</v>
      </c>
      <c r="S471" s="3697"/>
      <c r="T471" s="3816"/>
      <c r="U471" s="3771"/>
      <c r="V471" s="1846">
        <f t="shared" si="83"/>
        <v>4580800000</v>
      </c>
    </row>
    <row r="472" spans="1:22" ht="15.05" customHeight="1">
      <c r="A472" s="1855"/>
      <c r="B472" s="1855"/>
      <c r="C472" s="1855"/>
      <c r="D472" s="1855"/>
      <c r="E472" s="1855"/>
      <c r="F472" s="2863"/>
      <c r="G472" s="1858"/>
      <c r="H472" s="2864" t="s">
        <v>627</v>
      </c>
      <c r="I472" s="200"/>
      <c r="J472" s="3215">
        <v>1439364000</v>
      </c>
      <c r="K472" s="3171">
        <v>1630820507.3399999</v>
      </c>
      <c r="L472" s="3125">
        <v>1439364000</v>
      </c>
      <c r="M472" s="3124">
        <v>0</v>
      </c>
      <c r="N472" s="3125">
        <v>0</v>
      </c>
      <c r="O472" s="3125">
        <v>413250000</v>
      </c>
      <c r="P472" s="3125">
        <v>1653000000</v>
      </c>
      <c r="Q472" s="3125">
        <f t="shared" si="85"/>
        <v>213636000</v>
      </c>
      <c r="R472" s="3605">
        <f>+P472/L472*100-100</f>
        <v>14.842388721685424</v>
      </c>
      <c r="S472" s="3748"/>
      <c r="T472" s="3826"/>
      <c r="U472" s="3778">
        <f>PerDinas!Q610</f>
        <v>0</v>
      </c>
      <c r="V472" s="1846">
        <f t="shared" si="83"/>
        <v>1653000000</v>
      </c>
    </row>
    <row r="473" spans="1:22" s="1839" customFormat="1" ht="15.05" customHeight="1">
      <c r="A473" s="1854"/>
      <c r="B473" s="1854"/>
      <c r="C473" s="1854"/>
      <c r="D473" s="1854"/>
      <c r="E473" s="1854"/>
      <c r="F473" s="1464" t="s">
        <v>50</v>
      </c>
      <c r="G473" s="1860"/>
      <c r="H473" s="202" t="s">
        <v>628</v>
      </c>
      <c r="I473" s="202"/>
      <c r="J473" s="3215">
        <v>3123018400</v>
      </c>
      <c r="K473" s="3123">
        <f>SUM(K474:K483)</f>
        <v>3105602000</v>
      </c>
      <c r="L473" s="3182">
        <v>3123018400</v>
      </c>
      <c r="M473" s="3183">
        <v>457925000</v>
      </c>
      <c r="N473" s="3182">
        <v>274025000</v>
      </c>
      <c r="O473" s="3123">
        <f>SUM(O474:O483)</f>
        <v>731950000</v>
      </c>
      <c r="P473" s="3182">
        <v>3123018400</v>
      </c>
      <c r="Q473" s="3182">
        <f t="shared" si="85"/>
        <v>0</v>
      </c>
      <c r="R473" s="3601">
        <f>+P473/L473*100-100</f>
        <v>0</v>
      </c>
      <c r="S473" s="3697"/>
      <c r="T473" s="3816"/>
      <c r="U473" s="3777"/>
      <c r="V473" s="1846">
        <f t="shared" si="83"/>
        <v>2927800000</v>
      </c>
    </row>
    <row r="474" spans="1:22" ht="15.05" customHeight="1">
      <c r="A474" s="1855"/>
      <c r="B474" s="1855"/>
      <c r="C474" s="1855"/>
      <c r="D474" s="1855"/>
      <c r="E474" s="1855"/>
      <c r="F474" s="2359"/>
      <c r="G474" s="213"/>
      <c r="H474" s="200" t="str">
        <f>MAR!I567</f>
        <v>Samsat Mataram</v>
      </c>
      <c r="I474" s="200"/>
      <c r="J474" s="3215">
        <v>0</v>
      </c>
      <c r="K474" s="3171">
        <v>687375100</v>
      </c>
      <c r="L474" s="3125">
        <v>3123018400</v>
      </c>
      <c r="M474" s="3124">
        <v>98675000</v>
      </c>
      <c r="N474" s="3125">
        <v>46375000</v>
      </c>
      <c r="O474" s="3125">
        <v>145050000</v>
      </c>
      <c r="P474" s="3125">
        <v>3123018400</v>
      </c>
      <c r="Q474" s="3125">
        <f t="shared" si="85"/>
        <v>0</v>
      </c>
      <c r="R474" s="3601">
        <f>+P474/L474*100-100</f>
        <v>0</v>
      </c>
      <c r="S474" s="3756"/>
      <c r="T474" s="3816"/>
      <c r="U474" s="3778">
        <f>PerDinas!Q612</f>
        <v>0</v>
      </c>
      <c r="V474" s="1846">
        <f t="shared" si="83"/>
        <v>580200000</v>
      </c>
    </row>
    <row r="475" spans="1:22" ht="15.05" customHeight="1">
      <c r="A475" s="1855"/>
      <c r="B475" s="1855"/>
      <c r="C475" s="1855"/>
      <c r="D475" s="1855"/>
      <c r="E475" s="1855"/>
      <c r="F475" s="2359"/>
      <c r="G475" s="213"/>
      <c r="H475" s="200" t="str">
        <f>MAR!I568</f>
        <v>Samsat Praya</v>
      </c>
      <c r="I475" s="200"/>
      <c r="J475" s="3215">
        <v>0</v>
      </c>
      <c r="K475" s="3171">
        <v>492200000</v>
      </c>
      <c r="L475" s="3125"/>
      <c r="M475" s="3124">
        <v>70250000</v>
      </c>
      <c r="N475" s="3125">
        <v>103425000</v>
      </c>
      <c r="O475" s="3125">
        <v>173675000</v>
      </c>
      <c r="P475" s="3125"/>
      <c r="Q475" s="3125">
        <f t="shared" si="85"/>
        <v>0</v>
      </c>
      <c r="R475" s="3601">
        <v>0</v>
      </c>
      <c r="S475" s="3756"/>
      <c r="T475" s="3816"/>
      <c r="U475" s="3778">
        <f>PerDinas!Q613</f>
        <v>0</v>
      </c>
      <c r="V475" s="1846">
        <f t="shared" si="83"/>
        <v>694700000</v>
      </c>
    </row>
    <row r="476" spans="1:22" ht="15.05" customHeight="1">
      <c r="A476" s="1855"/>
      <c r="B476" s="1855"/>
      <c r="C476" s="1855"/>
      <c r="D476" s="1855"/>
      <c r="E476" s="1855"/>
      <c r="F476" s="2359"/>
      <c r="G476" s="213"/>
      <c r="H476" s="200" t="str">
        <f>MAR!I569</f>
        <v>Samsat Selong</v>
      </c>
      <c r="I476" s="200"/>
      <c r="J476" s="3215">
        <v>0</v>
      </c>
      <c r="K476" s="3171">
        <v>636475000</v>
      </c>
      <c r="L476" s="3125"/>
      <c r="M476" s="3124">
        <v>95350000</v>
      </c>
      <c r="N476" s="3125">
        <v>42725000</v>
      </c>
      <c r="O476" s="3125">
        <v>138075000</v>
      </c>
      <c r="P476" s="3125"/>
      <c r="Q476" s="3125">
        <f t="shared" si="85"/>
        <v>0</v>
      </c>
      <c r="R476" s="3601">
        <v>0</v>
      </c>
      <c r="S476" s="3756"/>
      <c r="T476" s="3816"/>
      <c r="U476" s="3778">
        <f>PerDinas!Q614</f>
        <v>0</v>
      </c>
      <c r="V476" s="1846">
        <f t="shared" si="83"/>
        <v>552300000</v>
      </c>
    </row>
    <row r="477" spans="1:22" ht="15.05" customHeight="1">
      <c r="A477" s="1855"/>
      <c r="B477" s="1855"/>
      <c r="C477" s="1855"/>
      <c r="D477" s="1855"/>
      <c r="E477" s="1855"/>
      <c r="F477" s="2359"/>
      <c r="G477" s="213"/>
      <c r="H477" s="200" t="str">
        <f>MAR!I570</f>
        <v>Samsat Sumbawa</v>
      </c>
      <c r="I477" s="200"/>
      <c r="J477" s="3215">
        <v>0</v>
      </c>
      <c r="K477" s="3171">
        <v>262551900</v>
      </c>
      <c r="L477" s="3125"/>
      <c r="M477" s="3124">
        <v>49650000</v>
      </c>
      <c r="N477" s="3125">
        <v>14725000</v>
      </c>
      <c r="O477" s="3125">
        <v>64375000</v>
      </c>
      <c r="P477" s="3125"/>
      <c r="Q477" s="3125">
        <f t="shared" si="85"/>
        <v>0</v>
      </c>
      <c r="R477" s="3601">
        <v>0</v>
      </c>
      <c r="S477" s="3756"/>
      <c r="T477" s="3816"/>
      <c r="U477" s="3778">
        <f>PerDinas!Q615</f>
        <v>0</v>
      </c>
      <c r="V477" s="1846">
        <f t="shared" si="83"/>
        <v>257500000</v>
      </c>
    </row>
    <row r="478" spans="1:22" ht="15.05" customHeight="1">
      <c r="A478" s="1855"/>
      <c r="B478" s="1855"/>
      <c r="C478" s="1855"/>
      <c r="D478" s="1855"/>
      <c r="E478" s="1855"/>
      <c r="F478" s="2359"/>
      <c r="G478" s="213"/>
      <c r="H478" s="200" t="str">
        <f>MAR!I571</f>
        <v>Samsat Kota Bima</v>
      </c>
      <c r="I478" s="200"/>
      <c r="J478" s="3215">
        <v>0</v>
      </c>
      <c r="K478" s="3171">
        <v>223325000</v>
      </c>
      <c r="L478" s="3125"/>
      <c r="M478" s="3124">
        <v>16975000</v>
      </c>
      <c r="N478" s="3125">
        <v>8525000</v>
      </c>
      <c r="O478" s="3125">
        <v>25500000</v>
      </c>
      <c r="P478" s="3125"/>
      <c r="Q478" s="3125">
        <f t="shared" si="85"/>
        <v>0</v>
      </c>
      <c r="R478" s="3601">
        <v>0</v>
      </c>
      <c r="S478" s="3756"/>
      <c r="T478" s="3816"/>
      <c r="U478" s="3778">
        <f>PerDinas!Q616</f>
        <v>0</v>
      </c>
      <c r="V478" s="1846">
        <f t="shared" si="83"/>
        <v>102000000</v>
      </c>
    </row>
    <row r="479" spans="1:22" ht="15.05" customHeight="1">
      <c r="A479" s="1855"/>
      <c r="B479" s="1855"/>
      <c r="C479" s="1855"/>
      <c r="D479" s="1855"/>
      <c r="E479" s="1855"/>
      <c r="F479" s="2359"/>
      <c r="G479" s="213"/>
      <c r="H479" s="200" t="str">
        <f>MAR!I572</f>
        <v>Samsat Kab. Bima</v>
      </c>
      <c r="I479" s="200"/>
      <c r="J479" s="3215">
        <v>0</v>
      </c>
      <c r="K479" s="3193">
        <v>0</v>
      </c>
      <c r="L479" s="3125"/>
      <c r="M479" s="3124">
        <v>13000000</v>
      </c>
      <c r="N479" s="3125">
        <v>6250000</v>
      </c>
      <c r="O479" s="3125">
        <v>19250000</v>
      </c>
      <c r="P479" s="3125"/>
      <c r="Q479" s="3125">
        <f t="shared" si="85"/>
        <v>0</v>
      </c>
      <c r="R479" s="3601">
        <v>0</v>
      </c>
      <c r="S479" s="3756"/>
      <c r="T479" s="3816"/>
      <c r="U479" s="3778">
        <f>PerDinas!Q617</f>
        <v>0</v>
      </c>
      <c r="V479" s="1846">
        <f t="shared" si="83"/>
        <v>77000000</v>
      </c>
    </row>
    <row r="480" spans="1:22" ht="15.05" customHeight="1">
      <c r="A480" s="1855"/>
      <c r="B480" s="1855"/>
      <c r="C480" s="1855"/>
      <c r="D480" s="1855"/>
      <c r="E480" s="1855"/>
      <c r="F480" s="2359"/>
      <c r="G480" s="213"/>
      <c r="H480" s="200" t="str">
        <f>MAR!I573</f>
        <v>Samsat Dompu</v>
      </c>
      <c r="I480" s="200"/>
      <c r="J480" s="3215">
        <v>0</v>
      </c>
      <c r="K480" s="3171">
        <v>93625000</v>
      </c>
      <c r="L480" s="3125"/>
      <c r="M480" s="3124">
        <v>10775000</v>
      </c>
      <c r="N480" s="3125">
        <v>3550000</v>
      </c>
      <c r="O480" s="3125">
        <v>14325000</v>
      </c>
      <c r="P480" s="3125"/>
      <c r="Q480" s="3125">
        <f t="shared" si="85"/>
        <v>0</v>
      </c>
      <c r="R480" s="3601">
        <v>0</v>
      </c>
      <c r="S480" s="3756"/>
      <c r="T480" s="3816"/>
      <c r="U480" s="3778">
        <f>PerDinas!Q617</f>
        <v>0</v>
      </c>
      <c r="V480" s="1846">
        <f t="shared" si="83"/>
        <v>57300000</v>
      </c>
    </row>
    <row r="481" spans="1:31" ht="15.05" customHeight="1">
      <c r="A481" s="1855"/>
      <c r="B481" s="1855"/>
      <c r="C481" s="1855"/>
      <c r="D481" s="1855"/>
      <c r="E481" s="1855"/>
      <c r="F481" s="2359"/>
      <c r="G481" s="213"/>
      <c r="H481" s="200" t="str">
        <f>MAR!I574</f>
        <v>Samsat Lombok Barat</v>
      </c>
      <c r="I481" s="200"/>
      <c r="J481" s="3215">
        <v>0</v>
      </c>
      <c r="K481" s="3171">
        <v>609400000</v>
      </c>
      <c r="L481" s="3125"/>
      <c r="M481" s="3124">
        <v>85725000</v>
      </c>
      <c r="N481" s="3125">
        <v>40875000</v>
      </c>
      <c r="O481" s="3125">
        <v>126600000</v>
      </c>
      <c r="P481" s="3125"/>
      <c r="Q481" s="3125">
        <f t="shared" si="85"/>
        <v>0</v>
      </c>
      <c r="R481" s="3601">
        <v>0</v>
      </c>
      <c r="S481" s="3756"/>
      <c r="T481" s="3816"/>
      <c r="U481" s="3778">
        <f>PerDinas!Q618</f>
        <v>0</v>
      </c>
      <c r="V481" s="1846">
        <f t="shared" si="83"/>
        <v>506400000</v>
      </c>
    </row>
    <row r="482" spans="1:31" ht="15.05" customHeight="1">
      <c r="A482" s="1855"/>
      <c r="B482" s="1855"/>
      <c r="C482" s="1855"/>
      <c r="D482" s="1855"/>
      <c r="E482" s="1855"/>
      <c r="F482" s="2359"/>
      <c r="G482" s="213"/>
      <c r="H482" s="200" t="str">
        <f>MAR!I575</f>
        <v>Samsat Sumbawa Barat</v>
      </c>
      <c r="I482" s="200"/>
      <c r="J482" s="3215">
        <v>0</v>
      </c>
      <c r="K482" s="3171">
        <v>100650000</v>
      </c>
      <c r="L482" s="3125"/>
      <c r="M482" s="3124">
        <v>17525000</v>
      </c>
      <c r="N482" s="3125">
        <v>7575000</v>
      </c>
      <c r="O482" s="3125">
        <v>25100000</v>
      </c>
      <c r="P482" s="3125"/>
      <c r="Q482" s="3125">
        <f t="shared" si="85"/>
        <v>0</v>
      </c>
      <c r="R482" s="3601">
        <v>0</v>
      </c>
      <c r="S482" s="3756"/>
      <c r="T482" s="3816"/>
      <c r="U482" s="3778">
        <f>PerDinas!Q619</f>
        <v>0</v>
      </c>
      <c r="V482" s="1846">
        <f t="shared" si="83"/>
        <v>100400000</v>
      </c>
    </row>
    <row r="483" spans="1:31" ht="15.05" customHeight="1">
      <c r="A483" s="1855"/>
      <c r="B483" s="1855"/>
      <c r="C483" s="1855"/>
      <c r="D483" s="1855"/>
      <c r="E483" s="1855"/>
      <c r="F483" s="2359"/>
      <c r="G483" s="213"/>
      <c r="H483" s="200" t="str">
        <f>MAR!I576</f>
        <v>Samsat Kab.Lombok Utara</v>
      </c>
      <c r="I483" s="200"/>
      <c r="J483" s="3215">
        <v>0</v>
      </c>
      <c r="K483" s="3193">
        <v>0</v>
      </c>
      <c r="L483" s="3125"/>
      <c r="M483" s="3124">
        <v>0</v>
      </c>
      <c r="N483" s="3125">
        <v>0</v>
      </c>
      <c r="O483" s="3125">
        <v>0</v>
      </c>
      <c r="P483" s="3125"/>
      <c r="Q483" s="3125">
        <f t="shared" si="85"/>
        <v>0</v>
      </c>
      <c r="R483" s="3601">
        <v>0</v>
      </c>
      <c r="S483" s="3756"/>
      <c r="T483" s="3816"/>
      <c r="U483" s="3778">
        <f>PerDinas!Q620</f>
        <v>0</v>
      </c>
      <c r="V483" s="1846">
        <f t="shared" si="83"/>
        <v>0</v>
      </c>
    </row>
    <row r="484" spans="1:31" ht="15.05" hidden="1" customHeight="1">
      <c r="A484" s="1855"/>
      <c r="B484" s="1855"/>
      <c r="C484" s="1855"/>
      <c r="D484" s="1855"/>
      <c r="E484" s="1855"/>
      <c r="F484" s="2359"/>
      <c r="G484" s="213"/>
      <c r="H484" s="200"/>
      <c r="I484" s="200"/>
      <c r="J484" s="3215"/>
      <c r="K484" s="3171"/>
      <c r="L484" s="3125"/>
      <c r="M484" s="3124"/>
      <c r="N484" s="3125"/>
      <c r="O484" s="3125"/>
      <c r="P484" s="3125"/>
      <c r="Q484" s="3125"/>
      <c r="R484" s="3605"/>
      <c r="S484" s="3275"/>
      <c r="T484" s="3826"/>
      <c r="U484" s="3771"/>
      <c r="V484" s="1846">
        <f t="shared" si="83"/>
        <v>0</v>
      </c>
    </row>
    <row r="485" spans="1:31" s="1839" customFormat="1" ht="15.05" hidden="1" customHeight="1">
      <c r="A485" s="1854"/>
      <c r="B485" s="1854"/>
      <c r="C485" s="1854"/>
      <c r="D485" s="1854"/>
      <c r="E485" s="1854"/>
      <c r="F485" s="1464" t="s">
        <v>50</v>
      </c>
      <c r="G485" s="1860"/>
      <c r="H485" s="202" t="s">
        <v>85</v>
      </c>
      <c r="I485" s="202"/>
      <c r="J485" s="3259"/>
      <c r="K485" s="3123"/>
      <c r="L485" s="3182">
        <f>L486</f>
        <v>0</v>
      </c>
      <c r="M485" s="3183">
        <v>275500000</v>
      </c>
      <c r="N485" s="3182">
        <f>N486</f>
        <v>137750000</v>
      </c>
      <c r="O485" s="3182">
        <f>O486</f>
        <v>413250000</v>
      </c>
      <c r="P485" s="3182">
        <v>0</v>
      </c>
      <c r="Q485" s="3182">
        <f t="shared" ref="Q485:Q548" si="86">+P485-L485</f>
        <v>0</v>
      </c>
      <c r="R485" s="3601">
        <v>0</v>
      </c>
      <c r="S485" s="3710"/>
      <c r="T485" s="3829"/>
      <c r="U485" s="3777"/>
      <c r="V485" s="1846">
        <f t="shared" si="83"/>
        <v>1653000000</v>
      </c>
    </row>
    <row r="486" spans="1:31" ht="15.05" hidden="1" customHeight="1">
      <c r="A486" s="1855"/>
      <c r="B486" s="1855"/>
      <c r="C486" s="1855"/>
      <c r="D486" s="1855"/>
      <c r="E486" s="1855"/>
      <c r="F486" s="2359"/>
      <c r="G486" s="213"/>
      <c r="H486" s="200" t="s">
        <v>629</v>
      </c>
      <c r="I486" s="200"/>
      <c r="J486" s="3215"/>
      <c r="K486" s="3171"/>
      <c r="L486" s="3125">
        <f>MAR!J562</f>
        <v>0</v>
      </c>
      <c r="M486" s="3124">
        <v>275500000</v>
      </c>
      <c r="N486" s="3125">
        <f>MAR!L562</f>
        <v>137750000</v>
      </c>
      <c r="O486" s="3125">
        <f>MAR!M562</f>
        <v>413250000</v>
      </c>
      <c r="P486" s="3125">
        <v>0</v>
      </c>
      <c r="Q486" s="3125">
        <f t="shared" si="86"/>
        <v>0</v>
      </c>
      <c r="R486" s="3605">
        <v>0</v>
      </c>
      <c r="S486" s="3275"/>
      <c r="T486" s="3826"/>
      <c r="U486" s="3771"/>
      <c r="V486" s="1846">
        <f t="shared" si="83"/>
        <v>1653000000</v>
      </c>
    </row>
    <row r="487" spans="1:31" ht="15.05" customHeight="1">
      <c r="A487" s="1855"/>
      <c r="B487" s="1855"/>
      <c r="C487" s="1855"/>
      <c r="D487" s="1855"/>
      <c r="E487" s="1855"/>
      <c r="F487" s="1464" t="s">
        <v>630</v>
      </c>
      <c r="G487" s="1860"/>
      <c r="H487" s="202"/>
      <c r="I487" s="202"/>
      <c r="J487" s="3259">
        <v>1508491400</v>
      </c>
      <c r="K487" s="3123">
        <v>37289625</v>
      </c>
      <c r="L487" s="3182">
        <v>1508491400</v>
      </c>
      <c r="M487" s="3183">
        <v>0</v>
      </c>
      <c r="N487" s="3182">
        <v>0</v>
      </c>
      <c r="O487" s="3182">
        <v>0</v>
      </c>
      <c r="P487" s="3182">
        <v>1508491400</v>
      </c>
      <c r="Q487" s="3182">
        <f t="shared" si="86"/>
        <v>0</v>
      </c>
      <c r="R487" s="3914">
        <f t="shared" ref="R487:R492" si="87">+P487/L487*100-100</f>
        <v>0</v>
      </c>
      <c r="S487" s="3915"/>
      <c r="T487" s="3916"/>
      <c r="U487" s="3777"/>
      <c r="V487" s="1846">
        <f t="shared" si="83"/>
        <v>0</v>
      </c>
    </row>
    <row r="488" spans="1:31" ht="15.05" customHeight="1">
      <c r="A488" s="1855"/>
      <c r="B488" s="1855"/>
      <c r="C488" s="1855"/>
      <c r="D488" s="1855"/>
      <c r="E488" s="1855"/>
      <c r="F488" s="1857" t="s">
        <v>50</v>
      </c>
      <c r="G488" s="1858"/>
      <c r="H488" s="200" t="s">
        <v>85</v>
      </c>
      <c r="I488" s="200"/>
      <c r="J488" s="3215"/>
      <c r="K488" s="3171"/>
      <c r="L488" s="3125">
        <v>1508491400</v>
      </c>
      <c r="M488" s="3124">
        <v>0</v>
      </c>
      <c r="N488" s="3125">
        <v>0</v>
      </c>
      <c r="O488" s="3125">
        <v>0</v>
      </c>
      <c r="P488" s="3125">
        <v>1508491400</v>
      </c>
      <c r="Q488" s="3125">
        <f t="shared" si="86"/>
        <v>0</v>
      </c>
      <c r="R488" s="3605">
        <f t="shared" si="87"/>
        <v>0</v>
      </c>
      <c r="S488" s="3275"/>
      <c r="T488" s="3826"/>
      <c r="U488" s="3771"/>
      <c r="V488" s="1846">
        <f t="shared" si="83"/>
        <v>0</v>
      </c>
    </row>
    <row r="489" spans="1:31" ht="15.05" hidden="1" customHeight="1">
      <c r="A489" s="1855"/>
      <c r="B489" s="1855"/>
      <c r="C489" s="1855"/>
      <c r="D489" s="1855"/>
      <c r="E489" s="1855"/>
      <c r="F489" s="1857"/>
      <c r="G489" s="1858"/>
      <c r="H489" s="200"/>
      <c r="I489" s="200"/>
      <c r="J489" s="3215"/>
      <c r="K489" s="3171"/>
      <c r="L489" s="3125"/>
      <c r="M489" s="3124"/>
      <c r="N489" s="3125"/>
      <c r="O489" s="3125"/>
      <c r="P489" s="3125"/>
      <c r="Q489" s="3125">
        <f t="shared" si="86"/>
        <v>0</v>
      </c>
      <c r="R489" s="3605" t="e">
        <f t="shared" si="87"/>
        <v>#DIV/0!</v>
      </c>
      <c r="S489" s="3275"/>
      <c r="T489" s="3826"/>
      <c r="U489" s="3771"/>
      <c r="V489" s="1846">
        <f t="shared" si="83"/>
        <v>0</v>
      </c>
      <c r="AE489" s="1941"/>
    </row>
    <row r="490" spans="1:31" ht="15.05" customHeight="1">
      <c r="A490" s="1855"/>
      <c r="B490" s="1855"/>
      <c r="C490" s="1855"/>
      <c r="D490" s="1855"/>
      <c r="E490" s="1855"/>
      <c r="F490" s="1464" t="s">
        <v>279</v>
      </c>
      <c r="G490" s="1860"/>
      <c r="H490" s="200"/>
      <c r="I490" s="200"/>
      <c r="J490" s="3255">
        <f>J491</f>
        <v>25741600</v>
      </c>
      <c r="K490" s="3256">
        <f>K491</f>
        <v>3610507</v>
      </c>
      <c r="L490" s="3182">
        <v>25741600</v>
      </c>
      <c r="M490" s="3183">
        <v>0</v>
      </c>
      <c r="N490" s="3182">
        <v>0</v>
      </c>
      <c r="O490" s="3182">
        <v>0</v>
      </c>
      <c r="P490" s="3182">
        <v>25741600</v>
      </c>
      <c r="Q490" s="3182">
        <f t="shared" si="86"/>
        <v>0</v>
      </c>
      <c r="R490" s="3601">
        <f t="shared" si="87"/>
        <v>0</v>
      </c>
      <c r="S490" s="3710"/>
      <c r="T490" s="3829"/>
      <c r="U490" s="3771"/>
      <c r="V490" s="1846">
        <f t="shared" si="83"/>
        <v>0</v>
      </c>
    </row>
    <row r="491" spans="1:31" ht="15.05" customHeight="1">
      <c r="A491" s="1855"/>
      <c r="B491" s="1855"/>
      <c r="C491" s="1855"/>
      <c r="D491" s="1855"/>
      <c r="E491" s="1855"/>
      <c r="F491" s="2756" t="s">
        <v>50</v>
      </c>
      <c r="G491" s="1858" t="s">
        <v>631</v>
      </c>
      <c r="H491" s="200"/>
      <c r="I491" s="200"/>
      <c r="J491" s="3215">
        <v>25741600</v>
      </c>
      <c r="K491" s="3171">
        <v>3610507</v>
      </c>
      <c r="L491" s="3125">
        <v>25741600</v>
      </c>
      <c r="M491" s="3124">
        <v>0</v>
      </c>
      <c r="N491" s="3125">
        <v>0</v>
      </c>
      <c r="O491" s="3125">
        <v>0</v>
      </c>
      <c r="P491" s="3125">
        <v>25741600</v>
      </c>
      <c r="Q491" s="3125">
        <f t="shared" si="86"/>
        <v>0</v>
      </c>
      <c r="R491" s="3605">
        <f t="shared" si="87"/>
        <v>0</v>
      </c>
      <c r="S491" s="3275"/>
      <c r="T491" s="3826"/>
      <c r="U491" s="3771"/>
      <c r="V491" s="1846">
        <f t="shared" si="83"/>
        <v>0</v>
      </c>
    </row>
    <row r="492" spans="1:31" ht="15.05" hidden="1" customHeight="1">
      <c r="A492" s="1855"/>
      <c r="B492" s="1855"/>
      <c r="C492" s="1855"/>
      <c r="D492" s="1855"/>
      <c r="E492" s="1855"/>
      <c r="F492" s="1857"/>
      <c r="G492" s="1858"/>
      <c r="H492" s="200"/>
      <c r="I492" s="200"/>
      <c r="J492" s="3215"/>
      <c r="K492" s="3171"/>
      <c r="L492" s="3125"/>
      <c r="M492" s="3124"/>
      <c r="N492" s="3125"/>
      <c r="O492" s="3125"/>
      <c r="P492" s="3125"/>
      <c r="Q492" s="3125">
        <f t="shared" si="86"/>
        <v>0</v>
      </c>
      <c r="R492" s="3605" t="e">
        <f t="shared" si="87"/>
        <v>#DIV/0!</v>
      </c>
      <c r="S492" s="3748"/>
      <c r="T492" s="3826"/>
      <c r="U492" s="3778"/>
      <c r="V492" s="1846">
        <f t="shared" si="83"/>
        <v>0</v>
      </c>
    </row>
    <row r="493" spans="1:31" ht="15.05" customHeight="1">
      <c r="A493" s="1855"/>
      <c r="B493" s="1855"/>
      <c r="C493" s="1855"/>
      <c r="D493" s="1855"/>
      <c r="E493" s="1855"/>
      <c r="F493" s="1464" t="s">
        <v>122</v>
      </c>
      <c r="G493" s="1860"/>
      <c r="H493" s="202"/>
      <c r="I493" s="202"/>
      <c r="J493" s="3259"/>
      <c r="K493" s="3123">
        <f>K494</f>
        <v>10539168</v>
      </c>
      <c r="L493" s="3182">
        <v>0</v>
      </c>
      <c r="M493" s="3183">
        <v>140000</v>
      </c>
      <c r="N493" s="3182">
        <v>0</v>
      </c>
      <c r="O493" s="3182">
        <v>140000</v>
      </c>
      <c r="P493" s="3182">
        <v>0</v>
      </c>
      <c r="Q493" s="3182">
        <f t="shared" si="86"/>
        <v>0</v>
      </c>
      <c r="R493" s="3601">
        <v>0</v>
      </c>
      <c r="S493" s="3710"/>
      <c r="T493" s="3829"/>
      <c r="U493" s="3777"/>
      <c r="V493" s="1846">
        <f t="shared" si="83"/>
        <v>560000</v>
      </c>
    </row>
    <row r="494" spans="1:31" s="1840" customFormat="1" ht="15.05" customHeight="1">
      <c r="A494" s="1855"/>
      <c r="B494" s="1855"/>
      <c r="C494" s="1855"/>
      <c r="D494" s="1855"/>
      <c r="E494" s="1855"/>
      <c r="F494" s="1857" t="s">
        <v>50</v>
      </c>
      <c r="G494" s="1858"/>
      <c r="H494" s="200" t="s">
        <v>632</v>
      </c>
      <c r="I494" s="200"/>
      <c r="J494" s="3215"/>
      <c r="K494" s="3171">
        <v>10539168</v>
      </c>
      <c r="L494" s="3125">
        <v>0</v>
      </c>
      <c r="M494" s="3124">
        <v>140000</v>
      </c>
      <c r="N494" s="3125">
        <v>0</v>
      </c>
      <c r="O494" s="3125">
        <v>140000</v>
      </c>
      <c r="P494" s="3125">
        <v>0</v>
      </c>
      <c r="Q494" s="3125">
        <f t="shared" si="86"/>
        <v>0</v>
      </c>
      <c r="R494" s="3601">
        <v>0</v>
      </c>
      <c r="S494" s="3731"/>
      <c r="T494" s="3829"/>
      <c r="U494" s="3778">
        <f>PerDinas!Q628</f>
        <v>0</v>
      </c>
      <c r="V494" s="1882">
        <f t="shared" si="83"/>
        <v>560000</v>
      </c>
    </row>
    <row r="495" spans="1:31" ht="15.05" hidden="1" customHeight="1">
      <c r="A495" s="1855"/>
      <c r="B495" s="1855"/>
      <c r="C495" s="1855"/>
      <c r="D495" s="1855"/>
      <c r="E495" s="1855"/>
      <c r="F495" s="1857"/>
      <c r="G495" s="1858"/>
      <c r="H495" s="200"/>
      <c r="I495" s="200"/>
      <c r="J495" s="3215"/>
      <c r="K495" s="3171"/>
      <c r="L495" s="3125"/>
      <c r="M495" s="3124"/>
      <c r="N495" s="3125"/>
      <c r="O495" s="3125"/>
      <c r="P495" s="3125"/>
      <c r="Q495" s="3125">
        <f t="shared" si="86"/>
        <v>0</v>
      </c>
      <c r="R495" s="3601">
        <v>0</v>
      </c>
      <c r="S495" s="3710"/>
      <c r="T495" s="3829"/>
      <c r="U495" s="3771"/>
      <c r="V495" s="1846">
        <f t="shared" si="83"/>
        <v>0</v>
      </c>
    </row>
    <row r="496" spans="1:31" ht="15.05" customHeight="1">
      <c r="A496" s="1855"/>
      <c r="B496" s="1855"/>
      <c r="C496" s="1855"/>
      <c r="D496" s="1855"/>
      <c r="E496" s="1855"/>
      <c r="F496" s="2874" t="s">
        <v>1192</v>
      </c>
      <c r="G496" s="1860"/>
      <c r="H496" s="200"/>
      <c r="I496" s="200"/>
      <c r="J496" s="3215"/>
      <c r="K496" s="3171">
        <f>K497</f>
        <v>4907140</v>
      </c>
      <c r="L496" s="3182">
        <v>0</v>
      </c>
      <c r="M496" s="3183">
        <v>0</v>
      </c>
      <c r="N496" s="3182">
        <v>0</v>
      </c>
      <c r="O496" s="3182">
        <v>0</v>
      </c>
      <c r="P496" s="3182">
        <v>0</v>
      </c>
      <c r="Q496" s="3182">
        <f t="shared" si="86"/>
        <v>0</v>
      </c>
      <c r="R496" s="3601">
        <v>0</v>
      </c>
      <c r="S496" s="3710"/>
      <c r="T496" s="3829"/>
      <c r="U496" s="3771"/>
      <c r="V496" s="1846">
        <f t="shared" si="83"/>
        <v>0</v>
      </c>
    </row>
    <row r="497" spans="1:22" ht="15.05" customHeight="1">
      <c r="A497" s="1855"/>
      <c r="B497" s="1855"/>
      <c r="C497" s="1855"/>
      <c r="D497" s="1855"/>
      <c r="E497" s="1855"/>
      <c r="F497" s="1857" t="s">
        <v>50</v>
      </c>
      <c r="G497" s="1858"/>
      <c r="H497" s="200" t="s">
        <v>85</v>
      </c>
      <c r="I497" s="200"/>
      <c r="J497" s="3215"/>
      <c r="K497" s="3171">
        <v>4907140</v>
      </c>
      <c r="L497" s="3125">
        <v>0</v>
      </c>
      <c r="M497" s="3124">
        <v>0</v>
      </c>
      <c r="N497" s="3125">
        <v>0</v>
      </c>
      <c r="O497" s="3125">
        <v>0</v>
      </c>
      <c r="P497" s="3125">
        <v>0</v>
      </c>
      <c r="Q497" s="3125">
        <f t="shared" si="86"/>
        <v>0</v>
      </c>
      <c r="R497" s="3601">
        <v>0</v>
      </c>
      <c r="S497" s="3710"/>
      <c r="T497" s="3829"/>
      <c r="U497" s="3771"/>
      <c r="V497" s="1846">
        <f t="shared" si="83"/>
        <v>0</v>
      </c>
    </row>
    <row r="498" spans="1:22" ht="15.05" hidden="1" customHeight="1">
      <c r="A498" s="1855"/>
      <c r="B498" s="1855"/>
      <c r="C498" s="1855"/>
      <c r="D498" s="1855"/>
      <c r="E498" s="1855"/>
      <c r="F498" s="1857"/>
      <c r="G498" s="1858"/>
      <c r="H498" s="202"/>
      <c r="I498" s="202"/>
      <c r="J498" s="3259"/>
      <c r="K498" s="3123"/>
      <c r="L498" s="3308"/>
      <c r="M498" s="3309"/>
      <c r="N498" s="3308"/>
      <c r="O498" s="3308"/>
      <c r="P498" s="3308"/>
      <c r="Q498" s="3308">
        <f t="shared" si="86"/>
        <v>0</v>
      </c>
      <c r="R498" s="3601">
        <v>0</v>
      </c>
      <c r="S498" s="3710"/>
      <c r="T498" s="3829"/>
      <c r="U498" s="3771"/>
      <c r="V498" s="1846">
        <f t="shared" si="83"/>
        <v>0</v>
      </c>
    </row>
    <row r="499" spans="1:22" ht="15.05" customHeight="1">
      <c r="A499" s="1855"/>
      <c r="B499" s="1855"/>
      <c r="C499" s="1855"/>
      <c r="D499" s="1855"/>
      <c r="E499" s="1855"/>
      <c r="F499" s="1464" t="s">
        <v>591</v>
      </c>
      <c r="G499" s="1860"/>
      <c r="H499" s="202"/>
      <c r="I499" s="202"/>
      <c r="J499" s="3259">
        <v>0</v>
      </c>
      <c r="K499" s="3123">
        <v>5742894</v>
      </c>
      <c r="L499" s="3182">
        <v>0</v>
      </c>
      <c r="M499" s="3183">
        <v>0</v>
      </c>
      <c r="N499" s="3182">
        <v>0</v>
      </c>
      <c r="O499" s="3182">
        <v>0</v>
      </c>
      <c r="P499" s="3182">
        <v>0</v>
      </c>
      <c r="Q499" s="3182">
        <f t="shared" si="86"/>
        <v>0</v>
      </c>
      <c r="R499" s="3601">
        <v>0</v>
      </c>
      <c r="S499" s="3710"/>
      <c r="T499" s="3829"/>
      <c r="U499" s="3777"/>
      <c r="V499" s="1846">
        <f t="shared" si="83"/>
        <v>0</v>
      </c>
    </row>
    <row r="500" spans="1:22" s="1840" customFormat="1" ht="15.05" customHeight="1">
      <c r="A500" s="1855"/>
      <c r="B500" s="1855"/>
      <c r="C500" s="1855"/>
      <c r="D500" s="1855"/>
      <c r="E500" s="1855"/>
      <c r="F500" s="1857" t="s">
        <v>50</v>
      </c>
      <c r="G500" s="1858"/>
      <c r="H500" s="200" t="s">
        <v>632</v>
      </c>
      <c r="I500" s="200"/>
      <c r="J500" s="3215">
        <v>0</v>
      </c>
      <c r="K500" s="3171">
        <v>5742894</v>
      </c>
      <c r="L500" s="3125">
        <v>0</v>
      </c>
      <c r="M500" s="3124">
        <v>0</v>
      </c>
      <c r="N500" s="3125">
        <v>0</v>
      </c>
      <c r="O500" s="3125">
        <v>0</v>
      </c>
      <c r="P500" s="3125">
        <v>0</v>
      </c>
      <c r="Q500" s="3125">
        <f t="shared" si="86"/>
        <v>0</v>
      </c>
      <c r="R500" s="3601">
        <v>0</v>
      </c>
      <c r="S500" s="3731"/>
      <c r="T500" s="3829"/>
      <c r="U500" s="3778">
        <f>PerDinas!Q630</f>
        <v>0</v>
      </c>
      <c r="V500" s="1882">
        <f t="shared" si="83"/>
        <v>0</v>
      </c>
    </row>
    <row r="501" spans="1:22" ht="15.05" hidden="1" customHeight="1">
      <c r="A501" s="1855"/>
      <c r="B501" s="1855"/>
      <c r="C501" s="1855"/>
      <c r="D501" s="1855"/>
      <c r="E501" s="1855"/>
      <c r="F501" s="1857"/>
      <c r="G501" s="1858"/>
      <c r="H501" s="2329"/>
      <c r="I501" s="200"/>
      <c r="J501" s="3215"/>
      <c r="K501" s="3171"/>
      <c r="L501" s="3125"/>
      <c r="M501" s="3124"/>
      <c r="N501" s="3125"/>
      <c r="O501" s="3125"/>
      <c r="P501" s="3125"/>
      <c r="Q501" s="3125">
        <f t="shared" si="86"/>
        <v>0</v>
      </c>
      <c r="R501" s="3601">
        <v>0</v>
      </c>
      <c r="S501" s="3710"/>
      <c r="T501" s="3829"/>
      <c r="U501" s="3771"/>
      <c r="V501" s="1846">
        <f t="shared" si="83"/>
        <v>0</v>
      </c>
    </row>
    <row r="502" spans="1:22" ht="15.05" customHeight="1">
      <c r="A502" s="1855"/>
      <c r="B502" s="1855"/>
      <c r="C502" s="1855"/>
      <c r="D502" s="1855"/>
      <c r="E502" s="1855"/>
      <c r="F502" s="2874" t="s">
        <v>1193</v>
      </c>
      <c r="G502" s="1860"/>
      <c r="H502" s="202"/>
      <c r="I502" s="202"/>
      <c r="J502" s="3259">
        <v>0</v>
      </c>
      <c r="K502" s="3200">
        <f>K503</f>
        <v>32700000</v>
      </c>
      <c r="L502" s="3182">
        <v>0</v>
      </c>
      <c r="M502" s="3183">
        <v>0</v>
      </c>
      <c r="N502" s="3182">
        <v>0</v>
      </c>
      <c r="O502" s="3182">
        <v>0</v>
      </c>
      <c r="P502" s="3182">
        <v>0</v>
      </c>
      <c r="Q502" s="3182">
        <f t="shared" si="86"/>
        <v>0</v>
      </c>
      <c r="R502" s="3601">
        <v>0</v>
      </c>
      <c r="S502" s="3710"/>
      <c r="T502" s="3829"/>
      <c r="U502" s="3777"/>
      <c r="V502" s="1846">
        <f t="shared" si="83"/>
        <v>0</v>
      </c>
    </row>
    <row r="503" spans="1:22" ht="15.05" customHeight="1">
      <c r="A503" s="1855"/>
      <c r="B503" s="1855"/>
      <c r="C503" s="1855"/>
      <c r="D503" s="1855"/>
      <c r="E503" s="1855"/>
      <c r="F503" s="1857" t="s">
        <v>50</v>
      </c>
      <c r="G503" s="1858"/>
      <c r="H503" s="200" t="s">
        <v>632</v>
      </c>
      <c r="I503" s="200"/>
      <c r="J503" s="3215">
        <v>0</v>
      </c>
      <c r="K503" s="3193">
        <v>32700000</v>
      </c>
      <c r="L503" s="3125">
        <v>0</v>
      </c>
      <c r="M503" s="3124">
        <v>0</v>
      </c>
      <c r="N503" s="3125">
        <v>0</v>
      </c>
      <c r="O503" s="3125">
        <v>0</v>
      </c>
      <c r="P503" s="3125">
        <v>0</v>
      </c>
      <c r="Q503" s="3125">
        <f t="shared" si="86"/>
        <v>0</v>
      </c>
      <c r="R503" s="3601">
        <v>0</v>
      </c>
      <c r="S503" s="3731"/>
      <c r="T503" s="3829"/>
      <c r="U503" s="3778">
        <f>PerDinas!Q631</f>
        <v>0</v>
      </c>
      <c r="V503" s="1846">
        <f t="shared" si="83"/>
        <v>0</v>
      </c>
    </row>
    <row r="504" spans="1:22" ht="15.05" hidden="1" customHeight="1">
      <c r="A504" s="1855"/>
      <c r="B504" s="1855"/>
      <c r="C504" s="1855"/>
      <c r="D504" s="1855"/>
      <c r="E504" s="1855"/>
      <c r="F504" s="1857"/>
      <c r="G504" s="1858"/>
      <c r="H504" s="200"/>
      <c r="I504" s="200"/>
      <c r="J504" s="3215"/>
      <c r="K504" s="3171"/>
      <c r="L504" s="3125"/>
      <c r="M504" s="3124"/>
      <c r="N504" s="3125"/>
      <c r="O504" s="3125"/>
      <c r="P504" s="3125"/>
      <c r="Q504" s="3125">
        <f t="shared" si="86"/>
        <v>0</v>
      </c>
      <c r="R504" s="3601">
        <v>0</v>
      </c>
      <c r="S504" s="3731"/>
      <c r="T504" s="3829"/>
      <c r="U504" s="3778"/>
      <c r="V504" s="1846">
        <f t="shared" si="83"/>
        <v>0</v>
      </c>
    </row>
    <row r="505" spans="1:22" ht="15.05" customHeight="1">
      <c r="A505" s="1855"/>
      <c r="B505" s="1855"/>
      <c r="C505" s="1855"/>
      <c r="D505" s="1855"/>
      <c r="E505" s="1855"/>
      <c r="F505" s="1464" t="s">
        <v>633</v>
      </c>
      <c r="G505" s="1860"/>
      <c r="H505" s="202"/>
      <c r="I505" s="202"/>
      <c r="J505" s="3259">
        <v>0</v>
      </c>
      <c r="K505" s="3123">
        <v>46795750</v>
      </c>
      <c r="L505" s="3182">
        <v>0</v>
      </c>
      <c r="M505" s="3183">
        <v>720000</v>
      </c>
      <c r="N505" s="3182">
        <v>0</v>
      </c>
      <c r="O505" s="3182">
        <v>720000</v>
      </c>
      <c r="P505" s="3182">
        <v>0</v>
      </c>
      <c r="Q505" s="3182">
        <f t="shared" si="86"/>
        <v>0</v>
      </c>
      <c r="R505" s="3601">
        <v>0</v>
      </c>
      <c r="S505" s="3710"/>
      <c r="T505" s="3829"/>
      <c r="U505" s="3777"/>
      <c r="V505" s="1846">
        <f t="shared" si="83"/>
        <v>2880000</v>
      </c>
    </row>
    <row r="506" spans="1:22" s="1840" customFormat="1" ht="15.05" customHeight="1">
      <c r="A506" s="1855"/>
      <c r="B506" s="1855"/>
      <c r="C506" s="1855"/>
      <c r="D506" s="1855"/>
      <c r="E506" s="1855"/>
      <c r="F506" s="1857" t="s">
        <v>50</v>
      </c>
      <c r="G506" s="1858"/>
      <c r="H506" s="200" t="s">
        <v>85</v>
      </c>
      <c r="I506" s="200"/>
      <c r="J506" s="3215">
        <v>0</v>
      </c>
      <c r="K506" s="3171">
        <v>46795750</v>
      </c>
      <c r="L506" s="3125">
        <v>0</v>
      </c>
      <c r="M506" s="3124">
        <v>720000</v>
      </c>
      <c r="N506" s="3125">
        <v>0</v>
      </c>
      <c r="O506" s="3125">
        <v>720000</v>
      </c>
      <c r="P506" s="3125">
        <v>0</v>
      </c>
      <c r="Q506" s="3125">
        <f t="shared" si="86"/>
        <v>0</v>
      </c>
      <c r="R506" s="3601">
        <v>0</v>
      </c>
      <c r="S506" s="3731"/>
      <c r="T506" s="3829"/>
      <c r="U506" s="3778">
        <f>PerDinas!Q624</f>
        <v>0</v>
      </c>
      <c r="V506" s="1882">
        <f t="shared" si="83"/>
        <v>2880000</v>
      </c>
    </row>
    <row r="507" spans="1:22" ht="15.05" hidden="1" customHeight="1">
      <c r="A507" s="1855"/>
      <c r="B507" s="1855"/>
      <c r="C507" s="1855"/>
      <c r="D507" s="1855"/>
      <c r="E507" s="1855"/>
      <c r="F507" s="1857"/>
      <c r="G507" s="1858"/>
      <c r="H507" s="2329"/>
      <c r="I507" s="200"/>
      <c r="J507" s="3215"/>
      <c r="K507" s="3171"/>
      <c r="L507" s="3125"/>
      <c r="M507" s="3124"/>
      <c r="N507" s="3125"/>
      <c r="O507" s="3125"/>
      <c r="P507" s="3125"/>
      <c r="Q507" s="3125">
        <f t="shared" si="86"/>
        <v>0</v>
      </c>
      <c r="R507" s="3601">
        <v>0</v>
      </c>
      <c r="S507" s="3710"/>
      <c r="T507" s="3829"/>
      <c r="U507" s="3771"/>
      <c r="V507" s="1846">
        <f t="shared" si="83"/>
        <v>0</v>
      </c>
    </row>
    <row r="508" spans="1:22" ht="15.05" customHeight="1">
      <c r="A508" s="1855"/>
      <c r="B508" s="1855"/>
      <c r="C508" s="1855"/>
      <c r="D508" s="1855"/>
      <c r="E508" s="1855"/>
      <c r="F508" s="1464" t="s">
        <v>634</v>
      </c>
      <c r="G508" s="1860"/>
      <c r="H508" s="202"/>
      <c r="I508" s="202"/>
      <c r="J508" s="3259">
        <v>0</v>
      </c>
      <c r="K508" s="3123">
        <v>6050000</v>
      </c>
      <c r="L508" s="3182">
        <v>0</v>
      </c>
      <c r="M508" s="3183">
        <v>0</v>
      </c>
      <c r="N508" s="3182">
        <v>0</v>
      </c>
      <c r="O508" s="3182">
        <v>0</v>
      </c>
      <c r="P508" s="3182">
        <v>0</v>
      </c>
      <c r="Q508" s="3182">
        <f t="shared" si="86"/>
        <v>0</v>
      </c>
      <c r="R508" s="3601">
        <v>0</v>
      </c>
      <c r="S508" s="3710"/>
      <c r="T508" s="3829"/>
      <c r="U508" s="3777"/>
      <c r="V508" s="1846">
        <f t="shared" si="83"/>
        <v>0</v>
      </c>
    </row>
    <row r="509" spans="1:22" s="1840" customFormat="1" ht="15.05" customHeight="1">
      <c r="A509" s="1855"/>
      <c r="B509" s="1855"/>
      <c r="C509" s="1855"/>
      <c r="D509" s="1855"/>
      <c r="E509" s="1855"/>
      <c r="F509" s="1857" t="s">
        <v>50</v>
      </c>
      <c r="G509" s="1858"/>
      <c r="H509" s="200" t="s">
        <v>635</v>
      </c>
      <c r="I509" s="200"/>
      <c r="J509" s="3215">
        <v>0</v>
      </c>
      <c r="K509" s="3171">
        <v>6050000</v>
      </c>
      <c r="L509" s="3125">
        <v>0</v>
      </c>
      <c r="M509" s="3124">
        <v>0</v>
      </c>
      <c r="N509" s="3125">
        <v>0</v>
      </c>
      <c r="O509" s="3125">
        <v>0</v>
      </c>
      <c r="P509" s="3125">
        <v>0</v>
      </c>
      <c r="Q509" s="3125">
        <f t="shared" si="86"/>
        <v>0</v>
      </c>
      <c r="R509" s="3601">
        <v>0</v>
      </c>
      <c r="S509" s="3731"/>
      <c r="T509" s="3829"/>
      <c r="U509" s="3778">
        <f>PerDinas!Q626</f>
        <v>0</v>
      </c>
      <c r="V509" s="1882">
        <f t="shared" si="83"/>
        <v>0</v>
      </c>
    </row>
    <row r="510" spans="1:22" ht="15.05" customHeight="1">
      <c r="A510" s="1855"/>
      <c r="B510" s="1855"/>
      <c r="C510" s="1855"/>
      <c r="D510" s="1855"/>
      <c r="E510" s="1855"/>
      <c r="F510" s="1857" t="s">
        <v>50</v>
      </c>
      <c r="G510" s="1858"/>
      <c r="H510" s="200" t="s">
        <v>85</v>
      </c>
      <c r="I510" s="200"/>
      <c r="J510" s="3215">
        <v>0</v>
      </c>
      <c r="K510" s="3171">
        <v>0</v>
      </c>
      <c r="L510" s="3125">
        <v>0</v>
      </c>
      <c r="M510" s="3124">
        <v>0</v>
      </c>
      <c r="N510" s="3125">
        <v>0</v>
      </c>
      <c r="O510" s="3125">
        <v>0</v>
      </c>
      <c r="P510" s="3125">
        <v>0</v>
      </c>
      <c r="Q510" s="3125">
        <f t="shared" si="86"/>
        <v>0</v>
      </c>
      <c r="R510" s="3601">
        <v>0</v>
      </c>
      <c r="S510" s="3710"/>
      <c r="T510" s="3829"/>
      <c r="U510" s="3771"/>
      <c r="V510" s="1846">
        <f t="shared" si="83"/>
        <v>0</v>
      </c>
    </row>
    <row r="511" spans="1:22" ht="15.05" customHeight="1">
      <c r="A511" s="1855"/>
      <c r="B511" s="1855"/>
      <c r="C511" s="1855"/>
      <c r="D511" s="1855"/>
      <c r="E511" s="1855"/>
      <c r="F511" s="1464" t="s">
        <v>579</v>
      </c>
      <c r="G511" s="1860"/>
      <c r="H511" s="202"/>
      <c r="I511" s="202"/>
      <c r="J511" s="3259">
        <v>0</v>
      </c>
      <c r="K511" s="3123">
        <v>0</v>
      </c>
      <c r="L511" s="3182">
        <v>0</v>
      </c>
      <c r="M511" s="3183">
        <v>0</v>
      </c>
      <c r="N511" s="3182">
        <v>0</v>
      </c>
      <c r="O511" s="3182">
        <v>0</v>
      </c>
      <c r="P511" s="3182">
        <v>0</v>
      </c>
      <c r="Q511" s="3182">
        <f t="shared" si="86"/>
        <v>0</v>
      </c>
      <c r="R511" s="3601">
        <v>0</v>
      </c>
      <c r="S511" s="3710"/>
      <c r="T511" s="3829"/>
      <c r="U511" s="3777"/>
      <c r="V511" s="1846">
        <f t="shared" si="83"/>
        <v>0</v>
      </c>
    </row>
    <row r="512" spans="1:22" ht="12.05" customHeight="1">
      <c r="A512" s="1855"/>
      <c r="B512" s="1855"/>
      <c r="C512" s="1855"/>
      <c r="D512" s="1855"/>
      <c r="E512" s="1855"/>
      <c r="F512" s="1857" t="s">
        <v>50</v>
      </c>
      <c r="G512" s="1858"/>
      <c r="H512" s="200" t="s">
        <v>85</v>
      </c>
      <c r="I512" s="200"/>
      <c r="J512" s="3215">
        <v>0</v>
      </c>
      <c r="K512" s="3171">
        <v>0</v>
      </c>
      <c r="L512" s="3125">
        <v>0</v>
      </c>
      <c r="M512" s="3124">
        <v>0</v>
      </c>
      <c r="N512" s="3125">
        <v>0</v>
      </c>
      <c r="O512" s="3125">
        <v>0</v>
      </c>
      <c r="P512" s="3125">
        <v>0</v>
      </c>
      <c r="Q512" s="3125">
        <f t="shared" si="86"/>
        <v>0</v>
      </c>
      <c r="R512" s="3601">
        <v>0</v>
      </c>
      <c r="S512" s="3731"/>
      <c r="T512" s="3829"/>
      <c r="U512" s="3778">
        <f>PerDinas!Q1066</f>
        <v>0</v>
      </c>
      <c r="V512" s="1846">
        <f t="shared" si="83"/>
        <v>0</v>
      </c>
    </row>
    <row r="513" spans="1:22" ht="15.05" customHeight="1">
      <c r="A513" s="1855"/>
      <c r="B513" s="1855"/>
      <c r="C513" s="1855"/>
      <c r="D513" s="1855"/>
      <c r="E513" s="1855"/>
      <c r="F513" s="1464" t="s">
        <v>570</v>
      </c>
      <c r="G513" s="1860"/>
      <c r="H513" s="202"/>
      <c r="I513" s="202"/>
      <c r="J513" s="3259">
        <v>0</v>
      </c>
      <c r="K513" s="3123">
        <v>90592600</v>
      </c>
      <c r="L513" s="3182">
        <v>0</v>
      </c>
      <c r="M513" s="3183">
        <v>10809500</v>
      </c>
      <c r="N513" s="3182">
        <v>0</v>
      </c>
      <c r="O513" s="3182">
        <v>10809500</v>
      </c>
      <c r="P513" s="3182">
        <v>0</v>
      </c>
      <c r="Q513" s="3182">
        <f t="shared" si="86"/>
        <v>0</v>
      </c>
      <c r="R513" s="3601">
        <v>0</v>
      </c>
      <c r="S513" s="3710"/>
      <c r="T513" s="3829"/>
      <c r="U513" s="3777"/>
      <c r="V513" s="1846">
        <f t="shared" si="83"/>
        <v>43238000</v>
      </c>
    </row>
    <row r="514" spans="1:22" s="1840" customFormat="1" ht="15.05" customHeight="1">
      <c r="A514" s="1855"/>
      <c r="B514" s="1855"/>
      <c r="C514" s="1855"/>
      <c r="D514" s="1855"/>
      <c r="E514" s="1855"/>
      <c r="F514" s="1857" t="s">
        <v>50</v>
      </c>
      <c r="G514" s="1858"/>
      <c r="H514" s="200" t="s">
        <v>85</v>
      </c>
      <c r="I514" s="200"/>
      <c r="J514" s="3215">
        <v>0</v>
      </c>
      <c r="K514" s="3171">
        <v>90592600</v>
      </c>
      <c r="L514" s="3125">
        <v>0</v>
      </c>
      <c r="M514" s="3124">
        <v>10809500</v>
      </c>
      <c r="N514" s="3125">
        <v>0</v>
      </c>
      <c r="O514" s="3125">
        <v>10809500</v>
      </c>
      <c r="P514" s="3125">
        <v>0</v>
      </c>
      <c r="Q514" s="3125">
        <f t="shared" si="86"/>
        <v>0</v>
      </c>
      <c r="R514" s="3601">
        <v>0</v>
      </c>
      <c r="S514" s="3731"/>
      <c r="T514" s="3829"/>
      <c r="U514" s="3778">
        <f>PerDinas!Q633</f>
        <v>0</v>
      </c>
      <c r="V514" s="1882">
        <f t="shared" si="83"/>
        <v>43238000</v>
      </c>
    </row>
    <row r="515" spans="1:22" ht="15.05" hidden="1" customHeight="1">
      <c r="A515" s="1855"/>
      <c r="B515" s="1855"/>
      <c r="C515" s="1855"/>
      <c r="D515" s="1855"/>
      <c r="E515" s="1855"/>
      <c r="F515" s="1857"/>
      <c r="G515" s="1858"/>
      <c r="H515" s="200"/>
      <c r="I515" s="200"/>
      <c r="J515" s="3215"/>
      <c r="K515" s="3171"/>
      <c r="L515" s="3125"/>
      <c r="M515" s="3124"/>
      <c r="N515" s="3125"/>
      <c r="O515" s="3125"/>
      <c r="P515" s="3125"/>
      <c r="Q515" s="3125">
        <f t="shared" si="86"/>
        <v>0</v>
      </c>
      <c r="R515" s="3601">
        <v>0</v>
      </c>
      <c r="S515" s="3710"/>
      <c r="T515" s="3829"/>
      <c r="U515" s="3771"/>
      <c r="V515" s="1846">
        <f t="shared" si="83"/>
        <v>0</v>
      </c>
    </row>
    <row r="516" spans="1:22" ht="15.05" customHeight="1">
      <c r="A516" s="1855"/>
      <c r="B516" s="1855"/>
      <c r="C516" s="1855"/>
      <c r="D516" s="1855"/>
      <c r="E516" s="1855"/>
      <c r="F516" s="2825" t="s">
        <v>636</v>
      </c>
      <c r="G516" s="1860"/>
      <c r="H516" s="202"/>
      <c r="I516" s="202"/>
      <c r="J516" s="3259"/>
      <c r="K516" s="3123"/>
      <c r="L516" s="3182">
        <v>0</v>
      </c>
      <c r="M516" s="3183">
        <v>0</v>
      </c>
      <c r="N516" s="3182">
        <v>0</v>
      </c>
      <c r="O516" s="3182">
        <v>0</v>
      </c>
      <c r="P516" s="3182">
        <v>0</v>
      </c>
      <c r="Q516" s="3182">
        <f t="shared" si="86"/>
        <v>0</v>
      </c>
      <c r="R516" s="3601">
        <v>0</v>
      </c>
      <c r="S516" s="3710"/>
      <c r="T516" s="3829"/>
      <c r="U516" s="3777"/>
      <c r="V516" s="1846">
        <f t="shared" si="83"/>
        <v>0</v>
      </c>
    </row>
    <row r="517" spans="1:22" ht="15.05" customHeight="1">
      <c r="A517" s="1855"/>
      <c r="B517" s="1855"/>
      <c r="C517" s="1855"/>
      <c r="D517" s="1855"/>
      <c r="E517" s="1855"/>
      <c r="F517" s="1857" t="s">
        <v>50</v>
      </c>
      <c r="G517" s="1858"/>
      <c r="H517" s="200" t="s">
        <v>631</v>
      </c>
      <c r="I517" s="200"/>
      <c r="J517" s="3215"/>
      <c r="K517" s="3171"/>
      <c r="L517" s="3125">
        <v>0</v>
      </c>
      <c r="M517" s="3124">
        <v>0</v>
      </c>
      <c r="N517" s="3125">
        <v>0</v>
      </c>
      <c r="O517" s="3125">
        <v>0</v>
      </c>
      <c r="P517" s="3125">
        <v>0</v>
      </c>
      <c r="Q517" s="3125">
        <f t="shared" si="86"/>
        <v>0</v>
      </c>
      <c r="R517" s="3601">
        <v>0</v>
      </c>
      <c r="S517" s="3731"/>
      <c r="T517" s="3829"/>
      <c r="U517" s="3778">
        <f>PerDinas!Q56</f>
        <v>0</v>
      </c>
      <c r="V517" s="1846">
        <f t="shared" si="83"/>
        <v>0</v>
      </c>
    </row>
    <row r="518" spans="1:22" ht="15.05" customHeight="1">
      <c r="A518" s="1855"/>
      <c r="B518" s="1855"/>
      <c r="C518" s="1855"/>
      <c r="D518" s="1855"/>
      <c r="E518" s="1855"/>
      <c r="F518" s="1464" t="s">
        <v>637</v>
      </c>
      <c r="G518" s="1860"/>
      <c r="H518" s="202"/>
      <c r="I518" s="202"/>
      <c r="J518" s="3259"/>
      <c r="K518" s="3123"/>
      <c r="L518" s="3182">
        <v>0</v>
      </c>
      <c r="M518" s="3183">
        <v>0</v>
      </c>
      <c r="N518" s="3182">
        <v>0</v>
      </c>
      <c r="O518" s="3182">
        <v>0</v>
      </c>
      <c r="P518" s="3182">
        <v>0</v>
      </c>
      <c r="Q518" s="3182">
        <f t="shared" si="86"/>
        <v>0</v>
      </c>
      <c r="R518" s="3601">
        <v>0</v>
      </c>
      <c r="S518" s="3710"/>
      <c r="T518" s="3829"/>
      <c r="U518" s="3777"/>
      <c r="V518" s="1846">
        <f t="shared" si="83"/>
        <v>0</v>
      </c>
    </row>
    <row r="519" spans="1:22" ht="15.05" customHeight="1">
      <c r="A519" s="1855"/>
      <c r="B519" s="1855"/>
      <c r="C519" s="1855"/>
      <c r="D519" s="1855"/>
      <c r="E519" s="1855"/>
      <c r="F519" s="1857" t="s">
        <v>50</v>
      </c>
      <c r="G519" s="1858"/>
      <c r="H519" s="200" t="s">
        <v>85</v>
      </c>
      <c r="I519" s="200"/>
      <c r="J519" s="3215"/>
      <c r="K519" s="3171"/>
      <c r="L519" s="3125">
        <v>0</v>
      </c>
      <c r="M519" s="3124">
        <v>0</v>
      </c>
      <c r="N519" s="3125">
        <v>0</v>
      </c>
      <c r="O519" s="3125">
        <v>0</v>
      </c>
      <c r="P519" s="3125">
        <v>0</v>
      </c>
      <c r="Q519" s="3125">
        <f t="shared" si="86"/>
        <v>0</v>
      </c>
      <c r="R519" s="3601">
        <v>0</v>
      </c>
      <c r="S519" s="3710"/>
      <c r="T519" s="3829"/>
      <c r="U519" s="3771"/>
      <c r="V519" s="1846">
        <f t="shared" si="83"/>
        <v>0</v>
      </c>
    </row>
    <row r="520" spans="1:22" ht="15.05" customHeight="1">
      <c r="A520" s="1855"/>
      <c r="B520" s="1855"/>
      <c r="C520" s="1855"/>
      <c r="D520" s="1855"/>
      <c r="E520" s="1855"/>
      <c r="F520" s="1464" t="s">
        <v>638</v>
      </c>
      <c r="G520" s="1860"/>
      <c r="H520" s="202"/>
      <c r="I520" s="202"/>
      <c r="J520" s="3259"/>
      <c r="K520" s="3123"/>
      <c r="L520" s="3182">
        <v>0</v>
      </c>
      <c r="M520" s="3183">
        <v>0</v>
      </c>
      <c r="N520" s="3182">
        <v>0</v>
      </c>
      <c r="O520" s="3182">
        <v>0</v>
      </c>
      <c r="P520" s="3182">
        <v>0</v>
      </c>
      <c r="Q520" s="3182">
        <f t="shared" si="86"/>
        <v>0</v>
      </c>
      <c r="R520" s="3601">
        <v>0</v>
      </c>
      <c r="S520" s="3710"/>
      <c r="T520" s="3829"/>
      <c r="U520" s="3777"/>
      <c r="V520" s="1846">
        <f t="shared" si="83"/>
        <v>0</v>
      </c>
    </row>
    <row r="521" spans="1:22" ht="15.05" customHeight="1">
      <c r="A521" s="1855"/>
      <c r="B521" s="1855"/>
      <c r="C521" s="1855"/>
      <c r="D521" s="1855"/>
      <c r="E521" s="1855"/>
      <c r="F521" s="1857" t="s">
        <v>50</v>
      </c>
      <c r="G521" s="1858"/>
      <c r="H521" s="200" t="s">
        <v>85</v>
      </c>
      <c r="I521" s="200"/>
      <c r="J521" s="3215"/>
      <c r="K521" s="3171"/>
      <c r="L521" s="3125"/>
      <c r="M521" s="3124"/>
      <c r="N521" s="3125"/>
      <c r="O521" s="3125"/>
      <c r="P521" s="3125"/>
      <c r="Q521" s="3125">
        <f t="shared" si="86"/>
        <v>0</v>
      </c>
      <c r="R521" s="3601">
        <v>0</v>
      </c>
      <c r="S521" s="3710"/>
      <c r="T521" s="3829"/>
      <c r="U521" s="3771"/>
      <c r="V521" s="1846">
        <f t="shared" si="83"/>
        <v>0</v>
      </c>
    </row>
    <row r="522" spans="1:22" ht="15.05" customHeight="1">
      <c r="A522" s="1855"/>
      <c r="B522" s="1855"/>
      <c r="C522" s="1855"/>
      <c r="D522" s="1855"/>
      <c r="E522" s="1855"/>
      <c r="F522" s="1464" t="s">
        <v>639</v>
      </c>
      <c r="G522" s="1860"/>
      <c r="H522" s="202"/>
      <c r="I522" s="202"/>
      <c r="J522" s="3259"/>
      <c r="K522" s="3123"/>
      <c r="L522" s="3182">
        <v>0</v>
      </c>
      <c r="M522" s="3183">
        <v>0</v>
      </c>
      <c r="N522" s="3182">
        <v>0</v>
      </c>
      <c r="O522" s="3182">
        <v>0</v>
      </c>
      <c r="P522" s="3182">
        <v>0</v>
      </c>
      <c r="Q522" s="3182">
        <f t="shared" si="86"/>
        <v>0</v>
      </c>
      <c r="R522" s="3601">
        <v>0</v>
      </c>
      <c r="S522" s="3710"/>
      <c r="T522" s="3829"/>
      <c r="U522" s="3777"/>
      <c r="V522" s="1846">
        <f t="shared" si="83"/>
        <v>0</v>
      </c>
    </row>
    <row r="523" spans="1:22" ht="15.05" customHeight="1">
      <c r="A523" s="1855"/>
      <c r="B523" s="1855"/>
      <c r="C523" s="1855"/>
      <c r="D523" s="1855"/>
      <c r="E523" s="1855"/>
      <c r="F523" s="1857" t="s">
        <v>50</v>
      </c>
      <c r="G523" s="1858"/>
      <c r="H523" s="200" t="s">
        <v>640</v>
      </c>
      <c r="I523" s="200"/>
      <c r="J523" s="3215"/>
      <c r="K523" s="3171"/>
      <c r="L523" s="3125">
        <v>0</v>
      </c>
      <c r="M523" s="3124">
        <v>0</v>
      </c>
      <c r="N523" s="3125">
        <v>0</v>
      </c>
      <c r="O523" s="3125">
        <v>0</v>
      </c>
      <c r="P523" s="3125">
        <v>0</v>
      </c>
      <c r="Q523" s="3125">
        <f t="shared" si="86"/>
        <v>0</v>
      </c>
      <c r="R523" s="3601">
        <v>0</v>
      </c>
      <c r="S523" s="3731"/>
      <c r="T523" s="3829"/>
      <c r="U523" s="3778">
        <f>PerDinas!Q606</f>
        <v>0</v>
      </c>
      <c r="V523" s="1846">
        <f t="shared" si="83"/>
        <v>0</v>
      </c>
    </row>
    <row r="524" spans="1:22" ht="15.05" customHeight="1">
      <c r="A524" s="1855"/>
      <c r="B524" s="1855"/>
      <c r="C524" s="1855"/>
      <c r="D524" s="1855"/>
      <c r="E524" s="1855"/>
      <c r="F524" s="1464" t="s">
        <v>641</v>
      </c>
      <c r="G524" s="1860"/>
      <c r="H524" s="202"/>
      <c r="I524" s="202"/>
      <c r="J524" s="3259"/>
      <c r="K524" s="3123"/>
      <c r="L524" s="3182">
        <v>0</v>
      </c>
      <c r="M524" s="3183">
        <v>0</v>
      </c>
      <c r="N524" s="3182">
        <v>0</v>
      </c>
      <c r="O524" s="3182">
        <v>0</v>
      </c>
      <c r="P524" s="3182">
        <v>0</v>
      </c>
      <c r="Q524" s="3182">
        <f t="shared" si="86"/>
        <v>0</v>
      </c>
      <c r="R524" s="3601">
        <v>0</v>
      </c>
      <c r="S524" s="3710"/>
      <c r="T524" s="3829"/>
      <c r="U524" s="3777"/>
      <c r="V524" s="1846">
        <f t="shared" ref="V524:V573" si="88">O524*4</f>
        <v>0</v>
      </c>
    </row>
    <row r="525" spans="1:22" ht="15.05" customHeight="1">
      <c r="A525" s="1855"/>
      <c r="B525" s="1855"/>
      <c r="C525" s="1855"/>
      <c r="D525" s="1855"/>
      <c r="E525" s="1855"/>
      <c r="F525" s="1857" t="s">
        <v>50</v>
      </c>
      <c r="G525" s="1858"/>
      <c r="H525" s="200" t="s">
        <v>85</v>
      </c>
      <c r="I525" s="200"/>
      <c r="J525" s="3215"/>
      <c r="K525" s="3171"/>
      <c r="L525" s="3125">
        <v>0</v>
      </c>
      <c r="M525" s="3124">
        <v>0</v>
      </c>
      <c r="N525" s="3125">
        <v>0</v>
      </c>
      <c r="O525" s="3125">
        <v>0</v>
      </c>
      <c r="P525" s="3125">
        <v>0</v>
      </c>
      <c r="Q525" s="3125">
        <f t="shared" si="86"/>
        <v>0</v>
      </c>
      <c r="R525" s="3601">
        <v>0</v>
      </c>
      <c r="S525" s="3710"/>
      <c r="T525" s="3829"/>
      <c r="U525" s="3771"/>
      <c r="V525" s="1846">
        <f t="shared" si="88"/>
        <v>0</v>
      </c>
    </row>
    <row r="526" spans="1:22" ht="15.05" hidden="1" customHeight="1">
      <c r="A526" s="1855"/>
      <c r="B526" s="1855"/>
      <c r="C526" s="1855"/>
      <c r="D526" s="1855"/>
      <c r="E526" s="1855"/>
      <c r="F526" s="1464" t="s">
        <v>642</v>
      </c>
      <c r="G526" s="1860"/>
      <c r="H526" s="202"/>
      <c r="I526" s="202"/>
      <c r="J526" s="3259"/>
      <c r="K526" s="3123"/>
      <c r="L526" s="3182">
        <v>0</v>
      </c>
      <c r="M526" s="3183">
        <v>0</v>
      </c>
      <c r="N526" s="3182">
        <v>0</v>
      </c>
      <c r="O526" s="3182">
        <v>0</v>
      </c>
      <c r="P526" s="3182">
        <v>0</v>
      </c>
      <c r="Q526" s="3182">
        <f t="shared" si="86"/>
        <v>0</v>
      </c>
      <c r="R526" s="3601">
        <v>0</v>
      </c>
      <c r="S526" s="3710"/>
      <c r="T526" s="3829"/>
      <c r="U526" s="3777"/>
      <c r="V526" s="1846">
        <f t="shared" si="88"/>
        <v>0</v>
      </c>
    </row>
    <row r="527" spans="1:22" ht="15.05" hidden="1" customHeight="1">
      <c r="A527" s="1855"/>
      <c r="B527" s="1855"/>
      <c r="C527" s="1855"/>
      <c r="D527" s="1855"/>
      <c r="E527" s="1855"/>
      <c r="F527" s="1857"/>
      <c r="G527" s="1858"/>
      <c r="H527" s="200"/>
      <c r="I527" s="200"/>
      <c r="J527" s="3215"/>
      <c r="K527" s="3171"/>
      <c r="L527" s="3125"/>
      <c r="M527" s="3124"/>
      <c r="N527" s="3125"/>
      <c r="O527" s="3125"/>
      <c r="P527" s="3125"/>
      <c r="Q527" s="3125">
        <f t="shared" si="86"/>
        <v>0</v>
      </c>
      <c r="R527" s="3601">
        <v>0</v>
      </c>
      <c r="S527" s="3710"/>
      <c r="T527" s="3829"/>
      <c r="U527" s="3771"/>
      <c r="V527" s="1846">
        <f t="shared" si="88"/>
        <v>0</v>
      </c>
    </row>
    <row r="528" spans="1:22" ht="15.05" customHeight="1">
      <c r="A528" s="1855"/>
      <c r="B528" s="1855"/>
      <c r="C528" s="1855"/>
      <c r="D528" s="1855"/>
      <c r="E528" s="1855"/>
      <c r="F528" s="1464" t="s">
        <v>643</v>
      </c>
      <c r="G528" s="1860"/>
      <c r="H528" s="202"/>
      <c r="I528" s="202"/>
      <c r="J528" s="3259">
        <v>1100000</v>
      </c>
      <c r="K528" s="3123">
        <v>0</v>
      </c>
      <c r="L528" s="3182">
        <v>1100000</v>
      </c>
      <c r="M528" s="3183">
        <v>0</v>
      </c>
      <c r="N528" s="3182">
        <v>0</v>
      </c>
      <c r="O528" s="3182">
        <v>0</v>
      </c>
      <c r="P528" s="3182">
        <v>1100000</v>
      </c>
      <c r="Q528" s="3182">
        <f t="shared" si="86"/>
        <v>0</v>
      </c>
      <c r="R528" s="3601">
        <v>0</v>
      </c>
      <c r="S528" s="3710"/>
      <c r="T528" s="3829"/>
      <c r="U528" s="3777"/>
      <c r="V528" s="1846">
        <f t="shared" si="88"/>
        <v>0</v>
      </c>
    </row>
    <row r="529" spans="1:22" s="1840" customFormat="1" ht="15.05" customHeight="1">
      <c r="A529" s="1855"/>
      <c r="B529" s="1855"/>
      <c r="C529" s="1855"/>
      <c r="D529" s="1855"/>
      <c r="E529" s="1855"/>
      <c r="F529" s="1857" t="s">
        <v>50</v>
      </c>
      <c r="G529" s="1858"/>
      <c r="H529" s="200" t="s">
        <v>85</v>
      </c>
      <c r="I529" s="200"/>
      <c r="J529" s="3215">
        <v>1100000</v>
      </c>
      <c r="K529" s="3171">
        <v>0</v>
      </c>
      <c r="L529" s="3125">
        <v>1100000</v>
      </c>
      <c r="M529" s="3124">
        <v>0</v>
      </c>
      <c r="N529" s="3125">
        <v>0</v>
      </c>
      <c r="O529" s="3125">
        <v>0</v>
      </c>
      <c r="P529" s="3125">
        <v>1100000</v>
      </c>
      <c r="Q529" s="3125">
        <f t="shared" si="86"/>
        <v>0</v>
      </c>
      <c r="R529" s="3601">
        <v>0</v>
      </c>
      <c r="S529" s="3731"/>
      <c r="T529" s="3829"/>
      <c r="U529" s="3778">
        <f>PerDinas!Q601</f>
        <v>0</v>
      </c>
      <c r="V529" s="1882">
        <f t="shared" si="88"/>
        <v>0</v>
      </c>
    </row>
    <row r="530" spans="1:22" ht="15.05" customHeight="1">
      <c r="A530" s="1855"/>
      <c r="B530" s="1855"/>
      <c r="C530" s="1855"/>
      <c r="D530" s="1855"/>
      <c r="E530" s="1855"/>
      <c r="F530" s="1464" t="s">
        <v>62</v>
      </c>
      <c r="G530" s="1860"/>
      <c r="H530" s="202"/>
      <c r="I530" s="202"/>
      <c r="J530" s="3259"/>
      <c r="K530" s="3123"/>
      <c r="L530" s="3182">
        <v>0</v>
      </c>
      <c r="M530" s="3183">
        <v>0</v>
      </c>
      <c r="N530" s="3182">
        <v>0</v>
      </c>
      <c r="O530" s="3182">
        <v>0</v>
      </c>
      <c r="P530" s="3182">
        <v>0</v>
      </c>
      <c r="Q530" s="3182">
        <f t="shared" si="86"/>
        <v>0</v>
      </c>
      <c r="R530" s="3601">
        <v>0</v>
      </c>
      <c r="S530" s="3710"/>
      <c r="T530" s="3829"/>
      <c r="U530" s="3777"/>
      <c r="V530" s="1846">
        <f t="shared" si="88"/>
        <v>0</v>
      </c>
    </row>
    <row r="531" spans="1:22" ht="15.05" customHeight="1">
      <c r="A531" s="1855"/>
      <c r="B531" s="1855"/>
      <c r="C531" s="1855"/>
      <c r="D531" s="1855"/>
      <c r="E531" s="1855"/>
      <c r="F531" s="1857" t="s">
        <v>50</v>
      </c>
      <c r="G531" s="1858"/>
      <c r="H531" s="200" t="s">
        <v>85</v>
      </c>
      <c r="I531" s="200"/>
      <c r="J531" s="3215"/>
      <c r="K531" s="3171"/>
      <c r="L531" s="3125">
        <v>0</v>
      </c>
      <c r="M531" s="3124">
        <v>0</v>
      </c>
      <c r="N531" s="3125">
        <v>0</v>
      </c>
      <c r="O531" s="3125">
        <v>0</v>
      </c>
      <c r="P531" s="3125">
        <v>0</v>
      </c>
      <c r="Q531" s="3125">
        <f t="shared" si="86"/>
        <v>0</v>
      </c>
      <c r="R531" s="3601">
        <v>0</v>
      </c>
      <c r="S531" s="3731"/>
      <c r="T531" s="3829"/>
      <c r="U531" s="3778">
        <f>PerDinas!Q600</f>
        <v>0</v>
      </c>
      <c r="V531" s="1846">
        <f t="shared" si="88"/>
        <v>0</v>
      </c>
    </row>
    <row r="532" spans="1:22" ht="15.05" hidden="1" customHeight="1">
      <c r="A532" s="1855"/>
      <c r="B532" s="1855"/>
      <c r="C532" s="1855"/>
      <c r="D532" s="1855"/>
      <c r="E532" s="1855"/>
      <c r="F532" s="1857" t="s">
        <v>50</v>
      </c>
      <c r="G532" s="1858"/>
      <c r="H532" s="200"/>
      <c r="I532" s="1939"/>
      <c r="J532" s="3310"/>
      <c r="K532" s="3311"/>
      <c r="L532" s="3125"/>
      <c r="M532" s="3124"/>
      <c r="N532" s="3125"/>
      <c r="O532" s="3125"/>
      <c r="P532" s="3125"/>
      <c r="Q532" s="3125">
        <f t="shared" si="86"/>
        <v>0</v>
      </c>
      <c r="R532" s="3601">
        <v>0</v>
      </c>
      <c r="S532" s="3731"/>
      <c r="T532" s="3829"/>
      <c r="U532" s="3778">
        <f>PerDinas!Q388</f>
        <v>0</v>
      </c>
      <c r="V532" s="1846">
        <f t="shared" si="88"/>
        <v>0</v>
      </c>
    </row>
    <row r="533" spans="1:22" ht="15.05" hidden="1" customHeight="1">
      <c r="A533" s="1855"/>
      <c r="B533" s="1855"/>
      <c r="C533" s="1855"/>
      <c r="D533" s="1855"/>
      <c r="E533" s="1855"/>
      <c r="F533" s="1857"/>
      <c r="G533" s="1858"/>
      <c r="H533" s="200"/>
      <c r="I533" s="1939"/>
      <c r="J533" s="3310"/>
      <c r="K533" s="3311"/>
      <c r="L533" s="3125"/>
      <c r="M533" s="3124"/>
      <c r="N533" s="3125"/>
      <c r="O533" s="3125"/>
      <c r="P533" s="3125"/>
      <c r="Q533" s="3125">
        <f t="shared" si="86"/>
        <v>0</v>
      </c>
      <c r="R533" s="3601">
        <v>0</v>
      </c>
      <c r="S533" s="3710"/>
      <c r="T533" s="3829"/>
      <c r="U533" s="3778"/>
      <c r="V533" s="1846">
        <f t="shared" si="88"/>
        <v>0</v>
      </c>
    </row>
    <row r="534" spans="1:22" ht="15.05" customHeight="1">
      <c r="A534" s="1855"/>
      <c r="B534" s="1855"/>
      <c r="C534" s="1855"/>
      <c r="D534" s="1855"/>
      <c r="E534" s="1855"/>
      <c r="F534" s="1464" t="s">
        <v>580</v>
      </c>
      <c r="G534" s="1860"/>
      <c r="H534" s="202"/>
      <c r="I534" s="202"/>
      <c r="J534" s="3259"/>
      <c r="K534" s="3123"/>
      <c r="L534" s="3182">
        <v>0</v>
      </c>
      <c r="M534" s="3183">
        <v>0</v>
      </c>
      <c r="N534" s="3182">
        <v>0</v>
      </c>
      <c r="O534" s="3182">
        <v>0</v>
      </c>
      <c r="P534" s="3182">
        <v>0</v>
      </c>
      <c r="Q534" s="3182">
        <f t="shared" si="86"/>
        <v>0</v>
      </c>
      <c r="R534" s="3601">
        <v>0</v>
      </c>
      <c r="S534" s="3710"/>
      <c r="T534" s="3829"/>
      <c r="U534" s="3777"/>
      <c r="V534" s="1846">
        <f t="shared" si="88"/>
        <v>0</v>
      </c>
    </row>
    <row r="535" spans="1:22" ht="15.05" customHeight="1">
      <c r="A535" s="1855"/>
      <c r="B535" s="1855"/>
      <c r="C535" s="1855"/>
      <c r="D535" s="1855"/>
      <c r="E535" s="1855"/>
      <c r="F535" s="1857" t="s">
        <v>50</v>
      </c>
      <c r="G535" s="1858"/>
      <c r="H535" s="200" t="s">
        <v>85</v>
      </c>
      <c r="I535" s="200"/>
      <c r="J535" s="3215"/>
      <c r="K535" s="3171"/>
      <c r="L535" s="3125">
        <v>0</v>
      </c>
      <c r="M535" s="3124">
        <v>0</v>
      </c>
      <c r="N535" s="3125">
        <v>0</v>
      </c>
      <c r="O535" s="3125">
        <v>0</v>
      </c>
      <c r="P535" s="3125">
        <v>0</v>
      </c>
      <c r="Q535" s="3125">
        <f t="shared" si="86"/>
        <v>0</v>
      </c>
      <c r="R535" s="3601">
        <v>0</v>
      </c>
      <c r="S535" s="3731"/>
      <c r="T535" s="3829"/>
      <c r="U535" s="3778">
        <f>PerDinas!Q607</f>
        <v>0</v>
      </c>
      <c r="V535" s="1846">
        <f t="shared" si="88"/>
        <v>0</v>
      </c>
    </row>
    <row r="536" spans="1:22" ht="15.05" customHeight="1">
      <c r="A536" s="1855"/>
      <c r="B536" s="1855"/>
      <c r="C536" s="1855"/>
      <c r="D536" s="1855"/>
      <c r="E536" s="1855"/>
      <c r="F536" s="1464" t="s">
        <v>644</v>
      </c>
      <c r="G536" s="1860"/>
      <c r="H536" s="202"/>
      <c r="I536" s="202"/>
      <c r="J536" s="3259">
        <v>0</v>
      </c>
      <c r="K536" s="3123">
        <v>13894000</v>
      </c>
      <c r="L536" s="3182">
        <v>0</v>
      </c>
      <c r="M536" s="3183">
        <v>0</v>
      </c>
      <c r="N536" s="3182">
        <v>0</v>
      </c>
      <c r="O536" s="3182">
        <v>0</v>
      </c>
      <c r="P536" s="3182">
        <v>0</v>
      </c>
      <c r="Q536" s="3182">
        <f t="shared" si="86"/>
        <v>0</v>
      </c>
      <c r="R536" s="3601">
        <v>0</v>
      </c>
      <c r="S536" s="3710"/>
      <c r="T536" s="3829"/>
      <c r="U536" s="3777"/>
      <c r="V536" s="1846">
        <f t="shared" si="88"/>
        <v>0</v>
      </c>
    </row>
    <row r="537" spans="1:22" s="1840" customFormat="1" ht="15.05" customHeight="1">
      <c r="A537" s="1855"/>
      <c r="B537" s="1855"/>
      <c r="C537" s="1855"/>
      <c r="D537" s="1855"/>
      <c r="E537" s="1855"/>
      <c r="F537" s="1857" t="s">
        <v>50</v>
      </c>
      <c r="G537" s="1858" t="s">
        <v>624</v>
      </c>
      <c r="H537" s="200"/>
      <c r="I537" s="200"/>
      <c r="J537" s="3215">
        <v>0</v>
      </c>
      <c r="K537" s="3171">
        <v>13894000</v>
      </c>
      <c r="L537" s="3125"/>
      <c r="M537" s="3124"/>
      <c r="N537" s="3125"/>
      <c r="O537" s="3125"/>
      <c r="P537" s="3125"/>
      <c r="Q537" s="3125">
        <f t="shared" si="86"/>
        <v>0</v>
      </c>
      <c r="R537" s="3601">
        <v>0</v>
      </c>
      <c r="S537" s="3731"/>
      <c r="T537" s="3829"/>
      <c r="U537" s="3778"/>
      <c r="V537" s="1882">
        <f t="shared" si="88"/>
        <v>0</v>
      </c>
    </row>
    <row r="538" spans="1:22" ht="15.05" hidden="1" customHeight="1">
      <c r="A538" s="1855"/>
      <c r="B538" s="1855"/>
      <c r="C538" s="1855"/>
      <c r="D538" s="1855"/>
      <c r="E538" s="1855"/>
      <c r="F538" s="1857"/>
      <c r="G538" s="1858"/>
      <c r="H538" s="200"/>
      <c r="I538" s="200"/>
      <c r="J538" s="3215"/>
      <c r="K538" s="3171"/>
      <c r="L538" s="3125"/>
      <c r="M538" s="3124"/>
      <c r="N538" s="3125"/>
      <c r="O538" s="3125"/>
      <c r="P538" s="3125"/>
      <c r="Q538" s="3125">
        <f t="shared" si="86"/>
        <v>0</v>
      </c>
      <c r="R538" s="3601">
        <v>0</v>
      </c>
      <c r="S538" s="3710"/>
      <c r="T538" s="3829"/>
      <c r="U538" s="3771"/>
      <c r="V538" s="1846">
        <f t="shared" si="88"/>
        <v>0</v>
      </c>
    </row>
    <row r="539" spans="1:22" ht="15.05" customHeight="1">
      <c r="A539" s="1855"/>
      <c r="B539" s="1855"/>
      <c r="C539" s="1855"/>
      <c r="D539" s="1855"/>
      <c r="E539" s="1855"/>
      <c r="F539" s="1464" t="s">
        <v>571</v>
      </c>
      <c r="G539" s="1860"/>
      <c r="H539" s="202"/>
      <c r="I539" s="202"/>
      <c r="J539" s="3259">
        <v>0</v>
      </c>
      <c r="K539" s="3123">
        <v>99530000</v>
      </c>
      <c r="L539" s="3182">
        <v>0</v>
      </c>
      <c r="M539" s="3183">
        <v>14027628.99</v>
      </c>
      <c r="N539" s="3182">
        <v>500000</v>
      </c>
      <c r="O539" s="3182">
        <v>14527628.99</v>
      </c>
      <c r="P539" s="3182">
        <v>0</v>
      </c>
      <c r="Q539" s="3182">
        <f t="shared" si="86"/>
        <v>0</v>
      </c>
      <c r="R539" s="3601">
        <v>0</v>
      </c>
      <c r="S539" s="3710"/>
      <c r="T539" s="3829"/>
      <c r="U539" s="3777"/>
      <c r="V539" s="1846">
        <f t="shared" si="88"/>
        <v>58110515.960000001</v>
      </c>
    </row>
    <row r="540" spans="1:22" s="1840" customFormat="1" ht="15.05" customHeight="1">
      <c r="A540" s="1855"/>
      <c r="B540" s="1855"/>
      <c r="C540" s="1855"/>
      <c r="D540" s="1855"/>
      <c r="E540" s="1855"/>
      <c r="F540" s="1857" t="s">
        <v>50</v>
      </c>
      <c r="G540" s="1858"/>
      <c r="H540" s="200" t="s">
        <v>85</v>
      </c>
      <c r="I540" s="200"/>
      <c r="J540" s="3215">
        <v>0</v>
      </c>
      <c r="K540" s="3171">
        <v>99530000</v>
      </c>
      <c r="L540" s="3125">
        <v>0</v>
      </c>
      <c r="M540" s="3124">
        <v>14027628.99</v>
      </c>
      <c r="N540" s="3125">
        <v>500000</v>
      </c>
      <c r="O540" s="3125">
        <v>14527628.99</v>
      </c>
      <c r="P540" s="3125">
        <v>0</v>
      </c>
      <c r="Q540" s="3125">
        <f t="shared" si="86"/>
        <v>0</v>
      </c>
      <c r="R540" s="3601">
        <v>0</v>
      </c>
      <c r="S540" s="3731"/>
      <c r="T540" s="3829"/>
      <c r="U540" s="3778">
        <f>PerDinas!Q584</f>
        <v>0</v>
      </c>
      <c r="V540" s="1882">
        <f t="shared" si="88"/>
        <v>58110515.960000001</v>
      </c>
    </row>
    <row r="541" spans="1:22" ht="15.05" customHeight="1">
      <c r="A541" s="1855"/>
      <c r="B541" s="1855"/>
      <c r="C541" s="1855"/>
      <c r="D541" s="1855"/>
      <c r="E541" s="1855"/>
      <c r="F541" s="1464" t="s">
        <v>645</v>
      </c>
      <c r="G541" s="1860"/>
      <c r="H541" s="202"/>
      <c r="I541" s="202"/>
      <c r="J541" s="3259">
        <v>0</v>
      </c>
      <c r="K541" s="3123">
        <v>0</v>
      </c>
      <c r="L541" s="3182">
        <v>0</v>
      </c>
      <c r="M541" s="3183">
        <v>0</v>
      </c>
      <c r="N541" s="3182">
        <v>0</v>
      </c>
      <c r="O541" s="3182">
        <v>0</v>
      </c>
      <c r="P541" s="3182">
        <v>0</v>
      </c>
      <c r="Q541" s="3182">
        <f t="shared" si="86"/>
        <v>0</v>
      </c>
      <c r="R541" s="3601">
        <v>0</v>
      </c>
      <c r="S541" s="3710"/>
      <c r="T541" s="3829"/>
      <c r="U541" s="3777"/>
      <c r="V541" s="1846">
        <f t="shared" si="88"/>
        <v>0</v>
      </c>
    </row>
    <row r="542" spans="1:22" ht="15.05" customHeight="1">
      <c r="A542" s="1855"/>
      <c r="B542" s="1855"/>
      <c r="C542" s="1855"/>
      <c r="D542" s="1855"/>
      <c r="E542" s="1855"/>
      <c r="F542" s="1857" t="s">
        <v>50</v>
      </c>
      <c r="G542" s="1858"/>
      <c r="H542" s="200" t="s">
        <v>85</v>
      </c>
      <c r="I542" s="200"/>
      <c r="J542" s="3215">
        <v>0</v>
      </c>
      <c r="K542" s="3171">
        <v>0</v>
      </c>
      <c r="L542" s="3125">
        <v>0</v>
      </c>
      <c r="M542" s="3124">
        <v>0</v>
      </c>
      <c r="N542" s="3125">
        <v>0</v>
      </c>
      <c r="O542" s="3125">
        <v>0</v>
      </c>
      <c r="P542" s="3125">
        <v>0</v>
      </c>
      <c r="Q542" s="3125">
        <f t="shared" si="86"/>
        <v>0</v>
      </c>
      <c r="R542" s="3601">
        <v>0</v>
      </c>
      <c r="S542" s="3710"/>
      <c r="T542" s="3829"/>
      <c r="U542" s="3771"/>
      <c r="V542" s="1846">
        <f t="shared" si="88"/>
        <v>0</v>
      </c>
    </row>
    <row r="543" spans="1:22" ht="15.05" customHeight="1">
      <c r="A543" s="1855"/>
      <c r="B543" s="1855"/>
      <c r="C543" s="1855"/>
      <c r="D543" s="1855"/>
      <c r="E543" s="1855"/>
      <c r="F543" s="1464" t="s">
        <v>113</v>
      </c>
      <c r="G543" s="1860"/>
      <c r="H543" s="202"/>
      <c r="I543" s="202"/>
      <c r="J543" s="3259">
        <v>0</v>
      </c>
      <c r="K543" s="3123">
        <v>3588000</v>
      </c>
      <c r="L543" s="3182">
        <v>0</v>
      </c>
      <c r="M543" s="3183">
        <v>0</v>
      </c>
      <c r="N543" s="3182">
        <v>0</v>
      </c>
      <c r="O543" s="3182">
        <v>0</v>
      </c>
      <c r="P543" s="3182">
        <v>0</v>
      </c>
      <c r="Q543" s="3182">
        <f t="shared" si="86"/>
        <v>0</v>
      </c>
      <c r="R543" s="3601">
        <v>0</v>
      </c>
      <c r="S543" s="3710"/>
      <c r="T543" s="3829"/>
      <c r="U543" s="3777"/>
      <c r="V543" s="1846">
        <f t="shared" si="88"/>
        <v>0</v>
      </c>
    </row>
    <row r="544" spans="1:22" s="1840" customFormat="1" ht="15.05" customHeight="1">
      <c r="A544" s="1855"/>
      <c r="B544" s="1855"/>
      <c r="C544" s="1855"/>
      <c r="D544" s="1855"/>
      <c r="E544" s="1855"/>
      <c r="F544" s="1857" t="s">
        <v>50</v>
      </c>
      <c r="G544" s="1858"/>
      <c r="H544" s="200" t="s">
        <v>85</v>
      </c>
      <c r="I544" s="200"/>
      <c r="J544" s="3215">
        <v>0</v>
      </c>
      <c r="K544" s="3171">
        <v>3588000</v>
      </c>
      <c r="L544" s="3125">
        <v>0</v>
      </c>
      <c r="M544" s="3124">
        <v>0</v>
      </c>
      <c r="N544" s="3125">
        <v>0</v>
      </c>
      <c r="O544" s="3125">
        <v>0</v>
      </c>
      <c r="P544" s="3125">
        <v>0</v>
      </c>
      <c r="Q544" s="3125">
        <f t="shared" si="86"/>
        <v>0</v>
      </c>
      <c r="R544" s="3601">
        <v>0</v>
      </c>
      <c r="S544" s="3710"/>
      <c r="T544" s="3829"/>
      <c r="U544" s="3771"/>
      <c r="V544" s="1882">
        <f t="shared" si="88"/>
        <v>0</v>
      </c>
    </row>
    <row r="545" spans="1:22" ht="15.05" customHeight="1">
      <c r="A545" s="1855"/>
      <c r="B545" s="1855"/>
      <c r="C545" s="1855"/>
      <c r="D545" s="1855"/>
      <c r="E545" s="1855"/>
      <c r="F545" s="1464" t="s">
        <v>646</v>
      </c>
      <c r="G545" s="1860"/>
      <c r="H545" s="202"/>
      <c r="I545" s="202"/>
      <c r="J545" s="3259">
        <v>0</v>
      </c>
      <c r="K545" s="3123">
        <v>1860517553</v>
      </c>
      <c r="L545" s="3182">
        <v>0</v>
      </c>
      <c r="M545" s="3183">
        <v>0</v>
      </c>
      <c r="N545" s="3182">
        <v>0</v>
      </c>
      <c r="O545" s="3182">
        <v>0</v>
      </c>
      <c r="P545" s="3182">
        <v>0</v>
      </c>
      <c r="Q545" s="3182">
        <f t="shared" si="86"/>
        <v>0</v>
      </c>
      <c r="R545" s="3601">
        <v>0</v>
      </c>
      <c r="S545" s="3731"/>
      <c r="T545" s="3829"/>
      <c r="U545" s="3781">
        <f>U546</f>
        <v>0</v>
      </c>
      <c r="V545" s="1846">
        <f t="shared" si="88"/>
        <v>0</v>
      </c>
    </row>
    <row r="546" spans="1:22" ht="15.05" customHeight="1">
      <c r="A546" s="1855"/>
      <c r="B546" s="1855"/>
      <c r="C546" s="1855"/>
      <c r="D546" s="1855"/>
      <c r="E546" s="1855"/>
      <c r="F546" s="1857" t="s">
        <v>50</v>
      </c>
      <c r="G546" s="1858" t="s">
        <v>85</v>
      </c>
      <c r="H546" s="200"/>
      <c r="I546" s="200"/>
      <c r="J546" s="3215">
        <v>0</v>
      </c>
      <c r="K546" s="3171">
        <v>1860517553</v>
      </c>
      <c r="L546" s="3125"/>
      <c r="M546" s="3124"/>
      <c r="N546" s="3125"/>
      <c r="O546" s="3125"/>
      <c r="P546" s="3125"/>
      <c r="Q546" s="3125">
        <f t="shared" si="86"/>
        <v>0</v>
      </c>
      <c r="R546" s="3601">
        <v>0</v>
      </c>
      <c r="S546" s="3731"/>
      <c r="T546" s="3829"/>
      <c r="U546" s="3778"/>
      <c r="V546" s="1846">
        <f t="shared" si="88"/>
        <v>0</v>
      </c>
    </row>
    <row r="547" spans="1:22" ht="15.05" customHeight="1">
      <c r="A547" s="1855"/>
      <c r="B547" s="1855"/>
      <c r="C547" s="1855"/>
      <c r="D547" s="1855"/>
      <c r="E547" s="1855"/>
      <c r="F547" s="1464" t="s">
        <v>326</v>
      </c>
      <c r="G547" s="1860"/>
      <c r="H547" s="202"/>
      <c r="I547" s="202"/>
      <c r="J547" s="3259">
        <v>0</v>
      </c>
      <c r="K547" s="3123">
        <v>26080582.199999999</v>
      </c>
      <c r="L547" s="3182">
        <v>0</v>
      </c>
      <c r="M547" s="3183">
        <v>0</v>
      </c>
      <c r="N547" s="3182">
        <v>0</v>
      </c>
      <c r="O547" s="3182">
        <v>0</v>
      </c>
      <c r="P547" s="3182">
        <v>0</v>
      </c>
      <c r="Q547" s="3182">
        <f t="shared" si="86"/>
        <v>0</v>
      </c>
      <c r="R547" s="3601">
        <v>0</v>
      </c>
      <c r="S547" s="3710"/>
      <c r="T547" s="3829"/>
      <c r="U547" s="3777"/>
      <c r="V547" s="1846">
        <f t="shared" si="88"/>
        <v>0</v>
      </c>
    </row>
    <row r="548" spans="1:22" s="1840" customFormat="1" ht="15.05" customHeight="1">
      <c r="A548" s="1855"/>
      <c r="B548" s="1855"/>
      <c r="C548" s="1855"/>
      <c r="D548" s="1855"/>
      <c r="E548" s="1855"/>
      <c r="F548" s="1857" t="s">
        <v>50</v>
      </c>
      <c r="G548" s="1858"/>
      <c r="H548" s="200" t="s">
        <v>85</v>
      </c>
      <c r="I548" s="200"/>
      <c r="J548" s="3215">
        <v>0</v>
      </c>
      <c r="K548" s="3171">
        <v>26080582.199999999</v>
      </c>
      <c r="L548" s="3125">
        <v>0</v>
      </c>
      <c r="M548" s="3124">
        <v>0</v>
      </c>
      <c r="N548" s="3125">
        <v>0</v>
      </c>
      <c r="O548" s="3125">
        <v>0</v>
      </c>
      <c r="P548" s="3125">
        <v>0</v>
      </c>
      <c r="Q548" s="3125">
        <f t="shared" si="86"/>
        <v>0</v>
      </c>
      <c r="R548" s="3601">
        <v>0</v>
      </c>
      <c r="S548" s="3731"/>
      <c r="T548" s="3829"/>
      <c r="U548" s="3778">
        <f>PerDinas!Q749</f>
        <v>0</v>
      </c>
      <c r="V548" s="1882">
        <f t="shared" si="88"/>
        <v>0</v>
      </c>
    </row>
    <row r="549" spans="1:22" ht="15.05" customHeight="1">
      <c r="A549" s="1855"/>
      <c r="B549" s="1855"/>
      <c r="C549" s="1855"/>
      <c r="D549" s="1855"/>
      <c r="E549" s="1855"/>
      <c r="F549" s="1464" t="s">
        <v>647</v>
      </c>
      <c r="G549" s="1860"/>
      <c r="H549" s="202"/>
      <c r="I549" s="202"/>
      <c r="J549" s="3259">
        <v>0</v>
      </c>
      <c r="K549" s="3123">
        <v>2183500</v>
      </c>
      <c r="L549" s="3182">
        <v>0</v>
      </c>
      <c r="M549" s="3183">
        <v>0</v>
      </c>
      <c r="N549" s="3182">
        <v>0</v>
      </c>
      <c r="O549" s="3182">
        <v>0</v>
      </c>
      <c r="P549" s="3182">
        <v>0</v>
      </c>
      <c r="Q549" s="3182">
        <f t="shared" ref="Q549:Q571" si="89">+P549-L549</f>
        <v>0</v>
      </c>
      <c r="R549" s="3601">
        <v>0</v>
      </c>
      <c r="S549" s="3710"/>
      <c r="T549" s="3829"/>
      <c r="U549" s="3777"/>
      <c r="V549" s="1846">
        <f t="shared" si="88"/>
        <v>0</v>
      </c>
    </row>
    <row r="550" spans="1:22" s="1840" customFormat="1" ht="15.05" customHeight="1">
      <c r="A550" s="1855"/>
      <c r="B550" s="1855"/>
      <c r="C550" s="1855"/>
      <c r="D550" s="1855"/>
      <c r="E550" s="1855"/>
      <c r="F550" s="1857" t="s">
        <v>50</v>
      </c>
      <c r="G550" s="1858"/>
      <c r="H550" s="200" t="s">
        <v>85</v>
      </c>
      <c r="I550" s="200"/>
      <c r="J550" s="3215">
        <v>0</v>
      </c>
      <c r="K550" s="3171">
        <v>2183500</v>
      </c>
      <c r="L550" s="3125"/>
      <c r="M550" s="3124"/>
      <c r="N550" s="3125"/>
      <c r="O550" s="3125"/>
      <c r="P550" s="3125"/>
      <c r="Q550" s="3125">
        <f t="shared" si="89"/>
        <v>0</v>
      </c>
      <c r="R550" s="3601">
        <v>0</v>
      </c>
      <c r="S550" s="3710"/>
      <c r="T550" s="3829"/>
      <c r="U550" s="3771"/>
      <c r="V550" s="1882">
        <f t="shared" si="88"/>
        <v>0</v>
      </c>
    </row>
    <row r="551" spans="1:22" ht="15.05" customHeight="1">
      <c r="A551" s="1855"/>
      <c r="B551" s="1855"/>
      <c r="C551" s="1855"/>
      <c r="D551" s="1855"/>
      <c r="E551" s="1855"/>
      <c r="F551" s="1464" t="s">
        <v>648</v>
      </c>
      <c r="G551" s="1860"/>
      <c r="H551" s="202"/>
      <c r="I551" s="202"/>
      <c r="J551" s="3259">
        <v>0</v>
      </c>
      <c r="K551" s="3123">
        <v>889503495</v>
      </c>
      <c r="L551" s="3182">
        <v>0</v>
      </c>
      <c r="M551" s="3183">
        <v>0</v>
      </c>
      <c r="N551" s="3182">
        <v>0</v>
      </c>
      <c r="O551" s="3182">
        <v>0</v>
      </c>
      <c r="P551" s="3182">
        <v>0</v>
      </c>
      <c r="Q551" s="3182">
        <f t="shared" si="89"/>
        <v>0</v>
      </c>
      <c r="R551" s="3601">
        <v>0</v>
      </c>
      <c r="S551" s="3710"/>
      <c r="T551" s="3829"/>
      <c r="U551" s="3777"/>
      <c r="V551" s="1846">
        <f t="shared" si="88"/>
        <v>0</v>
      </c>
    </row>
    <row r="552" spans="1:22" s="1840" customFormat="1" ht="15.05" customHeight="1">
      <c r="A552" s="1855"/>
      <c r="B552" s="1855"/>
      <c r="C552" s="1855"/>
      <c r="D552" s="1855"/>
      <c r="E552" s="1855"/>
      <c r="F552" s="1857" t="s">
        <v>50</v>
      </c>
      <c r="G552" s="1858"/>
      <c r="H552" s="200" t="s">
        <v>85</v>
      </c>
      <c r="I552" s="200"/>
      <c r="J552" s="3215">
        <v>0</v>
      </c>
      <c r="K552" s="3171">
        <v>889503495</v>
      </c>
      <c r="L552" s="3125">
        <v>0</v>
      </c>
      <c r="M552" s="3124">
        <v>0</v>
      </c>
      <c r="N552" s="3125">
        <v>0</v>
      </c>
      <c r="O552" s="3125">
        <v>0</v>
      </c>
      <c r="P552" s="3125">
        <v>0</v>
      </c>
      <c r="Q552" s="3125">
        <f t="shared" si="89"/>
        <v>0</v>
      </c>
      <c r="R552" s="3601">
        <v>0</v>
      </c>
      <c r="S552" s="3731"/>
      <c r="T552" s="3829"/>
      <c r="U552" s="3778">
        <f>PerDinas!Q622</f>
        <v>0</v>
      </c>
      <c r="V552" s="1882">
        <f t="shared" si="88"/>
        <v>0</v>
      </c>
    </row>
    <row r="553" spans="1:22" ht="15.05" customHeight="1">
      <c r="A553" s="1855"/>
      <c r="B553" s="1855"/>
      <c r="C553" s="1855"/>
      <c r="D553" s="1855"/>
      <c r="E553" s="1855"/>
      <c r="F553" s="1464" t="s">
        <v>568</v>
      </c>
      <c r="G553" s="1860"/>
      <c r="H553" s="202"/>
      <c r="I553" s="202"/>
      <c r="J553" s="3259">
        <v>0</v>
      </c>
      <c r="K553" s="3123">
        <v>2839900</v>
      </c>
      <c r="L553" s="3182">
        <v>0</v>
      </c>
      <c r="M553" s="3183">
        <v>913000</v>
      </c>
      <c r="N553" s="3182">
        <v>0</v>
      </c>
      <c r="O553" s="3182">
        <v>913000</v>
      </c>
      <c r="P553" s="3182">
        <v>0</v>
      </c>
      <c r="Q553" s="3182">
        <f t="shared" si="89"/>
        <v>0</v>
      </c>
      <c r="R553" s="3601">
        <v>0</v>
      </c>
      <c r="S553" s="3710"/>
      <c r="T553" s="3829"/>
      <c r="U553" s="3777"/>
      <c r="V553" s="1846">
        <f t="shared" si="88"/>
        <v>3652000</v>
      </c>
    </row>
    <row r="554" spans="1:22" s="1840" customFormat="1" ht="15.05" customHeight="1">
      <c r="A554" s="1855"/>
      <c r="B554" s="1855"/>
      <c r="C554" s="1855"/>
      <c r="D554" s="1855"/>
      <c r="E554" s="1855"/>
      <c r="F554" s="1857" t="s">
        <v>50</v>
      </c>
      <c r="G554" s="1858"/>
      <c r="H554" s="200" t="s">
        <v>85</v>
      </c>
      <c r="I554" s="200"/>
      <c r="J554" s="3215">
        <v>0</v>
      </c>
      <c r="K554" s="3171">
        <v>2839900</v>
      </c>
      <c r="L554" s="3125">
        <v>0</v>
      </c>
      <c r="M554" s="3124">
        <v>913000</v>
      </c>
      <c r="N554" s="3125">
        <v>0</v>
      </c>
      <c r="O554" s="3125">
        <v>913000</v>
      </c>
      <c r="P554" s="3125">
        <v>0</v>
      </c>
      <c r="Q554" s="3125">
        <f t="shared" si="89"/>
        <v>0</v>
      </c>
      <c r="R554" s="3601">
        <v>0</v>
      </c>
      <c r="S554" s="3731"/>
      <c r="T554" s="3829"/>
      <c r="U554" s="3778">
        <f>PerDinas!Q608</f>
        <v>0</v>
      </c>
      <c r="V554" s="1882">
        <f t="shared" si="88"/>
        <v>3652000</v>
      </c>
    </row>
    <row r="555" spans="1:22" ht="15.05" hidden="1" customHeight="1">
      <c r="A555" s="1855"/>
      <c r="B555" s="1855"/>
      <c r="C555" s="1855"/>
      <c r="D555" s="1855"/>
      <c r="E555" s="1855"/>
      <c r="F555" s="1857" t="s">
        <v>50</v>
      </c>
      <c r="G555" s="1858"/>
      <c r="H555" s="200"/>
      <c r="I555" s="200"/>
      <c r="J555" s="3215">
        <v>0</v>
      </c>
      <c r="K555" s="3171"/>
      <c r="L555" s="3125">
        <v>0</v>
      </c>
      <c r="M555" s="3124">
        <v>0</v>
      </c>
      <c r="N555" s="3125">
        <v>0</v>
      </c>
      <c r="O555" s="3125">
        <v>0</v>
      </c>
      <c r="P555" s="3125">
        <v>0</v>
      </c>
      <c r="Q555" s="3125">
        <f t="shared" si="89"/>
        <v>0</v>
      </c>
      <c r="R555" s="3601">
        <v>0</v>
      </c>
      <c r="S555" s="3710"/>
      <c r="T555" s="3829"/>
      <c r="U555" s="3771"/>
      <c r="V555" s="1846">
        <f t="shared" si="88"/>
        <v>0</v>
      </c>
    </row>
    <row r="556" spans="1:22" ht="15.05" customHeight="1">
      <c r="A556" s="1855"/>
      <c r="B556" s="1855"/>
      <c r="C556" s="1855"/>
      <c r="D556" s="1855"/>
      <c r="E556" s="1855"/>
      <c r="F556" s="1464" t="s">
        <v>649</v>
      </c>
      <c r="G556" s="1860"/>
      <c r="H556" s="202"/>
      <c r="I556" s="202"/>
      <c r="J556" s="3259">
        <v>0</v>
      </c>
      <c r="K556" s="3123">
        <v>0</v>
      </c>
      <c r="L556" s="3182">
        <v>0</v>
      </c>
      <c r="M556" s="3183">
        <v>0</v>
      </c>
      <c r="N556" s="3182">
        <v>0</v>
      </c>
      <c r="O556" s="3182">
        <v>0</v>
      </c>
      <c r="P556" s="3182">
        <v>0</v>
      </c>
      <c r="Q556" s="3182">
        <f t="shared" si="89"/>
        <v>0</v>
      </c>
      <c r="R556" s="3601">
        <v>0</v>
      </c>
      <c r="S556" s="3710"/>
      <c r="T556" s="3829"/>
      <c r="U556" s="3777"/>
      <c r="V556" s="1846">
        <f t="shared" si="88"/>
        <v>0</v>
      </c>
    </row>
    <row r="557" spans="1:22" ht="11.3" customHeight="1">
      <c r="A557" s="1855"/>
      <c r="B557" s="1855"/>
      <c r="C557" s="1855"/>
      <c r="D557" s="1855"/>
      <c r="E557" s="1855"/>
      <c r="F557" s="1857" t="s">
        <v>50</v>
      </c>
      <c r="G557" s="1858"/>
      <c r="H557" s="200" t="s">
        <v>85</v>
      </c>
      <c r="I557" s="200"/>
      <c r="J557" s="3215">
        <v>0</v>
      </c>
      <c r="K557" s="3171">
        <v>0</v>
      </c>
      <c r="L557" s="3125">
        <v>0</v>
      </c>
      <c r="M557" s="3124">
        <v>0</v>
      </c>
      <c r="N557" s="3125">
        <v>0</v>
      </c>
      <c r="O557" s="3125">
        <v>0</v>
      </c>
      <c r="P557" s="3125">
        <v>0</v>
      </c>
      <c r="Q557" s="3125">
        <f t="shared" si="89"/>
        <v>0</v>
      </c>
      <c r="R557" s="3601">
        <v>0</v>
      </c>
      <c r="S557" s="3731"/>
      <c r="T557" s="3829"/>
      <c r="U557" s="3778">
        <f>PerDinas!Q582</f>
        <v>0</v>
      </c>
      <c r="V557" s="1846">
        <f t="shared" si="88"/>
        <v>0</v>
      </c>
    </row>
    <row r="558" spans="1:22" ht="15.05" customHeight="1">
      <c r="A558" s="1855"/>
      <c r="B558" s="1855"/>
      <c r="C558" s="1855"/>
      <c r="D558" s="1855"/>
      <c r="E558" s="1855"/>
      <c r="F558" s="1464" t="s">
        <v>650</v>
      </c>
      <c r="G558" s="1860"/>
      <c r="H558" s="202"/>
      <c r="I558" s="202"/>
      <c r="J558" s="3259">
        <v>0</v>
      </c>
      <c r="K558" s="3123">
        <v>0</v>
      </c>
      <c r="L558" s="3312">
        <v>0</v>
      </c>
      <c r="M558" s="3313">
        <v>0</v>
      </c>
      <c r="N558" s="3312">
        <v>0</v>
      </c>
      <c r="O558" s="3312">
        <v>0</v>
      </c>
      <c r="P558" s="3312">
        <v>0</v>
      </c>
      <c r="Q558" s="3312">
        <f t="shared" si="89"/>
        <v>0</v>
      </c>
      <c r="R558" s="3601">
        <v>0</v>
      </c>
      <c r="S558" s="3710"/>
      <c r="T558" s="3829"/>
      <c r="U558" s="3777"/>
      <c r="V558" s="1846">
        <f t="shared" si="88"/>
        <v>0</v>
      </c>
    </row>
    <row r="559" spans="1:22" ht="15.05" customHeight="1">
      <c r="A559" s="1855"/>
      <c r="B559" s="1855"/>
      <c r="C559" s="1855"/>
      <c r="D559" s="1855"/>
      <c r="E559" s="1855"/>
      <c r="F559" s="1857" t="s">
        <v>50</v>
      </c>
      <c r="G559" s="1858"/>
      <c r="H559" s="200" t="s">
        <v>76</v>
      </c>
      <c r="I559" s="200"/>
      <c r="J559" s="3215">
        <v>0</v>
      </c>
      <c r="K559" s="3171">
        <v>0</v>
      </c>
      <c r="L559" s="3314">
        <v>0</v>
      </c>
      <c r="M559" s="3315">
        <v>0</v>
      </c>
      <c r="N559" s="3314">
        <v>0</v>
      </c>
      <c r="O559" s="3314">
        <v>0</v>
      </c>
      <c r="P559" s="3314">
        <v>0</v>
      </c>
      <c r="Q559" s="3314">
        <f t="shared" si="89"/>
        <v>0</v>
      </c>
      <c r="R559" s="3601">
        <v>0</v>
      </c>
      <c r="S559" s="3710"/>
      <c r="T559" s="3829"/>
      <c r="U559" s="3778">
        <f>PerDinas!Q656</f>
        <v>0</v>
      </c>
      <c r="V559" s="1846">
        <f t="shared" si="88"/>
        <v>0</v>
      </c>
    </row>
    <row r="560" spans="1:22" ht="15.05" customHeight="1">
      <c r="A560" s="1855"/>
      <c r="B560" s="1855"/>
      <c r="C560" s="1855"/>
      <c r="D560" s="1855"/>
      <c r="E560" s="1855"/>
      <c r="F560" s="1464" t="s">
        <v>651</v>
      </c>
      <c r="G560" s="1860"/>
      <c r="H560" s="202"/>
      <c r="I560" s="202"/>
      <c r="J560" s="3259">
        <v>0</v>
      </c>
      <c r="K560" s="3123">
        <v>20265000</v>
      </c>
      <c r="L560" s="3312">
        <v>0</v>
      </c>
      <c r="M560" s="3313">
        <v>0</v>
      </c>
      <c r="N560" s="3312">
        <v>0</v>
      </c>
      <c r="O560" s="3312">
        <v>0</v>
      </c>
      <c r="P560" s="3312">
        <v>0</v>
      </c>
      <c r="Q560" s="3312">
        <f t="shared" si="89"/>
        <v>0</v>
      </c>
      <c r="R560" s="3601">
        <v>0</v>
      </c>
      <c r="S560" s="3710"/>
      <c r="T560" s="3829"/>
      <c r="U560" s="3777"/>
      <c r="V560" s="1846">
        <f t="shared" si="88"/>
        <v>0</v>
      </c>
    </row>
    <row r="561" spans="1:22" s="1840" customFormat="1" ht="15.05" customHeight="1">
      <c r="A561" s="1886"/>
      <c r="B561" s="1886"/>
      <c r="C561" s="1886"/>
      <c r="D561" s="1886"/>
      <c r="E561" s="1886"/>
      <c r="F561" s="1887" t="s">
        <v>50</v>
      </c>
      <c r="G561" s="1888"/>
      <c r="H561" s="856" t="s">
        <v>85</v>
      </c>
      <c r="I561" s="856"/>
      <c r="J561" s="3238">
        <v>0</v>
      </c>
      <c r="K561" s="3173">
        <v>20265000</v>
      </c>
      <c r="L561" s="3316">
        <v>0</v>
      </c>
      <c r="M561" s="3317">
        <v>0</v>
      </c>
      <c r="N561" s="3316">
        <v>0</v>
      </c>
      <c r="O561" s="3316">
        <v>0</v>
      </c>
      <c r="P561" s="3316">
        <v>0</v>
      </c>
      <c r="Q561" s="3316">
        <f t="shared" si="89"/>
        <v>0</v>
      </c>
      <c r="R561" s="3606">
        <v>0</v>
      </c>
      <c r="S561" s="3711"/>
      <c r="T561" s="3830"/>
      <c r="U561" s="3786">
        <f>PerDinas!Q632</f>
        <v>0</v>
      </c>
      <c r="V561" s="1882">
        <f t="shared" si="88"/>
        <v>0</v>
      </c>
    </row>
    <row r="562" spans="1:22" s="3902" customFormat="1" ht="15.05" customHeight="1">
      <c r="A562" s="2627"/>
      <c r="B562" s="2627"/>
      <c r="C562" s="2627"/>
      <c r="D562" s="2627"/>
      <c r="E562" s="2627"/>
      <c r="F562" s="3034" t="s">
        <v>1201</v>
      </c>
      <c r="G562" s="3034"/>
      <c r="H562" s="1318"/>
      <c r="I562" s="1318"/>
      <c r="J562" s="3295"/>
      <c r="K562" s="3129"/>
      <c r="L562" s="3897"/>
      <c r="M562" s="3897"/>
      <c r="N562" s="3897"/>
      <c r="O562" s="3897">
        <f>O563</f>
        <v>18120000000</v>
      </c>
      <c r="P562" s="3897">
        <f>P563</f>
        <v>18120000000</v>
      </c>
      <c r="Q562" s="3903">
        <f t="shared" si="89"/>
        <v>18120000000</v>
      </c>
      <c r="R562" s="3606">
        <v>0</v>
      </c>
      <c r="S562" s="3898"/>
      <c r="T562" s="3899"/>
      <c r="U562" s="3900"/>
      <c r="V562" s="3901"/>
    </row>
    <row r="563" spans="1:22" s="1840" customFormat="1" ht="15.05" customHeight="1">
      <c r="A563" s="3893"/>
      <c r="B563" s="3893"/>
      <c r="C563" s="3893"/>
      <c r="D563" s="3893"/>
      <c r="E563" s="3893"/>
      <c r="F563" s="3895" t="s">
        <v>50</v>
      </c>
      <c r="G563" s="3572"/>
      <c r="H563" s="3896" t="s">
        <v>1202</v>
      </c>
      <c r="I563" s="257"/>
      <c r="J563" s="3257"/>
      <c r="K563" s="3271"/>
      <c r="L563" s="3894"/>
      <c r="M563" s="3894"/>
      <c r="N563" s="3894"/>
      <c r="O563" s="3894">
        <v>18120000000</v>
      </c>
      <c r="P563" s="3894">
        <v>18120000000</v>
      </c>
      <c r="Q563" s="3316">
        <f t="shared" si="89"/>
        <v>18120000000</v>
      </c>
      <c r="R563" s="3606">
        <v>0</v>
      </c>
      <c r="S563" s="3706"/>
      <c r="T563" s="3824"/>
      <c r="U563" s="3892"/>
      <c r="V563" s="1882"/>
    </row>
    <row r="564" spans="1:22" s="2955" customFormat="1" ht="15.05" customHeight="1">
      <c r="A564" s="2978" t="s">
        <v>443</v>
      </c>
      <c r="B564" s="2978" t="s">
        <v>457</v>
      </c>
      <c r="C564" s="2979" t="s">
        <v>443</v>
      </c>
      <c r="D564" s="2979"/>
      <c r="E564" s="2979"/>
      <c r="F564" s="2980" t="s">
        <v>652</v>
      </c>
      <c r="G564" s="2981"/>
      <c r="H564" s="2982"/>
      <c r="I564" s="2982"/>
      <c r="J564" s="3210">
        <f>+J565</f>
        <v>5414000000</v>
      </c>
      <c r="K564" s="3210">
        <f>+K565</f>
        <v>5000000000</v>
      </c>
      <c r="L564" s="3318">
        <f>L565</f>
        <v>53394311000</v>
      </c>
      <c r="M564" s="3319">
        <v>0</v>
      </c>
      <c r="N564" s="3318">
        <f>N565</f>
        <v>26697155000</v>
      </c>
      <c r="O564" s="3318">
        <f>N564+M564</f>
        <v>26697155000</v>
      </c>
      <c r="P564" s="3318">
        <f>P565</f>
        <v>53394311000</v>
      </c>
      <c r="Q564" s="3318">
        <f t="shared" si="89"/>
        <v>0</v>
      </c>
      <c r="R564" s="3640">
        <f>+P564/L564*100-100</f>
        <v>0</v>
      </c>
      <c r="S564" s="3757"/>
      <c r="T564" s="3857"/>
      <c r="U564" s="3811"/>
      <c r="V564" s="2954">
        <f t="shared" si="88"/>
        <v>106788620000</v>
      </c>
    </row>
    <row r="565" spans="1:22" s="2947" customFormat="1" ht="15.05" customHeight="1">
      <c r="A565" s="2972" t="s">
        <v>443</v>
      </c>
      <c r="B565" s="2972" t="s">
        <v>457</v>
      </c>
      <c r="C565" s="2973" t="s">
        <v>443</v>
      </c>
      <c r="D565" s="2973" t="s">
        <v>445</v>
      </c>
      <c r="E565" s="2973"/>
      <c r="F565" s="2974" t="s">
        <v>293</v>
      </c>
      <c r="G565" s="2975"/>
      <c r="H565" s="2976"/>
      <c r="I565" s="2976"/>
      <c r="J565" s="3320">
        <f>+J567</f>
        <v>5414000000</v>
      </c>
      <c r="K565" s="3320">
        <f>+K567</f>
        <v>5000000000</v>
      </c>
      <c r="L565" s="3321">
        <f t="shared" ref="L565:O566" si="90">L566</f>
        <v>53394311000</v>
      </c>
      <c r="M565" s="3322">
        <v>0</v>
      </c>
      <c r="N565" s="3321">
        <f t="shared" si="90"/>
        <v>26697155000</v>
      </c>
      <c r="O565" s="3321">
        <f t="shared" si="90"/>
        <v>26697155000</v>
      </c>
      <c r="P565" s="3321">
        <f>P566</f>
        <v>53394311000</v>
      </c>
      <c r="Q565" s="3321">
        <f t="shared" si="89"/>
        <v>0</v>
      </c>
      <c r="R565" s="3641">
        <f>+P565/L565*100-100</f>
        <v>0</v>
      </c>
      <c r="S565" s="3758"/>
      <c r="T565" s="3858"/>
      <c r="U565" s="3812"/>
      <c r="V565" s="2944">
        <f t="shared" si="88"/>
        <v>106788620000</v>
      </c>
    </row>
    <row r="566" spans="1:22" ht="15.05" customHeight="1">
      <c r="A566" s="2867" t="s">
        <v>443</v>
      </c>
      <c r="B566" s="2867" t="s">
        <v>457</v>
      </c>
      <c r="C566" s="2868" t="s">
        <v>443</v>
      </c>
      <c r="D566" s="2868" t="s">
        <v>445</v>
      </c>
      <c r="E566" s="2868" t="s">
        <v>437</v>
      </c>
      <c r="F566" s="84" t="s">
        <v>653</v>
      </c>
      <c r="G566" s="84"/>
      <c r="H566" s="224"/>
      <c r="I566" s="224"/>
      <c r="J566" s="3324"/>
      <c r="K566" s="3324"/>
      <c r="L566" s="3325">
        <f t="shared" si="90"/>
        <v>53394311000</v>
      </c>
      <c r="M566" s="3326">
        <v>0</v>
      </c>
      <c r="N566" s="3327">
        <f t="shared" si="90"/>
        <v>26697155000</v>
      </c>
      <c r="O566" s="3327">
        <f t="shared" si="90"/>
        <v>26697155000</v>
      </c>
      <c r="P566" s="3327">
        <f>P569</f>
        <v>53394311000</v>
      </c>
      <c r="Q566" s="3327">
        <f t="shared" si="89"/>
        <v>0</v>
      </c>
      <c r="R566" s="3642">
        <f>+P566/L566*100-100</f>
        <v>0</v>
      </c>
      <c r="S566" s="3732"/>
      <c r="T566" s="3859"/>
      <c r="U566" s="3797"/>
      <c r="V566" s="1846">
        <f t="shared" si="88"/>
        <v>106788620000</v>
      </c>
    </row>
    <row r="567" spans="1:22" ht="15.05" customHeight="1">
      <c r="A567" s="2869"/>
      <c r="B567" s="2869"/>
      <c r="C567" s="2870"/>
      <c r="D567" s="2870"/>
      <c r="E567" s="2870"/>
      <c r="F567" s="2871" t="s">
        <v>654</v>
      </c>
      <c r="G567" s="2872"/>
      <c r="H567" s="200"/>
      <c r="I567" s="200"/>
      <c r="J567" s="3329">
        <f>SUM(J568:J569)</f>
        <v>5414000000</v>
      </c>
      <c r="K567" s="3329">
        <f>+K569</f>
        <v>5000000000</v>
      </c>
      <c r="L567" s="3330">
        <f>SUM(L568:L569)</f>
        <v>53394311000</v>
      </c>
      <c r="M567" s="3331">
        <v>0</v>
      </c>
      <c r="N567" s="3330">
        <f>SUM(N568:N569)</f>
        <v>26697155000</v>
      </c>
      <c r="O567" s="3330">
        <f>SUM(O568:O569)</f>
        <v>26697155000</v>
      </c>
      <c r="P567" s="3330">
        <v>53394311000</v>
      </c>
      <c r="Q567" s="3330">
        <f t="shared" si="89"/>
        <v>0</v>
      </c>
      <c r="R567" s="3643">
        <f>+P567/L567*100-100</f>
        <v>0</v>
      </c>
      <c r="S567" s="3733"/>
      <c r="T567" s="3860"/>
      <c r="U567" s="3778"/>
      <c r="V567" s="1846">
        <f t="shared" si="88"/>
        <v>106788620000</v>
      </c>
    </row>
    <row r="568" spans="1:22" ht="15.05" customHeight="1">
      <c r="A568" s="2869"/>
      <c r="B568" s="2869"/>
      <c r="C568" s="2870"/>
      <c r="D568" s="2870"/>
      <c r="E568" s="2870"/>
      <c r="F568" s="2871" t="s">
        <v>50</v>
      </c>
      <c r="G568" s="2872" t="s">
        <v>655</v>
      </c>
      <c r="H568" s="200"/>
      <c r="I568" s="200"/>
      <c r="J568" s="3329">
        <v>414000000</v>
      </c>
      <c r="K568" s="3332"/>
      <c r="L568" s="3192">
        <f>MAR!J493</f>
        <v>0</v>
      </c>
      <c r="M568" s="3333">
        <v>0</v>
      </c>
      <c r="N568" s="3192">
        <f>MAR!L493</f>
        <v>0</v>
      </c>
      <c r="O568" s="3192">
        <f>MAR!M493</f>
        <v>0</v>
      </c>
      <c r="P568" s="3192">
        <v>0</v>
      </c>
      <c r="Q568" s="3192">
        <f t="shared" si="89"/>
        <v>0</v>
      </c>
      <c r="R568" s="3644">
        <v>0</v>
      </c>
      <c r="S568" s="3759"/>
      <c r="T568" s="3861"/>
      <c r="U568" s="3778"/>
      <c r="V568" s="1846">
        <f t="shared" si="88"/>
        <v>0</v>
      </c>
    </row>
    <row r="569" spans="1:22" ht="15.05" customHeight="1">
      <c r="A569" s="2869"/>
      <c r="B569" s="2869"/>
      <c r="C569" s="2870"/>
      <c r="D569" s="2870"/>
      <c r="E569" s="2870"/>
      <c r="F569" s="2871" t="s">
        <v>50</v>
      </c>
      <c r="G569" s="2872" t="s">
        <v>656</v>
      </c>
      <c r="H569" s="200"/>
      <c r="I569" s="200"/>
      <c r="J569" s="3329">
        <v>5000000000</v>
      </c>
      <c r="K569" s="3329">
        <v>5000000000</v>
      </c>
      <c r="L569" s="3192">
        <v>53394311000</v>
      </c>
      <c r="M569" s="3333">
        <v>0</v>
      </c>
      <c r="N569" s="3192">
        <v>26697155000</v>
      </c>
      <c r="O569" s="3192">
        <v>26697155000</v>
      </c>
      <c r="P569" s="3192">
        <v>53394311000</v>
      </c>
      <c r="Q569" s="3192">
        <f t="shared" si="89"/>
        <v>0</v>
      </c>
      <c r="R569" s="3644">
        <f>+P569/L569*100-100</f>
        <v>0</v>
      </c>
      <c r="S569" s="3759"/>
      <c r="T569" s="3861"/>
      <c r="U569" s="3778"/>
      <c r="V569" s="1846">
        <f t="shared" si="88"/>
        <v>106788620000</v>
      </c>
    </row>
    <row r="570" spans="1:22" ht="15.05" customHeight="1">
      <c r="A570" s="2869"/>
      <c r="B570" s="2869"/>
      <c r="C570" s="2870"/>
      <c r="D570" s="2870"/>
      <c r="E570" s="2870"/>
      <c r="F570" s="2871" t="s">
        <v>298</v>
      </c>
      <c r="G570" s="2872"/>
      <c r="H570" s="200"/>
      <c r="I570" s="200"/>
      <c r="J570" s="3329"/>
      <c r="K570" s="3332"/>
      <c r="L570" s="3192">
        <f>MAR!J495</f>
        <v>0</v>
      </c>
      <c r="M570" s="3333">
        <v>0</v>
      </c>
      <c r="N570" s="3192">
        <f>MAR!L495</f>
        <v>0</v>
      </c>
      <c r="O570" s="3192">
        <f>MAR!M495</f>
        <v>0</v>
      </c>
      <c r="P570" s="3192">
        <f>MAR!N495</f>
        <v>0</v>
      </c>
      <c r="Q570" s="3192">
        <f t="shared" si="89"/>
        <v>0</v>
      </c>
      <c r="R570" s="3644">
        <v>0</v>
      </c>
      <c r="S570" s="3759"/>
      <c r="T570" s="3861"/>
      <c r="U570" s="3778"/>
      <c r="V570" s="1846">
        <f t="shared" si="88"/>
        <v>0</v>
      </c>
    </row>
    <row r="571" spans="1:22" ht="15.05" customHeight="1">
      <c r="A571" s="3873"/>
      <c r="B571" s="3873"/>
      <c r="C571" s="3874"/>
      <c r="D571" s="3874"/>
      <c r="E571" s="3874"/>
      <c r="F571" s="3551" t="s">
        <v>50</v>
      </c>
      <c r="G571" s="3552" t="s">
        <v>657</v>
      </c>
      <c r="H571" s="3575"/>
      <c r="I571" s="3575"/>
      <c r="J571" s="3553"/>
      <c r="K571" s="3554"/>
      <c r="L571" s="3555">
        <f>MAR!J496</f>
        <v>0</v>
      </c>
      <c r="M571" s="3556">
        <v>0</v>
      </c>
      <c r="N571" s="3555">
        <f>MAR!L496</f>
        <v>0</v>
      </c>
      <c r="O571" s="3555">
        <f>MAR!M496</f>
        <v>0</v>
      </c>
      <c r="P571" s="3555">
        <f>MAR!N496</f>
        <v>0</v>
      </c>
      <c r="Q571" s="3555">
        <f t="shared" si="89"/>
        <v>0</v>
      </c>
      <c r="R571" s="3645">
        <v>0</v>
      </c>
      <c r="S571" s="3759"/>
      <c r="T571" s="3861"/>
      <c r="U571" s="3813"/>
      <c r="V571" s="1846">
        <f t="shared" si="88"/>
        <v>0</v>
      </c>
    </row>
    <row r="572" spans="1:22" ht="15.05" customHeight="1">
      <c r="A572" s="3872"/>
      <c r="B572" s="3872"/>
      <c r="C572" s="3872"/>
      <c r="D572" s="3872"/>
      <c r="E572" s="3872"/>
      <c r="F572" s="3543"/>
      <c r="G572" s="3544"/>
      <c r="H572" s="3545"/>
      <c r="I572" s="3545"/>
      <c r="J572" s="3546"/>
      <c r="K572" s="3547"/>
      <c r="L572" s="3548"/>
      <c r="M572" s="3548"/>
      <c r="N572" s="3548"/>
      <c r="O572" s="3548"/>
      <c r="P572" s="3548"/>
      <c r="Q572" s="3548"/>
      <c r="R572" s="3913"/>
      <c r="S572" s="3768"/>
      <c r="T572" s="3764"/>
      <c r="U572" s="3761"/>
      <c r="V572" s="1846">
        <f t="shared" si="88"/>
        <v>0</v>
      </c>
    </row>
    <row r="573" spans="1:22" ht="12.05" hidden="1" customHeight="1">
      <c r="A573" s="5798"/>
      <c r="B573" s="5798"/>
      <c r="C573" s="5798"/>
      <c r="D573" s="5798"/>
      <c r="E573" s="5798"/>
      <c r="F573" s="5798"/>
      <c r="G573" s="5798"/>
      <c r="H573" s="5798"/>
      <c r="I573" s="5799"/>
      <c r="J573" s="1965"/>
      <c r="K573" s="1966"/>
      <c r="L573" s="1967">
        <f>L225+L212+L43+L429</f>
        <v>446737149324</v>
      </c>
      <c r="M573" s="1967">
        <f>M225+M212+M43+M429</f>
        <v>34516750956.529999</v>
      </c>
      <c r="N573" s="1967">
        <f>N225+N212+N43+N429</f>
        <v>47839371927.190002</v>
      </c>
      <c r="O573" s="1967">
        <f>O225+O212+O43+O429</f>
        <v>100501087883.72</v>
      </c>
      <c r="P573" s="1968">
        <f>+O573-L573</f>
        <v>-346236061440.28003</v>
      </c>
      <c r="Q573" s="1968">
        <f>+P573-L573</f>
        <v>-792973210764.28003</v>
      </c>
      <c r="R573" s="3647">
        <f>+P573/L573*100-100</f>
        <v>-177.50330635457615</v>
      </c>
      <c r="S573" s="3763"/>
      <c r="T573" s="3763"/>
      <c r="U573" s="2005"/>
      <c r="V573" s="1846">
        <f t="shared" si="88"/>
        <v>402004351534.88</v>
      </c>
    </row>
    <row r="574" spans="1:22" ht="13.5" customHeight="1">
      <c r="A574" s="1904"/>
      <c r="B574" s="1904"/>
      <c r="C574" s="1904"/>
      <c r="D574" s="1904"/>
      <c r="E574" s="1904"/>
      <c r="F574" s="1904"/>
      <c r="G574" s="1904"/>
      <c r="H574" s="1904"/>
      <c r="I574" s="1904"/>
      <c r="J574" s="1904"/>
      <c r="K574" s="1904"/>
      <c r="L574" s="1969"/>
      <c r="M574" s="1969"/>
      <c r="N574" s="1969"/>
      <c r="O574" s="1969"/>
      <c r="P574" s="1969"/>
      <c r="Q574" s="1969"/>
      <c r="R574" s="3648"/>
      <c r="S574" s="2993"/>
      <c r="T574" s="2993"/>
      <c r="U574" s="1924"/>
    </row>
    <row r="575" spans="1:22" ht="13.5" customHeight="1">
      <c r="A575" s="2890" t="s">
        <v>658</v>
      </c>
      <c r="B575" s="2891"/>
      <c r="C575" s="2891"/>
      <c r="D575" s="2892"/>
      <c r="E575" s="2892"/>
      <c r="F575" s="2892"/>
      <c r="G575" s="2892"/>
      <c r="H575" s="2892"/>
      <c r="I575" s="1945"/>
      <c r="J575" s="1945"/>
      <c r="K575" s="1945"/>
      <c r="L575" s="1970" t="e">
        <f>L573-#REF!</f>
        <v>#REF!</v>
      </c>
      <c r="M575" s="1971"/>
      <c r="N575" s="1971"/>
      <c r="O575" s="1971"/>
      <c r="R575" s="3648"/>
      <c r="S575" s="2994"/>
      <c r="T575" s="2994"/>
      <c r="U575" s="2006"/>
    </row>
    <row r="576" spans="1:22" ht="13.5" customHeight="1">
      <c r="A576" s="2891"/>
      <c r="B576" s="2891" t="s">
        <v>659</v>
      </c>
      <c r="C576" s="2891"/>
      <c r="D576" s="2892"/>
      <c r="E576" s="2892"/>
      <c r="F576" s="2892"/>
      <c r="G576" s="2892"/>
      <c r="H576" s="2892"/>
      <c r="I576" s="1945"/>
      <c r="J576" s="1945"/>
      <c r="K576" s="1945"/>
      <c r="L576" s="1972" t="s">
        <v>660</v>
      </c>
      <c r="M576" s="1973"/>
      <c r="N576" s="1971"/>
      <c r="O576" s="1971"/>
      <c r="P576" s="2887" t="s">
        <v>661</v>
      </c>
      <c r="Q576" s="1974"/>
      <c r="R576" s="3648"/>
      <c r="S576" s="2994"/>
      <c r="T576" s="2994"/>
      <c r="U576" s="2006"/>
    </row>
    <row r="577" spans="1:21" ht="13.5" customHeight="1">
      <c r="A577" s="2891"/>
      <c r="B577" s="2891" t="s">
        <v>662</v>
      </c>
      <c r="C577" s="2891"/>
      <c r="D577" s="2892"/>
      <c r="E577" s="2892"/>
      <c r="F577" s="2892"/>
      <c r="G577" s="2892"/>
      <c r="H577" s="2892"/>
      <c r="I577" s="1945"/>
      <c r="J577" s="1945"/>
      <c r="K577" s="1945"/>
      <c r="L577" s="1975" t="str">
        <f>PerDinas!K1094</f>
        <v>Kepala Dinas Pendapatan Daerah</v>
      </c>
      <c r="M577" s="1976"/>
      <c r="O577" s="1971"/>
      <c r="P577" s="2888" t="s">
        <v>663</v>
      </c>
      <c r="Q577" s="1977"/>
      <c r="R577" s="3648"/>
      <c r="S577" s="2994"/>
      <c r="T577" s="2994"/>
      <c r="U577" s="2006"/>
    </row>
    <row r="578" spans="1:21" ht="13.5" customHeight="1">
      <c r="A578" s="2891"/>
      <c r="B578" s="2891" t="s">
        <v>664</v>
      </c>
      <c r="C578" s="2891"/>
      <c r="D578" s="2892"/>
      <c r="E578" s="2892"/>
      <c r="F578" s="2892"/>
      <c r="G578" s="2892"/>
      <c r="H578" s="2892"/>
      <c r="I578" s="1945"/>
      <c r="J578" s="1945"/>
      <c r="K578" s="1945"/>
      <c r="L578" s="1975" t="str">
        <f>PerDinas!K1095</f>
        <v>Provinsi Nusa Tenggara Barat,</v>
      </c>
      <c r="O578" s="1971"/>
      <c r="P578" s="2888"/>
      <c r="Q578" s="1977"/>
      <c r="R578" s="3648"/>
      <c r="S578" s="2994"/>
      <c r="T578" s="2994"/>
      <c r="U578" s="2006"/>
    </row>
    <row r="579" spans="1:21" ht="13.5" customHeight="1">
      <c r="A579" s="1945"/>
      <c r="B579" s="1945"/>
      <c r="C579" s="1945"/>
      <c r="D579" s="1945"/>
      <c r="E579" s="1945"/>
      <c r="F579" s="1945"/>
      <c r="G579" s="1945"/>
      <c r="I579" s="257"/>
      <c r="J579" s="257"/>
      <c r="K579" s="257"/>
      <c r="L579" s="1972"/>
      <c r="O579" s="1971"/>
      <c r="P579" s="2888"/>
      <c r="Q579" s="1977"/>
      <c r="R579" s="3648"/>
      <c r="S579" s="2994"/>
      <c r="T579" s="2994"/>
      <c r="U579" s="2006"/>
    </row>
    <row r="580" spans="1:21" ht="13.5" customHeight="1">
      <c r="A580" s="1945"/>
      <c r="B580" s="1945"/>
      <c r="C580" s="1945"/>
      <c r="D580" s="1945"/>
      <c r="E580" s="1946"/>
      <c r="F580" s="1946"/>
      <c r="G580" s="1946"/>
      <c r="I580" s="1973"/>
      <c r="J580" s="1973"/>
      <c r="K580" s="1973"/>
      <c r="L580" s="1975"/>
      <c r="O580" s="1971"/>
      <c r="P580" s="2888"/>
      <c r="Q580" s="1977"/>
      <c r="R580" s="3648"/>
      <c r="S580" s="2994"/>
      <c r="T580" s="2994"/>
      <c r="U580" s="2006"/>
    </row>
    <row r="581" spans="1:21" ht="13.5" customHeight="1">
      <c r="A581" s="1945"/>
      <c r="B581" s="1945"/>
      <c r="C581" s="1945"/>
      <c r="D581" s="1945"/>
      <c r="E581" s="1946"/>
      <c r="F581" s="1946"/>
      <c r="G581" s="1946"/>
      <c r="I581" s="1978"/>
      <c r="J581" s="1978"/>
      <c r="K581" s="1978"/>
      <c r="L581" s="1979" t="str">
        <f>PerDinas!K1099</f>
        <v>Dra. Hj. Putu Selly Andayani, M.Si</v>
      </c>
      <c r="O581" s="1971"/>
      <c r="P581" s="2889" t="str">
        <f>PerDinas!O1099</f>
        <v>Drs. H. Muksin, MM</v>
      </c>
      <c r="Q581" s="1980"/>
      <c r="R581" s="3648"/>
      <c r="S581" s="2994"/>
      <c r="T581" s="2994"/>
      <c r="U581" s="2006"/>
    </row>
    <row r="582" spans="1:21" ht="13.5" customHeight="1">
      <c r="A582" s="257"/>
      <c r="B582" s="257"/>
      <c r="C582" s="257"/>
      <c r="D582" s="257"/>
      <c r="E582" s="1947"/>
      <c r="F582" s="257"/>
      <c r="G582" s="257"/>
      <c r="I582" s="257"/>
      <c r="J582" s="257"/>
      <c r="K582" s="257"/>
      <c r="L582" s="1981" t="str">
        <f>PerDinas!K1100</f>
        <v>NIP. 19610915199303 2 011</v>
      </c>
      <c r="O582" s="1971"/>
      <c r="P582" s="2888" t="str">
        <f>PerDinas!O1100</f>
        <v>NIP.196712311996031023</v>
      </c>
      <c r="Q582" s="1977"/>
      <c r="R582" s="3648"/>
      <c r="S582" s="2994"/>
      <c r="T582" s="2994"/>
      <c r="U582" s="2006"/>
    </row>
    <row r="583" spans="1:21">
      <c r="P583" s="1977"/>
      <c r="Q583" s="1977"/>
    </row>
    <row r="598" spans="1:21">
      <c r="L598" s="1982" t="s">
        <v>665</v>
      </c>
      <c r="M598" s="1982"/>
      <c r="N598" s="1982" t="s">
        <v>666</v>
      </c>
    </row>
    <row r="599" spans="1:21" ht="17.25" customHeight="1">
      <c r="A599" s="1948"/>
      <c r="B599" s="1948"/>
      <c r="C599" s="1949"/>
      <c r="D599" s="1949"/>
      <c r="E599" s="1949"/>
      <c r="F599" s="1950"/>
      <c r="G599" s="1950"/>
      <c r="H599" s="5800" t="s">
        <v>667</v>
      </c>
      <c r="I599" s="5801"/>
      <c r="J599" s="1983"/>
      <c r="K599" s="1983"/>
      <c r="L599" s="1984">
        <f>SUM(L600:L625)</f>
        <v>199095000</v>
      </c>
      <c r="M599" s="1985">
        <f>SUM(M600:M625)</f>
        <v>20635628.990000002</v>
      </c>
      <c r="N599" s="1985">
        <f>SUM(N600:N625)</f>
        <v>500000</v>
      </c>
      <c r="O599" s="1985">
        <f>N599+M599</f>
        <v>21135628.990000002</v>
      </c>
      <c r="P599" s="1985">
        <f>SUM(P600:P625)</f>
        <v>1707586400</v>
      </c>
      <c r="Q599" s="1985"/>
      <c r="R599" s="3650">
        <f>O599/L599*100</f>
        <v>10.615851221778549</v>
      </c>
      <c r="S599" s="3734"/>
      <c r="T599" s="3734"/>
      <c r="U599" s="2007"/>
    </row>
    <row r="600" spans="1:21">
      <c r="A600" s="1951"/>
      <c r="B600" s="1951"/>
      <c r="C600" s="1952"/>
      <c r="D600" s="1952"/>
      <c r="E600" s="1952"/>
      <c r="F600" s="1953" t="s">
        <v>50</v>
      </c>
      <c r="G600" s="1953"/>
      <c r="H600" s="1954" t="s">
        <v>668</v>
      </c>
      <c r="I600" s="1986"/>
      <c r="J600" s="1987"/>
      <c r="K600" s="1987"/>
      <c r="L600" s="1988">
        <f>L456</f>
        <v>57136000</v>
      </c>
      <c r="M600" s="1988">
        <f>M456</f>
        <v>0</v>
      </c>
      <c r="N600" s="1988">
        <f>N456</f>
        <v>0</v>
      </c>
      <c r="O600" s="1988">
        <f>O456</f>
        <v>0</v>
      </c>
      <c r="P600" s="1988">
        <f>P456</f>
        <v>57136000</v>
      </c>
      <c r="Q600" s="1988"/>
      <c r="R600" s="3651">
        <f>R456</f>
        <v>0</v>
      </c>
      <c r="S600" s="2996"/>
      <c r="T600" s="2996"/>
      <c r="U600" s="1952"/>
    </row>
    <row r="601" spans="1:21">
      <c r="A601" s="1951"/>
      <c r="B601" s="1951"/>
      <c r="C601" s="1952"/>
      <c r="D601" s="1952"/>
      <c r="E601" s="1952"/>
      <c r="F601" s="1953" t="s">
        <v>50</v>
      </c>
      <c r="G601" s="1953"/>
      <c r="H601" s="1955" t="s">
        <v>669</v>
      </c>
      <c r="I601" s="1989"/>
      <c r="J601" s="1989"/>
      <c r="K601" s="1989"/>
      <c r="L601" s="1988">
        <f>L461</f>
        <v>63698000</v>
      </c>
      <c r="M601" s="1988">
        <f>M461</f>
        <v>4835000</v>
      </c>
      <c r="N601" s="1988">
        <f>N461</f>
        <v>0</v>
      </c>
      <c r="O601" s="1988">
        <f>O461</f>
        <v>4835000</v>
      </c>
      <c r="P601" s="1988">
        <f>P461</f>
        <v>63698000</v>
      </c>
      <c r="Q601" s="1988"/>
      <c r="R601" s="3651">
        <f>R461</f>
        <v>0</v>
      </c>
      <c r="S601" s="2996"/>
      <c r="T601" s="2996"/>
      <c r="U601" s="1988">
        <f>U461</f>
        <v>0</v>
      </c>
    </row>
    <row r="602" spans="1:21">
      <c r="A602" s="1951"/>
      <c r="B602" s="1951"/>
      <c r="C602" s="1952"/>
      <c r="D602" s="1952"/>
      <c r="E602" s="1952"/>
      <c r="F602" s="1953" t="s">
        <v>50</v>
      </c>
      <c r="G602" s="1953"/>
      <c r="H602" s="1955" t="s">
        <v>670</v>
      </c>
      <c r="I602" s="1989"/>
      <c r="J602" s="1989"/>
      <c r="K602" s="1989"/>
      <c r="L602" s="1988">
        <f t="shared" ref="L602:R602" si="91">L510</f>
        <v>0</v>
      </c>
      <c r="M602" s="1988">
        <f t="shared" si="91"/>
        <v>0</v>
      </c>
      <c r="N602" s="1988">
        <f t="shared" si="91"/>
        <v>0</v>
      </c>
      <c r="O602" s="1988">
        <f t="shared" si="91"/>
        <v>0</v>
      </c>
      <c r="P602" s="1988">
        <f t="shared" si="91"/>
        <v>0</v>
      </c>
      <c r="Q602" s="1988"/>
      <c r="R602" s="3651">
        <f t="shared" si="91"/>
        <v>0</v>
      </c>
      <c r="S602" s="2996"/>
      <c r="T602" s="2996"/>
      <c r="U602" s="1952"/>
    </row>
    <row r="603" spans="1:21">
      <c r="A603" s="1951"/>
      <c r="B603" s="1951"/>
      <c r="C603" s="1952"/>
      <c r="D603" s="1952"/>
      <c r="E603" s="1952"/>
      <c r="F603" s="1953" t="s">
        <v>50</v>
      </c>
      <c r="G603" s="1953"/>
      <c r="H603" s="1955" t="s">
        <v>279</v>
      </c>
      <c r="I603" s="1989"/>
      <c r="J603" s="1989"/>
      <c r="K603" s="1989"/>
      <c r="L603" s="1988">
        <f>L491</f>
        <v>25741600</v>
      </c>
      <c r="M603" s="1988">
        <f t="shared" ref="M603:R603" si="92">M491</f>
        <v>0</v>
      </c>
      <c r="N603" s="1988">
        <f t="shared" si="92"/>
        <v>0</v>
      </c>
      <c r="O603" s="1988">
        <f t="shared" si="92"/>
        <v>0</v>
      </c>
      <c r="P603" s="1988">
        <f t="shared" si="92"/>
        <v>25741600</v>
      </c>
      <c r="Q603" s="1988"/>
      <c r="R603" s="3651">
        <f t="shared" si="92"/>
        <v>0</v>
      </c>
      <c r="S603" s="2996"/>
      <c r="T603" s="2996"/>
      <c r="U603" s="1952"/>
    </row>
    <row r="604" spans="1:21" ht="15.05">
      <c r="A604" s="1951"/>
      <c r="B604" s="1951"/>
      <c r="C604" s="1952"/>
      <c r="D604" s="1952"/>
      <c r="E604" s="1952"/>
      <c r="F604" s="1953" t="s">
        <v>50</v>
      </c>
      <c r="G604" s="1953"/>
      <c r="H604" s="1956" t="s">
        <v>671</v>
      </c>
      <c r="I604" s="1989"/>
      <c r="J604" s="1990"/>
      <c r="K604" s="1990"/>
      <c r="L604" s="1991">
        <f>L537</f>
        <v>0</v>
      </c>
      <c r="M604" s="1992">
        <f>M537</f>
        <v>0</v>
      </c>
      <c r="N604" s="1992">
        <f>N537</f>
        <v>0</v>
      </c>
      <c r="O604" s="1993">
        <f>O537</f>
        <v>0</v>
      </c>
      <c r="P604" s="1988">
        <f>O604-L604</f>
        <v>0</v>
      </c>
      <c r="Q604" s="2008"/>
      <c r="R604" s="3652" t="e">
        <f>#REF!</f>
        <v>#REF!</v>
      </c>
      <c r="S604" s="2997"/>
      <c r="T604" s="2997"/>
      <c r="U604" s="2009"/>
    </row>
    <row r="605" spans="1:21" ht="15.05">
      <c r="A605" s="1951"/>
      <c r="B605" s="1951"/>
      <c r="C605" s="1952"/>
      <c r="D605" s="1952"/>
      <c r="E605" s="1952"/>
      <c r="F605" s="1953" t="s">
        <v>50</v>
      </c>
      <c r="G605" s="1953"/>
      <c r="H605" s="1957" t="s">
        <v>287</v>
      </c>
      <c r="I605" s="1989"/>
      <c r="J605" s="1994"/>
      <c r="K605" s="1994"/>
      <c r="L605" s="1995">
        <f>L435</f>
        <v>0</v>
      </c>
      <c r="M605" s="1996">
        <f>M435</f>
        <v>0</v>
      </c>
      <c r="N605" s="1996">
        <f>N435</f>
        <v>0</v>
      </c>
      <c r="O605" s="1996">
        <f>O435</f>
        <v>0</v>
      </c>
      <c r="P605" s="1996">
        <f>P435</f>
        <v>0</v>
      </c>
      <c r="Q605" s="1996"/>
      <c r="R605" s="3653">
        <f>R435</f>
        <v>0</v>
      </c>
      <c r="S605" s="2998"/>
      <c r="T605" s="2998"/>
      <c r="U605" s="2009" t="e">
        <f>#REF!</f>
        <v>#REF!</v>
      </c>
    </row>
    <row r="606" spans="1:21" ht="15.05">
      <c r="A606" s="1951"/>
      <c r="B606" s="1951"/>
      <c r="C606" s="1952"/>
      <c r="D606" s="1952"/>
      <c r="E606" s="1952"/>
      <c r="F606" s="1953" t="s">
        <v>50</v>
      </c>
      <c r="G606" s="1953"/>
      <c r="H606" s="1957" t="s">
        <v>672</v>
      </c>
      <c r="I606" s="1989"/>
      <c r="J606" s="1994"/>
      <c r="K606" s="1994"/>
      <c r="L606" s="1995">
        <f t="shared" ref="L606:R606" si="93">L557</f>
        <v>0</v>
      </c>
      <c r="M606" s="1996">
        <f t="shared" si="93"/>
        <v>0</v>
      </c>
      <c r="N606" s="1996">
        <f t="shared" si="93"/>
        <v>0</v>
      </c>
      <c r="O606" s="1996">
        <f t="shared" si="93"/>
        <v>0</v>
      </c>
      <c r="P606" s="1996">
        <f t="shared" si="93"/>
        <v>0</v>
      </c>
      <c r="Q606" s="1996"/>
      <c r="R606" s="3653">
        <f t="shared" si="93"/>
        <v>0</v>
      </c>
      <c r="S606" s="2998"/>
      <c r="T606" s="2998"/>
      <c r="U606" s="2009" t="e">
        <f>#REF!</f>
        <v>#REF!</v>
      </c>
    </row>
    <row r="607" spans="1:21" ht="15.05">
      <c r="A607" s="1951"/>
      <c r="B607" s="1951"/>
      <c r="C607" s="1952"/>
      <c r="D607" s="1952"/>
      <c r="E607" s="1952"/>
      <c r="F607" s="1953" t="s">
        <v>50</v>
      </c>
      <c r="G607" s="1953"/>
      <c r="H607" s="1957" t="s">
        <v>673</v>
      </c>
      <c r="I607" s="1989"/>
      <c r="J607" s="1994"/>
      <c r="K607" s="1994"/>
      <c r="L607" s="1995">
        <f>L437</f>
        <v>0</v>
      </c>
      <c r="M607" s="1996">
        <f>M437</f>
        <v>0</v>
      </c>
      <c r="N607" s="1996">
        <f>N437</f>
        <v>0</v>
      </c>
      <c r="O607" s="1996">
        <f>O437</f>
        <v>0</v>
      </c>
      <c r="P607" s="1996">
        <f>P437</f>
        <v>0</v>
      </c>
      <c r="Q607" s="1996"/>
      <c r="R607" s="3653" t="e">
        <f>R437</f>
        <v>#DIV/0!</v>
      </c>
      <c r="S607" s="2998"/>
      <c r="T607" s="2998"/>
      <c r="U607" s="2009" t="e">
        <f>#REF!</f>
        <v>#REF!</v>
      </c>
    </row>
    <row r="608" spans="1:21" ht="15.05">
      <c r="A608" s="1951"/>
      <c r="B608" s="1951"/>
      <c r="C608" s="1952"/>
      <c r="D608" s="1952"/>
      <c r="E608" s="1952"/>
      <c r="F608" s="1953"/>
      <c r="G608" s="1953"/>
      <c r="H608" s="1957" t="s">
        <v>571</v>
      </c>
      <c r="I608" s="1989"/>
      <c r="J608" s="1994"/>
      <c r="K608" s="1994"/>
      <c r="L608" s="1995">
        <f t="shared" ref="L608:R608" si="94">L540</f>
        <v>0</v>
      </c>
      <c r="M608" s="1996">
        <f t="shared" si="94"/>
        <v>14027628.99</v>
      </c>
      <c r="N608" s="1996">
        <f t="shared" si="94"/>
        <v>500000</v>
      </c>
      <c r="O608" s="1997">
        <f t="shared" si="94"/>
        <v>14527628.99</v>
      </c>
      <c r="P608" s="1996">
        <f t="shared" si="94"/>
        <v>0</v>
      </c>
      <c r="Q608" s="1996"/>
      <c r="R608" s="3653">
        <f t="shared" si="94"/>
        <v>0</v>
      </c>
      <c r="S608" s="2998"/>
      <c r="T608" s="2998"/>
      <c r="U608" s="2009" t="e">
        <f>#REF!</f>
        <v>#REF!</v>
      </c>
    </row>
    <row r="609" spans="1:22" ht="15.05">
      <c r="A609" s="1951"/>
      <c r="B609" s="1951"/>
      <c r="C609" s="1952"/>
      <c r="D609" s="1952"/>
      <c r="E609" s="1952"/>
      <c r="F609" s="1953"/>
      <c r="G609" s="1953"/>
      <c r="H609" s="1957" t="s">
        <v>674</v>
      </c>
      <c r="I609" s="1989"/>
      <c r="J609" s="1994"/>
      <c r="K609" s="1994"/>
      <c r="L609" s="1995">
        <f t="shared" ref="L609:R609" si="95">L544</f>
        <v>0</v>
      </c>
      <c r="M609" s="1996">
        <f t="shared" si="95"/>
        <v>0</v>
      </c>
      <c r="N609" s="1996">
        <f t="shared" si="95"/>
        <v>0</v>
      </c>
      <c r="O609" s="1996">
        <f t="shared" si="95"/>
        <v>0</v>
      </c>
      <c r="P609" s="1996">
        <f t="shared" si="95"/>
        <v>0</v>
      </c>
      <c r="Q609" s="1996"/>
      <c r="R609" s="3653">
        <f t="shared" si="95"/>
        <v>0</v>
      </c>
      <c r="S609" s="2998"/>
      <c r="T609" s="2998"/>
      <c r="U609" s="2009" t="e">
        <f>#REF!</f>
        <v>#REF!</v>
      </c>
    </row>
    <row r="610" spans="1:22">
      <c r="A610" s="1951"/>
      <c r="B610" s="1951"/>
      <c r="C610" s="1952"/>
      <c r="D610" s="1952"/>
      <c r="E610" s="1952"/>
      <c r="F610" s="1953"/>
      <c r="G610" s="1953"/>
      <c r="H610" s="1958" t="s">
        <v>675</v>
      </c>
      <c r="I610" s="1998"/>
      <c r="J610" s="1999"/>
      <c r="K610" s="1999"/>
      <c r="L610" s="1958">
        <f>L449</f>
        <v>0</v>
      </c>
      <c r="M610" s="1958">
        <f>M449</f>
        <v>0</v>
      </c>
      <c r="N610" s="1958">
        <f>N449</f>
        <v>0</v>
      </c>
      <c r="O610" s="2000">
        <f>O449</f>
        <v>0</v>
      </c>
      <c r="P610" s="1958">
        <f>P449</f>
        <v>0</v>
      </c>
      <c r="Q610" s="1958"/>
      <c r="R610" s="3652" t="e">
        <f>#REF!</f>
        <v>#REF!</v>
      </c>
      <c r="S610" s="2997"/>
      <c r="T610" s="2997"/>
      <c r="U610" s="2009" t="e">
        <f>#REF!</f>
        <v>#REF!</v>
      </c>
    </row>
    <row r="611" spans="1:22" ht="15.05">
      <c r="A611" s="1951"/>
      <c r="B611" s="1951"/>
      <c r="C611" s="1952"/>
      <c r="D611" s="1952"/>
      <c r="E611" s="1952"/>
      <c r="F611" s="1953"/>
      <c r="G611" s="1953"/>
      <c r="H611" s="1959" t="s">
        <v>271</v>
      </c>
      <c r="I611" s="1990"/>
      <c r="J611" s="1994"/>
      <c r="K611" s="1994"/>
      <c r="L611" s="1995">
        <f>L452</f>
        <v>51419400</v>
      </c>
      <c r="M611" s="1995">
        <f>M452</f>
        <v>0</v>
      </c>
      <c r="N611" s="1995">
        <f>N452</f>
        <v>0</v>
      </c>
      <c r="O611" s="1995">
        <f>O452</f>
        <v>0</v>
      </c>
      <c r="P611" s="1995">
        <f>P452</f>
        <v>51419400</v>
      </c>
      <c r="Q611" s="1995"/>
      <c r="R611" s="3654">
        <f>R452</f>
        <v>0</v>
      </c>
      <c r="S611" s="2999"/>
      <c r="T611" s="2999"/>
      <c r="U611" s="2009" t="e">
        <f>#REF!</f>
        <v>#REF!</v>
      </c>
    </row>
    <row r="612" spans="1:22" ht="15.05">
      <c r="A612" s="1951"/>
      <c r="B612" s="1951"/>
      <c r="C612" s="1952"/>
      <c r="D612" s="1952"/>
      <c r="E612" s="1952"/>
      <c r="F612" s="1953"/>
      <c r="G612" s="1953"/>
      <c r="H612" s="1960" t="s">
        <v>676</v>
      </c>
      <c r="I612" s="1989"/>
      <c r="J612" s="1989"/>
      <c r="K612" s="1989"/>
      <c r="L612" s="1988">
        <f t="shared" ref="L612:R612" si="96">L530</f>
        <v>0</v>
      </c>
      <c r="M612" s="1988">
        <f t="shared" si="96"/>
        <v>0</v>
      </c>
      <c r="N612" s="1988">
        <f t="shared" si="96"/>
        <v>0</v>
      </c>
      <c r="O612" s="2001">
        <f t="shared" si="96"/>
        <v>0</v>
      </c>
      <c r="P612" s="1988">
        <f t="shared" si="96"/>
        <v>0</v>
      </c>
      <c r="Q612" s="1988"/>
      <c r="R612" s="3651">
        <f t="shared" si="96"/>
        <v>0</v>
      </c>
      <c r="S612" s="2996"/>
      <c r="T612" s="2996"/>
      <c r="U612" s="2009" t="e">
        <f>#REF!</f>
        <v>#REF!</v>
      </c>
    </row>
    <row r="613" spans="1:22" ht="15.05">
      <c r="A613" s="1951"/>
      <c r="B613" s="1951"/>
      <c r="C613" s="1952"/>
      <c r="D613" s="1952"/>
      <c r="E613" s="1952"/>
      <c r="F613" s="1953"/>
      <c r="G613" s="1953"/>
      <c r="H613" s="1960" t="s">
        <v>280</v>
      </c>
      <c r="I613" s="1989"/>
      <c r="J613" s="1989"/>
      <c r="K613" s="1989"/>
      <c r="L613" s="1988">
        <f t="shared" ref="L613:R613" si="97">L529</f>
        <v>1100000</v>
      </c>
      <c r="M613" s="1988">
        <f t="shared" si="97"/>
        <v>0</v>
      </c>
      <c r="N613" s="1988">
        <f t="shared" si="97"/>
        <v>0</v>
      </c>
      <c r="O613" s="1988">
        <f t="shared" si="97"/>
        <v>0</v>
      </c>
      <c r="P613" s="1988">
        <f t="shared" si="97"/>
        <v>1100000</v>
      </c>
      <c r="Q613" s="1988"/>
      <c r="R613" s="3651">
        <f t="shared" si="97"/>
        <v>0</v>
      </c>
      <c r="S613" s="2996"/>
      <c r="T613" s="2996"/>
      <c r="U613" s="2009" t="e">
        <f>#REF!</f>
        <v>#REF!</v>
      </c>
    </row>
    <row r="614" spans="1:22">
      <c r="A614" s="1951"/>
      <c r="B614" s="1951"/>
      <c r="C614" s="1952"/>
      <c r="D614" s="1952"/>
      <c r="E614" s="1952"/>
      <c r="F614" s="1953"/>
      <c r="G614" s="1953"/>
      <c r="H614" s="1958" t="s">
        <v>595</v>
      </c>
      <c r="I614" s="1998"/>
      <c r="J614" s="1999"/>
      <c r="K614" s="1999"/>
      <c r="L614" s="1958">
        <f>L550</f>
        <v>0</v>
      </c>
      <c r="M614" s="1958">
        <f t="shared" ref="M614:U614" si="98">M550</f>
        <v>0</v>
      </c>
      <c r="N614" s="1958">
        <f t="shared" si="98"/>
        <v>0</v>
      </c>
      <c r="O614" s="1958">
        <f t="shared" si="98"/>
        <v>0</v>
      </c>
      <c r="P614" s="1958">
        <f t="shared" si="98"/>
        <v>0</v>
      </c>
      <c r="Q614" s="1958"/>
      <c r="R614" s="3652">
        <f t="shared" si="98"/>
        <v>0</v>
      </c>
      <c r="S614" s="2997"/>
      <c r="T614" s="2997"/>
      <c r="U614" s="2009">
        <f t="shared" si="98"/>
        <v>0</v>
      </c>
    </row>
    <row r="615" spans="1:22">
      <c r="A615" s="1951"/>
      <c r="B615" s="1951"/>
      <c r="C615" s="1952"/>
      <c r="D615" s="1952"/>
      <c r="E615" s="1952"/>
      <c r="F615" s="1953"/>
      <c r="G615" s="1953"/>
      <c r="H615" s="1958" t="s">
        <v>677</v>
      </c>
      <c r="I615" s="1998"/>
      <c r="J615" s="1999"/>
      <c r="K615" s="1999"/>
      <c r="L615" s="1958">
        <f>L440</f>
        <v>0</v>
      </c>
      <c r="M615" s="1958">
        <f>M440</f>
        <v>0</v>
      </c>
      <c r="N615" s="1958">
        <f>N440</f>
        <v>0</v>
      </c>
      <c r="O615" s="1958">
        <f>O440</f>
        <v>0</v>
      </c>
      <c r="P615" s="1958">
        <f>P440</f>
        <v>0</v>
      </c>
      <c r="Q615" s="1958"/>
      <c r="R615" s="3652" t="e">
        <f>R440</f>
        <v>#DIV/0!</v>
      </c>
      <c r="S615" s="2997"/>
      <c r="T615" s="2997"/>
      <c r="U615" s="2009" t="e">
        <f>#REF!</f>
        <v>#REF!</v>
      </c>
    </row>
    <row r="616" spans="1:22" ht="15.05">
      <c r="A616" s="1951"/>
      <c r="B616" s="1951"/>
      <c r="C616" s="1952"/>
      <c r="D616" s="1952"/>
      <c r="E616" s="1952"/>
      <c r="F616" s="1953"/>
      <c r="G616" s="1953"/>
      <c r="H616" s="2010" t="str">
        <f>F445</f>
        <v>BADAN PENANAMAN MODAL TERPADU</v>
      </c>
      <c r="I616" s="2040"/>
      <c r="J616" s="2041"/>
      <c r="K616" s="2041"/>
      <c r="L616" s="2042">
        <f>L445</f>
        <v>0</v>
      </c>
      <c r="M616" s="2042">
        <f>M445</f>
        <v>0</v>
      </c>
      <c r="N616" s="2042">
        <f>N445</f>
        <v>0</v>
      </c>
      <c r="O616" s="2042">
        <f>O445</f>
        <v>0</v>
      </c>
      <c r="P616" s="2042">
        <f>P445</f>
        <v>0</v>
      </c>
      <c r="Q616" s="2042"/>
      <c r="R616" s="3655" t="e">
        <f>R445</f>
        <v>#DIV/0!</v>
      </c>
      <c r="S616" s="3000"/>
      <c r="T616" s="3000"/>
      <c r="U616" s="2042">
        <f>U445</f>
        <v>0</v>
      </c>
    </row>
    <row r="617" spans="1:22" s="1841" customFormat="1">
      <c r="A617" s="1951"/>
      <c r="B617" s="1951"/>
      <c r="C617" s="1952"/>
      <c r="D617" s="1952"/>
      <c r="E617" s="1952"/>
      <c r="F617" s="2011"/>
      <c r="G617" s="2011"/>
      <c r="H617" s="2012" t="s">
        <v>678</v>
      </c>
      <c r="I617" s="2043"/>
      <c r="J617" s="2044"/>
      <c r="K617" s="2044"/>
      <c r="L617" s="2045">
        <f>L548</f>
        <v>0</v>
      </c>
      <c r="M617" s="2045">
        <f t="shared" ref="M617:R617" si="99">M548</f>
        <v>0</v>
      </c>
      <c r="N617" s="2045">
        <f t="shared" si="99"/>
        <v>0</v>
      </c>
      <c r="O617" s="2046">
        <f t="shared" si="99"/>
        <v>0</v>
      </c>
      <c r="P617" s="2045">
        <f t="shared" si="99"/>
        <v>0</v>
      </c>
      <c r="Q617" s="2045"/>
      <c r="R617" s="3656">
        <f t="shared" si="99"/>
        <v>0</v>
      </c>
      <c r="S617" s="3001"/>
      <c r="T617" s="3001"/>
      <c r="U617" s="2066" t="e">
        <f>#REF!</f>
        <v>#REF!</v>
      </c>
      <c r="V617" s="2067"/>
    </row>
    <row r="618" spans="1:22" ht="15.65">
      <c r="A618" s="1951"/>
      <c r="B618" s="1951"/>
      <c r="C618" s="1952"/>
      <c r="D618" s="1952"/>
      <c r="E618" s="1952"/>
      <c r="F618" s="1953"/>
      <c r="G618" s="1953"/>
      <c r="H618" s="2013" t="s">
        <v>679</v>
      </c>
      <c r="I618" s="1998"/>
      <c r="J618" s="1999"/>
      <c r="K618" s="1999"/>
      <c r="L618" s="1958">
        <f>L517</f>
        <v>0</v>
      </c>
      <c r="M618" s="1958">
        <f t="shared" ref="M618:U618" si="100">M517</f>
        <v>0</v>
      </c>
      <c r="N618" s="1958">
        <f t="shared" si="100"/>
        <v>0</v>
      </c>
      <c r="O618" s="1958">
        <f t="shared" si="100"/>
        <v>0</v>
      </c>
      <c r="P618" s="1958">
        <f t="shared" si="100"/>
        <v>0</v>
      </c>
      <c r="Q618" s="1958"/>
      <c r="R618" s="3652">
        <f t="shared" si="100"/>
        <v>0</v>
      </c>
      <c r="S618" s="2997"/>
      <c r="T618" s="2997"/>
      <c r="U618" s="2009">
        <f t="shared" si="100"/>
        <v>0</v>
      </c>
    </row>
    <row r="619" spans="1:22" ht="15.05">
      <c r="A619" s="1951"/>
      <c r="B619" s="1951"/>
      <c r="C619" s="1952"/>
      <c r="D619" s="1952"/>
      <c r="E619" s="1952"/>
      <c r="F619" s="1953" t="s">
        <v>50</v>
      </c>
      <c r="G619" s="1953"/>
      <c r="H619" s="1960" t="s">
        <v>568</v>
      </c>
      <c r="I619" s="1989"/>
      <c r="J619" s="1989"/>
      <c r="K619" s="1989"/>
      <c r="L619" s="1988">
        <f t="shared" ref="L619:R619" si="101">L554</f>
        <v>0</v>
      </c>
      <c r="M619" s="1988">
        <f t="shared" si="101"/>
        <v>913000</v>
      </c>
      <c r="N619" s="1988">
        <f t="shared" si="101"/>
        <v>0</v>
      </c>
      <c r="O619" s="2001">
        <f t="shared" si="101"/>
        <v>913000</v>
      </c>
      <c r="P619" s="1988">
        <f t="shared" si="101"/>
        <v>0</v>
      </c>
      <c r="Q619" s="1988"/>
      <c r="R619" s="3651">
        <f t="shared" si="101"/>
        <v>0</v>
      </c>
      <c r="S619" s="2996"/>
      <c r="T619" s="2996"/>
      <c r="U619" s="2009" t="e">
        <f>#REF!</f>
        <v>#REF!</v>
      </c>
    </row>
    <row r="620" spans="1:22" ht="15.05">
      <c r="A620" s="1951"/>
      <c r="B620" s="1951"/>
      <c r="C620" s="1952"/>
      <c r="D620" s="1952"/>
      <c r="E620" s="1952"/>
      <c r="F620" s="1953"/>
      <c r="G620" s="1953"/>
      <c r="H620" s="1960" t="s">
        <v>680</v>
      </c>
      <c r="I620" s="1989"/>
      <c r="J620" s="1989"/>
      <c r="K620" s="1989"/>
      <c r="L620" s="1988">
        <f t="shared" ref="L620:R620" si="102">L506</f>
        <v>0</v>
      </c>
      <c r="M620" s="1988">
        <f t="shared" si="102"/>
        <v>720000</v>
      </c>
      <c r="N620" s="1988">
        <f t="shared" si="102"/>
        <v>0</v>
      </c>
      <c r="O620" s="1988">
        <f t="shared" si="102"/>
        <v>720000</v>
      </c>
      <c r="P620" s="1988">
        <f t="shared" si="102"/>
        <v>0</v>
      </c>
      <c r="Q620" s="1988"/>
      <c r="R620" s="3651">
        <f t="shared" si="102"/>
        <v>0</v>
      </c>
      <c r="S620" s="2996"/>
      <c r="T620" s="2996"/>
      <c r="U620" s="2009" t="e">
        <f>#REF!</f>
        <v>#REF!</v>
      </c>
    </row>
    <row r="621" spans="1:22" ht="15.05">
      <c r="A621" s="1951"/>
      <c r="B621" s="1951"/>
      <c r="C621" s="1952"/>
      <c r="D621" s="1952"/>
      <c r="E621" s="1952"/>
      <c r="F621" s="1953" t="s">
        <v>50</v>
      </c>
      <c r="G621" s="1953"/>
      <c r="H621" s="1960" t="s">
        <v>589</v>
      </c>
      <c r="I621" s="1989"/>
      <c r="J621" s="1989"/>
      <c r="K621" s="1989"/>
      <c r="L621" s="1988">
        <f t="shared" ref="L621:R621" si="103">L494</f>
        <v>0</v>
      </c>
      <c r="M621" s="1988">
        <f t="shared" si="103"/>
        <v>140000</v>
      </c>
      <c r="N621" s="1988">
        <f t="shared" si="103"/>
        <v>0</v>
      </c>
      <c r="O621" s="1988">
        <f t="shared" si="103"/>
        <v>140000</v>
      </c>
      <c r="P621" s="1988">
        <f t="shared" si="103"/>
        <v>0</v>
      </c>
      <c r="Q621" s="1988"/>
      <c r="R621" s="3651">
        <f t="shared" si="103"/>
        <v>0</v>
      </c>
      <c r="S621" s="2996"/>
      <c r="T621" s="2996"/>
      <c r="U621" s="2009" t="e">
        <f>#REF!</f>
        <v>#REF!</v>
      </c>
    </row>
    <row r="622" spans="1:22" ht="15.05">
      <c r="A622" s="1951"/>
      <c r="B622" s="1951"/>
      <c r="C622" s="1952"/>
      <c r="D622" s="1952"/>
      <c r="E622" s="1952"/>
      <c r="F622" s="1953" t="s">
        <v>50</v>
      </c>
      <c r="G622" s="1953"/>
      <c r="H622" s="1960" t="s">
        <v>681</v>
      </c>
      <c r="I622" s="1989"/>
      <c r="J622" s="1989"/>
      <c r="K622" s="1989"/>
      <c r="L622" s="1988">
        <f t="shared" ref="L622:R622" si="104">L497</f>
        <v>0</v>
      </c>
      <c r="M622" s="1988">
        <f t="shared" si="104"/>
        <v>0</v>
      </c>
      <c r="N622" s="1988">
        <f t="shared" si="104"/>
        <v>0</v>
      </c>
      <c r="O622" s="2001">
        <f t="shared" si="104"/>
        <v>0</v>
      </c>
      <c r="P622" s="1988">
        <f t="shared" si="104"/>
        <v>0</v>
      </c>
      <c r="Q622" s="1988"/>
      <c r="R622" s="3651">
        <f t="shared" si="104"/>
        <v>0</v>
      </c>
      <c r="S622" s="2996"/>
      <c r="T622" s="2996"/>
      <c r="U622" s="2009" t="e">
        <f>#REF!</f>
        <v>#REF!</v>
      </c>
    </row>
    <row r="623" spans="1:22" ht="15.05">
      <c r="A623" s="1951"/>
      <c r="B623" s="1951"/>
      <c r="C623" s="1952"/>
      <c r="D623" s="1952"/>
      <c r="E623" s="1952"/>
      <c r="F623" s="1953"/>
      <c r="G623" s="1953"/>
      <c r="H623" s="1960" t="s">
        <v>609</v>
      </c>
      <c r="I623" s="1989"/>
      <c r="J623" s="1989"/>
      <c r="K623" s="1989"/>
      <c r="L623" s="1988">
        <f t="shared" ref="L623:R623" si="105">L500</f>
        <v>0</v>
      </c>
      <c r="M623" s="1988">
        <f t="shared" si="105"/>
        <v>0</v>
      </c>
      <c r="N623" s="1988">
        <f t="shared" si="105"/>
        <v>0</v>
      </c>
      <c r="O623" s="2001">
        <f t="shared" si="105"/>
        <v>0</v>
      </c>
      <c r="P623" s="1988">
        <f t="shared" si="105"/>
        <v>0</v>
      </c>
      <c r="Q623" s="1988"/>
      <c r="R623" s="3651">
        <f t="shared" si="105"/>
        <v>0</v>
      </c>
      <c r="S623" s="2996"/>
      <c r="T623" s="2996"/>
      <c r="U623" s="2009" t="e">
        <f>#REF!</f>
        <v>#REF!</v>
      </c>
    </row>
    <row r="624" spans="1:22" ht="15.05">
      <c r="A624" s="1951"/>
      <c r="B624" s="1951"/>
      <c r="C624" s="1952"/>
      <c r="D624" s="1952"/>
      <c r="E624" s="1952"/>
      <c r="F624" s="1953" t="s">
        <v>50</v>
      </c>
      <c r="G624" s="1953"/>
      <c r="H624" s="2014" t="s">
        <v>682</v>
      </c>
      <c r="I624" s="1998"/>
      <c r="J624" s="1998"/>
      <c r="K624" s="1998"/>
      <c r="L624" s="2009"/>
      <c r="M624" s="2009">
        <f t="shared" ref="M624:U624" si="106">M488</f>
        <v>0</v>
      </c>
      <c r="N624" s="2009">
        <f t="shared" si="106"/>
        <v>0</v>
      </c>
      <c r="O624" s="2009">
        <f t="shared" si="106"/>
        <v>0</v>
      </c>
      <c r="P624" s="2009">
        <f t="shared" si="106"/>
        <v>1508491400</v>
      </c>
      <c r="Q624" s="2009"/>
      <c r="R624" s="3657">
        <f t="shared" si="106"/>
        <v>0</v>
      </c>
      <c r="S624" s="3002"/>
      <c r="T624" s="3002"/>
      <c r="U624" s="2009">
        <f t="shared" si="106"/>
        <v>0</v>
      </c>
    </row>
    <row r="625" spans="1:21" ht="12.55">
      <c r="A625" s="2015"/>
      <c r="B625" s="2015"/>
      <c r="C625" s="2016"/>
      <c r="D625" s="2016"/>
      <c r="E625" s="2016"/>
      <c r="F625" s="2017" t="s">
        <v>50</v>
      </c>
      <c r="G625" s="2017"/>
      <c r="H625" s="2018"/>
      <c r="I625" s="2047"/>
      <c r="J625" s="2047"/>
      <c r="K625" s="2047"/>
      <c r="L625" s="2048"/>
      <c r="M625" s="2048"/>
      <c r="N625" s="2048"/>
      <c r="O625" s="2048"/>
      <c r="P625" s="2048"/>
      <c r="Q625" s="2048"/>
      <c r="R625" s="3658"/>
      <c r="S625" s="3003"/>
      <c r="T625" s="3003"/>
      <c r="U625" s="2048"/>
    </row>
    <row r="626" spans="1:21">
      <c r="F626" s="2019"/>
      <c r="G626" s="2019"/>
      <c r="H626" s="1843"/>
    </row>
    <row r="627" spans="1:21">
      <c r="F627" s="2019"/>
      <c r="G627" s="2019"/>
      <c r="H627" s="1843"/>
      <c r="L627" s="1982" t="s">
        <v>665</v>
      </c>
      <c r="M627" s="1982"/>
      <c r="N627" s="1982" t="s">
        <v>666</v>
      </c>
    </row>
    <row r="628" spans="1:21" ht="16.45" customHeight="1">
      <c r="A628" s="2020"/>
      <c r="B628" s="2020"/>
      <c r="C628" s="2021"/>
      <c r="D628" s="2021"/>
      <c r="E628" s="2021"/>
      <c r="F628" s="2022"/>
      <c r="G628" s="2022"/>
      <c r="H628" s="5802" t="s">
        <v>683</v>
      </c>
      <c r="I628" s="5803"/>
      <c r="J628" s="2049"/>
      <c r="K628" s="2049"/>
      <c r="L628" s="2050">
        <f>SUM(L629:L640)</f>
        <v>0</v>
      </c>
      <c r="M628" s="2050">
        <f>SUM(M629:M640)</f>
        <v>10809500</v>
      </c>
      <c r="N628" s="2050">
        <f>SUM(N629:N640)</f>
        <v>0</v>
      </c>
      <c r="O628" s="2050">
        <f>N628+M628</f>
        <v>10809500</v>
      </c>
      <c r="P628" s="2050" t="e">
        <f>P629+#REF!+P631+P633+P636+P639+P640+P637</f>
        <v>#REF!</v>
      </c>
      <c r="Q628" s="2050"/>
      <c r="R628" s="3659" t="e">
        <f>R629+#REF!+R631+R633+R636+R639+R640</f>
        <v>#REF!</v>
      </c>
      <c r="S628" s="3735"/>
      <c r="T628" s="3735"/>
      <c r="U628" s="1831"/>
    </row>
    <row r="629" spans="1:21">
      <c r="A629" s="2023"/>
      <c r="B629" s="2023"/>
      <c r="C629" s="2007"/>
      <c r="D629" s="2007"/>
      <c r="E629" s="2007"/>
      <c r="F629" s="2024" t="s">
        <v>50</v>
      </c>
      <c r="G629" s="2025"/>
      <c r="H629" s="2026" t="s">
        <v>684</v>
      </c>
      <c r="I629" s="2051"/>
      <c r="J629" s="2051"/>
      <c r="K629" s="2051"/>
      <c r="L629" s="2052">
        <f>L459</f>
        <v>0</v>
      </c>
      <c r="M629" s="2052">
        <f>M459</f>
        <v>0</v>
      </c>
      <c r="N629" s="2052">
        <f>N459</f>
        <v>0</v>
      </c>
      <c r="O629" s="2052">
        <f>O459</f>
        <v>0</v>
      </c>
      <c r="P629" s="2052">
        <f>P459</f>
        <v>0</v>
      </c>
      <c r="Q629" s="2052"/>
      <c r="R629" s="3660">
        <f>R459</f>
        <v>0</v>
      </c>
      <c r="S629" s="2998"/>
      <c r="T629" s="2998"/>
      <c r="U629" s="1996">
        <f>U459</f>
        <v>0</v>
      </c>
    </row>
    <row r="630" spans="1:21">
      <c r="A630" s="2027"/>
      <c r="B630" s="2027"/>
      <c r="C630" s="2028"/>
      <c r="D630" s="2028"/>
      <c r="E630" s="2028"/>
      <c r="F630" s="1953" t="s">
        <v>50</v>
      </c>
      <c r="G630" s="2029"/>
      <c r="H630" s="2030" t="s">
        <v>685</v>
      </c>
      <c r="I630" s="2053"/>
      <c r="J630" s="2053"/>
      <c r="K630" s="2053"/>
      <c r="L630" s="2054">
        <v>0</v>
      </c>
      <c r="M630" s="2054">
        <f>M458</f>
        <v>0</v>
      </c>
      <c r="N630" s="2054">
        <f>N458</f>
        <v>0</v>
      </c>
      <c r="O630" s="2054">
        <f>O458</f>
        <v>0</v>
      </c>
      <c r="P630" s="2054">
        <f>P458</f>
        <v>198040000</v>
      </c>
      <c r="Q630" s="2054"/>
      <c r="R630" s="3661">
        <f>R458</f>
        <v>0</v>
      </c>
      <c r="S630" s="3736"/>
      <c r="T630" s="3736"/>
      <c r="U630" s="1996"/>
    </row>
    <row r="631" spans="1:21" ht="15.05">
      <c r="A631" s="1951"/>
      <c r="B631" s="1951"/>
      <c r="C631" s="1952"/>
      <c r="D631" s="1952"/>
      <c r="E631" s="1952"/>
      <c r="F631" s="1953" t="s">
        <v>50</v>
      </c>
      <c r="G631" s="1953"/>
      <c r="H631" s="1960" t="s">
        <v>570</v>
      </c>
      <c r="I631" s="1989"/>
      <c r="J631" s="1989"/>
      <c r="K631" s="1989"/>
      <c r="L631" s="1988">
        <f t="shared" ref="L631:R631" si="107">L514</f>
        <v>0</v>
      </c>
      <c r="M631" s="1988">
        <f t="shared" si="107"/>
        <v>10809500</v>
      </c>
      <c r="N631" s="1988">
        <f t="shared" si="107"/>
        <v>0</v>
      </c>
      <c r="O631" s="1988">
        <f t="shared" si="107"/>
        <v>10809500</v>
      </c>
      <c r="P631" s="1988">
        <f t="shared" si="107"/>
        <v>0</v>
      </c>
      <c r="Q631" s="1988"/>
      <c r="R631" s="3651">
        <f t="shared" si="107"/>
        <v>0</v>
      </c>
      <c r="S631" s="2998"/>
      <c r="T631" s="2998"/>
      <c r="U631" s="1996"/>
    </row>
    <row r="632" spans="1:21" ht="15.05">
      <c r="A632" s="1951"/>
      <c r="B632" s="1951"/>
      <c r="C632" s="1952"/>
      <c r="D632" s="1952"/>
      <c r="E632" s="1952"/>
      <c r="F632" s="1953" t="s">
        <v>50</v>
      </c>
      <c r="G632" s="2031"/>
      <c r="H632" s="1960" t="s">
        <v>686</v>
      </c>
      <c r="I632" s="1989"/>
      <c r="J632" s="1989"/>
      <c r="K632" s="1989"/>
      <c r="L632" s="1988">
        <f>L507</f>
        <v>0</v>
      </c>
      <c r="M632" s="1988">
        <f t="shared" ref="M632:U632" si="108">M507</f>
        <v>0</v>
      </c>
      <c r="N632" s="1988">
        <f t="shared" si="108"/>
        <v>0</v>
      </c>
      <c r="O632" s="1988">
        <f t="shared" si="108"/>
        <v>0</v>
      </c>
      <c r="P632" s="1988">
        <f t="shared" si="108"/>
        <v>0</v>
      </c>
      <c r="Q632" s="1988"/>
      <c r="R632" s="3651">
        <f t="shared" si="108"/>
        <v>0</v>
      </c>
      <c r="S632" s="2996"/>
      <c r="T632" s="2996"/>
      <c r="U632" s="1988">
        <f t="shared" si="108"/>
        <v>0</v>
      </c>
    </row>
    <row r="633" spans="1:21">
      <c r="A633" s="1951"/>
      <c r="B633" s="1951"/>
      <c r="C633" s="1952"/>
      <c r="D633" s="1952"/>
      <c r="E633" s="1952"/>
      <c r="F633" s="1953" t="s">
        <v>50</v>
      </c>
      <c r="G633" s="2031"/>
      <c r="H633" s="2032" t="s">
        <v>687</v>
      </c>
      <c r="I633" s="1989"/>
      <c r="J633" s="1989"/>
      <c r="K633" s="1989"/>
      <c r="L633" s="1988">
        <f>L509</f>
        <v>0</v>
      </c>
      <c r="M633" s="1988">
        <f t="shared" ref="M633:U633" si="109">M509</f>
        <v>0</v>
      </c>
      <c r="N633" s="1988">
        <f t="shared" si="109"/>
        <v>0</v>
      </c>
      <c r="O633" s="1988">
        <f t="shared" si="109"/>
        <v>0</v>
      </c>
      <c r="P633" s="1988">
        <f t="shared" si="109"/>
        <v>0</v>
      </c>
      <c r="Q633" s="1988"/>
      <c r="R633" s="3651">
        <f t="shared" si="109"/>
        <v>0</v>
      </c>
      <c r="S633" s="2998"/>
      <c r="T633" s="2998"/>
      <c r="U633" s="1996">
        <f t="shared" si="109"/>
        <v>0</v>
      </c>
    </row>
    <row r="634" spans="1:21" ht="15.05">
      <c r="A634" s="1951"/>
      <c r="B634" s="1951"/>
      <c r="C634" s="1952"/>
      <c r="D634" s="1952"/>
      <c r="E634" s="1952"/>
      <c r="F634" s="1953"/>
      <c r="G634" s="2031"/>
      <c r="H634" s="1960" t="s">
        <v>688</v>
      </c>
      <c r="I634" s="1989"/>
      <c r="J634" s="1989"/>
      <c r="K634" s="1989"/>
      <c r="L634" s="1988">
        <f>L501</f>
        <v>0</v>
      </c>
      <c r="M634" s="1988">
        <f t="shared" ref="M634:R634" si="110">M501</f>
        <v>0</v>
      </c>
      <c r="N634" s="1988">
        <f t="shared" si="110"/>
        <v>0</v>
      </c>
      <c r="O634" s="1988">
        <f t="shared" si="110"/>
        <v>0</v>
      </c>
      <c r="P634" s="1988">
        <f t="shared" si="110"/>
        <v>0</v>
      </c>
      <c r="Q634" s="1988"/>
      <c r="R634" s="3651">
        <f t="shared" si="110"/>
        <v>0</v>
      </c>
      <c r="S634" s="2998"/>
      <c r="T634" s="2998"/>
      <c r="U634" s="1996"/>
    </row>
    <row r="635" spans="1:21" ht="15.05">
      <c r="A635" s="1951"/>
      <c r="B635" s="1951"/>
      <c r="C635" s="1952"/>
      <c r="D635" s="1952"/>
      <c r="E635" s="1952"/>
      <c r="F635" s="1953" t="s">
        <v>50</v>
      </c>
      <c r="G635" s="2031"/>
      <c r="H635" s="1960" t="s">
        <v>689</v>
      </c>
      <c r="I635" s="1989"/>
      <c r="J635" s="1989"/>
      <c r="K635" s="1989"/>
      <c r="L635" s="1988">
        <f>L503</f>
        <v>0</v>
      </c>
      <c r="M635" s="1988">
        <f t="shared" ref="M635:U635" si="111">M503</f>
        <v>0</v>
      </c>
      <c r="N635" s="1988">
        <f t="shared" si="111"/>
        <v>0</v>
      </c>
      <c r="O635" s="1988">
        <f t="shared" si="111"/>
        <v>0</v>
      </c>
      <c r="P635" s="1988">
        <f t="shared" si="111"/>
        <v>0</v>
      </c>
      <c r="Q635" s="1988"/>
      <c r="R635" s="3651">
        <f t="shared" si="111"/>
        <v>0</v>
      </c>
      <c r="S635" s="2998"/>
      <c r="T635" s="2998"/>
      <c r="U635" s="1996">
        <f t="shared" si="111"/>
        <v>0</v>
      </c>
    </row>
    <row r="636" spans="1:21" ht="15.05">
      <c r="A636" s="1951"/>
      <c r="B636" s="1951"/>
      <c r="C636" s="1952"/>
      <c r="D636" s="1952"/>
      <c r="E636" s="1952"/>
      <c r="F636" s="1953"/>
      <c r="G636" s="2031"/>
      <c r="H636" s="1960" t="s">
        <v>690</v>
      </c>
      <c r="I636" s="1989"/>
      <c r="J636" s="1989"/>
      <c r="K636" s="1989"/>
      <c r="L636" s="1988">
        <f>L542</f>
        <v>0</v>
      </c>
      <c r="M636" s="1988">
        <f t="shared" ref="M636:U636" si="112">M542</f>
        <v>0</v>
      </c>
      <c r="N636" s="1988">
        <f t="shared" si="112"/>
        <v>0</v>
      </c>
      <c r="O636" s="1988">
        <f t="shared" si="112"/>
        <v>0</v>
      </c>
      <c r="P636" s="1988">
        <f t="shared" si="112"/>
        <v>0</v>
      </c>
      <c r="Q636" s="1988"/>
      <c r="R636" s="3651">
        <f t="shared" si="112"/>
        <v>0</v>
      </c>
      <c r="S636" s="2998"/>
      <c r="T636" s="2998"/>
      <c r="U636" s="1996">
        <f t="shared" si="112"/>
        <v>0</v>
      </c>
    </row>
    <row r="637" spans="1:21" ht="15.05">
      <c r="A637" s="1951"/>
      <c r="B637" s="1951"/>
      <c r="C637" s="1952"/>
      <c r="D637" s="1952"/>
      <c r="E637" s="1952"/>
      <c r="F637" s="1953"/>
      <c r="G637" s="2031"/>
      <c r="H637" s="1960" t="s">
        <v>691</v>
      </c>
      <c r="I637" s="1989"/>
      <c r="J637" s="1989"/>
      <c r="K637" s="1989"/>
      <c r="L637" s="1988">
        <f>L546</f>
        <v>0</v>
      </c>
      <c r="M637" s="1988">
        <f t="shared" ref="M637:R637" si="113">M546</f>
        <v>0</v>
      </c>
      <c r="N637" s="1988">
        <f t="shared" si="113"/>
        <v>0</v>
      </c>
      <c r="O637" s="1988">
        <f t="shared" si="113"/>
        <v>0</v>
      </c>
      <c r="P637" s="1988">
        <f t="shared" si="113"/>
        <v>0</v>
      </c>
      <c r="Q637" s="1988"/>
      <c r="R637" s="3651">
        <f t="shared" si="113"/>
        <v>0</v>
      </c>
      <c r="S637" s="2998"/>
      <c r="T637" s="2998"/>
      <c r="U637" s="1996"/>
    </row>
    <row r="638" spans="1:21" ht="15.05">
      <c r="A638" s="1951"/>
      <c r="B638" s="1951"/>
      <c r="C638" s="1952"/>
      <c r="D638" s="1952"/>
      <c r="E638" s="1952"/>
      <c r="F638" s="1953"/>
      <c r="G638" s="2031"/>
      <c r="H638" s="1960" t="s">
        <v>651</v>
      </c>
      <c r="I638" s="1989"/>
      <c r="J638" s="1989"/>
      <c r="K638" s="1989"/>
      <c r="L638" s="1988">
        <f t="shared" ref="L638:R638" si="114">L561</f>
        <v>0</v>
      </c>
      <c r="M638" s="1988">
        <f t="shared" si="114"/>
        <v>0</v>
      </c>
      <c r="N638" s="1988">
        <f t="shared" si="114"/>
        <v>0</v>
      </c>
      <c r="O638" s="1988">
        <f t="shared" si="114"/>
        <v>0</v>
      </c>
      <c r="P638" s="1988">
        <f t="shared" si="114"/>
        <v>0</v>
      </c>
      <c r="Q638" s="1988"/>
      <c r="R638" s="3651">
        <f t="shared" si="114"/>
        <v>0</v>
      </c>
      <c r="S638" s="2998"/>
      <c r="T638" s="2998"/>
      <c r="U638" s="1996"/>
    </row>
    <row r="639" spans="1:21" ht="15.05">
      <c r="A639" s="1951"/>
      <c r="B639" s="1951"/>
      <c r="C639" s="1952"/>
      <c r="D639" s="1952"/>
      <c r="E639" s="1952"/>
      <c r="F639" s="2758" t="s">
        <v>50</v>
      </c>
      <c r="G639" s="2031"/>
      <c r="H639" s="2033" t="s">
        <v>692</v>
      </c>
      <c r="I639" s="1989"/>
      <c r="J639" s="1989"/>
      <c r="K639" s="1989"/>
      <c r="L639" s="2055">
        <f>L468</f>
        <v>0</v>
      </c>
      <c r="M639" s="2055">
        <f>M468</f>
        <v>0</v>
      </c>
      <c r="N639" s="2055">
        <f>N468</f>
        <v>0</v>
      </c>
      <c r="O639" s="2055">
        <f>O468</f>
        <v>0</v>
      </c>
      <c r="P639" s="2055">
        <f>P468</f>
        <v>0</v>
      </c>
      <c r="Q639" s="2055"/>
      <c r="R639" s="3651">
        <f>R468</f>
        <v>0</v>
      </c>
      <c r="S639" s="2998"/>
      <c r="T639" s="2998"/>
      <c r="U639" s="2068">
        <f>U468</f>
        <v>0</v>
      </c>
    </row>
    <row r="640" spans="1:21" ht="15.05">
      <c r="A640" s="2015"/>
      <c r="B640" s="2015"/>
      <c r="C640" s="2016"/>
      <c r="D640" s="2016"/>
      <c r="E640" s="2016"/>
      <c r="F640" s="2017" t="s">
        <v>50</v>
      </c>
      <c r="G640" s="2034"/>
      <c r="H640" s="2035" t="s">
        <v>693</v>
      </c>
      <c r="I640" s="2056"/>
      <c r="J640" s="2056"/>
      <c r="K640" s="2056"/>
      <c r="L640" s="2057">
        <f t="shared" ref="L640:R640" si="115">L552</f>
        <v>0</v>
      </c>
      <c r="M640" s="2057">
        <f t="shared" si="115"/>
        <v>0</v>
      </c>
      <c r="N640" s="2057">
        <f t="shared" si="115"/>
        <v>0</v>
      </c>
      <c r="O640" s="2057">
        <f t="shared" si="115"/>
        <v>0</v>
      </c>
      <c r="P640" s="2057">
        <f t="shared" si="115"/>
        <v>0</v>
      </c>
      <c r="Q640" s="2057"/>
      <c r="R640" s="3662">
        <f t="shared" si="115"/>
        <v>0</v>
      </c>
      <c r="S640" s="3737"/>
      <c r="T640" s="3737"/>
    </row>
    <row r="641" spans="1:21">
      <c r="U641" s="2069" t="s">
        <v>694</v>
      </c>
    </row>
    <row r="642" spans="1:21" ht="15.05">
      <c r="A642" s="2020"/>
      <c r="B642" s="2020"/>
      <c r="C642" s="2021"/>
      <c r="D642" s="2021"/>
      <c r="E642" s="2021"/>
      <c r="F642" s="2036"/>
      <c r="G642" s="2036"/>
      <c r="H642" s="2036" t="s">
        <v>695</v>
      </c>
      <c r="I642" s="2058"/>
      <c r="J642" s="2058"/>
      <c r="K642" s="2058"/>
      <c r="L642" s="2059" t="e">
        <f>SUM(L643:L645)</f>
        <v>#REF!</v>
      </c>
      <c r="M642" s="2059" t="e">
        <f>SUM(M643:M645)</f>
        <v>#REF!</v>
      </c>
      <c r="N642" s="2059" t="e">
        <f>SUM(N643:N645)</f>
        <v>#REF!</v>
      </c>
      <c r="O642" s="2059" t="e">
        <f>N642+M642</f>
        <v>#REF!</v>
      </c>
      <c r="P642" s="2059" t="e">
        <f>SUM(P643:P644)</f>
        <v>#REF!</v>
      </c>
      <c r="Q642" s="2059"/>
      <c r="R642" s="3663" t="e">
        <f>O642/L642*100</f>
        <v>#REF!</v>
      </c>
      <c r="S642" s="3738"/>
      <c r="T642" s="3738"/>
    </row>
    <row r="643" spans="1:21">
      <c r="A643" s="1951"/>
      <c r="B643" s="1951"/>
      <c r="C643" s="1952"/>
      <c r="D643" s="1952"/>
      <c r="E643" s="1952"/>
      <c r="F643" s="1953" t="s">
        <v>50</v>
      </c>
      <c r="G643" s="1953"/>
      <c r="H643" s="2032" t="s">
        <v>696</v>
      </c>
      <c r="I643" s="1989"/>
      <c r="J643" s="1989"/>
      <c r="K643" s="1989"/>
      <c r="L643" s="1988">
        <f>L373</f>
        <v>125000000000</v>
      </c>
      <c r="M643" s="1988">
        <f>M373</f>
        <v>19046122482.029999</v>
      </c>
      <c r="N643" s="1988">
        <f>N373</f>
        <v>12944839389.030001</v>
      </c>
      <c r="O643" s="2060">
        <f>O373</f>
        <v>31990961871.060001</v>
      </c>
      <c r="P643" s="1988">
        <f>P373</f>
        <v>125000000000</v>
      </c>
      <c r="Q643" s="1988"/>
      <c r="R643" s="3664">
        <f>O643/L643*100</f>
        <v>25.592769496848</v>
      </c>
      <c r="S643" s="3739"/>
      <c r="T643" s="3739"/>
    </row>
    <row r="644" spans="1:21">
      <c r="A644" s="1951"/>
      <c r="B644" s="1951"/>
      <c r="C644" s="1952"/>
      <c r="D644" s="1952"/>
      <c r="E644" s="1952"/>
      <c r="F644" s="1953"/>
      <c r="G644" s="1953"/>
      <c r="H644" s="2032" t="s">
        <v>697</v>
      </c>
      <c r="I644" s="1989"/>
      <c r="J644" s="1989"/>
      <c r="K644" s="1989"/>
      <c r="L644" s="1988" t="e">
        <f>#REF!</f>
        <v>#REF!</v>
      </c>
      <c r="M644" s="1988" t="e">
        <f>#REF!</f>
        <v>#REF!</v>
      </c>
      <c r="N644" s="1988" t="e">
        <f>#REF!</f>
        <v>#REF!</v>
      </c>
      <c r="O644" s="1988" t="e">
        <f>#REF!</f>
        <v>#REF!</v>
      </c>
      <c r="P644" s="1988" t="e">
        <f>#REF!</f>
        <v>#REF!</v>
      </c>
      <c r="Q644" s="1988"/>
      <c r="R644" s="3651" t="e">
        <f>O644/L644*100</f>
        <v>#REF!</v>
      </c>
      <c r="S644" s="3737"/>
      <c r="T644" s="3737"/>
    </row>
    <row r="645" spans="1:21">
      <c r="A645" s="2015"/>
      <c r="B645" s="2015"/>
      <c r="C645" s="2016"/>
      <c r="D645" s="2016"/>
      <c r="E645" s="2016"/>
      <c r="F645" s="2017" t="s">
        <v>50</v>
      </c>
      <c r="G645" s="2034"/>
      <c r="H645" s="2037" t="s">
        <v>88</v>
      </c>
      <c r="I645" s="2056"/>
      <c r="J645" s="2056"/>
      <c r="K645" s="2056"/>
      <c r="L645" s="2057" t="e">
        <f>#REF!</f>
        <v>#REF!</v>
      </c>
      <c r="M645" s="2057" t="e">
        <f>#REF!</f>
        <v>#REF!</v>
      </c>
      <c r="N645" s="2057" t="e">
        <f>#REF!</f>
        <v>#REF!</v>
      </c>
      <c r="O645" s="2061" t="e">
        <f>#REF!</f>
        <v>#REF!</v>
      </c>
      <c r="P645" s="2061" t="e">
        <f>#REF!</f>
        <v>#REF!</v>
      </c>
      <c r="Q645" s="2061"/>
      <c r="R645" s="3665"/>
    </row>
    <row r="647" spans="1:21" ht="15.05">
      <c r="A647" s="2020"/>
      <c r="B647" s="2020"/>
      <c r="C647" s="2021"/>
      <c r="D647" s="2021"/>
      <c r="E647" s="2021"/>
      <c r="F647" s="2038"/>
      <c r="G647" s="2038"/>
      <c r="H647" s="2038" t="s">
        <v>698</v>
      </c>
      <c r="I647" s="2062"/>
      <c r="J647" s="2062"/>
      <c r="K647" s="2062"/>
      <c r="L647" s="2063">
        <f>SUM(L648:L649)</f>
        <v>3123018400</v>
      </c>
      <c r="M647" s="2063">
        <f>SUM(M648:M649)</f>
        <v>457925000</v>
      </c>
      <c r="N647" s="2063">
        <f>SUM(N648:N649)</f>
        <v>274025000</v>
      </c>
      <c r="O647" s="2063">
        <f>N647+M647</f>
        <v>731950000</v>
      </c>
      <c r="P647" s="2063">
        <f>SUM(P648:P649)</f>
        <v>3123018400</v>
      </c>
      <c r="Q647" s="2063"/>
      <c r="R647" s="3666">
        <f>SUM(R648:R649)</f>
        <v>23.437261848985582</v>
      </c>
      <c r="S647" s="3740"/>
      <c r="T647" s="3740"/>
    </row>
    <row r="648" spans="1:21">
      <c r="A648" s="1951"/>
      <c r="B648" s="1951"/>
      <c r="C648" s="1952"/>
      <c r="D648" s="1952"/>
      <c r="E648" s="1952"/>
      <c r="F648" s="1953" t="s">
        <v>50</v>
      </c>
      <c r="G648" s="1953"/>
      <c r="H648" s="2032" t="s">
        <v>699</v>
      </c>
      <c r="I648" s="1989"/>
      <c r="J648" s="1989"/>
      <c r="K648" s="1989"/>
      <c r="L648" s="1988">
        <f>L473</f>
        <v>3123018400</v>
      </c>
      <c r="M648" s="1988">
        <f>M473</f>
        <v>457925000</v>
      </c>
      <c r="N648" s="1988">
        <f>N473</f>
        <v>274025000</v>
      </c>
      <c r="O648" s="1988">
        <f>O473</f>
        <v>731950000</v>
      </c>
      <c r="P648" s="1988">
        <f>P473</f>
        <v>3123018400</v>
      </c>
      <c r="Q648" s="1988"/>
      <c r="R648" s="3651">
        <f>O648/L648*100</f>
        <v>23.437261848985582</v>
      </c>
      <c r="S648" s="3737"/>
      <c r="T648" s="3737"/>
    </row>
    <row r="649" spans="1:21">
      <c r="A649" s="2015"/>
      <c r="B649" s="2015"/>
      <c r="C649" s="2016"/>
      <c r="D649" s="2016"/>
      <c r="E649" s="2016"/>
      <c r="F649" s="2017" t="s">
        <v>50</v>
      </c>
      <c r="G649" s="2034"/>
      <c r="H649" s="2039"/>
      <c r="I649" s="2064"/>
      <c r="J649" s="2064"/>
      <c r="K649" s="2064"/>
      <c r="L649" s="2061"/>
      <c r="M649" s="2061"/>
      <c r="N649" s="2061"/>
      <c r="O649" s="2061"/>
      <c r="P649" s="2061"/>
      <c r="Q649" s="2061"/>
      <c r="R649" s="3662"/>
      <c r="S649" s="3737"/>
      <c r="T649" s="3737"/>
    </row>
    <row r="652" spans="1:21">
      <c r="P652" s="2065"/>
      <c r="Q652" s="2065"/>
    </row>
    <row r="654" spans="1:21">
      <c r="L654" s="2065"/>
    </row>
    <row r="668" spans="1:22" s="1842" customFormat="1">
      <c r="A668" s="1843"/>
      <c r="B668" s="1843"/>
      <c r="C668" s="1844"/>
      <c r="D668" s="1844"/>
      <c r="E668" s="1844"/>
      <c r="F668" s="1845"/>
      <c r="G668" s="1845"/>
      <c r="H668" s="1844"/>
      <c r="I668" s="1844"/>
      <c r="J668" s="1844"/>
      <c r="K668" s="1844"/>
      <c r="L668" s="1844"/>
      <c r="M668" s="1844"/>
      <c r="N668" s="1844"/>
      <c r="O668" s="1844"/>
      <c r="P668" s="1844"/>
      <c r="Q668" s="1844"/>
      <c r="R668" s="3649"/>
      <c r="S668" s="2883"/>
      <c r="T668" s="2883"/>
      <c r="U668" s="1844"/>
      <c r="V668" s="1846"/>
    </row>
    <row r="669" spans="1:22" s="1842" customFormat="1">
      <c r="A669" s="1843"/>
      <c r="B669" s="1843"/>
      <c r="C669" s="1844"/>
      <c r="D669" s="1844"/>
      <c r="E669" s="1844"/>
      <c r="F669" s="1845"/>
      <c r="G669" s="1845"/>
      <c r="H669" s="1844"/>
      <c r="I669" s="1844"/>
      <c r="J669" s="1844"/>
      <c r="K669" s="1844"/>
      <c r="L669" s="1844"/>
      <c r="M669" s="1844"/>
      <c r="N669" s="1844"/>
      <c r="O669" s="1844"/>
      <c r="P669" s="1844"/>
      <c r="Q669" s="1844"/>
      <c r="R669" s="3649"/>
      <c r="S669" s="2883"/>
      <c r="T669" s="2883"/>
      <c r="U669" s="1844"/>
      <c r="V669" s="1846"/>
    </row>
    <row r="670" spans="1:22" s="1842" customFormat="1">
      <c r="A670" s="1843"/>
      <c r="B670" s="1843"/>
      <c r="C670" s="1844"/>
      <c r="D670" s="1844"/>
      <c r="E670" s="1844"/>
      <c r="F670" s="1845"/>
      <c r="G670" s="1845"/>
      <c r="H670" s="1844"/>
      <c r="I670" s="1844"/>
      <c r="J670" s="1844"/>
      <c r="K670" s="1844"/>
      <c r="L670" s="1844"/>
      <c r="M670" s="1844"/>
      <c r="N670" s="1844"/>
      <c r="O670" s="1844"/>
      <c r="P670" s="1844"/>
      <c r="Q670" s="1844"/>
      <c r="R670" s="3649"/>
      <c r="S670" s="2883"/>
      <c r="T670" s="2883"/>
      <c r="U670" s="1844"/>
      <c r="V670" s="1846"/>
    </row>
    <row r="671" spans="1:22" s="1842" customFormat="1">
      <c r="A671" s="1843"/>
      <c r="B671" s="1843"/>
      <c r="C671" s="1844"/>
      <c r="D671" s="1844"/>
      <c r="E671" s="1844"/>
      <c r="F671" s="1845"/>
      <c r="G671" s="1845"/>
      <c r="H671" s="1844"/>
      <c r="I671" s="1844"/>
      <c r="J671" s="1844"/>
      <c r="K671" s="1844"/>
      <c r="L671" s="1844"/>
      <c r="M671" s="1844"/>
      <c r="N671" s="1844"/>
      <c r="O671" s="1844"/>
      <c r="P671" s="1844"/>
      <c r="Q671" s="1844"/>
      <c r="R671" s="3649"/>
      <c r="S671" s="2883"/>
      <c r="T671" s="2883"/>
      <c r="U671" s="1844"/>
      <c r="V671" s="1846"/>
    </row>
    <row r="672" spans="1:22" s="1842" customFormat="1">
      <c r="A672" s="1843"/>
      <c r="B672" s="1843"/>
      <c r="C672" s="1844"/>
      <c r="D672" s="1844"/>
      <c r="E672" s="1844"/>
      <c r="F672" s="1845"/>
      <c r="G672" s="1845"/>
      <c r="H672" s="1844"/>
      <c r="I672" s="1844"/>
      <c r="J672" s="1844"/>
      <c r="K672" s="1844"/>
      <c r="L672" s="1844"/>
      <c r="M672" s="1844"/>
      <c r="N672" s="1844"/>
      <c r="O672" s="1844"/>
      <c r="P672" s="1844"/>
      <c r="Q672" s="1844"/>
      <c r="R672" s="3649"/>
      <c r="S672" s="2883"/>
      <c r="T672" s="2883"/>
      <c r="U672" s="1844"/>
      <c r="V672" s="1846"/>
    </row>
    <row r="673" spans="1:22" s="1842" customFormat="1">
      <c r="A673" s="1843"/>
      <c r="B673" s="1843"/>
      <c r="C673" s="1844"/>
      <c r="D673" s="1844"/>
      <c r="E673" s="1844"/>
      <c r="F673" s="1845"/>
      <c r="G673" s="1845"/>
      <c r="H673" s="1844"/>
      <c r="I673" s="1844"/>
      <c r="J673" s="1844"/>
      <c r="K673" s="1844"/>
      <c r="L673" s="1844"/>
      <c r="M673" s="1844"/>
      <c r="N673" s="1844"/>
      <c r="O673" s="1844"/>
      <c r="P673" s="1844"/>
      <c r="Q673" s="1844"/>
      <c r="R673" s="3649"/>
      <c r="S673" s="2883"/>
      <c r="T673" s="2883"/>
      <c r="U673" s="1844"/>
      <c r="V673" s="1846"/>
    </row>
    <row r="674" spans="1:22" s="1842" customFormat="1">
      <c r="A674" s="1843"/>
      <c r="B674" s="1843"/>
      <c r="C674" s="1844"/>
      <c r="D674" s="1844"/>
      <c r="E674" s="1844"/>
      <c r="F674" s="1845"/>
      <c r="G674" s="1845"/>
      <c r="H674" s="1844"/>
      <c r="I674" s="1844"/>
      <c r="J674" s="1844"/>
      <c r="K674" s="1844"/>
      <c r="L674" s="1844"/>
      <c r="M674" s="1844"/>
      <c r="N674" s="1844"/>
      <c r="O674" s="1844"/>
      <c r="P674" s="1844"/>
      <c r="Q674" s="1844"/>
      <c r="R674" s="3649"/>
      <c r="S674" s="2883"/>
      <c r="T674" s="2883"/>
      <c r="U674" s="1844"/>
      <c r="V674" s="1846"/>
    </row>
    <row r="675" spans="1:22" s="1842" customFormat="1">
      <c r="A675" s="1843"/>
      <c r="B675" s="1843"/>
      <c r="C675" s="1844"/>
      <c r="D675" s="1844"/>
      <c r="E675" s="1844"/>
      <c r="F675" s="1845"/>
      <c r="G675" s="1845"/>
      <c r="H675" s="1844"/>
      <c r="I675" s="1844"/>
      <c r="J675" s="1844"/>
      <c r="K675" s="1844"/>
      <c r="L675" s="1844"/>
      <c r="M675" s="1844"/>
      <c r="N675" s="1844"/>
      <c r="O675" s="1844"/>
      <c r="P675" s="1844"/>
      <c r="Q675" s="1844"/>
      <c r="R675" s="3649"/>
      <c r="S675" s="2883"/>
      <c r="T675" s="2883"/>
      <c r="U675" s="1844"/>
      <c r="V675" s="1846"/>
    </row>
    <row r="676" spans="1:22" s="1842" customFormat="1">
      <c r="A676" s="1843"/>
      <c r="B676" s="1843"/>
      <c r="C676" s="1844"/>
      <c r="D676" s="1844"/>
      <c r="E676" s="1844"/>
      <c r="F676" s="1845"/>
      <c r="G676" s="1845"/>
      <c r="H676" s="1844"/>
      <c r="I676" s="1844"/>
      <c r="J676" s="1844"/>
      <c r="K676" s="1844"/>
      <c r="L676" s="1844"/>
      <c r="M676" s="1844"/>
      <c r="N676" s="1844"/>
      <c r="O676" s="1844"/>
      <c r="P676" s="1844"/>
      <c r="Q676" s="1844"/>
      <c r="R676" s="3649"/>
      <c r="S676" s="2883"/>
      <c r="T676" s="2883"/>
      <c r="U676" s="1844"/>
      <c r="V676" s="1846"/>
    </row>
    <row r="677" spans="1:22" s="1842" customFormat="1">
      <c r="A677" s="1843"/>
      <c r="B677" s="1843"/>
      <c r="C677" s="1844"/>
      <c r="D677" s="1844"/>
      <c r="E677" s="1844"/>
      <c r="F677" s="1845"/>
      <c r="G677" s="1845"/>
      <c r="H677" s="1844"/>
      <c r="I677" s="1844"/>
      <c r="J677" s="1844"/>
      <c r="K677" s="1844"/>
      <c r="L677" s="1844"/>
      <c r="M677" s="1844"/>
      <c r="N677" s="1844"/>
      <c r="O677" s="1844"/>
      <c r="P677" s="1844"/>
      <c r="Q677" s="1844"/>
      <c r="R677" s="3649"/>
      <c r="S677" s="2883"/>
      <c r="T677" s="2883"/>
      <c r="U677" s="1844"/>
      <c r="V677" s="1846"/>
    </row>
    <row r="678" spans="1:22" s="1842" customFormat="1">
      <c r="A678" s="1843"/>
      <c r="B678" s="1843"/>
      <c r="C678" s="1844"/>
      <c r="D678" s="1844"/>
      <c r="E678" s="1844"/>
      <c r="F678" s="1845"/>
      <c r="G678" s="1845"/>
      <c r="H678" s="1844"/>
      <c r="I678" s="1844"/>
      <c r="J678" s="1844"/>
      <c r="K678" s="1844"/>
      <c r="L678" s="1844"/>
      <c r="M678" s="1844"/>
      <c r="N678" s="1844"/>
      <c r="O678" s="1844"/>
      <c r="P678" s="1844"/>
      <c r="Q678" s="1844"/>
      <c r="R678" s="3649"/>
      <c r="S678" s="2883"/>
      <c r="T678" s="2883"/>
      <c r="U678" s="1844"/>
      <c r="V678" s="1846"/>
    </row>
    <row r="679" spans="1:22" s="1842" customFormat="1">
      <c r="A679" s="1843"/>
      <c r="B679" s="1843"/>
      <c r="C679" s="1844"/>
      <c r="D679" s="1844"/>
      <c r="E679" s="1844"/>
      <c r="F679" s="1845"/>
      <c r="G679" s="1845"/>
      <c r="H679" s="1844"/>
      <c r="I679" s="1844"/>
      <c r="J679" s="1844"/>
      <c r="K679" s="1844"/>
      <c r="L679" s="1844"/>
      <c r="M679" s="1844"/>
      <c r="N679" s="1844"/>
      <c r="O679" s="1844"/>
      <c r="P679" s="1844"/>
      <c r="Q679" s="1844"/>
      <c r="R679" s="3649"/>
      <c r="S679" s="2883"/>
      <c r="T679" s="2883"/>
      <c r="U679" s="1844"/>
      <c r="V679" s="1846"/>
    </row>
    <row r="680" spans="1:22" s="1842" customFormat="1">
      <c r="A680" s="1843"/>
      <c r="B680" s="1843"/>
      <c r="C680" s="1844"/>
      <c r="D680" s="1844"/>
      <c r="E680" s="1844"/>
      <c r="F680" s="1845"/>
      <c r="G680" s="1845"/>
      <c r="H680" s="1844"/>
      <c r="I680" s="1844"/>
      <c r="J680" s="1844"/>
      <c r="K680" s="1844"/>
      <c r="L680" s="1844"/>
      <c r="M680" s="1844"/>
      <c r="N680" s="1844"/>
      <c r="O680" s="1844"/>
      <c r="P680" s="1844"/>
      <c r="Q680" s="1844"/>
      <c r="R680" s="3649"/>
      <c r="S680" s="2883"/>
      <c r="T680" s="2883"/>
      <c r="U680" s="1844"/>
      <c r="V680" s="1846"/>
    </row>
    <row r="681" spans="1:22" s="1842" customFormat="1">
      <c r="A681" s="1843"/>
      <c r="B681" s="1843"/>
      <c r="C681" s="1844"/>
      <c r="D681" s="1844"/>
      <c r="E681" s="1844"/>
      <c r="F681" s="1845"/>
      <c r="G681" s="1845"/>
      <c r="H681" s="1844"/>
      <c r="I681" s="1844"/>
      <c r="J681" s="1844"/>
      <c r="K681" s="1844"/>
      <c r="L681" s="1844"/>
      <c r="M681" s="1844"/>
      <c r="N681" s="1844"/>
      <c r="O681" s="1844"/>
      <c r="P681" s="1844"/>
      <c r="Q681" s="1844"/>
      <c r="R681" s="3649"/>
      <c r="S681" s="2883"/>
      <c r="T681" s="2883"/>
      <c r="U681" s="1844"/>
      <c r="V681" s="1846"/>
    </row>
    <row r="682" spans="1:22" s="1842" customFormat="1">
      <c r="A682" s="1843"/>
      <c r="B682" s="1843"/>
      <c r="C682" s="1844"/>
      <c r="D682" s="1844"/>
      <c r="E682" s="1844"/>
      <c r="F682" s="1845"/>
      <c r="G682" s="1845"/>
      <c r="H682" s="1844"/>
      <c r="I682" s="1844"/>
      <c r="J682" s="1844"/>
      <c r="K682" s="1844"/>
      <c r="L682" s="1844"/>
      <c r="M682" s="1844"/>
      <c r="N682" s="1844"/>
      <c r="O682" s="1844"/>
      <c r="P682" s="1844"/>
      <c r="Q682" s="1844"/>
      <c r="R682" s="3649"/>
      <c r="S682" s="2883"/>
      <c r="T682" s="2883"/>
      <c r="U682" s="1844"/>
      <c r="V682" s="1846"/>
    </row>
    <row r="683" spans="1:22" s="1842" customFormat="1">
      <c r="A683" s="1843"/>
      <c r="B683" s="1843"/>
      <c r="C683" s="1844"/>
      <c r="D683" s="1844"/>
      <c r="E683" s="1844"/>
      <c r="F683" s="1845"/>
      <c r="G683" s="1845"/>
      <c r="H683" s="1844"/>
      <c r="I683" s="1844"/>
      <c r="J683" s="1844"/>
      <c r="K683" s="1844"/>
      <c r="L683" s="1844"/>
      <c r="M683" s="1844"/>
      <c r="N683" s="1844"/>
      <c r="O683" s="1844"/>
      <c r="P683" s="1844"/>
      <c r="Q683" s="1844"/>
      <c r="R683" s="3649"/>
      <c r="S683" s="2883"/>
      <c r="T683" s="2883"/>
      <c r="U683" s="1844"/>
      <c r="V683" s="1846"/>
    </row>
    <row r="684" spans="1:22" s="1842" customFormat="1">
      <c r="A684" s="1843"/>
      <c r="B684" s="1843"/>
      <c r="C684" s="1844"/>
      <c r="D684" s="1844"/>
      <c r="E684" s="1844"/>
      <c r="F684" s="1845"/>
      <c r="G684" s="1845"/>
      <c r="H684" s="1844"/>
      <c r="I684" s="1844"/>
      <c r="J684" s="1844"/>
      <c r="K684" s="1844"/>
      <c r="L684" s="1844"/>
      <c r="M684" s="1844"/>
      <c r="N684" s="1844"/>
      <c r="O684" s="1844"/>
      <c r="P684" s="1844"/>
      <c r="Q684" s="1844"/>
      <c r="R684" s="3649"/>
      <c r="S684" s="2883"/>
      <c r="T684" s="2883"/>
      <c r="U684" s="1844"/>
      <c r="V684" s="1846"/>
    </row>
    <row r="685" spans="1:22" s="1842" customFormat="1">
      <c r="A685" s="1843"/>
      <c r="B685" s="1843"/>
      <c r="C685" s="1844"/>
      <c r="D685" s="1844"/>
      <c r="E685" s="1844"/>
      <c r="F685" s="1845"/>
      <c r="G685" s="1845"/>
      <c r="H685" s="1844"/>
      <c r="I685" s="1844"/>
      <c r="J685" s="1844"/>
      <c r="K685" s="1844"/>
      <c r="L685" s="1844"/>
      <c r="M685" s="1844"/>
      <c r="N685" s="1844"/>
      <c r="O685" s="1844"/>
      <c r="P685" s="1844"/>
      <c r="Q685" s="1844"/>
      <c r="R685" s="3649"/>
      <c r="S685" s="2883"/>
      <c r="T685" s="2883"/>
      <c r="U685" s="1844"/>
      <c r="V685" s="1846"/>
    </row>
    <row r="686" spans="1:22" s="1842" customFormat="1">
      <c r="A686" s="1843"/>
      <c r="B686" s="1843"/>
      <c r="C686" s="1844"/>
      <c r="D686" s="1844"/>
      <c r="E686" s="1844"/>
      <c r="F686" s="1845"/>
      <c r="G686" s="1845"/>
      <c r="H686" s="1844"/>
      <c r="I686" s="1844"/>
      <c r="J686" s="1844"/>
      <c r="K686" s="1844"/>
      <c r="L686" s="1844"/>
      <c r="M686" s="1844"/>
      <c r="N686" s="1844"/>
      <c r="O686" s="1844"/>
      <c r="P686" s="1844"/>
      <c r="Q686" s="1844"/>
      <c r="R686" s="3649"/>
      <c r="S686" s="2883"/>
      <c r="T686" s="2883"/>
      <c r="U686" s="1844"/>
      <c r="V686" s="1846"/>
    </row>
    <row r="687" spans="1:22" s="1842" customFormat="1">
      <c r="A687" s="1843"/>
      <c r="B687" s="1843"/>
      <c r="C687" s="1844"/>
      <c r="D687" s="1844"/>
      <c r="E687" s="1844"/>
      <c r="F687" s="1845"/>
      <c r="G687" s="1845"/>
      <c r="H687" s="1844"/>
      <c r="I687" s="1844"/>
      <c r="J687" s="1844"/>
      <c r="K687" s="1844"/>
      <c r="L687" s="1844"/>
      <c r="M687" s="1844"/>
      <c r="N687" s="1844"/>
      <c r="O687" s="1844"/>
      <c r="P687" s="1844"/>
      <c r="Q687" s="1844"/>
      <c r="R687" s="3649"/>
      <c r="S687" s="2883"/>
      <c r="T687" s="2883"/>
      <c r="U687" s="1844"/>
      <c r="V687" s="1846"/>
    </row>
    <row r="688" spans="1:22" s="1842" customFormat="1">
      <c r="A688" s="1843"/>
      <c r="B688" s="1843"/>
      <c r="C688" s="1844"/>
      <c r="D688" s="1844"/>
      <c r="E688" s="1844"/>
      <c r="F688" s="1845"/>
      <c r="G688" s="1845"/>
      <c r="H688" s="1844"/>
      <c r="I688" s="1844"/>
      <c r="J688" s="1844"/>
      <c r="K688" s="1844"/>
      <c r="L688" s="1844"/>
      <c r="M688" s="1844"/>
      <c r="N688" s="1844"/>
      <c r="O688" s="1844"/>
      <c r="P688" s="1844"/>
      <c r="Q688" s="1844"/>
      <c r="R688" s="3649"/>
      <c r="S688" s="2883"/>
      <c r="T688" s="2883"/>
      <c r="U688" s="1844"/>
      <c r="V688" s="1846"/>
    </row>
    <row r="689" spans="1:22" s="1842" customFormat="1">
      <c r="A689" s="1843"/>
      <c r="B689" s="1843"/>
      <c r="C689" s="1844"/>
      <c r="D689" s="1844"/>
      <c r="E689" s="1844"/>
      <c r="F689" s="1845"/>
      <c r="G689" s="1845"/>
      <c r="H689" s="1844"/>
      <c r="I689" s="1844"/>
      <c r="J689" s="1844"/>
      <c r="K689" s="1844"/>
      <c r="L689" s="1844"/>
      <c r="M689" s="1844"/>
      <c r="N689" s="1844"/>
      <c r="O689" s="1844"/>
      <c r="P689" s="1844"/>
      <c r="Q689" s="1844"/>
      <c r="R689" s="3649"/>
      <c r="S689" s="2883"/>
      <c r="T689" s="2883"/>
      <c r="U689" s="1844"/>
      <c r="V689" s="1846"/>
    </row>
    <row r="690" spans="1:22" s="1842" customFormat="1">
      <c r="A690" s="1843"/>
      <c r="B690" s="1843"/>
      <c r="C690" s="1844"/>
      <c r="D690" s="1844"/>
      <c r="E690" s="1844"/>
      <c r="F690" s="1845"/>
      <c r="G690" s="1845"/>
      <c r="H690" s="1844"/>
      <c r="I690" s="1844"/>
      <c r="J690" s="1844"/>
      <c r="K690" s="1844"/>
      <c r="L690" s="1844"/>
      <c r="M690" s="1844"/>
      <c r="N690" s="1844"/>
      <c r="O690" s="1844"/>
      <c r="P690" s="1844"/>
      <c r="Q690" s="1844"/>
      <c r="R690" s="3649"/>
      <c r="S690" s="2883"/>
      <c r="T690" s="2883"/>
      <c r="U690" s="1844"/>
      <c r="V690" s="1846"/>
    </row>
    <row r="691" spans="1:22" s="1842" customFormat="1">
      <c r="A691" s="1843"/>
      <c r="B691" s="1843"/>
      <c r="C691" s="1844"/>
      <c r="D691" s="1844"/>
      <c r="E691" s="1844"/>
      <c r="F691" s="1845"/>
      <c r="G691" s="1845"/>
      <c r="H691" s="1844"/>
      <c r="I691" s="1844"/>
      <c r="J691" s="1844"/>
      <c r="K691" s="1844"/>
      <c r="L691" s="1844"/>
      <c r="M691" s="1844"/>
      <c r="N691" s="1844"/>
      <c r="O691" s="1844"/>
      <c r="P691" s="1844"/>
      <c r="Q691" s="1844"/>
      <c r="R691" s="3649"/>
      <c r="S691" s="2883"/>
      <c r="T691" s="2883"/>
      <c r="U691" s="1844"/>
      <c r="V691" s="1846"/>
    </row>
    <row r="692" spans="1:22" s="1842" customFormat="1">
      <c r="A692" s="1843"/>
      <c r="B692" s="1843"/>
      <c r="C692" s="1844"/>
      <c r="D692" s="1844"/>
      <c r="E692" s="1844"/>
      <c r="F692" s="1845"/>
      <c r="G692" s="1845"/>
      <c r="H692" s="1844"/>
      <c r="I692" s="1844"/>
      <c r="J692" s="1844"/>
      <c r="K692" s="1844"/>
      <c r="L692" s="1844"/>
      <c r="M692" s="1844"/>
      <c r="N692" s="1844"/>
      <c r="O692" s="1844"/>
      <c r="P692" s="1844"/>
      <c r="Q692" s="1844"/>
      <c r="R692" s="3649"/>
      <c r="S692" s="2883"/>
      <c r="T692" s="2883"/>
      <c r="U692" s="1844"/>
      <c r="V692" s="1846"/>
    </row>
    <row r="693" spans="1:22" s="1842" customFormat="1">
      <c r="A693" s="1843"/>
      <c r="B693" s="1843"/>
      <c r="C693" s="1844"/>
      <c r="D693" s="1844"/>
      <c r="E693" s="1844"/>
      <c r="F693" s="1845"/>
      <c r="G693" s="1845"/>
      <c r="H693" s="1844"/>
      <c r="I693" s="1844"/>
      <c r="J693" s="1844"/>
      <c r="K693" s="1844"/>
      <c r="L693" s="1844"/>
      <c r="M693" s="1844"/>
      <c r="N693" s="1844"/>
      <c r="O693" s="1844"/>
      <c r="P693" s="1844"/>
      <c r="Q693" s="1844"/>
      <c r="R693" s="3649"/>
      <c r="S693" s="2883"/>
      <c r="T693" s="2883"/>
      <c r="U693" s="1844"/>
      <c r="V693" s="1846"/>
    </row>
    <row r="694" spans="1:22" s="1842" customFormat="1">
      <c r="A694" s="1843"/>
      <c r="B694" s="1843"/>
      <c r="C694" s="1844"/>
      <c r="D694" s="1844"/>
      <c r="E694" s="1844"/>
      <c r="F694" s="1845"/>
      <c r="G694" s="1845"/>
      <c r="H694" s="1844"/>
      <c r="I694" s="1844"/>
      <c r="J694" s="1844"/>
      <c r="K694" s="1844"/>
      <c r="L694" s="1844"/>
      <c r="M694" s="1844"/>
      <c r="N694" s="1844"/>
      <c r="O694" s="1844"/>
      <c r="P694" s="1844"/>
      <c r="Q694" s="1844"/>
      <c r="R694" s="3649"/>
      <c r="S694" s="2883"/>
      <c r="T694" s="2883"/>
      <c r="U694" s="1844"/>
      <c r="V694" s="1846"/>
    </row>
    <row r="695" spans="1:22" s="1842" customFormat="1">
      <c r="A695" s="1843"/>
      <c r="B695" s="1843"/>
      <c r="C695" s="1844"/>
      <c r="D695" s="1844"/>
      <c r="E695" s="1844"/>
      <c r="F695" s="1845"/>
      <c r="G695" s="1845"/>
      <c r="H695" s="1844"/>
      <c r="I695" s="1844"/>
      <c r="J695" s="1844"/>
      <c r="K695" s="1844"/>
      <c r="L695" s="1844"/>
      <c r="M695" s="1844"/>
      <c r="N695" s="1844"/>
      <c r="O695" s="1844"/>
      <c r="P695" s="1844"/>
      <c r="Q695" s="1844"/>
      <c r="R695" s="3649"/>
      <c r="S695" s="2883"/>
      <c r="T695" s="2883"/>
      <c r="U695" s="1844"/>
      <c r="V695" s="1846"/>
    </row>
    <row r="696" spans="1:22" s="1842" customFormat="1">
      <c r="A696" s="1843"/>
      <c r="B696" s="1843"/>
      <c r="C696" s="1844"/>
      <c r="D696" s="1844"/>
      <c r="E696" s="1844"/>
      <c r="F696" s="1845"/>
      <c r="G696" s="1845"/>
      <c r="H696" s="1844"/>
      <c r="I696" s="1844"/>
      <c r="J696" s="1844"/>
      <c r="K696" s="1844"/>
      <c r="L696" s="1844"/>
      <c r="M696" s="1844"/>
      <c r="N696" s="1844"/>
      <c r="O696" s="1844"/>
      <c r="P696" s="1844"/>
      <c r="Q696" s="1844"/>
      <c r="R696" s="3649"/>
      <c r="S696" s="2883"/>
      <c r="T696" s="2883"/>
      <c r="U696" s="1844"/>
      <c r="V696" s="1846"/>
    </row>
    <row r="697" spans="1:22" s="1842" customFormat="1">
      <c r="A697" s="1843"/>
      <c r="B697" s="1843"/>
      <c r="C697" s="1844"/>
      <c r="D697" s="1844"/>
      <c r="E697" s="1844"/>
      <c r="F697" s="1845"/>
      <c r="G697" s="1845"/>
      <c r="H697" s="1844"/>
      <c r="I697" s="1844"/>
      <c r="J697" s="1844"/>
      <c r="K697" s="1844"/>
      <c r="L697" s="1844"/>
      <c r="M697" s="1844"/>
      <c r="N697" s="1844"/>
      <c r="O697" s="1844"/>
      <c r="P697" s="1844"/>
      <c r="Q697" s="1844"/>
      <c r="R697" s="3649"/>
      <c r="S697" s="2883"/>
      <c r="T697" s="2883"/>
      <c r="U697" s="1844"/>
      <c r="V697" s="1846"/>
    </row>
    <row r="698" spans="1:22" s="1842" customFormat="1">
      <c r="A698" s="1843"/>
      <c r="B698" s="1843"/>
      <c r="C698" s="1844"/>
      <c r="D698" s="1844"/>
      <c r="E698" s="1844"/>
      <c r="F698" s="1845"/>
      <c r="G698" s="1845"/>
      <c r="H698" s="1844"/>
      <c r="I698" s="1844"/>
      <c r="J698" s="1844"/>
      <c r="K698" s="1844"/>
      <c r="L698" s="1844"/>
      <c r="M698" s="1844"/>
      <c r="N698" s="1844"/>
      <c r="O698" s="1844"/>
      <c r="P698" s="1844"/>
      <c r="Q698" s="1844"/>
      <c r="R698" s="3649"/>
      <c r="S698" s="2883"/>
      <c r="T698" s="2883"/>
      <c r="U698" s="1844"/>
      <c r="V698" s="1846"/>
    </row>
    <row r="699" spans="1:22" s="1842" customFormat="1">
      <c r="A699" s="1843"/>
      <c r="B699" s="1843"/>
      <c r="C699" s="1844"/>
      <c r="D699" s="1844"/>
      <c r="E699" s="1844"/>
      <c r="F699" s="1845"/>
      <c r="G699" s="1845"/>
      <c r="H699" s="1844"/>
      <c r="I699" s="1844"/>
      <c r="J699" s="1844"/>
      <c r="K699" s="1844"/>
      <c r="L699" s="1844"/>
      <c r="M699" s="1844"/>
      <c r="N699" s="1844"/>
      <c r="O699" s="1844"/>
      <c r="P699" s="1844"/>
      <c r="Q699" s="1844"/>
      <c r="R699" s="3649"/>
      <c r="S699" s="2883"/>
      <c r="T699" s="2883"/>
      <c r="U699" s="1844"/>
      <c r="V699" s="1846"/>
    </row>
    <row r="700" spans="1:22" s="1842" customFormat="1">
      <c r="A700" s="1843"/>
      <c r="B700" s="1843"/>
      <c r="C700" s="1844"/>
      <c r="D700" s="1844"/>
      <c r="E700" s="1844"/>
      <c r="F700" s="1845"/>
      <c r="G700" s="1845"/>
      <c r="H700" s="1844"/>
      <c r="I700" s="1844"/>
      <c r="J700" s="1844"/>
      <c r="K700" s="1844"/>
      <c r="L700" s="1844"/>
      <c r="M700" s="1844"/>
      <c r="N700" s="1844"/>
      <c r="O700" s="1844"/>
      <c r="P700" s="1844"/>
      <c r="Q700" s="1844"/>
      <c r="R700" s="3649"/>
      <c r="S700" s="2883"/>
      <c r="T700" s="2883"/>
      <c r="U700" s="1844"/>
      <c r="V700" s="1846"/>
    </row>
    <row r="701" spans="1:22" s="1842" customFormat="1">
      <c r="A701" s="1843"/>
      <c r="B701" s="1843"/>
      <c r="C701" s="1844"/>
      <c r="D701" s="1844"/>
      <c r="E701" s="1844"/>
      <c r="F701" s="1845"/>
      <c r="G701" s="1845"/>
      <c r="H701" s="1844"/>
      <c r="I701" s="1844"/>
      <c r="J701" s="1844"/>
      <c r="K701" s="1844"/>
      <c r="L701" s="1844"/>
      <c r="M701" s="1844"/>
      <c r="N701" s="1844"/>
      <c r="O701" s="1844"/>
      <c r="P701" s="1844"/>
      <c r="Q701" s="1844"/>
      <c r="R701" s="3649"/>
      <c r="S701" s="2883"/>
      <c r="T701" s="2883"/>
      <c r="U701" s="1844"/>
      <c r="V701" s="1846"/>
    </row>
    <row r="702" spans="1:22" s="1842" customFormat="1">
      <c r="A702" s="1843"/>
      <c r="B702" s="1843"/>
      <c r="C702" s="1844"/>
      <c r="D702" s="1844"/>
      <c r="E702" s="1844"/>
      <c r="F702" s="1845"/>
      <c r="G702" s="1845"/>
      <c r="H702" s="1844"/>
      <c r="I702" s="1844"/>
      <c r="J702" s="1844"/>
      <c r="K702" s="1844"/>
      <c r="L702" s="1844"/>
      <c r="M702" s="1844"/>
      <c r="N702" s="1844"/>
      <c r="O702" s="1844"/>
      <c r="P702" s="1844"/>
      <c r="Q702" s="1844"/>
      <c r="R702" s="3649"/>
      <c r="S702" s="2883"/>
      <c r="T702" s="2883"/>
      <c r="U702" s="1844"/>
      <c r="V702" s="1846"/>
    </row>
    <row r="703" spans="1:22" s="1842" customFormat="1">
      <c r="A703" s="1843"/>
      <c r="B703" s="1843"/>
      <c r="C703" s="1844"/>
      <c r="D703" s="1844"/>
      <c r="E703" s="1844"/>
      <c r="F703" s="1845"/>
      <c r="G703" s="1845"/>
      <c r="H703" s="1844"/>
      <c r="I703" s="1844"/>
      <c r="J703" s="1844"/>
      <c r="K703" s="1844"/>
      <c r="L703" s="1844"/>
      <c r="M703" s="1844"/>
      <c r="N703" s="1844"/>
      <c r="O703" s="1844"/>
      <c r="P703" s="1844"/>
      <c r="Q703" s="1844"/>
      <c r="R703" s="3649"/>
      <c r="S703" s="2883"/>
      <c r="T703" s="2883"/>
      <c r="U703" s="1844"/>
      <c r="V703" s="1846"/>
    </row>
    <row r="704" spans="1:22" s="1842" customFormat="1">
      <c r="A704" s="1843"/>
      <c r="B704" s="1843"/>
      <c r="C704" s="1844"/>
      <c r="D704" s="1844"/>
      <c r="E704" s="1844"/>
      <c r="F704" s="1845"/>
      <c r="G704" s="1845"/>
      <c r="H704" s="1844"/>
      <c r="I704" s="1844"/>
      <c r="J704" s="1844"/>
      <c r="K704" s="1844"/>
      <c r="L704" s="1844"/>
      <c r="M704" s="1844"/>
      <c r="N704" s="1844"/>
      <c r="O704" s="1844"/>
      <c r="P704" s="1844"/>
      <c r="Q704" s="1844"/>
      <c r="R704" s="3649"/>
      <c r="S704" s="2883"/>
      <c r="T704" s="2883"/>
      <c r="U704" s="1844"/>
      <c r="V704" s="1846"/>
    </row>
    <row r="705" spans="1:22" s="1842" customFormat="1">
      <c r="A705" s="1843"/>
      <c r="B705" s="1843"/>
      <c r="C705" s="1844"/>
      <c r="D705" s="1844"/>
      <c r="E705" s="1844"/>
      <c r="F705" s="1845"/>
      <c r="G705" s="1845"/>
      <c r="H705" s="1844"/>
      <c r="I705" s="1844"/>
      <c r="J705" s="1844"/>
      <c r="K705" s="1844"/>
      <c r="L705" s="1844"/>
      <c r="M705" s="1844"/>
      <c r="N705" s="1844"/>
      <c r="O705" s="1844"/>
      <c r="P705" s="1844"/>
      <c r="Q705" s="1844"/>
      <c r="R705" s="3649"/>
      <c r="S705" s="2883"/>
      <c r="T705" s="2883"/>
      <c r="U705" s="1844"/>
      <c r="V705" s="1846"/>
    </row>
    <row r="706" spans="1:22" s="1842" customFormat="1">
      <c r="A706" s="1843"/>
      <c r="B706" s="1843"/>
      <c r="C706" s="1844"/>
      <c r="D706" s="1844"/>
      <c r="E706" s="1844"/>
      <c r="F706" s="1845"/>
      <c r="G706" s="1845"/>
      <c r="H706" s="1844"/>
      <c r="I706" s="1844"/>
      <c r="J706" s="1844"/>
      <c r="K706" s="1844"/>
      <c r="L706" s="1844"/>
      <c r="M706" s="1844"/>
      <c r="N706" s="1844"/>
      <c r="O706" s="1844"/>
      <c r="P706" s="1844"/>
      <c r="Q706" s="1844"/>
      <c r="R706" s="3649"/>
      <c r="S706" s="2883"/>
      <c r="T706" s="2883"/>
      <c r="U706" s="1844"/>
      <c r="V706" s="1846"/>
    </row>
    <row r="707" spans="1:22" s="1842" customFormat="1">
      <c r="A707" s="1843"/>
      <c r="B707" s="1843"/>
      <c r="C707" s="1844"/>
      <c r="D707" s="1844"/>
      <c r="E707" s="1844"/>
      <c r="F707" s="1845"/>
      <c r="G707" s="1845"/>
      <c r="H707" s="1844"/>
      <c r="I707" s="1844"/>
      <c r="J707" s="1844"/>
      <c r="K707" s="1844"/>
      <c r="L707" s="1844"/>
      <c r="M707" s="1844"/>
      <c r="N707" s="1844"/>
      <c r="O707" s="1844"/>
      <c r="P707" s="1844"/>
      <c r="Q707" s="1844"/>
      <c r="R707" s="3649"/>
      <c r="S707" s="2883"/>
      <c r="T707" s="2883"/>
      <c r="U707" s="1844"/>
      <c r="V707" s="1846"/>
    </row>
    <row r="708" spans="1:22" s="1842" customFormat="1">
      <c r="A708" s="1843"/>
      <c r="B708" s="1843"/>
      <c r="C708" s="1844"/>
      <c r="D708" s="1844"/>
      <c r="E708" s="1844"/>
      <c r="F708" s="1845"/>
      <c r="G708" s="1845"/>
      <c r="H708" s="1844"/>
      <c r="I708" s="1844"/>
      <c r="J708" s="1844"/>
      <c r="K708" s="1844"/>
      <c r="L708" s="1844"/>
      <c r="M708" s="1844"/>
      <c r="N708" s="1844"/>
      <c r="O708" s="1844"/>
      <c r="P708" s="1844"/>
      <c r="Q708" s="1844"/>
      <c r="R708" s="3649"/>
      <c r="S708" s="2883"/>
      <c r="T708" s="2883"/>
      <c r="U708" s="1844"/>
      <c r="V708" s="1846"/>
    </row>
    <row r="709" spans="1:22" s="1842" customFormat="1">
      <c r="A709" s="1843"/>
      <c r="B709" s="1843"/>
      <c r="C709" s="1844"/>
      <c r="D709" s="1844"/>
      <c r="E709" s="1844"/>
      <c r="F709" s="1845"/>
      <c r="G709" s="1845"/>
      <c r="H709" s="1844"/>
      <c r="I709" s="1844"/>
      <c r="J709" s="1844"/>
      <c r="K709" s="1844"/>
      <c r="L709" s="1844"/>
      <c r="M709" s="1844"/>
      <c r="N709" s="1844"/>
      <c r="O709" s="1844"/>
      <c r="P709" s="1844"/>
      <c r="Q709" s="1844"/>
      <c r="R709" s="3649"/>
      <c r="S709" s="2883"/>
      <c r="T709" s="2883"/>
      <c r="U709" s="1844"/>
      <c r="V709" s="1846"/>
    </row>
    <row r="710" spans="1:22" s="1842" customFormat="1">
      <c r="A710" s="1843"/>
      <c r="B710" s="1843"/>
      <c r="C710" s="1844"/>
      <c r="D710" s="1844"/>
      <c r="E710" s="1844"/>
      <c r="F710" s="1845"/>
      <c r="G710" s="1845"/>
      <c r="H710" s="1844"/>
      <c r="I710" s="1844"/>
      <c r="J710" s="1844"/>
      <c r="K710" s="1844"/>
      <c r="L710" s="1844"/>
      <c r="M710" s="1844"/>
      <c r="N710" s="1844"/>
      <c r="O710" s="1844"/>
      <c r="P710" s="1844"/>
      <c r="Q710" s="1844"/>
      <c r="R710" s="3649"/>
      <c r="S710" s="2883"/>
      <c r="T710" s="2883"/>
      <c r="U710" s="1844"/>
      <c r="V710" s="1846"/>
    </row>
    <row r="711" spans="1:22" s="1842" customFormat="1">
      <c r="A711" s="1843"/>
      <c r="B711" s="1843"/>
      <c r="C711" s="1844"/>
      <c r="D711" s="1844"/>
      <c r="E711" s="1844"/>
      <c r="F711" s="1845"/>
      <c r="G711" s="1845"/>
      <c r="H711" s="1844"/>
      <c r="I711" s="1844"/>
      <c r="J711" s="1844"/>
      <c r="K711" s="1844"/>
      <c r="L711" s="1844"/>
      <c r="M711" s="1844"/>
      <c r="N711" s="1844"/>
      <c r="O711" s="1844"/>
      <c r="P711" s="1844"/>
      <c r="Q711" s="1844"/>
      <c r="R711" s="3649"/>
      <c r="S711" s="2883"/>
      <c r="T711" s="2883"/>
      <c r="U711" s="1844"/>
      <c r="V711" s="1846"/>
    </row>
    <row r="712" spans="1:22" s="1842" customFormat="1">
      <c r="A712" s="1843"/>
      <c r="B712" s="1843"/>
      <c r="C712" s="1844"/>
      <c r="D712" s="1844"/>
      <c r="E712" s="1844"/>
      <c r="F712" s="1845"/>
      <c r="G712" s="1845"/>
      <c r="H712" s="1844"/>
      <c r="I712" s="1844"/>
      <c r="J712" s="1844"/>
      <c r="K712" s="1844"/>
      <c r="L712" s="1844"/>
      <c r="M712" s="1844"/>
      <c r="N712" s="1844"/>
      <c r="O712" s="1844"/>
      <c r="P712" s="1844"/>
      <c r="Q712" s="1844"/>
      <c r="R712" s="3649"/>
      <c r="S712" s="2883"/>
      <c r="T712" s="2883"/>
      <c r="U712" s="1844"/>
      <c r="V712" s="1846"/>
    </row>
    <row r="713" spans="1:22" s="1842" customFormat="1">
      <c r="A713" s="1843"/>
      <c r="B713" s="1843"/>
      <c r="C713" s="1844"/>
      <c r="D713" s="1844"/>
      <c r="E713" s="1844"/>
      <c r="F713" s="1845"/>
      <c r="G713" s="1845"/>
      <c r="H713" s="1844"/>
      <c r="I713" s="1844"/>
      <c r="J713" s="1844"/>
      <c r="K713" s="1844"/>
      <c r="L713" s="1844"/>
      <c r="M713" s="1844"/>
      <c r="N713" s="1844"/>
      <c r="O713" s="1844"/>
      <c r="P713" s="1844"/>
      <c r="Q713" s="1844"/>
      <c r="R713" s="3649"/>
      <c r="S713" s="2883"/>
      <c r="T713" s="2883"/>
      <c r="U713" s="1844"/>
      <c r="V713" s="1846"/>
    </row>
    <row r="714" spans="1:22" s="1842" customFormat="1">
      <c r="A714" s="1843"/>
      <c r="B714" s="1843"/>
      <c r="C714" s="1844"/>
      <c r="D714" s="1844"/>
      <c r="E714" s="1844"/>
      <c r="F714" s="1845"/>
      <c r="G714" s="1845"/>
      <c r="H714" s="1844"/>
      <c r="I714" s="1844"/>
      <c r="J714" s="1844"/>
      <c r="K714" s="1844"/>
      <c r="L714" s="1844"/>
      <c r="M714" s="1844"/>
      <c r="N714" s="1844"/>
      <c r="O714" s="1844"/>
      <c r="P714" s="1844"/>
      <c r="Q714" s="1844"/>
      <c r="R714" s="3649"/>
      <c r="S714" s="2883"/>
      <c r="T714" s="2883"/>
      <c r="U714" s="1844"/>
      <c r="V714" s="1846"/>
    </row>
    <row r="715" spans="1:22" s="1842" customFormat="1">
      <c r="A715" s="1843"/>
      <c r="B715" s="1843"/>
      <c r="C715" s="1844"/>
      <c r="D715" s="1844"/>
      <c r="E715" s="1844"/>
      <c r="F715" s="1845"/>
      <c r="G715" s="1845"/>
      <c r="H715" s="1844"/>
      <c r="I715" s="1844"/>
      <c r="J715" s="1844"/>
      <c r="K715" s="1844"/>
      <c r="L715" s="1844"/>
      <c r="M715" s="1844"/>
      <c r="N715" s="1844"/>
      <c r="O715" s="1844"/>
      <c r="P715" s="1844"/>
      <c r="Q715" s="1844"/>
      <c r="R715" s="3649"/>
      <c r="S715" s="2883"/>
      <c r="T715" s="2883"/>
      <c r="U715" s="1844"/>
      <c r="V715" s="1846"/>
    </row>
    <row r="716" spans="1:22" s="1842" customFormat="1">
      <c r="A716" s="1843"/>
      <c r="B716" s="1843"/>
      <c r="C716" s="1844"/>
      <c r="D716" s="1844"/>
      <c r="E716" s="1844"/>
      <c r="F716" s="1845"/>
      <c r="G716" s="1845"/>
      <c r="H716" s="1844"/>
      <c r="I716" s="1844"/>
      <c r="J716" s="1844"/>
      <c r="K716" s="1844"/>
      <c r="L716" s="1844"/>
      <c r="M716" s="1844"/>
      <c r="N716" s="1844"/>
      <c r="O716" s="1844"/>
      <c r="P716" s="1844"/>
      <c r="Q716" s="1844"/>
      <c r="R716" s="3649"/>
      <c r="S716" s="2883"/>
      <c r="T716" s="2883"/>
      <c r="U716" s="1844"/>
      <c r="V716" s="1846"/>
    </row>
    <row r="717" spans="1:22" s="1842" customFormat="1">
      <c r="A717" s="1843"/>
      <c r="B717" s="1843"/>
      <c r="C717" s="1844"/>
      <c r="D717" s="1844"/>
      <c r="E717" s="1844"/>
      <c r="F717" s="1845"/>
      <c r="G717" s="1845"/>
      <c r="H717" s="1844"/>
      <c r="I717" s="1844"/>
      <c r="J717" s="1844"/>
      <c r="K717" s="1844"/>
      <c r="L717" s="1844"/>
      <c r="M717" s="1844"/>
      <c r="N717" s="1844"/>
      <c r="O717" s="1844"/>
      <c r="P717" s="1844"/>
      <c r="Q717" s="1844"/>
      <c r="R717" s="3649"/>
      <c r="S717" s="2883"/>
      <c r="T717" s="2883"/>
      <c r="U717" s="1844"/>
      <c r="V717" s="1846"/>
    </row>
    <row r="718" spans="1:22" s="1842" customFormat="1">
      <c r="A718" s="1843"/>
      <c r="B718" s="1843"/>
      <c r="C718" s="1844"/>
      <c r="D718" s="1844"/>
      <c r="E718" s="1844"/>
      <c r="F718" s="1845"/>
      <c r="G718" s="1845"/>
      <c r="H718" s="1844"/>
      <c r="I718" s="1844"/>
      <c r="J718" s="1844"/>
      <c r="K718" s="1844"/>
      <c r="L718" s="1844"/>
      <c r="M718" s="1844"/>
      <c r="N718" s="1844"/>
      <c r="O718" s="1844"/>
      <c r="P718" s="1844"/>
      <c r="Q718" s="1844"/>
      <c r="R718" s="3649"/>
      <c r="S718" s="2883"/>
      <c r="T718" s="2883"/>
      <c r="U718" s="1844"/>
      <c r="V718" s="1846"/>
    </row>
    <row r="719" spans="1:22" s="1842" customFormat="1">
      <c r="A719" s="1843"/>
      <c r="B719" s="1843"/>
      <c r="C719" s="1844"/>
      <c r="D719" s="1844"/>
      <c r="E719" s="1844"/>
      <c r="F719" s="1845"/>
      <c r="G719" s="1845"/>
      <c r="H719" s="1844"/>
      <c r="I719" s="1844"/>
      <c r="J719" s="1844"/>
      <c r="K719" s="1844"/>
      <c r="L719" s="1844"/>
      <c r="M719" s="1844"/>
      <c r="N719" s="1844"/>
      <c r="O719" s="1844"/>
      <c r="P719" s="1844"/>
      <c r="Q719" s="1844"/>
      <c r="R719" s="3649"/>
      <c r="S719" s="2883"/>
      <c r="T719" s="2883"/>
      <c r="U719" s="1844"/>
      <c r="V719" s="1846"/>
    </row>
    <row r="720" spans="1:22" s="1842" customFormat="1">
      <c r="A720" s="1843"/>
      <c r="B720" s="1843"/>
      <c r="C720" s="1844"/>
      <c r="D720" s="1844"/>
      <c r="E720" s="1844"/>
      <c r="F720" s="1845"/>
      <c r="G720" s="1845"/>
      <c r="H720" s="1844"/>
      <c r="I720" s="1844"/>
      <c r="J720" s="1844"/>
      <c r="K720" s="1844"/>
      <c r="L720" s="1844"/>
      <c r="M720" s="1844"/>
      <c r="N720" s="1844"/>
      <c r="O720" s="1844"/>
      <c r="P720" s="1844"/>
      <c r="Q720" s="1844"/>
      <c r="R720" s="3649"/>
      <c r="S720" s="2883"/>
      <c r="T720" s="2883"/>
      <c r="U720" s="1844"/>
      <c r="V720" s="1846"/>
    </row>
    <row r="721" spans="1:22" s="1842" customFormat="1">
      <c r="A721" s="1843"/>
      <c r="B721" s="1843"/>
      <c r="C721" s="1844"/>
      <c r="D721" s="1844"/>
      <c r="E721" s="1844"/>
      <c r="F721" s="1845"/>
      <c r="G721" s="1845"/>
      <c r="H721" s="1844"/>
      <c r="I721" s="1844"/>
      <c r="J721" s="1844"/>
      <c r="K721" s="1844"/>
      <c r="L721" s="1844"/>
      <c r="M721" s="1844"/>
      <c r="N721" s="1844"/>
      <c r="O721" s="1844"/>
      <c r="P721" s="1844"/>
      <c r="Q721" s="1844"/>
      <c r="R721" s="3649"/>
      <c r="S721" s="2883"/>
      <c r="T721" s="2883"/>
      <c r="U721" s="1844"/>
      <c r="V721" s="1846"/>
    </row>
    <row r="722" spans="1:22" s="1842" customFormat="1">
      <c r="A722" s="1843"/>
      <c r="B722" s="1843"/>
      <c r="C722" s="1844"/>
      <c r="D722" s="1844"/>
      <c r="E722" s="1844"/>
      <c r="F722" s="1845"/>
      <c r="G722" s="1845"/>
      <c r="H722" s="1844"/>
      <c r="I722" s="1844"/>
      <c r="J722" s="1844"/>
      <c r="K722" s="1844"/>
      <c r="L722" s="1844"/>
      <c r="M722" s="1844"/>
      <c r="N722" s="1844"/>
      <c r="O722" s="1844"/>
      <c r="P722" s="1844"/>
      <c r="Q722" s="1844"/>
      <c r="R722" s="3649"/>
      <c r="S722" s="2883"/>
      <c r="T722" s="2883"/>
      <c r="U722" s="1844"/>
      <c r="V722" s="1846"/>
    </row>
    <row r="723" spans="1:22" s="1842" customFormat="1">
      <c r="A723" s="1843"/>
      <c r="B723" s="1843"/>
      <c r="C723" s="1844"/>
      <c r="D723" s="1844"/>
      <c r="E723" s="1844"/>
      <c r="F723" s="1845"/>
      <c r="G723" s="1845"/>
      <c r="H723" s="1844"/>
      <c r="I723" s="1844"/>
      <c r="J723" s="1844"/>
      <c r="K723" s="1844"/>
      <c r="L723" s="1844"/>
      <c r="M723" s="1844"/>
      <c r="N723" s="1844"/>
      <c r="O723" s="1844"/>
      <c r="P723" s="1844"/>
      <c r="Q723" s="1844"/>
      <c r="R723" s="3649"/>
      <c r="S723" s="2883"/>
      <c r="T723" s="2883"/>
      <c r="U723" s="1844"/>
      <c r="V723" s="1846"/>
    </row>
    <row r="724" spans="1:22" s="1842" customFormat="1">
      <c r="A724" s="1843"/>
      <c r="B724" s="1843"/>
      <c r="C724" s="1844"/>
      <c r="D724" s="1844"/>
      <c r="E724" s="1844"/>
      <c r="F724" s="1845"/>
      <c r="G724" s="1845"/>
      <c r="H724" s="1844"/>
      <c r="I724" s="1844"/>
      <c r="J724" s="1844"/>
      <c r="K724" s="1844"/>
      <c r="L724" s="1844"/>
      <c r="M724" s="1844"/>
      <c r="N724" s="1844"/>
      <c r="O724" s="1844"/>
      <c r="P724" s="1844"/>
      <c r="Q724" s="1844"/>
      <c r="R724" s="3649"/>
      <c r="S724" s="2883"/>
      <c r="T724" s="2883"/>
      <c r="U724" s="1844"/>
      <c r="V724" s="1846"/>
    </row>
  </sheetData>
  <sheetProtection selectLockedCells="1" selectUnlockedCells="1"/>
  <autoFilter ref="L8:O573"/>
  <mergeCells count="18">
    <mergeCell ref="A573:I573"/>
    <mergeCell ref="H599:I599"/>
    <mergeCell ref="S5:S6"/>
    <mergeCell ref="T5:T6"/>
    <mergeCell ref="H628:I628"/>
    <mergeCell ref="A7:E7"/>
    <mergeCell ref="F7:I7"/>
    <mergeCell ref="H467:I467"/>
    <mergeCell ref="M5:O5"/>
    <mergeCell ref="Q5:Q6"/>
    <mergeCell ref="R5:R6"/>
    <mergeCell ref="U5:U6"/>
    <mergeCell ref="A2:R2"/>
    <mergeCell ref="A5:E6"/>
    <mergeCell ref="F5:I6"/>
    <mergeCell ref="J5:J6"/>
    <mergeCell ref="K5:K6"/>
    <mergeCell ref="L5:L6"/>
  </mergeCells>
  <pageMargins left="0.35433070866141736" right="0.15748031496062992" top="0.31496062992125984" bottom="0.39370078740157483" header="0.31496062992125984" footer="0.15748031496062992"/>
  <pageSetup paperSize="768" scale="71" orientation="landscape" useFirstPageNumber="1" r:id="rId1"/>
  <headerFooter alignWithMargins="0">
    <oddHeader>Page &amp;P</oddHeader>
    <oddFooter>&amp;LRencana Perubahan Target Tahun 2017 - BAPPENDA NTB&amp;C&amp;7&amp;K02-048&amp;F&amp;D&amp;T&amp;RHal. &amp;P</oddFooter>
  </headerFooter>
  <rowBreaks count="11" manualBreakCount="11">
    <brk id="47" max="17" man="1"/>
    <brk id="111" max="17" man="1"/>
    <brk id="154" max="17" man="1"/>
    <brk id="199" max="17" man="1"/>
    <brk id="244" max="17" man="1"/>
    <brk id="286" max="17" man="1"/>
    <brk id="342" max="17" man="1"/>
    <brk id="395" max="17" man="1"/>
    <brk id="453" max="17" man="1"/>
    <brk id="510" max="17" man="1"/>
    <brk id="563" max="17" man="1"/>
  </row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92D050"/>
  </sheetPr>
  <dimension ref="A1:AL97"/>
  <sheetViews>
    <sheetView view="pageBreakPreview" topLeftCell="A4" zoomScale="98" zoomScaleNormal="120" zoomScaleSheetLayoutView="98" workbookViewId="0">
      <pane ySplit="4" topLeftCell="A8" activePane="bottomLeft" state="frozen"/>
      <selection activeCell="A4" sqref="A4"/>
      <selection pane="bottomLeft" activeCell="O73" sqref="O73"/>
    </sheetView>
  </sheetViews>
  <sheetFormatPr defaultColWidth="9.109375" defaultRowHeight="13.15"/>
  <cols>
    <col min="1" max="1" width="6.44140625" style="189" customWidth="1"/>
    <col min="2" max="7" width="2.6640625" style="193" customWidth="1"/>
    <col min="8" max="8" width="2.33203125" style="189" customWidth="1"/>
    <col min="9" max="9" width="6" style="189" customWidth="1"/>
    <col min="10" max="10" width="34.109375" style="189" customWidth="1"/>
    <col min="11" max="11" width="20.109375" style="189" customWidth="1"/>
    <col min="12" max="12" width="20" style="189" customWidth="1"/>
    <col min="13" max="13" width="19.5546875" style="189" customWidth="1"/>
    <col min="14" max="14" width="18.6640625" style="189" customWidth="1"/>
    <col min="15" max="15" width="20.44140625" style="189" customWidth="1"/>
    <col min="16" max="16" width="18.6640625" style="189" customWidth="1"/>
    <col min="17" max="17" width="8" style="189" customWidth="1"/>
    <col min="18" max="18" width="9.44140625" style="189" customWidth="1"/>
    <col min="19" max="19" width="20.109375" style="189" customWidth="1"/>
    <col min="20" max="20" width="13.5546875" style="189" customWidth="1"/>
    <col min="21" max="16384" width="9.109375" style="189"/>
  </cols>
  <sheetData>
    <row r="1" spans="1:21" ht="18.2">
      <c r="A1" s="5808" t="s">
        <v>1184</v>
      </c>
      <c r="B1" s="5809"/>
      <c r="C1" s="5809"/>
      <c r="D1" s="5809"/>
      <c r="E1" s="5809"/>
      <c r="F1" s="5809"/>
      <c r="G1" s="5809"/>
      <c r="H1" s="5809"/>
      <c r="I1" s="5809"/>
      <c r="J1" s="5809"/>
      <c r="K1" s="5809"/>
      <c r="L1" s="5809"/>
      <c r="M1" s="5809"/>
      <c r="N1" s="5809"/>
      <c r="O1" s="5809"/>
      <c r="P1" s="5809"/>
      <c r="Q1" s="5809"/>
      <c r="R1" s="5809"/>
    </row>
    <row r="2" spans="1:21" ht="18.2">
      <c r="A2" s="5809" t="s">
        <v>1077</v>
      </c>
      <c r="B2" s="5809"/>
      <c r="C2" s="5809"/>
      <c r="D2" s="5809"/>
      <c r="E2" s="5809"/>
      <c r="F2" s="5809"/>
      <c r="G2" s="5809"/>
      <c r="H2" s="5809"/>
      <c r="I2" s="5809"/>
      <c r="J2" s="5809"/>
      <c r="K2" s="5809"/>
      <c r="L2" s="5809"/>
      <c r="M2" s="5809"/>
      <c r="N2" s="5809"/>
      <c r="O2" s="5809"/>
      <c r="P2" s="5809"/>
      <c r="Q2" s="5809"/>
      <c r="R2" s="5809"/>
    </row>
    <row r="3" spans="1:21">
      <c r="A3" s="194"/>
      <c r="B3" s="195"/>
      <c r="C3" s="195"/>
      <c r="D3" s="195"/>
      <c r="E3" s="195"/>
      <c r="F3" s="195"/>
      <c r="G3" s="195"/>
      <c r="H3" s="194"/>
      <c r="I3" s="194"/>
      <c r="J3" s="194"/>
      <c r="K3" s="194"/>
      <c r="L3" s="194"/>
      <c r="M3" s="194"/>
      <c r="N3" s="194"/>
      <c r="O3" s="194"/>
      <c r="P3" s="194"/>
      <c r="Q3" s="5810"/>
      <c r="R3" s="5810"/>
    </row>
    <row r="4" spans="1:21" ht="19.600000000000001" customHeight="1">
      <c r="A4" s="196" t="s">
        <v>937</v>
      </c>
      <c r="B4" s="5811" t="s">
        <v>938</v>
      </c>
      <c r="C4" s="5812"/>
      <c r="D4" s="5812"/>
      <c r="E4" s="5812"/>
      <c r="F4" s="5812"/>
      <c r="G4" s="5813"/>
      <c r="H4" s="5817" t="s">
        <v>56</v>
      </c>
      <c r="I4" s="5817"/>
      <c r="J4" s="5817"/>
      <c r="K4" s="5818" t="s">
        <v>474</v>
      </c>
      <c r="L4" s="5818" t="s">
        <v>475</v>
      </c>
      <c r="M4" s="5818" t="s">
        <v>416</v>
      </c>
      <c r="N4" s="5820" t="s">
        <v>1078</v>
      </c>
      <c r="O4" s="214" t="s">
        <v>476</v>
      </c>
      <c r="P4" s="214" t="s">
        <v>1079</v>
      </c>
      <c r="Q4" s="5823" t="s">
        <v>6</v>
      </c>
      <c r="R4" s="5747" t="s">
        <v>704</v>
      </c>
    </row>
    <row r="5" spans="1:21" ht="16.45" customHeight="1">
      <c r="A5" s="197" t="s">
        <v>942</v>
      </c>
      <c r="B5" s="5814"/>
      <c r="C5" s="5815"/>
      <c r="D5" s="5815"/>
      <c r="E5" s="5815"/>
      <c r="F5" s="5815"/>
      <c r="G5" s="5816"/>
      <c r="H5" s="5824" t="s">
        <v>1080</v>
      </c>
      <c r="I5" s="5824"/>
      <c r="J5" s="5824"/>
      <c r="K5" s="5819"/>
      <c r="L5" s="5819"/>
      <c r="M5" s="5819"/>
      <c r="N5" s="5820"/>
      <c r="O5" s="215" t="s">
        <v>481</v>
      </c>
      <c r="P5" s="215"/>
      <c r="Q5" s="5823"/>
      <c r="R5" s="5748"/>
    </row>
    <row r="6" spans="1:21" ht="12.7" customHeight="1">
      <c r="A6" s="198">
        <v>1</v>
      </c>
      <c r="B6" s="5806">
        <v>2</v>
      </c>
      <c r="C6" s="5806"/>
      <c r="D6" s="5806"/>
      <c r="E6" s="5806"/>
      <c r="F6" s="5806"/>
      <c r="G6" s="5806"/>
      <c r="H6" s="5807">
        <v>3</v>
      </c>
      <c r="I6" s="5807"/>
      <c r="J6" s="5807"/>
      <c r="K6" s="198">
        <v>4</v>
      </c>
      <c r="L6" s="198">
        <v>5</v>
      </c>
      <c r="M6" s="198">
        <v>6</v>
      </c>
      <c r="N6" s="198">
        <v>7</v>
      </c>
      <c r="O6" s="2777" t="s">
        <v>485</v>
      </c>
      <c r="P6" s="2777" t="s">
        <v>486</v>
      </c>
      <c r="Q6" s="2777" t="s">
        <v>444</v>
      </c>
      <c r="R6" s="2777" t="s">
        <v>969</v>
      </c>
      <c r="S6" s="3483"/>
      <c r="T6" s="226"/>
      <c r="U6" s="226"/>
    </row>
    <row r="7" spans="1:21" s="3433" customFormat="1" ht="15.85" customHeight="1">
      <c r="A7" s="3424"/>
      <c r="B7" s="3425">
        <v>6</v>
      </c>
      <c r="C7" s="3425">
        <v>1</v>
      </c>
      <c r="D7" s="3425">
        <v>1</v>
      </c>
      <c r="E7" s="3425" t="s">
        <v>445</v>
      </c>
      <c r="F7" s="3425" t="s">
        <v>440</v>
      </c>
      <c r="G7" s="3426"/>
      <c r="H7" s="3427" t="s">
        <v>1081</v>
      </c>
      <c r="I7" s="3428"/>
      <c r="J7" s="3429"/>
      <c r="K7" s="3519">
        <f t="shared" ref="K7:P7" si="0">K8+K58+K65</f>
        <v>3802519445799</v>
      </c>
      <c r="L7" s="3519">
        <f t="shared" si="0"/>
        <v>3954156416678.9697</v>
      </c>
      <c r="M7" s="3519">
        <f t="shared" si="0"/>
        <v>4791397359569</v>
      </c>
      <c r="N7" s="3519">
        <f t="shared" si="0"/>
        <v>1163476630856.72</v>
      </c>
      <c r="O7" s="3519">
        <f t="shared" si="0"/>
        <v>4712349737652</v>
      </c>
      <c r="P7" s="3519">
        <f t="shared" si="0"/>
        <v>-79047621917</v>
      </c>
      <c r="Q7" s="3430">
        <f>O7/M7*100-100</f>
        <v>-1.6497822239504387</v>
      </c>
      <c r="R7" s="3431"/>
      <c r="S7" s="436">
        <f>+O7-M7</f>
        <v>-79047621917</v>
      </c>
      <c r="T7" s="3432">
        <f>+S7-P7</f>
        <v>0</v>
      </c>
    </row>
    <row r="8" spans="1:21" s="3408" customFormat="1" ht="17.100000000000001" customHeight="1">
      <c r="A8" s="3417" t="s">
        <v>61</v>
      </c>
      <c r="B8" s="3418"/>
      <c r="C8" s="3418"/>
      <c r="D8" s="3418"/>
      <c r="E8" s="3418"/>
      <c r="F8" s="3418"/>
      <c r="G8" s="3419"/>
      <c r="H8" s="3423" t="s">
        <v>180</v>
      </c>
      <c r="I8" s="3420"/>
      <c r="J8" s="3421"/>
      <c r="K8" s="3520">
        <f>K9+K15+K32+K43</f>
        <v>1450044930319</v>
      </c>
      <c r="L8" s="3520">
        <f>L9+L15+L32+L43</f>
        <v>1348970161792.4299</v>
      </c>
      <c r="M8" s="3520">
        <f>M9+M15+M32+M43</f>
        <v>1501611335359</v>
      </c>
      <c r="N8" s="3520">
        <f>N9+N15+N32+N43</f>
        <v>287722965598.72998</v>
      </c>
      <c r="O8" s="3520">
        <f>O9+O15+O32+O43</f>
        <v>1510180371152</v>
      </c>
      <c r="P8" s="3520">
        <f>O8-M8</f>
        <v>8569035793</v>
      </c>
      <c r="Q8" s="3406">
        <f t="shared" ref="Q8:Q71" si="1">O8/M8*100-100</f>
        <v>0.57065604069586584</v>
      </c>
      <c r="R8" s="3422"/>
      <c r="S8" s="436">
        <f>+O8-M8</f>
        <v>8569035793</v>
      </c>
      <c r="T8" s="3407">
        <f>+S8-P8</f>
        <v>0</v>
      </c>
    </row>
    <row r="9" spans="1:21" s="3493" customFormat="1" ht="17.100000000000001" customHeight="1">
      <c r="A9" s="3484" t="s">
        <v>1185</v>
      </c>
      <c r="B9" s="3485">
        <v>4</v>
      </c>
      <c r="C9" s="3485">
        <v>1</v>
      </c>
      <c r="D9" s="3485">
        <v>1</v>
      </c>
      <c r="E9" s="3485"/>
      <c r="F9" s="3485"/>
      <c r="G9" s="3486" t="s">
        <v>1082</v>
      </c>
      <c r="H9" s="3487" t="s">
        <v>1141</v>
      </c>
      <c r="I9" s="3488"/>
      <c r="J9" s="3489"/>
      <c r="K9" s="3521">
        <f t="shared" ref="K9:P9" si="2">SUM(K10:K14)</f>
        <v>1037549599000</v>
      </c>
      <c r="L9" s="3521">
        <f t="shared" si="2"/>
        <v>1003260953668</v>
      </c>
      <c r="M9" s="3521">
        <f t="shared" si="2"/>
        <v>1122139007935</v>
      </c>
      <c r="N9" s="3521">
        <f t="shared" si="2"/>
        <v>233266101062</v>
      </c>
      <c r="O9" s="3521">
        <f t="shared" si="2"/>
        <v>1126480668000</v>
      </c>
      <c r="P9" s="3521">
        <f t="shared" si="2"/>
        <v>4341660065</v>
      </c>
      <c r="Q9" s="3490">
        <f t="shared" si="1"/>
        <v>0.3869092896957369</v>
      </c>
      <c r="R9" s="3491"/>
      <c r="S9" s="436"/>
      <c r="T9" s="3492"/>
    </row>
    <row r="10" spans="1:21" ht="17.100000000000001" customHeight="1">
      <c r="A10" s="3340"/>
      <c r="B10" s="3667">
        <v>4</v>
      </c>
      <c r="C10" s="3667">
        <v>1</v>
      </c>
      <c r="D10" s="3667">
        <v>1</v>
      </c>
      <c r="E10" s="3668" t="s">
        <v>437</v>
      </c>
      <c r="F10" s="3667"/>
      <c r="G10" s="3350"/>
      <c r="H10" s="3669" t="s">
        <v>1142</v>
      </c>
      <c r="I10" s="2113"/>
      <c r="J10" s="3670"/>
      <c r="K10" s="3504">
        <f>'KOM opsi 1'!J14</f>
        <v>248153000000</v>
      </c>
      <c r="L10" s="3504">
        <f>'KOM opsi 1'!K14</f>
        <v>269187973631</v>
      </c>
      <c r="M10" s="3504">
        <f>'KOM opsi 1'!L14</f>
        <v>311893723935</v>
      </c>
      <c r="N10" s="3504">
        <f>'KOM opsi 1'!O14</f>
        <v>69415566816</v>
      </c>
      <c r="O10" s="3671">
        <f>'KOM opsi 2'!P13</f>
        <v>304182000000</v>
      </c>
      <c r="P10" s="3672">
        <f>O10-M10</f>
        <v>-7711723935</v>
      </c>
      <c r="Q10" s="3673">
        <f t="shared" si="1"/>
        <v>-2.4725486097332094</v>
      </c>
      <c r="R10" s="3674" t="s">
        <v>1196</v>
      </c>
      <c r="S10" s="436"/>
      <c r="T10" s="436"/>
    </row>
    <row r="11" spans="1:21" ht="17.100000000000001" customHeight="1">
      <c r="A11" s="3343"/>
      <c r="B11" s="3343">
        <v>4</v>
      </c>
      <c r="C11" s="3343">
        <v>1</v>
      </c>
      <c r="D11" s="3343">
        <v>1</v>
      </c>
      <c r="E11" s="3675" t="s">
        <v>440</v>
      </c>
      <c r="F11" s="3343"/>
      <c r="G11" s="3352"/>
      <c r="H11" s="3676" t="s">
        <v>1153</v>
      </c>
      <c r="I11" s="202"/>
      <c r="J11" s="218"/>
      <c r="K11" s="3506">
        <f>'KOM opsi 1'!J26</f>
        <v>318503155000</v>
      </c>
      <c r="L11" s="3506">
        <f>'KOM opsi 1'!K26</f>
        <v>322208887701</v>
      </c>
      <c r="M11" s="3506">
        <f>'KOM opsi 1'!L26</f>
        <v>321503155000</v>
      </c>
      <c r="N11" s="3506">
        <f>'KOM opsi 1'!O26</f>
        <v>72721445555</v>
      </c>
      <c r="O11" s="3506">
        <f>'KOM opsi 2'!P25</f>
        <v>322208888000</v>
      </c>
      <c r="P11" s="3677">
        <f>O11-M11</f>
        <v>705733000</v>
      </c>
      <c r="Q11" s="3678">
        <f t="shared" si="1"/>
        <v>0.21951044306236156</v>
      </c>
      <c r="R11" s="3679"/>
      <c r="S11" s="436"/>
      <c r="T11" s="436"/>
    </row>
    <row r="12" spans="1:21" ht="17.100000000000001" customHeight="1">
      <c r="A12" s="3343"/>
      <c r="B12" s="3343">
        <v>4</v>
      </c>
      <c r="C12" s="3343">
        <v>1</v>
      </c>
      <c r="D12" s="3343">
        <v>1</v>
      </c>
      <c r="E12" s="3675" t="s">
        <v>451</v>
      </c>
      <c r="F12" s="3343"/>
      <c r="G12" s="3352"/>
      <c r="H12" s="3676" t="s">
        <v>1154</v>
      </c>
      <c r="I12" s="202"/>
      <c r="J12" s="218"/>
      <c r="K12" s="3506">
        <f>'KOM opsi 1'!J38</f>
        <v>192900000000</v>
      </c>
      <c r="L12" s="3506">
        <f>'KOM opsi 1'!K38</f>
        <v>188945861622</v>
      </c>
      <c r="M12" s="3506">
        <f>'KOM opsi 1'!L38</f>
        <v>192900000000</v>
      </c>
      <c r="N12" s="3506">
        <f>'KOM opsi 1'!O38</f>
        <v>46114131883</v>
      </c>
      <c r="O12" s="3506">
        <f>'KOM opsi 2'!P37</f>
        <v>188945861000</v>
      </c>
      <c r="P12" s="3524">
        <f>O12-M12</f>
        <v>-3954139000</v>
      </c>
      <c r="Q12" s="3678">
        <f t="shared" si="1"/>
        <v>-2.0498387765681656</v>
      </c>
      <c r="R12" s="3679"/>
      <c r="S12" s="436"/>
      <c r="T12" s="436"/>
    </row>
    <row r="13" spans="1:21" ht="15.85" customHeight="1">
      <c r="A13" s="3343"/>
      <c r="B13" s="3343">
        <v>4</v>
      </c>
      <c r="C13" s="3343">
        <v>1</v>
      </c>
      <c r="D13" s="3343">
        <v>1</v>
      </c>
      <c r="E13" s="3675" t="s">
        <v>441</v>
      </c>
      <c r="F13" s="3343"/>
      <c r="G13" s="3352"/>
      <c r="H13" s="3676" t="s">
        <v>1156</v>
      </c>
      <c r="I13" s="202"/>
      <c r="J13" s="218"/>
      <c r="K13" s="3506">
        <f>'KOM opsi 1'!J40</f>
        <v>300000000</v>
      </c>
      <c r="L13" s="3506">
        <f>'KOM opsi 1'!K40</f>
        <v>361290857</v>
      </c>
      <c r="M13" s="3506">
        <f>'KOM opsi 1'!L40</f>
        <v>1000000000</v>
      </c>
      <c r="N13" s="3506">
        <f>'KOM opsi 1'!O40</f>
        <v>228953247</v>
      </c>
      <c r="O13" s="3506">
        <f>'KOM opsi 2'!P39</f>
        <v>1000000000</v>
      </c>
      <c r="P13" s="3677">
        <f>O13-M13</f>
        <v>0</v>
      </c>
      <c r="Q13" s="3678">
        <f t="shared" si="1"/>
        <v>0</v>
      </c>
      <c r="R13" s="3679"/>
      <c r="S13" s="436"/>
      <c r="T13" s="436"/>
    </row>
    <row r="14" spans="1:21" ht="15.85" customHeight="1">
      <c r="A14" s="3680"/>
      <c r="B14" s="3680">
        <v>4</v>
      </c>
      <c r="C14" s="3680">
        <v>1</v>
      </c>
      <c r="D14" s="3680">
        <v>1</v>
      </c>
      <c r="E14" s="3681" t="s">
        <v>1187</v>
      </c>
      <c r="F14" s="3680"/>
      <c r="G14" s="3682"/>
      <c r="H14" s="3683" t="s">
        <v>1157</v>
      </c>
      <c r="I14" s="3684"/>
      <c r="J14" s="3685"/>
      <c r="K14" s="3686">
        <f>'KOM opsi 1'!J42</f>
        <v>277693444000</v>
      </c>
      <c r="L14" s="3686">
        <f>'KOM opsi 1'!K42</f>
        <v>222556939857</v>
      </c>
      <c r="M14" s="3686">
        <f>'KOM opsi 1'!L42</f>
        <v>294842129000</v>
      </c>
      <c r="N14" s="3686">
        <f>'KOM opsi 1'!O42</f>
        <v>44786003561</v>
      </c>
      <c r="O14" s="3686">
        <f>'KOM opsi 2'!P41</f>
        <v>310143919000</v>
      </c>
      <c r="P14" s="3687">
        <f>O14-M14</f>
        <v>15301790000</v>
      </c>
      <c r="Q14" s="3688">
        <f t="shared" si="1"/>
        <v>5.1898248231683368</v>
      </c>
      <c r="R14" s="3689"/>
      <c r="S14" s="436"/>
      <c r="T14" s="436"/>
    </row>
    <row r="15" spans="1:21" s="3493" customFormat="1" ht="16.45" customHeight="1">
      <c r="A15" s="3494" t="s">
        <v>1186</v>
      </c>
      <c r="B15" s="3485">
        <v>4</v>
      </c>
      <c r="C15" s="3485">
        <v>1</v>
      </c>
      <c r="D15" s="3485">
        <v>2</v>
      </c>
      <c r="E15" s="3485"/>
      <c r="F15" s="3485"/>
      <c r="G15" s="3495" t="s">
        <v>1082</v>
      </c>
      <c r="H15" s="3496" t="s">
        <v>106</v>
      </c>
      <c r="I15" s="3488"/>
      <c r="J15" s="3497"/>
      <c r="K15" s="3503">
        <f t="shared" ref="K15:P15" si="3">SUM(K16:K30)-K16-K21-K27</f>
        <v>29890858000</v>
      </c>
      <c r="L15" s="3503">
        <f t="shared" si="3"/>
        <v>29792038549</v>
      </c>
      <c r="M15" s="3503">
        <f t="shared" si="3"/>
        <v>18459358000</v>
      </c>
      <c r="N15" s="3503">
        <f t="shared" si="3"/>
        <v>4448558476</v>
      </c>
      <c r="O15" s="3503">
        <f t="shared" si="3"/>
        <v>19945053500</v>
      </c>
      <c r="P15" s="3503">
        <f t="shared" si="3"/>
        <v>1485695500</v>
      </c>
      <c r="Q15" s="3490">
        <f t="shared" si="1"/>
        <v>8.0484678827941849</v>
      </c>
      <c r="R15" s="3491"/>
      <c r="S15" s="436">
        <f t="shared" ref="S15:S74" si="4">+O15-M15</f>
        <v>1485695500</v>
      </c>
      <c r="T15" s="3492">
        <f t="shared" ref="T15:T74" si="5">+S15-P15</f>
        <v>0</v>
      </c>
    </row>
    <row r="16" spans="1:21">
      <c r="A16" s="3339"/>
      <c r="B16" s="3340">
        <v>4</v>
      </c>
      <c r="C16" s="3340">
        <v>1</v>
      </c>
      <c r="D16" s="3340">
        <v>2</v>
      </c>
      <c r="E16" s="3340" t="s">
        <v>437</v>
      </c>
      <c r="F16" s="3340"/>
      <c r="G16" s="3341"/>
      <c r="H16" s="3089" t="s">
        <v>107</v>
      </c>
      <c r="I16" s="212"/>
      <c r="J16" s="3088"/>
      <c r="K16" s="3504">
        <f>SUM(K17:K19)</f>
        <v>19059250000</v>
      </c>
      <c r="L16" s="3504">
        <f>SUM(L17:L19)</f>
        <v>19214538092</v>
      </c>
      <c r="M16" s="3504">
        <f>SUM(M17:M19)</f>
        <v>7519250000</v>
      </c>
      <c r="N16" s="3504">
        <f>SUM(N17:N19)</f>
        <v>2714722900</v>
      </c>
      <c r="O16" s="3504">
        <f>SUM(O17:O19)</f>
        <v>9000000000</v>
      </c>
      <c r="P16" s="3504">
        <f>O16-M16</f>
        <v>1480750000</v>
      </c>
      <c r="Q16" s="3690">
        <f t="shared" si="1"/>
        <v>19.692788509492303</v>
      </c>
      <c r="R16" s="3083"/>
      <c r="S16" s="436">
        <f t="shared" si="4"/>
        <v>1480750000</v>
      </c>
      <c r="T16" s="436">
        <f t="shared" si="5"/>
        <v>0</v>
      </c>
    </row>
    <row r="17" spans="1:20" ht="12.7" customHeight="1">
      <c r="A17" s="3342"/>
      <c r="B17" s="3343">
        <v>4</v>
      </c>
      <c r="C17" s="3343">
        <v>1</v>
      </c>
      <c r="D17" s="3343">
        <v>2</v>
      </c>
      <c r="E17" s="3343" t="s">
        <v>437</v>
      </c>
      <c r="F17" s="3343" t="s">
        <v>437</v>
      </c>
      <c r="G17" s="3344">
        <v>1</v>
      </c>
      <c r="H17" s="2214" t="s">
        <v>1083</v>
      </c>
      <c r="I17" s="200"/>
      <c r="J17" s="217"/>
      <c r="K17" s="3505">
        <f>+'KOM opsi 1'!J46</f>
        <v>18800000000</v>
      </c>
      <c r="L17" s="3505">
        <f>+'KOM opsi 1'!K46</f>
        <v>18927671342</v>
      </c>
      <c r="M17" s="3505">
        <f>+'KOM opsi 1'!L46</f>
        <v>7500000000</v>
      </c>
      <c r="N17" s="3505">
        <f>'KOM opsi 1'!O46</f>
        <v>2714722900</v>
      </c>
      <c r="O17" s="3505">
        <f>'KOM opsi 2'!P45</f>
        <v>9000000000</v>
      </c>
      <c r="P17" s="3505">
        <f>O17-M17</f>
        <v>1500000000</v>
      </c>
      <c r="Q17" s="3691">
        <f t="shared" si="1"/>
        <v>20</v>
      </c>
      <c r="R17" s="2842"/>
      <c r="S17" s="436">
        <f t="shared" si="4"/>
        <v>1500000000</v>
      </c>
      <c r="T17" s="436">
        <f t="shared" si="5"/>
        <v>0</v>
      </c>
    </row>
    <row r="18" spans="1:20">
      <c r="A18" s="3342"/>
      <c r="B18" s="3343">
        <v>4</v>
      </c>
      <c r="C18" s="3343">
        <v>1</v>
      </c>
      <c r="D18" s="3343">
        <v>2</v>
      </c>
      <c r="E18" s="3343" t="s">
        <v>437</v>
      </c>
      <c r="F18" s="3343" t="s">
        <v>445</v>
      </c>
      <c r="G18" s="3344">
        <v>2</v>
      </c>
      <c r="H18" s="2214" t="s">
        <v>1084</v>
      </c>
      <c r="I18" s="200"/>
      <c r="J18" s="217"/>
      <c r="K18" s="3505">
        <f>+'KOM opsi 1'!J51</f>
        <v>240000000</v>
      </c>
      <c r="L18" s="3505">
        <f>+'KOM opsi 1'!K51</f>
        <v>286866750</v>
      </c>
      <c r="M18" s="3505">
        <f>+'KOM opsi 1'!L51</f>
        <v>0</v>
      </c>
      <c r="N18" s="3505">
        <f>'KOM opsi 1'!P51</f>
        <v>0</v>
      </c>
      <c r="O18" s="3505">
        <f>'KOM opsi 2'!P50</f>
        <v>0</v>
      </c>
      <c r="P18" s="3505">
        <f>O18-M18</f>
        <v>0</v>
      </c>
      <c r="Q18" s="3691"/>
      <c r="R18" s="2842"/>
      <c r="S18" s="436">
        <f t="shared" si="4"/>
        <v>0</v>
      </c>
      <c r="T18" s="436">
        <f t="shared" si="5"/>
        <v>0</v>
      </c>
    </row>
    <row r="19" spans="1:20">
      <c r="A19" s="3342"/>
      <c r="B19" s="3343">
        <v>4</v>
      </c>
      <c r="C19" s="3343">
        <v>1</v>
      </c>
      <c r="D19" s="3343">
        <v>2</v>
      </c>
      <c r="E19" s="3343" t="s">
        <v>437</v>
      </c>
      <c r="F19" s="3343" t="s">
        <v>445</v>
      </c>
      <c r="G19" s="3344">
        <v>3</v>
      </c>
      <c r="H19" s="2214" t="s">
        <v>1011</v>
      </c>
      <c r="I19" s="200"/>
      <c r="J19" s="217"/>
      <c r="K19" s="3505">
        <f>+'KOM opsi 1'!J52</f>
        <v>19250000</v>
      </c>
      <c r="L19" s="3505">
        <f>+'KOM opsi 1'!K52</f>
        <v>0</v>
      </c>
      <c r="M19" s="3505">
        <f>+'KOM opsi 1'!L52</f>
        <v>19250000</v>
      </c>
      <c r="N19" s="3505">
        <f>'KOM opsi 1'!P52</f>
        <v>0</v>
      </c>
      <c r="O19" s="3505">
        <f>'KOM opsi 2'!P53</f>
        <v>0</v>
      </c>
      <c r="P19" s="3862">
        <f>O19-M19</f>
        <v>-19250000</v>
      </c>
      <c r="Q19" s="3691">
        <f t="shared" si="1"/>
        <v>-100</v>
      </c>
      <c r="R19" s="2842"/>
      <c r="S19" s="436">
        <f t="shared" si="4"/>
        <v>-19250000</v>
      </c>
      <c r="T19" s="436">
        <f t="shared" si="5"/>
        <v>0</v>
      </c>
    </row>
    <row r="20" spans="1:20" ht="6.75" customHeight="1">
      <c r="A20" s="3342"/>
      <c r="B20" s="3343"/>
      <c r="C20" s="3343"/>
      <c r="D20" s="3343"/>
      <c r="E20" s="3343"/>
      <c r="F20" s="3343"/>
      <c r="G20" s="3344"/>
      <c r="H20" s="2214"/>
      <c r="I20" s="200"/>
      <c r="J20" s="217"/>
      <c r="K20" s="3505"/>
      <c r="L20" s="3505"/>
      <c r="M20" s="3505"/>
      <c r="N20" s="3505"/>
      <c r="O20" s="3505"/>
      <c r="P20" s="3500"/>
      <c r="Q20" s="3692"/>
      <c r="R20" s="2842"/>
      <c r="S20" s="436">
        <f t="shared" si="4"/>
        <v>0</v>
      </c>
      <c r="T20" s="436">
        <f t="shared" si="5"/>
        <v>0</v>
      </c>
    </row>
    <row r="21" spans="1:20">
      <c r="A21" s="3342"/>
      <c r="B21" s="3343">
        <v>4</v>
      </c>
      <c r="C21" s="3343">
        <v>1</v>
      </c>
      <c r="D21" s="3343">
        <v>2</v>
      </c>
      <c r="E21" s="3343" t="s">
        <v>438</v>
      </c>
      <c r="F21" s="3343"/>
      <c r="G21" s="3344"/>
      <c r="H21" s="1856" t="s">
        <v>109</v>
      </c>
      <c r="I21" s="202"/>
      <c r="J21" s="217"/>
      <c r="K21" s="3506">
        <f>SUM(K22:K25)</f>
        <v>9182718500</v>
      </c>
      <c r="L21" s="3506">
        <f>SUM(L22:L25)</f>
        <v>8816358857</v>
      </c>
      <c r="M21" s="3506">
        <f>SUM(M22:M25)</f>
        <v>9291218500</v>
      </c>
      <c r="N21" s="3506">
        <f>SUM(N22:N25)</f>
        <v>1256530576</v>
      </c>
      <c r="O21" s="3506">
        <f>SUM(O22:O25)</f>
        <v>9081164000</v>
      </c>
      <c r="P21" s="3524">
        <f>O21-M21</f>
        <v>-210054500</v>
      </c>
      <c r="Q21" s="3692">
        <f t="shared" si="1"/>
        <v>-2.2607852780558346</v>
      </c>
      <c r="R21" s="2842"/>
      <c r="S21" s="436">
        <f t="shared" si="4"/>
        <v>-210054500</v>
      </c>
      <c r="T21" s="436">
        <f t="shared" si="5"/>
        <v>0</v>
      </c>
    </row>
    <row r="22" spans="1:20">
      <c r="A22" s="3342"/>
      <c r="B22" s="3343">
        <v>4</v>
      </c>
      <c r="C22" s="3343">
        <v>1</v>
      </c>
      <c r="D22" s="3343">
        <v>2</v>
      </c>
      <c r="E22" s="3343" t="s">
        <v>438</v>
      </c>
      <c r="F22" s="3343" t="s">
        <v>437</v>
      </c>
      <c r="G22" s="3344">
        <v>1</v>
      </c>
      <c r="H22" s="2214" t="s">
        <v>986</v>
      </c>
      <c r="I22" s="200"/>
      <c r="J22" s="217"/>
      <c r="K22" s="3505">
        <f>+'KOM opsi 1'!J57</f>
        <v>4557206500</v>
      </c>
      <c r="L22" s="3505">
        <f>+'KOM opsi 1'!K57</f>
        <v>3676781427</v>
      </c>
      <c r="M22" s="3505">
        <f>+'KOM opsi 1'!L57</f>
        <v>4630706500</v>
      </c>
      <c r="N22" s="3505">
        <f>'KOM opsi 1'!O57</f>
        <v>376759526</v>
      </c>
      <c r="O22" s="3505">
        <f>'KOM opsi 2'!P56</f>
        <v>3804881500</v>
      </c>
      <c r="P22" s="3500">
        <f>O22-M22</f>
        <v>-825825000</v>
      </c>
      <c r="Q22" s="3691">
        <f t="shared" si="1"/>
        <v>-17.83367181660077</v>
      </c>
      <c r="R22" s="2842"/>
      <c r="S22" s="436"/>
      <c r="T22" s="436">
        <f t="shared" si="5"/>
        <v>825825000</v>
      </c>
    </row>
    <row r="23" spans="1:20">
      <c r="A23" s="3342"/>
      <c r="B23" s="3343">
        <v>4</v>
      </c>
      <c r="C23" s="3343">
        <v>1</v>
      </c>
      <c r="D23" s="3343">
        <v>2</v>
      </c>
      <c r="E23" s="3343" t="s">
        <v>438</v>
      </c>
      <c r="F23" s="3343" t="s">
        <v>440</v>
      </c>
      <c r="G23" s="3344">
        <v>2</v>
      </c>
      <c r="H23" s="2214" t="s">
        <v>1085</v>
      </c>
      <c r="I23" s="200"/>
      <c r="J23" s="217"/>
      <c r="K23" s="3505">
        <f>+'KOM opsi 1'!J137</f>
        <v>2512125000</v>
      </c>
      <c r="L23" s="3505">
        <f>+'KOM opsi 1'!K137</f>
        <v>2733928400</v>
      </c>
      <c r="M23" s="3505">
        <f>+'KOM opsi 1'!L137</f>
        <v>2547125000</v>
      </c>
      <c r="N23" s="3505">
        <f>'KOM opsi 1'!O137</f>
        <v>311760000</v>
      </c>
      <c r="O23" s="3505">
        <f>'KOM opsi 2'!P136</f>
        <v>2547125000</v>
      </c>
      <c r="P23" s="3500">
        <f>O23-M23</f>
        <v>0</v>
      </c>
      <c r="Q23" s="3691">
        <f t="shared" si="1"/>
        <v>0</v>
      </c>
      <c r="R23" s="2842"/>
      <c r="S23" s="436">
        <f t="shared" si="4"/>
        <v>0</v>
      </c>
      <c r="T23" s="436">
        <f t="shared" si="5"/>
        <v>0</v>
      </c>
    </row>
    <row r="24" spans="1:20">
      <c r="A24" s="3342"/>
      <c r="B24" s="3343">
        <v>4</v>
      </c>
      <c r="C24" s="3343">
        <v>1</v>
      </c>
      <c r="D24" s="3343">
        <v>2</v>
      </c>
      <c r="E24" s="3343" t="s">
        <v>438</v>
      </c>
      <c r="F24" s="3345" t="s">
        <v>451</v>
      </c>
      <c r="G24" s="3344"/>
      <c r="H24" s="2214" t="s">
        <v>1086</v>
      </c>
      <c r="I24" s="200"/>
      <c r="J24" s="217"/>
      <c r="K24" s="3505"/>
      <c r="L24" s="3505"/>
      <c r="M24" s="3505">
        <v>0</v>
      </c>
      <c r="N24" s="3505">
        <f>'KOM opsi 1'!O156</f>
        <v>97365000</v>
      </c>
      <c r="O24" s="3505">
        <f>'KOM opsi 2'!P155</f>
        <v>375000000</v>
      </c>
      <c r="P24" s="3500">
        <f>O24-M24</f>
        <v>375000000</v>
      </c>
      <c r="Q24" s="3691" t="e">
        <f t="shared" si="1"/>
        <v>#DIV/0!</v>
      </c>
      <c r="R24" s="2842"/>
      <c r="S24" s="436">
        <f t="shared" si="4"/>
        <v>375000000</v>
      </c>
      <c r="T24" s="436">
        <f t="shared" si="5"/>
        <v>0</v>
      </c>
    </row>
    <row r="25" spans="1:20">
      <c r="A25" s="3342"/>
      <c r="B25" s="3343">
        <v>4</v>
      </c>
      <c r="C25" s="3343">
        <v>1</v>
      </c>
      <c r="D25" s="3343">
        <v>2</v>
      </c>
      <c r="E25" s="3343" t="s">
        <v>438</v>
      </c>
      <c r="F25" s="3343" t="s">
        <v>448</v>
      </c>
      <c r="G25" s="3344">
        <v>3</v>
      </c>
      <c r="H25" s="2214" t="s">
        <v>1087</v>
      </c>
      <c r="I25" s="200"/>
      <c r="J25" s="217"/>
      <c r="K25" s="3505">
        <f>+'KOM opsi 1'!J162</f>
        <v>2113387000</v>
      </c>
      <c r="L25" s="3505">
        <f>+'KOM opsi 1'!K162</f>
        <v>2405649030</v>
      </c>
      <c r="M25" s="3505">
        <f>+'KOM opsi 1'!L162</f>
        <v>2113387000</v>
      </c>
      <c r="N25" s="3505">
        <f>'KOM opsi 1'!O162</f>
        <v>470646050</v>
      </c>
      <c r="O25" s="3505">
        <f>'KOM opsi 2'!P161</f>
        <v>2354157500</v>
      </c>
      <c r="P25" s="3500">
        <f>O25-M25</f>
        <v>240770500</v>
      </c>
      <c r="Q25" s="3691">
        <f t="shared" si="1"/>
        <v>11.392636559229331</v>
      </c>
      <c r="R25" s="2842"/>
      <c r="S25" s="436">
        <f t="shared" si="4"/>
        <v>240770500</v>
      </c>
      <c r="T25" s="436">
        <f t="shared" si="5"/>
        <v>0</v>
      </c>
    </row>
    <row r="26" spans="1:20" ht="6.75" customHeight="1">
      <c r="A26" s="3342"/>
      <c r="B26" s="3343"/>
      <c r="C26" s="3343"/>
      <c r="D26" s="3343"/>
      <c r="E26" s="3343"/>
      <c r="F26" s="3343"/>
      <c r="G26" s="3344"/>
      <c r="H26" s="2214"/>
      <c r="I26" s="200"/>
      <c r="J26" s="217"/>
      <c r="K26" s="3505"/>
      <c r="L26" s="3505"/>
      <c r="M26" s="3505"/>
      <c r="N26" s="3505"/>
      <c r="O26" s="3505"/>
      <c r="P26" s="3505"/>
      <c r="Q26" s="3691"/>
      <c r="R26" s="2842"/>
      <c r="S26" s="436">
        <f t="shared" si="4"/>
        <v>0</v>
      </c>
      <c r="T26" s="436">
        <f t="shared" si="5"/>
        <v>0</v>
      </c>
    </row>
    <row r="27" spans="1:20">
      <c r="A27" s="3342"/>
      <c r="B27" s="3343">
        <v>4</v>
      </c>
      <c r="C27" s="3343">
        <v>1</v>
      </c>
      <c r="D27" s="3343">
        <v>2</v>
      </c>
      <c r="E27" s="3343" t="s">
        <v>440</v>
      </c>
      <c r="F27" s="3343"/>
      <c r="G27" s="3344"/>
      <c r="H27" s="1856" t="s">
        <v>116</v>
      </c>
      <c r="I27" s="202"/>
      <c r="J27" s="218"/>
      <c r="K27" s="3506">
        <f>SUM(K28:K30)</f>
        <v>1648889500</v>
      </c>
      <c r="L27" s="3506">
        <f>SUM(L28:L30)</f>
        <v>1761141600</v>
      </c>
      <c r="M27" s="3506">
        <f>SUM(M28:M30)</f>
        <v>1648889500</v>
      </c>
      <c r="N27" s="3506">
        <f>SUM(N28:N30)</f>
        <v>477305000</v>
      </c>
      <c r="O27" s="3506">
        <f>SUM(O28:O30)</f>
        <v>1863889500</v>
      </c>
      <c r="P27" s="3506">
        <f>O27-M27</f>
        <v>215000000</v>
      </c>
      <c r="Q27" s="3692">
        <f t="shared" si="1"/>
        <v>13.039078725408842</v>
      </c>
      <c r="R27" s="2842"/>
      <c r="S27" s="436">
        <f t="shared" si="4"/>
        <v>215000000</v>
      </c>
      <c r="T27" s="436">
        <f t="shared" si="5"/>
        <v>0</v>
      </c>
    </row>
    <row r="28" spans="1:20">
      <c r="A28" s="3342"/>
      <c r="B28" s="3343">
        <v>4</v>
      </c>
      <c r="C28" s="3343">
        <v>1</v>
      </c>
      <c r="D28" s="3343">
        <v>2</v>
      </c>
      <c r="E28" s="3343" t="s">
        <v>440</v>
      </c>
      <c r="F28" s="3343" t="s">
        <v>437</v>
      </c>
      <c r="G28" s="3344">
        <v>1</v>
      </c>
      <c r="H28" s="2214" t="s">
        <v>1088</v>
      </c>
      <c r="I28" s="202"/>
      <c r="J28" s="218"/>
      <c r="K28" s="3505">
        <f>+'KOM opsi 1'!J202</f>
        <v>193889500</v>
      </c>
      <c r="L28" s="3505">
        <f>+'KOM opsi 1'!K202</f>
        <v>122160000</v>
      </c>
      <c r="M28" s="3505">
        <f>+'KOM opsi 1'!L202</f>
        <v>193889500</v>
      </c>
      <c r="N28" s="3505">
        <f>+'KOM opsi 1'!O202</f>
        <v>28565000</v>
      </c>
      <c r="O28" s="3505">
        <f>'KOM opsi 2'!P201</f>
        <v>193889500</v>
      </c>
      <c r="P28" s="3507">
        <f>O28-M28</f>
        <v>0</v>
      </c>
      <c r="Q28" s="3691">
        <f t="shared" si="1"/>
        <v>0</v>
      </c>
      <c r="R28" s="2842"/>
      <c r="S28" s="436">
        <f t="shared" si="4"/>
        <v>0</v>
      </c>
      <c r="T28" s="436">
        <f t="shared" si="5"/>
        <v>0</v>
      </c>
    </row>
    <row r="29" spans="1:20">
      <c r="A29" s="3342"/>
      <c r="B29" s="3343">
        <v>4</v>
      </c>
      <c r="C29" s="3343">
        <v>1</v>
      </c>
      <c r="D29" s="3343">
        <v>2</v>
      </c>
      <c r="E29" s="3343" t="s">
        <v>440</v>
      </c>
      <c r="F29" s="3343">
        <v>2</v>
      </c>
      <c r="G29" s="3344">
        <v>2</v>
      </c>
      <c r="H29" s="199" t="s">
        <v>1089</v>
      </c>
      <c r="I29" s="202"/>
      <c r="J29" s="218"/>
      <c r="K29" s="3505">
        <f>+'KOM opsi 1'!J207</f>
        <v>0</v>
      </c>
      <c r="L29" s="3505">
        <f>+'KOM opsi 1'!K207</f>
        <v>16404000</v>
      </c>
      <c r="M29" s="3505">
        <f>+'KOM opsi 1'!L207</f>
        <v>0</v>
      </c>
      <c r="N29" s="3505">
        <f>+'KOM opsi 1'!O207</f>
        <v>0</v>
      </c>
      <c r="O29" s="3505">
        <f>'KOM opsi 2'!P206</f>
        <v>20000000</v>
      </c>
      <c r="P29" s="3507">
        <f>O29-M29</f>
        <v>20000000</v>
      </c>
      <c r="Q29" s="3691" t="e">
        <f t="shared" si="1"/>
        <v>#DIV/0!</v>
      </c>
      <c r="R29" s="2842"/>
      <c r="S29" s="436">
        <f t="shared" si="4"/>
        <v>20000000</v>
      </c>
      <c r="T29" s="436">
        <f t="shared" si="5"/>
        <v>0</v>
      </c>
    </row>
    <row r="30" spans="1:20">
      <c r="A30" s="3346"/>
      <c r="B30" s="3343">
        <v>4</v>
      </c>
      <c r="C30" s="3343">
        <v>1</v>
      </c>
      <c r="D30" s="3343">
        <v>2</v>
      </c>
      <c r="E30" s="3343" t="s">
        <v>437</v>
      </c>
      <c r="F30" s="3343">
        <v>16</v>
      </c>
      <c r="G30" s="3344">
        <v>4</v>
      </c>
      <c r="H30" s="2214" t="s">
        <v>971</v>
      </c>
      <c r="I30" s="200"/>
      <c r="J30" s="217"/>
      <c r="K30" s="3505">
        <f>+'KOM opsi 1'!J210</f>
        <v>1455000000</v>
      </c>
      <c r="L30" s="3505">
        <f>+'KOM opsi 1'!K210</f>
        <v>1622577600</v>
      </c>
      <c r="M30" s="3505">
        <f>+'KOM opsi 1'!L210</f>
        <v>1455000000</v>
      </c>
      <c r="N30" s="3505">
        <f>+'KOM opsi 1'!O210</f>
        <v>448740000</v>
      </c>
      <c r="O30" s="3505">
        <f>'KOM opsi 2'!P209</f>
        <v>1650000000</v>
      </c>
      <c r="P30" s="3507">
        <f>O30-M30</f>
        <v>195000000</v>
      </c>
      <c r="Q30" s="3691">
        <f t="shared" si="1"/>
        <v>13.402061855670098</v>
      </c>
      <c r="R30" s="2842"/>
      <c r="S30" s="436">
        <f t="shared" si="4"/>
        <v>195000000</v>
      </c>
      <c r="T30" s="436">
        <f t="shared" si="5"/>
        <v>0</v>
      </c>
    </row>
    <row r="31" spans="1:20" ht="7.55" customHeight="1">
      <c r="A31" s="3346"/>
      <c r="B31" s="3347"/>
      <c r="C31" s="3347"/>
      <c r="D31" s="3347"/>
      <c r="E31" s="3347"/>
      <c r="F31" s="3347"/>
      <c r="G31" s="3348"/>
      <c r="H31" s="2853"/>
      <c r="I31" s="1318"/>
      <c r="J31" s="3035"/>
      <c r="K31" s="3508"/>
      <c r="L31" s="3508"/>
      <c r="M31" s="3508"/>
      <c r="N31" s="3508"/>
      <c r="O31" s="3508"/>
      <c r="P31" s="3508"/>
      <c r="Q31" s="3338"/>
      <c r="R31" s="3349"/>
      <c r="S31" s="436">
        <f t="shared" si="4"/>
        <v>0</v>
      </c>
      <c r="T31" s="436">
        <f t="shared" si="5"/>
        <v>0</v>
      </c>
    </row>
    <row r="32" spans="1:20" s="3493" customFormat="1" ht="16.45" customHeight="1">
      <c r="A32" s="3498" t="s">
        <v>78</v>
      </c>
      <c r="B32" s="3485">
        <v>4</v>
      </c>
      <c r="C32" s="3485">
        <v>1</v>
      </c>
      <c r="D32" s="3485">
        <v>3</v>
      </c>
      <c r="E32" s="3485"/>
      <c r="F32" s="3485"/>
      <c r="G32" s="3495" t="s">
        <v>1082</v>
      </c>
      <c r="H32" s="3496" t="s">
        <v>1090</v>
      </c>
      <c r="I32" s="3488"/>
      <c r="J32" s="3489"/>
      <c r="K32" s="3503">
        <f>K33+K41</f>
        <v>157964885190</v>
      </c>
      <c r="L32" s="3503">
        <f>L33+L41</f>
        <v>72827611744</v>
      </c>
      <c r="M32" s="3503">
        <f>M33+M41</f>
        <v>92558485190</v>
      </c>
      <c r="N32" s="3503">
        <f>N33+N41</f>
        <v>0</v>
      </c>
      <c r="O32" s="3503">
        <f>O33+O41</f>
        <v>90943853577</v>
      </c>
      <c r="P32" s="3863">
        <f>O32-M32</f>
        <v>-1614631613</v>
      </c>
      <c r="Q32" s="3490">
        <f t="shared" si="1"/>
        <v>-1.7444447256084175</v>
      </c>
      <c r="R32" s="3499"/>
      <c r="S32" s="436">
        <f t="shared" si="4"/>
        <v>-1614631613</v>
      </c>
      <c r="T32" s="3492">
        <f t="shared" si="5"/>
        <v>0</v>
      </c>
    </row>
    <row r="33" spans="1:20">
      <c r="A33" s="3339"/>
      <c r="B33" s="3340">
        <v>4</v>
      </c>
      <c r="C33" s="3340">
        <v>1</v>
      </c>
      <c r="D33" s="3340">
        <v>3</v>
      </c>
      <c r="E33" s="3340" t="s">
        <v>437</v>
      </c>
      <c r="F33" s="3340"/>
      <c r="G33" s="3350"/>
      <c r="H33" s="3089" t="s">
        <v>1091</v>
      </c>
      <c r="I33" s="212"/>
      <c r="J33" s="225"/>
      <c r="K33" s="3504">
        <f>SUM(K34:K40)</f>
        <v>157964885190</v>
      </c>
      <c r="L33" s="3504">
        <f>SUM(L34:L40)</f>
        <v>72827611744</v>
      </c>
      <c r="M33" s="3504">
        <f>SUM(M34:M40)</f>
        <v>90558485190</v>
      </c>
      <c r="N33" s="3504">
        <f>SUM(N34:N40)</f>
        <v>0</v>
      </c>
      <c r="O33" s="3504">
        <f>SUM(O34:O40)</f>
        <v>88943853577</v>
      </c>
      <c r="P33" s="3864">
        <f>O33-M33</f>
        <v>-1614631613</v>
      </c>
      <c r="Q33" s="3690">
        <f t="shared" si="1"/>
        <v>-1.7829710927831428</v>
      </c>
      <c r="R33" s="3351"/>
      <c r="S33" s="436">
        <f t="shared" si="4"/>
        <v>-1614631613</v>
      </c>
      <c r="T33" s="436">
        <f t="shared" si="5"/>
        <v>0</v>
      </c>
    </row>
    <row r="34" spans="1:20">
      <c r="A34" s="3342"/>
      <c r="B34" s="3343"/>
      <c r="C34" s="3343"/>
      <c r="D34" s="3343"/>
      <c r="E34" s="3343"/>
      <c r="F34" s="3343"/>
      <c r="G34" s="3352">
        <v>1</v>
      </c>
      <c r="H34" s="199" t="s">
        <v>197</v>
      </c>
      <c r="I34" s="200"/>
      <c r="J34" s="217"/>
      <c r="K34" s="3505">
        <f>+'KOM opsi 1'!J217</f>
        <v>59958450102</v>
      </c>
      <c r="L34" s="3505">
        <f>+'KOM opsi 1'!K217</f>
        <v>59958510102</v>
      </c>
      <c r="M34" s="3505">
        <f>+'KOM opsi 1'!L217</f>
        <v>59958450102</v>
      </c>
      <c r="N34" s="3505">
        <f>+'KOM opsi 1'!O217</f>
        <v>0</v>
      </c>
      <c r="O34" s="3505">
        <f>'KOM opsi 2'!P216</f>
        <v>60000000000</v>
      </c>
      <c r="P34" s="3505">
        <f>O34-M34</f>
        <v>41549898</v>
      </c>
      <c r="Q34" s="3692">
        <f t="shared" si="1"/>
        <v>6.9297818621592455E-2</v>
      </c>
      <c r="R34" s="3353"/>
      <c r="S34" s="436">
        <f t="shared" si="4"/>
        <v>41549898</v>
      </c>
      <c r="T34" s="436">
        <f t="shared" si="5"/>
        <v>0</v>
      </c>
    </row>
    <row r="35" spans="1:20">
      <c r="A35" s="3342"/>
      <c r="B35" s="3343"/>
      <c r="C35" s="3343"/>
      <c r="D35" s="3343"/>
      <c r="E35" s="3343"/>
      <c r="F35" s="3343"/>
      <c r="G35" s="3352">
        <v>2</v>
      </c>
      <c r="H35" s="199" t="s">
        <v>1092</v>
      </c>
      <c r="I35" s="200"/>
      <c r="J35" s="217"/>
      <c r="K35" s="3505">
        <f>+'KOM opsi 1'!J216</f>
        <v>11374571865</v>
      </c>
      <c r="L35" s="3505">
        <f>+'KOM opsi 1'!K216</f>
        <v>11631764969</v>
      </c>
      <c r="M35" s="3505">
        <f>+'KOM opsi 1'!L216</f>
        <v>13374571865</v>
      </c>
      <c r="N35" s="3505">
        <f>+'KOM opsi 1'!O216</f>
        <v>0</v>
      </c>
      <c r="O35" s="3505">
        <f>'KOM opsi 2'!P215</f>
        <v>11305220112</v>
      </c>
      <c r="P35" s="3862">
        <f t="shared" ref="P35:P41" si="6">O35-M35</f>
        <v>-2069351753</v>
      </c>
      <c r="Q35" s="3692">
        <f t="shared" si="1"/>
        <v>-15.472284076735946</v>
      </c>
      <c r="R35" s="3353"/>
      <c r="S35" s="436">
        <f t="shared" si="4"/>
        <v>-2069351753</v>
      </c>
      <c r="T35" s="436">
        <f t="shared" si="5"/>
        <v>0</v>
      </c>
    </row>
    <row r="36" spans="1:20">
      <c r="A36" s="3342"/>
      <c r="B36" s="3343"/>
      <c r="C36" s="3343"/>
      <c r="D36" s="3343"/>
      <c r="E36" s="3343"/>
      <c r="F36" s="3343"/>
      <c r="G36" s="3352">
        <v>3</v>
      </c>
      <c r="H36" s="199" t="s">
        <v>769</v>
      </c>
      <c r="I36" s="200"/>
      <c r="J36" s="217"/>
      <c r="K36" s="3505">
        <f>+'KOM opsi 1'!J218</f>
        <v>1000000000</v>
      </c>
      <c r="L36" s="3505">
        <f>+'KOM opsi 1'!K218</f>
        <v>1000000000</v>
      </c>
      <c r="M36" s="3505">
        <f>+'KOM opsi 1'!L218</f>
        <v>1000000000</v>
      </c>
      <c r="N36" s="3505">
        <f>+'KOM opsi 1'!O218</f>
        <v>0</v>
      </c>
      <c r="O36" s="3505">
        <f>'KOM opsi 2'!P217</f>
        <v>1100000000</v>
      </c>
      <c r="P36" s="3505">
        <f t="shared" si="6"/>
        <v>100000000</v>
      </c>
      <c r="Q36" s="3692">
        <f t="shared" si="1"/>
        <v>10.000000000000014</v>
      </c>
      <c r="R36" s="3353"/>
      <c r="S36" s="436">
        <f t="shared" si="4"/>
        <v>100000000</v>
      </c>
      <c r="T36" s="436">
        <f t="shared" si="5"/>
        <v>0</v>
      </c>
    </row>
    <row r="37" spans="1:20">
      <c r="A37" s="3342"/>
      <c r="B37" s="3343"/>
      <c r="C37" s="3343"/>
      <c r="D37" s="3343"/>
      <c r="E37" s="3343"/>
      <c r="F37" s="3343"/>
      <c r="G37" s="3352">
        <v>4</v>
      </c>
      <c r="H37" s="199" t="s">
        <v>199</v>
      </c>
      <c r="I37" s="200"/>
      <c r="J37" s="217"/>
      <c r="K37" s="3505">
        <f>+'KOM opsi 1'!J219</f>
        <v>85406400000</v>
      </c>
      <c r="L37" s="3505">
        <f>+'KOM opsi 1'!K219</f>
        <v>0</v>
      </c>
      <c r="M37" s="3505">
        <f>+'KOM opsi 1'!L219</f>
        <v>16000000000</v>
      </c>
      <c r="N37" s="3505">
        <f>+'KOM opsi 1'!O219</f>
        <v>0</v>
      </c>
      <c r="O37" s="3505">
        <f>'KOM opsi 2'!P218</f>
        <v>16000000000</v>
      </c>
      <c r="P37" s="3505">
        <f t="shared" si="6"/>
        <v>0</v>
      </c>
      <c r="Q37" s="3692">
        <f t="shared" si="1"/>
        <v>0</v>
      </c>
      <c r="R37" s="3353"/>
      <c r="S37" s="436">
        <f t="shared" si="4"/>
        <v>0</v>
      </c>
      <c r="T37" s="436">
        <f t="shared" si="5"/>
        <v>0</v>
      </c>
    </row>
    <row r="38" spans="1:20">
      <c r="A38" s="3342"/>
      <c r="B38" s="3343"/>
      <c r="C38" s="3343"/>
      <c r="D38" s="3343"/>
      <c r="E38" s="3343"/>
      <c r="F38" s="3343"/>
      <c r="G38" s="3352">
        <v>5</v>
      </c>
      <c r="H38" s="199" t="s">
        <v>200</v>
      </c>
      <c r="I38" s="200"/>
      <c r="J38" s="217"/>
      <c r="K38" s="3505" t="str">
        <f>+'KOM opsi 1'!J220</f>
        <v>-</v>
      </c>
      <c r="L38" s="3505">
        <f>+'KOM opsi 1'!K220</f>
        <v>0</v>
      </c>
      <c r="M38" s="3505">
        <f>+'KOM opsi 1'!L220</f>
        <v>0</v>
      </c>
      <c r="N38" s="3505">
        <f>+'KOM opsi 1'!O220</f>
        <v>0</v>
      </c>
      <c r="O38" s="3505">
        <f>'KOM opsi 2'!P219</f>
        <v>0</v>
      </c>
      <c r="P38" s="3505">
        <f t="shared" si="6"/>
        <v>0</v>
      </c>
      <c r="Q38" s="3692"/>
      <c r="R38" s="3353"/>
      <c r="S38" s="436">
        <f t="shared" si="4"/>
        <v>0</v>
      </c>
      <c r="T38" s="436">
        <f t="shared" si="5"/>
        <v>0</v>
      </c>
    </row>
    <row r="39" spans="1:20">
      <c r="A39" s="3342"/>
      <c r="B39" s="3343"/>
      <c r="C39" s="3343"/>
      <c r="D39" s="3343"/>
      <c r="E39" s="3343"/>
      <c r="F39" s="3343"/>
      <c r="G39" s="3352">
        <v>6</v>
      </c>
      <c r="H39" s="199" t="s">
        <v>1093</v>
      </c>
      <c r="I39" s="200"/>
      <c r="J39" s="217"/>
      <c r="K39" s="3505">
        <f>+'KOM opsi 1'!J221</f>
        <v>136702012</v>
      </c>
      <c r="L39" s="3505">
        <f>+'KOM opsi 1'!K221</f>
        <v>136702012</v>
      </c>
      <c r="M39" s="3505">
        <f>+'KOM opsi 1'!L221</f>
        <v>136702012</v>
      </c>
      <c r="N39" s="3505">
        <f>+'KOM opsi 1'!O221</f>
        <v>0</v>
      </c>
      <c r="O39" s="3505">
        <f>'KOM opsi 2'!P220</f>
        <v>437998804</v>
      </c>
      <c r="P39" s="3505">
        <f t="shared" si="6"/>
        <v>301296792</v>
      </c>
      <c r="Q39" s="3692">
        <f t="shared" si="1"/>
        <v>220.40406545003884</v>
      </c>
      <c r="R39" s="3353"/>
      <c r="S39" s="436">
        <f t="shared" si="4"/>
        <v>301296792</v>
      </c>
      <c r="T39" s="436">
        <f t="shared" si="5"/>
        <v>0</v>
      </c>
    </row>
    <row r="40" spans="1:20">
      <c r="A40" s="3342"/>
      <c r="B40" s="3343"/>
      <c r="C40" s="3343"/>
      <c r="D40" s="3343"/>
      <c r="E40" s="3343"/>
      <c r="F40" s="3343"/>
      <c r="G40" s="3352">
        <v>7</v>
      </c>
      <c r="H40" s="199" t="s">
        <v>770</v>
      </c>
      <c r="I40" s="200"/>
      <c r="J40" s="217"/>
      <c r="K40" s="3505">
        <f>+'KOM opsi 1'!J222</f>
        <v>88761211</v>
      </c>
      <c r="L40" s="3505">
        <f>+'KOM opsi 1'!K222</f>
        <v>100634661</v>
      </c>
      <c r="M40" s="3505">
        <f>+'KOM opsi 1'!L222</f>
        <v>88761211</v>
      </c>
      <c r="N40" s="3505">
        <f>+'KOM opsi 1'!O222</f>
        <v>0</v>
      </c>
      <c r="O40" s="3505">
        <f>'KOM opsi 2'!P221</f>
        <v>100634661</v>
      </c>
      <c r="P40" s="3505">
        <f t="shared" si="6"/>
        <v>11873450</v>
      </c>
      <c r="Q40" s="3692">
        <f t="shared" si="1"/>
        <v>13.376845433079993</v>
      </c>
      <c r="R40" s="3353"/>
      <c r="S40" s="436">
        <f t="shared" si="4"/>
        <v>11873450</v>
      </c>
      <c r="T40" s="436">
        <f t="shared" si="5"/>
        <v>0</v>
      </c>
    </row>
    <row r="41" spans="1:20" s="190" customFormat="1">
      <c r="A41" s="3342"/>
      <c r="B41" s="3343"/>
      <c r="C41" s="3343"/>
      <c r="D41" s="3343"/>
      <c r="E41" s="3343"/>
      <c r="F41" s="3343"/>
      <c r="G41" s="3344">
        <v>8</v>
      </c>
      <c r="H41" s="1856" t="s">
        <v>203</v>
      </c>
      <c r="I41" s="202"/>
      <c r="J41" s="218"/>
      <c r="K41" s="3505">
        <v>0</v>
      </c>
      <c r="L41" s="3505">
        <v>0</v>
      </c>
      <c r="M41" s="3505">
        <f>+'KOM opsi 1'!L224</f>
        <v>2000000000</v>
      </c>
      <c r="N41" s="3505">
        <f>+'KOM opsi 1'!O224</f>
        <v>0</v>
      </c>
      <c r="O41" s="3505">
        <f>'KOM opsi 2'!P223</f>
        <v>2000000000</v>
      </c>
      <c r="P41" s="3505">
        <f t="shared" si="6"/>
        <v>0</v>
      </c>
      <c r="Q41" s="3692">
        <f t="shared" si="1"/>
        <v>0</v>
      </c>
      <c r="R41" s="3354"/>
      <c r="S41" s="436">
        <f t="shared" si="4"/>
        <v>0</v>
      </c>
      <c r="T41" s="436">
        <f t="shared" si="5"/>
        <v>0</v>
      </c>
    </row>
    <row r="42" spans="1:20" ht="7.55" customHeight="1">
      <c r="A42" s="3533"/>
      <c r="B42" s="3534"/>
      <c r="C42" s="3534"/>
      <c r="D42" s="3534"/>
      <c r="E42" s="3534"/>
      <c r="F42" s="3534"/>
      <c r="G42" s="3535"/>
      <c r="H42" s="3536"/>
      <c r="I42" s="3537"/>
      <c r="J42" s="3538"/>
      <c r="K42" s="3539"/>
      <c r="L42" s="3539"/>
      <c r="M42" s="3539"/>
      <c r="N42" s="3539"/>
      <c r="O42" s="3539"/>
      <c r="P42" s="3539"/>
      <c r="Q42" s="3540"/>
      <c r="R42" s="3541"/>
      <c r="S42" s="436">
        <f t="shared" si="4"/>
        <v>0</v>
      </c>
      <c r="T42" s="436">
        <f t="shared" si="5"/>
        <v>0</v>
      </c>
    </row>
    <row r="43" spans="1:20" s="3493" customFormat="1" ht="16.45" customHeight="1">
      <c r="A43" s="3526" t="s">
        <v>100</v>
      </c>
      <c r="B43" s="3527">
        <v>4</v>
      </c>
      <c r="C43" s="3527">
        <v>1</v>
      </c>
      <c r="D43" s="3527">
        <v>4</v>
      </c>
      <c r="E43" s="3527"/>
      <c r="F43" s="3527"/>
      <c r="G43" s="3528" t="s">
        <v>1082</v>
      </c>
      <c r="H43" s="3529" t="s">
        <v>71</v>
      </c>
      <c r="I43" s="3530"/>
      <c r="J43" s="3531"/>
      <c r="K43" s="3521">
        <f>SUM(K44:K56)</f>
        <v>224639588129</v>
      </c>
      <c r="L43" s="3521">
        <f>SUM(L44:L56)</f>
        <v>243089557831.42999</v>
      </c>
      <c r="M43" s="3521">
        <f>SUM(M44:M56)</f>
        <v>268454484234</v>
      </c>
      <c r="N43" s="3521">
        <f>SUM(N44:N56)</f>
        <v>50008306060.729996</v>
      </c>
      <c r="O43" s="3521">
        <f>SUM(O44:O56)</f>
        <v>272810796075</v>
      </c>
      <c r="P43" s="3521">
        <f>O43-M43</f>
        <v>4356311841</v>
      </c>
      <c r="Q43" s="3490">
        <f t="shared" si="1"/>
        <v>1.6227375949521559</v>
      </c>
      <c r="R43" s="3532"/>
      <c r="S43" s="436">
        <f t="shared" si="4"/>
        <v>4356311841</v>
      </c>
      <c r="T43" s="3492">
        <f t="shared" si="5"/>
        <v>0</v>
      </c>
    </row>
    <row r="44" spans="1:20">
      <c r="A44" s="3355"/>
      <c r="B44" s="3356">
        <v>4</v>
      </c>
      <c r="C44" s="3356">
        <v>1</v>
      </c>
      <c r="D44" s="3356">
        <v>4</v>
      </c>
      <c r="E44" s="3356" t="s">
        <v>437</v>
      </c>
      <c r="F44" s="3356"/>
      <c r="G44" s="3356">
        <v>1</v>
      </c>
      <c r="H44" s="224" t="s">
        <v>1094</v>
      </c>
      <c r="I44" s="224"/>
      <c r="J44" s="3088"/>
      <c r="K44" s="3509">
        <f>+'KOM opsi 1'!J227</f>
        <v>250000000</v>
      </c>
      <c r="L44" s="3509">
        <f>+'KOM opsi 1'!K227</f>
        <v>25364000</v>
      </c>
      <c r="M44" s="3509">
        <f>+'KOM opsi 1'!L227</f>
        <v>250000000</v>
      </c>
      <c r="N44" s="3509">
        <f>+'KOM opsi 1'!O227</f>
        <v>0</v>
      </c>
      <c r="O44" s="3509">
        <f>'KOM opsi 2'!P226</f>
        <v>250000000</v>
      </c>
      <c r="P44" s="3509">
        <f>+'KOM opsi 1'!Q227</f>
        <v>0</v>
      </c>
      <c r="Q44" s="3693">
        <f t="shared" si="1"/>
        <v>0</v>
      </c>
      <c r="R44" s="3357"/>
      <c r="S44" s="436">
        <f t="shared" si="4"/>
        <v>0</v>
      </c>
      <c r="T44" s="436">
        <f t="shared" si="5"/>
        <v>0</v>
      </c>
    </row>
    <row r="45" spans="1:20">
      <c r="A45" s="3358"/>
      <c r="B45" s="3359">
        <v>4</v>
      </c>
      <c r="C45" s="3359">
        <v>1</v>
      </c>
      <c r="D45" s="3359">
        <v>4</v>
      </c>
      <c r="E45" s="3359" t="s">
        <v>438</v>
      </c>
      <c r="F45" s="3359"/>
      <c r="G45" s="3359">
        <v>2</v>
      </c>
      <c r="H45" s="200" t="s">
        <v>212</v>
      </c>
      <c r="I45" s="200"/>
      <c r="J45" s="217"/>
      <c r="K45" s="3505">
        <f>+'KOM opsi 1'!J234</f>
        <v>4500000000</v>
      </c>
      <c r="L45" s="3505">
        <f>+'KOM opsi 1'!K234</f>
        <v>12549664258.33</v>
      </c>
      <c r="M45" s="3505">
        <f>+'KOM opsi 1'!L234</f>
        <v>4500000000</v>
      </c>
      <c r="N45" s="3505">
        <f>+'KOM opsi 1'!O234</f>
        <v>3095128647</v>
      </c>
      <c r="O45" s="3505">
        <f>'KOM opsi 2'!P233</f>
        <v>7037000000</v>
      </c>
      <c r="P45" s="3505">
        <f>+'KOM opsi 1'!Q234</f>
        <v>2537000000</v>
      </c>
      <c r="Q45" s="3691">
        <f t="shared" si="1"/>
        <v>56.377777777777766</v>
      </c>
      <c r="R45" s="3353"/>
      <c r="S45" s="436">
        <f t="shared" si="4"/>
        <v>2537000000</v>
      </c>
      <c r="T45" s="436">
        <f t="shared" si="5"/>
        <v>0</v>
      </c>
    </row>
    <row r="46" spans="1:20">
      <c r="A46" s="3358"/>
      <c r="B46" s="3359">
        <v>4</v>
      </c>
      <c r="C46" s="3359">
        <v>1</v>
      </c>
      <c r="D46" s="3359">
        <v>4</v>
      </c>
      <c r="E46" s="3359" t="s">
        <v>440</v>
      </c>
      <c r="F46" s="3359"/>
      <c r="G46" s="3359">
        <v>3</v>
      </c>
      <c r="H46" s="200" t="s">
        <v>1095</v>
      </c>
      <c r="I46" s="200"/>
      <c r="J46" s="217"/>
      <c r="K46" s="3505">
        <f>+'KOM opsi 1'!J240</f>
        <v>6875000000</v>
      </c>
      <c r="L46" s="3505">
        <f>+'KOM opsi 1'!K240</f>
        <v>9375000000</v>
      </c>
      <c r="M46" s="3505">
        <f>+'KOM opsi 1'!L240</f>
        <v>6875000000</v>
      </c>
      <c r="N46" s="3505">
        <f>+'KOM opsi 1'!O240</f>
        <v>875000000</v>
      </c>
      <c r="O46" s="3505">
        <f>'KOM opsi 2'!P239</f>
        <v>7000000000</v>
      </c>
      <c r="P46" s="3505">
        <f>+'KOM opsi 1'!Q240</f>
        <v>125000000</v>
      </c>
      <c r="Q46" s="3691">
        <f t="shared" si="1"/>
        <v>1.818181818181813</v>
      </c>
      <c r="R46" s="3353"/>
      <c r="S46" s="436">
        <f t="shared" si="4"/>
        <v>125000000</v>
      </c>
      <c r="T46" s="436">
        <f t="shared" si="5"/>
        <v>0</v>
      </c>
    </row>
    <row r="47" spans="1:20">
      <c r="A47" s="3358"/>
      <c r="B47" s="3359">
        <v>4</v>
      </c>
      <c r="C47" s="3359">
        <v>1</v>
      </c>
      <c r="D47" s="3359">
        <v>4</v>
      </c>
      <c r="E47" s="3359" t="s">
        <v>445</v>
      </c>
      <c r="F47" s="3359"/>
      <c r="G47" s="3359">
        <v>4</v>
      </c>
      <c r="H47" s="200" t="s">
        <v>1096</v>
      </c>
      <c r="I47" s="200"/>
      <c r="J47" s="217"/>
      <c r="K47" s="3505">
        <f>+'KOM opsi 1'!J243</f>
        <v>1205211975</v>
      </c>
      <c r="L47" s="3505">
        <f>+'KOM opsi 1'!K243</f>
        <v>354139064.23000002</v>
      </c>
      <c r="M47" s="3505">
        <f>+'KOM opsi 1'!L243</f>
        <v>1205211975</v>
      </c>
      <c r="N47" s="3505">
        <f>+'KOM opsi 1'!O243</f>
        <v>200000</v>
      </c>
      <c r="O47" s="3505">
        <f>'KOM opsi 2'!P242</f>
        <v>1205211975</v>
      </c>
      <c r="P47" s="3505">
        <f>+'KOM opsi 1'!Q243</f>
        <v>0</v>
      </c>
      <c r="Q47" s="3691">
        <f t="shared" si="1"/>
        <v>0</v>
      </c>
      <c r="R47" s="3353"/>
      <c r="S47" s="436">
        <f t="shared" si="4"/>
        <v>0</v>
      </c>
      <c r="T47" s="436">
        <f t="shared" si="5"/>
        <v>0</v>
      </c>
    </row>
    <row r="48" spans="1:20">
      <c r="A48" s="3358"/>
      <c r="B48" s="3359">
        <v>4</v>
      </c>
      <c r="C48" s="3359">
        <v>1</v>
      </c>
      <c r="D48" s="3359">
        <v>4</v>
      </c>
      <c r="E48" s="3359" t="s">
        <v>441</v>
      </c>
      <c r="F48" s="3359"/>
      <c r="G48" s="3359">
        <v>6</v>
      </c>
      <c r="H48" s="200" t="s">
        <v>1097</v>
      </c>
      <c r="I48" s="200"/>
      <c r="J48" s="218"/>
      <c r="K48" s="3505">
        <f>+'KOM opsi 1'!J247</f>
        <v>0</v>
      </c>
      <c r="L48" s="3505">
        <f>+'KOM opsi 1'!K247</f>
        <v>810940665.47000003</v>
      </c>
      <c r="M48" s="3505">
        <f>+'KOM opsi 1'!L247</f>
        <v>0</v>
      </c>
      <c r="N48" s="3505">
        <f>+'KOM opsi 1'!O247</f>
        <v>82408456.790000007</v>
      </c>
      <c r="O48" s="3505">
        <f>'KOM opsi 2'!P246</f>
        <v>82408000</v>
      </c>
      <c r="P48" s="3505">
        <f>+'KOM opsi 1'!Q247</f>
        <v>82408000</v>
      </c>
      <c r="Q48" s="3691"/>
      <c r="R48" s="3353"/>
      <c r="S48" s="436">
        <f t="shared" si="4"/>
        <v>82408000</v>
      </c>
      <c r="T48" s="436">
        <f t="shared" si="5"/>
        <v>0</v>
      </c>
    </row>
    <row r="49" spans="1:38">
      <c r="A49" s="3358"/>
      <c r="B49" s="3359">
        <v>4</v>
      </c>
      <c r="C49" s="3359">
        <v>1</v>
      </c>
      <c r="D49" s="3359">
        <v>4</v>
      </c>
      <c r="E49" s="3359" t="s">
        <v>456</v>
      </c>
      <c r="F49" s="3359"/>
      <c r="G49" s="3359">
        <v>7</v>
      </c>
      <c r="H49" s="200" t="s">
        <v>1098</v>
      </c>
      <c r="I49" s="200"/>
      <c r="J49" s="218"/>
      <c r="K49" s="3505">
        <f>+'KOM opsi 1'!J265</f>
        <v>18548560000</v>
      </c>
      <c r="L49" s="3505">
        <f>+'KOM opsi 1'!K265</f>
        <v>19634060483</v>
      </c>
      <c r="M49" s="3505">
        <f>+'KOM opsi 1'!L265</f>
        <v>18548560000</v>
      </c>
      <c r="N49" s="3505">
        <f>+'KOM opsi 1'!O265</f>
        <v>5482717061</v>
      </c>
      <c r="O49" s="3505">
        <f>'KOM opsi 2'!P264</f>
        <v>20350000000</v>
      </c>
      <c r="P49" s="3505">
        <f>+'KOM opsi 1'!Q265</f>
        <v>1801440000</v>
      </c>
      <c r="Q49" s="3691">
        <f t="shared" si="1"/>
        <v>9.7120207714237665</v>
      </c>
      <c r="R49" s="3353"/>
      <c r="S49" s="436">
        <f t="shared" si="4"/>
        <v>1801440000</v>
      </c>
      <c r="T49" s="436">
        <f t="shared" si="5"/>
        <v>0</v>
      </c>
    </row>
    <row r="50" spans="1:38">
      <c r="A50" s="3358"/>
      <c r="B50" s="3359">
        <v>4</v>
      </c>
      <c r="C50" s="3359">
        <v>1</v>
      </c>
      <c r="D50" s="3359">
        <v>4</v>
      </c>
      <c r="E50" s="3359" t="s">
        <v>448</v>
      </c>
      <c r="F50" s="3359"/>
      <c r="G50" s="3359">
        <v>9</v>
      </c>
      <c r="H50" s="200" t="s">
        <v>1070</v>
      </c>
      <c r="I50" s="200"/>
      <c r="J50" s="218"/>
      <c r="K50" s="3505">
        <f>+'KOM opsi 1'!J288</f>
        <v>235536159</v>
      </c>
      <c r="L50" s="3505">
        <f>+'KOM opsi 1'!K288</f>
        <v>12930312</v>
      </c>
      <c r="M50" s="3505">
        <f>+'KOM opsi 1'!L288</f>
        <v>235536159</v>
      </c>
      <c r="N50" s="3505">
        <f>+'KOM opsi 1'!O288</f>
        <v>1253496</v>
      </c>
      <c r="O50" s="3505">
        <f>'KOM opsi 2'!P287</f>
        <v>31000000</v>
      </c>
      <c r="P50" s="3500">
        <f>+'KOM opsi 1'!Q288</f>
        <v>-204536159</v>
      </c>
      <c r="Q50" s="3691">
        <f t="shared" si="1"/>
        <v>-86.838538875892937</v>
      </c>
      <c r="R50" s="3353"/>
      <c r="S50" s="436">
        <f t="shared" si="4"/>
        <v>-204536159</v>
      </c>
      <c r="T50" s="436">
        <f t="shared" si="5"/>
        <v>0</v>
      </c>
    </row>
    <row r="51" spans="1:38">
      <c r="A51" s="3358"/>
      <c r="B51" s="3359">
        <v>4</v>
      </c>
      <c r="C51" s="3359">
        <v>1</v>
      </c>
      <c r="D51" s="3359">
        <v>4</v>
      </c>
      <c r="E51" s="3359">
        <v>12</v>
      </c>
      <c r="F51" s="3359"/>
      <c r="G51" s="3359">
        <v>10</v>
      </c>
      <c r="H51" s="200" t="s">
        <v>564</v>
      </c>
      <c r="I51" s="200"/>
      <c r="J51" s="218"/>
      <c r="K51" s="3505">
        <f>'KOM opsi 1'!L293</f>
        <v>0</v>
      </c>
      <c r="L51" s="3505">
        <f>'KOM opsi 1'!M293</f>
        <v>0</v>
      </c>
      <c r="M51" s="3505">
        <f>'KOM opsi 1'!N293</f>
        <v>0</v>
      </c>
      <c r="N51" s="3505">
        <f>'KOM opsi 1'!P293</f>
        <v>0</v>
      </c>
      <c r="O51" s="3505">
        <f>'KOM opsi 1'!Q293</f>
        <v>0</v>
      </c>
      <c r="P51" s="3505">
        <f>'KOM opsi 1'!R293</f>
        <v>0</v>
      </c>
      <c r="Q51" s="3691"/>
      <c r="R51" s="3353"/>
      <c r="S51" s="436">
        <f t="shared" si="4"/>
        <v>0</v>
      </c>
      <c r="T51" s="436">
        <f t="shared" si="5"/>
        <v>0</v>
      </c>
    </row>
    <row r="52" spans="1:38" s="191" customFormat="1">
      <c r="A52" s="3358"/>
      <c r="B52" s="3359">
        <v>4</v>
      </c>
      <c r="C52" s="3359">
        <v>1</v>
      </c>
      <c r="D52" s="3359">
        <v>4</v>
      </c>
      <c r="E52" s="3359">
        <v>13</v>
      </c>
      <c r="F52" s="3359"/>
      <c r="G52" s="3359">
        <v>11</v>
      </c>
      <c r="H52" s="200" t="s">
        <v>222</v>
      </c>
      <c r="I52" s="200"/>
      <c r="J52" s="218"/>
      <c r="K52" s="3505">
        <f>+'KOM opsi 1'!J296</f>
        <v>68944925050</v>
      </c>
      <c r="L52" s="3505">
        <f>+'KOM opsi 1'!K296</f>
        <v>62912738507.940002</v>
      </c>
      <c r="M52" s="3505">
        <f>+'KOM opsi 1'!L296</f>
        <v>73939763650</v>
      </c>
      <c r="N52" s="3505">
        <f>+'KOM opsi 1'!O296</f>
        <v>50207140</v>
      </c>
      <c r="O52" s="3505">
        <f>'KOM opsi 2'!P295</f>
        <v>73954763650</v>
      </c>
      <c r="P52" s="3505">
        <f>+'KOM opsi 1'!Q296</f>
        <v>15000000</v>
      </c>
      <c r="Q52" s="3691">
        <f t="shared" si="1"/>
        <v>2.0286783808231235E-2</v>
      </c>
      <c r="R52" s="3360"/>
      <c r="S52" s="436">
        <f t="shared" si="4"/>
        <v>15000000</v>
      </c>
      <c r="T52" s="436">
        <f t="shared" si="5"/>
        <v>0</v>
      </c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</row>
    <row r="53" spans="1:38" s="191" customFormat="1">
      <c r="A53" s="3358"/>
      <c r="B53" s="3359">
        <v>4</v>
      </c>
      <c r="C53" s="3359">
        <v>1</v>
      </c>
      <c r="D53" s="3359">
        <v>4</v>
      </c>
      <c r="E53" s="3359">
        <v>14</v>
      </c>
      <c r="F53" s="3359"/>
      <c r="G53" s="3359">
        <v>12</v>
      </c>
      <c r="H53" s="200" t="s">
        <v>998</v>
      </c>
      <c r="I53" s="200"/>
      <c r="J53" s="218"/>
      <c r="K53" s="3505">
        <v>7805834000</v>
      </c>
      <c r="L53" s="3505">
        <v>7177429000</v>
      </c>
      <c r="M53" s="3505">
        <f>+'KOM opsi 1'!L381</f>
        <v>4392225000</v>
      </c>
      <c r="N53" s="3505">
        <f>+'KOM opsi 1'!O381</f>
        <v>0</v>
      </c>
      <c r="O53" s="3505">
        <f>'KOM opsi 2'!P380</f>
        <v>4392225000</v>
      </c>
      <c r="P53" s="3505">
        <f>+'KOM opsi 1'!Q381</f>
        <v>0</v>
      </c>
      <c r="Q53" s="3691">
        <f t="shared" si="1"/>
        <v>0</v>
      </c>
      <c r="R53" s="3360"/>
      <c r="S53" s="436">
        <f t="shared" si="4"/>
        <v>0</v>
      </c>
      <c r="T53" s="436">
        <f t="shared" si="5"/>
        <v>0</v>
      </c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</row>
    <row r="54" spans="1:38">
      <c r="A54" s="3358"/>
      <c r="B54" s="3359">
        <v>4</v>
      </c>
      <c r="C54" s="3359">
        <v>1</v>
      </c>
      <c r="D54" s="3359">
        <v>4</v>
      </c>
      <c r="E54" s="3359">
        <v>15</v>
      </c>
      <c r="F54" s="3359"/>
      <c r="G54" s="3359">
        <v>13</v>
      </c>
      <c r="H54" s="200" t="s">
        <v>230</v>
      </c>
      <c r="I54" s="200"/>
      <c r="J54" s="218"/>
      <c r="K54" s="3505">
        <f>+'KOM opsi 1'!J365</f>
        <v>77234295</v>
      </c>
      <c r="L54" s="3505">
        <f>+'KOM opsi 1'!K365</f>
        <v>0</v>
      </c>
      <c r="M54" s="3505">
        <f>+'KOM opsi 1'!L365</f>
        <v>60900800</v>
      </c>
      <c r="N54" s="3505">
        <f>+'KOM opsi 1'!O365</f>
        <v>0</v>
      </c>
      <c r="O54" s="3505">
        <f>'KOM opsi 2'!P364</f>
        <v>60900800</v>
      </c>
      <c r="P54" s="3505">
        <f>+'KOM opsi 1'!Q365</f>
        <v>0</v>
      </c>
      <c r="Q54" s="3691">
        <f t="shared" si="1"/>
        <v>0</v>
      </c>
      <c r="R54" s="3353"/>
      <c r="S54" s="436">
        <f t="shared" si="4"/>
        <v>0</v>
      </c>
      <c r="T54" s="436">
        <f t="shared" si="5"/>
        <v>0</v>
      </c>
    </row>
    <row r="55" spans="1:38" ht="14.25" customHeight="1">
      <c r="A55" s="3358"/>
      <c r="B55" s="3359">
        <v>4</v>
      </c>
      <c r="C55" s="3359">
        <v>1</v>
      </c>
      <c r="D55" s="3359">
        <v>4</v>
      </c>
      <c r="E55" s="3359">
        <v>14</v>
      </c>
      <c r="F55" s="3359"/>
      <c r="G55" s="3361" t="s">
        <v>437</v>
      </c>
      <c r="H55" s="202" t="s">
        <v>1100</v>
      </c>
      <c r="I55" s="200"/>
      <c r="J55" s="218"/>
      <c r="K55" s="3506">
        <f>+'KOM opsi 1'!J387</f>
        <v>0</v>
      </c>
      <c r="L55" s="3506">
        <f>+'KOM opsi 1'!K387</f>
        <v>0</v>
      </c>
      <c r="M55" s="3506">
        <f>+'KOM opsi 1'!L387</f>
        <v>0</v>
      </c>
      <c r="N55" s="3506">
        <f>+'KOM opsi 1'!O387</f>
        <v>3135000</v>
      </c>
      <c r="O55" s="3506">
        <f>+'KOM opsi 1'!P387</f>
        <v>0</v>
      </c>
      <c r="P55" s="3506">
        <f>+'KOM opsi 1'!Q387</f>
        <v>0</v>
      </c>
      <c r="Q55" s="3694"/>
      <c r="R55" s="3353"/>
      <c r="S55" s="436">
        <f t="shared" si="4"/>
        <v>0</v>
      </c>
      <c r="T55" s="436">
        <f t="shared" si="5"/>
        <v>0</v>
      </c>
    </row>
    <row r="56" spans="1:38" ht="18.8" customHeight="1">
      <c r="A56" s="3362"/>
      <c r="B56" s="3363">
        <v>4</v>
      </c>
      <c r="C56" s="3363">
        <v>1</v>
      </c>
      <c r="D56" s="3363">
        <v>4</v>
      </c>
      <c r="E56" s="3363">
        <v>16</v>
      </c>
      <c r="F56" s="3363"/>
      <c r="G56" s="3364" t="s">
        <v>437</v>
      </c>
      <c r="H56" s="203" t="s">
        <v>89</v>
      </c>
      <c r="I56" s="203"/>
      <c r="J56" s="219"/>
      <c r="K56" s="3510">
        <f>+'KOM opsi 1'!J373</f>
        <v>116197286650</v>
      </c>
      <c r="L56" s="3510">
        <f>+'KOM opsi 1'!K373</f>
        <v>130237291540.46001</v>
      </c>
      <c r="M56" s="3510">
        <f>+'KOM opsi 1'!L373</f>
        <v>158447286650</v>
      </c>
      <c r="N56" s="3510">
        <f>+'KOM opsi 1'!O373</f>
        <v>40418256259.939995</v>
      </c>
      <c r="O56" s="3510">
        <f>'KOM opsi 2'!P371</f>
        <v>158447286650</v>
      </c>
      <c r="P56" s="3510">
        <f>+'KOM opsi 1'!Q373</f>
        <v>0</v>
      </c>
      <c r="Q56" s="3691">
        <f t="shared" si="1"/>
        <v>0</v>
      </c>
      <c r="R56" s="3365"/>
      <c r="S56" s="436">
        <f t="shared" si="4"/>
        <v>0</v>
      </c>
      <c r="T56" s="436">
        <f t="shared" si="5"/>
        <v>0</v>
      </c>
    </row>
    <row r="57" spans="1:38" ht="6.75" customHeight="1">
      <c r="A57" s="3366"/>
      <c r="B57" s="3367"/>
      <c r="C57" s="3367"/>
      <c r="D57" s="3367"/>
      <c r="E57" s="3367"/>
      <c r="F57" s="3367"/>
      <c r="G57" s="3367"/>
      <c r="H57" s="203"/>
      <c r="I57" s="203"/>
      <c r="J57" s="219"/>
      <c r="K57" s="3510"/>
      <c r="L57" s="3510"/>
      <c r="M57" s="3510"/>
      <c r="N57" s="3510"/>
      <c r="O57" s="3510"/>
      <c r="P57" s="3510"/>
      <c r="Q57" s="3338"/>
      <c r="R57" s="3365"/>
      <c r="S57" s="436">
        <f t="shared" si="4"/>
        <v>0</v>
      </c>
      <c r="T57" s="436">
        <f t="shared" si="5"/>
        <v>0</v>
      </c>
    </row>
    <row r="58" spans="1:38" s="3416" customFormat="1" ht="16.45" customHeight="1">
      <c r="A58" s="3409" t="s">
        <v>78</v>
      </c>
      <c r="B58" s="3410" t="s">
        <v>443</v>
      </c>
      <c r="C58" s="3410" t="s">
        <v>460</v>
      </c>
      <c r="D58" s="3410"/>
      <c r="E58" s="3410"/>
      <c r="F58" s="3411"/>
      <c r="G58" s="3412"/>
      <c r="H58" s="3413" t="s">
        <v>236</v>
      </c>
      <c r="I58" s="3414"/>
      <c r="J58" s="3414"/>
      <c r="K58" s="3511">
        <f>K59+K62+K63</f>
        <v>2333604004580</v>
      </c>
      <c r="L58" s="3511">
        <f>L59+L62+L63</f>
        <v>2587184362905</v>
      </c>
      <c r="M58" s="3511">
        <f>M59+M62+M63</f>
        <v>3222521202310</v>
      </c>
      <c r="N58" s="3511">
        <f>N59+N62+N63</f>
        <v>829709441911</v>
      </c>
      <c r="O58" s="3511">
        <f>O59+O62+O63</f>
        <v>3116570908600</v>
      </c>
      <c r="P58" s="3511">
        <f>O58-M58</f>
        <v>-105950293710</v>
      </c>
      <c r="Q58" s="3406">
        <f t="shared" si="1"/>
        <v>-3.2878074978700482</v>
      </c>
      <c r="R58" s="3415"/>
      <c r="S58" s="436">
        <f t="shared" si="4"/>
        <v>-105950293710</v>
      </c>
      <c r="T58" s="3407">
        <f t="shared" si="5"/>
        <v>0</v>
      </c>
    </row>
    <row r="59" spans="1:38">
      <c r="A59" s="3368"/>
      <c r="B59" s="3369">
        <v>4</v>
      </c>
      <c r="C59" s="3369">
        <v>2</v>
      </c>
      <c r="D59" s="3369">
        <v>1</v>
      </c>
      <c r="E59" s="3369"/>
      <c r="F59" s="3369"/>
      <c r="G59" s="3370"/>
      <c r="H59" s="204" t="s">
        <v>1102</v>
      </c>
      <c r="I59" s="204"/>
      <c r="J59" s="220"/>
      <c r="K59" s="3512">
        <f t="shared" ref="K59:P59" si="7">SUM(K60:K61)</f>
        <v>247954406000</v>
      </c>
      <c r="L59" s="3512">
        <f t="shared" si="7"/>
        <v>375036424549</v>
      </c>
      <c r="M59" s="3512">
        <f t="shared" si="7"/>
        <v>353125684600</v>
      </c>
      <c r="N59" s="3512">
        <f t="shared" si="7"/>
        <v>120779891911</v>
      </c>
      <c r="O59" s="3512">
        <f t="shared" si="7"/>
        <v>328125684600</v>
      </c>
      <c r="P59" s="3512">
        <f t="shared" si="7"/>
        <v>140058391400</v>
      </c>
      <c r="Q59" s="3693">
        <f t="shared" si="1"/>
        <v>-7.0796322924849022</v>
      </c>
      <c r="R59" s="3371"/>
      <c r="S59" s="436">
        <f t="shared" si="4"/>
        <v>-25000000000</v>
      </c>
      <c r="T59" s="436">
        <f t="shared" si="5"/>
        <v>-165058391400</v>
      </c>
    </row>
    <row r="60" spans="1:38">
      <c r="A60" s="3372"/>
      <c r="B60" s="3373"/>
      <c r="C60" s="3373"/>
      <c r="D60" s="3373"/>
      <c r="E60" s="3373"/>
      <c r="F60" s="3373"/>
      <c r="G60" s="3374"/>
      <c r="H60" s="2740" t="s">
        <v>50</v>
      </c>
      <c r="I60" s="205" t="s">
        <v>1103</v>
      </c>
      <c r="J60" s="221"/>
      <c r="K60" s="3513">
        <f>+'KOM opsi 1'!J399</f>
        <v>165277884000</v>
      </c>
      <c r="L60" s="3513">
        <f>+'KOM opsi 1'!K399</f>
        <v>165676022293</v>
      </c>
      <c r="M60" s="3513">
        <f>+'KOM opsi 1'!L399</f>
        <v>185190481600</v>
      </c>
      <c r="N60" s="3513">
        <f>+'KOM opsi 1'!O399</f>
        <v>58788864800</v>
      </c>
      <c r="O60" s="3513">
        <f>'KOM opsi 2'!P398</f>
        <v>176690481600</v>
      </c>
      <c r="P60" s="3513">
        <f>+'KOM opsi 1'!Q399</f>
        <v>156558391400</v>
      </c>
      <c r="Q60" s="3691">
        <f t="shared" si="1"/>
        <v>-4.5898687268168885</v>
      </c>
      <c r="R60" s="3375"/>
      <c r="S60" s="436">
        <f t="shared" si="4"/>
        <v>-8500000000</v>
      </c>
      <c r="T60" s="436">
        <f t="shared" si="5"/>
        <v>-165058391400</v>
      </c>
    </row>
    <row r="61" spans="1:38">
      <c r="A61" s="3372"/>
      <c r="B61" s="3373"/>
      <c r="C61" s="3373"/>
      <c r="D61" s="3373"/>
      <c r="E61" s="3373"/>
      <c r="F61" s="3373"/>
      <c r="G61" s="3374"/>
      <c r="H61" s="2740" t="s">
        <v>50</v>
      </c>
      <c r="I61" s="205" t="s">
        <v>1104</v>
      </c>
      <c r="J61" s="221"/>
      <c r="K61" s="3514">
        <f>+'KOM opsi 1'!J405</f>
        <v>82676522000</v>
      </c>
      <c r="L61" s="3514">
        <f>+'KOM opsi 1'!K405</f>
        <v>209360402256</v>
      </c>
      <c r="M61" s="3514">
        <f>+'KOM opsi 1'!L405</f>
        <v>167935203000</v>
      </c>
      <c r="N61" s="3514">
        <f>+'KOM opsi 1'!O405</f>
        <v>61991027111</v>
      </c>
      <c r="O61" s="3514">
        <f>'KOM opsi 2'!P406</f>
        <v>151435203000</v>
      </c>
      <c r="P61" s="3501">
        <f>+'KOM opsi 1'!Q405</f>
        <v>-16500000000</v>
      </c>
      <c r="Q61" s="3691">
        <f t="shared" si="1"/>
        <v>-9.8252181229685362</v>
      </c>
      <c r="R61" s="3375"/>
      <c r="S61" s="436">
        <f t="shared" si="4"/>
        <v>-16500000000</v>
      </c>
      <c r="T61" s="436">
        <f t="shared" si="5"/>
        <v>0</v>
      </c>
    </row>
    <row r="62" spans="1:38">
      <c r="A62" s="3376"/>
      <c r="B62" s="3377">
        <v>4</v>
      </c>
      <c r="C62" s="3377">
        <v>2</v>
      </c>
      <c r="D62" s="3377">
        <v>2</v>
      </c>
      <c r="E62" s="3377"/>
      <c r="F62" s="3377"/>
      <c r="G62" s="3378"/>
      <c r="H62" s="206" t="s">
        <v>1105</v>
      </c>
      <c r="I62" s="206"/>
      <c r="J62" s="222"/>
      <c r="K62" s="3515">
        <f>+'KOM opsi 1'!J410</f>
        <v>955792513580</v>
      </c>
      <c r="L62" s="3515">
        <f>+'KOM opsi 1'!K410</f>
        <v>1117691709000</v>
      </c>
      <c r="M62" s="3515">
        <f>+'KOM opsi 1'!L410</f>
        <v>1496972549710</v>
      </c>
      <c r="N62" s="3515">
        <f>+'KOM opsi 1'!O410</f>
        <v>472007632000</v>
      </c>
      <c r="O62" s="3515">
        <f>'KOM opsi 2'!P411</f>
        <v>1416022952000</v>
      </c>
      <c r="P62" s="3502">
        <f>+'KOM opsi 1'!Q410</f>
        <v>-80949597710</v>
      </c>
      <c r="Q62" s="3691">
        <f t="shared" si="1"/>
        <v>-5.4075539144443212</v>
      </c>
      <c r="R62" s="3379"/>
      <c r="S62" s="436">
        <f t="shared" si="4"/>
        <v>-80949597710</v>
      </c>
      <c r="T62" s="436">
        <f t="shared" si="5"/>
        <v>0</v>
      </c>
    </row>
    <row r="63" spans="1:38">
      <c r="A63" s="3376"/>
      <c r="B63" s="3377">
        <v>4</v>
      </c>
      <c r="C63" s="3377">
        <v>2</v>
      </c>
      <c r="D63" s="3377">
        <v>3</v>
      </c>
      <c r="E63" s="3377"/>
      <c r="F63" s="3377"/>
      <c r="G63" s="3378"/>
      <c r="H63" s="206" t="s">
        <v>256</v>
      </c>
      <c r="I63" s="206"/>
      <c r="J63" s="222"/>
      <c r="K63" s="3515">
        <f>+'KOM opsi 1'!J415</f>
        <v>1129857085000</v>
      </c>
      <c r="L63" s="3515">
        <f>+'KOM opsi 1'!K415</f>
        <v>1094456229356</v>
      </c>
      <c r="M63" s="3515">
        <f>+'KOM opsi 1'!L415</f>
        <v>1372422968000</v>
      </c>
      <c r="N63" s="3515">
        <f>+'KOM opsi 1'!O415</f>
        <v>236921918000</v>
      </c>
      <c r="O63" s="3515">
        <f>'KOM opsi 2'!P416</f>
        <v>1372422272000</v>
      </c>
      <c r="P63" s="3502">
        <f>O63-M63</f>
        <v>-696000</v>
      </c>
      <c r="Q63" s="3691">
        <f t="shared" si="1"/>
        <v>-5.0713228802123922E-5</v>
      </c>
      <c r="R63" s="3379"/>
      <c r="S63" s="436">
        <f t="shared" si="4"/>
        <v>-696000</v>
      </c>
      <c r="T63" s="436">
        <f t="shared" si="5"/>
        <v>0</v>
      </c>
    </row>
    <row r="64" spans="1:38" s="192" customFormat="1" ht="10.5" customHeight="1">
      <c r="A64" s="207"/>
      <c r="B64" s="208"/>
      <c r="C64" s="208"/>
      <c r="D64" s="208"/>
      <c r="E64" s="208"/>
      <c r="F64" s="208"/>
      <c r="G64" s="209"/>
      <c r="H64" s="210"/>
      <c r="I64" s="210"/>
      <c r="J64" s="223"/>
      <c r="K64" s="3516"/>
      <c r="L64" s="3516"/>
      <c r="M64" s="3516"/>
      <c r="N64" s="3516"/>
      <c r="O64" s="3516"/>
      <c r="P64" s="3516"/>
      <c r="Q64" s="3695"/>
      <c r="R64" s="227"/>
      <c r="S64" s="436">
        <f t="shared" si="4"/>
        <v>0</v>
      </c>
      <c r="T64" s="436">
        <f t="shared" si="5"/>
        <v>0</v>
      </c>
    </row>
    <row r="65" spans="1:20" s="3408" customFormat="1" ht="16.45" customHeight="1">
      <c r="A65" s="3400" t="s">
        <v>100</v>
      </c>
      <c r="B65" s="3401">
        <v>4</v>
      </c>
      <c r="C65" s="3401">
        <v>3</v>
      </c>
      <c r="D65" s="3401"/>
      <c r="E65" s="3401"/>
      <c r="F65" s="3401"/>
      <c r="G65" s="3401"/>
      <c r="H65" s="3402" t="s">
        <v>265</v>
      </c>
      <c r="I65" s="3403"/>
      <c r="J65" s="3404"/>
      <c r="K65" s="3522">
        <f>K66+K71</f>
        <v>18870510900</v>
      </c>
      <c r="L65" s="3522">
        <f>L66+L71</f>
        <v>18001891981.540001</v>
      </c>
      <c r="M65" s="3522">
        <f>M66+M71</f>
        <v>67264821900</v>
      </c>
      <c r="N65" s="3522">
        <f>N66+N71</f>
        <v>46044223346.990005</v>
      </c>
      <c r="O65" s="3522">
        <f>O66+O71</f>
        <v>85598457900</v>
      </c>
      <c r="P65" s="3522">
        <f>O65-M65</f>
        <v>18333636000</v>
      </c>
      <c r="Q65" s="3406">
        <f t="shared" si="1"/>
        <v>27.255905066181413</v>
      </c>
      <c r="R65" s="3405"/>
      <c r="S65" s="436">
        <f t="shared" si="4"/>
        <v>18333636000</v>
      </c>
      <c r="T65" s="3407">
        <f t="shared" si="5"/>
        <v>0</v>
      </c>
    </row>
    <row r="66" spans="1:20" ht="15.05" customHeight="1">
      <c r="A66" s="211"/>
      <c r="B66" s="3356">
        <v>4</v>
      </c>
      <c r="C66" s="3356">
        <v>3</v>
      </c>
      <c r="D66" s="3356">
        <v>1</v>
      </c>
      <c r="E66" s="3356"/>
      <c r="F66" s="3356"/>
      <c r="G66" s="3340"/>
      <c r="H66" s="212" t="s">
        <v>1106</v>
      </c>
      <c r="I66" s="224"/>
      <c r="J66" s="225"/>
      <c r="K66" s="3504">
        <f t="shared" ref="K66:P66" si="8">SUM(K67:K69)</f>
        <v>13870510900</v>
      </c>
      <c r="L66" s="3504">
        <f t="shared" si="8"/>
        <v>13001891981.540001</v>
      </c>
      <c r="M66" s="3504">
        <f t="shared" si="8"/>
        <v>13870510900</v>
      </c>
      <c r="N66" s="3504">
        <f t="shared" si="8"/>
        <v>19347068346.990002</v>
      </c>
      <c r="O66" s="3504">
        <f t="shared" si="8"/>
        <v>32204146900</v>
      </c>
      <c r="P66" s="3504">
        <f t="shared" si="8"/>
        <v>18333636000</v>
      </c>
      <c r="Q66" s="3690">
        <f t="shared" si="1"/>
        <v>132.17707791859348</v>
      </c>
      <c r="R66" s="3351"/>
      <c r="S66" s="436">
        <f t="shared" si="4"/>
        <v>18333636000</v>
      </c>
      <c r="T66" s="436">
        <f t="shared" si="5"/>
        <v>0</v>
      </c>
    </row>
    <row r="67" spans="1:20">
      <c r="A67" s="3380"/>
      <c r="B67" s="3359"/>
      <c r="C67" s="3359"/>
      <c r="D67" s="3359"/>
      <c r="E67" s="3359"/>
      <c r="F67" s="3359"/>
      <c r="G67" s="3343"/>
      <c r="H67" s="2778" t="s">
        <v>50</v>
      </c>
      <c r="I67" s="2727" t="s">
        <v>267</v>
      </c>
      <c r="J67" s="218"/>
      <c r="K67" s="3505">
        <f>'KOM opsi 1'!L430</f>
        <v>0</v>
      </c>
      <c r="L67" s="3505">
        <f>'KOM opsi 1'!M430</f>
        <v>0</v>
      </c>
      <c r="M67" s="3505">
        <f>'KOM opsi 1'!N430</f>
        <v>0</v>
      </c>
      <c r="N67" s="3505">
        <f>'KOM opsi 1'!P430</f>
        <v>0</v>
      </c>
      <c r="O67" s="3505">
        <f>'KOM opsi 2'!P431</f>
        <v>0</v>
      </c>
      <c r="P67" s="3505">
        <f>'KOM opsi 1'!R430</f>
        <v>0</v>
      </c>
      <c r="Q67" s="3692"/>
      <c r="R67" s="3353"/>
      <c r="S67" s="436">
        <f t="shared" si="4"/>
        <v>0</v>
      </c>
      <c r="T67" s="436">
        <f t="shared" si="5"/>
        <v>0</v>
      </c>
    </row>
    <row r="68" spans="1:20">
      <c r="A68" s="3381"/>
      <c r="B68" s="3359"/>
      <c r="C68" s="3359"/>
      <c r="D68" s="3359"/>
      <c r="E68" s="3359"/>
      <c r="F68" s="3359"/>
      <c r="G68" s="3343"/>
      <c r="H68" s="2778" t="s">
        <v>50</v>
      </c>
      <c r="I68" s="200" t="s">
        <v>1107</v>
      </c>
      <c r="J68" s="218"/>
      <c r="K68" s="3505">
        <f>+'KOM opsi 1'!J429</f>
        <v>13870510900</v>
      </c>
      <c r="L68" s="3505">
        <f>+'KOM opsi 1'!K429</f>
        <v>13001891981.540001</v>
      </c>
      <c r="M68" s="3505">
        <f>+'KOM opsi 1'!L429</f>
        <v>13870510900</v>
      </c>
      <c r="N68" s="3505">
        <f>'KOM opsi 2'!O432</f>
        <v>19347068346.990002</v>
      </c>
      <c r="O68" s="3890">
        <f>'KOM opsi 2'!P432</f>
        <v>32204146900</v>
      </c>
      <c r="P68" s="3505">
        <f>'KOM opsi 2'!Q432</f>
        <v>18333636000</v>
      </c>
      <c r="Q68" s="3691">
        <f t="shared" si="1"/>
        <v>132.17707791859348</v>
      </c>
      <c r="R68" s="3353"/>
      <c r="S68" s="436">
        <f>+O68-M68</f>
        <v>18333636000</v>
      </c>
      <c r="T68" s="436">
        <f t="shared" si="5"/>
        <v>0</v>
      </c>
    </row>
    <row r="69" spans="1:20">
      <c r="A69" s="3381"/>
      <c r="B69" s="3359"/>
      <c r="C69" s="3359"/>
      <c r="D69" s="3359"/>
      <c r="E69" s="3359"/>
      <c r="F69" s="3359"/>
      <c r="G69" s="3343"/>
      <c r="H69" s="213"/>
      <c r="I69" s="200" t="s">
        <v>1108</v>
      </c>
      <c r="J69" s="218"/>
      <c r="K69" s="3505"/>
      <c r="L69" s="3505"/>
      <c r="M69" s="3505"/>
      <c r="N69" s="3505"/>
      <c r="O69" s="3505"/>
      <c r="P69" s="3505"/>
      <c r="Q69" s="3692"/>
      <c r="R69" s="3353"/>
      <c r="S69" s="436">
        <f t="shared" si="4"/>
        <v>0</v>
      </c>
      <c r="T69" s="436">
        <f t="shared" si="5"/>
        <v>0</v>
      </c>
    </row>
    <row r="70" spans="1:20" ht="9.1" customHeight="1">
      <c r="A70" s="3382"/>
      <c r="B70" s="3383"/>
      <c r="C70" s="3383"/>
      <c r="D70" s="3383"/>
      <c r="E70" s="3383"/>
      <c r="F70" s="3383"/>
      <c r="G70" s="3384"/>
      <c r="H70" s="2844"/>
      <c r="I70" s="856"/>
      <c r="J70" s="1907"/>
      <c r="K70" s="3517"/>
      <c r="L70" s="3517"/>
      <c r="M70" s="3517"/>
      <c r="N70" s="3517"/>
      <c r="O70" s="3517"/>
      <c r="P70" s="3517"/>
      <c r="Q70" s="3692"/>
      <c r="R70" s="3385"/>
      <c r="S70" s="436">
        <f t="shared" si="4"/>
        <v>0</v>
      </c>
      <c r="T70" s="436">
        <f t="shared" si="5"/>
        <v>0</v>
      </c>
    </row>
    <row r="71" spans="1:20" s="190" customFormat="1" ht="12.7" customHeight="1">
      <c r="A71" s="228"/>
      <c r="B71" s="228" t="s">
        <v>443</v>
      </c>
      <c r="C71" s="228" t="s">
        <v>457</v>
      </c>
      <c r="D71" s="228" t="s">
        <v>443</v>
      </c>
      <c r="E71" s="228"/>
      <c r="F71" s="229"/>
      <c r="G71" s="230"/>
      <c r="H71" s="231" t="s">
        <v>652</v>
      </c>
      <c r="I71" s="202"/>
      <c r="J71" s="218"/>
      <c r="K71" s="3506">
        <f t="shared" ref="K71:P71" si="9">SUM(K72)</f>
        <v>5000000000</v>
      </c>
      <c r="L71" s="3506">
        <f t="shared" si="9"/>
        <v>5000000000</v>
      </c>
      <c r="M71" s="3506">
        <f t="shared" si="9"/>
        <v>53394311000</v>
      </c>
      <c r="N71" s="3506">
        <f t="shared" si="9"/>
        <v>26697155000</v>
      </c>
      <c r="O71" s="3506">
        <f t="shared" si="9"/>
        <v>53394311000</v>
      </c>
      <c r="P71" s="3506">
        <f t="shared" si="9"/>
        <v>0</v>
      </c>
      <c r="Q71" s="3692">
        <f t="shared" si="1"/>
        <v>0</v>
      </c>
      <c r="R71" s="3354"/>
      <c r="S71" s="436">
        <f t="shared" si="4"/>
        <v>0</v>
      </c>
      <c r="T71" s="436">
        <f t="shared" si="5"/>
        <v>0</v>
      </c>
    </row>
    <row r="72" spans="1:20" ht="12.7" customHeight="1">
      <c r="A72" s="232"/>
      <c r="B72" s="232"/>
      <c r="C72" s="232"/>
      <c r="D72" s="232"/>
      <c r="E72" s="232"/>
      <c r="F72" s="232"/>
      <c r="G72" s="230"/>
      <c r="H72" s="233" t="s">
        <v>293</v>
      </c>
      <c r="I72" s="200"/>
      <c r="J72" s="218"/>
      <c r="K72" s="3505">
        <f>+'KOM opsi 1'!J566</f>
        <v>5000000000</v>
      </c>
      <c r="L72" s="3505">
        <f>+'KOM opsi 1'!K566</f>
        <v>5000000000</v>
      </c>
      <c r="M72" s="3505">
        <f>+'KOM opsi 1'!L566</f>
        <v>53394311000</v>
      </c>
      <c r="N72" s="3505">
        <f>+'KOM opsi 1'!O562</f>
        <v>26697155000</v>
      </c>
      <c r="O72" s="3505">
        <f>'KOM opsi 2'!P565</f>
        <v>53394311000</v>
      </c>
      <c r="P72" s="3505">
        <f>+'KOM opsi 1'!Q562</f>
        <v>0</v>
      </c>
      <c r="Q72" s="3692">
        <f>O72/M72*100-100</f>
        <v>0</v>
      </c>
      <c r="R72" s="3353"/>
      <c r="S72" s="436">
        <f t="shared" si="4"/>
        <v>0</v>
      </c>
      <c r="T72" s="436">
        <f t="shared" si="5"/>
        <v>0</v>
      </c>
    </row>
    <row r="73" spans="1:20" ht="9.1" customHeight="1">
      <c r="A73" s="234"/>
      <c r="B73" s="234"/>
      <c r="C73" s="234"/>
      <c r="D73" s="234"/>
      <c r="E73" s="234"/>
      <c r="F73" s="234"/>
      <c r="G73" s="235"/>
      <c r="H73" s="236"/>
      <c r="I73" s="238"/>
      <c r="J73" s="239"/>
      <c r="K73" s="3518"/>
      <c r="L73" s="3518"/>
      <c r="M73" s="3518"/>
      <c r="N73" s="3518"/>
      <c r="O73" s="3518"/>
      <c r="P73" s="3518"/>
      <c r="Q73" s="3338"/>
      <c r="R73" s="3386"/>
      <c r="S73" s="436">
        <f t="shared" si="4"/>
        <v>0</v>
      </c>
      <c r="T73" s="436">
        <f t="shared" si="5"/>
        <v>0</v>
      </c>
    </row>
    <row r="74" spans="1:20" s="3433" customFormat="1" ht="17.25" customHeight="1">
      <c r="A74" s="3434"/>
      <c r="B74" s="3435"/>
      <c r="C74" s="3435"/>
      <c r="D74" s="3435"/>
      <c r="E74" s="3435"/>
      <c r="F74" s="3435"/>
      <c r="G74" s="3435"/>
      <c r="H74" s="3436" t="s">
        <v>1109</v>
      </c>
      <c r="I74" s="3428"/>
      <c r="J74" s="3429"/>
      <c r="K74" s="3523">
        <f t="shared" ref="K74:P74" si="10">K65+K58+K8</f>
        <v>3802519445799</v>
      </c>
      <c r="L74" s="3523">
        <f t="shared" si="10"/>
        <v>3954156416678.9697</v>
      </c>
      <c r="M74" s="3523">
        <f t="shared" si="10"/>
        <v>4791397359569</v>
      </c>
      <c r="N74" s="3523">
        <f t="shared" si="10"/>
        <v>1163476630856.72</v>
      </c>
      <c r="O74" s="3523">
        <f t="shared" si="10"/>
        <v>4712349737652</v>
      </c>
      <c r="P74" s="3523">
        <f t="shared" si="10"/>
        <v>-79047621917</v>
      </c>
      <c r="Q74" s="3430">
        <f>O74/M74*100-100</f>
        <v>-1.6497822239504387</v>
      </c>
      <c r="R74" s="3437"/>
      <c r="S74" s="436">
        <f t="shared" si="4"/>
        <v>-79047621917</v>
      </c>
      <c r="T74" s="3432">
        <f t="shared" si="5"/>
        <v>0</v>
      </c>
    </row>
    <row r="75" spans="1:20" ht="12.7" customHeight="1">
      <c r="J75" s="436"/>
      <c r="K75" s="3387"/>
      <c r="L75" s="3387"/>
      <c r="M75" s="3387"/>
      <c r="N75" s="240"/>
      <c r="O75" s="240"/>
      <c r="P75" s="240"/>
      <c r="R75" s="3388"/>
    </row>
    <row r="76" spans="1:20">
      <c r="K76" s="3389"/>
      <c r="L76" s="3389"/>
      <c r="M76" s="1142"/>
      <c r="N76" s="1142"/>
      <c r="O76" s="1142"/>
      <c r="P76" s="1142"/>
    </row>
    <row r="77" spans="1:20">
      <c r="K77" s="3387"/>
      <c r="L77" s="3387"/>
      <c r="M77" s="3387"/>
      <c r="N77" s="3390"/>
      <c r="O77" s="3390"/>
      <c r="P77" s="3390"/>
      <c r="Q77" s="3390"/>
    </row>
    <row r="78" spans="1:20">
      <c r="K78" s="436"/>
      <c r="L78" s="436"/>
      <c r="M78" s="436"/>
      <c r="N78" s="422"/>
      <c r="O78" s="422"/>
      <c r="P78" s="422"/>
      <c r="Q78" s="422"/>
    </row>
    <row r="79" spans="1:20">
      <c r="H79" s="819"/>
      <c r="I79" s="819"/>
      <c r="N79" s="422"/>
      <c r="O79" s="422"/>
      <c r="P79" s="422"/>
      <c r="Q79" s="422"/>
    </row>
    <row r="80" spans="1:20">
      <c r="J80" s="190"/>
      <c r="K80" s="3391"/>
      <c r="L80" s="3391"/>
      <c r="M80" s="3391"/>
      <c r="N80" s="3391"/>
      <c r="O80" s="3391"/>
      <c r="P80" s="3391"/>
    </row>
    <row r="81" spans="8:17">
      <c r="N81" s="3392"/>
      <c r="O81" s="3392"/>
      <c r="P81" s="3392"/>
      <c r="Q81" s="3392"/>
    </row>
    <row r="82" spans="8:17">
      <c r="H82" s="3393"/>
      <c r="I82" s="3393"/>
      <c r="N82" s="1829"/>
      <c r="O82" s="1829"/>
      <c r="P82" s="1829"/>
      <c r="Q82" s="1829"/>
    </row>
    <row r="83" spans="8:17">
      <c r="H83" s="3394"/>
      <c r="I83" s="3394"/>
      <c r="N83" s="3395"/>
      <c r="O83" s="3395"/>
      <c r="P83" s="3395"/>
      <c r="Q83" s="3395"/>
    </row>
    <row r="85" spans="8:17">
      <c r="J85" s="3396"/>
      <c r="K85" s="3389"/>
      <c r="L85" s="3389"/>
      <c r="M85" s="3389"/>
      <c r="N85" s="3389"/>
      <c r="O85" s="3389"/>
      <c r="P85" s="3389"/>
      <c r="Q85" s="3397"/>
    </row>
    <row r="88" spans="8:17">
      <c r="K88" s="3398"/>
      <c r="L88" s="3398"/>
      <c r="M88" s="3398"/>
    </row>
    <row r="97" spans="10:10">
      <c r="J97" s="63"/>
    </row>
  </sheetData>
  <sheetProtection selectLockedCells="1" selectUnlockedCells="1"/>
  <mergeCells count="14">
    <mergeCell ref="R4:R5"/>
    <mergeCell ref="H5:J5"/>
    <mergeCell ref="B6:G6"/>
    <mergeCell ref="H6:J6"/>
    <mergeCell ref="A1:R1"/>
    <mergeCell ref="A2:R2"/>
    <mergeCell ref="Q3:R3"/>
    <mergeCell ref="B4:G5"/>
    <mergeCell ref="H4:J4"/>
    <mergeCell ref="K4:K5"/>
    <mergeCell ref="L4:L5"/>
    <mergeCell ref="M4:M5"/>
    <mergeCell ref="N4:N5"/>
    <mergeCell ref="Q4:Q5"/>
  </mergeCells>
  <pageMargins left="0.39370078740157483" right="0.23622047244094491" top="0.6692913385826772" bottom="0.55118110236220474" header="0.43307086614173229" footer="0.31496062992125984"/>
  <pageSetup paperSize="512" scale="79" orientation="landscape" useFirstPageNumber="1" horizontalDpi="1200" verticalDpi="1200" r:id="rId1"/>
  <headerFooter alignWithMargins="0">
    <oddFooter>&amp;LRekapitulasi Rencana Perubahan Target Pendapatan TA 2017&amp;CBAPPENDA PROVINSI NTB&amp;RHal. &amp;P</oddFooter>
  </headerFooter>
  <rowBreaks count="1" manualBreakCount="1">
    <brk id="42" max="17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tabColor rgb="FF7030A0"/>
  </sheetPr>
  <dimension ref="A1:AE719"/>
  <sheetViews>
    <sheetView view="pageBreakPreview" zoomScale="94" zoomScaleNormal="90" zoomScaleSheetLayoutView="94" workbookViewId="0">
      <pane ySplit="6" topLeftCell="A537" activePane="bottomLeft" state="frozen"/>
      <selection pane="bottomLeft" activeCell="T583" sqref="T583"/>
    </sheetView>
  </sheetViews>
  <sheetFormatPr defaultColWidth="9.109375" defaultRowHeight="13.15"/>
  <cols>
    <col min="1" max="2" width="3.44140625" style="1843" customWidth="1"/>
    <col min="3" max="5" width="3.44140625" style="1844" customWidth="1"/>
    <col min="6" max="6" width="2.5546875" style="1845" customWidth="1"/>
    <col min="7" max="7" width="2.109375" style="1845" customWidth="1"/>
    <col min="8" max="8" width="20.6640625" style="1844" customWidth="1"/>
    <col min="9" max="9" width="19.5546875" style="1844" customWidth="1"/>
    <col min="10" max="10" width="22.5546875" style="1844" customWidth="1"/>
    <col min="11" max="11" width="22.44140625" style="1844" customWidth="1"/>
    <col min="12" max="12" width="22.5546875" style="1844" customWidth="1"/>
    <col min="13" max="13" width="20.33203125" style="1844" hidden="1" customWidth="1"/>
    <col min="14" max="14" width="20.109375" style="1844" hidden="1" customWidth="1"/>
    <col min="15" max="15" width="22.109375" style="1844" customWidth="1"/>
    <col min="16" max="16" width="22.44140625" style="1844" customWidth="1"/>
    <col min="17" max="17" width="21.44140625" style="1844" customWidth="1"/>
    <col min="18" max="18" width="8" style="2883" customWidth="1"/>
    <col min="19" max="20" width="15.5546875" style="2883" customWidth="1"/>
    <col min="21" max="21" width="7.44140625" style="1844" customWidth="1"/>
    <col min="22" max="22" width="21.6640625" style="1846" customWidth="1"/>
    <col min="23" max="23" width="20.33203125" style="1844" customWidth="1"/>
    <col min="24" max="16384" width="9.109375" style="1844"/>
  </cols>
  <sheetData>
    <row r="1" spans="1:22" s="1831" customFormat="1" ht="9.6999999999999993" customHeight="1">
      <c r="A1" s="1847"/>
      <c r="B1" s="1847"/>
      <c r="C1" s="1840"/>
      <c r="D1" s="1840"/>
      <c r="E1" s="1840"/>
      <c r="F1" s="1848"/>
      <c r="G1" s="1848"/>
      <c r="H1" s="1840"/>
      <c r="I1" s="1840"/>
      <c r="J1" s="1840"/>
      <c r="K1" s="1840"/>
      <c r="L1" s="1840"/>
      <c r="M1" s="1840"/>
      <c r="N1" s="1840"/>
      <c r="O1" s="1840"/>
      <c r="P1" s="1840"/>
      <c r="Q1" s="1840"/>
      <c r="R1" s="2990"/>
      <c r="S1" s="2990"/>
      <c r="T1" s="2990"/>
      <c r="U1" s="1840"/>
      <c r="V1" s="1846"/>
    </row>
    <row r="2" spans="1:22" ht="18" customHeight="1">
      <c r="A2" s="5785" t="s">
        <v>1182</v>
      </c>
      <c r="B2" s="5838"/>
      <c r="C2" s="5838"/>
      <c r="D2" s="5838"/>
      <c r="E2" s="5838"/>
      <c r="F2" s="5838"/>
      <c r="G2" s="5838"/>
      <c r="H2" s="5838"/>
      <c r="I2" s="5838"/>
      <c r="J2" s="5838"/>
      <c r="K2" s="5838"/>
      <c r="L2" s="5838"/>
      <c r="M2" s="5838"/>
      <c r="N2" s="5838"/>
      <c r="O2" s="5838"/>
      <c r="P2" s="5838"/>
      <c r="Q2" s="5838"/>
      <c r="R2" s="5838"/>
      <c r="S2" s="5838"/>
      <c r="T2" s="5838"/>
      <c r="U2" s="5838"/>
    </row>
    <row r="3" spans="1:22" ht="18" customHeight="1">
      <c r="B3" s="1849"/>
      <c r="C3" s="1849"/>
      <c r="D3" s="1849"/>
      <c r="E3" s="1849"/>
      <c r="F3" s="1849"/>
      <c r="G3" s="1849"/>
      <c r="H3" s="1840"/>
      <c r="I3" s="1864"/>
      <c r="J3" s="1864"/>
      <c r="K3" s="1864"/>
      <c r="L3" s="1849"/>
      <c r="M3" s="1865"/>
      <c r="N3" s="1849"/>
      <c r="O3" s="1849"/>
      <c r="P3" s="1849"/>
      <c r="Q3" s="1849"/>
      <c r="R3" s="2991"/>
      <c r="S3" s="2991"/>
      <c r="T3" s="2991"/>
      <c r="U3" s="1849"/>
    </row>
    <row r="4" spans="1:22" ht="18" customHeight="1">
      <c r="A4" s="1850" t="s">
        <v>473</v>
      </c>
      <c r="B4" s="1847"/>
      <c r="C4" s="1847"/>
      <c r="D4" s="1847"/>
      <c r="E4" s="1847"/>
      <c r="F4" s="1840"/>
      <c r="G4" s="1840"/>
      <c r="H4" s="1840"/>
      <c r="I4" s="1840"/>
      <c r="J4" s="1840"/>
      <c r="K4" s="1840"/>
      <c r="L4" s="1866"/>
      <c r="M4" s="1866"/>
      <c r="N4" s="1866"/>
      <c r="O4" s="1866"/>
      <c r="P4" s="1867"/>
      <c r="Q4" s="1867"/>
      <c r="R4" s="3590"/>
      <c r="S4" s="3590"/>
      <c r="T4" s="3590"/>
      <c r="U4" s="1878"/>
    </row>
    <row r="5" spans="1:22" s="257" customFormat="1" ht="13" customHeight="1">
      <c r="A5" s="5786" t="s">
        <v>435</v>
      </c>
      <c r="B5" s="5786"/>
      <c r="C5" s="5786"/>
      <c r="D5" s="5786"/>
      <c r="E5" s="5786"/>
      <c r="F5" s="5787" t="s">
        <v>56</v>
      </c>
      <c r="G5" s="5787"/>
      <c r="H5" s="5787"/>
      <c r="I5" s="5787"/>
      <c r="J5" s="5788" t="s">
        <v>474</v>
      </c>
      <c r="K5" s="5788" t="s">
        <v>475</v>
      </c>
      <c r="L5" s="5790" t="str">
        <f>PerDinas!K5</f>
        <v>TARGET 2017</v>
      </c>
      <c r="M5" s="5791" t="s">
        <v>5</v>
      </c>
      <c r="N5" s="5792"/>
      <c r="O5" s="5793"/>
      <c r="P5" s="1869" t="s">
        <v>476</v>
      </c>
      <c r="Q5" s="5794" t="s">
        <v>477</v>
      </c>
      <c r="R5" s="5839" t="s">
        <v>6</v>
      </c>
      <c r="S5" s="5804" t="s">
        <v>1195</v>
      </c>
      <c r="T5" s="5794" t="s">
        <v>477</v>
      </c>
      <c r="U5" s="5781" t="s">
        <v>478</v>
      </c>
      <c r="V5" s="1846"/>
    </row>
    <row r="6" spans="1:22" s="257" customFormat="1" ht="13" customHeight="1">
      <c r="A6" s="5786"/>
      <c r="B6" s="5786"/>
      <c r="C6" s="5786"/>
      <c r="D6" s="5786"/>
      <c r="E6" s="5786"/>
      <c r="F6" s="5787"/>
      <c r="G6" s="5787"/>
      <c r="H6" s="5787"/>
      <c r="I6" s="5787"/>
      <c r="J6" s="5789"/>
      <c r="K6" s="5789"/>
      <c r="L6" s="5790"/>
      <c r="M6" s="1868" t="s">
        <v>479</v>
      </c>
      <c r="N6" s="1868" t="s">
        <v>433</v>
      </c>
      <c r="O6" s="1868" t="s">
        <v>480</v>
      </c>
      <c r="P6" s="1870" t="s">
        <v>481</v>
      </c>
      <c r="Q6" s="5795"/>
      <c r="R6" s="5840"/>
      <c r="S6" s="5805"/>
      <c r="T6" s="5795"/>
      <c r="U6" s="5781"/>
      <c r="V6" s="1846"/>
    </row>
    <row r="7" spans="1:22" s="257" customFormat="1" ht="12.05" customHeight="1">
      <c r="A7" s="5782" t="s">
        <v>58</v>
      </c>
      <c r="B7" s="5782"/>
      <c r="C7" s="5782"/>
      <c r="D7" s="5782"/>
      <c r="E7" s="5782"/>
      <c r="F7" s="5783" t="s">
        <v>460</v>
      </c>
      <c r="G7" s="5783"/>
      <c r="H7" s="5783"/>
      <c r="I7" s="5783"/>
      <c r="J7" s="2754" t="s">
        <v>457</v>
      </c>
      <c r="K7" s="2754" t="s">
        <v>443</v>
      </c>
      <c r="L7" s="2755" t="s">
        <v>482</v>
      </c>
      <c r="M7" s="1871" t="s">
        <v>443</v>
      </c>
      <c r="N7" s="1871" t="s">
        <v>482</v>
      </c>
      <c r="O7" s="2755" t="s">
        <v>483</v>
      </c>
      <c r="P7" s="2755" t="s">
        <v>484</v>
      </c>
      <c r="Q7" s="2755" t="s">
        <v>485</v>
      </c>
      <c r="R7" s="3591" t="s">
        <v>486</v>
      </c>
      <c r="S7" s="3767"/>
      <c r="T7" s="3814"/>
      <c r="U7" s="3769" t="s">
        <v>444</v>
      </c>
      <c r="V7" s="1879"/>
    </row>
    <row r="8" spans="1:22" s="2899" customFormat="1" ht="15.05" customHeight="1">
      <c r="A8" s="2893" t="s">
        <v>443</v>
      </c>
      <c r="B8" s="2893"/>
      <c r="C8" s="2893"/>
      <c r="D8" s="2893"/>
      <c r="E8" s="2893"/>
      <c r="F8" s="2894" t="s">
        <v>60</v>
      </c>
      <c r="G8" s="2895"/>
      <c r="H8" s="2895"/>
      <c r="I8" s="2896"/>
      <c r="J8" s="3121">
        <f t="shared" ref="J8:Q8" si="0">J10+J396+J426</f>
        <v>3802933445799</v>
      </c>
      <c r="K8" s="3121">
        <f t="shared" si="0"/>
        <v>3954156416678.9697</v>
      </c>
      <c r="L8" s="3121">
        <f t="shared" si="0"/>
        <v>4791397359569</v>
      </c>
      <c r="M8" s="3121">
        <f t="shared" si="0"/>
        <v>728312659711.53003</v>
      </c>
      <c r="N8" s="3121">
        <f t="shared" si="0"/>
        <v>274653040527.19</v>
      </c>
      <c r="O8" s="3121">
        <f t="shared" si="0"/>
        <v>1145356630856.72</v>
      </c>
      <c r="P8" s="3121">
        <f t="shared" si="0"/>
        <v>4856838624052</v>
      </c>
      <c r="Q8" s="3121">
        <f t="shared" si="0"/>
        <v>65441264483</v>
      </c>
      <c r="R8" s="3122">
        <f>+P8/L8*100-100</f>
        <v>1.3658074998164267</v>
      </c>
      <c r="S8" s="3765"/>
      <c r="T8" s="3815"/>
      <c r="U8" s="3770"/>
      <c r="V8" s="2898">
        <f>O8-L8</f>
        <v>-3646040728712.2803</v>
      </c>
    </row>
    <row r="9" spans="1:22" s="257" customFormat="1" ht="15.05" customHeight="1">
      <c r="A9" s="1855"/>
      <c r="B9" s="1855"/>
      <c r="C9" s="1855"/>
      <c r="D9" s="1855"/>
      <c r="E9" s="1855"/>
      <c r="F9" s="1856"/>
      <c r="G9" s="202"/>
      <c r="H9" s="202"/>
      <c r="I9" s="218"/>
      <c r="J9" s="3123"/>
      <c r="K9" s="3123"/>
      <c r="L9" s="3123"/>
      <c r="M9" s="3124"/>
      <c r="N9" s="3125"/>
      <c r="O9" s="3125"/>
      <c r="P9" s="3125"/>
      <c r="Q9" s="3125"/>
      <c r="R9" s="3126"/>
      <c r="S9" s="3697"/>
      <c r="T9" s="3816"/>
      <c r="U9" s="3771"/>
      <c r="V9" s="1846"/>
    </row>
    <row r="10" spans="1:22" s="2899" customFormat="1" ht="15.05" customHeight="1">
      <c r="A10" s="2893">
        <v>4</v>
      </c>
      <c r="B10" s="2893">
        <v>1</v>
      </c>
      <c r="C10" s="2893"/>
      <c r="D10" s="2893"/>
      <c r="E10" s="2893"/>
      <c r="F10" s="2900" t="s">
        <v>180</v>
      </c>
      <c r="G10" s="2901"/>
      <c r="H10" s="2895"/>
      <c r="I10" s="2896"/>
      <c r="J10" s="3127">
        <f>J12+J43+J212+J225</f>
        <v>1450044930319</v>
      </c>
      <c r="K10" s="3127">
        <f t="shared" ref="K10:P10" si="1">K12+K43+K212+K225</f>
        <v>1348970161792.4299</v>
      </c>
      <c r="L10" s="3127">
        <f t="shared" si="1"/>
        <v>1501611335359</v>
      </c>
      <c r="M10" s="3127">
        <f t="shared" si="1"/>
        <v>124612682553.54001</v>
      </c>
      <c r="N10" s="3127">
        <f t="shared" si="1"/>
        <v>20719352427.190002</v>
      </c>
      <c r="O10" s="3127">
        <f t="shared" si="1"/>
        <v>287722965598.72998</v>
      </c>
      <c r="P10" s="3127">
        <f t="shared" si="1"/>
        <v>1507731170152</v>
      </c>
      <c r="Q10" s="3127">
        <f>Q12+Q43+Q212+Q225</f>
        <v>6119834793</v>
      </c>
      <c r="R10" s="3122">
        <f>+P10/L10*100-100</f>
        <v>0.40755118510989519</v>
      </c>
      <c r="S10" s="3698"/>
      <c r="T10" s="3815"/>
      <c r="U10" s="3770"/>
      <c r="V10" s="2898"/>
    </row>
    <row r="11" spans="1:22" s="257" customFormat="1" ht="15.05" customHeight="1">
      <c r="A11" s="1854"/>
      <c r="B11" s="1854"/>
      <c r="C11" s="1854"/>
      <c r="D11" s="1854"/>
      <c r="E11" s="1854"/>
      <c r="F11" s="1464"/>
      <c r="G11" s="1860"/>
      <c r="H11" s="202"/>
      <c r="I11" s="218"/>
      <c r="J11" s="3128"/>
      <c r="K11" s="3128"/>
      <c r="L11" s="3123"/>
      <c r="M11" s="3129"/>
      <c r="N11" s="3123"/>
      <c r="O11" s="3123"/>
      <c r="P11" s="3123"/>
      <c r="Q11" s="3123"/>
      <c r="R11" s="3126"/>
      <c r="S11" s="3697"/>
      <c r="T11" s="3816"/>
      <c r="U11" s="3771"/>
      <c r="V11" s="1846"/>
    </row>
    <row r="12" spans="1:22" s="2905" customFormat="1" ht="15.05" customHeight="1">
      <c r="A12" s="3012" t="s">
        <v>443</v>
      </c>
      <c r="B12" s="3012" t="s">
        <v>58</v>
      </c>
      <c r="C12" s="3012" t="s">
        <v>58</v>
      </c>
      <c r="D12" s="2918"/>
      <c r="E12" s="2918"/>
      <c r="F12" s="3013" t="s">
        <v>1141</v>
      </c>
      <c r="G12" s="3014"/>
      <c r="H12" s="2919"/>
      <c r="I12" s="3015"/>
      <c r="J12" s="3130">
        <f>J13+J25+J37+J39+J41</f>
        <v>1037549599000</v>
      </c>
      <c r="K12" s="3130">
        <f t="shared" ref="K12:Q12" si="2">K13+K25+K37+K39+K41</f>
        <v>1003260953668</v>
      </c>
      <c r="L12" s="3130">
        <f t="shared" si="2"/>
        <v>1122139007935</v>
      </c>
      <c r="M12" s="3130">
        <f t="shared" si="2"/>
        <v>90900135444</v>
      </c>
      <c r="N12" s="3130">
        <f t="shared" si="2"/>
        <v>0</v>
      </c>
      <c r="O12" s="3130">
        <f t="shared" si="2"/>
        <v>233266101062</v>
      </c>
      <c r="P12" s="3130">
        <f t="shared" si="2"/>
        <v>1124031467000</v>
      </c>
      <c r="Q12" s="3130">
        <f t="shared" si="2"/>
        <v>1892459065</v>
      </c>
      <c r="R12" s="3131">
        <f>+P12/L12*100-100</f>
        <v>0.16864747162497906</v>
      </c>
      <c r="S12" s="3699"/>
      <c r="T12" s="3817"/>
      <c r="U12" s="3772"/>
      <c r="V12" s="2904"/>
    </row>
    <row r="13" spans="1:22" s="2947" customFormat="1" ht="15.05" customHeight="1">
      <c r="A13" s="3021" t="s">
        <v>443</v>
      </c>
      <c r="B13" s="3021" t="s">
        <v>58</v>
      </c>
      <c r="C13" s="3021" t="s">
        <v>58</v>
      </c>
      <c r="D13" s="3022" t="s">
        <v>437</v>
      </c>
      <c r="E13" s="3021"/>
      <c r="F13" s="3023" t="s">
        <v>1142</v>
      </c>
      <c r="G13" s="3024"/>
      <c r="H13" s="3025"/>
      <c r="I13" s="3337" t="s">
        <v>1183</v>
      </c>
      <c r="J13" s="3132">
        <f t="shared" ref="J13:O13" si="3">SUM(J14:J23)</f>
        <v>248153000000</v>
      </c>
      <c r="K13" s="3132">
        <f t="shared" si="3"/>
        <v>269187973631</v>
      </c>
      <c r="L13" s="3132">
        <f t="shared" si="3"/>
        <v>311893723935</v>
      </c>
      <c r="M13" s="3132">
        <f t="shared" si="3"/>
        <v>0</v>
      </c>
      <c r="N13" s="3132">
        <f t="shared" si="3"/>
        <v>0</v>
      </c>
      <c r="O13" s="3132">
        <f t="shared" si="3"/>
        <v>69415566816</v>
      </c>
      <c r="P13" s="3336">
        <v>301732799000</v>
      </c>
      <c r="Q13" s="3335">
        <f>P13-L13</f>
        <v>-10160924935</v>
      </c>
      <c r="R13" s="3133">
        <f>+P13/L13*100-100</f>
        <v>-3.2578164147726056</v>
      </c>
      <c r="S13" s="3700"/>
      <c r="T13" s="3818"/>
      <c r="U13" s="3773"/>
      <c r="V13" s="2944"/>
    </row>
    <row r="14" spans="1:22" s="2883" customFormat="1" ht="15.05" customHeight="1">
      <c r="A14" s="2984"/>
      <c r="B14" s="2984"/>
      <c r="C14" s="2984"/>
      <c r="D14" s="3016"/>
      <c r="E14" s="2984"/>
      <c r="F14" s="3017" t="s">
        <v>1143</v>
      </c>
      <c r="G14" s="3018"/>
      <c r="H14" s="3019"/>
      <c r="I14" s="3020"/>
      <c r="J14" s="3134">
        <v>86036572000</v>
      </c>
      <c r="K14" s="3134">
        <v>88888793805</v>
      </c>
      <c r="L14" s="3135">
        <v>103905461339</v>
      </c>
      <c r="M14" s="3136"/>
      <c r="N14" s="3135"/>
      <c r="O14" s="3135">
        <v>23394301628</v>
      </c>
      <c r="P14" s="3135"/>
      <c r="Q14" s="3135"/>
      <c r="R14" s="3137"/>
      <c r="S14" s="3701"/>
      <c r="T14" s="3819"/>
      <c r="U14" s="3774"/>
      <c r="V14" s="2882"/>
    </row>
    <row r="15" spans="1:22" s="2883" customFormat="1" ht="15.05" customHeight="1">
      <c r="A15" s="2875"/>
      <c r="B15" s="2875"/>
      <c r="C15" s="2875"/>
      <c r="D15" s="2876"/>
      <c r="E15" s="2875"/>
      <c r="F15" s="2877" t="s">
        <v>1144</v>
      </c>
      <c r="G15" s="2878"/>
      <c r="H15" s="2879"/>
      <c r="I15" s="2880"/>
      <c r="J15" s="3138">
        <v>28423220000</v>
      </c>
      <c r="K15" s="3138">
        <v>30126889110</v>
      </c>
      <c r="L15" s="3139">
        <v>34714931659</v>
      </c>
      <c r="M15" s="3136"/>
      <c r="N15" s="3139"/>
      <c r="O15" s="3139">
        <v>8078866798</v>
      </c>
      <c r="P15" s="3139"/>
      <c r="Q15" s="3139"/>
      <c r="R15" s="3140"/>
      <c r="S15" s="3702"/>
      <c r="T15" s="3820"/>
      <c r="U15" s="3774"/>
      <c r="V15" s="2882"/>
    </row>
    <row r="16" spans="1:22" s="2883" customFormat="1" ht="15.05" customHeight="1">
      <c r="A16" s="2875"/>
      <c r="B16" s="2875"/>
      <c r="C16" s="2875"/>
      <c r="D16" s="2876"/>
      <c r="E16" s="2875"/>
      <c r="F16" s="2877" t="s">
        <v>1146</v>
      </c>
      <c r="G16" s="2878"/>
      <c r="H16" s="2879"/>
      <c r="I16" s="2880"/>
      <c r="J16" s="3138">
        <v>6651423000</v>
      </c>
      <c r="K16" s="3138">
        <v>8477225617</v>
      </c>
      <c r="L16" s="3139">
        <v>9610012775</v>
      </c>
      <c r="M16" s="3136"/>
      <c r="N16" s="3139"/>
      <c r="O16" s="3139">
        <v>2157193100</v>
      </c>
      <c r="P16" s="3139"/>
      <c r="Q16" s="3139"/>
      <c r="R16" s="3140"/>
      <c r="S16" s="3702"/>
      <c r="T16" s="3820"/>
      <c r="U16" s="3774"/>
      <c r="V16" s="2882"/>
    </row>
    <row r="17" spans="1:22" s="2883" customFormat="1" ht="15.05" customHeight="1">
      <c r="A17" s="2875"/>
      <c r="B17" s="2875"/>
      <c r="C17" s="2875"/>
      <c r="D17" s="2876"/>
      <c r="E17" s="2875"/>
      <c r="F17" s="2877" t="s">
        <v>1145</v>
      </c>
      <c r="G17" s="2878"/>
      <c r="H17" s="2879"/>
      <c r="I17" s="2880"/>
      <c r="J17" s="3138">
        <v>33246442000</v>
      </c>
      <c r="K17" s="3138">
        <v>37055803776</v>
      </c>
      <c r="L17" s="3139">
        <v>42614528606</v>
      </c>
      <c r="M17" s="3136"/>
      <c r="N17" s="3139"/>
      <c r="O17" s="3139">
        <v>9536539453</v>
      </c>
      <c r="P17" s="3139"/>
      <c r="Q17" s="3139"/>
      <c r="R17" s="3140"/>
      <c r="S17" s="3702"/>
      <c r="T17" s="3820"/>
      <c r="U17" s="3774"/>
      <c r="V17" s="2882"/>
    </row>
    <row r="18" spans="1:22" s="2883" customFormat="1" ht="15.05" customHeight="1">
      <c r="A18" s="2875"/>
      <c r="B18" s="2875"/>
      <c r="C18" s="2875"/>
      <c r="D18" s="2876"/>
      <c r="E18" s="2875"/>
      <c r="F18" s="2877" t="s">
        <v>1147</v>
      </c>
      <c r="G18" s="2878"/>
      <c r="H18" s="2879"/>
      <c r="I18" s="2880"/>
      <c r="J18" s="3138">
        <v>36492414000</v>
      </c>
      <c r="K18" s="3138">
        <v>40134619809</v>
      </c>
      <c r="L18" s="3139">
        <v>45159023780</v>
      </c>
      <c r="M18" s="3136"/>
      <c r="N18" s="3139"/>
      <c r="O18" s="3139">
        <v>10944515392</v>
      </c>
      <c r="P18" s="3139"/>
      <c r="Q18" s="3139"/>
      <c r="R18" s="3140"/>
      <c r="S18" s="3702"/>
      <c r="T18" s="3820"/>
      <c r="U18" s="3774"/>
      <c r="V18" s="2882"/>
    </row>
    <row r="19" spans="1:22" s="2883" customFormat="1" ht="15.05" customHeight="1">
      <c r="A19" s="2875"/>
      <c r="B19" s="2875"/>
      <c r="C19" s="2875"/>
      <c r="D19" s="2876"/>
      <c r="E19" s="2875"/>
      <c r="F19" s="2877" t="s">
        <v>1149</v>
      </c>
      <c r="G19" s="2878"/>
      <c r="H19" s="2879"/>
      <c r="I19" s="2880"/>
      <c r="J19" s="3138">
        <v>19330379000</v>
      </c>
      <c r="K19" s="3138">
        <v>21077352223</v>
      </c>
      <c r="L19" s="3139">
        <v>24602495136</v>
      </c>
      <c r="M19" s="3136"/>
      <c r="N19" s="3139"/>
      <c r="O19" s="3139">
        <v>4726131862</v>
      </c>
      <c r="P19" s="3139"/>
      <c r="Q19" s="3139"/>
      <c r="R19" s="3140"/>
      <c r="S19" s="3702"/>
      <c r="T19" s="3820"/>
      <c r="U19" s="3774"/>
      <c r="V19" s="2882"/>
    </row>
    <row r="20" spans="1:22" s="2883" customFormat="1" ht="15.05" customHeight="1">
      <c r="A20" s="2875"/>
      <c r="B20" s="2875"/>
      <c r="C20" s="2875"/>
      <c r="D20" s="2876"/>
      <c r="E20" s="2875"/>
      <c r="F20" s="2877" t="s">
        <v>1148</v>
      </c>
      <c r="G20" s="2878"/>
      <c r="H20" s="2879"/>
      <c r="I20" s="2880"/>
      <c r="J20" s="3138">
        <v>13063598000</v>
      </c>
      <c r="K20" s="3138">
        <v>15637707858</v>
      </c>
      <c r="L20" s="3139">
        <v>19282915315</v>
      </c>
      <c r="M20" s="3136"/>
      <c r="N20" s="3139"/>
      <c r="O20" s="3139">
        <v>3363555821</v>
      </c>
      <c r="P20" s="3139"/>
      <c r="Q20" s="3139"/>
      <c r="R20" s="3140"/>
      <c r="S20" s="3702"/>
      <c r="T20" s="3820"/>
      <c r="U20" s="3774"/>
      <c r="V20" s="2882"/>
    </row>
    <row r="21" spans="1:22" s="2883" customFormat="1" ht="15.05" customHeight="1">
      <c r="A21" s="2875"/>
      <c r="B21" s="2875"/>
      <c r="C21" s="2875"/>
      <c r="D21" s="2876"/>
      <c r="E21" s="2875"/>
      <c r="F21" s="2877" t="s">
        <v>1150</v>
      </c>
      <c r="G21" s="2878"/>
      <c r="H21" s="2879"/>
      <c r="I21" s="2880"/>
      <c r="J21" s="3138">
        <v>7135313000</v>
      </c>
      <c r="K21" s="3138">
        <v>7530942967</v>
      </c>
      <c r="L21" s="3139">
        <v>8832161493</v>
      </c>
      <c r="M21" s="3136"/>
      <c r="N21" s="3139"/>
      <c r="O21" s="3139">
        <v>1894855705</v>
      </c>
      <c r="P21" s="3139"/>
      <c r="Q21" s="3139"/>
      <c r="R21" s="3140"/>
      <c r="S21" s="3702"/>
      <c r="T21" s="3820"/>
      <c r="U21" s="3774"/>
      <c r="V21" s="2882"/>
    </row>
    <row r="22" spans="1:22" s="2883" customFormat="1" ht="15.05" customHeight="1">
      <c r="A22" s="2875"/>
      <c r="B22" s="2875"/>
      <c r="C22" s="2875"/>
      <c r="D22" s="2876"/>
      <c r="E22" s="2875"/>
      <c r="F22" s="2877" t="s">
        <v>1151</v>
      </c>
      <c r="G22" s="2878"/>
      <c r="H22" s="2879"/>
      <c r="I22" s="2880"/>
      <c r="J22" s="3138">
        <v>7455885000</v>
      </c>
      <c r="K22" s="3138">
        <v>8793651686</v>
      </c>
      <c r="L22" s="3139">
        <v>9908631964</v>
      </c>
      <c r="M22" s="3136"/>
      <c r="N22" s="3139"/>
      <c r="O22" s="3139">
        <v>1892159075</v>
      </c>
      <c r="P22" s="3139"/>
      <c r="Q22" s="3139"/>
      <c r="R22" s="3140"/>
      <c r="S22" s="3702"/>
      <c r="T22" s="3820"/>
      <c r="U22" s="3774"/>
      <c r="V22" s="2882"/>
    </row>
    <row r="23" spans="1:22" s="2883" customFormat="1" ht="15.05" customHeight="1">
      <c r="A23" s="2875"/>
      <c r="B23" s="2875"/>
      <c r="C23" s="2875"/>
      <c r="D23" s="2876"/>
      <c r="E23" s="2875"/>
      <c r="F23" s="2877" t="s">
        <v>1152</v>
      </c>
      <c r="G23" s="2878"/>
      <c r="H23" s="2879"/>
      <c r="I23" s="2880"/>
      <c r="J23" s="3138">
        <v>10317754000</v>
      </c>
      <c r="K23" s="3138">
        <v>11464986780</v>
      </c>
      <c r="L23" s="3139">
        <v>13263561868</v>
      </c>
      <c r="M23" s="3136"/>
      <c r="N23" s="3139"/>
      <c r="O23" s="3139">
        <v>3427447982</v>
      </c>
      <c r="P23" s="3139"/>
      <c r="Q23" s="3139"/>
      <c r="R23" s="3140"/>
      <c r="S23" s="3702"/>
      <c r="T23" s="3820"/>
      <c r="U23" s="3774"/>
      <c r="V23" s="2882"/>
    </row>
    <row r="24" spans="1:22" s="257" customFormat="1" ht="15.05" customHeight="1">
      <c r="A24" s="3027"/>
      <c r="B24" s="3027"/>
      <c r="C24" s="3027"/>
      <c r="D24" s="3028"/>
      <c r="E24" s="1902"/>
      <c r="F24" s="3029"/>
      <c r="G24" s="2831"/>
      <c r="H24" s="2322"/>
      <c r="I24" s="1907"/>
      <c r="J24" s="3141"/>
      <c r="K24" s="3141"/>
      <c r="L24" s="3142"/>
      <c r="M24" s="3129"/>
      <c r="N24" s="3142"/>
      <c r="O24" s="3142"/>
      <c r="P24" s="3142"/>
      <c r="Q24" s="3142"/>
      <c r="R24" s="3143"/>
      <c r="S24" s="3703"/>
      <c r="T24" s="3821"/>
      <c r="U24" s="3771"/>
      <c r="V24" s="1846"/>
    </row>
    <row r="25" spans="1:22" s="2947" customFormat="1" ht="15.05" customHeight="1">
      <c r="A25" s="3021" t="s">
        <v>443</v>
      </c>
      <c r="B25" s="3021" t="s">
        <v>58</v>
      </c>
      <c r="C25" s="3021" t="s">
        <v>58</v>
      </c>
      <c r="D25" s="3022" t="s">
        <v>440</v>
      </c>
      <c r="E25" s="3021"/>
      <c r="F25" s="3023" t="s">
        <v>1153</v>
      </c>
      <c r="G25" s="3024"/>
      <c r="H25" s="3025"/>
      <c r="I25" s="3026"/>
      <c r="J25" s="3132">
        <f t="shared" ref="J25:O25" si="4">SUM(J26:J35)</f>
        <v>318503155000</v>
      </c>
      <c r="K25" s="3132">
        <f t="shared" si="4"/>
        <v>322208887701</v>
      </c>
      <c r="L25" s="3132">
        <f t="shared" si="4"/>
        <v>321503155000</v>
      </c>
      <c r="M25" s="3132">
        <f t="shared" si="4"/>
        <v>0</v>
      </c>
      <c r="N25" s="3132">
        <f t="shared" si="4"/>
        <v>0</v>
      </c>
      <c r="O25" s="3132">
        <f t="shared" si="4"/>
        <v>72721445555</v>
      </c>
      <c r="P25" s="3132">
        <v>322208888000</v>
      </c>
      <c r="Q25" s="3132">
        <f>P25-L25</f>
        <v>705733000</v>
      </c>
      <c r="R25" s="3133">
        <f>+P25/L25*100-100</f>
        <v>0.21951044306236156</v>
      </c>
      <c r="S25" s="3700"/>
      <c r="T25" s="3818"/>
      <c r="U25" s="3773"/>
      <c r="V25" s="2944"/>
    </row>
    <row r="26" spans="1:22" s="2883" customFormat="1" ht="15.05" customHeight="1">
      <c r="A26" s="2984"/>
      <c r="B26" s="2984"/>
      <c r="C26" s="2984"/>
      <c r="D26" s="3016"/>
      <c r="E26" s="2984"/>
      <c r="F26" s="3017" t="s">
        <v>1143</v>
      </c>
      <c r="G26" s="3018"/>
      <c r="H26" s="3019"/>
      <c r="I26" s="3020"/>
      <c r="J26" s="3134">
        <v>88217042000</v>
      </c>
      <c r="K26" s="3134">
        <v>88750043334</v>
      </c>
      <c r="L26" s="3135">
        <v>89048587600</v>
      </c>
      <c r="M26" s="3136"/>
      <c r="N26" s="3135"/>
      <c r="O26" s="3135">
        <v>21008364305</v>
      </c>
      <c r="P26" s="3135"/>
      <c r="Q26" s="3135"/>
      <c r="R26" s="3137"/>
      <c r="S26" s="3701"/>
      <c r="T26" s="3819"/>
      <c r="U26" s="3774"/>
      <c r="V26" s="2882"/>
    </row>
    <row r="27" spans="1:22" s="2883" customFormat="1" ht="15.05" customHeight="1">
      <c r="A27" s="2875"/>
      <c r="B27" s="2875"/>
      <c r="C27" s="2875"/>
      <c r="D27" s="2876"/>
      <c r="E27" s="2875"/>
      <c r="F27" s="2877" t="s">
        <v>1144</v>
      </c>
      <c r="G27" s="2878"/>
      <c r="H27" s="2879"/>
      <c r="I27" s="2880"/>
      <c r="J27" s="3138">
        <v>44806080000</v>
      </c>
      <c r="K27" s="3138">
        <v>58359055747</v>
      </c>
      <c r="L27" s="3139">
        <v>43050445200</v>
      </c>
      <c r="M27" s="3136"/>
      <c r="N27" s="3139"/>
      <c r="O27" s="3139">
        <v>12974559000</v>
      </c>
      <c r="P27" s="3139"/>
      <c r="Q27" s="3139"/>
      <c r="R27" s="3140"/>
      <c r="S27" s="3702"/>
      <c r="T27" s="3820"/>
      <c r="U27" s="3774"/>
      <c r="V27" s="2882"/>
    </row>
    <row r="28" spans="1:22" s="2883" customFormat="1" ht="15.05" customHeight="1">
      <c r="A28" s="2875"/>
      <c r="B28" s="2875"/>
      <c r="C28" s="2875"/>
      <c r="D28" s="2876"/>
      <c r="E28" s="2875"/>
      <c r="F28" s="2877" t="s">
        <v>1145</v>
      </c>
      <c r="G28" s="2878"/>
      <c r="H28" s="2879"/>
      <c r="I28" s="2880"/>
      <c r="J28" s="3138">
        <v>13188012000</v>
      </c>
      <c r="K28" s="3138">
        <v>0</v>
      </c>
      <c r="L28" s="3139">
        <v>15367063100</v>
      </c>
      <c r="M28" s="3136"/>
      <c r="N28" s="3139"/>
      <c r="O28" s="3139">
        <v>0</v>
      </c>
      <c r="P28" s="3139"/>
      <c r="Q28" s="3139"/>
      <c r="R28" s="3140"/>
      <c r="S28" s="3702"/>
      <c r="T28" s="3820"/>
      <c r="U28" s="3774"/>
      <c r="V28" s="2882"/>
    </row>
    <row r="29" spans="1:22" s="2883" customFormat="1" ht="15.05" customHeight="1">
      <c r="A29" s="2875"/>
      <c r="B29" s="2875"/>
      <c r="C29" s="2875"/>
      <c r="D29" s="2876"/>
      <c r="E29" s="2875"/>
      <c r="F29" s="2877" t="s">
        <v>1146</v>
      </c>
      <c r="G29" s="2878"/>
      <c r="H29" s="2879"/>
      <c r="I29" s="2880"/>
      <c r="J29" s="3138">
        <v>46143610000</v>
      </c>
      <c r="K29" s="3138">
        <v>46642700157</v>
      </c>
      <c r="L29" s="3139">
        <v>46313162500</v>
      </c>
      <c r="M29" s="3136"/>
      <c r="N29" s="3139"/>
      <c r="O29" s="3139">
        <v>10590982300</v>
      </c>
      <c r="P29" s="3139"/>
      <c r="Q29" s="3139"/>
      <c r="R29" s="3140"/>
      <c r="S29" s="3702"/>
      <c r="T29" s="3820"/>
      <c r="U29" s="3774"/>
      <c r="V29" s="2882"/>
    </row>
    <row r="30" spans="1:22" s="2883" customFormat="1" ht="15.05" customHeight="1">
      <c r="A30" s="2875"/>
      <c r="B30" s="2875"/>
      <c r="C30" s="2875"/>
      <c r="D30" s="2876"/>
      <c r="E30" s="2875"/>
      <c r="F30" s="2877" t="s">
        <v>1147</v>
      </c>
      <c r="G30" s="2878"/>
      <c r="H30" s="2879"/>
      <c r="I30" s="2880"/>
      <c r="J30" s="3138">
        <v>55404156000</v>
      </c>
      <c r="K30" s="3138">
        <v>55757219048</v>
      </c>
      <c r="L30" s="3139">
        <v>54297917400</v>
      </c>
      <c r="M30" s="3136"/>
      <c r="N30" s="3139"/>
      <c r="O30" s="3139">
        <v>13243838750</v>
      </c>
      <c r="P30" s="3139"/>
      <c r="Q30" s="3139"/>
      <c r="R30" s="3140"/>
      <c r="S30" s="3702"/>
      <c r="T30" s="3820"/>
      <c r="U30" s="3774"/>
      <c r="V30" s="2882"/>
    </row>
    <row r="31" spans="1:22" s="2883" customFormat="1" ht="15.05" customHeight="1">
      <c r="A31" s="2875"/>
      <c r="B31" s="2875"/>
      <c r="C31" s="2875"/>
      <c r="D31" s="2876"/>
      <c r="E31" s="2875"/>
      <c r="F31" s="2877" t="s">
        <v>1148</v>
      </c>
      <c r="G31" s="2878"/>
      <c r="H31" s="2879"/>
      <c r="I31" s="2880"/>
      <c r="J31" s="3138">
        <v>24530826000</v>
      </c>
      <c r="K31" s="3138">
        <v>26280750366</v>
      </c>
      <c r="L31" s="3139">
        <v>26331859300</v>
      </c>
      <c r="M31" s="3136"/>
      <c r="N31" s="3139"/>
      <c r="O31" s="3139">
        <v>4970869900</v>
      </c>
      <c r="P31" s="3139"/>
      <c r="Q31" s="3139"/>
      <c r="R31" s="3140"/>
      <c r="S31" s="3702"/>
      <c r="T31" s="3820"/>
      <c r="U31" s="3774"/>
      <c r="V31" s="2882"/>
    </row>
    <row r="32" spans="1:22" s="2883" customFormat="1" ht="15.05" customHeight="1">
      <c r="A32" s="2875"/>
      <c r="B32" s="2875"/>
      <c r="C32" s="2875"/>
      <c r="D32" s="2876"/>
      <c r="E32" s="2875"/>
      <c r="F32" s="2877" t="s">
        <v>1149</v>
      </c>
      <c r="G32" s="2878"/>
      <c r="H32" s="2879"/>
      <c r="I32" s="2880"/>
      <c r="J32" s="3138">
        <v>13229500000</v>
      </c>
      <c r="K32" s="3138">
        <v>14055787009</v>
      </c>
      <c r="L32" s="3139">
        <v>14367919300</v>
      </c>
      <c r="M32" s="3136"/>
      <c r="N32" s="3139"/>
      <c r="O32" s="3139">
        <v>2888678800</v>
      </c>
      <c r="P32" s="3139"/>
      <c r="Q32" s="3139"/>
      <c r="R32" s="3140"/>
      <c r="S32" s="3702"/>
      <c r="T32" s="3820"/>
      <c r="U32" s="3774"/>
      <c r="V32" s="2882"/>
    </row>
    <row r="33" spans="1:22" s="2883" customFormat="1" ht="15.05" customHeight="1">
      <c r="A33" s="2875"/>
      <c r="B33" s="2875"/>
      <c r="C33" s="2875"/>
      <c r="D33" s="2876"/>
      <c r="E33" s="2875"/>
      <c r="F33" s="2877" t="s">
        <v>1150</v>
      </c>
      <c r="G33" s="2878"/>
      <c r="H33" s="2879"/>
      <c r="I33" s="2880"/>
      <c r="J33" s="3138">
        <v>11200800000</v>
      </c>
      <c r="K33" s="3138">
        <v>9869342560</v>
      </c>
      <c r="L33" s="3139">
        <v>10029004300</v>
      </c>
      <c r="M33" s="3136"/>
      <c r="N33" s="3139"/>
      <c r="O33" s="3139">
        <v>1741245300</v>
      </c>
      <c r="P33" s="3139"/>
      <c r="Q33" s="3139"/>
      <c r="R33" s="3140"/>
      <c r="S33" s="3702"/>
      <c r="T33" s="3820"/>
      <c r="U33" s="3774"/>
      <c r="V33" s="2882"/>
    </row>
    <row r="34" spans="1:22" s="2883" customFormat="1" ht="15.05" customHeight="1">
      <c r="A34" s="2875"/>
      <c r="B34" s="2875"/>
      <c r="C34" s="2875"/>
      <c r="D34" s="2876"/>
      <c r="E34" s="2875"/>
      <c r="F34" s="2877" t="s">
        <v>1151</v>
      </c>
      <c r="G34" s="2878"/>
      <c r="H34" s="2879"/>
      <c r="I34" s="2880"/>
      <c r="J34" s="3138">
        <v>9976046000</v>
      </c>
      <c r="K34" s="3138">
        <v>10667507201</v>
      </c>
      <c r="L34" s="3139">
        <v>10866726200</v>
      </c>
      <c r="M34" s="3136"/>
      <c r="N34" s="3139"/>
      <c r="O34" s="3139">
        <v>2296433100</v>
      </c>
      <c r="P34" s="3139"/>
      <c r="Q34" s="3139"/>
      <c r="R34" s="3140"/>
      <c r="S34" s="3702"/>
      <c r="T34" s="3820"/>
      <c r="U34" s="3774"/>
      <c r="V34" s="2882"/>
    </row>
    <row r="35" spans="1:22" s="2883" customFormat="1" ht="15.05" customHeight="1">
      <c r="A35" s="2875"/>
      <c r="B35" s="2875"/>
      <c r="C35" s="2875"/>
      <c r="D35" s="2876"/>
      <c r="E35" s="2875"/>
      <c r="F35" s="2877" t="s">
        <v>1152</v>
      </c>
      <c r="G35" s="2878"/>
      <c r="H35" s="2879"/>
      <c r="I35" s="2880"/>
      <c r="J35" s="3138">
        <v>11807083000</v>
      </c>
      <c r="K35" s="3138">
        <v>11826482279</v>
      </c>
      <c r="L35" s="3139">
        <v>11830470100</v>
      </c>
      <c r="M35" s="3136"/>
      <c r="N35" s="3139"/>
      <c r="O35" s="3139">
        <v>3006474100</v>
      </c>
      <c r="P35" s="3139"/>
      <c r="Q35" s="3139"/>
      <c r="R35" s="3140"/>
      <c r="S35" s="3702"/>
      <c r="T35" s="3820"/>
      <c r="U35" s="3774"/>
      <c r="V35" s="2882"/>
    </row>
    <row r="36" spans="1:22" s="257" customFormat="1" ht="15.05" customHeight="1">
      <c r="A36" s="3027"/>
      <c r="B36" s="3027"/>
      <c r="C36" s="3027"/>
      <c r="D36" s="3028"/>
      <c r="E36" s="1902"/>
      <c r="F36" s="3029"/>
      <c r="G36" s="2831"/>
      <c r="H36" s="2322"/>
      <c r="I36" s="1907"/>
      <c r="J36" s="3141"/>
      <c r="K36" s="3141"/>
      <c r="L36" s="3142"/>
      <c r="M36" s="3129"/>
      <c r="N36" s="3142"/>
      <c r="O36" s="3142"/>
      <c r="P36" s="3142"/>
      <c r="Q36" s="3142"/>
      <c r="R36" s="3143"/>
      <c r="S36" s="3703"/>
      <c r="T36" s="3821"/>
      <c r="U36" s="3771"/>
      <c r="V36" s="1846"/>
    </row>
    <row r="37" spans="1:22" s="2947" customFormat="1" ht="15.05" customHeight="1">
      <c r="A37" s="3021" t="s">
        <v>443</v>
      </c>
      <c r="B37" s="3021" t="s">
        <v>58</v>
      </c>
      <c r="C37" s="3021" t="s">
        <v>58</v>
      </c>
      <c r="D37" s="3022" t="s">
        <v>451</v>
      </c>
      <c r="E37" s="3021"/>
      <c r="F37" s="3023" t="s">
        <v>1154</v>
      </c>
      <c r="G37" s="3024"/>
      <c r="H37" s="3025"/>
      <c r="I37" s="3026"/>
      <c r="J37" s="3132">
        <v>192900000000</v>
      </c>
      <c r="K37" s="3132">
        <v>188945861622</v>
      </c>
      <c r="L37" s="3144">
        <v>192900000000</v>
      </c>
      <c r="M37" s="3145">
        <v>46114131883</v>
      </c>
      <c r="N37" s="3144"/>
      <c r="O37" s="3144">
        <v>46114131883</v>
      </c>
      <c r="P37" s="3144">
        <v>188945861000</v>
      </c>
      <c r="Q37" s="3334">
        <f>P37-L37</f>
        <v>-3954139000</v>
      </c>
      <c r="R37" s="3133">
        <v>-100</v>
      </c>
      <c r="S37" s="3700"/>
      <c r="T37" s="3818"/>
      <c r="U37" s="3773"/>
      <c r="V37" s="2944"/>
    </row>
    <row r="38" spans="1:22" s="257" customFormat="1" ht="15.05" customHeight="1">
      <c r="A38" s="3031"/>
      <c r="B38" s="3031"/>
      <c r="C38" s="3031"/>
      <c r="D38" s="3032"/>
      <c r="E38" s="1725"/>
      <c r="F38" s="3033"/>
      <c r="G38" s="3034"/>
      <c r="H38" s="1318"/>
      <c r="I38" s="3035"/>
      <c r="J38" s="3146"/>
      <c r="K38" s="3146"/>
      <c r="L38" s="3147"/>
      <c r="M38" s="3129"/>
      <c r="N38" s="3147"/>
      <c r="O38" s="3147"/>
      <c r="P38" s="3147"/>
      <c r="Q38" s="3147"/>
      <c r="R38" s="3148"/>
      <c r="S38" s="3700"/>
      <c r="T38" s="3818"/>
      <c r="U38" s="3771"/>
      <c r="V38" s="1846"/>
    </row>
    <row r="39" spans="1:22" s="2947" customFormat="1" ht="15.05" customHeight="1">
      <c r="A39" s="3021" t="s">
        <v>443</v>
      </c>
      <c r="B39" s="3021" t="s">
        <v>58</v>
      </c>
      <c r="C39" s="3021" t="s">
        <v>58</v>
      </c>
      <c r="D39" s="3022" t="s">
        <v>441</v>
      </c>
      <c r="E39" s="3021"/>
      <c r="F39" s="3023" t="s">
        <v>1156</v>
      </c>
      <c r="G39" s="3024"/>
      <c r="H39" s="3025"/>
      <c r="I39" s="3026"/>
      <c r="J39" s="3149">
        <v>300000000</v>
      </c>
      <c r="K39" s="3150">
        <v>361290857</v>
      </c>
      <c r="L39" s="3144">
        <v>1000000000</v>
      </c>
      <c r="M39" s="3145"/>
      <c r="N39" s="3144"/>
      <c r="O39" s="3144">
        <v>228953247</v>
      </c>
      <c r="P39" s="3144">
        <v>1000000000</v>
      </c>
      <c r="Q39" s="3144">
        <f>P39-L39</f>
        <v>0</v>
      </c>
      <c r="R39" s="3133">
        <v>-100</v>
      </c>
      <c r="S39" s="3700"/>
      <c r="T39" s="3818"/>
      <c r="U39" s="3773"/>
      <c r="V39" s="2944"/>
    </row>
    <row r="40" spans="1:22" s="257" customFormat="1" ht="15.05" customHeight="1">
      <c r="A40" s="3036"/>
      <c r="B40" s="3036"/>
      <c r="C40" s="3036"/>
      <c r="D40" s="3037"/>
      <c r="E40" s="1944"/>
      <c r="F40" s="3038"/>
      <c r="G40" s="3039"/>
      <c r="H40" s="3040"/>
      <c r="I40" s="3041"/>
      <c r="J40" s="3151"/>
      <c r="K40" s="3151"/>
      <c r="L40" s="3152"/>
      <c r="M40" s="3153"/>
      <c r="N40" s="3152"/>
      <c r="O40" s="3152"/>
      <c r="P40" s="3152"/>
      <c r="Q40" s="3152"/>
      <c r="R40" s="3133"/>
      <c r="S40" s="3700"/>
      <c r="T40" s="3818"/>
      <c r="U40" s="3771"/>
      <c r="V40" s="1846"/>
    </row>
    <row r="41" spans="1:22" s="2947" customFormat="1" ht="15.05" customHeight="1">
      <c r="A41" s="3021" t="s">
        <v>443</v>
      </c>
      <c r="B41" s="3021" t="s">
        <v>58</v>
      </c>
      <c r="C41" s="3021" t="s">
        <v>58</v>
      </c>
      <c r="D41" s="3021" t="s">
        <v>1155</v>
      </c>
      <c r="E41" s="3021"/>
      <c r="F41" s="3023" t="s">
        <v>1157</v>
      </c>
      <c r="G41" s="3024"/>
      <c r="H41" s="3025"/>
      <c r="I41" s="3026"/>
      <c r="J41" s="3132">
        <v>277693444000</v>
      </c>
      <c r="K41" s="3132">
        <v>222556939857</v>
      </c>
      <c r="L41" s="3144">
        <v>294842129000</v>
      </c>
      <c r="M41" s="3145">
        <v>44786003561</v>
      </c>
      <c r="N41" s="3144"/>
      <c r="O41" s="3144">
        <v>44786003561</v>
      </c>
      <c r="P41" s="3144">
        <v>310143919000</v>
      </c>
      <c r="Q41" s="3144">
        <f>P41-L41</f>
        <v>15301790000</v>
      </c>
      <c r="R41" s="3133">
        <v>-100</v>
      </c>
      <c r="S41" s="3700"/>
      <c r="T41" s="3818"/>
      <c r="U41" s="3773"/>
      <c r="V41" s="2944"/>
    </row>
    <row r="42" spans="1:22" s="257" customFormat="1" ht="15.05" customHeight="1">
      <c r="A42" s="2985"/>
      <c r="B42" s="2985"/>
      <c r="C42" s="2985"/>
      <c r="D42" s="3030"/>
      <c r="E42" s="1905"/>
      <c r="F42" s="2986"/>
      <c r="G42" s="2828"/>
      <c r="H42" s="212"/>
      <c r="I42" s="225"/>
      <c r="J42" s="3154"/>
      <c r="K42" s="3154"/>
      <c r="L42" s="3155"/>
      <c r="M42" s="3129"/>
      <c r="N42" s="3155"/>
      <c r="O42" s="3155"/>
      <c r="P42" s="3155"/>
      <c r="Q42" s="3155"/>
      <c r="R42" s="3156"/>
      <c r="S42" s="3704"/>
      <c r="T42" s="3822"/>
      <c r="U42" s="3771"/>
      <c r="V42" s="1846"/>
    </row>
    <row r="43" spans="1:22" s="2908" customFormat="1" ht="15.05" customHeight="1">
      <c r="A43" s="3042">
        <v>4</v>
      </c>
      <c r="B43" s="3042">
        <v>1</v>
      </c>
      <c r="C43" s="3042">
        <v>2</v>
      </c>
      <c r="D43" s="3042"/>
      <c r="E43" s="3042"/>
      <c r="F43" s="3043" t="s">
        <v>106</v>
      </c>
      <c r="G43" s="3044"/>
      <c r="H43" s="3045"/>
      <c r="I43" s="3046"/>
      <c r="J43" s="3157">
        <f>J44+J55+J200</f>
        <v>29890858000</v>
      </c>
      <c r="K43" s="3157">
        <f t="shared" ref="K43:P43" si="5">K44+K55+K200</f>
        <v>29792038549</v>
      </c>
      <c r="L43" s="3157">
        <f t="shared" si="5"/>
        <v>18459358000</v>
      </c>
      <c r="M43" s="3157">
        <f t="shared" si="5"/>
        <v>2868914276</v>
      </c>
      <c r="N43" s="3157">
        <f t="shared" si="5"/>
        <v>1482279200</v>
      </c>
      <c r="O43" s="3157">
        <f t="shared" si="5"/>
        <v>4448558476</v>
      </c>
      <c r="P43" s="3157">
        <f t="shared" si="5"/>
        <v>19945053500</v>
      </c>
      <c r="Q43" s="3158">
        <f t="shared" ref="Q43:Q50" si="6">+P43-L43</f>
        <v>1485695500</v>
      </c>
      <c r="R43" s="3159">
        <f>+P43/L43*100-100</f>
        <v>8.0484678827941849</v>
      </c>
      <c r="S43" s="3705"/>
      <c r="T43" s="3823"/>
      <c r="U43" s="3775"/>
      <c r="V43" s="2907"/>
    </row>
    <row r="44" spans="1:22" s="2947" customFormat="1" ht="15.05" customHeight="1">
      <c r="A44" s="3021">
        <v>4</v>
      </c>
      <c r="B44" s="3021">
        <v>1</v>
      </c>
      <c r="C44" s="3021">
        <v>2</v>
      </c>
      <c r="D44" s="3021" t="s">
        <v>437</v>
      </c>
      <c r="E44" s="3021"/>
      <c r="F44" s="3023" t="s">
        <v>107</v>
      </c>
      <c r="G44" s="3024"/>
      <c r="H44" s="3025"/>
      <c r="I44" s="3026"/>
      <c r="J44" s="3132">
        <f>J45+J50+J51+J53</f>
        <v>19059250000</v>
      </c>
      <c r="K44" s="3132">
        <f t="shared" ref="K44:P44" si="7">K45+K50+K51+K53</f>
        <v>19214538092</v>
      </c>
      <c r="L44" s="3132">
        <f t="shared" si="7"/>
        <v>7519250000</v>
      </c>
      <c r="M44" s="3132">
        <f t="shared" si="7"/>
        <v>1772108700</v>
      </c>
      <c r="N44" s="3132">
        <f t="shared" si="7"/>
        <v>942614200</v>
      </c>
      <c r="O44" s="3132">
        <f t="shared" si="7"/>
        <v>2714722900</v>
      </c>
      <c r="P44" s="3132">
        <f t="shared" si="7"/>
        <v>9000000000</v>
      </c>
      <c r="Q44" s="3160">
        <f t="shared" si="6"/>
        <v>1480750000</v>
      </c>
      <c r="R44" s="3161">
        <f>+P44/L44*100-100</f>
        <v>19.692788509492303</v>
      </c>
      <c r="S44" s="3706"/>
      <c r="T44" s="3824"/>
      <c r="U44" s="3773"/>
      <c r="V44" s="2944"/>
    </row>
    <row r="45" spans="1:22" s="2932" customFormat="1" ht="15.05" customHeight="1">
      <c r="A45" s="3047">
        <v>4</v>
      </c>
      <c r="B45" s="3047">
        <v>1</v>
      </c>
      <c r="C45" s="3047">
        <v>2</v>
      </c>
      <c r="D45" s="3047" t="s">
        <v>437</v>
      </c>
      <c r="E45" s="3047" t="s">
        <v>437</v>
      </c>
      <c r="F45" s="3048" t="s">
        <v>84</v>
      </c>
      <c r="G45" s="3049"/>
      <c r="H45" s="3050"/>
      <c r="I45" s="3051"/>
      <c r="J45" s="3162">
        <f>SUM(J46:J49)</f>
        <v>18800000000</v>
      </c>
      <c r="K45" s="3162">
        <f t="shared" ref="K45:P45" si="8">SUM(K46:K49)</f>
        <v>18927671342</v>
      </c>
      <c r="L45" s="3162">
        <f t="shared" si="8"/>
        <v>7500000000</v>
      </c>
      <c r="M45" s="3162">
        <f t="shared" si="8"/>
        <v>1772108700</v>
      </c>
      <c r="N45" s="3162">
        <f t="shared" si="8"/>
        <v>942614200</v>
      </c>
      <c r="O45" s="3162">
        <f t="shared" si="8"/>
        <v>2714722900</v>
      </c>
      <c r="P45" s="3162">
        <f t="shared" si="8"/>
        <v>9000000000</v>
      </c>
      <c r="Q45" s="3163">
        <f t="shared" si="6"/>
        <v>1500000000</v>
      </c>
      <c r="R45" s="3163">
        <f>+P45/L45*100-100</f>
        <v>20</v>
      </c>
      <c r="S45" s="3707"/>
      <c r="T45" s="3825"/>
      <c r="U45" s="3776"/>
      <c r="V45" s="2931"/>
    </row>
    <row r="46" spans="1:22" s="1832" customFormat="1" ht="15.05" customHeight="1">
      <c r="A46" s="1855"/>
      <c r="B46" s="1855"/>
      <c r="C46" s="1855"/>
      <c r="D46" s="1855"/>
      <c r="E46" s="1855"/>
      <c r="F46" s="1857" t="s">
        <v>82</v>
      </c>
      <c r="G46" s="1858"/>
      <c r="H46" s="200"/>
      <c r="I46" s="217"/>
      <c r="J46" s="3165">
        <v>4000000000</v>
      </c>
      <c r="K46" s="3165">
        <v>4571728000</v>
      </c>
      <c r="L46" s="3125">
        <v>4500000000</v>
      </c>
      <c r="M46" s="3124">
        <v>1633527700</v>
      </c>
      <c r="N46" s="3125">
        <v>818193200</v>
      </c>
      <c r="O46" s="3125">
        <v>2451720900</v>
      </c>
      <c r="P46" s="3125">
        <v>7000000000</v>
      </c>
      <c r="Q46" s="3125">
        <f t="shared" si="6"/>
        <v>2500000000</v>
      </c>
      <c r="R46" s="3166">
        <f>+P46/L46*100-100</f>
        <v>55.555555555555571</v>
      </c>
      <c r="S46" s="3275"/>
      <c r="T46" s="3826"/>
      <c r="U46" s="3771"/>
      <c r="V46" s="1882">
        <f t="shared" ref="V46:V104" si="9">O46*4</f>
        <v>9806883600</v>
      </c>
    </row>
    <row r="47" spans="1:22" s="1832" customFormat="1" ht="15.05" customHeight="1">
      <c r="A47" s="1855"/>
      <c r="B47" s="1855"/>
      <c r="C47" s="1855"/>
      <c r="D47" s="1855"/>
      <c r="E47" s="1855"/>
      <c r="F47" s="1857" t="s">
        <v>487</v>
      </c>
      <c r="G47" s="1858"/>
      <c r="H47" s="200"/>
      <c r="I47" s="217"/>
      <c r="J47" s="3165">
        <v>1100000000</v>
      </c>
      <c r="K47" s="3165">
        <v>1352812500</v>
      </c>
      <c r="L47" s="3125">
        <v>3000000000</v>
      </c>
      <c r="M47" s="3124">
        <v>138581000</v>
      </c>
      <c r="N47" s="3125">
        <v>124421000</v>
      </c>
      <c r="O47" s="3125">
        <v>263002000</v>
      </c>
      <c r="P47" s="3125">
        <v>2000000000</v>
      </c>
      <c r="Q47" s="3125">
        <f t="shared" si="6"/>
        <v>-1000000000</v>
      </c>
      <c r="R47" s="3166">
        <f>+P47/L47*100-100</f>
        <v>-33.333333333333343</v>
      </c>
      <c r="S47" s="3275"/>
      <c r="T47" s="3826"/>
      <c r="U47" s="3771"/>
      <c r="V47" s="1882">
        <f t="shared" si="9"/>
        <v>1052008000</v>
      </c>
    </row>
    <row r="48" spans="1:22" s="257" customFormat="1" ht="15.05" customHeight="1">
      <c r="A48" s="1855"/>
      <c r="B48" s="1855"/>
      <c r="C48" s="1855"/>
      <c r="D48" s="1855"/>
      <c r="E48" s="1855"/>
      <c r="F48" s="2884" t="s">
        <v>1158</v>
      </c>
      <c r="G48" s="2885"/>
      <c r="H48" s="2886"/>
      <c r="I48" s="217"/>
      <c r="J48" s="3167">
        <v>200000000</v>
      </c>
      <c r="K48" s="3167">
        <v>291113500</v>
      </c>
      <c r="L48" s="3125">
        <v>0</v>
      </c>
      <c r="M48" s="3124">
        <v>0</v>
      </c>
      <c r="N48" s="3125">
        <v>0</v>
      </c>
      <c r="O48" s="3125">
        <v>0</v>
      </c>
      <c r="P48" s="3125">
        <v>0</v>
      </c>
      <c r="Q48" s="3125">
        <f t="shared" si="6"/>
        <v>0</v>
      </c>
      <c r="R48" s="3166">
        <v>0</v>
      </c>
      <c r="S48" s="3275"/>
      <c r="T48" s="3826"/>
      <c r="U48" s="3771"/>
      <c r="V48" s="1846">
        <f t="shared" si="9"/>
        <v>0</v>
      </c>
    </row>
    <row r="49" spans="1:22" s="257" customFormat="1" ht="15.05" customHeight="1">
      <c r="A49" s="1855"/>
      <c r="B49" s="1855"/>
      <c r="C49" s="1855"/>
      <c r="D49" s="1855"/>
      <c r="E49" s="1855"/>
      <c r="F49" s="2884" t="s">
        <v>1159</v>
      </c>
      <c r="G49" s="2885"/>
      <c r="H49" s="2886"/>
      <c r="I49" s="217"/>
      <c r="J49" s="3167">
        <v>13500000000</v>
      </c>
      <c r="K49" s="3167">
        <v>12712017342</v>
      </c>
      <c r="L49" s="3125">
        <v>0</v>
      </c>
      <c r="M49" s="3124">
        <v>0</v>
      </c>
      <c r="N49" s="3125">
        <v>0</v>
      </c>
      <c r="O49" s="3125">
        <v>0</v>
      </c>
      <c r="P49" s="3125">
        <v>0</v>
      </c>
      <c r="Q49" s="3125">
        <f t="shared" si="6"/>
        <v>0</v>
      </c>
      <c r="R49" s="3166">
        <v>0</v>
      </c>
      <c r="S49" s="3275"/>
      <c r="T49" s="3826"/>
      <c r="U49" s="3771"/>
      <c r="V49" s="1846">
        <f t="shared" si="9"/>
        <v>0</v>
      </c>
    </row>
    <row r="50" spans="1:22" s="2932" customFormat="1" ht="15.05" customHeight="1">
      <c r="A50" s="2925">
        <v>4</v>
      </c>
      <c r="B50" s="2925">
        <v>1</v>
      </c>
      <c r="C50" s="2925">
        <v>2</v>
      </c>
      <c r="D50" s="2925" t="s">
        <v>437</v>
      </c>
      <c r="E50" s="2925" t="s">
        <v>445</v>
      </c>
      <c r="F50" s="2926" t="s">
        <v>488</v>
      </c>
      <c r="G50" s="2927"/>
      <c r="H50" s="2933"/>
      <c r="I50" s="2934"/>
      <c r="J50" s="3168">
        <v>240000000</v>
      </c>
      <c r="K50" s="3168">
        <v>286866750</v>
      </c>
      <c r="L50" s="3169">
        <v>0</v>
      </c>
      <c r="M50" s="3170">
        <v>0</v>
      </c>
      <c r="N50" s="3169">
        <v>0</v>
      </c>
      <c r="O50" s="3169">
        <v>0</v>
      </c>
      <c r="P50" s="3169">
        <f>MAR!N708</f>
        <v>0</v>
      </c>
      <c r="Q50" s="3169">
        <f t="shared" si="6"/>
        <v>0</v>
      </c>
      <c r="R50" s="3169">
        <v>0</v>
      </c>
      <c r="S50" s="3708"/>
      <c r="T50" s="3827"/>
      <c r="U50" s="3776"/>
      <c r="V50" s="2931">
        <f t="shared" si="9"/>
        <v>0</v>
      </c>
    </row>
    <row r="51" spans="1:22" s="2932" customFormat="1" ht="15.05" customHeight="1">
      <c r="A51" s="2925" t="s">
        <v>443</v>
      </c>
      <c r="B51" s="2925" t="s">
        <v>58</v>
      </c>
      <c r="C51" s="2925" t="s">
        <v>460</v>
      </c>
      <c r="D51" s="2925" t="s">
        <v>437</v>
      </c>
      <c r="E51" s="2925" t="s">
        <v>440</v>
      </c>
      <c r="F51" s="2926" t="s">
        <v>489</v>
      </c>
      <c r="G51" s="2927"/>
      <c r="H51" s="2928"/>
      <c r="I51" s="2934"/>
      <c r="J51" s="3168">
        <v>19250000</v>
      </c>
      <c r="K51" s="3168">
        <v>0</v>
      </c>
      <c r="L51" s="3169">
        <v>19250000</v>
      </c>
      <c r="M51" s="3170">
        <v>0</v>
      </c>
      <c r="N51" s="3169">
        <v>0</v>
      </c>
      <c r="O51" s="3169">
        <v>0</v>
      </c>
      <c r="P51" s="3169">
        <f>P52</f>
        <v>0</v>
      </c>
      <c r="Q51" s="3169">
        <f>+P51-L51</f>
        <v>-19250000</v>
      </c>
      <c r="R51" s="3169">
        <f>+P51/L51*100-100</f>
        <v>-100</v>
      </c>
      <c r="S51" s="3708"/>
      <c r="T51" s="3827"/>
      <c r="U51" s="3776"/>
      <c r="V51" s="2931">
        <f t="shared" si="9"/>
        <v>0</v>
      </c>
    </row>
    <row r="52" spans="1:22" s="257" customFormat="1" ht="15.05" customHeight="1">
      <c r="A52" s="1855"/>
      <c r="B52" s="1855"/>
      <c r="C52" s="1855"/>
      <c r="D52" s="1855"/>
      <c r="E52" s="1855"/>
      <c r="F52" s="2756" t="s">
        <v>50</v>
      </c>
      <c r="G52" s="1858" t="s">
        <v>490</v>
      </c>
      <c r="H52" s="200"/>
      <c r="I52" s="217"/>
      <c r="J52" s="3171">
        <v>19250000</v>
      </c>
      <c r="K52" s="3171">
        <v>0</v>
      </c>
      <c r="L52" s="3125">
        <v>19250000</v>
      </c>
      <c r="M52" s="3124">
        <v>0</v>
      </c>
      <c r="N52" s="3125">
        <v>0</v>
      </c>
      <c r="O52" s="3125">
        <v>0</v>
      </c>
      <c r="P52" s="3125">
        <v>0</v>
      </c>
      <c r="Q52" s="3125">
        <f>+P52-L52</f>
        <v>-19250000</v>
      </c>
      <c r="R52" s="3166">
        <f>+P52/L52*100-100</f>
        <v>-100</v>
      </c>
      <c r="S52" s="3275"/>
      <c r="T52" s="3826"/>
      <c r="U52" s="3771"/>
      <c r="V52" s="1846">
        <f t="shared" si="9"/>
        <v>0</v>
      </c>
    </row>
    <row r="53" spans="1:22" s="2932" customFormat="1" ht="15.05" customHeight="1">
      <c r="A53" s="2925">
        <v>4</v>
      </c>
      <c r="B53" s="2925">
        <v>1</v>
      </c>
      <c r="C53" s="2925">
        <v>2</v>
      </c>
      <c r="D53" s="2925" t="s">
        <v>437</v>
      </c>
      <c r="E53" s="2935" t="s">
        <v>451</v>
      </c>
      <c r="F53" s="2926" t="s">
        <v>1180</v>
      </c>
      <c r="G53" s="2927"/>
      <c r="H53" s="2928"/>
      <c r="I53" s="2929"/>
      <c r="J53" s="3172"/>
      <c r="K53" s="3172">
        <v>0</v>
      </c>
      <c r="L53" s="3169">
        <v>0</v>
      </c>
      <c r="M53" s="3170">
        <v>0</v>
      </c>
      <c r="N53" s="3169">
        <v>0</v>
      </c>
      <c r="O53" s="3169">
        <v>0</v>
      </c>
      <c r="P53" s="3169">
        <f>O53-L53</f>
        <v>0</v>
      </c>
      <c r="Q53" s="3169">
        <f>+P53-L53</f>
        <v>0</v>
      </c>
      <c r="R53" s="3169" t="e">
        <f>+P53/L53*100-100</f>
        <v>#DIV/0!</v>
      </c>
      <c r="S53" s="3708"/>
      <c r="T53" s="3827"/>
      <c r="U53" s="3776"/>
      <c r="V53" s="2931">
        <f t="shared" si="9"/>
        <v>0</v>
      </c>
    </row>
    <row r="54" spans="1:22" s="257" customFormat="1" ht="15.05" customHeight="1">
      <c r="A54" s="1886"/>
      <c r="B54" s="1886"/>
      <c r="C54" s="1886"/>
      <c r="D54" s="1886"/>
      <c r="E54" s="1886"/>
      <c r="F54" s="1887"/>
      <c r="G54" s="1888"/>
      <c r="H54" s="856"/>
      <c r="I54" s="1894"/>
      <c r="J54" s="3173"/>
      <c r="K54" s="3173">
        <f>K56-3676781427</f>
        <v>0</v>
      </c>
      <c r="L54" s="3174"/>
      <c r="M54" s="3175"/>
      <c r="N54" s="3174"/>
      <c r="O54" s="3174"/>
      <c r="P54" s="3174"/>
      <c r="Q54" s="3174"/>
      <c r="R54" s="3176"/>
      <c r="S54" s="3709"/>
      <c r="T54" s="3828"/>
      <c r="U54" s="3771"/>
      <c r="V54" s="1846">
        <f t="shared" si="9"/>
        <v>0</v>
      </c>
    </row>
    <row r="55" spans="1:22" s="2947" customFormat="1" ht="15.05" customHeight="1">
      <c r="A55" s="3053">
        <v>4</v>
      </c>
      <c r="B55" s="3054">
        <v>1</v>
      </c>
      <c r="C55" s="3054">
        <v>2</v>
      </c>
      <c r="D55" s="3054" t="s">
        <v>438</v>
      </c>
      <c r="E55" s="3055"/>
      <c r="F55" s="3056" t="s">
        <v>374</v>
      </c>
      <c r="G55" s="3057"/>
      <c r="H55" s="3058"/>
      <c r="I55" s="3059"/>
      <c r="J55" s="3177">
        <f>J56+J136+J155+J161</f>
        <v>9182718500</v>
      </c>
      <c r="K55" s="3177">
        <f t="shared" ref="K55:P55" si="10">K56+K136+K155+K161</f>
        <v>8816358857</v>
      </c>
      <c r="L55" s="3177">
        <f t="shared" si="10"/>
        <v>9291218500</v>
      </c>
      <c r="M55" s="3177">
        <f t="shared" si="10"/>
        <v>773060576</v>
      </c>
      <c r="N55" s="3177">
        <f t="shared" si="10"/>
        <v>386105000</v>
      </c>
      <c r="O55" s="3177">
        <f t="shared" si="10"/>
        <v>1256530576</v>
      </c>
      <c r="P55" s="3177">
        <f t="shared" si="10"/>
        <v>9081164000</v>
      </c>
      <c r="Q55" s="3178">
        <f>+P55-L55</f>
        <v>-210054500</v>
      </c>
      <c r="R55" s="3180">
        <f t="shared" ref="R55:R67" si="11">+P55/L55*100-100</f>
        <v>-2.2607852780558346</v>
      </c>
      <c r="S55" s="3700"/>
      <c r="T55" s="3818"/>
      <c r="U55" s="3773"/>
      <c r="V55" s="2944">
        <f t="shared" si="9"/>
        <v>5026122304</v>
      </c>
    </row>
    <row r="56" spans="1:22" s="2932" customFormat="1" ht="15.05" customHeight="1">
      <c r="A56" s="3047">
        <v>4</v>
      </c>
      <c r="B56" s="3047">
        <v>1</v>
      </c>
      <c r="C56" s="3047">
        <v>2</v>
      </c>
      <c r="D56" s="3047" t="s">
        <v>438</v>
      </c>
      <c r="E56" s="3047" t="s">
        <v>437</v>
      </c>
      <c r="F56" s="3048" t="s">
        <v>64</v>
      </c>
      <c r="G56" s="3049"/>
      <c r="H56" s="3050"/>
      <c r="I56" s="3052"/>
      <c r="J56" s="3181">
        <f>J57+J61+J64+J66+J72+J75+J92+J109+J112+J117+J127+J130</f>
        <v>4557206500</v>
      </c>
      <c r="K56" s="3181">
        <f>K57+K61+K64+K66+K72+K75+K92+K109+K112+K117+K127+K130+K134</f>
        <v>3676781427</v>
      </c>
      <c r="L56" s="3181">
        <f t="shared" ref="L56:Q56" si="12">L57+L61+L64+L66+L72+L75+L92+L109+L112+L117+L127+L130</f>
        <v>4630706500</v>
      </c>
      <c r="M56" s="3181">
        <f t="shared" si="12"/>
        <v>285659026</v>
      </c>
      <c r="N56" s="3181">
        <f t="shared" si="12"/>
        <v>91100500</v>
      </c>
      <c r="O56" s="3181">
        <f t="shared" si="12"/>
        <v>376759526</v>
      </c>
      <c r="P56" s="3181">
        <f t="shared" si="12"/>
        <v>3804881500</v>
      </c>
      <c r="Q56" s="3163">
        <f t="shared" si="12"/>
        <v>-825825000</v>
      </c>
      <c r="R56" s="3163">
        <f t="shared" si="11"/>
        <v>-17.83367181660077</v>
      </c>
      <c r="S56" s="3707"/>
      <c r="T56" s="3825"/>
      <c r="U56" s="3776"/>
      <c r="V56" s="2931">
        <f t="shared" si="9"/>
        <v>1507038104</v>
      </c>
    </row>
    <row r="57" spans="1:22" s="1833" customFormat="1" ht="15.05" customHeight="1">
      <c r="A57" s="1854"/>
      <c r="B57" s="1854"/>
      <c r="C57" s="1854"/>
      <c r="D57" s="1854"/>
      <c r="E57" s="1854"/>
      <c r="F57" s="1464" t="s">
        <v>62</v>
      </c>
      <c r="G57" s="1860"/>
      <c r="H57" s="202"/>
      <c r="I57" s="218"/>
      <c r="J57" s="3123">
        <f>SUM(J58:J60)</f>
        <v>89895000</v>
      </c>
      <c r="K57" s="3123">
        <f t="shared" ref="K57:P57" si="13">SUM(K58:K60)</f>
        <v>78988830</v>
      </c>
      <c r="L57" s="3123">
        <f t="shared" si="13"/>
        <v>98395000</v>
      </c>
      <c r="M57" s="3123">
        <f t="shared" si="13"/>
        <v>4949500</v>
      </c>
      <c r="N57" s="3123">
        <f t="shared" si="13"/>
        <v>4782000</v>
      </c>
      <c r="O57" s="3123">
        <f t="shared" si="13"/>
        <v>9731500</v>
      </c>
      <c r="P57" s="3123">
        <f t="shared" si="13"/>
        <v>65000000</v>
      </c>
      <c r="Q57" s="3182">
        <f t="shared" ref="Q57:Q104" si="14">+P57-L57</f>
        <v>-33395000</v>
      </c>
      <c r="R57" s="3184">
        <f t="shared" si="11"/>
        <v>-33.939732709995425</v>
      </c>
      <c r="S57" s="3710"/>
      <c r="T57" s="3829"/>
      <c r="U57" s="3777"/>
      <c r="V57" s="1882">
        <f t="shared" si="9"/>
        <v>38926000</v>
      </c>
    </row>
    <row r="58" spans="1:22" s="1832" customFormat="1" ht="15.05" customHeight="1">
      <c r="A58" s="1854"/>
      <c r="B58" s="1854"/>
      <c r="C58" s="1854"/>
      <c r="D58" s="1854"/>
      <c r="E58" s="1854"/>
      <c r="F58" s="1857" t="s">
        <v>50</v>
      </c>
      <c r="G58" s="1858"/>
      <c r="H58" s="200" t="str">
        <f>MAR!I13</f>
        <v>Aula BPKBM</v>
      </c>
      <c r="I58" s="217"/>
      <c r="J58" s="3171">
        <v>33395000</v>
      </c>
      <c r="K58" s="3171">
        <v>36456830</v>
      </c>
      <c r="L58" s="3125">
        <v>33395000</v>
      </c>
      <c r="M58" s="3124">
        <v>0</v>
      </c>
      <c r="N58" s="3125">
        <v>750000</v>
      </c>
      <c r="O58" s="3125">
        <v>750000</v>
      </c>
      <c r="P58" s="3125">
        <v>0</v>
      </c>
      <c r="Q58" s="3125">
        <f t="shared" si="14"/>
        <v>-33395000</v>
      </c>
      <c r="R58" s="3166">
        <f t="shared" si="11"/>
        <v>-100</v>
      </c>
      <c r="S58" s="3275"/>
      <c r="T58" s="3826"/>
      <c r="U58" s="3771"/>
      <c r="V58" s="1882">
        <f t="shared" si="9"/>
        <v>3000000</v>
      </c>
    </row>
    <row r="59" spans="1:22" s="1832" customFormat="1" ht="15.05" customHeight="1">
      <c r="A59" s="1854"/>
      <c r="B59" s="1854"/>
      <c r="C59" s="1854"/>
      <c r="D59" s="1854"/>
      <c r="E59" s="1854"/>
      <c r="F59" s="1857" t="s">
        <v>50</v>
      </c>
      <c r="G59" s="1858"/>
      <c r="H59" s="200" t="str">
        <f>MAR!I14</f>
        <v>Aula Taman Budaya (Eks Dinas Pariwisata)</v>
      </c>
      <c r="I59" s="217"/>
      <c r="J59" s="3171">
        <v>16500000</v>
      </c>
      <c r="K59" s="3171">
        <v>2500000</v>
      </c>
      <c r="L59" s="3125">
        <v>25000000</v>
      </c>
      <c r="M59" s="3124">
        <v>0</v>
      </c>
      <c r="N59" s="3125">
        <v>2000000</v>
      </c>
      <c r="O59" s="3125">
        <v>2000000</v>
      </c>
      <c r="P59" s="3125">
        <v>25000000</v>
      </c>
      <c r="Q59" s="3125">
        <f t="shared" si="14"/>
        <v>0</v>
      </c>
      <c r="R59" s="3166">
        <f t="shared" si="11"/>
        <v>0</v>
      </c>
      <c r="S59" s="3275"/>
      <c r="T59" s="3826"/>
      <c r="U59" s="3771"/>
      <c r="V59" s="1882">
        <f t="shared" si="9"/>
        <v>8000000</v>
      </c>
    </row>
    <row r="60" spans="1:22" s="1832" customFormat="1" ht="15.05" customHeight="1">
      <c r="A60" s="1854"/>
      <c r="B60" s="1854"/>
      <c r="C60" s="1854"/>
      <c r="D60" s="1854"/>
      <c r="E60" s="1854"/>
      <c r="F60" s="1857" t="s">
        <v>50</v>
      </c>
      <c r="G60" s="1858"/>
      <c r="H60" s="200" t="str">
        <f>MAR!I15</f>
        <v>Museum (Eks Dinas Pariwisata)</v>
      </c>
      <c r="I60" s="217"/>
      <c r="J60" s="3171">
        <v>40000000</v>
      </c>
      <c r="K60" s="3171">
        <v>40032000</v>
      </c>
      <c r="L60" s="3125">
        <v>40000000</v>
      </c>
      <c r="M60" s="3124">
        <v>4949500</v>
      </c>
      <c r="N60" s="3125">
        <v>2032000</v>
      </c>
      <c r="O60" s="3125">
        <v>6981500</v>
      </c>
      <c r="P60" s="3125">
        <v>40000000</v>
      </c>
      <c r="Q60" s="3125">
        <f t="shared" si="14"/>
        <v>0</v>
      </c>
      <c r="R60" s="3166">
        <f t="shared" si="11"/>
        <v>0</v>
      </c>
      <c r="S60" s="3275"/>
      <c r="T60" s="3826"/>
      <c r="U60" s="3771"/>
      <c r="V60" s="1882">
        <f t="shared" si="9"/>
        <v>27926000</v>
      </c>
    </row>
    <row r="61" spans="1:22" s="1318" customFormat="1" ht="15.05" customHeight="1">
      <c r="A61" s="1854"/>
      <c r="B61" s="1854"/>
      <c r="C61" s="1854"/>
      <c r="D61" s="1854"/>
      <c r="E61" s="1854"/>
      <c r="F61" s="1464" t="s">
        <v>491</v>
      </c>
      <c r="G61" s="1860"/>
      <c r="H61" s="202"/>
      <c r="I61" s="2824"/>
      <c r="J61" s="3185">
        <f>SUM(J62:J63)</f>
        <v>466750000</v>
      </c>
      <c r="K61" s="3185">
        <f t="shared" ref="K61:P61" si="15">SUM(K62:K63)</f>
        <v>411360000</v>
      </c>
      <c r="L61" s="3185">
        <f t="shared" si="15"/>
        <v>466750000</v>
      </c>
      <c r="M61" s="3185">
        <f t="shared" si="15"/>
        <v>22406900</v>
      </c>
      <c r="N61" s="3185">
        <f t="shared" si="15"/>
        <v>26657500</v>
      </c>
      <c r="O61" s="3185">
        <f t="shared" si="15"/>
        <v>49064400</v>
      </c>
      <c r="P61" s="3185">
        <f t="shared" si="15"/>
        <v>466750000</v>
      </c>
      <c r="Q61" s="3182">
        <f t="shared" si="14"/>
        <v>0</v>
      </c>
      <c r="R61" s="3184">
        <f t="shared" si="11"/>
        <v>0</v>
      </c>
      <c r="S61" s="3710"/>
      <c r="T61" s="3829"/>
      <c r="U61" s="3777"/>
      <c r="V61" s="1846">
        <f t="shared" si="9"/>
        <v>196257600</v>
      </c>
    </row>
    <row r="62" spans="1:22" s="257" customFormat="1" ht="15.05" customHeight="1">
      <c r="A62" s="1855"/>
      <c r="B62" s="1855"/>
      <c r="C62" s="1855"/>
      <c r="D62" s="1855"/>
      <c r="E62" s="1855"/>
      <c r="F62" s="1857" t="s">
        <v>50</v>
      </c>
      <c r="G62" s="1858"/>
      <c r="H62" s="200" t="s">
        <v>492</v>
      </c>
      <c r="I62" s="2823"/>
      <c r="J62" s="3186">
        <v>216750000</v>
      </c>
      <c r="K62" s="3186">
        <v>82166000</v>
      </c>
      <c r="L62" s="3125">
        <v>216750000</v>
      </c>
      <c r="M62" s="3124">
        <v>1400000</v>
      </c>
      <c r="N62" s="3125">
        <v>0</v>
      </c>
      <c r="O62" s="3125">
        <v>1400000</v>
      </c>
      <c r="P62" s="3125">
        <v>216750000</v>
      </c>
      <c r="Q62" s="3125">
        <f t="shared" si="14"/>
        <v>0</v>
      </c>
      <c r="R62" s="3166">
        <f t="shared" si="11"/>
        <v>0</v>
      </c>
      <c r="S62" s="3275"/>
      <c r="T62" s="3826"/>
      <c r="U62" s="3771"/>
      <c r="V62" s="1846">
        <f t="shared" si="9"/>
        <v>5600000</v>
      </c>
    </row>
    <row r="63" spans="1:22" s="257" customFormat="1" ht="15.05" customHeight="1">
      <c r="A63" s="1855"/>
      <c r="B63" s="1855"/>
      <c r="C63" s="1855"/>
      <c r="D63" s="1855"/>
      <c r="E63" s="1855"/>
      <c r="F63" s="1857" t="s">
        <v>50</v>
      </c>
      <c r="G63" s="1858"/>
      <c r="H63" s="200" t="s">
        <v>493</v>
      </c>
      <c r="I63" s="2823"/>
      <c r="J63" s="3186">
        <v>250000000</v>
      </c>
      <c r="K63" s="3186">
        <v>329194000</v>
      </c>
      <c r="L63" s="3125">
        <v>250000000</v>
      </c>
      <c r="M63" s="3124">
        <v>21006900</v>
      </c>
      <c r="N63" s="3125">
        <v>26657500</v>
      </c>
      <c r="O63" s="3125">
        <v>47664400</v>
      </c>
      <c r="P63" s="3125">
        <v>250000000</v>
      </c>
      <c r="Q63" s="3125">
        <f t="shared" si="14"/>
        <v>0</v>
      </c>
      <c r="R63" s="3166">
        <f t="shared" si="11"/>
        <v>0</v>
      </c>
      <c r="S63" s="3275"/>
      <c r="T63" s="3826"/>
      <c r="U63" s="3771"/>
      <c r="V63" s="1846">
        <f t="shared" si="9"/>
        <v>190657600</v>
      </c>
    </row>
    <row r="64" spans="1:22" s="1318" customFormat="1" ht="15.05" customHeight="1">
      <c r="A64" s="1854"/>
      <c r="B64" s="1854"/>
      <c r="C64" s="1854"/>
      <c r="D64" s="1854"/>
      <c r="E64" s="1854"/>
      <c r="F64" s="1464" t="s">
        <v>494</v>
      </c>
      <c r="G64" s="1860"/>
      <c r="H64" s="202"/>
      <c r="I64" s="2824"/>
      <c r="J64" s="3185">
        <v>2000000</v>
      </c>
      <c r="K64" s="3185">
        <v>0</v>
      </c>
      <c r="L64" s="3182">
        <v>2000000</v>
      </c>
      <c r="M64" s="3183">
        <v>0</v>
      </c>
      <c r="N64" s="3182">
        <v>200000</v>
      </c>
      <c r="O64" s="3182">
        <v>200000</v>
      </c>
      <c r="P64" s="3182">
        <v>2000000</v>
      </c>
      <c r="Q64" s="3182">
        <f t="shared" si="14"/>
        <v>0</v>
      </c>
      <c r="R64" s="3184">
        <f t="shared" si="11"/>
        <v>0</v>
      </c>
      <c r="S64" s="3710"/>
      <c r="T64" s="3829"/>
      <c r="U64" s="3777"/>
      <c r="V64" s="1846">
        <f t="shared" si="9"/>
        <v>800000</v>
      </c>
    </row>
    <row r="65" spans="1:22" s="257" customFormat="1" ht="15.05" customHeight="1">
      <c r="A65" s="1855"/>
      <c r="B65" s="1855"/>
      <c r="C65" s="1855"/>
      <c r="D65" s="1855"/>
      <c r="E65" s="1855"/>
      <c r="F65" s="1857" t="s">
        <v>50</v>
      </c>
      <c r="G65" s="1858"/>
      <c r="H65" s="200" t="s">
        <v>495</v>
      </c>
      <c r="I65" s="217"/>
      <c r="J65" s="3171">
        <v>2000000</v>
      </c>
      <c r="K65" s="3171">
        <v>0</v>
      </c>
      <c r="L65" s="3125">
        <v>2000000</v>
      </c>
      <c r="M65" s="3124">
        <v>0</v>
      </c>
      <c r="N65" s="3125">
        <v>200000</v>
      </c>
      <c r="O65" s="3125">
        <v>200000</v>
      </c>
      <c r="P65" s="3125">
        <v>2000000</v>
      </c>
      <c r="Q65" s="3125">
        <f t="shared" si="14"/>
        <v>0</v>
      </c>
      <c r="R65" s="3166">
        <f t="shared" si="11"/>
        <v>0</v>
      </c>
      <c r="S65" s="3275"/>
      <c r="T65" s="3826"/>
      <c r="U65" s="3771"/>
      <c r="V65" s="1846">
        <f t="shared" si="9"/>
        <v>800000</v>
      </c>
    </row>
    <row r="66" spans="1:22" s="1318" customFormat="1" ht="15.05" customHeight="1">
      <c r="A66" s="1854"/>
      <c r="B66" s="1854"/>
      <c r="C66" s="1854"/>
      <c r="D66" s="1854"/>
      <c r="E66" s="1854"/>
      <c r="F66" s="1464" t="s">
        <v>496</v>
      </c>
      <c r="G66" s="1860"/>
      <c r="H66" s="202"/>
      <c r="I66" s="218"/>
      <c r="J66" s="3123">
        <v>152500000</v>
      </c>
      <c r="K66" s="3123">
        <v>41900000</v>
      </c>
      <c r="L66" s="3182">
        <v>152500000</v>
      </c>
      <c r="M66" s="3183">
        <v>2850000</v>
      </c>
      <c r="N66" s="3182">
        <v>6950000</v>
      </c>
      <c r="O66" s="3182">
        <v>9800000</v>
      </c>
      <c r="P66" s="3182">
        <f>SUM(P67)</f>
        <v>50000000</v>
      </c>
      <c r="Q66" s="3182">
        <f t="shared" si="14"/>
        <v>-102500000</v>
      </c>
      <c r="R66" s="3184">
        <f t="shared" si="11"/>
        <v>-67.21311475409837</v>
      </c>
      <c r="S66" s="3710"/>
      <c r="T66" s="3829"/>
      <c r="U66" s="3777"/>
      <c r="V66" s="1846">
        <f t="shared" si="9"/>
        <v>39200000</v>
      </c>
    </row>
    <row r="67" spans="1:22" s="257" customFormat="1" ht="15.05" customHeight="1">
      <c r="A67" s="1855"/>
      <c r="B67" s="1855"/>
      <c r="C67" s="1855"/>
      <c r="D67" s="1855"/>
      <c r="E67" s="1855"/>
      <c r="F67" s="1857" t="s">
        <v>50</v>
      </c>
      <c r="G67" s="1858"/>
      <c r="H67" s="200" t="s">
        <v>143</v>
      </c>
      <c r="I67" s="217"/>
      <c r="J67" s="3171">
        <v>152500000</v>
      </c>
      <c r="K67" s="3171">
        <v>41900000</v>
      </c>
      <c r="L67" s="3125">
        <v>152500000</v>
      </c>
      <c r="M67" s="3124">
        <v>2850000</v>
      </c>
      <c r="N67" s="3125">
        <v>6950000</v>
      </c>
      <c r="O67" s="3125">
        <v>9800000</v>
      </c>
      <c r="P67" s="3125">
        <v>50000000</v>
      </c>
      <c r="Q67" s="3125">
        <f t="shared" si="14"/>
        <v>-102500000</v>
      </c>
      <c r="R67" s="3166">
        <f t="shared" si="11"/>
        <v>-67.21311475409837</v>
      </c>
      <c r="S67" s="3275"/>
      <c r="T67" s="3826"/>
      <c r="U67" s="3771"/>
      <c r="V67" s="1846">
        <f t="shared" si="9"/>
        <v>39200000</v>
      </c>
    </row>
    <row r="68" spans="1:22" s="1318" customFormat="1" ht="15.05" hidden="1" customHeight="1">
      <c r="A68" s="1854"/>
      <c r="B68" s="1854"/>
      <c r="C68" s="1854"/>
      <c r="D68" s="1854"/>
      <c r="E68" s="1854"/>
      <c r="F68" s="1464" t="s">
        <v>497</v>
      </c>
      <c r="G68" s="1860"/>
      <c r="H68" s="202"/>
      <c r="I68" s="218"/>
      <c r="J68" s="3123">
        <v>56500000</v>
      </c>
      <c r="K68" s="3123">
        <v>42532000</v>
      </c>
      <c r="L68" s="3182">
        <v>0</v>
      </c>
      <c r="M68" s="3183">
        <v>0</v>
      </c>
      <c r="N68" s="3182">
        <v>0</v>
      </c>
      <c r="O68" s="3182">
        <v>0</v>
      </c>
      <c r="P68" s="3182">
        <v>0</v>
      </c>
      <c r="Q68" s="3182">
        <f t="shared" si="14"/>
        <v>0</v>
      </c>
      <c r="R68" s="3184">
        <v>0</v>
      </c>
      <c r="S68" s="3710"/>
      <c r="T68" s="3829"/>
      <c r="U68" s="3777"/>
      <c r="V68" s="1846">
        <f t="shared" si="9"/>
        <v>0</v>
      </c>
    </row>
    <row r="69" spans="1:22" s="257" customFormat="1" ht="15.05" hidden="1" customHeight="1">
      <c r="A69" s="1855"/>
      <c r="B69" s="1855"/>
      <c r="C69" s="1855"/>
      <c r="D69" s="1855"/>
      <c r="E69" s="1855"/>
      <c r="F69" s="2756" t="s">
        <v>50</v>
      </c>
      <c r="G69" s="1858" t="s">
        <v>498</v>
      </c>
      <c r="H69" s="200"/>
      <c r="I69" s="217"/>
      <c r="J69" s="3171">
        <v>16500000</v>
      </c>
      <c r="K69" s="3171">
        <v>2500000</v>
      </c>
      <c r="L69" s="3125">
        <v>0</v>
      </c>
      <c r="M69" s="3124">
        <v>0</v>
      </c>
      <c r="N69" s="3125">
        <v>0</v>
      </c>
      <c r="O69" s="3125">
        <v>0</v>
      </c>
      <c r="P69" s="3125">
        <v>0</v>
      </c>
      <c r="Q69" s="3125">
        <f t="shared" si="14"/>
        <v>0</v>
      </c>
      <c r="R69" s="3166">
        <v>0</v>
      </c>
      <c r="S69" s="3275"/>
      <c r="T69" s="3826"/>
      <c r="U69" s="3771"/>
      <c r="V69" s="1846">
        <f t="shared" si="9"/>
        <v>0</v>
      </c>
    </row>
    <row r="70" spans="1:22" s="257" customFormat="1" ht="15.05" hidden="1" customHeight="1">
      <c r="A70" s="1855"/>
      <c r="B70" s="1855"/>
      <c r="C70" s="1855"/>
      <c r="D70" s="1855"/>
      <c r="E70" s="1855"/>
      <c r="F70" s="2756" t="s">
        <v>50</v>
      </c>
      <c r="G70" s="1858" t="s">
        <v>499</v>
      </c>
      <c r="H70" s="200"/>
      <c r="I70" s="217"/>
      <c r="J70" s="3171">
        <v>40000000</v>
      </c>
      <c r="K70" s="3171">
        <v>40032000</v>
      </c>
      <c r="L70" s="3125">
        <v>0</v>
      </c>
      <c r="M70" s="3124">
        <v>0</v>
      </c>
      <c r="N70" s="3125">
        <v>0</v>
      </c>
      <c r="O70" s="3125">
        <v>0</v>
      </c>
      <c r="P70" s="3125">
        <v>0</v>
      </c>
      <c r="Q70" s="3125">
        <f t="shared" si="14"/>
        <v>0</v>
      </c>
      <c r="R70" s="3166">
        <v>0</v>
      </c>
      <c r="S70" s="3748"/>
      <c r="T70" s="3826"/>
      <c r="U70" s="3778">
        <f>PerDinas!Q372</f>
        <v>0</v>
      </c>
      <c r="V70" s="1846">
        <f t="shared" si="9"/>
        <v>0</v>
      </c>
    </row>
    <row r="71" spans="1:22" s="257" customFormat="1" ht="15.05" hidden="1" customHeight="1">
      <c r="A71" s="1855"/>
      <c r="B71" s="1855"/>
      <c r="C71" s="1855"/>
      <c r="D71" s="1855"/>
      <c r="E71" s="1855"/>
      <c r="F71" s="2756" t="s">
        <v>50</v>
      </c>
      <c r="G71" s="1858" t="s">
        <v>500</v>
      </c>
      <c r="H71" s="200"/>
      <c r="I71" s="217"/>
      <c r="J71" s="3171">
        <v>0</v>
      </c>
      <c r="K71" s="3171">
        <v>0</v>
      </c>
      <c r="L71" s="3125">
        <v>0</v>
      </c>
      <c r="M71" s="3124">
        <v>0</v>
      </c>
      <c r="N71" s="3125">
        <v>0</v>
      </c>
      <c r="O71" s="3125">
        <v>0</v>
      </c>
      <c r="P71" s="3125">
        <v>0</v>
      </c>
      <c r="Q71" s="3125">
        <f t="shared" si="14"/>
        <v>0</v>
      </c>
      <c r="R71" s="3166">
        <v>0</v>
      </c>
      <c r="S71" s="3275"/>
      <c r="T71" s="3826"/>
      <c r="U71" s="3778">
        <v>0</v>
      </c>
      <c r="V71" s="1846">
        <f t="shared" si="9"/>
        <v>0</v>
      </c>
    </row>
    <row r="72" spans="1:22" s="257" customFormat="1" ht="15.05" customHeight="1">
      <c r="A72" s="1855"/>
      <c r="B72" s="1855"/>
      <c r="C72" s="1855"/>
      <c r="D72" s="1855"/>
      <c r="E72" s="1855"/>
      <c r="F72" s="1901" t="s">
        <v>326</v>
      </c>
      <c r="G72" s="1858"/>
      <c r="H72" s="200"/>
      <c r="I72" s="217"/>
      <c r="J72" s="3256">
        <f>SUM(J73:J74)</f>
        <v>100000000</v>
      </c>
      <c r="K72" s="3256">
        <f t="shared" ref="K72:P72" si="16">SUM(K73:K74)</f>
        <v>271265000</v>
      </c>
      <c r="L72" s="3256">
        <f t="shared" si="16"/>
        <v>150000000</v>
      </c>
      <c r="M72" s="3256">
        <f t="shared" si="16"/>
        <v>26950000</v>
      </c>
      <c r="N72" s="3256">
        <f t="shared" si="16"/>
        <v>10625000</v>
      </c>
      <c r="O72" s="3256">
        <f t="shared" si="16"/>
        <v>37575000</v>
      </c>
      <c r="P72" s="3256">
        <f t="shared" si="16"/>
        <v>150000000</v>
      </c>
      <c r="Q72" s="3182">
        <f t="shared" si="14"/>
        <v>0</v>
      </c>
      <c r="R72" s="3184">
        <f t="shared" ref="R72:R78" si="17">+P72/L72*100-100</f>
        <v>0</v>
      </c>
      <c r="S72" s="3710"/>
      <c r="T72" s="3829"/>
      <c r="U72" s="3771"/>
      <c r="V72" s="1846">
        <f t="shared" si="9"/>
        <v>150300000</v>
      </c>
    </row>
    <row r="73" spans="1:22" s="257" customFormat="1" ht="15.05" customHeight="1">
      <c r="A73" s="1855"/>
      <c r="B73" s="1855"/>
      <c r="C73" s="1855"/>
      <c r="D73" s="1855"/>
      <c r="E73" s="1855"/>
      <c r="F73" s="2756" t="s">
        <v>50</v>
      </c>
      <c r="G73" s="1858" t="s">
        <v>501</v>
      </c>
      <c r="H73" s="200"/>
      <c r="I73" s="217"/>
      <c r="J73" s="3171">
        <v>100000000</v>
      </c>
      <c r="K73" s="3171">
        <v>271265000</v>
      </c>
      <c r="L73" s="3125">
        <v>100000000</v>
      </c>
      <c r="M73" s="3124">
        <v>26950000</v>
      </c>
      <c r="N73" s="3125">
        <v>10625000</v>
      </c>
      <c r="O73" s="3125">
        <v>37575000</v>
      </c>
      <c r="P73" s="3125">
        <v>100000000</v>
      </c>
      <c r="Q73" s="3125">
        <f t="shared" si="14"/>
        <v>0</v>
      </c>
      <c r="R73" s="3166">
        <f t="shared" si="17"/>
        <v>0</v>
      </c>
      <c r="S73" s="3748"/>
      <c r="T73" s="3826"/>
      <c r="U73" s="3778">
        <f>MAR!P586</f>
        <v>0</v>
      </c>
      <c r="V73" s="1846">
        <f t="shared" si="9"/>
        <v>150300000</v>
      </c>
    </row>
    <row r="74" spans="1:22" s="257" customFormat="1" ht="15.05" customHeight="1">
      <c r="A74" s="1855"/>
      <c r="B74" s="1855"/>
      <c r="C74" s="1855"/>
      <c r="D74" s="1855"/>
      <c r="E74" s="1855"/>
      <c r="F74" s="2756" t="s">
        <v>50</v>
      </c>
      <c r="G74" s="1858" t="s">
        <v>502</v>
      </c>
      <c r="H74" s="200"/>
      <c r="I74" s="217"/>
      <c r="J74" s="3171">
        <v>0</v>
      </c>
      <c r="K74" s="3171">
        <v>0</v>
      </c>
      <c r="L74" s="3125">
        <v>50000000</v>
      </c>
      <c r="M74" s="3124">
        <v>0</v>
      </c>
      <c r="N74" s="3125">
        <v>0</v>
      </c>
      <c r="O74" s="3125">
        <v>0</v>
      </c>
      <c r="P74" s="3125">
        <v>50000000</v>
      </c>
      <c r="Q74" s="3125">
        <f t="shared" si="14"/>
        <v>0</v>
      </c>
      <c r="R74" s="3166">
        <f t="shared" si="17"/>
        <v>0</v>
      </c>
      <c r="S74" s="3275"/>
      <c r="T74" s="3826"/>
      <c r="U74" s="3778"/>
      <c r="V74" s="1846">
        <f t="shared" si="9"/>
        <v>0</v>
      </c>
    </row>
    <row r="75" spans="1:22" s="257" customFormat="1" ht="15.05" customHeight="1">
      <c r="A75" s="1855"/>
      <c r="B75" s="1855"/>
      <c r="C75" s="1855"/>
      <c r="D75" s="1855"/>
      <c r="E75" s="1855"/>
      <c r="F75" s="1464" t="s">
        <v>157</v>
      </c>
      <c r="G75" s="1860"/>
      <c r="H75" s="202"/>
      <c r="I75" s="218"/>
      <c r="J75" s="3123">
        <f>SUM(J76:J78)</f>
        <v>131250000</v>
      </c>
      <c r="K75" s="3123">
        <f t="shared" ref="K75:P75" si="18">SUM(K76:K78)</f>
        <v>45175000</v>
      </c>
      <c r="L75" s="3123">
        <f t="shared" si="18"/>
        <v>131250000</v>
      </c>
      <c r="M75" s="3123">
        <f t="shared" si="18"/>
        <v>2500000</v>
      </c>
      <c r="N75" s="3123">
        <f t="shared" si="18"/>
        <v>5500000</v>
      </c>
      <c r="O75" s="3123">
        <f t="shared" si="18"/>
        <v>8000000</v>
      </c>
      <c r="P75" s="3123">
        <f t="shared" si="18"/>
        <v>131250000</v>
      </c>
      <c r="Q75" s="3182">
        <f t="shared" si="14"/>
        <v>0</v>
      </c>
      <c r="R75" s="3184">
        <f t="shared" si="17"/>
        <v>0</v>
      </c>
      <c r="S75" s="3710"/>
      <c r="T75" s="3829"/>
      <c r="U75" s="3771"/>
      <c r="V75" s="1846">
        <f t="shared" si="9"/>
        <v>32000000</v>
      </c>
    </row>
    <row r="76" spans="1:22" s="257" customFormat="1" ht="15.05" customHeight="1">
      <c r="A76" s="1855"/>
      <c r="B76" s="1855"/>
      <c r="C76" s="1855"/>
      <c r="D76" s="1855"/>
      <c r="E76" s="1855"/>
      <c r="F76" s="1863" t="s">
        <v>50</v>
      </c>
      <c r="G76" s="200"/>
      <c r="H76" s="200" t="s">
        <v>503</v>
      </c>
      <c r="I76" s="217"/>
      <c r="J76" s="3171">
        <v>30000000</v>
      </c>
      <c r="K76" s="3171">
        <v>23400000</v>
      </c>
      <c r="L76" s="3125">
        <v>30000000</v>
      </c>
      <c r="M76" s="3124">
        <v>0</v>
      </c>
      <c r="N76" s="3125">
        <v>0</v>
      </c>
      <c r="O76" s="3125">
        <v>0</v>
      </c>
      <c r="P76" s="3125">
        <v>30000000</v>
      </c>
      <c r="Q76" s="3125">
        <f t="shared" si="14"/>
        <v>0</v>
      </c>
      <c r="R76" s="3166">
        <f t="shared" si="17"/>
        <v>0</v>
      </c>
      <c r="S76" s="3748"/>
      <c r="T76" s="3826"/>
      <c r="U76" s="3778">
        <f>MAR!P286</f>
        <v>0</v>
      </c>
      <c r="V76" s="1846">
        <f t="shared" si="9"/>
        <v>0</v>
      </c>
    </row>
    <row r="77" spans="1:22" s="257" customFormat="1" ht="15.05" customHeight="1">
      <c r="A77" s="1855"/>
      <c r="B77" s="1855"/>
      <c r="C77" s="1855"/>
      <c r="D77" s="1855"/>
      <c r="E77" s="1855"/>
      <c r="F77" s="1863" t="s">
        <v>50</v>
      </c>
      <c r="G77" s="200"/>
      <c r="H77" s="200" t="s">
        <v>504</v>
      </c>
      <c r="I77" s="217"/>
      <c r="J77" s="3171">
        <v>26250000</v>
      </c>
      <c r="K77" s="3171">
        <v>14300000</v>
      </c>
      <c r="L77" s="3125">
        <v>26250000</v>
      </c>
      <c r="M77" s="3124">
        <v>1500000</v>
      </c>
      <c r="N77" s="3125">
        <v>0</v>
      </c>
      <c r="O77" s="3125">
        <v>1500000</v>
      </c>
      <c r="P77" s="3125">
        <v>26250000</v>
      </c>
      <c r="Q77" s="3125">
        <f t="shared" si="14"/>
        <v>0</v>
      </c>
      <c r="R77" s="3166">
        <f t="shared" si="17"/>
        <v>0</v>
      </c>
      <c r="S77" s="3748"/>
      <c r="T77" s="3826"/>
      <c r="U77" s="3778">
        <f>MAR!P287</f>
        <v>0</v>
      </c>
      <c r="V77" s="1846">
        <f t="shared" si="9"/>
        <v>6000000</v>
      </c>
    </row>
    <row r="78" spans="1:22" s="257" customFormat="1" ht="15.05" customHeight="1">
      <c r="A78" s="1855"/>
      <c r="B78" s="1855"/>
      <c r="C78" s="1855"/>
      <c r="D78" s="1855"/>
      <c r="E78" s="1855"/>
      <c r="F78" s="1863" t="s">
        <v>50</v>
      </c>
      <c r="G78" s="200"/>
      <c r="H78" s="200" t="s">
        <v>505</v>
      </c>
      <c r="I78" s="217"/>
      <c r="J78" s="3171">
        <v>75000000</v>
      </c>
      <c r="K78" s="3171">
        <v>7475000</v>
      </c>
      <c r="L78" s="3125">
        <v>75000000</v>
      </c>
      <c r="M78" s="3124">
        <v>1000000</v>
      </c>
      <c r="N78" s="3125">
        <v>5500000</v>
      </c>
      <c r="O78" s="3125">
        <v>6500000</v>
      </c>
      <c r="P78" s="3125">
        <v>75000000</v>
      </c>
      <c r="Q78" s="3125">
        <f t="shared" si="14"/>
        <v>0</v>
      </c>
      <c r="R78" s="3166">
        <f t="shared" si="17"/>
        <v>0</v>
      </c>
      <c r="S78" s="3748"/>
      <c r="T78" s="3826"/>
      <c r="U78" s="3778">
        <f>MAR!P288</f>
        <v>0</v>
      </c>
      <c r="V78" s="1846">
        <f t="shared" si="9"/>
        <v>26000000</v>
      </c>
    </row>
    <row r="79" spans="1:22" s="257" customFormat="1" ht="15.05" hidden="1" customHeight="1">
      <c r="A79" s="1855"/>
      <c r="B79" s="1855"/>
      <c r="C79" s="1855"/>
      <c r="D79" s="1855"/>
      <c r="E79" s="1855"/>
      <c r="F79" s="1863" t="s">
        <v>50</v>
      </c>
      <c r="G79" s="200"/>
      <c r="H79" s="202" t="s">
        <v>182</v>
      </c>
      <c r="I79" s="217"/>
      <c r="J79" s="3171"/>
      <c r="K79" s="3171"/>
      <c r="L79" s="3125">
        <v>0</v>
      </c>
      <c r="M79" s="3124">
        <v>0</v>
      </c>
      <c r="N79" s="3125">
        <v>0</v>
      </c>
      <c r="O79" s="3125">
        <v>0</v>
      </c>
      <c r="P79" s="3125">
        <v>0</v>
      </c>
      <c r="Q79" s="3125">
        <f t="shared" si="14"/>
        <v>0</v>
      </c>
      <c r="R79" s="3166">
        <v>0</v>
      </c>
      <c r="S79" s="3275"/>
      <c r="T79" s="3826"/>
      <c r="U79" s="3771"/>
      <c r="V79" s="1846">
        <f t="shared" si="9"/>
        <v>0</v>
      </c>
    </row>
    <row r="80" spans="1:22" s="257" customFormat="1" ht="15.05" hidden="1" customHeight="1">
      <c r="A80" s="1855"/>
      <c r="B80" s="1855"/>
      <c r="C80" s="1855"/>
      <c r="D80" s="1855"/>
      <c r="E80" s="1855"/>
      <c r="F80" s="1863"/>
      <c r="G80" s="2727" t="s">
        <v>50</v>
      </c>
      <c r="H80" s="200" t="s">
        <v>506</v>
      </c>
      <c r="I80" s="217"/>
      <c r="J80" s="3171"/>
      <c r="K80" s="3171"/>
      <c r="L80" s="3125">
        <v>0</v>
      </c>
      <c r="M80" s="3124">
        <v>0</v>
      </c>
      <c r="N80" s="3125">
        <v>0</v>
      </c>
      <c r="O80" s="3125">
        <v>0</v>
      </c>
      <c r="P80" s="3125">
        <v>0</v>
      </c>
      <c r="Q80" s="3125">
        <f t="shared" si="14"/>
        <v>0</v>
      </c>
      <c r="R80" s="3166">
        <v>0</v>
      </c>
      <c r="S80" s="3275"/>
      <c r="T80" s="3826"/>
      <c r="U80" s="3771"/>
      <c r="V80" s="1846">
        <f t="shared" si="9"/>
        <v>0</v>
      </c>
    </row>
    <row r="81" spans="1:22" s="257" customFormat="1" ht="15.05" hidden="1" customHeight="1">
      <c r="A81" s="1855"/>
      <c r="B81" s="1855"/>
      <c r="C81" s="1855"/>
      <c r="D81" s="1855"/>
      <c r="E81" s="1855"/>
      <c r="F81" s="1863"/>
      <c r="G81" s="2727" t="s">
        <v>50</v>
      </c>
      <c r="H81" s="200" t="s">
        <v>182</v>
      </c>
      <c r="I81" s="217"/>
      <c r="J81" s="3171"/>
      <c r="K81" s="3171"/>
      <c r="L81" s="3125">
        <v>0</v>
      </c>
      <c r="M81" s="3124">
        <v>0</v>
      </c>
      <c r="N81" s="3125">
        <v>0</v>
      </c>
      <c r="O81" s="3125">
        <v>0</v>
      </c>
      <c r="P81" s="3125">
        <v>0</v>
      </c>
      <c r="Q81" s="3125">
        <f t="shared" si="14"/>
        <v>0</v>
      </c>
      <c r="R81" s="3166">
        <v>0</v>
      </c>
      <c r="S81" s="3275"/>
      <c r="T81" s="3826"/>
      <c r="U81" s="3771"/>
      <c r="V81" s="1846">
        <f t="shared" si="9"/>
        <v>0</v>
      </c>
    </row>
    <row r="82" spans="1:22" s="257" customFormat="1" ht="15.05" hidden="1" customHeight="1">
      <c r="A82" s="1855"/>
      <c r="B82" s="1855"/>
      <c r="C82" s="1855"/>
      <c r="D82" s="1855"/>
      <c r="E82" s="1855"/>
      <c r="F82" s="1863"/>
      <c r="G82" s="2727" t="s">
        <v>50</v>
      </c>
      <c r="H82" s="200" t="s">
        <v>185</v>
      </c>
      <c r="I82" s="217"/>
      <c r="J82" s="3171"/>
      <c r="K82" s="3171"/>
      <c r="L82" s="3125">
        <v>0</v>
      </c>
      <c r="M82" s="3124">
        <v>0</v>
      </c>
      <c r="N82" s="3125">
        <v>0</v>
      </c>
      <c r="O82" s="3125">
        <v>0</v>
      </c>
      <c r="P82" s="3125">
        <v>0</v>
      </c>
      <c r="Q82" s="3125">
        <f t="shared" si="14"/>
        <v>0</v>
      </c>
      <c r="R82" s="3166">
        <v>0</v>
      </c>
      <c r="S82" s="3275"/>
      <c r="T82" s="3826"/>
      <c r="U82" s="3771"/>
      <c r="V82" s="1846">
        <f t="shared" si="9"/>
        <v>0</v>
      </c>
    </row>
    <row r="83" spans="1:22" s="257" customFormat="1" ht="15.05" hidden="1" customHeight="1">
      <c r="A83" s="1855"/>
      <c r="B83" s="1855"/>
      <c r="C83" s="1855"/>
      <c r="D83" s="1855"/>
      <c r="E83" s="1855"/>
      <c r="F83" s="1863" t="s">
        <v>50</v>
      </c>
      <c r="G83" s="200"/>
      <c r="H83" s="202" t="s">
        <v>507</v>
      </c>
      <c r="I83" s="217"/>
      <c r="J83" s="3171"/>
      <c r="K83" s="3171"/>
      <c r="L83" s="3125">
        <v>0</v>
      </c>
      <c r="M83" s="3124">
        <v>0</v>
      </c>
      <c r="N83" s="3125">
        <v>0</v>
      </c>
      <c r="O83" s="3125">
        <v>0</v>
      </c>
      <c r="P83" s="3125">
        <v>0</v>
      </c>
      <c r="Q83" s="3125">
        <f t="shared" si="14"/>
        <v>0</v>
      </c>
      <c r="R83" s="3166">
        <v>0</v>
      </c>
      <c r="S83" s="3275"/>
      <c r="T83" s="3826"/>
      <c r="U83" s="3771"/>
      <c r="V83" s="1846">
        <f t="shared" si="9"/>
        <v>0</v>
      </c>
    </row>
    <row r="84" spans="1:22" s="257" customFormat="1" ht="15.05" hidden="1" customHeight="1">
      <c r="A84" s="1855"/>
      <c r="B84" s="1855"/>
      <c r="C84" s="1855"/>
      <c r="D84" s="1855"/>
      <c r="E84" s="1855"/>
      <c r="F84" s="1863"/>
      <c r="G84" s="2727" t="s">
        <v>50</v>
      </c>
      <c r="H84" s="200" t="s">
        <v>508</v>
      </c>
      <c r="I84" s="217"/>
      <c r="J84" s="3171"/>
      <c r="K84" s="3171"/>
      <c r="L84" s="3125">
        <v>0</v>
      </c>
      <c r="M84" s="3124">
        <v>0</v>
      </c>
      <c r="N84" s="3125">
        <v>0</v>
      </c>
      <c r="O84" s="3125">
        <v>0</v>
      </c>
      <c r="P84" s="3125">
        <v>0</v>
      </c>
      <c r="Q84" s="3125">
        <f t="shared" si="14"/>
        <v>0</v>
      </c>
      <c r="R84" s="3166">
        <v>0</v>
      </c>
      <c r="S84" s="3275"/>
      <c r="T84" s="3826"/>
      <c r="U84" s="3771"/>
      <c r="V84" s="1846">
        <f t="shared" si="9"/>
        <v>0</v>
      </c>
    </row>
    <row r="85" spans="1:22" s="257" customFormat="1" ht="15.05" hidden="1" customHeight="1">
      <c r="A85" s="1855"/>
      <c r="B85" s="1855"/>
      <c r="C85" s="1855"/>
      <c r="D85" s="1855"/>
      <c r="E85" s="1855"/>
      <c r="F85" s="1863"/>
      <c r="G85" s="2727" t="s">
        <v>50</v>
      </c>
      <c r="H85" s="200" t="s">
        <v>509</v>
      </c>
      <c r="I85" s="217"/>
      <c r="J85" s="3171"/>
      <c r="K85" s="3171"/>
      <c r="L85" s="3125">
        <v>0</v>
      </c>
      <c r="M85" s="3124">
        <v>0</v>
      </c>
      <c r="N85" s="3125">
        <v>0</v>
      </c>
      <c r="O85" s="3125">
        <v>0</v>
      </c>
      <c r="P85" s="3125">
        <v>0</v>
      </c>
      <c r="Q85" s="3125">
        <f t="shared" si="14"/>
        <v>0</v>
      </c>
      <c r="R85" s="3166">
        <v>0</v>
      </c>
      <c r="S85" s="3275"/>
      <c r="T85" s="3826"/>
      <c r="U85" s="3771"/>
      <c r="V85" s="1846">
        <f t="shared" si="9"/>
        <v>0</v>
      </c>
    </row>
    <row r="86" spans="1:22" s="257" customFormat="1" ht="15.05" hidden="1" customHeight="1">
      <c r="A86" s="1855"/>
      <c r="B86" s="1855"/>
      <c r="C86" s="1855"/>
      <c r="D86" s="1855"/>
      <c r="E86" s="1855"/>
      <c r="F86" s="1863"/>
      <c r="G86" s="2727" t="s">
        <v>50</v>
      </c>
      <c r="H86" s="200" t="s">
        <v>510</v>
      </c>
      <c r="I86" s="217"/>
      <c r="J86" s="3171"/>
      <c r="K86" s="3171"/>
      <c r="L86" s="3125">
        <v>0</v>
      </c>
      <c r="M86" s="3124">
        <v>0</v>
      </c>
      <c r="N86" s="3125">
        <v>0</v>
      </c>
      <c r="O86" s="3125">
        <v>0</v>
      </c>
      <c r="P86" s="3125">
        <v>0</v>
      </c>
      <c r="Q86" s="3125">
        <f t="shared" si="14"/>
        <v>0</v>
      </c>
      <c r="R86" s="3166">
        <v>0</v>
      </c>
      <c r="S86" s="3275"/>
      <c r="T86" s="3826"/>
      <c r="U86" s="3771"/>
      <c r="V86" s="1846">
        <f t="shared" si="9"/>
        <v>0</v>
      </c>
    </row>
    <row r="87" spans="1:22" s="257" customFormat="1" ht="15.05" hidden="1" customHeight="1">
      <c r="A87" s="1855"/>
      <c r="B87" s="1855"/>
      <c r="C87" s="1855"/>
      <c r="D87" s="1855"/>
      <c r="E87" s="1855"/>
      <c r="F87" s="1863"/>
      <c r="G87" s="2727" t="s">
        <v>50</v>
      </c>
      <c r="H87" s="200" t="s">
        <v>511</v>
      </c>
      <c r="I87" s="217"/>
      <c r="J87" s="3171"/>
      <c r="K87" s="3171"/>
      <c r="L87" s="3125">
        <v>0</v>
      </c>
      <c r="M87" s="3124">
        <v>0</v>
      </c>
      <c r="N87" s="3125">
        <v>0</v>
      </c>
      <c r="O87" s="3125">
        <v>0</v>
      </c>
      <c r="P87" s="3125">
        <v>0</v>
      </c>
      <c r="Q87" s="3125">
        <f t="shared" si="14"/>
        <v>0</v>
      </c>
      <c r="R87" s="3166">
        <v>0</v>
      </c>
      <c r="S87" s="3275"/>
      <c r="T87" s="3826"/>
      <c r="U87" s="3771"/>
      <c r="V87" s="1846">
        <f t="shared" si="9"/>
        <v>0</v>
      </c>
    </row>
    <row r="88" spans="1:22" s="257" customFormat="1" ht="15.05" hidden="1" customHeight="1">
      <c r="A88" s="1855"/>
      <c r="B88" s="1855"/>
      <c r="C88" s="1855"/>
      <c r="D88" s="1855"/>
      <c r="E88" s="1855"/>
      <c r="F88" s="1863"/>
      <c r="G88" s="2727" t="s">
        <v>50</v>
      </c>
      <c r="H88" s="200" t="s">
        <v>512</v>
      </c>
      <c r="I88" s="217"/>
      <c r="J88" s="3171"/>
      <c r="K88" s="3171"/>
      <c r="L88" s="3125">
        <v>0</v>
      </c>
      <c r="M88" s="3124">
        <v>0</v>
      </c>
      <c r="N88" s="3125">
        <v>0</v>
      </c>
      <c r="O88" s="3125">
        <v>0</v>
      </c>
      <c r="P88" s="3125">
        <v>0</v>
      </c>
      <c r="Q88" s="3125">
        <f t="shared" si="14"/>
        <v>0</v>
      </c>
      <c r="R88" s="3166">
        <v>0</v>
      </c>
      <c r="S88" s="3275"/>
      <c r="T88" s="3826"/>
      <c r="U88" s="3771"/>
      <c r="V88" s="1846">
        <f t="shared" si="9"/>
        <v>0</v>
      </c>
    </row>
    <row r="89" spans="1:22" s="257" customFormat="1" ht="15.05" hidden="1" customHeight="1">
      <c r="A89" s="1855"/>
      <c r="B89" s="1855"/>
      <c r="C89" s="1855"/>
      <c r="D89" s="1855"/>
      <c r="E89" s="1855"/>
      <c r="F89" s="2757" t="s">
        <v>50</v>
      </c>
      <c r="G89" s="202"/>
      <c r="H89" s="200" t="s">
        <v>513</v>
      </c>
      <c r="I89" s="217"/>
      <c r="J89" s="3171"/>
      <c r="K89" s="3171"/>
      <c r="L89" s="3125">
        <v>0</v>
      </c>
      <c r="M89" s="3124">
        <v>0</v>
      </c>
      <c r="N89" s="3125">
        <v>0</v>
      </c>
      <c r="O89" s="3125">
        <v>0</v>
      </c>
      <c r="P89" s="3125">
        <v>0</v>
      </c>
      <c r="Q89" s="3125">
        <f t="shared" si="14"/>
        <v>0</v>
      </c>
      <c r="R89" s="3166">
        <v>0</v>
      </c>
      <c r="S89" s="3275"/>
      <c r="T89" s="3826"/>
      <c r="U89" s="3771"/>
      <c r="V89" s="1846">
        <f t="shared" si="9"/>
        <v>0</v>
      </c>
    </row>
    <row r="90" spans="1:22" s="257" customFormat="1" ht="15.05" hidden="1" customHeight="1">
      <c r="A90" s="1855"/>
      <c r="B90" s="1855"/>
      <c r="C90" s="1855"/>
      <c r="D90" s="1855"/>
      <c r="E90" s="1855"/>
      <c r="F90" s="2757" t="s">
        <v>50</v>
      </c>
      <c r="G90" s="202"/>
      <c r="H90" s="200" t="s">
        <v>514</v>
      </c>
      <c r="I90" s="217"/>
      <c r="J90" s="3171"/>
      <c r="K90" s="3171"/>
      <c r="L90" s="3125">
        <v>0</v>
      </c>
      <c r="M90" s="3124">
        <v>0</v>
      </c>
      <c r="N90" s="3125">
        <v>0</v>
      </c>
      <c r="O90" s="3125">
        <v>0</v>
      </c>
      <c r="P90" s="3125">
        <v>0</v>
      </c>
      <c r="Q90" s="3125">
        <f t="shared" si="14"/>
        <v>0</v>
      </c>
      <c r="R90" s="3166">
        <v>0</v>
      </c>
      <c r="S90" s="3275"/>
      <c r="T90" s="3826"/>
      <c r="U90" s="3771"/>
      <c r="V90" s="1846">
        <f t="shared" si="9"/>
        <v>0</v>
      </c>
    </row>
    <row r="91" spans="1:22" s="257" customFormat="1" ht="15.05" hidden="1" customHeight="1">
      <c r="A91" s="1855"/>
      <c r="B91" s="1855"/>
      <c r="C91" s="1855"/>
      <c r="D91" s="1855"/>
      <c r="E91" s="1855"/>
      <c r="F91" s="2757" t="s">
        <v>50</v>
      </c>
      <c r="G91" s="202"/>
      <c r="H91" s="202" t="s">
        <v>515</v>
      </c>
      <c r="I91" s="218"/>
      <c r="J91" s="3123"/>
      <c r="K91" s="3123"/>
      <c r="L91" s="3182">
        <v>0</v>
      </c>
      <c r="M91" s="3183">
        <v>0</v>
      </c>
      <c r="N91" s="3182">
        <v>0</v>
      </c>
      <c r="O91" s="3182">
        <v>0</v>
      </c>
      <c r="P91" s="3182">
        <v>0</v>
      </c>
      <c r="Q91" s="3182">
        <f t="shared" si="14"/>
        <v>0</v>
      </c>
      <c r="R91" s="3184">
        <v>0</v>
      </c>
      <c r="S91" s="3710"/>
      <c r="T91" s="3829"/>
      <c r="U91" s="3779">
        <v>0</v>
      </c>
      <c r="V91" s="1846">
        <f t="shared" si="9"/>
        <v>0</v>
      </c>
    </row>
    <row r="92" spans="1:22" s="1318" customFormat="1" ht="15.05" customHeight="1">
      <c r="A92" s="1854"/>
      <c r="B92" s="1854"/>
      <c r="C92" s="1854"/>
      <c r="D92" s="1854"/>
      <c r="E92" s="1854"/>
      <c r="F92" s="1464" t="s">
        <v>516</v>
      </c>
      <c r="G92" s="1860"/>
      <c r="H92" s="202"/>
      <c r="I92" s="218"/>
      <c r="J92" s="3123">
        <f>J93</f>
        <v>2235631500</v>
      </c>
      <c r="K92" s="3123">
        <f t="shared" ref="K92:P92" si="19">K93</f>
        <v>2302353487</v>
      </c>
      <c r="L92" s="3123">
        <f t="shared" si="19"/>
        <v>2235631500</v>
      </c>
      <c r="M92" s="3123">
        <f t="shared" si="19"/>
        <v>181908726</v>
      </c>
      <c r="N92" s="3123">
        <f t="shared" si="19"/>
        <v>0</v>
      </c>
      <c r="O92" s="3123">
        <f t="shared" si="19"/>
        <v>181908726</v>
      </c>
      <c r="P92" s="3123">
        <f t="shared" si="19"/>
        <v>2235631500</v>
      </c>
      <c r="Q92" s="3182">
        <f t="shared" si="14"/>
        <v>0</v>
      </c>
      <c r="R92" s="3184">
        <f t="shared" ref="R92:R103" si="20">+P92/L92*100-100</f>
        <v>0</v>
      </c>
      <c r="S92" s="3710"/>
      <c r="T92" s="3829"/>
      <c r="U92" s="3779">
        <v>0</v>
      </c>
      <c r="V92" s="1846">
        <f t="shared" si="9"/>
        <v>727634904</v>
      </c>
    </row>
    <row r="93" spans="1:22" s="2883" customFormat="1" ht="15.05" customHeight="1">
      <c r="A93" s="2875"/>
      <c r="B93" s="2875"/>
      <c r="C93" s="2875"/>
      <c r="D93" s="2875"/>
      <c r="E93" s="2875"/>
      <c r="F93" s="2877" t="s">
        <v>50</v>
      </c>
      <c r="G93" s="2879" t="s">
        <v>517</v>
      </c>
      <c r="I93" s="2880"/>
      <c r="J93" s="3139">
        <f>J94+J98</f>
        <v>2235631500</v>
      </c>
      <c r="K93" s="3139">
        <f t="shared" ref="K93:P93" si="21">K94+K98</f>
        <v>2302353487</v>
      </c>
      <c r="L93" s="3139">
        <f t="shared" si="21"/>
        <v>2235631500</v>
      </c>
      <c r="M93" s="3139">
        <f t="shared" si="21"/>
        <v>181908726</v>
      </c>
      <c r="N93" s="3139">
        <f t="shared" si="21"/>
        <v>0</v>
      </c>
      <c r="O93" s="3139">
        <f t="shared" si="21"/>
        <v>181908726</v>
      </c>
      <c r="P93" s="3139">
        <f t="shared" si="21"/>
        <v>2235631500</v>
      </c>
      <c r="Q93" s="3138">
        <f t="shared" si="14"/>
        <v>0</v>
      </c>
      <c r="R93" s="3166">
        <f t="shared" si="20"/>
        <v>0</v>
      </c>
      <c r="S93" s="3748"/>
      <c r="T93" s="3826"/>
      <c r="U93" s="3780">
        <f>PerDinas!Q506</f>
        <v>0</v>
      </c>
      <c r="V93" s="2882">
        <f t="shared" si="9"/>
        <v>727634904</v>
      </c>
    </row>
    <row r="94" spans="1:22" s="257" customFormat="1" ht="15.05" customHeight="1">
      <c r="A94" s="1855"/>
      <c r="B94" s="1855"/>
      <c r="C94" s="1855"/>
      <c r="D94" s="1855"/>
      <c r="E94" s="1855"/>
      <c r="F94" s="2879"/>
      <c r="G94" s="202" t="s">
        <v>518</v>
      </c>
      <c r="H94" s="200"/>
      <c r="I94" s="217"/>
      <c r="J94" s="3171">
        <f t="shared" ref="J94:P94" si="22">SUM(J95:J97)</f>
        <v>2075381500</v>
      </c>
      <c r="K94" s="3171">
        <f t="shared" si="22"/>
        <v>2275353487</v>
      </c>
      <c r="L94" s="3171">
        <f t="shared" si="22"/>
        <v>2075381500</v>
      </c>
      <c r="M94" s="3171">
        <f t="shared" si="22"/>
        <v>142158726</v>
      </c>
      <c r="N94" s="3171">
        <f t="shared" si="22"/>
        <v>0</v>
      </c>
      <c r="O94" s="3171">
        <f t="shared" si="22"/>
        <v>142158726</v>
      </c>
      <c r="P94" s="3166">
        <f t="shared" si="22"/>
        <v>2075381500</v>
      </c>
      <c r="Q94" s="3166">
        <f t="shared" si="14"/>
        <v>0</v>
      </c>
      <c r="R94" s="3166">
        <f t="shared" si="20"/>
        <v>0</v>
      </c>
      <c r="S94" s="3748"/>
      <c r="T94" s="3826"/>
      <c r="U94" s="3778">
        <f>MAR!P358</f>
        <v>0</v>
      </c>
      <c r="V94" s="1846">
        <f t="shared" si="9"/>
        <v>568634904</v>
      </c>
    </row>
    <row r="95" spans="1:22" s="257" customFormat="1" ht="15.05" customHeight="1">
      <c r="A95" s="1855"/>
      <c r="B95" s="1855"/>
      <c r="C95" s="1855"/>
      <c r="D95" s="1855"/>
      <c r="E95" s="1855"/>
      <c r="F95" s="200"/>
      <c r="G95" s="2771" t="s">
        <v>519</v>
      </c>
      <c r="H95" s="200"/>
      <c r="I95" s="217"/>
      <c r="J95" s="3171">
        <v>1043101100</v>
      </c>
      <c r="K95" s="3171">
        <v>885184616</v>
      </c>
      <c r="L95" s="3125">
        <v>1043101100</v>
      </c>
      <c r="M95" s="3124">
        <v>6500000</v>
      </c>
      <c r="N95" s="3125">
        <v>0</v>
      </c>
      <c r="O95" s="3125">
        <v>6500000</v>
      </c>
      <c r="P95" s="3166">
        <v>1043101100</v>
      </c>
      <c r="Q95" s="3166">
        <f t="shared" si="14"/>
        <v>0</v>
      </c>
      <c r="R95" s="3166">
        <f t="shared" si="20"/>
        <v>0</v>
      </c>
      <c r="S95" s="3748"/>
      <c r="T95" s="3826"/>
      <c r="U95" s="3778">
        <f>MAR!P359</f>
        <v>0</v>
      </c>
      <c r="V95" s="1846">
        <f t="shared" si="9"/>
        <v>26000000</v>
      </c>
    </row>
    <row r="96" spans="1:22" s="257" customFormat="1" ht="15.05" customHeight="1">
      <c r="A96" s="1855"/>
      <c r="B96" s="1855"/>
      <c r="C96" s="1855"/>
      <c r="D96" s="1855"/>
      <c r="E96" s="1855"/>
      <c r="F96" s="200"/>
      <c r="G96" s="2771" t="s">
        <v>520</v>
      </c>
      <c r="H96" s="200"/>
      <c r="I96" s="217"/>
      <c r="J96" s="3171">
        <v>532280400</v>
      </c>
      <c r="K96" s="3171">
        <v>131086220</v>
      </c>
      <c r="L96" s="3125">
        <v>532280400</v>
      </c>
      <c r="M96" s="3124">
        <v>23000000</v>
      </c>
      <c r="N96" s="3125">
        <v>0</v>
      </c>
      <c r="O96" s="3125">
        <v>23000000</v>
      </c>
      <c r="P96" s="3166">
        <v>532280400</v>
      </c>
      <c r="Q96" s="3166">
        <f t="shared" si="14"/>
        <v>0</v>
      </c>
      <c r="R96" s="3166">
        <f t="shared" si="20"/>
        <v>0</v>
      </c>
      <c r="S96" s="3748"/>
      <c r="T96" s="3826"/>
      <c r="U96" s="3778">
        <f>MAR!P360</f>
        <v>0</v>
      </c>
      <c r="V96" s="1846">
        <f t="shared" si="9"/>
        <v>92000000</v>
      </c>
    </row>
    <row r="97" spans="1:22" s="257" customFormat="1" ht="15.05" customHeight="1">
      <c r="A97" s="1855"/>
      <c r="B97" s="1855"/>
      <c r="C97" s="1855"/>
      <c r="D97" s="1855"/>
      <c r="E97" s="1855"/>
      <c r="F97" s="200"/>
      <c r="G97" s="2771" t="s">
        <v>521</v>
      </c>
      <c r="H97" s="200"/>
      <c r="I97" s="217"/>
      <c r="J97" s="3171">
        <v>500000000</v>
      </c>
      <c r="K97" s="3171">
        <v>1259082651</v>
      </c>
      <c r="L97" s="3125">
        <v>500000000</v>
      </c>
      <c r="M97" s="3124">
        <v>112658726</v>
      </c>
      <c r="N97" s="3125">
        <v>0</v>
      </c>
      <c r="O97" s="3125">
        <v>112658726</v>
      </c>
      <c r="P97" s="3166">
        <v>500000000</v>
      </c>
      <c r="Q97" s="3166">
        <f t="shared" si="14"/>
        <v>0</v>
      </c>
      <c r="R97" s="3166">
        <f t="shared" si="20"/>
        <v>0</v>
      </c>
      <c r="S97" s="3748"/>
      <c r="T97" s="3826"/>
      <c r="U97" s="3778">
        <f>MAR!P361</f>
        <v>0</v>
      </c>
      <c r="V97" s="1846">
        <f t="shared" si="9"/>
        <v>450634904</v>
      </c>
    </row>
    <row r="98" spans="1:22" s="257" customFormat="1" ht="15.05" customHeight="1">
      <c r="A98" s="1855"/>
      <c r="B98" s="1855"/>
      <c r="C98" s="1855"/>
      <c r="D98" s="1855"/>
      <c r="E98" s="1855"/>
      <c r="F98" s="200"/>
      <c r="G98" s="202" t="s">
        <v>522</v>
      </c>
      <c r="H98" s="200"/>
      <c r="I98" s="217"/>
      <c r="J98" s="3171">
        <f>SUM(J99:J104)</f>
        <v>160250000</v>
      </c>
      <c r="K98" s="3171">
        <v>27000000</v>
      </c>
      <c r="L98" s="3171">
        <f>SUM(L99:L104)</f>
        <v>160250000</v>
      </c>
      <c r="M98" s="3171">
        <f>SUM(M99:M104)</f>
        <v>39750000</v>
      </c>
      <c r="N98" s="3171">
        <f>SUM(N99:N104)</f>
        <v>0</v>
      </c>
      <c r="O98" s="3171">
        <f>SUM(O99:O104)</f>
        <v>39750000</v>
      </c>
      <c r="P98" s="3171">
        <f>SUM(P99:P104)</f>
        <v>160250000</v>
      </c>
      <c r="Q98" s="3166">
        <f t="shared" si="14"/>
        <v>0</v>
      </c>
      <c r="R98" s="3166">
        <f t="shared" si="20"/>
        <v>0</v>
      </c>
      <c r="S98" s="3275"/>
      <c r="T98" s="3826"/>
      <c r="U98" s="3778"/>
      <c r="V98" s="1846">
        <f t="shared" si="9"/>
        <v>159000000</v>
      </c>
    </row>
    <row r="99" spans="1:22" s="257" customFormat="1" ht="15.05" customHeight="1">
      <c r="A99" s="1855"/>
      <c r="B99" s="1855"/>
      <c r="C99" s="1855"/>
      <c r="D99" s="1855"/>
      <c r="E99" s="1855"/>
      <c r="F99" s="200"/>
      <c r="G99" s="2772" t="s">
        <v>187</v>
      </c>
      <c r="H99" s="200"/>
      <c r="I99" s="217"/>
      <c r="J99" s="3188">
        <v>35000000</v>
      </c>
      <c r="K99" s="3171">
        <v>0</v>
      </c>
      <c r="L99" s="3125">
        <v>35000000</v>
      </c>
      <c r="M99" s="3124">
        <v>22500000</v>
      </c>
      <c r="N99" s="3125">
        <v>0</v>
      </c>
      <c r="O99" s="3125">
        <v>22500000</v>
      </c>
      <c r="P99" s="3125">
        <v>35000000</v>
      </c>
      <c r="Q99" s="3125">
        <f t="shared" si="14"/>
        <v>0</v>
      </c>
      <c r="R99" s="3166">
        <f t="shared" si="20"/>
        <v>0</v>
      </c>
      <c r="S99" s="3748"/>
      <c r="T99" s="3826"/>
      <c r="U99" s="3778">
        <f>MAR!P363</f>
        <v>0</v>
      </c>
      <c r="V99" s="1846">
        <f t="shared" si="9"/>
        <v>90000000</v>
      </c>
    </row>
    <row r="100" spans="1:22" s="257" customFormat="1" ht="15.05" customHeight="1">
      <c r="A100" s="1855"/>
      <c r="B100" s="1855"/>
      <c r="C100" s="1855"/>
      <c r="D100" s="1855"/>
      <c r="E100" s="1855"/>
      <c r="F100" s="200"/>
      <c r="G100" s="2772" t="s">
        <v>188</v>
      </c>
      <c r="H100" s="200"/>
      <c r="I100" s="217"/>
      <c r="J100" s="3188">
        <v>28000000</v>
      </c>
      <c r="K100" s="3171">
        <v>0</v>
      </c>
      <c r="L100" s="3125">
        <v>28000000</v>
      </c>
      <c r="M100" s="3124">
        <v>0</v>
      </c>
      <c r="N100" s="3125">
        <v>0</v>
      </c>
      <c r="O100" s="3125">
        <v>0</v>
      </c>
      <c r="P100" s="3125">
        <v>28000000</v>
      </c>
      <c r="Q100" s="3125">
        <f t="shared" si="14"/>
        <v>0</v>
      </c>
      <c r="R100" s="3166">
        <f t="shared" si="20"/>
        <v>0</v>
      </c>
      <c r="S100" s="3748"/>
      <c r="T100" s="3826"/>
      <c r="U100" s="3778">
        <f>MAR!P364</f>
        <v>0</v>
      </c>
      <c r="V100" s="1846">
        <f t="shared" si="9"/>
        <v>0</v>
      </c>
    </row>
    <row r="101" spans="1:22" s="257" customFormat="1" ht="15.05" customHeight="1">
      <c r="A101" s="1855"/>
      <c r="B101" s="1855"/>
      <c r="C101" s="1855"/>
      <c r="D101" s="1855"/>
      <c r="E101" s="1855"/>
      <c r="F101" s="200"/>
      <c r="G101" s="2772" t="s">
        <v>189</v>
      </c>
      <c r="H101" s="200"/>
      <c r="I101" s="217"/>
      <c r="J101" s="3188">
        <v>17250000</v>
      </c>
      <c r="K101" s="3171">
        <v>0</v>
      </c>
      <c r="L101" s="3125">
        <v>17250000</v>
      </c>
      <c r="M101" s="3124">
        <v>17250000</v>
      </c>
      <c r="N101" s="3125">
        <v>0</v>
      </c>
      <c r="O101" s="3125">
        <v>17250000</v>
      </c>
      <c r="P101" s="3125">
        <v>17250000</v>
      </c>
      <c r="Q101" s="3125">
        <f t="shared" si="14"/>
        <v>0</v>
      </c>
      <c r="R101" s="3166">
        <f t="shared" si="20"/>
        <v>0</v>
      </c>
      <c r="S101" s="3748"/>
      <c r="T101" s="3826"/>
      <c r="U101" s="3778">
        <f>MAR!P365</f>
        <v>0</v>
      </c>
      <c r="V101" s="1846">
        <f t="shared" si="9"/>
        <v>69000000</v>
      </c>
    </row>
    <row r="102" spans="1:22" s="257" customFormat="1" ht="15.05" customHeight="1">
      <c r="A102" s="1855"/>
      <c r="B102" s="1855"/>
      <c r="C102" s="1855"/>
      <c r="D102" s="1855"/>
      <c r="E102" s="1855"/>
      <c r="F102" s="202"/>
      <c r="G102" s="2772" t="s">
        <v>190</v>
      </c>
      <c r="H102" s="200"/>
      <c r="I102" s="217"/>
      <c r="J102" s="3188">
        <v>30000000</v>
      </c>
      <c r="K102" s="3171">
        <v>0</v>
      </c>
      <c r="L102" s="3125">
        <v>30000000</v>
      </c>
      <c r="M102" s="3124">
        <v>0</v>
      </c>
      <c r="N102" s="3125">
        <v>0</v>
      </c>
      <c r="O102" s="3125">
        <v>0</v>
      </c>
      <c r="P102" s="3125">
        <v>30000000</v>
      </c>
      <c r="Q102" s="3125">
        <f t="shared" si="14"/>
        <v>0</v>
      </c>
      <c r="R102" s="3166">
        <f t="shared" si="20"/>
        <v>0</v>
      </c>
      <c r="S102" s="3748"/>
      <c r="T102" s="3826"/>
      <c r="U102" s="3778">
        <f>MAR!P366</f>
        <v>0</v>
      </c>
      <c r="V102" s="1846">
        <f t="shared" si="9"/>
        <v>0</v>
      </c>
    </row>
    <row r="103" spans="1:22" s="257" customFormat="1" ht="15.05" customHeight="1">
      <c r="A103" s="1855"/>
      <c r="B103" s="1855"/>
      <c r="C103" s="1855"/>
      <c r="D103" s="1855"/>
      <c r="E103" s="1855"/>
      <c r="F103" s="202"/>
      <c r="G103" s="2772" t="s">
        <v>191</v>
      </c>
      <c r="H103" s="200"/>
      <c r="I103" s="217"/>
      <c r="J103" s="3188">
        <v>50000000</v>
      </c>
      <c r="K103" s="3171">
        <v>0</v>
      </c>
      <c r="L103" s="3125">
        <v>50000000</v>
      </c>
      <c r="M103" s="3124">
        <v>0</v>
      </c>
      <c r="N103" s="3125">
        <v>0</v>
      </c>
      <c r="O103" s="3125">
        <v>0</v>
      </c>
      <c r="P103" s="3125">
        <v>50000000</v>
      </c>
      <c r="Q103" s="3125">
        <f t="shared" si="14"/>
        <v>0</v>
      </c>
      <c r="R103" s="3166">
        <f t="shared" si="20"/>
        <v>0</v>
      </c>
      <c r="S103" s="3748"/>
      <c r="T103" s="3826"/>
      <c r="U103" s="3778">
        <f>MAR!P367</f>
        <v>0</v>
      </c>
      <c r="V103" s="1846">
        <f t="shared" si="9"/>
        <v>0</v>
      </c>
    </row>
    <row r="104" spans="1:22" s="257" customFormat="1" ht="15.05" customHeight="1">
      <c r="A104" s="1855"/>
      <c r="B104" s="1855"/>
      <c r="C104" s="1855"/>
      <c r="D104" s="1855"/>
      <c r="E104" s="1855"/>
      <c r="F104" s="200"/>
      <c r="G104" s="847" t="s">
        <v>192</v>
      </c>
      <c r="H104" s="200"/>
      <c r="I104" s="217"/>
      <c r="J104" s="3171"/>
      <c r="K104" s="3171"/>
      <c r="L104" s="3125">
        <v>0</v>
      </c>
      <c r="M104" s="3124">
        <v>0</v>
      </c>
      <c r="N104" s="3125">
        <v>0</v>
      </c>
      <c r="O104" s="3125">
        <v>0</v>
      </c>
      <c r="P104" s="3125">
        <v>0</v>
      </c>
      <c r="Q104" s="3125">
        <f t="shared" si="14"/>
        <v>0</v>
      </c>
      <c r="R104" s="3166">
        <v>0</v>
      </c>
      <c r="S104" s="3748"/>
      <c r="T104" s="3826"/>
      <c r="U104" s="3778">
        <f>MAR!P368</f>
        <v>0</v>
      </c>
      <c r="V104" s="1846">
        <f t="shared" si="9"/>
        <v>0</v>
      </c>
    </row>
    <row r="105" spans="1:22" s="257" customFormat="1" ht="15.05" customHeight="1">
      <c r="A105" s="1855"/>
      <c r="B105" s="1855"/>
      <c r="C105" s="1855"/>
      <c r="D105" s="1855"/>
      <c r="E105" s="1855"/>
      <c r="F105" s="200"/>
      <c r="G105" s="847"/>
      <c r="H105" s="200"/>
      <c r="I105" s="217"/>
      <c r="J105" s="3171"/>
      <c r="K105" s="3171"/>
      <c r="L105" s="3125"/>
      <c r="M105" s="3124"/>
      <c r="N105" s="3189"/>
      <c r="O105" s="3125"/>
      <c r="P105" s="3125"/>
      <c r="Q105" s="3125"/>
      <c r="R105" s="3166"/>
      <c r="S105" s="3275"/>
      <c r="T105" s="3826"/>
      <c r="U105" s="3778"/>
      <c r="V105" s="1846"/>
    </row>
    <row r="106" spans="1:22" s="257" customFormat="1" ht="15.05" hidden="1" customHeight="1">
      <c r="A106" s="1855"/>
      <c r="B106" s="1855"/>
      <c r="C106" s="1855"/>
      <c r="D106" s="1855"/>
      <c r="E106" s="1855"/>
      <c r="F106" s="1856" t="s">
        <v>411</v>
      </c>
      <c r="G106" s="847"/>
      <c r="H106" s="200"/>
      <c r="I106" s="217"/>
      <c r="J106" s="3171"/>
      <c r="K106" s="3171"/>
      <c r="L106" s="3125"/>
      <c r="M106" s="3190">
        <v>9495000</v>
      </c>
      <c r="N106" s="3191">
        <v>15445000</v>
      </c>
      <c r="O106" s="3128">
        <v>24940000</v>
      </c>
      <c r="P106" s="3128">
        <f>+P107</f>
        <v>75000000</v>
      </c>
      <c r="Q106" s="3128">
        <f>+P106-L106</f>
        <v>75000000</v>
      </c>
      <c r="R106" s="3166">
        <v>0</v>
      </c>
      <c r="S106" s="3275"/>
      <c r="T106" s="3826"/>
      <c r="U106" s="3778"/>
      <c r="V106" s="1846">
        <f t="shared" ref="V106:V169" si="23">O106*4</f>
        <v>99760000</v>
      </c>
    </row>
    <row r="107" spans="1:22" s="257" customFormat="1" ht="15.05" hidden="1" customHeight="1">
      <c r="A107" s="1855"/>
      <c r="B107" s="1855"/>
      <c r="C107" s="1855"/>
      <c r="D107" s="1855"/>
      <c r="E107" s="1855"/>
      <c r="F107" s="2744" t="s">
        <v>50</v>
      </c>
      <c r="G107" s="224" t="s">
        <v>413</v>
      </c>
      <c r="H107" s="200"/>
      <c r="I107" s="217"/>
      <c r="J107" s="3171"/>
      <c r="K107" s="3171"/>
      <c r="L107" s="3125"/>
      <c r="M107" s="3190">
        <v>9495000</v>
      </c>
      <c r="N107" s="3192">
        <v>15445000</v>
      </c>
      <c r="O107" s="3165">
        <v>24940000</v>
      </c>
      <c r="P107" s="3165">
        <v>75000000</v>
      </c>
      <c r="Q107" s="3165">
        <f>+P107-L107</f>
        <v>75000000</v>
      </c>
      <c r="R107" s="3166">
        <v>0</v>
      </c>
      <c r="S107" s="3275"/>
      <c r="T107" s="3826"/>
      <c r="U107" s="3778"/>
      <c r="V107" s="1846">
        <f t="shared" si="23"/>
        <v>99760000</v>
      </c>
    </row>
    <row r="108" spans="1:22" s="257" customFormat="1" ht="15.05" hidden="1" customHeight="1">
      <c r="A108" s="1855"/>
      <c r="B108" s="1855"/>
      <c r="C108" s="1855"/>
      <c r="D108" s="1855"/>
      <c r="E108" s="1855"/>
      <c r="F108" s="1857"/>
      <c r="G108" s="1858"/>
      <c r="H108" s="200"/>
      <c r="I108" s="217"/>
      <c r="J108" s="3171"/>
      <c r="K108" s="3171"/>
      <c r="L108" s="3125"/>
      <c r="M108" s="3124"/>
      <c r="N108" s="3125"/>
      <c r="O108" s="3125"/>
      <c r="P108" s="3125"/>
      <c r="Q108" s="3125"/>
      <c r="R108" s="3166"/>
      <c r="S108" s="3275"/>
      <c r="T108" s="3826"/>
      <c r="U108" s="3778"/>
      <c r="V108" s="1846">
        <f t="shared" si="23"/>
        <v>0</v>
      </c>
    </row>
    <row r="109" spans="1:22" s="1318" customFormat="1" ht="15.05" customHeight="1">
      <c r="A109" s="1854"/>
      <c r="B109" s="1854"/>
      <c r="C109" s="1854"/>
      <c r="D109" s="1854"/>
      <c r="E109" s="1854"/>
      <c r="F109" s="2825" t="s">
        <v>523</v>
      </c>
      <c r="G109" s="1860"/>
      <c r="H109" s="202"/>
      <c r="I109" s="218"/>
      <c r="J109" s="3123">
        <f>SUM(J110:J111)</f>
        <v>0</v>
      </c>
      <c r="K109" s="3123">
        <f t="shared" ref="K109:P109" si="24">SUM(K110:K111)</f>
        <v>10063750</v>
      </c>
      <c r="L109" s="3123">
        <f t="shared" si="24"/>
        <v>0</v>
      </c>
      <c r="M109" s="3123">
        <f t="shared" si="24"/>
        <v>0</v>
      </c>
      <c r="N109" s="3123">
        <f t="shared" si="24"/>
        <v>0</v>
      </c>
      <c r="O109" s="3123">
        <f t="shared" si="24"/>
        <v>0</v>
      </c>
      <c r="P109" s="3123">
        <f t="shared" si="24"/>
        <v>0</v>
      </c>
      <c r="Q109" s="3182">
        <f t="shared" ref="Q109:Q133" si="25">+P109-L109</f>
        <v>0</v>
      </c>
      <c r="R109" s="3184">
        <v>0</v>
      </c>
      <c r="S109" s="3710"/>
      <c r="T109" s="3829"/>
      <c r="U109" s="3777"/>
      <c r="V109" s="1846">
        <f t="shared" si="23"/>
        <v>0</v>
      </c>
    </row>
    <row r="110" spans="1:22" s="257" customFormat="1" ht="15.05" customHeight="1">
      <c r="A110" s="1855"/>
      <c r="B110" s="1855"/>
      <c r="C110" s="1855"/>
      <c r="D110" s="1855"/>
      <c r="E110" s="1855"/>
      <c r="F110" s="1857" t="s">
        <v>50</v>
      </c>
      <c r="G110" s="1858"/>
      <c r="H110" s="200" t="s">
        <v>524</v>
      </c>
      <c r="I110" s="217"/>
      <c r="J110" s="3171">
        <v>0</v>
      </c>
      <c r="K110" s="3171">
        <v>0</v>
      </c>
      <c r="L110" s="3125"/>
      <c r="M110" s="3124"/>
      <c r="N110" s="3125"/>
      <c r="O110" s="3125"/>
      <c r="P110" s="3125"/>
      <c r="Q110" s="3125">
        <f t="shared" si="25"/>
        <v>0</v>
      </c>
      <c r="R110" s="3166">
        <v>0</v>
      </c>
      <c r="S110" s="3275"/>
      <c r="T110" s="3826"/>
      <c r="U110" s="3771"/>
      <c r="V110" s="1846">
        <f t="shared" si="23"/>
        <v>0</v>
      </c>
    </row>
    <row r="111" spans="1:22" s="257" customFormat="1" ht="15.05" customHeight="1">
      <c r="A111" s="1855"/>
      <c r="B111" s="1855"/>
      <c r="C111" s="1855"/>
      <c r="D111" s="1855"/>
      <c r="E111" s="1855"/>
      <c r="F111" s="1857" t="s">
        <v>50</v>
      </c>
      <c r="G111" s="1858"/>
      <c r="H111" s="200" t="s">
        <v>525</v>
      </c>
      <c r="I111" s="217"/>
      <c r="J111" s="3171">
        <v>0</v>
      </c>
      <c r="K111" s="3171">
        <v>10063750</v>
      </c>
      <c r="L111" s="3125"/>
      <c r="M111" s="3124"/>
      <c r="N111" s="3125"/>
      <c r="O111" s="3125"/>
      <c r="P111" s="3125"/>
      <c r="Q111" s="3125">
        <f t="shared" si="25"/>
        <v>0</v>
      </c>
      <c r="R111" s="3166">
        <v>0</v>
      </c>
      <c r="S111" s="3275"/>
      <c r="T111" s="3826"/>
      <c r="U111" s="3771"/>
      <c r="V111" s="1846">
        <f t="shared" si="23"/>
        <v>0</v>
      </c>
    </row>
    <row r="112" spans="1:22" s="1318" customFormat="1" ht="15.05" customHeight="1">
      <c r="A112" s="1854"/>
      <c r="B112" s="1854"/>
      <c r="C112" s="1854"/>
      <c r="D112" s="1854"/>
      <c r="E112" s="1854"/>
      <c r="F112" s="1464" t="s">
        <v>356</v>
      </c>
      <c r="G112" s="1860"/>
      <c r="H112" s="202"/>
      <c r="I112" s="218"/>
      <c r="J112" s="3123">
        <f t="shared" ref="J112:P112" si="26">SUM(J113:J116)</f>
        <v>785500000</v>
      </c>
      <c r="K112" s="3123">
        <f t="shared" si="26"/>
        <v>69752160</v>
      </c>
      <c r="L112" s="3123">
        <f t="shared" si="26"/>
        <v>785500000</v>
      </c>
      <c r="M112" s="3123">
        <f t="shared" si="26"/>
        <v>13303900</v>
      </c>
      <c r="N112" s="3123">
        <f t="shared" si="26"/>
        <v>120000</v>
      </c>
      <c r="O112" s="3123">
        <f t="shared" si="26"/>
        <v>13423900</v>
      </c>
      <c r="P112" s="3182">
        <f t="shared" si="26"/>
        <v>133000000</v>
      </c>
      <c r="Q112" s="3182">
        <f t="shared" si="25"/>
        <v>-652500000</v>
      </c>
      <c r="R112" s="3184">
        <f>+P112/L112*100-100</f>
        <v>-83.068109484404829</v>
      </c>
      <c r="S112" s="3710"/>
      <c r="T112" s="3829"/>
      <c r="U112" s="3777"/>
      <c r="V112" s="1846">
        <f t="shared" si="23"/>
        <v>53695600</v>
      </c>
    </row>
    <row r="113" spans="1:22" s="257" customFormat="1" ht="15.05" customHeight="1">
      <c r="A113" s="1855"/>
      <c r="B113" s="1855"/>
      <c r="C113" s="1855"/>
      <c r="D113" s="1855"/>
      <c r="E113" s="1855"/>
      <c r="F113" s="1857" t="s">
        <v>50</v>
      </c>
      <c r="G113" s="1858"/>
      <c r="H113" s="200" t="s">
        <v>357</v>
      </c>
      <c r="I113" s="217"/>
      <c r="J113" s="3171">
        <v>40000000</v>
      </c>
      <c r="K113" s="3171">
        <v>31988660</v>
      </c>
      <c r="L113" s="3125">
        <v>40000000</v>
      </c>
      <c r="M113" s="3124">
        <v>7487600</v>
      </c>
      <c r="N113" s="3125">
        <v>0</v>
      </c>
      <c r="O113" s="3125">
        <v>7487600</v>
      </c>
      <c r="P113" s="3125">
        <v>40000000</v>
      </c>
      <c r="Q113" s="3125">
        <f t="shared" si="25"/>
        <v>0</v>
      </c>
      <c r="R113" s="3166">
        <f>+P113/L113*100-100</f>
        <v>0</v>
      </c>
      <c r="S113" s="3748"/>
      <c r="T113" s="3826"/>
      <c r="U113" s="3778">
        <f>MAR!P643</f>
        <v>0</v>
      </c>
      <c r="V113" s="1846">
        <f t="shared" si="23"/>
        <v>29950400</v>
      </c>
    </row>
    <row r="114" spans="1:22" s="257" customFormat="1" ht="15.05" customHeight="1">
      <c r="A114" s="1855"/>
      <c r="B114" s="1855"/>
      <c r="C114" s="1855"/>
      <c r="D114" s="1855"/>
      <c r="E114" s="1855"/>
      <c r="F114" s="1857" t="s">
        <v>50</v>
      </c>
      <c r="G114" s="1858"/>
      <c r="H114" s="200" t="s">
        <v>526</v>
      </c>
      <c r="I114" s="217"/>
      <c r="J114" s="3171">
        <v>23000000</v>
      </c>
      <c r="K114" s="3171">
        <v>17749500</v>
      </c>
      <c r="L114" s="3125">
        <v>23000000</v>
      </c>
      <c r="M114" s="3124">
        <v>2276300</v>
      </c>
      <c r="N114" s="3125">
        <v>0</v>
      </c>
      <c r="O114" s="3125">
        <v>2276300</v>
      </c>
      <c r="P114" s="3125">
        <v>23000000</v>
      </c>
      <c r="Q114" s="3125">
        <f t="shared" si="25"/>
        <v>0</v>
      </c>
      <c r="R114" s="3166">
        <f>+P114/L114*100-100</f>
        <v>0</v>
      </c>
      <c r="S114" s="3748"/>
      <c r="T114" s="3826"/>
      <c r="U114" s="3778">
        <f>MAR!P644</f>
        <v>0</v>
      </c>
      <c r="V114" s="1846">
        <f t="shared" si="23"/>
        <v>9105200</v>
      </c>
    </row>
    <row r="115" spans="1:22" s="257" customFormat="1" ht="15.05" customHeight="1">
      <c r="A115" s="1855"/>
      <c r="B115" s="1855"/>
      <c r="C115" s="1855"/>
      <c r="D115" s="1855"/>
      <c r="E115" s="1855"/>
      <c r="F115" s="1857" t="s">
        <v>50</v>
      </c>
      <c r="G115" s="1858"/>
      <c r="H115" s="200" t="s">
        <v>527</v>
      </c>
      <c r="I115" s="217"/>
      <c r="J115" s="3171">
        <v>722500000</v>
      </c>
      <c r="K115" s="3171">
        <v>19497000</v>
      </c>
      <c r="L115" s="3125">
        <v>722500000</v>
      </c>
      <c r="M115" s="3124">
        <v>0</v>
      </c>
      <c r="N115" s="3125">
        <v>120000</v>
      </c>
      <c r="O115" s="3125">
        <v>120000</v>
      </c>
      <c r="P115" s="3125">
        <v>50000000</v>
      </c>
      <c r="Q115" s="3125">
        <f t="shared" si="25"/>
        <v>-672500000</v>
      </c>
      <c r="R115" s="3166">
        <f>+P115/L115*100-100</f>
        <v>-93.079584775086502</v>
      </c>
      <c r="S115" s="3748"/>
      <c r="T115" s="3826"/>
      <c r="U115" s="3778">
        <f>MAR!P645</f>
        <v>0</v>
      </c>
      <c r="V115" s="1846">
        <f t="shared" si="23"/>
        <v>480000</v>
      </c>
    </row>
    <row r="116" spans="1:22" s="257" customFormat="1" ht="15.05" customHeight="1">
      <c r="A116" s="1855"/>
      <c r="B116" s="1855"/>
      <c r="C116" s="1855"/>
      <c r="D116" s="1855"/>
      <c r="E116" s="1855"/>
      <c r="F116" s="1857" t="s">
        <v>50</v>
      </c>
      <c r="G116" s="1858"/>
      <c r="H116" s="200" t="s">
        <v>360</v>
      </c>
      <c r="I116" s="217"/>
      <c r="J116" s="3171">
        <v>0</v>
      </c>
      <c r="K116" s="3171">
        <v>517000</v>
      </c>
      <c r="L116" s="3125">
        <v>0</v>
      </c>
      <c r="M116" s="3124">
        <v>3540000</v>
      </c>
      <c r="N116" s="3125">
        <v>0</v>
      </c>
      <c r="O116" s="3125">
        <v>3540000</v>
      </c>
      <c r="P116" s="3125">
        <v>20000000</v>
      </c>
      <c r="Q116" s="3125">
        <f t="shared" si="25"/>
        <v>20000000</v>
      </c>
      <c r="R116" s="3166">
        <v>0</v>
      </c>
      <c r="S116" s="3748"/>
      <c r="T116" s="3826"/>
      <c r="U116" s="3778">
        <f>MAR!P646</f>
        <v>0</v>
      </c>
      <c r="V116" s="1846">
        <f t="shared" si="23"/>
        <v>14160000</v>
      </c>
    </row>
    <row r="117" spans="1:22" s="1318" customFormat="1" ht="15.05" customHeight="1">
      <c r="A117" s="1854"/>
      <c r="B117" s="1854"/>
      <c r="C117" s="1854"/>
      <c r="D117" s="1854"/>
      <c r="E117" s="1854"/>
      <c r="F117" s="1464" t="s">
        <v>528</v>
      </c>
      <c r="G117" s="1860"/>
      <c r="H117" s="202"/>
      <c r="I117" s="218"/>
      <c r="J117" s="3123">
        <f t="shared" ref="J117:P117" si="27">SUM(J118:J126)</f>
        <v>518680000</v>
      </c>
      <c r="K117" s="3123">
        <f t="shared" si="27"/>
        <v>348421200</v>
      </c>
      <c r="L117" s="3123">
        <f t="shared" si="27"/>
        <v>518680000</v>
      </c>
      <c r="M117" s="3123">
        <f t="shared" si="27"/>
        <v>26025000</v>
      </c>
      <c r="N117" s="3123">
        <f t="shared" si="27"/>
        <v>27371000</v>
      </c>
      <c r="O117" s="3123">
        <f t="shared" si="27"/>
        <v>53396000</v>
      </c>
      <c r="P117" s="3182">
        <f t="shared" si="27"/>
        <v>431250000</v>
      </c>
      <c r="Q117" s="3182">
        <f t="shared" si="25"/>
        <v>-87430000</v>
      </c>
      <c r="R117" s="3184">
        <f t="shared" ref="R117:R122" si="28">+P117/L117*100-100</f>
        <v>-16.856250481992745</v>
      </c>
      <c r="S117" s="3710"/>
      <c r="T117" s="3829"/>
      <c r="U117" s="3777"/>
      <c r="V117" s="1846">
        <f t="shared" si="23"/>
        <v>213584000</v>
      </c>
    </row>
    <row r="118" spans="1:22" s="257" customFormat="1" ht="15.05" customHeight="1">
      <c r="A118" s="1855"/>
      <c r="B118" s="1855"/>
      <c r="C118" s="1855"/>
      <c r="D118" s="1855"/>
      <c r="E118" s="1855"/>
      <c r="F118" s="1857" t="s">
        <v>50</v>
      </c>
      <c r="G118" s="1858"/>
      <c r="H118" s="200" t="s">
        <v>375</v>
      </c>
      <c r="I118" s="217"/>
      <c r="J118" s="3171">
        <v>328430000</v>
      </c>
      <c r="K118" s="3171">
        <v>166841200</v>
      </c>
      <c r="L118" s="3125">
        <v>328430000</v>
      </c>
      <c r="M118" s="3124">
        <v>11650000</v>
      </c>
      <c r="N118" s="3125">
        <v>13471000</v>
      </c>
      <c r="O118" s="3125">
        <v>25121000</v>
      </c>
      <c r="P118" s="3125">
        <v>200000000</v>
      </c>
      <c r="Q118" s="3125">
        <f t="shared" si="25"/>
        <v>-128430000</v>
      </c>
      <c r="R118" s="3166">
        <f t="shared" si="28"/>
        <v>-39.104223122126477</v>
      </c>
      <c r="S118" s="3748"/>
      <c r="T118" s="3826"/>
      <c r="U118" s="3778">
        <f>MAR!P677</f>
        <v>0</v>
      </c>
      <c r="V118" s="1846">
        <f t="shared" si="23"/>
        <v>100484000</v>
      </c>
    </row>
    <row r="119" spans="1:22" s="257" customFormat="1" ht="15.05" customHeight="1">
      <c r="A119" s="1855"/>
      <c r="B119" s="1855"/>
      <c r="C119" s="1855"/>
      <c r="D119" s="1855"/>
      <c r="E119" s="1855"/>
      <c r="F119" s="1857" t="s">
        <v>50</v>
      </c>
      <c r="G119" s="1858"/>
      <c r="H119" s="200" t="s">
        <v>376</v>
      </c>
      <c r="I119" s="217"/>
      <c r="J119" s="3171">
        <v>15000000</v>
      </c>
      <c r="K119" s="3171">
        <v>16000000</v>
      </c>
      <c r="L119" s="3125">
        <v>15000000</v>
      </c>
      <c r="M119" s="3124">
        <v>2000000</v>
      </c>
      <c r="N119" s="3125">
        <v>0</v>
      </c>
      <c r="O119" s="3125">
        <v>2000000</v>
      </c>
      <c r="P119" s="3125">
        <v>16000000</v>
      </c>
      <c r="Q119" s="3125">
        <f t="shared" si="25"/>
        <v>1000000</v>
      </c>
      <c r="R119" s="3166">
        <f t="shared" si="28"/>
        <v>6.6666666666666714</v>
      </c>
      <c r="S119" s="3748"/>
      <c r="T119" s="3826"/>
      <c r="U119" s="3778">
        <f>MAR!P678</f>
        <v>0</v>
      </c>
      <c r="V119" s="1846">
        <f t="shared" si="23"/>
        <v>8000000</v>
      </c>
    </row>
    <row r="120" spans="1:22" s="257" customFormat="1" ht="15.05" customHeight="1">
      <c r="A120" s="1855"/>
      <c r="B120" s="1855"/>
      <c r="C120" s="1855"/>
      <c r="D120" s="1855"/>
      <c r="E120" s="1855"/>
      <c r="F120" s="1857" t="s">
        <v>50</v>
      </c>
      <c r="G120" s="1858"/>
      <c r="H120" s="200" t="s">
        <v>377</v>
      </c>
      <c r="I120" s="217"/>
      <c r="J120" s="3171">
        <v>50000000</v>
      </c>
      <c r="K120" s="3171">
        <v>54930000</v>
      </c>
      <c r="L120" s="3125">
        <v>50000000</v>
      </c>
      <c r="M120" s="3124">
        <v>0</v>
      </c>
      <c r="N120" s="3125">
        <v>1500000</v>
      </c>
      <c r="O120" s="3125">
        <v>1500000</v>
      </c>
      <c r="P120" s="3125">
        <v>55000000</v>
      </c>
      <c r="Q120" s="3125">
        <f t="shared" si="25"/>
        <v>5000000</v>
      </c>
      <c r="R120" s="3166">
        <f t="shared" si="28"/>
        <v>10.000000000000014</v>
      </c>
      <c r="S120" s="3748"/>
      <c r="T120" s="3826"/>
      <c r="U120" s="3778">
        <f>MAR!P679</f>
        <v>0</v>
      </c>
      <c r="V120" s="1846">
        <f t="shared" si="23"/>
        <v>6000000</v>
      </c>
    </row>
    <row r="121" spans="1:22" s="257" customFormat="1" ht="15.05" customHeight="1">
      <c r="A121" s="1855"/>
      <c r="B121" s="1855"/>
      <c r="C121" s="1855"/>
      <c r="D121" s="1855"/>
      <c r="E121" s="1855"/>
      <c r="F121" s="1857" t="s">
        <v>50</v>
      </c>
      <c r="G121" s="1858"/>
      <c r="H121" s="200" t="s">
        <v>378</v>
      </c>
      <c r="I121" s="217"/>
      <c r="J121" s="3171">
        <v>40250000</v>
      </c>
      <c r="K121" s="3171">
        <v>33200000</v>
      </c>
      <c r="L121" s="3125">
        <v>40250000</v>
      </c>
      <c r="M121" s="3124">
        <v>1375000</v>
      </c>
      <c r="N121" s="3125">
        <v>0</v>
      </c>
      <c r="O121" s="3125">
        <v>1375000</v>
      </c>
      <c r="P121" s="3125">
        <v>40250000</v>
      </c>
      <c r="Q121" s="3125">
        <f t="shared" si="25"/>
        <v>0</v>
      </c>
      <c r="R121" s="3166">
        <f t="shared" si="28"/>
        <v>0</v>
      </c>
      <c r="S121" s="3748"/>
      <c r="T121" s="3826"/>
      <c r="U121" s="3778">
        <f>MAR!P680</f>
        <v>0</v>
      </c>
      <c r="V121" s="1846">
        <f t="shared" si="23"/>
        <v>5500000</v>
      </c>
    </row>
    <row r="122" spans="1:22" s="257" customFormat="1" ht="15.05" customHeight="1">
      <c r="A122" s="1855"/>
      <c r="B122" s="1855"/>
      <c r="C122" s="1855"/>
      <c r="D122" s="1855"/>
      <c r="E122" s="1855"/>
      <c r="F122" s="1857" t="s">
        <v>50</v>
      </c>
      <c r="G122" s="1858"/>
      <c r="H122" s="200" t="s">
        <v>379</v>
      </c>
      <c r="I122" s="217"/>
      <c r="J122" s="3171">
        <v>25000000</v>
      </c>
      <c r="K122" s="3171">
        <v>50450000</v>
      </c>
      <c r="L122" s="3125">
        <v>25000000</v>
      </c>
      <c r="M122" s="3124">
        <v>10000000</v>
      </c>
      <c r="N122" s="3125">
        <v>10900000</v>
      </c>
      <c r="O122" s="3125">
        <v>20900000</v>
      </c>
      <c r="P122" s="3125">
        <v>60000000</v>
      </c>
      <c r="Q122" s="3125">
        <f t="shared" si="25"/>
        <v>35000000</v>
      </c>
      <c r="R122" s="3166">
        <f t="shared" si="28"/>
        <v>140</v>
      </c>
      <c r="S122" s="3748"/>
      <c r="T122" s="3826"/>
      <c r="U122" s="3778">
        <f>MAR!P681</f>
        <v>0</v>
      </c>
      <c r="V122" s="1846">
        <f t="shared" si="23"/>
        <v>83600000</v>
      </c>
    </row>
    <row r="123" spans="1:22" s="257" customFormat="1" ht="15.05" customHeight="1">
      <c r="A123" s="1855"/>
      <c r="B123" s="1855"/>
      <c r="C123" s="1855"/>
      <c r="D123" s="1855"/>
      <c r="E123" s="1855"/>
      <c r="F123" s="1857" t="s">
        <v>50</v>
      </c>
      <c r="G123" s="1858"/>
      <c r="H123" s="200" t="s">
        <v>380</v>
      </c>
      <c r="I123" s="217"/>
      <c r="J123" s="3171">
        <v>0</v>
      </c>
      <c r="K123" s="3171">
        <v>0</v>
      </c>
      <c r="L123" s="3125">
        <v>0</v>
      </c>
      <c r="M123" s="3124">
        <v>0</v>
      </c>
      <c r="N123" s="3125">
        <v>0</v>
      </c>
      <c r="O123" s="3125">
        <v>0</v>
      </c>
      <c r="P123" s="3125">
        <v>0</v>
      </c>
      <c r="Q123" s="3125">
        <f t="shared" si="25"/>
        <v>0</v>
      </c>
      <c r="R123" s="3166">
        <v>0</v>
      </c>
      <c r="S123" s="3748"/>
      <c r="T123" s="3826"/>
      <c r="U123" s="3778">
        <f>MAR!P682</f>
        <v>0</v>
      </c>
      <c r="V123" s="1846">
        <f t="shared" si="23"/>
        <v>0</v>
      </c>
    </row>
    <row r="124" spans="1:22" s="257" customFormat="1" ht="15.05" customHeight="1">
      <c r="A124" s="1855"/>
      <c r="B124" s="1855"/>
      <c r="C124" s="1855"/>
      <c r="D124" s="1855"/>
      <c r="E124" s="1855"/>
      <c r="F124" s="1857" t="s">
        <v>50</v>
      </c>
      <c r="G124" s="1858"/>
      <c r="H124" s="200" t="s">
        <v>381</v>
      </c>
      <c r="I124" s="217"/>
      <c r="J124" s="3171">
        <v>60000000</v>
      </c>
      <c r="K124" s="3193">
        <v>27000000</v>
      </c>
      <c r="L124" s="3125">
        <v>60000000</v>
      </c>
      <c r="M124" s="3124">
        <v>1000000</v>
      </c>
      <c r="N124" s="3125">
        <v>1500000</v>
      </c>
      <c r="O124" s="3125">
        <v>2500000</v>
      </c>
      <c r="P124" s="3125">
        <v>60000000</v>
      </c>
      <c r="Q124" s="3125">
        <f t="shared" si="25"/>
        <v>0</v>
      </c>
      <c r="R124" s="3166">
        <f>+P124/L124*100-100</f>
        <v>0</v>
      </c>
      <c r="S124" s="3748"/>
      <c r="T124" s="3826"/>
      <c r="U124" s="3778">
        <f>MAR!P683</f>
        <v>0</v>
      </c>
      <c r="V124" s="1846">
        <f t="shared" si="23"/>
        <v>10000000</v>
      </c>
    </row>
    <row r="125" spans="1:22" s="257" customFormat="1" ht="15.05" customHeight="1">
      <c r="A125" s="1855"/>
      <c r="B125" s="1855"/>
      <c r="C125" s="1855"/>
      <c r="D125" s="1855"/>
      <c r="E125" s="1855"/>
      <c r="F125" s="1857" t="s">
        <v>50</v>
      </c>
      <c r="G125" s="1858"/>
      <c r="H125" s="200" t="s">
        <v>382</v>
      </c>
      <c r="I125" s="217"/>
      <c r="J125" s="3193">
        <v>0</v>
      </c>
      <c r="K125" s="3193">
        <v>0</v>
      </c>
      <c r="L125" s="3125">
        <v>0</v>
      </c>
      <c r="M125" s="3124">
        <v>0</v>
      </c>
      <c r="N125" s="3125">
        <v>0</v>
      </c>
      <c r="O125" s="3125">
        <v>0</v>
      </c>
      <c r="P125" s="3125">
        <v>0</v>
      </c>
      <c r="Q125" s="3125">
        <f t="shared" si="25"/>
        <v>0</v>
      </c>
      <c r="R125" s="3166">
        <v>0</v>
      </c>
      <c r="S125" s="3748"/>
      <c r="T125" s="3826"/>
      <c r="U125" s="3778">
        <f>MAR!P684</f>
        <v>0</v>
      </c>
      <c r="V125" s="1846">
        <f t="shared" si="23"/>
        <v>0</v>
      </c>
    </row>
    <row r="126" spans="1:22" s="257" customFormat="1" ht="15.05" customHeight="1">
      <c r="A126" s="1855"/>
      <c r="B126" s="1855"/>
      <c r="C126" s="1855"/>
      <c r="D126" s="1855"/>
      <c r="E126" s="1855"/>
      <c r="F126" s="1857" t="s">
        <v>50</v>
      </c>
      <c r="G126" s="1858"/>
      <c r="H126" s="200" t="s">
        <v>383</v>
      </c>
      <c r="I126" s="217"/>
      <c r="J126" s="3193">
        <v>0</v>
      </c>
      <c r="K126" s="3193">
        <v>0</v>
      </c>
      <c r="L126" s="3125">
        <v>0</v>
      </c>
      <c r="M126" s="3124">
        <v>0</v>
      </c>
      <c r="N126" s="3125">
        <v>0</v>
      </c>
      <c r="O126" s="3125">
        <v>0</v>
      </c>
      <c r="P126" s="3125">
        <v>0</v>
      </c>
      <c r="Q126" s="3125">
        <f t="shared" si="25"/>
        <v>0</v>
      </c>
      <c r="R126" s="3166">
        <v>0</v>
      </c>
      <c r="S126" s="3748"/>
      <c r="T126" s="3826"/>
      <c r="U126" s="3778">
        <f>MAR!P685</f>
        <v>0</v>
      </c>
      <c r="V126" s="1846">
        <f t="shared" si="23"/>
        <v>0</v>
      </c>
    </row>
    <row r="127" spans="1:22" s="1318" customFormat="1" ht="15.05" customHeight="1">
      <c r="A127" s="1854"/>
      <c r="B127" s="1854"/>
      <c r="C127" s="1854"/>
      <c r="D127" s="1854"/>
      <c r="E127" s="1854"/>
      <c r="F127" s="1464" t="s">
        <v>529</v>
      </c>
      <c r="G127" s="1860"/>
      <c r="H127" s="202"/>
      <c r="I127" s="218"/>
      <c r="J127" s="3123">
        <v>0</v>
      </c>
      <c r="K127" s="3123">
        <v>39252000</v>
      </c>
      <c r="L127" s="3182">
        <v>0</v>
      </c>
      <c r="M127" s="3183">
        <v>4765000</v>
      </c>
      <c r="N127" s="3182">
        <v>8895000</v>
      </c>
      <c r="O127" s="3182">
        <v>13660000</v>
      </c>
      <c r="P127" s="3182">
        <f>SUM(P128:P129)</f>
        <v>50000000</v>
      </c>
      <c r="Q127" s="3182">
        <f t="shared" si="25"/>
        <v>50000000</v>
      </c>
      <c r="R127" s="3184">
        <v>0</v>
      </c>
      <c r="S127" s="3710"/>
      <c r="T127" s="3829"/>
      <c r="U127" s="3777"/>
      <c r="V127" s="1846">
        <f t="shared" si="23"/>
        <v>54640000</v>
      </c>
    </row>
    <row r="128" spans="1:22" s="257" customFormat="1" ht="15.05" customHeight="1">
      <c r="A128" s="1855"/>
      <c r="B128" s="1855"/>
      <c r="C128" s="1855"/>
      <c r="D128" s="1855"/>
      <c r="E128" s="1855"/>
      <c r="F128" s="1857" t="s">
        <v>50</v>
      </c>
      <c r="G128" s="1858"/>
      <c r="H128" s="200" t="s">
        <v>185</v>
      </c>
      <c r="I128" s="217"/>
      <c r="J128" s="3171">
        <v>0</v>
      </c>
      <c r="K128" s="3171"/>
      <c r="L128" s="3125">
        <v>0</v>
      </c>
      <c r="M128" s="3124">
        <v>0</v>
      </c>
      <c r="N128" s="3125">
        <v>0</v>
      </c>
      <c r="O128" s="3125">
        <v>0</v>
      </c>
      <c r="P128" s="3125">
        <v>0</v>
      </c>
      <c r="Q128" s="3125">
        <f t="shared" si="25"/>
        <v>0</v>
      </c>
      <c r="R128" s="3166">
        <v>0</v>
      </c>
      <c r="S128" s="3748"/>
      <c r="T128" s="3826"/>
      <c r="U128" s="3778">
        <v>0</v>
      </c>
      <c r="V128" s="1846">
        <f t="shared" si="23"/>
        <v>0</v>
      </c>
    </row>
    <row r="129" spans="1:22" s="257" customFormat="1" ht="15.05" customHeight="1">
      <c r="A129" s="1855"/>
      <c r="B129" s="1855"/>
      <c r="C129" s="1855"/>
      <c r="D129" s="1855"/>
      <c r="E129" s="1855"/>
      <c r="F129" s="1857" t="s">
        <v>50</v>
      </c>
      <c r="G129" s="1860"/>
      <c r="H129" s="200" t="s">
        <v>530</v>
      </c>
      <c r="I129" s="218"/>
      <c r="J129" s="3123">
        <v>0</v>
      </c>
      <c r="K129" s="3123"/>
      <c r="L129" s="3125">
        <v>0</v>
      </c>
      <c r="M129" s="3124">
        <v>4765000</v>
      </c>
      <c r="N129" s="3125">
        <v>8895000</v>
      </c>
      <c r="O129" s="3125">
        <v>13660000</v>
      </c>
      <c r="P129" s="3125">
        <v>50000000</v>
      </c>
      <c r="Q129" s="3125">
        <f t="shared" si="25"/>
        <v>50000000</v>
      </c>
      <c r="R129" s="3166">
        <v>0</v>
      </c>
      <c r="S129" s="3748"/>
      <c r="T129" s="3826"/>
      <c r="U129" s="3778">
        <f>MAR!P217</f>
        <v>0</v>
      </c>
      <c r="V129" s="1846">
        <f t="shared" si="23"/>
        <v>54640000</v>
      </c>
    </row>
    <row r="130" spans="1:22" s="1318" customFormat="1" ht="15.05" customHeight="1">
      <c r="A130" s="1854"/>
      <c r="B130" s="1854"/>
      <c r="C130" s="1854"/>
      <c r="D130" s="1854"/>
      <c r="E130" s="1854"/>
      <c r="F130" s="1464" t="s">
        <v>531</v>
      </c>
      <c r="G130" s="1860"/>
      <c r="H130" s="202"/>
      <c r="I130" s="218"/>
      <c r="J130" s="3123">
        <v>75000000</v>
      </c>
      <c r="K130" s="3123">
        <f>K131</f>
        <v>45800000</v>
      </c>
      <c r="L130" s="3182">
        <f>L131</f>
        <v>90000000</v>
      </c>
      <c r="M130" s="3183">
        <v>0</v>
      </c>
      <c r="N130" s="3182">
        <v>0</v>
      </c>
      <c r="O130" s="3182">
        <v>0</v>
      </c>
      <c r="P130" s="3182">
        <v>90000000</v>
      </c>
      <c r="Q130" s="3182">
        <f t="shared" si="25"/>
        <v>0</v>
      </c>
      <c r="R130" s="3184">
        <f>+P130/L130*100-100</f>
        <v>0</v>
      </c>
      <c r="S130" s="3710"/>
      <c r="T130" s="3829"/>
      <c r="U130" s="3781"/>
      <c r="V130" s="1846">
        <f t="shared" si="23"/>
        <v>0</v>
      </c>
    </row>
    <row r="131" spans="1:22" s="257" customFormat="1" ht="15.05" customHeight="1">
      <c r="A131" s="1855"/>
      <c r="B131" s="1855"/>
      <c r="C131" s="1855"/>
      <c r="D131" s="1855"/>
      <c r="E131" s="1855"/>
      <c r="F131" s="1857" t="s">
        <v>50</v>
      </c>
      <c r="G131" s="2826"/>
      <c r="H131" s="200" t="s">
        <v>532</v>
      </c>
      <c r="I131" s="217"/>
      <c r="J131" s="3171"/>
      <c r="K131" s="3171">
        <v>45800000</v>
      </c>
      <c r="L131" s="3125">
        <v>90000000</v>
      </c>
      <c r="M131" s="3124">
        <v>0</v>
      </c>
      <c r="N131" s="3125">
        <v>0</v>
      </c>
      <c r="O131" s="3125">
        <v>0</v>
      </c>
      <c r="P131" s="3125">
        <v>90000000</v>
      </c>
      <c r="Q131" s="3125">
        <f t="shared" si="25"/>
        <v>0</v>
      </c>
      <c r="R131" s="3166">
        <f>+P131/L131*100-100</f>
        <v>0</v>
      </c>
      <c r="S131" s="3748"/>
      <c r="T131" s="3826"/>
      <c r="U131" s="3778">
        <f>MAR!P80</f>
        <v>0</v>
      </c>
      <c r="V131" s="1846">
        <f t="shared" si="23"/>
        <v>0</v>
      </c>
    </row>
    <row r="132" spans="1:22" s="1318" customFormat="1" ht="15.05" hidden="1" customHeight="1">
      <c r="A132" s="1885" t="s">
        <v>443</v>
      </c>
      <c r="B132" s="1885">
        <v>1</v>
      </c>
      <c r="C132" s="1885">
        <v>2</v>
      </c>
      <c r="D132" s="1885" t="s">
        <v>438</v>
      </c>
      <c r="E132" s="1885"/>
      <c r="F132" s="1856" t="str">
        <f>MAR!H169</f>
        <v>DINAS LINGKUNGAN HIDUP DAN KEHUTANAN</v>
      </c>
      <c r="G132" s="1860"/>
      <c r="H132" s="202"/>
      <c r="I132" s="218"/>
      <c r="J132" s="3123"/>
      <c r="K132" s="3123"/>
      <c r="L132" s="3182">
        <v>0</v>
      </c>
      <c r="M132" s="3183">
        <v>72425000</v>
      </c>
      <c r="N132" s="3182">
        <v>0</v>
      </c>
      <c r="O132" s="3182">
        <v>72425000</v>
      </c>
      <c r="P132" s="3182">
        <f>P133</f>
        <v>300000000</v>
      </c>
      <c r="Q132" s="3182">
        <f t="shared" si="25"/>
        <v>300000000</v>
      </c>
      <c r="R132" s="3184">
        <v>0</v>
      </c>
      <c r="S132" s="3710"/>
      <c r="T132" s="3829"/>
      <c r="U132" s="3781"/>
      <c r="V132" s="1846">
        <f t="shared" si="23"/>
        <v>289700000</v>
      </c>
    </row>
    <row r="133" spans="1:22" s="257" customFormat="1" ht="15.05" hidden="1" customHeight="1">
      <c r="A133" s="3875">
        <v>4</v>
      </c>
      <c r="B133" s="3875">
        <v>1</v>
      </c>
      <c r="C133" s="3875">
        <v>2</v>
      </c>
      <c r="D133" s="3875" t="s">
        <v>438</v>
      </c>
      <c r="E133" s="1885" t="s">
        <v>440</v>
      </c>
      <c r="F133" s="2214" t="str">
        <f>MAR!I173</f>
        <v>- TEMPAT WISATA DAN OLAH RAGA</v>
      </c>
      <c r="G133" s="200"/>
      <c r="H133" s="200"/>
      <c r="I133" s="217"/>
      <c r="J133" s="3171"/>
      <c r="K133" s="3171"/>
      <c r="L133" s="3125">
        <v>0</v>
      </c>
      <c r="M133" s="3124">
        <v>72425000</v>
      </c>
      <c r="N133" s="3125">
        <v>0</v>
      </c>
      <c r="O133" s="3125">
        <v>72425000</v>
      </c>
      <c r="P133" s="3125">
        <v>300000000</v>
      </c>
      <c r="Q133" s="3125">
        <f t="shared" si="25"/>
        <v>300000000</v>
      </c>
      <c r="R133" s="3166">
        <v>0</v>
      </c>
      <c r="S133" s="3748"/>
      <c r="T133" s="3826"/>
      <c r="U133" s="3778">
        <f>MAR!P618</f>
        <v>0</v>
      </c>
      <c r="V133" s="1846">
        <f t="shared" si="23"/>
        <v>289700000</v>
      </c>
    </row>
    <row r="134" spans="1:22" s="2920" customFormat="1" ht="15.05" customHeight="1">
      <c r="A134" s="3593"/>
      <c r="B134" s="3594"/>
      <c r="C134" s="3594"/>
      <c r="D134" s="3594"/>
      <c r="E134" s="3457"/>
      <c r="F134" s="3458" t="s">
        <v>1189</v>
      </c>
      <c r="G134" s="3459"/>
      <c r="H134" s="3459"/>
      <c r="I134" s="3460"/>
      <c r="J134" s="3461"/>
      <c r="K134" s="3461">
        <v>12450000</v>
      </c>
      <c r="L134" s="3291"/>
      <c r="M134" s="3462"/>
      <c r="N134" s="3291"/>
      <c r="O134" s="3291"/>
      <c r="P134" s="3291"/>
      <c r="Q134" s="3291"/>
      <c r="R134" s="3291"/>
      <c r="S134" s="3711"/>
      <c r="T134" s="3830"/>
      <c r="U134" s="3782"/>
      <c r="V134" s="2923"/>
    </row>
    <row r="135" spans="1:22" s="257" customFormat="1" ht="15.05" customHeight="1">
      <c r="A135" s="1886"/>
      <c r="B135" s="1886"/>
      <c r="C135" s="1886"/>
      <c r="D135" s="1886"/>
      <c r="E135" s="1886"/>
      <c r="F135" s="3456" t="s">
        <v>50</v>
      </c>
      <c r="G135" s="1888"/>
      <c r="H135" s="3455" t="s">
        <v>1190</v>
      </c>
      <c r="I135" s="1894"/>
      <c r="J135" s="3173"/>
      <c r="K135" s="3173">
        <v>12450000</v>
      </c>
      <c r="L135" s="3174"/>
      <c r="M135" s="3175">
        <v>0</v>
      </c>
      <c r="N135" s="3174"/>
      <c r="O135" s="3174"/>
      <c r="P135" s="3174"/>
      <c r="Q135" s="3174"/>
      <c r="R135" s="3194"/>
      <c r="S135" s="3712"/>
      <c r="T135" s="3831"/>
      <c r="U135" s="1899"/>
      <c r="V135" s="1846">
        <f t="shared" si="23"/>
        <v>0</v>
      </c>
    </row>
    <row r="136" spans="1:22" s="2932" customFormat="1" ht="15.05" customHeight="1">
      <c r="A136" s="3060">
        <v>4</v>
      </c>
      <c r="B136" s="3060">
        <v>1</v>
      </c>
      <c r="C136" s="3060">
        <v>2</v>
      </c>
      <c r="D136" s="3060" t="s">
        <v>438</v>
      </c>
      <c r="E136" s="3060" t="s">
        <v>440</v>
      </c>
      <c r="F136" s="3061" t="s">
        <v>304</v>
      </c>
      <c r="G136" s="3061"/>
      <c r="H136" s="3062"/>
      <c r="I136" s="3062"/>
      <c r="J136" s="3195">
        <v>2512125000</v>
      </c>
      <c r="K136" s="3195">
        <f t="shared" ref="K136:P136" si="29">K137+K140+K142+K144+K148+K150+K152</f>
        <v>2733928400</v>
      </c>
      <c r="L136" s="3195">
        <f t="shared" si="29"/>
        <v>2547125000</v>
      </c>
      <c r="M136" s="3195">
        <f t="shared" si="29"/>
        <v>174860000</v>
      </c>
      <c r="N136" s="3195">
        <f t="shared" si="29"/>
        <v>136900000</v>
      </c>
      <c r="O136" s="3195">
        <f t="shared" si="29"/>
        <v>311760000</v>
      </c>
      <c r="P136" s="3195">
        <f t="shared" si="29"/>
        <v>2547125000</v>
      </c>
      <c r="Q136" s="3196">
        <f t="shared" ref="Q136:Q154" si="30">+P136-L136</f>
        <v>0</v>
      </c>
      <c r="R136" s="3196">
        <f t="shared" ref="R136:R145" si="31">+P136/L136*100-100</f>
        <v>0</v>
      </c>
      <c r="S136" s="3766"/>
      <c r="T136" s="3196"/>
      <c r="U136" s="3783"/>
      <c r="V136" s="2931">
        <f t="shared" si="23"/>
        <v>1247040000</v>
      </c>
    </row>
    <row r="137" spans="1:22" s="257" customFormat="1" ht="15.05" customHeight="1">
      <c r="A137" s="1889"/>
      <c r="B137" s="1889"/>
      <c r="C137" s="1889"/>
      <c r="D137" s="1889"/>
      <c r="E137" s="1889"/>
      <c r="F137" s="2827" t="s">
        <v>62</v>
      </c>
      <c r="G137" s="2828"/>
      <c r="H137" s="212"/>
      <c r="I137" s="225"/>
      <c r="J137" s="3155">
        <f>SUM(J138:J139)</f>
        <v>63500000</v>
      </c>
      <c r="K137" s="3155">
        <f t="shared" ref="K137:P137" si="32">SUM(K138:K139)</f>
        <v>66678400</v>
      </c>
      <c r="L137" s="3155">
        <f t="shared" si="32"/>
        <v>63500000</v>
      </c>
      <c r="M137" s="3155">
        <f t="shared" si="32"/>
        <v>3480000</v>
      </c>
      <c r="N137" s="3155">
        <f t="shared" si="32"/>
        <v>0</v>
      </c>
      <c r="O137" s="3155">
        <f t="shared" si="32"/>
        <v>3480000</v>
      </c>
      <c r="P137" s="3155">
        <f t="shared" si="32"/>
        <v>63500000</v>
      </c>
      <c r="Q137" s="3197">
        <f t="shared" si="30"/>
        <v>0</v>
      </c>
      <c r="R137" s="3199">
        <f t="shared" si="31"/>
        <v>0</v>
      </c>
      <c r="S137" s="3713"/>
      <c r="T137" s="3832"/>
      <c r="U137" s="1900"/>
      <c r="V137" s="1846">
        <f t="shared" si="23"/>
        <v>13920000</v>
      </c>
    </row>
    <row r="138" spans="1:22" s="257" customFormat="1" ht="15.05" customHeight="1">
      <c r="A138" s="1855"/>
      <c r="B138" s="1855"/>
      <c r="C138" s="1855"/>
      <c r="D138" s="1855"/>
      <c r="E138" s="1855"/>
      <c r="F138" s="1857" t="s">
        <v>50</v>
      </c>
      <c r="G138" s="1858"/>
      <c r="H138" s="200" t="str">
        <f>MAR!I18</f>
        <v>Wisma Seruni</v>
      </c>
      <c r="I138" s="217"/>
      <c r="J138" s="3171">
        <v>60000000</v>
      </c>
      <c r="K138" s="3171">
        <v>66678400</v>
      </c>
      <c r="L138" s="3125">
        <v>60000000</v>
      </c>
      <c r="M138" s="3124">
        <v>3480000</v>
      </c>
      <c r="N138" s="3125">
        <v>0</v>
      </c>
      <c r="O138" s="3125">
        <v>3480000</v>
      </c>
      <c r="P138" s="3125">
        <v>60000000</v>
      </c>
      <c r="Q138" s="3125">
        <f t="shared" si="30"/>
        <v>0</v>
      </c>
      <c r="R138" s="3166">
        <f t="shared" si="31"/>
        <v>0</v>
      </c>
      <c r="S138" s="3275"/>
      <c r="T138" s="3826"/>
      <c r="U138" s="3771"/>
      <c r="V138" s="1846">
        <f t="shared" si="23"/>
        <v>13920000</v>
      </c>
    </row>
    <row r="139" spans="1:22" s="257" customFormat="1" ht="15.05" customHeight="1">
      <c r="A139" s="1855"/>
      <c r="B139" s="1855"/>
      <c r="C139" s="1855"/>
      <c r="D139" s="1855"/>
      <c r="E139" s="1855"/>
      <c r="F139" s="1857" t="s">
        <v>50</v>
      </c>
      <c r="G139" s="1858"/>
      <c r="H139" s="200" t="str">
        <f>MAR!I19</f>
        <v>Penginapan Taman Budaya (Eks Dinas Pariwisata)</v>
      </c>
      <c r="I139" s="217"/>
      <c r="J139" s="3171">
        <v>3500000</v>
      </c>
      <c r="K139" s="3171"/>
      <c r="L139" s="3125">
        <v>3500000</v>
      </c>
      <c r="M139" s="3124">
        <v>0</v>
      </c>
      <c r="N139" s="3125">
        <v>0</v>
      </c>
      <c r="O139" s="3125">
        <v>0</v>
      </c>
      <c r="P139" s="3125">
        <v>3500000</v>
      </c>
      <c r="Q139" s="3125">
        <f t="shared" si="30"/>
        <v>0</v>
      </c>
      <c r="R139" s="3166">
        <f t="shared" si="31"/>
        <v>0</v>
      </c>
      <c r="S139" s="3275"/>
      <c r="T139" s="3826"/>
      <c r="U139" s="3771"/>
      <c r="V139" s="1846">
        <f t="shared" si="23"/>
        <v>0</v>
      </c>
    </row>
    <row r="140" spans="1:22" s="257" customFormat="1" ht="15.05" customHeight="1">
      <c r="A140" s="1855"/>
      <c r="B140" s="1855"/>
      <c r="C140" s="1855"/>
      <c r="D140" s="1855"/>
      <c r="E140" s="1855"/>
      <c r="F140" s="1464" t="s">
        <v>531</v>
      </c>
      <c r="G140" s="1860"/>
      <c r="H140" s="202"/>
      <c r="I140" s="218"/>
      <c r="J140" s="3123">
        <v>175000000</v>
      </c>
      <c r="K140" s="3123">
        <v>148775000</v>
      </c>
      <c r="L140" s="3182">
        <v>210000000</v>
      </c>
      <c r="M140" s="3183">
        <v>0</v>
      </c>
      <c r="N140" s="3182">
        <v>0</v>
      </c>
      <c r="O140" s="3182">
        <v>0</v>
      </c>
      <c r="P140" s="3182">
        <v>210000000</v>
      </c>
      <c r="Q140" s="3182">
        <f t="shared" si="30"/>
        <v>0</v>
      </c>
      <c r="R140" s="3184">
        <f t="shared" si="31"/>
        <v>0</v>
      </c>
      <c r="S140" s="3710"/>
      <c r="T140" s="3829"/>
      <c r="U140" s="3771"/>
      <c r="V140" s="1846">
        <f t="shared" si="23"/>
        <v>0</v>
      </c>
    </row>
    <row r="141" spans="1:22" s="257" customFormat="1" ht="15.05" customHeight="1">
      <c r="A141" s="1855"/>
      <c r="B141" s="1855"/>
      <c r="C141" s="1855"/>
      <c r="D141" s="1855"/>
      <c r="E141" s="1855"/>
      <c r="F141" s="1857" t="s">
        <v>50</v>
      </c>
      <c r="G141" s="1858"/>
      <c r="H141" s="200" t="str">
        <f>PerDinas!G115</f>
        <v>Retribusi Tempat Penginapan/Pesanggrahan/Villa</v>
      </c>
      <c r="I141" s="217"/>
      <c r="J141" s="3171">
        <v>175000000</v>
      </c>
      <c r="K141" s="3171">
        <v>148775000</v>
      </c>
      <c r="L141" s="3125">
        <v>210000000</v>
      </c>
      <c r="M141" s="3124">
        <v>0</v>
      </c>
      <c r="N141" s="3125">
        <v>0</v>
      </c>
      <c r="O141" s="3125">
        <v>0</v>
      </c>
      <c r="P141" s="3125">
        <v>210000000</v>
      </c>
      <c r="Q141" s="3125">
        <f t="shared" si="30"/>
        <v>0</v>
      </c>
      <c r="R141" s="3166">
        <f t="shared" si="31"/>
        <v>0</v>
      </c>
      <c r="S141" s="3275"/>
      <c r="T141" s="3826"/>
      <c r="U141" s="3771"/>
      <c r="V141" s="1846">
        <f t="shared" si="23"/>
        <v>0</v>
      </c>
    </row>
    <row r="142" spans="1:22" s="257" customFormat="1" ht="15.05" customHeight="1">
      <c r="A142" s="1855"/>
      <c r="B142" s="1855"/>
      <c r="C142" s="1855"/>
      <c r="D142" s="1855"/>
      <c r="E142" s="1855"/>
      <c r="F142" s="1464" t="s">
        <v>133</v>
      </c>
      <c r="G142" s="1860"/>
      <c r="H142" s="202"/>
      <c r="I142" s="218"/>
      <c r="J142" s="3123">
        <v>75000000</v>
      </c>
      <c r="K142" s="3123">
        <v>83250000</v>
      </c>
      <c r="L142" s="3182">
        <v>75000000</v>
      </c>
      <c r="M142" s="3183">
        <v>9880000</v>
      </c>
      <c r="N142" s="3182">
        <v>0</v>
      </c>
      <c r="O142" s="3182">
        <v>9880000</v>
      </c>
      <c r="P142" s="3182">
        <v>75000000</v>
      </c>
      <c r="Q142" s="3182">
        <f t="shared" si="30"/>
        <v>0</v>
      </c>
      <c r="R142" s="3184">
        <f t="shared" si="31"/>
        <v>0</v>
      </c>
      <c r="S142" s="3710"/>
      <c r="T142" s="3829"/>
      <c r="U142" s="3771"/>
      <c r="V142" s="1846">
        <f t="shared" si="23"/>
        <v>39520000</v>
      </c>
    </row>
    <row r="143" spans="1:22" s="257" customFormat="1" ht="15.05" customHeight="1">
      <c r="A143" s="1855"/>
      <c r="B143" s="1855"/>
      <c r="C143" s="1855"/>
      <c r="D143" s="1855"/>
      <c r="E143" s="1855"/>
      <c r="F143" s="1857" t="s">
        <v>50</v>
      </c>
      <c r="G143" s="1858"/>
      <c r="H143" s="200" t="s">
        <v>533</v>
      </c>
      <c r="I143" s="217"/>
      <c r="J143" s="3171">
        <v>75000000</v>
      </c>
      <c r="K143" s="3171">
        <v>83250000</v>
      </c>
      <c r="L143" s="3125">
        <v>75000000</v>
      </c>
      <c r="M143" s="3124">
        <v>9880000</v>
      </c>
      <c r="N143" s="3125">
        <v>0</v>
      </c>
      <c r="O143" s="3125">
        <v>9880000</v>
      </c>
      <c r="P143" s="3125">
        <v>75000000</v>
      </c>
      <c r="Q143" s="3125">
        <f t="shared" si="30"/>
        <v>0</v>
      </c>
      <c r="R143" s="3166">
        <f t="shared" si="31"/>
        <v>0</v>
      </c>
      <c r="S143" s="3275"/>
      <c r="T143" s="3826"/>
      <c r="U143" s="3771"/>
      <c r="V143" s="1846">
        <f t="shared" si="23"/>
        <v>39520000</v>
      </c>
    </row>
    <row r="144" spans="1:22" s="257" customFormat="1" ht="15.05" customHeight="1">
      <c r="A144" s="1855"/>
      <c r="B144" s="1855"/>
      <c r="C144" s="1855"/>
      <c r="D144" s="1855"/>
      <c r="E144" s="1855"/>
      <c r="F144" s="1464" t="s">
        <v>496</v>
      </c>
      <c r="G144" s="1860"/>
      <c r="H144" s="202"/>
      <c r="I144" s="218"/>
      <c r="J144" s="3123">
        <v>348625000</v>
      </c>
      <c r="K144" s="3123">
        <v>494000000</v>
      </c>
      <c r="L144" s="3182">
        <v>348625000</v>
      </c>
      <c r="M144" s="3183">
        <v>16500000</v>
      </c>
      <c r="N144" s="3182">
        <v>67100000</v>
      </c>
      <c r="O144" s="3182">
        <v>83600000</v>
      </c>
      <c r="P144" s="3182">
        <v>348625000</v>
      </c>
      <c r="Q144" s="3182">
        <f t="shared" si="30"/>
        <v>0</v>
      </c>
      <c r="R144" s="3184">
        <f t="shared" si="31"/>
        <v>0</v>
      </c>
      <c r="S144" s="3710"/>
      <c r="T144" s="3829"/>
      <c r="U144" s="3771"/>
      <c r="V144" s="1846">
        <f t="shared" si="23"/>
        <v>334400000</v>
      </c>
    </row>
    <row r="145" spans="1:22" s="257" customFormat="1" ht="15.05" customHeight="1">
      <c r="A145" s="1855"/>
      <c r="B145" s="1855"/>
      <c r="C145" s="1855"/>
      <c r="D145" s="1855"/>
      <c r="E145" s="1855"/>
      <c r="F145" s="1857" t="s">
        <v>50</v>
      </c>
      <c r="G145" s="1858"/>
      <c r="H145" s="200" t="s">
        <v>144</v>
      </c>
      <c r="I145" s="217"/>
      <c r="J145" s="3171">
        <v>348625000</v>
      </c>
      <c r="K145" s="3171">
        <v>494000000</v>
      </c>
      <c r="L145" s="3125">
        <v>348625000</v>
      </c>
      <c r="M145" s="3124">
        <v>16500000</v>
      </c>
      <c r="N145" s="3125">
        <v>67100000</v>
      </c>
      <c r="O145" s="3125">
        <v>83600000</v>
      </c>
      <c r="P145" s="3125">
        <v>348625000</v>
      </c>
      <c r="Q145" s="3125">
        <f t="shared" si="30"/>
        <v>0</v>
      </c>
      <c r="R145" s="3166">
        <f t="shared" si="31"/>
        <v>0</v>
      </c>
      <c r="S145" s="3748"/>
      <c r="T145" s="3826"/>
      <c r="U145" s="3778">
        <f>PerDinas!Q348</f>
        <v>0</v>
      </c>
      <c r="V145" s="1846">
        <f t="shared" si="23"/>
        <v>334400000</v>
      </c>
    </row>
    <row r="146" spans="1:22" s="257" customFormat="1" ht="15.05" hidden="1" customHeight="1">
      <c r="A146" s="1855"/>
      <c r="B146" s="1855"/>
      <c r="C146" s="1855"/>
      <c r="D146" s="1855"/>
      <c r="E146" s="1855"/>
      <c r="F146" s="1464" t="s">
        <v>534</v>
      </c>
      <c r="G146" s="1860"/>
      <c r="H146" s="202"/>
      <c r="I146" s="218"/>
      <c r="J146" s="3123" t="s">
        <v>50</v>
      </c>
      <c r="K146" s="3123"/>
      <c r="L146" s="3182">
        <v>0</v>
      </c>
      <c r="M146" s="3183">
        <v>0</v>
      </c>
      <c r="N146" s="3182">
        <v>0</v>
      </c>
      <c r="O146" s="3182">
        <v>0</v>
      </c>
      <c r="P146" s="3182">
        <v>0</v>
      </c>
      <c r="Q146" s="3182">
        <f t="shared" si="30"/>
        <v>0</v>
      </c>
      <c r="R146" s="3184">
        <v>0</v>
      </c>
      <c r="S146" s="3710"/>
      <c r="T146" s="3829"/>
      <c r="U146" s="3771"/>
      <c r="V146" s="1846">
        <f t="shared" si="23"/>
        <v>0</v>
      </c>
    </row>
    <row r="147" spans="1:22" s="257" customFormat="1" ht="15.05" hidden="1" customHeight="1">
      <c r="A147" s="1855"/>
      <c r="B147" s="1855"/>
      <c r="C147" s="1855"/>
      <c r="D147" s="1855"/>
      <c r="E147" s="1855"/>
      <c r="F147" s="1857" t="s">
        <v>50</v>
      </c>
      <c r="G147" s="1858"/>
      <c r="H147" s="200" t="s">
        <v>500</v>
      </c>
      <c r="I147" s="217"/>
      <c r="J147" s="3171">
        <v>3500000</v>
      </c>
      <c r="K147" s="3171">
        <v>0</v>
      </c>
      <c r="L147" s="3125">
        <v>0</v>
      </c>
      <c r="M147" s="3124">
        <v>0</v>
      </c>
      <c r="N147" s="3125">
        <v>0</v>
      </c>
      <c r="O147" s="3125">
        <v>0</v>
      </c>
      <c r="P147" s="3125">
        <v>0</v>
      </c>
      <c r="Q147" s="3125">
        <f t="shared" si="30"/>
        <v>0</v>
      </c>
      <c r="R147" s="3166">
        <v>0</v>
      </c>
      <c r="S147" s="3748"/>
      <c r="T147" s="3826"/>
      <c r="U147" s="3778">
        <f>PerDinas!Q375</f>
        <v>0</v>
      </c>
      <c r="V147" s="1846">
        <f t="shared" si="23"/>
        <v>0</v>
      </c>
    </row>
    <row r="148" spans="1:22" s="257" customFormat="1" ht="15.05" customHeight="1">
      <c r="A148" s="1855"/>
      <c r="B148" s="1855"/>
      <c r="C148" s="1855"/>
      <c r="D148" s="1855"/>
      <c r="E148" s="1855"/>
      <c r="F148" s="1464" t="s">
        <v>535</v>
      </c>
      <c r="G148" s="1860"/>
      <c r="H148" s="202"/>
      <c r="I148" s="218"/>
      <c r="J148" s="3123">
        <v>1500000000</v>
      </c>
      <c r="K148" s="3123">
        <v>1073900000</v>
      </c>
      <c r="L148" s="3182">
        <v>1500000000</v>
      </c>
      <c r="M148" s="3183">
        <v>131950000</v>
      </c>
      <c r="N148" s="3182">
        <v>69400000</v>
      </c>
      <c r="O148" s="3182">
        <v>201350000</v>
      </c>
      <c r="P148" s="3182">
        <v>1500000000</v>
      </c>
      <c r="Q148" s="3182">
        <f t="shared" si="30"/>
        <v>0</v>
      </c>
      <c r="R148" s="3184">
        <f t="shared" ref="R148:R153" si="33">+P148/L148*100-100</f>
        <v>0</v>
      </c>
      <c r="S148" s="3710"/>
      <c r="T148" s="3829"/>
      <c r="U148" s="3771"/>
      <c r="V148" s="1846">
        <f t="shared" si="23"/>
        <v>805400000</v>
      </c>
    </row>
    <row r="149" spans="1:22" s="257" customFormat="1" ht="15.05" customHeight="1">
      <c r="A149" s="1855"/>
      <c r="B149" s="1855"/>
      <c r="C149" s="1855"/>
      <c r="D149" s="1855"/>
      <c r="E149" s="1855"/>
      <c r="F149" s="1857" t="s">
        <v>50</v>
      </c>
      <c r="G149" s="1858"/>
      <c r="H149" s="200" t="str">
        <f>PerDinas!G645</f>
        <v xml:space="preserve">KANTOR PENGHUBUNG PROVINSI NTB  </v>
      </c>
      <c r="I149" s="217"/>
      <c r="J149" s="3171">
        <v>1500000000</v>
      </c>
      <c r="K149" s="3171">
        <v>1073900000</v>
      </c>
      <c r="L149" s="3125">
        <v>1500000000</v>
      </c>
      <c r="M149" s="3124">
        <v>131950000</v>
      </c>
      <c r="N149" s="3125">
        <v>69400000</v>
      </c>
      <c r="O149" s="3125">
        <v>201350000</v>
      </c>
      <c r="P149" s="3125">
        <v>1500000000</v>
      </c>
      <c r="Q149" s="3125">
        <f t="shared" si="30"/>
        <v>0</v>
      </c>
      <c r="R149" s="3166">
        <f t="shared" si="33"/>
        <v>0</v>
      </c>
      <c r="S149" s="3275"/>
      <c r="T149" s="3826"/>
      <c r="U149" s="3771"/>
      <c r="V149" s="1846">
        <f t="shared" si="23"/>
        <v>805400000</v>
      </c>
    </row>
    <row r="150" spans="1:22" s="257" customFormat="1" ht="15.05" customHeight="1">
      <c r="A150" s="1855"/>
      <c r="B150" s="1855"/>
      <c r="C150" s="1855"/>
      <c r="D150" s="1855"/>
      <c r="E150" s="1855"/>
      <c r="F150" s="1464" t="s">
        <v>326</v>
      </c>
      <c r="G150" s="1860"/>
      <c r="H150" s="202"/>
      <c r="I150" s="218"/>
      <c r="J150" s="3123">
        <f>J151</f>
        <v>150000000</v>
      </c>
      <c r="K150" s="3123">
        <f>K151</f>
        <v>534475000</v>
      </c>
      <c r="L150" s="3182">
        <v>150000000</v>
      </c>
      <c r="M150" s="3183">
        <v>13050000</v>
      </c>
      <c r="N150" s="3182">
        <v>0</v>
      </c>
      <c r="O150" s="3182">
        <v>13050000</v>
      </c>
      <c r="P150" s="3182">
        <v>150000000</v>
      </c>
      <c r="Q150" s="3182">
        <f t="shared" si="30"/>
        <v>0</v>
      </c>
      <c r="R150" s="3184">
        <f t="shared" si="33"/>
        <v>0</v>
      </c>
      <c r="S150" s="3710"/>
      <c r="T150" s="3829"/>
      <c r="U150" s="3771"/>
      <c r="V150" s="1846">
        <f t="shared" si="23"/>
        <v>52200000</v>
      </c>
    </row>
    <row r="151" spans="1:22" s="257" customFormat="1" ht="15.05" customHeight="1">
      <c r="A151" s="1855"/>
      <c r="B151" s="1855"/>
      <c r="C151" s="1855"/>
      <c r="D151" s="1855"/>
      <c r="E151" s="1855"/>
      <c r="F151" s="1857" t="s">
        <v>50</v>
      </c>
      <c r="G151" s="1858"/>
      <c r="H151" s="200" t="str">
        <f>H141</f>
        <v>Retribusi Tempat Penginapan/Pesanggrahan/Villa</v>
      </c>
      <c r="I151" s="217"/>
      <c r="J151" s="3171">
        <v>150000000</v>
      </c>
      <c r="K151" s="3171">
        <v>534475000</v>
      </c>
      <c r="L151" s="3125">
        <v>150000000</v>
      </c>
      <c r="M151" s="3124">
        <v>13050000</v>
      </c>
      <c r="N151" s="3125">
        <v>0</v>
      </c>
      <c r="O151" s="3125">
        <v>13050000</v>
      </c>
      <c r="P151" s="3125">
        <v>150000000</v>
      </c>
      <c r="Q151" s="3125">
        <f t="shared" si="30"/>
        <v>0</v>
      </c>
      <c r="R151" s="3166">
        <f t="shared" si="33"/>
        <v>0</v>
      </c>
      <c r="S151" s="3275"/>
      <c r="T151" s="3826"/>
      <c r="U151" s="3771"/>
      <c r="V151" s="1846">
        <f t="shared" si="23"/>
        <v>52200000</v>
      </c>
    </row>
    <row r="152" spans="1:22" s="257" customFormat="1" ht="15.05" customHeight="1">
      <c r="A152" s="1855"/>
      <c r="B152" s="1855"/>
      <c r="C152" s="1855"/>
      <c r="D152" s="1855"/>
      <c r="E152" s="1855"/>
      <c r="F152" s="1464" t="s">
        <v>463</v>
      </c>
      <c r="G152" s="1860"/>
      <c r="H152" s="202"/>
      <c r="I152" s="218"/>
      <c r="J152" s="3123">
        <f>J153</f>
        <v>200000000</v>
      </c>
      <c r="K152" s="3123">
        <f>K153</f>
        <v>332850000</v>
      </c>
      <c r="L152" s="3182">
        <v>200000000</v>
      </c>
      <c r="M152" s="3183">
        <v>0</v>
      </c>
      <c r="N152" s="3182">
        <v>400000</v>
      </c>
      <c r="O152" s="3182">
        <v>400000</v>
      </c>
      <c r="P152" s="3182">
        <v>200000000</v>
      </c>
      <c r="Q152" s="3182">
        <f t="shared" si="30"/>
        <v>0</v>
      </c>
      <c r="R152" s="3184">
        <f t="shared" si="33"/>
        <v>0</v>
      </c>
      <c r="S152" s="3710"/>
      <c r="T152" s="3829"/>
      <c r="U152" s="3771"/>
      <c r="V152" s="1846">
        <f t="shared" si="23"/>
        <v>1600000</v>
      </c>
    </row>
    <row r="153" spans="1:22" s="257" customFormat="1" ht="15.05" customHeight="1">
      <c r="A153" s="1855"/>
      <c r="B153" s="1855"/>
      <c r="C153" s="1855"/>
      <c r="D153" s="1855"/>
      <c r="E153" s="1855"/>
      <c r="F153" s="1857" t="s">
        <v>50</v>
      </c>
      <c r="G153" s="1858"/>
      <c r="H153" s="200" t="s">
        <v>536</v>
      </c>
      <c r="I153" s="217"/>
      <c r="J153" s="3171">
        <v>200000000</v>
      </c>
      <c r="K153" s="3171">
        <v>332850000</v>
      </c>
      <c r="L153" s="3125">
        <v>200000000</v>
      </c>
      <c r="M153" s="3124">
        <v>0</v>
      </c>
      <c r="N153" s="3125">
        <v>400000</v>
      </c>
      <c r="O153" s="3125">
        <v>400000</v>
      </c>
      <c r="P153" s="3125">
        <v>200000000</v>
      </c>
      <c r="Q153" s="3125">
        <f t="shared" si="30"/>
        <v>0</v>
      </c>
      <c r="R153" s="3166">
        <f t="shared" si="33"/>
        <v>0</v>
      </c>
      <c r="S153" s="3748"/>
      <c r="T153" s="3826"/>
      <c r="U153" s="3778">
        <f>PerDinas!Q1017</f>
        <v>0</v>
      </c>
      <c r="V153" s="1846">
        <f t="shared" si="23"/>
        <v>1600000</v>
      </c>
    </row>
    <row r="154" spans="1:22" s="257" customFormat="1" ht="15.05" customHeight="1">
      <c r="A154" s="1855"/>
      <c r="B154" s="1855"/>
      <c r="C154" s="1855"/>
      <c r="D154" s="1855"/>
      <c r="E154" s="1855"/>
      <c r="F154" s="1901"/>
      <c r="G154" s="1858"/>
      <c r="H154" s="200"/>
      <c r="I154" s="217"/>
      <c r="J154" s="3171"/>
      <c r="K154" s="3171"/>
      <c r="L154" s="3182">
        <v>0</v>
      </c>
      <c r="M154" s="3183">
        <v>0</v>
      </c>
      <c r="N154" s="3182">
        <v>0</v>
      </c>
      <c r="O154" s="3182">
        <v>0</v>
      </c>
      <c r="P154" s="3182">
        <v>0</v>
      </c>
      <c r="Q154" s="3182">
        <f t="shared" si="30"/>
        <v>0</v>
      </c>
      <c r="R154" s="3184">
        <v>0</v>
      </c>
      <c r="S154" s="3710"/>
      <c r="T154" s="3829"/>
      <c r="U154" s="3771"/>
      <c r="V154" s="1846">
        <f t="shared" si="23"/>
        <v>0</v>
      </c>
    </row>
    <row r="155" spans="1:22" s="2936" customFormat="1" ht="15.05" customHeight="1">
      <c r="A155" s="2925" t="s">
        <v>443</v>
      </c>
      <c r="B155" s="2925" t="s">
        <v>58</v>
      </c>
      <c r="C155" s="2925" t="s">
        <v>460</v>
      </c>
      <c r="D155" s="2935" t="s">
        <v>438</v>
      </c>
      <c r="E155" s="2935" t="s">
        <v>451</v>
      </c>
      <c r="F155" s="2926" t="s">
        <v>1179</v>
      </c>
      <c r="H155" s="2927"/>
      <c r="I155" s="2929"/>
      <c r="J155" s="3172">
        <f>J156+J158</f>
        <v>0</v>
      </c>
      <c r="K155" s="3172">
        <f>K156+K158</f>
        <v>0</v>
      </c>
      <c r="L155" s="3172">
        <f>L156+L158</f>
        <v>0</v>
      </c>
      <c r="M155" s="3170">
        <v>0</v>
      </c>
      <c r="N155" s="3169">
        <v>0</v>
      </c>
      <c r="O155" s="3169">
        <f>O156+O158</f>
        <v>97365000</v>
      </c>
      <c r="P155" s="3169">
        <f>P156+P158</f>
        <v>375000000</v>
      </c>
      <c r="Q155" s="3169">
        <f>Q156+Q158</f>
        <v>375000000</v>
      </c>
      <c r="R155" s="3169">
        <v>0</v>
      </c>
      <c r="S155" s="3708"/>
      <c r="T155" s="3827"/>
      <c r="U155" s="3784"/>
      <c r="V155" s="2938">
        <f t="shared" si="23"/>
        <v>389460000</v>
      </c>
    </row>
    <row r="156" spans="1:22" s="257" customFormat="1" ht="15.05" customHeight="1">
      <c r="A156" s="2875"/>
      <c r="B156" s="2875"/>
      <c r="C156" s="2875"/>
      <c r="D156" s="2876"/>
      <c r="E156" s="2876"/>
      <c r="F156" s="1856" t="s">
        <v>411</v>
      </c>
      <c r="G156" s="847"/>
      <c r="H156" s="200"/>
      <c r="I156" s="217"/>
      <c r="J156" s="3171"/>
      <c r="K156" s="3171"/>
      <c r="L156" s="3125"/>
      <c r="M156" s="3190">
        <v>9495000</v>
      </c>
      <c r="N156" s="3191">
        <v>15445000</v>
      </c>
      <c r="O156" s="3128">
        <v>24940000</v>
      </c>
      <c r="P156" s="3128">
        <f>+P157</f>
        <v>75000000</v>
      </c>
      <c r="Q156" s="3128">
        <f>+P156-L156</f>
        <v>75000000</v>
      </c>
      <c r="R156" s="3166">
        <v>0</v>
      </c>
      <c r="S156" s="3275"/>
      <c r="T156" s="3826"/>
      <c r="U156" s="3778"/>
      <c r="V156" s="1846"/>
    </row>
    <row r="157" spans="1:22" s="257" customFormat="1" ht="15.05" customHeight="1">
      <c r="A157" s="2875"/>
      <c r="B157" s="2875"/>
      <c r="C157" s="2875"/>
      <c r="D157" s="2876"/>
      <c r="E157" s="2876"/>
      <c r="F157" s="2744" t="s">
        <v>50</v>
      </c>
      <c r="G157" s="224" t="s">
        <v>413</v>
      </c>
      <c r="H157" s="200"/>
      <c r="I157" s="217"/>
      <c r="J157" s="3171"/>
      <c r="K157" s="3171"/>
      <c r="L157" s="3125"/>
      <c r="M157" s="3190">
        <v>9495000</v>
      </c>
      <c r="N157" s="3192">
        <v>15445000</v>
      </c>
      <c r="O157" s="3165">
        <v>24940000</v>
      </c>
      <c r="P157" s="3165">
        <v>75000000</v>
      </c>
      <c r="Q157" s="3165">
        <f>+P157-L157</f>
        <v>75000000</v>
      </c>
      <c r="R157" s="3166">
        <v>0</v>
      </c>
      <c r="S157" s="3275"/>
      <c r="T157" s="3826"/>
      <c r="U157" s="3778"/>
      <c r="V157" s="1846"/>
    </row>
    <row r="158" spans="1:22" s="257" customFormat="1" ht="15.05" customHeight="1">
      <c r="A158" s="2875"/>
      <c r="B158" s="2875"/>
      <c r="C158" s="2875"/>
      <c r="D158" s="2876"/>
      <c r="E158" s="2876"/>
      <c r="F158" s="1856" t="s">
        <v>122</v>
      </c>
      <c r="G158" s="1860"/>
      <c r="H158" s="202"/>
      <c r="I158" s="218"/>
      <c r="J158" s="3123"/>
      <c r="K158" s="3123"/>
      <c r="L158" s="3182">
        <v>0</v>
      </c>
      <c r="M158" s="3183">
        <v>72425000</v>
      </c>
      <c r="N158" s="3182">
        <v>0</v>
      </c>
      <c r="O158" s="3182">
        <v>72425000</v>
      </c>
      <c r="P158" s="3182">
        <f>P159</f>
        <v>300000000</v>
      </c>
      <c r="Q158" s="3182">
        <f>Q159</f>
        <v>300000000</v>
      </c>
      <c r="R158" s="3184">
        <v>0</v>
      </c>
      <c r="S158" s="3710"/>
      <c r="T158" s="3829"/>
      <c r="U158" s="3781"/>
      <c r="V158" s="1846"/>
    </row>
    <row r="159" spans="1:22" s="257" customFormat="1" ht="15.05" customHeight="1">
      <c r="A159" s="2875"/>
      <c r="B159" s="2875"/>
      <c r="C159" s="2875"/>
      <c r="D159" s="2876"/>
      <c r="E159" s="2876"/>
      <c r="F159" s="2744" t="s">
        <v>50</v>
      </c>
      <c r="G159" s="224" t="s">
        <v>413</v>
      </c>
      <c r="H159" s="200"/>
      <c r="I159" s="217"/>
      <c r="J159" s="3171"/>
      <c r="K159" s="3171"/>
      <c r="L159" s="3125">
        <v>0</v>
      </c>
      <c r="M159" s="3124">
        <v>72425000</v>
      </c>
      <c r="N159" s="3125">
        <v>0</v>
      </c>
      <c r="O159" s="3125">
        <v>72425000</v>
      </c>
      <c r="P159" s="3125">
        <v>300000000</v>
      </c>
      <c r="Q159" s="3125">
        <v>300000000</v>
      </c>
      <c r="R159" s="3166">
        <v>0</v>
      </c>
      <c r="S159" s="3748"/>
      <c r="T159" s="3826"/>
      <c r="U159" s="3778">
        <v>0</v>
      </c>
      <c r="V159" s="1846"/>
    </row>
    <row r="160" spans="1:22" s="257" customFormat="1" ht="15.05" customHeight="1">
      <c r="A160" s="1855"/>
      <c r="B160" s="1855"/>
      <c r="C160" s="1855"/>
      <c r="D160" s="1855"/>
      <c r="E160" s="1855"/>
      <c r="F160" s="1857"/>
      <c r="G160" s="1858"/>
      <c r="H160" s="200"/>
      <c r="I160" s="217"/>
      <c r="J160" s="3171"/>
      <c r="K160" s="3171"/>
      <c r="L160" s="3125"/>
      <c r="M160" s="3124">
        <v>0</v>
      </c>
      <c r="N160" s="3125"/>
      <c r="O160" s="3125">
        <v>0</v>
      </c>
      <c r="P160" s="3125"/>
      <c r="Q160" s="3125"/>
      <c r="R160" s="3140"/>
      <c r="S160" s="3702"/>
      <c r="T160" s="3820"/>
      <c r="U160" s="3771"/>
      <c r="V160" s="1846">
        <f t="shared" si="23"/>
        <v>0</v>
      </c>
    </row>
    <row r="161" spans="1:22" s="2932" customFormat="1" ht="15.05" customHeight="1">
      <c r="A161" s="2925">
        <v>4</v>
      </c>
      <c r="B161" s="2925">
        <v>1</v>
      </c>
      <c r="C161" s="2925">
        <v>2</v>
      </c>
      <c r="D161" s="2925" t="s">
        <v>438</v>
      </c>
      <c r="E161" s="2925" t="s">
        <v>448</v>
      </c>
      <c r="F161" s="2926" t="s">
        <v>361</v>
      </c>
      <c r="G161" s="2927"/>
      <c r="H161" s="2933"/>
      <c r="I161" s="2934"/>
      <c r="J161" s="3172">
        <f>J162+J164+J176+J178+J183+J191</f>
        <v>2113387000</v>
      </c>
      <c r="K161" s="3172">
        <f t="shared" ref="K161:P161" si="34">K162+K164+K176+K178+K183+K191</f>
        <v>2405649030</v>
      </c>
      <c r="L161" s="3172">
        <f t="shared" si="34"/>
        <v>2113387000</v>
      </c>
      <c r="M161" s="3172">
        <f t="shared" si="34"/>
        <v>312541550</v>
      </c>
      <c r="N161" s="3172">
        <f t="shared" si="34"/>
        <v>158104500</v>
      </c>
      <c r="O161" s="3172">
        <f t="shared" si="34"/>
        <v>470646050</v>
      </c>
      <c r="P161" s="3172">
        <f t="shared" si="34"/>
        <v>2354157500</v>
      </c>
      <c r="Q161" s="3169">
        <f>+P161-L161</f>
        <v>240770500</v>
      </c>
      <c r="R161" s="3169">
        <f t="shared" ref="R161:R167" si="35">+P161/L161*100-100</f>
        <v>11.392636559229331</v>
      </c>
      <c r="S161" s="3708"/>
      <c r="T161" s="3827"/>
      <c r="U161" s="3776"/>
      <c r="V161" s="2931">
        <f t="shared" si="23"/>
        <v>1882584200</v>
      </c>
    </row>
    <row r="162" spans="1:22" s="257" customFormat="1" ht="15.05" customHeight="1">
      <c r="A162" s="1855"/>
      <c r="B162" s="1855"/>
      <c r="C162" s="1855"/>
      <c r="D162" s="1855"/>
      <c r="E162" s="1855"/>
      <c r="F162" s="1464" t="s">
        <v>537</v>
      </c>
      <c r="G162" s="1860"/>
      <c r="H162" s="202"/>
      <c r="I162" s="218"/>
      <c r="J162" s="3200">
        <f>J163</f>
        <v>0</v>
      </c>
      <c r="K162" s="3123">
        <v>0</v>
      </c>
      <c r="L162" s="3182">
        <v>0</v>
      </c>
      <c r="M162" s="3183">
        <v>0</v>
      </c>
      <c r="N162" s="3182">
        <v>0</v>
      </c>
      <c r="O162" s="3182">
        <v>0</v>
      </c>
      <c r="P162" s="3182">
        <v>0</v>
      </c>
      <c r="Q162" s="3182">
        <f t="shared" ref="Q162:Q198" si="36">+P162-L162</f>
        <v>0</v>
      </c>
      <c r="R162" s="3184">
        <v>0</v>
      </c>
      <c r="S162" s="3710"/>
      <c r="T162" s="3829"/>
      <c r="U162" s="3771"/>
      <c r="V162" s="1846">
        <f t="shared" si="23"/>
        <v>0</v>
      </c>
    </row>
    <row r="163" spans="1:22" s="257" customFormat="1" ht="15.05" customHeight="1">
      <c r="A163" s="1855"/>
      <c r="B163" s="1855"/>
      <c r="C163" s="1855"/>
      <c r="D163" s="1855"/>
      <c r="E163" s="1855"/>
      <c r="F163" s="1857" t="s">
        <v>50</v>
      </c>
      <c r="G163" s="1858"/>
      <c r="H163" s="200" t="s">
        <v>538</v>
      </c>
      <c r="I163" s="217"/>
      <c r="J163" s="3193">
        <v>0</v>
      </c>
      <c r="K163" s="3171">
        <v>0</v>
      </c>
      <c r="L163" s="3125">
        <v>0</v>
      </c>
      <c r="M163" s="3124">
        <v>0</v>
      </c>
      <c r="N163" s="3125">
        <v>0</v>
      </c>
      <c r="O163" s="3125">
        <v>0</v>
      </c>
      <c r="P163" s="3125">
        <v>0</v>
      </c>
      <c r="Q163" s="3125">
        <f t="shared" si="36"/>
        <v>0</v>
      </c>
      <c r="R163" s="3166">
        <v>0</v>
      </c>
      <c r="S163" s="3275"/>
      <c r="T163" s="3826"/>
      <c r="U163" s="3771"/>
      <c r="V163" s="1846">
        <f t="shared" si="23"/>
        <v>0</v>
      </c>
    </row>
    <row r="164" spans="1:22" s="257" customFormat="1" ht="15.05" customHeight="1">
      <c r="A164" s="1855"/>
      <c r="B164" s="1855"/>
      <c r="C164" s="1855"/>
      <c r="D164" s="1855"/>
      <c r="E164" s="1855"/>
      <c r="F164" s="1464" t="s">
        <v>463</v>
      </c>
      <c r="G164" s="1860"/>
      <c r="H164" s="202"/>
      <c r="I164" s="218"/>
      <c r="J164" s="3200">
        <f>SUM(J165:J175)</f>
        <v>1064387000</v>
      </c>
      <c r="K164" s="3200">
        <f t="shared" ref="K164:P164" si="37">SUM(K165:K175)</f>
        <v>969658000</v>
      </c>
      <c r="L164" s="3200">
        <f t="shared" si="37"/>
        <v>1074387000</v>
      </c>
      <c r="M164" s="3200">
        <f t="shared" si="37"/>
        <v>256284000</v>
      </c>
      <c r="N164" s="3200">
        <f t="shared" si="37"/>
        <v>37860000</v>
      </c>
      <c r="O164" s="3200">
        <f t="shared" si="37"/>
        <v>294144000</v>
      </c>
      <c r="P164" s="3200">
        <f t="shared" si="37"/>
        <v>1265157500</v>
      </c>
      <c r="Q164" s="3182">
        <f t="shared" si="36"/>
        <v>190770500</v>
      </c>
      <c r="R164" s="3184">
        <f t="shared" si="35"/>
        <v>17.756218196981166</v>
      </c>
      <c r="S164" s="3710"/>
      <c r="T164" s="3829"/>
      <c r="U164" s="3771"/>
      <c r="V164" s="1846">
        <f t="shared" si="23"/>
        <v>1176576000</v>
      </c>
    </row>
    <row r="165" spans="1:22" s="257" customFormat="1" ht="15.05" customHeight="1">
      <c r="A165" s="1855"/>
      <c r="B165" s="1855"/>
      <c r="C165" s="1855"/>
      <c r="D165" s="1855"/>
      <c r="E165" s="1855"/>
      <c r="F165" s="1857" t="s">
        <v>50</v>
      </c>
      <c r="G165" s="1858"/>
      <c r="H165" s="200" t="str">
        <f>MAR!I621</f>
        <v>UPB Peninjauan</v>
      </c>
      <c r="I165" s="217"/>
      <c r="J165" s="3193">
        <v>259229500</v>
      </c>
      <c r="K165" s="3171">
        <v>410279000</v>
      </c>
      <c r="L165" s="3125">
        <v>259229500</v>
      </c>
      <c r="M165" s="3124">
        <v>133580000</v>
      </c>
      <c r="N165" s="3125">
        <v>11430000</v>
      </c>
      <c r="O165" s="3125">
        <v>145010000</v>
      </c>
      <c r="P165" s="3125">
        <v>450000000</v>
      </c>
      <c r="Q165" s="3125">
        <f t="shared" si="36"/>
        <v>190770500</v>
      </c>
      <c r="R165" s="3166">
        <f t="shared" si="35"/>
        <v>73.591354379034783</v>
      </c>
      <c r="S165" s="3275"/>
      <c r="T165" s="3826"/>
      <c r="U165" s="3771"/>
      <c r="V165" s="1846">
        <f t="shared" si="23"/>
        <v>580040000</v>
      </c>
    </row>
    <row r="166" spans="1:22" s="257" customFormat="1" ht="15.05" customHeight="1">
      <c r="A166" s="1855"/>
      <c r="B166" s="1855"/>
      <c r="C166" s="1855"/>
      <c r="D166" s="1855"/>
      <c r="E166" s="1855"/>
      <c r="F166" s="1857" t="s">
        <v>50</v>
      </c>
      <c r="G166" s="1858"/>
      <c r="H166" s="200" t="str">
        <f>MAR!I622</f>
        <v>UPB Puyung</v>
      </c>
      <c r="I166" s="217"/>
      <c r="J166" s="3193">
        <v>374739500</v>
      </c>
      <c r="K166" s="3171">
        <v>210010000</v>
      </c>
      <c r="L166" s="3125">
        <v>374739500</v>
      </c>
      <c r="M166" s="3124">
        <v>28650000</v>
      </c>
      <c r="N166" s="3125">
        <v>2310000</v>
      </c>
      <c r="O166" s="3125">
        <v>30960000</v>
      </c>
      <c r="P166" s="3125">
        <v>374739500</v>
      </c>
      <c r="Q166" s="3125">
        <f t="shared" si="36"/>
        <v>0</v>
      </c>
      <c r="R166" s="3166">
        <f t="shared" si="35"/>
        <v>0</v>
      </c>
      <c r="S166" s="3275"/>
      <c r="T166" s="3826"/>
      <c r="U166" s="3771"/>
      <c r="V166" s="1846">
        <f t="shared" si="23"/>
        <v>123840000</v>
      </c>
    </row>
    <row r="167" spans="1:22" s="257" customFormat="1" ht="15.05" customHeight="1">
      <c r="A167" s="1855"/>
      <c r="B167" s="1855"/>
      <c r="C167" s="1855"/>
      <c r="D167" s="1855"/>
      <c r="E167" s="1855"/>
      <c r="F167" s="1857" t="s">
        <v>50</v>
      </c>
      <c r="G167" s="1858"/>
      <c r="H167" s="200" t="str">
        <f>MAR!I623</f>
        <v>UPB Uthan</v>
      </c>
      <c r="I167" s="217"/>
      <c r="J167" s="3193">
        <v>271618000</v>
      </c>
      <c r="K167" s="3171">
        <v>193340000</v>
      </c>
      <c r="L167" s="3125">
        <v>271618000</v>
      </c>
      <c r="M167" s="3124">
        <v>32440000</v>
      </c>
      <c r="N167" s="3125">
        <v>0</v>
      </c>
      <c r="O167" s="3125">
        <v>32440000</v>
      </c>
      <c r="P167" s="3125">
        <v>271618000</v>
      </c>
      <c r="Q167" s="3125">
        <f t="shared" si="36"/>
        <v>0</v>
      </c>
      <c r="R167" s="3166">
        <f t="shared" si="35"/>
        <v>0</v>
      </c>
      <c r="S167" s="3275"/>
      <c r="T167" s="3826"/>
      <c r="U167" s="3771"/>
      <c r="V167" s="1846">
        <f t="shared" si="23"/>
        <v>129760000</v>
      </c>
    </row>
    <row r="168" spans="1:22" s="257" customFormat="1" ht="15.05" customHeight="1">
      <c r="A168" s="1855"/>
      <c r="B168" s="1855"/>
      <c r="C168" s="1855"/>
      <c r="D168" s="1855"/>
      <c r="E168" s="1855"/>
      <c r="F168" s="1857" t="s">
        <v>50</v>
      </c>
      <c r="G168" s="1858"/>
      <c r="H168" s="200" t="str">
        <f>MAR!I624</f>
        <v>BKUT Kotaraja</v>
      </c>
      <c r="I168" s="217"/>
      <c r="J168" s="3193" t="s">
        <v>50</v>
      </c>
      <c r="K168" s="3171" t="s">
        <v>50</v>
      </c>
      <c r="L168" s="3125">
        <v>0</v>
      </c>
      <c r="M168" s="3124">
        <v>0</v>
      </c>
      <c r="N168" s="3125">
        <v>0</v>
      </c>
      <c r="O168" s="3125">
        <v>0</v>
      </c>
      <c r="P168" s="3125">
        <v>0</v>
      </c>
      <c r="Q168" s="3125">
        <f t="shared" si="36"/>
        <v>0</v>
      </c>
      <c r="R168" s="3166">
        <v>0</v>
      </c>
      <c r="S168" s="3275"/>
      <c r="T168" s="3826"/>
      <c r="U168" s="3771"/>
      <c r="V168" s="1846">
        <f t="shared" si="23"/>
        <v>0</v>
      </c>
    </row>
    <row r="169" spans="1:22" s="257" customFormat="1" ht="15.05" customHeight="1">
      <c r="A169" s="1855"/>
      <c r="B169" s="1855"/>
      <c r="C169" s="1855"/>
      <c r="D169" s="1855"/>
      <c r="E169" s="1855"/>
      <c r="F169" s="1857" t="s">
        <v>50</v>
      </c>
      <c r="G169" s="1858"/>
      <c r="H169" s="200" t="str">
        <f>MAR!I625</f>
        <v>UPB Kesik</v>
      </c>
      <c r="I169" s="217"/>
      <c r="J169" s="3193" t="s">
        <v>50</v>
      </c>
      <c r="K169" s="3171" t="s">
        <v>50</v>
      </c>
      <c r="L169" s="3125">
        <v>0</v>
      </c>
      <c r="M169" s="3124">
        <v>0</v>
      </c>
      <c r="N169" s="3125">
        <v>0</v>
      </c>
      <c r="O169" s="3125">
        <v>0</v>
      </c>
      <c r="P169" s="3125">
        <v>0</v>
      </c>
      <c r="Q169" s="3125">
        <f t="shared" si="36"/>
        <v>0</v>
      </c>
      <c r="R169" s="3166">
        <v>0</v>
      </c>
      <c r="S169" s="3275"/>
      <c r="T169" s="3826"/>
      <c r="U169" s="3771"/>
      <c r="V169" s="1846">
        <f t="shared" si="23"/>
        <v>0</v>
      </c>
    </row>
    <row r="170" spans="1:22" s="257" customFormat="1" ht="15.05" customHeight="1">
      <c r="A170" s="1855"/>
      <c r="B170" s="1855"/>
      <c r="C170" s="1855"/>
      <c r="D170" s="1855"/>
      <c r="E170" s="1855"/>
      <c r="F170" s="1857" t="s">
        <v>50</v>
      </c>
      <c r="G170" s="1858"/>
      <c r="H170" s="200" t="str">
        <f>MAR!I626</f>
        <v>UPB Sedau</v>
      </c>
      <c r="I170" s="217"/>
      <c r="J170" s="3193">
        <v>46200000</v>
      </c>
      <c r="K170" s="3171">
        <v>46600000</v>
      </c>
      <c r="L170" s="3125">
        <v>46200000</v>
      </c>
      <c r="M170" s="3124">
        <v>29700000</v>
      </c>
      <c r="N170" s="3125">
        <v>0</v>
      </c>
      <c r="O170" s="3125">
        <v>29700000</v>
      </c>
      <c r="P170" s="3125">
        <v>46200000</v>
      </c>
      <c r="Q170" s="3125">
        <f t="shared" si="36"/>
        <v>0</v>
      </c>
      <c r="R170" s="3166">
        <f>+P170/L170*100-100</f>
        <v>0</v>
      </c>
      <c r="S170" s="3275"/>
      <c r="T170" s="3826"/>
      <c r="U170" s="3771"/>
      <c r="V170" s="1846">
        <f t="shared" ref="V170:V210" si="38">O170*4</f>
        <v>118800000</v>
      </c>
    </row>
    <row r="171" spans="1:22" s="257" customFormat="1" ht="15.05" customHeight="1">
      <c r="A171" s="1855"/>
      <c r="B171" s="1855"/>
      <c r="C171" s="1855"/>
      <c r="D171" s="1855"/>
      <c r="E171" s="1855"/>
      <c r="F171" s="1857" t="s">
        <v>50</v>
      </c>
      <c r="G171" s="1858"/>
      <c r="H171" s="200" t="str">
        <f>MAR!I627</f>
        <v>UPB Santong</v>
      </c>
      <c r="I171" s="217"/>
      <c r="J171" s="3193">
        <v>88200000</v>
      </c>
      <c r="K171" s="3171">
        <v>74940000</v>
      </c>
      <c r="L171" s="3125">
        <v>88200000</v>
      </c>
      <c r="M171" s="3124">
        <v>16920000</v>
      </c>
      <c r="N171" s="3125">
        <v>24120000</v>
      </c>
      <c r="O171" s="3125">
        <v>41040000</v>
      </c>
      <c r="P171" s="3125">
        <v>88200000</v>
      </c>
      <c r="Q171" s="3125">
        <f t="shared" si="36"/>
        <v>0</v>
      </c>
      <c r="R171" s="3166">
        <f>+P171/L171*100-100</f>
        <v>0</v>
      </c>
      <c r="S171" s="3275"/>
      <c r="T171" s="3826"/>
      <c r="U171" s="3771"/>
      <c r="V171" s="1846">
        <f t="shared" si="38"/>
        <v>164160000</v>
      </c>
    </row>
    <row r="172" spans="1:22" s="257" customFormat="1" ht="15.05" customHeight="1">
      <c r="A172" s="1855"/>
      <c r="B172" s="1855"/>
      <c r="C172" s="1855"/>
      <c r="D172" s="1855"/>
      <c r="E172" s="1855"/>
      <c r="F172" s="1857" t="s">
        <v>50</v>
      </c>
      <c r="G172" s="1858"/>
      <c r="H172" s="200" t="str">
        <f>MAR!I628</f>
        <v>Kebun Timbanuh</v>
      </c>
      <c r="I172" s="217"/>
      <c r="J172" s="3193">
        <v>24400000</v>
      </c>
      <c r="K172" s="3171">
        <v>24453000</v>
      </c>
      <c r="L172" s="3125">
        <v>24400000</v>
      </c>
      <c r="M172" s="3124">
        <v>14994000</v>
      </c>
      <c r="N172" s="3125">
        <v>0</v>
      </c>
      <c r="O172" s="3125">
        <v>14994000</v>
      </c>
      <c r="P172" s="3125">
        <v>24400000</v>
      </c>
      <c r="Q172" s="3125">
        <f t="shared" si="36"/>
        <v>0</v>
      </c>
      <c r="R172" s="3166">
        <f>+P172/L172*100-100</f>
        <v>0</v>
      </c>
      <c r="S172" s="3275"/>
      <c r="T172" s="3826"/>
      <c r="U172" s="3771"/>
      <c r="V172" s="1846">
        <f t="shared" si="38"/>
        <v>59976000</v>
      </c>
    </row>
    <row r="173" spans="1:22" s="257" customFormat="1" ht="15.05" customHeight="1">
      <c r="A173" s="1855"/>
      <c r="B173" s="1855"/>
      <c r="C173" s="1855"/>
      <c r="D173" s="1855"/>
      <c r="E173" s="1855"/>
      <c r="F173" s="1857" t="s">
        <v>50</v>
      </c>
      <c r="G173" s="1858"/>
      <c r="H173" s="200" t="str">
        <f>MAR!I629</f>
        <v>Kerjasama dengan penangkar</v>
      </c>
      <c r="I173" s="217"/>
      <c r="J173" s="3193" t="s">
        <v>50</v>
      </c>
      <c r="K173" s="3171">
        <v>10036000</v>
      </c>
      <c r="L173" s="3125">
        <v>0</v>
      </c>
      <c r="M173" s="3124">
        <v>0</v>
      </c>
      <c r="N173" s="3125">
        <v>0</v>
      </c>
      <c r="O173" s="3125">
        <v>0</v>
      </c>
      <c r="P173" s="3125">
        <v>0</v>
      </c>
      <c r="Q173" s="3125">
        <f t="shared" si="36"/>
        <v>0</v>
      </c>
      <c r="R173" s="3166">
        <v>0</v>
      </c>
      <c r="S173" s="3275"/>
      <c r="T173" s="3826"/>
      <c r="U173" s="3771"/>
      <c r="V173" s="1846">
        <f t="shared" si="38"/>
        <v>0</v>
      </c>
    </row>
    <row r="174" spans="1:22" s="257" customFormat="1" ht="15.05" customHeight="1">
      <c r="A174" s="1855"/>
      <c r="B174" s="1855"/>
      <c r="C174" s="1855"/>
      <c r="D174" s="1855"/>
      <c r="E174" s="1855"/>
      <c r="F174" s="1857" t="s">
        <v>50</v>
      </c>
      <c r="G174" s="1858"/>
      <c r="H174" s="200" t="str">
        <f>MAR!I630</f>
        <v>Hasil Kebun (SPPN Mataram)</v>
      </c>
      <c r="I174" s="217"/>
      <c r="J174" s="3171"/>
      <c r="K174" s="3171"/>
      <c r="L174" s="3125">
        <v>0</v>
      </c>
      <c r="M174" s="3124">
        <v>0</v>
      </c>
      <c r="N174" s="3125">
        <v>0</v>
      </c>
      <c r="O174" s="3125">
        <v>0</v>
      </c>
      <c r="P174" s="3125">
        <v>0</v>
      </c>
      <c r="Q174" s="3125">
        <f t="shared" si="36"/>
        <v>0</v>
      </c>
      <c r="R174" s="3166">
        <v>0</v>
      </c>
      <c r="S174" s="3275"/>
      <c r="T174" s="3826"/>
      <c r="U174" s="3771"/>
      <c r="V174" s="1846">
        <f t="shared" si="38"/>
        <v>0</v>
      </c>
    </row>
    <row r="175" spans="1:22" s="257" customFormat="1" ht="15.05" customHeight="1">
      <c r="A175" s="1855"/>
      <c r="B175" s="1855"/>
      <c r="C175" s="1855"/>
      <c r="D175" s="1855"/>
      <c r="E175" s="1855"/>
      <c r="F175" s="1857" t="s">
        <v>50</v>
      </c>
      <c r="G175" s="1858"/>
      <c r="H175" s="200" t="str">
        <f>MAR!I631</f>
        <v>Lain-lain (Sertifikasi Benih)</v>
      </c>
      <c r="I175" s="217"/>
      <c r="J175" s="3171"/>
      <c r="K175" s="3171"/>
      <c r="L175" s="3125">
        <v>10000000</v>
      </c>
      <c r="M175" s="3124">
        <v>0</v>
      </c>
      <c r="N175" s="3125">
        <v>0</v>
      </c>
      <c r="O175" s="3125">
        <v>0</v>
      </c>
      <c r="P175" s="3125">
        <v>10000000</v>
      </c>
      <c r="Q175" s="3125">
        <f t="shared" si="36"/>
        <v>0</v>
      </c>
      <c r="R175" s="3166">
        <f>+P175/L175*100-100</f>
        <v>0</v>
      </c>
      <c r="S175" s="3275"/>
      <c r="T175" s="3826"/>
      <c r="U175" s="3771"/>
      <c r="V175" s="1846">
        <f t="shared" si="38"/>
        <v>0</v>
      </c>
    </row>
    <row r="176" spans="1:22" s="257" customFormat="1" ht="15.05" customHeight="1">
      <c r="A176" s="1855"/>
      <c r="B176" s="1855"/>
      <c r="C176" s="1855"/>
      <c r="D176" s="1855"/>
      <c r="E176" s="1855"/>
      <c r="F176" s="1464" t="s">
        <v>463</v>
      </c>
      <c r="G176" s="1858"/>
      <c r="H176" s="200"/>
      <c r="I176" s="217"/>
      <c r="J176" s="3171"/>
      <c r="K176" s="3171"/>
      <c r="L176" s="3125">
        <v>0</v>
      </c>
      <c r="M176" s="3124">
        <v>0</v>
      </c>
      <c r="N176" s="3125">
        <v>0</v>
      </c>
      <c r="O176" s="3125">
        <v>0</v>
      </c>
      <c r="P176" s="3125">
        <v>0</v>
      </c>
      <c r="Q176" s="3125">
        <f t="shared" si="36"/>
        <v>0</v>
      </c>
      <c r="R176" s="3166">
        <v>0</v>
      </c>
      <c r="S176" s="3275"/>
      <c r="T176" s="3826"/>
      <c r="U176" s="3771"/>
      <c r="V176" s="1846">
        <f t="shared" si="38"/>
        <v>0</v>
      </c>
    </row>
    <row r="177" spans="1:22" s="257" customFormat="1" ht="15.05" customHeight="1">
      <c r="A177" s="1855"/>
      <c r="B177" s="1855"/>
      <c r="C177" s="1855"/>
      <c r="D177" s="1855"/>
      <c r="E177" s="1855"/>
      <c r="F177" s="1857" t="s">
        <v>50</v>
      </c>
      <c r="G177" s="1858"/>
      <c r="H177" s="200" t="s">
        <v>539</v>
      </c>
      <c r="I177" s="217"/>
      <c r="J177" s="3171"/>
      <c r="K177" s="3171"/>
      <c r="L177" s="3125">
        <v>0</v>
      </c>
      <c r="M177" s="3124">
        <v>0</v>
      </c>
      <c r="N177" s="3125">
        <v>0</v>
      </c>
      <c r="O177" s="3125">
        <v>0</v>
      </c>
      <c r="P177" s="3125">
        <v>0</v>
      </c>
      <c r="Q177" s="3125">
        <f t="shared" si="36"/>
        <v>0</v>
      </c>
      <c r="R177" s="3166">
        <v>0</v>
      </c>
      <c r="S177" s="3275"/>
      <c r="T177" s="3826"/>
      <c r="U177" s="3771"/>
      <c r="V177" s="1846">
        <f t="shared" si="38"/>
        <v>0</v>
      </c>
    </row>
    <row r="178" spans="1:22" s="257" customFormat="1" ht="15.05" customHeight="1">
      <c r="A178" s="1855"/>
      <c r="B178" s="1855"/>
      <c r="C178" s="1855"/>
      <c r="D178" s="1855"/>
      <c r="E178" s="1855"/>
      <c r="F178" s="1464" t="s">
        <v>523</v>
      </c>
      <c r="G178" s="1860"/>
      <c r="H178" s="202"/>
      <c r="I178" s="218"/>
      <c r="J178" s="3123">
        <f>SUM(J179:J182)</f>
        <v>10000000</v>
      </c>
      <c r="K178" s="3123">
        <f t="shared" ref="K178:P178" si="39">SUM(K179:K182)</f>
        <v>42289500</v>
      </c>
      <c r="L178" s="3123">
        <f t="shared" si="39"/>
        <v>0</v>
      </c>
      <c r="M178" s="3123">
        <f t="shared" si="39"/>
        <v>0</v>
      </c>
      <c r="N178" s="3123">
        <f t="shared" si="39"/>
        <v>0</v>
      </c>
      <c r="O178" s="3123">
        <f t="shared" si="39"/>
        <v>0</v>
      </c>
      <c r="P178" s="3123">
        <f t="shared" si="39"/>
        <v>50000000</v>
      </c>
      <c r="Q178" s="3182">
        <f t="shared" si="36"/>
        <v>50000000</v>
      </c>
      <c r="R178" s="3184">
        <v>0</v>
      </c>
      <c r="S178" s="3710"/>
      <c r="T178" s="3829"/>
      <c r="U178" s="3771"/>
      <c r="V178" s="1846">
        <f t="shared" si="38"/>
        <v>0</v>
      </c>
    </row>
    <row r="179" spans="1:22" s="257" customFormat="1" ht="15.05" customHeight="1">
      <c r="A179" s="1855"/>
      <c r="B179" s="1855"/>
      <c r="C179" s="1855"/>
      <c r="D179" s="1855"/>
      <c r="E179" s="1855"/>
      <c r="F179" s="1857" t="s">
        <v>50</v>
      </c>
      <c r="G179" s="1858"/>
      <c r="H179" s="200" t="s">
        <v>540</v>
      </c>
      <c r="I179" s="217"/>
      <c r="J179" s="3193" t="s">
        <v>50</v>
      </c>
      <c r="K179" s="3193" t="s">
        <v>50</v>
      </c>
      <c r="L179" s="3125">
        <v>0</v>
      </c>
      <c r="M179" s="3124">
        <v>0</v>
      </c>
      <c r="N179" s="3125">
        <v>0</v>
      </c>
      <c r="O179" s="3125">
        <v>0</v>
      </c>
      <c r="P179" s="3125">
        <v>0</v>
      </c>
      <c r="Q179" s="3125">
        <f t="shared" si="36"/>
        <v>0</v>
      </c>
      <c r="R179" s="3166">
        <v>0</v>
      </c>
      <c r="S179" s="3275"/>
      <c r="T179" s="3826"/>
      <c r="U179" s="3771"/>
      <c r="V179" s="1846">
        <f t="shared" si="38"/>
        <v>0</v>
      </c>
    </row>
    <row r="180" spans="1:22" s="257" customFormat="1" ht="15.05" customHeight="1">
      <c r="A180" s="1855"/>
      <c r="B180" s="1855"/>
      <c r="C180" s="1855"/>
      <c r="D180" s="1855"/>
      <c r="E180" s="1855"/>
      <c r="F180" s="1857" t="s">
        <v>50</v>
      </c>
      <c r="G180" s="1858"/>
      <c r="H180" s="200" t="s">
        <v>541</v>
      </c>
      <c r="I180" s="217"/>
      <c r="J180" s="3193" t="s">
        <v>50</v>
      </c>
      <c r="K180" s="3193" t="s">
        <v>50</v>
      </c>
      <c r="L180" s="3125">
        <v>0</v>
      </c>
      <c r="M180" s="3124">
        <v>0</v>
      </c>
      <c r="N180" s="3125">
        <v>0</v>
      </c>
      <c r="O180" s="3125">
        <v>0</v>
      </c>
      <c r="P180" s="3125">
        <v>0</v>
      </c>
      <c r="Q180" s="3125">
        <f t="shared" si="36"/>
        <v>0</v>
      </c>
      <c r="R180" s="3166">
        <v>0</v>
      </c>
      <c r="S180" s="3275"/>
      <c r="T180" s="3826"/>
      <c r="U180" s="3771"/>
      <c r="V180" s="1846">
        <f t="shared" si="38"/>
        <v>0</v>
      </c>
    </row>
    <row r="181" spans="1:22" s="257" customFormat="1" ht="15.05" customHeight="1">
      <c r="A181" s="1855"/>
      <c r="B181" s="1855"/>
      <c r="C181" s="1855"/>
      <c r="D181" s="1855"/>
      <c r="E181" s="1855"/>
      <c r="F181" s="1857" t="s">
        <v>50</v>
      </c>
      <c r="G181" s="1858"/>
      <c r="H181" s="200" t="s">
        <v>542</v>
      </c>
      <c r="I181" s="217"/>
      <c r="J181" s="3193" t="s">
        <v>50</v>
      </c>
      <c r="K181" s="3193" t="s">
        <v>50</v>
      </c>
      <c r="L181" s="3125">
        <v>0</v>
      </c>
      <c r="M181" s="3124">
        <v>0</v>
      </c>
      <c r="N181" s="3125">
        <v>0</v>
      </c>
      <c r="O181" s="3125">
        <v>0</v>
      </c>
      <c r="P181" s="3125">
        <v>0</v>
      </c>
      <c r="Q181" s="3125">
        <f t="shared" si="36"/>
        <v>0</v>
      </c>
      <c r="R181" s="3166">
        <v>0</v>
      </c>
      <c r="S181" s="3275"/>
      <c r="T181" s="3826"/>
      <c r="U181" s="3771"/>
      <c r="V181" s="1846">
        <f t="shared" si="38"/>
        <v>0</v>
      </c>
    </row>
    <row r="182" spans="1:22" s="257" customFormat="1" ht="15.05" customHeight="1">
      <c r="A182" s="1855"/>
      <c r="B182" s="1855"/>
      <c r="C182" s="1855"/>
      <c r="D182" s="1855"/>
      <c r="E182" s="1855"/>
      <c r="F182" s="1857" t="s">
        <v>50</v>
      </c>
      <c r="G182" s="1858"/>
      <c r="H182" s="200" t="s">
        <v>543</v>
      </c>
      <c r="I182" s="217"/>
      <c r="J182" s="3193">
        <v>10000000</v>
      </c>
      <c r="K182" s="3193">
        <v>42289500</v>
      </c>
      <c r="L182" s="3125">
        <v>0</v>
      </c>
      <c r="M182" s="3124">
        <v>0</v>
      </c>
      <c r="N182" s="3125">
        <v>0</v>
      </c>
      <c r="O182" s="3125">
        <v>0</v>
      </c>
      <c r="P182" s="3125">
        <v>50000000</v>
      </c>
      <c r="Q182" s="3125">
        <f t="shared" si="36"/>
        <v>50000000</v>
      </c>
      <c r="R182" s="3166">
        <v>0</v>
      </c>
      <c r="S182" s="3275"/>
      <c r="T182" s="3826"/>
      <c r="U182" s="3771"/>
      <c r="V182" s="1846">
        <f t="shared" si="38"/>
        <v>0</v>
      </c>
    </row>
    <row r="183" spans="1:22" s="257" customFormat="1" ht="15.05" customHeight="1">
      <c r="A183" s="1855"/>
      <c r="B183" s="1855"/>
      <c r="C183" s="1855"/>
      <c r="D183" s="1855"/>
      <c r="E183" s="1855"/>
      <c r="F183" s="1464" t="s">
        <v>544</v>
      </c>
      <c r="G183" s="1860"/>
      <c r="H183" s="202"/>
      <c r="I183" s="218"/>
      <c r="J183" s="3123">
        <f>SUM(J184:J190)</f>
        <v>219000000</v>
      </c>
      <c r="K183" s="3123">
        <f t="shared" ref="K183:P183" si="40">SUM(K184:K190)</f>
        <v>502760530</v>
      </c>
      <c r="L183" s="3123">
        <f t="shared" si="40"/>
        <v>219000000</v>
      </c>
      <c r="M183" s="3123">
        <f t="shared" si="40"/>
        <v>858050</v>
      </c>
      <c r="N183" s="3123">
        <f t="shared" si="40"/>
        <v>0</v>
      </c>
      <c r="O183" s="3123">
        <f t="shared" si="40"/>
        <v>858050</v>
      </c>
      <c r="P183" s="3123">
        <f t="shared" si="40"/>
        <v>219000000</v>
      </c>
      <c r="Q183" s="3182">
        <f t="shared" si="36"/>
        <v>0</v>
      </c>
      <c r="R183" s="3184">
        <f>+P183/L183*100-100</f>
        <v>0</v>
      </c>
      <c r="S183" s="3710"/>
      <c r="T183" s="3829"/>
      <c r="U183" s="3771"/>
      <c r="V183" s="1846">
        <f t="shared" si="38"/>
        <v>3432200</v>
      </c>
    </row>
    <row r="184" spans="1:22" s="1538" customFormat="1" ht="15.05" customHeight="1">
      <c r="A184" s="1855"/>
      <c r="B184" s="1855"/>
      <c r="C184" s="1855"/>
      <c r="D184" s="1855"/>
      <c r="E184" s="1855"/>
      <c r="F184" s="1857" t="s">
        <v>50</v>
      </c>
      <c r="G184" s="1858"/>
      <c r="H184" s="200" t="str">
        <f>MAR!I649</f>
        <v>Penj. Sapi fetening</v>
      </c>
      <c r="I184" s="217"/>
      <c r="J184" s="3171">
        <v>0</v>
      </c>
      <c r="K184" s="3171">
        <v>777000</v>
      </c>
      <c r="L184" s="3125">
        <v>0</v>
      </c>
      <c r="M184" s="3124">
        <v>0</v>
      </c>
      <c r="N184" s="3125">
        <v>0</v>
      </c>
      <c r="O184" s="3125">
        <v>0</v>
      </c>
      <c r="P184" s="3125">
        <v>0</v>
      </c>
      <c r="Q184" s="3125">
        <f t="shared" si="36"/>
        <v>0</v>
      </c>
      <c r="R184" s="3166">
        <v>0</v>
      </c>
      <c r="S184" s="3275"/>
      <c r="T184" s="3826"/>
      <c r="U184" s="3771"/>
      <c r="V184" s="1846">
        <f t="shared" si="38"/>
        <v>0</v>
      </c>
    </row>
    <row r="185" spans="1:22" s="1538" customFormat="1" ht="15.05" customHeight="1">
      <c r="A185" s="1855"/>
      <c r="B185" s="1855"/>
      <c r="C185" s="1855"/>
      <c r="D185" s="1855"/>
      <c r="E185" s="1855"/>
      <c r="F185" s="1857" t="s">
        <v>50</v>
      </c>
      <c r="G185" s="1858"/>
      <c r="H185" s="200" t="str">
        <f>MAR!I650</f>
        <v>Inseminasi buatan BLPKH Banyumulek</v>
      </c>
      <c r="I185" s="217"/>
      <c r="J185" s="3171">
        <v>75000000</v>
      </c>
      <c r="K185" s="3171">
        <v>76523650</v>
      </c>
      <c r="L185" s="3125">
        <v>75000000</v>
      </c>
      <c r="M185" s="3124">
        <v>858050</v>
      </c>
      <c r="N185" s="3125">
        <v>0</v>
      </c>
      <c r="O185" s="3125">
        <v>858050</v>
      </c>
      <c r="P185" s="3125">
        <v>75000000</v>
      </c>
      <c r="Q185" s="3125">
        <f t="shared" si="36"/>
        <v>0</v>
      </c>
      <c r="R185" s="3166">
        <f>+P185/L185*100-100</f>
        <v>0</v>
      </c>
      <c r="S185" s="3275"/>
      <c r="T185" s="3826"/>
      <c r="U185" s="3771"/>
      <c r="V185" s="1846">
        <f t="shared" si="38"/>
        <v>3432200</v>
      </c>
    </row>
    <row r="186" spans="1:22" s="1538" customFormat="1" ht="15.05" customHeight="1">
      <c r="A186" s="1855"/>
      <c r="B186" s="1855"/>
      <c r="C186" s="1855"/>
      <c r="D186" s="1855"/>
      <c r="E186" s="1855"/>
      <c r="F186" s="1857" t="s">
        <v>50</v>
      </c>
      <c r="G186" s="1858"/>
      <c r="H186" s="200" t="str">
        <f>MAR!I651</f>
        <v>Penj. HMT BPTHMT Serading Sumbawa</v>
      </c>
      <c r="I186" s="217"/>
      <c r="J186" s="3171">
        <v>19000000</v>
      </c>
      <c r="K186" s="3171">
        <v>58119880</v>
      </c>
      <c r="L186" s="3125">
        <v>19000000</v>
      </c>
      <c r="M186" s="3124">
        <v>0</v>
      </c>
      <c r="N186" s="3125">
        <v>0</v>
      </c>
      <c r="O186" s="3125">
        <v>0</v>
      </c>
      <c r="P186" s="3125">
        <v>19000000</v>
      </c>
      <c r="Q186" s="3125">
        <f t="shared" si="36"/>
        <v>0</v>
      </c>
      <c r="R186" s="3166">
        <f>+P186/L186*100-100</f>
        <v>0</v>
      </c>
      <c r="S186" s="3275"/>
      <c r="T186" s="3826"/>
      <c r="U186" s="3771"/>
      <c r="V186" s="1846">
        <f t="shared" si="38"/>
        <v>0</v>
      </c>
    </row>
    <row r="187" spans="1:22" s="1538" customFormat="1" ht="15.05" customHeight="1">
      <c r="A187" s="1855"/>
      <c r="B187" s="1855"/>
      <c r="C187" s="1855"/>
      <c r="D187" s="1855"/>
      <c r="E187" s="1855"/>
      <c r="F187" s="1857" t="s">
        <v>50</v>
      </c>
      <c r="G187" s="1858"/>
      <c r="H187" s="200" t="str">
        <f>MAR!I652</f>
        <v>Penj.Ternak tdk layak bibit Serading</v>
      </c>
      <c r="I187" s="217"/>
      <c r="J187" s="3171">
        <v>125000000</v>
      </c>
      <c r="K187" s="3171">
        <v>367340000</v>
      </c>
      <c r="L187" s="3125">
        <v>125000000</v>
      </c>
      <c r="M187" s="3124">
        <v>0</v>
      </c>
      <c r="N187" s="3125">
        <v>0</v>
      </c>
      <c r="O187" s="3125">
        <v>0</v>
      </c>
      <c r="P187" s="3125">
        <v>125000000</v>
      </c>
      <c r="Q187" s="3125">
        <f t="shared" si="36"/>
        <v>0</v>
      </c>
      <c r="R187" s="3166">
        <f>+P187/L187*100-100</f>
        <v>0</v>
      </c>
      <c r="S187" s="3275"/>
      <c r="T187" s="3826"/>
      <c r="U187" s="3771"/>
      <c r="V187" s="1846">
        <f t="shared" si="38"/>
        <v>0</v>
      </c>
    </row>
    <row r="188" spans="1:22" s="1538" customFormat="1" ht="15.05" customHeight="1">
      <c r="A188" s="1855"/>
      <c r="B188" s="1855"/>
      <c r="C188" s="1855"/>
      <c r="D188" s="1855"/>
      <c r="E188" s="1855"/>
      <c r="F188" s="1857" t="s">
        <v>50</v>
      </c>
      <c r="G188" s="1858"/>
      <c r="H188" s="200" t="str">
        <f>MAR!I653</f>
        <v xml:space="preserve">Penj. Susu &amp; Sapi perah non produktif BIB </v>
      </c>
      <c r="I188" s="217"/>
      <c r="J188" s="3193" t="s">
        <v>50</v>
      </c>
      <c r="K188" s="3193" t="s">
        <v>50</v>
      </c>
      <c r="L188" s="3125">
        <v>0</v>
      </c>
      <c r="M188" s="3124">
        <v>0</v>
      </c>
      <c r="N188" s="3125">
        <v>0</v>
      </c>
      <c r="O188" s="3125">
        <v>0</v>
      </c>
      <c r="P188" s="3125">
        <v>0</v>
      </c>
      <c r="Q188" s="3125">
        <f t="shared" si="36"/>
        <v>0</v>
      </c>
      <c r="R188" s="3166">
        <v>0</v>
      </c>
      <c r="S188" s="3275"/>
      <c r="T188" s="3826"/>
      <c r="U188" s="3771"/>
      <c r="V188" s="1846">
        <f t="shared" si="38"/>
        <v>0</v>
      </c>
    </row>
    <row r="189" spans="1:22" s="1538" customFormat="1" ht="15.05" customHeight="1">
      <c r="A189" s="1855"/>
      <c r="B189" s="1855"/>
      <c r="C189" s="1855"/>
      <c r="D189" s="1855"/>
      <c r="E189" s="1855"/>
      <c r="F189" s="1857" t="s">
        <v>50</v>
      </c>
      <c r="G189" s="1858"/>
      <c r="H189" s="200" t="str">
        <f>MAR!I654</f>
        <v>Penj. Ayam Pedaging BIB Banyumulek</v>
      </c>
      <c r="I189" s="217"/>
      <c r="J189" s="3193" t="s">
        <v>50</v>
      </c>
      <c r="K189" s="3193" t="s">
        <v>50</v>
      </c>
      <c r="L189" s="3125">
        <v>0</v>
      </c>
      <c r="M189" s="3124">
        <v>0</v>
      </c>
      <c r="N189" s="3125">
        <v>0</v>
      </c>
      <c r="O189" s="3125">
        <v>0</v>
      </c>
      <c r="P189" s="3125">
        <v>0</v>
      </c>
      <c r="Q189" s="3125">
        <f t="shared" si="36"/>
        <v>0</v>
      </c>
      <c r="R189" s="3166">
        <v>0</v>
      </c>
      <c r="S189" s="3275"/>
      <c r="T189" s="3826"/>
      <c r="U189" s="3771"/>
      <c r="V189" s="1846">
        <f t="shared" si="38"/>
        <v>0</v>
      </c>
    </row>
    <row r="190" spans="1:22" s="1538" customFormat="1" ht="15.05" customHeight="1">
      <c r="A190" s="1855"/>
      <c r="B190" s="1855"/>
      <c r="C190" s="1855"/>
      <c r="D190" s="1855"/>
      <c r="E190" s="1855"/>
      <c r="F190" s="1857" t="s">
        <v>50</v>
      </c>
      <c r="G190" s="1858"/>
      <c r="H190" s="200" t="str">
        <f>MAR!I655</f>
        <v>Penj. Daging RPH Banyumulek</v>
      </c>
      <c r="I190" s="217"/>
      <c r="J190" s="3193" t="s">
        <v>50</v>
      </c>
      <c r="K190" s="3193" t="s">
        <v>50</v>
      </c>
      <c r="L190" s="3125">
        <v>0</v>
      </c>
      <c r="M190" s="3124">
        <v>0</v>
      </c>
      <c r="N190" s="3125">
        <v>0</v>
      </c>
      <c r="O190" s="3125">
        <v>0</v>
      </c>
      <c r="P190" s="3125">
        <v>0</v>
      </c>
      <c r="Q190" s="3125">
        <f t="shared" si="36"/>
        <v>0</v>
      </c>
      <c r="R190" s="3166">
        <v>0</v>
      </c>
      <c r="S190" s="3275"/>
      <c r="T190" s="3826"/>
      <c r="U190" s="3771"/>
      <c r="V190" s="1846">
        <f t="shared" si="38"/>
        <v>0</v>
      </c>
    </row>
    <row r="191" spans="1:22" s="1538" customFormat="1" ht="15.05" customHeight="1">
      <c r="A191" s="1855"/>
      <c r="B191" s="1855"/>
      <c r="C191" s="1855"/>
      <c r="D191" s="1855"/>
      <c r="E191" s="1855"/>
      <c r="F191" s="1464" t="s">
        <v>528</v>
      </c>
      <c r="G191" s="1860"/>
      <c r="H191" s="202"/>
      <c r="I191" s="218"/>
      <c r="J191" s="3123">
        <f>SUM(J192:J198)</f>
        <v>820000000</v>
      </c>
      <c r="K191" s="3123">
        <f t="shared" ref="K191:P191" si="41">SUM(K192:K198)</f>
        <v>890941000</v>
      </c>
      <c r="L191" s="3123">
        <f t="shared" si="41"/>
        <v>820000000</v>
      </c>
      <c r="M191" s="3123">
        <f t="shared" si="41"/>
        <v>55399500</v>
      </c>
      <c r="N191" s="3123">
        <f t="shared" si="41"/>
        <v>120244500</v>
      </c>
      <c r="O191" s="3123">
        <f t="shared" si="41"/>
        <v>175644000</v>
      </c>
      <c r="P191" s="3123">
        <f t="shared" si="41"/>
        <v>820000000</v>
      </c>
      <c r="Q191" s="3182">
        <f t="shared" si="36"/>
        <v>0</v>
      </c>
      <c r="R191" s="3184">
        <f>+P191/L191*100-100</f>
        <v>0</v>
      </c>
      <c r="S191" s="3731"/>
      <c r="T191" s="3829"/>
      <c r="U191" s="3781">
        <f>SUM(U192:U198)</f>
        <v>0</v>
      </c>
      <c r="V191" s="1846">
        <f t="shared" si="38"/>
        <v>702576000</v>
      </c>
    </row>
    <row r="192" spans="1:22" s="1538" customFormat="1" ht="15.05" customHeight="1">
      <c r="A192" s="1855"/>
      <c r="B192" s="1855"/>
      <c r="C192" s="1855"/>
      <c r="D192" s="1855"/>
      <c r="E192" s="1855"/>
      <c r="F192" s="1857" t="s">
        <v>50</v>
      </c>
      <c r="G192" s="1858"/>
      <c r="H192" s="200" t="str">
        <f>MAR!I688</f>
        <v>BPBIAT Aikmel</v>
      </c>
      <c r="I192" s="217"/>
      <c r="J192" s="3171">
        <v>190000000</v>
      </c>
      <c r="K192" s="3171">
        <v>185000000</v>
      </c>
      <c r="L192" s="3125">
        <v>190000000</v>
      </c>
      <c r="M192" s="3124">
        <v>30000000</v>
      </c>
      <c r="N192" s="3125">
        <v>19500000</v>
      </c>
      <c r="O192" s="3125">
        <v>49500000</v>
      </c>
      <c r="P192" s="3125">
        <v>190000000</v>
      </c>
      <c r="Q192" s="3125">
        <f t="shared" si="36"/>
        <v>0</v>
      </c>
      <c r="R192" s="3166">
        <f>+P192/L192*100-100</f>
        <v>0</v>
      </c>
      <c r="S192" s="3275"/>
      <c r="T192" s="3826"/>
      <c r="U192" s="3771"/>
      <c r="V192" s="1846">
        <f t="shared" si="38"/>
        <v>198000000</v>
      </c>
    </row>
    <row r="193" spans="1:22" s="1538" customFormat="1" ht="15.05" customHeight="1">
      <c r="A193" s="1855"/>
      <c r="B193" s="1855"/>
      <c r="C193" s="1855"/>
      <c r="D193" s="1855"/>
      <c r="E193" s="1855"/>
      <c r="F193" s="1857" t="s">
        <v>50</v>
      </c>
      <c r="G193" s="1858"/>
      <c r="H193" s="200" t="str">
        <f>MAR!I689</f>
        <v>BBI Batu kumbung</v>
      </c>
      <c r="I193" s="217"/>
      <c r="J193" s="3171">
        <v>160000000</v>
      </c>
      <c r="K193" s="3171">
        <v>160153500</v>
      </c>
      <c r="L193" s="3125">
        <v>160000000</v>
      </c>
      <c r="M193" s="3124">
        <v>6528500</v>
      </c>
      <c r="N193" s="3125">
        <v>15425500</v>
      </c>
      <c r="O193" s="3125">
        <v>21954000</v>
      </c>
      <c r="P193" s="3125">
        <v>160000000</v>
      </c>
      <c r="Q193" s="3125">
        <f t="shared" si="36"/>
        <v>0</v>
      </c>
      <c r="R193" s="3166">
        <f>+P193/L193*100-100</f>
        <v>0</v>
      </c>
      <c r="S193" s="3275"/>
      <c r="T193" s="3826"/>
      <c r="U193" s="3771"/>
      <c r="V193" s="1846">
        <f t="shared" si="38"/>
        <v>87816000</v>
      </c>
    </row>
    <row r="194" spans="1:22" s="1538" customFormat="1" ht="15.05" customHeight="1">
      <c r="A194" s="1855"/>
      <c r="B194" s="1855"/>
      <c r="C194" s="1855"/>
      <c r="D194" s="1855"/>
      <c r="E194" s="1855"/>
      <c r="F194" s="1857" t="s">
        <v>50</v>
      </c>
      <c r="G194" s="1858"/>
      <c r="H194" s="200" t="str">
        <f>MAR!I690</f>
        <v>BBI Lingsar</v>
      </c>
      <c r="I194" s="217"/>
      <c r="J194" s="3171">
        <v>90000000</v>
      </c>
      <c r="K194" s="3171">
        <v>90772500</v>
      </c>
      <c r="L194" s="3125">
        <v>90000000</v>
      </c>
      <c r="M194" s="3124">
        <v>16191000</v>
      </c>
      <c r="N194" s="3125">
        <v>11950000</v>
      </c>
      <c r="O194" s="3125">
        <v>28141000</v>
      </c>
      <c r="P194" s="3125">
        <v>90000000</v>
      </c>
      <c r="Q194" s="3125">
        <f t="shared" si="36"/>
        <v>0</v>
      </c>
      <c r="R194" s="3166">
        <f>+P194/L194*100-100</f>
        <v>0</v>
      </c>
      <c r="S194" s="3275"/>
      <c r="T194" s="3826"/>
      <c r="U194" s="3771"/>
      <c r="V194" s="1846">
        <f t="shared" si="38"/>
        <v>112564000</v>
      </c>
    </row>
    <row r="195" spans="1:22" s="1538" customFormat="1" ht="15.05" customHeight="1">
      <c r="A195" s="1855"/>
      <c r="B195" s="1855"/>
      <c r="C195" s="1855"/>
      <c r="D195" s="1855"/>
      <c r="E195" s="1855"/>
      <c r="F195" s="1857" t="s">
        <v>50</v>
      </c>
      <c r="G195" s="1858"/>
      <c r="H195" s="200" t="str">
        <f>MAR!I691</f>
        <v>Matua</v>
      </c>
      <c r="I195" s="217"/>
      <c r="J195" s="3193" t="s">
        <v>50</v>
      </c>
      <c r="K195" s="3193" t="s">
        <v>50</v>
      </c>
      <c r="L195" s="3125">
        <v>0</v>
      </c>
      <c r="M195" s="3124">
        <v>0</v>
      </c>
      <c r="N195" s="3125">
        <v>0</v>
      </c>
      <c r="O195" s="3125">
        <v>0</v>
      </c>
      <c r="P195" s="3125">
        <v>0</v>
      </c>
      <c r="Q195" s="3125">
        <f t="shared" si="36"/>
        <v>0</v>
      </c>
      <c r="R195" s="3166">
        <v>0</v>
      </c>
      <c r="S195" s="3275"/>
      <c r="T195" s="3826"/>
      <c r="U195" s="3771"/>
      <c r="V195" s="1846">
        <f t="shared" si="38"/>
        <v>0</v>
      </c>
    </row>
    <row r="196" spans="1:22" s="1538" customFormat="1" ht="15.05" customHeight="1">
      <c r="A196" s="1855"/>
      <c r="B196" s="1855"/>
      <c r="C196" s="1855"/>
      <c r="D196" s="1855"/>
      <c r="E196" s="1855"/>
      <c r="F196" s="1857" t="s">
        <v>50</v>
      </c>
      <c r="G196" s="1858"/>
      <c r="H196" s="200" t="str">
        <f>MAR!I692</f>
        <v>BBI Rade Bima</v>
      </c>
      <c r="I196" s="217"/>
      <c r="J196" s="3171">
        <v>15000000</v>
      </c>
      <c r="K196" s="3193">
        <v>15000000</v>
      </c>
      <c r="L196" s="3125">
        <v>15000000</v>
      </c>
      <c r="M196" s="3124">
        <v>1200000</v>
      </c>
      <c r="N196" s="3125">
        <v>1400000</v>
      </c>
      <c r="O196" s="3125">
        <v>2600000</v>
      </c>
      <c r="P196" s="3125">
        <v>15000000</v>
      </c>
      <c r="Q196" s="3125">
        <f t="shared" si="36"/>
        <v>0</v>
      </c>
      <c r="R196" s="3166">
        <f>+P196/L196*100-100</f>
        <v>0</v>
      </c>
      <c r="S196" s="3275"/>
      <c r="T196" s="3826"/>
      <c r="U196" s="3771"/>
      <c r="V196" s="1846">
        <f t="shared" si="38"/>
        <v>10400000</v>
      </c>
    </row>
    <row r="197" spans="1:22" s="1538" customFormat="1" ht="15.05" customHeight="1">
      <c r="A197" s="1855"/>
      <c r="B197" s="1855"/>
      <c r="C197" s="1855"/>
      <c r="D197" s="1855"/>
      <c r="E197" s="1855"/>
      <c r="F197" s="1857" t="s">
        <v>50</v>
      </c>
      <c r="G197" s="1858"/>
      <c r="H197" s="200" t="str">
        <f>MAR!I693</f>
        <v>BBI Taliwang</v>
      </c>
      <c r="I197" s="217"/>
      <c r="J197" s="3171">
        <v>30000000</v>
      </c>
      <c r="K197" s="3193">
        <v>4000000</v>
      </c>
      <c r="L197" s="3125">
        <v>30000000</v>
      </c>
      <c r="M197" s="3124">
        <v>1480000</v>
      </c>
      <c r="N197" s="3125">
        <v>569000</v>
      </c>
      <c r="O197" s="3125">
        <v>2049000</v>
      </c>
      <c r="P197" s="3125">
        <v>30000000</v>
      </c>
      <c r="Q197" s="3125">
        <f t="shared" si="36"/>
        <v>0</v>
      </c>
      <c r="R197" s="3166">
        <f>+P197/L197*100-100</f>
        <v>0</v>
      </c>
      <c r="S197" s="3275"/>
      <c r="T197" s="3826"/>
      <c r="U197" s="3771"/>
      <c r="V197" s="1846">
        <f t="shared" si="38"/>
        <v>8196000</v>
      </c>
    </row>
    <row r="198" spans="1:22" s="1538" customFormat="1" ht="15.05" customHeight="1">
      <c r="A198" s="1855"/>
      <c r="B198" s="1855"/>
      <c r="C198" s="1855"/>
      <c r="D198" s="1855"/>
      <c r="E198" s="1855"/>
      <c r="F198" s="1857" t="s">
        <v>50</v>
      </c>
      <c r="G198" s="1858"/>
      <c r="H198" s="200" t="str">
        <f>MAR!I694</f>
        <v>BPBPP Sekotong</v>
      </c>
      <c r="I198" s="217"/>
      <c r="J198" s="3171">
        <v>335000000</v>
      </c>
      <c r="K198" s="3193">
        <v>436015000</v>
      </c>
      <c r="L198" s="3125">
        <v>335000000</v>
      </c>
      <c r="M198" s="3124">
        <v>0</v>
      </c>
      <c r="N198" s="3125">
        <v>71400000</v>
      </c>
      <c r="O198" s="3125">
        <v>71400000</v>
      </c>
      <c r="P198" s="3125">
        <v>335000000</v>
      </c>
      <c r="Q198" s="3125">
        <f t="shared" si="36"/>
        <v>0</v>
      </c>
      <c r="R198" s="3166">
        <f>+P198/L198*100-100</f>
        <v>0</v>
      </c>
      <c r="S198" s="3748"/>
      <c r="T198" s="3826"/>
      <c r="U198" s="3778">
        <f>PerDinas!Q947</f>
        <v>0</v>
      </c>
      <c r="V198" s="1846">
        <f t="shared" si="38"/>
        <v>285600000</v>
      </c>
    </row>
    <row r="199" spans="1:22" s="1538" customFormat="1" ht="15.05" customHeight="1">
      <c r="A199" s="3573"/>
      <c r="B199" s="3573"/>
      <c r="C199" s="3573"/>
      <c r="D199" s="3573"/>
      <c r="E199" s="3573"/>
      <c r="F199" s="3574"/>
      <c r="G199" s="3581"/>
      <c r="H199" s="3575"/>
      <c r="I199" s="3582"/>
      <c r="J199" s="3577"/>
      <c r="K199" s="3583"/>
      <c r="L199" s="3578"/>
      <c r="M199" s="3579"/>
      <c r="N199" s="3578"/>
      <c r="O199" s="3578"/>
      <c r="P199" s="3578"/>
      <c r="Q199" s="3578"/>
      <c r="R199" s="3580"/>
      <c r="S199" s="3709"/>
      <c r="T199" s="3828"/>
      <c r="U199" s="3771"/>
      <c r="V199" s="1846">
        <f t="shared" si="38"/>
        <v>0</v>
      </c>
    </row>
    <row r="200" spans="1:22" s="2945" customFormat="1" ht="15.05" customHeight="1">
      <c r="A200" s="3053">
        <v>4</v>
      </c>
      <c r="B200" s="3054">
        <v>1</v>
      </c>
      <c r="C200" s="3054">
        <v>2</v>
      </c>
      <c r="D200" s="3054" t="s">
        <v>440</v>
      </c>
      <c r="E200" s="3054"/>
      <c r="F200" s="3056" t="s">
        <v>545</v>
      </c>
      <c r="G200" s="3057"/>
      <c r="H200" s="3064"/>
      <c r="I200" s="3065"/>
      <c r="J200" s="3202">
        <f>+J201+J206+J209</f>
        <v>1648889500</v>
      </c>
      <c r="K200" s="3202">
        <f>+K201+K206+K209</f>
        <v>1761141600</v>
      </c>
      <c r="L200" s="3178">
        <f>+L201+L206+L209</f>
        <v>1648889500</v>
      </c>
      <c r="M200" s="3179">
        <v>323745000</v>
      </c>
      <c r="N200" s="3178">
        <f>+N201+N206+N209</f>
        <v>153560000</v>
      </c>
      <c r="O200" s="3178">
        <f>+O201+O206+O209</f>
        <v>477305000</v>
      </c>
      <c r="P200" s="3178">
        <f>+P201+P206+P209</f>
        <v>1863889500</v>
      </c>
      <c r="Q200" s="3178">
        <f>+Q201+Q206+Q209</f>
        <v>215000000</v>
      </c>
      <c r="R200" s="3180">
        <f>+P200/L200*100-100</f>
        <v>13.039078725408842</v>
      </c>
      <c r="S200" s="3700"/>
      <c r="T200" s="3818"/>
      <c r="U200" s="3773"/>
      <c r="V200" s="2944">
        <f t="shared" si="38"/>
        <v>1909220000</v>
      </c>
    </row>
    <row r="201" spans="1:22" s="2932" customFormat="1" ht="15.05" customHeight="1">
      <c r="A201" s="3047">
        <v>4</v>
      </c>
      <c r="B201" s="3047">
        <v>1</v>
      </c>
      <c r="C201" s="3047">
        <v>2</v>
      </c>
      <c r="D201" s="3047" t="s">
        <v>440</v>
      </c>
      <c r="E201" s="3047" t="s">
        <v>437</v>
      </c>
      <c r="F201" s="3048" t="s">
        <v>117</v>
      </c>
      <c r="G201" s="3049"/>
      <c r="H201" s="3050"/>
      <c r="I201" s="3051"/>
      <c r="J201" s="3441">
        <f>SUM(J202:J204)</f>
        <v>193889500</v>
      </c>
      <c r="K201" s="3442">
        <f>SUM(K202:K204)</f>
        <v>122160000</v>
      </c>
      <c r="L201" s="3163">
        <f>SUM(L202:L205)</f>
        <v>193889500</v>
      </c>
      <c r="M201" s="3164">
        <v>3165000</v>
      </c>
      <c r="N201" s="3163">
        <f>SUM(N202:N205)</f>
        <v>25400000</v>
      </c>
      <c r="O201" s="3163">
        <f>N201+M201</f>
        <v>28565000</v>
      </c>
      <c r="P201" s="3163">
        <f>SUM(P202:P204)</f>
        <v>193889500</v>
      </c>
      <c r="Q201" s="3163">
        <f>+P201-L201</f>
        <v>0</v>
      </c>
      <c r="R201" s="3443">
        <f>+P201/L201*100-100</f>
        <v>0</v>
      </c>
      <c r="S201" s="3714"/>
      <c r="T201" s="3833"/>
      <c r="U201" s="3784"/>
      <c r="V201" s="2931">
        <f t="shared" si="38"/>
        <v>114260000</v>
      </c>
    </row>
    <row r="202" spans="1:22" s="1538" customFormat="1" ht="15.05" customHeight="1">
      <c r="A202" s="1855"/>
      <c r="B202" s="1855"/>
      <c r="C202" s="1855"/>
      <c r="D202" s="1855"/>
      <c r="E202" s="1855"/>
      <c r="F202" s="1857" t="s">
        <v>50</v>
      </c>
      <c r="G202" s="1858"/>
      <c r="H202" s="200" t="s">
        <v>546</v>
      </c>
      <c r="I202" s="217"/>
      <c r="J202" s="3171">
        <v>103889500</v>
      </c>
      <c r="K202" s="3193">
        <v>75250000</v>
      </c>
      <c r="L202" s="3125">
        <f>MAR!J158</f>
        <v>103889500</v>
      </c>
      <c r="M202" s="3124">
        <v>230000</v>
      </c>
      <c r="N202" s="3125">
        <f>MAR!L158</f>
        <v>24900000</v>
      </c>
      <c r="O202" s="3125">
        <f>MAR!M158</f>
        <v>25130000</v>
      </c>
      <c r="P202" s="3125">
        <v>103889500</v>
      </c>
      <c r="Q202" s="3125">
        <f>+P202-L202</f>
        <v>0</v>
      </c>
      <c r="R202" s="3166">
        <f>+P202/L202*100-100</f>
        <v>0</v>
      </c>
      <c r="S202" s="3275"/>
      <c r="T202" s="3826"/>
      <c r="U202" s="3771"/>
      <c r="V202" s="1846">
        <f t="shared" si="38"/>
        <v>100520000</v>
      </c>
    </row>
    <row r="203" spans="1:22" s="1538" customFormat="1" ht="15.05" customHeight="1">
      <c r="A203" s="1855"/>
      <c r="B203" s="1855"/>
      <c r="C203" s="1855"/>
      <c r="D203" s="1855"/>
      <c r="E203" s="1855"/>
      <c r="F203" s="1857" t="s">
        <v>50</v>
      </c>
      <c r="G203" s="1858"/>
      <c r="H203" s="200" t="s">
        <v>547</v>
      </c>
      <c r="I203" s="217"/>
      <c r="J203" s="3171">
        <v>90000000</v>
      </c>
      <c r="K203" s="3193" t="s">
        <v>50</v>
      </c>
      <c r="L203" s="3125">
        <f>MAR!J159</f>
        <v>90000000</v>
      </c>
      <c r="M203" s="3124">
        <v>0</v>
      </c>
      <c r="N203" s="3125">
        <f>MAR!L159</f>
        <v>0</v>
      </c>
      <c r="O203" s="3125">
        <f>MAR!M159</f>
        <v>0</v>
      </c>
      <c r="P203" s="3125">
        <v>90000000</v>
      </c>
      <c r="Q203" s="3125">
        <f>+P203-L203</f>
        <v>0</v>
      </c>
      <c r="R203" s="3166">
        <f>+P203/L203*100-100</f>
        <v>0</v>
      </c>
      <c r="S203" s="3275"/>
      <c r="T203" s="3826"/>
      <c r="U203" s="3771"/>
      <c r="V203" s="1846">
        <f t="shared" si="38"/>
        <v>0</v>
      </c>
    </row>
    <row r="204" spans="1:22" s="1538" customFormat="1" ht="15.05" customHeight="1">
      <c r="A204" s="1855"/>
      <c r="B204" s="1855"/>
      <c r="C204" s="1855"/>
      <c r="D204" s="1855"/>
      <c r="E204" s="1855"/>
      <c r="F204" s="1857" t="s">
        <v>50</v>
      </c>
      <c r="G204" s="1858"/>
      <c r="H204" s="200" t="s">
        <v>548</v>
      </c>
      <c r="I204" s="217"/>
      <c r="J204" s="3193" t="s">
        <v>50</v>
      </c>
      <c r="K204" s="3171">
        <v>46910000</v>
      </c>
      <c r="L204" s="3125">
        <f>MAR!J185</f>
        <v>0</v>
      </c>
      <c r="M204" s="3124">
        <v>2935000</v>
      </c>
      <c r="N204" s="3125">
        <f>MAR!L185</f>
        <v>500000</v>
      </c>
      <c r="O204" s="3125">
        <f>MAR!M185</f>
        <v>3435000</v>
      </c>
      <c r="P204" s="3125">
        <v>0</v>
      </c>
      <c r="Q204" s="3125">
        <f>+P204-L204</f>
        <v>0</v>
      </c>
      <c r="R204" s="3166">
        <v>0</v>
      </c>
      <c r="S204" s="3275"/>
      <c r="T204" s="3826"/>
      <c r="U204" s="3771"/>
      <c r="V204" s="1846">
        <f t="shared" si="38"/>
        <v>13740000</v>
      </c>
    </row>
    <row r="205" spans="1:22" s="1538" customFormat="1" ht="15.05" customHeight="1">
      <c r="A205" s="1855"/>
      <c r="B205" s="1855"/>
      <c r="C205" s="1855"/>
      <c r="D205" s="1855"/>
      <c r="E205" s="1855"/>
      <c r="F205" s="1857"/>
      <c r="G205" s="1858"/>
      <c r="H205" s="200"/>
      <c r="I205" s="217"/>
      <c r="J205" s="3171"/>
      <c r="K205" s="3171"/>
      <c r="L205" s="3125"/>
      <c r="M205" s="3124"/>
      <c r="N205" s="3125"/>
      <c r="O205" s="3125"/>
      <c r="P205" s="3125"/>
      <c r="Q205" s="3125"/>
      <c r="R205" s="3140"/>
      <c r="S205" s="3702"/>
      <c r="T205" s="3820"/>
      <c r="U205" s="3771"/>
      <c r="V205" s="1846">
        <f t="shared" si="38"/>
        <v>0</v>
      </c>
    </row>
    <row r="206" spans="1:22" s="2932" customFormat="1" ht="15.05" customHeight="1">
      <c r="A206" s="2925">
        <v>4</v>
      </c>
      <c r="B206" s="2925">
        <v>1</v>
      </c>
      <c r="C206" s="2925">
        <v>2</v>
      </c>
      <c r="D206" s="2925" t="s">
        <v>440</v>
      </c>
      <c r="E206" s="2925" t="s">
        <v>438</v>
      </c>
      <c r="F206" s="2926" t="s">
        <v>391</v>
      </c>
      <c r="G206" s="2927"/>
      <c r="H206" s="2928"/>
      <c r="I206" s="2929"/>
      <c r="J206" s="3444">
        <f>+J207</f>
        <v>0</v>
      </c>
      <c r="K206" s="3444">
        <f>+K207</f>
        <v>16404000</v>
      </c>
      <c r="L206" s="3169">
        <f>SUM(L207:L208)</f>
        <v>0</v>
      </c>
      <c r="M206" s="3170">
        <v>0</v>
      </c>
      <c r="N206" s="3169">
        <f>SUM(N207:N208)</f>
        <v>0</v>
      </c>
      <c r="O206" s="3169">
        <f>N206+M206</f>
        <v>0</v>
      </c>
      <c r="P206" s="3169">
        <f>+P207</f>
        <v>20000000</v>
      </c>
      <c r="Q206" s="3169">
        <f>+P206-L206</f>
        <v>20000000</v>
      </c>
      <c r="R206" s="3445">
        <v>0</v>
      </c>
      <c r="S206" s="3715"/>
      <c r="T206" s="3834"/>
      <c r="U206" s="3760"/>
      <c r="V206" s="2931">
        <f t="shared" si="38"/>
        <v>0</v>
      </c>
    </row>
    <row r="207" spans="1:22" s="1538" customFormat="1" ht="15.05" customHeight="1">
      <c r="A207" s="1854"/>
      <c r="B207" s="1854"/>
      <c r="C207" s="1854"/>
      <c r="D207" s="1854"/>
      <c r="E207" s="1854"/>
      <c r="F207" s="2829" t="s">
        <v>50</v>
      </c>
      <c r="G207" s="1860"/>
      <c r="H207" s="200" t="s">
        <v>549</v>
      </c>
      <c r="I207" s="218"/>
      <c r="J207" s="3200"/>
      <c r="K207" s="3171">
        <v>16404000</v>
      </c>
      <c r="L207" s="3125">
        <f>MAR!J695</f>
        <v>0</v>
      </c>
      <c r="M207" s="3124">
        <v>0</v>
      </c>
      <c r="N207" s="3125">
        <f>MAR!L695</f>
        <v>0</v>
      </c>
      <c r="O207" s="3125">
        <f>MAR!M695</f>
        <v>0</v>
      </c>
      <c r="P207" s="3125">
        <v>20000000</v>
      </c>
      <c r="Q207" s="3125">
        <f>+P207-L207</f>
        <v>20000000</v>
      </c>
      <c r="R207" s="3166">
        <v>0</v>
      </c>
      <c r="S207" s="3275"/>
      <c r="T207" s="3835"/>
      <c r="U207" s="3785"/>
      <c r="V207" s="1846">
        <f t="shared" si="38"/>
        <v>0</v>
      </c>
    </row>
    <row r="208" spans="1:22" s="1538" customFormat="1" ht="15.05" customHeight="1">
      <c r="A208" s="1902"/>
      <c r="B208" s="1902"/>
      <c r="C208" s="1902"/>
      <c r="D208" s="1902"/>
      <c r="E208" s="1902"/>
      <c r="F208" s="2830"/>
      <c r="G208" s="2831"/>
      <c r="H208" s="200"/>
      <c r="I208" s="1907"/>
      <c r="J208" s="3203"/>
      <c r="K208" s="3142"/>
      <c r="L208" s="3174"/>
      <c r="M208" s="3175"/>
      <c r="N208" s="3174"/>
      <c r="O208" s="3174"/>
      <c r="P208" s="3174"/>
      <c r="Q208" s="3174"/>
      <c r="R208" s="3176"/>
      <c r="S208" s="3741"/>
      <c r="T208" s="3828"/>
      <c r="U208" s="3786"/>
      <c r="V208" s="1846">
        <f t="shared" si="38"/>
        <v>0</v>
      </c>
    </row>
    <row r="209" spans="1:22" s="2932" customFormat="1" ht="15.05" customHeight="1">
      <c r="A209" s="3446"/>
      <c r="B209" s="3446"/>
      <c r="C209" s="3446"/>
      <c r="D209" s="3446"/>
      <c r="E209" s="3447" t="s">
        <v>440</v>
      </c>
      <c r="F209" s="3448" t="s">
        <v>550</v>
      </c>
      <c r="G209" s="3448"/>
      <c r="H209" s="3449"/>
      <c r="I209" s="3450"/>
      <c r="J209" s="3451">
        <f>+J210</f>
        <v>1455000000</v>
      </c>
      <c r="K209" s="3451">
        <f>+K210</f>
        <v>1622577600</v>
      </c>
      <c r="L209" s="3452">
        <f>L210</f>
        <v>1455000000</v>
      </c>
      <c r="M209" s="3453">
        <v>320580000</v>
      </c>
      <c r="N209" s="3452">
        <f t="shared" ref="N209:U209" si="42">N210</f>
        <v>128160000</v>
      </c>
      <c r="O209" s="3452">
        <f t="shared" si="42"/>
        <v>448740000</v>
      </c>
      <c r="P209" s="3452">
        <f t="shared" si="42"/>
        <v>1650000000</v>
      </c>
      <c r="Q209" s="3452">
        <f>+P209-L209</f>
        <v>195000000</v>
      </c>
      <c r="R209" s="3452">
        <f>+P209/L209*100-100</f>
        <v>13.402061855670098</v>
      </c>
      <c r="S209" s="3742"/>
      <c r="T209" s="3452"/>
      <c r="U209" s="3787">
        <f t="shared" si="42"/>
        <v>0</v>
      </c>
      <c r="V209" s="2931">
        <f t="shared" si="38"/>
        <v>1794960000</v>
      </c>
    </row>
    <row r="210" spans="1:22" s="1538" customFormat="1" ht="15.05" customHeight="1">
      <c r="A210" s="1902"/>
      <c r="B210" s="1902"/>
      <c r="C210" s="1902"/>
      <c r="D210" s="1902"/>
      <c r="E210" s="2832"/>
      <c r="F210" s="2833" t="s">
        <v>50</v>
      </c>
      <c r="G210" s="2834"/>
      <c r="H210" s="206" t="s">
        <v>551</v>
      </c>
      <c r="I210" s="2835"/>
      <c r="J210" s="3204">
        <v>1455000000</v>
      </c>
      <c r="K210" s="3204">
        <v>1622577600</v>
      </c>
      <c r="L210" s="3205">
        <f>MAR!J221</f>
        <v>1455000000</v>
      </c>
      <c r="M210" s="3205">
        <v>320580000</v>
      </c>
      <c r="N210" s="3205">
        <f>MAR!L221</f>
        <v>128160000</v>
      </c>
      <c r="O210" s="3205">
        <f>MAR!M221</f>
        <v>448740000</v>
      </c>
      <c r="P210" s="3205">
        <v>1650000000</v>
      </c>
      <c r="Q210" s="3205">
        <f>+P210-L210</f>
        <v>195000000</v>
      </c>
      <c r="R210" s="3206">
        <f>+P210/L210*100-100</f>
        <v>13.402061855670098</v>
      </c>
      <c r="S210" s="3743"/>
      <c r="T210" s="3206"/>
      <c r="U210" s="3788">
        <f>PerDinas!Q316</f>
        <v>0</v>
      </c>
      <c r="V210" s="1846">
        <f t="shared" si="38"/>
        <v>1794960000</v>
      </c>
    </row>
    <row r="211" spans="1:22" s="1538" customFormat="1" ht="15.05" customHeight="1">
      <c r="A211" s="3876"/>
      <c r="B211" s="3876"/>
      <c r="C211" s="3876"/>
      <c r="D211" s="3876"/>
      <c r="E211" s="3877"/>
      <c r="F211" s="2836"/>
      <c r="G211" s="2837"/>
      <c r="H211" s="2127"/>
      <c r="I211" s="2838"/>
      <c r="J211" s="3207"/>
      <c r="K211" s="3207"/>
      <c r="L211" s="3208"/>
      <c r="M211" s="3208"/>
      <c r="N211" s="3208"/>
      <c r="O211" s="3208"/>
      <c r="P211" s="3208"/>
      <c r="Q211" s="3208"/>
      <c r="R211" s="3209"/>
      <c r="S211" s="3744"/>
      <c r="T211" s="3836"/>
      <c r="U211" s="3789"/>
      <c r="V211" s="1846"/>
    </row>
    <row r="212" spans="1:22" s="2955" customFormat="1" ht="15.05" customHeight="1">
      <c r="A212" s="2949">
        <v>4</v>
      </c>
      <c r="B212" s="2949">
        <v>1</v>
      </c>
      <c r="C212" s="2949">
        <v>3</v>
      </c>
      <c r="D212" s="2949"/>
      <c r="E212" s="2949"/>
      <c r="F212" s="2950" t="s">
        <v>552</v>
      </c>
      <c r="G212" s="2951"/>
      <c r="H212" s="2952"/>
      <c r="I212" s="2952"/>
      <c r="J212" s="3210">
        <f>+J213</f>
        <v>157964885190</v>
      </c>
      <c r="K212" s="3210">
        <f>+K213</f>
        <v>72827611744</v>
      </c>
      <c r="L212" s="3211">
        <f>+L213+L222</f>
        <v>92558485190</v>
      </c>
      <c r="M212" s="3211">
        <f>+M213+M222</f>
        <v>0</v>
      </c>
      <c r="N212" s="3211">
        <f>+N213+N222</f>
        <v>0</v>
      </c>
      <c r="O212" s="3211">
        <f>+O213+O222</f>
        <v>0</v>
      </c>
      <c r="P212" s="3211">
        <f>+P213+P222</f>
        <v>90943853577</v>
      </c>
      <c r="Q212" s="3867">
        <f>P212-L212</f>
        <v>-1614631613</v>
      </c>
      <c r="R212" s="3211">
        <f>+P212/L212*100-100</f>
        <v>-1.7444447256084175</v>
      </c>
      <c r="S212" s="3745"/>
      <c r="T212" s="3837"/>
      <c r="U212" s="3117"/>
      <c r="V212" s="2954">
        <f t="shared" ref="V212:V275" si="43">O212*4</f>
        <v>0</v>
      </c>
    </row>
    <row r="213" spans="1:22" s="2956" customFormat="1" ht="15.05" customHeight="1">
      <c r="A213" s="3053">
        <v>4</v>
      </c>
      <c r="B213" s="3054">
        <v>1</v>
      </c>
      <c r="C213" s="3054">
        <v>3</v>
      </c>
      <c r="D213" s="3054" t="s">
        <v>437</v>
      </c>
      <c r="E213" s="3054"/>
      <c r="F213" s="3056" t="s">
        <v>553</v>
      </c>
      <c r="G213" s="3057"/>
      <c r="H213" s="3064"/>
      <c r="I213" s="3064"/>
      <c r="J213" s="3212">
        <f>+J214</f>
        <v>157964885190</v>
      </c>
      <c r="K213" s="3212">
        <f>+K214</f>
        <v>72827611744</v>
      </c>
      <c r="L213" s="3178">
        <f>SUM(L214)</f>
        <v>90558485190</v>
      </c>
      <c r="M213" s="3179">
        <v>0</v>
      </c>
      <c r="N213" s="3178">
        <f>SUM(N214)</f>
        <v>0</v>
      </c>
      <c r="O213" s="3178">
        <f>SUM(O214)</f>
        <v>0</v>
      </c>
      <c r="P213" s="3178">
        <f>P214</f>
        <v>88943853577</v>
      </c>
      <c r="Q213" s="3866">
        <f t="shared" ref="Q213:Q223" si="44">+P213-L213</f>
        <v>-1614631613</v>
      </c>
      <c r="R213" s="3621">
        <f t="shared" ref="R213:R218" si="45">+P213/L213*100-100</f>
        <v>-1.7829710927831428</v>
      </c>
      <c r="S213" s="3716"/>
      <c r="T213" s="3838"/>
      <c r="U213" s="3066"/>
      <c r="V213" s="2944">
        <f t="shared" si="43"/>
        <v>0</v>
      </c>
    </row>
    <row r="214" spans="1:22" s="1834" customFormat="1" ht="15.05" customHeight="1">
      <c r="A214" s="1905">
        <v>4</v>
      </c>
      <c r="B214" s="1905">
        <v>1</v>
      </c>
      <c r="C214" s="1905">
        <v>3</v>
      </c>
      <c r="D214" s="1905" t="s">
        <v>437</v>
      </c>
      <c r="E214" s="1905" t="s">
        <v>437</v>
      </c>
      <c r="F214" s="2827" t="s">
        <v>554</v>
      </c>
      <c r="G214" s="2828"/>
      <c r="H214" s="212"/>
      <c r="I214" s="212"/>
      <c r="J214" s="3214">
        <f>SUM(J215:J223)</f>
        <v>157964885190</v>
      </c>
      <c r="K214" s="3214">
        <f>SUM(K215:K223)</f>
        <v>72827611744</v>
      </c>
      <c r="L214" s="3197">
        <f>SUM(L215:L221)</f>
        <v>90558485190</v>
      </c>
      <c r="M214" s="3198">
        <v>0</v>
      </c>
      <c r="N214" s="3197">
        <f>SUM(N215:N221)</f>
        <v>0</v>
      </c>
      <c r="O214" s="3197">
        <f>N214+M214</f>
        <v>0</v>
      </c>
      <c r="P214" s="3197">
        <f>SUM(P215:P221)</f>
        <v>88943853577</v>
      </c>
      <c r="Q214" s="3865">
        <f t="shared" si="44"/>
        <v>-1614631613</v>
      </c>
      <c r="R214" s="3608">
        <f t="shared" si="45"/>
        <v>-1.7829710927831428</v>
      </c>
      <c r="S214" s="3704"/>
      <c r="T214" s="3822"/>
      <c r="U214" s="1911"/>
      <c r="V214" s="1846">
        <f t="shared" si="43"/>
        <v>0</v>
      </c>
    </row>
    <row r="215" spans="1:22" s="1538" customFormat="1" ht="15.05" customHeight="1">
      <c r="A215" s="1855"/>
      <c r="B215" s="1855"/>
      <c r="C215" s="1855"/>
      <c r="D215" s="1855"/>
      <c r="E215" s="1855"/>
      <c r="F215" s="1857" t="s">
        <v>50</v>
      </c>
      <c r="G215" s="200" t="str">
        <f>MAR!I373</f>
        <v>PD. BPR NTB</v>
      </c>
      <c r="H215" s="1906"/>
      <c r="I215" s="200"/>
      <c r="J215" s="3215">
        <v>11374571865</v>
      </c>
      <c r="K215" s="3216">
        <v>11631764969</v>
      </c>
      <c r="L215" s="3125">
        <v>13374571865</v>
      </c>
      <c r="M215" s="3124">
        <v>0</v>
      </c>
      <c r="N215" s="3125">
        <v>0</v>
      </c>
      <c r="O215" s="3125">
        <v>0</v>
      </c>
      <c r="P215" s="3125">
        <v>11305220112</v>
      </c>
      <c r="Q215" s="3696">
        <f t="shared" si="44"/>
        <v>-2069351753</v>
      </c>
      <c r="R215" s="3166">
        <f t="shared" si="45"/>
        <v>-15.472284076735946</v>
      </c>
      <c r="S215" s="3275">
        <v>13601303170</v>
      </c>
      <c r="T215" s="3826">
        <f>S215-P215</f>
        <v>2296083058</v>
      </c>
      <c r="U215" s="3771"/>
      <c r="V215" s="1846">
        <f t="shared" si="43"/>
        <v>0</v>
      </c>
    </row>
    <row r="216" spans="1:22" s="1538" customFormat="1" ht="15.05" customHeight="1">
      <c r="A216" s="1855"/>
      <c r="B216" s="1855"/>
      <c r="C216" s="1855"/>
      <c r="D216" s="1855"/>
      <c r="E216" s="1855"/>
      <c r="F216" s="1857" t="s">
        <v>50</v>
      </c>
      <c r="G216" s="200" t="str">
        <f>MAR!I374</f>
        <v>Bank NTB/Deviden</v>
      </c>
      <c r="H216" s="1906"/>
      <c r="I216" s="2839"/>
      <c r="J216" s="3217">
        <v>59958450102</v>
      </c>
      <c r="K216" s="3186">
        <v>59958510102</v>
      </c>
      <c r="L216" s="3125">
        <v>59958450102</v>
      </c>
      <c r="M216" s="3124">
        <v>0</v>
      </c>
      <c r="N216" s="3125">
        <v>0</v>
      </c>
      <c r="O216" s="3125">
        <v>0</v>
      </c>
      <c r="P216" s="3125">
        <v>60000000000</v>
      </c>
      <c r="Q216" s="3125">
        <f t="shared" si="44"/>
        <v>41549898</v>
      </c>
      <c r="R216" s="3166">
        <f t="shared" si="45"/>
        <v>6.9297818621592455E-2</v>
      </c>
      <c r="S216" s="3275">
        <v>60000000000</v>
      </c>
      <c r="T216" s="3826">
        <f t="shared" ref="T216:T221" si="46">S216-P216</f>
        <v>0</v>
      </c>
      <c r="U216" s="3771"/>
      <c r="V216" s="1846">
        <f t="shared" si="43"/>
        <v>0</v>
      </c>
    </row>
    <row r="217" spans="1:22" s="1538" customFormat="1" ht="15.05" customHeight="1">
      <c r="A217" s="1855"/>
      <c r="B217" s="1855"/>
      <c r="C217" s="1855"/>
      <c r="D217" s="1855"/>
      <c r="E217" s="1855"/>
      <c r="F217" s="1857" t="s">
        <v>50</v>
      </c>
      <c r="G217" s="200" t="str">
        <f>MAR!I375</f>
        <v>PT. Gerbang NTB Emas</v>
      </c>
      <c r="H217" s="1906"/>
      <c r="I217" s="2839"/>
      <c r="J217" s="3217">
        <v>1000000000</v>
      </c>
      <c r="K217" s="3186">
        <v>1000000000</v>
      </c>
      <c r="L217" s="3125">
        <v>1000000000</v>
      </c>
      <c r="M217" s="3124">
        <v>0</v>
      </c>
      <c r="N217" s="3125">
        <v>0</v>
      </c>
      <c r="O217" s="3125">
        <v>0</v>
      </c>
      <c r="P217" s="3125">
        <v>1100000000</v>
      </c>
      <c r="Q217" s="3125">
        <f t="shared" si="44"/>
        <v>100000000</v>
      </c>
      <c r="R217" s="3166">
        <f t="shared" si="45"/>
        <v>10.000000000000014</v>
      </c>
      <c r="S217" s="3275">
        <v>1100000000</v>
      </c>
      <c r="T217" s="3826">
        <f t="shared" si="46"/>
        <v>0</v>
      </c>
      <c r="U217" s="3771"/>
      <c r="V217" s="1846">
        <f t="shared" si="43"/>
        <v>0</v>
      </c>
    </row>
    <row r="218" spans="1:22" s="1538" customFormat="1" ht="15.05" customHeight="1">
      <c r="A218" s="1855"/>
      <c r="B218" s="1855"/>
      <c r="C218" s="1855"/>
      <c r="D218" s="1855"/>
      <c r="E218" s="1855"/>
      <c r="F218" s="1857" t="s">
        <v>50</v>
      </c>
      <c r="G218" s="200" t="str">
        <f>MAR!I376</f>
        <v>PT. Daerah Mandiri Bersaing (DMB)</v>
      </c>
      <c r="H218" s="1906"/>
      <c r="I218" s="2839"/>
      <c r="J218" s="3217">
        <v>85406400000</v>
      </c>
      <c r="K218" s="3186">
        <v>0</v>
      </c>
      <c r="L218" s="3125">
        <v>16000000000</v>
      </c>
      <c r="M218" s="3124">
        <v>0</v>
      </c>
      <c r="N218" s="3125">
        <v>0</v>
      </c>
      <c r="O218" s="3125">
        <v>0</v>
      </c>
      <c r="P218" s="3125">
        <v>16000000000</v>
      </c>
      <c r="Q218" s="3125">
        <f t="shared" si="44"/>
        <v>0</v>
      </c>
      <c r="R218" s="3166">
        <f t="shared" si="45"/>
        <v>0</v>
      </c>
      <c r="S218" s="3275">
        <v>16000000000</v>
      </c>
      <c r="T218" s="3826">
        <f t="shared" si="46"/>
        <v>0</v>
      </c>
      <c r="U218" s="3771"/>
      <c r="V218" s="1846">
        <f t="shared" si="43"/>
        <v>0</v>
      </c>
    </row>
    <row r="219" spans="1:22" s="1538" customFormat="1" ht="15.05" customHeight="1">
      <c r="A219" s="1855"/>
      <c r="B219" s="1855"/>
      <c r="C219" s="1855"/>
      <c r="D219" s="1855"/>
      <c r="E219" s="1855"/>
      <c r="F219" s="1857" t="s">
        <v>50</v>
      </c>
      <c r="G219" s="200" t="str">
        <f>MAR!I377</f>
        <v>Deviden PT. Suara Nusa Media Pratama</v>
      </c>
      <c r="H219" s="1906"/>
      <c r="I219" s="2823"/>
      <c r="J219" s="3218" t="s">
        <v>50</v>
      </c>
      <c r="K219" s="3186">
        <v>0</v>
      </c>
      <c r="L219" s="3125">
        <v>0</v>
      </c>
      <c r="M219" s="3124">
        <v>0</v>
      </c>
      <c r="N219" s="3125">
        <v>0</v>
      </c>
      <c r="O219" s="3125">
        <v>0</v>
      </c>
      <c r="P219" s="3125">
        <v>0</v>
      </c>
      <c r="Q219" s="3125">
        <f t="shared" si="44"/>
        <v>0</v>
      </c>
      <c r="R219" s="3166">
        <v>0</v>
      </c>
      <c r="S219" s="3275"/>
      <c r="T219" s="3826">
        <f t="shared" si="46"/>
        <v>0</v>
      </c>
      <c r="U219" s="3771"/>
      <c r="V219" s="1846">
        <f t="shared" si="43"/>
        <v>0</v>
      </c>
    </row>
    <row r="220" spans="1:22" s="1538" customFormat="1" ht="15.05" customHeight="1">
      <c r="A220" s="1855"/>
      <c r="B220" s="1855"/>
      <c r="C220" s="1855"/>
      <c r="D220" s="1855"/>
      <c r="E220" s="1855"/>
      <c r="F220" s="1857" t="s">
        <v>50</v>
      </c>
      <c r="G220" s="200" t="str">
        <f>MAR!I378</f>
        <v>PT. Jam Krida</v>
      </c>
      <c r="H220" s="1906"/>
      <c r="I220" s="2823"/>
      <c r="J220" s="3186">
        <v>136702012</v>
      </c>
      <c r="K220" s="3186">
        <v>136702012</v>
      </c>
      <c r="L220" s="3125">
        <v>136702012</v>
      </c>
      <c r="M220" s="3124">
        <v>0</v>
      </c>
      <c r="N220" s="3125">
        <v>0</v>
      </c>
      <c r="O220" s="3125">
        <v>0</v>
      </c>
      <c r="P220" s="3125">
        <v>437998804</v>
      </c>
      <c r="Q220" s="3125">
        <f t="shared" si="44"/>
        <v>301296792</v>
      </c>
      <c r="R220" s="3166">
        <f>+P220/L220*100-100</f>
        <v>220.40406545003884</v>
      </c>
      <c r="S220" s="3275">
        <v>692000000</v>
      </c>
      <c r="T220" s="3826">
        <f t="shared" si="46"/>
        <v>254001196</v>
      </c>
      <c r="U220" s="3771"/>
      <c r="V220" s="1846">
        <f t="shared" si="43"/>
        <v>0</v>
      </c>
    </row>
    <row r="221" spans="1:22" s="1538" customFormat="1" ht="15.05" customHeight="1">
      <c r="A221" s="1886"/>
      <c r="B221" s="1886"/>
      <c r="C221" s="1886"/>
      <c r="D221" s="1886"/>
      <c r="E221" s="1886"/>
      <c r="F221" s="1887" t="s">
        <v>50</v>
      </c>
      <c r="G221" s="856" t="str">
        <f>MAR!I379</f>
        <v>PT. Bangun Askrida</v>
      </c>
      <c r="H221" s="3067"/>
      <c r="I221" s="3068"/>
      <c r="J221" s="3219">
        <v>88761211</v>
      </c>
      <c r="K221" s="3219">
        <v>100634661</v>
      </c>
      <c r="L221" s="3174">
        <v>88761211</v>
      </c>
      <c r="M221" s="3175">
        <v>0</v>
      </c>
      <c r="N221" s="3174">
        <v>0</v>
      </c>
      <c r="O221" s="3174">
        <v>0</v>
      </c>
      <c r="P221" s="3174">
        <v>100634661</v>
      </c>
      <c r="Q221" s="3174">
        <f t="shared" si="44"/>
        <v>11873450</v>
      </c>
      <c r="R221" s="3176">
        <f>+P221/L221*100-100</f>
        <v>13.376845433079993</v>
      </c>
      <c r="S221" s="3709">
        <v>100634661</v>
      </c>
      <c r="T221" s="3826">
        <f t="shared" si="46"/>
        <v>0</v>
      </c>
      <c r="U221" s="1899"/>
      <c r="V221" s="1846">
        <f t="shared" si="43"/>
        <v>0</v>
      </c>
    </row>
    <row r="222" spans="1:22" s="2957" customFormat="1" ht="16" customHeight="1">
      <c r="A222" s="3076">
        <v>4</v>
      </c>
      <c r="B222" s="3076">
        <v>1</v>
      </c>
      <c r="C222" s="3076">
        <v>3</v>
      </c>
      <c r="D222" s="3077" t="s">
        <v>438</v>
      </c>
      <c r="E222" s="3076"/>
      <c r="F222" s="3078" t="s">
        <v>203</v>
      </c>
      <c r="G222" s="3079"/>
      <c r="H222" s="3080"/>
      <c r="I222" s="3081"/>
      <c r="J222" s="3220" t="s">
        <v>50</v>
      </c>
      <c r="K222" s="3220" t="s">
        <v>50</v>
      </c>
      <c r="L222" s="3221">
        <v>2000000000</v>
      </c>
      <c r="M222" s="3179">
        <v>0</v>
      </c>
      <c r="N222" s="3221">
        <v>0</v>
      </c>
      <c r="O222" s="3221">
        <v>0</v>
      </c>
      <c r="P222" s="3221">
        <v>2000000000</v>
      </c>
      <c r="Q222" s="3221">
        <f t="shared" si="44"/>
        <v>0</v>
      </c>
      <c r="R222" s="3222">
        <f>+P222/L222*100-100</f>
        <v>0</v>
      </c>
      <c r="S222" s="3717"/>
      <c r="T222" s="3839"/>
      <c r="U222" s="3082"/>
      <c r="V222" s="2944">
        <f t="shared" si="43"/>
        <v>0</v>
      </c>
    </row>
    <row r="223" spans="1:22" s="1835" customFormat="1" ht="15.05" customHeight="1">
      <c r="A223" s="3069">
        <v>4</v>
      </c>
      <c r="B223" s="3069">
        <v>1</v>
      </c>
      <c r="C223" s="3069">
        <v>3</v>
      </c>
      <c r="D223" s="3070" t="s">
        <v>438</v>
      </c>
      <c r="E223" s="3070" t="s">
        <v>437</v>
      </c>
      <c r="F223" s="3071" t="s">
        <v>555</v>
      </c>
      <c r="G223" s="3072"/>
      <c r="H223" s="3073"/>
      <c r="I223" s="3074"/>
      <c r="J223" s="3223" t="s">
        <v>50</v>
      </c>
      <c r="K223" s="3223" t="s">
        <v>50</v>
      </c>
      <c r="L223" s="3224">
        <v>2000000000</v>
      </c>
      <c r="M223" s="3225">
        <v>0</v>
      </c>
      <c r="N223" s="3224">
        <v>0</v>
      </c>
      <c r="O223" s="3224">
        <v>0</v>
      </c>
      <c r="P223" s="3224">
        <v>2000000000</v>
      </c>
      <c r="Q223" s="3224">
        <f t="shared" si="44"/>
        <v>0</v>
      </c>
      <c r="R223" s="3226">
        <f>+P223/L223*100-100</f>
        <v>0</v>
      </c>
      <c r="S223" s="3718"/>
      <c r="T223" s="3840"/>
      <c r="U223" s="3075"/>
      <c r="V223" s="1846">
        <f t="shared" si="43"/>
        <v>0</v>
      </c>
    </row>
    <row r="224" spans="1:22" s="1538" customFormat="1" ht="15.05" customHeight="1">
      <c r="A224" s="1913"/>
      <c r="B224" s="1913"/>
      <c r="C224" s="1913"/>
      <c r="D224" s="1913"/>
      <c r="E224" s="1913"/>
      <c r="F224" s="1942"/>
      <c r="G224" s="1943"/>
      <c r="H224" s="238"/>
      <c r="I224" s="2840"/>
      <c r="J224" s="3227"/>
      <c r="K224" s="3227"/>
      <c r="L224" s="3228"/>
      <c r="M224" s="3229"/>
      <c r="N224" s="3228"/>
      <c r="O224" s="3228"/>
      <c r="P224" s="3228"/>
      <c r="Q224" s="3228"/>
      <c r="R224" s="3230"/>
      <c r="S224" s="3719"/>
      <c r="T224" s="3841"/>
      <c r="U224" s="3790"/>
      <c r="V224" s="1846">
        <f t="shared" si="43"/>
        <v>0</v>
      </c>
    </row>
    <row r="225" spans="1:23" s="2916" customFormat="1" ht="15.05" customHeight="1">
      <c r="A225" s="2909">
        <v>4</v>
      </c>
      <c r="B225" s="2909">
        <v>1</v>
      </c>
      <c r="C225" s="2909">
        <v>4</v>
      </c>
      <c r="D225" s="2909"/>
      <c r="E225" s="2909"/>
      <c r="F225" s="2910" t="s">
        <v>71</v>
      </c>
      <c r="G225" s="2911"/>
      <c r="H225" s="2912"/>
      <c r="I225" s="2913"/>
      <c r="J225" s="3231">
        <v>224639588129</v>
      </c>
      <c r="K225" s="3231">
        <v>243089557831.42999</v>
      </c>
      <c r="L225" s="3231">
        <f>L226+L233+L239+L242+L246+L264+L287+L295+L364+L371+L380+L386</f>
        <v>268454484234</v>
      </c>
      <c r="M225" s="3231">
        <f>M226+M233+M239+M242+M246+M264+M287+M295+M364+M371+M380+M386</f>
        <v>30843632833.540001</v>
      </c>
      <c r="N225" s="3231">
        <f>N226+N233+N239+N242+N246+N264+N287+N295+N364+N371+N380+N386</f>
        <v>19237073227.190002</v>
      </c>
      <c r="O225" s="3231">
        <f>O226+O233+O239+O242+O246+O264+O287+O295+O364+O371+O380+O386</f>
        <v>50008306060.729996</v>
      </c>
      <c r="P225" s="3231">
        <f>P226+P233+P239+P242+P246+P264+P287+P295+P364+P371+P380+P386</f>
        <v>272810796075</v>
      </c>
      <c r="Q225" s="3231">
        <f t="shared" ref="Q225:Q231" si="47">+P225-L225</f>
        <v>4356311841</v>
      </c>
      <c r="R225" s="3232">
        <f>+P225/L225*100-100</f>
        <v>1.6227375949521559</v>
      </c>
      <c r="S225" s="3746"/>
      <c r="T225" s="3842"/>
      <c r="U225" s="2914"/>
      <c r="V225" s="2904">
        <f t="shared" si="43"/>
        <v>200033224242.91998</v>
      </c>
      <c r="W225" s="2915">
        <f>+O225-REKAPOK!N43</f>
        <v>0</v>
      </c>
    </row>
    <row r="226" spans="1:23" s="2945" customFormat="1" ht="15.05" customHeight="1">
      <c r="A226" s="3053">
        <v>4</v>
      </c>
      <c r="B226" s="3054">
        <v>1</v>
      </c>
      <c r="C226" s="3054">
        <v>4</v>
      </c>
      <c r="D226" s="3054" t="s">
        <v>437</v>
      </c>
      <c r="E226" s="3054"/>
      <c r="F226" s="3056" t="s">
        <v>206</v>
      </c>
      <c r="G226" s="3057"/>
      <c r="H226" s="3064"/>
      <c r="I226" s="3086"/>
      <c r="J226" s="3177">
        <f>SUM(J227:J231)</f>
        <v>250000000</v>
      </c>
      <c r="K226" s="3177">
        <f>SUM(K227:K231)</f>
        <v>25364000</v>
      </c>
      <c r="L226" s="3178">
        <f>SUM(L227:L231)</f>
        <v>250000000</v>
      </c>
      <c r="M226" s="3179">
        <v>0</v>
      </c>
      <c r="N226" s="3178">
        <f>SUM(N227:N231)</f>
        <v>0</v>
      </c>
      <c r="O226" s="3178">
        <f>N226+M226</f>
        <v>0</v>
      </c>
      <c r="P226" s="3178">
        <f>SUM(P227:P231)</f>
        <v>250000000</v>
      </c>
      <c r="Q226" s="3178">
        <f t="shared" si="47"/>
        <v>0</v>
      </c>
      <c r="R226" s="3180">
        <f>+P226/L226*100-100</f>
        <v>0</v>
      </c>
      <c r="S226" s="3700"/>
      <c r="T226" s="3818"/>
      <c r="U226" s="3791"/>
      <c r="V226" s="2944">
        <f t="shared" si="43"/>
        <v>0</v>
      </c>
    </row>
    <row r="227" spans="1:23" s="1538" customFormat="1" ht="15.05" customHeight="1">
      <c r="A227" s="1889">
        <v>4</v>
      </c>
      <c r="B227" s="1889">
        <v>1</v>
      </c>
      <c r="C227" s="1889">
        <v>4</v>
      </c>
      <c r="D227" s="1889" t="s">
        <v>437</v>
      </c>
      <c r="E227" s="1889" t="s">
        <v>437</v>
      </c>
      <c r="F227" s="3083" t="str">
        <f>MAR!I386</f>
        <v>Pelepasan Hak Atas Tanah</v>
      </c>
      <c r="G227" s="3084"/>
      <c r="H227" s="224"/>
      <c r="I227" s="3085"/>
      <c r="J227" s="3233">
        <v>0</v>
      </c>
      <c r="K227" s="3233">
        <v>0</v>
      </c>
      <c r="L227" s="3234">
        <v>0</v>
      </c>
      <c r="M227" s="3225">
        <v>0</v>
      </c>
      <c r="N227" s="3234">
        <v>0</v>
      </c>
      <c r="O227" s="3234">
        <v>0</v>
      </c>
      <c r="P227" s="3234">
        <v>0</v>
      </c>
      <c r="Q227" s="3234">
        <f t="shared" si="47"/>
        <v>0</v>
      </c>
      <c r="R227" s="3235">
        <v>0</v>
      </c>
      <c r="S227" s="3747"/>
      <c r="T227" s="3835"/>
      <c r="U227" s="3778">
        <f>PerDinas!Q534</f>
        <v>0</v>
      </c>
      <c r="V227" s="1846">
        <f t="shared" si="43"/>
        <v>0</v>
      </c>
    </row>
    <row r="228" spans="1:23" s="1538" customFormat="1" ht="15.05" customHeight="1">
      <c r="A228" s="1855">
        <v>4</v>
      </c>
      <c r="B228" s="1855">
        <v>1</v>
      </c>
      <c r="C228" s="1855">
        <v>4</v>
      </c>
      <c r="D228" s="1855" t="s">
        <v>437</v>
      </c>
      <c r="E228" s="1855" t="s">
        <v>438</v>
      </c>
      <c r="F228" s="2842" t="str">
        <f>MAR!I387</f>
        <v>Penjualan Peralatan/Perlengkapan Kantor Tdk Terpakai</v>
      </c>
      <c r="G228" s="1858"/>
      <c r="H228" s="200"/>
      <c r="I228" s="2823"/>
      <c r="J228" s="3186">
        <v>50000000</v>
      </c>
      <c r="K228" s="3186">
        <v>0</v>
      </c>
      <c r="L228" s="3125">
        <v>50000000</v>
      </c>
      <c r="M228" s="3124">
        <v>0</v>
      </c>
      <c r="N228" s="3125">
        <v>0</v>
      </c>
      <c r="O228" s="3125">
        <v>0</v>
      </c>
      <c r="P228" s="3125">
        <v>50000000</v>
      </c>
      <c r="Q228" s="3125">
        <f t="shared" si="47"/>
        <v>0</v>
      </c>
      <c r="R228" s="3166">
        <f>+P228/L228*100-100</f>
        <v>0</v>
      </c>
      <c r="S228" s="3275"/>
      <c r="T228" s="3826"/>
      <c r="U228" s="3771"/>
      <c r="V228" s="1846">
        <f t="shared" si="43"/>
        <v>0</v>
      </c>
    </row>
    <row r="229" spans="1:23" s="1538" customFormat="1" ht="15.05" customHeight="1">
      <c r="A229" s="1855">
        <v>4</v>
      </c>
      <c r="B229" s="1855">
        <v>1</v>
      </c>
      <c r="C229" s="1855">
        <v>4</v>
      </c>
      <c r="D229" s="1855" t="s">
        <v>437</v>
      </c>
      <c r="E229" s="1855" t="s">
        <v>440</v>
      </c>
      <c r="F229" s="2842" t="str">
        <f>MAR!I388</f>
        <v>Penjualan Mesin/Alat Berat Tidak Terpakai</v>
      </c>
      <c r="G229" s="1858"/>
      <c r="H229" s="200"/>
      <c r="I229" s="2823"/>
      <c r="J229" s="3186"/>
      <c r="K229" s="3186"/>
      <c r="L229" s="3125">
        <v>0</v>
      </c>
      <c r="M229" s="3124">
        <v>0</v>
      </c>
      <c r="N229" s="3125">
        <v>0</v>
      </c>
      <c r="O229" s="3125">
        <v>0</v>
      </c>
      <c r="P229" s="3125">
        <v>0</v>
      </c>
      <c r="Q229" s="3125">
        <f t="shared" si="47"/>
        <v>0</v>
      </c>
      <c r="R229" s="3166">
        <v>0</v>
      </c>
      <c r="S229" s="3275"/>
      <c r="T229" s="3826"/>
      <c r="U229" s="3771"/>
      <c r="V229" s="1846">
        <f t="shared" si="43"/>
        <v>0</v>
      </c>
    </row>
    <row r="230" spans="1:23" s="1538" customFormat="1" ht="15.05" customHeight="1">
      <c r="A230" s="1855">
        <v>4</v>
      </c>
      <c r="B230" s="1855">
        <v>1</v>
      </c>
      <c r="C230" s="1855">
        <v>4</v>
      </c>
      <c r="D230" s="1855" t="s">
        <v>437</v>
      </c>
      <c r="E230" s="1855" t="s">
        <v>445</v>
      </c>
      <c r="F230" s="2842" t="str">
        <f>MAR!I389</f>
        <v>Penjualan Rumah Jabatan/Rumah Dinas</v>
      </c>
      <c r="G230" s="1858"/>
      <c r="H230" s="200"/>
      <c r="I230" s="2823"/>
      <c r="J230" s="3186"/>
      <c r="K230" s="3186"/>
      <c r="L230" s="3125">
        <v>0</v>
      </c>
      <c r="M230" s="3124">
        <v>0</v>
      </c>
      <c r="N230" s="3125">
        <v>0</v>
      </c>
      <c r="O230" s="3125">
        <v>0</v>
      </c>
      <c r="P230" s="3125">
        <v>0</v>
      </c>
      <c r="Q230" s="3125">
        <f t="shared" si="47"/>
        <v>0</v>
      </c>
      <c r="R230" s="3166">
        <v>0</v>
      </c>
      <c r="S230" s="3275"/>
      <c r="T230" s="3826"/>
      <c r="U230" s="3771"/>
      <c r="V230" s="1846">
        <f t="shared" si="43"/>
        <v>0</v>
      </c>
    </row>
    <row r="231" spans="1:23" s="1538" customFormat="1" ht="15.05" customHeight="1">
      <c r="A231" s="1855">
        <v>4</v>
      </c>
      <c r="B231" s="1855">
        <v>1</v>
      </c>
      <c r="C231" s="1855">
        <v>4</v>
      </c>
      <c r="D231" s="1855" t="s">
        <v>437</v>
      </c>
      <c r="E231" s="1855" t="s">
        <v>444</v>
      </c>
      <c r="F231" s="2842" t="str">
        <f>MAR!I390</f>
        <v>Penjualan Bahan-Bahan Bekas bangunan</v>
      </c>
      <c r="G231" s="1858"/>
      <c r="H231" s="200"/>
      <c r="I231" s="2823"/>
      <c r="J231" s="3186">
        <v>200000000</v>
      </c>
      <c r="K231" s="3186">
        <v>25364000</v>
      </c>
      <c r="L231" s="3125">
        <v>200000000</v>
      </c>
      <c r="M231" s="3124">
        <v>0</v>
      </c>
      <c r="N231" s="3125">
        <v>0</v>
      </c>
      <c r="O231" s="3125">
        <v>0</v>
      </c>
      <c r="P231" s="3125">
        <v>200000000</v>
      </c>
      <c r="Q231" s="3125">
        <f t="shared" si="47"/>
        <v>0</v>
      </c>
      <c r="R231" s="3166">
        <f t="shared" ref="R231:R236" si="48">+P231/L231*100-100</f>
        <v>0</v>
      </c>
      <c r="S231" s="3275"/>
      <c r="T231" s="3826"/>
      <c r="U231" s="3771"/>
      <c r="V231" s="1846">
        <f t="shared" si="43"/>
        <v>0</v>
      </c>
    </row>
    <row r="232" spans="1:23" s="1538" customFormat="1" ht="15.05" customHeight="1">
      <c r="A232" s="1886"/>
      <c r="B232" s="1886"/>
      <c r="C232" s="1886"/>
      <c r="D232" s="1886"/>
      <c r="E232" s="1886"/>
      <c r="F232" s="2356"/>
      <c r="G232" s="1888"/>
      <c r="H232" s="856"/>
      <c r="I232" s="3068"/>
      <c r="J232" s="3219"/>
      <c r="K232" s="3219"/>
      <c r="L232" s="3174"/>
      <c r="M232" s="3175"/>
      <c r="N232" s="3174"/>
      <c r="O232" s="3174"/>
      <c r="P232" s="3174"/>
      <c r="Q232" s="3174"/>
      <c r="R232" s="3194"/>
      <c r="S232" s="3712"/>
      <c r="T232" s="3831"/>
      <c r="U232" s="3771"/>
      <c r="V232" s="1846">
        <f t="shared" si="43"/>
        <v>0</v>
      </c>
    </row>
    <row r="233" spans="1:23" s="2945" customFormat="1" ht="15.05" customHeight="1">
      <c r="A233" s="3053">
        <v>4</v>
      </c>
      <c r="B233" s="3054">
        <v>1</v>
      </c>
      <c r="C233" s="3054">
        <v>4</v>
      </c>
      <c r="D233" s="3054" t="s">
        <v>438</v>
      </c>
      <c r="E233" s="3054"/>
      <c r="F233" s="3056" t="s">
        <v>212</v>
      </c>
      <c r="G233" s="3057"/>
      <c r="H233" s="3064"/>
      <c r="I233" s="3086"/>
      <c r="J233" s="3177">
        <f>SUM(J234:J235)</f>
        <v>4500000000</v>
      </c>
      <c r="K233" s="3177">
        <f t="shared" ref="K233:P233" si="49">SUM(K234:K235)</f>
        <v>12549664258.33</v>
      </c>
      <c r="L233" s="3177">
        <f t="shared" si="49"/>
        <v>4500000000</v>
      </c>
      <c r="M233" s="3177">
        <f t="shared" si="49"/>
        <v>3094595763</v>
      </c>
      <c r="N233" s="3177">
        <f t="shared" si="49"/>
        <v>532884</v>
      </c>
      <c r="O233" s="3177">
        <f t="shared" si="49"/>
        <v>3095128647</v>
      </c>
      <c r="P233" s="3177">
        <f t="shared" si="49"/>
        <v>7037000000</v>
      </c>
      <c r="Q233" s="3178">
        <f>+P233-L233</f>
        <v>2537000000</v>
      </c>
      <c r="R233" s="3180">
        <f t="shared" si="48"/>
        <v>56.377777777777766</v>
      </c>
      <c r="S233" s="3700"/>
      <c r="T233" s="3818"/>
      <c r="U233" s="3791"/>
      <c r="V233" s="2944">
        <f t="shared" si="43"/>
        <v>12380514588</v>
      </c>
    </row>
    <row r="234" spans="1:23" s="1538" customFormat="1" ht="15.05" customHeight="1">
      <c r="A234" s="1905">
        <v>4</v>
      </c>
      <c r="B234" s="1905">
        <v>1</v>
      </c>
      <c r="C234" s="1905">
        <v>4</v>
      </c>
      <c r="D234" s="1905" t="s">
        <v>438</v>
      </c>
      <c r="E234" s="1905" t="s">
        <v>437</v>
      </c>
      <c r="F234" s="2827" t="s">
        <v>214</v>
      </c>
      <c r="G234" s="2828"/>
      <c r="H234" s="212"/>
      <c r="I234" s="2841"/>
      <c r="J234" s="3236">
        <v>0</v>
      </c>
      <c r="K234" s="3236">
        <v>0</v>
      </c>
      <c r="L234" s="3197">
        <v>0</v>
      </c>
      <c r="M234" s="3198">
        <v>36875929</v>
      </c>
      <c r="N234" s="3197">
        <v>496972</v>
      </c>
      <c r="O234" s="3197">
        <v>37372901</v>
      </c>
      <c r="P234" s="3197">
        <v>37000000</v>
      </c>
      <c r="Q234" s="3197">
        <f>+P234-L234</f>
        <v>37000000</v>
      </c>
      <c r="R234" s="3199">
        <v>0</v>
      </c>
      <c r="S234" s="3713"/>
      <c r="T234" s="3832"/>
      <c r="U234" s="3777"/>
      <c r="V234" s="1846">
        <f t="shared" si="43"/>
        <v>149491604</v>
      </c>
    </row>
    <row r="235" spans="1:23" s="1538" customFormat="1" ht="15.05" customHeight="1">
      <c r="A235" s="1854">
        <v>4</v>
      </c>
      <c r="B235" s="1854">
        <v>1</v>
      </c>
      <c r="C235" s="1854">
        <v>4</v>
      </c>
      <c r="D235" s="1854" t="s">
        <v>438</v>
      </c>
      <c r="E235" s="1854" t="s">
        <v>438</v>
      </c>
      <c r="F235" s="1464" t="s">
        <v>213</v>
      </c>
      <c r="G235" s="1860"/>
      <c r="H235" s="202"/>
      <c r="I235" s="2824"/>
      <c r="J235" s="3185">
        <v>4500000000</v>
      </c>
      <c r="K235" s="3185">
        <v>12549664258.33</v>
      </c>
      <c r="L235" s="3182">
        <v>4500000000</v>
      </c>
      <c r="M235" s="3183">
        <v>3057719834</v>
      </c>
      <c r="N235" s="3182">
        <v>35912</v>
      </c>
      <c r="O235" s="3182">
        <v>3057755746</v>
      </c>
      <c r="P235" s="3182">
        <f>+P236</f>
        <v>7000000000</v>
      </c>
      <c r="Q235" s="3182">
        <f>+P235-L235</f>
        <v>2500000000</v>
      </c>
      <c r="R235" s="3126">
        <f t="shared" si="48"/>
        <v>55.555555555555571</v>
      </c>
      <c r="S235" s="3697"/>
      <c r="T235" s="3816"/>
      <c r="U235" s="3777"/>
      <c r="V235" s="1846">
        <f t="shared" si="43"/>
        <v>12231022984</v>
      </c>
    </row>
    <row r="236" spans="1:23" s="1538" customFormat="1" ht="15.05" customHeight="1">
      <c r="A236" s="1855"/>
      <c r="B236" s="1855"/>
      <c r="C236" s="1855"/>
      <c r="D236" s="1855"/>
      <c r="E236" s="1855"/>
      <c r="F236" s="2756" t="s">
        <v>50</v>
      </c>
      <c r="G236" s="1858" t="s">
        <v>223</v>
      </c>
      <c r="H236" s="200"/>
      <c r="I236" s="2823"/>
      <c r="J236" s="3186">
        <v>4500000000</v>
      </c>
      <c r="K236" s="3186">
        <v>12549664258.33</v>
      </c>
      <c r="L236" s="3125">
        <v>4500000000</v>
      </c>
      <c r="M236" s="3124">
        <v>3057719834</v>
      </c>
      <c r="N236" s="3125">
        <v>35912</v>
      </c>
      <c r="O236" s="3125">
        <v>3057755746</v>
      </c>
      <c r="P236" s="3125">
        <v>7000000000</v>
      </c>
      <c r="Q236" s="3125">
        <f>+P236-L236</f>
        <v>2500000000</v>
      </c>
      <c r="R236" s="3166">
        <f t="shared" si="48"/>
        <v>55.555555555555571</v>
      </c>
      <c r="S236" s="3275"/>
      <c r="T236" s="3826"/>
      <c r="U236" s="3771"/>
      <c r="V236" s="1846">
        <f t="shared" si="43"/>
        <v>12231022984</v>
      </c>
    </row>
    <row r="237" spans="1:23" s="1538" customFormat="1" ht="15.05" hidden="1" customHeight="1">
      <c r="A237" s="1855"/>
      <c r="B237" s="1855"/>
      <c r="C237" s="1855"/>
      <c r="D237" s="1855"/>
      <c r="E237" s="1855"/>
      <c r="F237" s="1857"/>
      <c r="G237" s="1858"/>
      <c r="H237" s="200"/>
      <c r="I237" s="2823"/>
      <c r="J237" s="3186"/>
      <c r="K237" s="3186"/>
      <c r="L237" s="3125"/>
      <c r="M237" s="3124"/>
      <c r="N237" s="3125"/>
      <c r="O237" s="3125"/>
      <c r="P237" s="3125"/>
      <c r="Q237" s="3125"/>
      <c r="R237" s="3140"/>
      <c r="S237" s="3702"/>
      <c r="T237" s="3820"/>
      <c r="U237" s="3771"/>
      <c r="V237" s="1846">
        <f t="shared" si="43"/>
        <v>0</v>
      </c>
    </row>
    <row r="238" spans="1:23" s="1538" customFormat="1" ht="15.05" customHeight="1">
      <c r="A238" s="1886"/>
      <c r="B238" s="1886"/>
      <c r="C238" s="1886"/>
      <c r="D238" s="1886"/>
      <c r="E238" s="1886"/>
      <c r="F238" s="1887"/>
      <c r="G238" s="1888"/>
      <c r="H238" s="856"/>
      <c r="I238" s="3068"/>
      <c r="J238" s="3219"/>
      <c r="K238" s="3219"/>
      <c r="L238" s="3174"/>
      <c r="M238" s="3175"/>
      <c r="N238" s="3174"/>
      <c r="O238" s="3174"/>
      <c r="P238" s="3174"/>
      <c r="Q238" s="3174"/>
      <c r="R238" s="3194"/>
      <c r="S238" s="3712"/>
      <c r="T238" s="3831"/>
      <c r="U238" s="1899"/>
      <c r="V238" s="1846">
        <f t="shared" si="43"/>
        <v>0</v>
      </c>
    </row>
    <row r="239" spans="1:23" s="2947" customFormat="1" ht="15.05" customHeight="1">
      <c r="A239" s="3053">
        <v>4</v>
      </c>
      <c r="B239" s="3054">
        <v>1</v>
      </c>
      <c r="C239" s="3054">
        <v>4</v>
      </c>
      <c r="D239" s="3054" t="s">
        <v>440</v>
      </c>
      <c r="E239" s="3054"/>
      <c r="F239" s="3056" t="s">
        <v>215</v>
      </c>
      <c r="G239" s="3057"/>
      <c r="H239" s="3064"/>
      <c r="I239" s="3086"/>
      <c r="J239" s="3177">
        <f>+J240</f>
        <v>6875000000</v>
      </c>
      <c r="K239" s="3177">
        <f t="shared" ref="K239:P239" si="50">+K240</f>
        <v>9375000000</v>
      </c>
      <c r="L239" s="3177">
        <f t="shared" si="50"/>
        <v>6875000000</v>
      </c>
      <c r="M239" s="3177">
        <f t="shared" si="50"/>
        <v>0</v>
      </c>
      <c r="N239" s="3177">
        <f t="shared" si="50"/>
        <v>875000000</v>
      </c>
      <c r="O239" s="3177">
        <f t="shared" si="50"/>
        <v>875000000</v>
      </c>
      <c r="P239" s="3178">
        <f t="shared" si="50"/>
        <v>7000000000</v>
      </c>
      <c r="Q239" s="3178">
        <f t="shared" ref="Q239:Q244" si="51">+P239-L239</f>
        <v>125000000</v>
      </c>
      <c r="R239" s="3213">
        <f t="shared" ref="R239:R244" si="52">+P239/L239*100-100</f>
        <v>1.818181818181813</v>
      </c>
      <c r="S239" s="3716"/>
      <c r="T239" s="3838"/>
      <c r="U239" s="3066"/>
      <c r="V239" s="2944">
        <f t="shared" si="43"/>
        <v>3500000000</v>
      </c>
    </row>
    <row r="240" spans="1:23" s="257" customFormat="1" ht="15.05" customHeight="1">
      <c r="A240" s="1889">
        <v>4</v>
      </c>
      <c r="B240" s="1889">
        <v>1</v>
      </c>
      <c r="C240" s="1889">
        <v>4</v>
      </c>
      <c r="D240" s="1889" t="s">
        <v>440</v>
      </c>
      <c r="E240" s="1889" t="s">
        <v>437</v>
      </c>
      <c r="F240" s="3087" t="s">
        <v>216</v>
      </c>
      <c r="G240" s="3084"/>
      <c r="H240" s="224"/>
      <c r="I240" s="3088"/>
      <c r="J240" s="3237">
        <v>6875000000</v>
      </c>
      <c r="K240" s="3237">
        <v>9375000000</v>
      </c>
      <c r="L240" s="3234">
        <v>6875000000</v>
      </c>
      <c r="M240" s="3225">
        <v>0</v>
      </c>
      <c r="N240" s="3234">
        <v>875000000</v>
      </c>
      <c r="O240" s="3234">
        <v>875000000</v>
      </c>
      <c r="P240" s="3234">
        <v>7000000000</v>
      </c>
      <c r="Q240" s="3234">
        <f t="shared" si="51"/>
        <v>125000000</v>
      </c>
      <c r="R240" s="3235">
        <f t="shared" si="52"/>
        <v>1.818181818181813</v>
      </c>
      <c r="S240" s="3720"/>
      <c r="T240" s="3835"/>
      <c r="U240" s="1900"/>
      <c r="V240" s="1846">
        <f t="shared" si="43"/>
        <v>3500000000</v>
      </c>
    </row>
    <row r="241" spans="1:22" s="257" customFormat="1" ht="15.05" customHeight="1">
      <c r="A241" s="1886"/>
      <c r="B241" s="1886"/>
      <c r="C241" s="1886"/>
      <c r="D241" s="1886"/>
      <c r="E241" s="1886"/>
      <c r="F241" s="1887"/>
      <c r="G241" s="1888"/>
      <c r="H241" s="856"/>
      <c r="I241" s="1894"/>
      <c r="J241" s="3173"/>
      <c r="K241" s="3173"/>
      <c r="L241" s="3174"/>
      <c r="M241" s="3175">
        <v>0</v>
      </c>
      <c r="N241" s="3174"/>
      <c r="O241" s="3174">
        <f>+N241+M241</f>
        <v>0</v>
      </c>
      <c r="P241" s="3174" t="s">
        <v>556</v>
      </c>
      <c r="Q241" s="3174"/>
      <c r="R241" s="3194"/>
      <c r="S241" s="3712"/>
      <c r="T241" s="3831"/>
      <c r="U241" s="3771"/>
      <c r="V241" s="1846">
        <f t="shared" si="43"/>
        <v>0</v>
      </c>
    </row>
    <row r="242" spans="1:22" s="2947" customFormat="1" ht="15.05" customHeight="1">
      <c r="A242" s="3053">
        <v>4</v>
      </c>
      <c r="B242" s="3054">
        <v>1</v>
      </c>
      <c r="C242" s="3054">
        <v>4</v>
      </c>
      <c r="D242" s="3054" t="s">
        <v>445</v>
      </c>
      <c r="E242" s="3054"/>
      <c r="F242" s="3056" t="s">
        <v>217</v>
      </c>
      <c r="G242" s="3057"/>
      <c r="H242" s="3064"/>
      <c r="I242" s="3065"/>
      <c r="J242" s="3202">
        <f t="shared" ref="J242:P242" si="53">SUM(J243:J244)</f>
        <v>1205211975</v>
      </c>
      <c r="K242" s="3202">
        <f t="shared" si="53"/>
        <v>354139064.23000002</v>
      </c>
      <c r="L242" s="3202">
        <f t="shared" si="53"/>
        <v>1205211975</v>
      </c>
      <c r="M242" s="3202">
        <f t="shared" si="53"/>
        <v>200000</v>
      </c>
      <c r="N242" s="3202">
        <f t="shared" si="53"/>
        <v>0</v>
      </c>
      <c r="O242" s="3202">
        <f t="shared" si="53"/>
        <v>200000</v>
      </c>
      <c r="P242" s="3178">
        <f t="shared" si="53"/>
        <v>1205211975</v>
      </c>
      <c r="Q242" s="3178">
        <f t="shared" si="51"/>
        <v>0</v>
      </c>
      <c r="R242" s="3180">
        <f t="shared" si="52"/>
        <v>0</v>
      </c>
      <c r="S242" s="3700"/>
      <c r="T242" s="3818"/>
      <c r="U242" s="3791"/>
      <c r="V242" s="2944">
        <f t="shared" si="43"/>
        <v>800000</v>
      </c>
    </row>
    <row r="243" spans="1:22" s="257" customFormat="1" ht="15.05" customHeight="1">
      <c r="A243" s="1889">
        <v>4</v>
      </c>
      <c r="B243" s="1889">
        <v>1</v>
      </c>
      <c r="C243" s="1889">
        <v>4</v>
      </c>
      <c r="D243" s="1889" t="s">
        <v>445</v>
      </c>
      <c r="E243" s="1889" t="s">
        <v>437</v>
      </c>
      <c r="F243" s="3087" t="s">
        <v>218</v>
      </c>
      <c r="G243" s="3084"/>
      <c r="H243" s="224"/>
      <c r="I243" s="3088"/>
      <c r="J243" s="3237">
        <v>1190211975</v>
      </c>
      <c r="K243" s="3237">
        <v>340768064.23000002</v>
      </c>
      <c r="L243" s="3234">
        <v>1190211975</v>
      </c>
      <c r="M243" s="3225">
        <v>0</v>
      </c>
      <c r="N243" s="3234">
        <v>0</v>
      </c>
      <c r="O243" s="3234">
        <v>0</v>
      </c>
      <c r="P243" s="3234">
        <v>1190211975</v>
      </c>
      <c r="Q243" s="3234">
        <f t="shared" si="51"/>
        <v>0</v>
      </c>
      <c r="R243" s="3235">
        <f t="shared" si="52"/>
        <v>0</v>
      </c>
      <c r="S243" s="3720"/>
      <c r="T243" s="3835"/>
      <c r="U243" s="3771"/>
      <c r="V243" s="1846">
        <f t="shared" si="43"/>
        <v>0</v>
      </c>
    </row>
    <row r="244" spans="1:22" s="257" customFormat="1" ht="15.05" customHeight="1">
      <c r="A244" s="1855">
        <v>4</v>
      </c>
      <c r="B244" s="1855">
        <v>1</v>
      </c>
      <c r="C244" s="1855">
        <v>4</v>
      </c>
      <c r="D244" s="1855" t="s">
        <v>445</v>
      </c>
      <c r="E244" s="1855" t="s">
        <v>438</v>
      </c>
      <c r="F244" s="1857" t="s">
        <v>219</v>
      </c>
      <c r="G244" s="1858"/>
      <c r="H244" s="200"/>
      <c r="I244" s="200"/>
      <c r="J244" s="3215">
        <v>15000000</v>
      </c>
      <c r="K244" s="3171">
        <v>13371000</v>
      </c>
      <c r="L244" s="3125">
        <v>15000000</v>
      </c>
      <c r="M244" s="3124">
        <v>200000</v>
      </c>
      <c r="N244" s="3125">
        <v>0</v>
      </c>
      <c r="O244" s="3125">
        <v>200000</v>
      </c>
      <c r="P244" s="3125">
        <v>15000000</v>
      </c>
      <c r="Q244" s="3125">
        <f t="shared" si="51"/>
        <v>0</v>
      </c>
      <c r="R244" s="3166">
        <f t="shared" si="52"/>
        <v>0</v>
      </c>
      <c r="S244" s="3275"/>
      <c r="T244" s="3826"/>
      <c r="U244" s="3771"/>
      <c r="V244" s="1846">
        <f t="shared" si="43"/>
        <v>800000</v>
      </c>
    </row>
    <row r="245" spans="1:22" s="257" customFormat="1" ht="15.05" customHeight="1">
      <c r="A245" s="1886"/>
      <c r="B245" s="1886"/>
      <c r="C245" s="1886"/>
      <c r="D245" s="1886"/>
      <c r="E245" s="1886"/>
      <c r="F245" s="1887"/>
      <c r="G245" s="1888"/>
      <c r="H245" s="856"/>
      <c r="I245" s="856"/>
      <c r="J245" s="3238"/>
      <c r="K245" s="3173"/>
      <c r="L245" s="3174"/>
      <c r="M245" s="3175"/>
      <c r="N245" s="3174"/>
      <c r="O245" s="3174"/>
      <c r="P245" s="3174"/>
      <c r="Q245" s="3174"/>
      <c r="R245" s="3194"/>
      <c r="S245" s="3712"/>
      <c r="T245" s="3831"/>
      <c r="U245" s="1899"/>
      <c r="V245" s="1846">
        <f t="shared" si="43"/>
        <v>0</v>
      </c>
    </row>
    <row r="246" spans="1:22" s="2947" customFormat="1" ht="15.05" customHeight="1">
      <c r="A246" s="3053">
        <v>4</v>
      </c>
      <c r="B246" s="3054">
        <v>1</v>
      </c>
      <c r="C246" s="3054">
        <v>4</v>
      </c>
      <c r="D246" s="3054" t="s">
        <v>441</v>
      </c>
      <c r="E246" s="3054"/>
      <c r="F246" s="3091" t="s">
        <v>557</v>
      </c>
      <c r="G246" s="3064"/>
      <c r="H246" s="3064"/>
      <c r="I246" s="3064"/>
      <c r="J246" s="3239">
        <v>0</v>
      </c>
      <c r="K246" s="3240">
        <f t="shared" ref="K246:P246" si="54">K247</f>
        <v>810940665.47000003</v>
      </c>
      <c r="L246" s="3240">
        <f t="shared" si="54"/>
        <v>0</v>
      </c>
      <c r="M246" s="3240">
        <f t="shared" si="54"/>
        <v>81048456.790000007</v>
      </c>
      <c r="N246" s="3240">
        <f t="shared" si="54"/>
        <v>73760000</v>
      </c>
      <c r="O246" s="3240">
        <f t="shared" si="54"/>
        <v>82408456.790000007</v>
      </c>
      <c r="P246" s="3240">
        <f t="shared" si="54"/>
        <v>82408000</v>
      </c>
      <c r="Q246" s="3241">
        <f t="shared" ref="Q246:Q262" si="55">+P246-L246</f>
        <v>82408000</v>
      </c>
      <c r="R246" s="3242">
        <v>0</v>
      </c>
      <c r="S246" s="3721"/>
      <c r="T246" s="3843"/>
      <c r="U246" s="3792"/>
      <c r="V246" s="2944">
        <f t="shared" si="43"/>
        <v>329633827.16000003</v>
      </c>
    </row>
    <row r="247" spans="1:22" s="1318" customFormat="1" ht="15.05" customHeight="1">
      <c r="A247" s="1905">
        <v>4</v>
      </c>
      <c r="B247" s="1905">
        <v>1</v>
      </c>
      <c r="C247" s="1905">
        <v>4</v>
      </c>
      <c r="D247" s="1905" t="s">
        <v>441</v>
      </c>
      <c r="E247" s="1905" t="s">
        <v>437</v>
      </c>
      <c r="F247" s="3089" t="s">
        <v>72</v>
      </c>
      <c r="G247" s="212"/>
      <c r="H247" s="212"/>
      <c r="I247" s="212"/>
      <c r="J247" s="3243" t="s">
        <v>50</v>
      </c>
      <c r="K247" s="3244">
        <f>SUM(K248:K262)</f>
        <v>810940665.47000003</v>
      </c>
      <c r="L247" s="3245">
        <v>0</v>
      </c>
      <c r="M247" s="3246">
        <v>81048456.790000007</v>
      </c>
      <c r="N247" s="3245">
        <v>73760000</v>
      </c>
      <c r="O247" s="3245">
        <v>82408456.790000007</v>
      </c>
      <c r="P247" s="3245">
        <f>SUM(P248:P262)</f>
        <v>82408000</v>
      </c>
      <c r="Q247" s="3245">
        <f t="shared" si="55"/>
        <v>82408000</v>
      </c>
      <c r="R247" s="3247">
        <v>0</v>
      </c>
      <c r="S247" s="3722"/>
      <c r="T247" s="3844"/>
      <c r="U247" s="3793"/>
      <c r="V247" s="1846">
        <f t="shared" si="43"/>
        <v>329633827.16000003</v>
      </c>
    </row>
    <row r="248" spans="1:22" s="257" customFormat="1" ht="15.05" customHeight="1">
      <c r="A248" s="1855"/>
      <c r="B248" s="1855"/>
      <c r="C248" s="1855"/>
      <c r="D248" s="1855"/>
      <c r="E248" s="1855"/>
      <c r="F248" s="2359" t="s">
        <v>50</v>
      </c>
      <c r="G248" s="200" t="s">
        <v>558</v>
      </c>
      <c r="H248" s="200"/>
      <c r="I248" s="200"/>
      <c r="J248" s="3248" t="s">
        <v>50</v>
      </c>
      <c r="K248" s="3216">
        <v>188674021.74000001</v>
      </c>
      <c r="L248" s="3249">
        <v>0</v>
      </c>
      <c r="M248" s="3250">
        <v>81048456.790000007</v>
      </c>
      <c r="N248" s="3249">
        <v>1360000</v>
      </c>
      <c r="O248" s="3249">
        <v>82408456.790000007</v>
      </c>
      <c r="P248" s="3249">
        <v>82408000</v>
      </c>
      <c r="Q248" s="3249">
        <f t="shared" si="55"/>
        <v>82408000</v>
      </c>
      <c r="R248" s="3166">
        <v>0</v>
      </c>
      <c r="S248" s="3748"/>
      <c r="T248" s="3826"/>
      <c r="U248" s="3794"/>
      <c r="V248" s="1846">
        <f t="shared" si="43"/>
        <v>329633827.16000003</v>
      </c>
    </row>
    <row r="249" spans="1:22" s="257" customFormat="1" ht="15.05" customHeight="1">
      <c r="A249" s="1855"/>
      <c r="B249" s="1855"/>
      <c r="C249" s="1855"/>
      <c r="D249" s="1855"/>
      <c r="E249" s="1855"/>
      <c r="F249" s="2359" t="s">
        <v>50</v>
      </c>
      <c r="G249" s="200" t="s">
        <v>559</v>
      </c>
      <c r="H249" s="200"/>
      <c r="I249" s="200"/>
      <c r="J249" s="3248" t="s">
        <v>50</v>
      </c>
      <c r="K249" s="3216">
        <v>0</v>
      </c>
      <c r="L249" s="3249"/>
      <c r="M249" s="3250"/>
      <c r="N249" s="3249">
        <v>72400000</v>
      </c>
      <c r="O249" s="3249"/>
      <c r="P249" s="3249"/>
      <c r="Q249" s="3249">
        <f t="shared" si="55"/>
        <v>0</v>
      </c>
      <c r="R249" s="3166">
        <v>0</v>
      </c>
      <c r="S249" s="3748"/>
      <c r="T249" s="3826"/>
      <c r="U249" s="3794"/>
      <c r="V249" s="1846">
        <f t="shared" si="43"/>
        <v>0</v>
      </c>
    </row>
    <row r="250" spans="1:22" s="257" customFormat="1" ht="15.05" customHeight="1">
      <c r="A250" s="1855"/>
      <c r="B250" s="1855"/>
      <c r="C250" s="1855"/>
      <c r="D250" s="1855"/>
      <c r="E250" s="1855"/>
      <c r="F250" s="2359" t="s">
        <v>50</v>
      </c>
      <c r="G250" s="253" t="s">
        <v>1160</v>
      </c>
      <c r="H250" s="253"/>
      <c r="I250" s="200"/>
      <c r="J250" s="3248" t="s">
        <v>50</v>
      </c>
      <c r="K250" s="3216">
        <v>7295582</v>
      </c>
      <c r="L250" s="3249"/>
      <c r="M250" s="3250"/>
      <c r="N250" s="3249"/>
      <c r="O250" s="3249"/>
      <c r="P250" s="3249"/>
      <c r="Q250" s="3249">
        <f t="shared" si="55"/>
        <v>0</v>
      </c>
      <c r="R250" s="3166">
        <v>0</v>
      </c>
      <c r="S250" s="3748"/>
      <c r="T250" s="3826"/>
      <c r="U250" s="3794"/>
      <c r="V250" s="1846">
        <f t="shared" si="43"/>
        <v>0</v>
      </c>
    </row>
    <row r="251" spans="1:22" s="257" customFormat="1" ht="15.05" customHeight="1">
      <c r="A251" s="1855"/>
      <c r="B251" s="1855"/>
      <c r="C251" s="1855"/>
      <c r="D251" s="1855"/>
      <c r="E251" s="1855"/>
      <c r="F251" s="2359" t="s">
        <v>50</v>
      </c>
      <c r="G251" s="200" t="s">
        <v>1161</v>
      </c>
      <c r="H251" s="2329"/>
      <c r="I251" s="200"/>
      <c r="J251" s="3248" t="s">
        <v>50</v>
      </c>
      <c r="K251" s="3216">
        <v>0</v>
      </c>
      <c r="L251" s="3249"/>
      <c r="M251" s="3250"/>
      <c r="N251" s="3249"/>
      <c r="O251" s="3249"/>
      <c r="P251" s="3249"/>
      <c r="Q251" s="3249">
        <f t="shared" si="55"/>
        <v>0</v>
      </c>
      <c r="R251" s="3166">
        <v>0</v>
      </c>
      <c r="S251" s="3748"/>
      <c r="T251" s="3826"/>
      <c r="U251" s="3794"/>
      <c r="V251" s="1846">
        <f t="shared" si="43"/>
        <v>0</v>
      </c>
    </row>
    <row r="252" spans="1:22" s="257" customFormat="1" ht="15.05" customHeight="1">
      <c r="A252" s="1855"/>
      <c r="B252" s="1855"/>
      <c r="C252" s="1855"/>
      <c r="D252" s="1855"/>
      <c r="E252" s="1855"/>
      <c r="F252" s="2359" t="s">
        <v>50</v>
      </c>
      <c r="G252" s="200" t="s">
        <v>681</v>
      </c>
      <c r="H252" s="200"/>
      <c r="I252" s="200"/>
      <c r="J252" s="3248" t="s">
        <v>50</v>
      </c>
      <c r="K252" s="3216">
        <v>164498989</v>
      </c>
      <c r="L252" s="3249"/>
      <c r="M252" s="3250"/>
      <c r="N252" s="3249"/>
      <c r="O252" s="3249"/>
      <c r="P252" s="3249"/>
      <c r="Q252" s="3249">
        <f t="shared" si="55"/>
        <v>0</v>
      </c>
      <c r="R252" s="3166">
        <v>0</v>
      </c>
      <c r="S252" s="3275"/>
      <c r="T252" s="3826"/>
      <c r="U252" s="3794"/>
      <c r="V252" s="1846">
        <f t="shared" si="43"/>
        <v>0</v>
      </c>
    </row>
    <row r="253" spans="1:22" s="257" customFormat="1" ht="15.05" customHeight="1">
      <c r="A253" s="1855"/>
      <c r="B253" s="1855"/>
      <c r="C253" s="1855"/>
      <c r="D253" s="1855"/>
      <c r="E253" s="1855"/>
      <c r="F253" s="2359" t="s">
        <v>50</v>
      </c>
      <c r="G253" s="200" t="s">
        <v>1162</v>
      </c>
      <c r="H253" s="200"/>
      <c r="I253" s="200"/>
      <c r="J253" s="3248" t="s">
        <v>50</v>
      </c>
      <c r="K253" s="3216">
        <v>19560365.73</v>
      </c>
      <c r="L253" s="3249"/>
      <c r="M253" s="3250"/>
      <c r="N253" s="3249"/>
      <c r="O253" s="3249"/>
      <c r="P253" s="3249"/>
      <c r="Q253" s="3249">
        <f t="shared" si="55"/>
        <v>0</v>
      </c>
      <c r="R253" s="3166">
        <v>0</v>
      </c>
      <c r="S253" s="3748"/>
      <c r="T253" s="3826"/>
      <c r="U253" s="3794"/>
      <c r="V253" s="1846">
        <f t="shared" si="43"/>
        <v>0</v>
      </c>
    </row>
    <row r="254" spans="1:22" s="257" customFormat="1" ht="15.05" customHeight="1">
      <c r="A254" s="1855"/>
      <c r="B254" s="1855"/>
      <c r="C254" s="1855"/>
      <c r="D254" s="1855"/>
      <c r="E254" s="1855"/>
      <c r="F254" s="2359" t="s">
        <v>50</v>
      </c>
      <c r="G254" s="200" t="s">
        <v>544</v>
      </c>
      <c r="H254" s="200"/>
      <c r="I254" s="200"/>
      <c r="J254" s="3248" t="s">
        <v>50</v>
      </c>
      <c r="K254" s="3216">
        <v>11790410</v>
      </c>
      <c r="L254" s="3249"/>
      <c r="M254" s="3250"/>
      <c r="N254" s="3249"/>
      <c r="O254" s="3249"/>
      <c r="P254" s="3249"/>
      <c r="Q254" s="3249">
        <f t="shared" si="55"/>
        <v>0</v>
      </c>
      <c r="R254" s="3166">
        <v>0</v>
      </c>
      <c r="S254" s="3748"/>
      <c r="T254" s="3826"/>
      <c r="U254" s="3794"/>
      <c r="V254" s="1846">
        <f t="shared" si="43"/>
        <v>0</v>
      </c>
    </row>
    <row r="255" spans="1:22" s="257" customFormat="1" ht="15.05" customHeight="1">
      <c r="A255" s="1855"/>
      <c r="B255" s="1855"/>
      <c r="C255" s="1855"/>
      <c r="D255" s="1855"/>
      <c r="E255" s="1855"/>
      <c r="F255" s="2359" t="s">
        <v>50</v>
      </c>
      <c r="G255" s="200" t="s">
        <v>1163</v>
      </c>
      <c r="H255" s="2329"/>
      <c r="I255" s="200"/>
      <c r="J255" s="3248" t="s">
        <v>50</v>
      </c>
      <c r="K255" s="3216">
        <v>90692121</v>
      </c>
      <c r="L255" s="3249"/>
      <c r="M255" s="3250"/>
      <c r="N255" s="3249"/>
      <c r="O255" s="3249"/>
      <c r="P255" s="3249"/>
      <c r="Q255" s="3249">
        <f t="shared" si="55"/>
        <v>0</v>
      </c>
      <c r="R255" s="3166">
        <v>0</v>
      </c>
      <c r="S255" s="3748"/>
      <c r="T255" s="3826"/>
      <c r="U255" s="3794"/>
      <c r="V255" s="1846">
        <f t="shared" si="43"/>
        <v>0</v>
      </c>
    </row>
    <row r="256" spans="1:22" s="257" customFormat="1" ht="15.05" customHeight="1">
      <c r="A256" s="1855"/>
      <c r="B256" s="1855"/>
      <c r="C256" s="1855"/>
      <c r="D256" s="1855"/>
      <c r="E256" s="1855"/>
      <c r="F256" s="2359" t="s">
        <v>50</v>
      </c>
      <c r="G256" s="200" t="s">
        <v>1164</v>
      </c>
      <c r="H256" s="2329"/>
      <c r="I256" s="200"/>
      <c r="J256" s="3248" t="s">
        <v>50</v>
      </c>
      <c r="K256" s="3216">
        <v>126061400</v>
      </c>
      <c r="L256" s="3249"/>
      <c r="M256" s="3250"/>
      <c r="N256" s="3249"/>
      <c r="O256" s="3249"/>
      <c r="P256" s="3249"/>
      <c r="Q256" s="3249">
        <f t="shared" si="55"/>
        <v>0</v>
      </c>
      <c r="R256" s="3166">
        <v>0</v>
      </c>
      <c r="S256" s="3748"/>
      <c r="T256" s="3826"/>
      <c r="U256" s="3794"/>
      <c r="V256" s="1846">
        <f t="shared" si="43"/>
        <v>0</v>
      </c>
    </row>
    <row r="257" spans="1:22" s="257" customFormat="1" ht="15.05" customHeight="1">
      <c r="A257" s="1855"/>
      <c r="B257" s="1855"/>
      <c r="C257" s="1855"/>
      <c r="D257" s="1855"/>
      <c r="E257" s="1855"/>
      <c r="F257" s="2359" t="s">
        <v>50</v>
      </c>
      <c r="G257" s="200" t="s">
        <v>1165</v>
      </c>
      <c r="H257" s="200"/>
      <c r="I257" s="200"/>
      <c r="J257" s="3248" t="s">
        <v>50</v>
      </c>
      <c r="K257" s="3216">
        <v>1835685</v>
      </c>
      <c r="L257" s="3249"/>
      <c r="M257" s="3250"/>
      <c r="N257" s="3249"/>
      <c r="O257" s="3249"/>
      <c r="P257" s="3249"/>
      <c r="Q257" s="3249">
        <f t="shared" si="55"/>
        <v>0</v>
      </c>
      <c r="R257" s="3166">
        <v>0</v>
      </c>
      <c r="S257" s="3748"/>
      <c r="T257" s="3826"/>
      <c r="U257" s="3794"/>
      <c r="V257" s="1846">
        <f t="shared" si="43"/>
        <v>0</v>
      </c>
    </row>
    <row r="258" spans="1:22" s="257" customFormat="1" ht="15.05" customHeight="1">
      <c r="A258" s="1855"/>
      <c r="B258" s="1855"/>
      <c r="C258" s="1855"/>
      <c r="D258" s="1855"/>
      <c r="E258" s="1855"/>
      <c r="F258" s="2359" t="s">
        <v>50</v>
      </c>
      <c r="G258" s="200" t="s">
        <v>924</v>
      </c>
      <c r="H258" s="2329"/>
      <c r="I258" s="200"/>
      <c r="J258" s="3248" t="s">
        <v>50</v>
      </c>
      <c r="K258" s="3216">
        <v>0</v>
      </c>
      <c r="L258" s="3249"/>
      <c r="M258" s="3250"/>
      <c r="N258" s="3249"/>
      <c r="O258" s="3249"/>
      <c r="P258" s="3249"/>
      <c r="Q258" s="3249">
        <f t="shared" si="55"/>
        <v>0</v>
      </c>
      <c r="R258" s="3166">
        <v>0</v>
      </c>
      <c r="S258" s="3748"/>
      <c r="T258" s="3826"/>
      <c r="U258" s="3794"/>
      <c r="V258" s="1846">
        <f t="shared" si="43"/>
        <v>0</v>
      </c>
    </row>
    <row r="259" spans="1:22" s="257" customFormat="1" ht="15.05" customHeight="1">
      <c r="A259" s="1855"/>
      <c r="B259" s="1855"/>
      <c r="C259" s="1855"/>
      <c r="D259" s="1855"/>
      <c r="E259" s="1855"/>
      <c r="F259" s="2359" t="s">
        <v>50</v>
      </c>
      <c r="G259" s="200" t="s">
        <v>1166</v>
      </c>
      <c r="H259" s="2329"/>
      <c r="I259" s="200"/>
      <c r="J259" s="3248" t="s">
        <v>50</v>
      </c>
      <c r="K259" s="3216">
        <v>21802000</v>
      </c>
      <c r="L259" s="3249"/>
      <c r="M259" s="3250"/>
      <c r="N259" s="3249"/>
      <c r="O259" s="3249"/>
      <c r="P259" s="3249"/>
      <c r="Q259" s="3249">
        <f t="shared" si="55"/>
        <v>0</v>
      </c>
      <c r="R259" s="3166">
        <v>0</v>
      </c>
      <c r="S259" s="3748"/>
      <c r="T259" s="3826"/>
      <c r="U259" s="3794"/>
      <c r="V259" s="1846">
        <f t="shared" si="43"/>
        <v>0</v>
      </c>
    </row>
    <row r="260" spans="1:22" s="257" customFormat="1" ht="15.05" customHeight="1">
      <c r="A260" s="1855"/>
      <c r="B260" s="1855"/>
      <c r="C260" s="1855"/>
      <c r="D260" s="1855"/>
      <c r="E260" s="1855"/>
      <c r="F260" s="2359" t="s">
        <v>50</v>
      </c>
      <c r="G260" s="200" t="s">
        <v>1167</v>
      </c>
      <c r="H260" s="2329"/>
      <c r="I260" s="200"/>
      <c r="J260" s="3248" t="s">
        <v>50</v>
      </c>
      <c r="K260" s="3216">
        <v>415440</v>
      </c>
      <c r="L260" s="3249"/>
      <c r="M260" s="3250"/>
      <c r="N260" s="3249"/>
      <c r="O260" s="3249"/>
      <c r="P260" s="3249"/>
      <c r="Q260" s="3249">
        <f t="shared" si="55"/>
        <v>0</v>
      </c>
      <c r="R260" s="3166">
        <v>0</v>
      </c>
      <c r="S260" s="3748"/>
      <c r="T260" s="3826"/>
      <c r="U260" s="3794"/>
      <c r="V260" s="1846">
        <f t="shared" si="43"/>
        <v>0</v>
      </c>
    </row>
    <row r="261" spans="1:22" s="257" customFormat="1" ht="15.05" customHeight="1">
      <c r="A261" s="1855"/>
      <c r="B261" s="1855"/>
      <c r="C261" s="1855"/>
      <c r="D261" s="1855"/>
      <c r="E261" s="1855"/>
      <c r="F261" s="2359" t="s">
        <v>50</v>
      </c>
      <c r="G261" s="200" t="s">
        <v>99</v>
      </c>
      <c r="H261" s="2329"/>
      <c r="I261" s="200"/>
      <c r="J261" s="3248" t="s">
        <v>50</v>
      </c>
      <c r="K261" s="3216">
        <v>178187151</v>
      </c>
      <c r="L261" s="3249"/>
      <c r="M261" s="3250"/>
      <c r="N261" s="3249"/>
      <c r="O261" s="3249"/>
      <c r="P261" s="3249"/>
      <c r="Q261" s="3249">
        <f t="shared" si="55"/>
        <v>0</v>
      </c>
      <c r="R261" s="3166">
        <v>0</v>
      </c>
      <c r="S261" s="3748"/>
      <c r="T261" s="3826"/>
      <c r="U261" s="3794"/>
      <c r="V261" s="1846">
        <f t="shared" si="43"/>
        <v>0</v>
      </c>
    </row>
    <row r="262" spans="1:22" s="257" customFormat="1" ht="15.05" customHeight="1">
      <c r="A262" s="1855"/>
      <c r="B262" s="1855"/>
      <c r="C262" s="1855"/>
      <c r="D262" s="1855"/>
      <c r="E262" s="1855"/>
      <c r="F262" s="2359" t="s">
        <v>50</v>
      </c>
      <c r="G262" s="200" t="s">
        <v>1168</v>
      </c>
      <c r="H262" s="2329"/>
      <c r="I262" s="200"/>
      <c r="J262" s="3215"/>
      <c r="K262" s="3216">
        <v>127500</v>
      </c>
      <c r="L262" s="3249"/>
      <c r="M262" s="3250"/>
      <c r="N262" s="3249"/>
      <c r="O262" s="3249"/>
      <c r="P262" s="3249"/>
      <c r="Q262" s="3249">
        <f t="shared" si="55"/>
        <v>0</v>
      </c>
      <c r="R262" s="3166">
        <v>0</v>
      </c>
      <c r="S262" s="3275"/>
      <c r="T262" s="3826"/>
      <c r="U262" s="3794"/>
      <c r="V262" s="1846">
        <f t="shared" si="43"/>
        <v>0</v>
      </c>
    </row>
    <row r="263" spans="1:22" s="257" customFormat="1" ht="15.05" customHeight="1">
      <c r="A263" s="1886"/>
      <c r="B263" s="1886"/>
      <c r="C263" s="1886"/>
      <c r="D263" s="1886"/>
      <c r="E263" s="1886"/>
      <c r="F263" s="2843"/>
      <c r="G263" s="2844"/>
      <c r="H263" s="856"/>
      <c r="I263" s="856"/>
      <c r="J263" s="3238"/>
      <c r="K263" s="3251"/>
      <c r="L263" s="3252"/>
      <c r="M263" s="3253"/>
      <c r="N263" s="3252"/>
      <c r="O263" s="3252"/>
      <c r="P263" s="3174"/>
      <c r="Q263" s="3174"/>
      <c r="R263" s="3194"/>
      <c r="S263" s="3712"/>
      <c r="T263" s="3831"/>
      <c r="U263" s="1899"/>
      <c r="V263" s="1846">
        <f t="shared" si="43"/>
        <v>0</v>
      </c>
    </row>
    <row r="264" spans="1:22" s="2947" customFormat="1" ht="15.05" customHeight="1">
      <c r="A264" s="3053">
        <v>4</v>
      </c>
      <c r="B264" s="3054">
        <v>1</v>
      </c>
      <c r="C264" s="3054">
        <v>4</v>
      </c>
      <c r="D264" s="3054" t="s">
        <v>456</v>
      </c>
      <c r="E264" s="3054"/>
      <c r="F264" s="3056" t="s">
        <v>307</v>
      </c>
      <c r="G264" s="3057"/>
      <c r="H264" s="3064"/>
      <c r="I264" s="3064"/>
      <c r="J264" s="3212">
        <f>J265+J276</f>
        <v>18548560000</v>
      </c>
      <c r="K264" s="3212">
        <f t="shared" ref="K264:P264" si="56">K265+K276</f>
        <v>19634060483</v>
      </c>
      <c r="L264" s="3212">
        <f t="shared" si="56"/>
        <v>18548560000</v>
      </c>
      <c r="M264" s="3212">
        <f t="shared" si="56"/>
        <v>3186070400</v>
      </c>
      <c r="N264" s="3212">
        <f t="shared" si="56"/>
        <v>2296646661</v>
      </c>
      <c r="O264" s="3212">
        <f t="shared" si="56"/>
        <v>5482717061</v>
      </c>
      <c r="P264" s="3212">
        <f t="shared" si="56"/>
        <v>20350000000</v>
      </c>
      <c r="Q264" s="3178">
        <f t="shared" ref="Q264:Q290" si="57">+P264-L264</f>
        <v>1801440000</v>
      </c>
      <c r="R264" s="3213">
        <f>+P264/L264*100-100</f>
        <v>9.7120207714237665</v>
      </c>
      <c r="S264" s="3716"/>
      <c r="T264" s="3838"/>
      <c r="U264" s="3066"/>
      <c r="V264" s="2944">
        <f t="shared" si="43"/>
        <v>21930868244</v>
      </c>
    </row>
    <row r="265" spans="1:22" s="257" customFormat="1" ht="15.05" customHeight="1">
      <c r="A265" s="1889">
        <v>4</v>
      </c>
      <c r="B265" s="1889">
        <v>1</v>
      </c>
      <c r="C265" s="1889">
        <v>4</v>
      </c>
      <c r="D265" s="1889" t="s">
        <v>456</v>
      </c>
      <c r="E265" s="1889" t="s">
        <v>437</v>
      </c>
      <c r="F265" s="3087" t="s">
        <v>309</v>
      </c>
      <c r="G265" s="3084"/>
      <c r="H265" s="224"/>
      <c r="I265" s="224"/>
      <c r="J265" s="3254">
        <v>18448560000</v>
      </c>
      <c r="K265" s="3237">
        <v>19268531170</v>
      </c>
      <c r="L265" s="3234">
        <v>18448560000</v>
      </c>
      <c r="M265" s="3225">
        <v>3064125447</v>
      </c>
      <c r="N265" s="3234">
        <v>2223238906</v>
      </c>
      <c r="O265" s="3234">
        <v>5287364353</v>
      </c>
      <c r="P265" s="3234">
        <v>20000000000</v>
      </c>
      <c r="Q265" s="3234">
        <f t="shared" si="57"/>
        <v>1551440000</v>
      </c>
      <c r="R265" s="3137">
        <f>+P265/L265*100-100</f>
        <v>8.409545243639613</v>
      </c>
      <c r="S265" s="3701"/>
      <c r="T265" s="3819"/>
      <c r="U265" s="1900"/>
      <c r="V265" s="1846">
        <f t="shared" si="43"/>
        <v>21149457412</v>
      </c>
    </row>
    <row r="266" spans="1:22" s="257" customFormat="1" ht="15.05" customHeight="1">
      <c r="A266" s="1855"/>
      <c r="B266" s="1855"/>
      <c r="C266" s="1855"/>
      <c r="D266" s="1855"/>
      <c r="E266" s="1855"/>
      <c r="F266" s="2359" t="s">
        <v>50</v>
      </c>
      <c r="G266" s="213"/>
      <c r="H266" s="200" t="str">
        <f>MAR!I523</f>
        <v>Samsat Mataram</v>
      </c>
      <c r="I266" s="200"/>
      <c r="J266" s="3215">
        <v>18448560000</v>
      </c>
      <c r="K266" s="3171">
        <v>5900994481</v>
      </c>
      <c r="L266" s="3125">
        <v>0</v>
      </c>
      <c r="M266" s="3124">
        <v>950178232</v>
      </c>
      <c r="N266" s="3125">
        <v>483669403</v>
      </c>
      <c r="O266" s="3125">
        <v>1433847635</v>
      </c>
      <c r="P266" s="3125">
        <v>0</v>
      </c>
      <c r="Q266" s="3125">
        <f t="shared" si="57"/>
        <v>0</v>
      </c>
      <c r="R266" s="3166">
        <v>0</v>
      </c>
      <c r="S266" s="3275"/>
      <c r="T266" s="3826"/>
      <c r="U266" s="3771"/>
      <c r="V266" s="1846">
        <f t="shared" si="43"/>
        <v>5735390540</v>
      </c>
    </row>
    <row r="267" spans="1:22" s="257" customFormat="1" ht="15.05" customHeight="1">
      <c r="A267" s="1855"/>
      <c r="B267" s="1855"/>
      <c r="C267" s="1855"/>
      <c r="D267" s="1855"/>
      <c r="E267" s="1855"/>
      <c r="F267" s="2359" t="s">
        <v>50</v>
      </c>
      <c r="G267" s="213"/>
      <c r="H267" s="200" t="str">
        <f>MAR!I524</f>
        <v>Samsat Praya</v>
      </c>
      <c r="I267" s="200"/>
      <c r="J267" s="3215"/>
      <c r="K267" s="3171">
        <v>2780920166</v>
      </c>
      <c r="L267" s="3125">
        <v>0</v>
      </c>
      <c r="M267" s="3124">
        <v>464483071</v>
      </c>
      <c r="N267" s="3125">
        <v>700930596</v>
      </c>
      <c r="O267" s="3125">
        <v>1165413667</v>
      </c>
      <c r="P267" s="3125">
        <v>0</v>
      </c>
      <c r="Q267" s="3125">
        <f t="shared" si="57"/>
        <v>0</v>
      </c>
      <c r="R267" s="3166">
        <v>0</v>
      </c>
      <c r="S267" s="3275"/>
      <c r="T267" s="3826"/>
      <c r="U267" s="3771"/>
      <c r="V267" s="1846">
        <f t="shared" si="43"/>
        <v>4661654668</v>
      </c>
    </row>
    <row r="268" spans="1:22" s="257" customFormat="1" ht="15.05" customHeight="1">
      <c r="A268" s="1855"/>
      <c r="B268" s="1855"/>
      <c r="C268" s="1855"/>
      <c r="D268" s="1855"/>
      <c r="E268" s="1855"/>
      <c r="F268" s="2359" t="s">
        <v>50</v>
      </c>
      <c r="G268" s="213"/>
      <c r="H268" s="200" t="str">
        <f>MAR!I525</f>
        <v>Samsat Selong</v>
      </c>
      <c r="I268" s="200"/>
      <c r="J268" s="3215"/>
      <c r="K268" s="3171">
        <v>334374917</v>
      </c>
      <c r="L268" s="3125">
        <v>0</v>
      </c>
      <c r="M268" s="3124">
        <v>526640801</v>
      </c>
      <c r="N268" s="3125">
        <v>257640400</v>
      </c>
      <c r="O268" s="3125">
        <v>784281201</v>
      </c>
      <c r="P268" s="3125">
        <v>0</v>
      </c>
      <c r="Q268" s="3125">
        <f t="shared" si="57"/>
        <v>0</v>
      </c>
      <c r="R268" s="3166">
        <v>0</v>
      </c>
      <c r="S268" s="3275"/>
      <c r="T268" s="3826"/>
      <c r="U268" s="3771"/>
      <c r="V268" s="1846">
        <f t="shared" si="43"/>
        <v>3137124804</v>
      </c>
    </row>
    <row r="269" spans="1:22" s="257" customFormat="1" ht="15.05" customHeight="1">
      <c r="A269" s="1855"/>
      <c r="B269" s="1855"/>
      <c r="C269" s="1855"/>
      <c r="D269" s="1855"/>
      <c r="E269" s="1855"/>
      <c r="F269" s="2359" t="s">
        <v>50</v>
      </c>
      <c r="G269" s="213"/>
      <c r="H269" s="200" t="str">
        <f>MAR!I526</f>
        <v>Samsat Sumbawa</v>
      </c>
      <c r="I269" s="200"/>
      <c r="J269" s="3215"/>
      <c r="K269" s="3171">
        <v>1616126594</v>
      </c>
      <c r="L269" s="3125">
        <v>0</v>
      </c>
      <c r="M269" s="3124">
        <v>210189810</v>
      </c>
      <c r="N269" s="3125">
        <v>117317727</v>
      </c>
      <c r="O269" s="3125">
        <v>327507537</v>
      </c>
      <c r="P269" s="3125">
        <v>0</v>
      </c>
      <c r="Q269" s="3125">
        <f t="shared" si="57"/>
        <v>0</v>
      </c>
      <c r="R269" s="3166">
        <v>0</v>
      </c>
      <c r="S269" s="3275"/>
      <c r="T269" s="3826"/>
      <c r="U269" s="3771"/>
      <c r="V269" s="1846">
        <f t="shared" si="43"/>
        <v>1310030148</v>
      </c>
    </row>
    <row r="270" spans="1:22" s="257" customFormat="1" ht="15.05" customHeight="1">
      <c r="A270" s="1855"/>
      <c r="B270" s="1855"/>
      <c r="C270" s="1855"/>
      <c r="D270" s="1855"/>
      <c r="E270" s="1855"/>
      <c r="F270" s="2359" t="s">
        <v>50</v>
      </c>
      <c r="G270" s="213"/>
      <c r="H270" s="200" t="str">
        <f>MAR!I527</f>
        <v>Samsat Kota Bima</v>
      </c>
      <c r="I270" s="200"/>
      <c r="J270" s="3215"/>
      <c r="K270" s="3171">
        <v>154003162</v>
      </c>
      <c r="L270" s="3125">
        <v>0</v>
      </c>
      <c r="M270" s="3124">
        <v>198751703</v>
      </c>
      <c r="N270" s="3125">
        <v>92358050</v>
      </c>
      <c r="O270" s="3125">
        <v>291109753</v>
      </c>
      <c r="P270" s="3125">
        <v>0</v>
      </c>
      <c r="Q270" s="3125">
        <f t="shared" si="57"/>
        <v>0</v>
      </c>
      <c r="R270" s="3166">
        <v>0</v>
      </c>
      <c r="S270" s="3275"/>
      <c r="T270" s="3826"/>
      <c r="U270" s="3771"/>
      <c r="V270" s="1846">
        <f t="shared" si="43"/>
        <v>1164439012</v>
      </c>
    </row>
    <row r="271" spans="1:22" s="257" customFormat="1" ht="15.05" customHeight="1">
      <c r="A271" s="1855"/>
      <c r="B271" s="1855"/>
      <c r="C271" s="1855"/>
      <c r="D271" s="1855"/>
      <c r="E271" s="1855"/>
      <c r="F271" s="2359"/>
      <c r="G271" s="213"/>
      <c r="H271" s="200" t="str">
        <f>MAR!I528</f>
        <v>Samsat Kab. Bima</v>
      </c>
      <c r="I271" s="200"/>
      <c r="J271" s="3215"/>
      <c r="K271" s="3193">
        <v>0</v>
      </c>
      <c r="L271" s="3125"/>
      <c r="M271" s="3124">
        <v>96723700</v>
      </c>
      <c r="N271" s="3125">
        <v>51092666</v>
      </c>
      <c r="O271" s="3125">
        <v>147816366</v>
      </c>
      <c r="P271" s="3125"/>
      <c r="Q271" s="3125">
        <f t="shared" si="57"/>
        <v>0</v>
      </c>
      <c r="R271" s="3166">
        <v>0</v>
      </c>
      <c r="S271" s="3275"/>
      <c r="T271" s="3826"/>
      <c r="U271" s="3771"/>
      <c r="V271" s="1846">
        <f t="shared" si="43"/>
        <v>591265464</v>
      </c>
    </row>
    <row r="272" spans="1:22" s="257" customFormat="1" ht="15.05" customHeight="1">
      <c r="A272" s="1855"/>
      <c r="B272" s="1855"/>
      <c r="C272" s="1855"/>
      <c r="D272" s="1855"/>
      <c r="E272" s="1855"/>
      <c r="F272" s="2359" t="s">
        <v>50</v>
      </c>
      <c r="G272" s="213"/>
      <c r="H272" s="200" t="str">
        <f>MAR!I529</f>
        <v>Samsat Dompu</v>
      </c>
      <c r="I272" s="200"/>
      <c r="J272" s="3215"/>
      <c r="K272" s="3171">
        <v>602053236</v>
      </c>
      <c r="L272" s="3125">
        <v>0</v>
      </c>
      <c r="M272" s="3124">
        <v>94411077</v>
      </c>
      <c r="N272" s="3125">
        <v>45850047</v>
      </c>
      <c r="O272" s="3125">
        <v>140261124</v>
      </c>
      <c r="P272" s="3125">
        <v>0</v>
      </c>
      <c r="Q272" s="3125">
        <f t="shared" si="57"/>
        <v>0</v>
      </c>
      <c r="R272" s="3166">
        <v>0</v>
      </c>
      <c r="S272" s="3275"/>
      <c r="T272" s="3826"/>
      <c r="U272" s="3771"/>
      <c r="V272" s="1846">
        <f t="shared" si="43"/>
        <v>561044496</v>
      </c>
    </row>
    <row r="273" spans="1:22" s="257" customFormat="1" ht="15.05" customHeight="1">
      <c r="A273" s="1855"/>
      <c r="B273" s="1855"/>
      <c r="C273" s="1855"/>
      <c r="D273" s="1855"/>
      <c r="E273" s="1855"/>
      <c r="F273" s="2359" t="s">
        <v>50</v>
      </c>
      <c r="G273" s="213"/>
      <c r="H273" s="200" t="str">
        <f>MAR!I530</f>
        <v>Samsat Lombok Barat</v>
      </c>
      <c r="I273" s="200"/>
      <c r="J273" s="3215"/>
      <c r="K273" s="3171">
        <v>1924735337</v>
      </c>
      <c r="L273" s="3125">
        <v>0</v>
      </c>
      <c r="M273" s="3124">
        <v>310303928</v>
      </c>
      <c r="N273" s="3125">
        <v>180694105</v>
      </c>
      <c r="O273" s="3125">
        <v>490998033</v>
      </c>
      <c r="P273" s="3125">
        <v>0</v>
      </c>
      <c r="Q273" s="3125">
        <f t="shared" si="57"/>
        <v>0</v>
      </c>
      <c r="R273" s="3166">
        <v>0</v>
      </c>
      <c r="S273" s="3275"/>
      <c r="T273" s="3826"/>
      <c r="U273" s="3771"/>
      <c r="V273" s="1846">
        <f t="shared" si="43"/>
        <v>1963992132</v>
      </c>
    </row>
    <row r="274" spans="1:22" s="257" customFormat="1" ht="15.05" customHeight="1">
      <c r="A274" s="1855"/>
      <c r="B274" s="1855"/>
      <c r="C274" s="1855"/>
      <c r="D274" s="1855"/>
      <c r="E274" s="1855"/>
      <c r="F274" s="2359" t="s">
        <v>50</v>
      </c>
      <c r="G274" s="213"/>
      <c r="H274" s="200" t="str">
        <f>MAR!I531</f>
        <v>Samsat Sumbawa Barat</v>
      </c>
      <c r="I274" s="200"/>
      <c r="J274" s="3215"/>
      <c r="K274" s="3171">
        <v>1005251893</v>
      </c>
      <c r="L274" s="3125">
        <v>0</v>
      </c>
      <c r="M274" s="3124">
        <v>107538725</v>
      </c>
      <c r="N274" s="3125">
        <v>242828712</v>
      </c>
      <c r="O274" s="3125">
        <v>350367437</v>
      </c>
      <c r="P274" s="3125">
        <v>0</v>
      </c>
      <c r="Q274" s="3125">
        <f t="shared" si="57"/>
        <v>0</v>
      </c>
      <c r="R274" s="3166">
        <v>0</v>
      </c>
      <c r="S274" s="3275"/>
      <c r="T274" s="3826"/>
      <c r="U274" s="3771"/>
      <c r="V274" s="1846">
        <f t="shared" si="43"/>
        <v>1401469748</v>
      </c>
    </row>
    <row r="275" spans="1:22" s="257" customFormat="1" ht="15.05" customHeight="1">
      <c r="A275" s="1855"/>
      <c r="B275" s="1855"/>
      <c r="C275" s="1855"/>
      <c r="D275" s="1855"/>
      <c r="E275" s="1855"/>
      <c r="F275" s="2359" t="s">
        <v>50</v>
      </c>
      <c r="G275" s="213"/>
      <c r="H275" s="200" t="str">
        <f>MAR!I532</f>
        <v>Samsat Kab.Lombok Utara</v>
      </c>
      <c r="I275" s="200"/>
      <c r="J275" s="3215"/>
      <c r="K275" s="3171">
        <v>657351848</v>
      </c>
      <c r="L275" s="3125">
        <v>0</v>
      </c>
      <c r="M275" s="3124">
        <v>104904400</v>
      </c>
      <c r="N275" s="3125">
        <v>50857200</v>
      </c>
      <c r="O275" s="3125">
        <v>155761600</v>
      </c>
      <c r="P275" s="3125">
        <v>0</v>
      </c>
      <c r="Q275" s="3125">
        <f t="shared" si="57"/>
        <v>0</v>
      </c>
      <c r="R275" s="3166">
        <v>0</v>
      </c>
      <c r="S275" s="3275"/>
      <c r="T275" s="3826"/>
      <c r="U275" s="3771"/>
      <c r="V275" s="1846">
        <f t="shared" si="43"/>
        <v>623046400</v>
      </c>
    </row>
    <row r="276" spans="1:22" s="2883" customFormat="1" ht="15.05" customHeight="1">
      <c r="A276" s="2873">
        <v>4</v>
      </c>
      <c r="B276" s="2873">
        <v>1</v>
      </c>
      <c r="C276" s="2873">
        <v>4</v>
      </c>
      <c r="D276" s="2873" t="s">
        <v>456</v>
      </c>
      <c r="E276" s="2873" t="s">
        <v>438</v>
      </c>
      <c r="F276" s="2874" t="s">
        <v>319</v>
      </c>
      <c r="G276" s="2921"/>
      <c r="H276" s="2961"/>
      <c r="I276" s="2961"/>
      <c r="J276" s="3255">
        <v>100000000</v>
      </c>
      <c r="K276" s="3256">
        <f>SUM(K277:K286)</f>
        <v>365529313</v>
      </c>
      <c r="L276" s="3184">
        <v>100000000</v>
      </c>
      <c r="M276" s="3440">
        <v>121944953</v>
      </c>
      <c r="N276" s="3184">
        <v>73407755</v>
      </c>
      <c r="O276" s="3184">
        <f>SUM(O277:O286)</f>
        <v>195352708</v>
      </c>
      <c r="P276" s="3184">
        <v>350000000</v>
      </c>
      <c r="Q276" s="3184">
        <f t="shared" si="57"/>
        <v>250000000</v>
      </c>
      <c r="R276" s="3126">
        <f>+P276/L276*100-100</f>
        <v>250</v>
      </c>
      <c r="S276" s="3697"/>
      <c r="T276" s="3816"/>
      <c r="U276" s="3795"/>
      <c r="V276" s="2882">
        <f t="shared" ref="V276:V339" si="58">O276*4</f>
        <v>781410832</v>
      </c>
    </row>
    <row r="277" spans="1:22" s="257" customFormat="1" ht="15.05" customHeight="1">
      <c r="A277" s="1855"/>
      <c r="B277" s="1855"/>
      <c r="C277" s="1855"/>
      <c r="D277" s="1855"/>
      <c r="E277" s="1855"/>
      <c r="F277" s="2359" t="s">
        <v>50</v>
      </c>
      <c r="G277" s="213"/>
      <c r="H277" s="200" t="str">
        <f>MAR!I535</f>
        <v>Samsat Mataram</v>
      </c>
      <c r="I277" s="200"/>
      <c r="J277" s="3215"/>
      <c r="K277" s="3171">
        <v>126307796</v>
      </c>
      <c r="L277" s="3125">
        <v>0</v>
      </c>
      <c r="M277" s="3124">
        <v>51221268</v>
      </c>
      <c r="N277" s="3125">
        <v>9587463</v>
      </c>
      <c r="O277" s="3125">
        <v>60808731</v>
      </c>
      <c r="P277" s="3125">
        <v>0</v>
      </c>
      <c r="Q277" s="3125">
        <f t="shared" si="57"/>
        <v>0</v>
      </c>
      <c r="R277" s="3166">
        <v>0</v>
      </c>
      <c r="S277" s="3275"/>
      <c r="T277" s="3826"/>
      <c r="U277" s="3771"/>
      <c r="V277" s="1846">
        <f t="shared" si="58"/>
        <v>243234924</v>
      </c>
    </row>
    <row r="278" spans="1:22" s="257" customFormat="1" ht="15.05" customHeight="1">
      <c r="A278" s="1855"/>
      <c r="B278" s="1855"/>
      <c r="C278" s="1855"/>
      <c r="D278" s="1855"/>
      <c r="E278" s="1855"/>
      <c r="F278" s="2359" t="s">
        <v>50</v>
      </c>
      <c r="G278" s="213"/>
      <c r="H278" s="200" t="str">
        <f>MAR!I536</f>
        <v>Samsat Praya</v>
      </c>
      <c r="I278" s="200"/>
      <c r="J278" s="3215"/>
      <c r="K278" s="3171">
        <v>48957177</v>
      </c>
      <c r="L278" s="3125">
        <v>0</v>
      </c>
      <c r="M278" s="3124">
        <v>14910125</v>
      </c>
      <c r="N278" s="3125">
        <v>23481425</v>
      </c>
      <c r="O278" s="3125">
        <v>38391550</v>
      </c>
      <c r="P278" s="3125">
        <v>0</v>
      </c>
      <c r="Q278" s="3125">
        <f t="shared" si="57"/>
        <v>0</v>
      </c>
      <c r="R278" s="3166">
        <v>0</v>
      </c>
      <c r="S278" s="3275"/>
      <c r="T278" s="3826"/>
      <c r="U278" s="3771"/>
      <c r="V278" s="1846">
        <f t="shared" si="58"/>
        <v>153566200</v>
      </c>
    </row>
    <row r="279" spans="1:22" s="257" customFormat="1" ht="15.05" customHeight="1">
      <c r="A279" s="1855"/>
      <c r="B279" s="1855"/>
      <c r="C279" s="1855"/>
      <c r="D279" s="1855"/>
      <c r="E279" s="1855"/>
      <c r="F279" s="2359" t="s">
        <v>50</v>
      </c>
      <c r="G279" s="213"/>
      <c r="H279" s="200" t="str">
        <f>MAR!I537</f>
        <v>Samsat Selong</v>
      </c>
      <c r="I279" s="200"/>
      <c r="J279" s="3215"/>
      <c r="K279" s="3171">
        <v>41943963</v>
      </c>
      <c r="L279" s="3125">
        <v>0</v>
      </c>
      <c r="M279" s="3124">
        <v>11853570</v>
      </c>
      <c r="N279" s="3125">
        <v>8988200</v>
      </c>
      <c r="O279" s="3125">
        <v>20841770</v>
      </c>
      <c r="P279" s="3125">
        <v>0</v>
      </c>
      <c r="Q279" s="3125">
        <f t="shared" si="57"/>
        <v>0</v>
      </c>
      <c r="R279" s="3166">
        <v>0</v>
      </c>
      <c r="S279" s="3275"/>
      <c r="T279" s="3826"/>
      <c r="U279" s="3771"/>
      <c r="V279" s="1846">
        <f t="shared" si="58"/>
        <v>83367080</v>
      </c>
    </row>
    <row r="280" spans="1:22" s="257" customFormat="1" ht="15.05" customHeight="1">
      <c r="A280" s="1855"/>
      <c r="B280" s="1855"/>
      <c r="C280" s="1855"/>
      <c r="D280" s="1855"/>
      <c r="E280" s="1855"/>
      <c r="F280" s="2359" t="s">
        <v>50</v>
      </c>
      <c r="G280" s="213"/>
      <c r="H280" s="200" t="str">
        <f>MAR!I538</f>
        <v>Samsat Sumbawa</v>
      </c>
      <c r="I280" s="200"/>
      <c r="J280" s="3215"/>
      <c r="K280" s="3171">
        <v>20483190</v>
      </c>
      <c r="L280" s="3125">
        <v>0</v>
      </c>
      <c r="M280" s="3124">
        <v>8483975</v>
      </c>
      <c r="N280" s="3125">
        <v>4618600</v>
      </c>
      <c r="O280" s="3125">
        <v>13102575</v>
      </c>
      <c r="P280" s="3125">
        <v>0</v>
      </c>
      <c r="Q280" s="3125">
        <f t="shared" si="57"/>
        <v>0</v>
      </c>
      <c r="R280" s="3166">
        <v>0</v>
      </c>
      <c r="S280" s="3275"/>
      <c r="T280" s="3826"/>
      <c r="U280" s="3771"/>
      <c r="V280" s="1846">
        <f t="shared" si="58"/>
        <v>52410300</v>
      </c>
    </row>
    <row r="281" spans="1:22" s="257" customFormat="1" ht="15.05" customHeight="1">
      <c r="A281" s="1855"/>
      <c r="B281" s="1855"/>
      <c r="C281" s="1855"/>
      <c r="D281" s="1855"/>
      <c r="E281" s="1855"/>
      <c r="F281" s="2359" t="s">
        <v>50</v>
      </c>
      <c r="G281" s="213"/>
      <c r="H281" s="200" t="str">
        <f>MAR!I539</f>
        <v>Samsat Kota Bima</v>
      </c>
      <c r="I281" s="200"/>
      <c r="J281" s="3215"/>
      <c r="K281" s="3171">
        <v>44694173</v>
      </c>
      <c r="L281" s="3125">
        <v>0</v>
      </c>
      <c r="M281" s="3124">
        <v>10865555</v>
      </c>
      <c r="N281" s="3125">
        <v>3584900</v>
      </c>
      <c r="O281" s="3125">
        <v>14450455</v>
      </c>
      <c r="P281" s="3125">
        <v>0</v>
      </c>
      <c r="Q281" s="3125">
        <f t="shared" si="57"/>
        <v>0</v>
      </c>
      <c r="R281" s="3166">
        <v>0</v>
      </c>
      <c r="S281" s="3275"/>
      <c r="T281" s="3826"/>
      <c r="U281" s="3771"/>
      <c r="V281" s="1846">
        <f t="shared" si="58"/>
        <v>57801820</v>
      </c>
    </row>
    <row r="282" spans="1:22" s="257" customFormat="1" ht="15.05" customHeight="1">
      <c r="A282" s="1855"/>
      <c r="B282" s="1855"/>
      <c r="C282" s="1855"/>
      <c r="D282" s="1855"/>
      <c r="E282" s="1855"/>
      <c r="F282" s="2359" t="s">
        <v>50</v>
      </c>
      <c r="G282" s="213"/>
      <c r="H282" s="200" t="str">
        <f>MAR!I540</f>
        <v>Samsat Kab. Bima</v>
      </c>
      <c r="I282" s="200"/>
      <c r="J282" s="3215"/>
      <c r="K282" s="3193">
        <v>0</v>
      </c>
      <c r="L282" s="3125">
        <v>0</v>
      </c>
      <c r="M282" s="3124">
        <v>3475300</v>
      </c>
      <c r="N282" s="3125">
        <v>7300390</v>
      </c>
      <c r="O282" s="3125">
        <v>10775690</v>
      </c>
      <c r="P282" s="3125">
        <v>0</v>
      </c>
      <c r="Q282" s="3125">
        <f t="shared" si="57"/>
        <v>0</v>
      </c>
      <c r="R282" s="3166">
        <v>0</v>
      </c>
      <c r="S282" s="3275"/>
      <c r="T282" s="3826"/>
      <c r="U282" s="3771"/>
      <c r="V282" s="1846">
        <f t="shared" si="58"/>
        <v>43102760</v>
      </c>
    </row>
    <row r="283" spans="1:22" s="257" customFormat="1" ht="15.05" customHeight="1">
      <c r="A283" s="1855"/>
      <c r="B283" s="1855"/>
      <c r="C283" s="1855"/>
      <c r="D283" s="1855"/>
      <c r="E283" s="1855"/>
      <c r="F283" s="2359" t="s">
        <v>50</v>
      </c>
      <c r="G283" s="213"/>
      <c r="H283" s="200" t="str">
        <f>MAR!I541</f>
        <v>Samsat Dompu</v>
      </c>
      <c r="I283" s="200"/>
      <c r="J283" s="3215"/>
      <c r="K283" s="3171">
        <v>6311971</v>
      </c>
      <c r="L283" s="3125">
        <v>0</v>
      </c>
      <c r="M283" s="3124">
        <v>4177145</v>
      </c>
      <c r="N283" s="3125">
        <v>2170250</v>
      </c>
      <c r="O283" s="3125">
        <v>6347395</v>
      </c>
      <c r="P283" s="3125">
        <v>0</v>
      </c>
      <c r="Q283" s="3125">
        <f t="shared" si="57"/>
        <v>0</v>
      </c>
      <c r="R283" s="3166">
        <v>0</v>
      </c>
      <c r="S283" s="3275"/>
      <c r="T283" s="3826"/>
      <c r="U283" s="3771"/>
      <c r="V283" s="1846">
        <f t="shared" si="58"/>
        <v>25389580</v>
      </c>
    </row>
    <row r="284" spans="1:22" s="257" customFormat="1" ht="15.05" customHeight="1">
      <c r="A284" s="1886"/>
      <c r="B284" s="1886"/>
      <c r="C284" s="1886"/>
      <c r="D284" s="1886"/>
      <c r="E284" s="1886"/>
      <c r="F284" s="2843" t="s">
        <v>50</v>
      </c>
      <c r="G284" s="2844"/>
      <c r="H284" s="200" t="str">
        <f>MAR!I542</f>
        <v>Samsat Lombok Barat</v>
      </c>
      <c r="I284" s="856"/>
      <c r="J284" s="3238"/>
      <c r="K284" s="3173">
        <v>35215672</v>
      </c>
      <c r="L284" s="3125">
        <v>0</v>
      </c>
      <c r="M284" s="3124">
        <v>12073539</v>
      </c>
      <c r="N284" s="3125">
        <v>9903007</v>
      </c>
      <c r="O284" s="3125">
        <v>21976546</v>
      </c>
      <c r="P284" s="3125">
        <v>0</v>
      </c>
      <c r="Q284" s="3125">
        <f t="shared" si="57"/>
        <v>0</v>
      </c>
      <c r="R284" s="3166">
        <v>0</v>
      </c>
      <c r="S284" s="3709"/>
      <c r="T284" s="3828"/>
      <c r="U284" s="1899"/>
      <c r="V284" s="1846">
        <f t="shared" si="58"/>
        <v>87906184</v>
      </c>
    </row>
    <row r="285" spans="1:22" s="257" customFormat="1" ht="15.05" customHeight="1">
      <c r="A285" s="1919"/>
      <c r="B285" s="1919"/>
      <c r="C285" s="1919"/>
      <c r="D285" s="1919"/>
      <c r="E285" s="1919"/>
      <c r="F285" s="2845" t="s">
        <v>50</v>
      </c>
      <c r="G285" s="1945"/>
      <c r="H285" s="200" t="str">
        <f>MAR!I543</f>
        <v>Samsat Sumbawa Barat</v>
      </c>
      <c r="J285" s="3257"/>
      <c r="K285" s="3258">
        <v>41615371</v>
      </c>
      <c r="L285" s="3125">
        <v>0</v>
      </c>
      <c r="M285" s="3124">
        <v>2760945</v>
      </c>
      <c r="N285" s="3125">
        <v>2402495</v>
      </c>
      <c r="O285" s="3125">
        <v>5163440</v>
      </c>
      <c r="P285" s="3125">
        <v>0</v>
      </c>
      <c r="Q285" s="3125">
        <f t="shared" si="57"/>
        <v>0</v>
      </c>
      <c r="R285" s="3166">
        <v>0</v>
      </c>
      <c r="S285" s="3723"/>
      <c r="T285" s="3845"/>
      <c r="U285" s="3796"/>
      <c r="V285" s="1846">
        <f t="shared" si="58"/>
        <v>20653760</v>
      </c>
    </row>
    <row r="286" spans="1:22" s="257" customFormat="1" ht="15.05" customHeight="1">
      <c r="A286" s="3869"/>
      <c r="B286" s="3869"/>
      <c r="C286" s="3869"/>
      <c r="D286" s="3869"/>
      <c r="E286" s="3869"/>
      <c r="F286" s="3588" t="s">
        <v>50</v>
      </c>
      <c r="G286" s="3589"/>
      <c r="H286" s="3575" t="str">
        <f>MAR!I544</f>
        <v>Samsat Kab.Lombok Utara</v>
      </c>
      <c r="I286" s="3575"/>
      <c r="J286" s="3576"/>
      <c r="K286" s="3583">
        <v>0</v>
      </c>
      <c r="L286" s="3578">
        <v>0</v>
      </c>
      <c r="M286" s="3579">
        <v>2123531</v>
      </c>
      <c r="N286" s="3578">
        <v>1371025</v>
      </c>
      <c r="O286" s="3578">
        <v>3494556</v>
      </c>
      <c r="P286" s="3578">
        <v>0</v>
      </c>
      <c r="Q286" s="3578">
        <f t="shared" si="57"/>
        <v>0</v>
      </c>
      <c r="R286" s="3580">
        <v>0</v>
      </c>
      <c r="S286" s="3709"/>
      <c r="T286" s="3828"/>
      <c r="U286" s="1899"/>
      <c r="V286" s="1846">
        <f t="shared" si="58"/>
        <v>13978224</v>
      </c>
    </row>
    <row r="287" spans="1:22" s="2947" customFormat="1" ht="15.05" customHeight="1">
      <c r="A287" s="3053">
        <v>4</v>
      </c>
      <c r="B287" s="3054">
        <v>1</v>
      </c>
      <c r="C287" s="3054">
        <v>4</v>
      </c>
      <c r="D287" s="3054" t="s">
        <v>448</v>
      </c>
      <c r="E287" s="3054"/>
      <c r="F287" s="3056" t="s">
        <v>220</v>
      </c>
      <c r="G287" s="3057"/>
      <c r="H287" s="3064"/>
      <c r="I287" s="3064"/>
      <c r="J287" s="3212">
        <f>J288+J289</f>
        <v>235536159</v>
      </c>
      <c r="K287" s="3212">
        <f t="shared" ref="K287:P287" si="59">K288+K289</f>
        <v>12930312</v>
      </c>
      <c r="L287" s="3212">
        <f t="shared" si="59"/>
        <v>235536159</v>
      </c>
      <c r="M287" s="3212">
        <f t="shared" si="59"/>
        <v>558496</v>
      </c>
      <c r="N287" s="3212">
        <f t="shared" si="59"/>
        <v>695000</v>
      </c>
      <c r="O287" s="3212">
        <f t="shared" si="59"/>
        <v>1253496</v>
      </c>
      <c r="P287" s="3212">
        <f t="shared" si="59"/>
        <v>31000000</v>
      </c>
      <c r="Q287" s="3178">
        <f t="shared" si="57"/>
        <v>-204536159</v>
      </c>
      <c r="R287" s="3213">
        <f>+P287/L287*100-100</f>
        <v>-86.838538875892937</v>
      </c>
      <c r="S287" s="3716"/>
      <c r="T287" s="3838"/>
      <c r="U287" s="3066"/>
      <c r="V287" s="2944">
        <f t="shared" si="58"/>
        <v>5013984</v>
      </c>
    </row>
    <row r="288" spans="1:22" s="257" customFormat="1" ht="15.05" customHeight="1">
      <c r="A288" s="1889">
        <v>4</v>
      </c>
      <c r="B288" s="1889">
        <v>1</v>
      </c>
      <c r="C288" s="1889">
        <v>4</v>
      </c>
      <c r="D288" s="1889" t="s">
        <v>448</v>
      </c>
      <c r="E288" s="1889" t="s">
        <v>438</v>
      </c>
      <c r="F288" s="2358" t="s">
        <v>50</v>
      </c>
      <c r="G288" s="3084" t="s">
        <v>560</v>
      </c>
      <c r="H288" s="212"/>
      <c r="I288" s="212"/>
      <c r="J288" s="3214">
        <v>217536159</v>
      </c>
      <c r="K288" s="3155">
        <v>12930312</v>
      </c>
      <c r="L288" s="3234">
        <v>217536159</v>
      </c>
      <c r="M288" s="3225">
        <v>558496</v>
      </c>
      <c r="N288" s="3234">
        <v>0</v>
      </c>
      <c r="O288" s="3234">
        <v>558496</v>
      </c>
      <c r="P288" s="3234">
        <v>13000000</v>
      </c>
      <c r="Q288" s="3234">
        <f t="shared" si="57"/>
        <v>-204536159</v>
      </c>
      <c r="R288" s="3235">
        <f>+P288/L288*100-100</f>
        <v>-94.023982008434743</v>
      </c>
      <c r="S288" s="3720"/>
      <c r="T288" s="3835"/>
      <c r="U288" s="1911"/>
      <c r="V288" s="1846">
        <f t="shared" si="58"/>
        <v>2233984</v>
      </c>
    </row>
    <row r="289" spans="1:22" s="257" customFormat="1" ht="15.05" customHeight="1">
      <c r="A289" s="1854">
        <v>4</v>
      </c>
      <c r="B289" s="1854">
        <v>1</v>
      </c>
      <c r="C289" s="1854">
        <v>4</v>
      </c>
      <c r="D289" s="1854" t="s">
        <v>448</v>
      </c>
      <c r="E289" s="1854" t="s">
        <v>440</v>
      </c>
      <c r="F289" s="1464" t="s">
        <v>561</v>
      </c>
      <c r="G289" s="1860"/>
      <c r="H289" s="202"/>
      <c r="I289" s="202"/>
      <c r="J289" s="3259">
        <v>18000000</v>
      </c>
      <c r="K289" s="3123">
        <v>0</v>
      </c>
      <c r="L289" s="3182">
        <v>18000000</v>
      </c>
      <c r="M289" s="3183">
        <v>0</v>
      </c>
      <c r="N289" s="3182">
        <v>695000</v>
      </c>
      <c r="O289" s="3182">
        <v>695000</v>
      </c>
      <c r="P289" s="3182">
        <v>18000000</v>
      </c>
      <c r="Q289" s="3182">
        <f t="shared" si="57"/>
        <v>0</v>
      </c>
      <c r="R289" s="3126">
        <f>+P289/L289*100-100</f>
        <v>0</v>
      </c>
      <c r="S289" s="3697"/>
      <c r="T289" s="3816"/>
      <c r="U289" s="3777"/>
      <c r="V289" s="1846">
        <f t="shared" si="58"/>
        <v>2780000</v>
      </c>
    </row>
    <row r="290" spans="1:22" s="257" customFormat="1" ht="15.05" customHeight="1">
      <c r="A290" s="1855">
        <v>4</v>
      </c>
      <c r="B290" s="1855">
        <v>1</v>
      </c>
      <c r="C290" s="1855">
        <v>4</v>
      </c>
      <c r="D290" s="1855" t="s">
        <v>448</v>
      </c>
      <c r="E290" s="1855" t="s">
        <v>440</v>
      </c>
      <c r="F290" s="1857" t="s">
        <v>50</v>
      </c>
      <c r="G290" s="200" t="s">
        <v>562</v>
      </c>
      <c r="I290" s="200"/>
      <c r="J290" s="3215">
        <v>18000000</v>
      </c>
      <c r="K290" s="3171">
        <v>0</v>
      </c>
      <c r="L290" s="3125">
        <v>18000000</v>
      </c>
      <c r="M290" s="3124">
        <v>0</v>
      </c>
      <c r="N290" s="3125">
        <v>695000</v>
      </c>
      <c r="O290" s="3125">
        <v>695000</v>
      </c>
      <c r="P290" s="3125">
        <v>18000000</v>
      </c>
      <c r="Q290" s="3125">
        <f t="shared" si="57"/>
        <v>0</v>
      </c>
      <c r="R290" s="3166">
        <f>+P290/L290*100-100</f>
        <v>0</v>
      </c>
      <c r="S290" s="3275"/>
      <c r="T290" s="3826"/>
      <c r="U290" s="3771"/>
      <c r="V290" s="1846">
        <f t="shared" si="58"/>
        <v>2780000</v>
      </c>
    </row>
    <row r="291" spans="1:22" s="257" customFormat="1" ht="15.05" customHeight="1">
      <c r="A291" s="1886"/>
      <c r="B291" s="1886"/>
      <c r="C291" s="1886"/>
      <c r="D291" s="1886"/>
      <c r="E291" s="1886"/>
      <c r="F291" s="1887"/>
      <c r="G291" s="1888"/>
      <c r="H291" s="856"/>
      <c r="I291" s="856"/>
      <c r="J291" s="3238"/>
      <c r="K291" s="3173"/>
      <c r="L291" s="3174"/>
      <c r="M291" s="3175"/>
      <c r="N291" s="3174"/>
      <c r="O291" s="3174"/>
      <c r="P291" s="3174"/>
      <c r="Q291" s="3174"/>
      <c r="R291" s="3194"/>
      <c r="S291" s="3712"/>
      <c r="T291" s="3831"/>
      <c r="U291" s="1899"/>
      <c r="V291" s="1846">
        <f t="shared" si="58"/>
        <v>0</v>
      </c>
    </row>
    <row r="292" spans="1:22" s="2947" customFormat="1" ht="14.4" hidden="1" customHeight="1">
      <c r="A292" s="3053">
        <v>4</v>
      </c>
      <c r="B292" s="3054">
        <v>1</v>
      </c>
      <c r="C292" s="3054">
        <v>4</v>
      </c>
      <c r="D292" s="3054" t="s">
        <v>563</v>
      </c>
      <c r="E292" s="3054"/>
      <c r="F292" s="3056" t="s">
        <v>564</v>
      </c>
      <c r="G292" s="3057"/>
      <c r="H292" s="3064"/>
      <c r="I292" s="3064"/>
      <c r="J292" s="3212" t="e">
        <f>+#REF!</f>
        <v>#REF!</v>
      </c>
      <c r="K292" s="3202" t="e">
        <f>+#REF!</f>
        <v>#REF!</v>
      </c>
      <c r="L292" s="3178">
        <f>SUM(L293)</f>
        <v>0</v>
      </c>
      <c r="M292" s="3179">
        <v>0</v>
      </c>
      <c r="N292" s="3178">
        <f>SUM(N293)</f>
        <v>0</v>
      </c>
      <c r="O292" s="3178">
        <f>+N292+M292</f>
        <v>0</v>
      </c>
      <c r="P292" s="3178">
        <v>0</v>
      </c>
      <c r="Q292" s="3178">
        <f>+P292-L292</f>
        <v>0</v>
      </c>
      <c r="R292" s="3213">
        <v>0</v>
      </c>
      <c r="S292" s="3716"/>
      <c r="T292" s="3838"/>
      <c r="U292" s="3066"/>
      <c r="V292" s="2944">
        <f t="shared" si="58"/>
        <v>0</v>
      </c>
    </row>
    <row r="293" spans="1:22" s="257" customFormat="1" ht="15.05" hidden="1" customHeight="1">
      <c r="A293" s="1889">
        <v>4</v>
      </c>
      <c r="B293" s="1889">
        <v>1</v>
      </c>
      <c r="C293" s="1889">
        <v>4</v>
      </c>
      <c r="D293" s="1905" t="s">
        <v>563</v>
      </c>
      <c r="E293" s="1889" t="s">
        <v>437</v>
      </c>
      <c r="F293" s="3087" t="s">
        <v>50</v>
      </c>
      <c r="G293" s="3084" t="s">
        <v>565</v>
      </c>
      <c r="H293" s="224"/>
      <c r="I293" s="224"/>
      <c r="J293" s="3254" t="e">
        <f>+#REF!</f>
        <v>#REF!</v>
      </c>
      <c r="K293" s="3237" t="e">
        <f>+#REF!</f>
        <v>#REF!</v>
      </c>
      <c r="L293" s="3234">
        <v>0</v>
      </c>
      <c r="M293" s="3225">
        <v>0</v>
      </c>
      <c r="N293" s="3234">
        <v>0</v>
      </c>
      <c r="O293" s="3234">
        <v>0</v>
      </c>
      <c r="P293" s="3234">
        <v>0</v>
      </c>
      <c r="Q293" s="3234">
        <f>+P293-L293</f>
        <v>0</v>
      </c>
      <c r="R293" s="3235">
        <v>0</v>
      </c>
      <c r="S293" s="3747"/>
      <c r="T293" s="3835"/>
      <c r="U293" s="3797">
        <f>PerDinas!Q167</f>
        <v>0</v>
      </c>
      <c r="V293" s="1846">
        <f t="shared" si="58"/>
        <v>0</v>
      </c>
    </row>
    <row r="294" spans="1:22" s="257" customFormat="1" ht="15.05" hidden="1" customHeight="1">
      <c r="A294" s="1886"/>
      <c r="B294" s="1886"/>
      <c r="C294" s="1886"/>
      <c r="D294" s="1886"/>
      <c r="E294" s="1886"/>
      <c r="F294" s="1887"/>
      <c r="G294" s="1888"/>
      <c r="H294" s="856"/>
      <c r="I294" s="856"/>
      <c r="J294" s="3238"/>
      <c r="K294" s="3173"/>
      <c r="L294" s="3174"/>
      <c r="M294" s="3175"/>
      <c r="N294" s="3174"/>
      <c r="O294" s="3174"/>
      <c r="P294" s="3174"/>
      <c r="Q294" s="3174"/>
      <c r="R294" s="3194"/>
      <c r="S294" s="3712"/>
      <c r="T294" s="3831"/>
      <c r="U294" s="3771"/>
      <c r="V294" s="1846">
        <f t="shared" si="58"/>
        <v>0</v>
      </c>
    </row>
    <row r="295" spans="1:22" s="2963" customFormat="1" ht="15.05" customHeight="1">
      <c r="A295" s="3053">
        <v>4</v>
      </c>
      <c r="B295" s="3054">
        <v>1</v>
      </c>
      <c r="C295" s="3054">
        <v>4</v>
      </c>
      <c r="D295" s="3054" t="s">
        <v>444</v>
      </c>
      <c r="E295" s="3054"/>
      <c r="F295" s="3091" t="s">
        <v>566</v>
      </c>
      <c r="G295" s="3064"/>
      <c r="H295" s="3064"/>
      <c r="I295" s="3064"/>
      <c r="J295" s="3212">
        <f>J296+J300+J308+J312</f>
        <v>68944925050</v>
      </c>
      <c r="K295" s="3212">
        <f t="shared" ref="K295:P295" si="60">K296+K300+K308+K312</f>
        <v>62912738507.940002</v>
      </c>
      <c r="L295" s="3212">
        <f t="shared" si="60"/>
        <v>73939763650</v>
      </c>
      <c r="M295" s="3212">
        <f t="shared" si="60"/>
        <v>29397490</v>
      </c>
      <c r="N295" s="3212">
        <f t="shared" si="60"/>
        <v>20809650</v>
      </c>
      <c r="O295" s="3212">
        <f t="shared" si="60"/>
        <v>50207140</v>
      </c>
      <c r="P295" s="3212">
        <f t="shared" si="60"/>
        <v>73954763650</v>
      </c>
      <c r="Q295" s="3178">
        <f t="shared" ref="Q295:Q310" si="61">+P295-L295</f>
        <v>15000000</v>
      </c>
      <c r="R295" s="3180">
        <f>+P295/L295*100-100</f>
        <v>2.0286783808231235E-2</v>
      </c>
      <c r="S295" s="3700"/>
      <c r="T295" s="3818"/>
      <c r="U295" s="3791"/>
      <c r="V295" s="2962">
        <f t="shared" si="58"/>
        <v>200828560</v>
      </c>
    </row>
    <row r="296" spans="1:22" s="1836" customFormat="1" ht="15.05" customHeight="1">
      <c r="A296" s="1889">
        <v>4</v>
      </c>
      <c r="B296" s="1889">
        <v>1</v>
      </c>
      <c r="C296" s="1889">
        <v>4</v>
      </c>
      <c r="D296" s="1889" t="s">
        <v>444</v>
      </c>
      <c r="E296" s="2985" t="s">
        <v>438</v>
      </c>
      <c r="F296" s="3089" t="s">
        <v>567</v>
      </c>
      <c r="G296" s="224"/>
      <c r="H296" s="224"/>
      <c r="I296" s="212"/>
      <c r="J296" s="3214">
        <v>0</v>
      </c>
      <c r="K296" s="3155">
        <v>0</v>
      </c>
      <c r="L296" s="3234">
        <v>0</v>
      </c>
      <c r="M296" s="3225">
        <v>0</v>
      </c>
      <c r="N296" s="3234">
        <v>0</v>
      </c>
      <c r="O296" s="3234">
        <v>0</v>
      </c>
      <c r="P296" s="3234">
        <v>0</v>
      </c>
      <c r="Q296" s="3234">
        <f t="shared" si="61"/>
        <v>0</v>
      </c>
      <c r="R296" s="3156">
        <v>0</v>
      </c>
      <c r="S296" s="3704"/>
      <c r="T296" s="3822"/>
      <c r="U296" s="3777"/>
      <c r="V296" s="1931">
        <f t="shared" si="58"/>
        <v>0</v>
      </c>
    </row>
    <row r="297" spans="1:22" s="1837" customFormat="1" ht="15.05" hidden="1" customHeight="1">
      <c r="A297" s="1925"/>
      <c r="B297" s="1925"/>
      <c r="C297" s="1925"/>
      <c r="D297" s="1925"/>
      <c r="E297" s="1925"/>
      <c r="F297" s="1928" t="s">
        <v>50</v>
      </c>
      <c r="G297" s="1927"/>
      <c r="H297" s="1927" t="s">
        <v>568</v>
      </c>
      <c r="I297" s="2846"/>
      <c r="J297" s="3260"/>
      <c r="K297" s="3261"/>
      <c r="L297" s="3262">
        <v>0</v>
      </c>
      <c r="M297" s="3263">
        <v>0</v>
      </c>
      <c r="N297" s="3262">
        <v>0</v>
      </c>
      <c r="O297" s="3262">
        <v>0</v>
      </c>
      <c r="P297" s="3262">
        <v>0</v>
      </c>
      <c r="Q297" s="3262">
        <f t="shared" si="61"/>
        <v>0</v>
      </c>
      <c r="R297" s="3264" t="e">
        <f>+P297/L297*100-100</f>
        <v>#DIV/0!</v>
      </c>
      <c r="S297" s="3724"/>
      <c r="T297" s="3846"/>
      <c r="U297" s="3798"/>
      <c r="V297" s="1933">
        <f t="shared" si="58"/>
        <v>0</v>
      </c>
    </row>
    <row r="298" spans="1:22" s="1836" customFormat="1" ht="15.05" hidden="1" customHeight="1">
      <c r="A298" s="1854"/>
      <c r="B298" s="1854"/>
      <c r="C298" s="1854"/>
      <c r="D298" s="1854"/>
      <c r="E298" s="1854"/>
      <c r="F298" s="1856"/>
      <c r="G298" s="202"/>
      <c r="H298" s="202"/>
      <c r="I298" s="202"/>
      <c r="J298" s="3259"/>
      <c r="K298" s="3123"/>
      <c r="L298" s="3182"/>
      <c r="M298" s="3183"/>
      <c r="N298" s="3182"/>
      <c r="O298" s="3182"/>
      <c r="P298" s="3182"/>
      <c r="Q298" s="3182">
        <f t="shared" si="61"/>
        <v>0</v>
      </c>
      <c r="R298" s="3126" t="e">
        <f>+P298/L298*100-100</f>
        <v>#DIV/0!</v>
      </c>
      <c r="S298" s="3697"/>
      <c r="T298" s="3816"/>
      <c r="U298" s="3777"/>
      <c r="V298" s="1931">
        <f t="shared" si="58"/>
        <v>0</v>
      </c>
    </row>
    <row r="299" spans="1:22" s="1836" customFormat="1" ht="15.05" hidden="1" customHeight="1">
      <c r="A299" s="1854"/>
      <c r="B299" s="1854"/>
      <c r="C299" s="1854"/>
      <c r="D299" s="1854"/>
      <c r="E299" s="1854"/>
      <c r="F299" s="1856"/>
      <c r="G299" s="202"/>
      <c r="H299" s="202"/>
      <c r="I299" s="202"/>
      <c r="J299" s="3259"/>
      <c r="K299" s="3123"/>
      <c r="L299" s="3182"/>
      <c r="M299" s="3183"/>
      <c r="N299" s="3182"/>
      <c r="O299" s="3182"/>
      <c r="P299" s="3182"/>
      <c r="Q299" s="3182">
        <f t="shared" si="61"/>
        <v>0</v>
      </c>
      <c r="R299" s="3126" t="e">
        <f>+P299/L299*100-100</f>
        <v>#DIV/0!</v>
      </c>
      <c r="S299" s="3697"/>
      <c r="T299" s="3816"/>
      <c r="U299" s="3777"/>
      <c r="V299" s="1931">
        <f t="shared" si="58"/>
        <v>0</v>
      </c>
    </row>
    <row r="300" spans="1:22" s="257" customFormat="1" ht="15.05" customHeight="1">
      <c r="A300" s="1855">
        <v>4</v>
      </c>
      <c r="B300" s="1855">
        <v>1</v>
      </c>
      <c r="C300" s="1855">
        <v>4</v>
      </c>
      <c r="D300" s="1855" t="s">
        <v>444</v>
      </c>
      <c r="E300" s="1854" t="s">
        <v>440</v>
      </c>
      <c r="F300" s="1856" t="s">
        <v>569</v>
      </c>
      <c r="G300" s="202"/>
      <c r="H300" s="202"/>
      <c r="I300" s="202"/>
      <c r="J300" s="3259">
        <v>0</v>
      </c>
      <c r="K300" s="3123">
        <v>30600000</v>
      </c>
      <c r="L300" s="3182">
        <v>0</v>
      </c>
      <c r="M300" s="3183">
        <v>0</v>
      </c>
      <c r="N300" s="3182">
        <v>11463600</v>
      </c>
      <c r="O300" s="3182">
        <v>11463600</v>
      </c>
      <c r="P300" s="3182">
        <f>+P301</f>
        <v>15000000</v>
      </c>
      <c r="Q300" s="3182">
        <f t="shared" si="61"/>
        <v>15000000</v>
      </c>
      <c r="R300" s="3126">
        <v>0</v>
      </c>
      <c r="S300" s="3697"/>
      <c r="T300" s="3816"/>
      <c r="U300" s="3771"/>
      <c r="V300" s="1846">
        <f t="shared" si="58"/>
        <v>45854400</v>
      </c>
    </row>
    <row r="301" spans="1:22" s="257" customFormat="1" ht="15.05" customHeight="1">
      <c r="A301" s="1855"/>
      <c r="B301" s="1855"/>
      <c r="C301" s="1855"/>
      <c r="D301" s="1855"/>
      <c r="E301" s="1855"/>
      <c r="F301" s="2732" t="s">
        <v>50</v>
      </c>
      <c r="G301" s="200" t="s">
        <v>570</v>
      </c>
      <c r="H301" s="200"/>
      <c r="I301" s="200"/>
      <c r="J301" s="3215"/>
      <c r="K301" s="3171"/>
      <c r="L301" s="3125">
        <v>0</v>
      </c>
      <c r="M301" s="3265"/>
      <c r="N301" s="3124">
        <v>11463600</v>
      </c>
      <c r="O301" s="3124">
        <v>11463600</v>
      </c>
      <c r="P301" s="3125">
        <v>15000000</v>
      </c>
      <c r="Q301" s="3125">
        <f t="shared" si="61"/>
        <v>15000000</v>
      </c>
      <c r="R301" s="3166">
        <v>0</v>
      </c>
      <c r="S301" s="3275"/>
      <c r="T301" s="3826"/>
      <c r="U301" s="3771"/>
      <c r="V301" s="1846">
        <f t="shared" si="58"/>
        <v>45854400</v>
      </c>
    </row>
    <row r="302" spans="1:22" s="1838" customFormat="1" ht="15.05" hidden="1" customHeight="1">
      <c r="A302" s="1926"/>
      <c r="B302" s="1926"/>
      <c r="C302" s="1926"/>
      <c r="D302" s="1926"/>
      <c r="E302" s="1926"/>
      <c r="F302" s="2732" t="s">
        <v>50</v>
      </c>
      <c r="G302" s="1927"/>
      <c r="H302" s="1927" t="s">
        <v>570</v>
      </c>
      <c r="I302" s="1927"/>
      <c r="J302" s="3266"/>
      <c r="K302" s="3267"/>
      <c r="L302" s="3262">
        <v>0</v>
      </c>
      <c r="M302" s="3263">
        <v>0</v>
      </c>
      <c r="N302" s="3262">
        <v>0</v>
      </c>
      <c r="O302" s="3262">
        <v>0</v>
      </c>
      <c r="P302" s="3262">
        <v>0</v>
      </c>
      <c r="Q302" s="3262">
        <f t="shared" si="61"/>
        <v>0</v>
      </c>
      <c r="R302" s="3268" t="e">
        <f>+P302/L302*100-100</f>
        <v>#DIV/0!</v>
      </c>
      <c r="S302" s="3725"/>
      <c r="T302" s="3847"/>
      <c r="U302" s="3799"/>
      <c r="V302" s="1846">
        <f t="shared" si="58"/>
        <v>0</v>
      </c>
    </row>
    <row r="303" spans="1:22" s="1838" customFormat="1" ht="15.05" hidden="1" customHeight="1">
      <c r="A303" s="1926"/>
      <c r="B303" s="1926"/>
      <c r="C303" s="1926"/>
      <c r="D303" s="1926"/>
      <c r="E303" s="1926"/>
      <c r="F303" s="2732" t="s">
        <v>50</v>
      </c>
      <c r="G303" s="1927"/>
      <c r="H303" s="1927" t="s">
        <v>571</v>
      </c>
      <c r="I303" s="1927"/>
      <c r="J303" s="3266"/>
      <c r="K303" s="3267"/>
      <c r="L303" s="3262">
        <f>PerDinas!K208</f>
        <v>0</v>
      </c>
      <c r="M303" s="3263">
        <v>0</v>
      </c>
      <c r="N303" s="3262">
        <f>PerDinas!M208</f>
        <v>0</v>
      </c>
      <c r="O303" s="3262">
        <f>PerDinas!N208</f>
        <v>0</v>
      </c>
      <c r="P303" s="3262">
        <v>0</v>
      </c>
      <c r="Q303" s="3262">
        <f t="shared" si="61"/>
        <v>0</v>
      </c>
      <c r="R303" s="3268" t="e">
        <f>+P303/L303*100-100</f>
        <v>#DIV/0!</v>
      </c>
      <c r="S303" s="3749"/>
      <c r="T303" s="3847"/>
      <c r="U303" s="3800">
        <f>PerDinas!Q208</f>
        <v>0</v>
      </c>
      <c r="V303" s="1846">
        <f t="shared" si="58"/>
        <v>0</v>
      </c>
    </row>
    <row r="304" spans="1:22" s="257" customFormat="1" ht="15.05" customHeight="1">
      <c r="A304" s="1855">
        <v>4</v>
      </c>
      <c r="B304" s="1855">
        <v>1</v>
      </c>
      <c r="C304" s="1855">
        <v>4</v>
      </c>
      <c r="D304" s="1855" t="s">
        <v>444</v>
      </c>
      <c r="E304" s="1854" t="s">
        <v>445</v>
      </c>
      <c r="F304" s="1856" t="s">
        <v>572</v>
      </c>
      <c r="G304" s="202"/>
      <c r="H304" s="202"/>
      <c r="I304" s="202"/>
      <c r="J304" s="3259"/>
      <c r="K304" s="3123"/>
      <c r="L304" s="3182">
        <f>SUM(L305:L307)</f>
        <v>0</v>
      </c>
      <c r="M304" s="3183">
        <v>0</v>
      </c>
      <c r="N304" s="3182">
        <f>SUM(N305:N307)</f>
        <v>0</v>
      </c>
      <c r="O304" s="3182">
        <f>SUM(O305:O307)</f>
        <v>0</v>
      </c>
      <c r="P304" s="3182">
        <v>0</v>
      </c>
      <c r="Q304" s="3182">
        <f t="shared" si="61"/>
        <v>0</v>
      </c>
      <c r="R304" s="3126">
        <v>0</v>
      </c>
      <c r="S304" s="3697"/>
      <c r="T304" s="3816"/>
      <c r="U304" s="3777"/>
      <c r="V304" s="1846">
        <f t="shared" si="58"/>
        <v>0</v>
      </c>
    </row>
    <row r="305" spans="1:22" s="1838" customFormat="1" ht="15.05" hidden="1" customHeight="1">
      <c r="A305" s="1926"/>
      <c r="B305" s="1926"/>
      <c r="C305" s="1926"/>
      <c r="D305" s="1926"/>
      <c r="E305" s="1926"/>
      <c r="F305" s="1928"/>
      <c r="G305" s="1927"/>
      <c r="H305" s="1927"/>
      <c r="I305" s="1927"/>
      <c r="J305" s="3266"/>
      <c r="K305" s="3267"/>
      <c r="L305" s="3262"/>
      <c r="M305" s="3263"/>
      <c r="N305" s="3262"/>
      <c r="O305" s="3262"/>
      <c r="P305" s="3262"/>
      <c r="Q305" s="3262">
        <f t="shared" si="61"/>
        <v>0</v>
      </c>
      <c r="R305" s="3268" t="e">
        <f t="shared" ref="R305:R310" si="62">+P305/L305*100-100</f>
        <v>#DIV/0!</v>
      </c>
      <c r="S305" s="3725"/>
      <c r="T305" s="3847"/>
      <c r="U305" s="3799"/>
      <c r="V305" s="1846">
        <f t="shared" si="58"/>
        <v>0</v>
      </c>
    </row>
    <row r="306" spans="1:22" s="1838" customFormat="1" ht="15.05" hidden="1" customHeight="1">
      <c r="A306" s="1926"/>
      <c r="B306" s="1926"/>
      <c r="C306" s="1926"/>
      <c r="D306" s="1926"/>
      <c r="E306" s="1926"/>
      <c r="F306" s="1928" t="s">
        <v>50</v>
      </c>
      <c r="G306" s="1927"/>
      <c r="H306" s="1927" t="s">
        <v>570</v>
      </c>
      <c r="I306" s="1927"/>
      <c r="J306" s="3266"/>
      <c r="K306" s="3267"/>
      <c r="L306" s="3262">
        <v>0</v>
      </c>
      <c r="M306" s="3263">
        <v>0</v>
      </c>
      <c r="N306" s="3262">
        <v>0</v>
      </c>
      <c r="O306" s="3262">
        <v>0</v>
      </c>
      <c r="P306" s="3262">
        <v>0</v>
      </c>
      <c r="Q306" s="3262">
        <f t="shared" si="61"/>
        <v>0</v>
      </c>
      <c r="R306" s="3269" t="e">
        <f t="shared" si="62"/>
        <v>#DIV/0!</v>
      </c>
      <c r="S306" s="3726"/>
      <c r="T306" s="3848"/>
      <c r="U306" s="3799"/>
      <c r="V306" s="1846">
        <f t="shared" si="58"/>
        <v>0</v>
      </c>
    </row>
    <row r="307" spans="1:22" s="1838" customFormat="1" ht="15.05" hidden="1" customHeight="1">
      <c r="A307" s="1926"/>
      <c r="B307" s="1926"/>
      <c r="C307" s="1926"/>
      <c r="D307" s="1926"/>
      <c r="E307" s="1926"/>
      <c r="F307" s="1928" t="s">
        <v>50</v>
      </c>
      <c r="G307" s="1927"/>
      <c r="H307" s="1927" t="s">
        <v>573</v>
      </c>
      <c r="I307" s="1927"/>
      <c r="J307" s="3266"/>
      <c r="K307" s="3267"/>
      <c r="L307" s="3262">
        <f>PerDinas!K253</f>
        <v>0</v>
      </c>
      <c r="M307" s="3263">
        <v>0</v>
      </c>
      <c r="N307" s="3262">
        <f>PerDinas!M253</f>
        <v>0</v>
      </c>
      <c r="O307" s="3262">
        <f>PerDinas!N253</f>
        <v>0</v>
      </c>
      <c r="P307" s="3262">
        <v>0</v>
      </c>
      <c r="Q307" s="3262">
        <f t="shared" si="61"/>
        <v>0</v>
      </c>
      <c r="R307" s="3268" t="e">
        <f t="shared" si="62"/>
        <v>#DIV/0!</v>
      </c>
      <c r="S307" s="3749"/>
      <c r="T307" s="3847"/>
      <c r="U307" s="3800">
        <f>PerDinas!Q253</f>
        <v>0</v>
      </c>
      <c r="V307" s="1846">
        <f t="shared" si="58"/>
        <v>0</v>
      </c>
    </row>
    <row r="308" spans="1:22" s="257" customFormat="1" ht="15.05" customHeight="1">
      <c r="A308" s="1855">
        <v>4</v>
      </c>
      <c r="B308" s="1855">
        <v>1</v>
      </c>
      <c r="C308" s="1855">
        <v>4</v>
      </c>
      <c r="D308" s="1855" t="s">
        <v>444</v>
      </c>
      <c r="E308" s="2873" t="s">
        <v>456</v>
      </c>
      <c r="F308" s="202" t="s">
        <v>574</v>
      </c>
      <c r="G308" s="202"/>
      <c r="H308" s="202"/>
      <c r="I308" s="202"/>
      <c r="J308" s="3259">
        <f>+J309</f>
        <v>65944925050</v>
      </c>
      <c r="K308" s="3259">
        <f>+K309</f>
        <v>60557314220</v>
      </c>
      <c r="L308" s="3259">
        <f>+L309</f>
        <v>70939763650</v>
      </c>
      <c r="M308" s="3183">
        <v>0</v>
      </c>
      <c r="N308" s="3182">
        <f>SUM(N309:N311)</f>
        <v>0</v>
      </c>
      <c r="O308" s="3182">
        <f>SUM(O309:O311)</f>
        <v>0</v>
      </c>
      <c r="P308" s="3182">
        <v>70939763650</v>
      </c>
      <c r="Q308" s="3182">
        <f t="shared" si="61"/>
        <v>0</v>
      </c>
      <c r="R308" s="3184">
        <f t="shared" si="62"/>
        <v>0</v>
      </c>
      <c r="S308" s="3710"/>
      <c r="T308" s="3829"/>
      <c r="U308" s="3777"/>
      <c r="V308" s="1846">
        <f t="shared" si="58"/>
        <v>0</v>
      </c>
    </row>
    <row r="309" spans="1:22" s="257" customFormat="1" ht="15.05" customHeight="1">
      <c r="A309" s="1855"/>
      <c r="B309" s="1855"/>
      <c r="C309" s="1855"/>
      <c r="D309" s="1855"/>
      <c r="E309" s="1855"/>
      <c r="F309" s="2214" t="s">
        <v>50</v>
      </c>
      <c r="G309" s="200" t="e">
        <f>+#REF!</f>
        <v>#REF!</v>
      </c>
      <c r="H309" s="200"/>
      <c r="I309" s="200"/>
      <c r="J309" s="3215">
        <v>65944925050</v>
      </c>
      <c r="K309" s="3171">
        <v>60557314220</v>
      </c>
      <c r="L309" s="3125">
        <v>70939763650</v>
      </c>
      <c r="M309" s="3124">
        <v>0</v>
      </c>
      <c r="N309" s="3125">
        <v>0</v>
      </c>
      <c r="O309" s="3125">
        <v>0</v>
      </c>
      <c r="P309" s="3125">
        <v>70939763650</v>
      </c>
      <c r="Q309" s="3125">
        <f t="shared" si="61"/>
        <v>0</v>
      </c>
      <c r="R309" s="3166">
        <f t="shared" si="62"/>
        <v>0</v>
      </c>
      <c r="S309" s="3275"/>
      <c r="T309" s="3826"/>
      <c r="U309" s="3771"/>
      <c r="V309" s="1846">
        <f t="shared" si="58"/>
        <v>0</v>
      </c>
    </row>
    <row r="310" spans="1:22" s="257" customFormat="1" ht="15.05" customHeight="1">
      <c r="A310" s="1855"/>
      <c r="B310" s="1855"/>
      <c r="C310" s="1855"/>
      <c r="D310" s="1855"/>
      <c r="E310" s="1855"/>
      <c r="F310" s="2214"/>
      <c r="G310" s="200" t="str">
        <f>[3]MAR!I416</f>
        <v>- Insentif Prem Indi Fase I</v>
      </c>
      <c r="H310" s="200"/>
      <c r="I310" s="200"/>
      <c r="J310" s="3215"/>
      <c r="K310" s="3171"/>
      <c r="L310" s="3125">
        <f>MAR!J416</f>
        <v>0</v>
      </c>
      <c r="M310" s="3124">
        <v>0</v>
      </c>
      <c r="N310" s="3125">
        <f>MAR!L416</f>
        <v>0</v>
      </c>
      <c r="O310" s="3125">
        <f>MAR!M416</f>
        <v>0</v>
      </c>
      <c r="P310" s="3125">
        <v>0</v>
      </c>
      <c r="Q310" s="3125">
        <f t="shared" si="61"/>
        <v>0</v>
      </c>
      <c r="R310" s="3166" t="e">
        <f t="shared" si="62"/>
        <v>#DIV/0!</v>
      </c>
      <c r="S310" s="3275"/>
      <c r="T310" s="3826"/>
      <c r="U310" s="3771"/>
      <c r="V310" s="1846">
        <f t="shared" si="58"/>
        <v>0</v>
      </c>
    </row>
    <row r="311" spans="1:22" s="257" customFormat="1" ht="15.05" customHeight="1">
      <c r="A311" s="1855"/>
      <c r="B311" s="1855"/>
      <c r="C311" s="1855"/>
      <c r="D311" s="1855"/>
      <c r="E311" s="1855"/>
      <c r="F311" s="2214"/>
      <c r="G311" s="200" t="str">
        <f>MAR!I417</f>
        <v>- Kekurangan Fase I</v>
      </c>
      <c r="H311" s="200"/>
      <c r="I311" s="200"/>
      <c r="J311" s="3215"/>
      <c r="K311" s="3171"/>
      <c r="L311" s="3125"/>
      <c r="M311" s="3124"/>
      <c r="N311" s="3125"/>
      <c r="O311" s="3125"/>
      <c r="P311" s="3125"/>
      <c r="Q311" s="3125"/>
      <c r="R311" s="3166"/>
      <c r="S311" s="3275"/>
      <c r="T311" s="3826"/>
      <c r="U311" s="3771"/>
      <c r="V311" s="1846">
        <f t="shared" si="58"/>
        <v>0</v>
      </c>
    </row>
    <row r="312" spans="1:22" s="257" customFormat="1" ht="15.05" customHeight="1">
      <c r="A312" s="2875">
        <v>4</v>
      </c>
      <c r="B312" s="2875">
        <v>1</v>
      </c>
      <c r="C312" s="2875">
        <v>4</v>
      </c>
      <c r="D312" s="2875" t="s">
        <v>444</v>
      </c>
      <c r="E312" s="1854" t="s">
        <v>441</v>
      </c>
      <c r="F312" s="1856" t="s">
        <v>75</v>
      </c>
      <c r="G312" s="202"/>
      <c r="H312" s="202"/>
      <c r="I312" s="202"/>
      <c r="J312" s="3259">
        <v>3000000000</v>
      </c>
      <c r="K312" s="3123">
        <v>2324824287.9400001</v>
      </c>
      <c r="L312" s="3182">
        <f>SUM(L313:L363)</f>
        <v>3000000000</v>
      </c>
      <c r="M312" s="3183">
        <v>29397490</v>
      </c>
      <c r="N312" s="3182">
        <f>SUM(N313:N360)</f>
        <v>9346050</v>
      </c>
      <c r="O312" s="3182">
        <f>SUM(O313:O360)</f>
        <v>38743540</v>
      </c>
      <c r="P312" s="3182">
        <v>3000000000</v>
      </c>
      <c r="Q312" s="3182">
        <f t="shared" ref="Q312:Q368" si="63">+P312-L312</f>
        <v>0</v>
      </c>
      <c r="R312" s="3126">
        <f>+P312/L312*100-100</f>
        <v>0</v>
      </c>
      <c r="S312" s="3697"/>
      <c r="T312" s="3816"/>
      <c r="U312" s="3771"/>
      <c r="V312" s="1846">
        <f t="shared" si="58"/>
        <v>154974160</v>
      </c>
    </row>
    <row r="313" spans="1:22" s="257" customFormat="1" ht="15.05" customHeight="1">
      <c r="A313" s="1855"/>
      <c r="B313" s="1855"/>
      <c r="C313" s="1855"/>
      <c r="D313" s="1855"/>
      <c r="E313" s="1855"/>
      <c r="F313" s="2214" t="s">
        <v>50</v>
      </c>
      <c r="G313" s="200" t="s">
        <v>1169</v>
      </c>
      <c r="H313" s="200"/>
      <c r="I313" s="200"/>
      <c r="J313" s="3215"/>
      <c r="K313" s="3171">
        <v>51341175</v>
      </c>
      <c r="L313" s="3125">
        <v>3000000000</v>
      </c>
      <c r="M313" s="3124">
        <v>0</v>
      </c>
      <c r="N313" s="3125">
        <v>0</v>
      </c>
      <c r="O313" s="3125">
        <v>0</v>
      </c>
      <c r="P313" s="3125">
        <v>3000000000</v>
      </c>
      <c r="Q313" s="3125">
        <f t="shared" si="63"/>
        <v>0</v>
      </c>
      <c r="R313" s="3166">
        <f>+P313/L313*100-100</f>
        <v>0</v>
      </c>
      <c r="S313" s="3275"/>
      <c r="T313" s="3826"/>
      <c r="U313" s="3771"/>
      <c r="V313" s="1846">
        <f t="shared" si="58"/>
        <v>0</v>
      </c>
    </row>
    <row r="314" spans="1:22" s="257" customFormat="1" ht="15.05" customHeight="1">
      <c r="A314" s="1855"/>
      <c r="B314" s="1855"/>
      <c r="C314" s="1855"/>
      <c r="D314" s="1855"/>
      <c r="E314" s="1855"/>
      <c r="F314" s="2214" t="s">
        <v>50</v>
      </c>
      <c r="G314" s="200" t="s">
        <v>1170</v>
      </c>
      <c r="H314" s="200"/>
      <c r="I314" s="200"/>
      <c r="J314" s="3215"/>
      <c r="K314" s="3171">
        <v>9703356.2599999998</v>
      </c>
      <c r="L314" s="3125">
        <v>0</v>
      </c>
      <c r="M314" s="3124">
        <v>0</v>
      </c>
      <c r="N314" s="3125">
        <v>0</v>
      </c>
      <c r="O314" s="3125">
        <v>0</v>
      </c>
      <c r="P314" s="3125">
        <v>0</v>
      </c>
      <c r="Q314" s="3125">
        <f t="shared" si="63"/>
        <v>0</v>
      </c>
      <c r="R314" s="3166">
        <v>0</v>
      </c>
      <c r="S314" s="3275"/>
      <c r="T314" s="3826"/>
      <c r="U314" s="3771"/>
      <c r="V314" s="1846">
        <f t="shared" si="58"/>
        <v>0</v>
      </c>
    </row>
    <row r="315" spans="1:22" s="257" customFormat="1" ht="15.05" customHeight="1">
      <c r="A315" s="1855"/>
      <c r="B315" s="1855"/>
      <c r="C315" s="1855"/>
      <c r="D315" s="1855"/>
      <c r="E315" s="1855"/>
      <c r="F315" s="2214" t="s">
        <v>50</v>
      </c>
      <c r="G315" s="200" t="s">
        <v>1171</v>
      </c>
      <c r="H315" s="200"/>
      <c r="I315" s="200"/>
      <c r="J315" s="3215"/>
      <c r="K315" s="3171">
        <v>50998000</v>
      </c>
      <c r="L315" s="3125">
        <v>0</v>
      </c>
      <c r="M315" s="3124">
        <v>0</v>
      </c>
      <c r="N315" s="3125">
        <v>0</v>
      </c>
      <c r="O315" s="3125">
        <v>0</v>
      </c>
      <c r="P315" s="3125">
        <v>0</v>
      </c>
      <c r="Q315" s="3125">
        <f t="shared" si="63"/>
        <v>0</v>
      </c>
      <c r="R315" s="3166">
        <v>0</v>
      </c>
      <c r="S315" s="3275"/>
      <c r="T315" s="3826"/>
      <c r="U315" s="3771"/>
      <c r="V315" s="1846">
        <f t="shared" si="58"/>
        <v>0</v>
      </c>
    </row>
    <row r="316" spans="1:22" s="257" customFormat="1" ht="15.05" customHeight="1">
      <c r="A316" s="1855"/>
      <c r="B316" s="1855"/>
      <c r="C316" s="1855"/>
      <c r="D316" s="1855"/>
      <c r="E316" s="1855"/>
      <c r="F316" s="2214" t="s">
        <v>50</v>
      </c>
      <c r="G316" s="200" t="s">
        <v>1172</v>
      </c>
      <c r="H316" s="200"/>
      <c r="I316" s="200"/>
      <c r="J316" s="3215"/>
      <c r="K316" s="3171">
        <v>3088075</v>
      </c>
      <c r="L316" s="3125">
        <v>0</v>
      </c>
      <c r="M316" s="3124">
        <v>0</v>
      </c>
      <c r="N316" s="3125">
        <v>0</v>
      </c>
      <c r="O316" s="3125">
        <v>0</v>
      </c>
      <c r="P316" s="3125">
        <v>0</v>
      </c>
      <c r="Q316" s="3125">
        <f t="shared" si="63"/>
        <v>0</v>
      </c>
      <c r="R316" s="3166">
        <v>0</v>
      </c>
      <c r="S316" s="3275"/>
      <c r="T316" s="3826"/>
      <c r="U316" s="3771"/>
      <c r="V316" s="1846">
        <f t="shared" si="58"/>
        <v>0</v>
      </c>
    </row>
    <row r="317" spans="1:22" s="257" customFormat="1" ht="15.05" customHeight="1">
      <c r="A317" s="1855"/>
      <c r="B317" s="1855"/>
      <c r="C317" s="1855"/>
      <c r="D317" s="1855"/>
      <c r="E317" s="1855"/>
      <c r="F317" s="2214" t="s">
        <v>50</v>
      </c>
      <c r="G317" s="200" t="s">
        <v>571</v>
      </c>
      <c r="H317" s="200"/>
      <c r="I317" s="200"/>
      <c r="J317" s="3215"/>
      <c r="K317" s="3171">
        <v>633797511.37</v>
      </c>
      <c r="L317" s="3125">
        <v>0</v>
      </c>
      <c r="M317" s="3124">
        <v>0</v>
      </c>
      <c r="N317" s="3125">
        <v>0</v>
      </c>
      <c r="O317" s="3125">
        <v>0</v>
      </c>
      <c r="P317" s="3125">
        <v>0</v>
      </c>
      <c r="Q317" s="3125">
        <f t="shared" si="63"/>
        <v>0</v>
      </c>
      <c r="R317" s="3166">
        <v>0</v>
      </c>
      <c r="S317" s="3275"/>
      <c r="T317" s="3828"/>
      <c r="U317" s="3801"/>
      <c r="V317" s="1846">
        <f t="shared" si="58"/>
        <v>0</v>
      </c>
    </row>
    <row r="318" spans="1:22" s="257" customFormat="1" ht="15.05" customHeight="1">
      <c r="A318" s="1855"/>
      <c r="B318" s="1855"/>
      <c r="C318" s="1855"/>
      <c r="D318" s="1855"/>
      <c r="E318" s="1855"/>
      <c r="F318" s="2214" t="s">
        <v>50</v>
      </c>
      <c r="G318" s="200" t="s">
        <v>1173</v>
      </c>
      <c r="H318" s="2329"/>
      <c r="I318" s="2329"/>
      <c r="J318" s="3270"/>
      <c r="K318" s="3256">
        <v>23739197</v>
      </c>
      <c r="L318" s="3182">
        <v>0</v>
      </c>
      <c r="M318" s="3183">
        <v>0</v>
      </c>
      <c r="N318" s="3182">
        <v>0</v>
      </c>
      <c r="O318" s="3182">
        <v>0</v>
      </c>
      <c r="P318" s="3182">
        <v>0</v>
      </c>
      <c r="Q318" s="3182">
        <f t="shared" si="63"/>
        <v>0</v>
      </c>
      <c r="R318" s="3166">
        <v>0</v>
      </c>
      <c r="S318" s="3748"/>
      <c r="T318" s="3835"/>
      <c r="U318" s="3802">
        <f>PerDinas!Q655</f>
        <v>0</v>
      </c>
      <c r="V318" s="1846">
        <f t="shared" si="58"/>
        <v>0</v>
      </c>
    </row>
    <row r="319" spans="1:22" s="257" customFormat="1" ht="15.05" customHeight="1">
      <c r="A319" s="1855"/>
      <c r="B319" s="1855"/>
      <c r="C319" s="1855"/>
      <c r="D319" s="1855"/>
      <c r="E319" s="1855"/>
      <c r="F319" s="2214" t="s">
        <v>50</v>
      </c>
      <c r="G319" s="200" t="s">
        <v>1174</v>
      </c>
      <c r="H319" s="200"/>
      <c r="I319" s="200"/>
      <c r="J319" s="3215"/>
      <c r="K319" s="3171">
        <v>32297000</v>
      </c>
      <c r="L319" s="3125">
        <v>0</v>
      </c>
      <c r="M319" s="3124">
        <v>855000</v>
      </c>
      <c r="N319" s="3125">
        <v>0</v>
      </c>
      <c r="O319" s="3125">
        <v>855000</v>
      </c>
      <c r="P319" s="3125">
        <v>0</v>
      </c>
      <c r="Q319" s="3125">
        <f t="shared" si="63"/>
        <v>0</v>
      </c>
      <c r="R319" s="3166">
        <v>0</v>
      </c>
      <c r="S319" s="3275"/>
      <c r="T319" s="3826"/>
      <c r="U319" s="3771"/>
      <c r="V319" s="1846">
        <f t="shared" si="58"/>
        <v>3420000</v>
      </c>
    </row>
    <row r="320" spans="1:22" s="257" customFormat="1" ht="15.05" customHeight="1">
      <c r="A320" s="1855"/>
      <c r="B320" s="1855"/>
      <c r="C320" s="1855"/>
      <c r="D320" s="1855"/>
      <c r="E320" s="1855"/>
      <c r="F320" s="2214" t="s">
        <v>50</v>
      </c>
      <c r="G320" s="200" t="s">
        <v>1175</v>
      </c>
      <c r="H320" s="200"/>
      <c r="I320" s="200"/>
      <c r="J320" s="3215"/>
      <c r="K320" s="3171">
        <v>26480806</v>
      </c>
      <c r="L320" s="3125">
        <v>0</v>
      </c>
      <c r="M320" s="3124">
        <v>0</v>
      </c>
      <c r="N320" s="3125">
        <v>0</v>
      </c>
      <c r="O320" s="3125">
        <v>0</v>
      </c>
      <c r="P320" s="3125">
        <v>0</v>
      </c>
      <c r="Q320" s="3125">
        <f t="shared" si="63"/>
        <v>0</v>
      </c>
      <c r="R320" s="3166">
        <v>0</v>
      </c>
      <c r="S320" s="3275"/>
      <c r="T320" s="3826"/>
      <c r="U320" s="3771"/>
      <c r="V320" s="1846">
        <f t="shared" si="58"/>
        <v>0</v>
      </c>
    </row>
    <row r="321" spans="1:22" s="257" customFormat="1" ht="15.05" customHeight="1">
      <c r="A321" s="1855"/>
      <c r="B321" s="1855"/>
      <c r="C321" s="1855"/>
      <c r="D321" s="1855"/>
      <c r="E321" s="1855"/>
      <c r="F321" s="2214" t="s">
        <v>50</v>
      </c>
      <c r="G321" s="200" t="s">
        <v>1176</v>
      </c>
      <c r="H321" s="200"/>
      <c r="I321" s="200"/>
      <c r="J321" s="3215"/>
      <c r="K321" s="3171">
        <v>33995946.960000001</v>
      </c>
      <c r="L321" s="3125">
        <v>0</v>
      </c>
      <c r="M321" s="3124">
        <v>0</v>
      </c>
      <c r="N321" s="3125">
        <v>0</v>
      </c>
      <c r="O321" s="3125">
        <v>0</v>
      </c>
      <c r="P321" s="3125">
        <v>0</v>
      </c>
      <c r="Q321" s="3125">
        <f t="shared" si="63"/>
        <v>0</v>
      </c>
      <c r="R321" s="3166">
        <v>0</v>
      </c>
      <c r="S321" s="3275"/>
      <c r="T321" s="3826"/>
      <c r="U321" s="3771"/>
      <c r="V321" s="1846">
        <f t="shared" si="58"/>
        <v>0</v>
      </c>
    </row>
    <row r="322" spans="1:22" s="257" customFormat="1" ht="15.05" customHeight="1">
      <c r="A322" s="1855"/>
      <c r="B322" s="1855"/>
      <c r="C322" s="1855"/>
      <c r="D322" s="1855"/>
      <c r="E322" s="1855"/>
      <c r="F322" s="2214" t="s">
        <v>50</v>
      </c>
      <c r="G322" s="200" t="s">
        <v>1177</v>
      </c>
      <c r="H322" s="200"/>
      <c r="I322" s="200"/>
      <c r="J322" s="3215"/>
      <c r="K322" s="3171">
        <v>110487727</v>
      </c>
      <c r="L322" s="3125">
        <v>0</v>
      </c>
      <c r="M322" s="3124">
        <v>0</v>
      </c>
      <c r="N322" s="3125">
        <v>0</v>
      </c>
      <c r="O322" s="3125">
        <v>0</v>
      </c>
      <c r="P322" s="3125">
        <v>0</v>
      </c>
      <c r="Q322" s="3125">
        <f t="shared" si="63"/>
        <v>0</v>
      </c>
      <c r="R322" s="3166">
        <v>0</v>
      </c>
      <c r="S322" s="3275"/>
      <c r="T322" s="3826"/>
      <c r="U322" s="3771"/>
      <c r="V322" s="1846">
        <f t="shared" si="58"/>
        <v>0</v>
      </c>
    </row>
    <row r="323" spans="1:22" s="257" customFormat="1" ht="15.05" customHeight="1">
      <c r="A323" s="1855"/>
      <c r="B323" s="1855"/>
      <c r="C323" s="1855"/>
      <c r="D323" s="1855"/>
      <c r="E323" s="1855"/>
      <c r="F323" s="2214" t="s">
        <v>50</v>
      </c>
      <c r="G323" s="200" t="s">
        <v>643</v>
      </c>
      <c r="H323" s="200"/>
      <c r="I323" s="200"/>
      <c r="J323" s="3215"/>
      <c r="K323" s="3171">
        <v>6650000</v>
      </c>
      <c r="L323" s="3125">
        <v>0</v>
      </c>
      <c r="M323" s="3124">
        <v>0</v>
      </c>
      <c r="N323" s="3125">
        <v>0</v>
      </c>
      <c r="O323" s="3125">
        <v>0</v>
      </c>
      <c r="P323" s="3125">
        <v>0</v>
      </c>
      <c r="Q323" s="3125">
        <f t="shared" si="63"/>
        <v>0</v>
      </c>
      <c r="R323" s="3166">
        <v>0</v>
      </c>
      <c r="S323" s="3275"/>
      <c r="T323" s="3826"/>
      <c r="U323" s="3771"/>
      <c r="V323" s="1846">
        <f t="shared" si="58"/>
        <v>0</v>
      </c>
    </row>
    <row r="324" spans="1:22" s="257" customFormat="1" ht="15.05" customHeight="1">
      <c r="A324" s="1855"/>
      <c r="B324" s="1855"/>
      <c r="C324" s="1855"/>
      <c r="D324" s="1855"/>
      <c r="E324" s="1855"/>
      <c r="F324" s="2214" t="s">
        <v>50</v>
      </c>
      <c r="G324" s="200" t="s">
        <v>224</v>
      </c>
      <c r="H324" s="200"/>
      <c r="I324" s="200"/>
      <c r="J324" s="3215"/>
      <c r="K324" s="3171">
        <v>19604200</v>
      </c>
      <c r="L324" s="3125">
        <v>0</v>
      </c>
      <c r="M324" s="3124">
        <v>0</v>
      </c>
      <c r="N324" s="3125">
        <v>0</v>
      </c>
      <c r="O324" s="3125">
        <v>0</v>
      </c>
      <c r="P324" s="3125">
        <v>0</v>
      </c>
      <c r="Q324" s="3125">
        <f t="shared" si="63"/>
        <v>0</v>
      </c>
      <c r="R324" s="3166">
        <v>0</v>
      </c>
      <c r="S324" s="3275"/>
      <c r="T324" s="3826"/>
      <c r="U324" s="3771"/>
      <c r="V324" s="1846">
        <f t="shared" si="58"/>
        <v>0</v>
      </c>
    </row>
    <row r="325" spans="1:22" s="257" customFormat="1" ht="15.05" customHeight="1">
      <c r="A325" s="1855"/>
      <c r="B325" s="1855"/>
      <c r="C325" s="1855"/>
      <c r="D325" s="1855"/>
      <c r="E325" s="1855"/>
      <c r="F325" s="2214" t="s">
        <v>50</v>
      </c>
      <c r="G325" s="200" t="s">
        <v>1178</v>
      </c>
      <c r="H325" s="200"/>
      <c r="I325" s="200"/>
      <c r="J325" s="3215"/>
      <c r="K325" s="3171">
        <v>33004350</v>
      </c>
      <c r="L325" s="3125">
        <v>0</v>
      </c>
      <c r="M325" s="3124">
        <v>0</v>
      </c>
      <c r="N325" s="3125">
        <v>0</v>
      </c>
      <c r="O325" s="3125">
        <v>0</v>
      </c>
      <c r="P325" s="3125">
        <v>0</v>
      </c>
      <c r="Q325" s="3125">
        <f t="shared" si="63"/>
        <v>0</v>
      </c>
      <c r="R325" s="3166">
        <v>0</v>
      </c>
      <c r="S325" s="3275"/>
      <c r="T325" s="3826"/>
      <c r="U325" s="3771"/>
      <c r="V325" s="1846">
        <f t="shared" si="58"/>
        <v>0</v>
      </c>
    </row>
    <row r="326" spans="1:22" s="257" customFormat="1" ht="15.05" customHeight="1">
      <c r="A326" s="1855"/>
      <c r="B326" s="1855"/>
      <c r="C326" s="1855"/>
      <c r="D326" s="1855"/>
      <c r="E326" s="1855"/>
      <c r="F326" s="2214" t="s">
        <v>50</v>
      </c>
      <c r="G326" s="253" t="s">
        <v>575</v>
      </c>
      <c r="H326" s="200"/>
      <c r="I326" s="200"/>
      <c r="J326" s="3215"/>
      <c r="K326" s="3171">
        <v>17971900</v>
      </c>
      <c r="L326" s="3125">
        <v>0</v>
      </c>
      <c r="M326" s="3124">
        <v>7967600</v>
      </c>
      <c r="N326" s="3125">
        <v>0</v>
      </c>
      <c r="O326" s="3125">
        <v>7967600</v>
      </c>
      <c r="P326" s="3125">
        <v>0</v>
      </c>
      <c r="Q326" s="3125">
        <f t="shared" si="63"/>
        <v>0</v>
      </c>
      <c r="R326" s="3166">
        <v>0</v>
      </c>
      <c r="S326" s="3748"/>
      <c r="T326" s="3826"/>
      <c r="U326" s="3778"/>
      <c r="V326" s="1846">
        <f t="shared" si="58"/>
        <v>31870400</v>
      </c>
    </row>
    <row r="327" spans="1:22" s="257" customFormat="1" ht="15.05" customHeight="1">
      <c r="A327" s="1855"/>
      <c r="B327" s="1855"/>
      <c r="C327" s="1855"/>
      <c r="D327" s="1855"/>
      <c r="E327" s="1855"/>
      <c r="F327" s="2214" t="s">
        <v>50</v>
      </c>
      <c r="G327" s="253" t="s">
        <v>576</v>
      </c>
      <c r="H327" s="200"/>
      <c r="I327" s="200"/>
      <c r="J327" s="3215"/>
      <c r="K327" s="3171">
        <v>131995452.15000001</v>
      </c>
      <c r="L327" s="3125">
        <v>0</v>
      </c>
      <c r="M327" s="3124">
        <v>0</v>
      </c>
      <c r="N327" s="3125">
        <v>0</v>
      </c>
      <c r="O327" s="3125">
        <v>0</v>
      </c>
      <c r="P327" s="3125">
        <v>0</v>
      </c>
      <c r="Q327" s="3125">
        <f t="shared" si="63"/>
        <v>0</v>
      </c>
      <c r="R327" s="3166">
        <v>0</v>
      </c>
      <c r="S327" s="3275"/>
      <c r="T327" s="3826"/>
      <c r="U327" s="3771"/>
      <c r="V327" s="1846">
        <f t="shared" si="58"/>
        <v>0</v>
      </c>
    </row>
    <row r="328" spans="1:22" s="257" customFormat="1" ht="15.05" customHeight="1">
      <c r="A328" s="1855"/>
      <c r="B328" s="1855"/>
      <c r="C328" s="1855"/>
      <c r="D328" s="1855"/>
      <c r="E328" s="1855"/>
      <c r="F328" s="2214" t="s">
        <v>50</v>
      </c>
      <c r="G328" s="253" t="s">
        <v>577</v>
      </c>
      <c r="H328" s="200"/>
      <c r="I328" s="202"/>
      <c r="J328" s="3259"/>
      <c r="K328" s="3123">
        <v>80279296.019999996</v>
      </c>
      <c r="L328" s="3125">
        <v>0</v>
      </c>
      <c r="M328" s="3124">
        <v>0</v>
      </c>
      <c r="N328" s="3125">
        <v>0</v>
      </c>
      <c r="O328" s="3125">
        <v>0</v>
      </c>
      <c r="P328" s="3125">
        <v>0</v>
      </c>
      <c r="Q328" s="3125">
        <f t="shared" si="63"/>
        <v>0</v>
      </c>
      <c r="R328" s="3166">
        <v>0</v>
      </c>
      <c r="S328" s="3275"/>
      <c r="T328" s="3826"/>
      <c r="U328" s="3771"/>
      <c r="V328" s="1846">
        <f t="shared" si="58"/>
        <v>0</v>
      </c>
    </row>
    <row r="329" spans="1:22" s="257" customFormat="1" ht="15.05" customHeight="1">
      <c r="A329" s="1855"/>
      <c r="B329" s="1855"/>
      <c r="C329" s="1855"/>
      <c r="D329" s="1855"/>
      <c r="E329" s="1855"/>
      <c r="F329" s="2214" t="s">
        <v>50</v>
      </c>
      <c r="G329" s="253" t="s">
        <v>578</v>
      </c>
      <c r="H329" s="200"/>
      <c r="I329" s="200"/>
      <c r="J329" s="3215"/>
      <c r="K329" s="3171">
        <v>6724929</v>
      </c>
      <c r="L329" s="3125">
        <v>0</v>
      </c>
      <c r="M329" s="3124">
        <v>2220000</v>
      </c>
      <c r="N329" s="3125">
        <v>0</v>
      </c>
      <c r="O329" s="3125">
        <v>2220000</v>
      </c>
      <c r="P329" s="3125">
        <v>0</v>
      </c>
      <c r="Q329" s="3125">
        <f t="shared" si="63"/>
        <v>0</v>
      </c>
      <c r="R329" s="3166">
        <v>0</v>
      </c>
      <c r="S329" s="3275"/>
      <c r="T329" s="3826"/>
      <c r="U329" s="3771"/>
      <c r="V329" s="1846">
        <f t="shared" si="58"/>
        <v>8880000</v>
      </c>
    </row>
    <row r="330" spans="1:22" s="257" customFormat="1" ht="15.05" customHeight="1">
      <c r="A330" s="1855"/>
      <c r="B330" s="1855"/>
      <c r="C330" s="1855"/>
      <c r="D330" s="1855"/>
      <c r="E330" s="1855"/>
      <c r="F330" s="2214" t="s">
        <v>50</v>
      </c>
      <c r="G330" s="253" t="s">
        <v>579</v>
      </c>
      <c r="H330" s="200"/>
      <c r="I330" s="200"/>
      <c r="J330" s="3215"/>
      <c r="K330" s="3171">
        <v>9604597</v>
      </c>
      <c r="L330" s="3125">
        <v>0</v>
      </c>
      <c r="M330" s="3124">
        <v>0</v>
      </c>
      <c r="N330" s="3125">
        <v>0</v>
      </c>
      <c r="O330" s="3125">
        <v>0</v>
      </c>
      <c r="P330" s="3125">
        <v>0</v>
      </c>
      <c r="Q330" s="3125">
        <f t="shared" si="63"/>
        <v>0</v>
      </c>
      <c r="R330" s="3166">
        <v>0</v>
      </c>
      <c r="S330" s="3275"/>
      <c r="T330" s="3826"/>
      <c r="U330" s="3771"/>
      <c r="V330" s="1846">
        <f t="shared" si="58"/>
        <v>0</v>
      </c>
    </row>
    <row r="331" spans="1:22" s="257" customFormat="1" ht="15.05" customHeight="1">
      <c r="A331" s="1855"/>
      <c r="B331" s="1855"/>
      <c r="C331" s="1855"/>
      <c r="D331" s="1855"/>
      <c r="E331" s="1855"/>
      <c r="F331" s="2214" t="s">
        <v>50</v>
      </c>
      <c r="G331" s="253" t="s">
        <v>580</v>
      </c>
      <c r="H331" s="200"/>
      <c r="I331" s="200"/>
      <c r="J331" s="3215"/>
      <c r="K331" s="3171">
        <v>5840000</v>
      </c>
      <c r="L331" s="3125">
        <v>0</v>
      </c>
      <c r="M331" s="3124">
        <v>0</v>
      </c>
      <c r="N331" s="3125">
        <v>0</v>
      </c>
      <c r="O331" s="3125">
        <v>0</v>
      </c>
      <c r="P331" s="3125">
        <v>0</v>
      </c>
      <c r="Q331" s="3125">
        <f t="shared" si="63"/>
        <v>0</v>
      </c>
      <c r="R331" s="3166">
        <v>0</v>
      </c>
      <c r="S331" s="3275"/>
      <c r="T331" s="3826"/>
      <c r="U331" s="3771"/>
      <c r="V331" s="1846">
        <f t="shared" si="58"/>
        <v>0</v>
      </c>
    </row>
    <row r="332" spans="1:22" s="257" customFormat="1" ht="15.05" customHeight="1">
      <c r="A332" s="1855"/>
      <c r="B332" s="1855"/>
      <c r="C332" s="1855"/>
      <c r="D332" s="1855"/>
      <c r="E332" s="1855"/>
      <c r="F332" s="2214" t="s">
        <v>50</v>
      </c>
      <c r="G332" s="253" t="s">
        <v>581</v>
      </c>
      <c r="H332" s="200"/>
      <c r="I332" s="200"/>
      <c r="J332" s="3215"/>
      <c r="K332" s="3171">
        <v>75598294</v>
      </c>
      <c r="L332" s="3125">
        <v>0</v>
      </c>
      <c r="M332" s="3124">
        <v>0</v>
      </c>
      <c r="N332" s="3125">
        <v>0</v>
      </c>
      <c r="O332" s="3125">
        <v>0</v>
      </c>
      <c r="P332" s="3125">
        <v>0</v>
      </c>
      <c r="Q332" s="3125">
        <f t="shared" si="63"/>
        <v>0</v>
      </c>
      <c r="R332" s="3166">
        <v>0</v>
      </c>
      <c r="S332" s="3275"/>
      <c r="T332" s="3826"/>
      <c r="U332" s="3771"/>
      <c r="V332" s="1846">
        <f t="shared" si="58"/>
        <v>0</v>
      </c>
    </row>
    <row r="333" spans="1:22" s="257" customFormat="1" ht="15.05" customHeight="1">
      <c r="A333" s="1855"/>
      <c r="B333" s="1855"/>
      <c r="C333" s="1855"/>
      <c r="D333" s="1855"/>
      <c r="E333" s="1855"/>
      <c r="F333" s="2214" t="s">
        <v>50</v>
      </c>
      <c r="G333" s="253" t="s">
        <v>582</v>
      </c>
      <c r="H333" s="200"/>
      <c r="I333" s="202"/>
      <c r="J333" s="3259"/>
      <c r="K333" s="3123">
        <v>118736055.84</v>
      </c>
      <c r="L333" s="3125">
        <v>0</v>
      </c>
      <c r="M333" s="3124">
        <v>0</v>
      </c>
      <c r="N333" s="3125">
        <v>0</v>
      </c>
      <c r="O333" s="3125">
        <v>0</v>
      </c>
      <c r="P333" s="3125">
        <v>0</v>
      </c>
      <c r="Q333" s="3125">
        <f t="shared" si="63"/>
        <v>0</v>
      </c>
      <c r="R333" s="3166">
        <v>0</v>
      </c>
      <c r="S333" s="3275"/>
      <c r="T333" s="3826"/>
      <c r="U333" s="3771"/>
      <c r="V333" s="1846">
        <f t="shared" si="58"/>
        <v>0</v>
      </c>
    </row>
    <row r="334" spans="1:22" s="257" customFormat="1" ht="15.05" customHeight="1">
      <c r="A334" s="1855"/>
      <c r="B334" s="1855"/>
      <c r="C334" s="1855"/>
      <c r="D334" s="1855"/>
      <c r="E334" s="1855"/>
      <c r="F334" s="2214" t="s">
        <v>50</v>
      </c>
      <c r="G334" s="253" t="s">
        <v>583</v>
      </c>
      <c r="H334" s="200"/>
      <c r="I334" s="202"/>
      <c r="J334" s="3259"/>
      <c r="K334" s="3123">
        <v>3882000</v>
      </c>
      <c r="L334" s="3125">
        <v>0</v>
      </c>
      <c r="M334" s="3124">
        <v>18154890</v>
      </c>
      <c r="N334" s="3125">
        <v>0</v>
      </c>
      <c r="O334" s="3125">
        <v>18154890</v>
      </c>
      <c r="P334" s="3125">
        <v>0</v>
      </c>
      <c r="Q334" s="3125">
        <f t="shared" si="63"/>
        <v>0</v>
      </c>
      <c r="R334" s="3166">
        <v>0</v>
      </c>
      <c r="S334" s="3275"/>
      <c r="T334" s="3826"/>
      <c r="U334" s="3771"/>
      <c r="V334" s="1846">
        <f t="shared" si="58"/>
        <v>72619560</v>
      </c>
    </row>
    <row r="335" spans="1:22" s="257" customFormat="1" ht="15.05" customHeight="1">
      <c r="A335" s="1855"/>
      <c r="B335" s="1855"/>
      <c r="C335" s="1855"/>
      <c r="D335" s="1855"/>
      <c r="E335" s="1855"/>
      <c r="F335" s="2214" t="s">
        <v>50</v>
      </c>
      <c r="G335" s="253" t="s">
        <v>584</v>
      </c>
      <c r="H335" s="200"/>
      <c r="I335" s="202"/>
      <c r="J335" s="3259"/>
      <c r="K335" s="3123">
        <v>22520000</v>
      </c>
      <c r="L335" s="3125">
        <v>0</v>
      </c>
      <c r="M335" s="3124">
        <v>0</v>
      </c>
      <c r="N335" s="3125">
        <v>0</v>
      </c>
      <c r="O335" s="3125">
        <v>0</v>
      </c>
      <c r="P335" s="3125">
        <v>0</v>
      </c>
      <c r="Q335" s="3125">
        <f t="shared" si="63"/>
        <v>0</v>
      </c>
      <c r="R335" s="3166">
        <v>0</v>
      </c>
      <c r="S335" s="3748"/>
      <c r="T335" s="3826"/>
      <c r="U335" s="3778"/>
      <c r="V335" s="1846">
        <f t="shared" si="58"/>
        <v>0</v>
      </c>
    </row>
    <row r="336" spans="1:22" s="257" customFormat="1" ht="15.05" customHeight="1">
      <c r="A336" s="1855"/>
      <c r="B336" s="1855"/>
      <c r="C336" s="1855"/>
      <c r="D336" s="1855"/>
      <c r="E336" s="1855"/>
      <c r="F336" s="2214" t="s">
        <v>50</v>
      </c>
      <c r="G336" s="253" t="s">
        <v>585</v>
      </c>
      <c r="H336" s="200"/>
      <c r="I336" s="202"/>
      <c r="J336" s="3259"/>
      <c r="K336" s="3123">
        <v>0</v>
      </c>
      <c r="L336" s="3125">
        <v>0</v>
      </c>
      <c r="M336" s="3124">
        <v>0</v>
      </c>
      <c r="N336" s="3125">
        <v>0</v>
      </c>
      <c r="O336" s="3125">
        <v>0</v>
      </c>
      <c r="P336" s="3125">
        <v>0</v>
      </c>
      <c r="Q336" s="3125">
        <f t="shared" si="63"/>
        <v>0</v>
      </c>
      <c r="R336" s="3166">
        <v>0</v>
      </c>
      <c r="S336" s="3275"/>
      <c r="T336" s="3826"/>
      <c r="U336" s="3778"/>
      <c r="V336" s="1846">
        <f t="shared" si="58"/>
        <v>0</v>
      </c>
    </row>
    <row r="337" spans="1:22" s="257" customFormat="1" ht="15.05" customHeight="1">
      <c r="A337" s="1855"/>
      <c r="B337" s="1855"/>
      <c r="C337" s="1855"/>
      <c r="D337" s="1855"/>
      <c r="E337" s="1855"/>
      <c r="F337" s="2214" t="s">
        <v>50</v>
      </c>
      <c r="G337" s="253" t="s">
        <v>586</v>
      </c>
      <c r="H337" s="200"/>
      <c r="I337" s="200"/>
      <c r="J337" s="3215"/>
      <c r="K337" s="3171">
        <v>11699500</v>
      </c>
      <c r="L337" s="3125">
        <v>0</v>
      </c>
      <c r="M337" s="3124">
        <v>0</v>
      </c>
      <c r="N337" s="3125">
        <v>0</v>
      </c>
      <c r="O337" s="3125">
        <v>0</v>
      </c>
      <c r="P337" s="3125">
        <v>0</v>
      </c>
      <c r="Q337" s="3125">
        <f t="shared" si="63"/>
        <v>0</v>
      </c>
      <c r="R337" s="3166">
        <v>0</v>
      </c>
      <c r="S337" s="3748"/>
      <c r="T337" s="3826"/>
      <c r="U337" s="3778"/>
      <c r="V337" s="1846">
        <f t="shared" si="58"/>
        <v>0</v>
      </c>
    </row>
    <row r="338" spans="1:22" s="257" customFormat="1" ht="15.05" customHeight="1">
      <c r="A338" s="1855"/>
      <c r="B338" s="1855"/>
      <c r="C338" s="1855"/>
      <c r="D338" s="1855"/>
      <c r="E338" s="1855"/>
      <c r="F338" s="2214" t="s">
        <v>50</v>
      </c>
      <c r="G338" s="253" t="s">
        <v>587</v>
      </c>
      <c r="H338" s="200"/>
      <c r="I338" s="200"/>
      <c r="J338" s="3254"/>
      <c r="K338" s="3237">
        <v>66970818</v>
      </c>
      <c r="L338" s="3234">
        <v>0</v>
      </c>
      <c r="M338" s="3225">
        <v>0</v>
      </c>
      <c r="N338" s="3234">
        <v>0</v>
      </c>
      <c r="O338" s="3234">
        <v>0</v>
      </c>
      <c r="P338" s="3234">
        <v>0</v>
      </c>
      <c r="Q338" s="3234">
        <f t="shared" si="63"/>
        <v>0</v>
      </c>
      <c r="R338" s="3166">
        <v>0</v>
      </c>
      <c r="S338" s="3275"/>
      <c r="T338" s="3826"/>
      <c r="U338" s="3771"/>
      <c r="V338" s="1846">
        <f t="shared" si="58"/>
        <v>0</v>
      </c>
    </row>
    <row r="339" spans="1:22" s="257" customFormat="1" ht="15.05" customHeight="1">
      <c r="A339" s="1855"/>
      <c r="B339" s="1855"/>
      <c r="C339" s="1855"/>
      <c r="D339" s="1855"/>
      <c r="E339" s="1855"/>
      <c r="F339" s="2214" t="s">
        <v>50</v>
      </c>
      <c r="G339" s="253" t="s">
        <v>588</v>
      </c>
      <c r="H339" s="200"/>
      <c r="I339" s="202"/>
      <c r="J339" s="3259"/>
      <c r="K339" s="3123">
        <v>57329525</v>
      </c>
      <c r="L339" s="3125">
        <v>0</v>
      </c>
      <c r="M339" s="3124">
        <v>0</v>
      </c>
      <c r="N339" s="3125">
        <v>9346050</v>
      </c>
      <c r="O339" s="3125">
        <v>9346050</v>
      </c>
      <c r="P339" s="3125">
        <v>0</v>
      </c>
      <c r="Q339" s="3125">
        <f t="shared" si="63"/>
        <v>0</v>
      </c>
      <c r="R339" s="3166">
        <v>0</v>
      </c>
      <c r="S339" s="3275"/>
      <c r="T339" s="3826"/>
      <c r="U339" s="3771"/>
      <c r="V339" s="1846">
        <f t="shared" si="58"/>
        <v>37384200</v>
      </c>
    </row>
    <row r="340" spans="1:22" s="257" customFormat="1" ht="15.05" customHeight="1">
      <c r="A340" s="1855"/>
      <c r="B340" s="1855"/>
      <c r="C340" s="1855"/>
      <c r="D340" s="1855"/>
      <c r="E340" s="1855"/>
      <c r="F340" s="2214" t="s">
        <v>50</v>
      </c>
      <c r="G340" s="253" t="s">
        <v>284</v>
      </c>
      <c r="H340" s="200"/>
      <c r="I340" s="200"/>
      <c r="J340" s="3215"/>
      <c r="K340" s="3171">
        <v>25644269</v>
      </c>
      <c r="L340" s="3125">
        <v>0</v>
      </c>
      <c r="M340" s="3124">
        <v>200000</v>
      </c>
      <c r="N340" s="3125">
        <v>0</v>
      </c>
      <c r="O340" s="3125">
        <v>200000</v>
      </c>
      <c r="P340" s="3125">
        <v>0</v>
      </c>
      <c r="Q340" s="3125">
        <f t="shared" si="63"/>
        <v>0</v>
      </c>
      <c r="R340" s="3166">
        <v>0</v>
      </c>
      <c r="S340" s="3275"/>
      <c r="T340" s="3826"/>
      <c r="U340" s="3771"/>
      <c r="V340" s="1846">
        <f t="shared" ref="V340:V409" si="64">O340*4</f>
        <v>800000</v>
      </c>
    </row>
    <row r="341" spans="1:22" s="257" customFormat="1" ht="15.05" customHeight="1">
      <c r="A341" s="1855"/>
      <c r="B341" s="1855"/>
      <c r="C341" s="1855"/>
      <c r="D341" s="1855"/>
      <c r="E341" s="1855"/>
      <c r="F341" s="2214" t="s">
        <v>50</v>
      </c>
      <c r="G341" s="253" t="s">
        <v>589</v>
      </c>
      <c r="H341" s="200"/>
      <c r="I341" s="200"/>
      <c r="J341" s="3215"/>
      <c r="K341" s="3171">
        <v>141645590</v>
      </c>
      <c r="L341" s="3125">
        <v>0</v>
      </c>
      <c r="M341" s="3124">
        <v>0</v>
      </c>
      <c r="N341" s="3125">
        <v>0</v>
      </c>
      <c r="O341" s="3125">
        <v>0</v>
      </c>
      <c r="P341" s="3125">
        <v>0</v>
      </c>
      <c r="Q341" s="3125">
        <f t="shared" si="63"/>
        <v>0</v>
      </c>
      <c r="R341" s="3166">
        <v>0</v>
      </c>
      <c r="S341" s="3275"/>
      <c r="T341" s="3826"/>
      <c r="U341" s="3771"/>
      <c r="V341" s="1846">
        <f t="shared" si="64"/>
        <v>0</v>
      </c>
    </row>
    <row r="342" spans="1:22" s="257" customFormat="1" ht="15.05" customHeight="1">
      <c r="A342" s="3573"/>
      <c r="B342" s="3573"/>
      <c r="C342" s="3573"/>
      <c r="D342" s="3573"/>
      <c r="E342" s="3573"/>
      <c r="F342" s="3584" t="s">
        <v>50</v>
      </c>
      <c r="G342" s="3585" t="s">
        <v>590</v>
      </c>
      <c r="H342" s="3575"/>
      <c r="I342" s="3537"/>
      <c r="J342" s="3566"/>
      <c r="K342" s="3587">
        <v>15952424</v>
      </c>
      <c r="L342" s="3578">
        <v>0</v>
      </c>
      <c r="M342" s="3579">
        <v>0</v>
      </c>
      <c r="N342" s="3578">
        <v>0</v>
      </c>
      <c r="O342" s="3578">
        <v>0</v>
      </c>
      <c r="P342" s="3578">
        <v>0</v>
      </c>
      <c r="Q342" s="3578">
        <f t="shared" si="63"/>
        <v>0</v>
      </c>
      <c r="R342" s="3580">
        <v>0</v>
      </c>
      <c r="S342" s="3709"/>
      <c r="T342" s="3828"/>
      <c r="U342" s="3771"/>
      <c r="V342" s="1846">
        <f t="shared" si="64"/>
        <v>0</v>
      </c>
    </row>
    <row r="343" spans="1:22" s="257" customFormat="1" ht="15.05" customHeight="1">
      <c r="A343" s="1889"/>
      <c r="B343" s="1889"/>
      <c r="C343" s="1889"/>
      <c r="D343" s="1889"/>
      <c r="E343" s="1889"/>
      <c r="F343" s="3586" t="s">
        <v>50</v>
      </c>
      <c r="G343" s="410" t="s">
        <v>591</v>
      </c>
      <c r="H343" s="224"/>
      <c r="I343" s="224"/>
      <c r="J343" s="3254"/>
      <c r="K343" s="3237">
        <v>92270821.590000004</v>
      </c>
      <c r="L343" s="3234">
        <v>0</v>
      </c>
      <c r="M343" s="3225">
        <v>0</v>
      </c>
      <c r="N343" s="3234">
        <v>0</v>
      </c>
      <c r="O343" s="3234">
        <v>0</v>
      </c>
      <c r="P343" s="3234">
        <v>0</v>
      </c>
      <c r="Q343" s="3234">
        <f t="shared" si="63"/>
        <v>0</v>
      </c>
      <c r="R343" s="3235">
        <v>0</v>
      </c>
      <c r="S343" s="3720"/>
      <c r="T343" s="3835"/>
      <c r="U343" s="3771"/>
      <c r="V343" s="1846">
        <f t="shared" si="64"/>
        <v>0</v>
      </c>
    </row>
    <row r="344" spans="1:22" s="257" customFormat="1" ht="15.05" customHeight="1">
      <c r="A344" s="1855"/>
      <c r="B344" s="1855"/>
      <c r="C344" s="1855"/>
      <c r="D344" s="1855"/>
      <c r="E344" s="1855"/>
      <c r="F344" s="2214" t="s">
        <v>50</v>
      </c>
      <c r="G344" s="253" t="s">
        <v>592</v>
      </c>
      <c r="H344" s="200"/>
      <c r="I344" s="202"/>
      <c r="J344" s="3259"/>
      <c r="K344" s="3123">
        <v>29684250</v>
      </c>
      <c r="L344" s="3125">
        <v>0</v>
      </c>
      <c r="M344" s="3124">
        <v>0</v>
      </c>
      <c r="N344" s="3125">
        <v>0</v>
      </c>
      <c r="O344" s="3125">
        <v>0</v>
      </c>
      <c r="P344" s="3125">
        <v>0</v>
      </c>
      <c r="Q344" s="3125">
        <f t="shared" si="63"/>
        <v>0</v>
      </c>
      <c r="R344" s="3166">
        <v>0</v>
      </c>
      <c r="S344" s="3275"/>
      <c r="T344" s="3826"/>
      <c r="U344" s="3771"/>
      <c r="V344" s="1846">
        <f t="shared" si="64"/>
        <v>0</v>
      </c>
    </row>
    <row r="345" spans="1:22" s="257" customFormat="1" ht="15.05" customHeight="1">
      <c r="A345" s="1855"/>
      <c r="B345" s="1855"/>
      <c r="C345" s="1855"/>
      <c r="D345" s="1855"/>
      <c r="E345" s="1855"/>
      <c r="F345" s="2214" t="s">
        <v>50</v>
      </c>
      <c r="G345" s="253" t="s">
        <v>593</v>
      </c>
      <c r="H345" s="200"/>
      <c r="I345" s="200"/>
      <c r="J345" s="3215"/>
      <c r="K345" s="3171">
        <v>28727627</v>
      </c>
      <c r="L345" s="3125">
        <v>0</v>
      </c>
      <c r="M345" s="3124">
        <v>0</v>
      </c>
      <c r="N345" s="3125">
        <v>0</v>
      </c>
      <c r="O345" s="3125">
        <v>0</v>
      </c>
      <c r="P345" s="3125">
        <v>0</v>
      </c>
      <c r="Q345" s="3125">
        <f t="shared" si="63"/>
        <v>0</v>
      </c>
      <c r="R345" s="3166">
        <v>0</v>
      </c>
      <c r="S345" s="3275"/>
      <c r="T345" s="3826"/>
      <c r="U345" s="3771"/>
      <c r="V345" s="1846">
        <f t="shared" si="64"/>
        <v>0</v>
      </c>
    </row>
    <row r="346" spans="1:22" s="257" customFormat="1" ht="15.05" customHeight="1">
      <c r="A346" s="1855"/>
      <c r="B346" s="1855"/>
      <c r="C346" s="1855"/>
      <c r="D346" s="1855"/>
      <c r="E346" s="1855"/>
      <c r="F346" s="2214" t="s">
        <v>50</v>
      </c>
      <c r="G346" s="297" t="s">
        <v>594</v>
      </c>
      <c r="H346" s="200"/>
      <c r="I346" s="200"/>
      <c r="J346" s="3215"/>
      <c r="K346" s="3171">
        <v>1710000</v>
      </c>
      <c r="L346" s="3125">
        <v>0</v>
      </c>
      <c r="M346" s="3124">
        <v>0</v>
      </c>
      <c r="N346" s="3125">
        <v>0</v>
      </c>
      <c r="O346" s="3125">
        <v>0</v>
      </c>
      <c r="P346" s="3125">
        <v>0</v>
      </c>
      <c r="Q346" s="3125">
        <f t="shared" si="63"/>
        <v>0</v>
      </c>
      <c r="R346" s="3166">
        <v>0</v>
      </c>
      <c r="S346" s="3275"/>
      <c r="T346" s="3826"/>
      <c r="U346" s="3771"/>
      <c r="V346" s="1846">
        <f t="shared" si="64"/>
        <v>0</v>
      </c>
    </row>
    <row r="347" spans="1:22" s="257" customFormat="1" ht="15.05" customHeight="1">
      <c r="A347" s="1886"/>
      <c r="B347" s="1886"/>
      <c r="C347" s="1886"/>
      <c r="D347" s="1886"/>
      <c r="E347" s="1886"/>
      <c r="F347" s="2356" t="s">
        <v>50</v>
      </c>
      <c r="G347" s="297" t="s">
        <v>595</v>
      </c>
      <c r="H347" s="856"/>
      <c r="I347" s="856"/>
      <c r="J347" s="3238"/>
      <c r="K347" s="3173">
        <v>380300</v>
      </c>
      <c r="L347" s="3174">
        <v>0</v>
      </c>
      <c r="M347" s="3175">
        <v>0</v>
      </c>
      <c r="N347" s="3174">
        <v>0</v>
      </c>
      <c r="O347" s="3174">
        <v>0</v>
      </c>
      <c r="P347" s="3174">
        <v>0</v>
      </c>
      <c r="Q347" s="3174">
        <f t="shared" si="63"/>
        <v>0</v>
      </c>
      <c r="R347" s="3166">
        <v>0</v>
      </c>
      <c r="S347" s="3741"/>
      <c r="T347" s="3828"/>
      <c r="U347" s="3786"/>
      <c r="V347" s="1846">
        <f t="shared" si="64"/>
        <v>0</v>
      </c>
    </row>
    <row r="348" spans="1:22" s="257" customFormat="1" ht="15.05" customHeight="1">
      <c r="A348" s="1886"/>
      <c r="B348" s="1886"/>
      <c r="C348" s="1886"/>
      <c r="D348" s="1886"/>
      <c r="E348" s="1886"/>
      <c r="F348" s="2356" t="s">
        <v>50</v>
      </c>
      <c r="G348" s="253" t="s">
        <v>596</v>
      </c>
      <c r="H348" s="856"/>
      <c r="I348" s="856"/>
      <c r="J348" s="3238"/>
      <c r="K348" s="3173">
        <v>61619698</v>
      </c>
      <c r="L348" s="3174">
        <v>0</v>
      </c>
      <c r="M348" s="3175">
        <v>0</v>
      </c>
      <c r="N348" s="3174">
        <v>0</v>
      </c>
      <c r="O348" s="3174">
        <v>0</v>
      </c>
      <c r="P348" s="3174">
        <v>0</v>
      </c>
      <c r="Q348" s="3174">
        <f t="shared" si="63"/>
        <v>0</v>
      </c>
      <c r="R348" s="3166">
        <v>0</v>
      </c>
      <c r="S348" s="3741"/>
      <c r="T348" s="3828"/>
      <c r="U348" s="3786"/>
      <c r="V348" s="1846">
        <f t="shared" si="64"/>
        <v>0</v>
      </c>
    </row>
    <row r="349" spans="1:22" s="257" customFormat="1" ht="15.05" customHeight="1">
      <c r="A349" s="1855"/>
      <c r="B349" s="1855"/>
      <c r="C349" s="1855"/>
      <c r="D349" s="1855"/>
      <c r="E349" s="1855"/>
      <c r="F349" s="2214" t="s">
        <v>50</v>
      </c>
      <c r="G349" s="3113" t="s">
        <v>597</v>
      </c>
      <c r="H349" s="200"/>
      <c r="I349" s="200"/>
      <c r="J349" s="3215"/>
      <c r="K349" s="3171">
        <v>1427500</v>
      </c>
      <c r="L349" s="3125">
        <v>0</v>
      </c>
      <c r="M349" s="3124">
        <v>0</v>
      </c>
      <c r="N349" s="3125">
        <v>0</v>
      </c>
      <c r="O349" s="3125">
        <v>0</v>
      </c>
      <c r="P349" s="3125">
        <v>0</v>
      </c>
      <c r="Q349" s="3125">
        <f t="shared" si="63"/>
        <v>0</v>
      </c>
      <c r="R349" s="3166">
        <v>0</v>
      </c>
      <c r="S349" s="3275"/>
      <c r="T349" s="3826"/>
      <c r="U349" s="3771"/>
      <c r="V349" s="1846">
        <f t="shared" si="64"/>
        <v>0</v>
      </c>
    </row>
    <row r="350" spans="1:22" s="257" customFormat="1" ht="15.05" customHeight="1">
      <c r="A350" s="1855"/>
      <c r="B350" s="1855"/>
      <c r="C350" s="1855"/>
      <c r="D350" s="1855"/>
      <c r="E350" s="1855"/>
      <c r="F350" s="2214" t="s">
        <v>50</v>
      </c>
      <c r="G350" s="3113" t="s">
        <v>598</v>
      </c>
      <c r="H350" s="2848"/>
      <c r="I350" s="200"/>
      <c r="J350" s="3215"/>
      <c r="K350" s="3171">
        <v>4059015</v>
      </c>
      <c r="L350" s="3125">
        <v>0</v>
      </c>
      <c r="M350" s="3124">
        <v>0</v>
      </c>
      <c r="N350" s="3125">
        <v>0</v>
      </c>
      <c r="O350" s="3125">
        <v>0</v>
      </c>
      <c r="P350" s="3125">
        <v>0</v>
      </c>
      <c r="Q350" s="3125">
        <f t="shared" si="63"/>
        <v>0</v>
      </c>
      <c r="R350" s="3166">
        <v>0</v>
      </c>
      <c r="S350" s="3748"/>
      <c r="T350" s="3826"/>
      <c r="U350" s="3778"/>
      <c r="V350" s="1846">
        <f t="shared" si="64"/>
        <v>0</v>
      </c>
    </row>
    <row r="351" spans="1:22" s="257" customFormat="1" ht="15.05" customHeight="1">
      <c r="A351" s="1855"/>
      <c r="B351" s="1855"/>
      <c r="C351" s="1855"/>
      <c r="D351" s="1855"/>
      <c r="E351" s="1855"/>
      <c r="F351" s="2214" t="s">
        <v>50</v>
      </c>
      <c r="G351" s="3113" t="s">
        <v>599</v>
      </c>
      <c r="H351" s="200"/>
      <c r="I351" s="200"/>
      <c r="J351" s="3215"/>
      <c r="K351" s="3171">
        <v>2000000</v>
      </c>
      <c r="L351" s="3125">
        <v>0</v>
      </c>
      <c r="M351" s="3124">
        <v>0</v>
      </c>
      <c r="N351" s="3125">
        <v>0</v>
      </c>
      <c r="O351" s="3125">
        <v>0</v>
      </c>
      <c r="P351" s="3125">
        <v>0</v>
      </c>
      <c r="Q351" s="3125">
        <f t="shared" si="63"/>
        <v>0</v>
      </c>
      <c r="R351" s="3166">
        <v>0</v>
      </c>
      <c r="S351" s="3748"/>
      <c r="T351" s="3826"/>
      <c r="U351" s="3778"/>
      <c r="V351" s="1846">
        <f t="shared" si="64"/>
        <v>0</v>
      </c>
    </row>
    <row r="352" spans="1:22" s="257" customFormat="1" ht="15.05" customHeight="1">
      <c r="A352" s="1855"/>
      <c r="B352" s="1855"/>
      <c r="C352" s="1855"/>
      <c r="D352" s="1855"/>
      <c r="E352" s="1855"/>
      <c r="F352" s="2214" t="s">
        <v>50</v>
      </c>
      <c r="G352" s="3113" t="s">
        <v>600</v>
      </c>
      <c r="H352" s="200"/>
      <c r="I352" s="200"/>
      <c r="J352" s="3215"/>
      <c r="K352" s="3171">
        <v>222626765</v>
      </c>
      <c r="L352" s="3125">
        <v>0</v>
      </c>
      <c r="M352" s="3124">
        <v>0</v>
      </c>
      <c r="N352" s="3125">
        <v>0</v>
      </c>
      <c r="O352" s="3125">
        <v>0</v>
      </c>
      <c r="P352" s="3125">
        <v>0</v>
      </c>
      <c r="Q352" s="3125">
        <f t="shared" si="63"/>
        <v>0</v>
      </c>
      <c r="R352" s="3166">
        <v>0</v>
      </c>
      <c r="S352" s="3748"/>
      <c r="T352" s="3826"/>
      <c r="U352" s="3778"/>
      <c r="V352" s="1846">
        <f t="shared" si="64"/>
        <v>0</v>
      </c>
    </row>
    <row r="353" spans="1:22" s="257" customFormat="1" ht="15.05" customHeight="1">
      <c r="A353" s="1855"/>
      <c r="B353" s="1855"/>
      <c r="C353" s="1855"/>
      <c r="D353" s="1855"/>
      <c r="E353" s="1855"/>
      <c r="F353" s="2214" t="s">
        <v>50</v>
      </c>
      <c r="G353" s="200" t="str">
        <f>MAR!H780</f>
        <v>DINAS PEMUDA DAN OLAH RAGA</v>
      </c>
      <c r="H353" s="200"/>
      <c r="I353" s="200"/>
      <c r="J353" s="3215"/>
      <c r="K353" s="3171"/>
      <c r="L353" s="3125">
        <f>MAR!J789</f>
        <v>0</v>
      </c>
      <c r="M353" s="3124">
        <v>0</v>
      </c>
      <c r="N353" s="3125">
        <f>MAR!L789</f>
        <v>0</v>
      </c>
      <c r="O353" s="3125">
        <f>MAR!M789</f>
        <v>0</v>
      </c>
      <c r="P353" s="3125">
        <v>0</v>
      </c>
      <c r="Q353" s="3125">
        <f t="shared" si="63"/>
        <v>0</v>
      </c>
      <c r="R353" s="3166">
        <v>0</v>
      </c>
      <c r="S353" s="3748"/>
      <c r="T353" s="3826"/>
      <c r="U353" s="3778"/>
      <c r="V353" s="1846">
        <f t="shared" si="64"/>
        <v>0</v>
      </c>
    </row>
    <row r="354" spans="1:22" s="257" customFormat="1" ht="15.05" customHeight="1">
      <c r="A354" s="1855"/>
      <c r="B354" s="1855"/>
      <c r="C354" s="1855"/>
      <c r="D354" s="1855"/>
      <c r="E354" s="1855"/>
      <c r="F354" s="2214" t="s">
        <v>50</v>
      </c>
      <c r="G354" s="257" t="str">
        <f>MAR!I282</f>
        <v>BIRO UMUM</v>
      </c>
      <c r="H354" s="200"/>
      <c r="I354" s="200"/>
      <c r="J354" s="3215"/>
      <c r="K354" s="3171"/>
      <c r="L354" s="3125">
        <f>MAR!J294</f>
        <v>0</v>
      </c>
      <c r="M354" s="3124">
        <v>0</v>
      </c>
      <c r="N354" s="3125">
        <f>MAR!L294</f>
        <v>0</v>
      </c>
      <c r="O354" s="3125">
        <f>MAR!M294</f>
        <v>0</v>
      </c>
      <c r="P354" s="3125">
        <v>0</v>
      </c>
      <c r="Q354" s="3125">
        <f t="shared" si="63"/>
        <v>0</v>
      </c>
      <c r="R354" s="3166">
        <v>0</v>
      </c>
      <c r="S354" s="3748"/>
      <c r="T354" s="3826"/>
      <c r="U354" s="3778"/>
      <c r="V354" s="1846">
        <f t="shared" si="64"/>
        <v>0</v>
      </c>
    </row>
    <row r="355" spans="1:22" s="257" customFormat="1" ht="15.05" customHeight="1">
      <c r="A355" s="1855"/>
      <c r="B355" s="1855"/>
      <c r="C355" s="1855"/>
      <c r="D355" s="1855"/>
      <c r="E355" s="1855"/>
      <c r="F355" s="2214" t="s">
        <v>50</v>
      </c>
      <c r="G355" s="200" t="str">
        <f>MAR!I297</f>
        <v>BIRO PEMERINTAHAN</v>
      </c>
      <c r="H355" s="200"/>
      <c r="I355" s="200"/>
      <c r="J355" s="3215"/>
      <c r="K355" s="3171"/>
      <c r="L355" s="3125">
        <f>MAR!J302</f>
        <v>0</v>
      </c>
      <c r="M355" s="3124">
        <v>0</v>
      </c>
      <c r="N355" s="3125">
        <f>MAR!L302</f>
        <v>0</v>
      </c>
      <c r="O355" s="3125">
        <f>MAR!M302</f>
        <v>0</v>
      </c>
      <c r="P355" s="3125">
        <v>0</v>
      </c>
      <c r="Q355" s="3125">
        <f t="shared" si="63"/>
        <v>0</v>
      </c>
      <c r="R355" s="3166">
        <v>0</v>
      </c>
      <c r="S355" s="3748"/>
      <c r="T355" s="3826"/>
      <c r="U355" s="3778"/>
      <c r="V355" s="1846">
        <f t="shared" si="64"/>
        <v>0</v>
      </c>
    </row>
    <row r="356" spans="1:22" s="257" customFormat="1" ht="15.05" customHeight="1">
      <c r="A356" s="1855"/>
      <c r="B356" s="1855"/>
      <c r="C356" s="1855"/>
      <c r="D356" s="1855"/>
      <c r="E356" s="1855"/>
      <c r="F356" s="2214" t="s">
        <v>50</v>
      </c>
      <c r="G356" s="200" t="str">
        <f>MAR!I305</f>
        <v>BIRO KESEJAHTERAAN RAKYAT</v>
      </c>
      <c r="H356" s="200"/>
      <c r="I356" s="200"/>
      <c r="J356" s="3215"/>
      <c r="K356" s="3171"/>
      <c r="L356" s="3125">
        <f>MAR!J310</f>
        <v>0</v>
      </c>
      <c r="M356" s="3124">
        <v>0</v>
      </c>
      <c r="N356" s="3125">
        <f>MAR!L310</f>
        <v>0</v>
      </c>
      <c r="O356" s="3125">
        <f>MAR!M310</f>
        <v>0</v>
      </c>
      <c r="P356" s="3125">
        <v>0</v>
      </c>
      <c r="Q356" s="3125">
        <f t="shared" si="63"/>
        <v>0</v>
      </c>
      <c r="R356" s="3166">
        <v>0</v>
      </c>
      <c r="S356" s="3748"/>
      <c r="T356" s="3826"/>
      <c r="U356" s="3778"/>
      <c r="V356" s="1846">
        <f t="shared" si="64"/>
        <v>0</v>
      </c>
    </row>
    <row r="357" spans="1:22" s="257" customFormat="1" ht="15.05" customHeight="1">
      <c r="A357" s="1855"/>
      <c r="B357" s="1855"/>
      <c r="C357" s="1855"/>
      <c r="D357" s="1855"/>
      <c r="E357" s="1855"/>
      <c r="F357" s="2214" t="s">
        <v>50</v>
      </c>
      <c r="G357" s="200" t="str">
        <f>MAR!I313</f>
        <v>BIRO ADMINISTRASI PENGENDALIAN PEMBANGUNAN &amp; LPBJP</v>
      </c>
      <c r="H357" s="200"/>
      <c r="I357" s="200"/>
      <c r="J357" s="3215"/>
      <c r="K357" s="3171"/>
      <c r="L357" s="3125">
        <f>MAR!J318</f>
        <v>0</v>
      </c>
      <c r="M357" s="3124">
        <v>0</v>
      </c>
      <c r="N357" s="3125">
        <f>MAR!L318</f>
        <v>0</v>
      </c>
      <c r="O357" s="3125">
        <f>MAR!M318</f>
        <v>0</v>
      </c>
      <c r="P357" s="3125">
        <v>0</v>
      </c>
      <c r="Q357" s="3125">
        <f t="shared" si="63"/>
        <v>0</v>
      </c>
      <c r="R357" s="3166">
        <v>0</v>
      </c>
      <c r="S357" s="3748"/>
      <c r="T357" s="3826"/>
      <c r="U357" s="3778"/>
      <c r="V357" s="1846">
        <f t="shared" si="64"/>
        <v>0</v>
      </c>
    </row>
    <row r="358" spans="1:22" s="257" customFormat="1" ht="15.05" customHeight="1">
      <c r="A358" s="1855"/>
      <c r="B358" s="1855"/>
      <c r="C358" s="1855"/>
      <c r="D358" s="1855"/>
      <c r="E358" s="1855"/>
      <c r="F358" s="2214" t="s">
        <v>50</v>
      </c>
      <c r="G358" s="200" t="str">
        <f>MAR!I321</f>
        <v>BIRO ORGANISASI</v>
      </c>
      <c r="H358" s="200"/>
      <c r="I358" s="200"/>
      <c r="J358" s="3215"/>
      <c r="K358" s="3171"/>
      <c r="L358" s="3125">
        <f>MAR!J325</f>
        <v>0</v>
      </c>
      <c r="M358" s="3124">
        <v>0</v>
      </c>
      <c r="N358" s="3125">
        <f>MAR!L325</f>
        <v>0</v>
      </c>
      <c r="O358" s="3125">
        <f>MAR!M325</f>
        <v>0</v>
      </c>
      <c r="P358" s="3125">
        <v>0</v>
      </c>
      <c r="Q358" s="3125">
        <f t="shared" si="63"/>
        <v>0</v>
      </c>
      <c r="R358" s="3166">
        <v>0</v>
      </c>
      <c r="S358" s="3748"/>
      <c r="T358" s="3826"/>
      <c r="U358" s="3778"/>
      <c r="V358" s="1846">
        <f t="shared" si="64"/>
        <v>0</v>
      </c>
    </row>
    <row r="359" spans="1:22" s="257" customFormat="1" ht="15.05" customHeight="1">
      <c r="A359" s="1855"/>
      <c r="B359" s="1855"/>
      <c r="C359" s="1855"/>
      <c r="D359" s="1855"/>
      <c r="E359" s="1855"/>
      <c r="F359" s="2214" t="s">
        <v>50</v>
      </c>
      <c r="G359" s="200" t="str">
        <f>MAR!I329</f>
        <v>BIRO PEREKONOMIAN</v>
      </c>
      <c r="H359" s="200"/>
      <c r="I359" s="200"/>
      <c r="J359" s="3215"/>
      <c r="K359" s="3171"/>
      <c r="L359" s="3125">
        <f>MAR!J334</f>
        <v>0</v>
      </c>
      <c r="M359" s="3124">
        <v>0</v>
      </c>
      <c r="N359" s="3125">
        <f>MAR!L334</f>
        <v>0</v>
      </c>
      <c r="O359" s="3125">
        <f>MAR!M334</f>
        <v>0</v>
      </c>
      <c r="P359" s="3125">
        <v>0</v>
      </c>
      <c r="Q359" s="3125">
        <f t="shared" si="63"/>
        <v>0</v>
      </c>
      <c r="R359" s="3166">
        <v>0</v>
      </c>
      <c r="S359" s="3748"/>
      <c r="T359" s="3826"/>
      <c r="U359" s="3778"/>
      <c r="V359" s="1846">
        <f t="shared" si="64"/>
        <v>0</v>
      </c>
    </row>
    <row r="360" spans="1:22" s="257" customFormat="1" ht="15.05" customHeight="1">
      <c r="A360" s="1855"/>
      <c r="B360" s="1855"/>
      <c r="C360" s="1855"/>
      <c r="D360" s="1855"/>
      <c r="E360" s="1855"/>
      <c r="F360" s="2214" t="s">
        <v>50</v>
      </c>
      <c r="G360" s="200" t="str">
        <f>MAR!I337</f>
        <v>BIRO HUMAS DAN PROTOKOL</v>
      </c>
      <c r="H360" s="202"/>
      <c r="I360" s="202"/>
      <c r="J360" s="3259"/>
      <c r="K360" s="3123"/>
      <c r="L360" s="3182">
        <f>MAR!J342</f>
        <v>0</v>
      </c>
      <c r="M360" s="3183">
        <v>0</v>
      </c>
      <c r="N360" s="3182">
        <f>MAR!L342</f>
        <v>0</v>
      </c>
      <c r="O360" s="3182">
        <f>MAR!M342</f>
        <v>0</v>
      </c>
      <c r="P360" s="3182">
        <v>0</v>
      </c>
      <c r="Q360" s="3182">
        <f t="shared" si="63"/>
        <v>0</v>
      </c>
      <c r="R360" s="3166">
        <v>0</v>
      </c>
      <c r="S360" s="3748"/>
      <c r="T360" s="3826"/>
      <c r="U360" s="3781"/>
      <c r="V360" s="1846">
        <f t="shared" si="64"/>
        <v>0</v>
      </c>
    </row>
    <row r="361" spans="1:22" s="257" customFormat="1" ht="15.05" customHeight="1">
      <c r="A361" s="1886"/>
      <c r="B361" s="1886"/>
      <c r="C361" s="1886"/>
      <c r="D361" s="1886"/>
      <c r="E361" s="1886"/>
      <c r="F361" s="2356"/>
      <c r="G361" s="856"/>
      <c r="H361" s="2322"/>
      <c r="I361" s="2322"/>
      <c r="J361" s="3272"/>
      <c r="K361" s="3142"/>
      <c r="L361" s="3289"/>
      <c r="M361" s="3290"/>
      <c r="N361" s="3289"/>
      <c r="O361" s="3289"/>
      <c r="P361" s="3289"/>
      <c r="Q361" s="3289"/>
      <c r="R361" s="3176"/>
      <c r="S361" s="3709"/>
      <c r="T361" s="3828"/>
      <c r="U361" s="3803"/>
      <c r="V361" s="1846"/>
    </row>
    <row r="362" spans="1:22" s="257" customFormat="1" ht="15.05" hidden="1" customHeight="1">
      <c r="A362" s="1886"/>
      <c r="B362" s="1886"/>
      <c r="C362" s="1886"/>
      <c r="D362" s="1886"/>
      <c r="E362" s="1886"/>
      <c r="F362" s="2356"/>
      <c r="G362" s="856"/>
      <c r="H362" s="2322"/>
      <c r="I362" s="2322"/>
      <c r="J362" s="3272"/>
      <c r="K362" s="3142"/>
      <c r="L362" s="3289"/>
      <c r="M362" s="3290"/>
      <c r="N362" s="3289"/>
      <c r="O362" s="3289"/>
      <c r="P362" s="3289"/>
      <c r="Q362" s="3289"/>
      <c r="R362" s="3176"/>
      <c r="S362" s="3709"/>
      <c r="T362" s="3828"/>
      <c r="U362" s="3803"/>
      <c r="V362" s="1846"/>
    </row>
    <row r="363" spans="1:22" s="257" customFormat="1" ht="15.65" hidden="1" customHeight="1">
      <c r="A363" s="1886"/>
      <c r="B363" s="1886"/>
      <c r="C363" s="1886"/>
      <c r="D363" s="1886"/>
      <c r="E363" s="1886"/>
      <c r="F363" s="2356" t="s">
        <v>50</v>
      </c>
      <c r="G363" s="856"/>
      <c r="H363" s="856"/>
      <c r="I363" s="2322"/>
      <c r="J363" s="3272"/>
      <c r="K363" s="3142"/>
      <c r="L363" s="3174"/>
      <c r="M363" s="3175"/>
      <c r="N363" s="3174"/>
      <c r="O363" s="3174"/>
      <c r="P363" s="3174"/>
      <c r="Q363" s="3174">
        <f t="shared" si="63"/>
        <v>0</v>
      </c>
      <c r="R363" s="3176">
        <v>0</v>
      </c>
      <c r="S363" s="3709"/>
      <c r="T363" s="3828"/>
      <c r="U363" s="1899"/>
      <c r="V363" s="1846">
        <f t="shared" si="64"/>
        <v>0</v>
      </c>
    </row>
    <row r="364" spans="1:22" s="2947" customFormat="1" ht="15.05" customHeight="1">
      <c r="A364" s="3053">
        <v>4</v>
      </c>
      <c r="B364" s="3054">
        <v>1</v>
      </c>
      <c r="C364" s="3054">
        <v>4</v>
      </c>
      <c r="D364" s="3054" t="s">
        <v>459</v>
      </c>
      <c r="E364" s="3054"/>
      <c r="F364" s="3091" t="s">
        <v>230</v>
      </c>
      <c r="G364" s="3064"/>
      <c r="H364" s="3064"/>
      <c r="I364" s="3064"/>
      <c r="J364" s="3212">
        <f>+J366</f>
        <v>77234295</v>
      </c>
      <c r="K364" s="3273">
        <f>K366</f>
        <v>0</v>
      </c>
      <c r="L364" s="3178">
        <f>+L365+L366</f>
        <v>60900800</v>
      </c>
      <c r="M364" s="3179">
        <v>0</v>
      </c>
      <c r="N364" s="3178">
        <f>+N365+N366</f>
        <v>0</v>
      </c>
      <c r="O364" s="3178">
        <f>N364+M364</f>
        <v>0</v>
      </c>
      <c r="P364" s="3178">
        <v>60900800</v>
      </c>
      <c r="Q364" s="3178">
        <f t="shared" si="63"/>
        <v>0</v>
      </c>
      <c r="R364" s="3213">
        <f>+P364/L364*100-100</f>
        <v>0</v>
      </c>
      <c r="S364" s="3716"/>
      <c r="T364" s="3838"/>
      <c r="U364" s="3066"/>
      <c r="V364" s="2944">
        <f t="shared" si="64"/>
        <v>0</v>
      </c>
    </row>
    <row r="365" spans="1:22" s="257" customFormat="1" ht="15.05" customHeight="1">
      <c r="A365" s="1889">
        <v>4</v>
      </c>
      <c r="B365" s="1889">
        <v>1</v>
      </c>
      <c r="C365" s="1889">
        <v>4</v>
      </c>
      <c r="D365" s="1889" t="s">
        <v>459</v>
      </c>
      <c r="E365" s="1905" t="s">
        <v>437</v>
      </c>
      <c r="F365" s="3089" t="s">
        <v>231</v>
      </c>
      <c r="G365" s="212"/>
      <c r="H365" s="3088"/>
      <c r="I365" s="212"/>
      <c r="J365" s="3243" t="s">
        <v>50</v>
      </c>
      <c r="K365" s="3155"/>
      <c r="L365" s="3197">
        <v>12035600</v>
      </c>
      <c r="M365" s="3198">
        <v>0</v>
      </c>
      <c r="N365" s="3197">
        <v>0</v>
      </c>
      <c r="O365" s="3197">
        <v>0</v>
      </c>
      <c r="P365" s="3197">
        <v>12035600</v>
      </c>
      <c r="Q365" s="3197">
        <f t="shared" si="63"/>
        <v>0</v>
      </c>
      <c r="R365" s="3199">
        <f>+P365/L365*100-100</f>
        <v>0</v>
      </c>
      <c r="S365" s="3750"/>
      <c r="T365" s="3832"/>
      <c r="U365" s="3802">
        <f>PerDinas!Q573</f>
        <v>0</v>
      </c>
      <c r="V365" s="1846">
        <f t="shared" si="64"/>
        <v>0</v>
      </c>
    </row>
    <row r="366" spans="1:22" s="257" customFormat="1" ht="15.05" customHeight="1">
      <c r="A366" s="1855">
        <v>4</v>
      </c>
      <c r="B366" s="1855">
        <v>1</v>
      </c>
      <c r="C366" s="1855">
        <v>4</v>
      </c>
      <c r="D366" s="1855" t="s">
        <v>459</v>
      </c>
      <c r="E366" s="1854" t="s">
        <v>438</v>
      </c>
      <c r="F366" s="1856" t="s">
        <v>601</v>
      </c>
      <c r="G366" s="202"/>
      <c r="H366" s="202"/>
      <c r="I366" s="202"/>
      <c r="J366" s="3259">
        <v>77234295</v>
      </c>
      <c r="K366" s="3200">
        <v>0</v>
      </c>
      <c r="L366" s="3182">
        <f>SUM(L367:L368)</f>
        <v>48865200</v>
      </c>
      <c r="M366" s="3183">
        <v>0</v>
      </c>
      <c r="N366" s="3182">
        <f>SUM(N367:N368)</f>
        <v>0</v>
      </c>
      <c r="O366" s="3182">
        <f>SUM(O367:O368)</f>
        <v>0</v>
      </c>
      <c r="P366" s="3182">
        <v>48865200</v>
      </c>
      <c r="Q366" s="3182">
        <f t="shared" si="63"/>
        <v>0</v>
      </c>
      <c r="R366" s="3184">
        <f>+P366/L366*100-100</f>
        <v>0</v>
      </c>
      <c r="S366" s="3731"/>
      <c r="T366" s="3829"/>
      <c r="U366" s="3781">
        <f>PerDinas!Q574</f>
        <v>0</v>
      </c>
      <c r="V366" s="1846">
        <f t="shared" si="64"/>
        <v>0</v>
      </c>
    </row>
    <row r="367" spans="1:22" s="257" customFormat="1" ht="15.05" customHeight="1">
      <c r="A367" s="1855"/>
      <c r="B367" s="1855"/>
      <c r="C367" s="1855"/>
      <c r="D367" s="1855"/>
      <c r="E367" s="1855"/>
      <c r="F367" s="2214" t="s">
        <v>50</v>
      </c>
      <c r="G367" s="200"/>
      <c r="H367" s="200" t="s">
        <v>234</v>
      </c>
      <c r="I367" s="200"/>
      <c r="J367" s="3215"/>
      <c r="K367" s="3171"/>
      <c r="L367" s="3125">
        <v>4492800</v>
      </c>
      <c r="M367" s="3124">
        <v>0</v>
      </c>
      <c r="N367" s="3125">
        <v>0</v>
      </c>
      <c r="O367" s="3125">
        <v>0</v>
      </c>
      <c r="P367" s="3125">
        <v>4492800</v>
      </c>
      <c r="Q367" s="3125">
        <f t="shared" si="63"/>
        <v>0</v>
      </c>
      <c r="R367" s="3166">
        <f>+P367/L367*100-100</f>
        <v>0</v>
      </c>
      <c r="S367" s="3275"/>
      <c r="T367" s="3826"/>
      <c r="U367" s="3771"/>
      <c r="V367" s="1846">
        <f t="shared" si="64"/>
        <v>0</v>
      </c>
    </row>
    <row r="368" spans="1:22" s="257" customFormat="1" ht="15.05" customHeight="1">
      <c r="A368" s="1855"/>
      <c r="B368" s="1855"/>
      <c r="C368" s="1855"/>
      <c r="D368" s="1855"/>
      <c r="E368" s="1855"/>
      <c r="F368" s="2214" t="s">
        <v>50</v>
      </c>
      <c r="G368" s="200"/>
      <c r="H368" s="200" t="s">
        <v>235</v>
      </c>
      <c r="I368" s="200"/>
      <c r="J368" s="3215"/>
      <c r="K368" s="3171"/>
      <c r="L368" s="3125">
        <v>44372400</v>
      </c>
      <c r="M368" s="3124">
        <v>0</v>
      </c>
      <c r="N368" s="3125">
        <v>0</v>
      </c>
      <c r="O368" s="3125">
        <v>0</v>
      </c>
      <c r="P368" s="3125">
        <v>44372400</v>
      </c>
      <c r="Q368" s="3125">
        <f t="shared" si="63"/>
        <v>0</v>
      </c>
      <c r="R368" s="3166">
        <f>+P368/L368*100-100</f>
        <v>0</v>
      </c>
      <c r="S368" s="3275"/>
      <c r="T368" s="3826"/>
      <c r="U368" s="3771"/>
      <c r="V368" s="1846">
        <f t="shared" si="64"/>
        <v>0</v>
      </c>
    </row>
    <row r="369" spans="1:22" s="257" customFormat="1" ht="15.05" hidden="1" customHeight="1">
      <c r="A369" s="1855"/>
      <c r="B369" s="1855"/>
      <c r="C369" s="1855"/>
      <c r="D369" s="1855"/>
      <c r="E369" s="1855"/>
      <c r="F369" s="2214"/>
      <c r="G369" s="200"/>
      <c r="H369" s="200"/>
      <c r="I369" s="200"/>
      <c r="J369" s="3215"/>
      <c r="K369" s="3171"/>
      <c r="L369" s="3125"/>
      <c r="M369" s="3124"/>
      <c r="N369" s="3125"/>
      <c r="O369" s="3125"/>
      <c r="P369" s="3125"/>
      <c r="Q369" s="3125"/>
      <c r="R369" s="3166"/>
      <c r="S369" s="3275"/>
      <c r="T369" s="3826"/>
      <c r="U369" s="3771"/>
      <c r="V369" s="1846">
        <f t="shared" si="64"/>
        <v>0</v>
      </c>
    </row>
    <row r="370" spans="1:22" s="257" customFormat="1" ht="15.05" customHeight="1">
      <c r="A370" s="1855"/>
      <c r="B370" s="1855"/>
      <c r="C370" s="1855"/>
      <c r="D370" s="1855"/>
      <c r="E370" s="1855"/>
      <c r="F370" s="2214"/>
      <c r="G370" s="200"/>
      <c r="H370" s="200"/>
      <c r="I370" s="200"/>
      <c r="J370" s="3215"/>
      <c r="K370" s="3216"/>
      <c r="L370" s="3274"/>
      <c r="M370" s="3189"/>
      <c r="N370" s="3274"/>
      <c r="O370" s="3274"/>
      <c r="P370" s="3274"/>
      <c r="Q370" s="3274"/>
      <c r="R370" s="3275"/>
      <c r="S370" s="3275"/>
      <c r="T370" s="3826"/>
      <c r="U370" s="3771"/>
      <c r="V370" s="1846"/>
    </row>
    <row r="371" spans="1:22" s="3115" customFormat="1" ht="15.05" customHeight="1">
      <c r="A371" s="2939" t="s">
        <v>443</v>
      </c>
      <c r="B371" s="2939" t="s">
        <v>58</v>
      </c>
      <c r="C371" s="2939" t="s">
        <v>443</v>
      </c>
      <c r="D371" s="2939" t="s">
        <v>449</v>
      </c>
      <c r="E371" s="2939"/>
      <c r="F371" s="2959" t="str">
        <f>F372</f>
        <v>Pendapatan BLUD</v>
      </c>
      <c r="G371" s="2946"/>
      <c r="H371" s="2946"/>
      <c r="I371" s="2946"/>
      <c r="J371" s="3276">
        <f>J372</f>
        <v>116197286650</v>
      </c>
      <c r="K371" s="3276">
        <f t="shared" ref="K371:U371" si="65">K372</f>
        <v>130237291540.46001</v>
      </c>
      <c r="L371" s="3276">
        <f t="shared" si="65"/>
        <v>158447286650</v>
      </c>
      <c r="M371" s="3276">
        <f t="shared" si="65"/>
        <v>24449662227.75</v>
      </c>
      <c r="N371" s="3276">
        <f t="shared" si="65"/>
        <v>15968594032.190001</v>
      </c>
      <c r="O371" s="3276">
        <f t="shared" si="65"/>
        <v>40418256259.939995</v>
      </c>
      <c r="P371" s="3276">
        <f t="shared" si="65"/>
        <v>158447286650</v>
      </c>
      <c r="Q371" s="3276">
        <f t="shared" si="65"/>
        <v>0</v>
      </c>
      <c r="R371" s="3276">
        <f t="shared" si="65"/>
        <v>0</v>
      </c>
      <c r="S371" s="3751"/>
      <c r="T371" s="3849"/>
      <c r="U371" s="3804">
        <f t="shared" si="65"/>
        <v>0</v>
      </c>
      <c r="V371" s="3114"/>
    </row>
    <row r="372" spans="1:22" s="257" customFormat="1" ht="15.05" customHeight="1">
      <c r="A372" s="2873" t="s">
        <v>443</v>
      </c>
      <c r="B372" s="2873" t="s">
        <v>58</v>
      </c>
      <c r="C372" s="2873" t="s">
        <v>443</v>
      </c>
      <c r="D372" s="2873" t="s">
        <v>449</v>
      </c>
      <c r="E372" s="1854" t="s">
        <v>437</v>
      </c>
      <c r="F372" s="1856" t="s">
        <v>89</v>
      </c>
      <c r="G372" s="202"/>
      <c r="H372" s="202"/>
      <c r="I372" s="202"/>
      <c r="J372" s="3259">
        <f>SUM(J373:J377)</f>
        <v>116197286650</v>
      </c>
      <c r="K372" s="3259">
        <f t="shared" ref="K372:P372" si="66">SUM(K373:K377)</f>
        <v>130237291540.46001</v>
      </c>
      <c r="L372" s="3259">
        <f t="shared" si="66"/>
        <v>158447286650</v>
      </c>
      <c r="M372" s="3259">
        <f t="shared" si="66"/>
        <v>24449662227.75</v>
      </c>
      <c r="N372" s="3259">
        <f t="shared" si="66"/>
        <v>15968594032.190001</v>
      </c>
      <c r="O372" s="3259">
        <f t="shared" si="66"/>
        <v>40418256259.939995</v>
      </c>
      <c r="P372" s="3259">
        <f t="shared" si="66"/>
        <v>158447286650</v>
      </c>
      <c r="Q372" s="3182">
        <f t="shared" ref="Q372:Q377" si="67">+P372-L372</f>
        <v>0</v>
      </c>
      <c r="R372" s="3184">
        <f t="shared" ref="R372:R377" si="68">+P372/L372*100-100</f>
        <v>0</v>
      </c>
      <c r="S372" s="3710"/>
      <c r="T372" s="3829"/>
      <c r="U372" s="3771"/>
      <c r="V372" s="1846">
        <f t="shared" si="64"/>
        <v>161673025039.75998</v>
      </c>
    </row>
    <row r="373" spans="1:22" s="257" customFormat="1" ht="15.05" customHeight="1">
      <c r="A373" s="1855"/>
      <c r="B373" s="1855"/>
      <c r="C373" s="1855"/>
      <c r="D373" s="1855"/>
      <c r="E373" s="1855"/>
      <c r="F373" s="2214" t="s">
        <v>50</v>
      </c>
      <c r="G373" s="200"/>
      <c r="H373" s="200" t="s">
        <v>602</v>
      </c>
      <c r="I373" s="200"/>
      <c r="J373" s="3215">
        <v>100000000000</v>
      </c>
      <c r="K373" s="3171">
        <v>115413370353.46001</v>
      </c>
      <c r="L373" s="3125">
        <v>125000000000</v>
      </c>
      <c r="M373" s="3124">
        <v>19046122482.029999</v>
      </c>
      <c r="N373" s="3125">
        <v>12944839389.030001</v>
      </c>
      <c r="O373" s="3125">
        <v>31990961871.060001</v>
      </c>
      <c r="P373" s="3125">
        <v>125000000000</v>
      </c>
      <c r="Q373" s="3125">
        <f t="shared" si="67"/>
        <v>0</v>
      </c>
      <c r="R373" s="3166">
        <f t="shared" si="68"/>
        <v>0</v>
      </c>
      <c r="S373" s="3275"/>
      <c r="T373" s="3826"/>
      <c r="U373" s="3771"/>
      <c r="V373" s="1846">
        <f t="shared" si="64"/>
        <v>127963847484.24001</v>
      </c>
    </row>
    <row r="374" spans="1:22" s="257" customFormat="1" ht="15.05" customHeight="1">
      <c r="A374" s="1855"/>
      <c r="B374" s="1855"/>
      <c r="C374" s="1855"/>
      <c r="D374" s="1855"/>
      <c r="E374" s="1855"/>
      <c r="F374" s="2214" t="s">
        <v>50</v>
      </c>
      <c r="G374" s="200"/>
      <c r="H374" s="200" t="s">
        <v>88</v>
      </c>
      <c r="I374" s="200"/>
      <c r="J374" s="3215">
        <v>2197286650</v>
      </c>
      <c r="K374" s="3171">
        <v>1770995732</v>
      </c>
      <c r="L374" s="3125">
        <v>2197286650</v>
      </c>
      <c r="M374" s="3124">
        <v>258576041</v>
      </c>
      <c r="N374" s="3125">
        <v>105214667</v>
      </c>
      <c r="O374" s="3125">
        <v>363790708</v>
      </c>
      <c r="P374" s="3125">
        <v>2197286650</v>
      </c>
      <c r="Q374" s="3125">
        <f t="shared" si="67"/>
        <v>0</v>
      </c>
      <c r="R374" s="3166">
        <f t="shared" si="68"/>
        <v>0</v>
      </c>
      <c r="S374" s="3275"/>
      <c r="T374" s="3826"/>
      <c r="U374" s="3771"/>
      <c r="V374" s="1846">
        <f t="shared" si="64"/>
        <v>1455162832</v>
      </c>
    </row>
    <row r="375" spans="1:22" s="257" customFormat="1" ht="15.05" customHeight="1">
      <c r="A375" s="1855"/>
      <c r="B375" s="1855"/>
      <c r="C375" s="1855"/>
      <c r="D375" s="1855"/>
      <c r="E375" s="1855"/>
      <c r="F375" s="2214" t="s">
        <v>50</v>
      </c>
      <c r="G375" s="200"/>
      <c r="H375" s="200" t="s">
        <v>603</v>
      </c>
      <c r="I375" s="200"/>
      <c r="J375" s="3215">
        <v>14000000000</v>
      </c>
      <c r="K375" s="3171">
        <v>13052925455</v>
      </c>
      <c r="L375" s="3125">
        <v>15000000000</v>
      </c>
      <c r="M375" s="3124">
        <v>2493831376</v>
      </c>
      <c r="N375" s="3125">
        <v>1671690063</v>
      </c>
      <c r="O375" s="3125">
        <v>4165521439</v>
      </c>
      <c r="P375" s="3125">
        <v>15000000000</v>
      </c>
      <c r="Q375" s="3125">
        <f t="shared" si="67"/>
        <v>0</v>
      </c>
      <c r="R375" s="3166">
        <f t="shared" si="68"/>
        <v>0</v>
      </c>
      <c r="S375" s="3275"/>
      <c r="T375" s="3826"/>
      <c r="U375" s="3771"/>
      <c r="V375" s="1846">
        <f t="shared" si="64"/>
        <v>16662085756</v>
      </c>
    </row>
    <row r="376" spans="1:22" s="257" customFormat="1" ht="15.05" customHeight="1">
      <c r="A376" s="1855"/>
      <c r="B376" s="1855"/>
      <c r="C376" s="1855"/>
      <c r="D376" s="1855"/>
      <c r="E376" s="1855"/>
      <c r="F376" s="2214" t="s">
        <v>50</v>
      </c>
      <c r="G376" s="200"/>
      <c r="H376" s="200" t="str">
        <f>MAR!H91</f>
        <v>RUMAH SAKIT UMUM H.L MANAMBAI ABDUL KADIR</v>
      </c>
      <c r="I376" s="200"/>
      <c r="J376" s="3215"/>
      <c r="K376" s="3193">
        <v>0</v>
      </c>
      <c r="L376" s="3125">
        <v>16000000000</v>
      </c>
      <c r="M376" s="3124">
        <v>2651132328.7199998</v>
      </c>
      <c r="N376" s="3125">
        <v>1246849913.1600001</v>
      </c>
      <c r="O376" s="3125">
        <v>3897982241.8800001</v>
      </c>
      <c r="P376" s="3125">
        <v>16000000000</v>
      </c>
      <c r="Q376" s="3125">
        <f t="shared" si="67"/>
        <v>0</v>
      </c>
      <c r="R376" s="3166">
        <f t="shared" si="68"/>
        <v>0</v>
      </c>
      <c r="S376" s="3275"/>
      <c r="T376" s="3826"/>
      <c r="U376" s="3771"/>
      <c r="V376" s="1846">
        <f t="shared" si="64"/>
        <v>15591928967.52</v>
      </c>
    </row>
    <row r="377" spans="1:22" s="257" customFormat="1" ht="15.05" customHeight="1">
      <c r="A377" s="1855"/>
      <c r="B377" s="1855"/>
      <c r="C377" s="1855"/>
      <c r="D377" s="1855"/>
      <c r="E377" s="1855"/>
      <c r="F377" s="2214" t="s">
        <v>50</v>
      </c>
      <c r="G377" s="200"/>
      <c r="H377" s="200" t="s">
        <v>604</v>
      </c>
      <c r="I377" s="200"/>
      <c r="J377" s="3215"/>
      <c r="K377" s="3193">
        <v>0</v>
      </c>
      <c r="L377" s="3125">
        <v>250000000</v>
      </c>
      <c r="M377" s="3124">
        <v>0</v>
      </c>
      <c r="N377" s="3125">
        <v>0</v>
      </c>
      <c r="O377" s="3125">
        <v>0</v>
      </c>
      <c r="P377" s="3125">
        <v>250000000</v>
      </c>
      <c r="Q377" s="3125">
        <f t="shared" si="67"/>
        <v>0</v>
      </c>
      <c r="R377" s="3166">
        <f t="shared" si="68"/>
        <v>0</v>
      </c>
      <c r="S377" s="3275"/>
      <c r="T377" s="3826"/>
      <c r="U377" s="3771"/>
      <c r="V377" s="1846">
        <f t="shared" si="64"/>
        <v>0</v>
      </c>
    </row>
    <row r="378" spans="1:22" s="257" customFormat="1" ht="15.05" hidden="1" customHeight="1">
      <c r="A378" s="1855"/>
      <c r="B378" s="1855"/>
      <c r="C378" s="1855"/>
      <c r="D378" s="1855"/>
      <c r="E378" s="1855"/>
      <c r="F378" s="2214"/>
      <c r="G378" s="200"/>
      <c r="H378" s="200"/>
      <c r="I378" s="200"/>
      <c r="J378" s="3215"/>
      <c r="K378" s="3171"/>
      <c r="L378" s="3125"/>
      <c r="M378" s="3124"/>
      <c r="N378" s="3125"/>
      <c r="O378" s="3125"/>
      <c r="P378" s="3125"/>
      <c r="Q378" s="3125"/>
      <c r="R378" s="3140"/>
      <c r="S378" s="3702"/>
      <c r="T378" s="3820"/>
      <c r="U378" s="3771"/>
      <c r="V378" s="1846">
        <f t="shared" si="64"/>
        <v>0</v>
      </c>
    </row>
    <row r="379" spans="1:22" s="257" customFormat="1" ht="15.05" customHeight="1">
      <c r="A379" s="1855"/>
      <c r="B379" s="1855"/>
      <c r="C379" s="1855"/>
      <c r="D379" s="1855"/>
      <c r="E379" s="1855"/>
      <c r="F379" s="2214"/>
      <c r="G379" s="200"/>
      <c r="H379" s="200"/>
      <c r="I379" s="200"/>
      <c r="J379" s="3215"/>
      <c r="K379" s="3216"/>
      <c r="L379" s="3125"/>
      <c r="M379" s="3124"/>
      <c r="N379" s="3125"/>
      <c r="O379" s="3125"/>
      <c r="P379" s="3125"/>
      <c r="Q379" s="3125"/>
      <c r="R379" s="3140"/>
      <c r="S379" s="3702"/>
      <c r="T379" s="3820"/>
      <c r="U379" s="3771"/>
      <c r="V379" s="1846"/>
    </row>
    <row r="380" spans="1:22" s="3115" customFormat="1" ht="15.05" customHeight="1">
      <c r="A380" s="2939" t="s">
        <v>443</v>
      </c>
      <c r="B380" s="2939" t="s">
        <v>58</v>
      </c>
      <c r="C380" s="2939" t="s">
        <v>443</v>
      </c>
      <c r="D380" s="2939" t="s">
        <v>1155</v>
      </c>
      <c r="E380" s="2939" t="s">
        <v>1155</v>
      </c>
      <c r="F380" s="2959" t="s">
        <v>1181</v>
      </c>
      <c r="G380" s="2946"/>
      <c r="H380" s="2946"/>
      <c r="I380" s="2946"/>
      <c r="J380" s="3276">
        <f>J381</f>
        <v>7805834000</v>
      </c>
      <c r="K380" s="3276">
        <f>K381</f>
        <v>7177429000</v>
      </c>
      <c r="L380" s="3277">
        <f>SUM(L381:L383)</f>
        <v>4392225000</v>
      </c>
      <c r="M380" s="3278">
        <v>0</v>
      </c>
      <c r="N380" s="3277">
        <f>SUM(N381:N383)</f>
        <v>0</v>
      </c>
      <c r="O380" s="3277">
        <f>SUM(O381:O383)</f>
        <v>0</v>
      </c>
      <c r="P380" s="3277">
        <v>4392225000</v>
      </c>
      <c r="Q380" s="3277">
        <f>+P380-L380</f>
        <v>0</v>
      </c>
      <c r="R380" s="3277">
        <f>+P380/L380*100-100</f>
        <v>0</v>
      </c>
      <c r="S380" s="3752"/>
      <c r="T380" s="3850"/>
      <c r="U380" s="3805">
        <f>PerDinas!Q750</f>
        <v>0</v>
      </c>
      <c r="V380" s="2944">
        <f t="shared" si="64"/>
        <v>0</v>
      </c>
    </row>
    <row r="381" spans="1:22" s="257" customFormat="1" ht="15.05" customHeight="1">
      <c r="A381" s="1855"/>
      <c r="B381" s="1855"/>
      <c r="C381" s="1855"/>
      <c r="D381" s="1855"/>
      <c r="E381" s="1855"/>
      <c r="F381" s="2214" t="s">
        <v>50</v>
      </c>
      <c r="G381" s="200" t="str">
        <f>MAR!I594</f>
        <v>- Diklat PIM III dan IV</v>
      </c>
      <c r="H381" s="200"/>
      <c r="I381" s="200"/>
      <c r="J381" s="3215">
        <v>7805834000</v>
      </c>
      <c r="K381" s="3215">
        <v>7177429000</v>
      </c>
      <c r="L381" s="3125">
        <f>MAR!J594</f>
        <v>4392225000</v>
      </c>
      <c r="M381" s="3124">
        <v>0</v>
      </c>
      <c r="N381" s="3125">
        <f>MAR!L594</f>
        <v>0</v>
      </c>
      <c r="O381" s="3125">
        <f>MAR!M594</f>
        <v>0</v>
      </c>
      <c r="P381" s="3125">
        <v>4392225000</v>
      </c>
      <c r="Q381" s="3125">
        <f>+P381-L381</f>
        <v>0</v>
      </c>
      <c r="R381" s="3166">
        <f>+P381/L381*100-100</f>
        <v>0</v>
      </c>
      <c r="S381" s="3275"/>
      <c r="T381" s="3826"/>
      <c r="U381" s="3771"/>
      <c r="V381" s="1846">
        <f t="shared" si="64"/>
        <v>0</v>
      </c>
    </row>
    <row r="382" spans="1:22" s="257" customFormat="1" ht="15.05" customHeight="1">
      <c r="A382" s="1855"/>
      <c r="B382" s="1855"/>
      <c r="C382" s="1855"/>
      <c r="D382" s="1855"/>
      <c r="E382" s="1855"/>
      <c r="F382" s="2214" t="s">
        <v>50</v>
      </c>
      <c r="G382" s="200" t="str">
        <f>MAR!I595</f>
        <v>- Diklat Prajabatan</v>
      </c>
      <c r="H382" s="200"/>
      <c r="I382" s="200"/>
      <c r="J382" s="3215"/>
      <c r="K382" s="3171"/>
      <c r="L382" s="3125">
        <f>MAR!J595</f>
        <v>0</v>
      </c>
      <c r="M382" s="3124">
        <v>0</v>
      </c>
      <c r="N382" s="3125">
        <f>MAR!L595</f>
        <v>0</v>
      </c>
      <c r="O382" s="3125">
        <f>MAR!M595</f>
        <v>0</v>
      </c>
      <c r="P382" s="3125">
        <v>0</v>
      </c>
      <c r="Q382" s="3125">
        <f>+P382-L382</f>
        <v>0</v>
      </c>
      <c r="R382" s="3166">
        <v>0</v>
      </c>
      <c r="S382" s="3275"/>
      <c r="T382" s="3826"/>
      <c r="U382" s="3771"/>
      <c r="V382" s="1846">
        <f t="shared" si="64"/>
        <v>0</v>
      </c>
    </row>
    <row r="383" spans="1:22" s="257" customFormat="1" ht="15.05" customHeight="1">
      <c r="A383" s="1855"/>
      <c r="B383" s="1855"/>
      <c r="C383" s="1855"/>
      <c r="D383" s="1855"/>
      <c r="E383" s="1855"/>
      <c r="F383" s="2214" t="s">
        <v>50</v>
      </c>
      <c r="G383" s="200" t="str">
        <f>MAR!I596</f>
        <v>- Diklat Pembentukan Arsiparis Ahli Kab/Kota</v>
      </c>
      <c r="H383" s="200"/>
      <c r="I383" s="200"/>
      <c r="J383" s="3215"/>
      <c r="K383" s="3171"/>
      <c r="L383" s="3125">
        <f>MAR!J596</f>
        <v>0</v>
      </c>
      <c r="M383" s="3124">
        <v>0</v>
      </c>
      <c r="N383" s="3125">
        <f>MAR!L596</f>
        <v>0</v>
      </c>
      <c r="O383" s="3125">
        <f>MAR!M596</f>
        <v>0</v>
      </c>
      <c r="P383" s="3125">
        <v>0</v>
      </c>
      <c r="Q383" s="3125">
        <f>+P383-L383</f>
        <v>0</v>
      </c>
      <c r="R383" s="3166">
        <v>0</v>
      </c>
      <c r="S383" s="3275"/>
      <c r="T383" s="3826"/>
      <c r="U383" s="3771"/>
      <c r="V383" s="1846">
        <f t="shared" si="64"/>
        <v>0</v>
      </c>
    </row>
    <row r="384" spans="1:22" s="257" customFormat="1" ht="15.05" hidden="1" customHeight="1">
      <c r="A384" s="1855"/>
      <c r="B384" s="1855"/>
      <c r="C384" s="1855"/>
      <c r="D384" s="1855"/>
      <c r="E384" s="1855"/>
      <c r="G384" s="200"/>
      <c r="H384" s="200"/>
      <c r="I384" s="200"/>
      <c r="J384" s="3215"/>
      <c r="K384" s="3171"/>
      <c r="L384" s="3125"/>
      <c r="M384" s="3124"/>
      <c r="N384" s="3125"/>
      <c r="O384" s="3125"/>
      <c r="P384" s="3125"/>
      <c r="Q384" s="3125"/>
      <c r="R384" s="3166"/>
      <c r="S384" s="3275"/>
      <c r="T384" s="3826"/>
      <c r="U384" s="3771"/>
      <c r="V384" s="1846">
        <f t="shared" si="64"/>
        <v>0</v>
      </c>
    </row>
    <row r="385" spans="1:22" s="257" customFormat="1" ht="15.05" customHeight="1">
      <c r="A385" s="1855"/>
      <c r="B385" s="1855"/>
      <c r="C385" s="1855"/>
      <c r="D385" s="1855"/>
      <c r="E385" s="1855"/>
      <c r="G385" s="200"/>
      <c r="H385" s="200"/>
      <c r="I385" s="200"/>
      <c r="J385" s="3215"/>
      <c r="K385" s="3216"/>
      <c r="L385" s="3125"/>
      <c r="M385" s="3124"/>
      <c r="N385" s="3125"/>
      <c r="O385" s="3125"/>
      <c r="P385" s="3125"/>
      <c r="Q385" s="3125"/>
      <c r="R385" s="3166"/>
      <c r="S385" s="3275"/>
      <c r="T385" s="3826"/>
      <c r="U385" s="3771"/>
      <c r="V385" s="1846"/>
    </row>
    <row r="386" spans="1:22" s="2947" customFormat="1" ht="15.05" customHeight="1">
      <c r="A386" s="2948" t="s">
        <v>443</v>
      </c>
      <c r="B386" s="2948" t="s">
        <v>58</v>
      </c>
      <c r="C386" s="2948" t="s">
        <v>443</v>
      </c>
      <c r="D386" s="2948" t="s">
        <v>447</v>
      </c>
      <c r="E386" s="2948" t="s">
        <v>437</v>
      </c>
      <c r="F386" s="2959" t="s">
        <v>605</v>
      </c>
      <c r="G386" s="2940"/>
      <c r="H386" s="2940"/>
      <c r="I386" s="2940"/>
      <c r="J386" s="3279">
        <v>0</v>
      </c>
      <c r="K386" s="3279">
        <v>0</v>
      </c>
      <c r="L386" s="3280">
        <f>SUM(L387:L394)</f>
        <v>0</v>
      </c>
      <c r="M386" s="3281">
        <v>2100000</v>
      </c>
      <c r="N386" s="3280">
        <f>SUM(N387:N394)</f>
        <v>1035000</v>
      </c>
      <c r="O386" s="3280">
        <f>N386+M386</f>
        <v>3135000</v>
      </c>
      <c r="P386" s="3280">
        <v>0</v>
      </c>
      <c r="Q386" s="3280">
        <f t="shared" ref="Q386:Q394" si="69">+P386-L386</f>
        <v>0</v>
      </c>
      <c r="R386" s="3280">
        <v>0</v>
      </c>
      <c r="S386" s="3753"/>
      <c r="T386" s="3851"/>
      <c r="U386" s="3806">
        <f>PerDinas!Q752</f>
        <v>0</v>
      </c>
      <c r="V386" s="2944">
        <f t="shared" si="64"/>
        <v>12540000</v>
      </c>
    </row>
    <row r="387" spans="1:22" s="257" customFormat="1" ht="15.05" customHeight="1">
      <c r="A387" s="1855"/>
      <c r="B387" s="1855"/>
      <c r="C387" s="1855"/>
      <c r="D387" s="1855"/>
      <c r="E387" s="1855"/>
      <c r="F387" s="2732" t="s">
        <v>50</v>
      </c>
      <c r="G387" s="200"/>
      <c r="H387" s="2849" t="s">
        <v>606</v>
      </c>
      <c r="I387" s="200"/>
      <c r="J387" s="3215"/>
      <c r="K387" s="3171"/>
      <c r="L387" s="3125">
        <v>0</v>
      </c>
      <c r="M387" s="3124">
        <v>0</v>
      </c>
      <c r="N387" s="3125">
        <v>0</v>
      </c>
      <c r="O387" s="3125">
        <v>0</v>
      </c>
      <c r="P387" s="3125">
        <v>0</v>
      </c>
      <c r="Q387" s="3125">
        <f t="shared" si="69"/>
        <v>0</v>
      </c>
      <c r="R387" s="3140" t="e">
        <f t="shared" ref="R387:R394" si="70">+P387/L387*100-100</f>
        <v>#DIV/0!</v>
      </c>
      <c r="S387" s="3702"/>
      <c r="T387" s="3820"/>
      <c r="U387" s="3771"/>
      <c r="V387" s="1846">
        <f t="shared" si="64"/>
        <v>0</v>
      </c>
    </row>
    <row r="388" spans="1:22" s="257" customFormat="1" ht="15.05" customHeight="1">
      <c r="A388" s="1855"/>
      <c r="B388" s="1855"/>
      <c r="C388" s="1855"/>
      <c r="D388" s="1855"/>
      <c r="E388" s="1855"/>
      <c r="F388" s="2732" t="s">
        <v>50</v>
      </c>
      <c r="G388" s="200"/>
      <c r="H388" s="2849" t="s">
        <v>607</v>
      </c>
      <c r="I388" s="200"/>
      <c r="J388" s="3215"/>
      <c r="K388" s="3171"/>
      <c r="L388" s="3125">
        <f>PerDinas!K106</f>
        <v>0</v>
      </c>
      <c r="M388" s="3124">
        <v>0</v>
      </c>
      <c r="N388" s="3125">
        <v>0</v>
      </c>
      <c r="O388" s="3125">
        <v>0</v>
      </c>
      <c r="P388" s="3125">
        <v>0</v>
      </c>
      <c r="Q388" s="3125">
        <f t="shared" si="69"/>
        <v>0</v>
      </c>
      <c r="R388" s="3140" t="e">
        <f t="shared" si="70"/>
        <v>#DIV/0!</v>
      </c>
      <c r="S388" s="3702"/>
      <c r="T388" s="3820"/>
      <c r="U388" s="3771"/>
      <c r="V388" s="1846">
        <f t="shared" si="64"/>
        <v>0</v>
      </c>
    </row>
    <row r="389" spans="1:22" s="257" customFormat="1" ht="15.05" customHeight="1">
      <c r="A389" s="1855"/>
      <c r="B389" s="1855"/>
      <c r="C389" s="1855"/>
      <c r="D389" s="1855"/>
      <c r="E389" s="1855"/>
      <c r="F389" s="2732" t="s">
        <v>50</v>
      </c>
      <c r="G389" s="200"/>
      <c r="H389" s="2849" t="s">
        <v>608</v>
      </c>
      <c r="I389" s="200"/>
      <c r="J389" s="3215"/>
      <c r="K389" s="3171"/>
      <c r="L389" s="3125">
        <v>0</v>
      </c>
      <c r="M389" s="3124">
        <v>2100000</v>
      </c>
      <c r="N389" s="3125">
        <v>0</v>
      </c>
      <c r="O389" s="3125">
        <v>2100000</v>
      </c>
      <c r="P389" s="3125">
        <v>0</v>
      </c>
      <c r="Q389" s="3125">
        <f t="shared" si="69"/>
        <v>0</v>
      </c>
      <c r="R389" s="3140">
        <v>0</v>
      </c>
      <c r="S389" s="3702"/>
      <c r="T389" s="3820"/>
      <c r="U389" s="3771"/>
      <c r="V389" s="1846">
        <f t="shared" si="64"/>
        <v>8400000</v>
      </c>
    </row>
    <row r="390" spans="1:22" s="257" customFormat="1" ht="15.05" customHeight="1">
      <c r="A390" s="1855"/>
      <c r="B390" s="1855"/>
      <c r="C390" s="1855"/>
      <c r="D390" s="1855"/>
      <c r="E390" s="1855"/>
      <c r="F390" s="2732" t="s">
        <v>50</v>
      </c>
      <c r="G390" s="200"/>
      <c r="H390" s="2849" t="s">
        <v>609</v>
      </c>
      <c r="I390" s="200"/>
      <c r="J390" s="3215"/>
      <c r="K390" s="3171"/>
      <c r="L390" s="3125">
        <v>0</v>
      </c>
      <c r="M390" s="3124">
        <v>0</v>
      </c>
      <c r="N390" s="3125">
        <v>1035000</v>
      </c>
      <c r="O390" s="3125">
        <v>1035000</v>
      </c>
      <c r="P390" s="3125">
        <v>0</v>
      </c>
      <c r="Q390" s="3125">
        <f t="shared" si="69"/>
        <v>0</v>
      </c>
      <c r="R390" s="3140">
        <v>0</v>
      </c>
      <c r="S390" s="3702"/>
      <c r="T390" s="3820"/>
      <c r="U390" s="3771"/>
      <c r="V390" s="1846">
        <f t="shared" si="64"/>
        <v>4140000</v>
      </c>
    </row>
    <row r="391" spans="1:22" s="257" customFormat="1" ht="15.05" hidden="1" customHeight="1">
      <c r="A391" s="1855"/>
      <c r="B391" s="1855"/>
      <c r="C391" s="1855"/>
      <c r="D391" s="1855"/>
      <c r="E391" s="1855"/>
      <c r="F391" s="2732" t="s">
        <v>50</v>
      </c>
      <c r="G391" s="200"/>
      <c r="H391" s="2849"/>
      <c r="I391" s="200"/>
      <c r="J391" s="3215"/>
      <c r="K391" s="3171"/>
      <c r="L391" s="3125">
        <f>PerDinas!K359</f>
        <v>0</v>
      </c>
      <c r="M391" s="3124">
        <v>0</v>
      </c>
      <c r="N391" s="3125">
        <f>PerDinas!M359</f>
        <v>0</v>
      </c>
      <c r="O391" s="3125">
        <f>N391+M391</f>
        <v>0</v>
      </c>
      <c r="P391" s="3125">
        <v>0</v>
      </c>
      <c r="Q391" s="3125">
        <f t="shared" si="69"/>
        <v>0</v>
      </c>
      <c r="R391" s="3140" t="e">
        <f t="shared" si="70"/>
        <v>#DIV/0!</v>
      </c>
      <c r="S391" s="3702"/>
      <c r="T391" s="3820"/>
      <c r="U391" s="3771"/>
      <c r="V391" s="1846">
        <f t="shared" si="64"/>
        <v>0</v>
      </c>
    </row>
    <row r="392" spans="1:22" s="257" customFormat="1" ht="15.05" hidden="1" customHeight="1">
      <c r="A392" s="1855"/>
      <c r="B392" s="1855"/>
      <c r="C392" s="1855"/>
      <c r="D392" s="1855"/>
      <c r="E392" s="1855"/>
      <c r="F392" s="2732" t="s">
        <v>50</v>
      </c>
      <c r="G392" s="200"/>
      <c r="H392" s="2849"/>
      <c r="I392" s="200"/>
      <c r="J392" s="3215"/>
      <c r="K392" s="3171"/>
      <c r="L392" s="3125">
        <f>PerDinas!K870</f>
        <v>0</v>
      </c>
      <c r="M392" s="3124">
        <v>0</v>
      </c>
      <c r="N392" s="3125">
        <f>PerDinas!M870</f>
        <v>0</v>
      </c>
      <c r="O392" s="3125">
        <f>N392+M392</f>
        <v>0</v>
      </c>
      <c r="P392" s="3125">
        <v>0</v>
      </c>
      <c r="Q392" s="3125">
        <f t="shared" si="69"/>
        <v>0</v>
      </c>
      <c r="R392" s="3140" t="e">
        <f t="shared" si="70"/>
        <v>#DIV/0!</v>
      </c>
      <c r="S392" s="3702"/>
      <c r="T392" s="3820"/>
      <c r="U392" s="3771"/>
      <c r="V392" s="1846">
        <f t="shared" si="64"/>
        <v>0</v>
      </c>
    </row>
    <row r="393" spans="1:22" s="257" customFormat="1" ht="15.05" hidden="1" customHeight="1">
      <c r="A393" s="1886"/>
      <c r="B393" s="1886"/>
      <c r="C393" s="1886"/>
      <c r="D393" s="1886"/>
      <c r="E393" s="1886"/>
      <c r="F393" s="2850" t="s">
        <v>50</v>
      </c>
      <c r="G393" s="856"/>
      <c r="H393" s="2851"/>
      <c r="I393" s="856"/>
      <c r="J393" s="3238"/>
      <c r="K393" s="3173"/>
      <c r="L393" s="3174">
        <f>PerDinas!K953</f>
        <v>0</v>
      </c>
      <c r="M393" s="3175">
        <v>0</v>
      </c>
      <c r="N393" s="3174">
        <f>PerDinas!M953</f>
        <v>0</v>
      </c>
      <c r="O393" s="3174">
        <f>N393+M393</f>
        <v>0</v>
      </c>
      <c r="P393" s="3174">
        <v>0</v>
      </c>
      <c r="Q393" s="3174">
        <f t="shared" si="69"/>
        <v>0</v>
      </c>
      <c r="R393" s="3140" t="e">
        <f t="shared" si="70"/>
        <v>#DIV/0!</v>
      </c>
      <c r="S393" s="3712"/>
      <c r="T393" s="3831"/>
      <c r="U393" s="1899"/>
      <c r="V393" s="1846">
        <f t="shared" si="64"/>
        <v>0</v>
      </c>
    </row>
    <row r="394" spans="1:22" s="257" customFormat="1" ht="15.05" hidden="1" customHeight="1">
      <c r="A394" s="1855"/>
      <c r="B394" s="1855"/>
      <c r="C394" s="1855"/>
      <c r="D394" s="1855"/>
      <c r="E394" s="1855"/>
      <c r="F394" s="2732" t="s">
        <v>50</v>
      </c>
      <c r="G394" s="200"/>
      <c r="H394" s="2852"/>
      <c r="I394" s="200"/>
      <c r="J394" s="3215"/>
      <c r="K394" s="3171"/>
      <c r="L394" s="3125">
        <f>PerDinas!K765</f>
        <v>0</v>
      </c>
      <c r="M394" s="3124">
        <v>0</v>
      </c>
      <c r="N394" s="3125">
        <f>PerDinas!M765</f>
        <v>0</v>
      </c>
      <c r="O394" s="3125">
        <f>N394+M394</f>
        <v>0</v>
      </c>
      <c r="P394" s="3125">
        <v>0</v>
      </c>
      <c r="Q394" s="3125">
        <f t="shared" si="69"/>
        <v>0</v>
      </c>
      <c r="R394" s="3140" t="e">
        <f t="shared" si="70"/>
        <v>#DIV/0!</v>
      </c>
      <c r="S394" s="3702"/>
      <c r="T394" s="3820"/>
      <c r="U394" s="3771"/>
      <c r="V394" s="1846">
        <f t="shared" si="64"/>
        <v>0</v>
      </c>
    </row>
    <row r="395" spans="1:22" s="257" customFormat="1" ht="15.05" customHeight="1">
      <c r="A395" s="3564"/>
      <c r="B395" s="3564"/>
      <c r="C395" s="3564"/>
      <c r="D395" s="3564"/>
      <c r="E395" s="3564"/>
      <c r="F395" s="3536"/>
      <c r="G395" s="3537"/>
      <c r="H395" s="3565"/>
      <c r="I395" s="3537"/>
      <c r="J395" s="3566"/>
      <c r="K395" s="3567"/>
      <c r="L395" s="3568"/>
      <c r="M395" s="3569"/>
      <c r="N395" s="3568"/>
      <c r="O395" s="3568"/>
      <c r="P395" s="3568"/>
      <c r="Q395" s="3568"/>
      <c r="R395" s="3570"/>
      <c r="S395" s="3727"/>
      <c r="T395" s="3852"/>
      <c r="U395" s="3796"/>
      <c r="V395" s="1846">
        <f t="shared" si="64"/>
        <v>0</v>
      </c>
    </row>
    <row r="396" spans="1:22" s="2965" customFormat="1" ht="15.05" customHeight="1">
      <c r="A396" s="3870" t="s">
        <v>443</v>
      </c>
      <c r="B396" s="3870" t="s">
        <v>460</v>
      </c>
      <c r="C396" s="3870"/>
      <c r="D396" s="3870"/>
      <c r="E396" s="3870"/>
      <c r="F396" s="3871" t="s">
        <v>236</v>
      </c>
      <c r="G396" s="3559"/>
      <c r="H396" s="3560"/>
      <c r="I396" s="3559"/>
      <c r="J396" s="3561">
        <f>J397+J409+J413</f>
        <v>2333604004580</v>
      </c>
      <c r="K396" s="3561">
        <f>K397+K409+K413</f>
        <v>2587184362905</v>
      </c>
      <c r="L396" s="3561">
        <f>L397+L409+L413</f>
        <v>3222521202310</v>
      </c>
      <c r="M396" s="3562">
        <v>602895773311</v>
      </c>
      <c r="N396" s="3561">
        <f>N397+N409+N413</f>
        <v>226813668600</v>
      </c>
      <c r="O396" s="3561">
        <f>N396+M396</f>
        <v>829709441911</v>
      </c>
      <c r="P396" s="3561">
        <f>P397+P409+P413</f>
        <v>3281628996000</v>
      </c>
      <c r="Q396" s="3561">
        <f t="shared" ref="Q396:Q412" si="71">+P396-L396</f>
        <v>59107793690</v>
      </c>
      <c r="R396" s="3563">
        <f>+P396/L396*100-100</f>
        <v>1.8342096135047825</v>
      </c>
      <c r="S396" s="3728"/>
      <c r="T396" s="3853"/>
      <c r="U396" s="3807"/>
      <c r="V396" s="2964">
        <f t="shared" si="64"/>
        <v>3318837767644</v>
      </c>
    </row>
    <row r="397" spans="1:22" s="2917" customFormat="1" ht="15.05" customHeight="1">
      <c r="A397" s="3108" t="s">
        <v>443</v>
      </c>
      <c r="B397" s="3108" t="s">
        <v>460</v>
      </c>
      <c r="C397" s="3108" t="s">
        <v>58</v>
      </c>
      <c r="D397" s="3108"/>
      <c r="E397" s="3108"/>
      <c r="F397" s="3109" t="str">
        <f>MAR!H427</f>
        <v>DANA BAGI HASIL PAJAK/BAGI HASIL BUKAN PAJAK</v>
      </c>
      <c r="G397" s="3110"/>
      <c r="H397" s="3111"/>
      <c r="I397" s="3110"/>
      <c r="J397" s="3284">
        <f>J398+J404</f>
        <v>247954406000</v>
      </c>
      <c r="K397" s="3285">
        <f>K398+K404</f>
        <v>375036424549</v>
      </c>
      <c r="L397" s="3285">
        <f>L398+L404</f>
        <v>353125684600</v>
      </c>
      <c r="M397" s="3286">
        <v>77134449311</v>
      </c>
      <c r="N397" s="3284">
        <f>N398+N404</f>
        <v>43645442600</v>
      </c>
      <c r="O397" s="3284">
        <f>O398+O404</f>
        <v>120779891911</v>
      </c>
      <c r="P397" s="3284">
        <f>P398+P404</f>
        <v>493184076000</v>
      </c>
      <c r="Q397" s="3284">
        <f t="shared" si="71"/>
        <v>140058391400</v>
      </c>
      <c r="R397" s="3287">
        <f>+P397/L397*100-100</f>
        <v>39.662476423557194</v>
      </c>
      <c r="S397" s="3729"/>
      <c r="T397" s="3854"/>
      <c r="U397" s="3808"/>
      <c r="V397" s="2904">
        <f t="shared" si="64"/>
        <v>483119567644</v>
      </c>
    </row>
    <row r="398" spans="1:22" s="1318" customFormat="1" ht="15.05" customHeight="1">
      <c r="A398" s="1905"/>
      <c r="B398" s="1905"/>
      <c r="C398" s="1905"/>
      <c r="D398" s="1905"/>
      <c r="E398" s="1905"/>
      <c r="F398" s="3089"/>
      <c r="G398" s="212" t="str">
        <f>MAR!H428</f>
        <v>Bagi Hasil Pajak</v>
      </c>
      <c r="H398" s="3098"/>
      <c r="I398" s="212"/>
      <c r="J398" s="3197">
        <f>SUM(J399:J403)</f>
        <v>165277884000</v>
      </c>
      <c r="K398" s="3288">
        <f>SUM(K399:K403)</f>
        <v>165676022293</v>
      </c>
      <c r="L398" s="3288">
        <f>SUM(L399:L403)</f>
        <v>185190481600</v>
      </c>
      <c r="M398" s="3198">
        <v>15220097700</v>
      </c>
      <c r="N398" s="3197">
        <f>SUM(N399:N403)</f>
        <v>43568767100</v>
      </c>
      <c r="O398" s="3197">
        <f>SUM(O399:O403)</f>
        <v>58788864800</v>
      </c>
      <c r="P398" s="3197">
        <f>SUM(P399:P403)</f>
        <v>341748873000</v>
      </c>
      <c r="Q398" s="3197">
        <f t="shared" si="71"/>
        <v>156558391400</v>
      </c>
      <c r="R398" s="3199">
        <f>+P398/L398*100-100</f>
        <v>84.539113483249338</v>
      </c>
      <c r="S398" s="3713"/>
      <c r="T398" s="3832"/>
      <c r="U398" s="1911"/>
      <c r="V398" s="1846">
        <f t="shared" si="64"/>
        <v>235155459200</v>
      </c>
    </row>
    <row r="399" spans="1:22" s="257" customFormat="1" ht="15.05" customHeight="1">
      <c r="A399" s="1855"/>
      <c r="B399" s="1855"/>
      <c r="C399" s="1855"/>
      <c r="D399" s="1855"/>
      <c r="E399" s="1855"/>
      <c r="F399" s="2214"/>
      <c r="G399" s="2727" t="s">
        <v>50</v>
      </c>
      <c r="H399" s="2852" t="str">
        <f>MAR!I429</f>
        <v>Bagi Hasil Pajak Bumi dan Bangunan</v>
      </c>
      <c r="I399" s="200"/>
      <c r="J399" s="3215">
        <v>13045670000</v>
      </c>
      <c r="K399" s="3171">
        <v>15360944277</v>
      </c>
      <c r="L399" s="3125">
        <v>10416269000</v>
      </c>
      <c r="M399" s="3124">
        <v>2542990867</v>
      </c>
      <c r="N399" s="3125">
        <v>2000213850</v>
      </c>
      <c r="O399" s="3125">
        <v>4543204717</v>
      </c>
      <c r="P399" s="3125">
        <v>10416269000</v>
      </c>
      <c r="Q399" s="3125">
        <f t="shared" si="71"/>
        <v>0</v>
      </c>
      <c r="R399" s="3166">
        <f>+P399/L399*100-100</f>
        <v>0</v>
      </c>
      <c r="S399" s="3275"/>
      <c r="T399" s="3826"/>
      <c r="U399" s="3771"/>
      <c r="V399" s="1846">
        <f t="shared" si="64"/>
        <v>18172818868</v>
      </c>
    </row>
    <row r="400" spans="1:22" s="257" customFormat="1" ht="15.05" hidden="1" customHeight="1">
      <c r="A400" s="1855"/>
      <c r="B400" s="1855"/>
      <c r="C400" s="1855"/>
      <c r="D400" s="1855"/>
      <c r="E400" s="1855"/>
      <c r="F400" s="2214"/>
      <c r="G400" s="2727" t="s">
        <v>50</v>
      </c>
      <c r="H400" s="2852" t="str">
        <f>MAR!I430</f>
        <v>Bagi Hasil dari Bea Perolehan Hak Atas Tanah dan Bangunan</v>
      </c>
      <c r="I400" s="200"/>
      <c r="J400" s="3248" t="s">
        <v>50</v>
      </c>
      <c r="K400" s="3193" t="s">
        <v>50</v>
      </c>
      <c r="L400" s="3125">
        <v>0</v>
      </c>
      <c r="M400" s="3124">
        <v>0</v>
      </c>
      <c r="N400" s="3125">
        <v>0</v>
      </c>
      <c r="O400" s="3125">
        <v>0</v>
      </c>
      <c r="P400" s="3125">
        <v>0</v>
      </c>
      <c r="Q400" s="3125">
        <f t="shared" si="71"/>
        <v>0</v>
      </c>
      <c r="R400" s="3166">
        <v>0</v>
      </c>
      <c r="S400" s="3275"/>
      <c r="T400" s="3826"/>
      <c r="U400" s="3771"/>
      <c r="V400" s="1846">
        <f t="shared" si="64"/>
        <v>0</v>
      </c>
    </row>
    <row r="401" spans="1:22" s="257" customFormat="1" ht="15.05" customHeight="1">
      <c r="A401" s="1855"/>
      <c r="B401" s="1855"/>
      <c r="C401" s="1855"/>
      <c r="D401" s="1855"/>
      <c r="E401" s="1855"/>
      <c r="F401" s="2214"/>
      <c r="G401" s="2727" t="s">
        <v>50</v>
      </c>
      <c r="H401" s="2852" t="str">
        <f>MAR!I431</f>
        <v>Bagi Hasil dari Pajak Penghasilan (PPh) Pasal 25 dan Pasal 29</v>
      </c>
      <c r="I401" s="200"/>
      <c r="J401" s="3215">
        <v>78835708000</v>
      </c>
      <c r="K401" s="3171">
        <v>75733342003</v>
      </c>
      <c r="L401" s="3125">
        <v>104034902000</v>
      </c>
      <c r="M401" s="3124">
        <v>12576808932</v>
      </c>
      <c r="N401" s="3125">
        <v>23883725500</v>
      </c>
      <c r="O401" s="3125">
        <v>36460534432</v>
      </c>
      <c r="P401" s="3125">
        <v>95534902000</v>
      </c>
      <c r="Q401" s="3125">
        <f t="shared" si="71"/>
        <v>-8500000000</v>
      </c>
      <c r="R401" s="3166">
        <f t="shared" ref="R401:R407" si="72">+P401/L401*100-100</f>
        <v>-8.1703349900786151</v>
      </c>
      <c r="S401" s="3275"/>
      <c r="T401" s="3826"/>
      <c r="U401" s="3771"/>
      <c r="V401" s="1846">
        <f t="shared" si="64"/>
        <v>145842137728</v>
      </c>
    </row>
    <row r="402" spans="1:22" s="257" customFormat="1" ht="15.05" customHeight="1">
      <c r="A402" s="1855"/>
      <c r="B402" s="1855"/>
      <c r="C402" s="1855"/>
      <c r="D402" s="1855"/>
      <c r="E402" s="1855"/>
      <c r="F402" s="2214"/>
      <c r="G402" s="2727" t="s">
        <v>50</v>
      </c>
      <c r="H402" s="2852" t="str">
        <f>MAR!I432</f>
        <v>wajb pajak orang pribadi dalam negeri dan PPh Pasal 21</v>
      </c>
      <c r="I402" s="200"/>
      <c r="J402" s="3215"/>
      <c r="K402" s="3171"/>
      <c r="L402" s="3125">
        <f>MAR!J432</f>
        <v>0</v>
      </c>
      <c r="M402" s="3124">
        <v>0</v>
      </c>
      <c r="N402" s="3125">
        <f>MAR!L432</f>
        <v>0</v>
      </c>
      <c r="O402" s="3125">
        <f>MAR!M432</f>
        <v>0</v>
      </c>
      <c r="P402" s="3125">
        <v>0</v>
      </c>
      <c r="Q402" s="3125">
        <f t="shared" si="71"/>
        <v>0</v>
      </c>
      <c r="R402" s="3166">
        <v>0</v>
      </c>
      <c r="S402" s="3275"/>
      <c r="T402" s="3826"/>
      <c r="U402" s="3771"/>
      <c r="V402" s="1846">
        <f t="shared" si="64"/>
        <v>0</v>
      </c>
    </row>
    <row r="403" spans="1:22" s="257" customFormat="1" ht="15.05" customHeight="1">
      <c r="A403" s="1855"/>
      <c r="B403" s="1855"/>
      <c r="C403" s="1855"/>
      <c r="D403" s="1855"/>
      <c r="E403" s="1855"/>
      <c r="F403" s="2214"/>
      <c r="G403" s="2727" t="s">
        <v>50</v>
      </c>
      <c r="H403" s="2852" t="str">
        <f>MAR!I433</f>
        <v>Bagi Hasil Cukai Tembakau</v>
      </c>
      <c r="I403" s="200"/>
      <c r="J403" s="3215">
        <v>73396506000</v>
      </c>
      <c r="K403" s="3171">
        <v>74581736013</v>
      </c>
      <c r="L403" s="3125">
        <v>70739310600</v>
      </c>
      <c r="M403" s="3124">
        <v>100297901</v>
      </c>
      <c r="N403" s="3125">
        <v>17684827750</v>
      </c>
      <c r="O403" s="3125">
        <v>17785125651</v>
      </c>
      <c r="P403" s="3125">
        <v>235797702000</v>
      </c>
      <c r="Q403" s="3125">
        <f t="shared" si="71"/>
        <v>165058391400</v>
      </c>
      <c r="R403" s="3166">
        <f t="shared" si="72"/>
        <v>233.33333333333337</v>
      </c>
      <c r="S403" s="3275"/>
      <c r="T403" s="3826"/>
      <c r="U403" s="3771"/>
      <c r="V403" s="1846">
        <f t="shared" si="64"/>
        <v>71140502604</v>
      </c>
    </row>
    <row r="404" spans="1:22" s="1318" customFormat="1" ht="15.05" customHeight="1">
      <c r="A404" s="1902"/>
      <c r="B404" s="1902"/>
      <c r="C404" s="1902"/>
      <c r="D404" s="1902"/>
      <c r="E404" s="1902"/>
      <c r="F404" s="1856"/>
      <c r="G404" s="2728" t="str">
        <f>MAR!H435</f>
        <v>Bagi Hasil Bukan Pajak/Sumber Daya Alam</v>
      </c>
      <c r="H404" s="2854"/>
      <c r="I404" s="2322"/>
      <c r="J404" s="3272">
        <f>SUM(J405:J407)</f>
        <v>82676522000</v>
      </c>
      <c r="K404" s="3272">
        <f>SUM(K405:K407)</f>
        <v>209360402256</v>
      </c>
      <c r="L404" s="3289">
        <f>SUM(L405:L407)</f>
        <v>167935203000</v>
      </c>
      <c r="M404" s="3290">
        <v>61914351611</v>
      </c>
      <c r="N404" s="3289">
        <f>SUM(N405:N408)</f>
        <v>76675500</v>
      </c>
      <c r="O404" s="3289">
        <f>SUM(O405:O408)</f>
        <v>61991027111</v>
      </c>
      <c r="P404" s="3289">
        <f>SUM(P405:P407)</f>
        <v>151435203000</v>
      </c>
      <c r="Q404" s="3289">
        <f t="shared" si="71"/>
        <v>-16500000000</v>
      </c>
      <c r="R404" s="3291">
        <f t="shared" si="72"/>
        <v>-9.8252181229685362</v>
      </c>
      <c r="S404" s="3711"/>
      <c r="T404" s="3830"/>
      <c r="U404" s="1936"/>
      <c r="V404" s="1846">
        <f t="shared" si="64"/>
        <v>247964108444</v>
      </c>
    </row>
    <row r="405" spans="1:22" s="257" customFormat="1" ht="15.05" customHeight="1">
      <c r="A405" s="1886"/>
      <c r="B405" s="1886"/>
      <c r="C405" s="1886"/>
      <c r="D405" s="1886"/>
      <c r="E405" s="1886"/>
      <c r="F405" s="2214"/>
      <c r="G405" s="2727" t="s">
        <v>50</v>
      </c>
      <c r="H405" s="2852" t="str">
        <f>MAR!I436</f>
        <v>Bagi Hasil dari Iuran Hak Pengusahaan Hutan</v>
      </c>
      <c r="I405" s="856"/>
      <c r="J405" s="3238">
        <v>13941000</v>
      </c>
      <c r="K405" s="3173">
        <v>28170635</v>
      </c>
      <c r="L405" s="3174">
        <v>511170000</v>
      </c>
      <c r="M405" s="3175">
        <v>0</v>
      </c>
      <c r="N405" s="3174">
        <v>66556500</v>
      </c>
      <c r="O405" s="3174">
        <v>66556500</v>
      </c>
      <c r="P405" s="3174">
        <v>511170000</v>
      </c>
      <c r="Q405" s="3174">
        <f t="shared" si="71"/>
        <v>0</v>
      </c>
      <c r="R405" s="3176">
        <f t="shared" si="72"/>
        <v>0</v>
      </c>
      <c r="S405" s="3709"/>
      <c r="T405" s="3828"/>
      <c r="U405" s="1899"/>
      <c r="V405" s="1846">
        <f t="shared" si="64"/>
        <v>266226000</v>
      </c>
    </row>
    <row r="406" spans="1:22" s="257" customFormat="1" ht="15.05" customHeight="1">
      <c r="A406" s="1886"/>
      <c r="B406" s="1886"/>
      <c r="C406" s="1886"/>
      <c r="D406" s="1886"/>
      <c r="E406" s="1886"/>
      <c r="F406" s="2214"/>
      <c r="G406" s="2727" t="s">
        <v>50</v>
      </c>
      <c r="H406" s="2852" t="str">
        <f>MAR!I437</f>
        <v>Bagi Hasil dari Iuran Tetap (Land-Rent)</v>
      </c>
      <c r="I406" s="856"/>
      <c r="J406" s="3238">
        <v>4202581000</v>
      </c>
      <c r="K406" s="3173">
        <v>2669992293</v>
      </c>
      <c r="L406" s="3174">
        <v>4168131000</v>
      </c>
      <c r="M406" s="3175">
        <v>1232728624</v>
      </c>
      <c r="N406" s="3174">
        <v>0</v>
      </c>
      <c r="O406" s="3174">
        <v>1232728624</v>
      </c>
      <c r="P406" s="3174">
        <v>4168131000</v>
      </c>
      <c r="Q406" s="3174">
        <f t="shared" si="71"/>
        <v>0</v>
      </c>
      <c r="R406" s="3176">
        <f t="shared" si="72"/>
        <v>0</v>
      </c>
      <c r="S406" s="3709"/>
      <c r="T406" s="3828"/>
      <c r="U406" s="1899"/>
      <c r="V406" s="1846">
        <f t="shared" si="64"/>
        <v>4930914496</v>
      </c>
    </row>
    <row r="407" spans="1:22" s="257" customFormat="1" ht="15.05" customHeight="1">
      <c r="A407" s="1886"/>
      <c r="B407" s="1886"/>
      <c r="C407" s="1886"/>
      <c r="D407" s="1886"/>
      <c r="E407" s="1886"/>
      <c r="F407" s="2214"/>
      <c r="G407" s="2727" t="s">
        <v>50</v>
      </c>
      <c r="H407" s="2852" t="str">
        <f>MAR!I438</f>
        <v>Bagi Hasil dari Iuran Eksplorasi dan Iuran Eksploitasi (Royalty)</v>
      </c>
      <c r="I407" s="856"/>
      <c r="J407" s="3238">
        <v>78460000000</v>
      </c>
      <c r="K407" s="3173">
        <v>206662239328</v>
      </c>
      <c r="L407" s="3174">
        <v>163255902000</v>
      </c>
      <c r="M407" s="3175">
        <v>60654372288</v>
      </c>
      <c r="N407" s="3174">
        <v>0</v>
      </c>
      <c r="O407" s="3174">
        <v>60654372288</v>
      </c>
      <c r="P407" s="3174">
        <v>146755902000</v>
      </c>
      <c r="Q407" s="3174">
        <f t="shared" si="71"/>
        <v>-16500000000</v>
      </c>
      <c r="R407" s="3176">
        <f t="shared" si="72"/>
        <v>-10.1068321560589</v>
      </c>
      <c r="S407" s="3709"/>
      <c r="T407" s="3828"/>
      <c r="U407" s="1899"/>
      <c r="V407" s="1846">
        <f t="shared" si="64"/>
        <v>242617489152</v>
      </c>
    </row>
    <row r="408" spans="1:22" s="257" customFormat="1" ht="15.05" customHeight="1">
      <c r="A408" s="1886"/>
      <c r="B408" s="1886"/>
      <c r="C408" s="1886"/>
      <c r="D408" s="1886"/>
      <c r="E408" s="1886"/>
      <c r="F408" s="856"/>
      <c r="G408" s="2729" t="s">
        <v>50</v>
      </c>
      <c r="H408" s="2858" t="s">
        <v>461</v>
      </c>
      <c r="I408" s="856"/>
      <c r="J408" s="3238"/>
      <c r="K408" s="3173"/>
      <c r="L408" s="3174"/>
      <c r="M408" s="3175">
        <v>27250699</v>
      </c>
      <c r="N408" s="3174">
        <f>MAR!L439</f>
        <v>10119000</v>
      </c>
      <c r="O408" s="3174">
        <f>MAR!M439</f>
        <v>37369699</v>
      </c>
      <c r="P408" s="3174"/>
      <c r="Q408" s="3174">
        <f t="shared" si="71"/>
        <v>0</v>
      </c>
      <c r="R408" s="3176">
        <v>0</v>
      </c>
      <c r="S408" s="3709"/>
      <c r="T408" s="3828"/>
      <c r="U408" s="1899"/>
      <c r="V408" s="1846">
        <f t="shared" si="64"/>
        <v>149478796</v>
      </c>
    </row>
    <row r="409" spans="1:22" s="2917" customFormat="1" ht="15.05" customHeight="1">
      <c r="A409" s="3100" t="s">
        <v>443</v>
      </c>
      <c r="B409" s="3101" t="s">
        <v>460</v>
      </c>
      <c r="C409" s="3101" t="s">
        <v>460</v>
      </c>
      <c r="D409" s="3101"/>
      <c r="E409" s="3101"/>
      <c r="F409" s="3106" t="str">
        <f>MAR!H440</f>
        <v>DANA ALOKASI UMUM</v>
      </c>
      <c r="G409" s="3103"/>
      <c r="H409" s="3104"/>
      <c r="I409" s="3103"/>
      <c r="J409" s="3292">
        <f>J410</f>
        <v>955792513580</v>
      </c>
      <c r="K409" s="3292">
        <f>K410</f>
        <v>1117691709000</v>
      </c>
      <c r="L409" s="3292">
        <f>L410</f>
        <v>1496972549710</v>
      </c>
      <c r="M409" s="3293">
        <v>354005724000</v>
      </c>
      <c r="N409" s="3292">
        <f>N410</f>
        <v>118001908000</v>
      </c>
      <c r="O409" s="3292">
        <f>O410</f>
        <v>472007632000</v>
      </c>
      <c r="P409" s="3292">
        <f>P410</f>
        <v>1416022952000</v>
      </c>
      <c r="Q409" s="3292">
        <f t="shared" si="71"/>
        <v>-80949597710</v>
      </c>
      <c r="R409" s="3294">
        <f>+P409/L409*100-100</f>
        <v>-5.4075539144443212</v>
      </c>
      <c r="S409" s="3730"/>
      <c r="T409" s="3837"/>
      <c r="U409" s="3105"/>
      <c r="V409" s="2904">
        <f t="shared" si="64"/>
        <v>1888030528000</v>
      </c>
    </row>
    <row r="410" spans="1:22" s="1318" customFormat="1" ht="15.05" customHeight="1">
      <c r="A410" s="1725"/>
      <c r="B410" s="1725"/>
      <c r="C410" s="1725"/>
      <c r="D410" s="1725"/>
      <c r="E410" s="1725"/>
      <c r="F410" s="3089"/>
      <c r="G410" s="2744" t="str">
        <f>MAR!H441</f>
        <v>Dana Alokai Umum</v>
      </c>
      <c r="H410" s="3098"/>
      <c r="J410" s="3295">
        <v>955792513580</v>
      </c>
      <c r="K410" s="3147">
        <v>1117691709000</v>
      </c>
      <c r="L410" s="3296">
        <f>SUM(L411:L412)</f>
        <v>1496972549710</v>
      </c>
      <c r="M410" s="3297">
        <v>354005724000</v>
      </c>
      <c r="N410" s="3296">
        <f>SUM(N411:N412)</f>
        <v>118001908000</v>
      </c>
      <c r="O410" s="3296">
        <f>SUM(O411:O412)</f>
        <v>472007632000</v>
      </c>
      <c r="P410" s="3296">
        <f>P411</f>
        <v>1416022952000</v>
      </c>
      <c r="Q410" s="3296">
        <f t="shared" si="71"/>
        <v>-80949597710</v>
      </c>
      <c r="R410" s="3148">
        <f>+P410/L410*100-100</f>
        <v>-5.4075539144443212</v>
      </c>
      <c r="S410" s="3700"/>
      <c r="T410" s="3818"/>
      <c r="U410" s="3099"/>
      <c r="V410" s="1846">
        <f t="shared" ref="V410:V420" si="73">O410*4</f>
        <v>1888030528000</v>
      </c>
    </row>
    <row r="411" spans="1:22" s="257" customFormat="1" ht="15.05" customHeight="1">
      <c r="A411" s="1886"/>
      <c r="B411" s="1886"/>
      <c r="C411" s="1886"/>
      <c r="D411" s="1886"/>
      <c r="E411" s="1886"/>
      <c r="F411" s="2214"/>
      <c r="G411" s="2727" t="s">
        <v>50</v>
      </c>
      <c r="H411" s="2852" t="str">
        <f>MAR!I442</f>
        <v>DAU Murni</v>
      </c>
      <c r="I411" s="856"/>
      <c r="J411" s="3238"/>
      <c r="K411" s="3173"/>
      <c r="L411" s="3174">
        <v>1416022952000</v>
      </c>
      <c r="M411" s="3175">
        <v>354005724000</v>
      </c>
      <c r="N411" s="3174">
        <v>118001908000</v>
      </c>
      <c r="O411" s="3174">
        <v>472007632000</v>
      </c>
      <c r="P411" s="3174">
        <v>1416022952000</v>
      </c>
      <c r="Q411" s="3174">
        <f t="shared" si="71"/>
        <v>0</v>
      </c>
      <c r="R411" s="3176">
        <f>+P411/L411*100-100</f>
        <v>0</v>
      </c>
      <c r="S411" s="3709"/>
      <c r="T411" s="3828"/>
      <c r="U411" s="1899"/>
      <c r="V411" s="1846">
        <f t="shared" si="73"/>
        <v>1888030528000</v>
      </c>
    </row>
    <row r="412" spans="1:22" s="257" customFormat="1" ht="15.05" customHeight="1">
      <c r="A412" s="1886"/>
      <c r="B412" s="1886"/>
      <c r="C412" s="1886"/>
      <c r="D412" s="1886"/>
      <c r="E412" s="1886"/>
      <c r="F412" s="2214"/>
      <c r="G412" s="2727" t="s">
        <v>50</v>
      </c>
      <c r="H412" s="2852" t="str">
        <f>MAR!I443</f>
        <v>Penambahan DAU Akibat Penundaan</v>
      </c>
      <c r="I412" s="856"/>
      <c r="J412" s="3238"/>
      <c r="K412" s="3173"/>
      <c r="L412" s="3174">
        <v>80949597710</v>
      </c>
      <c r="M412" s="3175">
        <v>0</v>
      </c>
      <c r="N412" s="3174">
        <v>0</v>
      </c>
      <c r="O412" s="3174">
        <v>0</v>
      </c>
      <c r="P412" s="3174">
        <v>0</v>
      </c>
      <c r="Q412" s="3174">
        <f t="shared" si="71"/>
        <v>-80949597710</v>
      </c>
      <c r="R412" s="3176">
        <f>+P412/L412*100-100</f>
        <v>-100</v>
      </c>
      <c r="S412" s="3709"/>
      <c r="T412" s="3828"/>
      <c r="U412" s="1899"/>
      <c r="V412" s="1846">
        <f t="shared" si="73"/>
        <v>0</v>
      </c>
    </row>
    <row r="413" spans="1:22" s="2917" customFormat="1" ht="15.05" customHeight="1">
      <c r="A413" s="3100" t="s">
        <v>443</v>
      </c>
      <c r="B413" s="3101" t="s">
        <v>460</v>
      </c>
      <c r="C413" s="3101" t="s">
        <v>457</v>
      </c>
      <c r="D413" s="3101"/>
      <c r="E413" s="3101"/>
      <c r="F413" s="3102" t="str">
        <f>MAR!H445</f>
        <v>DANA ALOKASI KHUSUS</v>
      </c>
      <c r="G413" s="3103"/>
      <c r="H413" s="3104"/>
      <c r="I413" s="3103"/>
      <c r="J413" s="3292">
        <f>J414</f>
        <v>1129857085000</v>
      </c>
      <c r="K413" s="3292">
        <f>K414</f>
        <v>1094456229356</v>
      </c>
      <c r="L413" s="3292">
        <f>L414</f>
        <v>1372422968000</v>
      </c>
      <c r="M413" s="3293">
        <v>171755600000</v>
      </c>
      <c r="N413" s="3292">
        <f>N414</f>
        <v>65166318000</v>
      </c>
      <c r="O413" s="3292">
        <f>O414</f>
        <v>236921918000</v>
      </c>
      <c r="P413" s="3292">
        <f>P414</f>
        <v>1372421968000</v>
      </c>
      <c r="Q413" s="3292">
        <f t="shared" ref="Q413:Q420" si="74">+P413-L413</f>
        <v>-1000000</v>
      </c>
      <c r="R413" s="3294">
        <f t="shared" ref="R413:R420" si="75">+P413/L413*100-100</f>
        <v>-7.286383450377798E-5</v>
      </c>
      <c r="S413" s="3730"/>
      <c r="T413" s="3837"/>
      <c r="U413" s="3105"/>
      <c r="V413" s="2904">
        <f t="shared" si="73"/>
        <v>947687672000</v>
      </c>
    </row>
    <row r="414" spans="1:22" s="1318" customFormat="1" ht="15.05" customHeight="1">
      <c r="A414" s="1725"/>
      <c r="B414" s="1725"/>
      <c r="C414" s="1725"/>
      <c r="D414" s="1725"/>
      <c r="E414" s="1725"/>
      <c r="F414" s="3089"/>
      <c r="G414" s="2744" t="str">
        <f>MAR!H446</f>
        <v>Dana Alokasi Khusus</v>
      </c>
      <c r="H414" s="3098"/>
      <c r="J414" s="3296">
        <f>J415+J423</f>
        <v>1129857085000</v>
      </c>
      <c r="K414" s="3296">
        <f>K415+K423</f>
        <v>1094456229356</v>
      </c>
      <c r="L414" s="3296">
        <f>L415+L423</f>
        <v>1372422968000</v>
      </c>
      <c r="M414" s="3297">
        <v>171755600000</v>
      </c>
      <c r="N414" s="3296">
        <f>N415+N423</f>
        <v>65166318000</v>
      </c>
      <c r="O414" s="3296">
        <f>O415+O423</f>
        <v>236921918000</v>
      </c>
      <c r="P414" s="3296">
        <f>P415+P423</f>
        <v>1372421968000</v>
      </c>
      <c r="Q414" s="3296">
        <f t="shared" si="74"/>
        <v>-1000000</v>
      </c>
      <c r="R414" s="3298">
        <f t="shared" si="75"/>
        <v>-7.286383450377798E-5</v>
      </c>
      <c r="S414" s="3706"/>
      <c r="T414" s="3824"/>
      <c r="U414" s="3099"/>
      <c r="V414" s="1846">
        <f t="shared" si="73"/>
        <v>947687672000</v>
      </c>
    </row>
    <row r="415" spans="1:22" s="1318" customFormat="1" ht="15.05" customHeight="1">
      <c r="A415" s="1902"/>
      <c r="B415" s="1902"/>
      <c r="C415" s="1902"/>
      <c r="D415" s="1902"/>
      <c r="E415" s="1902"/>
      <c r="F415" s="1856"/>
      <c r="G415" s="202"/>
      <c r="H415" s="2854" t="str">
        <f>MAR!I447</f>
        <v>DAK Murni Non Fisik</v>
      </c>
      <c r="I415" s="2322"/>
      <c r="J415" s="3289">
        <f>SUM(J416:J422)</f>
        <v>625147065000</v>
      </c>
      <c r="K415" s="3289">
        <f>SUM(K416:K422)</f>
        <v>840054801000</v>
      </c>
      <c r="L415" s="3289">
        <f>SUM(L416:L422)</f>
        <v>1074923968000</v>
      </c>
      <c r="M415" s="3290">
        <v>171755600000</v>
      </c>
      <c r="N415" s="3289">
        <f>SUM(N416:N420)</f>
        <v>65166318000</v>
      </c>
      <c r="O415" s="3289">
        <f>SUM(O416:O420)</f>
        <v>236921918000</v>
      </c>
      <c r="P415" s="3289">
        <v>1074923968000</v>
      </c>
      <c r="Q415" s="3289">
        <f t="shared" si="74"/>
        <v>0</v>
      </c>
      <c r="R415" s="3291">
        <f t="shared" si="75"/>
        <v>0</v>
      </c>
      <c r="S415" s="3711"/>
      <c r="T415" s="3830"/>
      <c r="U415" s="1936"/>
      <c r="V415" s="1846">
        <f t="shared" si="73"/>
        <v>947687672000</v>
      </c>
    </row>
    <row r="416" spans="1:22" s="257" customFormat="1" ht="15.05" customHeight="1">
      <c r="A416" s="1886"/>
      <c r="B416" s="1886"/>
      <c r="C416" s="1886"/>
      <c r="D416" s="1886"/>
      <c r="E416" s="1886"/>
      <c r="F416" s="2214"/>
      <c r="G416" s="200"/>
      <c r="H416" s="2852" t="str">
        <f>MAR!I448</f>
        <v>- BOS</v>
      </c>
      <c r="I416" s="856"/>
      <c r="J416" s="3238">
        <v>619824550000</v>
      </c>
      <c r="K416" s="3173">
        <v>826042895000</v>
      </c>
      <c r="L416" s="3174">
        <v>858778000000</v>
      </c>
      <c r="M416" s="3175">
        <v>171755600000</v>
      </c>
      <c r="N416" s="3174">
        <v>0</v>
      </c>
      <c r="O416" s="3174">
        <v>171755600000</v>
      </c>
      <c r="P416" s="3174">
        <v>858778000000</v>
      </c>
      <c r="Q416" s="3174">
        <f t="shared" si="74"/>
        <v>0</v>
      </c>
      <c r="R416" s="3176">
        <f t="shared" si="75"/>
        <v>0</v>
      </c>
      <c r="S416" s="3709"/>
      <c r="T416" s="3828"/>
      <c r="U416" s="1899"/>
      <c r="V416" s="1846">
        <f t="shared" si="73"/>
        <v>687022400000</v>
      </c>
    </row>
    <row r="417" spans="1:22" s="257" customFormat="1" ht="15.05" customHeight="1">
      <c r="A417" s="1886"/>
      <c r="B417" s="1886"/>
      <c r="C417" s="1886"/>
      <c r="D417" s="1886"/>
      <c r="E417" s="1886"/>
      <c r="F417" s="2214"/>
      <c r="G417" s="200"/>
      <c r="H417" s="2852" t="str">
        <f>MAR!I449</f>
        <v>- Tunjangan Profesi Guru</v>
      </c>
      <c r="I417" s="856"/>
      <c r="J417" s="3238"/>
      <c r="K417" s="3173"/>
      <c r="L417" s="3174">
        <v>207376785000</v>
      </c>
      <c r="M417" s="3175">
        <v>0</v>
      </c>
      <c r="N417" s="3174">
        <v>62213035000</v>
      </c>
      <c r="O417" s="3174">
        <v>62213035000</v>
      </c>
      <c r="P417" s="3174">
        <v>207376785000</v>
      </c>
      <c r="Q417" s="3174">
        <f t="shared" si="74"/>
        <v>0</v>
      </c>
      <c r="R417" s="3176">
        <f t="shared" si="75"/>
        <v>0</v>
      </c>
      <c r="S417" s="3709"/>
      <c r="T417" s="3828"/>
      <c r="U417" s="1899"/>
      <c r="V417" s="1846">
        <f t="shared" si="73"/>
        <v>248852140000</v>
      </c>
    </row>
    <row r="418" spans="1:22" s="257" customFormat="1" ht="15.05" customHeight="1">
      <c r="A418" s="1886"/>
      <c r="B418" s="1886"/>
      <c r="C418" s="1886"/>
      <c r="D418" s="1886"/>
      <c r="E418" s="1886"/>
      <c r="F418" s="2214"/>
      <c r="G418" s="200"/>
      <c r="H418" s="2852" t="str">
        <f>MAR!I450</f>
        <v>- Tambahan Penghasilan</v>
      </c>
      <c r="I418" s="856"/>
      <c r="J418" s="3238"/>
      <c r="K418" s="3173"/>
      <c r="L418" s="3174">
        <v>4737000000</v>
      </c>
      <c r="M418" s="3175">
        <v>0</v>
      </c>
      <c r="N418" s="3174">
        <v>1421100000</v>
      </c>
      <c r="O418" s="3174">
        <v>1421100000</v>
      </c>
      <c r="P418" s="3174">
        <v>4737000000</v>
      </c>
      <c r="Q418" s="3174">
        <f t="shared" si="74"/>
        <v>0</v>
      </c>
      <c r="R418" s="3176">
        <f t="shared" si="75"/>
        <v>0</v>
      </c>
      <c r="S418" s="3709"/>
      <c r="T418" s="3828"/>
      <c r="U418" s="1899"/>
      <c r="V418" s="1846">
        <f t="shared" si="73"/>
        <v>5684400000</v>
      </c>
    </row>
    <row r="419" spans="1:22" s="257" customFormat="1" ht="15.05" customHeight="1">
      <c r="A419" s="1886"/>
      <c r="B419" s="1886"/>
      <c r="C419" s="1886"/>
      <c r="D419" s="1886"/>
      <c r="E419" s="1886"/>
      <c r="F419" s="2214"/>
      <c r="G419" s="200"/>
      <c r="H419" s="2852" t="str">
        <f>MAR!I451</f>
        <v>- Koperasi UKM</v>
      </c>
      <c r="I419" s="856"/>
      <c r="J419" s="3238">
        <v>2500000000</v>
      </c>
      <c r="K419" s="3173">
        <v>5000000000</v>
      </c>
      <c r="L419" s="3174">
        <v>2500000000</v>
      </c>
      <c r="M419" s="3175">
        <v>0</v>
      </c>
      <c r="N419" s="3174">
        <v>1532183000</v>
      </c>
      <c r="O419" s="3174">
        <v>1532183000</v>
      </c>
      <c r="P419" s="3174">
        <v>2500000000</v>
      </c>
      <c r="Q419" s="3174">
        <f t="shared" si="74"/>
        <v>0</v>
      </c>
      <c r="R419" s="3176">
        <f t="shared" si="75"/>
        <v>0</v>
      </c>
      <c r="S419" s="3709"/>
      <c r="T419" s="3828"/>
      <c r="U419" s="1899"/>
      <c r="V419" s="1846">
        <f t="shared" si="73"/>
        <v>6128732000</v>
      </c>
    </row>
    <row r="420" spans="1:22" s="257" customFormat="1" ht="15.05" customHeight="1">
      <c r="A420" s="1886"/>
      <c r="B420" s="1886"/>
      <c r="C420" s="1886"/>
      <c r="D420" s="1886"/>
      <c r="E420" s="1886"/>
      <c r="F420" s="2214"/>
      <c r="G420" s="200"/>
      <c r="H420" s="2852" t="str">
        <f>MAR!I452</f>
        <v>- Dinas Sosial Kependudukan</v>
      </c>
      <c r="I420" s="856"/>
      <c r="J420" s="3238">
        <v>0</v>
      </c>
      <c r="K420" s="3173">
        <v>4151773000</v>
      </c>
      <c r="L420" s="3174">
        <v>1532183000</v>
      </c>
      <c r="M420" s="3175">
        <v>0</v>
      </c>
      <c r="N420" s="3174">
        <v>0</v>
      </c>
      <c r="O420" s="3174">
        <v>0</v>
      </c>
      <c r="P420" s="3174">
        <v>1532183000</v>
      </c>
      <c r="Q420" s="3174">
        <f t="shared" si="74"/>
        <v>0</v>
      </c>
      <c r="R420" s="3176">
        <f t="shared" si="75"/>
        <v>0</v>
      </c>
      <c r="S420" s="3709"/>
      <c r="T420" s="3828"/>
      <c r="U420" s="1899"/>
      <c r="V420" s="1846">
        <f t="shared" si="73"/>
        <v>0</v>
      </c>
    </row>
    <row r="421" spans="1:22" s="257" customFormat="1" ht="15.05" customHeight="1">
      <c r="A421" s="1886"/>
      <c r="B421" s="1886"/>
      <c r="C421" s="1886"/>
      <c r="D421" s="1886"/>
      <c r="E421" s="1886"/>
      <c r="F421" s="2214"/>
      <c r="G421" s="200"/>
      <c r="H421" s="2855" t="s">
        <v>610</v>
      </c>
      <c r="I421" s="856"/>
      <c r="J421" s="3238">
        <v>708360000</v>
      </c>
      <c r="K421" s="3173">
        <v>708360000</v>
      </c>
      <c r="L421" s="3174"/>
      <c r="M421" s="3175"/>
      <c r="N421" s="3174"/>
      <c r="O421" s="3182">
        <f>L449+L450</f>
        <v>51419400</v>
      </c>
      <c r="P421" s="3174"/>
      <c r="Q421" s="3174"/>
      <c r="R421" s="3176"/>
      <c r="S421" s="3709"/>
      <c r="T421" s="3828"/>
      <c r="U421" s="1899"/>
      <c r="V421" s="1846"/>
    </row>
    <row r="422" spans="1:22" s="257" customFormat="1" ht="15.05" customHeight="1">
      <c r="A422" s="1886"/>
      <c r="B422" s="1886"/>
      <c r="C422" s="1886"/>
      <c r="D422" s="1886"/>
      <c r="E422" s="1886"/>
      <c r="F422" s="2214"/>
      <c r="G422" s="200"/>
      <c r="H422" s="2855" t="s">
        <v>611</v>
      </c>
      <c r="I422" s="856"/>
      <c r="J422" s="3238">
        <v>2114155000</v>
      </c>
      <c r="K422" s="3173">
        <v>4151773000</v>
      </c>
      <c r="L422" s="3174"/>
      <c r="M422" s="3175"/>
      <c r="N422" s="3174"/>
      <c r="O422" s="3174"/>
      <c r="P422" s="3174"/>
      <c r="Q422" s="3174"/>
      <c r="R422" s="3176"/>
      <c r="S422" s="3709"/>
      <c r="T422" s="3828"/>
      <c r="U422" s="1899"/>
      <c r="V422" s="1846"/>
    </row>
    <row r="423" spans="1:22" s="1318" customFormat="1" ht="15.05" customHeight="1">
      <c r="A423" s="1902"/>
      <c r="B423" s="1902"/>
      <c r="C423" s="1902"/>
      <c r="D423" s="1902"/>
      <c r="E423" s="1902"/>
      <c r="F423" s="1856"/>
      <c r="G423" s="202"/>
      <c r="H423" s="2854" t="str">
        <f>MAR!I453</f>
        <v>DAK Fisik</v>
      </c>
      <c r="I423" s="2322"/>
      <c r="J423" s="3272">
        <f>504710020000</f>
        <v>504710020000</v>
      </c>
      <c r="K423" s="3142">
        <f>10319496286+1625920000+1450931000+28095350000+184689298167+18179605000+10040827903</f>
        <v>254401428356</v>
      </c>
      <c r="L423" s="3174">
        <f>MAR!J453</f>
        <v>297499000000</v>
      </c>
      <c r="M423" s="3175">
        <v>0</v>
      </c>
      <c r="N423" s="3174">
        <f>MAR!L453</f>
        <v>0</v>
      </c>
      <c r="O423" s="3174">
        <f>MAR!M453</f>
        <v>0</v>
      </c>
      <c r="P423" s="3174">
        <v>297498000000</v>
      </c>
      <c r="Q423" s="3174">
        <f>+P423-L423</f>
        <v>-1000000</v>
      </c>
      <c r="R423" s="3176">
        <f>+P423/L423*100-100</f>
        <v>-3.3613558365175322E-4</v>
      </c>
      <c r="S423" s="3709"/>
      <c r="T423" s="3828"/>
      <c r="U423" s="1936"/>
      <c r="V423" s="1846">
        <f>O423*4</f>
        <v>0</v>
      </c>
    </row>
    <row r="424" spans="1:22" s="1318" customFormat="1" ht="15.05" hidden="1" customHeight="1">
      <c r="A424" s="1902"/>
      <c r="B424" s="1902"/>
      <c r="C424" s="1902"/>
      <c r="D424" s="1902"/>
      <c r="E424" s="1902"/>
      <c r="F424" s="2856"/>
      <c r="G424" s="2322"/>
      <c r="H424" s="2857"/>
      <c r="I424" s="2322"/>
      <c r="J424" s="3272"/>
      <c r="K424" s="3142"/>
      <c r="L424" s="3174"/>
      <c r="M424" s="3175"/>
      <c r="N424" s="3174"/>
      <c r="O424" s="3174"/>
      <c r="P424" s="3174"/>
      <c r="Q424" s="3174"/>
      <c r="R424" s="3176"/>
      <c r="S424" s="3709"/>
      <c r="T424" s="3828"/>
      <c r="U424" s="1936"/>
      <c r="V424" s="1846"/>
    </row>
    <row r="425" spans="1:22" s="257" customFormat="1" ht="15.05" customHeight="1">
      <c r="A425" s="1886"/>
      <c r="B425" s="1886"/>
      <c r="C425" s="1886"/>
      <c r="D425" s="1886"/>
      <c r="E425" s="1886"/>
      <c r="F425" s="2356"/>
      <c r="G425" s="856"/>
      <c r="H425" s="2858"/>
      <c r="I425" s="856"/>
      <c r="J425" s="3238">
        <f>13870510900-J427</f>
        <v>0</v>
      </c>
      <c r="K425" s="3173">
        <f>13001891981.54-K427</f>
        <v>0</v>
      </c>
      <c r="L425" s="3174"/>
      <c r="M425" s="3175"/>
      <c r="N425" s="3174"/>
      <c r="O425" s="3174"/>
      <c r="P425" s="3174"/>
      <c r="Q425" s="3174"/>
      <c r="R425" s="3194"/>
      <c r="S425" s="3712"/>
      <c r="T425" s="3831"/>
      <c r="U425" s="1899"/>
      <c r="V425" s="1846">
        <f t="shared" ref="V425:V455" si="76">O425*4</f>
        <v>0</v>
      </c>
    </row>
    <row r="426" spans="1:22" s="2971" customFormat="1" ht="15.05" customHeight="1">
      <c r="A426" s="2966">
        <v>4</v>
      </c>
      <c r="B426" s="2966" t="s">
        <v>457</v>
      </c>
      <c r="C426" s="2966"/>
      <c r="D426" s="2966"/>
      <c r="E426" s="2966"/>
      <c r="F426" s="2967" t="s">
        <v>612</v>
      </c>
      <c r="G426" s="2968"/>
      <c r="H426" s="2969"/>
      <c r="I426" s="2969"/>
      <c r="J426" s="3299">
        <f t="shared" ref="J426:Q426" si="77">+J427+J559</f>
        <v>19284510900</v>
      </c>
      <c r="K426" s="3299">
        <f t="shared" si="77"/>
        <v>18001891981.540001</v>
      </c>
      <c r="L426" s="3299">
        <f t="shared" si="77"/>
        <v>67264821900</v>
      </c>
      <c r="M426" s="3299">
        <f t="shared" si="77"/>
        <v>804203846.99000001</v>
      </c>
      <c r="N426" s="3299">
        <f t="shared" si="77"/>
        <v>27120019500</v>
      </c>
      <c r="O426" s="3299">
        <f t="shared" si="77"/>
        <v>27924223346.990002</v>
      </c>
      <c r="P426" s="3299">
        <f t="shared" si="77"/>
        <v>67478457900</v>
      </c>
      <c r="Q426" s="3299">
        <f t="shared" si="77"/>
        <v>213636000</v>
      </c>
      <c r="R426" s="3439">
        <f>+P426/L426*100-100</f>
        <v>0.31760434944376925</v>
      </c>
      <c r="S426" s="3754"/>
      <c r="T426" s="3855"/>
      <c r="U426" s="3809"/>
      <c r="V426" s="2964">
        <f t="shared" si="76"/>
        <v>111696893387.96001</v>
      </c>
    </row>
    <row r="427" spans="1:22" s="3119" customFormat="1" ht="15.05" customHeight="1">
      <c r="A427" s="3116">
        <v>4</v>
      </c>
      <c r="B427" s="3093" t="s">
        <v>457</v>
      </c>
      <c r="C427" s="3093" t="s">
        <v>58</v>
      </c>
      <c r="D427" s="3093"/>
      <c r="E427" s="3093"/>
      <c r="F427" s="3094" t="s">
        <v>613</v>
      </c>
      <c r="G427" s="3095"/>
      <c r="H427" s="3096"/>
      <c r="I427" s="3097"/>
      <c r="J427" s="3300">
        <f>J428+J429</f>
        <v>13870510900</v>
      </c>
      <c r="K427" s="3300">
        <f t="shared" ref="K427:P427" si="78">K428+K429</f>
        <v>13001891981.540001</v>
      </c>
      <c r="L427" s="3300">
        <f t="shared" si="78"/>
        <v>13870510900</v>
      </c>
      <c r="M427" s="3300">
        <f t="shared" si="78"/>
        <v>804203846.99000001</v>
      </c>
      <c r="N427" s="3300">
        <f t="shared" si="78"/>
        <v>422864500</v>
      </c>
      <c r="O427" s="3300">
        <f t="shared" si="78"/>
        <v>1227068346.99</v>
      </c>
      <c r="P427" s="3300">
        <f t="shared" si="78"/>
        <v>14084146900</v>
      </c>
      <c r="Q427" s="3294">
        <f t="shared" ref="Q427:Q455" si="79">+P427-L427</f>
        <v>213636000</v>
      </c>
      <c r="R427" s="3294">
        <f>+P427/L427*100-100</f>
        <v>1.5402172388617714</v>
      </c>
      <c r="S427" s="3730"/>
      <c r="T427" s="3837"/>
      <c r="U427" s="3117"/>
      <c r="V427" s="3118">
        <f t="shared" si="76"/>
        <v>4908273387.96</v>
      </c>
    </row>
    <row r="428" spans="1:22" s="257" customFormat="1" ht="15.05" customHeight="1">
      <c r="A428" s="1889">
        <v>4</v>
      </c>
      <c r="B428" s="1889" t="s">
        <v>457</v>
      </c>
      <c r="C428" s="1889" t="s">
        <v>58</v>
      </c>
      <c r="D428" s="1889" t="s">
        <v>457</v>
      </c>
      <c r="E428" s="1905" t="s">
        <v>58</v>
      </c>
      <c r="F428" s="2827" t="s">
        <v>267</v>
      </c>
      <c r="G428" s="2828"/>
      <c r="H428" s="212"/>
      <c r="I428" s="2859"/>
      <c r="J428" s="3214"/>
      <c r="K428" s="3155"/>
      <c r="L428" s="3234">
        <v>0</v>
      </c>
      <c r="M428" s="3198"/>
      <c r="N428" s="3234"/>
      <c r="O428" s="3197"/>
      <c r="P428" s="3234">
        <f>MAR!N457</f>
        <v>0</v>
      </c>
      <c r="Q428" s="3197">
        <f t="shared" si="79"/>
        <v>0</v>
      </c>
      <c r="R428" s="3199">
        <v>0</v>
      </c>
      <c r="S428" s="3713"/>
      <c r="T428" s="3832"/>
      <c r="U428" s="1900"/>
      <c r="V428" s="1846">
        <f t="shared" si="76"/>
        <v>0</v>
      </c>
    </row>
    <row r="429" spans="1:22" s="2920" customFormat="1" ht="15.05" customHeight="1">
      <c r="A429" s="2985">
        <v>4</v>
      </c>
      <c r="B429" s="2985" t="s">
        <v>457</v>
      </c>
      <c r="C429" s="2985" t="s">
        <v>58</v>
      </c>
      <c r="D429" s="2985" t="s">
        <v>457</v>
      </c>
      <c r="E429" s="2985" t="s">
        <v>460</v>
      </c>
      <c r="F429" s="2986" t="s">
        <v>269</v>
      </c>
      <c r="G429" s="2987"/>
      <c r="H429" s="2988"/>
      <c r="I429" s="2989"/>
      <c r="J429" s="3199">
        <f>J430+J448+J445+J451+J457+J462+J467+J484+J487+J490+J493+J496+J499+J502+J505+J508+J510+J513+J515+J517+J519+J521+J525+J527+J531+J533+J536+J538+J540+J542+J544+J546+J548+J550+J553+J555+J557</f>
        <v>13870510900</v>
      </c>
      <c r="K429" s="3199">
        <f t="shared" ref="K429:P429" si="80">K430+K448+K445+K451+K457+K462+K467+K484+K487+K490+K493+K496+K499+K502+K505+K508+K510+K513+K515+K517+K519+K521+K525+K527+K531+K533+K536+K538+K540+K542+K544+K546+K548+K550+K553+K555+K557</f>
        <v>13001891981.540001</v>
      </c>
      <c r="L429" s="3199">
        <f>L430+O421+L445+L451+L457+L462+L467+L484+L487+L490+L493+L496+L499+L502+L505+L508+L510+L513+L515+L517+L519+L521+L525+L527+L531+L533+L536+L538+L540+L542+L544+L546+L548+L550+L553+L555+L557</f>
        <v>13870510900</v>
      </c>
      <c r="M429" s="3199">
        <f t="shared" si="80"/>
        <v>804203846.99000001</v>
      </c>
      <c r="N429" s="3199">
        <f t="shared" si="80"/>
        <v>422864500</v>
      </c>
      <c r="O429" s="3199">
        <f t="shared" si="80"/>
        <v>1227068346.99</v>
      </c>
      <c r="P429" s="3199">
        <f t="shared" si="80"/>
        <v>14084146900</v>
      </c>
      <c r="Q429" s="3199">
        <f t="shared" si="79"/>
        <v>213636000</v>
      </c>
      <c r="R429" s="3199">
        <f>+P429/L429*100-100</f>
        <v>1.5402172388617714</v>
      </c>
      <c r="S429" s="3713"/>
      <c r="T429" s="3832"/>
      <c r="U429" s="3120"/>
      <c r="V429" s="2923">
        <f t="shared" si="76"/>
        <v>4908273387.96</v>
      </c>
    </row>
    <row r="430" spans="1:22" s="257" customFormat="1" ht="15.05" customHeight="1">
      <c r="A430" s="1855"/>
      <c r="B430" s="1855"/>
      <c r="C430" s="1855"/>
      <c r="D430" s="1855"/>
      <c r="E430" s="1855"/>
      <c r="F430" s="1464" t="s">
        <v>614</v>
      </c>
      <c r="G430" s="1860"/>
      <c r="H430" s="202"/>
      <c r="I430" s="202"/>
      <c r="J430" s="3259">
        <f>+J431</f>
        <v>4625000</v>
      </c>
      <c r="K430" s="3200">
        <v>0</v>
      </c>
      <c r="L430" s="3182">
        <f>SUM(L431:L432)</f>
        <v>4625000</v>
      </c>
      <c r="M430" s="3183">
        <v>0</v>
      </c>
      <c r="N430" s="3182">
        <f>SUM(N431:N432)</f>
        <v>0</v>
      </c>
      <c r="O430" s="3182">
        <f>N430+M430</f>
        <v>0</v>
      </c>
      <c r="P430" s="3182">
        <v>4625000</v>
      </c>
      <c r="Q430" s="3182">
        <f t="shared" si="79"/>
        <v>0</v>
      </c>
      <c r="R430" s="3184">
        <f>+P430/L430*100-100</f>
        <v>0</v>
      </c>
      <c r="S430" s="3710"/>
      <c r="T430" s="3829"/>
      <c r="U430" s="3777"/>
      <c r="V430" s="1846">
        <f t="shared" si="76"/>
        <v>0</v>
      </c>
    </row>
    <row r="431" spans="1:22" s="257" customFormat="1" ht="15.05" customHeight="1">
      <c r="A431" s="1855"/>
      <c r="B431" s="1855"/>
      <c r="C431" s="1855"/>
      <c r="D431" s="1855"/>
      <c r="E431" s="1855"/>
      <c r="F431" s="1857" t="s">
        <v>50</v>
      </c>
      <c r="G431" s="1858"/>
      <c r="H431" s="200" t="s">
        <v>615</v>
      </c>
      <c r="I431" s="200"/>
      <c r="J431" s="3215">
        <v>4625000</v>
      </c>
      <c r="K431" s="3301">
        <v>0</v>
      </c>
      <c r="L431" s="3125">
        <v>4625000</v>
      </c>
      <c r="M431" s="3124">
        <v>0</v>
      </c>
      <c r="N431" s="3125">
        <v>0</v>
      </c>
      <c r="O431" s="3125">
        <v>0</v>
      </c>
      <c r="P431" s="3125">
        <v>0</v>
      </c>
      <c r="Q431" s="3125">
        <f t="shared" si="79"/>
        <v>-4625000</v>
      </c>
      <c r="R431" s="3166">
        <f>+P431/L431*100-100</f>
        <v>-100</v>
      </c>
      <c r="S431" s="3748"/>
      <c r="T431" s="3826"/>
      <c r="U431" s="3778">
        <f>PerDinas!Q637</f>
        <v>0</v>
      </c>
      <c r="V431" s="1846">
        <f t="shared" si="76"/>
        <v>0</v>
      </c>
    </row>
    <row r="432" spans="1:22" s="257" customFormat="1" ht="15.05" customHeight="1">
      <c r="A432" s="1855"/>
      <c r="B432" s="1855"/>
      <c r="C432" s="1855"/>
      <c r="D432" s="1855"/>
      <c r="E432" s="1855"/>
      <c r="F432" s="1857" t="s">
        <v>50</v>
      </c>
      <c r="G432" s="1858"/>
      <c r="H432" s="200" t="s">
        <v>85</v>
      </c>
      <c r="I432" s="200"/>
      <c r="J432" s="3482" t="s">
        <v>700</v>
      </c>
      <c r="K432" s="3302"/>
      <c r="L432" s="3125">
        <f>MAR!J485</f>
        <v>0</v>
      </c>
      <c r="M432" s="3124">
        <v>0</v>
      </c>
      <c r="N432" s="3125">
        <f>MAR!L485</f>
        <v>0</v>
      </c>
      <c r="O432" s="3125">
        <f>MAR!M485</f>
        <v>0</v>
      </c>
      <c r="P432" s="3125">
        <v>0</v>
      </c>
      <c r="Q432" s="3125">
        <f t="shared" si="79"/>
        <v>0</v>
      </c>
      <c r="R432" s="3166">
        <v>0</v>
      </c>
      <c r="S432" s="3748"/>
      <c r="T432" s="3826"/>
      <c r="U432" s="3778">
        <f>PerDinas!Q638</f>
        <v>0</v>
      </c>
      <c r="V432" s="1846">
        <f t="shared" si="76"/>
        <v>0</v>
      </c>
    </row>
    <row r="433" spans="1:22" s="257" customFormat="1" ht="15.05" hidden="1" customHeight="1">
      <c r="A433" s="1855"/>
      <c r="B433" s="1855"/>
      <c r="C433" s="1855"/>
      <c r="D433" s="1855"/>
      <c r="E433" s="1855"/>
      <c r="F433" s="1464" t="s">
        <v>616</v>
      </c>
      <c r="G433" s="1860"/>
      <c r="H433" s="202"/>
      <c r="I433" s="202"/>
      <c r="J433" s="3259"/>
      <c r="K433" s="3302"/>
      <c r="L433" s="3182">
        <f>L434+L435</f>
        <v>0</v>
      </c>
      <c r="M433" s="3183">
        <v>0</v>
      </c>
      <c r="N433" s="3182">
        <f>N434+N435</f>
        <v>0</v>
      </c>
      <c r="O433" s="3182">
        <f>N433+M433</f>
        <v>0</v>
      </c>
      <c r="P433" s="3182">
        <v>0</v>
      </c>
      <c r="Q433" s="3182">
        <f t="shared" si="79"/>
        <v>0</v>
      </c>
      <c r="R433" s="3184" t="e">
        <f t="shared" ref="R433:R449" si="81">+P433/L433*100-100</f>
        <v>#DIV/0!</v>
      </c>
      <c r="S433" s="3710"/>
      <c r="T433" s="3829"/>
      <c r="U433" s="3777"/>
      <c r="V433" s="1846">
        <f t="shared" si="76"/>
        <v>0</v>
      </c>
    </row>
    <row r="434" spans="1:22" s="257" customFormat="1" ht="15.05" hidden="1" customHeight="1">
      <c r="A434" s="1855"/>
      <c r="B434" s="1855"/>
      <c r="C434" s="1855"/>
      <c r="D434" s="1855"/>
      <c r="E434" s="1855"/>
      <c r="F434" s="1857" t="s">
        <v>50</v>
      </c>
      <c r="G434" s="1858"/>
      <c r="H434" s="200" t="s">
        <v>85</v>
      </c>
      <c r="I434" s="200"/>
      <c r="J434" s="3215"/>
      <c r="K434" s="3302"/>
      <c r="L434" s="3125">
        <f>MAR!J127</f>
        <v>0</v>
      </c>
      <c r="M434" s="3124">
        <v>0</v>
      </c>
      <c r="N434" s="3125">
        <f>MAR!L127</f>
        <v>0</v>
      </c>
      <c r="O434" s="3125">
        <f>MAR!M127</f>
        <v>0</v>
      </c>
      <c r="P434" s="3125">
        <v>0</v>
      </c>
      <c r="Q434" s="3125">
        <f t="shared" si="79"/>
        <v>0</v>
      </c>
      <c r="R434" s="3166" t="e">
        <f t="shared" si="81"/>
        <v>#DIV/0!</v>
      </c>
      <c r="S434" s="3748"/>
      <c r="T434" s="3826"/>
      <c r="U434" s="3778">
        <f>PerDinas!Q583</f>
        <v>0</v>
      </c>
      <c r="V434" s="1846">
        <f t="shared" si="76"/>
        <v>0</v>
      </c>
    </row>
    <row r="435" spans="1:22" s="257" customFormat="1" ht="15.05" hidden="1" customHeight="1">
      <c r="A435" s="1855"/>
      <c r="B435" s="1855"/>
      <c r="C435" s="1855"/>
      <c r="D435" s="1855"/>
      <c r="E435" s="1855"/>
      <c r="F435" s="1857"/>
      <c r="G435" s="1858"/>
      <c r="H435" s="200"/>
      <c r="I435" s="200"/>
      <c r="J435" s="3215"/>
      <c r="K435" s="3302"/>
      <c r="L435" s="3125"/>
      <c r="M435" s="3124"/>
      <c r="N435" s="3125"/>
      <c r="O435" s="3125"/>
      <c r="P435" s="3125"/>
      <c r="Q435" s="3125">
        <f t="shared" si="79"/>
        <v>0</v>
      </c>
      <c r="R435" s="3166" t="e">
        <f t="shared" si="81"/>
        <v>#DIV/0!</v>
      </c>
      <c r="S435" s="3275"/>
      <c r="T435" s="3826"/>
      <c r="U435" s="3771"/>
      <c r="V435" s="1846">
        <f t="shared" si="76"/>
        <v>0</v>
      </c>
    </row>
    <row r="436" spans="1:22" s="257" customFormat="1" ht="15.05" hidden="1" customHeight="1">
      <c r="A436" s="1855"/>
      <c r="B436" s="1855"/>
      <c r="C436" s="1855"/>
      <c r="D436" s="1855"/>
      <c r="E436" s="1855"/>
      <c r="F436" s="1464" t="s">
        <v>617</v>
      </c>
      <c r="G436" s="1860"/>
      <c r="H436" s="202"/>
      <c r="I436" s="202"/>
      <c r="J436" s="3259"/>
      <c r="K436" s="3302"/>
      <c r="L436" s="3182">
        <f>L437</f>
        <v>0</v>
      </c>
      <c r="M436" s="3183">
        <v>0</v>
      </c>
      <c r="N436" s="3182">
        <f>N437</f>
        <v>0</v>
      </c>
      <c r="O436" s="3182">
        <f>N436+M436</f>
        <v>0</v>
      </c>
      <c r="P436" s="3182">
        <v>0</v>
      </c>
      <c r="Q436" s="3182">
        <f t="shared" si="79"/>
        <v>0</v>
      </c>
      <c r="R436" s="3184" t="e">
        <f t="shared" si="81"/>
        <v>#DIV/0!</v>
      </c>
      <c r="S436" s="3710"/>
      <c r="T436" s="3829"/>
      <c r="U436" s="3777"/>
      <c r="V436" s="1846">
        <f t="shared" si="76"/>
        <v>0</v>
      </c>
    </row>
    <row r="437" spans="1:22" s="257" customFormat="1" ht="15.05" hidden="1" customHeight="1">
      <c r="A437" s="1855"/>
      <c r="B437" s="1855"/>
      <c r="C437" s="1855"/>
      <c r="D437" s="1855"/>
      <c r="E437" s="1855"/>
      <c r="F437" s="1857" t="s">
        <v>50</v>
      </c>
      <c r="G437" s="1858"/>
      <c r="H437" s="200" t="s">
        <v>85</v>
      </c>
      <c r="I437" s="200"/>
      <c r="J437" s="3215"/>
      <c r="K437" s="3302"/>
      <c r="L437" s="3125">
        <f>MAR!J114</f>
        <v>0</v>
      </c>
      <c r="M437" s="3124">
        <v>0</v>
      </c>
      <c r="N437" s="3125">
        <f>MAR!L114</f>
        <v>0</v>
      </c>
      <c r="O437" s="3125">
        <f>MAR!M114</f>
        <v>0</v>
      </c>
      <c r="P437" s="3125">
        <v>0</v>
      </c>
      <c r="Q437" s="3125">
        <f t="shared" si="79"/>
        <v>0</v>
      </c>
      <c r="R437" s="3166" t="e">
        <f t="shared" si="81"/>
        <v>#DIV/0!</v>
      </c>
      <c r="S437" s="3275"/>
      <c r="T437" s="3826"/>
      <c r="U437" s="3771"/>
      <c r="V437" s="1846">
        <f t="shared" si="76"/>
        <v>0</v>
      </c>
    </row>
    <row r="438" spans="1:22" s="257" customFormat="1" ht="15.05" hidden="1" customHeight="1">
      <c r="A438" s="1855"/>
      <c r="B438" s="1855"/>
      <c r="C438" s="1855"/>
      <c r="D438" s="1855"/>
      <c r="E438" s="1855"/>
      <c r="F438" s="1857"/>
      <c r="G438" s="1858"/>
      <c r="H438" s="2860"/>
      <c r="I438" s="200"/>
      <c r="J438" s="3215"/>
      <c r="K438" s="3302"/>
      <c r="L438" s="3125"/>
      <c r="M438" s="3124"/>
      <c r="N438" s="3125"/>
      <c r="O438" s="3125"/>
      <c r="P438" s="3125"/>
      <c r="Q438" s="3125">
        <f t="shared" si="79"/>
        <v>0</v>
      </c>
      <c r="R438" s="3166" t="e">
        <f t="shared" si="81"/>
        <v>#DIV/0!</v>
      </c>
      <c r="S438" s="3275"/>
      <c r="T438" s="3826"/>
      <c r="U438" s="3771"/>
      <c r="V438" s="1846">
        <f t="shared" si="76"/>
        <v>0</v>
      </c>
    </row>
    <row r="439" spans="1:22" s="257" customFormat="1" ht="15.05" hidden="1" customHeight="1">
      <c r="A439" s="1855"/>
      <c r="B439" s="1855"/>
      <c r="C439" s="1855"/>
      <c r="D439" s="1855"/>
      <c r="E439" s="1855"/>
      <c r="F439" s="1464" t="s">
        <v>618</v>
      </c>
      <c r="G439" s="1860"/>
      <c r="H439" s="202"/>
      <c r="I439" s="202"/>
      <c r="J439" s="3259"/>
      <c r="K439" s="3302"/>
      <c r="L439" s="3182">
        <f>L440</f>
        <v>0</v>
      </c>
      <c r="M439" s="3183">
        <v>0</v>
      </c>
      <c r="N439" s="3182">
        <f>N440</f>
        <v>0</v>
      </c>
      <c r="O439" s="3182">
        <f>N439+M439</f>
        <v>0</v>
      </c>
      <c r="P439" s="3182">
        <v>0</v>
      </c>
      <c r="Q439" s="3182">
        <f t="shared" si="79"/>
        <v>0</v>
      </c>
      <c r="R439" s="3184" t="e">
        <f t="shared" si="81"/>
        <v>#DIV/0!</v>
      </c>
      <c r="S439" s="3710"/>
      <c r="T439" s="3829"/>
      <c r="U439" s="3777"/>
      <c r="V439" s="1846">
        <f t="shared" si="76"/>
        <v>0</v>
      </c>
    </row>
    <row r="440" spans="1:22" s="257" customFormat="1" ht="15.05" hidden="1" customHeight="1">
      <c r="A440" s="1855"/>
      <c r="B440" s="1855"/>
      <c r="C440" s="1855"/>
      <c r="D440" s="1855"/>
      <c r="E440" s="1855"/>
      <c r="F440" s="1857" t="s">
        <v>50</v>
      </c>
      <c r="G440" s="1858"/>
      <c r="H440" s="2860" t="s">
        <v>85</v>
      </c>
      <c r="I440" s="200"/>
      <c r="J440" s="3215"/>
      <c r="K440" s="3302"/>
      <c r="L440" s="3125">
        <f>MAR!J76</f>
        <v>0</v>
      </c>
      <c r="M440" s="3124">
        <v>0</v>
      </c>
      <c r="N440" s="3125">
        <f>MAR!L76</f>
        <v>0</v>
      </c>
      <c r="O440" s="3125">
        <f>MAR!M76</f>
        <v>0</v>
      </c>
      <c r="P440" s="3125">
        <v>0</v>
      </c>
      <c r="Q440" s="3125">
        <f t="shared" si="79"/>
        <v>0</v>
      </c>
      <c r="R440" s="3166" t="e">
        <f t="shared" si="81"/>
        <v>#DIV/0!</v>
      </c>
      <c r="S440" s="3748"/>
      <c r="T440" s="3826"/>
      <c r="U440" s="3778">
        <f>PerDinas!Q138</f>
        <v>0</v>
      </c>
      <c r="V440" s="1846">
        <f t="shared" si="76"/>
        <v>0</v>
      </c>
    </row>
    <row r="441" spans="1:22" s="257" customFormat="1" ht="15.05" hidden="1" customHeight="1">
      <c r="A441" s="1855"/>
      <c r="B441" s="1855"/>
      <c r="C441" s="1855"/>
      <c r="D441" s="1855"/>
      <c r="E441" s="1855"/>
      <c r="F441" s="1857"/>
      <c r="G441" s="1858"/>
      <c r="H441" s="2860"/>
      <c r="I441" s="200"/>
      <c r="J441" s="3215"/>
      <c r="K441" s="3302"/>
      <c r="L441" s="3125"/>
      <c r="M441" s="3124"/>
      <c r="N441" s="3125"/>
      <c r="O441" s="3125"/>
      <c r="P441" s="3125"/>
      <c r="Q441" s="3125">
        <f t="shared" si="79"/>
        <v>0</v>
      </c>
      <c r="R441" s="3166" t="e">
        <f t="shared" si="81"/>
        <v>#DIV/0!</v>
      </c>
      <c r="S441" s="3275"/>
      <c r="T441" s="3826"/>
      <c r="U441" s="3771"/>
      <c r="V441" s="1846">
        <f t="shared" si="76"/>
        <v>0</v>
      </c>
    </row>
    <row r="442" spans="1:22" s="257" customFormat="1" ht="15.05" hidden="1" customHeight="1">
      <c r="A442" s="1855"/>
      <c r="B442" s="1855"/>
      <c r="C442" s="1855"/>
      <c r="D442" s="1855"/>
      <c r="E442" s="1855"/>
      <c r="F442" s="1464" t="s">
        <v>619</v>
      </c>
      <c r="G442" s="1860"/>
      <c r="H442" s="202"/>
      <c r="I442" s="202"/>
      <c r="J442" s="3259"/>
      <c r="K442" s="3302"/>
      <c r="L442" s="3182">
        <f>L443</f>
        <v>0</v>
      </c>
      <c r="M442" s="3183">
        <v>0</v>
      </c>
      <c r="N442" s="3182">
        <f>N443</f>
        <v>0</v>
      </c>
      <c r="O442" s="3182">
        <f>O443</f>
        <v>0</v>
      </c>
      <c r="P442" s="3182">
        <v>0</v>
      </c>
      <c r="Q442" s="3182">
        <f t="shared" si="79"/>
        <v>0</v>
      </c>
      <c r="R442" s="3184" t="e">
        <f t="shared" si="81"/>
        <v>#DIV/0!</v>
      </c>
      <c r="S442" s="3731"/>
      <c r="T442" s="3829"/>
      <c r="U442" s="3781">
        <f>U443</f>
        <v>0</v>
      </c>
      <c r="V442" s="1846">
        <f t="shared" si="76"/>
        <v>0</v>
      </c>
    </row>
    <row r="443" spans="1:22" s="257" customFormat="1" ht="15.05" hidden="1" customHeight="1">
      <c r="A443" s="1855"/>
      <c r="B443" s="1855"/>
      <c r="C443" s="1855"/>
      <c r="D443" s="1855"/>
      <c r="E443" s="1855"/>
      <c r="F443" s="1857" t="s">
        <v>50</v>
      </c>
      <c r="G443" s="1858"/>
      <c r="H443" s="2860" t="s">
        <v>472</v>
      </c>
      <c r="I443" s="200"/>
      <c r="J443" s="3215"/>
      <c r="K443" s="3302"/>
      <c r="L443" s="3125">
        <f>MAR!J194</f>
        <v>0</v>
      </c>
      <c r="M443" s="3124">
        <v>0</v>
      </c>
      <c r="N443" s="3125">
        <f>MAR!L194</f>
        <v>0</v>
      </c>
      <c r="O443" s="3125">
        <f>MAR!M194</f>
        <v>0</v>
      </c>
      <c r="P443" s="3125">
        <v>0</v>
      </c>
      <c r="Q443" s="3125">
        <f t="shared" si="79"/>
        <v>0</v>
      </c>
      <c r="R443" s="3166" t="e">
        <f t="shared" si="81"/>
        <v>#DIV/0!</v>
      </c>
      <c r="S443" s="3748"/>
      <c r="T443" s="3826"/>
      <c r="U443" s="3778">
        <f>PerDinas!Q1090</f>
        <v>0</v>
      </c>
      <c r="V443" s="1846">
        <f t="shared" si="76"/>
        <v>0</v>
      </c>
    </row>
    <row r="444" spans="1:22" s="257" customFormat="1" ht="15.05" hidden="1" customHeight="1">
      <c r="A444" s="1855"/>
      <c r="B444" s="1855"/>
      <c r="C444" s="1855"/>
      <c r="D444" s="1855"/>
      <c r="E444" s="1855"/>
      <c r="F444" s="1857"/>
      <c r="G444" s="1858"/>
      <c r="H444" s="2860"/>
      <c r="I444" s="200"/>
      <c r="J444" s="3215"/>
      <c r="K444" s="3302"/>
      <c r="L444" s="3125"/>
      <c r="M444" s="3124"/>
      <c r="N444" s="3125"/>
      <c r="O444" s="3125"/>
      <c r="P444" s="3125"/>
      <c r="Q444" s="3125">
        <f t="shared" si="79"/>
        <v>0</v>
      </c>
      <c r="R444" s="3166" t="e">
        <f t="shared" si="81"/>
        <v>#DIV/0!</v>
      </c>
      <c r="S444" s="3275"/>
      <c r="T444" s="3826"/>
      <c r="U444" s="3771"/>
      <c r="V444" s="1846">
        <f t="shared" si="76"/>
        <v>0</v>
      </c>
    </row>
    <row r="445" spans="1:22" s="257" customFormat="1" ht="15.05" customHeight="1">
      <c r="A445" s="1855"/>
      <c r="B445" s="1855"/>
      <c r="C445" s="1855"/>
      <c r="D445" s="1855"/>
      <c r="E445" s="1855"/>
      <c r="F445" s="1464" t="s">
        <v>620</v>
      </c>
      <c r="G445" s="1860"/>
      <c r="H445" s="202"/>
      <c r="I445" s="202"/>
      <c r="J445" s="3259"/>
      <c r="K445" s="3476">
        <f>+K446</f>
        <v>20225025</v>
      </c>
      <c r="L445" s="3182">
        <f>L446+L447</f>
        <v>0</v>
      </c>
      <c r="M445" s="3183">
        <v>0</v>
      </c>
      <c r="N445" s="3182">
        <f>N446+N447</f>
        <v>0</v>
      </c>
      <c r="O445" s="3182">
        <f>N445+M445</f>
        <v>0</v>
      </c>
      <c r="P445" s="3182">
        <v>0</v>
      </c>
      <c r="Q445" s="3182">
        <f t="shared" si="79"/>
        <v>0</v>
      </c>
      <c r="R445" s="3184" t="e">
        <f t="shared" si="81"/>
        <v>#DIV/0!</v>
      </c>
      <c r="S445" s="3710"/>
      <c r="T445" s="3829"/>
      <c r="U445" s="3777"/>
      <c r="V445" s="1846">
        <f t="shared" si="76"/>
        <v>0</v>
      </c>
    </row>
    <row r="446" spans="1:22" s="257" customFormat="1" ht="15.05" customHeight="1">
      <c r="A446" s="1855"/>
      <c r="B446" s="1855"/>
      <c r="C446" s="1855"/>
      <c r="D446" s="1855"/>
      <c r="E446" s="1855"/>
      <c r="F446" s="1857" t="s">
        <v>50</v>
      </c>
      <c r="G446" s="1858"/>
      <c r="H446" s="200" t="s">
        <v>85</v>
      </c>
      <c r="I446" s="200"/>
      <c r="J446" s="3215"/>
      <c r="K446" s="3303">
        <v>20225025</v>
      </c>
      <c r="L446" s="3125">
        <v>0</v>
      </c>
      <c r="M446" s="3124">
        <v>0</v>
      </c>
      <c r="N446" s="3125">
        <v>0</v>
      </c>
      <c r="O446" s="3125">
        <v>0</v>
      </c>
      <c r="P446" s="3125">
        <v>0</v>
      </c>
      <c r="Q446" s="3125">
        <f t="shared" si="79"/>
        <v>0</v>
      </c>
      <c r="R446" s="3166" t="e">
        <f t="shared" si="81"/>
        <v>#DIV/0!</v>
      </c>
      <c r="S446" s="3748"/>
      <c r="T446" s="3826"/>
      <c r="U446" s="3778">
        <f>PerDinas!Q586</f>
        <v>0</v>
      </c>
      <c r="V446" s="1846">
        <f t="shared" si="76"/>
        <v>0</v>
      </c>
    </row>
    <row r="447" spans="1:22" s="257" customFormat="1" ht="15.05" hidden="1" customHeight="1">
      <c r="A447" s="1855"/>
      <c r="B447" s="1855"/>
      <c r="C447" s="1855"/>
      <c r="D447" s="1855"/>
      <c r="E447" s="1855"/>
      <c r="F447" s="1857"/>
      <c r="G447" s="1858"/>
      <c r="H447" s="200"/>
      <c r="I447" s="200"/>
      <c r="J447" s="3215"/>
      <c r="K447" s="3302"/>
      <c r="L447" s="3125"/>
      <c r="M447" s="3124"/>
      <c r="N447" s="3125"/>
      <c r="O447" s="3125"/>
      <c r="P447" s="3125"/>
      <c r="Q447" s="3125">
        <f t="shared" si="79"/>
        <v>0</v>
      </c>
      <c r="R447" s="3166" t="e">
        <f t="shared" si="81"/>
        <v>#DIV/0!</v>
      </c>
      <c r="S447" s="3275"/>
      <c r="T447" s="3826"/>
      <c r="U447" s="3771"/>
      <c r="V447" s="1846">
        <f t="shared" si="76"/>
        <v>0</v>
      </c>
    </row>
    <row r="448" spans="1:22" s="257" customFormat="1" ht="15.05" customHeight="1">
      <c r="A448" s="1855"/>
      <c r="B448" s="1855"/>
      <c r="C448" s="1855"/>
      <c r="D448" s="1855"/>
      <c r="E448" s="1855"/>
      <c r="F448" s="1464" t="s">
        <v>621</v>
      </c>
      <c r="G448" s="1860"/>
      <c r="H448" s="202"/>
      <c r="I448" s="202"/>
      <c r="J448" s="3182">
        <f>J449+J450</f>
        <v>51419400</v>
      </c>
      <c r="K448" s="3182">
        <f>K449+K450</f>
        <v>0</v>
      </c>
      <c r="M448" s="3183">
        <v>0</v>
      </c>
      <c r="N448" s="3182">
        <f>N449+N450</f>
        <v>0</v>
      </c>
      <c r="O448" s="3182">
        <f>N448+M448</f>
        <v>0</v>
      </c>
      <c r="P448" s="3182">
        <v>51419400</v>
      </c>
      <c r="Q448" s="3182">
        <f>+P448-O421</f>
        <v>0</v>
      </c>
      <c r="R448" s="3184">
        <f>+P448/O421*100-100</f>
        <v>0</v>
      </c>
      <c r="S448" s="3710"/>
      <c r="T448" s="3829"/>
      <c r="U448" s="3777"/>
      <c r="V448" s="1846">
        <f t="shared" si="76"/>
        <v>0</v>
      </c>
    </row>
    <row r="449" spans="1:22" s="257" customFormat="1" ht="15.05" customHeight="1">
      <c r="A449" s="1855"/>
      <c r="B449" s="1855"/>
      <c r="C449" s="1855"/>
      <c r="D449" s="1855"/>
      <c r="E449" s="1855"/>
      <c r="F449" s="1857" t="s">
        <v>50</v>
      </c>
      <c r="G449" s="1858"/>
      <c r="H449" s="200" t="s">
        <v>622</v>
      </c>
      <c r="I449" s="200"/>
      <c r="J449" s="3215">
        <v>51419400</v>
      </c>
      <c r="K449" s="3301">
        <v>0</v>
      </c>
      <c r="L449" s="3125">
        <v>51419400</v>
      </c>
      <c r="M449" s="3124">
        <v>0</v>
      </c>
      <c r="N449" s="3125">
        <v>0</v>
      </c>
      <c r="O449" s="3125">
        <v>0</v>
      </c>
      <c r="P449" s="3125">
        <v>51419400</v>
      </c>
      <c r="Q449" s="3125">
        <f t="shared" si="79"/>
        <v>0</v>
      </c>
      <c r="R449" s="3166">
        <f t="shared" si="81"/>
        <v>0</v>
      </c>
      <c r="S449" s="3748"/>
      <c r="T449" s="3826"/>
      <c r="U449" s="3778">
        <f>PerDinas!Q589</f>
        <v>0</v>
      </c>
      <c r="V449" s="1846">
        <f t="shared" si="76"/>
        <v>0</v>
      </c>
    </row>
    <row r="450" spans="1:22" s="257" customFormat="1" ht="15.05" customHeight="1">
      <c r="A450" s="1855"/>
      <c r="B450" s="1855"/>
      <c r="C450" s="1855"/>
      <c r="D450" s="1855"/>
      <c r="E450" s="1855"/>
      <c r="F450" s="1857" t="s">
        <v>50</v>
      </c>
      <c r="G450" s="1858"/>
      <c r="H450" s="200" t="s">
        <v>85</v>
      </c>
      <c r="I450" s="200"/>
      <c r="J450" s="3248">
        <v>0</v>
      </c>
      <c r="K450" s="3301">
        <v>0</v>
      </c>
      <c r="L450" s="3125">
        <f>MAR!J209</f>
        <v>0</v>
      </c>
      <c r="M450" s="3124">
        <v>0</v>
      </c>
      <c r="N450" s="3125">
        <f>MAR!L209</f>
        <v>0</v>
      </c>
      <c r="O450" s="3125">
        <f>MAR!M209</f>
        <v>0</v>
      </c>
      <c r="P450" s="3125">
        <v>0</v>
      </c>
      <c r="Q450" s="3125">
        <f t="shared" si="79"/>
        <v>0</v>
      </c>
      <c r="R450" s="3166">
        <v>0</v>
      </c>
      <c r="S450" s="3275"/>
      <c r="T450" s="3826"/>
      <c r="U450" s="3771"/>
      <c r="V450" s="1846">
        <f t="shared" si="76"/>
        <v>0</v>
      </c>
    </row>
    <row r="451" spans="1:22" s="257" customFormat="1" ht="15.05" customHeight="1">
      <c r="A451" s="1855"/>
      <c r="B451" s="1855"/>
      <c r="C451" s="1855"/>
      <c r="D451" s="1855"/>
      <c r="E451" s="1855"/>
      <c r="F451" s="1464" t="s">
        <v>273</v>
      </c>
      <c r="G451" s="1860"/>
      <c r="H451" s="202"/>
      <c r="I451" s="202"/>
      <c r="J451" s="3259">
        <f>SUM(J452:J455)</f>
        <v>335291000</v>
      </c>
      <c r="K451" s="3259">
        <f>SUM(K452:K455)</f>
        <v>42721830</v>
      </c>
      <c r="L451" s="3259">
        <f>SUM(L452:L455)</f>
        <v>335291000</v>
      </c>
      <c r="M451" s="3183">
        <v>0</v>
      </c>
      <c r="N451" s="3182">
        <f>SUM(N452:N456)</f>
        <v>0</v>
      </c>
      <c r="O451" s="3182">
        <f>N451+M451</f>
        <v>0</v>
      </c>
      <c r="P451" s="3182">
        <v>335291000</v>
      </c>
      <c r="Q451" s="3182">
        <f t="shared" si="79"/>
        <v>0</v>
      </c>
      <c r="R451" s="3184">
        <f>+P451/L451*100-100</f>
        <v>0</v>
      </c>
      <c r="S451" s="3710"/>
      <c r="T451" s="3829"/>
      <c r="U451" s="3777"/>
      <c r="V451" s="1846">
        <f t="shared" si="76"/>
        <v>0</v>
      </c>
    </row>
    <row r="452" spans="1:22" s="2883" customFormat="1" ht="15.05" customHeight="1">
      <c r="A452" s="2875"/>
      <c r="B452" s="2875"/>
      <c r="C452" s="2875"/>
      <c r="D452" s="2875"/>
      <c r="E452" s="2875"/>
      <c r="F452" s="2877" t="s">
        <v>50</v>
      </c>
      <c r="G452" s="2878"/>
      <c r="H452" s="2879" t="str">
        <f>MAR!I231</f>
        <v>Jasa Pengiriman TKI</v>
      </c>
      <c r="I452" s="3477"/>
      <c r="J452" s="3478">
        <v>55355000</v>
      </c>
      <c r="K452" s="3479">
        <v>4705830</v>
      </c>
      <c r="L452" s="3166">
        <v>55355000</v>
      </c>
      <c r="M452" s="3187">
        <v>0</v>
      </c>
      <c r="N452" s="3166">
        <v>0</v>
      </c>
      <c r="O452" s="3166">
        <v>0</v>
      </c>
      <c r="P452" s="3166">
        <v>55355000</v>
      </c>
      <c r="Q452" s="3166">
        <f t="shared" si="79"/>
        <v>0</v>
      </c>
      <c r="R452" s="3166">
        <f>+P452/L452*100-100</f>
        <v>0</v>
      </c>
      <c r="S452" s="3748"/>
      <c r="T452" s="3826"/>
      <c r="U452" s="3780">
        <f>PerDinas!Q591</f>
        <v>0</v>
      </c>
      <c r="V452" s="2882">
        <f t="shared" si="76"/>
        <v>0</v>
      </c>
    </row>
    <row r="453" spans="1:22" s="257" customFormat="1" ht="15.05" customHeight="1">
      <c r="A453" s="1855"/>
      <c r="B453" s="1855"/>
      <c r="C453" s="1855"/>
      <c r="D453" s="1855"/>
      <c r="E453" s="1855"/>
      <c r="F453" s="1857" t="s">
        <v>50</v>
      </c>
      <c r="G453" s="1858"/>
      <c r="H453" s="847" t="str">
        <f>MAR!I232</f>
        <v>Hibah Pihak Ketiga</v>
      </c>
      <c r="I453" s="1937"/>
      <c r="J453" s="3478">
        <v>57136000</v>
      </c>
      <c r="K453" s="3304">
        <v>0</v>
      </c>
      <c r="L453" s="3125">
        <v>57136000</v>
      </c>
      <c r="M453" s="3124">
        <v>0</v>
      </c>
      <c r="N453" s="3125">
        <v>0</v>
      </c>
      <c r="O453" s="3125">
        <v>0</v>
      </c>
      <c r="P453" s="3125">
        <v>57136000</v>
      </c>
      <c r="Q453" s="3125">
        <f t="shared" si="79"/>
        <v>0</v>
      </c>
      <c r="R453" s="3166">
        <f>+P453/L453*100-100</f>
        <v>0</v>
      </c>
      <c r="S453" s="3748"/>
      <c r="T453" s="3826"/>
      <c r="U453" s="3778">
        <f>PerDinas!Q592</f>
        <v>0</v>
      </c>
      <c r="V453" s="1846">
        <f t="shared" si="76"/>
        <v>0</v>
      </c>
    </row>
    <row r="454" spans="1:22" s="257" customFormat="1" ht="15.05" customHeight="1">
      <c r="A454" s="1855"/>
      <c r="B454" s="1855"/>
      <c r="C454" s="1855"/>
      <c r="D454" s="1855"/>
      <c r="E454" s="1855"/>
      <c r="F454" s="1857" t="s">
        <v>50</v>
      </c>
      <c r="G454" s="1858"/>
      <c r="H454" s="847" t="str">
        <f>MAR!I233</f>
        <v>Lain-lain Pendapatan yang sah (BLK)</v>
      </c>
      <c r="I454" s="1937"/>
      <c r="J454" s="3478">
        <v>24760000</v>
      </c>
      <c r="K454" s="3479">
        <v>9600000</v>
      </c>
      <c r="L454" s="3125">
        <v>24760000</v>
      </c>
      <c r="M454" s="3124">
        <v>0</v>
      </c>
      <c r="N454" s="3125">
        <v>0</v>
      </c>
      <c r="O454" s="3125">
        <v>0</v>
      </c>
      <c r="P454" s="3125">
        <v>24760000</v>
      </c>
      <c r="Q454" s="3125">
        <f t="shared" si="79"/>
        <v>0</v>
      </c>
      <c r="R454" s="3166">
        <f>+P454/L454*100-100</f>
        <v>0</v>
      </c>
      <c r="S454" s="3748"/>
      <c r="T454" s="3826"/>
      <c r="U454" s="3778">
        <f>PerDinas!Q593</f>
        <v>0</v>
      </c>
      <c r="V454" s="1846">
        <f t="shared" si="76"/>
        <v>0</v>
      </c>
    </row>
    <row r="455" spans="1:22" s="257" customFormat="1" ht="15.05" customHeight="1">
      <c r="A455" s="1855"/>
      <c r="B455" s="1855"/>
      <c r="C455" s="1855"/>
      <c r="D455" s="1855"/>
      <c r="E455" s="1855"/>
      <c r="F455" s="1857"/>
      <c r="G455" s="1858"/>
      <c r="H455" s="847" t="str">
        <f>MAR!I234</f>
        <v>Jasa Pelayanan TKI</v>
      </c>
      <c r="I455" s="1938"/>
      <c r="J455" s="3480">
        <v>198040000</v>
      </c>
      <c r="K455" s="3481">
        <v>28416000</v>
      </c>
      <c r="L455" s="3125">
        <v>198040000</v>
      </c>
      <c r="M455" s="3124">
        <v>0</v>
      </c>
      <c r="N455" s="3125">
        <v>0</v>
      </c>
      <c r="O455" s="3125">
        <v>0</v>
      </c>
      <c r="P455" s="3125">
        <v>198040000</v>
      </c>
      <c r="Q455" s="3125">
        <f t="shared" si="79"/>
        <v>0</v>
      </c>
      <c r="R455" s="3166">
        <f>+P455/L455*100-100</f>
        <v>0</v>
      </c>
      <c r="S455" s="3748"/>
      <c r="T455" s="3826"/>
      <c r="U455" s="3778">
        <v>0</v>
      </c>
      <c r="V455" s="1846">
        <f t="shared" si="76"/>
        <v>0</v>
      </c>
    </row>
    <row r="456" spans="1:22" s="257" customFormat="1" ht="15.05" hidden="1" customHeight="1">
      <c r="A456" s="1855"/>
      <c r="B456" s="1855"/>
      <c r="C456" s="1855"/>
      <c r="D456" s="1855"/>
      <c r="E456" s="1855"/>
      <c r="F456" s="1857"/>
      <c r="G456" s="1858"/>
      <c r="H456" s="847"/>
      <c r="I456" s="1937"/>
      <c r="J456" s="3305"/>
      <c r="K456" s="3304"/>
      <c r="L456" s="3125"/>
      <c r="M456" s="3124"/>
      <c r="N456" s="3125"/>
      <c r="O456" s="3125"/>
      <c r="P456" s="3125"/>
      <c r="Q456" s="3125"/>
      <c r="R456" s="3166"/>
      <c r="S456" s="3748"/>
      <c r="T456" s="3826"/>
      <c r="U456" s="3778"/>
      <c r="V456" s="1846"/>
    </row>
    <row r="457" spans="1:22" ht="15.05" customHeight="1">
      <c r="A457" s="1855"/>
      <c r="B457" s="1855"/>
      <c r="C457" s="1855"/>
      <c r="D457" s="1855"/>
      <c r="E457" s="1855"/>
      <c r="F457" s="1464" t="s">
        <v>224</v>
      </c>
      <c r="G457" s="1860"/>
      <c r="H457" s="202"/>
      <c r="I457" s="202"/>
      <c r="J457" s="3259">
        <f t="shared" ref="J457:O457" si="82">SUM(J458:J460)</f>
        <v>400714300</v>
      </c>
      <c r="K457" s="3259">
        <f>SUM(K458:K460)</f>
        <v>115089700</v>
      </c>
      <c r="L457" s="3259">
        <f>SUM(L458:L460)</f>
        <v>400714300</v>
      </c>
      <c r="M457" s="3183">
        <v>44168718</v>
      </c>
      <c r="N457" s="3182">
        <f t="shared" si="82"/>
        <v>10589500</v>
      </c>
      <c r="O457" s="3182">
        <f t="shared" si="82"/>
        <v>54758218</v>
      </c>
      <c r="P457" s="3182">
        <v>400714300</v>
      </c>
      <c r="Q457" s="3182">
        <f>+P457-L457</f>
        <v>0</v>
      </c>
      <c r="R457" s="3184">
        <f>+P457/L457*100-100</f>
        <v>0</v>
      </c>
      <c r="S457" s="3710"/>
      <c r="T457" s="3829"/>
      <c r="U457" s="3777"/>
      <c r="V457" s="1846">
        <f t="shared" ref="V457:V520" si="83">O457*4</f>
        <v>219032872</v>
      </c>
    </row>
    <row r="458" spans="1:22" ht="15.05" customHeight="1">
      <c r="A458" s="1855"/>
      <c r="B458" s="1855"/>
      <c r="C458" s="1855"/>
      <c r="D458" s="1855"/>
      <c r="E458" s="1855"/>
      <c r="F458" s="1857" t="s">
        <v>50</v>
      </c>
      <c r="G458" s="1860"/>
      <c r="H458" s="847" t="str">
        <f>MAR!I252</f>
        <v>Hibah Pihak III</v>
      </c>
      <c r="I458" s="200"/>
      <c r="J458" s="3215">
        <v>63698000</v>
      </c>
      <c r="K458" s="3171">
        <v>27842400</v>
      </c>
      <c r="L458" s="3125">
        <v>63698000</v>
      </c>
      <c r="M458" s="3124">
        <v>4835000</v>
      </c>
      <c r="N458" s="3125">
        <v>0</v>
      </c>
      <c r="O458" s="3125">
        <v>4835000</v>
      </c>
      <c r="P458" s="3125">
        <v>63698000</v>
      </c>
      <c r="Q458" s="3125">
        <f>+P458-L458</f>
        <v>0</v>
      </c>
      <c r="R458" s="3166">
        <f>+P458/L458*100-100</f>
        <v>0</v>
      </c>
      <c r="S458" s="3748"/>
      <c r="T458" s="3826"/>
      <c r="U458" s="3778">
        <f>PerDinas!Q596</f>
        <v>0</v>
      </c>
      <c r="V458" s="1846">
        <f t="shared" si="83"/>
        <v>19340000</v>
      </c>
    </row>
    <row r="459" spans="1:22" ht="15.05" customHeight="1">
      <c r="A459" s="1855"/>
      <c r="B459" s="1855"/>
      <c r="C459" s="1855"/>
      <c r="D459" s="1855"/>
      <c r="E459" s="1855"/>
      <c r="F459" s="1857" t="s">
        <v>50</v>
      </c>
      <c r="G459" s="1858"/>
      <c r="H459" s="847" t="str">
        <f>MAR!I253</f>
        <v>Jasa Pelayanan Koperasi</v>
      </c>
      <c r="I459" s="200"/>
      <c r="J459" s="3215">
        <v>285233000</v>
      </c>
      <c r="K459" s="3171">
        <v>23875000</v>
      </c>
      <c r="L459" s="3125">
        <v>285233000</v>
      </c>
      <c r="M459" s="3124">
        <v>6750000</v>
      </c>
      <c r="N459" s="3125">
        <v>0</v>
      </c>
      <c r="O459" s="3125">
        <v>6750000</v>
      </c>
      <c r="P459" s="3125">
        <v>285233000</v>
      </c>
      <c r="Q459" s="3125">
        <f>+P459-L459</f>
        <v>0</v>
      </c>
      <c r="R459" s="3166">
        <f>+P459/L459*100-100</f>
        <v>0</v>
      </c>
      <c r="S459" s="3748"/>
      <c r="T459" s="3826"/>
      <c r="U459" s="3778">
        <f>PerDinas!Q597</f>
        <v>0</v>
      </c>
      <c r="V459" s="1846">
        <f t="shared" si="83"/>
        <v>27000000</v>
      </c>
    </row>
    <row r="460" spans="1:22" ht="15.05" customHeight="1">
      <c r="A460" s="1855"/>
      <c r="B460" s="1855"/>
      <c r="C460" s="1855"/>
      <c r="D460" s="1855"/>
      <c r="E460" s="1855"/>
      <c r="F460" s="1857" t="s">
        <v>50</v>
      </c>
      <c r="G460" s="1858"/>
      <c r="H460" s="847" t="str">
        <f>MAR!I254</f>
        <v>Dana Pembangunan Daerah Kerja</v>
      </c>
      <c r="I460" s="200"/>
      <c r="J460" s="3215">
        <v>51783300</v>
      </c>
      <c r="K460" s="3171">
        <v>63372300</v>
      </c>
      <c r="L460" s="3125">
        <v>51783300</v>
      </c>
      <c r="M460" s="3124">
        <v>32583718</v>
      </c>
      <c r="N460" s="3125">
        <v>10589500</v>
      </c>
      <c r="O460" s="3125">
        <v>43173218</v>
      </c>
      <c r="P460" s="3125">
        <v>51783300</v>
      </c>
      <c r="Q460" s="3125">
        <f>+P460-L460</f>
        <v>0</v>
      </c>
      <c r="R460" s="3166">
        <f>+P460/L460*100-100</f>
        <v>0</v>
      </c>
      <c r="S460" s="3748"/>
      <c r="T460" s="3826"/>
      <c r="U460" s="3778">
        <f>PerDinas!Q598</f>
        <v>0</v>
      </c>
      <c r="V460" s="1846">
        <f t="shared" si="83"/>
        <v>172692872</v>
      </c>
    </row>
    <row r="461" spans="1:22" ht="15.05" hidden="1" customHeight="1">
      <c r="A461" s="1855"/>
      <c r="B461" s="1855"/>
      <c r="C461" s="1855"/>
      <c r="D461" s="1855"/>
      <c r="E461" s="1855"/>
      <c r="F461" s="1857"/>
      <c r="G461" s="1858"/>
      <c r="H461" s="847"/>
      <c r="I461" s="200"/>
      <c r="J461" s="3215"/>
      <c r="K461" s="3171"/>
      <c r="L461" s="3125"/>
      <c r="M461" s="3124"/>
      <c r="N461" s="3125"/>
      <c r="O461" s="3125"/>
      <c r="P461" s="3125"/>
      <c r="Q461" s="3125"/>
      <c r="R461" s="3166"/>
      <c r="S461" s="3748"/>
      <c r="T461" s="3826"/>
      <c r="U461" s="3778"/>
      <c r="V461" s="1846">
        <f t="shared" si="83"/>
        <v>0</v>
      </c>
    </row>
    <row r="462" spans="1:22" ht="15.05" customHeight="1">
      <c r="A462" s="1855"/>
      <c r="B462" s="1855"/>
      <c r="C462" s="1855"/>
      <c r="D462" s="1855"/>
      <c r="E462" s="1855"/>
      <c r="F462" s="1464" t="s">
        <v>623</v>
      </c>
      <c r="G462" s="1860"/>
      <c r="H462" s="202"/>
      <c r="I462" s="202"/>
      <c r="J462" s="3259">
        <f>SUM(J463:J465)</f>
        <v>6980745800</v>
      </c>
      <c r="K462" s="3259">
        <f>SUM(K463:K465)</f>
        <v>4930803205</v>
      </c>
      <c r="L462" s="3259">
        <f>SUM(L463:L465)</f>
        <v>6980745800</v>
      </c>
      <c r="M462" s="3183">
        <v>0</v>
      </c>
      <c r="N462" s="3182">
        <f>SUM(N463:N466)</f>
        <v>0</v>
      </c>
      <c r="O462" s="3182">
        <f>N462+M462</f>
        <v>0</v>
      </c>
      <c r="P462" s="3182">
        <v>6980745800</v>
      </c>
      <c r="Q462" s="3182">
        <f>+P462-L462</f>
        <v>0</v>
      </c>
      <c r="R462" s="3184">
        <f>+P462/L462*100-100</f>
        <v>0</v>
      </c>
      <c r="S462" s="3710"/>
      <c r="T462" s="3829"/>
      <c r="U462" s="3777"/>
      <c r="V462" s="1846">
        <f t="shared" si="83"/>
        <v>0</v>
      </c>
    </row>
    <row r="463" spans="1:22" ht="15.05" customHeight="1">
      <c r="A463" s="1855"/>
      <c r="B463" s="1855"/>
      <c r="C463" s="1855"/>
      <c r="D463" s="1855"/>
      <c r="E463" s="1855"/>
      <c r="F463" s="2861" t="s">
        <v>50</v>
      </c>
      <c r="G463" s="2862"/>
      <c r="H463" s="3464" t="s">
        <v>1191</v>
      </c>
      <c r="I463" s="847"/>
      <c r="J463" s="3306">
        <v>3688800000</v>
      </c>
      <c r="K463" s="3307">
        <v>2120189000</v>
      </c>
      <c r="L463" s="3125">
        <v>3688800000</v>
      </c>
      <c r="M463" s="3124">
        <v>0</v>
      </c>
      <c r="N463" s="3125">
        <v>0</v>
      </c>
      <c r="O463" s="3125">
        <v>0</v>
      </c>
      <c r="P463" s="3125">
        <v>3688800000</v>
      </c>
      <c r="Q463" s="3125">
        <f>+P463-L463</f>
        <v>0</v>
      </c>
      <c r="R463" s="3166">
        <f>+P463/L463*100-100</f>
        <v>0</v>
      </c>
      <c r="S463" s="3275"/>
      <c r="T463" s="3826"/>
      <c r="U463" s="3771"/>
      <c r="V463" s="1846">
        <f t="shared" si="83"/>
        <v>0</v>
      </c>
    </row>
    <row r="464" spans="1:22" ht="15.05" customHeight="1">
      <c r="A464" s="1855"/>
      <c r="B464" s="1855"/>
      <c r="C464" s="1855"/>
      <c r="D464" s="1855"/>
      <c r="E464" s="1855"/>
      <c r="F464" s="2861" t="s">
        <v>50</v>
      </c>
      <c r="G464" s="2862"/>
      <c r="H464" s="5837" t="s">
        <v>85</v>
      </c>
      <c r="I464" s="5784"/>
      <c r="J464" s="3305">
        <v>0</v>
      </c>
      <c r="K464" s="3438">
        <v>1967138126</v>
      </c>
      <c r="L464" s="3125">
        <v>3291945800</v>
      </c>
      <c r="M464" s="3124">
        <v>0</v>
      </c>
      <c r="N464" s="3125">
        <v>0</v>
      </c>
      <c r="O464" s="3125">
        <v>0</v>
      </c>
      <c r="P464" s="3125">
        <v>3291945800</v>
      </c>
      <c r="Q464" s="3125">
        <f>+P464-L464</f>
        <v>0</v>
      </c>
      <c r="R464" s="3166">
        <f>+P464/L464*100-100</f>
        <v>0</v>
      </c>
      <c r="S464" s="3275"/>
      <c r="T464" s="3826"/>
      <c r="U464" s="3771"/>
      <c r="V464" s="1846">
        <f t="shared" si="83"/>
        <v>0</v>
      </c>
    </row>
    <row r="465" spans="1:22" s="3475" customFormat="1" ht="15.05" customHeight="1">
      <c r="A465" s="3465"/>
      <c r="B465" s="3465"/>
      <c r="C465" s="3465"/>
      <c r="D465" s="3465"/>
      <c r="E465" s="3465"/>
      <c r="F465" s="3466" t="s">
        <v>50</v>
      </c>
      <c r="G465" s="3467"/>
      <c r="H465" s="3468" t="s">
        <v>624</v>
      </c>
      <c r="I465" s="3468"/>
      <c r="J465" s="3469">
        <v>3291945800</v>
      </c>
      <c r="K465" s="3470">
        <v>843476079</v>
      </c>
      <c r="L465" s="3471"/>
      <c r="M465" s="3472"/>
      <c r="N465" s="3471"/>
      <c r="O465" s="3471"/>
      <c r="P465" s="3471"/>
      <c r="Q465" s="3471">
        <f>+P465-L465</f>
        <v>0</v>
      </c>
      <c r="R465" s="3471">
        <v>0</v>
      </c>
      <c r="S465" s="3755"/>
      <c r="T465" s="3856"/>
      <c r="U465" s="3810">
        <f>PerDinas!Q587</f>
        <v>0</v>
      </c>
      <c r="V465" s="3474">
        <f t="shared" si="83"/>
        <v>0</v>
      </c>
    </row>
    <row r="466" spans="1:22" ht="15.05" hidden="1" customHeight="1">
      <c r="A466" s="1855"/>
      <c r="B466" s="1855"/>
      <c r="C466" s="1855"/>
      <c r="D466" s="1855"/>
      <c r="E466" s="1855"/>
      <c r="F466" s="2861"/>
      <c r="G466" s="2862"/>
      <c r="H466" s="200"/>
      <c r="I466" s="200"/>
      <c r="J466" s="3215"/>
      <c r="K466" s="3171"/>
      <c r="L466" s="3125"/>
      <c r="M466" s="3124"/>
      <c r="N466" s="3125"/>
      <c r="O466" s="3125"/>
      <c r="P466" s="3125"/>
      <c r="Q466" s="3125"/>
      <c r="R466" s="3166"/>
      <c r="S466" s="3748"/>
      <c r="T466" s="3826"/>
      <c r="U466" s="3778"/>
      <c r="V466" s="1846">
        <f t="shared" si="83"/>
        <v>0</v>
      </c>
    </row>
    <row r="467" spans="1:22" ht="15.05" customHeight="1">
      <c r="A467" s="1855"/>
      <c r="B467" s="1855"/>
      <c r="C467" s="1855"/>
      <c r="D467" s="1855"/>
      <c r="E467" s="1855"/>
      <c r="F467" s="1464" t="s">
        <v>625</v>
      </c>
      <c r="G467" s="1860"/>
      <c r="H467" s="202"/>
      <c r="I467" s="202"/>
      <c r="J467" s="3259">
        <f>J468</f>
        <v>4562382400</v>
      </c>
      <c r="K467" s="3259">
        <f t="shared" ref="K467:P467" si="84">K468</f>
        <v>4736422507.3400002</v>
      </c>
      <c r="L467" s="3259">
        <f t="shared" si="84"/>
        <v>4562382400</v>
      </c>
      <c r="M467" s="3259">
        <f t="shared" si="84"/>
        <v>733425000</v>
      </c>
      <c r="N467" s="3259">
        <f t="shared" si="84"/>
        <v>411775000</v>
      </c>
      <c r="O467" s="3259">
        <f t="shared" si="84"/>
        <v>1145200000</v>
      </c>
      <c r="P467" s="3259">
        <f t="shared" si="84"/>
        <v>4776018400</v>
      </c>
      <c r="Q467" s="3182">
        <f t="shared" ref="Q467:Q480" si="85">+P467-L467</f>
        <v>213636000</v>
      </c>
      <c r="R467" s="3126">
        <f>+P467/L467*100-100</f>
        <v>4.6825535711342354</v>
      </c>
      <c r="S467" s="3697"/>
      <c r="T467" s="3816"/>
      <c r="U467" s="3777"/>
      <c r="V467" s="1846">
        <f t="shared" si="83"/>
        <v>4580800000</v>
      </c>
    </row>
    <row r="468" spans="1:22" ht="15.05" customHeight="1">
      <c r="A468" s="1855"/>
      <c r="B468" s="1855"/>
      <c r="C468" s="1855"/>
      <c r="D468" s="1855"/>
      <c r="E468" s="1855"/>
      <c r="F468" s="2830" t="s">
        <v>626</v>
      </c>
      <c r="G468" s="2831"/>
      <c r="H468" s="2322"/>
      <c r="I468" s="2322"/>
      <c r="J468" s="3272">
        <f>J469+J470+J482</f>
        <v>4562382400</v>
      </c>
      <c r="K468" s="3272">
        <f>K469+K470+K482</f>
        <v>4736422507.3400002</v>
      </c>
      <c r="L468" s="3272">
        <f>L469+L470+L482</f>
        <v>4562382400</v>
      </c>
      <c r="M468" s="3272">
        <f>M469+M470+M482</f>
        <v>733425000</v>
      </c>
      <c r="N468" s="3272">
        <f>N469+N470+N482</f>
        <v>411775000</v>
      </c>
      <c r="O468" s="3272">
        <f>O469+O470</f>
        <v>1145200000</v>
      </c>
      <c r="P468" s="3272">
        <f>P469+P470+P482</f>
        <v>4776018400</v>
      </c>
      <c r="Q468" s="3182">
        <f t="shared" si="85"/>
        <v>213636000</v>
      </c>
      <c r="R468" s="3126">
        <f>+P468/L468*100-100</f>
        <v>4.6825535711342354</v>
      </c>
      <c r="S468" s="3697"/>
      <c r="T468" s="3816"/>
      <c r="U468" s="3771"/>
      <c r="V468" s="1846">
        <f t="shared" si="83"/>
        <v>4580800000</v>
      </c>
    </row>
    <row r="469" spans="1:22" ht="15.05" customHeight="1">
      <c r="A469" s="1855"/>
      <c r="B469" s="1855"/>
      <c r="C469" s="1855"/>
      <c r="D469" s="1855"/>
      <c r="E469" s="1855"/>
      <c r="F469" s="2863"/>
      <c r="G469" s="1858"/>
      <c r="H469" s="2864" t="s">
        <v>627</v>
      </c>
      <c r="I469" s="200"/>
      <c r="J469" s="3215">
        <v>1439364000</v>
      </c>
      <c r="K469" s="3171">
        <v>1630820507.3399999</v>
      </c>
      <c r="L469" s="3125">
        <v>1439364000</v>
      </c>
      <c r="M469" s="3124">
        <v>0</v>
      </c>
      <c r="N469" s="3125">
        <v>0</v>
      </c>
      <c r="O469" s="3125">
        <v>413250000</v>
      </c>
      <c r="P469" s="3125">
        <v>1653000000</v>
      </c>
      <c r="Q469" s="3125">
        <f t="shared" si="85"/>
        <v>213636000</v>
      </c>
      <c r="R469" s="3166">
        <f>+P469/L469*100-100</f>
        <v>14.842388721685424</v>
      </c>
      <c r="S469" s="3748"/>
      <c r="T469" s="3826"/>
      <c r="U469" s="3778">
        <f>PerDinas!Q610</f>
        <v>0</v>
      </c>
      <c r="V469" s="1846">
        <f t="shared" si="83"/>
        <v>1653000000</v>
      </c>
    </row>
    <row r="470" spans="1:22" s="1839" customFormat="1" ht="15.05" customHeight="1">
      <c r="A470" s="1854"/>
      <c r="B470" s="1854"/>
      <c r="C470" s="1854"/>
      <c r="D470" s="1854"/>
      <c r="E470" s="1854"/>
      <c r="F470" s="1464" t="s">
        <v>50</v>
      </c>
      <c r="G470" s="1860"/>
      <c r="H470" s="202" t="s">
        <v>628</v>
      </c>
      <c r="I470" s="202"/>
      <c r="J470" s="3215">
        <v>3123018400</v>
      </c>
      <c r="K470" s="3123">
        <f>SUM(K471:K480)</f>
        <v>3105602000</v>
      </c>
      <c r="L470" s="3182">
        <v>3123018400</v>
      </c>
      <c r="M470" s="3183">
        <v>457925000</v>
      </c>
      <c r="N470" s="3182">
        <v>274025000</v>
      </c>
      <c r="O470" s="3123">
        <f>SUM(O471:O480)</f>
        <v>731950000</v>
      </c>
      <c r="P470" s="3182">
        <v>3123018400</v>
      </c>
      <c r="Q470" s="3182">
        <f t="shared" si="85"/>
        <v>0</v>
      </c>
      <c r="R470" s="3126">
        <f>+P470/L470*100-100</f>
        <v>0</v>
      </c>
      <c r="S470" s="3697"/>
      <c r="T470" s="3816"/>
      <c r="U470" s="3777"/>
      <c r="V470" s="1846">
        <f t="shared" si="83"/>
        <v>2927800000</v>
      </c>
    </row>
    <row r="471" spans="1:22" ht="15.05" customHeight="1">
      <c r="A471" s="1855"/>
      <c r="B471" s="1855"/>
      <c r="C471" s="1855"/>
      <c r="D471" s="1855"/>
      <c r="E471" s="1855"/>
      <c r="F471" s="2359"/>
      <c r="G471" s="213"/>
      <c r="H471" s="200" t="str">
        <f>MAR!I567</f>
        <v>Samsat Mataram</v>
      </c>
      <c r="I471" s="200"/>
      <c r="J471" s="3215">
        <v>0</v>
      </c>
      <c r="K471" s="3171">
        <v>687375100</v>
      </c>
      <c r="L471" s="3125">
        <v>3123018400</v>
      </c>
      <c r="M471" s="3124">
        <v>98675000</v>
      </c>
      <c r="N471" s="3125">
        <v>46375000</v>
      </c>
      <c r="O471" s="3125">
        <v>145050000</v>
      </c>
      <c r="P471" s="3125">
        <v>3123018400</v>
      </c>
      <c r="Q471" s="3125">
        <f t="shared" si="85"/>
        <v>0</v>
      </c>
      <c r="R471" s="3126">
        <f>+P471/L471*100-100</f>
        <v>0</v>
      </c>
      <c r="S471" s="3756"/>
      <c r="T471" s="3816"/>
      <c r="U471" s="3778">
        <f>PerDinas!Q612</f>
        <v>0</v>
      </c>
      <c r="V471" s="1846">
        <f t="shared" si="83"/>
        <v>580200000</v>
      </c>
    </row>
    <row r="472" spans="1:22" ht="15.05" customHeight="1">
      <c r="A472" s="1855"/>
      <c r="B472" s="1855"/>
      <c r="C472" s="1855"/>
      <c r="D472" s="1855"/>
      <c r="E472" s="1855"/>
      <c r="F472" s="2359"/>
      <c r="G472" s="213"/>
      <c r="H472" s="200" t="str">
        <f>MAR!I568</f>
        <v>Samsat Praya</v>
      </c>
      <c r="I472" s="200"/>
      <c r="J472" s="3215">
        <v>0</v>
      </c>
      <c r="K472" s="3171">
        <v>492200000</v>
      </c>
      <c r="L472" s="3125"/>
      <c r="M472" s="3124">
        <v>70250000</v>
      </c>
      <c r="N472" s="3125">
        <v>103425000</v>
      </c>
      <c r="O472" s="3125">
        <v>173675000</v>
      </c>
      <c r="P472" s="3125"/>
      <c r="Q472" s="3125">
        <f t="shared" si="85"/>
        <v>0</v>
      </c>
      <c r="R472" s="3126">
        <v>0</v>
      </c>
      <c r="S472" s="3756"/>
      <c r="T472" s="3816"/>
      <c r="U472" s="3778">
        <f>PerDinas!Q613</f>
        <v>0</v>
      </c>
      <c r="V472" s="1846">
        <f t="shared" si="83"/>
        <v>694700000</v>
      </c>
    </row>
    <row r="473" spans="1:22" ht="15.05" customHeight="1">
      <c r="A473" s="1855"/>
      <c r="B473" s="1855"/>
      <c r="C473" s="1855"/>
      <c r="D473" s="1855"/>
      <c r="E473" s="1855"/>
      <c r="F473" s="2359"/>
      <c r="G473" s="213"/>
      <c r="H473" s="200" t="str">
        <f>MAR!I569</f>
        <v>Samsat Selong</v>
      </c>
      <c r="I473" s="200"/>
      <c r="J473" s="3215">
        <v>0</v>
      </c>
      <c r="K473" s="3171">
        <v>636475000</v>
      </c>
      <c r="L473" s="3125"/>
      <c r="M473" s="3124">
        <v>95350000</v>
      </c>
      <c r="N473" s="3125">
        <v>42725000</v>
      </c>
      <c r="O473" s="3125">
        <v>138075000</v>
      </c>
      <c r="P473" s="3125"/>
      <c r="Q473" s="3125">
        <f t="shared" si="85"/>
        <v>0</v>
      </c>
      <c r="R473" s="3126">
        <v>0</v>
      </c>
      <c r="S473" s="3756"/>
      <c r="T473" s="3816"/>
      <c r="U473" s="3778">
        <f>PerDinas!Q614</f>
        <v>0</v>
      </c>
      <c r="V473" s="1846">
        <f t="shared" si="83"/>
        <v>552300000</v>
      </c>
    </row>
    <row r="474" spans="1:22" ht="15.05" customHeight="1">
      <c r="A474" s="1855"/>
      <c r="B474" s="1855"/>
      <c r="C474" s="1855"/>
      <c r="D474" s="1855"/>
      <c r="E474" s="1855"/>
      <c r="F474" s="2359"/>
      <c r="G474" s="213"/>
      <c r="H474" s="200" t="str">
        <f>MAR!I570</f>
        <v>Samsat Sumbawa</v>
      </c>
      <c r="I474" s="200"/>
      <c r="J474" s="3215">
        <v>0</v>
      </c>
      <c r="K474" s="3171">
        <v>262551900</v>
      </c>
      <c r="L474" s="3125"/>
      <c r="M474" s="3124">
        <v>49650000</v>
      </c>
      <c r="N474" s="3125">
        <v>14725000</v>
      </c>
      <c r="O474" s="3125">
        <v>64375000</v>
      </c>
      <c r="P474" s="3125"/>
      <c r="Q474" s="3125">
        <f t="shared" si="85"/>
        <v>0</v>
      </c>
      <c r="R474" s="3126">
        <v>0</v>
      </c>
      <c r="S474" s="3756"/>
      <c r="T474" s="3816"/>
      <c r="U474" s="3778">
        <f>PerDinas!Q615</f>
        <v>0</v>
      </c>
      <c r="V474" s="1846">
        <f t="shared" si="83"/>
        <v>257500000</v>
      </c>
    </row>
    <row r="475" spans="1:22" ht="15.05" customHeight="1">
      <c r="A475" s="1855"/>
      <c r="B475" s="1855"/>
      <c r="C475" s="1855"/>
      <c r="D475" s="1855"/>
      <c r="E475" s="1855"/>
      <c r="F475" s="2359"/>
      <c r="G475" s="213"/>
      <c r="H475" s="200" t="str">
        <f>MAR!I571</f>
        <v>Samsat Kota Bima</v>
      </c>
      <c r="I475" s="200"/>
      <c r="J475" s="3215">
        <v>0</v>
      </c>
      <c r="K475" s="3171">
        <v>223325000</v>
      </c>
      <c r="L475" s="3125"/>
      <c r="M475" s="3124">
        <v>16975000</v>
      </c>
      <c r="N475" s="3125">
        <v>8525000</v>
      </c>
      <c r="O475" s="3125">
        <v>25500000</v>
      </c>
      <c r="P475" s="3125"/>
      <c r="Q475" s="3125">
        <f t="shared" si="85"/>
        <v>0</v>
      </c>
      <c r="R475" s="3126">
        <v>0</v>
      </c>
      <c r="S475" s="3756"/>
      <c r="T475" s="3816"/>
      <c r="U475" s="3778">
        <f>PerDinas!Q616</f>
        <v>0</v>
      </c>
      <c r="V475" s="1846">
        <f t="shared" si="83"/>
        <v>102000000</v>
      </c>
    </row>
    <row r="476" spans="1:22" ht="15.05" customHeight="1">
      <c r="A476" s="1855"/>
      <c r="B476" s="1855"/>
      <c r="C476" s="1855"/>
      <c r="D476" s="1855"/>
      <c r="E476" s="1855"/>
      <c r="F476" s="2359"/>
      <c r="G476" s="213"/>
      <c r="H476" s="200" t="str">
        <f>MAR!I572</f>
        <v>Samsat Kab. Bima</v>
      </c>
      <c r="I476" s="200"/>
      <c r="J476" s="3215">
        <v>0</v>
      </c>
      <c r="K476" s="3193">
        <v>0</v>
      </c>
      <c r="L476" s="3125"/>
      <c r="M476" s="3124">
        <v>13000000</v>
      </c>
      <c r="N476" s="3125">
        <v>6250000</v>
      </c>
      <c r="O476" s="3125">
        <v>19250000</v>
      </c>
      <c r="P476" s="3125"/>
      <c r="Q476" s="3125">
        <f t="shared" si="85"/>
        <v>0</v>
      </c>
      <c r="R476" s="3126">
        <v>0</v>
      </c>
      <c r="S476" s="3756"/>
      <c r="T476" s="3816"/>
      <c r="U476" s="3778">
        <f>PerDinas!Q617</f>
        <v>0</v>
      </c>
      <c r="V476" s="1846">
        <f t="shared" si="83"/>
        <v>77000000</v>
      </c>
    </row>
    <row r="477" spans="1:22" ht="15.05" customHeight="1">
      <c r="A477" s="1855"/>
      <c r="B477" s="1855"/>
      <c r="C477" s="1855"/>
      <c r="D477" s="1855"/>
      <c r="E477" s="1855"/>
      <c r="F477" s="2359"/>
      <c r="G477" s="213"/>
      <c r="H477" s="200" t="str">
        <f>MAR!I573</f>
        <v>Samsat Dompu</v>
      </c>
      <c r="I477" s="200"/>
      <c r="J477" s="3215">
        <v>0</v>
      </c>
      <c r="K477" s="3171">
        <v>93625000</v>
      </c>
      <c r="L477" s="3125"/>
      <c r="M477" s="3124">
        <v>10775000</v>
      </c>
      <c r="N477" s="3125">
        <v>3550000</v>
      </c>
      <c r="O477" s="3125">
        <v>14325000</v>
      </c>
      <c r="P477" s="3125"/>
      <c r="Q477" s="3125">
        <f t="shared" si="85"/>
        <v>0</v>
      </c>
      <c r="R477" s="3126">
        <v>0</v>
      </c>
      <c r="S477" s="3756"/>
      <c r="T477" s="3816"/>
      <c r="U477" s="3778">
        <f>PerDinas!Q617</f>
        <v>0</v>
      </c>
      <c r="V477" s="1846">
        <f t="shared" si="83"/>
        <v>57300000</v>
      </c>
    </row>
    <row r="478" spans="1:22" ht="15.05" customHeight="1">
      <c r="A478" s="1855"/>
      <c r="B478" s="1855"/>
      <c r="C478" s="1855"/>
      <c r="D478" s="1855"/>
      <c r="E478" s="1855"/>
      <c r="F478" s="2359"/>
      <c r="G478" s="213"/>
      <c r="H478" s="200" t="str">
        <f>MAR!I574</f>
        <v>Samsat Lombok Barat</v>
      </c>
      <c r="I478" s="200"/>
      <c r="J478" s="3215">
        <v>0</v>
      </c>
      <c r="K478" s="3171">
        <v>609400000</v>
      </c>
      <c r="L478" s="3125"/>
      <c r="M478" s="3124">
        <v>85725000</v>
      </c>
      <c r="N478" s="3125">
        <v>40875000</v>
      </c>
      <c r="O478" s="3125">
        <v>126600000</v>
      </c>
      <c r="P478" s="3125"/>
      <c r="Q478" s="3125">
        <f t="shared" si="85"/>
        <v>0</v>
      </c>
      <c r="R478" s="3126">
        <v>0</v>
      </c>
      <c r="S478" s="3756"/>
      <c r="T478" s="3816"/>
      <c r="U478" s="3778">
        <f>PerDinas!Q618</f>
        <v>0</v>
      </c>
      <c r="V478" s="1846">
        <f t="shared" si="83"/>
        <v>506400000</v>
      </c>
    </row>
    <row r="479" spans="1:22" ht="15.05" customHeight="1">
      <c r="A479" s="1855"/>
      <c r="B479" s="1855"/>
      <c r="C479" s="1855"/>
      <c r="D479" s="1855"/>
      <c r="E479" s="1855"/>
      <c r="F479" s="2359"/>
      <c r="G479" s="213"/>
      <c r="H479" s="200" t="str">
        <f>MAR!I575</f>
        <v>Samsat Sumbawa Barat</v>
      </c>
      <c r="I479" s="200"/>
      <c r="J479" s="3215">
        <v>0</v>
      </c>
      <c r="K479" s="3171">
        <v>100650000</v>
      </c>
      <c r="L479" s="3125"/>
      <c r="M479" s="3124">
        <v>17525000</v>
      </c>
      <c r="N479" s="3125">
        <v>7575000</v>
      </c>
      <c r="O479" s="3125">
        <v>25100000</v>
      </c>
      <c r="P479" s="3125"/>
      <c r="Q479" s="3125">
        <f t="shared" si="85"/>
        <v>0</v>
      </c>
      <c r="R479" s="3126">
        <v>0</v>
      </c>
      <c r="S479" s="3756"/>
      <c r="T479" s="3816"/>
      <c r="U479" s="3778">
        <f>PerDinas!Q619</f>
        <v>0</v>
      </c>
      <c r="V479" s="1846">
        <f t="shared" si="83"/>
        <v>100400000</v>
      </c>
    </row>
    <row r="480" spans="1:22" ht="15.05" customHeight="1">
      <c r="A480" s="1855"/>
      <c r="B480" s="1855"/>
      <c r="C480" s="1855"/>
      <c r="D480" s="1855"/>
      <c r="E480" s="1855"/>
      <c r="F480" s="2359"/>
      <c r="G480" s="213"/>
      <c r="H480" s="200" t="str">
        <f>MAR!I576</f>
        <v>Samsat Kab.Lombok Utara</v>
      </c>
      <c r="I480" s="200"/>
      <c r="J480" s="3215">
        <v>0</v>
      </c>
      <c r="K480" s="3193">
        <v>0</v>
      </c>
      <c r="L480" s="3125"/>
      <c r="M480" s="3124">
        <v>0</v>
      </c>
      <c r="N480" s="3125">
        <v>0</v>
      </c>
      <c r="O480" s="3125">
        <v>0</v>
      </c>
      <c r="P480" s="3125"/>
      <c r="Q480" s="3125">
        <f t="shared" si="85"/>
        <v>0</v>
      </c>
      <c r="R480" s="3126">
        <v>0</v>
      </c>
      <c r="S480" s="3756"/>
      <c r="T480" s="3816"/>
      <c r="U480" s="3778">
        <f>PerDinas!Q620</f>
        <v>0</v>
      </c>
      <c r="V480" s="1846">
        <f t="shared" si="83"/>
        <v>0</v>
      </c>
    </row>
    <row r="481" spans="1:31" ht="15.05" hidden="1" customHeight="1">
      <c r="A481" s="1855"/>
      <c r="B481" s="1855"/>
      <c r="C481" s="1855"/>
      <c r="D481" s="1855"/>
      <c r="E481" s="1855"/>
      <c r="F481" s="2359"/>
      <c r="G481" s="213"/>
      <c r="H481" s="200"/>
      <c r="I481" s="200"/>
      <c r="J481" s="3215"/>
      <c r="K481" s="3171"/>
      <c r="L481" s="3125"/>
      <c r="M481" s="3124"/>
      <c r="N481" s="3125"/>
      <c r="O481" s="3125"/>
      <c r="P481" s="3125"/>
      <c r="Q481" s="3125"/>
      <c r="R481" s="3166"/>
      <c r="S481" s="3275"/>
      <c r="T481" s="3826"/>
      <c r="U481" s="3771"/>
      <c r="V481" s="1846">
        <f t="shared" si="83"/>
        <v>0</v>
      </c>
    </row>
    <row r="482" spans="1:31" s="1839" customFormat="1" ht="15.05" hidden="1" customHeight="1">
      <c r="A482" s="1854"/>
      <c r="B482" s="1854"/>
      <c r="C482" s="1854"/>
      <c r="D482" s="1854"/>
      <c r="E482" s="1854"/>
      <c r="F482" s="1464" t="s">
        <v>50</v>
      </c>
      <c r="G482" s="1860"/>
      <c r="H482" s="202" t="s">
        <v>85</v>
      </c>
      <c r="I482" s="202"/>
      <c r="J482" s="3259"/>
      <c r="K482" s="3123"/>
      <c r="L482" s="3182">
        <f>L483</f>
        <v>0</v>
      </c>
      <c r="M482" s="3183">
        <v>275500000</v>
      </c>
      <c r="N482" s="3182">
        <f>N483</f>
        <v>137750000</v>
      </c>
      <c r="O482" s="3182">
        <f>O483</f>
        <v>413250000</v>
      </c>
      <c r="P482" s="3182">
        <v>0</v>
      </c>
      <c r="Q482" s="3182">
        <f t="shared" ref="Q482:Q545" si="86">+P482-L482</f>
        <v>0</v>
      </c>
      <c r="R482" s="3184">
        <v>0</v>
      </c>
      <c r="S482" s="3710"/>
      <c r="T482" s="3829"/>
      <c r="U482" s="3777"/>
      <c r="V482" s="1846">
        <f t="shared" si="83"/>
        <v>1653000000</v>
      </c>
    </row>
    <row r="483" spans="1:31" ht="15.05" hidden="1" customHeight="1">
      <c r="A483" s="1855"/>
      <c r="B483" s="1855"/>
      <c r="C483" s="1855"/>
      <c r="D483" s="1855"/>
      <c r="E483" s="1855"/>
      <c r="F483" s="2359"/>
      <c r="G483" s="213"/>
      <c r="H483" s="200" t="s">
        <v>629</v>
      </c>
      <c r="I483" s="200"/>
      <c r="J483" s="3215"/>
      <c r="K483" s="3171"/>
      <c r="L483" s="3125">
        <f>MAR!J562</f>
        <v>0</v>
      </c>
      <c r="M483" s="3124">
        <v>275500000</v>
      </c>
      <c r="N483" s="3125">
        <f>MAR!L562</f>
        <v>137750000</v>
      </c>
      <c r="O483" s="3125">
        <f>MAR!M562</f>
        <v>413250000</v>
      </c>
      <c r="P483" s="3125">
        <v>0</v>
      </c>
      <c r="Q483" s="3125">
        <f t="shared" si="86"/>
        <v>0</v>
      </c>
      <c r="R483" s="3166">
        <v>0</v>
      </c>
      <c r="S483" s="3275"/>
      <c r="T483" s="3826"/>
      <c r="U483" s="3771"/>
      <c r="V483" s="1846">
        <f t="shared" si="83"/>
        <v>1653000000</v>
      </c>
    </row>
    <row r="484" spans="1:31" ht="15.05" customHeight="1">
      <c r="A484" s="1855"/>
      <c r="B484" s="1855"/>
      <c r="C484" s="1855"/>
      <c r="D484" s="1855"/>
      <c r="E484" s="1855"/>
      <c r="F484" s="2865" t="s">
        <v>630</v>
      </c>
      <c r="G484" s="1860"/>
      <c r="H484" s="202"/>
      <c r="I484" s="202"/>
      <c r="J484" s="3259">
        <v>1508491400</v>
      </c>
      <c r="K484" s="3123">
        <v>37289625</v>
      </c>
      <c r="L484" s="3182">
        <v>1508491400</v>
      </c>
      <c r="M484" s="3183">
        <v>0</v>
      </c>
      <c r="N484" s="3182">
        <v>0</v>
      </c>
      <c r="O484" s="3182">
        <v>0</v>
      </c>
      <c r="P484" s="3182">
        <v>1508491400</v>
      </c>
      <c r="Q484" s="3182">
        <f t="shared" si="86"/>
        <v>0</v>
      </c>
      <c r="R484" s="3184">
        <f t="shared" ref="R484:R489" si="87">+P484/L484*100-100</f>
        <v>0</v>
      </c>
      <c r="S484" s="3710"/>
      <c r="T484" s="3829"/>
      <c r="U484" s="3777"/>
      <c r="V484" s="1846">
        <f t="shared" si="83"/>
        <v>0</v>
      </c>
    </row>
    <row r="485" spans="1:31" ht="15.05" customHeight="1">
      <c r="A485" s="1855"/>
      <c r="B485" s="1855"/>
      <c r="C485" s="1855"/>
      <c r="D485" s="1855"/>
      <c r="E485" s="1855"/>
      <c r="F485" s="1857" t="s">
        <v>50</v>
      </c>
      <c r="G485" s="1858"/>
      <c r="H485" s="200" t="s">
        <v>85</v>
      </c>
      <c r="I485" s="200"/>
      <c r="J485" s="3215"/>
      <c r="K485" s="3171"/>
      <c r="L485" s="3125">
        <v>1508491400</v>
      </c>
      <c r="M485" s="3124">
        <v>0</v>
      </c>
      <c r="N485" s="3125">
        <v>0</v>
      </c>
      <c r="O485" s="3125">
        <v>0</v>
      </c>
      <c r="P485" s="3125">
        <v>1508491400</v>
      </c>
      <c r="Q485" s="3125">
        <f t="shared" si="86"/>
        <v>0</v>
      </c>
      <c r="R485" s="3166">
        <f t="shared" si="87"/>
        <v>0</v>
      </c>
      <c r="S485" s="3275"/>
      <c r="T485" s="3826"/>
      <c r="U485" s="3771"/>
      <c r="V485" s="1846">
        <f t="shared" si="83"/>
        <v>0</v>
      </c>
    </row>
    <row r="486" spans="1:31" ht="15.05" hidden="1" customHeight="1">
      <c r="A486" s="1855"/>
      <c r="B486" s="1855"/>
      <c r="C486" s="1855"/>
      <c r="D486" s="1855"/>
      <c r="E486" s="1855"/>
      <c r="F486" s="1857"/>
      <c r="G486" s="1858"/>
      <c r="H486" s="200"/>
      <c r="I486" s="200"/>
      <c r="J486" s="3215"/>
      <c r="K486" s="3171"/>
      <c r="L486" s="3125"/>
      <c r="M486" s="3124"/>
      <c r="N486" s="3125"/>
      <c r="O486" s="3125"/>
      <c r="P486" s="3125"/>
      <c r="Q486" s="3125">
        <f t="shared" si="86"/>
        <v>0</v>
      </c>
      <c r="R486" s="3166" t="e">
        <f t="shared" si="87"/>
        <v>#DIV/0!</v>
      </c>
      <c r="S486" s="3275"/>
      <c r="T486" s="3826"/>
      <c r="U486" s="3771"/>
      <c r="V486" s="1846">
        <f t="shared" si="83"/>
        <v>0</v>
      </c>
      <c r="AE486" s="1941"/>
    </row>
    <row r="487" spans="1:31" ht="15.05" customHeight="1">
      <c r="A487" s="1855"/>
      <c r="B487" s="1855"/>
      <c r="C487" s="1855"/>
      <c r="D487" s="1855"/>
      <c r="E487" s="1855"/>
      <c r="F487" s="1464" t="s">
        <v>279</v>
      </c>
      <c r="G487" s="1860"/>
      <c r="H487" s="200"/>
      <c r="I487" s="200"/>
      <c r="J487" s="3255">
        <f>J488</f>
        <v>25741600</v>
      </c>
      <c r="K487" s="3256">
        <f>K488</f>
        <v>3610507</v>
      </c>
      <c r="L487" s="3182">
        <v>25741600</v>
      </c>
      <c r="M487" s="3183">
        <v>0</v>
      </c>
      <c r="N487" s="3182">
        <v>0</v>
      </c>
      <c r="O487" s="3182">
        <v>0</v>
      </c>
      <c r="P487" s="3182">
        <v>25741600</v>
      </c>
      <c r="Q487" s="3182">
        <f t="shared" si="86"/>
        <v>0</v>
      </c>
      <c r="R487" s="3184">
        <f t="shared" si="87"/>
        <v>0</v>
      </c>
      <c r="S487" s="3710"/>
      <c r="T487" s="3829"/>
      <c r="U487" s="3771"/>
      <c r="V487" s="1846">
        <f t="shared" si="83"/>
        <v>0</v>
      </c>
    </row>
    <row r="488" spans="1:31" ht="15.05" customHeight="1">
      <c r="A488" s="1855"/>
      <c r="B488" s="1855"/>
      <c r="C488" s="1855"/>
      <c r="D488" s="1855"/>
      <c r="E488" s="1855"/>
      <c r="F488" s="2756" t="s">
        <v>50</v>
      </c>
      <c r="G488" s="1858" t="s">
        <v>631</v>
      </c>
      <c r="H488" s="200"/>
      <c r="I488" s="200"/>
      <c r="J488" s="3215">
        <v>25741600</v>
      </c>
      <c r="K488" s="3171">
        <v>3610507</v>
      </c>
      <c r="L488" s="3125">
        <v>25741600</v>
      </c>
      <c r="M488" s="3124">
        <v>0</v>
      </c>
      <c r="N488" s="3125">
        <v>0</v>
      </c>
      <c r="O488" s="3125">
        <v>0</v>
      </c>
      <c r="P488" s="3125">
        <v>25741600</v>
      </c>
      <c r="Q488" s="3125">
        <f t="shared" si="86"/>
        <v>0</v>
      </c>
      <c r="R488" s="3166">
        <f t="shared" si="87"/>
        <v>0</v>
      </c>
      <c r="S488" s="3275"/>
      <c r="T488" s="3826"/>
      <c r="U488" s="3771"/>
      <c r="V488" s="1846">
        <f t="shared" si="83"/>
        <v>0</v>
      </c>
    </row>
    <row r="489" spans="1:31" ht="15.05" hidden="1" customHeight="1">
      <c r="A489" s="1855"/>
      <c r="B489" s="1855"/>
      <c r="C489" s="1855"/>
      <c r="D489" s="1855"/>
      <c r="E489" s="1855"/>
      <c r="F489" s="1857"/>
      <c r="G489" s="1858"/>
      <c r="H489" s="200"/>
      <c r="I489" s="200"/>
      <c r="J489" s="3215"/>
      <c r="K489" s="3171"/>
      <c r="L489" s="3125"/>
      <c r="M489" s="3124"/>
      <c r="N489" s="3125"/>
      <c r="O489" s="3125"/>
      <c r="P489" s="3125"/>
      <c r="Q489" s="3125">
        <f t="shared" si="86"/>
        <v>0</v>
      </c>
      <c r="R489" s="3166" t="e">
        <f t="shared" si="87"/>
        <v>#DIV/0!</v>
      </c>
      <c r="S489" s="3748"/>
      <c r="T489" s="3826"/>
      <c r="U489" s="3778"/>
      <c r="V489" s="1846">
        <f t="shared" si="83"/>
        <v>0</v>
      </c>
    </row>
    <row r="490" spans="1:31" ht="15.05" customHeight="1">
      <c r="A490" s="1855"/>
      <c r="B490" s="1855"/>
      <c r="C490" s="1855"/>
      <c r="D490" s="1855"/>
      <c r="E490" s="1855"/>
      <c r="F490" s="1464" t="s">
        <v>122</v>
      </c>
      <c r="G490" s="1860"/>
      <c r="H490" s="202"/>
      <c r="I490" s="202"/>
      <c r="J490" s="3259"/>
      <c r="K490" s="3123">
        <f>K491</f>
        <v>10539168</v>
      </c>
      <c r="L490" s="3182">
        <v>0</v>
      </c>
      <c r="M490" s="3183">
        <v>140000</v>
      </c>
      <c r="N490" s="3182">
        <v>0</v>
      </c>
      <c r="O490" s="3182">
        <v>140000</v>
      </c>
      <c r="P490" s="3182">
        <v>0</v>
      </c>
      <c r="Q490" s="3182">
        <f t="shared" si="86"/>
        <v>0</v>
      </c>
      <c r="R490" s="3184">
        <v>0</v>
      </c>
      <c r="S490" s="3710"/>
      <c r="T490" s="3829"/>
      <c r="U490" s="3777"/>
      <c r="V490" s="1846">
        <f t="shared" si="83"/>
        <v>560000</v>
      </c>
    </row>
    <row r="491" spans="1:31" s="1840" customFormat="1" ht="15.05" customHeight="1">
      <c r="A491" s="1855"/>
      <c r="B491" s="1855"/>
      <c r="C491" s="1855"/>
      <c r="D491" s="1855"/>
      <c r="E491" s="1855"/>
      <c r="F491" s="1857" t="s">
        <v>50</v>
      </c>
      <c r="G491" s="1858"/>
      <c r="H491" s="200" t="s">
        <v>632</v>
      </c>
      <c r="I491" s="200"/>
      <c r="J491" s="3215"/>
      <c r="K491" s="3171">
        <v>10539168</v>
      </c>
      <c r="L491" s="3125">
        <v>0</v>
      </c>
      <c r="M491" s="3124">
        <v>140000</v>
      </c>
      <c r="N491" s="3125">
        <v>0</v>
      </c>
      <c r="O491" s="3125">
        <v>140000</v>
      </c>
      <c r="P491" s="3125">
        <v>0</v>
      </c>
      <c r="Q491" s="3125">
        <f t="shared" si="86"/>
        <v>0</v>
      </c>
      <c r="R491" s="3184">
        <v>0</v>
      </c>
      <c r="S491" s="3731"/>
      <c r="T491" s="3829"/>
      <c r="U491" s="3778">
        <f>PerDinas!Q628</f>
        <v>0</v>
      </c>
      <c r="V491" s="1882">
        <f t="shared" si="83"/>
        <v>560000</v>
      </c>
    </row>
    <row r="492" spans="1:31" ht="15.05" hidden="1" customHeight="1">
      <c r="A492" s="1855"/>
      <c r="B492" s="1855"/>
      <c r="C492" s="1855"/>
      <c r="D492" s="1855"/>
      <c r="E492" s="1855"/>
      <c r="F492" s="1857"/>
      <c r="G492" s="1858"/>
      <c r="H492" s="200"/>
      <c r="I492" s="200"/>
      <c r="J492" s="3215"/>
      <c r="K492" s="3171"/>
      <c r="L492" s="3125"/>
      <c r="M492" s="3124"/>
      <c r="N492" s="3125"/>
      <c r="O492" s="3125"/>
      <c r="P492" s="3125"/>
      <c r="Q492" s="3125">
        <f t="shared" si="86"/>
        <v>0</v>
      </c>
      <c r="R492" s="3184">
        <v>0</v>
      </c>
      <c r="S492" s="3710"/>
      <c r="T492" s="3829"/>
      <c r="U492" s="3771"/>
      <c r="V492" s="1846">
        <f t="shared" si="83"/>
        <v>0</v>
      </c>
    </row>
    <row r="493" spans="1:31" ht="15.05" customHeight="1">
      <c r="A493" s="1855"/>
      <c r="B493" s="1855"/>
      <c r="C493" s="1855"/>
      <c r="D493" s="1855"/>
      <c r="E493" s="1855"/>
      <c r="F493" s="2874" t="s">
        <v>1192</v>
      </c>
      <c r="G493" s="1860"/>
      <c r="H493" s="200"/>
      <c r="I493" s="200"/>
      <c r="J493" s="3215"/>
      <c r="K493" s="3171">
        <f>K494</f>
        <v>4907140</v>
      </c>
      <c r="L493" s="3182">
        <v>0</v>
      </c>
      <c r="M493" s="3183">
        <v>0</v>
      </c>
      <c r="N493" s="3182">
        <v>0</v>
      </c>
      <c r="O493" s="3182">
        <v>0</v>
      </c>
      <c r="P493" s="3182">
        <v>0</v>
      </c>
      <c r="Q493" s="3182">
        <f t="shared" si="86"/>
        <v>0</v>
      </c>
      <c r="R493" s="3184">
        <v>0</v>
      </c>
      <c r="S493" s="3710"/>
      <c r="T493" s="3829"/>
      <c r="U493" s="3771"/>
      <c r="V493" s="1846">
        <f t="shared" si="83"/>
        <v>0</v>
      </c>
    </row>
    <row r="494" spans="1:31" ht="15.05" customHeight="1">
      <c r="A494" s="1855"/>
      <c r="B494" s="1855"/>
      <c r="C494" s="1855"/>
      <c r="D494" s="1855"/>
      <c r="E494" s="1855"/>
      <c r="F494" s="1857" t="s">
        <v>50</v>
      </c>
      <c r="G494" s="1858"/>
      <c r="H494" s="200" t="s">
        <v>85</v>
      </c>
      <c r="I494" s="200"/>
      <c r="J494" s="3215"/>
      <c r="K494" s="3171">
        <v>4907140</v>
      </c>
      <c r="L494" s="3125">
        <v>0</v>
      </c>
      <c r="M494" s="3124">
        <v>0</v>
      </c>
      <c r="N494" s="3125">
        <v>0</v>
      </c>
      <c r="O494" s="3125">
        <v>0</v>
      </c>
      <c r="P494" s="3125">
        <v>0</v>
      </c>
      <c r="Q494" s="3125">
        <f t="shared" si="86"/>
        <v>0</v>
      </c>
      <c r="R494" s="3184">
        <v>0</v>
      </c>
      <c r="S494" s="3710"/>
      <c r="T494" s="3829"/>
      <c r="U494" s="3771"/>
      <c r="V494" s="1846">
        <f t="shared" si="83"/>
        <v>0</v>
      </c>
    </row>
    <row r="495" spans="1:31" ht="15.05" hidden="1" customHeight="1">
      <c r="A495" s="1855"/>
      <c r="B495" s="1855"/>
      <c r="C495" s="1855"/>
      <c r="D495" s="1855"/>
      <c r="E495" s="1855"/>
      <c r="F495" s="1857"/>
      <c r="G495" s="1858"/>
      <c r="H495" s="202"/>
      <c r="I495" s="202"/>
      <c r="J495" s="3259"/>
      <c r="K495" s="3123"/>
      <c r="L495" s="3308"/>
      <c r="M495" s="3309"/>
      <c r="N495" s="3308"/>
      <c r="O495" s="3308"/>
      <c r="P495" s="3308"/>
      <c r="Q495" s="3308">
        <f t="shared" si="86"/>
        <v>0</v>
      </c>
      <c r="R495" s="3184">
        <v>0</v>
      </c>
      <c r="S495" s="3710"/>
      <c r="T495" s="3829"/>
      <c r="U495" s="3771"/>
      <c r="V495" s="1846">
        <f t="shared" si="83"/>
        <v>0</v>
      </c>
    </row>
    <row r="496" spans="1:31" ht="15.05" customHeight="1">
      <c r="A496" s="1855"/>
      <c r="B496" s="1855"/>
      <c r="C496" s="1855"/>
      <c r="D496" s="1855"/>
      <c r="E496" s="1855"/>
      <c r="F496" s="1464" t="s">
        <v>591</v>
      </c>
      <c r="G496" s="1860"/>
      <c r="H496" s="202"/>
      <c r="I496" s="202"/>
      <c r="J496" s="3259">
        <v>0</v>
      </c>
      <c r="K496" s="3123">
        <v>5742894</v>
      </c>
      <c r="L496" s="3182">
        <v>0</v>
      </c>
      <c r="M496" s="3183">
        <v>0</v>
      </c>
      <c r="N496" s="3182">
        <v>0</v>
      </c>
      <c r="O496" s="3182">
        <v>0</v>
      </c>
      <c r="P496" s="3182">
        <v>0</v>
      </c>
      <c r="Q496" s="3182">
        <f t="shared" si="86"/>
        <v>0</v>
      </c>
      <c r="R496" s="3184">
        <v>0</v>
      </c>
      <c r="S496" s="3710"/>
      <c r="T496" s="3829"/>
      <c r="U496" s="3777"/>
      <c r="V496" s="1846">
        <f t="shared" si="83"/>
        <v>0</v>
      </c>
    </row>
    <row r="497" spans="1:22" s="1840" customFormat="1" ht="15.05" customHeight="1">
      <c r="A497" s="1855"/>
      <c r="B497" s="1855"/>
      <c r="C497" s="1855"/>
      <c r="D497" s="1855"/>
      <c r="E497" s="1855"/>
      <c r="F497" s="1857" t="s">
        <v>50</v>
      </c>
      <c r="G497" s="1858"/>
      <c r="H497" s="200" t="s">
        <v>632</v>
      </c>
      <c r="I497" s="200"/>
      <c r="J497" s="3215">
        <v>0</v>
      </c>
      <c r="K497" s="3171">
        <v>5742894</v>
      </c>
      <c r="L497" s="3125">
        <v>0</v>
      </c>
      <c r="M497" s="3124">
        <v>0</v>
      </c>
      <c r="N497" s="3125">
        <v>0</v>
      </c>
      <c r="O497" s="3125">
        <v>0</v>
      </c>
      <c r="P497" s="3125">
        <v>0</v>
      </c>
      <c r="Q497" s="3125">
        <f t="shared" si="86"/>
        <v>0</v>
      </c>
      <c r="R497" s="3184">
        <v>0</v>
      </c>
      <c r="S497" s="3731"/>
      <c r="T497" s="3829"/>
      <c r="U497" s="3778">
        <f>PerDinas!Q630</f>
        <v>0</v>
      </c>
      <c r="V497" s="1882">
        <f t="shared" si="83"/>
        <v>0</v>
      </c>
    </row>
    <row r="498" spans="1:22" ht="15.05" hidden="1" customHeight="1">
      <c r="A498" s="1855"/>
      <c r="B498" s="1855"/>
      <c r="C498" s="1855"/>
      <c r="D498" s="1855"/>
      <c r="E498" s="1855"/>
      <c r="F498" s="1857"/>
      <c r="G498" s="1858"/>
      <c r="H498" s="2329"/>
      <c r="I498" s="200"/>
      <c r="J498" s="3215"/>
      <c r="K498" s="3171"/>
      <c r="L498" s="3125"/>
      <c r="M498" s="3124"/>
      <c r="N498" s="3125"/>
      <c r="O498" s="3125"/>
      <c r="P498" s="3125"/>
      <c r="Q498" s="3125">
        <f t="shared" si="86"/>
        <v>0</v>
      </c>
      <c r="R498" s="3184">
        <v>0</v>
      </c>
      <c r="S498" s="3710"/>
      <c r="T498" s="3829"/>
      <c r="U498" s="3771"/>
      <c r="V498" s="1846">
        <f t="shared" si="83"/>
        <v>0</v>
      </c>
    </row>
    <row r="499" spans="1:22" ht="15.05" customHeight="1">
      <c r="A499" s="1855"/>
      <c r="B499" s="1855"/>
      <c r="C499" s="1855"/>
      <c r="D499" s="1855"/>
      <c r="E499" s="1855"/>
      <c r="F499" s="2874" t="s">
        <v>1193</v>
      </c>
      <c r="G499" s="1860"/>
      <c r="H499" s="202"/>
      <c r="I499" s="202"/>
      <c r="J499" s="3259">
        <v>0</v>
      </c>
      <c r="K499" s="3200">
        <f>K500</f>
        <v>32700000</v>
      </c>
      <c r="L499" s="3182">
        <v>0</v>
      </c>
      <c r="M499" s="3183">
        <v>0</v>
      </c>
      <c r="N499" s="3182">
        <v>0</v>
      </c>
      <c r="O499" s="3182">
        <v>0</v>
      </c>
      <c r="P499" s="3182">
        <v>0</v>
      </c>
      <c r="Q499" s="3182">
        <f t="shared" si="86"/>
        <v>0</v>
      </c>
      <c r="R499" s="3184">
        <v>0</v>
      </c>
      <c r="S499" s="3710"/>
      <c r="T499" s="3829"/>
      <c r="U499" s="3777"/>
      <c r="V499" s="1846">
        <f t="shared" si="83"/>
        <v>0</v>
      </c>
    </row>
    <row r="500" spans="1:22" ht="15.05" customHeight="1">
      <c r="A500" s="1855"/>
      <c r="B500" s="1855"/>
      <c r="C500" s="1855"/>
      <c r="D500" s="1855"/>
      <c r="E500" s="1855"/>
      <c r="F500" s="1857" t="s">
        <v>50</v>
      </c>
      <c r="G500" s="1858"/>
      <c r="H500" s="200" t="s">
        <v>632</v>
      </c>
      <c r="I500" s="200"/>
      <c r="J500" s="3215">
        <v>0</v>
      </c>
      <c r="K500" s="3193">
        <v>32700000</v>
      </c>
      <c r="L500" s="3125">
        <v>0</v>
      </c>
      <c r="M500" s="3124">
        <v>0</v>
      </c>
      <c r="N500" s="3125">
        <v>0</v>
      </c>
      <c r="O500" s="3125">
        <v>0</v>
      </c>
      <c r="P500" s="3125">
        <v>0</v>
      </c>
      <c r="Q500" s="3125">
        <f t="shared" si="86"/>
        <v>0</v>
      </c>
      <c r="R500" s="3184">
        <v>0</v>
      </c>
      <c r="S500" s="3731"/>
      <c r="T500" s="3829"/>
      <c r="U500" s="3778">
        <f>PerDinas!Q631</f>
        <v>0</v>
      </c>
      <c r="V500" s="1846">
        <f t="shared" si="83"/>
        <v>0</v>
      </c>
    </row>
    <row r="501" spans="1:22" ht="15.05" hidden="1" customHeight="1">
      <c r="A501" s="1855"/>
      <c r="B501" s="1855"/>
      <c r="C501" s="1855"/>
      <c r="D501" s="1855"/>
      <c r="E501" s="1855"/>
      <c r="F501" s="1857"/>
      <c r="G501" s="1858"/>
      <c r="H501" s="200"/>
      <c r="I501" s="200"/>
      <c r="J501" s="3215"/>
      <c r="K501" s="3171"/>
      <c r="L501" s="3125"/>
      <c r="M501" s="3124"/>
      <c r="N501" s="3125"/>
      <c r="O501" s="3125"/>
      <c r="P501" s="3125"/>
      <c r="Q501" s="3125">
        <f t="shared" si="86"/>
        <v>0</v>
      </c>
      <c r="R501" s="3184">
        <v>0</v>
      </c>
      <c r="S501" s="3731"/>
      <c r="T501" s="3829"/>
      <c r="U501" s="3778"/>
      <c r="V501" s="1846">
        <f t="shared" si="83"/>
        <v>0</v>
      </c>
    </row>
    <row r="502" spans="1:22" ht="15.05" customHeight="1">
      <c r="A502" s="1855"/>
      <c r="B502" s="1855"/>
      <c r="C502" s="1855"/>
      <c r="D502" s="1855"/>
      <c r="E502" s="1855"/>
      <c r="F502" s="1464" t="s">
        <v>633</v>
      </c>
      <c r="G502" s="1860"/>
      <c r="H502" s="202"/>
      <c r="I502" s="202"/>
      <c r="J502" s="3259">
        <v>0</v>
      </c>
      <c r="K502" s="3123">
        <v>46795750</v>
      </c>
      <c r="L502" s="3182">
        <v>0</v>
      </c>
      <c r="M502" s="3183">
        <v>720000</v>
      </c>
      <c r="N502" s="3182">
        <v>0</v>
      </c>
      <c r="O502" s="3182">
        <v>720000</v>
      </c>
      <c r="P502" s="3182">
        <v>0</v>
      </c>
      <c r="Q502" s="3182">
        <f t="shared" si="86"/>
        <v>0</v>
      </c>
      <c r="R502" s="3184">
        <v>0</v>
      </c>
      <c r="S502" s="3710"/>
      <c r="T502" s="3829"/>
      <c r="U502" s="3777"/>
      <c r="V502" s="1846">
        <f t="shared" si="83"/>
        <v>2880000</v>
      </c>
    </row>
    <row r="503" spans="1:22" s="1840" customFormat="1" ht="15.05" customHeight="1">
      <c r="A503" s="1855"/>
      <c r="B503" s="1855"/>
      <c r="C503" s="1855"/>
      <c r="D503" s="1855"/>
      <c r="E503" s="1855"/>
      <c r="F503" s="1857" t="s">
        <v>50</v>
      </c>
      <c r="G503" s="1858"/>
      <c r="H503" s="200" t="s">
        <v>85</v>
      </c>
      <c r="I503" s="200"/>
      <c r="J503" s="3215">
        <v>0</v>
      </c>
      <c r="K503" s="3171">
        <v>46795750</v>
      </c>
      <c r="L503" s="3125">
        <v>0</v>
      </c>
      <c r="M503" s="3124">
        <v>720000</v>
      </c>
      <c r="N503" s="3125">
        <v>0</v>
      </c>
      <c r="O503" s="3125">
        <v>720000</v>
      </c>
      <c r="P503" s="3125">
        <v>0</v>
      </c>
      <c r="Q503" s="3125">
        <f t="shared" si="86"/>
        <v>0</v>
      </c>
      <c r="R503" s="3184">
        <v>0</v>
      </c>
      <c r="S503" s="3731"/>
      <c r="T503" s="3829"/>
      <c r="U503" s="3778">
        <f>PerDinas!Q624</f>
        <v>0</v>
      </c>
      <c r="V503" s="1882">
        <f t="shared" si="83"/>
        <v>2880000</v>
      </c>
    </row>
    <row r="504" spans="1:22" ht="15.05" hidden="1" customHeight="1">
      <c r="A504" s="1855"/>
      <c r="B504" s="1855"/>
      <c r="C504" s="1855"/>
      <c r="D504" s="1855"/>
      <c r="E504" s="1855"/>
      <c r="F504" s="1857"/>
      <c r="G504" s="1858"/>
      <c r="H504" s="2329"/>
      <c r="I504" s="200"/>
      <c r="J504" s="3215"/>
      <c r="K504" s="3171"/>
      <c r="L504" s="3125"/>
      <c r="M504" s="3124"/>
      <c r="N504" s="3125"/>
      <c r="O504" s="3125"/>
      <c r="P504" s="3125"/>
      <c r="Q504" s="3125">
        <f t="shared" si="86"/>
        <v>0</v>
      </c>
      <c r="R504" s="3184">
        <v>0</v>
      </c>
      <c r="S504" s="3710"/>
      <c r="T504" s="3829"/>
      <c r="U504" s="3771"/>
      <c r="V504" s="1846">
        <f t="shared" si="83"/>
        <v>0</v>
      </c>
    </row>
    <row r="505" spans="1:22" ht="15.05" customHeight="1">
      <c r="A505" s="1855"/>
      <c r="B505" s="1855"/>
      <c r="C505" s="1855"/>
      <c r="D505" s="1855"/>
      <c r="E505" s="1855"/>
      <c r="F505" s="1464" t="s">
        <v>634</v>
      </c>
      <c r="G505" s="1860"/>
      <c r="H505" s="202"/>
      <c r="I505" s="202"/>
      <c r="J505" s="3259">
        <v>0</v>
      </c>
      <c r="K505" s="3123">
        <v>6050000</v>
      </c>
      <c r="L505" s="3182">
        <v>0</v>
      </c>
      <c r="M505" s="3183">
        <v>0</v>
      </c>
      <c r="N505" s="3182">
        <v>0</v>
      </c>
      <c r="O505" s="3182">
        <v>0</v>
      </c>
      <c r="P505" s="3182">
        <v>0</v>
      </c>
      <c r="Q505" s="3182">
        <f t="shared" si="86"/>
        <v>0</v>
      </c>
      <c r="R505" s="3184">
        <v>0</v>
      </c>
      <c r="S505" s="3710"/>
      <c r="T505" s="3829"/>
      <c r="U505" s="3777"/>
      <c r="V505" s="1846">
        <f t="shared" si="83"/>
        <v>0</v>
      </c>
    </row>
    <row r="506" spans="1:22" s="1840" customFormat="1" ht="15.05" customHeight="1">
      <c r="A506" s="1855"/>
      <c r="B506" s="1855"/>
      <c r="C506" s="1855"/>
      <c r="D506" s="1855"/>
      <c r="E506" s="1855"/>
      <c r="F506" s="1857" t="s">
        <v>50</v>
      </c>
      <c r="G506" s="1858"/>
      <c r="H506" s="200" t="s">
        <v>635</v>
      </c>
      <c r="I506" s="200"/>
      <c r="J506" s="3215">
        <v>0</v>
      </c>
      <c r="K506" s="3171">
        <v>6050000</v>
      </c>
      <c r="L506" s="3125">
        <v>0</v>
      </c>
      <c r="M506" s="3124">
        <v>0</v>
      </c>
      <c r="N506" s="3125">
        <v>0</v>
      </c>
      <c r="O506" s="3125">
        <v>0</v>
      </c>
      <c r="P506" s="3125">
        <v>0</v>
      </c>
      <c r="Q506" s="3125">
        <f t="shared" si="86"/>
        <v>0</v>
      </c>
      <c r="R506" s="3184">
        <v>0</v>
      </c>
      <c r="S506" s="3731"/>
      <c r="T506" s="3829"/>
      <c r="U506" s="3778">
        <f>PerDinas!Q626</f>
        <v>0</v>
      </c>
      <c r="V506" s="1882">
        <f t="shared" si="83"/>
        <v>0</v>
      </c>
    </row>
    <row r="507" spans="1:22" ht="15.05" customHeight="1">
      <c r="A507" s="1855"/>
      <c r="B507" s="1855"/>
      <c r="C507" s="1855"/>
      <c r="D507" s="1855"/>
      <c r="E507" s="1855"/>
      <c r="F507" s="1857" t="s">
        <v>50</v>
      </c>
      <c r="G507" s="1858"/>
      <c r="H507" s="200" t="s">
        <v>85</v>
      </c>
      <c r="I507" s="200"/>
      <c r="J507" s="3215">
        <v>0</v>
      </c>
      <c r="K507" s="3171">
        <v>0</v>
      </c>
      <c r="L507" s="3125">
        <v>0</v>
      </c>
      <c r="M507" s="3124">
        <v>0</v>
      </c>
      <c r="N507" s="3125">
        <v>0</v>
      </c>
      <c r="O507" s="3125">
        <v>0</v>
      </c>
      <c r="P507" s="3125">
        <v>0</v>
      </c>
      <c r="Q507" s="3125">
        <f t="shared" si="86"/>
        <v>0</v>
      </c>
      <c r="R507" s="3184">
        <v>0</v>
      </c>
      <c r="S507" s="3710"/>
      <c r="T507" s="3829"/>
      <c r="U507" s="3771"/>
      <c r="V507" s="1846">
        <f t="shared" si="83"/>
        <v>0</v>
      </c>
    </row>
    <row r="508" spans="1:22" ht="15.05" customHeight="1">
      <c r="A508" s="1855"/>
      <c r="B508" s="1855"/>
      <c r="C508" s="1855"/>
      <c r="D508" s="1855"/>
      <c r="E508" s="1855"/>
      <c r="F508" s="1464" t="s">
        <v>579</v>
      </c>
      <c r="G508" s="1860"/>
      <c r="H508" s="202"/>
      <c r="I508" s="202"/>
      <c r="J508" s="3259">
        <v>0</v>
      </c>
      <c r="K508" s="3123">
        <v>0</v>
      </c>
      <c r="L508" s="3182">
        <v>0</v>
      </c>
      <c r="M508" s="3183">
        <v>0</v>
      </c>
      <c r="N508" s="3182">
        <v>0</v>
      </c>
      <c r="O508" s="3182">
        <v>0</v>
      </c>
      <c r="P508" s="3182">
        <v>0</v>
      </c>
      <c r="Q508" s="3182">
        <f t="shared" si="86"/>
        <v>0</v>
      </c>
      <c r="R508" s="3184">
        <v>0</v>
      </c>
      <c r="S508" s="3710"/>
      <c r="T508" s="3829"/>
      <c r="U508" s="3777"/>
      <c r="V508" s="1846">
        <f t="shared" si="83"/>
        <v>0</v>
      </c>
    </row>
    <row r="509" spans="1:22" ht="15.05" customHeight="1">
      <c r="A509" s="1855"/>
      <c r="B509" s="1855"/>
      <c r="C509" s="1855"/>
      <c r="D509" s="1855"/>
      <c r="E509" s="1855"/>
      <c r="F509" s="1857" t="s">
        <v>50</v>
      </c>
      <c r="G509" s="1858"/>
      <c r="H509" s="200" t="s">
        <v>85</v>
      </c>
      <c r="I509" s="200"/>
      <c r="J509" s="3215">
        <v>0</v>
      </c>
      <c r="K509" s="3171">
        <v>0</v>
      </c>
      <c r="L509" s="3125">
        <v>0</v>
      </c>
      <c r="M509" s="3124">
        <v>0</v>
      </c>
      <c r="N509" s="3125">
        <v>0</v>
      </c>
      <c r="O509" s="3125">
        <v>0</v>
      </c>
      <c r="P509" s="3125">
        <v>0</v>
      </c>
      <c r="Q509" s="3125">
        <f t="shared" si="86"/>
        <v>0</v>
      </c>
      <c r="R509" s="3184">
        <v>0</v>
      </c>
      <c r="S509" s="3731"/>
      <c r="T509" s="3829"/>
      <c r="U509" s="3778">
        <f>PerDinas!Q1066</f>
        <v>0</v>
      </c>
      <c r="V509" s="1846">
        <f t="shared" si="83"/>
        <v>0</v>
      </c>
    </row>
    <row r="510" spans="1:22" ht="15.05" customHeight="1">
      <c r="A510" s="1855"/>
      <c r="B510" s="1855"/>
      <c r="C510" s="1855"/>
      <c r="D510" s="1855"/>
      <c r="E510" s="1855"/>
      <c r="F510" s="1464" t="s">
        <v>570</v>
      </c>
      <c r="G510" s="1860"/>
      <c r="H510" s="202"/>
      <c r="I510" s="202"/>
      <c r="J510" s="3259">
        <v>0</v>
      </c>
      <c r="K510" s="3123">
        <v>90592600</v>
      </c>
      <c r="L510" s="3182">
        <v>0</v>
      </c>
      <c r="M510" s="3183">
        <v>10809500</v>
      </c>
      <c r="N510" s="3182">
        <v>0</v>
      </c>
      <c r="O510" s="3182">
        <v>10809500</v>
      </c>
      <c r="P510" s="3182">
        <v>0</v>
      </c>
      <c r="Q510" s="3182">
        <f t="shared" si="86"/>
        <v>0</v>
      </c>
      <c r="R510" s="3184">
        <v>0</v>
      </c>
      <c r="S510" s="3710"/>
      <c r="T510" s="3829"/>
      <c r="U510" s="3777"/>
      <c r="V510" s="1846">
        <f t="shared" si="83"/>
        <v>43238000</v>
      </c>
    </row>
    <row r="511" spans="1:22" s="1840" customFormat="1" ht="15.05" customHeight="1">
      <c r="A511" s="1855"/>
      <c r="B511" s="1855"/>
      <c r="C511" s="1855"/>
      <c r="D511" s="1855"/>
      <c r="E511" s="1855"/>
      <c r="F511" s="1857" t="s">
        <v>50</v>
      </c>
      <c r="G511" s="1858"/>
      <c r="H511" s="200" t="s">
        <v>85</v>
      </c>
      <c r="I511" s="200"/>
      <c r="J511" s="3215">
        <v>0</v>
      </c>
      <c r="K511" s="3171">
        <v>90592600</v>
      </c>
      <c r="L511" s="3125">
        <v>0</v>
      </c>
      <c r="M511" s="3124">
        <v>10809500</v>
      </c>
      <c r="N511" s="3125">
        <v>0</v>
      </c>
      <c r="O511" s="3125">
        <v>10809500</v>
      </c>
      <c r="P511" s="3125">
        <v>0</v>
      </c>
      <c r="Q511" s="3125">
        <f t="shared" si="86"/>
        <v>0</v>
      </c>
      <c r="R511" s="3184">
        <v>0</v>
      </c>
      <c r="S511" s="3731"/>
      <c r="T511" s="3829"/>
      <c r="U511" s="3778">
        <f>PerDinas!Q633</f>
        <v>0</v>
      </c>
      <c r="V511" s="1882">
        <f t="shared" si="83"/>
        <v>43238000</v>
      </c>
    </row>
    <row r="512" spans="1:22" ht="15.05" hidden="1" customHeight="1">
      <c r="A512" s="1855"/>
      <c r="B512" s="1855"/>
      <c r="C512" s="1855"/>
      <c r="D512" s="1855"/>
      <c r="E512" s="1855"/>
      <c r="F512" s="1857"/>
      <c r="G512" s="1858"/>
      <c r="H512" s="200"/>
      <c r="I512" s="200"/>
      <c r="J512" s="3215"/>
      <c r="K512" s="3171"/>
      <c r="L512" s="3125"/>
      <c r="M512" s="3124"/>
      <c r="N512" s="3125"/>
      <c r="O512" s="3125"/>
      <c r="P512" s="3125"/>
      <c r="Q512" s="3125">
        <f t="shared" si="86"/>
        <v>0</v>
      </c>
      <c r="R512" s="3184">
        <v>0</v>
      </c>
      <c r="S512" s="3710"/>
      <c r="T512" s="3829"/>
      <c r="U512" s="3771"/>
      <c r="V512" s="1846">
        <f t="shared" si="83"/>
        <v>0</v>
      </c>
    </row>
    <row r="513" spans="1:22" ht="15.05" customHeight="1">
      <c r="A513" s="1855"/>
      <c r="B513" s="1855"/>
      <c r="C513" s="1855"/>
      <c r="D513" s="1855"/>
      <c r="E513" s="1855"/>
      <c r="F513" s="2825" t="s">
        <v>636</v>
      </c>
      <c r="G513" s="1860"/>
      <c r="H513" s="202"/>
      <c r="I513" s="202"/>
      <c r="J513" s="3259"/>
      <c r="K513" s="3123"/>
      <c r="L513" s="3182">
        <v>0</v>
      </c>
      <c r="M513" s="3183">
        <v>0</v>
      </c>
      <c r="N513" s="3182">
        <v>0</v>
      </c>
      <c r="O513" s="3182">
        <v>0</v>
      </c>
      <c r="P513" s="3182">
        <v>0</v>
      </c>
      <c r="Q513" s="3182">
        <f t="shared" si="86"/>
        <v>0</v>
      </c>
      <c r="R513" s="3184">
        <v>0</v>
      </c>
      <c r="S513" s="3710"/>
      <c r="T513" s="3829"/>
      <c r="U513" s="3777"/>
      <c r="V513" s="1846">
        <f t="shared" si="83"/>
        <v>0</v>
      </c>
    </row>
    <row r="514" spans="1:22" ht="15.05" customHeight="1">
      <c r="A514" s="1855"/>
      <c r="B514" s="1855"/>
      <c r="C514" s="1855"/>
      <c r="D514" s="1855"/>
      <c r="E514" s="1855"/>
      <c r="F514" s="1857" t="s">
        <v>50</v>
      </c>
      <c r="G514" s="1858"/>
      <c r="H514" s="200" t="s">
        <v>631</v>
      </c>
      <c r="I514" s="200"/>
      <c r="J514" s="3215"/>
      <c r="K514" s="3171"/>
      <c r="L514" s="3125">
        <v>0</v>
      </c>
      <c r="M514" s="3124">
        <v>0</v>
      </c>
      <c r="N514" s="3125">
        <v>0</v>
      </c>
      <c r="O514" s="3125">
        <v>0</v>
      </c>
      <c r="P514" s="3125">
        <v>0</v>
      </c>
      <c r="Q514" s="3125">
        <f t="shared" si="86"/>
        <v>0</v>
      </c>
      <c r="R514" s="3184">
        <v>0</v>
      </c>
      <c r="S514" s="3731"/>
      <c r="T514" s="3829"/>
      <c r="U514" s="3778">
        <f>PerDinas!Q56</f>
        <v>0</v>
      </c>
      <c r="V514" s="1846">
        <f t="shared" si="83"/>
        <v>0</v>
      </c>
    </row>
    <row r="515" spans="1:22" ht="15.05" customHeight="1">
      <c r="A515" s="1855"/>
      <c r="B515" s="1855"/>
      <c r="C515" s="1855"/>
      <c r="D515" s="1855"/>
      <c r="E515" s="1855"/>
      <c r="F515" s="1464" t="s">
        <v>637</v>
      </c>
      <c r="G515" s="1860"/>
      <c r="H515" s="202"/>
      <c r="I515" s="202"/>
      <c r="J515" s="3259"/>
      <c r="K515" s="3123"/>
      <c r="L515" s="3182">
        <v>0</v>
      </c>
      <c r="M515" s="3183">
        <v>0</v>
      </c>
      <c r="N515" s="3182">
        <v>0</v>
      </c>
      <c r="O515" s="3182">
        <v>0</v>
      </c>
      <c r="P515" s="3182">
        <v>0</v>
      </c>
      <c r="Q515" s="3182">
        <f t="shared" si="86"/>
        <v>0</v>
      </c>
      <c r="R515" s="3184">
        <v>0</v>
      </c>
      <c r="S515" s="3710"/>
      <c r="T515" s="3829"/>
      <c r="U515" s="3777"/>
      <c r="V515" s="1846">
        <f t="shared" si="83"/>
        <v>0</v>
      </c>
    </row>
    <row r="516" spans="1:22" ht="15.05" customHeight="1">
      <c r="A516" s="1855"/>
      <c r="B516" s="1855"/>
      <c r="C516" s="1855"/>
      <c r="D516" s="1855"/>
      <c r="E516" s="1855"/>
      <c r="F516" s="1857" t="s">
        <v>50</v>
      </c>
      <c r="G516" s="1858"/>
      <c r="H516" s="200" t="s">
        <v>85</v>
      </c>
      <c r="I516" s="200"/>
      <c r="J516" s="3215"/>
      <c r="K516" s="3171"/>
      <c r="L516" s="3125">
        <v>0</v>
      </c>
      <c r="M516" s="3124">
        <v>0</v>
      </c>
      <c r="N516" s="3125">
        <v>0</v>
      </c>
      <c r="O516" s="3125">
        <v>0</v>
      </c>
      <c r="P516" s="3125">
        <v>0</v>
      </c>
      <c r="Q516" s="3125">
        <f t="shared" si="86"/>
        <v>0</v>
      </c>
      <c r="R516" s="3184">
        <v>0</v>
      </c>
      <c r="S516" s="3710"/>
      <c r="T516" s="3829"/>
      <c r="U516" s="3771"/>
      <c r="V516" s="1846">
        <f t="shared" si="83"/>
        <v>0</v>
      </c>
    </row>
    <row r="517" spans="1:22" ht="15.05" customHeight="1">
      <c r="A517" s="1855"/>
      <c r="B517" s="1855"/>
      <c r="C517" s="1855"/>
      <c r="D517" s="1855"/>
      <c r="E517" s="1855"/>
      <c r="F517" s="1464" t="s">
        <v>638</v>
      </c>
      <c r="G517" s="1860"/>
      <c r="H517" s="202"/>
      <c r="I517" s="202"/>
      <c r="J517" s="3259"/>
      <c r="K517" s="3123"/>
      <c r="L517" s="3182">
        <v>0</v>
      </c>
      <c r="M517" s="3183">
        <v>0</v>
      </c>
      <c r="N517" s="3182">
        <v>0</v>
      </c>
      <c r="O517" s="3182">
        <v>0</v>
      </c>
      <c r="P517" s="3182">
        <v>0</v>
      </c>
      <c r="Q517" s="3182">
        <f t="shared" si="86"/>
        <v>0</v>
      </c>
      <c r="R517" s="3184">
        <v>0</v>
      </c>
      <c r="S517" s="3710"/>
      <c r="T517" s="3829"/>
      <c r="U517" s="3777"/>
      <c r="V517" s="1846">
        <f t="shared" si="83"/>
        <v>0</v>
      </c>
    </row>
    <row r="518" spans="1:22" ht="15.05" customHeight="1">
      <c r="A518" s="1855"/>
      <c r="B518" s="1855"/>
      <c r="C518" s="1855"/>
      <c r="D518" s="1855"/>
      <c r="E518" s="1855"/>
      <c r="F518" s="1857" t="s">
        <v>50</v>
      </c>
      <c r="G518" s="1858"/>
      <c r="H518" s="200" t="s">
        <v>85</v>
      </c>
      <c r="I518" s="200"/>
      <c r="J518" s="3215"/>
      <c r="K518" s="3171"/>
      <c r="L518" s="3125"/>
      <c r="M518" s="3124"/>
      <c r="N518" s="3125"/>
      <c r="O518" s="3125"/>
      <c r="P518" s="3125"/>
      <c r="Q518" s="3125">
        <f t="shared" si="86"/>
        <v>0</v>
      </c>
      <c r="R518" s="3184">
        <v>0</v>
      </c>
      <c r="S518" s="3710"/>
      <c r="T518" s="3829"/>
      <c r="U518" s="3771"/>
      <c r="V518" s="1846">
        <f t="shared" si="83"/>
        <v>0</v>
      </c>
    </row>
    <row r="519" spans="1:22" ht="15.05" customHeight="1">
      <c r="A519" s="1855"/>
      <c r="B519" s="1855"/>
      <c r="C519" s="1855"/>
      <c r="D519" s="1855"/>
      <c r="E519" s="1855"/>
      <c r="F519" s="1464" t="s">
        <v>639</v>
      </c>
      <c r="G519" s="1860"/>
      <c r="H519" s="202"/>
      <c r="I519" s="202"/>
      <c r="J519" s="3259"/>
      <c r="K519" s="3123"/>
      <c r="L519" s="3182">
        <v>0</v>
      </c>
      <c r="M519" s="3183">
        <v>0</v>
      </c>
      <c r="N519" s="3182">
        <v>0</v>
      </c>
      <c r="O519" s="3182">
        <v>0</v>
      </c>
      <c r="P519" s="3182">
        <v>0</v>
      </c>
      <c r="Q519" s="3182">
        <f t="shared" si="86"/>
        <v>0</v>
      </c>
      <c r="R519" s="3184">
        <v>0</v>
      </c>
      <c r="S519" s="3710"/>
      <c r="T519" s="3829"/>
      <c r="U519" s="3777"/>
      <c r="V519" s="1846">
        <f t="shared" si="83"/>
        <v>0</v>
      </c>
    </row>
    <row r="520" spans="1:22" ht="15.05" customHeight="1">
      <c r="A520" s="1855"/>
      <c r="B520" s="1855"/>
      <c r="C520" s="1855"/>
      <c r="D520" s="1855"/>
      <c r="E520" s="1855"/>
      <c r="F520" s="1857" t="s">
        <v>50</v>
      </c>
      <c r="G520" s="1858"/>
      <c r="H520" s="200" t="s">
        <v>640</v>
      </c>
      <c r="I520" s="200"/>
      <c r="J520" s="3215"/>
      <c r="K520" s="3171"/>
      <c r="L520" s="3125">
        <v>0</v>
      </c>
      <c r="M520" s="3124">
        <v>0</v>
      </c>
      <c r="N520" s="3125">
        <v>0</v>
      </c>
      <c r="O520" s="3125">
        <v>0</v>
      </c>
      <c r="P520" s="3125">
        <v>0</v>
      </c>
      <c r="Q520" s="3125">
        <f t="shared" si="86"/>
        <v>0</v>
      </c>
      <c r="R520" s="3184">
        <v>0</v>
      </c>
      <c r="S520" s="3731"/>
      <c r="T520" s="3829"/>
      <c r="U520" s="3778">
        <f>PerDinas!Q606</f>
        <v>0</v>
      </c>
      <c r="V520" s="1846">
        <f t="shared" si="83"/>
        <v>0</v>
      </c>
    </row>
    <row r="521" spans="1:22" ht="15.05" customHeight="1">
      <c r="A521" s="1855"/>
      <c r="B521" s="1855"/>
      <c r="C521" s="1855"/>
      <c r="D521" s="1855"/>
      <c r="E521" s="1855"/>
      <c r="F521" s="1464" t="s">
        <v>641</v>
      </c>
      <c r="G521" s="1860"/>
      <c r="H521" s="202"/>
      <c r="I521" s="202"/>
      <c r="J521" s="3259"/>
      <c r="K521" s="3123"/>
      <c r="L521" s="3182">
        <v>0</v>
      </c>
      <c r="M521" s="3183">
        <v>0</v>
      </c>
      <c r="N521" s="3182">
        <v>0</v>
      </c>
      <c r="O521" s="3182">
        <v>0</v>
      </c>
      <c r="P521" s="3182">
        <v>0</v>
      </c>
      <c r="Q521" s="3182">
        <f t="shared" si="86"/>
        <v>0</v>
      </c>
      <c r="R521" s="3184">
        <v>0</v>
      </c>
      <c r="S521" s="3710"/>
      <c r="T521" s="3829"/>
      <c r="U521" s="3777"/>
      <c r="V521" s="1846">
        <f t="shared" ref="V521:V568" si="88">O521*4</f>
        <v>0</v>
      </c>
    </row>
    <row r="522" spans="1:22" ht="15.05" customHeight="1">
      <c r="A522" s="1855"/>
      <c r="B522" s="1855"/>
      <c r="C522" s="1855"/>
      <c r="D522" s="1855"/>
      <c r="E522" s="1855"/>
      <c r="F522" s="1857" t="s">
        <v>50</v>
      </c>
      <c r="G522" s="1858"/>
      <c r="H522" s="200" t="s">
        <v>85</v>
      </c>
      <c r="I522" s="200"/>
      <c r="J522" s="3215"/>
      <c r="K522" s="3171"/>
      <c r="L522" s="3125">
        <v>0</v>
      </c>
      <c r="M522" s="3124">
        <v>0</v>
      </c>
      <c r="N522" s="3125">
        <v>0</v>
      </c>
      <c r="O522" s="3125">
        <v>0</v>
      </c>
      <c r="P522" s="3125">
        <v>0</v>
      </c>
      <c r="Q522" s="3125">
        <f t="shared" si="86"/>
        <v>0</v>
      </c>
      <c r="R522" s="3184">
        <v>0</v>
      </c>
      <c r="S522" s="3710"/>
      <c r="T522" s="3829"/>
      <c r="U522" s="3771"/>
      <c r="V522" s="1846">
        <f t="shared" si="88"/>
        <v>0</v>
      </c>
    </row>
    <row r="523" spans="1:22" ht="15.05" hidden="1" customHeight="1">
      <c r="A523" s="1855"/>
      <c r="B523" s="1855"/>
      <c r="C523" s="1855"/>
      <c r="D523" s="1855"/>
      <c r="E523" s="1855"/>
      <c r="F523" s="1464" t="s">
        <v>642</v>
      </c>
      <c r="G523" s="1860"/>
      <c r="H523" s="202"/>
      <c r="I523" s="202"/>
      <c r="J523" s="3259"/>
      <c r="K523" s="3123"/>
      <c r="L523" s="3182">
        <v>0</v>
      </c>
      <c r="M523" s="3183">
        <v>0</v>
      </c>
      <c r="N523" s="3182">
        <v>0</v>
      </c>
      <c r="O523" s="3182">
        <v>0</v>
      </c>
      <c r="P523" s="3182">
        <v>0</v>
      </c>
      <c r="Q523" s="3182">
        <f t="shared" si="86"/>
        <v>0</v>
      </c>
      <c r="R523" s="3184">
        <v>0</v>
      </c>
      <c r="S523" s="3710"/>
      <c r="T523" s="3829"/>
      <c r="U523" s="3777"/>
      <c r="V523" s="1846">
        <f t="shared" si="88"/>
        <v>0</v>
      </c>
    </row>
    <row r="524" spans="1:22" ht="15.05" hidden="1" customHeight="1">
      <c r="A524" s="1855"/>
      <c r="B524" s="1855"/>
      <c r="C524" s="1855"/>
      <c r="D524" s="1855"/>
      <c r="E524" s="1855"/>
      <c r="F524" s="1857"/>
      <c r="G524" s="1858"/>
      <c r="H524" s="200"/>
      <c r="I524" s="200"/>
      <c r="J524" s="3215"/>
      <c r="K524" s="3171"/>
      <c r="L524" s="3125"/>
      <c r="M524" s="3124"/>
      <c r="N524" s="3125"/>
      <c r="O524" s="3125"/>
      <c r="P524" s="3125"/>
      <c r="Q524" s="3125">
        <f t="shared" si="86"/>
        <v>0</v>
      </c>
      <c r="R524" s="3184">
        <v>0</v>
      </c>
      <c r="S524" s="3710"/>
      <c r="T524" s="3829"/>
      <c r="U524" s="3771"/>
      <c r="V524" s="1846">
        <f t="shared" si="88"/>
        <v>0</v>
      </c>
    </row>
    <row r="525" spans="1:22" ht="15.05" customHeight="1">
      <c r="A525" s="1855"/>
      <c r="B525" s="1855"/>
      <c r="C525" s="1855"/>
      <c r="D525" s="1855"/>
      <c r="E525" s="1855"/>
      <c r="F525" s="1464" t="s">
        <v>643</v>
      </c>
      <c r="G525" s="1860"/>
      <c r="H525" s="202"/>
      <c r="I525" s="202"/>
      <c r="J525" s="3259">
        <v>1100000</v>
      </c>
      <c r="K525" s="3123">
        <v>0</v>
      </c>
      <c r="L525" s="3182">
        <v>1100000</v>
      </c>
      <c r="M525" s="3183">
        <v>0</v>
      </c>
      <c r="N525" s="3182">
        <v>0</v>
      </c>
      <c r="O525" s="3182">
        <v>0</v>
      </c>
      <c r="P525" s="3182">
        <v>1100000</v>
      </c>
      <c r="Q525" s="3182">
        <f t="shared" si="86"/>
        <v>0</v>
      </c>
      <c r="R525" s="3184">
        <v>0</v>
      </c>
      <c r="S525" s="3710"/>
      <c r="T525" s="3829"/>
      <c r="U525" s="3777"/>
      <c r="V525" s="1846">
        <f t="shared" si="88"/>
        <v>0</v>
      </c>
    </row>
    <row r="526" spans="1:22" s="1840" customFormat="1" ht="15.05" customHeight="1">
      <c r="A526" s="1855"/>
      <c r="B526" s="1855"/>
      <c r="C526" s="1855"/>
      <c r="D526" s="1855"/>
      <c r="E526" s="1855"/>
      <c r="F526" s="1857" t="s">
        <v>50</v>
      </c>
      <c r="G526" s="1858"/>
      <c r="H526" s="200" t="s">
        <v>85</v>
      </c>
      <c r="I526" s="200"/>
      <c r="J526" s="3215">
        <v>1100000</v>
      </c>
      <c r="K526" s="3171">
        <v>0</v>
      </c>
      <c r="L526" s="3125">
        <v>1100000</v>
      </c>
      <c r="M526" s="3124">
        <v>0</v>
      </c>
      <c r="N526" s="3125">
        <v>0</v>
      </c>
      <c r="O526" s="3125">
        <v>0</v>
      </c>
      <c r="P526" s="3125">
        <v>1100000</v>
      </c>
      <c r="Q526" s="3125">
        <f t="shared" si="86"/>
        <v>0</v>
      </c>
      <c r="R526" s="3184">
        <v>0</v>
      </c>
      <c r="S526" s="3731"/>
      <c r="T526" s="3829"/>
      <c r="U526" s="3778">
        <f>PerDinas!Q601</f>
        <v>0</v>
      </c>
      <c r="V526" s="1882">
        <f t="shared" si="88"/>
        <v>0</v>
      </c>
    </row>
    <row r="527" spans="1:22" ht="15.05" customHeight="1">
      <c r="A527" s="1855"/>
      <c r="B527" s="1855"/>
      <c r="C527" s="1855"/>
      <c r="D527" s="1855"/>
      <c r="E527" s="1855"/>
      <c r="F527" s="1464" t="s">
        <v>62</v>
      </c>
      <c r="G527" s="1860"/>
      <c r="H527" s="202"/>
      <c r="I527" s="202"/>
      <c r="J527" s="3259"/>
      <c r="K527" s="3123"/>
      <c r="L527" s="3182">
        <v>0</v>
      </c>
      <c r="M527" s="3183">
        <v>0</v>
      </c>
      <c r="N527" s="3182">
        <v>0</v>
      </c>
      <c r="O527" s="3182">
        <v>0</v>
      </c>
      <c r="P527" s="3182">
        <v>0</v>
      </c>
      <c r="Q527" s="3182">
        <f t="shared" si="86"/>
        <v>0</v>
      </c>
      <c r="R527" s="3184">
        <v>0</v>
      </c>
      <c r="S527" s="3710"/>
      <c r="T527" s="3829"/>
      <c r="U527" s="3777"/>
      <c r="V527" s="1846">
        <f t="shared" si="88"/>
        <v>0</v>
      </c>
    </row>
    <row r="528" spans="1:22" ht="15.05" customHeight="1">
      <c r="A528" s="1855"/>
      <c r="B528" s="1855"/>
      <c r="C528" s="1855"/>
      <c r="D528" s="1855"/>
      <c r="E528" s="1855"/>
      <c r="F528" s="1857" t="s">
        <v>50</v>
      </c>
      <c r="G528" s="1858"/>
      <c r="H528" s="200" t="s">
        <v>85</v>
      </c>
      <c r="I528" s="200"/>
      <c r="J528" s="3215"/>
      <c r="K528" s="3171"/>
      <c r="L528" s="3125">
        <v>0</v>
      </c>
      <c r="M528" s="3124">
        <v>0</v>
      </c>
      <c r="N528" s="3125">
        <v>0</v>
      </c>
      <c r="O528" s="3125">
        <v>0</v>
      </c>
      <c r="P528" s="3125">
        <v>0</v>
      </c>
      <c r="Q528" s="3125">
        <f t="shared" si="86"/>
        <v>0</v>
      </c>
      <c r="R528" s="3184">
        <v>0</v>
      </c>
      <c r="S528" s="3731"/>
      <c r="T528" s="3829"/>
      <c r="U528" s="3778">
        <f>PerDinas!Q600</f>
        <v>0</v>
      </c>
      <c r="V528" s="1846">
        <f t="shared" si="88"/>
        <v>0</v>
      </c>
    </row>
    <row r="529" spans="1:22" ht="15.05" hidden="1" customHeight="1">
      <c r="A529" s="1855"/>
      <c r="B529" s="1855"/>
      <c r="C529" s="1855"/>
      <c r="D529" s="1855"/>
      <c r="E529" s="1855"/>
      <c r="F529" s="1857" t="s">
        <v>50</v>
      </c>
      <c r="G529" s="1858"/>
      <c r="H529" s="200"/>
      <c r="I529" s="1939"/>
      <c r="J529" s="3310"/>
      <c r="K529" s="3311"/>
      <c r="L529" s="3125"/>
      <c r="M529" s="3124"/>
      <c r="N529" s="3125"/>
      <c r="O529" s="3125"/>
      <c r="P529" s="3125"/>
      <c r="Q529" s="3125">
        <f t="shared" si="86"/>
        <v>0</v>
      </c>
      <c r="R529" s="3184">
        <v>0</v>
      </c>
      <c r="S529" s="3731"/>
      <c r="T529" s="3829"/>
      <c r="U529" s="3778">
        <f>PerDinas!Q388</f>
        <v>0</v>
      </c>
      <c r="V529" s="1846">
        <f t="shared" si="88"/>
        <v>0</v>
      </c>
    </row>
    <row r="530" spans="1:22" ht="15.05" hidden="1" customHeight="1">
      <c r="A530" s="1855"/>
      <c r="B530" s="1855"/>
      <c r="C530" s="1855"/>
      <c r="D530" s="1855"/>
      <c r="E530" s="1855"/>
      <c r="F530" s="1857"/>
      <c r="G530" s="1858"/>
      <c r="H530" s="200"/>
      <c r="I530" s="1939"/>
      <c r="J530" s="3310"/>
      <c r="K530" s="3311"/>
      <c r="L530" s="3125"/>
      <c r="M530" s="3124"/>
      <c r="N530" s="3125"/>
      <c r="O530" s="3125"/>
      <c r="P530" s="3125"/>
      <c r="Q530" s="3125">
        <f t="shared" si="86"/>
        <v>0</v>
      </c>
      <c r="R530" s="3184">
        <v>0</v>
      </c>
      <c r="S530" s="3710"/>
      <c r="T530" s="3829"/>
      <c r="U530" s="3778"/>
      <c r="V530" s="1846">
        <f t="shared" si="88"/>
        <v>0</v>
      </c>
    </row>
    <row r="531" spans="1:22" ht="15.05" customHeight="1">
      <c r="A531" s="1855"/>
      <c r="B531" s="1855"/>
      <c r="C531" s="1855"/>
      <c r="D531" s="1855"/>
      <c r="E531" s="1855"/>
      <c r="F531" s="1464" t="s">
        <v>580</v>
      </c>
      <c r="G531" s="1860"/>
      <c r="H531" s="202"/>
      <c r="I531" s="202"/>
      <c r="J531" s="3259"/>
      <c r="K531" s="3123"/>
      <c r="L531" s="3182">
        <v>0</v>
      </c>
      <c r="M531" s="3183">
        <v>0</v>
      </c>
      <c r="N531" s="3182">
        <v>0</v>
      </c>
      <c r="O531" s="3182">
        <v>0</v>
      </c>
      <c r="P531" s="3182">
        <v>0</v>
      </c>
      <c r="Q531" s="3182">
        <f t="shared" si="86"/>
        <v>0</v>
      </c>
      <c r="R531" s="3184">
        <v>0</v>
      </c>
      <c r="S531" s="3710"/>
      <c r="T531" s="3829"/>
      <c r="U531" s="3777"/>
      <c r="V531" s="1846">
        <f t="shared" si="88"/>
        <v>0</v>
      </c>
    </row>
    <row r="532" spans="1:22" ht="15.05" customHeight="1">
      <c r="A532" s="1855"/>
      <c r="B532" s="1855"/>
      <c r="C532" s="1855"/>
      <c r="D532" s="1855"/>
      <c r="E532" s="1855"/>
      <c r="F532" s="1857" t="s">
        <v>50</v>
      </c>
      <c r="G532" s="1858"/>
      <c r="H532" s="200" t="s">
        <v>85</v>
      </c>
      <c r="I532" s="200"/>
      <c r="J532" s="3215"/>
      <c r="K532" s="3171"/>
      <c r="L532" s="3125">
        <v>0</v>
      </c>
      <c r="M532" s="3124">
        <v>0</v>
      </c>
      <c r="N532" s="3125">
        <v>0</v>
      </c>
      <c r="O532" s="3125">
        <v>0</v>
      </c>
      <c r="P532" s="3125">
        <v>0</v>
      </c>
      <c r="Q532" s="3125">
        <f t="shared" si="86"/>
        <v>0</v>
      </c>
      <c r="R532" s="3184">
        <v>0</v>
      </c>
      <c r="S532" s="3731"/>
      <c r="T532" s="3829"/>
      <c r="U532" s="3778">
        <f>PerDinas!Q607</f>
        <v>0</v>
      </c>
      <c r="V532" s="1846">
        <f t="shared" si="88"/>
        <v>0</v>
      </c>
    </row>
    <row r="533" spans="1:22" ht="15.05" customHeight="1">
      <c r="A533" s="1855"/>
      <c r="B533" s="1855"/>
      <c r="C533" s="1855"/>
      <c r="D533" s="1855"/>
      <c r="E533" s="1855"/>
      <c r="F533" s="1464" t="s">
        <v>644</v>
      </c>
      <c r="G533" s="1860"/>
      <c r="H533" s="202"/>
      <c r="I533" s="202"/>
      <c r="J533" s="3259">
        <v>0</v>
      </c>
      <c r="K533" s="3123">
        <v>13894000</v>
      </c>
      <c r="L533" s="3182">
        <v>0</v>
      </c>
      <c r="M533" s="3183">
        <v>0</v>
      </c>
      <c r="N533" s="3182">
        <v>0</v>
      </c>
      <c r="O533" s="3182">
        <v>0</v>
      </c>
      <c r="P533" s="3182">
        <v>0</v>
      </c>
      <c r="Q533" s="3182">
        <f t="shared" si="86"/>
        <v>0</v>
      </c>
      <c r="R533" s="3184">
        <v>0</v>
      </c>
      <c r="S533" s="3710"/>
      <c r="T533" s="3829"/>
      <c r="U533" s="3777"/>
      <c r="V533" s="1846">
        <f t="shared" si="88"/>
        <v>0</v>
      </c>
    </row>
    <row r="534" spans="1:22" s="1840" customFormat="1" ht="15.05" customHeight="1">
      <c r="A534" s="1855"/>
      <c r="B534" s="1855"/>
      <c r="C534" s="1855"/>
      <c r="D534" s="1855"/>
      <c r="E534" s="1855"/>
      <c r="F534" s="1857" t="s">
        <v>50</v>
      </c>
      <c r="G534" s="1858" t="s">
        <v>624</v>
      </c>
      <c r="H534" s="200"/>
      <c r="I534" s="200"/>
      <c r="J534" s="3215">
        <v>0</v>
      </c>
      <c r="K534" s="3171">
        <v>13894000</v>
      </c>
      <c r="L534" s="3125"/>
      <c r="M534" s="3124"/>
      <c r="N534" s="3125"/>
      <c r="O534" s="3125"/>
      <c r="P534" s="3125"/>
      <c r="Q534" s="3125">
        <f t="shared" si="86"/>
        <v>0</v>
      </c>
      <c r="R534" s="3184">
        <v>0</v>
      </c>
      <c r="S534" s="3731"/>
      <c r="T534" s="3829"/>
      <c r="U534" s="3778"/>
      <c r="V534" s="1882">
        <f t="shared" si="88"/>
        <v>0</v>
      </c>
    </row>
    <row r="535" spans="1:22" ht="15.05" hidden="1" customHeight="1">
      <c r="A535" s="1855"/>
      <c r="B535" s="1855"/>
      <c r="C535" s="1855"/>
      <c r="D535" s="1855"/>
      <c r="E535" s="1855"/>
      <c r="F535" s="1857"/>
      <c r="G535" s="1858"/>
      <c r="H535" s="200"/>
      <c r="I535" s="200"/>
      <c r="J535" s="3215"/>
      <c r="K535" s="3171"/>
      <c r="L535" s="3125"/>
      <c r="M535" s="3124"/>
      <c r="N535" s="3125"/>
      <c r="O535" s="3125"/>
      <c r="P535" s="3125"/>
      <c r="Q535" s="3125">
        <f t="shared" si="86"/>
        <v>0</v>
      </c>
      <c r="R535" s="3184">
        <v>0</v>
      </c>
      <c r="S535" s="3710"/>
      <c r="T535" s="3829"/>
      <c r="U535" s="3771"/>
      <c r="V535" s="1846">
        <f t="shared" si="88"/>
        <v>0</v>
      </c>
    </row>
    <row r="536" spans="1:22" ht="15.05" customHeight="1">
      <c r="A536" s="1855"/>
      <c r="B536" s="1855"/>
      <c r="C536" s="1855"/>
      <c r="D536" s="1855"/>
      <c r="E536" s="1855"/>
      <c r="F536" s="1464" t="s">
        <v>571</v>
      </c>
      <c r="G536" s="1860"/>
      <c r="H536" s="202"/>
      <c r="I536" s="202"/>
      <c r="J536" s="3259">
        <v>0</v>
      </c>
      <c r="K536" s="3123">
        <v>99530000</v>
      </c>
      <c r="L536" s="3182">
        <v>0</v>
      </c>
      <c r="M536" s="3183">
        <v>14027628.99</v>
      </c>
      <c r="N536" s="3182">
        <v>500000</v>
      </c>
      <c r="O536" s="3182">
        <v>14527628.99</v>
      </c>
      <c r="P536" s="3182">
        <v>0</v>
      </c>
      <c r="Q536" s="3182">
        <f t="shared" si="86"/>
        <v>0</v>
      </c>
      <c r="R536" s="3184">
        <v>0</v>
      </c>
      <c r="S536" s="3710"/>
      <c r="T536" s="3829"/>
      <c r="U536" s="3777"/>
      <c r="V536" s="1846">
        <f t="shared" si="88"/>
        <v>58110515.960000001</v>
      </c>
    </row>
    <row r="537" spans="1:22" s="1840" customFormat="1" ht="15.05" customHeight="1">
      <c r="A537" s="1855"/>
      <c r="B537" s="1855"/>
      <c r="C537" s="1855"/>
      <c r="D537" s="1855"/>
      <c r="E537" s="1855"/>
      <c r="F537" s="1857" t="s">
        <v>50</v>
      </c>
      <c r="G537" s="1858"/>
      <c r="H537" s="200" t="s">
        <v>85</v>
      </c>
      <c r="I537" s="200"/>
      <c r="J537" s="3215">
        <v>0</v>
      </c>
      <c r="K537" s="3171">
        <v>99530000</v>
      </c>
      <c r="L537" s="3125">
        <v>0</v>
      </c>
      <c r="M537" s="3124">
        <v>14027628.99</v>
      </c>
      <c r="N537" s="3125">
        <v>500000</v>
      </c>
      <c r="O537" s="3125">
        <v>14527628.99</v>
      </c>
      <c r="P537" s="3125">
        <v>0</v>
      </c>
      <c r="Q537" s="3125">
        <f t="shared" si="86"/>
        <v>0</v>
      </c>
      <c r="R537" s="3184">
        <v>0</v>
      </c>
      <c r="S537" s="3731"/>
      <c r="T537" s="3829"/>
      <c r="U537" s="3778">
        <f>PerDinas!Q584</f>
        <v>0</v>
      </c>
      <c r="V537" s="1882">
        <f t="shared" si="88"/>
        <v>58110515.960000001</v>
      </c>
    </row>
    <row r="538" spans="1:22" ht="15.05" customHeight="1">
      <c r="A538" s="1855"/>
      <c r="B538" s="1855"/>
      <c r="C538" s="1855"/>
      <c r="D538" s="1855"/>
      <c r="E538" s="1855"/>
      <c r="F538" s="1464" t="s">
        <v>645</v>
      </c>
      <c r="G538" s="1860"/>
      <c r="H538" s="202"/>
      <c r="I538" s="202"/>
      <c r="J538" s="3259">
        <v>0</v>
      </c>
      <c r="K538" s="3123">
        <v>0</v>
      </c>
      <c r="L538" s="3182">
        <v>0</v>
      </c>
      <c r="M538" s="3183">
        <v>0</v>
      </c>
      <c r="N538" s="3182">
        <v>0</v>
      </c>
      <c r="O538" s="3182">
        <v>0</v>
      </c>
      <c r="P538" s="3182">
        <v>0</v>
      </c>
      <c r="Q538" s="3182">
        <f t="shared" si="86"/>
        <v>0</v>
      </c>
      <c r="R538" s="3184">
        <v>0</v>
      </c>
      <c r="S538" s="3710"/>
      <c r="T538" s="3829"/>
      <c r="U538" s="3777"/>
      <c r="V538" s="1846">
        <f t="shared" si="88"/>
        <v>0</v>
      </c>
    </row>
    <row r="539" spans="1:22" ht="15.05" customHeight="1">
      <c r="A539" s="1855"/>
      <c r="B539" s="1855"/>
      <c r="C539" s="1855"/>
      <c r="D539" s="1855"/>
      <c r="E539" s="1855"/>
      <c r="F539" s="1857" t="s">
        <v>50</v>
      </c>
      <c r="G539" s="1858"/>
      <c r="H539" s="200" t="s">
        <v>85</v>
      </c>
      <c r="I539" s="200"/>
      <c r="J539" s="3215">
        <v>0</v>
      </c>
      <c r="K539" s="3171">
        <v>0</v>
      </c>
      <c r="L539" s="3125">
        <v>0</v>
      </c>
      <c r="M539" s="3124">
        <v>0</v>
      </c>
      <c r="N539" s="3125">
        <v>0</v>
      </c>
      <c r="O539" s="3125">
        <v>0</v>
      </c>
      <c r="P539" s="3125">
        <v>0</v>
      </c>
      <c r="Q539" s="3125">
        <f t="shared" si="86"/>
        <v>0</v>
      </c>
      <c r="R539" s="3184">
        <v>0</v>
      </c>
      <c r="S539" s="3710"/>
      <c r="T539" s="3829"/>
      <c r="U539" s="3771"/>
      <c r="V539" s="1846">
        <f t="shared" si="88"/>
        <v>0</v>
      </c>
    </row>
    <row r="540" spans="1:22" ht="15.05" customHeight="1">
      <c r="A540" s="1855"/>
      <c r="B540" s="1855"/>
      <c r="C540" s="1855"/>
      <c r="D540" s="1855"/>
      <c r="E540" s="1855"/>
      <c r="F540" s="1464" t="s">
        <v>113</v>
      </c>
      <c r="G540" s="1860"/>
      <c r="H540" s="202"/>
      <c r="I540" s="202"/>
      <c r="J540" s="3259">
        <v>0</v>
      </c>
      <c r="K540" s="3123">
        <v>3588000</v>
      </c>
      <c r="L540" s="3182">
        <v>0</v>
      </c>
      <c r="M540" s="3183">
        <v>0</v>
      </c>
      <c r="N540" s="3182">
        <v>0</v>
      </c>
      <c r="O540" s="3182">
        <v>0</v>
      </c>
      <c r="P540" s="3182">
        <v>0</v>
      </c>
      <c r="Q540" s="3182">
        <f t="shared" si="86"/>
        <v>0</v>
      </c>
      <c r="R540" s="3184">
        <v>0</v>
      </c>
      <c r="S540" s="3710"/>
      <c r="T540" s="3829"/>
      <c r="U540" s="3777"/>
      <c r="V540" s="1846">
        <f t="shared" si="88"/>
        <v>0</v>
      </c>
    </row>
    <row r="541" spans="1:22" s="1840" customFormat="1" ht="15.05" customHeight="1">
      <c r="A541" s="1855"/>
      <c r="B541" s="1855"/>
      <c r="C541" s="1855"/>
      <c r="D541" s="1855"/>
      <c r="E541" s="1855"/>
      <c r="F541" s="1857" t="s">
        <v>50</v>
      </c>
      <c r="G541" s="1858"/>
      <c r="H541" s="200" t="s">
        <v>85</v>
      </c>
      <c r="I541" s="200"/>
      <c r="J541" s="3215">
        <v>0</v>
      </c>
      <c r="K541" s="3171">
        <v>3588000</v>
      </c>
      <c r="L541" s="3125">
        <v>0</v>
      </c>
      <c r="M541" s="3124">
        <v>0</v>
      </c>
      <c r="N541" s="3125">
        <v>0</v>
      </c>
      <c r="O541" s="3125">
        <v>0</v>
      </c>
      <c r="P541" s="3125">
        <v>0</v>
      </c>
      <c r="Q541" s="3125">
        <f t="shared" si="86"/>
        <v>0</v>
      </c>
      <c r="R541" s="3184">
        <v>0</v>
      </c>
      <c r="S541" s="3710"/>
      <c r="T541" s="3829"/>
      <c r="U541" s="3771"/>
      <c r="V541" s="1882">
        <f t="shared" si="88"/>
        <v>0</v>
      </c>
    </row>
    <row r="542" spans="1:22" ht="15.05" customHeight="1">
      <c r="A542" s="1855"/>
      <c r="B542" s="1855"/>
      <c r="C542" s="1855"/>
      <c r="D542" s="1855"/>
      <c r="E542" s="1855"/>
      <c r="F542" s="1464" t="s">
        <v>646</v>
      </c>
      <c r="G542" s="1860"/>
      <c r="H542" s="202"/>
      <c r="I542" s="202"/>
      <c r="J542" s="3259">
        <v>0</v>
      </c>
      <c r="K542" s="3123">
        <v>1860517553</v>
      </c>
      <c r="L542" s="3182">
        <v>0</v>
      </c>
      <c r="M542" s="3183">
        <v>0</v>
      </c>
      <c r="N542" s="3182">
        <v>0</v>
      </c>
      <c r="O542" s="3182">
        <v>0</v>
      </c>
      <c r="P542" s="3182">
        <v>0</v>
      </c>
      <c r="Q542" s="3182">
        <f t="shared" si="86"/>
        <v>0</v>
      </c>
      <c r="R542" s="3184">
        <v>0</v>
      </c>
      <c r="S542" s="3731"/>
      <c r="T542" s="3829"/>
      <c r="U542" s="3781">
        <f>U543</f>
        <v>0</v>
      </c>
      <c r="V542" s="1846">
        <f t="shared" si="88"/>
        <v>0</v>
      </c>
    </row>
    <row r="543" spans="1:22" ht="15.05" customHeight="1">
      <c r="A543" s="1855"/>
      <c r="B543" s="1855"/>
      <c r="C543" s="1855"/>
      <c r="D543" s="1855"/>
      <c r="E543" s="1855"/>
      <c r="F543" s="1857" t="s">
        <v>50</v>
      </c>
      <c r="G543" s="1858" t="s">
        <v>85</v>
      </c>
      <c r="H543" s="200"/>
      <c r="I543" s="200"/>
      <c r="J543" s="3215">
        <v>0</v>
      </c>
      <c r="K543" s="3171">
        <v>1860517553</v>
      </c>
      <c r="L543" s="3125"/>
      <c r="M543" s="3124"/>
      <c r="N543" s="3125"/>
      <c r="O543" s="3125"/>
      <c r="P543" s="3125"/>
      <c r="Q543" s="3125">
        <f t="shared" si="86"/>
        <v>0</v>
      </c>
      <c r="R543" s="3184">
        <v>0</v>
      </c>
      <c r="S543" s="3731"/>
      <c r="T543" s="3829"/>
      <c r="U543" s="3778"/>
      <c r="V543" s="1846">
        <f t="shared" si="88"/>
        <v>0</v>
      </c>
    </row>
    <row r="544" spans="1:22" ht="15.05" customHeight="1">
      <c r="A544" s="1855"/>
      <c r="B544" s="1855"/>
      <c r="C544" s="1855"/>
      <c r="D544" s="1855"/>
      <c r="E544" s="1855"/>
      <c r="F544" s="1464" t="s">
        <v>326</v>
      </c>
      <c r="G544" s="1860"/>
      <c r="H544" s="202"/>
      <c r="I544" s="202"/>
      <c r="J544" s="3259">
        <v>0</v>
      </c>
      <c r="K544" s="3123">
        <v>26080582.199999999</v>
      </c>
      <c r="L544" s="3182">
        <v>0</v>
      </c>
      <c r="M544" s="3183">
        <v>0</v>
      </c>
      <c r="N544" s="3182">
        <v>0</v>
      </c>
      <c r="O544" s="3182">
        <v>0</v>
      </c>
      <c r="P544" s="3182">
        <v>0</v>
      </c>
      <c r="Q544" s="3182">
        <f t="shared" si="86"/>
        <v>0</v>
      </c>
      <c r="R544" s="3184">
        <v>0</v>
      </c>
      <c r="S544" s="3710"/>
      <c r="T544" s="3829"/>
      <c r="U544" s="3777"/>
      <c r="V544" s="1846">
        <f t="shared" si="88"/>
        <v>0</v>
      </c>
    </row>
    <row r="545" spans="1:22" s="1840" customFormat="1" ht="15.05" customHeight="1">
      <c r="A545" s="1855"/>
      <c r="B545" s="1855"/>
      <c r="C545" s="1855"/>
      <c r="D545" s="1855"/>
      <c r="E545" s="1855"/>
      <c r="F545" s="1857" t="s">
        <v>50</v>
      </c>
      <c r="G545" s="1858"/>
      <c r="H545" s="200" t="s">
        <v>85</v>
      </c>
      <c r="I545" s="200"/>
      <c r="J545" s="3215">
        <v>0</v>
      </c>
      <c r="K545" s="3171">
        <v>26080582.199999999</v>
      </c>
      <c r="L545" s="3125">
        <v>0</v>
      </c>
      <c r="M545" s="3124">
        <v>0</v>
      </c>
      <c r="N545" s="3125">
        <v>0</v>
      </c>
      <c r="O545" s="3125">
        <v>0</v>
      </c>
      <c r="P545" s="3125">
        <v>0</v>
      </c>
      <c r="Q545" s="3125">
        <f t="shared" si="86"/>
        <v>0</v>
      </c>
      <c r="R545" s="3184">
        <v>0</v>
      </c>
      <c r="S545" s="3731"/>
      <c r="T545" s="3829"/>
      <c r="U545" s="3778">
        <f>PerDinas!Q749</f>
        <v>0</v>
      </c>
      <c r="V545" s="1882">
        <f t="shared" si="88"/>
        <v>0</v>
      </c>
    </row>
    <row r="546" spans="1:22" ht="15.05" customHeight="1">
      <c r="A546" s="1855"/>
      <c r="B546" s="1855"/>
      <c r="C546" s="1855"/>
      <c r="D546" s="1855"/>
      <c r="E546" s="1855"/>
      <c r="F546" s="1464" t="s">
        <v>647</v>
      </c>
      <c r="G546" s="1860"/>
      <c r="H546" s="202"/>
      <c r="I546" s="202"/>
      <c r="J546" s="3259">
        <v>0</v>
      </c>
      <c r="K546" s="3123">
        <v>2183500</v>
      </c>
      <c r="L546" s="3182">
        <v>0</v>
      </c>
      <c r="M546" s="3183">
        <v>0</v>
      </c>
      <c r="N546" s="3182">
        <v>0</v>
      </c>
      <c r="O546" s="3182">
        <v>0</v>
      </c>
      <c r="P546" s="3182">
        <v>0</v>
      </c>
      <c r="Q546" s="3182">
        <f t="shared" ref="Q546:Q566" si="89">+P546-L546</f>
        <v>0</v>
      </c>
      <c r="R546" s="3184">
        <v>0</v>
      </c>
      <c r="S546" s="3710"/>
      <c r="T546" s="3829"/>
      <c r="U546" s="3777"/>
      <c r="V546" s="1846">
        <f t="shared" si="88"/>
        <v>0</v>
      </c>
    </row>
    <row r="547" spans="1:22" s="1840" customFormat="1" ht="15.05" customHeight="1">
      <c r="A547" s="1855"/>
      <c r="B547" s="1855"/>
      <c r="C547" s="1855"/>
      <c r="D547" s="1855"/>
      <c r="E547" s="1855"/>
      <c r="F547" s="1857" t="s">
        <v>50</v>
      </c>
      <c r="G547" s="1858"/>
      <c r="H547" s="200" t="s">
        <v>85</v>
      </c>
      <c r="I547" s="200"/>
      <c r="J547" s="3215">
        <v>0</v>
      </c>
      <c r="K547" s="3171">
        <v>2183500</v>
      </c>
      <c r="L547" s="3125"/>
      <c r="M547" s="3124"/>
      <c r="N547" s="3125"/>
      <c r="O547" s="3125"/>
      <c r="P547" s="3125"/>
      <c r="Q547" s="3125">
        <f t="shared" si="89"/>
        <v>0</v>
      </c>
      <c r="R547" s="3184">
        <v>0</v>
      </c>
      <c r="S547" s="3710"/>
      <c r="T547" s="3829"/>
      <c r="U547" s="3771"/>
      <c r="V547" s="1882">
        <f t="shared" si="88"/>
        <v>0</v>
      </c>
    </row>
    <row r="548" spans="1:22" ht="15.05" customHeight="1">
      <c r="A548" s="1855"/>
      <c r="B548" s="1855"/>
      <c r="C548" s="1855"/>
      <c r="D548" s="1855"/>
      <c r="E548" s="1855"/>
      <c r="F548" s="1464" t="s">
        <v>648</v>
      </c>
      <c r="G548" s="1860"/>
      <c r="H548" s="202"/>
      <c r="I548" s="202"/>
      <c r="J548" s="3259">
        <v>0</v>
      </c>
      <c r="K548" s="3123">
        <v>889503495</v>
      </c>
      <c r="L548" s="3182">
        <v>0</v>
      </c>
      <c r="M548" s="3183">
        <v>0</v>
      </c>
      <c r="N548" s="3182">
        <v>0</v>
      </c>
      <c r="O548" s="3182">
        <v>0</v>
      </c>
      <c r="P548" s="3182">
        <v>0</v>
      </c>
      <c r="Q548" s="3182">
        <f t="shared" si="89"/>
        <v>0</v>
      </c>
      <c r="R548" s="3184">
        <v>0</v>
      </c>
      <c r="S548" s="3710"/>
      <c r="T548" s="3829"/>
      <c r="U548" s="3777"/>
      <c r="V548" s="1846">
        <f t="shared" si="88"/>
        <v>0</v>
      </c>
    </row>
    <row r="549" spans="1:22" s="1840" customFormat="1" ht="15.05" customHeight="1">
      <c r="A549" s="1855"/>
      <c r="B549" s="1855"/>
      <c r="C549" s="1855"/>
      <c r="D549" s="1855"/>
      <c r="E549" s="1855"/>
      <c r="F549" s="1857" t="s">
        <v>50</v>
      </c>
      <c r="G549" s="1858"/>
      <c r="H549" s="200" t="s">
        <v>85</v>
      </c>
      <c r="I549" s="200"/>
      <c r="J549" s="3215">
        <v>0</v>
      </c>
      <c r="K549" s="3171">
        <v>889503495</v>
      </c>
      <c r="L549" s="3125">
        <v>0</v>
      </c>
      <c r="M549" s="3124">
        <v>0</v>
      </c>
      <c r="N549" s="3125">
        <v>0</v>
      </c>
      <c r="O549" s="3125">
        <v>0</v>
      </c>
      <c r="P549" s="3125">
        <v>0</v>
      </c>
      <c r="Q549" s="3125">
        <f t="shared" si="89"/>
        <v>0</v>
      </c>
      <c r="R549" s="3184">
        <v>0</v>
      </c>
      <c r="S549" s="3731"/>
      <c r="T549" s="3829"/>
      <c r="U549" s="3778">
        <f>PerDinas!Q622</f>
        <v>0</v>
      </c>
      <c r="V549" s="1882">
        <f t="shared" si="88"/>
        <v>0</v>
      </c>
    </row>
    <row r="550" spans="1:22" ht="15.05" customHeight="1">
      <c r="A550" s="1855"/>
      <c r="B550" s="1855"/>
      <c r="C550" s="1855"/>
      <c r="D550" s="1855"/>
      <c r="E550" s="1855"/>
      <c r="F550" s="1464" t="s">
        <v>568</v>
      </c>
      <c r="G550" s="1860"/>
      <c r="H550" s="202"/>
      <c r="I550" s="202"/>
      <c r="J550" s="3259">
        <v>0</v>
      </c>
      <c r="K550" s="3123">
        <v>2839900</v>
      </c>
      <c r="L550" s="3182">
        <v>0</v>
      </c>
      <c r="M550" s="3183">
        <v>913000</v>
      </c>
      <c r="N550" s="3182">
        <v>0</v>
      </c>
      <c r="O550" s="3182">
        <v>913000</v>
      </c>
      <c r="P550" s="3182">
        <v>0</v>
      </c>
      <c r="Q550" s="3182">
        <f t="shared" si="89"/>
        <v>0</v>
      </c>
      <c r="R550" s="3184">
        <v>0</v>
      </c>
      <c r="S550" s="3710"/>
      <c r="T550" s="3829"/>
      <c r="U550" s="3777"/>
      <c r="V550" s="1846">
        <f t="shared" si="88"/>
        <v>3652000</v>
      </c>
    </row>
    <row r="551" spans="1:22" s="1840" customFormat="1" ht="15.05" customHeight="1">
      <c r="A551" s="1855"/>
      <c r="B551" s="1855"/>
      <c r="C551" s="1855"/>
      <c r="D551" s="1855"/>
      <c r="E551" s="1855"/>
      <c r="F551" s="1857" t="s">
        <v>50</v>
      </c>
      <c r="G551" s="1858"/>
      <c r="H551" s="200" t="s">
        <v>85</v>
      </c>
      <c r="I551" s="200"/>
      <c r="J551" s="3215">
        <v>0</v>
      </c>
      <c r="K551" s="3171">
        <v>2839900</v>
      </c>
      <c r="L551" s="3125">
        <v>0</v>
      </c>
      <c r="M551" s="3124">
        <v>913000</v>
      </c>
      <c r="N551" s="3125">
        <v>0</v>
      </c>
      <c r="O551" s="3125">
        <v>913000</v>
      </c>
      <c r="P551" s="3125">
        <v>0</v>
      </c>
      <c r="Q551" s="3125">
        <f t="shared" si="89"/>
        <v>0</v>
      </c>
      <c r="R551" s="3184">
        <v>0</v>
      </c>
      <c r="S551" s="3731"/>
      <c r="T551" s="3829"/>
      <c r="U551" s="3778">
        <f>PerDinas!Q608</f>
        <v>0</v>
      </c>
      <c r="V551" s="1882">
        <f t="shared" si="88"/>
        <v>3652000</v>
      </c>
    </row>
    <row r="552" spans="1:22" ht="15.05" hidden="1" customHeight="1">
      <c r="A552" s="1855"/>
      <c r="B552" s="1855"/>
      <c r="C552" s="1855"/>
      <c r="D552" s="1855"/>
      <c r="E552" s="1855"/>
      <c r="F552" s="1857" t="s">
        <v>50</v>
      </c>
      <c r="G552" s="1858"/>
      <c r="H552" s="200"/>
      <c r="I552" s="200"/>
      <c r="J552" s="3215">
        <v>0</v>
      </c>
      <c r="K552" s="3171"/>
      <c r="L552" s="3125">
        <v>0</v>
      </c>
      <c r="M552" s="3124">
        <v>0</v>
      </c>
      <c r="N552" s="3125">
        <v>0</v>
      </c>
      <c r="O552" s="3125">
        <v>0</v>
      </c>
      <c r="P552" s="3125">
        <v>0</v>
      </c>
      <c r="Q552" s="3125">
        <f t="shared" si="89"/>
        <v>0</v>
      </c>
      <c r="R552" s="3184">
        <v>0</v>
      </c>
      <c r="S552" s="3710"/>
      <c r="T552" s="3829"/>
      <c r="U552" s="3771"/>
      <c r="V552" s="1846">
        <f t="shared" si="88"/>
        <v>0</v>
      </c>
    </row>
    <row r="553" spans="1:22" ht="15.05" customHeight="1">
      <c r="A553" s="1855"/>
      <c r="B553" s="1855"/>
      <c r="C553" s="1855"/>
      <c r="D553" s="1855"/>
      <c r="E553" s="1855"/>
      <c r="F553" s="1464" t="s">
        <v>649</v>
      </c>
      <c r="G553" s="1860"/>
      <c r="H553" s="202"/>
      <c r="I553" s="202"/>
      <c r="J553" s="3259">
        <v>0</v>
      </c>
      <c r="K553" s="3123">
        <v>0</v>
      </c>
      <c r="L553" s="3182">
        <v>0</v>
      </c>
      <c r="M553" s="3183">
        <v>0</v>
      </c>
      <c r="N553" s="3182">
        <v>0</v>
      </c>
      <c r="O553" s="3182">
        <v>0</v>
      </c>
      <c r="P553" s="3182">
        <v>0</v>
      </c>
      <c r="Q553" s="3182">
        <f t="shared" si="89"/>
        <v>0</v>
      </c>
      <c r="R553" s="3184">
        <v>0</v>
      </c>
      <c r="S553" s="3710"/>
      <c r="T553" s="3829"/>
      <c r="U553" s="3777"/>
      <c r="V553" s="1846">
        <f t="shared" si="88"/>
        <v>0</v>
      </c>
    </row>
    <row r="554" spans="1:22" ht="15.05" customHeight="1">
      <c r="A554" s="1855"/>
      <c r="B554" s="1855"/>
      <c r="C554" s="1855"/>
      <c r="D554" s="1855"/>
      <c r="E554" s="1855"/>
      <c r="F554" s="1857" t="s">
        <v>50</v>
      </c>
      <c r="G554" s="1858"/>
      <c r="H554" s="200" t="s">
        <v>85</v>
      </c>
      <c r="I554" s="200"/>
      <c r="J554" s="3215">
        <v>0</v>
      </c>
      <c r="K554" s="3171">
        <v>0</v>
      </c>
      <c r="L554" s="3125">
        <v>0</v>
      </c>
      <c r="M554" s="3124">
        <v>0</v>
      </c>
      <c r="N554" s="3125">
        <v>0</v>
      </c>
      <c r="O554" s="3125">
        <v>0</v>
      </c>
      <c r="P554" s="3125">
        <v>0</v>
      </c>
      <c r="Q554" s="3125">
        <f t="shared" si="89"/>
        <v>0</v>
      </c>
      <c r="R554" s="3184">
        <v>0</v>
      </c>
      <c r="S554" s="3731"/>
      <c r="T554" s="3829"/>
      <c r="U554" s="3778">
        <f>PerDinas!Q582</f>
        <v>0</v>
      </c>
      <c r="V554" s="1846">
        <f t="shared" si="88"/>
        <v>0</v>
      </c>
    </row>
    <row r="555" spans="1:22" ht="15.05" customHeight="1">
      <c r="A555" s="1855"/>
      <c r="B555" s="1855"/>
      <c r="C555" s="1855"/>
      <c r="D555" s="1855"/>
      <c r="E555" s="1855"/>
      <c r="F555" s="1464" t="s">
        <v>650</v>
      </c>
      <c r="G555" s="1860"/>
      <c r="H555" s="202"/>
      <c r="I555" s="202"/>
      <c r="J555" s="3259">
        <v>0</v>
      </c>
      <c r="K555" s="3123">
        <v>0</v>
      </c>
      <c r="L555" s="3312">
        <v>0</v>
      </c>
      <c r="M555" s="3313">
        <v>0</v>
      </c>
      <c r="N555" s="3312">
        <v>0</v>
      </c>
      <c r="O555" s="3312">
        <v>0</v>
      </c>
      <c r="P555" s="3312">
        <v>0</v>
      </c>
      <c r="Q555" s="3312">
        <f t="shared" si="89"/>
        <v>0</v>
      </c>
      <c r="R555" s="3184">
        <v>0</v>
      </c>
      <c r="S555" s="3710"/>
      <c r="T555" s="3829"/>
      <c r="U555" s="3777"/>
      <c r="V555" s="1846">
        <f t="shared" si="88"/>
        <v>0</v>
      </c>
    </row>
    <row r="556" spans="1:22" ht="15.05" customHeight="1">
      <c r="A556" s="1855"/>
      <c r="B556" s="1855"/>
      <c r="C556" s="1855"/>
      <c r="D556" s="1855"/>
      <c r="E556" s="1855"/>
      <c r="F556" s="1857" t="s">
        <v>50</v>
      </c>
      <c r="G556" s="1858"/>
      <c r="H556" s="200" t="s">
        <v>76</v>
      </c>
      <c r="I556" s="200"/>
      <c r="J556" s="3215">
        <v>0</v>
      </c>
      <c r="K556" s="3171">
        <v>0</v>
      </c>
      <c r="L556" s="3314">
        <v>0</v>
      </c>
      <c r="M556" s="3315">
        <v>0</v>
      </c>
      <c r="N556" s="3314">
        <v>0</v>
      </c>
      <c r="O556" s="3314">
        <v>0</v>
      </c>
      <c r="P556" s="3314">
        <v>0</v>
      </c>
      <c r="Q556" s="3314">
        <f t="shared" si="89"/>
        <v>0</v>
      </c>
      <c r="R556" s="3184">
        <v>0</v>
      </c>
      <c r="S556" s="3710"/>
      <c r="T556" s="3829"/>
      <c r="U556" s="3778">
        <f>PerDinas!Q656</f>
        <v>0</v>
      </c>
      <c r="V556" s="1846">
        <f t="shared" si="88"/>
        <v>0</v>
      </c>
    </row>
    <row r="557" spans="1:22" ht="15.05" customHeight="1">
      <c r="A557" s="1855"/>
      <c r="B557" s="1855"/>
      <c r="C557" s="1855"/>
      <c r="D557" s="1855"/>
      <c r="E557" s="1855"/>
      <c r="F557" s="1464" t="s">
        <v>651</v>
      </c>
      <c r="G557" s="1860"/>
      <c r="H557" s="202"/>
      <c r="I557" s="202"/>
      <c r="J557" s="3259">
        <v>0</v>
      </c>
      <c r="K557" s="3123">
        <v>20265000</v>
      </c>
      <c r="L557" s="3312">
        <v>0</v>
      </c>
      <c r="M557" s="3313">
        <v>0</v>
      </c>
      <c r="N557" s="3312">
        <v>0</v>
      </c>
      <c r="O557" s="3312">
        <v>0</v>
      </c>
      <c r="P557" s="3312">
        <v>0</v>
      </c>
      <c r="Q557" s="3312">
        <f t="shared" si="89"/>
        <v>0</v>
      </c>
      <c r="R557" s="3184">
        <v>0</v>
      </c>
      <c r="S557" s="3710"/>
      <c r="T557" s="3829"/>
      <c r="U557" s="3777"/>
      <c r="V557" s="1846">
        <f t="shared" si="88"/>
        <v>0</v>
      </c>
    </row>
    <row r="558" spans="1:22" s="1840" customFormat="1" ht="15.05" customHeight="1">
      <c r="A558" s="1886"/>
      <c r="B558" s="1886"/>
      <c r="C558" s="1886"/>
      <c r="D558" s="1886"/>
      <c r="E558" s="1886"/>
      <c r="F558" s="1887" t="s">
        <v>50</v>
      </c>
      <c r="G558" s="1888"/>
      <c r="H558" s="856" t="s">
        <v>85</v>
      </c>
      <c r="I558" s="856"/>
      <c r="J558" s="3238">
        <v>0</v>
      </c>
      <c r="K558" s="3173">
        <v>20265000</v>
      </c>
      <c r="L558" s="3316">
        <v>0</v>
      </c>
      <c r="M558" s="3317">
        <v>0</v>
      </c>
      <c r="N558" s="3316">
        <v>0</v>
      </c>
      <c r="O558" s="3316">
        <v>0</v>
      </c>
      <c r="P558" s="3316">
        <v>0</v>
      </c>
      <c r="Q558" s="3316">
        <f t="shared" si="89"/>
        <v>0</v>
      </c>
      <c r="R558" s="3184">
        <v>0</v>
      </c>
      <c r="S558" s="3711"/>
      <c r="T558" s="3830"/>
      <c r="U558" s="3786">
        <f>PerDinas!Q632</f>
        <v>0</v>
      </c>
      <c r="V558" s="1882">
        <f t="shared" si="88"/>
        <v>0</v>
      </c>
    </row>
    <row r="559" spans="1:22" s="2955" customFormat="1" ht="15.05" customHeight="1">
      <c r="A559" s="2978" t="s">
        <v>443</v>
      </c>
      <c r="B559" s="2978" t="s">
        <v>457</v>
      </c>
      <c r="C559" s="2979" t="s">
        <v>443</v>
      </c>
      <c r="D559" s="2979"/>
      <c r="E559" s="2979"/>
      <c r="F559" s="2980" t="s">
        <v>652</v>
      </c>
      <c r="G559" s="2981"/>
      <c r="H559" s="2982"/>
      <c r="I559" s="2982"/>
      <c r="J559" s="3210">
        <f>+J560</f>
        <v>5414000000</v>
      </c>
      <c r="K559" s="3210">
        <f>+K560</f>
        <v>5000000000</v>
      </c>
      <c r="L559" s="3318">
        <f>L560</f>
        <v>53394311000</v>
      </c>
      <c r="M559" s="3319">
        <v>0</v>
      </c>
      <c r="N559" s="3318">
        <f>N560</f>
        <v>26697155000</v>
      </c>
      <c r="O559" s="3318">
        <f>N559+M559</f>
        <v>26697155000</v>
      </c>
      <c r="P559" s="3318">
        <f>P560</f>
        <v>53394311000</v>
      </c>
      <c r="Q559" s="3318">
        <f t="shared" si="89"/>
        <v>0</v>
      </c>
      <c r="R559" s="3318">
        <f>+P559/L559*100-100</f>
        <v>0</v>
      </c>
      <c r="S559" s="3757"/>
      <c r="T559" s="3857"/>
      <c r="U559" s="3811"/>
      <c r="V559" s="2954">
        <f t="shared" si="88"/>
        <v>106788620000</v>
      </c>
    </row>
    <row r="560" spans="1:22" s="2947" customFormat="1" ht="15.05" customHeight="1">
      <c r="A560" s="2972" t="s">
        <v>443</v>
      </c>
      <c r="B560" s="2972" t="s">
        <v>457</v>
      </c>
      <c r="C560" s="2973" t="s">
        <v>443</v>
      </c>
      <c r="D560" s="2973" t="s">
        <v>445</v>
      </c>
      <c r="E560" s="2973"/>
      <c r="F560" s="2974" t="s">
        <v>293</v>
      </c>
      <c r="G560" s="2975"/>
      <c r="H560" s="2976"/>
      <c r="I560" s="2976"/>
      <c r="J560" s="3320">
        <f>+J562</f>
        <v>5414000000</v>
      </c>
      <c r="K560" s="3320">
        <f>+K562</f>
        <v>5000000000</v>
      </c>
      <c r="L560" s="3321">
        <f t="shared" ref="L560:O561" si="90">L561</f>
        <v>53394311000</v>
      </c>
      <c r="M560" s="3322">
        <v>0</v>
      </c>
      <c r="N560" s="3321">
        <f t="shared" si="90"/>
        <v>26697155000</v>
      </c>
      <c r="O560" s="3321">
        <f t="shared" si="90"/>
        <v>26697155000</v>
      </c>
      <c r="P560" s="3321">
        <f>P561</f>
        <v>53394311000</v>
      </c>
      <c r="Q560" s="3321">
        <f t="shared" si="89"/>
        <v>0</v>
      </c>
      <c r="R560" s="3323">
        <f>+P560/L560*100-100</f>
        <v>0</v>
      </c>
      <c r="S560" s="3758"/>
      <c r="T560" s="3858"/>
      <c r="U560" s="3812"/>
      <c r="V560" s="2944">
        <f t="shared" si="88"/>
        <v>106788620000</v>
      </c>
    </row>
    <row r="561" spans="1:22" ht="15.05" customHeight="1">
      <c r="A561" s="2867" t="s">
        <v>443</v>
      </c>
      <c r="B561" s="2867" t="s">
        <v>457</v>
      </c>
      <c r="C561" s="2868" t="s">
        <v>443</v>
      </c>
      <c r="D561" s="2868" t="s">
        <v>445</v>
      </c>
      <c r="E561" s="2868" t="s">
        <v>437</v>
      </c>
      <c r="F561" s="84" t="s">
        <v>653</v>
      </c>
      <c r="G561" s="84"/>
      <c r="H561" s="224"/>
      <c r="I561" s="224"/>
      <c r="J561" s="3324"/>
      <c r="K561" s="3324"/>
      <c r="L561" s="3325">
        <f t="shared" si="90"/>
        <v>53394311000</v>
      </c>
      <c r="M561" s="3326">
        <v>0</v>
      </c>
      <c r="N561" s="3327">
        <f t="shared" si="90"/>
        <v>26697155000</v>
      </c>
      <c r="O561" s="3327">
        <f t="shared" si="90"/>
        <v>26697155000</v>
      </c>
      <c r="P561" s="3327">
        <f>P564</f>
        <v>53394311000</v>
      </c>
      <c r="Q561" s="3327">
        <f t="shared" si="89"/>
        <v>0</v>
      </c>
      <c r="R561" s="3328">
        <f>+P561/L561*100-100</f>
        <v>0</v>
      </c>
      <c r="S561" s="3732"/>
      <c r="T561" s="3859"/>
      <c r="U561" s="3797"/>
      <c r="V561" s="1846">
        <f t="shared" si="88"/>
        <v>106788620000</v>
      </c>
    </row>
    <row r="562" spans="1:22" ht="15.05" customHeight="1">
      <c r="A562" s="2869"/>
      <c r="B562" s="2869"/>
      <c r="C562" s="2870"/>
      <c r="D562" s="2870"/>
      <c r="E562" s="2870"/>
      <c r="F562" s="2871" t="s">
        <v>654</v>
      </c>
      <c r="G562" s="2872"/>
      <c r="H562" s="200"/>
      <c r="I562" s="200"/>
      <c r="J562" s="3329">
        <f>SUM(J563:J564)</f>
        <v>5414000000</v>
      </c>
      <c r="K562" s="3329">
        <f>+K564</f>
        <v>5000000000</v>
      </c>
      <c r="L562" s="3330">
        <f>SUM(L563:L564)</f>
        <v>53394311000</v>
      </c>
      <c r="M562" s="3331">
        <v>0</v>
      </c>
      <c r="N562" s="3330">
        <f>SUM(N563:N564)</f>
        <v>26697155000</v>
      </c>
      <c r="O562" s="3330">
        <f>SUM(O563:O564)</f>
        <v>26697155000</v>
      </c>
      <c r="P562" s="3330">
        <v>53394311000</v>
      </c>
      <c r="Q562" s="3330">
        <f t="shared" si="89"/>
        <v>0</v>
      </c>
      <c r="R562" s="3330">
        <f>+P562/L562*100-100</f>
        <v>0</v>
      </c>
      <c r="S562" s="3733"/>
      <c r="T562" s="3860"/>
      <c r="U562" s="3778"/>
      <c r="V562" s="1846">
        <f t="shared" si="88"/>
        <v>106788620000</v>
      </c>
    </row>
    <row r="563" spans="1:22" s="257" customFormat="1">
      <c r="A563" s="3879"/>
      <c r="B563" s="3879"/>
      <c r="C563" s="3880"/>
      <c r="D563" s="3880"/>
      <c r="E563" s="3880"/>
      <c r="F563" s="3881" t="s">
        <v>50</v>
      </c>
      <c r="G563" s="3882" t="s">
        <v>655</v>
      </c>
      <c r="H563" s="200"/>
      <c r="I563" s="200"/>
      <c r="J563" s="3329">
        <v>414000000</v>
      </c>
      <c r="K563" s="3332"/>
      <c r="L563" s="3192">
        <f>MAR!J493</f>
        <v>0</v>
      </c>
      <c r="M563" s="3333">
        <v>0</v>
      </c>
      <c r="N563" s="3192">
        <f>MAR!L493</f>
        <v>0</v>
      </c>
      <c r="O563" s="3192">
        <f>MAR!M493</f>
        <v>0</v>
      </c>
      <c r="P563" s="3192">
        <v>0</v>
      </c>
      <c r="Q563" s="3192">
        <f t="shared" si="89"/>
        <v>0</v>
      </c>
      <c r="R563" s="3192">
        <v>0</v>
      </c>
      <c r="S563" s="3883"/>
      <c r="T563" s="3884"/>
      <c r="U563" s="3778"/>
      <c r="V563" s="1846">
        <f t="shared" si="88"/>
        <v>0</v>
      </c>
    </row>
    <row r="564" spans="1:22" s="257" customFormat="1">
      <c r="A564" s="3879"/>
      <c r="B564" s="3879"/>
      <c r="C564" s="3880"/>
      <c r="D564" s="3880"/>
      <c r="E564" s="3880"/>
      <c r="F564" s="3881" t="s">
        <v>50</v>
      </c>
      <c r="G564" s="3882" t="s">
        <v>656</v>
      </c>
      <c r="H564" s="200"/>
      <c r="I564" s="200"/>
      <c r="J564" s="3329">
        <v>5000000000</v>
      </c>
      <c r="K564" s="3329">
        <v>5000000000</v>
      </c>
      <c r="L564" s="3192">
        <v>53394311000</v>
      </c>
      <c r="M564" s="3333">
        <v>0</v>
      </c>
      <c r="N564" s="3192">
        <v>26697155000</v>
      </c>
      <c r="O564" s="3192">
        <v>26697155000</v>
      </c>
      <c r="P564" s="3192">
        <v>53394311000</v>
      </c>
      <c r="Q564" s="3192">
        <f t="shared" si="89"/>
        <v>0</v>
      </c>
      <c r="R564" s="3192">
        <f>+P564/L564*100-100</f>
        <v>0</v>
      </c>
      <c r="S564" s="3883"/>
      <c r="T564" s="3884"/>
      <c r="U564" s="3778"/>
      <c r="V564" s="1846">
        <f t="shared" si="88"/>
        <v>106788620000</v>
      </c>
    </row>
    <row r="565" spans="1:22" s="257" customFormat="1">
      <c r="A565" s="3879"/>
      <c r="B565" s="3879"/>
      <c r="C565" s="3880"/>
      <c r="D565" s="3880"/>
      <c r="E565" s="3880"/>
      <c r="F565" s="3881" t="s">
        <v>298</v>
      </c>
      <c r="G565" s="3882"/>
      <c r="H565" s="200"/>
      <c r="I565" s="200"/>
      <c r="J565" s="3329"/>
      <c r="K565" s="3332"/>
      <c r="L565" s="3192">
        <f>MAR!J495</f>
        <v>0</v>
      </c>
      <c r="M565" s="3333">
        <v>0</v>
      </c>
      <c r="N565" s="3192">
        <f>MAR!L495</f>
        <v>0</v>
      </c>
      <c r="O565" s="3192">
        <f>MAR!M495</f>
        <v>0</v>
      </c>
      <c r="P565" s="3192">
        <f>MAR!N495</f>
        <v>0</v>
      </c>
      <c r="Q565" s="3192">
        <f t="shared" si="89"/>
        <v>0</v>
      </c>
      <c r="R565" s="3192">
        <v>0</v>
      </c>
      <c r="S565" s="3883"/>
      <c r="T565" s="3884"/>
      <c r="U565" s="3778"/>
      <c r="V565" s="1846">
        <f t="shared" si="88"/>
        <v>0</v>
      </c>
    </row>
    <row r="566" spans="1:22" s="257" customFormat="1">
      <c r="A566" s="3885"/>
      <c r="B566" s="3885"/>
      <c r="C566" s="3886"/>
      <c r="D566" s="3886"/>
      <c r="E566" s="3887"/>
      <c r="F566" s="3888" t="s">
        <v>50</v>
      </c>
      <c r="G566" s="3889" t="s">
        <v>657</v>
      </c>
      <c r="H566" s="3575"/>
      <c r="I566" s="3575"/>
      <c r="J566" s="3553"/>
      <c r="K566" s="3554"/>
      <c r="L566" s="3555">
        <f>MAR!J496</f>
        <v>0</v>
      </c>
      <c r="M566" s="3556">
        <v>0</v>
      </c>
      <c r="N566" s="3555">
        <f>MAR!L496</f>
        <v>0</v>
      </c>
      <c r="O566" s="3555">
        <f>MAR!M496</f>
        <v>0</v>
      </c>
      <c r="P566" s="3555">
        <f>MAR!N496</f>
        <v>0</v>
      </c>
      <c r="Q566" s="3555">
        <f t="shared" si="89"/>
        <v>0</v>
      </c>
      <c r="R566" s="3555">
        <v>0</v>
      </c>
      <c r="S566" s="3883"/>
      <c r="T566" s="3884"/>
      <c r="U566" s="3813"/>
      <c r="V566" s="1846">
        <f t="shared" si="88"/>
        <v>0</v>
      </c>
    </row>
    <row r="567" spans="1:22" ht="15.05" customHeight="1">
      <c r="A567" s="3872"/>
      <c r="B567" s="3872"/>
      <c r="C567" s="3872"/>
      <c r="D567" s="3872"/>
      <c r="E567" s="3542"/>
      <c r="F567" s="3543"/>
      <c r="G567" s="3544"/>
      <c r="H567" s="3545"/>
      <c r="I567" s="3545"/>
      <c r="J567" s="3546"/>
      <c r="K567" s="3547"/>
      <c r="L567" s="3548"/>
      <c r="M567" s="3548"/>
      <c r="N567" s="3548"/>
      <c r="O567" s="3548"/>
      <c r="P567" s="3548"/>
      <c r="Q567" s="3548"/>
      <c r="R567" s="3762"/>
      <c r="S567" s="3768"/>
      <c r="T567" s="3764"/>
      <c r="U567" s="3761"/>
      <c r="V567" s="1846">
        <f t="shared" si="88"/>
        <v>0</v>
      </c>
    </row>
    <row r="568" spans="1:22" ht="12.05" hidden="1" customHeight="1">
      <c r="A568" s="5798"/>
      <c r="B568" s="5798"/>
      <c r="C568" s="5798"/>
      <c r="D568" s="5798"/>
      <c r="E568" s="5798"/>
      <c r="F568" s="5798"/>
      <c r="G568" s="5798"/>
      <c r="H568" s="5798"/>
      <c r="I568" s="5799"/>
      <c r="J568" s="1965"/>
      <c r="K568" s="1966"/>
      <c r="L568" s="1967">
        <f>L225+L212+L43+L426</f>
        <v>446737149324</v>
      </c>
      <c r="M568" s="1967">
        <f>M225+M212+M43+M426</f>
        <v>34516750956.529999</v>
      </c>
      <c r="N568" s="1967">
        <f>N225+N212+N43+N426</f>
        <v>47839371927.190002</v>
      </c>
      <c r="O568" s="1967">
        <f>O225+O212+O43+O426</f>
        <v>82381087883.720001</v>
      </c>
      <c r="P568" s="1968">
        <f>+O568-L568</f>
        <v>-364356061440.28003</v>
      </c>
      <c r="Q568" s="1968">
        <f>+P568-L568</f>
        <v>-811093210764.28003</v>
      </c>
      <c r="R568" s="2992">
        <f>+P568/L568*100-100</f>
        <v>-181.55938273582609</v>
      </c>
      <c r="S568" s="3763"/>
      <c r="T568" s="3763"/>
      <c r="U568" s="2005"/>
      <c r="V568" s="1846">
        <f t="shared" si="88"/>
        <v>329524351534.88</v>
      </c>
    </row>
    <row r="569" spans="1:22" ht="13.5" customHeight="1">
      <c r="A569" s="1904"/>
      <c r="B569" s="1904"/>
      <c r="C569" s="1904"/>
      <c r="D569" s="1904"/>
      <c r="E569" s="1904"/>
      <c r="F569" s="1904"/>
      <c r="G569" s="1904"/>
      <c r="H569" s="1904"/>
      <c r="I569" s="1904"/>
      <c r="J569" s="1904"/>
      <c r="K569" s="1904"/>
      <c r="L569" s="1969"/>
      <c r="M569" s="1969"/>
      <c r="N569" s="1969"/>
      <c r="O569" s="1969"/>
      <c r="P569" s="1969"/>
      <c r="Q569" s="1969"/>
      <c r="R569" s="2993"/>
      <c r="S569" s="2993"/>
      <c r="T569" s="2993"/>
      <c r="U569" s="1924"/>
    </row>
    <row r="570" spans="1:22" ht="13.5" customHeight="1">
      <c r="A570" s="2890" t="s">
        <v>658</v>
      </c>
      <c r="B570" s="2891"/>
      <c r="C570" s="2891"/>
      <c r="D570" s="2892"/>
      <c r="E570" s="2892"/>
      <c r="F570" s="2892"/>
      <c r="G570" s="2892"/>
      <c r="H570" s="2892"/>
      <c r="I570" s="1945"/>
      <c r="J570" s="1945"/>
      <c r="K570" s="1945"/>
      <c r="L570" s="1970" t="e">
        <f>L568-#REF!</f>
        <v>#REF!</v>
      </c>
      <c r="M570" s="1971"/>
      <c r="N570" s="1971"/>
      <c r="O570" s="1971"/>
      <c r="R570" s="2994"/>
      <c r="S570" s="2994"/>
      <c r="T570" s="2994"/>
      <c r="U570" s="2006"/>
    </row>
    <row r="571" spans="1:22" ht="13.5" customHeight="1">
      <c r="A571" s="2891"/>
      <c r="B571" s="2891" t="s">
        <v>659</v>
      </c>
      <c r="C571" s="2891"/>
      <c r="D571" s="2892"/>
      <c r="E571" s="2892"/>
      <c r="F571" s="2892"/>
      <c r="G571" s="2892"/>
      <c r="H571" s="2892"/>
      <c r="I571" s="1945"/>
      <c r="J571" s="1945"/>
      <c r="K571" s="1945"/>
      <c r="L571" s="1972" t="s">
        <v>660</v>
      </c>
      <c r="M571" s="1973"/>
      <c r="N571" s="1971"/>
      <c r="O571" s="1971"/>
      <c r="P571" s="2887" t="s">
        <v>661</v>
      </c>
      <c r="Q571" s="1974"/>
      <c r="R571" s="2994"/>
      <c r="S571" s="2994"/>
      <c r="T571" s="2994"/>
      <c r="U571" s="2006"/>
    </row>
    <row r="572" spans="1:22" ht="13.5" customHeight="1">
      <c r="A572" s="2891"/>
      <c r="B572" s="2891" t="s">
        <v>662</v>
      </c>
      <c r="C572" s="2891"/>
      <c r="D572" s="2892"/>
      <c r="E572" s="2892"/>
      <c r="F572" s="2892"/>
      <c r="G572" s="2892"/>
      <c r="H572" s="2892"/>
      <c r="I572" s="1945"/>
      <c r="J572" s="1945"/>
      <c r="K572" s="1945"/>
      <c r="L572" s="1975" t="str">
        <f>PerDinas!K1094</f>
        <v>Kepala Dinas Pendapatan Daerah</v>
      </c>
      <c r="M572" s="1976"/>
      <c r="O572" s="1971"/>
      <c r="P572" s="2888" t="s">
        <v>663</v>
      </c>
      <c r="Q572" s="1977"/>
      <c r="R572" s="2994"/>
      <c r="S572" s="2994"/>
      <c r="T572" s="2994"/>
      <c r="U572" s="2006"/>
    </row>
    <row r="573" spans="1:22" ht="13.5" customHeight="1">
      <c r="A573" s="2891"/>
      <c r="B573" s="2891" t="s">
        <v>664</v>
      </c>
      <c r="C573" s="2891"/>
      <c r="D573" s="2892"/>
      <c r="E573" s="2892"/>
      <c r="F573" s="2892"/>
      <c r="G573" s="2892"/>
      <c r="H573" s="2892"/>
      <c r="I573" s="1945"/>
      <c r="J573" s="1945"/>
      <c r="K573" s="1945"/>
      <c r="L573" s="1975" t="str">
        <f>PerDinas!K1095</f>
        <v>Provinsi Nusa Tenggara Barat,</v>
      </c>
      <c r="O573" s="1971"/>
      <c r="P573" s="2888"/>
      <c r="Q573" s="1977"/>
      <c r="R573" s="2994"/>
      <c r="S573" s="2994"/>
      <c r="T573" s="2994"/>
      <c r="U573" s="2006"/>
    </row>
    <row r="574" spans="1:22" ht="13.5" customHeight="1">
      <c r="A574" s="1945"/>
      <c r="B574" s="1945"/>
      <c r="C574" s="1945"/>
      <c r="D574" s="1945"/>
      <c r="E574" s="1945"/>
      <c r="F574" s="1945"/>
      <c r="G574" s="1945"/>
      <c r="I574" s="257"/>
      <c r="J574" s="257"/>
      <c r="K574" s="257"/>
      <c r="L574" s="1972"/>
      <c r="O574" s="1971"/>
      <c r="P574" s="2888"/>
      <c r="Q574" s="1977"/>
      <c r="R574" s="2994"/>
      <c r="S574" s="2994"/>
      <c r="T574" s="2994"/>
      <c r="U574" s="2006"/>
    </row>
    <row r="575" spans="1:22" ht="13.5" customHeight="1">
      <c r="A575" s="1945"/>
      <c r="B575" s="1945"/>
      <c r="C575" s="1945"/>
      <c r="D575" s="1945"/>
      <c r="E575" s="1946"/>
      <c r="F575" s="1946"/>
      <c r="G575" s="1946"/>
      <c r="I575" s="1973"/>
      <c r="J575" s="1973"/>
      <c r="K575" s="1973"/>
      <c r="L575" s="1975"/>
      <c r="O575" s="1971"/>
      <c r="P575" s="2888"/>
      <c r="Q575" s="1977"/>
      <c r="R575" s="2994"/>
      <c r="S575" s="2994"/>
      <c r="T575" s="2994"/>
      <c r="U575" s="2006"/>
    </row>
    <row r="576" spans="1:22" ht="13.5" customHeight="1">
      <c r="A576" s="1945"/>
      <c r="B576" s="1945"/>
      <c r="C576" s="1945"/>
      <c r="D576" s="1945"/>
      <c r="E576" s="1946"/>
      <c r="F576" s="1946"/>
      <c r="G576" s="1946"/>
      <c r="I576" s="1978"/>
      <c r="J576" s="1978"/>
      <c r="K576" s="1978"/>
      <c r="L576" s="1979" t="str">
        <f>PerDinas!K1099</f>
        <v>Dra. Hj. Putu Selly Andayani, M.Si</v>
      </c>
      <c r="O576" s="1971"/>
      <c r="P576" s="2889" t="str">
        <f>PerDinas!O1099</f>
        <v>Drs. H. Muksin, MM</v>
      </c>
      <c r="Q576" s="1980"/>
      <c r="R576" s="2994"/>
      <c r="S576" s="2994"/>
      <c r="T576" s="2994"/>
      <c r="U576" s="2006"/>
    </row>
    <row r="577" spans="1:21" ht="13.5" customHeight="1">
      <c r="A577" s="257"/>
      <c r="B577" s="257"/>
      <c r="C577" s="257"/>
      <c r="D577" s="257"/>
      <c r="E577" s="1947"/>
      <c r="F577" s="257"/>
      <c r="G577" s="257"/>
      <c r="I577" s="257"/>
      <c r="J577" s="257"/>
      <c r="K577" s="257"/>
      <c r="L577" s="1981" t="str">
        <f>PerDinas!K1100</f>
        <v>NIP. 19610915199303 2 011</v>
      </c>
      <c r="O577" s="1971"/>
      <c r="P577" s="2888" t="str">
        <f>PerDinas!O1100</f>
        <v>NIP.196712311996031023</v>
      </c>
      <c r="Q577" s="1977"/>
      <c r="R577" s="2994"/>
      <c r="S577" s="2994"/>
      <c r="T577" s="2994"/>
      <c r="U577" s="2006"/>
    </row>
    <row r="578" spans="1:21">
      <c r="P578" s="1977"/>
      <c r="Q578" s="1977"/>
    </row>
    <row r="593" spans="1:21">
      <c r="L593" s="1982" t="s">
        <v>665</v>
      </c>
      <c r="M593" s="1982"/>
      <c r="N593" s="1982" t="s">
        <v>666</v>
      </c>
    </row>
    <row r="594" spans="1:21" ht="17.25" customHeight="1">
      <c r="A594" s="1948"/>
      <c r="B594" s="1948"/>
      <c r="C594" s="1949"/>
      <c r="D594" s="1949"/>
      <c r="E594" s="1949"/>
      <c r="F594" s="1950"/>
      <c r="G594" s="1950"/>
      <c r="H594" s="5800" t="s">
        <v>667</v>
      </c>
      <c r="I594" s="5801"/>
      <c r="J594" s="1983"/>
      <c r="K594" s="1983"/>
      <c r="L594" s="1984">
        <f>SUM(L595:L620)</f>
        <v>199095000</v>
      </c>
      <c r="M594" s="1985">
        <f>SUM(M595:M620)</f>
        <v>20635628.990000002</v>
      </c>
      <c r="N594" s="1985">
        <f>SUM(N595:N620)</f>
        <v>500000</v>
      </c>
      <c r="O594" s="1985">
        <f>N594+M594</f>
        <v>21135628.990000002</v>
      </c>
      <c r="P594" s="1985">
        <f>SUM(P595:P620)</f>
        <v>1707586400</v>
      </c>
      <c r="Q594" s="1985"/>
      <c r="R594" s="2995">
        <f>O594/L594*100</f>
        <v>10.615851221778549</v>
      </c>
      <c r="S594" s="3734"/>
      <c r="T594" s="3734"/>
      <c r="U594" s="2007"/>
    </row>
    <row r="595" spans="1:21">
      <c r="A595" s="1951"/>
      <c r="B595" s="1951"/>
      <c r="C595" s="1952"/>
      <c r="D595" s="1952"/>
      <c r="E595" s="1952"/>
      <c r="F595" s="1953" t="s">
        <v>50</v>
      </c>
      <c r="G595" s="1953"/>
      <c r="H595" s="1954" t="s">
        <v>668</v>
      </c>
      <c r="I595" s="1986"/>
      <c r="J595" s="1987"/>
      <c r="K595" s="1987"/>
      <c r="L595" s="1988">
        <f>L453</f>
        <v>57136000</v>
      </c>
      <c r="M595" s="1988">
        <f>M453</f>
        <v>0</v>
      </c>
      <c r="N595" s="1988">
        <f>N453</f>
        <v>0</v>
      </c>
      <c r="O595" s="1988">
        <f>O453</f>
        <v>0</v>
      </c>
      <c r="P595" s="1988">
        <f>P453</f>
        <v>57136000</v>
      </c>
      <c r="Q595" s="1988"/>
      <c r="R595" s="2996">
        <f>R453</f>
        <v>0</v>
      </c>
      <c r="S595" s="2996"/>
      <c r="T595" s="2996"/>
      <c r="U595" s="1952"/>
    </row>
    <row r="596" spans="1:21">
      <c r="A596" s="1951"/>
      <c r="B596" s="1951"/>
      <c r="C596" s="1952"/>
      <c r="D596" s="1952"/>
      <c r="E596" s="1952"/>
      <c r="F596" s="1953" t="s">
        <v>50</v>
      </c>
      <c r="G596" s="1953"/>
      <c r="H596" s="1955" t="s">
        <v>669</v>
      </c>
      <c r="I596" s="1989"/>
      <c r="J596" s="1989"/>
      <c r="K596" s="1989"/>
      <c r="L596" s="1988">
        <f>L458</f>
        <v>63698000</v>
      </c>
      <c r="M596" s="1988">
        <f>M458</f>
        <v>4835000</v>
      </c>
      <c r="N596" s="1988">
        <f>N458</f>
        <v>0</v>
      </c>
      <c r="O596" s="1988">
        <f>O458</f>
        <v>4835000</v>
      </c>
      <c r="P596" s="1988">
        <f>P458</f>
        <v>63698000</v>
      </c>
      <c r="Q596" s="1988"/>
      <c r="R596" s="2996">
        <f>R458</f>
        <v>0</v>
      </c>
      <c r="S596" s="2996"/>
      <c r="T596" s="2996"/>
      <c r="U596" s="1988">
        <f>U458</f>
        <v>0</v>
      </c>
    </row>
    <row r="597" spans="1:21">
      <c r="A597" s="1951"/>
      <c r="B597" s="1951"/>
      <c r="C597" s="1952"/>
      <c r="D597" s="1952"/>
      <c r="E597" s="1952"/>
      <c r="F597" s="1953" t="s">
        <v>50</v>
      </c>
      <c r="G597" s="1953"/>
      <c r="H597" s="1955" t="s">
        <v>670</v>
      </c>
      <c r="I597" s="1989"/>
      <c r="J597" s="1989"/>
      <c r="K597" s="1989"/>
      <c r="L597" s="1988">
        <f t="shared" ref="L597:R597" si="91">L507</f>
        <v>0</v>
      </c>
      <c r="M597" s="1988">
        <f t="shared" si="91"/>
        <v>0</v>
      </c>
      <c r="N597" s="1988">
        <f t="shared" si="91"/>
        <v>0</v>
      </c>
      <c r="O597" s="1988">
        <f t="shared" si="91"/>
        <v>0</v>
      </c>
      <c r="P597" s="1988">
        <f t="shared" si="91"/>
        <v>0</v>
      </c>
      <c r="Q597" s="1988"/>
      <c r="R597" s="2996">
        <f t="shared" si="91"/>
        <v>0</v>
      </c>
      <c r="S597" s="2996"/>
      <c r="T597" s="2996"/>
      <c r="U597" s="1952"/>
    </row>
    <row r="598" spans="1:21">
      <c r="A598" s="1951"/>
      <c r="B598" s="1951"/>
      <c r="C598" s="1952"/>
      <c r="D598" s="1952"/>
      <c r="E598" s="1952"/>
      <c r="F598" s="1953" t="s">
        <v>50</v>
      </c>
      <c r="G598" s="1953"/>
      <c r="H598" s="1955" t="s">
        <v>279</v>
      </c>
      <c r="I598" s="1989"/>
      <c r="J598" s="1989"/>
      <c r="K598" s="1989"/>
      <c r="L598" s="1988">
        <f>L488</f>
        <v>25741600</v>
      </c>
      <c r="M598" s="1988">
        <f t="shared" ref="M598:R598" si="92">M488</f>
        <v>0</v>
      </c>
      <c r="N598" s="1988">
        <f t="shared" si="92"/>
        <v>0</v>
      </c>
      <c r="O598" s="1988">
        <f t="shared" si="92"/>
        <v>0</v>
      </c>
      <c r="P598" s="1988">
        <f t="shared" si="92"/>
        <v>25741600</v>
      </c>
      <c r="Q598" s="1988"/>
      <c r="R598" s="2996">
        <f t="shared" si="92"/>
        <v>0</v>
      </c>
      <c r="S598" s="2996"/>
      <c r="T598" s="2996"/>
      <c r="U598" s="1952"/>
    </row>
    <row r="599" spans="1:21" ht="15.05">
      <c r="A599" s="1951"/>
      <c r="B599" s="1951"/>
      <c r="C599" s="1952"/>
      <c r="D599" s="1952"/>
      <c r="E599" s="1952"/>
      <c r="F599" s="1953" t="s">
        <v>50</v>
      </c>
      <c r="G599" s="1953"/>
      <c r="H599" s="1956" t="s">
        <v>671</v>
      </c>
      <c r="I599" s="1989"/>
      <c r="J599" s="1990"/>
      <c r="K599" s="1990"/>
      <c r="L599" s="1991">
        <f>L534</f>
        <v>0</v>
      </c>
      <c r="M599" s="1992">
        <f>M534</f>
        <v>0</v>
      </c>
      <c r="N599" s="1992">
        <f>N534</f>
        <v>0</v>
      </c>
      <c r="O599" s="1993">
        <f>O534</f>
        <v>0</v>
      </c>
      <c r="P599" s="1988">
        <f>O599-L599</f>
        <v>0</v>
      </c>
      <c r="Q599" s="2008"/>
      <c r="R599" s="2997" t="e">
        <f>#REF!</f>
        <v>#REF!</v>
      </c>
      <c r="S599" s="2997"/>
      <c r="T599" s="2997"/>
      <c r="U599" s="2009"/>
    </row>
    <row r="600" spans="1:21" ht="15.05">
      <c r="A600" s="1951"/>
      <c r="B600" s="1951"/>
      <c r="C600" s="1952"/>
      <c r="D600" s="1952"/>
      <c r="E600" s="1952"/>
      <c r="F600" s="1953" t="s">
        <v>50</v>
      </c>
      <c r="G600" s="1953"/>
      <c r="H600" s="1957" t="s">
        <v>287</v>
      </c>
      <c r="I600" s="1989"/>
      <c r="J600" s="1994"/>
      <c r="K600" s="1994"/>
      <c r="L600" s="1995">
        <f>L432</f>
        <v>0</v>
      </c>
      <c r="M600" s="1996">
        <f>M432</f>
        <v>0</v>
      </c>
      <c r="N600" s="1996">
        <f>N432</f>
        <v>0</v>
      </c>
      <c r="O600" s="1996">
        <f>O432</f>
        <v>0</v>
      </c>
      <c r="P600" s="1996">
        <f>P432</f>
        <v>0</v>
      </c>
      <c r="Q600" s="1996"/>
      <c r="R600" s="2998">
        <f>R432</f>
        <v>0</v>
      </c>
      <c r="S600" s="2998"/>
      <c r="T600" s="2998"/>
      <c r="U600" s="2009" t="e">
        <f>#REF!</f>
        <v>#REF!</v>
      </c>
    </row>
    <row r="601" spans="1:21" ht="15.05">
      <c r="A601" s="1951"/>
      <c r="B601" s="1951"/>
      <c r="C601" s="1952"/>
      <c r="D601" s="1952"/>
      <c r="E601" s="1952"/>
      <c r="F601" s="1953" t="s">
        <v>50</v>
      </c>
      <c r="G601" s="1953"/>
      <c r="H601" s="1957" t="s">
        <v>672</v>
      </c>
      <c r="I601" s="1989"/>
      <c r="J601" s="1994"/>
      <c r="K601" s="1994"/>
      <c r="L601" s="1995">
        <f t="shared" ref="L601:R601" si="93">L554</f>
        <v>0</v>
      </c>
      <c r="M601" s="1996">
        <f t="shared" si="93"/>
        <v>0</v>
      </c>
      <c r="N601" s="1996">
        <f t="shared" si="93"/>
        <v>0</v>
      </c>
      <c r="O601" s="1996">
        <f t="shared" si="93"/>
        <v>0</v>
      </c>
      <c r="P601" s="1996">
        <f t="shared" si="93"/>
        <v>0</v>
      </c>
      <c r="Q601" s="1996"/>
      <c r="R601" s="2998">
        <f t="shared" si="93"/>
        <v>0</v>
      </c>
      <c r="S601" s="2998"/>
      <c r="T601" s="2998"/>
      <c r="U601" s="2009" t="e">
        <f>#REF!</f>
        <v>#REF!</v>
      </c>
    </row>
    <row r="602" spans="1:21" ht="15.05">
      <c r="A602" s="1951"/>
      <c r="B602" s="1951"/>
      <c r="C602" s="1952"/>
      <c r="D602" s="1952"/>
      <c r="E602" s="1952"/>
      <c r="F602" s="1953" t="s">
        <v>50</v>
      </c>
      <c r="G602" s="1953"/>
      <c r="H602" s="1957" t="s">
        <v>673</v>
      </c>
      <c r="I602" s="1989"/>
      <c r="J602" s="1994"/>
      <c r="K602" s="1994"/>
      <c r="L602" s="1995">
        <f>L434</f>
        <v>0</v>
      </c>
      <c r="M602" s="1996">
        <f>M434</f>
        <v>0</v>
      </c>
      <c r="N602" s="1996">
        <f>N434</f>
        <v>0</v>
      </c>
      <c r="O602" s="1996">
        <f>O434</f>
        <v>0</v>
      </c>
      <c r="P602" s="1996">
        <f>P434</f>
        <v>0</v>
      </c>
      <c r="Q602" s="1996"/>
      <c r="R602" s="2998" t="e">
        <f>R434</f>
        <v>#DIV/0!</v>
      </c>
      <c r="S602" s="2998"/>
      <c r="T602" s="2998"/>
      <c r="U602" s="2009" t="e">
        <f>#REF!</f>
        <v>#REF!</v>
      </c>
    </row>
    <row r="603" spans="1:21" ht="15.05">
      <c r="A603" s="1951"/>
      <c r="B603" s="1951"/>
      <c r="C603" s="1952"/>
      <c r="D603" s="1952"/>
      <c r="E603" s="1952"/>
      <c r="F603" s="1953"/>
      <c r="G603" s="1953"/>
      <c r="H603" s="1957" t="s">
        <v>571</v>
      </c>
      <c r="I603" s="1989"/>
      <c r="J603" s="1994"/>
      <c r="K603" s="1994"/>
      <c r="L603" s="1995">
        <f t="shared" ref="L603:R603" si="94">L537</f>
        <v>0</v>
      </c>
      <c r="M603" s="1996">
        <f t="shared" si="94"/>
        <v>14027628.99</v>
      </c>
      <c r="N603" s="1996">
        <f t="shared" si="94"/>
        <v>500000</v>
      </c>
      <c r="O603" s="1997">
        <f t="shared" si="94"/>
        <v>14527628.99</v>
      </c>
      <c r="P603" s="1996">
        <f t="shared" si="94"/>
        <v>0</v>
      </c>
      <c r="Q603" s="1996"/>
      <c r="R603" s="2998">
        <f t="shared" si="94"/>
        <v>0</v>
      </c>
      <c r="S603" s="2998"/>
      <c r="T603" s="2998"/>
      <c r="U603" s="2009" t="e">
        <f>#REF!</f>
        <v>#REF!</v>
      </c>
    </row>
    <row r="604" spans="1:21" ht="15.05">
      <c r="A604" s="1951"/>
      <c r="B604" s="1951"/>
      <c r="C604" s="1952"/>
      <c r="D604" s="1952"/>
      <c r="E604" s="1952"/>
      <c r="F604" s="1953"/>
      <c r="G604" s="1953"/>
      <c r="H604" s="1957" t="s">
        <v>674</v>
      </c>
      <c r="I604" s="1989"/>
      <c r="J604" s="1994"/>
      <c r="K604" s="1994"/>
      <c r="L604" s="1995">
        <f t="shared" ref="L604:R604" si="95">L541</f>
        <v>0</v>
      </c>
      <c r="M604" s="1996">
        <f t="shared" si="95"/>
        <v>0</v>
      </c>
      <c r="N604" s="1996">
        <f t="shared" si="95"/>
        <v>0</v>
      </c>
      <c r="O604" s="1996">
        <f t="shared" si="95"/>
        <v>0</v>
      </c>
      <c r="P604" s="1996">
        <f t="shared" si="95"/>
        <v>0</v>
      </c>
      <c r="Q604" s="1996"/>
      <c r="R604" s="2998">
        <f t="shared" si="95"/>
        <v>0</v>
      </c>
      <c r="S604" s="2998"/>
      <c r="T604" s="2998"/>
      <c r="U604" s="2009" t="e">
        <f>#REF!</f>
        <v>#REF!</v>
      </c>
    </row>
    <row r="605" spans="1:21">
      <c r="A605" s="1951"/>
      <c r="B605" s="1951"/>
      <c r="C605" s="1952"/>
      <c r="D605" s="1952"/>
      <c r="E605" s="1952"/>
      <c r="F605" s="1953"/>
      <c r="G605" s="1953"/>
      <c r="H605" s="1958" t="s">
        <v>675</v>
      </c>
      <c r="I605" s="1998"/>
      <c r="J605" s="1999"/>
      <c r="K605" s="1999"/>
      <c r="L605" s="1958">
        <f>L446</f>
        <v>0</v>
      </c>
      <c r="M605" s="1958">
        <f>M446</f>
        <v>0</v>
      </c>
      <c r="N605" s="1958">
        <f>N446</f>
        <v>0</v>
      </c>
      <c r="O605" s="2000">
        <f>O446</f>
        <v>0</v>
      </c>
      <c r="P605" s="1958">
        <f>P446</f>
        <v>0</v>
      </c>
      <c r="Q605" s="1958"/>
      <c r="R605" s="2997" t="e">
        <f>#REF!</f>
        <v>#REF!</v>
      </c>
      <c r="S605" s="2997"/>
      <c r="T605" s="2997"/>
      <c r="U605" s="2009" t="e">
        <f>#REF!</f>
        <v>#REF!</v>
      </c>
    </row>
    <row r="606" spans="1:21" ht="15.05">
      <c r="A606" s="1951"/>
      <c r="B606" s="1951"/>
      <c r="C606" s="1952"/>
      <c r="D606" s="1952"/>
      <c r="E606" s="1952"/>
      <c r="F606" s="1953"/>
      <c r="G606" s="1953"/>
      <c r="H606" s="1959" t="s">
        <v>271</v>
      </c>
      <c r="I606" s="1990"/>
      <c r="J606" s="1994"/>
      <c r="K606" s="1994"/>
      <c r="L606" s="1995">
        <f>L449</f>
        <v>51419400</v>
      </c>
      <c r="M606" s="1995">
        <f>M449</f>
        <v>0</v>
      </c>
      <c r="N606" s="1995">
        <f>N449</f>
        <v>0</v>
      </c>
      <c r="O606" s="1995">
        <f>O449</f>
        <v>0</v>
      </c>
      <c r="P606" s="1995">
        <f>P449</f>
        <v>51419400</v>
      </c>
      <c r="Q606" s="1995"/>
      <c r="R606" s="2999">
        <f>R449</f>
        <v>0</v>
      </c>
      <c r="S606" s="2999"/>
      <c r="T606" s="2999"/>
      <c r="U606" s="2009" t="e">
        <f>#REF!</f>
        <v>#REF!</v>
      </c>
    </row>
    <row r="607" spans="1:21" ht="15.05">
      <c r="A607" s="1951"/>
      <c r="B607" s="1951"/>
      <c r="C607" s="1952"/>
      <c r="D607" s="1952"/>
      <c r="E607" s="1952"/>
      <c r="F607" s="1953"/>
      <c r="G607" s="1953"/>
      <c r="H607" s="1960" t="s">
        <v>676</v>
      </c>
      <c r="I607" s="1989"/>
      <c r="J607" s="1989"/>
      <c r="K607" s="1989"/>
      <c r="L607" s="1988">
        <f t="shared" ref="L607:R607" si="96">L527</f>
        <v>0</v>
      </c>
      <c r="M607" s="1988">
        <f t="shared" si="96"/>
        <v>0</v>
      </c>
      <c r="N607" s="1988">
        <f t="shared" si="96"/>
        <v>0</v>
      </c>
      <c r="O607" s="2001">
        <f t="shared" si="96"/>
        <v>0</v>
      </c>
      <c r="P607" s="1988">
        <f t="shared" si="96"/>
        <v>0</v>
      </c>
      <c r="Q607" s="1988"/>
      <c r="R607" s="2996">
        <f t="shared" si="96"/>
        <v>0</v>
      </c>
      <c r="S607" s="2996"/>
      <c r="T607" s="2996"/>
      <c r="U607" s="2009" t="e">
        <f>#REF!</f>
        <v>#REF!</v>
      </c>
    </row>
    <row r="608" spans="1:21" ht="15.05">
      <c r="A608" s="1951"/>
      <c r="B608" s="1951"/>
      <c r="C608" s="1952"/>
      <c r="D608" s="1952"/>
      <c r="E608" s="1952"/>
      <c r="F608" s="1953"/>
      <c r="G608" s="1953"/>
      <c r="H608" s="1960" t="s">
        <v>280</v>
      </c>
      <c r="I608" s="1989"/>
      <c r="J608" s="1989"/>
      <c r="K608" s="1989"/>
      <c r="L608" s="1988">
        <f t="shared" ref="L608:R608" si="97">L526</f>
        <v>1100000</v>
      </c>
      <c r="M608" s="1988">
        <f t="shared" si="97"/>
        <v>0</v>
      </c>
      <c r="N608" s="1988">
        <f t="shared" si="97"/>
        <v>0</v>
      </c>
      <c r="O608" s="1988">
        <f t="shared" si="97"/>
        <v>0</v>
      </c>
      <c r="P608" s="1988">
        <f t="shared" si="97"/>
        <v>1100000</v>
      </c>
      <c r="Q608" s="1988"/>
      <c r="R608" s="2996">
        <f t="shared" si="97"/>
        <v>0</v>
      </c>
      <c r="S608" s="2996"/>
      <c r="T608" s="2996"/>
      <c r="U608" s="2009" t="e">
        <f>#REF!</f>
        <v>#REF!</v>
      </c>
    </row>
    <row r="609" spans="1:22">
      <c r="A609" s="1951"/>
      <c r="B609" s="1951"/>
      <c r="C609" s="1952"/>
      <c r="D609" s="1952"/>
      <c r="E609" s="1952"/>
      <c r="F609" s="1953"/>
      <c r="G609" s="1953"/>
      <c r="H609" s="1958" t="s">
        <v>595</v>
      </c>
      <c r="I609" s="1998"/>
      <c r="J609" s="1999"/>
      <c r="K609" s="1999"/>
      <c r="L609" s="1958">
        <f>L547</f>
        <v>0</v>
      </c>
      <c r="M609" s="1958">
        <f t="shared" ref="M609:U609" si="98">M547</f>
        <v>0</v>
      </c>
      <c r="N609" s="1958">
        <f t="shared" si="98"/>
        <v>0</v>
      </c>
      <c r="O609" s="1958">
        <f t="shared" si="98"/>
        <v>0</v>
      </c>
      <c r="P609" s="1958">
        <f t="shared" si="98"/>
        <v>0</v>
      </c>
      <c r="Q609" s="1958"/>
      <c r="R609" s="2997">
        <f t="shared" si="98"/>
        <v>0</v>
      </c>
      <c r="S609" s="2997"/>
      <c r="T609" s="2997"/>
      <c r="U609" s="2009">
        <f t="shared" si="98"/>
        <v>0</v>
      </c>
    </row>
    <row r="610" spans="1:22">
      <c r="A610" s="1951"/>
      <c r="B610" s="1951"/>
      <c r="C610" s="1952"/>
      <c r="D610" s="1952"/>
      <c r="E610" s="1952"/>
      <c r="F610" s="1953"/>
      <c r="G610" s="1953"/>
      <c r="H610" s="1958" t="s">
        <v>677</v>
      </c>
      <c r="I610" s="1998"/>
      <c r="J610" s="1999"/>
      <c r="K610" s="1999"/>
      <c r="L610" s="1958">
        <f>L437</f>
        <v>0</v>
      </c>
      <c r="M610" s="1958">
        <f>M437</f>
        <v>0</v>
      </c>
      <c r="N610" s="1958">
        <f>N437</f>
        <v>0</v>
      </c>
      <c r="O610" s="1958">
        <f>O437</f>
        <v>0</v>
      </c>
      <c r="P610" s="1958">
        <f>P437</f>
        <v>0</v>
      </c>
      <c r="Q610" s="1958"/>
      <c r="R610" s="2997" t="e">
        <f>R437</f>
        <v>#DIV/0!</v>
      </c>
      <c r="S610" s="2997"/>
      <c r="T610" s="2997"/>
      <c r="U610" s="2009" t="e">
        <f>#REF!</f>
        <v>#REF!</v>
      </c>
    </row>
    <row r="611" spans="1:22" ht="15.05">
      <c r="A611" s="1951"/>
      <c r="B611" s="1951"/>
      <c r="C611" s="1952"/>
      <c r="D611" s="1952"/>
      <c r="E611" s="1952"/>
      <c r="F611" s="1953"/>
      <c r="G611" s="1953"/>
      <c r="H611" s="2010" t="str">
        <f>F442</f>
        <v>BADAN PENANAMAN MODAL TERPADU</v>
      </c>
      <c r="I611" s="2040"/>
      <c r="J611" s="2041"/>
      <c r="K611" s="2041"/>
      <c r="L611" s="2042">
        <f>L442</f>
        <v>0</v>
      </c>
      <c r="M611" s="2042">
        <f>M442</f>
        <v>0</v>
      </c>
      <c r="N611" s="2042">
        <f>N442</f>
        <v>0</v>
      </c>
      <c r="O611" s="2042">
        <f>O442</f>
        <v>0</v>
      </c>
      <c r="P611" s="2042">
        <f>P442</f>
        <v>0</v>
      </c>
      <c r="Q611" s="2042"/>
      <c r="R611" s="3000" t="e">
        <f>R442</f>
        <v>#DIV/0!</v>
      </c>
      <c r="S611" s="3000"/>
      <c r="T611" s="3000"/>
      <c r="U611" s="2042">
        <f>U442</f>
        <v>0</v>
      </c>
    </row>
    <row r="612" spans="1:22" s="1841" customFormat="1">
      <c r="A612" s="1951"/>
      <c r="B612" s="1951"/>
      <c r="C612" s="1952"/>
      <c r="D612" s="1952"/>
      <c r="E612" s="1952"/>
      <c r="F612" s="2011"/>
      <c r="G612" s="2011"/>
      <c r="H612" s="2012" t="s">
        <v>678</v>
      </c>
      <c r="I612" s="2043"/>
      <c r="J612" s="2044"/>
      <c r="K612" s="2044"/>
      <c r="L612" s="2045">
        <f>L545</f>
        <v>0</v>
      </c>
      <c r="M612" s="2045">
        <f t="shared" ref="M612:R612" si="99">M545</f>
        <v>0</v>
      </c>
      <c r="N612" s="2045">
        <f t="shared" si="99"/>
        <v>0</v>
      </c>
      <c r="O612" s="2046">
        <f t="shared" si="99"/>
        <v>0</v>
      </c>
      <c r="P612" s="2045">
        <f t="shared" si="99"/>
        <v>0</v>
      </c>
      <c r="Q612" s="2045"/>
      <c r="R612" s="3001">
        <f t="shared" si="99"/>
        <v>0</v>
      </c>
      <c r="S612" s="3001"/>
      <c r="T612" s="3001"/>
      <c r="U612" s="2066" t="e">
        <f>#REF!</f>
        <v>#REF!</v>
      </c>
      <c r="V612" s="2067"/>
    </row>
    <row r="613" spans="1:22" ht="15.65">
      <c r="A613" s="1951"/>
      <c r="B613" s="1951"/>
      <c r="C613" s="1952"/>
      <c r="D613" s="1952"/>
      <c r="E613" s="1952"/>
      <c r="F613" s="1953"/>
      <c r="G613" s="1953"/>
      <c r="H613" s="2013" t="s">
        <v>679</v>
      </c>
      <c r="I613" s="1998"/>
      <c r="J613" s="1999"/>
      <c r="K613" s="1999"/>
      <c r="L613" s="1958">
        <f>L514</f>
        <v>0</v>
      </c>
      <c r="M613" s="1958">
        <f t="shared" ref="M613:U613" si="100">M514</f>
        <v>0</v>
      </c>
      <c r="N613" s="1958">
        <f t="shared" si="100"/>
        <v>0</v>
      </c>
      <c r="O613" s="1958">
        <f t="shared" si="100"/>
        <v>0</v>
      </c>
      <c r="P613" s="1958">
        <f t="shared" si="100"/>
        <v>0</v>
      </c>
      <c r="Q613" s="1958"/>
      <c r="R613" s="2997">
        <f t="shared" si="100"/>
        <v>0</v>
      </c>
      <c r="S613" s="2997"/>
      <c r="T613" s="2997"/>
      <c r="U613" s="2009">
        <f t="shared" si="100"/>
        <v>0</v>
      </c>
    </row>
    <row r="614" spans="1:22" ht="15.05">
      <c r="A614" s="1951"/>
      <c r="B614" s="1951"/>
      <c r="C614" s="1952"/>
      <c r="D614" s="1952"/>
      <c r="E614" s="1952"/>
      <c r="F614" s="1953" t="s">
        <v>50</v>
      </c>
      <c r="G614" s="1953"/>
      <c r="H614" s="1960" t="s">
        <v>568</v>
      </c>
      <c r="I614" s="1989"/>
      <c r="J614" s="1989"/>
      <c r="K614" s="1989"/>
      <c r="L614" s="1988">
        <f t="shared" ref="L614:R614" si="101">L551</f>
        <v>0</v>
      </c>
      <c r="M614" s="1988">
        <f t="shared" si="101"/>
        <v>913000</v>
      </c>
      <c r="N614" s="1988">
        <f t="shared" si="101"/>
        <v>0</v>
      </c>
      <c r="O614" s="2001">
        <f t="shared" si="101"/>
        <v>913000</v>
      </c>
      <c r="P614" s="1988">
        <f t="shared" si="101"/>
        <v>0</v>
      </c>
      <c r="Q614" s="1988"/>
      <c r="R614" s="2996">
        <f t="shared" si="101"/>
        <v>0</v>
      </c>
      <c r="S614" s="2996"/>
      <c r="T614" s="2996"/>
      <c r="U614" s="2009" t="e">
        <f>#REF!</f>
        <v>#REF!</v>
      </c>
    </row>
    <row r="615" spans="1:22" ht="15.05">
      <c r="A615" s="1951"/>
      <c r="B615" s="1951"/>
      <c r="C615" s="1952"/>
      <c r="D615" s="1952"/>
      <c r="E615" s="1952"/>
      <c r="F615" s="1953"/>
      <c r="G615" s="1953"/>
      <c r="H615" s="1960" t="s">
        <v>680</v>
      </c>
      <c r="I615" s="1989"/>
      <c r="J615" s="1989"/>
      <c r="K615" s="1989"/>
      <c r="L615" s="1988">
        <f t="shared" ref="L615:R615" si="102">L503</f>
        <v>0</v>
      </c>
      <c r="M615" s="1988">
        <f t="shared" si="102"/>
        <v>720000</v>
      </c>
      <c r="N615" s="1988">
        <f t="shared" si="102"/>
        <v>0</v>
      </c>
      <c r="O615" s="1988">
        <f t="shared" si="102"/>
        <v>720000</v>
      </c>
      <c r="P615" s="1988">
        <f t="shared" si="102"/>
        <v>0</v>
      </c>
      <c r="Q615" s="1988"/>
      <c r="R615" s="2996">
        <f t="shared" si="102"/>
        <v>0</v>
      </c>
      <c r="S615" s="2996"/>
      <c r="T615" s="2996"/>
      <c r="U615" s="2009" t="e">
        <f>#REF!</f>
        <v>#REF!</v>
      </c>
    </row>
    <row r="616" spans="1:22" ht="15.05">
      <c r="A616" s="1951"/>
      <c r="B616" s="1951"/>
      <c r="C616" s="1952"/>
      <c r="D616" s="1952"/>
      <c r="E616" s="1952"/>
      <c r="F616" s="1953" t="s">
        <v>50</v>
      </c>
      <c r="G616" s="1953"/>
      <c r="H616" s="1960" t="s">
        <v>589</v>
      </c>
      <c r="I616" s="1989"/>
      <c r="J616" s="1989"/>
      <c r="K616" s="1989"/>
      <c r="L616" s="1988">
        <f t="shared" ref="L616:R616" si="103">L491</f>
        <v>0</v>
      </c>
      <c r="M616" s="1988">
        <f t="shared" si="103"/>
        <v>140000</v>
      </c>
      <c r="N616" s="1988">
        <f t="shared" si="103"/>
        <v>0</v>
      </c>
      <c r="O616" s="1988">
        <f t="shared" si="103"/>
        <v>140000</v>
      </c>
      <c r="P616" s="1988">
        <f t="shared" si="103"/>
        <v>0</v>
      </c>
      <c r="Q616" s="1988"/>
      <c r="R616" s="2996">
        <f t="shared" si="103"/>
        <v>0</v>
      </c>
      <c r="S616" s="2996"/>
      <c r="T616" s="2996"/>
      <c r="U616" s="2009" t="e">
        <f>#REF!</f>
        <v>#REF!</v>
      </c>
    </row>
    <row r="617" spans="1:22" ht="15.05">
      <c r="A617" s="1951"/>
      <c r="B617" s="1951"/>
      <c r="C617" s="1952"/>
      <c r="D617" s="1952"/>
      <c r="E617" s="1952"/>
      <c r="F617" s="1953" t="s">
        <v>50</v>
      </c>
      <c r="G617" s="1953"/>
      <c r="H617" s="1960" t="s">
        <v>681</v>
      </c>
      <c r="I617" s="1989"/>
      <c r="J617" s="1989"/>
      <c r="K617" s="1989"/>
      <c r="L617" s="1988">
        <f t="shared" ref="L617:R617" si="104">L494</f>
        <v>0</v>
      </c>
      <c r="M617" s="1988">
        <f t="shared" si="104"/>
        <v>0</v>
      </c>
      <c r="N617" s="1988">
        <f t="shared" si="104"/>
        <v>0</v>
      </c>
      <c r="O617" s="2001">
        <f t="shared" si="104"/>
        <v>0</v>
      </c>
      <c r="P617" s="1988">
        <f t="shared" si="104"/>
        <v>0</v>
      </c>
      <c r="Q617" s="1988"/>
      <c r="R617" s="2996">
        <f t="shared" si="104"/>
        <v>0</v>
      </c>
      <c r="S617" s="2996"/>
      <c r="T617" s="2996"/>
      <c r="U617" s="2009" t="e">
        <f>#REF!</f>
        <v>#REF!</v>
      </c>
    </row>
    <row r="618" spans="1:22" ht="15.05">
      <c r="A618" s="1951"/>
      <c r="B618" s="1951"/>
      <c r="C618" s="1952"/>
      <c r="D618" s="1952"/>
      <c r="E618" s="1952"/>
      <c r="F618" s="1953"/>
      <c r="G618" s="1953"/>
      <c r="H618" s="1960" t="s">
        <v>609</v>
      </c>
      <c r="I618" s="1989"/>
      <c r="J618" s="1989"/>
      <c r="K618" s="1989"/>
      <c r="L618" s="1988">
        <f t="shared" ref="L618:R618" si="105">L497</f>
        <v>0</v>
      </c>
      <c r="M618" s="1988">
        <f t="shared" si="105"/>
        <v>0</v>
      </c>
      <c r="N618" s="1988">
        <f t="shared" si="105"/>
        <v>0</v>
      </c>
      <c r="O618" s="2001">
        <f t="shared" si="105"/>
        <v>0</v>
      </c>
      <c r="P618" s="1988">
        <f t="shared" si="105"/>
        <v>0</v>
      </c>
      <c r="Q618" s="1988"/>
      <c r="R618" s="2996">
        <f t="shared" si="105"/>
        <v>0</v>
      </c>
      <c r="S618" s="2996"/>
      <c r="T618" s="2996"/>
      <c r="U618" s="2009" t="e">
        <f>#REF!</f>
        <v>#REF!</v>
      </c>
    </row>
    <row r="619" spans="1:22" ht="15.05">
      <c r="A619" s="1951"/>
      <c r="B619" s="1951"/>
      <c r="C619" s="1952"/>
      <c r="D619" s="1952"/>
      <c r="E619" s="1952"/>
      <c r="F619" s="1953" t="s">
        <v>50</v>
      </c>
      <c r="G619" s="1953"/>
      <c r="H619" s="2014" t="s">
        <v>682</v>
      </c>
      <c r="I619" s="1998"/>
      <c r="J619" s="1998"/>
      <c r="K619" s="1998"/>
      <c r="L619" s="2009"/>
      <c r="M619" s="2009">
        <f t="shared" ref="M619:U619" si="106">M485</f>
        <v>0</v>
      </c>
      <c r="N619" s="2009">
        <f t="shared" si="106"/>
        <v>0</v>
      </c>
      <c r="O619" s="2009">
        <f t="shared" si="106"/>
        <v>0</v>
      </c>
      <c r="P619" s="2009">
        <f t="shared" si="106"/>
        <v>1508491400</v>
      </c>
      <c r="Q619" s="2009"/>
      <c r="R619" s="3002">
        <f t="shared" si="106"/>
        <v>0</v>
      </c>
      <c r="S619" s="3002"/>
      <c r="T619" s="3002"/>
      <c r="U619" s="2009">
        <f t="shared" si="106"/>
        <v>0</v>
      </c>
    </row>
    <row r="620" spans="1:22" ht="12.55">
      <c r="A620" s="2015"/>
      <c r="B620" s="2015"/>
      <c r="C620" s="2016"/>
      <c r="D620" s="2016"/>
      <c r="E620" s="2016"/>
      <c r="F620" s="2017" t="s">
        <v>50</v>
      </c>
      <c r="G620" s="2017"/>
      <c r="H620" s="2018"/>
      <c r="I620" s="2047"/>
      <c r="J620" s="2047"/>
      <c r="K620" s="2047"/>
      <c r="L620" s="2048"/>
      <c r="M620" s="2048"/>
      <c r="N620" s="2048"/>
      <c r="O620" s="2048"/>
      <c r="P620" s="2048"/>
      <c r="Q620" s="2048"/>
      <c r="R620" s="3003"/>
      <c r="S620" s="3003"/>
      <c r="T620" s="3003"/>
      <c r="U620" s="2048"/>
    </row>
    <row r="621" spans="1:22">
      <c r="F621" s="2019"/>
      <c r="G621" s="2019"/>
      <c r="H621" s="1843"/>
    </row>
    <row r="622" spans="1:22">
      <c r="F622" s="2019"/>
      <c r="G622" s="2019"/>
      <c r="H622" s="1843"/>
      <c r="L622" s="1982" t="s">
        <v>665</v>
      </c>
      <c r="M622" s="1982"/>
      <c r="N622" s="1982" t="s">
        <v>666</v>
      </c>
    </row>
    <row r="623" spans="1:22" ht="16.45" customHeight="1">
      <c r="A623" s="2020"/>
      <c r="B623" s="2020"/>
      <c r="C623" s="2021"/>
      <c r="D623" s="2021"/>
      <c r="E623" s="2021"/>
      <c r="F623" s="2022"/>
      <c r="G623" s="2022"/>
      <c r="H623" s="5802" t="s">
        <v>683</v>
      </c>
      <c r="I623" s="5803"/>
      <c r="J623" s="2049"/>
      <c r="K623" s="2049"/>
      <c r="L623" s="2050">
        <f>SUM(L624:L635)</f>
        <v>0</v>
      </c>
      <c r="M623" s="2050">
        <f>SUM(M624:M635)</f>
        <v>10809500</v>
      </c>
      <c r="N623" s="2050">
        <f>SUM(N624:N635)</f>
        <v>0</v>
      </c>
      <c r="O623" s="2050">
        <f>N623+M623</f>
        <v>10809500</v>
      </c>
      <c r="P623" s="2050" t="e">
        <f>P624+#REF!+P626+P628+P631+P634+P635+P632</f>
        <v>#REF!</v>
      </c>
      <c r="Q623" s="2050"/>
      <c r="R623" s="3004" t="e">
        <f>R624+#REF!+R626+R628+R631+R634+R635</f>
        <v>#REF!</v>
      </c>
      <c r="S623" s="3735"/>
      <c r="T623" s="3735"/>
      <c r="U623" s="1831"/>
    </row>
    <row r="624" spans="1:22">
      <c r="A624" s="2023"/>
      <c r="B624" s="2023"/>
      <c r="C624" s="2007"/>
      <c r="D624" s="2007"/>
      <c r="E624" s="2007"/>
      <c r="F624" s="2024" t="s">
        <v>50</v>
      </c>
      <c r="G624" s="2025"/>
      <c r="H624" s="2026" t="s">
        <v>684</v>
      </c>
      <c r="I624" s="2051"/>
      <c r="J624" s="2051"/>
      <c r="K624" s="2051"/>
      <c r="L624" s="2052">
        <f>L456</f>
        <v>0</v>
      </c>
      <c r="M624" s="2052">
        <f>M456</f>
        <v>0</v>
      </c>
      <c r="N624" s="2052">
        <f>N456</f>
        <v>0</v>
      </c>
      <c r="O624" s="2052">
        <f>O456</f>
        <v>0</v>
      </c>
      <c r="P624" s="2052">
        <f>P456</f>
        <v>0</v>
      </c>
      <c r="Q624" s="2052"/>
      <c r="R624" s="3005">
        <f>R456</f>
        <v>0</v>
      </c>
      <c r="S624" s="2998"/>
      <c r="T624" s="2998"/>
      <c r="U624" s="1996">
        <f>U456</f>
        <v>0</v>
      </c>
    </row>
    <row r="625" spans="1:21">
      <c r="A625" s="2027"/>
      <c r="B625" s="2027"/>
      <c r="C625" s="2028"/>
      <c r="D625" s="2028"/>
      <c r="E625" s="2028"/>
      <c r="F625" s="1953" t="s">
        <v>50</v>
      </c>
      <c r="G625" s="2029"/>
      <c r="H625" s="2030" t="s">
        <v>685</v>
      </c>
      <c r="I625" s="2053"/>
      <c r="J625" s="2053"/>
      <c r="K625" s="2053"/>
      <c r="L625" s="2054">
        <v>0</v>
      </c>
      <c r="M625" s="2054">
        <f>M455</f>
        <v>0</v>
      </c>
      <c r="N625" s="2054">
        <f>N455</f>
        <v>0</v>
      </c>
      <c r="O625" s="2054">
        <f>O455</f>
        <v>0</v>
      </c>
      <c r="P625" s="2054">
        <f>P455</f>
        <v>198040000</v>
      </c>
      <c r="Q625" s="2054"/>
      <c r="R625" s="3006">
        <f>R455</f>
        <v>0</v>
      </c>
      <c r="S625" s="3736"/>
      <c r="T625" s="3736"/>
      <c r="U625" s="1996"/>
    </row>
    <row r="626" spans="1:21" ht="15.05">
      <c r="A626" s="1951"/>
      <c r="B626" s="1951"/>
      <c r="C626" s="1952"/>
      <c r="D626" s="1952"/>
      <c r="E626" s="1952"/>
      <c r="F626" s="1953" t="s">
        <v>50</v>
      </c>
      <c r="G626" s="1953"/>
      <c r="H626" s="1960" t="s">
        <v>570</v>
      </c>
      <c r="I626" s="1989"/>
      <c r="J626" s="1989"/>
      <c r="K626" s="1989"/>
      <c r="L626" s="1988">
        <f t="shared" ref="L626:R626" si="107">L511</f>
        <v>0</v>
      </c>
      <c r="M626" s="1988">
        <f t="shared" si="107"/>
        <v>10809500</v>
      </c>
      <c r="N626" s="1988">
        <f t="shared" si="107"/>
        <v>0</v>
      </c>
      <c r="O626" s="1988">
        <f t="shared" si="107"/>
        <v>10809500</v>
      </c>
      <c r="P626" s="1988">
        <f t="shared" si="107"/>
        <v>0</v>
      </c>
      <c r="Q626" s="1988"/>
      <c r="R626" s="2996">
        <f t="shared" si="107"/>
        <v>0</v>
      </c>
      <c r="S626" s="2998"/>
      <c r="T626" s="2998"/>
      <c r="U626" s="1996"/>
    </row>
    <row r="627" spans="1:21" ht="15.05">
      <c r="A627" s="1951"/>
      <c r="B627" s="1951"/>
      <c r="C627" s="1952"/>
      <c r="D627" s="1952"/>
      <c r="E627" s="1952"/>
      <c r="F627" s="1953" t="s">
        <v>50</v>
      </c>
      <c r="G627" s="2031"/>
      <c r="H627" s="1960" t="s">
        <v>686</v>
      </c>
      <c r="I627" s="1989"/>
      <c r="J627" s="1989"/>
      <c r="K627" s="1989"/>
      <c r="L627" s="1988">
        <f>L504</f>
        <v>0</v>
      </c>
      <c r="M627" s="1988">
        <f t="shared" ref="M627:U627" si="108">M504</f>
        <v>0</v>
      </c>
      <c r="N627" s="1988">
        <f t="shared" si="108"/>
        <v>0</v>
      </c>
      <c r="O627" s="1988">
        <f t="shared" si="108"/>
        <v>0</v>
      </c>
      <c r="P627" s="1988">
        <f t="shared" si="108"/>
        <v>0</v>
      </c>
      <c r="Q627" s="1988"/>
      <c r="R627" s="2996">
        <f t="shared" si="108"/>
        <v>0</v>
      </c>
      <c r="S627" s="2996"/>
      <c r="T627" s="2996"/>
      <c r="U627" s="1988">
        <f t="shared" si="108"/>
        <v>0</v>
      </c>
    </row>
    <row r="628" spans="1:21">
      <c r="A628" s="1951"/>
      <c r="B628" s="1951"/>
      <c r="C628" s="1952"/>
      <c r="D628" s="1952"/>
      <c r="E628" s="1952"/>
      <c r="F628" s="1953" t="s">
        <v>50</v>
      </c>
      <c r="G628" s="2031"/>
      <c r="H628" s="2032" t="s">
        <v>687</v>
      </c>
      <c r="I628" s="1989"/>
      <c r="J628" s="1989"/>
      <c r="K628" s="1989"/>
      <c r="L628" s="1988">
        <f>L506</f>
        <v>0</v>
      </c>
      <c r="M628" s="1988">
        <f t="shared" ref="M628:U628" si="109">M506</f>
        <v>0</v>
      </c>
      <c r="N628" s="1988">
        <f t="shared" si="109"/>
        <v>0</v>
      </c>
      <c r="O628" s="1988">
        <f t="shared" si="109"/>
        <v>0</v>
      </c>
      <c r="P628" s="1988">
        <f t="shared" si="109"/>
        <v>0</v>
      </c>
      <c r="Q628" s="1988"/>
      <c r="R628" s="2996">
        <f t="shared" si="109"/>
        <v>0</v>
      </c>
      <c r="S628" s="2998"/>
      <c r="T628" s="2998"/>
      <c r="U628" s="1996">
        <f t="shared" si="109"/>
        <v>0</v>
      </c>
    </row>
    <row r="629" spans="1:21" ht="15.05">
      <c r="A629" s="1951"/>
      <c r="B629" s="1951"/>
      <c r="C629" s="1952"/>
      <c r="D629" s="1952"/>
      <c r="E629" s="1952"/>
      <c r="F629" s="1953"/>
      <c r="G629" s="2031"/>
      <c r="H629" s="1960" t="s">
        <v>688</v>
      </c>
      <c r="I629" s="1989"/>
      <c r="J629" s="1989"/>
      <c r="K629" s="1989"/>
      <c r="L629" s="1988">
        <f>L498</f>
        <v>0</v>
      </c>
      <c r="M629" s="1988">
        <f t="shared" ref="M629:R629" si="110">M498</f>
        <v>0</v>
      </c>
      <c r="N629" s="1988">
        <f t="shared" si="110"/>
        <v>0</v>
      </c>
      <c r="O629" s="1988">
        <f t="shared" si="110"/>
        <v>0</v>
      </c>
      <c r="P629" s="1988">
        <f t="shared" si="110"/>
        <v>0</v>
      </c>
      <c r="Q629" s="1988"/>
      <c r="R629" s="2996">
        <f t="shared" si="110"/>
        <v>0</v>
      </c>
      <c r="S629" s="2998"/>
      <c r="T629" s="2998"/>
      <c r="U629" s="1996"/>
    </row>
    <row r="630" spans="1:21" ht="15.05">
      <c r="A630" s="1951"/>
      <c r="B630" s="1951"/>
      <c r="C630" s="1952"/>
      <c r="D630" s="1952"/>
      <c r="E630" s="1952"/>
      <c r="F630" s="1953" t="s">
        <v>50</v>
      </c>
      <c r="G630" s="2031"/>
      <c r="H630" s="1960" t="s">
        <v>689</v>
      </c>
      <c r="I630" s="1989"/>
      <c r="J630" s="1989"/>
      <c r="K630" s="1989"/>
      <c r="L630" s="1988">
        <f>L500</f>
        <v>0</v>
      </c>
      <c r="M630" s="1988">
        <f t="shared" ref="M630:U630" si="111">M500</f>
        <v>0</v>
      </c>
      <c r="N630" s="1988">
        <f t="shared" si="111"/>
        <v>0</v>
      </c>
      <c r="O630" s="1988">
        <f t="shared" si="111"/>
        <v>0</v>
      </c>
      <c r="P630" s="1988">
        <f t="shared" si="111"/>
        <v>0</v>
      </c>
      <c r="Q630" s="1988"/>
      <c r="R630" s="2996">
        <f t="shared" si="111"/>
        <v>0</v>
      </c>
      <c r="S630" s="2998"/>
      <c r="T630" s="2998"/>
      <c r="U630" s="1996">
        <f t="shared" si="111"/>
        <v>0</v>
      </c>
    </row>
    <row r="631" spans="1:21" ht="15.05">
      <c r="A631" s="1951"/>
      <c r="B631" s="1951"/>
      <c r="C631" s="1952"/>
      <c r="D631" s="1952"/>
      <c r="E631" s="1952"/>
      <c r="F631" s="1953"/>
      <c r="G631" s="2031"/>
      <c r="H631" s="1960" t="s">
        <v>690</v>
      </c>
      <c r="I631" s="1989"/>
      <c r="J631" s="1989"/>
      <c r="K631" s="1989"/>
      <c r="L631" s="1988">
        <f>L539</f>
        <v>0</v>
      </c>
      <c r="M631" s="1988">
        <f t="shared" ref="M631:U631" si="112">M539</f>
        <v>0</v>
      </c>
      <c r="N631" s="1988">
        <f t="shared" si="112"/>
        <v>0</v>
      </c>
      <c r="O631" s="1988">
        <f t="shared" si="112"/>
        <v>0</v>
      </c>
      <c r="P631" s="1988">
        <f t="shared" si="112"/>
        <v>0</v>
      </c>
      <c r="Q631" s="1988"/>
      <c r="R631" s="2996">
        <f t="shared" si="112"/>
        <v>0</v>
      </c>
      <c r="S631" s="2998"/>
      <c r="T631" s="2998"/>
      <c r="U631" s="1996">
        <f t="shared" si="112"/>
        <v>0</v>
      </c>
    </row>
    <row r="632" spans="1:21" ht="15.05">
      <c r="A632" s="1951"/>
      <c r="B632" s="1951"/>
      <c r="C632" s="1952"/>
      <c r="D632" s="1952"/>
      <c r="E632" s="1952"/>
      <c r="F632" s="1953"/>
      <c r="G632" s="2031"/>
      <c r="H632" s="1960" t="s">
        <v>691</v>
      </c>
      <c r="I632" s="1989"/>
      <c r="J632" s="1989"/>
      <c r="K632" s="1989"/>
      <c r="L632" s="1988">
        <f>L543</f>
        <v>0</v>
      </c>
      <c r="M632" s="1988">
        <f t="shared" ref="M632:R632" si="113">M543</f>
        <v>0</v>
      </c>
      <c r="N632" s="1988">
        <f t="shared" si="113"/>
        <v>0</v>
      </c>
      <c r="O632" s="1988">
        <f t="shared" si="113"/>
        <v>0</v>
      </c>
      <c r="P632" s="1988">
        <f t="shared" si="113"/>
        <v>0</v>
      </c>
      <c r="Q632" s="1988"/>
      <c r="R632" s="2996">
        <f t="shared" si="113"/>
        <v>0</v>
      </c>
      <c r="S632" s="2998"/>
      <c r="T632" s="2998"/>
      <c r="U632" s="1996"/>
    </row>
    <row r="633" spans="1:21" ht="15.05">
      <c r="A633" s="1951"/>
      <c r="B633" s="1951"/>
      <c r="C633" s="1952"/>
      <c r="D633" s="1952"/>
      <c r="E633" s="1952"/>
      <c r="F633" s="1953"/>
      <c r="G633" s="2031"/>
      <c r="H633" s="1960" t="s">
        <v>651</v>
      </c>
      <c r="I633" s="1989"/>
      <c r="J633" s="1989"/>
      <c r="K633" s="1989"/>
      <c r="L633" s="1988">
        <f t="shared" ref="L633:R633" si="114">L558</f>
        <v>0</v>
      </c>
      <c r="M633" s="1988">
        <f t="shared" si="114"/>
        <v>0</v>
      </c>
      <c r="N633" s="1988">
        <f t="shared" si="114"/>
        <v>0</v>
      </c>
      <c r="O633" s="1988">
        <f t="shared" si="114"/>
        <v>0</v>
      </c>
      <c r="P633" s="1988">
        <f t="shared" si="114"/>
        <v>0</v>
      </c>
      <c r="Q633" s="1988"/>
      <c r="R633" s="2996">
        <f t="shared" si="114"/>
        <v>0</v>
      </c>
      <c r="S633" s="2998"/>
      <c r="T633" s="2998"/>
      <c r="U633" s="1996"/>
    </row>
    <row r="634" spans="1:21" ht="15.05">
      <c r="A634" s="1951"/>
      <c r="B634" s="1951"/>
      <c r="C634" s="1952"/>
      <c r="D634" s="1952"/>
      <c r="E634" s="1952"/>
      <c r="F634" s="2758" t="s">
        <v>50</v>
      </c>
      <c r="G634" s="2031"/>
      <c r="H634" s="2033" t="s">
        <v>692</v>
      </c>
      <c r="I634" s="1989"/>
      <c r="J634" s="1989"/>
      <c r="K634" s="1989"/>
      <c r="L634" s="2055">
        <f>L465</f>
        <v>0</v>
      </c>
      <c r="M634" s="2055">
        <f>M465</f>
        <v>0</v>
      </c>
      <c r="N634" s="2055">
        <f>N465</f>
        <v>0</v>
      </c>
      <c r="O634" s="2055">
        <f>O465</f>
        <v>0</v>
      </c>
      <c r="P634" s="2055">
        <f>P465</f>
        <v>0</v>
      </c>
      <c r="Q634" s="2055"/>
      <c r="R634" s="2996">
        <f>R465</f>
        <v>0</v>
      </c>
      <c r="S634" s="2998"/>
      <c r="T634" s="2998"/>
      <c r="U634" s="2068">
        <f>U465</f>
        <v>0</v>
      </c>
    </row>
    <row r="635" spans="1:21" ht="15.05">
      <c r="A635" s="2015"/>
      <c r="B635" s="2015"/>
      <c r="C635" s="2016"/>
      <c r="D635" s="2016"/>
      <c r="E635" s="2016"/>
      <c r="F635" s="2017" t="s">
        <v>50</v>
      </c>
      <c r="G635" s="2034"/>
      <c r="H635" s="2035" t="s">
        <v>693</v>
      </c>
      <c r="I635" s="2056"/>
      <c r="J635" s="2056"/>
      <c r="K635" s="2056"/>
      <c r="L635" s="2057">
        <f t="shared" ref="L635:R635" si="115">L549</f>
        <v>0</v>
      </c>
      <c r="M635" s="2057">
        <f t="shared" si="115"/>
        <v>0</v>
      </c>
      <c r="N635" s="2057">
        <f t="shared" si="115"/>
        <v>0</v>
      </c>
      <c r="O635" s="2057">
        <f t="shared" si="115"/>
        <v>0</v>
      </c>
      <c r="P635" s="2057">
        <f t="shared" si="115"/>
        <v>0</v>
      </c>
      <c r="Q635" s="2057"/>
      <c r="R635" s="3007">
        <f t="shared" si="115"/>
        <v>0</v>
      </c>
      <c r="S635" s="3737"/>
      <c r="T635" s="3737"/>
    </row>
    <row r="636" spans="1:21">
      <c r="U636" s="2069" t="s">
        <v>694</v>
      </c>
    </row>
    <row r="637" spans="1:21" ht="15.05">
      <c r="A637" s="2020"/>
      <c r="B637" s="2020"/>
      <c r="C637" s="2021"/>
      <c r="D637" s="2021"/>
      <c r="E637" s="2021"/>
      <c r="F637" s="2036"/>
      <c r="G637" s="2036"/>
      <c r="H637" s="2036" t="s">
        <v>695</v>
      </c>
      <c r="I637" s="2058"/>
      <c r="J637" s="2058"/>
      <c r="K637" s="2058"/>
      <c r="L637" s="2059" t="e">
        <f>SUM(L638:L640)</f>
        <v>#REF!</v>
      </c>
      <c r="M637" s="2059" t="e">
        <f>SUM(M638:M640)</f>
        <v>#REF!</v>
      </c>
      <c r="N637" s="2059" t="e">
        <f>SUM(N638:N640)</f>
        <v>#REF!</v>
      </c>
      <c r="O637" s="2059" t="e">
        <f>N637+M637</f>
        <v>#REF!</v>
      </c>
      <c r="P637" s="2059" t="e">
        <f>SUM(P638:P639)</f>
        <v>#REF!</v>
      </c>
      <c r="Q637" s="2059"/>
      <c r="R637" s="3008" t="e">
        <f>O637/L637*100</f>
        <v>#REF!</v>
      </c>
      <c r="S637" s="3738"/>
      <c r="T637" s="3738"/>
    </row>
    <row r="638" spans="1:21">
      <c r="A638" s="1951"/>
      <c r="B638" s="1951"/>
      <c r="C638" s="1952"/>
      <c r="D638" s="1952"/>
      <c r="E638" s="1952"/>
      <c r="F638" s="1953" t="s">
        <v>50</v>
      </c>
      <c r="G638" s="1953"/>
      <c r="H638" s="2032" t="s">
        <v>696</v>
      </c>
      <c r="I638" s="1989"/>
      <c r="J638" s="1989"/>
      <c r="K638" s="1989"/>
      <c r="L638" s="1988">
        <f>L373</f>
        <v>125000000000</v>
      </c>
      <c r="M638" s="1988">
        <f>M373</f>
        <v>19046122482.029999</v>
      </c>
      <c r="N638" s="1988">
        <f>N373</f>
        <v>12944839389.030001</v>
      </c>
      <c r="O638" s="2060">
        <f>O373</f>
        <v>31990961871.060001</v>
      </c>
      <c r="P638" s="1988">
        <f>P373</f>
        <v>125000000000</v>
      </c>
      <c r="Q638" s="1988"/>
      <c r="R638" s="3009">
        <f>O638/L638*100</f>
        <v>25.592769496848</v>
      </c>
      <c r="S638" s="3739"/>
      <c r="T638" s="3739"/>
    </row>
    <row r="639" spans="1:21">
      <c r="A639" s="1951"/>
      <c r="B639" s="1951"/>
      <c r="C639" s="1952"/>
      <c r="D639" s="1952"/>
      <c r="E639" s="1952"/>
      <c r="F639" s="1953"/>
      <c r="G639" s="1953"/>
      <c r="H639" s="2032" t="s">
        <v>697</v>
      </c>
      <c r="I639" s="1989"/>
      <c r="J639" s="1989"/>
      <c r="K639" s="1989"/>
      <c r="L639" s="1988" t="e">
        <f>#REF!</f>
        <v>#REF!</v>
      </c>
      <c r="M639" s="1988" t="e">
        <f>#REF!</f>
        <v>#REF!</v>
      </c>
      <c r="N639" s="1988" t="e">
        <f>#REF!</f>
        <v>#REF!</v>
      </c>
      <c r="O639" s="1988" t="e">
        <f>#REF!</f>
        <v>#REF!</v>
      </c>
      <c r="P639" s="1988" t="e">
        <f>#REF!</f>
        <v>#REF!</v>
      </c>
      <c r="Q639" s="1988"/>
      <c r="R639" s="2996" t="e">
        <f>O639/L639*100</f>
        <v>#REF!</v>
      </c>
      <c r="S639" s="3737"/>
      <c r="T639" s="3737"/>
    </row>
    <row r="640" spans="1:21">
      <c r="A640" s="2015"/>
      <c r="B640" s="2015"/>
      <c r="C640" s="2016"/>
      <c r="D640" s="2016"/>
      <c r="E640" s="2016"/>
      <c r="F640" s="2017" t="s">
        <v>50</v>
      </c>
      <c r="G640" s="2034"/>
      <c r="H640" s="2037" t="s">
        <v>88</v>
      </c>
      <c r="I640" s="2056"/>
      <c r="J640" s="2056"/>
      <c r="K640" s="2056"/>
      <c r="L640" s="2057" t="e">
        <f>#REF!</f>
        <v>#REF!</v>
      </c>
      <c r="M640" s="2057" t="e">
        <f>#REF!</f>
        <v>#REF!</v>
      </c>
      <c r="N640" s="2057" t="e">
        <f>#REF!</f>
        <v>#REF!</v>
      </c>
      <c r="O640" s="2061" t="e">
        <f>#REF!</f>
        <v>#REF!</v>
      </c>
      <c r="P640" s="2061" t="e">
        <f>#REF!</f>
        <v>#REF!</v>
      </c>
      <c r="Q640" s="2061"/>
      <c r="R640" s="3010"/>
    </row>
    <row r="642" spans="1:20" ht="15.05">
      <c r="A642" s="2020"/>
      <c r="B642" s="2020"/>
      <c r="C642" s="2021"/>
      <c r="D642" s="2021"/>
      <c r="E642" s="2021"/>
      <c r="F642" s="2038"/>
      <c r="G642" s="2038"/>
      <c r="H642" s="2038" t="s">
        <v>698</v>
      </c>
      <c r="I642" s="2062"/>
      <c r="J642" s="2062"/>
      <c r="K642" s="2062"/>
      <c r="L642" s="2063">
        <f>SUM(L643:L644)</f>
        <v>3123018400</v>
      </c>
      <c r="M642" s="2063">
        <f>SUM(M643:M644)</f>
        <v>457925000</v>
      </c>
      <c r="N642" s="2063">
        <f>SUM(N643:N644)</f>
        <v>274025000</v>
      </c>
      <c r="O642" s="2063">
        <f>N642+M642</f>
        <v>731950000</v>
      </c>
      <c r="P642" s="2063">
        <f>SUM(P643:P644)</f>
        <v>3123018400</v>
      </c>
      <c r="Q642" s="2063"/>
      <c r="R642" s="3011">
        <f>SUM(R643:R644)</f>
        <v>23.437261848985582</v>
      </c>
      <c r="S642" s="3740"/>
      <c r="T642" s="3740"/>
    </row>
    <row r="643" spans="1:20">
      <c r="A643" s="1951"/>
      <c r="B643" s="1951"/>
      <c r="C643" s="1952"/>
      <c r="D643" s="1952"/>
      <c r="E643" s="1952"/>
      <c r="F643" s="1953" t="s">
        <v>50</v>
      </c>
      <c r="G643" s="1953"/>
      <c r="H643" s="2032" t="s">
        <v>699</v>
      </c>
      <c r="I643" s="1989"/>
      <c r="J643" s="1989"/>
      <c r="K643" s="1989"/>
      <c r="L643" s="1988">
        <f>L470</f>
        <v>3123018400</v>
      </c>
      <c r="M643" s="1988">
        <f>M470</f>
        <v>457925000</v>
      </c>
      <c r="N643" s="1988">
        <f>N470</f>
        <v>274025000</v>
      </c>
      <c r="O643" s="1988">
        <f>O470</f>
        <v>731950000</v>
      </c>
      <c r="P643" s="1988">
        <f>P470</f>
        <v>3123018400</v>
      </c>
      <c r="Q643" s="1988"/>
      <c r="R643" s="2996">
        <f>O643/L643*100</f>
        <v>23.437261848985582</v>
      </c>
      <c r="S643" s="3737"/>
      <c r="T643" s="3737"/>
    </row>
    <row r="644" spans="1:20">
      <c r="A644" s="2015"/>
      <c r="B644" s="2015"/>
      <c r="C644" s="2016"/>
      <c r="D644" s="2016"/>
      <c r="E644" s="2016"/>
      <c r="F644" s="2017" t="s">
        <v>50</v>
      </c>
      <c r="G644" s="2034"/>
      <c r="H644" s="2039"/>
      <c r="I644" s="2064"/>
      <c r="J644" s="2064"/>
      <c r="K644" s="2064"/>
      <c r="L644" s="2061"/>
      <c r="M644" s="2061"/>
      <c r="N644" s="2061"/>
      <c r="O644" s="2061"/>
      <c r="P644" s="2061"/>
      <c r="Q644" s="2061"/>
      <c r="R644" s="3007"/>
      <c r="S644" s="3737"/>
      <c r="T644" s="3737"/>
    </row>
    <row r="647" spans="1:20">
      <c r="P647" s="2065"/>
      <c r="Q647" s="2065"/>
    </row>
    <row r="649" spans="1:20">
      <c r="L649" s="2065"/>
    </row>
    <row r="663" spans="1:22" s="1842" customFormat="1">
      <c r="A663" s="1843"/>
      <c r="B663" s="1843"/>
      <c r="C663" s="1844"/>
      <c r="D663" s="1844"/>
      <c r="E663" s="1844"/>
      <c r="F663" s="1845"/>
      <c r="G663" s="1845"/>
      <c r="H663" s="1844"/>
      <c r="I663" s="1844"/>
      <c r="J663" s="1844"/>
      <c r="K663" s="1844"/>
      <c r="L663" s="1844"/>
      <c r="M663" s="1844"/>
      <c r="N663" s="1844"/>
      <c r="O663" s="1844"/>
      <c r="P663" s="1844"/>
      <c r="Q663" s="1844"/>
      <c r="R663" s="2883"/>
      <c r="S663" s="2883"/>
      <c r="T663" s="2883"/>
      <c r="U663" s="1844"/>
      <c r="V663" s="1846"/>
    </row>
    <row r="664" spans="1:22" s="1842" customFormat="1">
      <c r="A664" s="1843"/>
      <c r="B664" s="1843"/>
      <c r="C664" s="1844"/>
      <c r="D664" s="1844"/>
      <c r="E664" s="1844"/>
      <c r="F664" s="1845"/>
      <c r="G664" s="1845"/>
      <c r="H664" s="1844"/>
      <c r="I664" s="1844"/>
      <c r="J664" s="1844"/>
      <c r="K664" s="1844"/>
      <c r="L664" s="1844"/>
      <c r="M664" s="1844"/>
      <c r="N664" s="1844"/>
      <c r="O664" s="1844"/>
      <c r="P664" s="1844"/>
      <c r="Q664" s="1844"/>
      <c r="R664" s="2883"/>
      <c r="S664" s="2883"/>
      <c r="T664" s="2883"/>
      <c r="U664" s="1844"/>
      <c r="V664" s="1846"/>
    </row>
    <row r="665" spans="1:22" s="1842" customFormat="1">
      <c r="A665" s="1843"/>
      <c r="B665" s="1843"/>
      <c r="C665" s="1844"/>
      <c r="D665" s="1844"/>
      <c r="E665" s="1844"/>
      <c r="F665" s="1845"/>
      <c r="G665" s="1845"/>
      <c r="H665" s="1844"/>
      <c r="I665" s="1844"/>
      <c r="J665" s="1844"/>
      <c r="K665" s="1844"/>
      <c r="L665" s="1844"/>
      <c r="M665" s="1844"/>
      <c r="N665" s="1844"/>
      <c r="O665" s="1844"/>
      <c r="P665" s="1844"/>
      <c r="Q665" s="1844"/>
      <c r="R665" s="2883"/>
      <c r="S665" s="2883"/>
      <c r="T665" s="2883"/>
      <c r="U665" s="1844"/>
      <c r="V665" s="1846"/>
    </row>
    <row r="666" spans="1:22" s="1842" customFormat="1">
      <c r="A666" s="1843"/>
      <c r="B666" s="1843"/>
      <c r="C666" s="1844"/>
      <c r="D666" s="1844"/>
      <c r="E666" s="1844"/>
      <c r="F666" s="1845"/>
      <c r="G666" s="1845"/>
      <c r="H666" s="1844"/>
      <c r="I666" s="1844"/>
      <c r="J666" s="1844"/>
      <c r="K666" s="1844"/>
      <c r="L666" s="1844"/>
      <c r="M666" s="1844"/>
      <c r="N666" s="1844"/>
      <c r="O666" s="1844"/>
      <c r="P666" s="1844"/>
      <c r="Q666" s="1844"/>
      <c r="R666" s="2883"/>
      <c r="S666" s="2883"/>
      <c r="T666" s="2883"/>
      <c r="U666" s="1844"/>
      <c r="V666" s="1846"/>
    </row>
    <row r="667" spans="1:22" s="1842" customFormat="1">
      <c r="A667" s="1843"/>
      <c r="B667" s="1843"/>
      <c r="C667" s="1844"/>
      <c r="D667" s="1844"/>
      <c r="E667" s="1844"/>
      <c r="F667" s="1845"/>
      <c r="G667" s="1845"/>
      <c r="H667" s="1844"/>
      <c r="I667" s="1844"/>
      <c r="J667" s="1844"/>
      <c r="K667" s="1844"/>
      <c r="L667" s="1844"/>
      <c r="M667" s="1844"/>
      <c r="N667" s="1844"/>
      <c r="O667" s="1844"/>
      <c r="P667" s="1844"/>
      <c r="Q667" s="1844"/>
      <c r="R667" s="2883"/>
      <c r="S667" s="2883"/>
      <c r="T667" s="2883"/>
      <c r="U667" s="1844"/>
      <c r="V667" s="1846"/>
    </row>
    <row r="668" spans="1:22" s="1842" customFormat="1">
      <c r="A668" s="1843"/>
      <c r="B668" s="1843"/>
      <c r="C668" s="1844"/>
      <c r="D668" s="1844"/>
      <c r="E668" s="1844"/>
      <c r="F668" s="1845"/>
      <c r="G668" s="1845"/>
      <c r="H668" s="1844"/>
      <c r="I668" s="1844"/>
      <c r="J668" s="1844"/>
      <c r="K668" s="1844"/>
      <c r="L668" s="1844"/>
      <c r="M668" s="1844"/>
      <c r="N668" s="1844"/>
      <c r="O668" s="1844"/>
      <c r="P668" s="1844"/>
      <c r="Q668" s="1844"/>
      <c r="R668" s="2883"/>
      <c r="S668" s="2883"/>
      <c r="T668" s="2883"/>
      <c r="U668" s="1844"/>
      <c r="V668" s="1846"/>
    </row>
    <row r="669" spans="1:22" s="1842" customFormat="1">
      <c r="A669" s="1843"/>
      <c r="B669" s="1843"/>
      <c r="C669" s="1844"/>
      <c r="D669" s="1844"/>
      <c r="E669" s="1844"/>
      <c r="F669" s="1845"/>
      <c r="G669" s="1845"/>
      <c r="H669" s="1844"/>
      <c r="I669" s="1844"/>
      <c r="J669" s="1844"/>
      <c r="K669" s="1844"/>
      <c r="L669" s="1844"/>
      <c r="M669" s="1844"/>
      <c r="N669" s="1844"/>
      <c r="O669" s="1844"/>
      <c r="P669" s="1844"/>
      <c r="Q669" s="1844"/>
      <c r="R669" s="2883"/>
      <c r="S669" s="2883"/>
      <c r="T669" s="2883"/>
      <c r="U669" s="1844"/>
      <c r="V669" s="1846"/>
    </row>
    <row r="670" spans="1:22" s="1842" customFormat="1">
      <c r="A670" s="1843"/>
      <c r="B670" s="1843"/>
      <c r="C670" s="1844"/>
      <c r="D670" s="1844"/>
      <c r="E670" s="1844"/>
      <c r="F670" s="1845"/>
      <c r="G670" s="1845"/>
      <c r="H670" s="1844"/>
      <c r="I670" s="1844"/>
      <c r="J670" s="1844"/>
      <c r="K670" s="1844"/>
      <c r="L670" s="1844"/>
      <c r="M670" s="1844"/>
      <c r="N670" s="1844"/>
      <c r="O670" s="1844"/>
      <c r="P670" s="1844"/>
      <c r="Q670" s="1844"/>
      <c r="R670" s="2883"/>
      <c r="S670" s="2883"/>
      <c r="T670" s="2883"/>
      <c r="U670" s="1844"/>
      <c r="V670" s="1846"/>
    </row>
    <row r="671" spans="1:22" s="1842" customFormat="1">
      <c r="A671" s="1843"/>
      <c r="B671" s="1843"/>
      <c r="C671" s="1844"/>
      <c r="D671" s="1844"/>
      <c r="E671" s="1844"/>
      <c r="F671" s="1845"/>
      <c r="G671" s="1845"/>
      <c r="H671" s="1844"/>
      <c r="I671" s="1844"/>
      <c r="J671" s="1844"/>
      <c r="K671" s="1844"/>
      <c r="L671" s="1844"/>
      <c r="M671" s="1844"/>
      <c r="N671" s="1844"/>
      <c r="O671" s="1844"/>
      <c r="P671" s="1844"/>
      <c r="Q671" s="1844"/>
      <c r="R671" s="2883"/>
      <c r="S671" s="2883"/>
      <c r="T671" s="2883"/>
      <c r="U671" s="1844"/>
      <c r="V671" s="1846"/>
    </row>
    <row r="672" spans="1:22" s="1842" customFormat="1">
      <c r="A672" s="1843"/>
      <c r="B672" s="1843"/>
      <c r="C672" s="1844"/>
      <c r="D672" s="1844"/>
      <c r="E672" s="1844"/>
      <c r="F672" s="1845"/>
      <c r="G672" s="1845"/>
      <c r="H672" s="1844"/>
      <c r="I672" s="1844"/>
      <c r="J672" s="1844"/>
      <c r="K672" s="1844"/>
      <c r="L672" s="1844"/>
      <c r="M672" s="1844"/>
      <c r="N672" s="1844"/>
      <c r="O672" s="1844"/>
      <c r="P672" s="1844"/>
      <c r="Q672" s="1844"/>
      <c r="R672" s="2883"/>
      <c r="S672" s="2883"/>
      <c r="T672" s="2883"/>
      <c r="U672" s="1844"/>
      <c r="V672" s="1846"/>
    </row>
    <row r="673" spans="1:22" s="1842" customFormat="1">
      <c r="A673" s="1843"/>
      <c r="B673" s="1843"/>
      <c r="C673" s="1844"/>
      <c r="D673" s="1844"/>
      <c r="E673" s="1844"/>
      <c r="F673" s="1845"/>
      <c r="G673" s="1845"/>
      <c r="H673" s="1844"/>
      <c r="I673" s="1844"/>
      <c r="J673" s="1844"/>
      <c r="K673" s="1844"/>
      <c r="L673" s="1844"/>
      <c r="M673" s="1844"/>
      <c r="N673" s="1844"/>
      <c r="O673" s="1844"/>
      <c r="P673" s="1844"/>
      <c r="Q673" s="1844"/>
      <c r="R673" s="2883"/>
      <c r="S673" s="2883"/>
      <c r="T673" s="2883"/>
      <c r="U673" s="1844"/>
      <c r="V673" s="1846"/>
    </row>
    <row r="674" spans="1:22" s="1842" customFormat="1">
      <c r="A674" s="1843"/>
      <c r="B674" s="1843"/>
      <c r="C674" s="1844"/>
      <c r="D674" s="1844"/>
      <c r="E674" s="1844"/>
      <c r="F674" s="1845"/>
      <c r="G674" s="1845"/>
      <c r="H674" s="1844"/>
      <c r="I674" s="1844"/>
      <c r="J674" s="1844"/>
      <c r="K674" s="1844"/>
      <c r="L674" s="1844"/>
      <c r="M674" s="1844"/>
      <c r="N674" s="1844"/>
      <c r="O674" s="1844"/>
      <c r="P674" s="1844"/>
      <c r="Q674" s="1844"/>
      <c r="R674" s="2883"/>
      <c r="S674" s="2883"/>
      <c r="T674" s="2883"/>
      <c r="U674" s="1844"/>
      <c r="V674" s="1846"/>
    </row>
    <row r="675" spans="1:22" s="1842" customFormat="1">
      <c r="A675" s="1843"/>
      <c r="B675" s="1843"/>
      <c r="C675" s="1844"/>
      <c r="D675" s="1844"/>
      <c r="E675" s="1844"/>
      <c r="F675" s="1845"/>
      <c r="G675" s="1845"/>
      <c r="H675" s="1844"/>
      <c r="I675" s="1844"/>
      <c r="J675" s="1844"/>
      <c r="K675" s="1844"/>
      <c r="L675" s="1844"/>
      <c r="M675" s="1844"/>
      <c r="N675" s="1844"/>
      <c r="O675" s="1844"/>
      <c r="P675" s="1844"/>
      <c r="Q675" s="1844"/>
      <c r="R675" s="2883"/>
      <c r="S675" s="2883"/>
      <c r="T675" s="2883"/>
      <c r="U675" s="1844"/>
      <c r="V675" s="1846"/>
    </row>
    <row r="676" spans="1:22" s="1842" customFormat="1">
      <c r="A676" s="1843"/>
      <c r="B676" s="1843"/>
      <c r="C676" s="1844"/>
      <c r="D676" s="1844"/>
      <c r="E676" s="1844"/>
      <c r="F676" s="1845"/>
      <c r="G676" s="1845"/>
      <c r="H676" s="1844"/>
      <c r="I676" s="1844"/>
      <c r="J676" s="1844"/>
      <c r="K676" s="1844"/>
      <c r="L676" s="1844"/>
      <c r="M676" s="1844"/>
      <c r="N676" s="1844"/>
      <c r="O676" s="1844"/>
      <c r="P676" s="1844"/>
      <c r="Q676" s="1844"/>
      <c r="R676" s="2883"/>
      <c r="S676" s="2883"/>
      <c r="T676" s="2883"/>
      <c r="U676" s="1844"/>
      <c r="V676" s="1846"/>
    </row>
    <row r="677" spans="1:22" s="1842" customFormat="1">
      <c r="A677" s="1843"/>
      <c r="B677" s="1843"/>
      <c r="C677" s="1844"/>
      <c r="D677" s="1844"/>
      <c r="E677" s="1844"/>
      <c r="F677" s="1845"/>
      <c r="G677" s="1845"/>
      <c r="H677" s="1844"/>
      <c r="I677" s="1844"/>
      <c r="J677" s="1844"/>
      <c r="K677" s="1844"/>
      <c r="L677" s="1844"/>
      <c r="M677" s="1844"/>
      <c r="N677" s="1844"/>
      <c r="O677" s="1844"/>
      <c r="P677" s="1844"/>
      <c r="Q677" s="1844"/>
      <c r="R677" s="2883"/>
      <c r="S677" s="2883"/>
      <c r="T677" s="2883"/>
      <c r="U677" s="1844"/>
      <c r="V677" s="1846"/>
    </row>
    <row r="678" spans="1:22" s="1842" customFormat="1">
      <c r="A678" s="1843"/>
      <c r="B678" s="1843"/>
      <c r="C678" s="1844"/>
      <c r="D678" s="1844"/>
      <c r="E678" s="1844"/>
      <c r="F678" s="1845"/>
      <c r="G678" s="1845"/>
      <c r="H678" s="1844"/>
      <c r="I678" s="1844"/>
      <c r="J678" s="1844"/>
      <c r="K678" s="1844"/>
      <c r="L678" s="1844"/>
      <c r="M678" s="1844"/>
      <c r="N678" s="1844"/>
      <c r="O678" s="1844"/>
      <c r="P678" s="1844"/>
      <c r="Q678" s="1844"/>
      <c r="R678" s="2883"/>
      <c r="S678" s="2883"/>
      <c r="T678" s="2883"/>
      <c r="U678" s="1844"/>
      <c r="V678" s="1846"/>
    </row>
    <row r="679" spans="1:22" s="1842" customFormat="1">
      <c r="A679" s="1843"/>
      <c r="B679" s="1843"/>
      <c r="C679" s="1844"/>
      <c r="D679" s="1844"/>
      <c r="E679" s="1844"/>
      <c r="F679" s="1845"/>
      <c r="G679" s="1845"/>
      <c r="H679" s="1844"/>
      <c r="I679" s="1844"/>
      <c r="J679" s="1844"/>
      <c r="K679" s="1844"/>
      <c r="L679" s="1844"/>
      <c r="M679" s="1844"/>
      <c r="N679" s="1844"/>
      <c r="O679" s="1844"/>
      <c r="P679" s="1844"/>
      <c r="Q679" s="1844"/>
      <c r="R679" s="2883"/>
      <c r="S679" s="2883"/>
      <c r="T679" s="2883"/>
      <c r="U679" s="1844"/>
      <c r="V679" s="1846"/>
    </row>
    <row r="680" spans="1:22" s="1842" customFormat="1">
      <c r="A680" s="1843"/>
      <c r="B680" s="1843"/>
      <c r="C680" s="1844"/>
      <c r="D680" s="1844"/>
      <c r="E680" s="1844"/>
      <c r="F680" s="1845"/>
      <c r="G680" s="1845"/>
      <c r="H680" s="1844"/>
      <c r="I680" s="1844"/>
      <c r="J680" s="1844"/>
      <c r="K680" s="1844"/>
      <c r="L680" s="1844"/>
      <c r="M680" s="1844"/>
      <c r="N680" s="1844"/>
      <c r="O680" s="1844"/>
      <c r="P680" s="1844"/>
      <c r="Q680" s="1844"/>
      <c r="R680" s="2883"/>
      <c r="S680" s="2883"/>
      <c r="T680" s="2883"/>
      <c r="U680" s="1844"/>
      <c r="V680" s="1846"/>
    </row>
    <row r="681" spans="1:22" s="1842" customFormat="1">
      <c r="A681" s="1843"/>
      <c r="B681" s="1843"/>
      <c r="C681" s="1844"/>
      <c r="D681" s="1844"/>
      <c r="E681" s="1844"/>
      <c r="F681" s="1845"/>
      <c r="G681" s="1845"/>
      <c r="H681" s="1844"/>
      <c r="I681" s="1844"/>
      <c r="J681" s="1844"/>
      <c r="K681" s="1844"/>
      <c r="L681" s="1844"/>
      <c r="M681" s="1844"/>
      <c r="N681" s="1844"/>
      <c r="O681" s="1844"/>
      <c r="P681" s="1844"/>
      <c r="Q681" s="1844"/>
      <c r="R681" s="2883"/>
      <c r="S681" s="2883"/>
      <c r="T681" s="2883"/>
      <c r="U681" s="1844"/>
      <c r="V681" s="1846"/>
    </row>
    <row r="682" spans="1:22" s="1842" customFormat="1">
      <c r="A682" s="1843"/>
      <c r="B682" s="1843"/>
      <c r="C682" s="1844"/>
      <c r="D682" s="1844"/>
      <c r="E682" s="1844"/>
      <c r="F682" s="1845"/>
      <c r="G682" s="1845"/>
      <c r="H682" s="1844"/>
      <c r="I682" s="1844"/>
      <c r="J682" s="1844"/>
      <c r="K682" s="1844"/>
      <c r="L682" s="1844"/>
      <c r="M682" s="1844"/>
      <c r="N682" s="1844"/>
      <c r="O682" s="1844"/>
      <c r="P682" s="1844"/>
      <c r="Q682" s="1844"/>
      <c r="R682" s="2883"/>
      <c r="S682" s="2883"/>
      <c r="T682" s="2883"/>
      <c r="U682" s="1844"/>
      <c r="V682" s="1846"/>
    </row>
    <row r="683" spans="1:22" s="1842" customFormat="1">
      <c r="A683" s="1843"/>
      <c r="B683" s="1843"/>
      <c r="C683" s="1844"/>
      <c r="D683" s="1844"/>
      <c r="E683" s="1844"/>
      <c r="F683" s="1845"/>
      <c r="G683" s="1845"/>
      <c r="H683" s="1844"/>
      <c r="I683" s="1844"/>
      <c r="J683" s="1844"/>
      <c r="K683" s="1844"/>
      <c r="L683" s="1844"/>
      <c r="M683" s="1844"/>
      <c r="N683" s="1844"/>
      <c r="O683" s="1844"/>
      <c r="P683" s="1844"/>
      <c r="Q683" s="1844"/>
      <c r="R683" s="2883"/>
      <c r="S683" s="2883"/>
      <c r="T683" s="2883"/>
      <c r="U683" s="1844"/>
      <c r="V683" s="1846"/>
    </row>
    <row r="684" spans="1:22" s="1842" customFormat="1">
      <c r="A684" s="1843"/>
      <c r="B684" s="1843"/>
      <c r="C684" s="1844"/>
      <c r="D684" s="1844"/>
      <c r="E684" s="1844"/>
      <c r="F684" s="1845"/>
      <c r="G684" s="1845"/>
      <c r="H684" s="1844"/>
      <c r="I684" s="1844"/>
      <c r="J684" s="1844"/>
      <c r="K684" s="1844"/>
      <c r="L684" s="1844"/>
      <c r="M684" s="1844"/>
      <c r="N684" s="1844"/>
      <c r="O684" s="1844"/>
      <c r="P684" s="1844"/>
      <c r="Q684" s="1844"/>
      <c r="R684" s="2883"/>
      <c r="S684" s="2883"/>
      <c r="T684" s="2883"/>
      <c r="U684" s="1844"/>
      <c r="V684" s="1846"/>
    </row>
    <row r="685" spans="1:22" s="1842" customFormat="1">
      <c r="A685" s="1843"/>
      <c r="B685" s="1843"/>
      <c r="C685" s="1844"/>
      <c r="D685" s="1844"/>
      <c r="E685" s="1844"/>
      <c r="F685" s="1845"/>
      <c r="G685" s="1845"/>
      <c r="H685" s="1844"/>
      <c r="I685" s="1844"/>
      <c r="J685" s="1844"/>
      <c r="K685" s="1844"/>
      <c r="L685" s="1844"/>
      <c r="M685" s="1844"/>
      <c r="N685" s="1844"/>
      <c r="O685" s="1844"/>
      <c r="P685" s="1844"/>
      <c r="Q685" s="1844"/>
      <c r="R685" s="2883"/>
      <c r="S685" s="2883"/>
      <c r="T685" s="2883"/>
      <c r="U685" s="1844"/>
      <c r="V685" s="1846"/>
    </row>
    <row r="686" spans="1:22" s="1842" customFormat="1">
      <c r="A686" s="1843"/>
      <c r="B686" s="1843"/>
      <c r="C686" s="1844"/>
      <c r="D686" s="1844"/>
      <c r="E686" s="1844"/>
      <c r="F686" s="1845"/>
      <c r="G686" s="1845"/>
      <c r="H686" s="1844"/>
      <c r="I686" s="1844"/>
      <c r="J686" s="1844"/>
      <c r="K686" s="1844"/>
      <c r="L686" s="1844"/>
      <c r="M686" s="1844"/>
      <c r="N686" s="1844"/>
      <c r="O686" s="1844"/>
      <c r="P686" s="1844"/>
      <c r="Q686" s="1844"/>
      <c r="R686" s="2883"/>
      <c r="S686" s="2883"/>
      <c r="T686" s="2883"/>
      <c r="U686" s="1844"/>
      <c r="V686" s="1846"/>
    </row>
    <row r="687" spans="1:22" s="1842" customFormat="1">
      <c r="A687" s="1843"/>
      <c r="B687" s="1843"/>
      <c r="C687" s="1844"/>
      <c r="D687" s="1844"/>
      <c r="E687" s="1844"/>
      <c r="F687" s="1845"/>
      <c r="G687" s="1845"/>
      <c r="H687" s="1844"/>
      <c r="I687" s="1844"/>
      <c r="J687" s="1844"/>
      <c r="K687" s="1844"/>
      <c r="L687" s="1844"/>
      <c r="M687" s="1844"/>
      <c r="N687" s="1844"/>
      <c r="O687" s="1844"/>
      <c r="P687" s="1844"/>
      <c r="Q687" s="1844"/>
      <c r="R687" s="2883"/>
      <c r="S687" s="2883"/>
      <c r="T687" s="2883"/>
      <c r="U687" s="1844"/>
      <c r="V687" s="1846"/>
    </row>
    <row r="688" spans="1:22" s="1842" customFormat="1">
      <c r="A688" s="1843"/>
      <c r="B688" s="1843"/>
      <c r="C688" s="1844"/>
      <c r="D688" s="1844"/>
      <c r="E688" s="1844"/>
      <c r="F688" s="1845"/>
      <c r="G688" s="1845"/>
      <c r="H688" s="1844"/>
      <c r="I688" s="1844"/>
      <c r="J688" s="1844"/>
      <c r="K688" s="1844"/>
      <c r="L688" s="1844"/>
      <c r="M688" s="1844"/>
      <c r="N688" s="1844"/>
      <c r="O688" s="1844"/>
      <c r="P688" s="1844"/>
      <c r="Q688" s="1844"/>
      <c r="R688" s="2883"/>
      <c r="S688" s="2883"/>
      <c r="T688" s="2883"/>
      <c r="U688" s="1844"/>
      <c r="V688" s="1846"/>
    </row>
    <row r="689" spans="1:22" s="1842" customFormat="1">
      <c r="A689" s="1843"/>
      <c r="B689" s="1843"/>
      <c r="C689" s="1844"/>
      <c r="D689" s="1844"/>
      <c r="E689" s="1844"/>
      <c r="F689" s="1845"/>
      <c r="G689" s="1845"/>
      <c r="H689" s="1844"/>
      <c r="I689" s="1844"/>
      <c r="J689" s="1844"/>
      <c r="K689" s="1844"/>
      <c r="L689" s="1844"/>
      <c r="M689" s="1844"/>
      <c r="N689" s="1844"/>
      <c r="O689" s="1844"/>
      <c r="P689" s="1844"/>
      <c r="Q689" s="1844"/>
      <c r="R689" s="2883"/>
      <c r="S689" s="2883"/>
      <c r="T689" s="2883"/>
      <c r="U689" s="1844"/>
      <c r="V689" s="1846"/>
    </row>
    <row r="690" spans="1:22" s="1842" customFormat="1">
      <c r="A690" s="1843"/>
      <c r="B690" s="1843"/>
      <c r="C690" s="1844"/>
      <c r="D690" s="1844"/>
      <c r="E690" s="1844"/>
      <c r="F690" s="1845"/>
      <c r="G690" s="1845"/>
      <c r="H690" s="1844"/>
      <c r="I690" s="1844"/>
      <c r="J690" s="1844"/>
      <c r="K690" s="1844"/>
      <c r="L690" s="1844"/>
      <c r="M690" s="1844"/>
      <c r="N690" s="1844"/>
      <c r="O690" s="1844"/>
      <c r="P690" s="1844"/>
      <c r="Q690" s="1844"/>
      <c r="R690" s="2883"/>
      <c r="S690" s="2883"/>
      <c r="T690" s="2883"/>
      <c r="U690" s="1844"/>
      <c r="V690" s="1846"/>
    </row>
    <row r="691" spans="1:22" s="1842" customFormat="1">
      <c r="A691" s="1843"/>
      <c r="B691" s="1843"/>
      <c r="C691" s="1844"/>
      <c r="D691" s="1844"/>
      <c r="E691" s="1844"/>
      <c r="F691" s="1845"/>
      <c r="G691" s="1845"/>
      <c r="H691" s="1844"/>
      <c r="I691" s="1844"/>
      <c r="J691" s="1844"/>
      <c r="K691" s="1844"/>
      <c r="L691" s="1844"/>
      <c r="M691" s="1844"/>
      <c r="N691" s="1844"/>
      <c r="O691" s="1844"/>
      <c r="P691" s="1844"/>
      <c r="Q691" s="1844"/>
      <c r="R691" s="2883"/>
      <c r="S691" s="2883"/>
      <c r="T691" s="2883"/>
      <c r="U691" s="1844"/>
      <c r="V691" s="1846"/>
    </row>
    <row r="692" spans="1:22" s="1842" customFormat="1">
      <c r="A692" s="1843"/>
      <c r="B692" s="1843"/>
      <c r="C692" s="1844"/>
      <c r="D692" s="1844"/>
      <c r="E692" s="1844"/>
      <c r="F692" s="1845"/>
      <c r="G692" s="1845"/>
      <c r="H692" s="1844"/>
      <c r="I692" s="1844"/>
      <c r="J692" s="1844"/>
      <c r="K692" s="1844"/>
      <c r="L692" s="1844"/>
      <c r="M692" s="1844"/>
      <c r="N692" s="1844"/>
      <c r="O692" s="1844"/>
      <c r="P692" s="1844"/>
      <c r="Q692" s="1844"/>
      <c r="R692" s="2883"/>
      <c r="S692" s="2883"/>
      <c r="T692" s="2883"/>
      <c r="U692" s="1844"/>
      <c r="V692" s="1846"/>
    </row>
    <row r="693" spans="1:22" s="1842" customFormat="1">
      <c r="A693" s="1843"/>
      <c r="B693" s="1843"/>
      <c r="C693" s="1844"/>
      <c r="D693" s="1844"/>
      <c r="E693" s="1844"/>
      <c r="F693" s="1845"/>
      <c r="G693" s="1845"/>
      <c r="H693" s="1844"/>
      <c r="I693" s="1844"/>
      <c r="J693" s="1844"/>
      <c r="K693" s="1844"/>
      <c r="L693" s="1844"/>
      <c r="M693" s="1844"/>
      <c r="N693" s="1844"/>
      <c r="O693" s="1844"/>
      <c r="P693" s="1844"/>
      <c r="Q693" s="1844"/>
      <c r="R693" s="2883"/>
      <c r="S693" s="2883"/>
      <c r="T693" s="2883"/>
      <c r="U693" s="1844"/>
      <c r="V693" s="1846"/>
    </row>
    <row r="694" spans="1:22" s="1842" customFormat="1">
      <c r="A694" s="1843"/>
      <c r="B694" s="1843"/>
      <c r="C694" s="1844"/>
      <c r="D694" s="1844"/>
      <c r="E694" s="1844"/>
      <c r="F694" s="1845"/>
      <c r="G694" s="1845"/>
      <c r="H694" s="1844"/>
      <c r="I694" s="1844"/>
      <c r="J694" s="1844"/>
      <c r="K694" s="1844"/>
      <c r="L694" s="1844"/>
      <c r="M694" s="1844"/>
      <c r="N694" s="1844"/>
      <c r="O694" s="1844"/>
      <c r="P694" s="1844"/>
      <c r="Q694" s="1844"/>
      <c r="R694" s="2883"/>
      <c r="S694" s="2883"/>
      <c r="T694" s="2883"/>
      <c r="U694" s="1844"/>
      <c r="V694" s="1846"/>
    </row>
    <row r="695" spans="1:22" s="1842" customFormat="1">
      <c r="A695" s="1843"/>
      <c r="B695" s="1843"/>
      <c r="C695" s="1844"/>
      <c r="D695" s="1844"/>
      <c r="E695" s="1844"/>
      <c r="F695" s="1845"/>
      <c r="G695" s="1845"/>
      <c r="H695" s="1844"/>
      <c r="I695" s="1844"/>
      <c r="J695" s="1844"/>
      <c r="K695" s="1844"/>
      <c r="L695" s="1844"/>
      <c r="M695" s="1844"/>
      <c r="N695" s="1844"/>
      <c r="O695" s="1844"/>
      <c r="P695" s="1844"/>
      <c r="Q695" s="1844"/>
      <c r="R695" s="2883"/>
      <c r="S695" s="2883"/>
      <c r="T695" s="2883"/>
      <c r="U695" s="1844"/>
      <c r="V695" s="1846"/>
    </row>
    <row r="696" spans="1:22" s="1842" customFormat="1">
      <c r="A696" s="1843"/>
      <c r="B696" s="1843"/>
      <c r="C696" s="1844"/>
      <c r="D696" s="1844"/>
      <c r="E696" s="1844"/>
      <c r="F696" s="1845"/>
      <c r="G696" s="1845"/>
      <c r="H696" s="1844"/>
      <c r="I696" s="1844"/>
      <c r="J696" s="1844"/>
      <c r="K696" s="1844"/>
      <c r="L696" s="1844"/>
      <c r="M696" s="1844"/>
      <c r="N696" s="1844"/>
      <c r="O696" s="1844"/>
      <c r="P696" s="1844"/>
      <c r="Q696" s="1844"/>
      <c r="R696" s="2883"/>
      <c r="S696" s="2883"/>
      <c r="T696" s="2883"/>
      <c r="U696" s="1844"/>
      <c r="V696" s="1846"/>
    </row>
    <row r="697" spans="1:22" s="1842" customFormat="1">
      <c r="A697" s="1843"/>
      <c r="B697" s="1843"/>
      <c r="C697" s="1844"/>
      <c r="D697" s="1844"/>
      <c r="E697" s="1844"/>
      <c r="F697" s="1845"/>
      <c r="G697" s="1845"/>
      <c r="H697" s="1844"/>
      <c r="I697" s="1844"/>
      <c r="J697" s="1844"/>
      <c r="K697" s="1844"/>
      <c r="L697" s="1844"/>
      <c r="M697" s="1844"/>
      <c r="N697" s="1844"/>
      <c r="O697" s="1844"/>
      <c r="P697" s="1844"/>
      <c r="Q697" s="1844"/>
      <c r="R697" s="2883"/>
      <c r="S697" s="2883"/>
      <c r="T697" s="2883"/>
      <c r="U697" s="1844"/>
      <c r="V697" s="1846"/>
    </row>
    <row r="698" spans="1:22" s="1842" customFormat="1">
      <c r="A698" s="1843"/>
      <c r="B698" s="1843"/>
      <c r="C698" s="1844"/>
      <c r="D698" s="1844"/>
      <c r="E698" s="1844"/>
      <c r="F698" s="1845"/>
      <c r="G698" s="1845"/>
      <c r="H698" s="1844"/>
      <c r="I698" s="1844"/>
      <c r="J698" s="1844"/>
      <c r="K698" s="1844"/>
      <c r="L698" s="1844"/>
      <c r="M698" s="1844"/>
      <c r="N698" s="1844"/>
      <c r="O698" s="1844"/>
      <c r="P698" s="1844"/>
      <c r="Q698" s="1844"/>
      <c r="R698" s="2883"/>
      <c r="S698" s="2883"/>
      <c r="T698" s="2883"/>
      <c r="U698" s="1844"/>
      <c r="V698" s="1846"/>
    </row>
    <row r="699" spans="1:22" s="1842" customFormat="1">
      <c r="A699" s="1843"/>
      <c r="B699" s="1843"/>
      <c r="C699" s="1844"/>
      <c r="D699" s="1844"/>
      <c r="E699" s="1844"/>
      <c r="F699" s="1845"/>
      <c r="G699" s="1845"/>
      <c r="H699" s="1844"/>
      <c r="I699" s="1844"/>
      <c r="J699" s="1844"/>
      <c r="K699" s="1844"/>
      <c r="L699" s="1844"/>
      <c r="M699" s="1844"/>
      <c r="N699" s="1844"/>
      <c r="O699" s="1844"/>
      <c r="P699" s="1844"/>
      <c r="Q699" s="1844"/>
      <c r="R699" s="2883"/>
      <c r="S699" s="2883"/>
      <c r="T699" s="2883"/>
      <c r="U699" s="1844"/>
      <c r="V699" s="1846"/>
    </row>
    <row r="700" spans="1:22" s="1842" customFormat="1">
      <c r="A700" s="1843"/>
      <c r="B700" s="1843"/>
      <c r="C700" s="1844"/>
      <c r="D700" s="1844"/>
      <c r="E700" s="1844"/>
      <c r="F700" s="1845"/>
      <c r="G700" s="1845"/>
      <c r="H700" s="1844"/>
      <c r="I700" s="1844"/>
      <c r="J700" s="1844"/>
      <c r="K700" s="1844"/>
      <c r="L700" s="1844"/>
      <c r="M700" s="1844"/>
      <c r="N700" s="1844"/>
      <c r="O700" s="1844"/>
      <c r="P700" s="1844"/>
      <c r="Q700" s="1844"/>
      <c r="R700" s="2883"/>
      <c r="S700" s="2883"/>
      <c r="T700" s="2883"/>
      <c r="U700" s="1844"/>
      <c r="V700" s="1846"/>
    </row>
    <row r="701" spans="1:22" s="1842" customFormat="1">
      <c r="A701" s="1843"/>
      <c r="B701" s="1843"/>
      <c r="C701" s="1844"/>
      <c r="D701" s="1844"/>
      <c r="E701" s="1844"/>
      <c r="F701" s="1845"/>
      <c r="G701" s="1845"/>
      <c r="H701" s="1844"/>
      <c r="I701" s="1844"/>
      <c r="J701" s="1844"/>
      <c r="K701" s="1844"/>
      <c r="L701" s="1844"/>
      <c r="M701" s="1844"/>
      <c r="N701" s="1844"/>
      <c r="O701" s="1844"/>
      <c r="P701" s="1844"/>
      <c r="Q701" s="1844"/>
      <c r="R701" s="2883"/>
      <c r="S701" s="2883"/>
      <c r="T701" s="2883"/>
      <c r="U701" s="1844"/>
      <c r="V701" s="1846"/>
    </row>
    <row r="702" spans="1:22" s="1842" customFormat="1">
      <c r="A702" s="1843"/>
      <c r="B702" s="1843"/>
      <c r="C702" s="1844"/>
      <c r="D702" s="1844"/>
      <c r="E702" s="1844"/>
      <c r="F702" s="1845"/>
      <c r="G702" s="1845"/>
      <c r="H702" s="1844"/>
      <c r="I702" s="1844"/>
      <c r="J702" s="1844"/>
      <c r="K702" s="1844"/>
      <c r="L702" s="1844"/>
      <c r="M702" s="1844"/>
      <c r="N702" s="1844"/>
      <c r="O702" s="1844"/>
      <c r="P702" s="1844"/>
      <c r="Q702" s="1844"/>
      <c r="R702" s="2883"/>
      <c r="S702" s="2883"/>
      <c r="T702" s="2883"/>
      <c r="U702" s="1844"/>
      <c r="V702" s="1846"/>
    </row>
    <row r="703" spans="1:22" s="1842" customFormat="1">
      <c r="A703" s="1843"/>
      <c r="B703" s="1843"/>
      <c r="C703" s="1844"/>
      <c r="D703" s="1844"/>
      <c r="E703" s="1844"/>
      <c r="F703" s="1845"/>
      <c r="G703" s="1845"/>
      <c r="H703" s="1844"/>
      <c r="I703" s="1844"/>
      <c r="J703" s="1844"/>
      <c r="K703" s="1844"/>
      <c r="L703" s="1844"/>
      <c r="M703" s="1844"/>
      <c r="N703" s="1844"/>
      <c r="O703" s="1844"/>
      <c r="P703" s="1844"/>
      <c r="Q703" s="1844"/>
      <c r="R703" s="2883"/>
      <c r="S703" s="2883"/>
      <c r="T703" s="2883"/>
      <c r="U703" s="1844"/>
      <c r="V703" s="1846"/>
    </row>
    <row r="704" spans="1:22" s="1842" customFormat="1">
      <c r="A704" s="1843"/>
      <c r="B704" s="1843"/>
      <c r="C704" s="1844"/>
      <c r="D704" s="1844"/>
      <c r="E704" s="1844"/>
      <c r="F704" s="1845"/>
      <c r="G704" s="1845"/>
      <c r="H704" s="1844"/>
      <c r="I704" s="1844"/>
      <c r="J704" s="1844"/>
      <c r="K704" s="1844"/>
      <c r="L704" s="1844"/>
      <c r="M704" s="1844"/>
      <c r="N704" s="1844"/>
      <c r="O704" s="1844"/>
      <c r="P704" s="1844"/>
      <c r="Q704" s="1844"/>
      <c r="R704" s="2883"/>
      <c r="S704" s="2883"/>
      <c r="T704" s="2883"/>
      <c r="U704" s="1844"/>
      <c r="V704" s="1846"/>
    </row>
    <row r="705" spans="1:22" s="1842" customFormat="1">
      <c r="A705" s="1843"/>
      <c r="B705" s="1843"/>
      <c r="C705" s="1844"/>
      <c r="D705" s="1844"/>
      <c r="E705" s="1844"/>
      <c r="F705" s="1845"/>
      <c r="G705" s="1845"/>
      <c r="H705" s="1844"/>
      <c r="I705" s="1844"/>
      <c r="J705" s="1844"/>
      <c r="K705" s="1844"/>
      <c r="L705" s="1844"/>
      <c r="M705" s="1844"/>
      <c r="N705" s="1844"/>
      <c r="O705" s="1844"/>
      <c r="P705" s="1844"/>
      <c r="Q705" s="1844"/>
      <c r="R705" s="2883"/>
      <c r="S705" s="2883"/>
      <c r="T705" s="2883"/>
      <c r="U705" s="1844"/>
      <c r="V705" s="1846"/>
    </row>
    <row r="706" spans="1:22" s="1842" customFormat="1">
      <c r="A706" s="1843"/>
      <c r="B706" s="1843"/>
      <c r="C706" s="1844"/>
      <c r="D706" s="1844"/>
      <c r="E706" s="1844"/>
      <c r="F706" s="1845"/>
      <c r="G706" s="1845"/>
      <c r="H706" s="1844"/>
      <c r="I706" s="1844"/>
      <c r="J706" s="1844"/>
      <c r="K706" s="1844"/>
      <c r="L706" s="1844"/>
      <c r="M706" s="1844"/>
      <c r="N706" s="1844"/>
      <c r="O706" s="1844"/>
      <c r="P706" s="1844"/>
      <c r="Q706" s="1844"/>
      <c r="R706" s="2883"/>
      <c r="S706" s="2883"/>
      <c r="T706" s="2883"/>
      <c r="U706" s="1844"/>
      <c r="V706" s="1846"/>
    </row>
    <row r="707" spans="1:22" s="1842" customFormat="1">
      <c r="A707" s="1843"/>
      <c r="B707" s="1843"/>
      <c r="C707" s="1844"/>
      <c r="D707" s="1844"/>
      <c r="E707" s="1844"/>
      <c r="F707" s="1845"/>
      <c r="G707" s="1845"/>
      <c r="H707" s="1844"/>
      <c r="I707" s="1844"/>
      <c r="J707" s="1844"/>
      <c r="K707" s="1844"/>
      <c r="L707" s="1844"/>
      <c r="M707" s="1844"/>
      <c r="N707" s="1844"/>
      <c r="O707" s="1844"/>
      <c r="P707" s="1844"/>
      <c r="Q707" s="1844"/>
      <c r="R707" s="2883"/>
      <c r="S707" s="2883"/>
      <c r="T707" s="2883"/>
      <c r="U707" s="1844"/>
      <c r="V707" s="1846"/>
    </row>
    <row r="708" spans="1:22" s="1842" customFormat="1">
      <c r="A708" s="1843"/>
      <c r="B708" s="1843"/>
      <c r="C708" s="1844"/>
      <c r="D708" s="1844"/>
      <c r="E708" s="1844"/>
      <c r="F708" s="1845"/>
      <c r="G708" s="1845"/>
      <c r="H708" s="1844"/>
      <c r="I708" s="1844"/>
      <c r="J708" s="1844"/>
      <c r="K708" s="1844"/>
      <c r="L708" s="1844"/>
      <c r="M708" s="1844"/>
      <c r="N708" s="1844"/>
      <c r="O708" s="1844"/>
      <c r="P708" s="1844"/>
      <c r="Q708" s="1844"/>
      <c r="R708" s="2883"/>
      <c r="S708" s="2883"/>
      <c r="T708" s="2883"/>
      <c r="U708" s="1844"/>
      <c r="V708" s="1846"/>
    </row>
    <row r="709" spans="1:22" s="1842" customFormat="1">
      <c r="A709" s="1843"/>
      <c r="B709" s="1843"/>
      <c r="C709" s="1844"/>
      <c r="D709" s="1844"/>
      <c r="E709" s="1844"/>
      <c r="F709" s="1845"/>
      <c r="G709" s="1845"/>
      <c r="H709" s="1844"/>
      <c r="I709" s="1844"/>
      <c r="J709" s="1844"/>
      <c r="K709" s="1844"/>
      <c r="L709" s="1844"/>
      <c r="M709" s="1844"/>
      <c r="N709" s="1844"/>
      <c r="O709" s="1844"/>
      <c r="P709" s="1844"/>
      <c r="Q709" s="1844"/>
      <c r="R709" s="2883"/>
      <c r="S709" s="2883"/>
      <c r="T709" s="2883"/>
      <c r="U709" s="1844"/>
      <c r="V709" s="1846"/>
    </row>
    <row r="710" spans="1:22" s="1842" customFormat="1">
      <c r="A710" s="1843"/>
      <c r="B710" s="1843"/>
      <c r="C710" s="1844"/>
      <c r="D710" s="1844"/>
      <c r="E710" s="1844"/>
      <c r="F710" s="1845"/>
      <c r="G710" s="1845"/>
      <c r="H710" s="1844"/>
      <c r="I710" s="1844"/>
      <c r="J710" s="1844"/>
      <c r="K710" s="1844"/>
      <c r="L710" s="1844"/>
      <c r="M710" s="1844"/>
      <c r="N710" s="1844"/>
      <c r="O710" s="1844"/>
      <c r="P710" s="1844"/>
      <c r="Q710" s="1844"/>
      <c r="R710" s="2883"/>
      <c r="S710" s="2883"/>
      <c r="T710" s="2883"/>
      <c r="U710" s="1844"/>
      <c r="V710" s="1846"/>
    </row>
    <row r="711" spans="1:22" s="1842" customFormat="1">
      <c r="A711" s="1843"/>
      <c r="B711" s="1843"/>
      <c r="C711" s="1844"/>
      <c r="D711" s="1844"/>
      <c r="E711" s="1844"/>
      <c r="F711" s="1845"/>
      <c r="G711" s="1845"/>
      <c r="H711" s="1844"/>
      <c r="I711" s="1844"/>
      <c r="J711" s="1844"/>
      <c r="K711" s="1844"/>
      <c r="L711" s="1844"/>
      <c r="M711" s="1844"/>
      <c r="N711" s="1844"/>
      <c r="O711" s="1844"/>
      <c r="P711" s="1844"/>
      <c r="Q711" s="1844"/>
      <c r="R711" s="2883"/>
      <c r="S711" s="2883"/>
      <c r="T711" s="2883"/>
      <c r="U711" s="1844"/>
      <c r="V711" s="1846"/>
    </row>
    <row r="712" spans="1:22" s="1842" customFormat="1">
      <c r="A712" s="1843"/>
      <c r="B712" s="1843"/>
      <c r="C712" s="1844"/>
      <c r="D712" s="1844"/>
      <c r="E712" s="1844"/>
      <c r="F712" s="1845"/>
      <c r="G712" s="1845"/>
      <c r="H712" s="1844"/>
      <c r="I712" s="1844"/>
      <c r="J712" s="1844"/>
      <c r="K712" s="1844"/>
      <c r="L712" s="1844"/>
      <c r="M712" s="1844"/>
      <c r="N712" s="1844"/>
      <c r="O712" s="1844"/>
      <c r="P712" s="1844"/>
      <c r="Q712" s="1844"/>
      <c r="R712" s="2883"/>
      <c r="S712" s="2883"/>
      <c r="T712" s="2883"/>
      <c r="U712" s="1844"/>
      <c r="V712" s="1846"/>
    </row>
    <row r="713" spans="1:22" s="1842" customFormat="1">
      <c r="A713" s="1843"/>
      <c r="B713" s="1843"/>
      <c r="C713" s="1844"/>
      <c r="D713" s="1844"/>
      <c r="E713" s="1844"/>
      <c r="F713" s="1845"/>
      <c r="G713" s="1845"/>
      <c r="H713" s="1844"/>
      <c r="I713" s="1844"/>
      <c r="J713" s="1844"/>
      <c r="K713" s="1844"/>
      <c r="L713" s="1844"/>
      <c r="M713" s="1844"/>
      <c r="N713" s="1844"/>
      <c r="O713" s="1844"/>
      <c r="P713" s="1844"/>
      <c r="Q713" s="1844"/>
      <c r="R713" s="2883"/>
      <c r="S713" s="2883"/>
      <c r="T713" s="2883"/>
      <c r="U713" s="1844"/>
      <c r="V713" s="1846"/>
    </row>
    <row r="714" spans="1:22" s="1842" customFormat="1">
      <c r="A714" s="1843"/>
      <c r="B714" s="1843"/>
      <c r="C714" s="1844"/>
      <c r="D714" s="1844"/>
      <c r="E714" s="1844"/>
      <c r="F714" s="1845"/>
      <c r="G714" s="1845"/>
      <c r="H714" s="1844"/>
      <c r="I714" s="1844"/>
      <c r="J714" s="1844"/>
      <c r="K714" s="1844"/>
      <c r="L714" s="1844"/>
      <c r="M714" s="1844"/>
      <c r="N714" s="1844"/>
      <c r="O714" s="1844"/>
      <c r="P714" s="1844"/>
      <c r="Q714" s="1844"/>
      <c r="R714" s="2883"/>
      <c r="S714" s="2883"/>
      <c r="T714" s="2883"/>
      <c r="U714" s="1844"/>
      <c r="V714" s="1846"/>
    </row>
    <row r="715" spans="1:22" s="1842" customFormat="1">
      <c r="A715" s="1843"/>
      <c r="B715" s="1843"/>
      <c r="C715" s="1844"/>
      <c r="D715" s="1844"/>
      <c r="E715" s="1844"/>
      <c r="F715" s="1845"/>
      <c r="G715" s="1845"/>
      <c r="H715" s="1844"/>
      <c r="I715" s="1844"/>
      <c r="J715" s="1844"/>
      <c r="K715" s="1844"/>
      <c r="L715" s="1844"/>
      <c r="M715" s="1844"/>
      <c r="N715" s="1844"/>
      <c r="O715" s="1844"/>
      <c r="P715" s="1844"/>
      <c r="Q715" s="1844"/>
      <c r="R715" s="2883"/>
      <c r="S715" s="2883"/>
      <c r="T715" s="2883"/>
      <c r="U715" s="1844"/>
      <c r="V715" s="1846"/>
    </row>
    <row r="716" spans="1:22" s="1842" customFormat="1">
      <c r="A716" s="1843"/>
      <c r="B716" s="1843"/>
      <c r="C716" s="1844"/>
      <c r="D716" s="1844"/>
      <c r="E716" s="1844"/>
      <c r="F716" s="1845"/>
      <c r="G716" s="1845"/>
      <c r="H716" s="1844"/>
      <c r="I716" s="1844"/>
      <c r="J716" s="1844"/>
      <c r="K716" s="1844"/>
      <c r="L716" s="1844"/>
      <c r="M716" s="1844"/>
      <c r="N716" s="1844"/>
      <c r="O716" s="1844"/>
      <c r="P716" s="1844"/>
      <c r="Q716" s="1844"/>
      <c r="R716" s="2883"/>
      <c r="S716" s="2883"/>
      <c r="T716" s="2883"/>
      <c r="U716" s="1844"/>
      <c r="V716" s="1846"/>
    </row>
    <row r="717" spans="1:22" s="1842" customFormat="1">
      <c r="A717" s="1843"/>
      <c r="B717" s="1843"/>
      <c r="C717" s="1844"/>
      <c r="D717" s="1844"/>
      <c r="E717" s="1844"/>
      <c r="F717" s="1845"/>
      <c r="G717" s="1845"/>
      <c r="H717" s="1844"/>
      <c r="I717" s="1844"/>
      <c r="J717" s="1844"/>
      <c r="K717" s="1844"/>
      <c r="L717" s="1844"/>
      <c r="M717" s="1844"/>
      <c r="N717" s="1844"/>
      <c r="O717" s="1844"/>
      <c r="P717" s="1844"/>
      <c r="Q717" s="1844"/>
      <c r="R717" s="2883"/>
      <c r="S717" s="2883"/>
      <c r="T717" s="2883"/>
      <c r="U717" s="1844"/>
      <c r="V717" s="1846"/>
    </row>
    <row r="718" spans="1:22" s="1842" customFormat="1">
      <c r="A718" s="1843"/>
      <c r="B718" s="1843"/>
      <c r="C718" s="1844"/>
      <c r="D718" s="1844"/>
      <c r="E718" s="1844"/>
      <c r="F718" s="1845"/>
      <c r="G718" s="1845"/>
      <c r="H718" s="1844"/>
      <c r="I718" s="1844"/>
      <c r="J718" s="1844"/>
      <c r="K718" s="1844"/>
      <c r="L718" s="1844"/>
      <c r="M718" s="1844"/>
      <c r="N718" s="1844"/>
      <c r="O718" s="1844"/>
      <c r="P718" s="1844"/>
      <c r="Q718" s="1844"/>
      <c r="R718" s="2883"/>
      <c r="S718" s="2883"/>
      <c r="T718" s="2883"/>
      <c r="U718" s="1844"/>
      <c r="V718" s="1846"/>
    </row>
    <row r="719" spans="1:22" s="1842" customFormat="1">
      <c r="A719" s="1843"/>
      <c r="B719" s="1843"/>
      <c r="C719" s="1844"/>
      <c r="D719" s="1844"/>
      <c r="E719" s="1844"/>
      <c r="F719" s="1845"/>
      <c r="G719" s="1845"/>
      <c r="H719" s="1844"/>
      <c r="I719" s="1844"/>
      <c r="J719" s="1844"/>
      <c r="K719" s="1844"/>
      <c r="L719" s="1844"/>
      <c r="M719" s="1844"/>
      <c r="N719" s="1844"/>
      <c r="O719" s="1844"/>
      <c r="P719" s="1844"/>
      <c r="Q719" s="1844"/>
      <c r="R719" s="2883"/>
      <c r="S719" s="2883"/>
      <c r="T719" s="2883"/>
      <c r="U719" s="1844"/>
      <c r="V719" s="1846"/>
    </row>
  </sheetData>
  <sheetProtection selectLockedCells="1" selectUnlockedCells="1"/>
  <autoFilter ref="L8:O568"/>
  <mergeCells count="18">
    <mergeCell ref="A2:U2"/>
    <mergeCell ref="A5:E6"/>
    <mergeCell ref="F5:I6"/>
    <mergeCell ref="J5:J6"/>
    <mergeCell ref="K5:K6"/>
    <mergeCell ref="L5:L6"/>
    <mergeCell ref="M5:O5"/>
    <mergeCell ref="Q5:Q6"/>
    <mergeCell ref="R5:R6"/>
    <mergeCell ref="S5:S6"/>
    <mergeCell ref="H594:I594"/>
    <mergeCell ref="H623:I623"/>
    <mergeCell ref="T5:T6"/>
    <mergeCell ref="U5:U6"/>
    <mergeCell ref="A7:E7"/>
    <mergeCell ref="F7:I7"/>
    <mergeCell ref="H464:I464"/>
    <mergeCell ref="A568:I568"/>
  </mergeCells>
  <pageMargins left="0.45" right="0.15748031496062992" top="0.31496062992125984" bottom="0.31496062992125984" header="0.31496062992125984" footer="0.15748031496062992"/>
  <pageSetup paperSize="512" scale="78" orientation="landscape" useFirstPageNumber="1" r:id="rId1"/>
  <headerFooter alignWithMargins="0">
    <oddHeader>Page &amp;P</oddHeader>
    <oddFooter>&amp;LRencana Perubahan Target Tahun 2017 - BAPPENDA NTB&amp;C&amp;7&amp;K02-048&amp;F&amp;D&amp;T&amp;RHal. &amp;P</oddFooter>
  </headerFooter>
  <rowBreaks count="10" manualBreakCount="10">
    <brk id="47" max="17" man="1"/>
    <brk id="111" max="17" man="1"/>
    <brk id="154" max="17" man="1"/>
    <brk id="199" max="17" man="1"/>
    <brk id="244" max="17" man="1"/>
    <brk id="286" max="17" man="1"/>
    <brk id="342" max="17" man="1"/>
    <brk id="395" max="17" man="1"/>
    <brk id="455" max="17" man="1"/>
    <brk id="514" max="17" man="1"/>
  </rowBreaks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tabColor rgb="FFFF0000"/>
  </sheetPr>
  <dimension ref="A1:X1053"/>
  <sheetViews>
    <sheetView view="pageBreakPreview" topLeftCell="A529" zoomScale="90" zoomScaleSheetLayoutView="90" workbookViewId="0">
      <selection activeCell="D628" sqref="D628"/>
    </sheetView>
  </sheetViews>
  <sheetFormatPr defaultColWidth="9.109375" defaultRowHeight="13.15"/>
  <cols>
    <col min="1" max="1" width="4.6640625" style="1539" customWidth="1"/>
    <col min="2" max="2" width="3.5546875" style="259" customWidth="1"/>
    <col min="3" max="3" width="43.109375" style="259" customWidth="1"/>
    <col min="4" max="4" width="23" style="189" customWidth="1"/>
    <col min="5" max="16" width="18.6640625" style="259" customWidth="1"/>
    <col min="17" max="17" width="21.44140625" style="259" customWidth="1"/>
    <col min="18" max="18" width="23.6640625" style="259" customWidth="1"/>
    <col min="19" max="19" width="11.5546875" style="260" customWidth="1"/>
    <col min="20" max="20" width="9.6640625" style="259" customWidth="1"/>
    <col min="21" max="21" width="9.109375" style="259"/>
    <col min="22" max="24" width="24.6640625" style="786" customWidth="1"/>
    <col min="25" max="16384" width="9.109375" style="259"/>
  </cols>
  <sheetData>
    <row r="1" spans="1:24" ht="12.7" customHeight="1">
      <c r="S1" s="259"/>
    </row>
    <row r="2" spans="1:24" ht="15.05" customHeight="1">
      <c r="A2" s="1540" t="s">
        <v>700</v>
      </c>
      <c r="B2" s="1541" t="s">
        <v>701</v>
      </c>
      <c r="C2" s="1541"/>
      <c r="E2" s="1541"/>
      <c r="F2" s="1541"/>
      <c r="G2" s="1541"/>
      <c r="H2" s="1541"/>
      <c r="I2" s="1541"/>
      <c r="J2" s="1541"/>
      <c r="K2" s="1541"/>
      <c r="L2" s="1541"/>
      <c r="M2" s="1541"/>
      <c r="N2" s="1541"/>
      <c r="O2" s="1541"/>
      <c r="P2" s="1541"/>
      <c r="Q2" s="555"/>
      <c r="R2" s="555"/>
      <c r="S2" s="422"/>
      <c r="T2" s="422"/>
    </row>
    <row r="3" spans="1:24" ht="14.25" customHeight="1">
      <c r="A3" s="1540"/>
      <c r="B3" s="1542"/>
      <c r="C3" s="1542"/>
      <c r="E3" s="1542"/>
      <c r="F3" s="1542"/>
      <c r="G3" s="1542"/>
      <c r="H3" s="1542"/>
      <c r="I3" s="1542"/>
      <c r="J3" s="1542"/>
      <c r="K3" s="1542"/>
      <c r="L3" s="1542"/>
      <c r="M3" s="1542"/>
      <c r="N3" s="1542"/>
      <c r="O3" s="1542"/>
      <c r="P3" s="1542"/>
      <c r="Q3" s="555"/>
      <c r="R3" s="555"/>
      <c r="S3" s="422"/>
      <c r="T3" s="422"/>
    </row>
    <row r="4" spans="1:24" ht="15.85" customHeight="1">
      <c r="A4" s="1543"/>
      <c r="B4" s="189"/>
      <c r="C4" s="189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  <c r="O4" s="542"/>
      <c r="P4" s="542"/>
      <c r="Q4" s="542"/>
      <c r="R4" s="542"/>
      <c r="S4" s="189"/>
      <c r="T4" s="189"/>
      <c r="W4" s="1585"/>
    </row>
    <row r="5" spans="1:24" s="241" customFormat="1" ht="12.05" customHeight="1">
      <c r="A5" s="266" t="s">
        <v>55</v>
      </c>
      <c r="B5" s="5850" t="s">
        <v>56</v>
      </c>
      <c r="C5" s="5851"/>
      <c r="D5" s="1544" t="s">
        <v>4</v>
      </c>
      <c r="E5" s="5848" t="s">
        <v>417</v>
      </c>
      <c r="F5" s="5848" t="s">
        <v>418</v>
      </c>
      <c r="G5" s="5848" t="s">
        <v>702</v>
      </c>
      <c r="H5" s="5848" t="s">
        <v>420</v>
      </c>
      <c r="I5" s="5848" t="s">
        <v>421</v>
      </c>
      <c r="J5" s="5848" t="s">
        <v>422</v>
      </c>
      <c r="K5" s="5848" t="s">
        <v>423</v>
      </c>
      <c r="L5" s="5848" t="s">
        <v>424</v>
      </c>
      <c r="M5" s="5848" t="s">
        <v>425</v>
      </c>
      <c r="N5" s="5848" t="s">
        <v>426</v>
      </c>
      <c r="O5" s="5848" t="s">
        <v>427</v>
      </c>
      <c r="P5" s="5848" t="s">
        <v>428</v>
      </c>
      <c r="Q5" s="5848" t="s">
        <v>434</v>
      </c>
      <c r="R5" s="318" t="s">
        <v>703</v>
      </c>
      <c r="S5" s="5854" t="s">
        <v>6</v>
      </c>
      <c r="T5" s="5851" t="s">
        <v>704</v>
      </c>
      <c r="V5" s="1586"/>
      <c r="W5" s="1586"/>
      <c r="X5" s="1586"/>
    </row>
    <row r="6" spans="1:24" s="241" customFormat="1" ht="12.05" customHeight="1">
      <c r="A6" s="1545" t="s">
        <v>705</v>
      </c>
      <c r="B6" s="5852"/>
      <c r="C6" s="5853"/>
      <c r="D6" s="1546" t="s">
        <v>706</v>
      </c>
      <c r="E6" s="5849"/>
      <c r="F6" s="5849"/>
      <c r="G6" s="5849"/>
      <c r="H6" s="5849"/>
      <c r="I6" s="5849"/>
      <c r="J6" s="5849"/>
      <c r="K6" s="5849"/>
      <c r="L6" s="5849"/>
      <c r="M6" s="5849"/>
      <c r="N6" s="5849"/>
      <c r="O6" s="5849"/>
      <c r="P6" s="5849"/>
      <c r="Q6" s="5849"/>
      <c r="R6" s="1587" t="s">
        <v>430</v>
      </c>
      <c r="S6" s="5855"/>
      <c r="T6" s="5853"/>
      <c r="V6" s="1586"/>
      <c r="W6" s="1586"/>
      <c r="X6" s="1586"/>
    </row>
    <row r="7" spans="1:24" s="242" customFormat="1">
      <c r="A7" s="1547" t="s">
        <v>58</v>
      </c>
      <c r="B7" s="5841">
        <v>2</v>
      </c>
      <c r="C7" s="5841"/>
      <c r="D7" s="1547" t="s">
        <v>457</v>
      </c>
      <c r="E7" s="1547">
        <v>5</v>
      </c>
      <c r="F7" s="1547" t="s">
        <v>483</v>
      </c>
      <c r="G7" s="1547">
        <v>7</v>
      </c>
      <c r="H7" s="1547">
        <v>8</v>
      </c>
      <c r="I7" s="1547">
        <v>9</v>
      </c>
      <c r="J7" s="1547">
        <v>10</v>
      </c>
      <c r="K7" s="1547">
        <v>11</v>
      </c>
      <c r="L7" s="1547">
        <v>12</v>
      </c>
      <c r="M7" s="1547">
        <v>13</v>
      </c>
      <c r="N7" s="1547">
        <v>14</v>
      </c>
      <c r="O7" s="1547">
        <v>15</v>
      </c>
      <c r="P7" s="1547">
        <v>16</v>
      </c>
      <c r="Q7" s="1547">
        <v>17</v>
      </c>
      <c r="R7" s="1547">
        <v>18</v>
      </c>
      <c r="S7" s="1547">
        <v>19</v>
      </c>
      <c r="T7" s="1588">
        <v>20</v>
      </c>
      <c r="V7" s="786"/>
      <c r="W7" s="786"/>
      <c r="X7" s="786"/>
    </row>
    <row r="8" spans="1:24" s="189" customFormat="1" ht="12.05" customHeight="1">
      <c r="A8" s="565"/>
      <c r="B8" s="1099"/>
      <c r="C8" s="1099"/>
      <c r="D8" s="676"/>
      <c r="E8" s="676"/>
      <c r="F8" s="676"/>
      <c r="G8" s="676"/>
      <c r="H8" s="676"/>
      <c r="I8" s="676"/>
      <c r="J8" s="676"/>
      <c r="K8" s="676"/>
      <c r="L8" s="676"/>
      <c r="M8" s="676"/>
      <c r="N8" s="676"/>
      <c r="O8" s="676"/>
      <c r="P8" s="676"/>
      <c r="Q8" s="676"/>
      <c r="R8" s="676"/>
      <c r="S8" s="1589"/>
      <c r="T8" s="1590"/>
      <c r="V8" s="786"/>
      <c r="W8" s="786"/>
      <c r="X8" s="786"/>
    </row>
    <row r="9" spans="1:24" s="243" customFormat="1" ht="15.65">
      <c r="A9" s="277"/>
      <c r="B9" s="1548" t="s">
        <v>59</v>
      </c>
      <c r="C9" s="278"/>
      <c r="D9" s="1549">
        <f t="shared" ref="D9:P9" si="0">D11</f>
        <v>383634542450</v>
      </c>
      <c r="E9" s="327">
        <f t="shared" si="0"/>
        <v>13248155936.290001</v>
      </c>
      <c r="F9" s="327">
        <f t="shared" si="0"/>
        <v>13623626576.200001</v>
      </c>
      <c r="G9" s="327">
        <f t="shared" si="0"/>
        <v>17941625197.16</v>
      </c>
      <c r="H9" s="327">
        <f t="shared" si="0"/>
        <v>18708937640.23</v>
      </c>
      <c r="I9" s="327">
        <f t="shared" si="0"/>
        <v>20414307495.389999</v>
      </c>
      <c r="J9" s="327">
        <f t="shared" si="0"/>
        <v>20287354272.779999</v>
      </c>
      <c r="K9" s="327">
        <f t="shared" si="0"/>
        <v>16875244641.220001</v>
      </c>
      <c r="L9" s="327">
        <f t="shared" si="0"/>
        <v>18492178941.650002</v>
      </c>
      <c r="M9" s="327">
        <f t="shared" si="0"/>
        <v>18798123107</v>
      </c>
      <c r="N9" s="327">
        <f t="shared" si="0"/>
        <v>23457302174.98</v>
      </c>
      <c r="O9" s="327">
        <f t="shared" si="0"/>
        <v>91988153933.960007</v>
      </c>
      <c r="P9" s="327">
        <f t="shared" si="0"/>
        <v>82516262239.47998</v>
      </c>
      <c r="Q9" s="327">
        <f t="shared" ref="Q9:Q16" si="1">SUM(E9:P9)</f>
        <v>356351272156.34003</v>
      </c>
      <c r="R9" s="327">
        <f>+Q9-D9</f>
        <v>-27283270293.659973</v>
      </c>
      <c r="S9" s="328">
        <f>Q9/D9*100</f>
        <v>92.888213319003754</v>
      </c>
      <c r="T9" s="423"/>
      <c r="V9" s="1207"/>
      <c r="W9" s="1207"/>
      <c r="X9" s="1207"/>
    </row>
    <row r="10" spans="1:24" s="189" customFormat="1" ht="12.05" customHeight="1">
      <c r="A10" s="578"/>
      <c r="B10" s="1550"/>
      <c r="C10" s="190"/>
      <c r="D10" s="330"/>
      <c r="E10" s="330"/>
      <c r="F10" s="330"/>
      <c r="G10" s="330"/>
      <c r="H10" s="330"/>
      <c r="I10" s="330"/>
      <c r="J10" s="330"/>
      <c r="K10" s="330"/>
      <c r="L10" s="330"/>
      <c r="M10" s="330"/>
      <c r="N10" s="330"/>
      <c r="O10" s="330"/>
      <c r="P10" s="330"/>
      <c r="Q10" s="330"/>
      <c r="R10" s="330"/>
      <c r="S10" s="331"/>
      <c r="T10" s="425"/>
      <c r="V10" s="786"/>
      <c r="W10" s="786"/>
      <c r="X10" s="786"/>
    </row>
    <row r="11" spans="1:24" s="243" customFormat="1" ht="15.65">
      <c r="A11" s="1551"/>
      <c r="B11" s="1548" t="s">
        <v>60</v>
      </c>
      <c r="C11" s="278"/>
      <c r="D11" s="1549">
        <f t="shared" ref="D11:P11" si="2">D709+D700+D691+D679+D666+D657+D644+D610+D599+D590+D566+D549+D529+D520+D511+D498+D440+D429+D420+D272+D253+D243+D227+D210+D188+D177+D169+D161+D146+D135+D120+D111+D102+D25+D13</f>
        <v>383634542450</v>
      </c>
      <c r="E11" s="1549">
        <f t="shared" si="2"/>
        <v>13248155936.290001</v>
      </c>
      <c r="F11" s="1549">
        <f t="shared" si="2"/>
        <v>13623626576.200001</v>
      </c>
      <c r="G11" s="1549">
        <f t="shared" si="2"/>
        <v>17941625197.16</v>
      </c>
      <c r="H11" s="1549">
        <f t="shared" si="2"/>
        <v>18708937640.23</v>
      </c>
      <c r="I11" s="1549">
        <f t="shared" si="2"/>
        <v>20414307495.389999</v>
      </c>
      <c r="J11" s="1549">
        <f t="shared" si="2"/>
        <v>20287354272.779999</v>
      </c>
      <c r="K11" s="1549">
        <f t="shared" si="2"/>
        <v>16875244641.220001</v>
      </c>
      <c r="L11" s="1549">
        <f t="shared" si="2"/>
        <v>18492178941.650002</v>
      </c>
      <c r="M11" s="1549">
        <f t="shared" si="2"/>
        <v>18798123107</v>
      </c>
      <c r="N11" s="1549">
        <f t="shared" si="2"/>
        <v>23457302174.98</v>
      </c>
      <c r="O11" s="1549">
        <f t="shared" si="2"/>
        <v>91988153933.960007</v>
      </c>
      <c r="P11" s="1549">
        <f t="shared" si="2"/>
        <v>82516262239.47998</v>
      </c>
      <c r="Q11" s="327">
        <f t="shared" si="1"/>
        <v>356351272156.34003</v>
      </c>
      <c r="R11" s="327">
        <f>+Q11-D11</f>
        <v>-27283270293.659973</v>
      </c>
      <c r="S11" s="332">
        <f>+Q11/D11*100</f>
        <v>92.888213319003754</v>
      </c>
      <c r="T11" s="423"/>
      <c r="V11" s="1207"/>
      <c r="W11" s="1207"/>
      <c r="X11" s="1207"/>
    </row>
    <row r="12" spans="1:24" s="189" customFormat="1" ht="12.05" customHeight="1">
      <c r="A12" s="578"/>
      <c r="B12" s="190"/>
      <c r="C12" s="190"/>
      <c r="D12" s="334"/>
      <c r="E12" s="334"/>
      <c r="F12" s="334"/>
      <c r="G12" s="334"/>
      <c r="H12" s="334"/>
      <c r="I12" s="334"/>
      <c r="J12" s="334"/>
      <c r="K12" s="334"/>
      <c r="L12" s="334"/>
      <c r="M12" s="334"/>
      <c r="N12" s="334"/>
      <c r="O12" s="334"/>
      <c r="P12" s="334"/>
      <c r="Q12" s="334"/>
      <c r="R12" s="334"/>
      <c r="S12" s="335"/>
      <c r="T12" s="430"/>
      <c r="V12" s="786"/>
      <c r="W12" s="786"/>
      <c r="X12" s="786"/>
    </row>
    <row r="13" spans="1:24" s="244" customFormat="1" ht="14.1" customHeight="1">
      <c r="A13" s="1552" t="s">
        <v>61</v>
      </c>
      <c r="B13" s="1553" t="s">
        <v>707</v>
      </c>
      <c r="C13" s="285"/>
      <c r="D13" s="835">
        <f t="shared" ref="D13:P13" si="3">D14+D18</f>
        <v>68500000</v>
      </c>
      <c r="E13" s="337">
        <f t="shared" si="3"/>
        <v>6616275</v>
      </c>
      <c r="F13" s="337">
        <f t="shared" si="3"/>
        <v>4490000</v>
      </c>
      <c r="G13" s="337">
        <f t="shared" si="3"/>
        <v>16789200</v>
      </c>
      <c r="H13" s="337">
        <f t="shared" si="3"/>
        <v>17517200</v>
      </c>
      <c r="I13" s="337">
        <f t="shared" si="3"/>
        <v>1000000</v>
      </c>
      <c r="J13" s="337">
        <f t="shared" si="3"/>
        <v>36632400</v>
      </c>
      <c r="K13" s="337">
        <f t="shared" si="3"/>
        <v>0</v>
      </c>
      <c r="L13" s="337">
        <f t="shared" si="3"/>
        <v>43347824</v>
      </c>
      <c r="M13" s="337">
        <f t="shared" si="3"/>
        <v>5575456</v>
      </c>
      <c r="N13" s="337">
        <f t="shared" si="3"/>
        <v>11265912</v>
      </c>
      <c r="O13" s="337">
        <f t="shared" si="3"/>
        <v>21350600</v>
      </c>
      <c r="P13" s="337">
        <f t="shared" si="3"/>
        <v>80883659</v>
      </c>
      <c r="Q13" s="337">
        <f t="shared" si="1"/>
        <v>245468526</v>
      </c>
      <c r="R13" s="337">
        <f>+Q13-D13</f>
        <v>176968526</v>
      </c>
      <c r="S13" s="338">
        <f>+Q13/D13*100</f>
        <v>358.34821313868616</v>
      </c>
      <c r="T13" s="432"/>
      <c r="V13" s="434"/>
      <c r="W13" s="434"/>
      <c r="X13" s="434"/>
    </row>
    <row r="14" spans="1:24" s="190" customFormat="1" ht="14.1" customHeight="1">
      <c r="A14" s="1554"/>
      <c r="B14" s="1329" t="s">
        <v>63</v>
      </c>
      <c r="C14" s="1329"/>
      <c r="D14" s="1555">
        <f t="shared" ref="D14:I14" si="4">SUM(D15:D16)</f>
        <v>68500000</v>
      </c>
      <c r="E14" s="1555">
        <f t="shared" si="4"/>
        <v>0</v>
      </c>
      <c r="F14" s="1555">
        <f t="shared" si="4"/>
        <v>0</v>
      </c>
      <c r="G14" s="1555">
        <f t="shared" si="4"/>
        <v>250000</v>
      </c>
      <c r="H14" s="1555">
        <f t="shared" si="4"/>
        <v>2500000</v>
      </c>
      <c r="I14" s="1555">
        <f t="shared" si="4"/>
        <v>1000000</v>
      </c>
      <c r="J14" s="1555">
        <f t="shared" ref="J14:P14" si="5">SUM(J15:J16)</f>
        <v>36632400</v>
      </c>
      <c r="K14" s="1555">
        <f t="shared" si="5"/>
        <v>0</v>
      </c>
      <c r="L14" s="1555">
        <f t="shared" si="5"/>
        <v>43347824</v>
      </c>
      <c r="M14" s="1555">
        <f t="shared" si="5"/>
        <v>5575456</v>
      </c>
      <c r="N14" s="1555">
        <f t="shared" si="5"/>
        <v>11190912</v>
      </c>
      <c r="O14" s="1555">
        <f t="shared" si="5"/>
        <v>0</v>
      </c>
      <c r="P14" s="1555">
        <f t="shared" si="5"/>
        <v>2638638</v>
      </c>
      <c r="Q14" s="1336">
        <f t="shared" si="1"/>
        <v>103135230</v>
      </c>
      <c r="R14" s="1336">
        <f t="shared" ref="R14:R23" si="6">Q14-D14</f>
        <v>34635230</v>
      </c>
      <c r="S14" s="1591">
        <f>Q14/D14*100</f>
        <v>150.56237956204379</v>
      </c>
      <c r="T14" s="1592"/>
      <c r="V14" s="434"/>
      <c r="W14" s="786"/>
      <c r="X14" s="786"/>
    </row>
    <row r="15" spans="1:24" s="189" customFormat="1" ht="14.1" customHeight="1">
      <c r="A15" s="292"/>
      <c r="B15" s="253" t="s">
        <v>50</v>
      </c>
      <c r="C15" s="253" t="s">
        <v>708</v>
      </c>
      <c r="D15" s="1556">
        <f>'[4]TARGET MURNI DAN PERUBAHAN'!D15</f>
        <v>60000000</v>
      </c>
      <c r="E15" s="355">
        <f>[5]Januari!$D$35</f>
        <v>0</v>
      </c>
      <c r="F15" s="355">
        <f>[5]Februari!$D$35</f>
        <v>0</v>
      </c>
      <c r="G15" s="355">
        <f>[5]Maret!$D$35</f>
        <v>0</v>
      </c>
      <c r="H15" s="355">
        <f>[5]April!$D$35</f>
        <v>0</v>
      </c>
      <c r="I15" s="355">
        <f>[5]Mei!$D$35</f>
        <v>0</v>
      </c>
      <c r="J15" s="355">
        <f>[5]Juni!$D$35</f>
        <v>36632400</v>
      </c>
      <c r="K15" s="355">
        <f>[5]Juli!$D$35</f>
        <v>0</v>
      </c>
      <c r="L15" s="355">
        <f>[5]Agustus!$D$35</f>
        <v>26166000</v>
      </c>
      <c r="M15" s="355">
        <f>[5]September!$D$35</f>
        <v>1280000</v>
      </c>
      <c r="N15" s="355">
        <f>[5]Oktober!$D$35</f>
        <v>2600000</v>
      </c>
      <c r="O15" s="355">
        <f>[5]Nopember!$D$35</f>
        <v>0</v>
      </c>
      <c r="P15" s="355">
        <f>[5]Desember!$D$35</f>
        <v>0</v>
      </c>
      <c r="Q15" s="346">
        <f t="shared" si="1"/>
        <v>66678400</v>
      </c>
      <c r="R15" s="355">
        <f t="shared" si="6"/>
        <v>6678400</v>
      </c>
      <c r="S15" s="388">
        <f>Q15/D15*100</f>
        <v>111.13066666666667</v>
      </c>
      <c r="T15" s="441"/>
      <c r="V15" s="434">
        <f>Q15/10</f>
        <v>6667840</v>
      </c>
      <c r="W15" s="786"/>
      <c r="X15" s="786"/>
    </row>
    <row r="16" spans="1:24" s="189" customFormat="1" ht="14.1" customHeight="1">
      <c r="A16" s="292"/>
      <c r="B16" s="253" t="s">
        <v>50</v>
      </c>
      <c r="C16" s="253" t="s">
        <v>709</v>
      </c>
      <c r="D16" s="1556">
        <f>'[4]TARGET MURNI DAN PERUBAHAN'!D16</f>
        <v>8500000</v>
      </c>
      <c r="E16" s="355">
        <f>[5]Januari!$E$35</f>
        <v>0</v>
      </c>
      <c r="F16" s="355">
        <f>[5]Februari!$E$35</f>
        <v>0</v>
      </c>
      <c r="G16" s="355">
        <f>[5]Maret!$E$35</f>
        <v>250000</v>
      </c>
      <c r="H16" s="355">
        <f>[5]April!$E$35</f>
        <v>2500000</v>
      </c>
      <c r="I16" s="355">
        <f>[5]Mei!$E$35</f>
        <v>1000000</v>
      </c>
      <c r="J16" s="355">
        <f>[5]Juni!$E$35</f>
        <v>0</v>
      </c>
      <c r="K16" s="355">
        <f>[5]Juli!$E$35</f>
        <v>0</v>
      </c>
      <c r="L16" s="355">
        <f>[5]Agustus!$E$35</f>
        <v>17181824</v>
      </c>
      <c r="M16" s="355">
        <f>[5]September!$E$35</f>
        <v>4295456</v>
      </c>
      <c r="N16" s="355">
        <f>[5]Oktober!$E$35</f>
        <v>8590912</v>
      </c>
      <c r="O16" s="355">
        <f>[5]Nopember!$E$35</f>
        <v>0</v>
      </c>
      <c r="P16" s="355">
        <f>[5]Desember!$E$35</f>
        <v>2638638</v>
      </c>
      <c r="Q16" s="346">
        <f t="shared" si="1"/>
        <v>36456830</v>
      </c>
      <c r="R16" s="355">
        <f t="shared" si="6"/>
        <v>27956830</v>
      </c>
      <c r="S16" s="388">
        <f>Q16/D16*100</f>
        <v>428.90388235294114</v>
      </c>
      <c r="T16" s="441"/>
      <c r="V16" s="434">
        <f>Q16/10</f>
        <v>3645683</v>
      </c>
      <c r="W16" s="786"/>
      <c r="X16" s="786"/>
    </row>
    <row r="17" spans="1:24" s="189" customFormat="1" ht="14.1" customHeight="1">
      <c r="A17" s="292"/>
      <c r="B17" s="253"/>
      <c r="C17" s="253"/>
      <c r="D17" s="355"/>
      <c r="E17" s="355"/>
      <c r="F17" s="355"/>
      <c r="G17" s="355"/>
      <c r="H17" s="355"/>
      <c r="I17" s="355"/>
      <c r="J17" s="355"/>
      <c r="K17" s="355"/>
      <c r="L17" s="355"/>
      <c r="M17" s="355"/>
      <c r="N17" s="355"/>
      <c r="O17" s="355"/>
      <c r="P17" s="355"/>
      <c r="Q17" s="346"/>
      <c r="R17" s="355"/>
      <c r="S17" s="388"/>
      <c r="T17" s="441"/>
      <c r="V17" s="786"/>
      <c r="W17" s="786"/>
      <c r="X17" s="786"/>
    </row>
    <row r="18" spans="1:24" s="190" customFormat="1" ht="14.1" customHeight="1">
      <c r="A18" s="290"/>
      <c r="B18" s="291" t="s">
        <v>71</v>
      </c>
      <c r="C18" s="291"/>
      <c r="D18" s="371">
        <f>SUM(D19:D23)</f>
        <v>0</v>
      </c>
      <c r="E18" s="371">
        <f>SUM(E19:E23)</f>
        <v>6616275</v>
      </c>
      <c r="F18" s="371">
        <f t="shared" ref="F18:P18" si="7">SUM(F19:F23)</f>
        <v>4490000</v>
      </c>
      <c r="G18" s="371">
        <f t="shared" si="7"/>
        <v>16539200</v>
      </c>
      <c r="H18" s="371">
        <f t="shared" si="7"/>
        <v>15017200</v>
      </c>
      <c r="I18" s="371">
        <f t="shared" si="7"/>
        <v>0</v>
      </c>
      <c r="J18" s="371">
        <f t="shared" si="7"/>
        <v>0</v>
      </c>
      <c r="K18" s="371">
        <f t="shared" si="7"/>
        <v>0</v>
      </c>
      <c r="L18" s="371">
        <f t="shared" si="7"/>
        <v>0</v>
      </c>
      <c r="M18" s="371">
        <f t="shared" si="7"/>
        <v>0</v>
      </c>
      <c r="N18" s="371">
        <f t="shared" si="7"/>
        <v>75000</v>
      </c>
      <c r="O18" s="371">
        <f t="shared" si="7"/>
        <v>21350600</v>
      </c>
      <c r="P18" s="371">
        <f t="shared" si="7"/>
        <v>78245021</v>
      </c>
      <c r="Q18" s="371">
        <f t="shared" ref="Q18:Q23" si="8">SUM(E18:P18)</f>
        <v>142333296</v>
      </c>
      <c r="R18" s="367">
        <f t="shared" si="6"/>
        <v>142333296</v>
      </c>
      <c r="S18" s="399" t="e">
        <f>Q18/D18*100</f>
        <v>#DIV/0!</v>
      </c>
      <c r="T18" s="651"/>
      <c r="V18" s="434"/>
      <c r="W18" s="786"/>
      <c r="X18" s="786"/>
    </row>
    <row r="19" spans="1:24" s="189" customFormat="1" ht="14.1" customHeight="1">
      <c r="A19" s="292"/>
      <c r="B19" s="2759" t="s">
        <v>50</v>
      </c>
      <c r="C19" s="859" t="s">
        <v>710</v>
      </c>
      <c r="D19" s="355">
        <v>0</v>
      </c>
      <c r="E19" s="355">
        <f>[5]Januari!$F$35</f>
        <v>1078800</v>
      </c>
      <c r="F19" s="355">
        <f>[5]Februari!$F$35</f>
        <v>0</v>
      </c>
      <c r="G19" s="355">
        <f>[5]Maret!$F$35</f>
        <v>0</v>
      </c>
      <c r="H19" s="355">
        <f>[5]April!$F$35</f>
        <v>13090000</v>
      </c>
      <c r="I19" s="355">
        <f>[5]Mei!$F$35</f>
        <v>0</v>
      </c>
      <c r="J19" s="355">
        <f>[5]Juni!$F$35</f>
        <v>0</v>
      </c>
      <c r="K19" s="355">
        <f>[5]Juli!$F$35</f>
        <v>0</v>
      </c>
      <c r="L19" s="355">
        <f>[5]Agustus!$F$35</f>
        <v>0</v>
      </c>
      <c r="M19" s="355">
        <f>[5]September!$F$35</f>
        <v>0</v>
      </c>
      <c r="N19" s="355">
        <f>[5]Oktober!$F$35</f>
        <v>0</v>
      </c>
      <c r="O19" s="355">
        <f>[5]Nopember!$F$35</f>
        <v>4580000</v>
      </c>
      <c r="P19" s="355">
        <f>[5]Desember!$F$35</f>
        <v>71943321</v>
      </c>
      <c r="Q19" s="355">
        <f t="shared" si="8"/>
        <v>90692121</v>
      </c>
      <c r="R19" s="355">
        <f t="shared" si="6"/>
        <v>90692121</v>
      </c>
      <c r="S19" s="388" t="e">
        <f>Q19/D19*100</f>
        <v>#DIV/0!</v>
      </c>
      <c r="T19" s="441"/>
      <c r="V19" s="434"/>
      <c r="W19" s="786"/>
      <c r="X19" s="786"/>
    </row>
    <row r="20" spans="1:24" s="189" customFormat="1" ht="14.1" customHeight="1">
      <c r="A20" s="292"/>
      <c r="B20" s="2759" t="s">
        <v>50</v>
      </c>
      <c r="C20" s="859" t="s">
        <v>711</v>
      </c>
      <c r="D20" s="355"/>
      <c r="E20" s="355">
        <f>[5]Januari!$G$35</f>
        <v>0</v>
      </c>
      <c r="F20" s="355">
        <f>[5]Februari!$G$35</f>
        <v>0</v>
      </c>
      <c r="G20" s="355">
        <f>[5]Maret!$G$35</f>
        <v>0</v>
      </c>
      <c r="H20" s="355">
        <f>[5]April!$G$35</f>
        <v>0</v>
      </c>
      <c r="I20" s="355">
        <f>[5]Mei!$G$35</f>
        <v>0</v>
      </c>
      <c r="J20" s="355">
        <f>[5]Juni!$G$35</f>
        <v>0</v>
      </c>
      <c r="K20" s="355">
        <f>[5]Juli!$G$35</f>
        <v>0</v>
      </c>
      <c r="L20" s="355">
        <f>[5]Agustus!$G$35</f>
        <v>0</v>
      </c>
      <c r="M20" s="355">
        <f>[5]September!$G$35</f>
        <v>0</v>
      </c>
      <c r="N20" s="355">
        <f>[5]Oktober!$G$35</f>
        <v>0</v>
      </c>
      <c r="O20" s="355">
        <f>[5]Nopember!$G$35</f>
        <v>0</v>
      </c>
      <c r="P20" s="355">
        <f>[5]Desember!$G$35</f>
        <v>0</v>
      </c>
      <c r="Q20" s="355">
        <f t="shared" si="8"/>
        <v>0</v>
      </c>
      <c r="R20" s="355">
        <f t="shared" si="6"/>
        <v>0</v>
      </c>
      <c r="S20" s="388"/>
      <c r="T20" s="441"/>
      <c r="V20" s="786"/>
      <c r="W20" s="786"/>
      <c r="X20" s="786"/>
    </row>
    <row r="21" spans="1:24" s="189" customFormat="1" ht="14.1" customHeight="1">
      <c r="A21" s="292"/>
      <c r="B21" s="2759" t="s">
        <v>50</v>
      </c>
      <c r="C21" s="859" t="s">
        <v>712</v>
      </c>
      <c r="D21" s="355"/>
      <c r="E21" s="355">
        <f>[5]Januari!$H$35</f>
        <v>0</v>
      </c>
      <c r="F21" s="355">
        <f>[5]Februari!$H$35</f>
        <v>0</v>
      </c>
      <c r="G21" s="355">
        <f>[5]Maret!$H$35</f>
        <v>0</v>
      </c>
      <c r="H21" s="355">
        <f>[5]April!$H$35</f>
        <v>0</v>
      </c>
      <c r="I21" s="355">
        <f>[5]Mei!$H$35</f>
        <v>0</v>
      </c>
      <c r="J21" s="355">
        <f>[5]Juni!$H$35</f>
        <v>0</v>
      </c>
      <c r="K21" s="355">
        <f>[5]Juli!$H$35</f>
        <v>0</v>
      </c>
      <c r="L21" s="355">
        <f>[5]Agustus!$H$35</f>
        <v>0</v>
      </c>
      <c r="M21" s="355">
        <f>[5]September!$H$35</f>
        <v>0</v>
      </c>
      <c r="N21" s="355">
        <f>[5]Oktober!$H$35</f>
        <v>0</v>
      </c>
      <c r="O21" s="355">
        <f>[5]Nopember!$H$35</f>
        <v>0</v>
      </c>
      <c r="P21" s="355">
        <f>[5]Desember!$H$35</f>
        <v>0</v>
      </c>
      <c r="Q21" s="355">
        <f t="shared" si="8"/>
        <v>0</v>
      </c>
      <c r="R21" s="355">
        <f t="shared" si="6"/>
        <v>0</v>
      </c>
      <c r="S21" s="388"/>
      <c r="T21" s="441"/>
      <c r="V21" s="786"/>
      <c r="W21" s="786"/>
      <c r="X21" s="786"/>
    </row>
    <row r="22" spans="1:24" s="189" customFormat="1" ht="14.1" customHeight="1">
      <c r="A22" s="292"/>
      <c r="B22" s="2759" t="s">
        <v>50</v>
      </c>
      <c r="C22" s="859" t="s">
        <v>713</v>
      </c>
      <c r="D22" s="355"/>
      <c r="E22" s="375">
        <f>[5]Januari!$I$35</f>
        <v>5537475</v>
      </c>
      <c r="F22" s="375">
        <f>[5]Februari!$I$35</f>
        <v>4490000</v>
      </c>
      <c r="G22" s="375">
        <f>[5]Maret!$I$35</f>
        <v>16539200</v>
      </c>
      <c r="H22" s="375">
        <f>[5]April!$I$35</f>
        <v>1927200</v>
      </c>
      <c r="I22" s="375">
        <f>[5]Mei!$I$35</f>
        <v>0</v>
      </c>
      <c r="J22" s="375">
        <f>[5]Juni!$I$35</f>
        <v>0</v>
      </c>
      <c r="K22" s="375">
        <f>[5]Juli!$I$35</f>
        <v>0</v>
      </c>
      <c r="L22" s="375">
        <f>[5]Agustus!$I$35</f>
        <v>0</v>
      </c>
      <c r="M22" s="375">
        <f>[5]September!$I$35</f>
        <v>0</v>
      </c>
      <c r="N22" s="375">
        <f>[5]Oktober!$I$35</f>
        <v>75000</v>
      </c>
      <c r="O22" s="375">
        <f>[5]Nopember!$I$35</f>
        <v>16770600</v>
      </c>
      <c r="P22" s="375">
        <f>[5]Desember!$I$35</f>
        <v>6301700</v>
      </c>
      <c r="Q22" s="355">
        <f t="shared" si="8"/>
        <v>51641175</v>
      </c>
      <c r="R22" s="355">
        <f t="shared" si="6"/>
        <v>51641175</v>
      </c>
      <c r="S22" s="388"/>
      <c r="T22" s="448"/>
      <c r="V22" s="434"/>
      <c r="W22" s="786"/>
      <c r="X22" s="786"/>
    </row>
    <row r="23" spans="1:24" s="189" customFormat="1" ht="14.1" customHeight="1">
      <c r="A23" s="292"/>
      <c r="B23" s="2759" t="s">
        <v>50</v>
      </c>
      <c r="C23" s="859" t="s">
        <v>714</v>
      </c>
      <c r="D23" s="1556">
        <f>'[4]TARGET MURNI DAN PERUBAHAN'!D21</f>
        <v>0</v>
      </c>
      <c r="E23" s="375">
        <v>0</v>
      </c>
      <c r="F23" s="375">
        <v>0</v>
      </c>
      <c r="G23" s="375">
        <v>0</v>
      </c>
      <c r="H23" s="375">
        <v>0</v>
      </c>
      <c r="I23" s="375">
        <v>0</v>
      </c>
      <c r="J23" s="375">
        <v>0</v>
      </c>
      <c r="K23" s="375">
        <v>0</v>
      </c>
      <c r="L23" s="375">
        <v>0</v>
      </c>
      <c r="M23" s="375">
        <v>0</v>
      </c>
      <c r="N23" s="375">
        <v>0</v>
      </c>
      <c r="O23" s="375">
        <v>0</v>
      </c>
      <c r="P23" s="375">
        <v>0</v>
      </c>
      <c r="Q23" s="355">
        <f t="shared" si="8"/>
        <v>0</v>
      </c>
      <c r="R23" s="355">
        <f t="shared" si="6"/>
        <v>0</v>
      </c>
      <c r="S23" s="347"/>
      <c r="T23" s="441"/>
      <c r="V23" s="786"/>
      <c r="W23" s="786"/>
      <c r="X23" s="786"/>
    </row>
    <row r="24" spans="1:24" s="245" customFormat="1" ht="14.1" customHeight="1">
      <c r="A24" s="655"/>
      <c r="B24" s="656"/>
      <c r="C24" s="656"/>
      <c r="D24" s="527"/>
      <c r="E24" s="681"/>
      <c r="F24" s="681"/>
      <c r="G24" s="681"/>
      <c r="H24" s="681"/>
      <c r="I24" s="681"/>
      <c r="J24" s="681"/>
      <c r="K24" s="681"/>
      <c r="L24" s="681"/>
      <c r="M24" s="681"/>
      <c r="N24" s="681"/>
      <c r="O24" s="681"/>
      <c r="P24" s="681"/>
      <c r="Q24" s="527"/>
      <c r="R24" s="527"/>
      <c r="S24" s="478"/>
      <c r="T24" s="644"/>
      <c r="V24" s="1593"/>
      <c r="W24" s="1593"/>
      <c r="X24" s="1593"/>
    </row>
    <row r="25" spans="1:24" s="244" customFormat="1" ht="14.1" customHeight="1">
      <c r="A25" s="1557" t="s">
        <v>78</v>
      </c>
      <c r="B25" s="1558" t="s">
        <v>79</v>
      </c>
      <c r="C25" s="1188"/>
      <c r="D25" s="1265">
        <f t="shared" ref="D25:P25" si="9">D27+D38+D71+D82+D91+D49+D60</f>
        <v>18813286650</v>
      </c>
      <c r="E25" s="1196">
        <f t="shared" si="9"/>
        <v>375149663</v>
      </c>
      <c r="F25" s="1196">
        <f t="shared" si="9"/>
        <v>2092242514</v>
      </c>
      <c r="G25" s="1196">
        <f t="shared" si="9"/>
        <v>1788351384</v>
      </c>
      <c r="H25" s="1196">
        <f t="shared" si="9"/>
        <v>1907404515</v>
      </c>
      <c r="I25" s="1196">
        <f t="shared" si="9"/>
        <v>1654601452</v>
      </c>
      <c r="J25" s="1196">
        <f t="shared" si="9"/>
        <v>966058068</v>
      </c>
      <c r="K25" s="1196">
        <f t="shared" si="9"/>
        <v>1691445969</v>
      </c>
      <c r="L25" s="1196">
        <f t="shared" si="9"/>
        <v>964471148</v>
      </c>
      <c r="M25" s="1196">
        <f t="shared" si="9"/>
        <v>3414033071</v>
      </c>
      <c r="N25" s="1196">
        <f t="shared" si="9"/>
        <v>2345933811</v>
      </c>
      <c r="O25" s="1196">
        <f t="shared" si="9"/>
        <v>2074961737</v>
      </c>
      <c r="P25" s="1196">
        <f t="shared" si="9"/>
        <v>3506333523.2600002</v>
      </c>
      <c r="Q25" s="1594">
        <f>SUM(E25:P25)</f>
        <v>22780986855.260002</v>
      </c>
      <c r="R25" s="1196">
        <f>+Q25-D25</f>
        <v>3967700205.2600021</v>
      </c>
      <c r="S25" s="1197">
        <f>+Q25/D25*100</f>
        <v>121.08988333125727</v>
      </c>
      <c r="T25" s="1208"/>
      <c r="V25" s="434">
        <f>Q25/10</f>
        <v>2278098685.526</v>
      </c>
      <c r="W25" s="434"/>
      <c r="X25" s="434"/>
    </row>
    <row r="26" spans="1:24" s="189" customFormat="1" ht="14.1" customHeight="1">
      <c r="A26" s="707"/>
      <c r="B26" s="288"/>
      <c r="C26" s="288"/>
      <c r="D26" s="330"/>
      <c r="E26" s="343"/>
      <c r="F26" s="343"/>
      <c r="G26" s="343"/>
      <c r="H26" s="343"/>
      <c r="I26" s="343"/>
      <c r="J26" s="343"/>
      <c r="K26" s="343"/>
      <c r="L26" s="343"/>
      <c r="M26" s="343"/>
      <c r="N26" s="343"/>
      <c r="O26" s="343"/>
      <c r="P26" s="343"/>
      <c r="Q26" s="343"/>
      <c r="R26" s="343"/>
      <c r="S26" s="344"/>
      <c r="T26" s="437"/>
      <c r="V26" s="786"/>
      <c r="W26" s="786"/>
      <c r="X26" s="786"/>
    </row>
    <row r="27" spans="1:24" s="246" customFormat="1" ht="14.1" customHeight="1">
      <c r="A27" s="296"/>
      <c r="B27" s="1559" t="s">
        <v>79</v>
      </c>
      <c r="C27" s="1560"/>
      <c r="D27" s="1561">
        <f t="shared" ref="D27:P27" si="10">D28+D31</f>
        <v>0</v>
      </c>
      <c r="E27" s="1562">
        <f t="shared" si="10"/>
        <v>0</v>
      </c>
      <c r="F27" s="1562">
        <f t="shared" si="10"/>
        <v>0</v>
      </c>
      <c r="G27" s="1562">
        <f t="shared" si="10"/>
        <v>0</v>
      </c>
      <c r="H27" s="1562">
        <f t="shared" si="10"/>
        <v>0</v>
      </c>
      <c r="I27" s="1562">
        <f t="shared" si="10"/>
        <v>0</v>
      </c>
      <c r="J27" s="1562">
        <f t="shared" si="10"/>
        <v>0</v>
      </c>
      <c r="K27" s="1562">
        <f t="shared" si="10"/>
        <v>0</v>
      </c>
      <c r="L27" s="1562">
        <f t="shared" si="10"/>
        <v>0</v>
      </c>
      <c r="M27" s="1562">
        <f t="shared" si="10"/>
        <v>0</v>
      </c>
      <c r="N27" s="1562">
        <f t="shared" si="10"/>
        <v>0</v>
      </c>
      <c r="O27" s="1562">
        <f t="shared" si="10"/>
        <v>5629000</v>
      </c>
      <c r="P27" s="1562">
        <f t="shared" si="10"/>
        <v>7074356.2599999998</v>
      </c>
      <c r="Q27" s="1562">
        <f>SUM(E27:P27)</f>
        <v>12703356.26</v>
      </c>
      <c r="R27" s="1562">
        <f>Q27-D27</f>
        <v>12703356.26</v>
      </c>
      <c r="S27" s="1595" t="e">
        <f>Q27/D27*100</f>
        <v>#DIV/0!</v>
      </c>
      <c r="T27" s="1596"/>
      <c r="V27" s="434">
        <f>Q27/10</f>
        <v>1270335.6259999999</v>
      </c>
      <c r="W27" s="1597"/>
      <c r="X27" s="1597"/>
    </row>
    <row r="28" spans="1:24" s="189" customFormat="1" ht="14.1" customHeight="1">
      <c r="A28" s="1324"/>
      <c r="B28" s="1325" t="s">
        <v>63</v>
      </c>
      <c r="C28" s="1365"/>
      <c r="D28" s="497">
        <f t="shared" ref="D28:P28" si="11">D29</f>
        <v>0</v>
      </c>
      <c r="E28" s="497">
        <f t="shared" si="11"/>
        <v>0</v>
      </c>
      <c r="F28" s="497">
        <f t="shared" si="11"/>
        <v>0</v>
      </c>
      <c r="G28" s="497">
        <f t="shared" si="11"/>
        <v>0</v>
      </c>
      <c r="H28" s="497">
        <f t="shared" si="11"/>
        <v>0</v>
      </c>
      <c r="I28" s="497">
        <f t="shared" si="11"/>
        <v>0</v>
      </c>
      <c r="J28" s="497">
        <f t="shared" si="11"/>
        <v>0</v>
      </c>
      <c r="K28" s="497">
        <f t="shared" si="11"/>
        <v>0</v>
      </c>
      <c r="L28" s="497">
        <f t="shared" si="11"/>
        <v>0</v>
      </c>
      <c r="M28" s="497">
        <f t="shared" si="11"/>
        <v>0</v>
      </c>
      <c r="N28" s="497">
        <f t="shared" si="11"/>
        <v>0</v>
      </c>
      <c r="O28" s="497">
        <f t="shared" si="11"/>
        <v>0</v>
      </c>
      <c r="P28" s="497">
        <f t="shared" si="11"/>
        <v>0</v>
      </c>
      <c r="Q28" s="677">
        <f>SUM(E28:P28)</f>
        <v>0</v>
      </c>
      <c r="R28" s="677">
        <f>Q28-D28</f>
        <v>0</v>
      </c>
      <c r="S28" s="690" t="e">
        <f>Q28/D28*100</f>
        <v>#DIV/0!</v>
      </c>
      <c r="T28" s="787" t="s">
        <v>715</v>
      </c>
      <c r="V28" s="786"/>
      <c r="W28" s="786"/>
      <c r="X28" s="786"/>
    </row>
    <row r="29" spans="1:24" s="189" customFormat="1" ht="14.1" customHeight="1">
      <c r="A29" s="292"/>
      <c r="B29" s="253" t="s">
        <v>50</v>
      </c>
      <c r="C29" s="253" t="s">
        <v>716</v>
      </c>
      <c r="D29" s="369">
        <f>'[4]TARGET MURNI DAN PERUBAHAN'!D27</f>
        <v>0</v>
      </c>
      <c r="E29" s="355">
        <f>[6]Januari!$D$35</f>
        <v>0</v>
      </c>
      <c r="F29" s="355">
        <f>[6]Februari!$D$35</f>
        <v>0</v>
      </c>
      <c r="G29" s="355">
        <f>[6]Maret!$D$35</f>
        <v>0</v>
      </c>
      <c r="H29" s="355">
        <f>[6]April!$D$35</f>
        <v>0</v>
      </c>
      <c r="I29" s="355">
        <f>[6]Mei!$D$35</f>
        <v>0</v>
      </c>
      <c r="J29" s="355">
        <f>[6]Juni!$D$35</f>
        <v>0</v>
      </c>
      <c r="K29" s="355">
        <f>[6]Juli!$D$35</f>
        <v>0</v>
      </c>
      <c r="L29" s="355">
        <f>[6]Agustus!$D$35</f>
        <v>0</v>
      </c>
      <c r="M29" s="355">
        <f>[6]September!$D$35</f>
        <v>0</v>
      </c>
      <c r="N29" s="355">
        <f>[6]Oktober!$D$35</f>
        <v>0</v>
      </c>
      <c r="O29" s="355">
        <f>[6]Nopember!$D$35</f>
        <v>0</v>
      </c>
      <c r="P29" s="355">
        <f>[6]Desember!$D$35</f>
        <v>0</v>
      </c>
      <c r="Q29" s="346">
        <f>SUM(E29:P29)</f>
        <v>0</v>
      </c>
      <c r="R29" s="355">
        <f>Q29-D29</f>
        <v>0</v>
      </c>
      <c r="S29" s="388" t="e">
        <f>Q29/D29*100</f>
        <v>#DIV/0!</v>
      </c>
      <c r="T29" s="441"/>
      <c r="V29" s="786"/>
      <c r="W29" s="786"/>
      <c r="X29" s="786"/>
    </row>
    <row r="30" spans="1:24" s="189" customFormat="1" ht="14.1" customHeight="1">
      <c r="A30" s="292"/>
      <c r="B30" s="253"/>
      <c r="C30" s="253"/>
      <c r="D30" s="355"/>
      <c r="E30" s="355"/>
      <c r="F30" s="355"/>
      <c r="G30" s="355"/>
      <c r="H30" s="355"/>
      <c r="I30" s="355"/>
      <c r="J30" s="355"/>
      <c r="K30" s="355"/>
      <c r="L30" s="355"/>
      <c r="M30" s="355"/>
      <c r="N30" s="355"/>
      <c r="O30" s="355"/>
      <c r="P30" s="355"/>
      <c r="Q30" s="355"/>
      <c r="R30" s="355"/>
      <c r="S30" s="388"/>
      <c r="T30" s="441"/>
      <c r="V30" s="786"/>
      <c r="W30" s="786"/>
      <c r="X30" s="786"/>
    </row>
    <row r="31" spans="1:24" s="189" customFormat="1" ht="14.1" customHeight="1">
      <c r="A31" s="292"/>
      <c r="B31" s="291" t="s">
        <v>71</v>
      </c>
      <c r="C31" s="291"/>
      <c r="D31" s="371">
        <f t="shared" ref="D31:I31" si="12">SUM(D32:D36)</f>
        <v>0</v>
      </c>
      <c r="E31" s="371">
        <f t="shared" si="12"/>
        <v>0</v>
      </c>
      <c r="F31" s="371">
        <f t="shared" si="12"/>
        <v>0</v>
      </c>
      <c r="G31" s="371">
        <f t="shared" si="12"/>
        <v>0</v>
      </c>
      <c r="H31" s="371">
        <f t="shared" si="12"/>
        <v>0</v>
      </c>
      <c r="I31" s="371">
        <f t="shared" si="12"/>
        <v>0</v>
      </c>
      <c r="J31" s="371">
        <f t="shared" ref="J31:P31" si="13">SUM(J32:J36)</f>
        <v>0</v>
      </c>
      <c r="K31" s="371">
        <f t="shared" si="13"/>
        <v>0</v>
      </c>
      <c r="L31" s="371">
        <f t="shared" si="13"/>
        <v>0</v>
      </c>
      <c r="M31" s="371">
        <f t="shared" si="13"/>
        <v>0</v>
      </c>
      <c r="N31" s="371">
        <f t="shared" si="13"/>
        <v>0</v>
      </c>
      <c r="O31" s="371">
        <f t="shared" si="13"/>
        <v>5629000</v>
      </c>
      <c r="P31" s="371">
        <f t="shared" si="13"/>
        <v>7074356.2599999998</v>
      </c>
      <c r="Q31" s="371">
        <f t="shared" ref="Q31:Q36" si="14">SUM(E31:P31)</f>
        <v>12703356.26</v>
      </c>
      <c r="R31" s="367">
        <f>Q31-D31</f>
        <v>12703356.26</v>
      </c>
      <c r="S31" s="347"/>
      <c r="T31" s="651"/>
      <c r="V31" s="786"/>
      <c r="W31" s="786"/>
      <c r="X31" s="786"/>
    </row>
    <row r="32" spans="1:24" s="189" customFormat="1" ht="14.1" customHeight="1">
      <c r="A32" s="292"/>
      <c r="B32" s="2759" t="s">
        <v>50</v>
      </c>
      <c r="C32" s="859" t="s">
        <v>710</v>
      </c>
      <c r="D32" s="355">
        <v>0</v>
      </c>
      <c r="E32" s="355">
        <f>[6]Januari!$E$35</f>
        <v>0</v>
      </c>
      <c r="F32" s="355">
        <f>[6]Februari!$E$35</f>
        <v>0</v>
      </c>
      <c r="G32" s="355">
        <f>[6]Maret!$E$35</f>
        <v>0</v>
      </c>
      <c r="H32" s="355">
        <f>[6]April!$E$35</f>
        <v>0</v>
      </c>
      <c r="I32" s="355">
        <f>[6]Mei!$E$35</f>
        <v>0</v>
      </c>
      <c r="J32" s="355">
        <f>[6]Juni!$E$35</f>
        <v>0</v>
      </c>
      <c r="K32" s="355">
        <f>[6]Juli!$E$35</f>
        <v>0</v>
      </c>
      <c r="L32" s="355">
        <f>[6]Agustus!$E$35</f>
        <v>0</v>
      </c>
      <c r="M32" s="355">
        <f>[6]September!$E$35</f>
        <v>0</v>
      </c>
      <c r="N32" s="355">
        <f>[6]Oktober!$E$35</f>
        <v>0</v>
      </c>
      <c r="O32" s="355">
        <f>[6]Nopember!$E$35</f>
        <v>0</v>
      </c>
      <c r="P32" s="355">
        <f>[6]Desember!$E$35</f>
        <v>0</v>
      </c>
      <c r="Q32" s="346">
        <f t="shared" si="14"/>
        <v>0</v>
      </c>
      <c r="R32" s="355">
        <f>Q32-D32</f>
        <v>0</v>
      </c>
      <c r="S32" s="388"/>
      <c r="T32" s="651"/>
      <c r="V32" s="786"/>
      <c r="W32" s="786"/>
      <c r="X32" s="786"/>
    </row>
    <row r="33" spans="1:24" s="189" customFormat="1" ht="14.1" customHeight="1">
      <c r="A33" s="292"/>
      <c r="B33" s="2759" t="s">
        <v>50</v>
      </c>
      <c r="C33" s="859" t="s">
        <v>711</v>
      </c>
      <c r="D33" s="355">
        <v>0</v>
      </c>
      <c r="E33" s="355">
        <f>[6]Januari!$F$35</f>
        <v>0</v>
      </c>
      <c r="F33" s="355">
        <f>[6]Februari!$F$35</f>
        <v>0</v>
      </c>
      <c r="G33" s="355">
        <f>[6]Maret!$F$35</f>
        <v>0</v>
      </c>
      <c r="H33" s="355">
        <f>[6]April!$F$35</f>
        <v>0</v>
      </c>
      <c r="I33" s="355">
        <f>[6]Mei!$F$35</f>
        <v>0</v>
      </c>
      <c r="J33" s="355">
        <f>[6]Juni!$F$35</f>
        <v>0</v>
      </c>
      <c r="K33" s="355">
        <f>[6]Juli!$F$35</f>
        <v>0</v>
      </c>
      <c r="L33" s="355">
        <f>[6]Agustus!$F$35</f>
        <v>0</v>
      </c>
      <c r="M33" s="355">
        <f>[6]September!$F$35</f>
        <v>0</v>
      </c>
      <c r="N33" s="355">
        <f>[6]Oktober!$F$35</f>
        <v>0</v>
      </c>
      <c r="O33" s="355">
        <f>[6]Nopember!$F$35</f>
        <v>3000000</v>
      </c>
      <c r="P33" s="355">
        <f>[6]Desember!$F$35</f>
        <v>0</v>
      </c>
      <c r="Q33" s="346">
        <f t="shared" si="14"/>
        <v>3000000</v>
      </c>
      <c r="R33" s="355">
        <f>Q33-D33</f>
        <v>3000000</v>
      </c>
      <c r="S33" s="388"/>
      <c r="T33" s="441"/>
      <c r="V33" s="786"/>
      <c r="W33" s="786"/>
      <c r="X33" s="786"/>
    </row>
    <row r="34" spans="1:24" s="189" customFormat="1" ht="14.1" customHeight="1">
      <c r="A34" s="292"/>
      <c r="B34" s="2759" t="s">
        <v>50</v>
      </c>
      <c r="C34" s="859" t="s">
        <v>712</v>
      </c>
      <c r="D34" s="355"/>
      <c r="E34" s="355">
        <f>[6]Januari!$G$35</f>
        <v>0</v>
      </c>
      <c r="F34" s="355">
        <f>[6]Februari!$G$35</f>
        <v>0</v>
      </c>
      <c r="G34" s="355">
        <f>[6]Maret!$G$35</f>
        <v>0</v>
      </c>
      <c r="H34" s="355">
        <f>[6]April!$G$35</f>
        <v>0</v>
      </c>
      <c r="I34" s="355">
        <f>[6]Mei!$G$35</f>
        <v>0</v>
      </c>
      <c r="J34" s="355">
        <f>[6]Juni!$G$35</f>
        <v>0</v>
      </c>
      <c r="K34" s="355">
        <f>[6]Juli!$G$35</f>
        <v>0</v>
      </c>
      <c r="L34" s="355">
        <f>[6]Agustus!$G$35</f>
        <v>0</v>
      </c>
      <c r="M34" s="355">
        <f>[6]September!$G$35</f>
        <v>0</v>
      </c>
      <c r="N34" s="355">
        <f>[6]Oktober!$G$35</f>
        <v>0</v>
      </c>
      <c r="O34" s="355">
        <f>[6]Nopember!$G$35</f>
        <v>0</v>
      </c>
      <c r="P34" s="355">
        <f>[6]Desember!$G$35</f>
        <v>0</v>
      </c>
      <c r="Q34" s="346">
        <f t="shared" si="14"/>
        <v>0</v>
      </c>
      <c r="R34" s="355"/>
      <c r="S34" s="388"/>
      <c r="T34" s="441"/>
      <c r="V34" s="786"/>
      <c r="W34" s="786"/>
      <c r="X34" s="786"/>
    </row>
    <row r="35" spans="1:24" s="189" customFormat="1" ht="14.1" customHeight="1">
      <c r="A35" s="292"/>
      <c r="B35" s="2759" t="s">
        <v>50</v>
      </c>
      <c r="C35" s="859" t="s">
        <v>713</v>
      </c>
      <c r="D35" s="355"/>
      <c r="E35" s="355">
        <f>[6]Januari!$H$35</f>
        <v>0</v>
      </c>
      <c r="F35" s="355">
        <f>[6]Februari!$H$35</f>
        <v>0</v>
      </c>
      <c r="G35" s="355">
        <f>[6]Maret!$H$35</f>
        <v>0</v>
      </c>
      <c r="H35" s="355">
        <f>[6]April!$H$35</f>
        <v>0</v>
      </c>
      <c r="I35" s="355">
        <f>[6]Mei!$H$35</f>
        <v>0</v>
      </c>
      <c r="J35" s="355">
        <f>[6]Juni!$H$35</f>
        <v>0</v>
      </c>
      <c r="K35" s="355">
        <f>[6]Juli!$H$35</f>
        <v>0</v>
      </c>
      <c r="L35" s="355">
        <f>[6]Agustus!$H$35</f>
        <v>0</v>
      </c>
      <c r="M35" s="355">
        <f>[6]September!$H$35</f>
        <v>0</v>
      </c>
      <c r="N35" s="355">
        <f>[6]Oktober!$H$35</f>
        <v>0</v>
      </c>
      <c r="O35" s="355">
        <f>[6]Nopember!$H$35</f>
        <v>2629000</v>
      </c>
      <c r="P35" s="355">
        <f>[6]Desember!$H$35</f>
        <v>5798056.2599999998</v>
      </c>
      <c r="Q35" s="346">
        <f t="shared" si="14"/>
        <v>8427056.2599999998</v>
      </c>
      <c r="R35" s="355">
        <f t="shared" ref="R35:R40" si="15">Q35-D35</f>
        <v>8427056.2599999998</v>
      </c>
      <c r="S35" s="388"/>
      <c r="T35" s="441"/>
      <c r="V35" s="786"/>
      <c r="W35" s="786"/>
      <c r="X35" s="786"/>
    </row>
    <row r="36" spans="1:24" s="245" customFormat="1" ht="14.1" customHeight="1">
      <c r="A36" s="292"/>
      <c r="B36" s="2759" t="s">
        <v>50</v>
      </c>
      <c r="C36" s="859" t="s">
        <v>714</v>
      </c>
      <c r="D36" s="355">
        <v>0</v>
      </c>
      <c r="E36" s="375">
        <v>0</v>
      </c>
      <c r="F36" s="375">
        <v>0</v>
      </c>
      <c r="G36" s="375">
        <v>0</v>
      </c>
      <c r="H36" s="355">
        <f>[6]April!$I$35</f>
        <v>0</v>
      </c>
      <c r="I36" s="375">
        <v>0</v>
      </c>
      <c r="J36" s="375">
        <v>0</v>
      </c>
      <c r="K36" s="375">
        <v>0</v>
      </c>
      <c r="L36" s="375">
        <v>0</v>
      </c>
      <c r="M36" s="375">
        <v>0</v>
      </c>
      <c r="N36" s="375">
        <v>0</v>
      </c>
      <c r="O36" s="375">
        <v>0</v>
      </c>
      <c r="P36" s="375">
        <f>[6]Desember!$I$35</f>
        <v>1276300</v>
      </c>
      <c r="Q36" s="346">
        <f t="shared" si="14"/>
        <v>1276300</v>
      </c>
      <c r="R36" s="355">
        <f t="shared" si="15"/>
        <v>1276300</v>
      </c>
      <c r="S36" s="347"/>
      <c r="T36" s="441"/>
      <c r="V36" s="1593"/>
      <c r="W36" s="1593"/>
      <c r="X36" s="1593"/>
    </row>
    <row r="37" spans="1:24" s="189" customFormat="1" ht="14.1" customHeight="1">
      <c r="A37" s="1563"/>
      <c r="B37" s="306"/>
      <c r="C37" s="306"/>
      <c r="D37" s="380"/>
      <c r="E37" s="379"/>
      <c r="F37" s="379"/>
      <c r="G37" s="379"/>
      <c r="H37" s="379"/>
      <c r="I37" s="379"/>
      <c r="J37" s="379"/>
      <c r="K37" s="379"/>
      <c r="L37" s="379"/>
      <c r="M37" s="379"/>
      <c r="N37" s="379"/>
      <c r="O37" s="379"/>
      <c r="P37" s="379"/>
      <c r="Q37" s="1598"/>
      <c r="R37" s="380"/>
      <c r="S37" s="381"/>
      <c r="T37" s="560"/>
      <c r="V37" s="786"/>
      <c r="W37" s="786"/>
      <c r="X37" s="786"/>
    </row>
    <row r="38" spans="1:24" s="247" customFormat="1" ht="14.1" customHeight="1">
      <c r="A38" s="1564"/>
      <c r="B38" s="1565" t="s">
        <v>717</v>
      </c>
      <c r="C38" s="1566"/>
      <c r="D38" s="1567">
        <f t="shared" ref="D38:P38" si="16">D39+D42</f>
        <v>1000000000</v>
      </c>
      <c r="E38" s="1568">
        <f t="shared" si="16"/>
        <v>70874000</v>
      </c>
      <c r="F38" s="1568">
        <f t="shared" si="16"/>
        <v>88166000</v>
      </c>
      <c r="G38" s="1568">
        <f t="shared" si="16"/>
        <v>116453500</v>
      </c>
      <c r="H38" s="1568">
        <f t="shared" si="16"/>
        <v>145755000</v>
      </c>
      <c r="I38" s="1568">
        <f t="shared" si="16"/>
        <v>106150000</v>
      </c>
      <c r="J38" s="1568">
        <f t="shared" si="16"/>
        <v>126871000</v>
      </c>
      <c r="K38" s="1568">
        <f t="shared" si="16"/>
        <v>72809500</v>
      </c>
      <c r="L38" s="1568">
        <f t="shared" si="16"/>
        <v>99279000</v>
      </c>
      <c r="M38" s="1568">
        <f t="shared" si="16"/>
        <v>88798500</v>
      </c>
      <c r="N38" s="1568">
        <f t="shared" si="16"/>
        <v>149947500</v>
      </c>
      <c r="O38" s="1568">
        <f t="shared" si="16"/>
        <v>128716500</v>
      </c>
      <c r="P38" s="1568">
        <f t="shared" si="16"/>
        <v>157662000</v>
      </c>
      <c r="Q38" s="1568">
        <f>SUM(E38:P38)</f>
        <v>1351482500</v>
      </c>
      <c r="R38" s="1568">
        <f t="shared" si="15"/>
        <v>351482500</v>
      </c>
      <c r="S38" s="1599">
        <f>Q38/D38*100</f>
        <v>135.14824999999999</v>
      </c>
      <c r="T38" s="1600"/>
      <c r="V38" s="434">
        <f>Q38/10</f>
        <v>135148250</v>
      </c>
      <c r="W38" s="1601"/>
      <c r="X38" s="1601"/>
    </row>
    <row r="39" spans="1:24" s="189" customFormat="1" ht="14.1" customHeight="1">
      <c r="A39" s="1569"/>
      <c r="B39" s="1570" t="s">
        <v>83</v>
      </c>
      <c r="C39" s="1570"/>
      <c r="D39" s="1571">
        <f>D40</f>
        <v>1000000000</v>
      </c>
      <c r="E39" s="1572">
        <f t="shared" ref="E39:P39" si="17">E40</f>
        <v>70874000</v>
      </c>
      <c r="F39" s="1572">
        <f t="shared" si="17"/>
        <v>88166000</v>
      </c>
      <c r="G39" s="1572">
        <f t="shared" si="17"/>
        <v>116453500</v>
      </c>
      <c r="H39" s="1572">
        <f t="shared" si="17"/>
        <v>145755000</v>
      </c>
      <c r="I39" s="1572">
        <f t="shared" si="17"/>
        <v>106150000</v>
      </c>
      <c r="J39" s="1572">
        <f t="shared" si="17"/>
        <v>126871000</v>
      </c>
      <c r="K39" s="1572">
        <f t="shared" si="17"/>
        <v>72809500</v>
      </c>
      <c r="L39" s="1572">
        <f t="shared" si="17"/>
        <v>99279000</v>
      </c>
      <c r="M39" s="1572">
        <f t="shared" si="17"/>
        <v>88798500</v>
      </c>
      <c r="N39" s="1572">
        <f t="shared" si="17"/>
        <v>149947500</v>
      </c>
      <c r="O39" s="1572">
        <f t="shared" si="17"/>
        <v>128716500</v>
      </c>
      <c r="P39" s="1572">
        <f t="shared" si="17"/>
        <v>157662000</v>
      </c>
      <c r="Q39" s="1572">
        <f>SUM(E39:P39)</f>
        <v>1351482500</v>
      </c>
      <c r="R39" s="1572">
        <f t="shared" si="15"/>
        <v>351482500</v>
      </c>
      <c r="S39" s="1602">
        <f>Q39/D39*100</f>
        <v>135.14824999999999</v>
      </c>
      <c r="T39" s="1603"/>
      <c r="V39" s="786"/>
      <c r="W39" s="786"/>
      <c r="X39" s="786"/>
    </row>
    <row r="40" spans="1:24" s="189" customFormat="1" ht="14.1" customHeight="1">
      <c r="A40" s="858"/>
      <c r="B40" s="2759" t="s">
        <v>50</v>
      </c>
      <c r="C40" s="859" t="s">
        <v>718</v>
      </c>
      <c r="D40" s="838">
        <f>'[4]TARGET MURNI DAN PERUBAHAN'!D36</f>
        <v>1000000000</v>
      </c>
      <c r="E40" s="878">
        <f>[7]Januari!$D$35</f>
        <v>70874000</v>
      </c>
      <c r="F40" s="878">
        <f>[7]Februari!$D$35</f>
        <v>88166000</v>
      </c>
      <c r="G40" s="878">
        <f>[7]Maret!$D$35</f>
        <v>116453500</v>
      </c>
      <c r="H40" s="878">
        <f>[7]April!$D$35</f>
        <v>145755000</v>
      </c>
      <c r="I40" s="878">
        <f>[7]Mei!$D$35</f>
        <v>106150000</v>
      </c>
      <c r="J40" s="878">
        <f>[7]Juni!$D$35</f>
        <v>126871000</v>
      </c>
      <c r="K40" s="878">
        <f>[7]Juli!$D$35</f>
        <v>72809500</v>
      </c>
      <c r="L40" s="878">
        <f>[7]Agustus!$D$35</f>
        <v>99279000</v>
      </c>
      <c r="M40" s="878">
        <f>[7]September!$D$35</f>
        <v>88798500</v>
      </c>
      <c r="N40" s="878">
        <f>[7]Oktober!$D$35</f>
        <v>149947500</v>
      </c>
      <c r="O40" s="878">
        <f>[7]Nopember!$D$35</f>
        <v>128716500</v>
      </c>
      <c r="P40" s="878">
        <f>[7]Desember!$D$35</f>
        <v>157662000</v>
      </c>
      <c r="Q40" s="878">
        <f>SUM(E40:P40)</f>
        <v>1351482500</v>
      </c>
      <c r="R40" s="878">
        <f t="shared" si="15"/>
        <v>351482500</v>
      </c>
      <c r="S40" s="879">
        <f>Q40/D40*100</f>
        <v>135.14824999999999</v>
      </c>
      <c r="T40" s="1604"/>
      <c r="V40" s="786"/>
      <c r="W40" s="786"/>
      <c r="X40" s="786"/>
    </row>
    <row r="41" spans="1:24" s="189" customFormat="1" ht="14.1" customHeight="1">
      <c r="A41" s="858"/>
      <c r="B41" s="859"/>
      <c r="C41" s="859"/>
      <c r="D41" s="878"/>
      <c r="E41" s="878"/>
      <c r="F41" s="878"/>
      <c r="G41" s="878"/>
      <c r="H41" s="878"/>
      <c r="I41" s="878"/>
      <c r="J41" s="878"/>
      <c r="K41" s="878"/>
      <c r="L41" s="878"/>
      <c r="M41" s="878"/>
      <c r="N41" s="878"/>
      <c r="O41" s="878"/>
      <c r="P41" s="878"/>
      <c r="Q41" s="878"/>
      <c r="R41" s="878"/>
      <c r="S41" s="879"/>
      <c r="T41" s="1604"/>
      <c r="V41" s="786"/>
      <c r="W41" s="786"/>
      <c r="X41" s="786"/>
    </row>
    <row r="42" spans="1:24" s="189" customFormat="1" ht="14.1" customHeight="1">
      <c r="A42" s="1573"/>
      <c r="B42" s="861" t="s">
        <v>71</v>
      </c>
      <c r="C42" s="861"/>
      <c r="D42" s="883">
        <f t="shared" ref="D42:P42" si="18">SUM(D43:D47)</f>
        <v>0</v>
      </c>
      <c r="E42" s="883">
        <f t="shared" si="18"/>
        <v>0</v>
      </c>
      <c r="F42" s="883">
        <f t="shared" si="18"/>
        <v>0</v>
      </c>
      <c r="G42" s="883">
        <f t="shared" si="18"/>
        <v>0</v>
      </c>
      <c r="H42" s="883">
        <f t="shared" si="18"/>
        <v>0</v>
      </c>
      <c r="I42" s="883">
        <f t="shared" si="18"/>
        <v>0</v>
      </c>
      <c r="J42" s="883">
        <f t="shared" si="18"/>
        <v>0</v>
      </c>
      <c r="K42" s="883">
        <f t="shared" si="18"/>
        <v>0</v>
      </c>
      <c r="L42" s="883">
        <f t="shared" si="18"/>
        <v>0</v>
      </c>
      <c r="M42" s="883">
        <f t="shared" si="18"/>
        <v>0</v>
      </c>
      <c r="N42" s="883">
        <f t="shared" si="18"/>
        <v>0</v>
      </c>
      <c r="O42" s="883">
        <f t="shared" si="18"/>
        <v>0</v>
      </c>
      <c r="P42" s="883">
        <f t="shared" si="18"/>
        <v>0</v>
      </c>
      <c r="Q42" s="883">
        <f t="shared" ref="Q42:Q47" si="19">SUM(E42:P42)</f>
        <v>0</v>
      </c>
      <c r="R42" s="1605">
        <f t="shared" ref="R42:R47" si="20">Q42-D42</f>
        <v>0</v>
      </c>
      <c r="S42" s="1606" t="e">
        <f>Q42/D42*100</f>
        <v>#DIV/0!</v>
      </c>
      <c r="T42" s="1607"/>
      <c r="V42" s="786"/>
      <c r="W42" s="786"/>
      <c r="X42" s="786"/>
    </row>
    <row r="43" spans="1:24" s="189" customFormat="1" ht="14.1" customHeight="1">
      <c r="A43" s="858"/>
      <c r="B43" s="2759" t="s">
        <v>50</v>
      </c>
      <c r="C43" s="859" t="s">
        <v>710</v>
      </c>
      <c r="D43" s="878">
        <v>0</v>
      </c>
      <c r="E43" s="878">
        <f>[7]Januari!$E$35</f>
        <v>0</v>
      </c>
      <c r="F43" s="878">
        <f>[7]Februari!$E$39</f>
        <v>0</v>
      </c>
      <c r="G43" s="878">
        <f>[7]Maret!$E$39</f>
        <v>0</v>
      </c>
      <c r="H43" s="878">
        <f>[7]April!$E$35</f>
        <v>0</v>
      </c>
      <c r="I43" s="878">
        <f>[7]Mei!$E$35</f>
        <v>0</v>
      </c>
      <c r="J43" s="878">
        <f>[7]Juni!$E$35</f>
        <v>0</v>
      </c>
      <c r="K43" s="878">
        <f>[7]Juli!$E$35</f>
        <v>0</v>
      </c>
      <c r="L43" s="878">
        <f>[7]Agustus!$E$35</f>
        <v>0</v>
      </c>
      <c r="M43" s="878">
        <f>[7]September!$E$35</f>
        <v>0</v>
      </c>
      <c r="N43" s="878">
        <f>[7]Oktober!$E$35</f>
        <v>0</v>
      </c>
      <c r="O43" s="878">
        <f>[7]Nopember!$E$35</f>
        <v>0</v>
      </c>
      <c r="P43" s="878">
        <f>[7]Desember!$E$35</f>
        <v>0</v>
      </c>
      <c r="Q43" s="878">
        <f t="shared" si="19"/>
        <v>0</v>
      </c>
      <c r="R43" s="1605">
        <f t="shared" si="20"/>
        <v>0</v>
      </c>
      <c r="S43" s="879"/>
      <c r="T43" s="1604"/>
      <c r="V43" s="786"/>
      <c r="W43" s="786"/>
      <c r="X43" s="786"/>
    </row>
    <row r="44" spans="1:24" s="189" customFormat="1" ht="14.1" customHeight="1">
      <c r="A44" s="858"/>
      <c r="B44" s="2759" t="s">
        <v>50</v>
      </c>
      <c r="C44" s="859" t="s">
        <v>711</v>
      </c>
      <c r="D44" s="878">
        <v>0</v>
      </c>
      <c r="E44" s="878">
        <f>[7]Januari!$F$35</f>
        <v>0</v>
      </c>
      <c r="F44" s="878">
        <f>[7]Februari!$F$39</f>
        <v>0</v>
      </c>
      <c r="G44" s="878">
        <f>[7]Maret!$F$39</f>
        <v>0</v>
      </c>
      <c r="H44" s="878">
        <f>[7]April!$F$35</f>
        <v>0</v>
      </c>
      <c r="I44" s="878">
        <f>[7]Mei!$F$35</f>
        <v>0</v>
      </c>
      <c r="J44" s="878">
        <f>[7]Juni!$F$35</f>
        <v>0</v>
      </c>
      <c r="K44" s="878">
        <f>[7]Juli!$F$35</f>
        <v>0</v>
      </c>
      <c r="L44" s="878">
        <f>[7]Agustus!$F$35</f>
        <v>0</v>
      </c>
      <c r="M44" s="878">
        <f>[7]September!$F$35</f>
        <v>0</v>
      </c>
      <c r="N44" s="878">
        <f>[7]Oktober!$F$35</f>
        <v>0</v>
      </c>
      <c r="O44" s="878">
        <f>[7]Nopember!$F$35</f>
        <v>0</v>
      </c>
      <c r="P44" s="878">
        <f>[7]Desember!$F$35</f>
        <v>0</v>
      </c>
      <c r="Q44" s="878">
        <f t="shared" si="19"/>
        <v>0</v>
      </c>
      <c r="R44" s="1605">
        <f t="shared" si="20"/>
        <v>0</v>
      </c>
      <c r="S44" s="879"/>
      <c r="T44" s="1604"/>
      <c r="V44" s="786"/>
      <c r="W44" s="786"/>
      <c r="X44" s="786"/>
    </row>
    <row r="45" spans="1:24" s="189" customFormat="1" ht="14.1" customHeight="1">
      <c r="A45" s="858"/>
      <c r="B45" s="2759" t="s">
        <v>50</v>
      </c>
      <c r="C45" s="859" t="s">
        <v>712</v>
      </c>
      <c r="D45" s="878">
        <v>0</v>
      </c>
      <c r="E45" s="878">
        <f>[7]Januari!$G$35</f>
        <v>0</v>
      </c>
      <c r="F45" s="878">
        <f>[7]Februari!$G$39</f>
        <v>0</v>
      </c>
      <c r="G45" s="878">
        <f>[7]Maret!$G$39</f>
        <v>0</v>
      </c>
      <c r="H45" s="878">
        <f>[7]April!$G$35</f>
        <v>0</v>
      </c>
      <c r="I45" s="878">
        <f>[7]Mei!$G$35</f>
        <v>0</v>
      </c>
      <c r="J45" s="878">
        <f>[7]Juni!$G$35</f>
        <v>0</v>
      </c>
      <c r="K45" s="878">
        <f>[7]Juli!$G$35</f>
        <v>0</v>
      </c>
      <c r="L45" s="878">
        <f>[7]Agustus!$G$35</f>
        <v>0</v>
      </c>
      <c r="M45" s="878">
        <f>[7]September!$G$35</f>
        <v>0</v>
      </c>
      <c r="N45" s="878">
        <f>[7]Oktober!$G$35</f>
        <v>0</v>
      </c>
      <c r="O45" s="878">
        <f>[7]Nopember!$G$35</f>
        <v>0</v>
      </c>
      <c r="P45" s="878">
        <f>[7]Desember!$G$35</f>
        <v>0</v>
      </c>
      <c r="Q45" s="878">
        <f t="shared" si="19"/>
        <v>0</v>
      </c>
      <c r="R45" s="1605">
        <f t="shared" si="20"/>
        <v>0</v>
      </c>
      <c r="S45" s="879"/>
      <c r="T45" s="1604"/>
      <c r="V45" s="786"/>
      <c r="W45" s="786"/>
      <c r="X45" s="786"/>
    </row>
    <row r="46" spans="1:24" s="189" customFormat="1" ht="14.1" customHeight="1">
      <c r="A46" s="858"/>
      <c r="B46" s="2759" t="s">
        <v>50</v>
      </c>
      <c r="C46" s="859" t="s">
        <v>713</v>
      </c>
      <c r="D46" s="878">
        <v>0</v>
      </c>
      <c r="E46" s="878">
        <f>[7]Januari!$H$35</f>
        <v>0</v>
      </c>
      <c r="F46" s="878">
        <f>[7]Februari!$H$39</f>
        <v>0</v>
      </c>
      <c r="G46" s="878">
        <f>[7]Maret!$H$39</f>
        <v>0</v>
      </c>
      <c r="H46" s="878">
        <f>[7]April!$H$35</f>
        <v>0</v>
      </c>
      <c r="I46" s="878">
        <f>[7]Mei!$H$35</f>
        <v>0</v>
      </c>
      <c r="J46" s="878">
        <f>[7]Juni!$H$35</f>
        <v>0</v>
      </c>
      <c r="K46" s="878">
        <f>[7]Juli!$H$35</f>
        <v>0</v>
      </c>
      <c r="L46" s="878">
        <f>[7]Agustus!$H$35</f>
        <v>0</v>
      </c>
      <c r="M46" s="878">
        <f>[7]September!$H$35</f>
        <v>0</v>
      </c>
      <c r="N46" s="878">
        <f>[7]Oktober!$H$35</f>
        <v>0</v>
      </c>
      <c r="O46" s="878">
        <f>[7]Nopember!$H$35</f>
        <v>0</v>
      </c>
      <c r="P46" s="878">
        <f>[7]Desember!$H$35</f>
        <v>0</v>
      </c>
      <c r="Q46" s="878">
        <f t="shared" si="19"/>
        <v>0</v>
      </c>
      <c r="R46" s="1605">
        <f t="shared" si="20"/>
        <v>0</v>
      </c>
      <c r="S46" s="879"/>
      <c r="T46" s="1604"/>
      <c r="V46" s="786"/>
      <c r="W46" s="786"/>
      <c r="X46" s="786"/>
    </row>
    <row r="47" spans="1:24" s="189" customFormat="1" ht="14.1" customHeight="1">
      <c r="A47" s="858"/>
      <c r="B47" s="2759" t="s">
        <v>50</v>
      </c>
      <c r="C47" s="859" t="s">
        <v>714</v>
      </c>
      <c r="D47" s="878">
        <v>0</v>
      </c>
      <c r="E47" s="878">
        <v>0</v>
      </c>
      <c r="F47" s="878">
        <v>0</v>
      </c>
      <c r="G47" s="878">
        <v>0</v>
      </c>
      <c r="H47" s="878">
        <v>0</v>
      </c>
      <c r="I47" s="878">
        <v>0</v>
      </c>
      <c r="J47" s="878">
        <v>0</v>
      </c>
      <c r="K47" s="878">
        <v>0</v>
      </c>
      <c r="L47" s="878">
        <v>0</v>
      </c>
      <c r="M47" s="878">
        <v>0</v>
      </c>
      <c r="N47" s="878">
        <v>0</v>
      </c>
      <c r="O47" s="878">
        <v>0</v>
      </c>
      <c r="P47" s="878">
        <v>0</v>
      </c>
      <c r="Q47" s="878">
        <f t="shared" si="19"/>
        <v>0</v>
      </c>
      <c r="R47" s="1605">
        <f t="shared" si="20"/>
        <v>0</v>
      </c>
      <c r="S47" s="879"/>
      <c r="T47" s="1604"/>
      <c r="V47" s="786"/>
      <c r="W47" s="786"/>
      <c r="X47" s="786"/>
    </row>
    <row r="48" spans="1:24" s="189" customFormat="1" ht="14.1" customHeight="1">
      <c r="A48" s="1574"/>
      <c r="B48" s="742"/>
      <c r="C48" s="742"/>
      <c r="D48" s="751"/>
      <c r="E48" s="751"/>
      <c r="F48" s="751"/>
      <c r="G48" s="751"/>
      <c r="H48" s="751"/>
      <c r="I48" s="751"/>
      <c r="J48" s="751"/>
      <c r="K48" s="751"/>
      <c r="L48" s="751"/>
      <c r="M48" s="751"/>
      <c r="N48" s="751"/>
      <c r="O48" s="751"/>
      <c r="P48" s="751"/>
      <c r="Q48" s="751"/>
      <c r="R48" s="751"/>
      <c r="S48" s="829"/>
      <c r="T48" s="780"/>
      <c r="V48" s="786"/>
      <c r="W48" s="786"/>
      <c r="X48" s="786"/>
    </row>
    <row r="49" spans="1:24" s="247" customFormat="1" ht="14.1" customHeight="1">
      <c r="A49" s="1575"/>
      <c r="B49" s="1565" t="s">
        <v>719</v>
      </c>
      <c r="C49" s="1576"/>
      <c r="D49" s="1577">
        <f t="shared" ref="D49:P49" si="21">D50+D53</f>
        <v>116000000</v>
      </c>
      <c r="E49" s="1578">
        <f t="shared" si="21"/>
        <v>26386500</v>
      </c>
      <c r="F49" s="1578">
        <f t="shared" si="21"/>
        <v>25330500</v>
      </c>
      <c r="G49" s="1578">
        <f t="shared" si="21"/>
        <v>22365500</v>
      </c>
      <c r="H49" s="1578">
        <f t="shared" si="21"/>
        <v>24484300</v>
      </c>
      <c r="I49" s="1578">
        <f t="shared" si="21"/>
        <v>20041000</v>
      </c>
      <c r="J49" s="1578">
        <f t="shared" si="21"/>
        <v>18634500</v>
      </c>
      <c r="K49" s="1578">
        <f t="shared" si="21"/>
        <v>15025000</v>
      </c>
      <c r="L49" s="1578">
        <f t="shared" si="21"/>
        <v>21486500</v>
      </c>
      <c r="M49" s="1578">
        <f t="shared" si="21"/>
        <v>30288500</v>
      </c>
      <c r="N49" s="1578">
        <f t="shared" si="21"/>
        <v>32354000</v>
      </c>
      <c r="O49" s="1578">
        <f t="shared" si="21"/>
        <v>34602000</v>
      </c>
      <c r="P49" s="1578">
        <f t="shared" si="21"/>
        <v>22679000</v>
      </c>
      <c r="Q49" s="1578">
        <f>SUM(E49:P49)</f>
        <v>293677300</v>
      </c>
      <c r="R49" s="1578">
        <f>+Q49-D49</f>
        <v>177677300</v>
      </c>
      <c r="S49" s="1608">
        <f>+Q49/D49*100</f>
        <v>253.17008620689654</v>
      </c>
      <c r="T49" s="1609"/>
      <c r="V49" s="434">
        <f>Q49/10</f>
        <v>29367730</v>
      </c>
      <c r="W49" s="1601"/>
      <c r="X49" s="1601"/>
    </row>
    <row r="50" spans="1:24" s="189" customFormat="1" ht="14.1" customHeight="1">
      <c r="A50" s="1579"/>
      <c r="B50" s="1570" t="s">
        <v>83</v>
      </c>
      <c r="C50" s="1580"/>
      <c r="D50" s="1581">
        <f>D51</f>
        <v>116000000</v>
      </c>
      <c r="E50" s="1582">
        <f t="shared" ref="E50:P50" si="22">E51</f>
        <v>26386500</v>
      </c>
      <c r="F50" s="1582">
        <f t="shared" si="22"/>
        <v>23952000</v>
      </c>
      <c r="G50" s="1582">
        <f t="shared" si="22"/>
        <v>22165500</v>
      </c>
      <c r="H50" s="1582">
        <f t="shared" si="22"/>
        <v>23904000</v>
      </c>
      <c r="I50" s="1582">
        <f t="shared" si="22"/>
        <v>19841000</v>
      </c>
      <c r="J50" s="1582">
        <f t="shared" si="22"/>
        <v>18534500</v>
      </c>
      <c r="K50" s="1582">
        <f t="shared" si="22"/>
        <v>14925000</v>
      </c>
      <c r="L50" s="1582">
        <f t="shared" si="22"/>
        <v>21486500</v>
      </c>
      <c r="M50" s="1582">
        <f t="shared" si="22"/>
        <v>30288500</v>
      </c>
      <c r="N50" s="1582">
        <f t="shared" si="22"/>
        <v>32349000</v>
      </c>
      <c r="O50" s="1582">
        <f t="shared" si="22"/>
        <v>34602000</v>
      </c>
      <c r="P50" s="1582">
        <f t="shared" si="22"/>
        <v>22679000</v>
      </c>
      <c r="Q50" s="1582">
        <f>SUM(E50:P50)</f>
        <v>291113500</v>
      </c>
      <c r="R50" s="1582">
        <f>Q50-D50</f>
        <v>175113500</v>
      </c>
      <c r="S50" s="1610">
        <f>Q50/D50*100</f>
        <v>250.95991379310342</v>
      </c>
      <c r="T50" s="1611"/>
      <c r="V50" s="786"/>
      <c r="W50" s="786"/>
      <c r="X50" s="786"/>
    </row>
    <row r="51" spans="1:24" s="189" customFormat="1" ht="14.1" customHeight="1">
      <c r="A51" s="858"/>
      <c r="B51" s="2759" t="s">
        <v>50</v>
      </c>
      <c r="C51" s="859" t="s">
        <v>718</v>
      </c>
      <c r="D51" s="1583">
        <f>'[4]TARGET MURNI DAN PERUBAHAN'!D44</f>
        <v>116000000</v>
      </c>
      <c r="E51" s="878">
        <f>[8]Januari!$D$35</f>
        <v>26386500</v>
      </c>
      <c r="F51" s="878">
        <f>[8]Februari!$D$35</f>
        <v>23952000</v>
      </c>
      <c r="G51" s="878">
        <f>[8]Maret!$D$35</f>
        <v>22165500</v>
      </c>
      <c r="H51" s="878">
        <f>[8]April!$D$35</f>
        <v>23904000</v>
      </c>
      <c r="I51" s="878">
        <f>[8]Mei!$D$35</f>
        <v>19841000</v>
      </c>
      <c r="J51" s="878">
        <f>[8]Juni!$D$35</f>
        <v>18534500</v>
      </c>
      <c r="K51" s="878">
        <f>[8]Juli!$D$35</f>
        <v>14925000</v>
      </c>
      <c r="L51" s="878">
        <f>[8]Agustus!$D$35</f>
        <v>21486500</v>
      </c>
      <c r="M51" s="878">
        <f>[8]September!$D$35</f>
        <v>30288500</v>
      </c>
      <c r="N51" s="878">
        <f>[8]Oktober!$D$35</f>
        <v>32349000</v>
      </c>
      <c r="O51" s="878">
        <f>[8]Nopember!$D$35</f>
        <v>34602000</v>
      </c>
      <c r="P51" s="878">
        <f>[8]Desember!$D$35</f>
        <v>22679000</v>
      </c>
      <c r="Q51" s="878">
        <f>SUM(E51:P51)</f>
        <v>291113500</v>
      </c>
      <c r="R51" s="878">
        <f>Q51-D51</f>
        <v>175113500</v>
      </c>
      <c r="S51" s="879">
        <f>Q51/D51*100</f>
        <v>250.95991379310342</v>
      </c>
      <c r="T51" s="1604"/>
      <c r="V51" s="786"/>
      <c r="W51" s="786"/>
      <c r="X51" s="786"/>
    </row>
    <row r="52" spans="1:24" s="189" customFormat="1" ht="14.1" customHeight="1">
      <c r="A52" s="858"/>
      <c r="B52" s="859"/>
      <c r="C52" s="859"/>
      <c r="D52" s="878"/>
      <c r="E52" s="878"/>
      <c r="F52" s="878"/>
      <c r="G52" s="878"/>
      <c r="H52" s="878"/>
      <c r="I52" s="878"/>
      <c r="J52" s="878"/>
      <c r="K52" s="878"/>
      <c r="L52" s="878"/>
      <c r="M52" s="878"/>
      <c r="N52" s="878"/>
      <c r="O52" s="878"/>
      <c r="P52" s="878"/>
      <c r="Q52" s="878"/>
      <c r="R52" s="878"/>
      <c r="S52" s="879"/>
      <c r="T52" s="1604"/>
      <c r="V52" s="786"/>
      <c r="W52" s="786"/>
      <c r="X52" s="786"/>
    </row>
    <row r="53" spans="1:24" s="189" customFormat="1" ht="14.1" customHeight="1">
      <c r="A53" s="858"/>
      <c r="B53" s="861" t="s">
        <v>71</v>
      </c>
      <c r="C53" s="861"/>
      <c r="D53" s="883">
        <f t="shared" ref="D53:P53" si="23">SUM(D54:D58)</f>
        <v>0</v>
      </c>
      <c r="E53" s="883">
        <f t="shared" si="23"/>
        <v>0</v>
      </c>
      <c r="F53" s="883">
        <f t="shared" si="23"/>
        <v>1378500</v>
      </c>
      <c r="G53" s="883">
        <f t="shared" si="23"/>
        <v>200000</v>
      </c>
      <c r="H53" s="883">
        <f t="shared" si="23"/>
        <v>580300</v>
      </c>
      <c r="I53" s="883">
        <f t="shared" si="23"/>
        <v>200000</v>
      </c>
      <c r="J53" s="883">
        <f t="shared" si="23"/>
        <v>100000</v>
      </c>
      <c r="K53" s="883">
        <f t="shared" si="23"/>
        <v>100000</v>
      </c>
      <c r="L53" s="883">
        <f t="shared" si="23"/>
        <v>0</v>
      </c>
      <c r="M53" s="883">
        <f t="shared" si="23"/>
        <v>0</v>
      </c>
      <c r="N53" s="883">
        <f t="shared" si="23"/>
        <v>5000</v>
      </c>
      <c r="O53" s="883">
        <f t="shared" si="23"/>
        <v>0</v>
      </c>
      <c r="P53" s="883">
        <f t="shared" si="23"/>
        <v>0</v>
      </c>
      <c r="Q53" s="883">
        <f t="shared" ref="Q53:Q58" si="24">SUM(E53:P53)</f>
        <v>2563800</v>
      </c>
      <c r="R53" s="1605">
        <f t="shared" ref="R53:R58" si="25">Q53-D53</f>
        <v>2563800</v>
      </c>
      <c r="S53" s="1612" t="e">
        <f>Q53/D53*100</f>
        <v>#DIV/0!</v>
      </c>
      <c r="T53" s="1607"/>
      <c r="V53" s="786"/>
      <c r="W53" s="786"/>
      <c r="X53" s="786"/>
    </row>
    <row r="54" spans="1:24" s="189" customFormat="1" ht="14.1" customHeight="1">
      <c r="A54" s="858"/>
      <c r="B54" s="2759" t="s">
        <v>50</v>
      </c>
      <c r="C54" s="859" t="s">
        <v>710</v>
      </c>
      <c r="D54" s="878">
        <v>0</v>
      </c>
      <c r="E54" s="878">
        <f>[8]Januari!$E$35</f>
        <v>0</v>
      </c>
      <c r="F54" s="878">
        <f>[8]Februari!$E$35</f>
        <v>0</v>
      </c>
      <c r="G54" s="878">
        <f>[8]Maret!$E$35</f>
        <v>0</v>
      </c>
      <c r="H54" s="878">
        <f>[8]April!$E$35</f>
        <v>0</v>
      </c>
      <c r="I54" s="878">
        <f>[8]Mei!$E$35</f>
        <v>0</v>
      </c>
      <c r="J54" s="878">
        <f>[8]Juni!$E$35</f>
        <v>0</v>
      </c>
      <c r="K54" s="878">
        <f>[8]Juli!$E$35</f>
        <v>0</v>
      </c>
      <c r="L54" s="878">
        <f>[8]Agustus!$E$35</f>
        <v>0</v>
      </c>
      <c r="M54" s="878">
        <f>[8]September!$E$35</f>
        <v>0</v>
      </c>
      <c r="N54" s="878">
        <f>[8]Oktober!$E$35</f>
        <v>0</v>
      </c>
      <c r="O54" s="878">
        <f>[8]Nopember!$E$35</f>
        <v>0</v>
      </c>
      <c r="P54" s="878">
        <f>[8]Desember!$E$35</f>
        <v>0</v>
      </c>
      <c r="Q54" s="878">
        <f t="shared" si="24"/>
        <v>0</v>
      </c>
      <c r="R54" s="1605">
        <f t="shared" si="25"/>
        <v>0</v>
      </c>
      <c r="S54" s="879"/>
      <c r="T54" s="1604"/>
      <c r="V54" s="786"/>
      <c r="W54" s="786"/>
      <c r="X54" s="786"/>
    </row>
    <row r="55" spans="1:24" s="189" customFormat="1" ht="14.1" customHeight="1">
      <c r="A55" s="858"/>
      <c r="B55" s="2759" t="s">
        <v>50</v>
      </c>
      <c r="C55" s="859" t="s">
        <v>711</v>
      </c>
      <c r="D55" s="878">
        <v>0</v>
      </c>
      <c r="E55" s="878">
        <f>[8]Januari!$F$35</f>
        <v>0</v>
      </c>
      <c r="F55" s="878">
        <f>[8]Februari!$F$35</f>
        <v>0</v>
      </c>
      <c r="G55" s="878">
        <f>[8]Maret!$F$35</f>
        <v>0</v>
      </c>
      <c r="H55" s="878">
        <f>[8]April!$F$35</f>
        <v>0</v>
      </c>
      <c r="I55" s="878">
        <f>[8]Mei!$F$35</f>
        <v>0</v>
      </c>
      <c r="J55" s="878">
        <f>[8]Juni!$F$35</f>
        <v>0</v>
      </c>
      <c r="K55" s="878">
        <f>[8]Juli!$F$35</f>
        <v>0</v>
      </c>
      <c r="L55" s="878">
        <f>[8]Agustus!$F$35</f>
        <v>0</v>
      </c>
      <c r="M55" s="878">
        <f>[8]September!$F$35</f>
        <v>0</v>
      </c>
      <c r="N55" s="878">
        <f>[8]Oktober!$F$35</f>
        <v>0</v>
      </c>
      <c r="O55" s="878">
        <f>[8]Nopember!$F$35</f>
        <v>0</v>
      </c>
      <c r="P55" s="878">
        <f>[8]Desember!$F$35</f>
        <v>0</v>
      </c>
      <c r="Q55" s="878">
        <f t="shared" si="24"/>
        <v>0</v>
      </c>
      <c r="R55" s="1605">
        <f t="shared" si="25"/>
        <v>0</v>
      </c>
      <c r="S55" s="879"/>
      <c r="T55" s="1604"/>
      <c r="V55" s="786"/>
      <c r="W55" s="786"/>
      <c r="X55" s="786"/>
    </row>
    <row r="56" spans="1:24" s="189" customFormat="1" ht="14.1" customHeight="1">
      <c r="A56" s="858"/>
      <c r="B56" s="2759" t="s">
        <v>50</v>
      </c>
      <c r="C56" s="859" t="s">
        <v>712</v>
      </c>
      <c r="D56" s="878">
        <v>0</v>
      </c>
      <c r="E56" s="878">
        <f>[8]Januari!$G$35</f>
        <v>0</v>
      </c>
      <c r="F56" s="878">
        <f>[8]Februari!$G$35</f>
        <v>0</v>
      </c>
      <c r="G56" s="878">
        <f>[8]Maret!$G$35</f>
        <v>0</v>
      </c>
      <c r="H56" s="878">
        <f>[8]April!$G$35</f>
        <v>0</v>
      </c>
      <c r="I56" s="878">
        <f>[8]Mei!$G$35</f>
        <v>0</v>
      </c>
      <c r="J56" s="878">
        <f>[8]Juni!$G$35</f>
        <v>0</v>
      </c>
      <c r="K56" s="878">
        <f>[8]Juli!$G$35</f>
        <v>0</v>
      </c>
      <c r="L56" s="878">
        <f>[8]Agustus!$G$35</f>
        <v>0</v>
      </c>
      <c r="M56" s="878">
        <f>[8]September!$G$35</f>
        <v>0</v>
      </c>
      <c r="N56" s="878">
        <f>[8]Oktober!$G$35</f>
        <v>0</v>
      </c>
      <c r="O56" s="878">
        <f>[8]Nopember!$G$35</f>
        <v>0</v>
      </c>
      <c r="P56" s="878">
        <f>[8]Desember!$G$35</f>
        <v>0</v>
      </c>
      <c r="Q56" s="878">
        <f t="shared" si="24"/>
        <v>0</v>
      </c>
      <c r="R56" s="1605">
        <f t="shared" si="25"/>
        <v>0</v>
      </c>
      <c r="S56" s="879"/>
      <c r="T56" s="1604"/>
      <c r="V56" s="786"/>
      <c r="W56" s="786"/>
      <c r="X56" s="786"/>
    </row>
    <row r="57" spans="1:24" s="189" customFormat="1" ht="14.1" customHeight="1">
      <c r="A57" s="858"/>
      <c r="B57" s="2759" t="s">
        <v>50</v>
      </c>
      <c r="C57" s="859" t="s">
        <v>713</v>
      </c>
      <c r="D57" s="878">
        <v>0</v>
      </c>
      <c r="E57" s="878">
        <f>[8]Januari!$H$35</f>
        <v>0</v>
      </c>
      <c r="F57" s="878">
        <f>[8]Februari!$H$35</f>
        <v>0</v>
      </c>
      <c r="G57" s="878">
        <f>[8]Maret!$H$35</f>
        <v>0</v>
      </c>
      <c r="H57" s="878">
        <f>[8]April!$H$35</f>
        <v>380300</v>
      </c>
      <c r="I57" s="878">
        <f>[8]Mei!$H$35</f>
        <v>0</v>
      </c>
      <c r="J57" s="878">
        <f>[8]Juni!$H$35</f>
        <v>0</v>
      </c>
      <c r="K57" s="878">
        <f>[8]Juli!$H$35</f>
        <v>0</v>
      </c>
      <c r="L57" s="878">
        <f>[8]Agustus!$H$35</f>
        <v>0</v>
      </c>
      <c r="M57" s="878">
        <f>[8]September!$H$35</f>
        <v>0</v>
      </c>
      <c r="N57" s="878">
        <f>[8]Oktober!$H$35</f>
        <v>0</v>
      </c>
      <c r="O57" s="878">
        <f>[8]Nopember!$H$35</f>
        <v>0</v>
      </c>
      <c r="P57" s="878">
        <f>[8]Desember!$H$35</f>
        <v>0</v>
      </c>
      <c r="Q57" s="878">
        <f t="shared" si="24"/>
        <v>380300</v>
      </c>
      <c r="R57" s="1605">
        <f t="shared" si="25"/>
        <v>380300</v>
      </c>
      <c r="S57" s="879"/>
      <c r="T57" s="1604"/>
      <c r="V57" s="786"/>
      <c r="W57" s="786"/>
      <c r="X57" s="786"/>
    </row>
    <row r="58" spans="1:24" s="189" customFormat="1" ht="14.1" customHeight="1">
      <c r="A58" s="858"/>
      <c r="B58" s="2759" t="s">
        <v>50</v>
      </c>
      <c r="C58" s="859" t="s">
        <v>714</v>
      </c>
      <c r="D58" s="878">
        <v>0</v>
      </c>
      <c r="E58" s="878">
        <f>[8]Januari!$I$35</f>
        <v>0</v>
      </c>
      <c r="F58" s="878">
        <f>[8]Februari!$I$35</f>
        <v>1378500</v>
      </c>
      <c r="G58" s="878">
        <f>[8]Maret!$I$35</f>
        <v>200000</v>
      </c>
      <c r="H58" s="878">
        <f>[8]April!$I$35</f>
        <v>200000</v>
      </c>
      <c r="I58" s="878">
        <f>[8]Mei!$I$35</f>
        <v>200000</v>
      </c>
      <c r="J58" s="878">
        <f>[8]Juni!$I$35</f>
        <v>100000</v>
      </c>
      <c r="K58" s="878">
        <f>[8]Juli!$I$35</f>
        <v>100000</v>
      </c>
      <c r="L58" s="878">
        <f>[8]Agustus!$I$35</f>
        <v>0</v>
      </c>
      <c r="M58" s="878">
        <f>[8]September!$I$35</f>
        <v>0</v>
      </c>
      <c r="N58" s="878">
        <f>[8]Oktober!$I$35</f>
        <v>5000</v>
      </c>
      <c r="O58" s="878">
        <f>[8]Nopember!$I$35</f>
        <v>0</v>
      </c>
      <c r="P58" s="878">
        <f>[8]Desember!$I$35</f>
        <v>0</v>
      </c>
      <c r="Q58" s="878">
        <f t="shared" si="24"/>
        <v>2183500</v>
      </c>
      <c r="R58" s="1605">
        <f t="shared" si="25"/>
        <v>2183500</v>
      </c>
      <c r="S58" s="879"/>
      <c r="T58" s="1604"/>
      <c r="V58" s="786"/>
      <c r="W58" s="786"/>
      <c r="X58" s="786"/>
    </row>
    <row r="59" spans="1:24" s="245" customFormat="1" ht="14.1" customHeight="1">
      <c r="A59" s="575"/>
      <c r="B59" s="306"/>
      <c r="C59" s="306"/>
      <c r="D59" s="380"/>
      <c r="E59" s="379"/>
      <c r="F59" s="379"/>
      <c r="G59" s="379"/>
      <c r="H59" s="379"/>
      <c r="I59" s="379"/>
      <c r="J59" s="379"/>
      <c r="K59" s="379"/>
      <c r="L59" s="379"/>
      <c r="M59" s="379"/>
      <c r="N59" s="379"/>
      <c r="O59" s="379"/>
      <c r="P59" s="379"/>
      <c r="Q59" s="380"/>
      <c r="R59" s="380"/>
      <c r="S59" s="501"/>
      <c r="T59" s="549"/>
      <c r="V59" s="1593"/>
      <c r="W59" s="1593"/>
      <c r="X59" s="1593"/>
    </row>
    <row r="60" spans="1:24" s="247" customFormat="1" ht="14.1" customHeight="1">
      <c r="A60" s="1575"/>
      <c r="B60" s="1584" t="s">
        <v>720</v>
      </c>
      <c r="C60" s="1576"/>
      <c r="D60" s="1577">
        <f t="shared" ref="D60:P60" si="26">D61+D64</f>
        <v>12000000000</v>
      </c>
      <c r="E60" s="1578">
        <f t="shared" si="26"/>
        <v>243202163</v>
      </c>
      <c r="F60" s="1578">
        <f t="shared" si="26"/>
        <v>1920307514</v>
      </c>
      <c r="G60" s="1578">
        <f t="shared" si="26"/>
        <v>910922603</v>
      </c>
      <c r="H60" s="1578">
        <f t="shared" si="26"/>
        <v>1175336815</v>
      </c>
      <c r="I60" s="1578">
        <f t="shared" si="26"/>
        <v>979549352</v>
      </c>
      <c r="J60" s="1578">
        <f t="shared" si="26"/>
        <v>302848630</v>
      </c>
      <c r="K60" s="1578">
        <f t="shared" si="26"/>
        <v>1169642069</v>
      </c>
      <c r="L60" s="1578">
        <f t="shared" si="26"/>
        <v>356112748</v>
      </c>
      <c r="M60" s="1578">
        <f t="shared" si="26"/>
        <v>2072093095</v>
      </c>
      <c r="N60" s="1578">
        <f t="shared" si="26"/>
        <v>1182188847</v>
      </c>
      <c r="O60" s="1578">
        <f t="shared" si="26"/>
        <v>1443276464</v>
      </c>
      <c r="P60" s="1578">
        <f t="shared" si="26"/>
        <v>2792722652</v>
      </c>
      <c r="Q60" s="1578">
        <f>SUM(E60:P60)</f>
        <v>14548202952</v>
      </c>
      <c r="R60" s="1578">
        <f>+Q60-D60</f>
        <v>2548202952</v>
      </c>
      <c r="S60" s="1608">
        <f>+Q60/D60*100</f>
        <v>121.2350246</v>
      </c>
      <c r="T60" s="1613"/>
      <c r="V60" s="434">
        <f>Q60/10</f>
        <v>1454820295.2</v>
      </c>
      <c r="W60" s="1601"/>
      <c r="X60" s="1601"/>
    </row>
    <row r="61" spans="1:24" s="189" customFormat="1" ht="14.1" customHeight="1">
      <c r="A61" s="1579"/>
      <c r="B61" s="1570" t="s">
        <v>83</v>
      </c>
      <c r="C61" s="1580"/>
      <c r="D61" s="1581">
        <f>D62</f>
        <v>12000000000</v>
      </c>
      <c r="E61" s="1582">
        <f t="shared" ref="E61:P61" si="27">E62</f>
        <v>242894763</v>
      </c>
      <c r="F61" s="1582">
        <f t="shared" si="27"/>
        <v>283425114</v>
      </c>
      <c r="G61" s="1582">
        <f t="shared" si="27"/>
        <v>677859003</v>
      </c>
      <c r="H61" s="1582">
        <f t="shared" si="27"/>
        <v>1175336815</v>
      </c>
      <c r="I61" s="1582">
        <f t="shared" si="27"/>
        <v>979549352</v>
      </c>
      <c r="J61" s="1582">
        <f t="shared" si="27"/>
        <v>302848630</v>
      </c>
      <c r="K61" s="1582">
        <f t="shared" si="27"/>
        <v>1169642069</v>
      </c>
      <c r="L61" s="1582">
        <f t="shared" si="27"/>
        <v>350430748</v>
      </c>
      <c r="M61" s="1582">
        <f t="shared" si="27"/>
        <v>2072093095</v>
      </c>
      <c r="N61" s="1582">
        <f t="shared" si="27"/>
        <v>1182188847</v>
      </c>
      <c r="O61" s="1582">
        <f t="shared" si="27"/>
        <v>1443276464</v>
      </c>
      <c r="P61" s="1582">
        <f t="shared" si="27"/>
        <v>2747406652</v>
      </c>
      <c r="Q61" s="1572">
        <f>SUM(E61:P61)</f>
        <v>12626951552</v>
      </c>
      <c r="R61" s="1582">
        <f>Q61-D61</f>
        <v>626951552</v>
      </c>
      <c r="S61" s="1610">
        <f>Q61/D61*100</f>
        <v>105.22459626666667</v>
      </c>
      <c r="T61" s="1611"/>
      <c r="V61" s="786"/>
      <c r="W61" s="786"/>
      <c r="X61" s="786"/>
    </row>
    <row r="62" spans="1:24" s="189" customFormat="1" ht="14.1" customHeight="1">
      <c r="A62" s="858"/>
      <c r="B62" s="2759" t="s">
        <v>50</v>
      </c>
      <c r="C62" s="859" t="s">
        <v>718</v>
      </c>
      <c r="D62" s="1583">
        <f>'[4]TARGET MURNI DAN PERUBAHAN'!D52</f>
        <v>12000000000</v>
      </c>
      <c r="E62" s="878">
        <f>[9]Januari!$D$35</f>
        <v>242894763</v>
      </c>
      <c r="F62" s="878">
        <f>[9]Februari!$D$35</f>
        <v>283425114</v>
      </c>
      <c r="G62" s="878">
        <f>[9]Maret!$D$35</f>
        <v>677859003</v>
      </c>
      <c r="H62" s="878">
        <f>[9]April!$D$35</f>
        <v>1175336815</v>
      </c>
      <c r="I62" s="878">
        <f>[9]Mei!$D$35</f>
        <v>979549352</v>
      </c>
      <c r="J62" s="878">
        <f>[9]Juni!$D$35</f>
        <v>302848630</v>
      </c>
      <c r="K62" s="878">
        <f>[9]Juli!$D$35</f>
        <v>1169642069</v>
      </c>
      <c r="L62" s="878">
        <f>[9]Agustus!$D$35</f>
        <v>350430748</v>
      </c>
      <c r="M62" s="878">
        <f>[9]September!$D$35</f>
        <v>2072093095</v>
      </c>
      <c r="N62" s="878">
        <f>[9]Oktober!$D$35</f>
        <v>1182188847</v>
      </c>
      <c r="O62" s="878">
        <f>[9]Nopember!$D$35</f>
        <v>1443276464</v>
      </c>
      <c r="P62" s="878">
        <f>[9]Desember!$D$35</f>
        <v>2747406652</v>
      </c>
      <c r="Q62" s="883">
        <f>SUM(E62:P62)</f>
        <v>12626951552</v>
      </c>
      <c r="R62" s="878">
        <f>Q62-D62</f>
        <v>626951552</v>
      </c>
      <c r="S62" s="879">
        <f>Q62/D62*100</f>
        <v>105.22459626666667</v>
      </c>
      <c r="T62" s="1604"/>
      <c r="V62" s="786"/>
      <c r="W62" s="786"/>
      <c r="X62" s="786"/>
    </row>
    <row r="63" spans="1:24" s="189" customFormat="1" ht="14.1" customHeight="1">
      <c r="A63" s="858"/>
      <c r="B63" s="859"/>
      <c r="C63" s="859"/>
      <c r="D63" s="878"/>
      <c r="E63" s="878"/>
      <c r="F63" s="878"/>
      <c r="G63" s="878"/>
      <c r="H63" s="878"/>
      <c r="I63" s="878"/>
      <c r="J63" s="878"/>
      <c r="K63" s="878"/>
      <c r="L63" s="878"/>
      <c r="M63" s="878"/>
      <c r="N63" s="878"/>
      <c r="O63" s="878"/>
      <c r="P63" s="878"/>
      <c r="Q63" s="883"/>
      <c r="R63" s="878"/>
      <c r="S63" s="879"/>
      <c r="T63" s="1604"/>
      <c r="V63" s="786"/>
      <c r="W63" s="786"/>
      <c r="X63" s="786"/>
    </row>
    <row r="64" spans="1:24" s="189" customFormat="1" ht="14.1" customHeight="1">
      <c r="A64" s="858"/>
      <c r="B64" s="861" t="s">
        <v>71</v>
      </c>
      <c r="C64" s="861"/>
      <c r="D64" s="883">
        <f>SUM(D65:D69)</f>
        <v>0</v>
      </c>
      <c r="E64" s="883">
        <f t="shared" ref="E64:Q64" si="28">SUM(E65:E69)</f>
        <v>307400</v>
      </c>
      <c r="F64" s="883">
        <f t="shared" si="28"/>
        <v>1636882400</v>
      </c>
      <c r="G64" s="883">
        <f t="shared" si="28"/>
        <v>233063600</v>
      </c>
      <c r="H64" s="883">
        <f t="shared" si="28"/>
        <v>0</v>
      </c>
      <c r="I64" s="883">
        <f t="shared" si="28"/>
        <v>0</v>
      </c>
      <c r="J64" s="883">
        <f t="shared" si="28"/>
        <v>0</v>
      </c>
      <c r="K64" s="883">
        <f t="shared" si="28"/>
        <v>0</v>
      </c>
      <c r="L64" s="883">
        <f t="shared" si="28"/>
        <v>5682000</v>
      </c>
      <c r="M64" s="883">
        <f t="shared" si="28"/>
        <v>0</v>
      </c>
      <c r="N64" s="883">
        <f t="shared" si="28"/>
        <v>0</v>
      </c>
      <c r="O64" s="883">
        <f t="shared" si="28"/>
        <v>0</v>
      </c>
      <c r="P64" s="883">
        <f t="shared" si="28"/>
        <v>45316000</v>
      </c>
      <c r="Q64" s="883">
        <f t="shared" si="28"/>
        <v>1921251400</v>
      </c>
      <c r="R64" s="883">
        <f t="shared" ref="R64:R69" si="29">Q64-D64</f>
        <v>1921251400</v>
      </c>
      <c r="S64" s="1612" t="e">
        <f>Q64/D64*100</f>
        <v>#DIV/0!</v>
      </c>
      <c r="T64" s="1607"/>
      <c r="V64" s="786"/>
      <c r="W64" s="786"/>
      <c r="X64" s="786"/>
    </row>
    <row r="65" spans="1:24" s="189" customFormat="1" ht="14.1" customHeight="1">
      <c r="A65" s="858"/>
      <c r="B65" s="2759" t="s">
        <v>50</v>
      </c>
      <c r="C65" s="859" t="s">
        <v>710</v>
      </c>
      <c r="D65" s="878">
        <v>0</v>
      </c>
      <c r="E65" s="878">
        <f>[9]Januari!$E$35</f>
        <v>307400</v>
      </c>
      <c r="F65" s="878">
        <f>[9]Februari!$E$35</f>
        <v>19102700</v>
      </c>
      <c r="G65" s="878">
        <f>[9]Maret!$E$35</f>
        <v>0</v>
      </c>
      <c r="H65" s="878">
        <f>[9]April!$E$35</f>
        <v>0</v>
      </c>
      <c r="I65" s="878">
        <f>[9]Mei!$E$35</f>
        <v>0</v>
      </c>
      <c r="J65" s="878">
        <f>[9]Juni!$E$35</f>
        <v>0</v>
      </c>
      <c r="K65" s="878">
        <f>[9]Juli!$E$35</f>
        <v>0</v>
      </c>
      <c r="L65" s="878">
        <f>[9]Agustus!$E$35</f>
        <v>0</v>
      </c>
      <c r="M65" s="878">
        <f>[9]September!$E$35</f>
        <v>0</v>
      </c>
      <c r="N65" s="878">
        <f>[9]Oktober!$E$35</f>
        <v>0</v>
      </c>
      <c r="O65" s="878">
        <f>[9]Nopember!$E$35</f>
        <v>0</v>
      </c>
      <c r="P65" s="878">
        <f>[9]Desember!$E$35</f>
        <v>0</v>
      </c>
      <c r="Q65" s="883">
        <f>SUM(E65:P65)</f>
        <v>19410100</v>
      </c>
      <c r="R65" s="878">
        <f t="shared" si="29"/>
        <v>19410100</v>
      </c>
      <c r="S65" s="879"/>
      <c r="T65" s="1604"/>
      <c r="V65" s="786"/>
      <c r="W65" s="786"/>
      <c r="X65" s="786"/>
    </row>
    <row r="66" spans="1:24" s="189" customFormat="1" ht="14.1" customHeight="1">
      <c r="A66" s="858"/>
      <c r="B66" s="2759" t="s">
        <v>50</v>
      </c>
      <c r="C66" s="859" t="s">
        <v>711</v>
      </c>
      <c r="D66" s="878"/>
      <c r="E66" s="878"/>
      <c r="F66" s="878"/>
      <c r="G66" s="878"/>
      <c r="H66" s="878"/>
      <c r="I66" s="878"/>
      <c r="J66" s="878"/>
      <c r="K66" s="878"/>
      <c r="L66" s="878">
        <f>[9]Agustus!$E$35</f>
        <v>0</v>
      </c>
      <c r="M66" s="878">
        <f>[9]September!$E$35</f>
        <v>0</v>
      </c>
      <c r="N66" s="878">
        <f>[9]Oktober!$E$35</f>
        <v>0</v>
      </c>
      <c r="O66" s="878">
        <f>[9]Nopember!$E$35</f>
        <v>0</v>
      </c>
      <c r="P66" s="878">
        <f>[9]Desember!$E$35</f>
        <v>0</v>
      </c>
      <c r="Q66" s="883">
        <f>SUM(E66:P66)</f>
        <v>0</v>
      </c>
      <c r="R66" s="878">
        <f t="shared" si="29"/>
        <v>0</v>
      </c>
      <c r="S66" s="879"/>
      <c r="T66" s="1604"/>
      <c r="V66" s="786"/>
      <c r="W66" s="786"/>
      <c r="X66" s="786"/>
    </row>
    <row r="67" spans="1:24" s="189" customFormat="1" ht="14.1" customHeight="1">
      <c r="A67" s="858"/>
      <c r="B67" s="2759" t="s">
        <v>50</v>
      </c>
      <c r="C67" s="859" t="s">
        <v>712</v>
      </c>
      <c r="D67" s="878"/>
      <c r="E67" s="878"/>
      <c r="F67" s="878"/>
      <c r="G67" s="878"/>
      <c r="H67" s="878"/>
      <c r="I67" s="878"/>
      <c r="J67" s="878"/>
      <c r="K67" s="878"/>
      <c r="L67" s="878"/>
      <c r="M67" s="878"/>
      <c r="N67" s="878">
        <f>[9]Oktober!$E$35</f>
        <v>0</v>
      </c>
      <c r="O67" s="878">
        <f>[9]Nopember!$E$35</f>
        <v>0</v>
      </c>
      <c r="P67" s="878">
        <f>[9]Desember!$E$35</f>
        <v>0</v>
      </c>
      <c r="Q67" s="883">
        <f>SUM(E67:P67)</f>
        <v>0</v>
      </c>
      <c r="R67" s="878">
        <f t="shared" si="29"/>
        <v>0</v>
      </c>
      <c r="S67" s="879"/>
      <c r="T67" s="1604"/>
      <c r="V67" s="786"/>
      <c r="W67" s="786"/>
      <c r="X67" s="786"/>
    </row>
    <row r="68" spans="1:24" s="189" customFormat="1" ht="14.1" customHeight="1">
      <c r="A68" s="858"/>
      <c r="B68" s="2759" t="s">
        <v>50</v>
      </c>
      <c r="C68" s="859" t="s">
        <v>713</v>
      </c>
      <c r="D68" s="878"/>
      <c r="E68" s="878">
        <f>[9]Januari!$H$35</f>
        <v>0</v>
      </c>
      <c r="F68" s="878">
        <f>[9]Februari!$H$35</f>
        <v>0</v>
      </c>
      <c r="G68" s="878">
        <f>[9]Maret!$H$35</f>
        <v>0</v>
      </c>
      <c r="H68" s="878">
        <f>[9]April!$H$35</f>
        <v>0</v>
      </c>
      <c r="I68" s="878">
        <f>[9]Mei!$H$35</f>
        <v>0</v>
      </c>
      <c r="J68" s="878">
        <f>[9]Juni!$H$35</f>
        <v>0</v>
      </c>
      <c r="K68" s="878">
        <f>[9]Juli!$H$35</f>
        <v>0</v>
      </c>
      <c r="L68" s="878">
        <f>[9]Agustus!$H$35</f>
        <v>5682000</v>
      </c>
      <c r="M68" s="878">
        <f>[9]September!$H$35</f>
        <v>0</v>
      </c>
      <c r="N68" s="878">
        <f>[9]Oktober!$H$35</f>
        <v>0</v>
      </c>
      <c r="O68" s="878">
        <f>[9]Nopember!$H$35</f>
        <v>0</v>
      </c>
      <c r="P68" s="878">
        <f>[9]Desember!$H$35</f>
        <v>45316000</v>
      </c>
      <c r="Q68" s="883">
        <f>SUM(E68:P68)</f>
        <v>50998000</v>
      </c>
      <c r="R68" s="878">
        <f t="shared" si="29"/>
        <v>50998000</v>
      </c>
      <c r="S68" s="879"/>
      <c r="T68" s="1604"/>
      <c r="V68" s="786"/>
      <c r="W68" s="786"/>
      <c r="X68" s="786"/>
    </row>
    <row r="69" spans="1:24" s="189" customFormat="1" ht="14.1" customHeight="1">
      <c r="A69" s="858"/>
      <c r="B69" s="2759" t="s">
        <v>50</v>
      </c>
      <c r="C69" s="859" t="s">
        <v>714</v>
      </c>
      <c r="D69" s="878"/>
      <c r="E69" s="878">
        <f>[9]Januari!$I$35</f>
        <v>0</v>
      </c>
      <c r="F69" s="878">
        <f>[9]Februari!$I$35</f>
        <v>1617779700</v>
      </c>
      <c r="G69" s="878">
        <f>[9]Maret!$I$35</f>
        <v>233063600</v>
      </c>
      <c r="H69" s="878">
        <f>[9]April!$I$35</f>
        <v>0</v>
      </c>
      <c r="I69" s="878">
        <v>0</v>
      </c>
      <c r="J69" s="878">
        <v>0</v>
      </c>
      <c r="K69" s="878">
        <v>0</v>
      </c>
      <c r="L69" s="878">
        <v>0</v>
      </c>
      <c r="M69" s="878">
        <v>0</v>
      </c>
      <c r="N69" s="878">
        <v>0</v>
      </c>
      <c r="O69" s="878">
        <v>0</v>
      </c>
      <c r="P69" s="878">
        <v>0</v>
      </c>
      <c r="Q69" s="883">
        <f>SUM(E69:P69)</f>
        <v>1850843300</v>
      </c>
      <c r="R69" s="878">
        <f t="shared" si="29"/>
        <v>1850843300</v>
      </c>
      <c r="S69" s="879"/>
      <c r="T69" s="1604"/>
      <c r="V69" s="786"/>
      <c r="W69" s="786"/>
      <c r="X69" s="786"/>
    </row>
    <row r="70" spans="1:24" s="245" customFormat="1" ht="14.1" customHeight="1">
      <c r="A70" s="305"/>
      <c r="B70" s="306"/>
      <c r="C70" s="306"/>
      <c r="D70" s="404"/>
      <c r="E70" s="404"/>
      <c r="F70" s="404"/>
      <c r="G70" s="404"/>
      <c r="H70" s="404"/>
      <c r="I70" s="404"/>
      <c r="J70" s="404"/>
      <c r="K70" s="404"/>
      <c r="L70" s="404"/>
      <c r="M70" s="404"/>
      <c r="N70" s="404"/>
      <c r="O70" s="404"/>
      <c r="P70" s="404"/>
      <c r="Q70" s="1621"/>
      <c r="R70" s="1622"/>
      <c r="S70" s="483"/>
      <c r="T70" s="1367"/>
      <c r="V70" s="1593"/>
      <c r="W70" s="1593"/>
      <c r="X70" s="1593"/>
    </row>
    <row r="71" spans="1:24" s="247" customFormat="1" ht="14.1" customHeight="1">
      <c r="A71" s="1614"/>
      <c r="B71" s="1584" t="s">
        <v>531</v>
      </c>
      <c r="C71" s="1615"/>
      <c r="D71" s="1577">
        <f t="shared" ref="D71:P71" si="30">D72+D75</f>
        <v>0</v>
      </c>
      <c r="E71" s="1578">
        <f t="shared" si="30"/>
        <v>0</v>
      </c>
      <c r="F71" s="1578">
        <f t="shared" si="30"/>
        <v>0</v>
      </c>
      <c r="G71" s="1578">
        <f t="shared" si="30"/>
        <v>0</v>
      </c>
      <c r="H71" s="1578">
        <f t="shared" si="30"/>
        <v>33627500</v>
      </c>
      <c r="I71" s="1578">
        <f t="shared" si="30"/>
        <v>25027500</v>
      </c>
      <c r="J71" s="1578">
        <f t="shared" si="30"/>
        <v>0</v>
      </c>
      <c r="K71" s="1578">
        <f t="shared" si="30"/>
        <v>0</v>
      </c>
      <c r="L71" s="1578">
        <f t="shared" si="30"/>
        <v>0</v>
      </c>
      <c r="M71" s="1578">
        <f t="shared" si="30"/>
        <v>31127500</v>
      </c>
      <c r="N71" s="1578">
        <f t="shared" si="30"/>
        <v>0</v>
      </c>
      <c r="O71" s="1578">
        <f t="shared" si="30"/>
        <v>54775000</v>
      </c>
      <c r="P71" s="1578">
        <f t="shared" si="30"/>
        <v>51727500</v>
      </c>
      <c r="Q71" s="1623">
        <f>SUM(E71:P71)</f>
        <v>196285000</v>
      </c>
      <c r="R71" s="1624">
        <f>Q71-D71</f>
        <v>196285000</v>
      </c>
      <c r="S71" s="1608" t="e">
        <f>Q71/D71*100</f>
        <v>#DIV/0!</v>
      </c>
      <c r="T71" s="1609"/>
      <c r="V71" s="434">
        <f>Q71/10</f>
        <v>19628500</v>
      </c>
      <c r="W71" s="1601"/>
      <c r="X71" s="1601"/>
    </row>
    <row r="72" spans="1:24" s="189" customFormat="1" ht="14.1" customHeight="1">
      <c r="A72" s="1579"/>
      <c r="B72" s="1570" t="s">
        <v>63</v>
      </c>
      <c r="C72" s="1580"/>
      <c r="D72" s="1581">
        <f>D73+D74</f>
        <v>0</v>
      </c>
      <c r="E72" s="1581">
        <f t="shared" ref="E72:Q72" si="31">E73+E74</f>
        <v>0</v>
      </c>
      <c r="F72" s="1581">
        <f t="shared" si="31"/>
        <v>0</v>
      </c>
      <c r="G72" s="1581">
        <f t="shared" si="31"/>
        <v>0</v>
      </c>
      <c r="H72" s="1581">
        <f t="shared" si="31"/>
        <v>33200000</v>
      </c>
      <c r="I72" s="1581">
        <f t="shared" si="31"/>
        <v>24600000</v>
      </c>
      <c r="J72" s="1581">
        <f t="shared" si="31"/>
        <v>0</v>
      </c>
      <c r="K72" s="1581">
        <f t="shared" si="31"/>
        <v>0</v>
      </c>
      <c r="L72" s="1581">
        <f t="shared" si="31"/>
        <v>0</v>
      </c>
      <c r="M72" s="1581">
        <f t="shared" si="31"/>
        <v>30700000</v>
      </c>
      <c r="N72" s="1581">
        <f t="shared" si="31"/>
        <v>0</v>
      </c>
      <c r="O72" s="1581">
        <f t="shared" si="31"/>
        <v>54775000</v>
      </c>
      <c r="P72" s="1581">
        <f t="shared" si="31"/>
        <v>51300000</v>
      </c>
      <c r="Q72" s="1581">
        <f t="shared" si="31"/>
        <v>194575000</v>
      </c>
      <c r="R72" s="1582">
        <f>Q72-D72</f>
        <v>194575000</v>
      </c>
      <c r="S72" s="1610" t="e">
        <f>Q72/D72*100</f>
        <v>#DIV/0!</v>
      </c>
      <c r="T72" s="1611"/>
      <c r="V72" s="786"/>
      <c r="W72" s="786"/>
      <c r="X72" s="786"/>
    </row>
    <row r="73" spans="1:24" s="189" customFormat="1" ht="14.1" customHeight="1">
      <c r="A73" s="858"/>
      <c r="B73" s="2759" t="s">
        <v>50</v>
      </c>
      <c r="C73" s="859" t="s">
        <v>721</v>
      </c>
      <c r="D73" s="1583">
        <f>'[4]TARGET MURNI DAN PERUBAHAN'!D60</f>
        <v>0</v>
      </c>
      <c r="E73" s="878">
        <f>[10]Januari!$D$35</f>
        <v>0</v>
      </c>
      <c r="F73" s="878">
        <f>[10]Februari!$D$35</f>
        <v>0</v>
      </c>
      <c r="G73" s="878">
        <f>[10]Maret!$D$35</f>
        <v>0</v>
      </c>
      <c r="H73" s="878">
        <f>[10]April!$D$35</f>
        <v>33200000</v>
      </c>
      <c r="I73" s="878">
        <f>[10]Mei!$D$35</f>
        <v>24600000</v>
      </c>
      <c r="J73" s="878">
        <f>[10]Juni!$D$35</f>
        <v>0</v>
      </c>
      <c r="K73" s="878">
        <f>[10]Juli!$D$35</f>
        <v>0</v>
      </c>
      <c r="L73" s="878">
        <f>[10]Agustus!$D$35</f>
        <v>0</v>
      </c>
      <c r="M73" s="878">
        <f>[10]September!$D$35</f>
        <v>30700000</v>
      </c>
      <c r="N73" s="878">
        <f>[10]Oktober!$D$35</f>
        <v>0</v>
      </c>
      <c r="O73" s="878">
        <f>[10]Nopember!$D$35</f>
        <v>23975000</v>
      </c>
      <c r="P73" s="878">
        <f>[10]Desember!$D$35</f>
        <v>36300000</v>
      </c>
      <c r="Q73" s="878">
        <f>SUM(E73:P73)</f>
        <v>148775000</v>
      </c>
      <c r="R73" s="878">
        <f>Q73-D73</f>
        <v>148775000</v>
      </c>
      <c r="S73" s="879" t="e">
        <f>Q73/D73*100</f>
        <v>#DIV/0!</v>
      </c>
      <c r="T73" s="1604"/>
      <c r="V73" s="786"/>
      <c r="W73" s="786"/>
      <c r="X73" s="786"/>
    </row>
    <row r="74" spans="1:24" s="189" customFormat="1" ht="14.1" customHeight="1">
      <c r="A74" s="858"/>
      <c r="B74" s="2759" t="s">
        <v>50</v>
      </c>
      <c r="C74" s="859" t="s">
        <v>517</v>
      </c>
      <c r="D74" s="878"/>
      <c r="E74" s="878"/>
      <c r="F74" s="878"/>
      <c r="G74" s="878"/>
      <c r="H74" s="878"/>
      <c r="I74" s="878"/>
      <c r="J74" s="878"/>
      <c r="K74" s="878"/>
      <c r="L74" s="878"/>
      <c r="M74" s="878"/>
      <c r="N74" s="878"/>
      <c r="O74" s="878">
        <f>[10]Nopember!$F$35</f>
        <v>30800000</v>
      </c>
      <c r="P74" s="878">
        <f>[10]Desember!$F$35</f>
        <v>15000000</v>
      </c>
      <c r="Q74" s="878">
        <f>SUM(E74:P74)</f>
        <v>45800000</v>
      </c>
      <c r="R74" s="878">
        <f>Q74-D74</f>
        <v>45800000</v>
      </c>
      <c r="S74" s="879"/>
      <c r="T74" s="1604"/>
      <c r="V74" s="786"/>
      <c r="W74" s="786"/>
      <c r="X74" s="786"/>
    </row>
    <row r="75" spans="1:24" s="189" customFormat="1" ht="14.1" customHeight="1">
      <c r="A75" s="858"/>
      <c r="B75" s="861" t="s">
        <v>71</v>
      </c>
      <c r="C75" s="861"/>
      <c r="D75" s="883">
        <f>SUM(D76:D80)</f>
        <v>0</v>
      </c>
      <c r="E75" s="883">
        <f>SUM(E76:E80)</f>
        <v>0</v>
      </c>
      <c r="F75" s="883">
        <f t="shared" ref="F75:P75" si="32">SUM(F76:F80)</f>
        <v>0</v>
      </c>
      <c r="G75" s="883">
        <f t="shared" si="32"/>
        <v>0</v>
      </c>
      <c r="H75" s="883">
        <f t="shared" si="32"/>
        <v>427500</v>
      </c>
      <c r="I75" s="883">
        <f t="shared" si="32"/>
        <v>427500</v>
      </c>
      <c r="J75" s="883">
        <f t="shared" si="32"/>
        <v>0</v>
      </c>
      <c r="K75" s="883">
        <f t="shared" si="32"/>
        <v>0</v>
      </c>
      <c r="L75" s="883">
        <f t="shared" si="32"/>
        <v>0</v>
      </c>
      <c r="M75" s="883">
        <f t="shared" si="32"/>
        <v>427500</v>
      </c>
      <c r="N75" s="883">
        <f t="shared" si="32"/>
        <v>0</v>
      </c>
      <c r="O75" s="883">
        <f t="shared" si="32"/>
        <v>0</v>
      </c>
      <c r="P75" s="883">
        <f t="shared" si="32"/>
        <v>427500</v>
      </c>
      <c r="Q75" s="883">
        <f t="shared" ref="Q75:Q80" si="33">SUM(E75:P75)</f>
        <v>1710000</v>
      </c>
      <c r="R75" s="1605">
        <f t="shared" ref="R75:R80" si="34">Q75-D75</f>
        <v>1710000</v>
      </c>
      <c r="S75" s="1612" t="e">
        <f>Q75/D75*100</f>
        <v>#DIV/0!</v>
      </c>
      <c r="T75" s="1607"/>
      <c r="V75" s="786"/>
      <c r="W75" s="786"/>
      <c r="X75" s="786"/>
    </row>
    <row r="76" spans="1:24" s="189" customFormat="1" ht="14.1" customHeight="1">
      <c r="A76" s="858"/>
      <c r="B76" s="2759" t="s">
        <v>50</v>
      </c>
      <c r="C76" s="859" t="s">
        <v>710</v>
      </c>
      <c r="D76" s="878">
        <v>0</v>
      </c>
      <c r="E76" s="878">
        <f>[10]Januari!$E$35</f>
        <v>0</v>
      </c>
      <c r="F76" s="878">
        <f>[10]Februari!$E$35</f>
        <v>0</v>
      </c>
      <c r="G76" s="878">
        <f>[10]Maret!$E$35</f>
        <v>0</v>
      </c>
      <c r="H76" s="878">
        <f>[10]April!$E$35</f>
        <v>0</v>
      </c>
      <c r="I76" s="878">
        <f>[10]Mei!$E$35</f>
        <v>0</v>
      </c>
      <c r="J76" s="878">
        <f>[10]Juni!$E$35</f>
        <v>0</v>
      </c>
      <c r="K76" s="878">
        <f>[10]Juli!$E$35</f>
        <v>0</v>
      </c>
      <c r="L76" s="878">
        <f>[10]Agustus!$E$35</f>
        <v>0</v>
      </c>
      <c r="M76" s="878">
        <f>[10]September!$E$35</f>
        <v>0</v>
      </c>
      <c r="N76" s="878">
        <f>[10]Oktober!$E$35</f>
        <v>0</v>
      </c>
      <c r="O76" s="878">
        <f>[10]Nopember!$E$35</f>
        <v>0</v>
      </c>
      <c r="P76" s="878">
        <f>[10]Desember!$E$35</f>
        <v>0</v>
      </c>
      <c r="Q76" s="878">
        <f t="shared" si="33"/>
        <v>0</v>
      </c>
      <c r="R76" s="878">
        <f t="shared" si="34"/>
        <v>0</v>
      </c>
      <c r="S76" s="879"/>
      <c r="T76" s="1604"/>
      <c r="V76" s="786"/>
      <c r="W76" s="786"/>
      <c r="X76" s="786"/>
    </row>
    <row r="77" spans="1:24" s="189" customFormat="1" ht="14.1" customHeight="1">
      <c r="A77" s="858"/>
      <c r="B77" s="2759" t="s">
        <v>50</v>
      </c>
      <c r="C77" s="859" t="s">
        <v>711</v>
      </c>
      <c r="D77" s="878"/>
      <c r="E77" s="878">
        <f>[10]Januari!$F$35</f>
        <v>0</v>
      </c>
      <c r="F77" s="878">
        <f>[10]Februari!$F$35</f>
        <v>0</v>
      </c>
      <c r="G77" s="878">
        <f>[10]Maret!$F$35</f>
        <v>0</v>
      </c>
      <c r="H77" s="878">
        <f>[10]April!$F$35</f>
        <v>0</v>
      </c>
      <c r="I77" s="878">
        <f>[10]Mei!$F$35</f>
        <v>0</v>
      </c>
      <c r="J77" s="878">
        <f>[10]Juni!$F$35</f>
        <v>0</v>
      </c>
      <c r="K77" s="878">
        <f>[10]Juli!$F$35</f>
        <v>0</v>
      </c>
      <c r="L77" s="878">
        <f>[10]Agustus!$F$35</f>
        <v>0</v>
      </c>
      <c r="M77" s="878">
        <f>[10]September!$F$35</f>
        <v>0</v>
      </c>
      <c r="N77" s="878">
        <f>[10]Oktober!$F$35</f>
        <v>0</v>
      </c>
      <c r="O77" s="878">
        <v>0</v>
      </c>
      <c r="P77" s="878">
        <v>0</v>
      </c>
      <c r="Q77" s="878">
        <f t="shared" si="33"/>
        <v>0</v>
      </c>
      <c r="R77" s="878">
        <f t="shared" si="34"/>
        <v>0</v>
      </c>
      <c r="S77" s="879"/>
      <c r="T77" s="1604"/>
      <c r="V77" s="786"/>
      <c r="W77" s="786"/>
      <c r="X77" s="786"/>
    </row>
    <row r="78" spans="1:24" s="189" customFormat="1" ht="14.1" customHeight="1">
      <c r="A78" s="858"/>
      <c r="B78" s="2759" t="s">
        <v>50</v>
      </c>
      <c r="C78" s="859" t="s">
        <v>712</v>
      </c>
      <c r="D78" s="878"/>
      <c r="E78" s="878">
        <f>[10]Januari!$G$35</f>
        <v>0</v>
      </c>
      <c r="F78" s="878">
        <f>[10]Februari!$G$35</f>
        <v>0</v>
      </c>
      <c r="G78" s="878">
        <f>[10]Maret!$G$35</f>
        <v>0</v>
      </c>
      <c r="H78" s="878">
        <f>[10]April!$G$35</f>
        <v>0</v>
      </c>
      <c r="I78" s="878">
        <f>[10]Mei!$G$35</f>
        <v>0</v>
      </c>
      <c r="J78" s="878">
        <f>[10]Juni!$G$35</f>
        <v>0</v>
      </c>
      <c r="K78" s="878">
        <f>[10]Juli!$G$35</f>
        <v>0</v>
      </c>
      <c r="L78" s="878">
        <f>[10]Agustus!$G$35</f>
        <v>0</v>
      </c>
      <c r="M78" s="878">
        <f>[10]September!$G$35</f>
        <v>0</v>
      </c>
      <c r="N78" s="878">
        <f>[10]Oktober!$G$35</f>
        <v>0</v>
      </c>
      <c r="O78" s="878">
        <f>[10]Nopember!$G$35</f>
        <v>0</v>
      </c>
      <c r="P78" s="878">
        <f>[10]Desember!$G$35</f>
        <v>0</v>
      </c>
      <c r="Q78" s="878">
        <f t="shared" si="33"/>
        <v>0</v>
      </c>
      <c r="R78" s="878">
        <f t="shared" si="34"/>
        <v>0</v>
      </c>
      <c r="S78" s="879"/>
      <c r="T78" s="1604"/>
      <c r="V78" s="786"/>
      <c r="W78" s="786"/>
      <c r="X78" s="786"/>
    </row>
    <row r="79" spans="1:24" s="189" customFormat="1" ht="14.1" customHeight="1">
      <c r="A79" s="858"/>
      <c r="B79" s="2759" t="s">
        <v>50</v>
      </c>
      <c r="C79" s="859" t="s">
        <v>713</v>
      </c>
      <c r="D79" s="878"/>
      <c r="E79" s="878">
        <f>[10]Januari!$H$35</f>
        <v>0</v>
      </c>
      <c r="F79" s="878">
        <f>[10]Februari!$H$35</f>
        <v>0</v>
      </c>
      <c r="G79" s="878">
        <f>[10]Maret!$H$35</f>
        <v>0</v>
      </c>
      <c r="H79" s="878">
        <f>[10]April!$H$35</f>
        <v>427500</v>
      </c>
      <c r="I79" s="878">
        <f>[10]Mei!$H$35</f>
        <v>427500</v>
      </c>
      <c r="J79" s="878">
        <f>[10]Juni!$H$35</f>
        <v>0</v>
      </c>
      <c r="K79" s="878">
        <f>[10]Juli!$H$35</f>
        <v>0</v>
      </c>
      <c r="L79" s="878">
        <f>[10]Agustus!$H$35</f>
        <v>0</v>
      </c>
      <c r="M79" s="878">
        <f>[10]September!$H$35</f>
        <v>427500</v>
      </c>
      <c r="N79" s="878">
        <f>[10]Oktober!$H$35</f>
        <v>0</v>
      </c>
      <c r="O79" s="878">
        <f>[10]Nopember!$H$35</f>
        <v>0</v>
      </c>
      <c r="P79" s="878">
        <f>[10]Desember!$H$35</f>
        <v>427500</v>
      </c>
      <c r="Q79" s="878">
        <f t="shared" si="33"/>
        <v>1710000</v>
      </c>
      <c r="R79" s="878">
        <f t="shared" si="34"/>
        <v>1710000</v>
      </c>
      <c r="S79" s="879"/>
      <c r="T79" s="1604"/>
      <c r="V79" s="786"/>
      <c r="W79" s="786"/>
      <c r="X79" s="786"/>
    </row>
    <row r="80" spans="1:24" s="189" customFormat="1" ht="14.1" customHeight="1">
      <c r="A80" s="858"/>
      <c r="B80" s="2759" t="s">
        <v>50</v>
      </c>
      <c r="C80" s="859" t="s">
        <v>714</v>
      </c>
      <c r="D80" s="1583">
        <f>'[4]TARGET MURNI DAN PERUBAHAN'!D64</f>
        <v>0</v>
      </c>
      <c r="E80" s="878">
        <v>0</v>
      </c>
      <c r="F80" s="878">
        <v>0</v>
      </c>
      <c r="G80" s="878">
        <v>0</v>
      </c>
      <c r="H80" s="878">
        <v>0</v>
      </c>
      <c r="I80" s="878">
        <v>0</v>
      </c>
      <c r="J80" s="878">
        <v>0</v>
      </c>
      <c r="K80" s="878">
        <v>0</v>
      </c>
      <c r="L80" s="878">
        <v>0</v>
      </c>
      <c r="M80" s="878">
        <v>0</v>
      </c>
      <c r="N80" s="878">
        <v>0</v>
      </c>
      <c r="O80" s="878">
        <v>0</v>
      </c>
      <c r="P80" s="878">
        <v>0</v>
      </c>
      <c r="Q80" s="878">
        <f t="shared" si="33"/>
        <v>0</v>
      </c>
      <c r="R80" s="878">
        <f t="shared" si="34"/>
        <v>0</v>
      </c>
      <c r="S80" s="879"/>
      <c r="T80" s="1604"/>
      <c r="V80" s="786"/>
      <c r="W80" s="786"/>
      <c r="X80" s="786"/>
    </row>
    <row r="81" spans="1:24" s="245" customFormat="1" ht="14.1" customHeight="1">
      <c r="A81" s="305"/>
      <c r="B81" s="306"/>
      <c r="C81" s="306"/>
      <c r="D81" s="380"/>
      <c r="E81" s="380"/>
      <c r="F81" s="380"/>
      <c r="G81" s="380"/>
      <c r="H81" s="380"/>
      <c r="I81" s="380"/>
      <c r="J81" s="380"/>
      <c r="K81" s="380"/>
      <c r="L81" s="380"/>
      <c r="M81" s="380"/>
      <c r="N81" s="380"/>
      <c r="O81" s="380"/>
      <c r="P81" s="380"/>
      <c r="Q81" s="1621"/>
      <c r="R81" s="1625"/>
      <c r="S81" s="501"/>
      <c r="T81" s="560"/>
      <c r="V81" s="1593"/>
      <c r="W81" s="1593"/>
      <c r="X81" s="1593"/>
    </row>
    <row r="82" spans="1:24" s="248" customFormat="1" ht="14.1" customHeight="1">
      <c r="A82" s="1575"/>
      <c r="B82" s="1584" t="s">
        <v>722</v>
      </c>
      <c r="C82" s="1576"/>
      <c r="D82" s="1577">
        <f>D83</f>
        <v>2197286650</v>
      </c>
      <c r="E82" s="1578">
        <f t="shared" ref="E82:P82" si="35">E83</f>
        <v>0</v>
      </c>
      <c r="F82" s="1578">
        <f t="shared" si="35"/>
        <v>0</v>
      </c>
      <c r="G82" s="1578">
        <f t="shared" si="35"/>
        <v>372348081</v>
      </c>
      <c r="H82" s="1578">
        <f t="shared" si="35"/>
        <v>0</v>
      </c>
      <c r="I82" s="1578">
        <f t="shared" si="35"/>
        <v>0</v>
      </c>
      <c r="J82" s="1578">
        <f t="shared" si="35"/>
        <v>160422838</v>
      </c>
      <c r="K82" s="1578">
        <f t="shared" si="35"/>
        <v>0</v>
      </c>
      <c r="L82" s="1578">
        <f t="shared" si="35"/>
        <v>0</v>
      </c>
      <c r="M82" s="1578">
        <f t="shared" si="35"/>
        <v>868841176</v>
      </c>
      <c r="N82" s="1578">
        <f t="shared" si="35"/>
        <v>274738264</v>
      </c>
      <c r="O82" s="1578">
        <f t="shared" si="35"/>
        <v>121167373</v>
      </c>
      <c r="P82" s="1578">
        <f t="shared" si="35"/>
        <v>5775000</v>
      </c>
      <c r="Q82" s="1626">
        <f>SUM(E82:P82)</f>
        <v>1803292732</v>
      </c>
      <c r="R82" s="1624">
        <f t="shared" ref="R82:R89" si="36">Q82-D82</f>
        <v>-393993918</v>
      </c>
      <c r="S82" s="1608">
        <v>0</v>
      </c>
      <c r="T82" s="1609"/>
      <c r="V82" s="1601"/>
      <c r="W82" s="1601"/>
      <c r="X82" s="1601"/>
    </row>
    <row r="83" spans="1:24" s="189" customFormat="1" ht="14.1" customHeight="1">
      <c r="A83" s="1328"/>
      <c r="B83" s="1329" t="s">
        <v>71</v>
      </c>
      <c r="C83" s="1329"/>
      <c r="D83" s="1555">
        <f t="shared" ref="D83:P83" si="37">SUM(D84:D89)</f>
        <v>2197286650</v>
      </c>
      <c r="E83" s="1555">
        <f t="shared" si="37"/>
        <v>0</v>
      </c>
      <c r="F83" s="1555">
        <f t="shared" si="37"/>
        <v>0</v>
      </c>
      <c r="G83" s="1555">
        <f t="shared" si="37"/>
        <v>372348081</v>
      </c>
      <c r="H83" s="1555">
        <f t="shared" si="37"/>
        <v>0</v>
      </c>
      <c r="I83" s="1555">
        <f t="shared" si="37"/>
        <v>0</v>
      </c>
      <c r="J83" s="1555">
        <f t="shared" si="37"/>
        <v>160422838</v>
      </c>
      <c r="K83" s="1555">
        <f t="shared" si="37"/>
        <v>0</v>
      </c>
      <c r="L83" s="1555">
        <f t="shared" si="37"/>
        <v>0</v>
      </c>
      <c r="M83" s="1555">
        <f t="shared" si="37"/>
        <v>868841176</v>
      </c>
      <c r="N83" s="1555">
        <f t="shared" si="37"/>
        <v>274738264</v>
      </c>
      <c r="O83" s="1555">
        <f t="shared" si="37"/>
        <v>121167373</v>
      </c>
      <c r="P83" s="1555">
        <f t="shared" si="37"/>
        <v>5775000</v>
      </c>
      <c r="Q83" s="1627">
        <f t="shared" ref="Q83:Q89" si="38">SUM(E83:P83)</f>
        <v>1803292732</v>
      </c>
      <c r="R83" s="1628">
        <f t="shared" si="36"/>
        <v>-393993918</v>
      </c>
      <c r="S83" s="1337">
        <v>0</v>
      </c>
      <c r="T83" s="1592"/>
      <c r="V83" s="786"/>
      <c r="W83" s="786"/>
      <c r="X83" s="786"/>
    </row>
    <row r="84" spans="1:24" s="189" customFormat="1" ht="14.1" customHeight="1">
      <c r="A84" s="292"/>
      <c r="B84" s="2760" t="s">
        <v>50</v>
      </c>
      <c r="C84" s="253" t="s">
        <v>723</v>
      </c>
      <c r="D84" s="838">
        <f>'[4]TARGET MURNI DAN PERUBAHAN'!D68</f>
        <v>2197286650</v>
      </c>
      <c r="E84" s="355">
        <f>[11]Januari!$D$35</f>
        <v>0</v>
      </c>
      <c r="F84" s="355">
        <f>[11]Februari!$D$35</f>
        <v>0</v>
      </c>
      <c r="G84" s="355">
        <f>[11]Maret!$D$35</f>
        <v>372348081</v>
      </c>
      <c r="H84" s="355">
        <f>[11]April!$D$35</f>
        <v>0</v>
      </c>
      <c r="I84" s="355">
        <f>[11]Mei!$D$35</f>
        <v>0</v>
      </c>
      <c r="J84" s="355">
        <f>[11]Juni!$D$35</f>
        <v>160422838</v>
      </c>
      <c r="K84" s="355">
        <f>[11]Juli!$D$35</f>
        <v>0</v>
      </c>
      <c r="L84" s="355">
        <f>[11]Agustus!$D$35</f>
        <v>0</v>
      </c>
      <c r="M84" s="355">
        <f>[11]September!$D$35</f>
        <v>868841176</v>
      </c>
      <c r="N84" s="355">
        <f>[11]Oktober!$D$35</f>
        <v>274738264</v>
      </c>
      <c r="O84" s="355">
        <f>[11]Nopember!$D$35</f>
        <v>94645373</v>
      </c>
      <c r="P84" s="355">
        <f>[11]Desember!$D$35</f>
        <v>0</v>
      </c>
      <c r="Q84" s="1629">
        <f t="shared" si="38"/>
        <v>1770995732</v>
      </c>
      <c r="R84" s="1630">
        <f t="shared" si="36"/>
        <v>-426290918</v>
      </c>
      <c r="S84" s="388"/>
      <c r="T84" s="633"/>
      <c r="V84" s="434">
        <f>Q84/10</f>
        <v>177099573.19999999</v>
      </c>
      <c r="W84" s="786"/>
      <c r="X84" s="786"/>
    </row>
    <row r="85" spans="1:24" s="189" customFormat="1" ht="14.1" customHeight="1">
      <c r="A85" s="292"/>
      <c r="B85" s="2759" t="s">
        <v>50</v>
      </c>
      <c r="C85" s="859" t="s">
        <v>710</v>
      </c>
      <c r="D85" s="1616"/>
      <c r="E85" s="355">
        <f>[11]Januari!$E$35</f>
        <v>0</v>
      </c>
      <c r="F85" s="355">
        <f>[11]Februari!$E$35</f>
        <v>0</v>
      </c>
      <c r="G85" s="355">
        <f>[11]Maret!$E$35</f>
        <v>0</v>
      </c>
      <c r="H85" s="355">
        <f>[11]April!$E$35</f>
        <v>0</v>
      </c>
      <c r="I85" s="355">
        <f>[11]Mei!$E$35</f>
        <v>0</v>
      </c>
      <c r="J85" s="355">
        <f>[11]Juni!$E$35</f>
        <v>0</v>
      </c>
      <c r="K85" s="355">
        <f>[11]Juli!$E$35</f>
        <v>0</v>
      </c>
      <c r="L85" s="355">
        <f>[11]Agustus!$E$35</f>
        <v>0</v>
      </c>
      <c r="M85" s="355">
        <f>[11]September!$E$35</f>
        <v>0</v>
      </c>
      <c r="N85" s="355">
        <f>[11]Oktober!$E$35</f>
        <v>0</v>
      </c>
      <c r="O85" s="355">
        <f>[11]Nopember!$E$35</f>
        <v>0</v>
      </c>
      <c r="P85" s="355">
        <f>[11]Desember!$E$35</f>
        <v>0</v>
      </c>
      <c r="Q85" s="1629">
        <f t="shared" si="38"/>
        <v>0</v>
      </c>
      <c r="R85" s="1630">
        <f t="shared" si="36"/>
        <v>0</v>
      </c>
      <c r="S85" s="388"/>
      <c r="T85" s="633"/>
      <c r="V85" s="786"/>
      <c r="W85" s="786"/>
      <c r="X85" s="786"/>
    </row>
    <row r="86" spans="1:24" s="189" customFormat="1" ht="14.1" customHeight="1">
      <c r="A86" s="292"/>
      <c r="B86" s="2759" t="s">
        <v>50</v>
      </c>
      <c r="C86" s="859" t="s">
        <v>711</v>
      </c>
      <c r="D86" s="1617"/>
      <c r="E86" s="355">
        <f>[11]Januari!$F$35</f>
        <v>0</v>
      </c>
      <c r="F86" s="355">
        <f>[11]Februari!$F$35</f>
        <v>0</v>
      </c>
      <c r="G86" s="355">
        <f>[11]Maret!$F$35</f>
        <v>0</v>
      </c>
      <c r="H86" s="355">
        <f>[11]April!$F$35</f>
        <v>0</v>
      </c>
      <c r="I86" s="355">
        <f>[11]Mei!$F$35</f>
        <v>0</v>
      </c>
      <c r="J86" s="355">
        <f>[11]Juni!$F$35</f>
        <v>0</v>
      </c>
      <c r="K86" s="355">
        <f>[11]Juli!$F$35</f>
        <v>0</v>
      </c>
      <c r="L86" s="355">
        <f>[11]Agustus!$F$35</f>
        <v>0</v>
      </c>
      <c r="M86" s="355">
        <f>[11]September!$F$35</f>
        <v>0</v>
      </c>
      <c r="N86" s="355">
        <f>[11]Oktober!$F$35</f>
        <v>0</v>
      </c>
      <c r="O86" s="355">
        <f>[11]Nopember!$F$35</f>
        <v>0</v>
      </c>
      <c r="P86" s="355">
        <f>[11]Desember!$F$35</f>
        <v>0</v>
      </c>
      <c r="Q86" s="1629">
        <f t="shared" si="38"/>
        <v>0</v>
      </c>
      <c r="R86" s="1630">
        <f t="shared" si="36"/>
        <v>0</v>
      </c>
      <c r="S86" s="388"/>
      <c r="T86" s="633"/>
      <c r="V86" s="786"/>
      <c r="W86" s="786"/>
      <c r="X86" s="786"/>
    </row>
    <row r="87" spans="1:24" s="189" customFormat="1" ht="14.1" customHeight="1">
      <c r="A87" s="292"/>
      <c r="B87" s="2759" t="s">
        <v>50</v>
      </c>
      <c r="C87" s="859" t="s">
        <v>712</v>
      </c>
      <c r="D87" s="1617"/>
      <c r="E87" s="355">
        <f>[11]Januari!$G$35</f>
        <v>0</v>
      </c>
      <c r="F87" s="355">
        <f>[11]Februari!$G$35</f>
        <v>0</v>
      </c>
      <c r="G87" s="355">
        <f>[11]Maret!$G$35</f>
        <v>0</v>
      </c>
      <c r="H87" s="355">
        <f>[11]April!$G$35</f>
        <v>0</v>
      </c>
      <c r="I87" s="355">
        <f>[11]Mei!$G$35</f>
        <v>0</v>
      </c>
      <c r="J87" s="355">
        <f>[11]Juni!$G$35</f>
        <v>0</v>
      </c>
      <c r="K87" s="355">
        <f>[11]Juli!$G$35</f>
        <v>0</v>
      </c>
      <c r="L87" s="355">
        <f>[11]Agustus!$G$35</f>
        <v>0</v>
      </c>
      <c r="M87" s="355">
        <f>[11]September!$G$35</f>
        <v>0</v>
      </c>
      <c r="N87" s="355">
        <f>[11]Oktober!$G$35</f>
        <v>0</v>
      </c>
      <c r="O87" s="355">
        <f>[11]Nopember!$G$35</f>
        <v>0</v>
      </c>
      <c r="P87" s="355">
        <f>[11]Desember!$G$35</f>
        <v>0</v>
      </c>
      <c r="Q87" s="1629">
        <f t="shared" si="38"/>
        <v>0</v>
      </c>
      <c r="R87" s="1630">
        <f t="shared" si="36"/>
        <v>0</v>
      </c>
      <c r="S87" s="388"/>
      <c r="T87" s="633"/>
      <c r="V87" s="786"/>
      <c r="W87" s="786"/>
      <c r="X87" s="786"/>
    </row>
    <row r="88" spans="1:24" s="189" customFormat="1" ht="14.1" customHeight="1">
      <c r="A88" s="292"/>
      <c r="B88" s="2759" t="s">
        <v>50</v>
      </c>
      <c r="C88" s="859" t="s">
        <v>713</v>
      </c>
      <c r="D88" s="1618"/>
      <c r="E88" s="355">
        <f>[11]Januari!$H$35</f>
        <v>0</v>
      </c>
      <c r="F88" s="355">
        <f>[11]Februari!$H$35</f>
        <v>0</v>
      </c>
      <c r="G88" s="355">
        <f>[11]Maret!$H$35</f>
        <v>0</v>
      </c>
      <c r="H88" s="355">
        <f>[11]April!$H$35</f>
        <v>0</v>
      </c>
      <c r="I88" s="355">
        <f>[11]Mei!$H$35</f>
        <v>0</v>
      </c>
      <c r="J88" s="355">
        <f>[11]Juni!$H$35</f>
        <v>0</v>
      </c>
      <c r="K88" s="355">
        <f>[11]Juli!$H$35</f>
        <v>0</v>
      </c>
      <c r="L88" s="355">
        <f>[11]Agustus!$H$35</f>
        <v>0</v>
      </c>
      <c r="M88" s="355">
        <f>[11]September!$H$35</f>
        <v>0</v>
      </c>
      <c r="N88" s="355">
        <f>[11]Oktober!$H$35</f>
        <v>0</v>
      </c>
      <c r="O88" s="355">
        <f>[11]Nopember!$H$35</f>
        <v>26522000</v>
      </c>
      <c r="P88" s="355">
        <f>[11]Desember!$H$35</f>
        <v>5775000</v>
      </c>
      <c r="Q88" s="1629">
        <f t="shared" si="38"/>
        <v>32297000</v>
      </c>
      <c r="R88" s="1630">
        <f t="shared" si="36"/>
        <v>32297000</v>
      </c>
      <c r="S88" s="388"/>
      <c r="T88" s="633"/>
      <c r="V88" s="786"/>
      <c r="W88" s="786"/>
      <c r="X88" s="786"/>
    </row>
    <row r="89" spans="1:24" s="189" customFormat="1" ht="14.1" customHeight="1">
      <c r="A89" s="292"/>
      <c r="B89" s="2759" t="s">
        <v>50</v>
      </c>
      <c r="C89" s="859" t="s">
        <v>714</v>
      </c>
      <c r="D89" s="355"/>
      <c r="E89" s="355">
        <v>0</v>
      </c>
      <c r="F89" s="355">
        <v>0</v>
      </c>
      <c r="G89" s="355">
        <v>0</v>
      </c>
      <c r="H89" s="355">
        <v>0</v>
      </c>
      <c r="I89" s="355">
        <v>0</v>
      </c>
      <c r="J89" s="355">
        <v>0</v>
      </c>
      <c r="K89" s="355">
        <v>0</v>
      </c>
      <c r="L89" s="355">
        <v>0</v>
      </c>
      <c r="M89" s="355">
        <v>0</v>
      </c>
      <c r="N89" s="355">
        <v>0</v>
      </c>
      <c r="O89" s="355">
        <v>0</v>
      </c>
      <c r="P89" s="355">
        <v>0</v>
      </c>
      <c r="Q89" s="1629">
        <f t="shared" si="38"/>
        <v>0</v>
      </c>
      <c r="R89" s="1630">
        <f t="shared" si="36"/>
        <v>0</v>
      </c>
      <c r="S89" s="388"/>
      <c r="T89" s="441"/>
      <c r="V89" s="786"/>
      <c r="W89" s="786"/>
      <c r="X89" s="786"/>
    </row>
    <row r="90" spans="1:24" s="245" customFormat="1" ht="14.1" customHeight="1">
      <c r="A90" s="305"/>
      <c r="B90" s="306"/>
      <c r="C90" s="306"/>
      <c r="D90" s="380"/>
      <c r="E90" s="380"/>
      <c r="F90" s="380"/>
      <c r="G90" s="380"/>
      <c r="H90" s="380"/>
      <c r="I90" s="380"/>
      <c r="J90" s="380"/>
      <c r="K90" s="380"/>
      <c r="L90" s="380"/>
      <c r="M90" s="380"/>
      <c r="N90" s="380"/>
      <c r="O90" s="380"/>
      <c r="P90" s="380"/>
      <c r="Q90" s="1631"/>
      <c r="R90" s="1625"/>
      <c r="S90" s="501"/>
      <c r="T90" s="560"/>
      <c r="V90" s="1593"/>
      <c r="W90" s="1593"/>
      <c r="X90" s="1593"/>
    </row>
    <row r="91" spans="1:24" s="248" customFormat="1" ht="14.1" customHeight="1">
      <c r="A91" s="1575"/>
      <c r="B91" s="1584" t="s">
        <v>724</v>
      </c>
      <c r="C91" s="1576"/>
      <c r="D91" s="1577">
        <f t="shared" ref="D91:P91" si="39">D92+D95</f>
        <v>3500000000</v>
      </c>
      <c r="E91" s="1578">
        <f t="shared" si="39"/>
        <v>34687000</v>
      </c>
      <c r="F91" s="1578">
        <f t="shared" si="39"/>
        <v>58438500</v>
      </c>
      <c r="G91" s="1578">
        <f t="shared" si="39"/>
        <v>366261700</v>
      </c>
      <c r="H91" s="1578">
        <f t="shared" si="39"/>
        <v>528200900</v>
      </c>
      <c r="I91" s="1578">
        <f t="shared" si="39"/>
        <v>523833600</v>
      </c>
      <c r="J91" s="1578">
        <f t="shared" si="39"/>
        <v>357281100</v>
      </c>
      <c r="K91" s="1578">
        <f t="shared" si="39"/>
        <v>433969400</v>
      </c>
      <c r="L91" s="1578">
        <f t="shared" si="39"/>
        <v>487592900</v>
      </c>
      <c r="M91" s="1578">
        <f t="shared" si="39"/>
        <v>322884300</v>
      </c>
      <c r="N91" s="1578">
        <f t="shared" si="39"/>
        <v>706705200</v>
      </c>
      <c r="O91" s="1578">
        <f t="shared" si="39"/>
        <v>286795400</v>
      </c>
      <c r="P91" s="1578">
        <f t="shared" si="39"/>
        <v>468693015</v>
      </c>
      <c r="Q91" s="1623">
        <f>SUM(E91:P91)</f>
        <v>4575343015</v>
      </c>
      <c r="R91" s="1624">
        <f>Q91-D91</f>
        <v>1075343015</v>
      </c>
      <c r="S91" s="1608">
        <f>Q91/D91*100</f>
        <v>130.72408614285712</v>
      </c>
      <c r="T91" s="1609"/>
      <c r="V91" s="1601"/>
      <c r="W91" s="1601"/>
      <c r="X91" s="1601"/>
    </row>
    <row r="92" spans="1:24" s="189" customFormat="1" ht="14.1" customHeight="1">
      <c r="A92" s="1579"/>
      <c r="B92" s="1570" t="s">
        <v>83</v>
      </c>
      <c r="C92" s="1580"/>
      <c r="D92" s="1581">
        <f>D93</f>
        <v>3500000000</v>
      </c>
      <c r="E92" s="1582">
        <f t="shared" ref="E92:P92" si="40">E93</f>
        <v>34687000</v>
      </c>
      <c r="F92" s="1582">
        <f t="shared" si="40"/>
        <v>58438500</v>
      </c>
      <c r="G92" s="1582">
        <f t="shared" si="40"/>
        <v>366261700</v>
      </c>
      <c r="H92" s="1582">
        <f t="shared" si="40"/>
        <v>528200900</v>
      </c>
      <c r="I92" s="1582">
        <f t="shared" si="40"/>
        <v>523833600</v>
      </c>
      <c r="J92" s="1582">
        <f t="shared" si="40"/>
        <v>357281100</v>
      </c>
      <c r="K92" s="1582">
        <f t="shared" si="40"/>
        <v>433969400</v>
      </c>
      <c r="L92" s="1582">
        <f t="shared" si="40"/>
        <v>487592900</v>
      </c>
      <c r="M92" s="1582">
        <f t="shared" si="40"/>
        <v>322884300</v>
      </c>
      <c r="N92" s="1582">
        <f t="shared" si="40"/>
        <v>706705200</v>
      </c>
      <c r="O92" s="1582">
        <f t="shared" si="40"/>
        <v>286795400</v>
      </c>
      <c r="P92" s="1582">
        <f t="shared" si="40"/>
        <v>464634000</v>
      </c>
      <c r="Q92" s="1582">
        <f>SUM(E92:P92)</f>
        <v>4571284000</v>
      </c>
      <c r="R92" s="1582">
        <f>Q92-D92</f>
        <v>1071284000</v>
      </c>
      <c r="S92" s="1610">
        <f>Q92/D92*100</f>
        <v>130.60811428571429</v>
      </c>
      <c r="T92" s="1611"/>
      <c r="V92" s="786"/>
      <c r="W92" s="786"/>
      <c r="X92" s="786"/>
    </row>
    <row r="93" spans="1:24" s="189" customFormat="1" ht="14.1" customHeight="1">
      <c r="A93" s="858"/>
      <c r="B93" s="2759" t="s">
        <v>50</v>
      </c>
      <c r="C93" s="859" t="s">
        <v>718</v>
      </c>
      <c r="D93" s="838">
        <f>'[4]TARGET MURNI DAN PERUBAHAN'!D73</f>
        <v>3500000000</v>
      </c>
      <c r="E93" s="878">
        <f>[12]Januari!$D$35</f>
        <v>34687000</v>
      </c>
      <c r="F93" s="878">
        <f>[12]Februari!$D$35</f>
        <v>58438500</v>
      </c>
      <c r="G93" s="878">
        <f>[12]Maret!$D$35</f>
        <v>366261700</v>
      </c>
      <c r="H93" s="878">
        <f>[12]April!$D$35</f>
        <v>528200900</v>
      </c>
      <c r="I93" s="878">
        <f>[12]Mei!$D$35</f>
        <v>523833600</v>
      </c>
      <c r="J93" s="878">
        <f>[12]Juni!$D$35</f>
        <v>357281100</v>
      </c>
      <c r="K93" s="878">
        <f>[12]Juli!$D$35</f>
        <v>433969400</v>
      </c>
      <c r="L93" s="878">
        <f>[12]Agustus!$D$35</f>
        <v>487592900</v>
      </c>
      <c r="M93" s="878">
        <f>[12]September!$D$35</f>
        <v>322884300</v>
      </c>
      <c r="N93" s="878">
        <f>[12]Oktober!$D$35</f>
        <v>706705200</v>
      </c>
      <c r="O93" s="878">
        <f>[12]Nopember!$D$35</f>
        <v>286795400</v>
      </c>
      <c r="P93" s="878">
        <f>[12]Desember!$D$35</f>
        <v>464634000</v>
      </c>
      <c r="Q93" s="878">
        <f>SUM(E93:P93)</f>
        <v>4571284000</v>
      </c>
      <c r="R93" s="878">
        <f>Q93-D93</f>
        <v>1071284000</v>
      </c>
      <c r="S93" s="879">
        <f>Q93/D93*100</f>
        <v>130.60811428571429</v>
      </c>
      <c r="T93" s="1604"/>
      <c r="V93" s="434">
        <f>Q93/10</f>
        <v>457128400</v>
      </c>
      <c r="W93" s="786"/>
      <c r="X93" s="786"/>
    </row>
    <row r="94" spans="1:24" s="189" customFormat="1" ht="14.1" customHeight="1">
      <c r="A94" s="858"/>
      <c r="B94" s="859"/>
      <c r="C94" s="859"/>
      <c r="D94" s="878"/>
      <c r="E94" s="878"/>
      <c r="F94" s="878"/>
      <c r="G94" s="878"/>
      <c r="H94" s="878"/>
      <c r="I94" s="878"/>
      <c r="J94" s="878"/>
      <c r="K94" s="878"/>
      <c r="L94" s="878"/>
      <c r="M94" s="878"/>
      <c r="N94" s="878"/>
      <c r="O94" s="878"/>
      <c r="P94" s="878"/>
      <c r="Q94" s="878"/>
      <c r="R94" s="878"/>
      <c r="S94" s="879"/>
      <c r="T94" s="1604"/>
      <c r="V94" s="786"/>
      <c r="W94" s="786"/>
      <c r="X94" s="786"/>
    </row>
    <row r="95" spans="1:24" s="189" customFormat="1" ht="14.1" customHeight="1">
      <c r="A95" s="858"/>
      <c r="B95" s="861" t="s">
        <v>71</v>
      </c>
      <c r="C95" s="861"/>
      <c r="D95" s="883">
        <f>SUM(D96:D100)</f>
        <v>0</v>
      </c>
      <c r="E95" s="883">
        <f t="shared" ref="E95:P95" si="41">SUM(E96:E100)</f>
        <v>0</v>
      </c>
      <c r="F95" s="883">
        <f t="shared" si="41"/>
        <v>0</v>
      </c>
      <c r="G95" s="883">
        <f t="shared" si="41"/>
        <v>0</v>
      </c>
      <c r="H95" s="883">
        <f t="shared" si="41"/>
        <v>0</v>
      </c>
      <c r="I95" s="883">
        <f t="shared" si="41"/>
        <v>0</v>
      </c>
      <c r="J95" s="883">
        <f t="shared" si="41"/>
        <v>0</v>
      </c>
      <c r="K95" s="883">
        <f t="shared" si="41"/>
        <v>0</v>
      </c>
      <c r="L95" s="883">
        <f t="shared" si="41"/>
        <v>0</v>
      </c>
      <c r="M95" s="883">
        <f t="shared" si="41"/>
        <v>0</v>
      </c>
      <c r="N95" s="883">
        <f t="shared" si="41"/>
        <v>0</v>
      </c>
      <c r="O95" s="883">
        <f t="shared" si="41"/>
        <v>0</v>
      </c>
      <c r="P95" s="883">
        <f t="shared" si="41"/>
        <v>4059015</v>
      </c>
      <c r="Q95" s="883">
        <f t="shared" ref="Q95:Q104" si="42">SUM(E95:P95)</f>
        <v>4059015</v>
      </c>
      <c r="R95" s="1605">
        <f t="shared" ref="R95:R100" si="43">Q95-D95</f>
        <v>4059015</v>
      </c>
      <c r="S95" s="1606" t="e">
        <f t="shared" ref="S95:S100" si="44">Q95/D95*100</f>
        <v>#DIV/0!</v>
      </c>
      <c r="T95" s="1607"/>
      <c r="V95" s="786"/>
      <c r="W95" s="786"/>
      <c r="X95" s="786"/>
    </row>
    <row r="96" spans="1:24" s="189" customFormat="1" ht="14.1" customHeight="1">
      <c r="A96" s="858"/>
      <c r="B96" s="2759" t="s">
        <v>50</v>
      </c>
      <c r="C96" s="859" t="s">
        <v>710</v>
      </c>
      <c r="D96" s="878">
        <v>0</v>
      </c>
      <c r="E96" s="878">
        <f>[12]Januari!$E$35</f>
        <v>0</v>
      </c>
      <c r="F96" s="878">
        <f>[12]Februari!$E$35</f>
        <v>0</v>
      </c>
      <c r="G96" s="878">
        <f>[12]Maret!$E$35</f>
        <v>0</v>
      </c>
      <c r="H96" s="878">
        <f>[12]April!$E$35</f>
        <v>0</v>
      </c>
      <c r="I96" s="878">
        <f>[12]Mei!$E$35</f>
        <v>0</v>
      </c>
      <c r="J96" s="878">
        <f>[12]Juni!$E$35</f>
        <v>0</v>
      </c>
      <c r="K96" s="878">
        <f>[12]Juli!$E$35</f>
        <v>0</v>
      </c>
      <c r="L96" s="878">
        <f>[12]Agustus!$E$35</f>
        <v>0</v>
      </c>
      <c r="M96" s="878">
        <f>[12]September!$E$35</f>
        <v>0</v>
      </c>
      <c r="N96" s="878">
        <f>[12]Oktober!$E$35</f>
        <v>0</v>
      </c>
      <c r="O96" s="878">
        <f>[12]Nopember!$E$35</f>
        <v>0</v>
      </c>
      <c r="P96" s="878">
        <f>[12]Desember!$E$35</f>
        <v>0</v>
      </c>
      <c r="Q96" s="878">
        <f t="shared" si="42"/>
        <v>0</v>
      </c>
      <c r="R96" s="1632"/>
      <c r="S96" s="1612"/>
      <c r="T96" s="1604"/>
      <c r="V96" s="786"/>
      <c r="W96" s="786"/>
      <c r="X96" s="786"/>
    </row>
    <row r="97" spans="1:24" s="189" customFormat="1" ht="14.1" customHeight="1">
      <c r="A97" s="858"/>
      <c r="B97" s="2759" t="s">
        <v>50</v>
      </c>
      <c r="C97" s="859" t="s">
        <v>711</v>
      </c>
      <c r="D97" s="878">
        <v>0</v>
      </c>
      <c r="E97" s="878">
        <f>[12]Januari!$F$35</f>
        <v>0</v>
      </c>
      <c r="F97" s="878">
        <f>[12]Februari!$F$35</f>
        <v>0</v>
      </c>
      <c r="G97" s="878">
        <f>[12]Maret!$F$35</f>
        <v>0</v>
      </c>
      <c r="H97" s="878">
        <f>[12]April!$F$35</f>
        <v>0</v>
      </c>
      <c r="I97" s="878">
        <f>[12]Mei!$F$35</f>
        <v>0</v>
      </c>
      <c r="J97" s="878">
        <f>[12]Juni!$F$35</f>
        <v>0</v>
      </c>
      <c r="K97" s="878">
        <f>[12]Juli!$F$35</f>
        <v>0</v>
      </c>
      <c r="L97" s="878">
        <f>[12]Agustus!$F$35</f>
        <v>0</v>
      </c>
      <c r="M97" s="878">
        <f>[12]September!$F$35</f>
        <v>0</v>
      </c>
      <c r="N97" s="878">
        <f>[12]Oktober!$F$35</f>
        <v>0</v>
      </c>
      <c r="O97" s="878">
        <f>[12]Nopember!$F$35</f>
        <v>0</v>
      </c>
      <c r="P97" s="878">
        <f>[12]Desember!$F$35</f>
        <v>0</v>
      </c>
      <c r="Q97" s="878">
        <f t="shared" si="42"/>
        <v>0</v>
      </c>
      <c r="R97" s="1632"/>
      <c r="S97" s="1612"/>
      <c r="T97" s="1604"/>
      <c r="V97" s="786"/>
      <c r="W97" s="786"/>
      <c r="X97" s="786"/>
    </row>
    <row r="98" spans="1:24" s="189" customFormat="1" ht="14.1" customHeight="1">
      <c r="A98" s="858"/>
      <c r="B98" s="2759" t="s">
        <v>50</v>
      </c>
      <c r="C98" s="859" t="s">
        <v>712</v>
      </c>
      <c r="D98" s="878">
        <v>0</v>
      </c>
      <c r="E98" s="878">
        <f>[12]Januari!$G$35</f>
        <v>0</v>
      </c>
      <c r="F98" s="878">
        <f>[12]Februari!$G$35</f>
        <v>0</v>
      </c>
      <c r="G98" s="878">
        <f>[12]Maret!$G$35</f>
        <v>0</v>
      </c>
      <c r="H98" s="878">
        <f>[12]April!$G$35</f>
        <v>0</v>
      </c>
      <c r="I98" s="878">
        <f>[12]Mei!$G$35</f>
        <v>0</v>
      </c>
      <c r="J98" s="878">
        <f>[12]Juni!$G$35</f>
        <v>0</v>
      </c>
      <c r="K98" s="878">
        <f>[12]Juli!$G$35</f>
        <v>0</v>
      </c>
      <c r="L98" s="878">
        <f>[12]Agustus!$G$35</f>
        <v>0</v>
      </c>
      <c r="M98" s="878">
        <f>[12]September!$G$35</f>
        <v>0</v>
      </c>
      <c r="N98" s="878">
        <f>[12]Oktober!$G$35</f>
        <v>0</v>
      </c>
      <c r="O98" s="878">
        <f>[12]Nopember!$G$35</f>
        <v>0</v>
      </c>
      <c r="P98" s="878">
        <f>[12]Desember!$G$35</f>
        <v>0</v>
      </c>
      <c r="Q98" s="878">
        <f t="shared" si="42"/>
        <v>0</v>
      </c>
      <c r="R98" s="1632"/>
      <c r="S98" s="1612"/>
      <c r="T98" s="1604"/>
      <c r="V98" s="786"/>
      <c r="W98" s="786"/>
      <c r="X98" s="786"/>
    </row>
    <row r="99" spans="1:24" s="189" customFormat="1" ht="14.1" customHeight="1">
      <c r="A99" s="858"/>
      <c r="B99" s="2759" t="s">
        <v>50</v>
      </c>
      <c r="C99" s="859" t="s">
        <v>713</v>
      </c>
      <c r="D99" s="878">
        <v>0</v>
      </c>
      <c r="E99" s="878">
        <f>[12]Januari!$H$35</f>
        <v>0</v>
      </c>
      <c r="F99" s="878">
        <f>[12]Februari!$H$35</f>
        <v>0</v>
      </c>
      <c r="G99" s="878">
        <f>[12]Maret!$H$35</f>
        <v>0</v>
      </c>
      <c r="H99" s="878">
        <f>[12]April!$H$35</f>
        <v>0</v>
      </c>
      <c r="I99" s="878">
        <f>[12]Mei!$H$35</f>
        <v>0</v>
      </c>
      <c r="J99" s="878">
        <f>[12]Juni!$H$35</f>
        <v>0</v>
      </c>
      <c r="K99" s="878">
        <f>[12]Juli!$H$35</f>
        <v>0</v>
      </c>
      <c r="L99" s="878">
        <f>[12]Agustus!$H$35</f>
        <v>0</v>
      </c>
      <c r="M99" s="878">
        <f>[12]September!$H$35</f>
        <v>0</v>
      </c>
      <c r="N99" s="878">
        <f>[12]Oktober!$H$35</f>
        <v>0</v>
      </c>
      <c r="O99" s="878">
        <f>[12]Nopember!$H$35</f>
        <v>0</v>
      </c>
      <c r="P99" s="878">
        <f>[12]Desember!$H$35</f>
        <v>4059015</v>
      </c>
      <c r="Q99" s="878">
        <f t="shared" si="42"/>
        <v>4059015</v>
      </c>
      <c r="R99" s="878">
        <f t="shared" si="43"/>
        <v>4059015</v>
      </c>
      <c r="S99" s="879" t="e">
        <f t="shared" si="44"/>
        <v>#DIV/0!</v>
      </c>
      <c r="T99" s="1604"/>
      <c r="V99" s="786"/>
      <c r="W99" s="786"/>
      <c r="X99" s="786"/>
    </row>
    <row r="100" spans="1:24" s="189" customFormat="1" ht="14.1" customHeight="1">
      <c r="A100" s="858"/>
      <c r="B100" s="2759" t="s">
        <v>50</v>
      </c>
      <c r="C100" s="859" t="s">
        <v>714</v>
      </c>
      <c r="D100" s="878">
        <f>'[4]TARGET MURNI DAN PERUBAHAN'!D77</f>
        <v>0</v>
      </c>
      <c r="E100" s="878">
        <v>0</v>
      </c>
      <c r="F100" s="878">
        <v>0</v>
      </c>
      <c r="G100" s="878">
        <v>0</v>
      </c>
      <c r="H100" s="878">
        <v>0</v>
      </c>
      <c r="I100" s="878">
        <v>0</v>
      </c>
      <c r="J100" s="878">
        <v>0</v>
      </c>
      <c r="K100" s="878">
        <v>0</v>
      </c>
      <c r="L100" s="878">
        <v>0</v>
      </c>
      <c r="M100" s="878">
        <v>0</v>
      </c>
      <c r="N100" s="878">
        <v>0</v>
      </c>
      <c r="O100" s="878">
        <v>0</v>
      </c>
      <c r="P100" s="878">
        <v>0</v>
      </c>
      <c r="Q100" s="878">
        <f t="shared" si="42"/>
        <v>0</v>
      </c>
      <c r="R100" s="878">
        <f t="shared" si="43"/>
        <v>0</v>
      </c>
      <c r="S100" s="879" t="e">
        <f t="shared" si="44"/>
        <v>#DIV/0!</v>
      </c>
      <c r="T100" s="1604"/>
      <c r="V100" s="786"/>
      <c r="W100" s="786"/>
      <c r="X100" s="786"/>
    </row>
    <row r="101" spans="1:24" s="189" customFormat="1" ht="14.1" customHeight="1">
      <c r="A101" s="292"/>
      <c r="B101" s="253"/>
      <c r="C101" s="253"/>
      <c r="D101" s="355"/>
      <c r="E101" s="355"/>
      <c r="F101" s="355"/>
      <c r="G101" s="355"/>
      <c r="H101" s="355"/>
      <c r="I101" s="355"/>
      <c r="J101" s="355"/>
      <c r="K101" s="355"/>
      <c r="L101" s="355"/>
      <c r="M101" s="355"/>
      <c r="N101" s="355"/>
      <c r="O101" s="355"/>
      <c r="P101" s="355"/>
      <c r="Q101" s="1633">
        <f t="shared" si="42"/>
        <v>0</v>
      </c>
      <c r="R101" s="1630"/>
      <c r="S101" s="388"/>
      <c r="T101" s="1634"/>
      <c r="V101" s="786"/>
      <c r="W101" s="786"/>
      <c r="X101" s="786"/>
    </row>
    <row r="102" spans="1:24" s="244" customFormat="1" ht="14.1" customHeight="1">
      <c r="A102" s="1552" t="s">
        <v>100</v>
      </c>
      <c r="B102" s="1553" t="s">
        <v>99</v>
      </c>
      <c r="C102" s="298"/>
      <c r="D102" s="835">
        <f>D103</f>
        <v>80365000000</v>
      </c>
      <c r="E102" s="337">
        <f t="shared" ref="E102:P102" si="45">E103</f>
        <v>7271263070</v>
      </c>
      <c r="F102" s="337">
        <f t="shared" si="45"/>
        <v>6074136510</v>
      </c>
      <c r="G102" s="337">
        <f t="shared" si="45"/>
        <v>9583304524</v>
      </c>
      <c r="H102" s="337">
        <f t="shared" si="45"/>
        <v>7765726409</v>
      </c>
      <c r="I102" s="337">
        <f t="shared" si="45"/>
        <v>11975931939</v>
      </c>
      <c r="J102" s="337">
        <f t="shared" si="45"/>
        <v>12668457674</v>
      </c>
      <c r="K102" s="337">
        <f t="shared" si="45"/>
        <v>9264095389</v>
      </c>
      <c r="L102" s="337">
        <f t="shared" si="45"/>
        <v>10645644585.360001</v>
      </c>
      <c r="M102" s="337">
        <f t="shared" si="45"/>
        <v>9608145972</v>
      </c>
      <c r="N102" s="337">
        <f t="shared" si="45"/>
        <v>7831938382</v>
      </c>
      <c r="O102" s="337">
        <f t="shared" si="45"/>
        <v>13415988330</v>
      </c>
      <c r="P102" s="337">
        <f t="shared" si="45"/>
        <v>9390531668.2000008</v>
      </c>
      <c r="Q102" s="1635">
        <f t="shared" si="42"/>
        <v>115495164452.56</v>
      </c>
      <c r="R102" s="1636">
        <f>+Q102-D102</f>
        <v>35130164452.559998</v>
      </c>
      <c r="S102" s="338">
        <f>+Q102/D102*100</f>
        <v>143.71326379961425</v>
      </c>
      <c r="T102" s="432"/>
      <c r="V102" s="434"/>
      <c r="W102" s="434"/>
      <c r="X102" s="434"/>
    </row>
    <row r="103" spans="1:24" s="189" customFormat="1" ht="14.1" customHeight="1">
      <c r="A103" s="292"/>
      <c r="B103" s="291" t="s">
        <v>71</v>
      </c>
      <c r="C103" s="1570"/>
      <c r="D103" s="1571">
        <f t="shared" ref="D103:P103" si="46">SUM(D104:D109)</f>
        <v>80365000000</v>
      </c>
      <c r="E103" s="1619">
        <f t="shared" si="46"/>
        <v>7271263070</v>
      </c>
      <c r="F103" s="1619">
        <f t="shared" si="46"/>
        <v>6074136510</v>
      </c>
      <c r="G103" s="1619">
        <f t="shared" si="46"/>
        <v>9583304524</v>
      </c>
      <c r="H103" s="1619">
        <f t="shared" si="46"/>
        <v>7765726409</v>
      </c>
      <c r="I103" s="1619">
        <f t="shared" si="46"/>
        <v>11975931939</v>
      </c>
      <c r="J103" s="1619">
        <f t="shared" si="46"/>
        <v>12668457674</v>
      </c>
      <c r="K103" s="1619">
        <f t="shared" si="46"/>
        <v>9264095389</v>
      </c>
      <c r="L103" s="1619">
        <f t="shared" si="46"/>
        <v>10645644585.360001</v>
      </c>
      <c r="M103" s="1619">
        <f t="shared" si="46"/>
        <v>9608145972</v>
      </c>
      <c r="N103" s="1619">
        <f t="shared" si="46"/>
        <v>7831938382</v>
      </c>
      <c r="O103" s="1619">
        <f t="shared" si="46"/>
        <v>13415988330</v>
      </c>
      <c r="P103" s="1619">
        <f t="shared" si="46"/>
        <v>9390531668.2000008</v>
      </c>
      <c r="Q103" s="1637">
        <f t="shared" si="42"/>
        <v>115495164452.56</v>
      </c>
      <c r="R103" s="1638">
        <f>Q103-D103</f>
        <v>35130164452.559998</v>
      </c>
      <c r="S103" s="1610"/>
      <c r="T103" s="1639"/>
      <c r="V103" s="786"/>
      <c r="W103" s="786"/>
      <c r="X103" s="786"/>
    </row>
    <row r="104" spans="1:24" s="190" customFormat="1" ht="14.1" customHeight="1">
      <c r="A104" s="290"/>
      <c r="B104" s="2761" t="s">
        <v>50</v>
      </c>
      <c r="C104" s="861" t="s">
        <v>89</v>
      </c>
      <c r="D104" s="1620">
        <f>'[4]TARGET MURNI DAN PERUBAHAN'!D81</f>
        <v>80365000000</v>
      </c>
      <c r="E104" s="882">
        <f>[13]Januari!$D$35</f>
        <v>7271263070</v>
      </c>
      <c r="F104" s="882">
        <f>[13]Februari!$D$35</f>
        <v>6074136510</v>
      </c>
      <c r="G104" s="882">
        <f>[13]Maret!$D$35</f>
        <v>9583304524</v>
      </c>
      <c r="H104" s="882">
        <f>[13]April!$D$35</f>
        <v>7765726409</v>
      </c>
      <c r="I104" s="882">
        <f>[13]Mei!$D$35</f>
        <v>11975931939</v>
      </c>
      <c r="J104" s="882">
        <f>[13]Juni!$D$35</f>
        <v>12668457674</v>
      </c>
      <c r="K104" s="882">
        <f>[13]Juli!$D$35</f>
        <v>9264095389</v>
      </c>
      <c r="L104" s="882">
        <f>[13]Agustus!$D$35</f>
        <v>10645644585.360001</v>
      </c>
      <c r="M104" s="882">
        <f>[13]September!$D$35</f>
        <v>9608145972</v>
      </c>
      <c r="N104" s="882">
        <f>[13]Oktober!$D$35</f>
        <v>7653751231</v>
      </c>
      <c r="O104" s="882">
        <f>[13]Nopember!$D$35</f>
        <v>13415988330</v>
      </c>
      <c r="P104" s="882">
        <f>[13]Desember!$D$35</f>
        <v>9368011668.2000008</v>
      </c>
      <c r="Q104" s="1621">
        <f t="shared" si="42"/>
        <v>115294457301.56</v>
      </c>
      <c r="R104" s="1638">
        <f>Q104-D104</f>
        <v>34929457301.559998</v>
      </c>
      <c r="S104" s="1606"/>
      <c r="T104" s="1640"/>
      <c r="V104" s="434">
        <f>Q104/10</f>
        <v>11529445730.156</v>
      </c>
      <c r="W104" s="786"/>
      <c r="X104" s="786"/>
    </row>
    <row r="105" spans="1:24" s="189" customFormat="1" ht="14.1" customHeight="1">
      <c r="A105" s="290"/>
      <c r="B105" s="2759" t="s">
        <v>50</v>
      </c>
      <c r="C105" s="859" t="s">
        <v>710</v>
      </c>
      <c r="D105" s="878">
        <v>0</v>
      </c>
      <c r="E105" s="878">
        <f>[13]Januari!$E$35</f>
        <v>0</v>
      </c>
      <c r="F105" s="878">
        <f>[13]Februari!$E$35</f>
        <v>0</v>
      </c>
      <c r="G105" s="878">
        <f>[13]Maret!$E$35</f>
        <v>0</v>
      </c>
      <c r="H105" s="878">
        <f>[13]April!$E$35</f>
        <v>0</v>
      </c>
      <c r="I105" s="878">
        <f>[13]Mei!$E$35</f>
        <v>0</v>
      </c>
      <c r="J105" s="878">
        <f>[13]Juni!$E$35</f>
        <v>0</v>
      </c>
      <c r="K105" s="878">
        <f>[13]Juli!$E$35</f>
        <v>0</v>
      </c>
      <c r="L105" s="878">
        <f>[13]Agustus!$E$35</f>
        <v>0</v>
      </c>
      <c r="M105" s="878">
        <f>[13]September!$E$35</f>
        <v>0</v>
      </c>
      <c r="N105" s="878">
        <f>[13]Oktober!$E$35</f>
        <v>178187151</v>
      </c>
      <c r="O105" s="878">
        <f>[13]Nopember!$E$35</f>
        <v>0</v>
      </c>
      <c r="P105" s="878">
        <f>[13]Desember!$E$35</f>
        <v>0</v>
      </c>
      <c r="Q105" s="1621">
        <f t="shared" ref="Q105:Q145" si="47">SUM(E105:P105)</f>
        <v>178187151</v>
      </c>
      <c r="R105" s="1641">
        <f>Q105-D105</f>
        <v>178187151</v>
      </c>
      <c r="S105" s="879"/>
      <c r="T105" s="1604"/>
      <c r="V105" s="786"/>
      <c r="W105" s="786"/>
      <c r="X105" s="786"/>
    </row>
    <row r="106" spans="1:24" s="189" customFormat="1" ht="14.1" customHeight="1">
      <c r="A106" s="290"/>
      <c r="B106" s="2759" t="s">
        <v>50</v>
      </c>
      <c r="C106" s="859" t="s">
        <v>711</v>
      </c>
      <c r="D106" s="878"/>
      <c r="E106" s="878">
        <f>[13]Januari!$F$35</f>
        <v>0</v>
      </c>
      <c r="F106" s="878">
        <f>[13]Februari!$F$35</f>
        <v>0</v>
      </c>
      <c r="G106" s="878">
        <f>[13]Maret!$F$35</f>
        <v>0</v>
      </c>
      <c r="H106" s="878">
        <f>[13]April!$F$35</f>
        <v>0</v>
      </c>
      <c r="I106" s="878">
        <f>[13]Mei!$F$35</f>
        <v>0</v>
      </c>
      <c r="J106" s="878">
        <f>[13]Juni!$F$35</f>
        <v>0</v>
      </c>
      <c r="K106" s="878">
        <f>[13]Juli!$F$35</f>
        <v>0</v>
      </c>
      <c r="L106" s="878">
        <f>[13]Agustus!$F$35</f>
        <v>0</v>
      </c>
      <c r="M106" s="878">
        <f>[13]September!$F$35</f>
        <v>0</v>
      </c>
      <c r="N106" s="878">
        <f>[13]Oktober!$F$35</f>
        <v>0</v>
      </c>
      <c r="O106" s="878">
        <f>[13]Nopember!$F$35</f>
        <v>0</v>
      </c>
      <c r="P106" s="878">
        <f>[13]Desember!$F$35</f>
        <v>0</v>
      </c>
      <c r="Q106" s="1621"/>
      <c r="R106" s="1641"/>
      <c r="S106" s="879"/>
      <c r="T106" s="1604"/>
      <c r="V106" s="786"/>
      <c r="W106" s="786"/>
      <c r="X106" s="786"/>
    </row>
    <row r="107" spans="1:24" s="189" customFormat="1" ht="14.1" customHeight="1">
      <c r="A107" s="290"/>
      <c r="B107" s="2759" t="s">
        <v>50</v>
      </c>
      <c r="C107" s="859" t="s">
        <v>712</v>
      </c>
      <c r="D107" s="878"/>
      <c r="E107" s="878">
        <f>[13]Januari!$G$35</f>
        <v>0</v>
      </c>
      <c r="F107" s="878">
        <f>[13]Februari!$G$35</f>
        <v>0</v>
      </c>
      <c r="G107" s="878">
        <f>[13]Maret!$G$35</f>
        <v>0</v>
      </c>
      <c r="H107" s="878">
        <f>[13]April!$G$35</f>
        <v>0</v>
      </c>
      <c r="I107" s="878">
        <f>[13]Mei!$G$35</f>
        <v>0</v>
      </c>
      <c r="J107" s="878">
        <f>[13]Juni!$G$35</f>
        <v>0</v>
      </c>
      <c r="K107" s="878">
        <f>[13]Juli!$G$35</f>
        <v>0</v>
      </c>
      <c r="L107" s="878">
        <f>[13]Agustus!$G$35</f>
        <v>0</v>
      </c>
      <c r="M107" s="878">
        <f>[13]September!$G$35</f>
        <v>0</v>
      </c>
      <c r="N107" s="878">
        <f>[13]Oktober!$G$35</f>
        <v>0</v>
      </c>
      <c r="O107" s="878">
        <f>[13]Nopember!$G$35</f>
        <v>0</v>
      </c>
      <c r="P107" s="878">
        <f>[13]Desember!$G$35</f>
        <v>0</v>
      </c>
      <c r="Q107" s="1621"/>
      <c r="R107" s="1641"/>
      <c r="S107" s="879"/>
      <c r="T107" s="1604"/>
      <c r="V107" s="786"/>
      <c r="W107" s="786"/>
      <c r="X107" s="786"/>
    </row>
    <row r="108" spans="1:24" s="189" customFormat="1" ht="14.1" customHeight="1">
      <c r="A108" s="290"/>
      <c r="B108" s="2759" t="s">
        <v>50</v>
      </c>
      <c r="C108" s="859" t="s">
        <v>713</v>
      </c>
      <c r="D108" s="878"/>
      <c r="E108" s="878">
        <f>[13]Januari!$H$35</f>
        <v>0</v>
      </c>
      <c r="F108" s="878">
        <f>[13]Februari!$H$35</f>
        <v>0</v>
      </c>
      <c r="G108" s="878">
        <f>[13]Maret!$H$35</f>
        <v>0</v>
      </c>
      <c r="H108" s="878">
        <f>[13]April!$H$35</f>
        <v>0</v>
      </c>
      <c r="I108" s="878">
        <f>[13]Mei!$H$35</f>
        <v>0</v>
      </c>
      <c r="J108" s="878">
        <f>[13]Juni!$H$35</f>
        <v>0</v>
      </c>
      <c r="K108" s="878">
        <f>[13]Juli!$H$35</f>
        <v>0</v>
      </c>
      <c r="L108" s="878">
        <f>[13]Agustus!$H$35</f>
        <v>0</v>
      </c>
      <c r="M108" s="878">
        <f>[13]September!$H$35</f>
        <v>0</v>
      </c>
      <c r="N108" s="878">
        <f>[13]Oktober!$H$35</f>
        <v>0</v>
      </c>
      <c r="O108" s="878">
        <f>[13]Nopember!$H$35</f>
        <v>0</v>
      </c>
      <c r="P108" s="878">
        <f>[13]Desember!$H$35</f>
        <v>22520000</v>
      </c>
      <c r="Q108" s="1621"/>
      <c r="R108" s="1641"/>
      <c r="S108" s="879"/>
      <c r="T108" s="1604"/>
      <c r="V108" s="786"/>
      <c r="W108" s="786"/>
      <c r="X108" s="786"/>
    </row>
    <row r="109" spans="1:24" s="189" customFormat="1" ht="14.1" customHeight="1">
      <c r="A109" s="292"/>
      <c r="B109" s="2759" t="s">
        <v>50</v>
      </c>
      <c r="C109" s="859" t="s">
        <v>714</v>
      </c>
      <c r="D109" s="878"/>
      <c r="E109" s="876">
        <v>0</v>
      </c>
      <c r="F109" s="876">
        <v>0</v>
      </c>
      <c r="G109" s="876">
        <v>0</v>
      </c>
      <c r="H109" s="876">
        <v>0</v>
      </c>
      <c r="I109" s="876">
        <v>0</v>
      </c>
      <c r="J109" s="876">
        <v>0</v>
      </c>
      <c r="K109" s="876">
        <v>0</v>
      </c>
      <c r="L109" s="876">
        <v>0</v>
      </c>
      <c r="M109" s="876">
        <v>0</v>
      </c>
      <c r="N109" s="876">
        <v>0</v>
      </c>
      <c r="O109" s="876">
        <v>0</v>
      </c>
      <c r="P109" s="876">
        <v>0</v>
      </c>
      <c r="Q109" s="1621">
        <f t="shared" si="47"/>
        <v>0</v>
      </c>
      <c r="R109" s="1642"/>
      <c r="S109" s="1643"/>
      <c r="T109" s="1644"/>
      <c r="V109" s="786"/>
      <c r="W109" s="786"/>
      <c r="X109" s="786"/>
    </row>
    <row r="110" spans="1:24" s="245" customFormat="1" ht="14.1" customHeight="1">
      <c r="A110" s="305"/>
      <c r="B110" s="306"/>
      <c r="C110" s="742"/>
      <c r="D110" s="751"/>
      <c r="E110" s="751"/>
      <c r="F110" s="751"/>
      <c r="G110" s="751"/>
      <c r="H110" s="751"/>
      <c r="I110" s="751"/>
      <c r="J110" s="751"/>
      <c r="K110" s="751"/>
      <c r="L110" s="751"/>
      <c r="M110" s="751"/>
      <c r="N110" s="751"/>
      <c r="O110" s="751"/>
      <c r="P110" s="751"/>
      <c r="Q110" s="1645">
        <f t="shared" si="47"/>
        <v>0</v>
      </c>
      <c r="R110" s="1646"/>
      <c r="S110" s="829"/>
      <c r="T110" s="780"/>
      <c r="V110" s="1593"/>
      <c r="W110" s="1593"/>
      <c r="X110" s="1593"/>
    </row>
    <row r="111" spans="1:24" s="244" customFormat="1" ht="14.1" customHeight="1">
      <c r="A111" s="1552" t="s">
        <v>104</v>
      </c>
      <c r="B111" s="1553" t="s">
        <v>725</v>
      </c>
      <c r="C111" s="619"/>
      <c r="D111" s="835">
        <f>D112</f>
        <v>14000000000</v>
      </c>
      <c r="E111" s="337">
        <f t="shared" ref="E111:P111" si="48">E112</f>
        <v>1016783988</v>
      </c>
      <c r="F111" s="337">
        <f t="shared" si="48"/>
        <v>755597758</v>
      </c>
      <c r="G111" s="337">
        <f t="shared" si="48"/>
        <v>727764792</v>
      </c>
      <c r="H111" s="337">
        <f t="shared" si="48"/>
        <v>2560344524</v>
      </c>
      <c r="I111" s="337">
        <f t="shared" si="48"/>
        <v>739297353</v>
      </c>
      <c r="J111" s="337">
        <f t="shared" si="48"/>
        <v>1222403795</v>
      </c>
      <c r="K111" s="337">
        <f t="shared" si="48"/>
        <v>769448304</v>
      </c>
      <c r="L111" s="337">
        <f t="shared" si="48"/>
        <v>1097224037</v>
      </c>
      <c r="M111" s="337">
        <f t="shared" si="48"/>
        <v>790053119</v>
      </c>
      <c r="N111" s="337">
        <f t="shared" si="48"/>
        <v>898009180</v>
      </c>
      <c r="O111" s="337">
        <f t="shared" si="48"/>
        <v>1311893451</v>
      </c>
      <c r="P111" s="337">
        <f t="shared" si="48"/>
        <v>1167987154</v>
      </c>
      <c r="Q111" s="1647">
        <f t="shared" si="47"/>
        <v>13056807455</v>
      </c>
      <c r="R111" s="1636">
        <f>+Q111-D111</f>
        <v>-943192545</v>
      </c>
      <c r="S111" s="338">
        <f>+Q111/D111*100</f>
        <v>93.262910392857151</v>
      </c>
      <c r="T111" s="432"/>
      <c r="V111" s="434"/>
      <c r="W111" s="434"/>
      <c r="X111" s="434"/>
    </row>
    <row r="112" spans="1:24" s="189" customFormat="1" ht="14.1" customHeight="1">
      <c r="A112" s="292"/>
      <c r="B112" s="291" t="s">
        <v>71</v>
      </c>
      <c r="C112" s="1570"/>
      <c r="D112" s="1571">
        <f>SUM(D113:D118)</f>
        <v>14000000000</v>
      </c>
      <c r="E112" s="1571">
        <f t="shared" ref="E112:P112" si="49">SUM(E113:E118)</f>
        <v>1016783988</v>
      </c>
      <c r="F112" s="1571">
        <f t="shared" si="49"/>
        <v>755597758</v>
      </c>
      <c r="G112" s="1571">
        <f t="shared" si="49"/>
        <v>727764792</v>
      </c>
      <c r="H112" s="1571">
        <f t="shared" si="49"/>
        <v>2560344524</v>
      </c>
      <c r="I112" s="1571">
        <f t="shared" si="49"/>
        <v>739297353</v>
      </c>
      <c r="J112" s="1571">
        <f t="shared" si="49"/>
        <v>1222403795</v>
      </c>
      <c r="K112" s="1571">
        <f t="shared" si="49"/>
        <v>769448304</v>
      </c>
      <c r="L112" s="1571">
        <f t="shared" si="49"/>
        <v>1097224037</v>
      </c>
      <c r="M112" s="1571">
        <f t="shared" si="49"/>
        <v>790053119</v>
      </c>
      <c r="N112" s="1571">
        <f t="shared" si="49"/>
        <v>898009180</v>
      </c>
      <c r="O112" s="1571">
        <f t="shared" si="49"/>
        <v>1311893451</v>
      </c>
      <c r="P112" s="1571">
        <f t="shared" si="49"/>
        <v>1167987154</v>
      </c>
      <c r="Q112" s="1637">
        <f t="shared" si="47"/>
        <v>13056807455</v>
      </c>
      <c r="R112" s="1648">
        <f>Q112-D112</f>
        <v>-943192545</v>
      </c>
      <c r="S112" s="1610"/>
      <c r="T112" s="1639"/>
      <c r="V112" s="786"/>
      <c r="W112" s="786"/>
      <c r="X112" s="786"/>
    </row>
    <row r="113" spans="1:24" s="190" customFormat="1" ht="14.1" customHeight="1">
      <c r="A113" s="290"/>
      <c r="B113" s="2761" t="s">
        <v>50</v>
      </c>
      <c r="C113" s="861" t="s">
        <v>89</v>
      </c>
      <c r="D113" s="1620">
        <f>'[4]TARGET MURNI DAN PERUBAHAN'!D87</f>
        <v>14000000000</v>
      </c>
      <c r="E113" s="876">
        <f>[14]Januari!$D$35</f>
        <v>1016783988</v>
      </c>
      <c r="F113" s="876">
        <f>[14]Februari!$D$35</f>
        <v>755597758</v>
      </c>
      <c r="G113" s="876">
        <f>[14]Maret!$D$35</f>
        <v>727764792</v>
      </c>
      <c r="H113" s="876">
        <f>[14]April!$D$35</f>
        <v>2560344524</v>
      </c>
      <c r="I113" s="876">
        <f>[14]Mei!$D$35</f>
        <v>739297353</v>
      </c>
      <c r="J113" s="876">
        <f>[14]Juni!$D$35</f>
        <v>1222403795</v>
      </c>
      <c r="K113" s="876">
        <f>[14]Juli!$D$35</f>
        <v>769448304</v>
      </c>
      <c r="L113" s="876">
        <f>[14]Agustus!$D$35</f>
        <v>1093342037</v>
      </c>
      <c r="M113" s="876">
        <f>[14]September!$D$35</f>
        <v>790053119</v>
      </c>
      <c r="N113" s="876">
        <f>[14]Oktober!$D$35</f>
        <v>898009180</v>
      </c>
      <c r="O113" s="876">
        <f>[14]Nopember!$D$35</f>
        <v>1311893451</v>
      </c>
      <c r="P113" s="876">
        <f>[14]Desember!$D$35</f>
        <v>1167987154</v>
      </c>
      <c r="Q113" s="1649">
        <f t="shared" si="47"/>
        <v>13052925455</v>
      </c>
      <c r="R113" s="1650">
        <f>Q113-D113</f>
        <v>-947074545</v>
      </c>
      <c r="S113" s="1606"/>
      <c r="T113" s="1640"/>
      <c r="V113" s="434">
        <f>Q113/10</f>
        <v>1305292545.5</v>
      </c>
      <c r="W113" s="786"/>
      <c r="X113" s="786"/>
    </row>
    <row r="114" spans="1:24" s="189" customFormat="1" ht="14.1" customHeight="1">
      <c r="A114" s="290"/>
      <c r="B114" s="2759" t="s">
        <v>50</v>
      </c>
      <c r="C114" s="859" t="s">
        <v>710</v>
      </c>
      <c r="D114" s="878">
        <v>0</v>
      </c>
      <c r="E114" s="878">
        <f>[14]Januari!$E$35</f>
        <v>0</v>
      </c>
      <c r="F114" s="878">
        <f>[14]Februari!$E$35</f>
        <v>0</v>
      </c>
      <c r="G114" s="878">
        <f>[14]Maret!$E$35</f>
        <v>0</v>
      </c>
      <c r="H114" s="878">
        <f>[14]April!$E$35</f>
        <v>0</v>
      </c>
      <c r="I114" s="878">
        <f>[14]Mei!$E$35</f>
        <v>0</v>
      </c>
      <c r="J114" s="878">
        <f>[14]Juni!$E$35</f>
        <v>0</v>
      </c>
      <c r="K114" s="878">
        <f>[14]Juli!$E$35</f>
        <v>0</v>
      </c>
      <c r="L114" s="878">
        <f>[14]Agustus!$E$35</f>
        <v>0</v>
      </c>
      <c r="M114" s="878">
        <f>[14]September!$E$35</f>
        <v>0</v>
      </c>
      <c r="N114" s="878">
        <f>[14]Oktober!$E$35</f>
        <v>0</v>
      </c>
      <c r="O114" s="878">
        <f>[14]Nopember!$E$35</f>
        <v>0</v>
      </c>
      <c r="P114" s="878">
        <f>[14]Desember!$E$35</f>
        <v>0</v>
      </c>
      <c r="Q114" s="1621">
        <f t="shared" si="47"/>
        <v>0</v>
      </c>
      <c r="R114" s="1641">
        <f>Q114-D114</f>
        <v>0</v>
      </c>
      <c r="S114" s="879"/>
      <c r="T114" s="1604"/>
      <c r="V114" s="786"/>
      <c r="W114" s="786"/>
      <c r="X114" s="786"/>
    </row>
    <row r="115" spans="1:24" s="189" customFormat="1" ht="14.1" customHeight="1">
      <c r="A115" s="290"/>
      <c r="B115" s="2759" t="s">
        <v>50</v>
      </c>
      <c r="C115" s="859" t="s">
        <v>711</v>
      </c>
      <c r="D115" s="878"/>
      <c r="E115" s="878">
        <f>[14]Januari!$F$35</f>
        <v>0</v>
      </c>
      <c r="F115" s="878">
        <f>[14]Februari!$F$35</f>
        <v>0</v>
      </c>
      <c r="G115" s="878">
        <f>[14]Maret!$F$35</f>
        <v>0</v>
      </c>
      <c r="H115" s="878">
        <f>[14]April!$F$35</f>
        <v>0</v>
      </c>
      <c r="I115" s="878">
        <f>[14]Mei!$F$35</f>
        <v>0</v>
      </c>
      <c r="J115" s="878">
        <f>[14]Juni!$F$35</f>
        <v>0</v>
      </c>
      <c r="K115" s="878">
        <f>[14]Juli!$F$35</f>
        <v>0</v>
      </c>
      <c r="L115" s="878">
        <f>[14]Agustus!$F$35</f>
        <v>0</v>
      </c>
      <c r="M115" s="878">
        <f>[14]September!$F$35</f>
        <v>0</v>
      </c>
      <c r="N115" s="878">
        <f>[14]Oktober!$F$35</f>
        <v>0</v>
      </c>
      <c r="O115" s="878">
        <f>[14]Nopember!$F$35</f>
        <v>0</v>
      </c>
      <c r="P115" s="878">
        <f>[14]Desember!$F$35</f>
        <v>0</v>
      </c>
      <c r="Q115" s="1621"/>
      <c r="R115" s="1641"/>
      <c r="S115" s="879"/>
      <c r="T115" s="1604"/>
      <c r="V115" s="786"/>
      <c r="W115" s="786"/>
      <c r="X115" s="786"/>
    </row>
    <row r="116" spans="1:24" s="189" customFormat="1" ht="14.1" customHeight="1">
      <c r="A116" s="290"/>
      <c r="B116" s="2759" t="s">
        <v>50</v>
      </c>
      <c r="C116" s="859" t="s">
        <v>712</v>
      </c>
      <c r="D116" s="878"/>
      <c r="E116" s="878">
        <f>[14]Januari!$G$35</f>
        <v>0</v>
      </c>
      <c r="F116" s="878">
        <f>[14]Februari!$G$35</f>
        <v>0</v>
      </c>
      <c r="G116" s="878">
        <f>[14]Maret!$G$35</f>
        <v>0</v>
      </c>
      <c r="H116" s="878">
        <f>[14]April!$G$35</f>
        <v>0</v>
      </c>
      <c r="I116" s="878">
        <f>[14]Mei!$G$35</f>
        <v>0</v>
      </c>
      <c r="J116" s="878">
        <f>[14]Juni!$G$35</f>
        <v>0</v>
      </c>
      <c r="K116" s="878">
        <f>[14]Juli!$G$35</f>
        <v>0</v>
      </c>
      <c r="L116" s="878">
        <f>[14]Agustus!$G$35</f>
        <v>0</v>
      </c>
      <c r="M116" s="878">
        <f>[14]September!$G$35</f>
        <v>0</v>
      </c>
      <c r="N116" s="878">
        <f>[14]Oktober!$G$35</f>
        <v>0</v>
      </c>
      <c r="O116" s="878">
        <f>[14]Nopember!$G$35</f>
        <v>0</v>
      </c>
      <c r="P116" s="878">
        <f>[14]Desember!$G$35</f>
        <v>0</v>
      </c>
      <c r="Q116" s="1621"/>
      <c r="R116" s="1641"/>
      <c r="S116" s="879"/>
      <c r="T116" s="1604"/>
      <c r="V116" s="786"/>
      <c r="W116" s="786"/>
      <c r="X116" s="786"/>
    </row>
    <row r="117" spans="1:24" s="189" customFormat="1" ht="14.1" customHeight="1">
      <c r="A117" s="290"/>
      <c r="B117" s="2759" t="s">
        <v>50</v>
      </c>
      <c r="C117" s="859" t="s">
        <v>713</v>
      </c>
      <c r="D117" s="878"/>
      <c r="E117" s="878">
        <f>[14]Januari!$H$35</f>
        <v>0</v>
      </c>
      <c r="F117" s="878">
        <f>[14]Februari!$H$35</f>
        <v>0</v>
      </c>
      <c r="G117" s="878">
        <f>[14]Maret!$H$35</f>
        <v>0</v>
      </c>
      <c r="H117" s="878">
        <f>[14]April!$H$35</f>
        <v>0</v>
      </c>
      <c r="I117" s="878">
        <f>[14]Mei!$H$35</f>
        <v>0</v>
      </c>
      <c r="J117" s="878">
        <f>[14]Juni!$H$35</f>
        <v>0</v>
      </c>
      <c r="K117" s="878">
        <f>[14]Juli!$H$35</f>
        <v>0</v>
      </c>
      <c r="L117" s="878">
        <f>[14]Agustus!$H$35</f>
        <v>3882000</v>
      </c>
      <c r="M117" s="878">
        <f>[14]September!$H$35</f>
        <v>0</v>
      </c>
      <c r="N117" s="878">
        <f>[14]Oktober!$H$35</f>
        <v>0</v>
      </c>
      <c r="O117" s="878">
        <f>[14]Nopember!$H$35</f>
        <v>0</v>
      </c>
      <c r="P117" s="878">
        <f>[14]Desember!$H$35</f>
        <v>0</v>
      </c>
      <c r="Q117" s="1621"/>
      <c r="R117" s="1641"/>
      <c r="S117" s="879"/>
      <c r="T117" s="1604"/>
      <c r="V117" s="786"/>
      <c r="W117" s="786"/>
      <c r="X117" s="786"/>
    </row>
    <row r="118" spans="1:24" s="189" customFormat="1" ht="14.1" customHeight="1">
      <c r="A118" s="292"/>
      <c r="B118" s="2759" t="s">
        <v>50</v>
      </c>
      <c r="C118" s="859" t="s">
        <v>714</v>
      </c>
      <c r="D118" s="1179">
        <f>'[4]TARGET MURNI DAN PERUBAHAN'!D89</f>
        <v>0</v>
      </c>
      <c r="E118" s="876">
        <v>0</v>
      </c>
      <c r="F118" s="876">
        <v>0</v>
      </c>
      <c r="G118" s="876">
        <v>0</v>
      </c>
      <c r="H118" s="876">
        <v>0</v>
      </c>
      <c r="I118" s="876">
        <v>0</v>
      </c>
      <c r="J118" s="876">
        <v>0</v>
      </c>
      <c r="K118" s="876">
        <v>0</v>
      </c>
      <c r="L118" s="876">
        <v>0</v>
      </c>
      <c r="M118" s="876">
        <v>0</v>
      </c>
      <c r="N118" s="876">
        <v>0</v>
      </c>
      <c r="O118" s="876">
        <v>0</v>
      </c>
      <c r="P118" s="876">
        <v>0</v>
      </c>
      <c r="Q118" s="1649">
        <f>SUM(E118:P118)</f>
        <v>0</v>
      </c>
      <c r="R118" s="1650">
        <f>Q118-D118</f>
        <v>0</v>
      </c>
      <c r="S118" s="1643" t="e">
        <f>Q118/D118*100</f>
        <v>#DIV/0!</v>
      </c>
      <c r="T118" s="1644"/>
      <c r="V118" s="786"/>
      <c r="W118" s="786"/>
      <c r="X118" s="786"/>
    </row>
    <row r="119" spans="1:24" s="245" customFormat="1" ht="14.1" customHeight="1">
      <c r="A119" s="305"/>
      <c r="B119" s="576"/>
      <c r="C119" s="306"/>
      <c r="D119" s="380"/>
      <c r="E119" s="380"/>
      <c r="F119" s="380"/>
      <c r="G119" s="380"/>
      <c r="H119" s="380"/>
      <c r="I119" s="380"/>
      <c r="J119" s="380"/>
      <c r="K119" s="380"/>
      <c r="L119" s="380"/>
      <c r="M119" s="380"/>
      <c r="N119" s="380"/>
      <c r="O119" s="380"/>
      <c r="P119" s="380"/>
      <c r="Q119" s="1621">
        <f t="shared" si="47"/>
        <v>0</v>
      </c>
      <c r="R119" s="1625"/>
      <c r="S119" s="501"/>
      <c r="T119" s="560"/>
      <c r="V119" s="1593"/>
      <c r="W119" s="1593"/>
      <c r="X119" s="1593"/>
    </row>
    <row r="120" spans="1:24" s="244" customFormat="1" ht="14.1" customHeight="1">
      <c r="A120" s="1552" t="s">
        <v>112</v>
      </c>
      <c r="B120" s="1553" t="s">
        <v>726</v>
      </c>
      <c r="C120" s="298"/>
      <c r="D120" s="835">
        <f t="shared" ref="D120:P120" si="50">D121+D124+D128</f>
        <v>436000000</v>
      </c>
      <c r="E120" s="337">
        <f t="shared" si="50"/>
        <v>343670238.08999997</v>
      </c>
      <c r="F120" s="337">
        <f t="shared" si="50"/>
        <v>108514532.2</v>
      </c>
      <c r="G120" s="337">
        <f t="shared" si="50"/>
        <v>103326605.53</v>
      </c>
      <c r="H120" s="337">
        <f t="shared" si="50"/>
        <v>81201400</v>
      </c>
      <c r="I120" s="337">
        <f t="shared" si="50"/>
        <v>153996171.05000001</v>
      </c>
      <c r="J120" s="337">
        <f t="shared" si="50"/>
        <v>71531758.189999998</v>
      </c>
      <c r="K120" s="337">
        <f t="shared" si="50"/>
        <v>83954161.219999999</v>
      </c>
      <c r="L120" s="337">
        <f t="shared" si="50"/>
        <v>4878700</v>
      </c>
      <c r="M120" s="337">
        <f t="shared" si="50"/>
        <v>33434300</v>
      </c>
      <c r="N120" s="337">
        <f t="shared" si="50"/>
        <v>26461540.98</v>
      </c>
      <c r="O120" s="337">
        <f t="shared" si="50"/>
        <v>50122900</v>
      </c>
      <c r="P120" s="337">
        <f t="shared" si="50"/>
        <v>172739225.84999999</v>
      </c>
      <c r="Q120" s="1651">
        <f t="shared" si="47"/>
        <v>1233831533.1099999</v>
      </c>
      <c r="R120" s="1636">
        <f>+Q120-D120</f>
        <v>797831533.1099999</v>
      </c>
      <c r="S120" s="338">
        <f>+Q120/D120*100</f>
        <v>282.98888374082566</v>
      </c>
      <c r="T120" s="432"/>
      <c r="V120" s="434">
        <f>Q120/10</f>
        <v>123383153.31099999</v>
      </c>
      <c r="W120" s="434"/>
      <c r="X120" s="434"/>
    </row>
    <row r="121" spans="1:24" s="190" customFormat="1" ht="14.1" customHeight="1">
      <c r="A121" s="1554"/>
      <c r="B121" s="1329" t="s">
        <v>83</v>
      </c>
      <c r="C121" s="1329"/>
      <c r="D121" s="1555">
        <f>+D122</f>
        <v>19250000</v>
      </c>
      <c r="E121" s="1336">
        <f t="shared" ref="E121:P121" si="51">+E122</f>
        <v>0</v>
      </c>
      <c r="F121" s="1336">
        <f t="shared" si="51"/>
        <v>0</v>
      </c>
      <c r="G121" s="1336">
        <f t="shared" si="51"/>
        <v>0</v>
      </c>
      <c r="H121" s="1336">
        <f t="shared" si="51"/>
        <v>0</v>
      </c>
      <c r="I121" s="1336">
        <f t="shared" si="51"/>
        <v>0</v>
      </c>
      <c r="J121" s="1336">
        <f t="shared" si="51"/>
        <v>0</v>
      </c>
      <c r="K121" s="1336">
        <f t="shared" si="51"/>
        <v>0</v>
      </c>
      <c r="L121" s="1336">
        <f t="shared" si="51"/>
        <v>0</v>
      </c>
      <c r="M121" s="1336">
        <f t="shared" si="51"/>
        <v>0</v>
      </c>
      <c r="N121" s="1336">
        <f t="shared" si="51"/>
        <v>0</v>
      </c>
      <c r="O121" s="1336">
        <f t="shared" si="51"/>
        <v>0</v>
      </c>
      <c r="P121" s="1336">
        <f t="shared" si="51"/>
        <v>0</v>
      </c>
      <c r="Q121" s="1627">
        <f t="shared" si="47"/>
        <v>0</v>
      </c>
      <c r="R121" s="1628">
        <f>Q121-D121</f>
        <v>-19250000</v>
      </c>
      <c r="S121" s="1591">
        <f>Q121/D121*100</f>
        <v>0</v>
      </c>
      <c r="T121" s="1342"/>
      <c r="V121" s="786"/>
      <c r="W121" s="786"/>
      <c r="X121" s="786"/>
    </row>
    <row r="122" spans="1:24" s="189" customFormat="1" ht="14.1" customHeight="1">
      <c r="A122" s="290"/>
      <c r="B122" s="2760" t="s">
        <v>50</v>
      </c>
      <c r="C122" s="253" t="s">
        <v>727</v>
      </c>
      <c r="D122" s="1556">
        <f>'[4]TARGET MURNI DAN PERUBAHAN'!D93</f>
        <v>19250000</v>
      </c>
      <c r="E122" s="355">
        <f>[15]Januari!$D$35</f>
        <v>0</v>
      </c>
      <c r="F122" s="355">
        <f>[15]Februari!$D$35</f>
        <v>0</v>
      </c>
      <c r="G122" s="355">
        <f>[15]Maret!$D$35</f>
        <v>0</v>
      </c>
      <c r="H122" s="355">
        <f>[15]April!$D$35</f>
        <v>0</v>
      </c>
      <c r="I122" s="355">
        <f>[15]Mei!$D$35</f>
        <v>0</v>
      </c>
      <c r="J122" s="355">
        <f>[15]Juni!$D$35</f>
        <v>0</v>
      </c>
      <c r="K122" s="355">
        <f>[15]Juli!$D$35</f>
        <v>0</v>
      </c>
      <c r="L122" s="355">
        <f>[15]Agustus!$D$35</f>
        <v>0</v>
      </c>
      <c r="M122" s="355">
        <f>[15]September!$D$35</f>
        <v>0</v>
      </c>
      <c r="N122" s="355">
        <f>[15]Oktober!$D$35</f>
        <v>0</v>
      </c>
      <c r="O122" s="355">
        <f>[15]Nopember!$D$35</f>
        <v>0</v>
      </c>
      <c r="P122" s="355">
        <f>[15]Desember!$D$35</f>
        <v>0</v>
      </c>
      <c r="Q122" s="1629">
        <f t="shared" si="47"/>
        <v>0</v>
      </c>
      <c r="R122" s="1630">
        <f>Q122-D122</f>
        <v>-19250000</v>
      </c>
      <c r="S122" s="388">
        <f>Q122/D122*100</f>
        <v>0</v>
      </c>
      <c r="T122" s="441"/>
      <c r="V122" s="786"/>
      <c r="W122" s="786"/>
      <c r="X122" s="786"/>
    </row>
    <row r="123" spans="1:24" s="189" customFormat="1" ht="14.1" customHeight="1">
      <c r="A123" s="290"/>
      <c r="B123" s="253"/>
      <c r="C123" s="253"/>
      <c r="D123" s="355"/>
      <c r="E123" s="355"/>
      <c r="F123" s="355"/>
      <c r="G123" s="355"/>
      <c r="H123" s="355"/>
      <c r="I123" s="355"/>
      <c r="J123" s="355"/>
      <c r="K123" s="355"/>
      <c r="L123" s="355"/>
      <c r="M123" s="355"/>
      <c r="N123" s="355"/>
      <c r="O123" s="355"/>
      <c r="P123" s="355"/>
      <c r="Q123" s="1629">
        <f t="shared" si="47"/>
        <v>0</v>
      </c>
      <c r="R123" s="1630"/>
      <c r="S123" s="388"/>
      <c r="T123" s="441"/>
      <c r="V123" s="786"/>
      <c r="W123" s="786"/>
      <c r="X123" s="786"/>
    </row>
    <row r="124" spans="1:24" s="190" customFormat="1" ht="14.1" customHeight="1">
      <c r="A124" s="290"/>
      <c r="B124" s="291" t="s">
        <v>63</v>
      </c>
      <c r="C124" s="291"/>
      <c r="D124" s="371">
        <f>SUM(D125:D126)</f>
        <v>416750000</v>
      </c>
      <c r="E124" s="367">
        <f>SUM(E125:E126)</f>
        <v>9950400</v>
      </c>
      <c r="F124" s="367">
        <f t="shared" ref="F124:P124" si="52">SUM(F125:F126)</f>
        <v>37127000</v>
      </c>
      <c r="G124" s="367">
        <f t="shared" si="52"/>
        <v>23013800</v>
      </c>
      <c r="H124" s="367">
        <f t="shared" si="52"/>
        <v>68494900</v>
      </c>
      <c r="I124" s="367">
        <f t="shared" si="52"/>
        <v>33614800</v>
      </c>
      <c r="J124" s="367">
        <f t="shared" si="52"/>
        <v>43865900</v>
      </c>
      <c r="K124" s="367">
        <f t="shared" si="52"/>
        <v>32530000</v>
      </c>
      <c r="L124" s="367">
        <f t="shared" si="52"/>
        <v>4878700</v>
      </c>
      <c r="M124" s="367">
        <f t="shared" si="52"/>
        <v>32304300</v>
      </c>
      <c r="N124" s="367">
        <f t="shared" si="52"/>
        <v>13392900</v>
      </c>
      <c r="O124" s="367">
        <f t="shared" si="52"/>
        <v>44472900</v>
      </c>
      <c r="P124" s="367">
        <f t="shared" si="52"/>
        <v>67714400</v>
      </c>
      <c r="Q124" s="1629">
        <f t="shared" si="47"/>
        <v>411360000</v>
      </c>
      <c r="R124" s="1652">
        <f>Q124-D124</f>
        <v>-5390000</v>
      </c>
      <c r="S124" s="399">
        <f>Q124/D124*100</f>
        <v>98.706658668266343</v>
      </c>
      <c r="T124" s="454"/>
      <c r="V124" s="434">
        <f>Q124/10</f>
        <v>41136000</v>
      </c>
      <c r="W124" s="786"/>
      <c r="X124" s="786"/>
    </row>
    <row r="125" spans="1:24" s="189" customFormat="1" ht="14.1" customHeight="1">
      <c r="A125" s="290"/>
      <c r="B125" s="253" t="s">
        <v>50</v>
      </c>
      <c r="C125" s="253" t="s">
        <v>728</v>
      </c>
      <c r="D125" s="1556">
        <f>'[4]TARGET MURNI DAN PERUBAHAN'!D96</f>
        <v>216750000</v>
      </c>
      <c r="E125" s="355">
        <f>[15]Januari!$E$35</f>
        <v>0</v>
      </c>
      <c r="F125" s="355">
        <f>[15]Februari!$E$35</f>
        <v>0</v>
      </c>
      <c r="G125" s="355">
        <f>[15]Maret!$E$35</f>
        <v>0</v>
      </c>
      <c r="H125" s="355">
        <f>[15]April!$E$35</f>
        <v>0</v>
      </c>
      <c r="I125" s="355">
        <f>[15]Mei!$E$35</f>
        <v>0</v>
      </c>
      <c r="J125" s="355">
        <f>[15]Juni!$E$35</f>
        <v>6090000</v>
      </c>
      <c r="K125" s="355">
        <f>[15]Juli!$E$35</f>
        <v>32530000</v>
      </c>
      <c r="L125" s="355">
        <f>[15]Agustus!$E$35</f>
        <v>0</v>
      </c>
      <c r="M125" s="355">
        <f>[15]September!$E$35</f>
        <v>19450000</v>
      </c>
      <c r="N125" s="355">
        <f>[15]Oktober!$E$35</f>
        <v>0</v>
      </c>
      <c r="O125" s="355">
        <f>[15]Nopember!$E$35</f>
        <v>6696000</v>
      </c>
      <c r="P125" s="355">
        <f>[15]Desember!$E$35</f>
        <v>17400000</v>
      </c>
      <c r="Q125" s="1629">
        <f t="shared" si="47"/>
        <v>82166000</v>
      </c>
      <c r="R125" s="1630">
        <f>Q125-D126</f>
        <v>-117834000</v>
      </c>
      <c r="S125" s="347">
        <f>Q125/D125*100</f>
        <v>37.90818915801615</v>
      </c>
      <c r="T125" s="441"/>
      <c r="V125" s="434">
        <f>Q125/10</f>
        <v>8216600</v>
      </c>
      <c r="W125" s="786"/>
      <c r="X125" s="786"/>
    </row>
    <row r="126" spans="1:24" s="189" customFormat="1" ht="14.1" customHeight="1">
      <c r="A126" s="290"/>
      <c r="B126" s="253" t="s">
        <v>50</v>
      </c>
      <c r="C126" s="868" t="s">
        <v>729</v>
      </c>
      <c r="D126" s="1556">
        <f>'[4]TARGET MURNI DAN PERUBAHAN'!D97</f>
        <v>200000000</v>
      </c>
      <c r="E126" s="355">
        <f>[15]Januari!$F$35</f>
        <v>9950400</v>
      </c>
      <c r="F126" s="355">
        <f>[15]Februari!$F$35</f>
        <v>37127000</v>
      </c>
      <c r="G126" s="355">
        <f>[15]Maret!$F$35</f>
        <v>23013800</v>
      </c>
      <c r="H126" s="355">
        <f>[15]April!$F$35</f>
        <v>68494900</v>
      </c>
      <c r="I126" s="355">
        <f>[15]Mei!$F$35</f>
        <v>33614800</v>
      </c>
      <c r="J126" s="355">
        <f>[15]Juni!$F$35</f>
        <v>37775900</v>
      </c>
      <c r="K126" s="355">
        <f>[15]Juli!$F$35</f>
        <v>0</v>
      </c>
      <c r="L126" s="355">
        <f>[15]Agustus!$F$35</f>
        <v>4878700</v>
      </c>
      <c r="M126" s="355">
        <f>[15]September!$F$35</f>
        <v>12854300</v>
      </c>
      <c r="N126" s="355">
        <f>[15]Oktober!$F$35</f>
        <v>13392900</v>
      </c>
      <c r="O126" s="355">
        <f>[15]Nopember!$F$35</f>
        <v>37776900</v>
      </c>
      <c r="P126" s="355">
        <f>[15]Desember!$F$35</f>
        <v>50314400</v>
      </c>
      <c r="Q126" s="1653">
        <f t="shared" si="47"/>
        <v>329194000</v>
      </c>
      <c r="R126" s="1630">
        <f>Q126-D126</f>
        <v>129194000</v>
      </c>
      <c r="S126" s="347">
        <f>Q126/D126*100</f>
        <v>164.59699999999998</v>
      </c>
      <c r="T126" s="441"/>
      <c r="V126" s="434">
        <f>Q126/10</f>
        <v>32919400</v>
      </c>
      <c r="W126" s="786"/>
      <c r="X126" s="786"/>
    </row>
    <row r="127" spans="1:24" s="189" customFormat="1" ht="14.1" customHeight="1">
      <c r="A127" s="290"/>
      <c r="B127" s="253"/>
      <c r="C127" s="253"/>
      <c r="D127" s="355"/>
      <c r="E127" s="355"/>
      <c r="F127" s="355"/>
      <c r="G127" s="355"/>
      <c r="H127" s="355"/>
      <c r="I127" s="355"/>
      <c r="J127" s="355"/>
      <c r="K127" s="355"/>
      <c r="L127" s="355"/>
      <c r="M127" s="355"/>
      <c r="N127" s="355"/>
      <c r="O127" s="355"/>
      <c r="P127" s="355"/>
      <c r="Q127" s="1629"/>
      <c r="R127" s="1630"/>
      <c r="S127" s="388"/>
      <c r="T127" s="441"/>
      <c r="V127" s="786"/>
      <c r="W127" s="786"/>
      <c r="X127" s="786"/>
    </row>
    <row r="128" spans="1:24" s="190" customFormat="1" ht="14.1" customHeight="1">
      <c r="A128" s="290"/>
      <c r="B128" s="291" t="s">
        <v>71</v>
      </c>
      <c r="C128" s="291"/>
      <c r="D128" s="371">
        <f>SUM(D129:D133)</f>
        <v>0</v>
      </c>
      <c r="E128" s="371">
        <f>SUM(E129:E133)</f>
        <v>333719838.08999997</v>
      </c>
      <c r="F128" s="371">
        <f t="shared" ref="F128:P128" si="53">SUM(F129:F133)</f>
        <v>71387532.200000003</v>
      </c>
      <c r="G128" s="371">
        <f t="shared" si="53"/>
        <v>80312805.530000001</v>
      </c>
      <c r="H128" s="371">
        <f t="shared" si="53"/>
        <v>12706500</v>
      </c>
      <c r="I128" s="371">
        <f t="shared" si="53"/>
        <v>120381371.05</v>
      </c>
      <c r="J128" s="371">
        <f t="shared" si="53"/>
        <v>27665858.190000001</v>
      </c>
      <c r="K128" s="371">
        <f t="shared" si="53"/>
        <v>51424161.219999999</v>
      </c>
      <c r="L128" s="371">
        <f t="shared" si="53"/>
        <v>0</v>
      </c>
      <c r="M128" s="371">
        <f t="shared" si="53"/>
        <v>1130000</v>
      </c>
      <c r="N128" s="371">
        <f t="shared" si="53"/>
        <v>13068640.98</v>
      </c>
      <c r="O128" s="371">
        <f t="shared" si="53"/>
        <v>5650000</v>
      </c>
      <c r="P128" s="371">
        <f t="shared" si="53"/>
        <v>105024825.84999999</v>
      </c>
      <c r="Q128" s="1629">
        <f t="shared" si="47"/>
        <v>822471533.11000001</v>
      </c>
      <c r="R128" s="1652">
        <f t="shared" ref="R128:R133" si="54">Q128-D128</f>
        <v>822471533.11000001</v>
      </c>
      <c r="S128" s="399" t="e">
        <f>Q128/D128*100</f>
        <v>#DIV/0!</v>
      </c>
      <c r="T128" s="651"/>
      <c r="V128" s="786"/>
      <c r="W128" s="786"/>
      <c r="X128" s="786"/>
    </row>
    <row r="129" spans="1:24" s="189" customFormat="1" ht="14.1" customHeight="1">
      <c r="A129" s="290"/>
      <c r="B129" s="2759" t="s">
        <v>50</v>
      </c>
      <c r="C129" s="859" t="s">
        <v>710</v>
      </c>
      <c r="D129" s="355">
        <v>0</v>
      </c>
      <c r="E129" s="355">
        <f>[15]Januari!$G$35</f>
        <v>56865914.07</v>
      </c>
      <c r="F129" s="355">
        <f>[15]Februari!$G$35</f>
        <v>29161776.48</v>
      </c>
      <c r="G129" s="355">
        <f>[15]Maret!$G$35</f>
        <v>22409680.16</v>
      </c>
      <c r="H129" s="355">
        <f>[15]April!$G$35</f>
        <v>0</v>
      </c>
      <c r="I129" s="355">
        <f>[15]Mei!$G$35</f>
        <v>73790090.049999997</v>
      </c>
      <c r="J129" s="355">
        <f>[15]Juni!$G$35</f>
        <v>0</v>
      </c>
      <c r="K129" s="355">
        <f>[15]Juli!$G$35</f>
        <v>0</v>
      </c>
      <c r="L129" s="355">
        <f>[15]Agustus!$G$35</f>
        <v>0</v>
      </c>
      <c r="M129" s="355">
        <f>[15]September!$G$35</f>
        <v>0</v>
      </c>
      <c r="N129" s="355">
        <f>[15]Oktober!$G$35</f>
        <v>4887560.9800000004</v>
      </c>
      <c r="O129" s="355">
        <f>[15]Nopember!$G$35</f>
        <v>0</v>
      </c>
      <c r="P129" s="355">
        <f>[15]Desember!$G$35</f>
        <v>1559000</v>
      </c>
      <c r="Q129" s="1653">
        <f t="shared" si="47"/>
        <v>188674021.73999998</v>
      </c>
      <c r="R129" s="1630">
        <f t="shared" si="54"/>
        <v>188674021.73999998</v>
      </c>
      <c r="S129" s="388"/>
      <c r="T129" s="441"/>
      <c r="V129" s="786"/>
      <c r="W129" s="786"/>
      <c r="X129" s="786"/>
    </row>
    <row r="130" spans="1:24" s="189" customFormat="1" ht="14.1" customHeight="1">
      <c r="A130" s="290"/>
      <c r="B130" s="2759" t="s">
        <v>50</v>
      </c>
      <c r="C130" s="859" t="s">
        <v>711</v>
      </c>
      <c r="D130" s="355">
        <v>0</v>
      </c>
      <c r="E130" s="355">
        <f>[15]Januari!$H$35</f>
        <v>0</v>
      </c>
      <c r="F130" s="355">
        <f>[15]Februari!$H$35</f>
        <v>0</v>
      </c>
      <c r="G130" s="355">
        <f>[15]Maret!$H$35</f>
        <v>0</v>
      </c>
      <c r="H130" s="355">
        <f>[15]April!$H$35</f>
        <v>0</v>
      </c>
      <c r="I130" s="355">
        <f>[15]Mei!$H$35</f>
        <v>0</v>
      </c>
      <c r="J130" s="355">
        <f>[15]Juni!$H$35</f>
        <v>0</v>
      </c>
      <c r="K130" s="355">
        <f>[15]Juli!$H$35</f>
        <v>0</v>
      </c>
      <c r="L130" s="355">
        <f>[15]Agustus!$H$35</f>
        <v>0</v>
      </c>
      <c r="M130" s="355">
        <f>[15]September!$H$35</f>
        <v>0</v>
      </c>
      <c r="N130" s="355">
        <f>[15]Oktober!$H$35</f>
        <v>0</v>
      </c>
      <c r="O130" s="355">
        <f>[15]Nopember!$H$35</f>
        <v>0</v>
      </c>
      <c r="P130" s="355">
        <f>[15]Desember!$H$35</f>
        <v>0</v>
      </c>
      <c r="Q130" s="1653">
        <f t="shared" si="47"/>
        <v>0</v>
      </c>
      <c r="R130" s="1630">
        <f t="shared" si="54"/>
        <v>0</v>
      </c>
      <c r="S130" s="388"/>
      <c r="T130" s="441"/>
      <c r="V130" s="786"/>
      <c r="W130" s="786"/>
      <c r="X130" s="786"/>
    </row>
    <row r="131" spans="1:24" s="189" customFormat="1" ht="14.1" customHeight="1">
      <c r="A131" s="290"/>
      <c r="B131" s="2759" t="s">
        <v>50</v>
      </c>
      <c r="C131" s="859" t="s">
        <v>712</v>
      </c>
      <c r="D131" s="355"/>
      <c r="E131" s="355">
        <f>[15]Januari!$I$35</f>
        <v>0</v>
      </c>
      <c r="F131" s="355">
        <f>[15]Februari!$I$35</f>
        <v>0</v>
      </c>
      <c r="G131" s="355">
        <f>[15]Maret!$I$35</f>
        <v>0</v>
      </c>
      <c r="H131" s="355">
        <f>[15]April!$I$35</f>
        <v>0</v>
      </c>
      <c r="I131" s="355">
        <f>[15]Mei!$I$35</f>
        <v>0</v>
      </c>
      <c r="J131" s="355">
        <f>[15]Juni!$I$35</f>
        <v>0</v>
      </c>
      <c r="K131" s="355">
        <f>[15]Juli!$I$35</f>
        <v>0</v>
      </c>
      <c r="L131" s="355">
        <f>[15]Agustus!$I$35</f>
        <v>0</v>
      </c>
      <c r="M131" s="355">
        <f>[15]September!$I$35</f>
        <v>0</v>
      </c>
      <c r="N131" s="355">
        <f>[15]Oktober!$I$35</f>
        <v>0</v>
      </c>
      <c r="O131" s="355">
        <f>[15]Nopember!$I$35</f>
        <v>0</v>
      </c>
      <c r="P131" s="355">
        <f>[15]Desember!$I$35</f>
        <v>0</v>
      </c>
      <c r="Q131" s="1653">
        <f t="shared" si="47"/>
        <v>0</v>
      </c>
      <c r="R131" s="1630">
        <f t="shared" si="54"/>
        <v>0</v>
      </c>
      <c r="S131" s="388"/>
      <c r="T131" s="441"/>
      <c r="V131" s="786"/>
      <c r="W131" s="786"/>
      <c r="X131" s="786"/>
    </row>
    <row r="132" spans="1:24" s="189" customFormat="1" ht="14.1" customHeight="1">
      <c r="A132" s="290"/>
      <c r="B132" s="2759" t="s">
        <v>50</v>
      </c>
      <c r="C132" s="859" t="s">
        <v>713</v>
      </c>
      <c r="D132" s="355"/>
      <c r="E132" s="355">
        <f>[15]Januari!$J$35</f>
        <v>276853924.01999998</v>
      </c>
      <c r="F132" s="355">
        <f>[15]Februari!$J$35</f>
        <v>42225755.719999999</v>
      </c>
      <c r="G132" s="355">
        <f>[15]Maret!$J$35</f>
        <v>57903125.369999997</v>
      </c>
      <c r="H132" s="355">
        <f>[15]April!$J$35</f>
        <v>12706500</v>
      </c>
      <c r="I132" s="355">
        <f>[15]Mei!$J$35</f>
        <v>46591281</v>
      </c>
      <c r="J132" s="355">
        <f>[15]Juni!$J$35</f>
        <v>27665858.190000001</v>
      </c>
      <c r="K132" s="355">
        <f>[15]Juli!$J$35</f>
        <v>51424161.219999999</v>
      </c>
      <c r="L132" s="355">
        <f>[15]Agustus!$J$35</f>
        <v>0</v>
      </c>
      <c r="M132" s="355">
        <f>[15]September!$J$35</f>
        <v>1130000</v>
      </c>
      <c r="N132" s="355">
        <f>[15]Oktober!$J$35</f>
        <v>8181080</v>
      </c>
      <c r="O132" s="355">
        <f>[15]Nopember!$J$35</f>
        <v>5650000</v>
      </c>
      <c r="P132" s="355">
        <f>[15]Desember!$J$35</f>
        <v>103465825.84999999</v>
      </c>
      <c r="Q132" s="1653">
        <f t="shared" si="47"/>
        <v>633797511.37</v>
      </c>
      <c r="R132" s="1630">
        <f t="shared" si="54"/>
        <v>633797511.37</v>
      </c>
      <c r="S132" s="388"/>
      <c r="T132" s="441"/>
      <c r="V132" s="786"/>
      <c r="W132" s="786"/>
      <c r="X132" s="786"/>
    </row>
    <row r="133" spans="1:24" s="189" customFormat="1" ht="14.1" customHeight="1">
      <c r="A133" s="290"/>
      <c r="B133" s="2759" t="s">
        <v>50</v>
      </c>
      <c r="C133" s="859" t="s">
        <v>714</v>
      </c>
      <c r="D133" s="1556">
        <f>'[4]TARGET MURNI DAN PERUBAHAN'!D102</f>
        <v>0</v>
      </c>
      <c r="E133" s="355">
        <v>0</v>
      </c>
      <c r="F133" s="355">
        <v>0</v>
      </c>
      <c r="G133" s="355">
        <v>0</v>
      </c>
      <c r="H133" s="355">
        <v>0</v>
      </c>
      <c r="I133" s="355">
        <v>0</v>
      </c>
      <c r="J133" s="355">
        <v>0</v>
      </c>
      <c r="K133" s="355">
        <v>0</v>
      </c>
      <c r="L133" s="355">
        <v>0</v>
      </c>
      <c r="M133" s="355">
        <v>0</v>
      </c>
      <c r="N133" s="355">
        <v>0</v>
      </c>
      <c r="O133" s="355">
        <v>0</v>
      </c>
      <c r="P133" s="355">
        <v>0</v>
      </c>
      <c r="Q133" s="1653">
        <f t="shared" si="47"/>
        <v>0</v>
      </c>
      <c r="R133" s="1672">
        <f t="shared" si="54"/>
        <v>0</v>
      </c>
      <c r="S133" s="347" t="e">
        <f>Q133/D133*100</f>
        <v>#DIV/0!</v>
      </c>
      <c r="T133" s="441"/>
      <c r="V133" s="786"/>
      <c r="W133" s="786"/>
      <c r="X133" s="786"/>
    </row>
    <row r="134" spans="1:24" s="245" customFormat="1" ht="14.1" customHeight="1">
      <c r="A134" s="575"/>
      <c r="B134" s="306"/>
      <c r="C134" s="306"/>
      <c r="D134" s="380"/>
      <c r="E134" s="380"/>
      <c r="F134" s="380"/>
      <c r="G134" s="380"/>
      <c r="H134" s="380"/>
      <c r="I134" s="380"/>
      <c r="J134" s="380"/>
      <c r="K134" s="380"/>
      <c r="L134" s="380"/>
      <c r="M134" s="380"/>
      <c r="N134" s="380"/>
      <c r="O134" s="380"/>
      <c r="P134" s="380"/>
      <c r="Q134" s="1631"/>
      <c r="R134" s="1625"/>
      <c r="S134" s="501"/>
      <c r="T134" s="560"/>
      <c r="V134" s="1593"/>
      <c r="W134" s="1593"/>
      <c r="X134" s="1593"/>
    </row>
    <row r="135" spans="1:24" s="244" customFormat="1" ht="14.1" customHeight="1">
      <c r="A135" s="1552" t="s">
        <v>114</v>
      </c>
      <c r="B135" s="1553" t="s">
        <v>730</v>
      </c>
      <c r="C135" s="298"/>
      <c r="D135" s="835">
        <f t="shared" ref="D135:P135" si="55">D136+D139</f>
        <v>0</v>
      </c>
      <c r="E135" s="337">
        <f t="shared" si="55"/>
        <v>200000</v>
      </c>
      <c r="F135" s="337">
        <f t="shared" si="55"/>
        <v>200000</v>
      </c>
      <c r="G135" s="337">
        <f t="shared" si="55"/>
        <v>0</v>
      </c>
      <c r="H135" s="337">
        <f t="shared" si="55"/>
        <v>1027500</v>
      </c>
      <c r="I135" s="337">
        <f t="shared" si="55"/>
        <v>0</v>
      </c>
      <c r="J135" s="337">
        <f t="shared" si="55"/>
        <v>0</v>
      </c>
      <c r="K135" s="337">
        <f t="shared" si="55"/>
        <v>0</v>
      </c>
      <c r="L135" s="337">
        <f t="shared" si="55"/>
        <v>0</v>
      </c>
      <c r="M135" s="337">
        <f t="shared" si="55"/>
        <v>0</v>
      </c>
      <c r="N135" s="337">
        <f t="shared" si="55"/>
        <v>0</v>
      </c>
      <c r="O135" s="337">
        <f t="shared" si="55"/>
        <v>0</v>
      </c>
      <c r="P135" s="337">
        <f t="shared" si="55"/>
        <v>0</v>
      </c>
      <c r="Q135" s="1651">
        <f>SUM(E135:P135)</f>
        <v>1427500</v>
      </c>
      <c r="R135" s="1636">
        <f>+Q135-D135</f>
        <v>1427500</v>
      </c>
      <c r="S135" s="338" t="e">
        <f>+Q135/D135*100</f>
        <v>#DIV/0!</v>
      </c>
      <c r="T135" s="432"/>
      <c r="V135" s="434"/>
      <c r="W135" s="434"/>
      <c r="X135" s="434"/>
    </row>
    <row r="136" spans="1:24" s="189" customFormat="1" ht="14.1" customHeight="1">
      <c r="A136" s="1554"/>
      <c r="B136" s="1329" t="s">
        <v>83</v>
      </c>
      <c r="C136" s="1329"/>
      <c r="D136" s="1654">
        <f>D137</f>
        <v>0</v>
      </c>
      <c r="E136" s="1655">
        <f t="shared" ref="E136:P136" si="56">E137</f>
        <v>0</v>
      </c>
      <c r="F136" s="1655">
        <f t="shared" si="56"/>
        <v>0</v>
      </c>
      <c r="G136" s="1655">
        <f t="shared" si="56"/>
        <v>0</v>
      </c>
      <c r="H136" s="1655">
        <f t="shared" si="56"/>
        <v>0</v>
      </c>
      <c r="I136" s="1655">
        <f t="shared" si="56"/>
        <v>0</v>
      </c>
      <c r="J136" s="1655">
        <f t="shared" si="56"/>
        <v>0</v>
      </c>
      <c r="K136" s="1655">
        <f t="shared" si="56"/>
        <v>0</v>
      </c>
      <c r="L136" s="1655">
        <f t="shared" si="56"/>
        <v>0</v>
      </c>
      <c r="M136" s="1655">
        <f t="shared" si="56"/>
        <v>0</v>
      </c>
      <c r="N136" s="1655">
        <f t="shared" si="56"/>
        <v>0</v>
      </c>
      <c r="O136" s="1655">
        <f t="shared" si="56"/>
        <v>0</v>
      </c>
      <c r="P136" s="1655">
        <f t="shared" si="56"/>
        <v>0</v>
      </c>
      <c r="Q136" s="1627">
        <f t="shared" si="47"/>
        <v>0</v>
      </c>
      <c r="R136" s="1673">
        <f t="shared" ref="R136:R141" si="57">Q136-D136</f>
        <v>0</v>
      </c>
      <c r="S136" s="1337"/>
      <c r="T136" s="1674"/>
      <c r="V136" s="786"/>
      <c r="W136" s="786"/>
      <c r="X136" s="786"/>
    </row>
    <row r="137" spans="1:24" s="189" customFormat="1" ht="14.1" customHeight="1">
      <c r="A137" s="290"/>
      <c r="B137" s="2760" t="s">
        <v>50</v>
      </c>
      <c r="C137" s="253" t="s">
        <v>731</v>
      </c>
      <c r="D137" s="355">
        <f>'[4]TARGET MURNI DAN PERUBAHAN'!D106</f>
        <v>0</v>
      </c>
      <c r="E137" s="355">
        <f>[16]Januari!$D$35</f>
        <v>0</v>
      </c>
      <c r="F137" s="355">
        <f>[16]Februari!$D$35</f>
        <v>0</v>
      </c>
      <c r="G137" s="355">
        <f>[16]Maret!$D$35</f>
        <v>0</v>
      </c>
      <c r="H137" s="355">
        <f>[16]April!$D$35</f>
        <v>0</v>
      </c>
      <c r="I137" s="355">
        <f>[16]Mei!$D$35</f>
        <v>0</v>
      </c>
      <c r="J137" s="355">
        <f>[16]Juni!$D$35</f>
        <v>0</v>
      </c>
      <c r="K137" s="355">
        <f>[16]Juli!$D$35</f>
        <v>0</v>
      </c>
      <c r="L137" s="355">
        <f>[16]Agustus!$D$35</f>
        <v>0</v>
      </c>
      <c r="M137" s="355">
        <f>[16]September!$D$35</f>
        <v>0</v>
      </c>
      <c r="N137" s="355">
        <f>[16]Oktober!$D$35</f>
        <v>0</v>
      </c>
      <c r="O137" s="355">
        <f>[16]Nopember!$D$35</f>
        <v>0</v>
      </c>
      <c r="P137" s="355">
        <f>[16]Desember!$D$35</f>
        <v>0</v>
      </c>
      <c r="Q137" s="1629">
        <f t="shared" si="47"/>
        <v>0</v>
      </c>
      <c r="R137" s="1630">
        <f t="shared" si="57"/>
        <v>0</v>
      </c>
      <c r="S137" s="388"/>
      <c r="T137" s="441"/>
      <c r="V137" s="786"/>
      <c r="W137" s="786"/>
      <c r="X137" s="786"/>
    </row>
    <row r="138" spans="1:24" s="189" customFormat="1" ht="14.1" customHeight="1">
      <c r="A138" s="290"/>
      <c r="B138" s="253"/>
      <c r="C138" s="253"/>
      <c r="D138" s="355"/>
      <c r="E138" s="355"/>
      <c r="F138" s="355"/>
      <c r="G138" s="355"/>
      <c r="H138" s="355"/>
      <c r="I138" s="355"/>
      <c r="J138" s="355"/>
      <c r="K138" s="355"/>
      <c r="L138" s="355"/>
      <c r="M138" s="355"/>
      <c r="N138" s="355"/>
      <c r="O138" s="355"/>
      <c r="P138" s="355"/>
      <c r="Q138" s="1629">
        <f t="shared" si="47"/>
        <v>0</v>
      </c>
      <c r="R138" s="1630"/>
      <c r="S138" s="388"/>
      <c r="T138" s="441"/>
      <c r="V138" s="786"/>
      <c r="W138" s="786"/>
      <c r="X138" s="786"/>
    </row>
    <row r="139" spans="1:24" s="189" customFormat="1" ht="14.1" customHeight="1">
      <c r="A139" s="290"/>
      <c r="B139" s="291" t="s">
        <v>71</v>
      </c>
      <c r="C139" s="291"/>
      <c r="D139" s="371">
        <f t="shared" ref="D139:P139" si="58">SUM(D140:D144)</f>
        <v>0</v>
      </c>
      <c r="E139" s="371">
        <f t="shared" si="58"/>
        <v>200000</v>
      </c>
      <c r="F139" s="371">
        <f t="shared" si="58"/>
        <v>200000</v>
      </c>
      <c r="G139" s="371">
        <f t="shared" si="58"/>
        <v>0</v>
      </c>
      <c r="H139" s="371">
        <f t="shared" si="58"/>
        <v>1027500</v>
      </c>
      <c r="I139" s="371">
        <f t="shared" si="58"/>
        <v>0</v>
      </c>
      <c r="J139" s="371">
        <f t="shared" si="58"/>
        <v>0</v>
      </c>
      <c r="K139" s="371">
        <f t="shared" si="58"/>
        <v>0</v>
      </c>
      <c r="L139" s="371">
        <f t="shared" si="58"/>
        <v>0</v>
      </c>
      <c r="M139" s="371">
        <f t="shared" si="58"/>
        <v>0</v>
      </c>
      <c r="N139" s="371">
        <f t="shared" si="58"/>
        <v>0</v>
      </c>
      <c r="O139" s="371">
        <f t="shared" si="58"/>
        <v>0</v>
      </c>
      <c r="P139" s="371">
        <f t="shared" si="58"/>
        <v>0</v>
      </c>
      <c r="Q139" s="1629">
        <f t="shared" si="47"/>
        <v>1427500</v>
      </c>
      <c r="R139" s="1652">
        <f t="shared" si="57"/>
        <v>1427500</v>
      </c>
      <c r="S139" s="347" t="e">
        <f>Q139/D139*100</f>
        <v>#DIV/0!</v>
      </c>
      <c r="T139" s="651"/>
      <c r="V139" s="786"/>
      <c r="W139" s="786"/>
      <c r="X139" s="786"/>
    </row>
    <row r="140" spans="1:24" s="189" customFormat="1" ht="14.1" customHeight="1">
      <c r="A140" s="290"/>
      <c r="B140" s="2759" t="s">
        <v>50</v>
      </c>
      <c r="C140" s="859" t="s">
        <v>710</v>
      </c>
      <c r="D140" s="355">
        <f>D141</f>
        <v>0</v>
      </c>
      <c r="E140" s="355">
        <f>[16]Januari!$E$35</f>
        <v>0</v>
      </c>
      <c r="F140" s="355">
        <f>[16]Februari!$E$35</f>
        <v>0</v>
      </c>
      <c r="G140" s="355">
        <f>[16]Maret!$E$35</f>
        <v>0</v>
      </c>
      <c r="H140" s="355">
        <f>[16]April!$E$35</f>
        <v>0</v>
      </c>
      <c r="I140" s="355">
        <f>[16]Mei!$E$35</f>
        <v>0</v>
      </c>
      <c r="J140" s="355">
        <f>[16]Juni!$E$35</f>
        <v>0</v>
      </c>
      <c r="K140" s="355">
        <f>[16]Juli!$E$35</f>
        <v>0</v>
      </c>
      <c r="L140" s="355">
        <f>[16]Agustus!$E$35</f>
        <v>0</v>
      </c>
      <c r="M140" s="355">
        <f>[16]September!$E$35</f>
        <v>0</v>
      </c>
      <c r="N140" s="355">
        <f>[16]Oktober!$E$35</f>
        <v>0</v>
      </c>
      <c r="O140" s="355">
        <f>[16]Nopember!$E$35</f>
        <v>0</v>
      </c>
      <c r="P140" s="355">
        <f>[16]Desember!$E$35</f>
        <v>0</v>
      </c>
      <c r="Q140" s="1629">
        <f t="shared" si="47"/>
        <v>0</v>
      </c>
      <c r="R140" s="1672">
        <f t="shared" si="57"/>
        <v>0</v>
      </c>
      <c r="S140" s="347"/>
      <c r="T140" s="441"/>
      <c r="V140" s="786"/>
      <c r="W140" s="786"/>
      <c r="X140" s="786"/>
    </row>
    <row r="141" spans="1:24" s="189" customFormat="1" ht="14.1" customHeight="1">
      <c r="A141" s="290"/>
      <c r="B141" s="2759" t="s">
        <v>50</v>
      </c>
      <c r="C141" s="859" t="s">
        <v>711</v>
      </c>
      <c r="D141" s="355">
        <v>0</v>
      </c>
      <c r="E141" s="355">
        <f>[16]Januari!$F$35</f>
        <v>0</v>
      </c>
      <c r="F141" s="355">
        <f>[16]Februari!$F$35</f>
        <v>0</v>
      </c>
      <c r="G141" s="355">
        <f>[16]Maret!$F$35</f>
        <v>0</v>
      </c>
      <c r="H141" s="355">
        <f>[16]April!$F$35</f>
        <v>0</v>
      </c>
      <c r="I141" s="355">
        <f>[16]Mei!$F$35</f>
        <v>0</v>
      </c>
      <c r="J141" s="355">
        <f>[16]Juni!$F$35</f>
        <v>0</v>
      </c>
      <c r="K141" s="355">
        <f>[16]Juli!$F$35</f>
        <v>0</v>
      </c>
      <c r="L141" s="355">
        <f>[16]Agustus!$F$35</f>
        <v>0</v>
      </c>
      <c r="M141" s="355">
        <f>[16]September!$F$35</f>
        <v>0</v>
      </c>
      <c r="N141" s="355">
        <f>[16]Oktober!$F$35</f>
        <v>0</v>
      </c>
      <c r="O141" s="355">
        <f>[16]Nopember!$F$35</f>
        <v>0</v>
      </c>
      <c r="P141" s="355">
        <f>[16]Desember!$F$35</f>
        <v>0</v>
      </c>
      <c r="Q141" s="1629">
        <f t="shared" si="47"/>
        <v>0</v>
      </c>
      <c r="R141" s="1630">
        <f t="shared" si="57"/>
        <v>0</v>
      </c>
      <c r="S141" s="388"/>
      <c r="T141" s="441"/>
      <c r="V141" s="786"/>
      <c r="W141" s="786"/>
      <c r="X141" s="786"/>
    </row>
    <row r="142" spans="1:24" s="189" customFormat="1" ht="14.1" customHeight="1">
      <c r="A142" s="290"/>
      <c r="B142" s="2759" t="s">
        <v>50</v>
      </c>
      <c r="C142" s="859" t="s">
        <v>712</v>
      </c>
      <c r="D142" s="355"/>
      <c r="E142" s="355">
        <f>[16]Januari!$G$35</f>
        <v>0</v>
      </c>
      <c r="F142" s="355">
        <f>[16]Februari!$G$35</f>
        <v>0</v>
      </c>
      <c r="G142" s="355">
        <f>[16]Maret!$G$35</f>
        <v>0</v>
      </c>
      <c r="H142" s="355">
        <f>[16]April!$G$35</f>
        <v>0</v>
      </c>
      <c r="I142" s="355">
        <f>[16]Mei!$G$35</f>
        <v>0</v>
      </c>
      <c r="J142" s="355">
        <f>[16]Juni!$G$35</f>
        <v>0</v>
      </c>
      <c r="K142" s="355">
        <f>[16]Juli!$G$35</f>
        <v>0</v>
      </c>
      <c r="L142" s="355">
        <f>[16]Agustus!$G$35</f>
        <v>0</v>
      </c>
      <c r="M142" s="355">
        <f>[16]September!$G$35</f>
        <v>0</v>
      </c>
      <c r="N142" s="355">
        <f>[16]Oktober!$G$35</f>
        <v>0</v>
      </c>
      <c r="O142" s="355">
        <f>[16]Nopember!$G$35</f>
        <v>0</v>
      </c>
      <c r="P142" s="355">
        <f>[16]Desember!$G$35</f>
        <v>0</v>
      </c>
      <c r="Q142" s="1629"/>
      <c r="R142" s="1630"/>
      <c r="S142" s="388"/>
      <c r="T142" s="441"/>
      <c r="V142" s="786"/>
      <c r="W142" s="786"/>
      <c r="X142" s="786"/>
    </row>
    <row r="143" spans="1:24" s="189" customFormat="1" ht="14.1" customHeight="1">
      <c r="A143" s="290"/>
      <c r="B143" s="2759" t="s">
        <v>50</v>
      </c>
      <c r="C143" s="859" t="s">
        <v>713</v>
      </c>
      <c r="D143" s="355"/>
      <c r="E143" s="355">
        <f>[16]Januari!$H$35</f>
        <v>200000</v>
      </c>
      <c r="F143" s="355">
        <f>[16]Februari!$H$35</f>
        <v>200000</v>
      </c>
      <c r="G143" s="355">
        <f>[16]Maret!$H$35</f>
        <v>0</v>
      </c>
      <c r="H143" s="355">
        <f>[16]April!$H$35</f>
        <v>1027500</v>
      </c>
      <c r="I143" s="355">
        <f>[16]Mei!$H$35</f>
        <v>0</v>
      </c>
      <c r="J143" s="355">
        <f>[16]Juni!$H$35</f>
        <v>0</v>
      </c>
      <c r="K143" s="355">
        <f>[16]Juli!$H$35</f>
        <v>0</v>
      </c>
      <c r="L143" s="355">
        <f>[16]Agustus!$H$35</f>
        <v>0</v>
      </c>
      <c r="M143" s="355">
        <f>[16]September!$H$35</f>
        <v>0</v>
      </c>
      <c r="N143" s="355">
        <f>[16]Oktober!$H$35</f>
        <v>0</v>
      </c>
      <c r="O143" s="355">
        <f>[16]Nopember!$H$35</f>
        <v>0</v>
      </c>
      <c r="P143" s="355">
        <f>[16]Desember!$H$35</f>
        <v>0</v>
      </c>
      <c r="Q143" s="1629"/>
      <c r="R143" s="1630"/>
      <c r="S143" s="388"/>
      <c r="T143" s="441"/>
      <c r="V143" s="786"/>
      <c r="W143" s="786"/>
      <c r="X143" s="786"/>
    </row>
    <row r="144" spans="1:24" s="189" customFormat="1" ht="14.1" customHeight="1">
      <c r="A144" s="292"/>
      <c r="B144" s="2759" t="s">
        <v>50</v>
      </c>
      <c r="C144" s="859" t="s">
        <v>714</v>
      </c>
      <c r="D144" s="1556">
        <f>'[4]TARGET MURNI DAN PERUBAHAN'!D111</f>
        <v>0</v>
      </c>
      <c r="E144" s="355">
        <v>0</v>
      </c>
      <c r="F144" s="355">
        <v>0</v>
      </c>
      <c r="G144" s="355">
        <v>0</v>
      </c>
      <c r="H144" s="355">
        <v>0</v>
      </c>
      <c r="I144" s="355">
        <v>0</v>
      </c>
      <c r="J144" s="355">
        <v>0</v>
      </c>
      <c r="K144" s="355">
        <v>0</v>
      </c>
      <c r="L144" s="355">
        <v>0</v>
      </c>
      <c r="M144" s="355">
        <v>0</v>
      </c>
      <c r="N144" s="355">
        <v>0</v>
      </c>
      <c r="O144" s="355">
        <v>0</v>
      </c>
      <c r="P144" s="355">
        <v>0</v>
      </c>
      <c r="Q144" s="1653">
        <f t="shared" si="47"/>
        <v>0</v>
      </c>
      <c r="R144" s="1672">
        <f t="shared" ref="R144:R150" si="59">Q144-D144</f>
        <v>0</v>
      </c>
      <c r="S144" s="347" t="e">
        <f t="shared" ref="S144:S150" si="60">Q144/D144*100</f>
        <v>#DIV/0!</v>
      </c>
      <c r="T144" s="441"/>
      <c r="V144" s="786"/>
      <c r="W144" s="786"/>
      <c r="X144" s="786"/>
    </row>
    <row r="145" spans="1:24" s="245" customFormat="1" ht="14.1" customHeight="1">
      <c r="A145" s="575"/>
      <c r="B145" s="306"/>
      <c r="C145" s="306"/>
      <c r="D145" s="380"/>
      <c r="E145" s="380"/>
      <c r="F145" s="380"/>
      <c r="G145" s="380"/>
      <c r="H145" s="380"/>
      <c r="I145" s="380"/>
      <c r="J145" s="380"/>
      <c r="K145" s="380"/>
      <c r="L145" s="380"/>
      <c r="M145" s="380"/>
      <c r="N145" s="380"/>
      <c r="O145" s="380"/>
      <c r="P145" s="380"/>
      <c r="Q145" s="1631">
        <f t="shared" si="47"/>
        <v>0</v>
      </c>
      <c r="R145" s="1625"/>
      <c r="S145" s="501"/>
      <c r="T145" s="560"/>
      <c r="V145" s="1593"/>
      <c r="W145" s="1593"/>
      <c r="X145" s="1593"/>
    </row>
    <row r="146" spans="1:24" s="244" customFormat="1" ht="14.1" customHeight="1">
      <c r="A146" s="1552" t="s">
        <v>121</v>
      </c>
      <c r="B146" s="1553" t="s">
        <v>732</v>
      </c>
      <c r="C146" s="285"/>
      <c r="D146" s="835">
        <f t="shared" ref="D146:P146" si="61">D147+D152</f>
        <v>211889500</v>
      </c>
      <c r="E146" s="337">
        <f t="shared" si="61"/>
        <v>3455000</v>
      </c>
      <c r="F146" s="337">
        <f t="shared" si="61"/>
        <v>7490000</v>
      </c>
      <c r="G146" s="337">
        <f t="shared" si="61"/>
        <v>8225000</v>
      </c>
      <c r="H146" s="337">
        <f t="shared" si="61"/>
        <v>7020000</v>
      </c>
      <c r="I146" s="337">
        <f t="shared" si="61"/>
        <v>11560000</v>
      </c>
      <c r="J146" s="337">
        <f t="shared" si="61"/>
        <v>4000000</v>
      </c>
      <c r="K146" s="337">
        <f t="shared" si="61"/>
        <v>10120000</v>
      </c>
      <c r="L146" s="337">
        <f t="shared" si="61"/>
        <v>3290000</v>
      </c>
      <c r="M146" s="337">
        <f t="shared" si="61"/>
        <v>10550000</v>
      </c>
      <c r="N146" s="337">
        <f t="shared" si="61"/>
        <v>8495000</v>
      </c>
      <c r="O146" s="337">
        <f t="shared" si="61"/>
        <v>6520000</v>
      </c>
      <c r="P146" s="337">
        <f t="shared" si="61"/>
        <v>28201388</v>
      </c>
      <c r="Q146" s="1651">
        <f t="shared" ref="Q146:Q162" si="62">SUM(E146:P146)</f>
        <v>108926388</v>
      </c>
      <c r="R146" s="1636">
        <f>+Q146-D146</f>
        <v>-102963112</v>
      </c>
      <c r="S146" s="338">
        <f>+Q146/D146*100</f>
        <v>51.407166471203148</v>
      </c>
      <c r="T146" s="432"/>
      <c r="V146" s="434"/>
      <c r="W146" s="434"/>
      <c r="X146" s="434"/>
    </row>
    <row r="147" spans="1:24" s="190" customFormat="1" ht="14.1" customHeight="1">
      <c r="A147" s="1554"/>
      <c r="B147" s="1329" t="s">
        <v>733</v>
      </c>
      <c r="C147" s="1329"/>
      <c r="D147" s="1555">
        <f>+D148</f>
        <v>193889500</v>
      </c>
      <c r="E147" s="1656">
        <f t="shared" ref="E147:P147" si="63">+E148</f>
        <v>3455000</v>
      </c>
      <c r="F147" s="1656">
        <f t="shared" si="63"/>
        <v>5490000</v>
      </c>
      <c r="G147" s="1656">
        <f t="shared" si="63"/>
        <v>8225000</v>
      </c>
      <c r="H147" s="1656">
        <f t="shared" si="63"/>
        <v>5930000</v>
      </c>
      <c r="I147" s="1656">
        <f t="shared" si="63"/>
        <v>11000000</v>
      </c>
      <c r="J147" s="1656">
        <f t="shared" si="63"/>
        <v>4000000</v>
      </c>
      <c r="K147" s="1656">
        <f t="shared" si="63"/>
        <v>10120000</v>
      </c>
      <c r="L147" s="1656">
        <f t="shared" si="63"/>
        <v>3290000</v>
      </c>
      <c r="M147" s="1656">
        <f t="shared" si="63"/>
        <v>9850000</v>
      </c>
      <c r="N147" s="1656">
        <f t="shared" si="63"/>
        <v>8195000</v>
      </c>
      <c r="O147" s="1656">
        <f t="shared" si="63"/>
        <v>4370000</v>
      </c>
      <c r="P147" s="1656">
        <f t="shared" si="63"/>
        <v>1325000</v>
      </c>
      <c r="Q147" s="1627">
        <f t="shared" si="62"/>
        <v>75250000</v>
      </c>
      <c r="R147" s="1628">
        <f t="shared" si="59"/>
        <v>-118639500</v>
      </c>
      <c r="S147" s="1591">
        <f t="shared" si="60"/>
        <v>38.810765925952666</v>
      </c>
      <c r="T147" s="1675"/>
      <c r="V147" s="786"/>
      <c r="W147" s="786"/>
      <c r="X147" s="786"/>
    </row>
    <row r="148" spans="1:24" s="189" customFormat="1" ht="14.1" customHeight="1">
      <c r="A148" s="290"/>
      <c r="B148" s="253" t="s">
        <v>117</v>
      </c>
      <c r="C148" s="253"/>
      <c r="D148" s="355">
        <f t="shared" ref="D148:P148" si="64">+D149+D150</f>
        <v>193889500</v>
      </c>
      <c r="E148" s="375">
        <f t="shared" si="64"/>
        <v>3455000</v>
      </c>
      <c r="F148" s="375">
        <f t="shared" si="64"/>
        <v>5490000</v>
      </c>
      <c r="G148" s="375">
        <f t="shared" si="64"/>
        <v>8225000</v>
      </c>
      <c r="H148" s="375">
        <f t="shared" si="64"/>
        <v>5930000</v>
      </c>
      <c r="I148" s="375">
        <f t="shared" si="64"/>
        <v>11000000</v>
      </c>
      <c r="J148" s="375">
        <f t="shared" si="64"/>
        <v>4000000</v>
      </c>
      <c r="K148" s="375">
        <f t="shared" si="64"/>
        <v>10120000</v>
      </c>
      <c r="L148" s="375">
        <f t="shared" si="64"/>
        <v>3290000</v>
      </c>
      <c r="M148" s="375">
        <f t="shared" si="64"/>
        <v>9850000</v>
      </c>
      <c r="N148" s="375">
        <f t="shared" si="64"/>
        <v>8195000</v>
      </c>
      <c r="O148" s="375">
        <f t="shared" si="64"/>
        <v>4370000</v>
      </c>
      <c r="P148" s="375">
        <f t="shared" si="64"/>
        <v>1325000</v>
      </c>
      <c r="Q148" s="1653">
        <f t="shared" si="62"/>
        <v>75250000</v>
      </c>
      <c r="R148" s="1630">
        <f t="shared" si="59"/>
        <v>-118639500</v>
      </c>
      <c r="S148" s="388">
        <f t="shared" si="60"/>
        <v>38.810765925952666</v>
      </c>
      <c r="T148" s="448"/>
      <c r="V148" s="786"/>
      <c r="W148" s="786"/>
      <c r="X148" s="786"/>
    </row>
    <row r="149" spans="1:24" s="189" customFormat="1" ht="14.1" customHeight="1">
      <c r="A149" s="290"/>
      <c r="B149" s="253" t="s">
        <v>50</v>
      </c>
      <c r="C149" s="253" t="s">
        <v>734</v>
      </c>
      <c r="D149" s="1556">
        <f>'[4]TARGET MURNI DAN PERUBAHAN'!D116</f>
        <v>103889500</v>
      </c>
      <c r="E149" s="375">
        <f>[17]Januari!$D$35</f>
        <v>3455000</v>
      </c>
      <c r="F149" s="375">
        <f>[17]Februari!$D$35</f>
        <v>5490000</v>
      </c>
      <c r="G149" s="375">
        <f>[17]Maret!$D$35</f>
        <v>8225000</v>
      </c>
      <c r="H149" s="375">
        <f>[17]April!$D$35</f>
        <v>5930000</v>
      </c>
      <c r="I149" s="375">
        <f>[17]Mei!$D$35</f>
        <v>11000000</v>
      </c>
      <c r="J149" s="375">
        <f>[17]Juni!$D$35</f>
        <v>4000000</v>
      </c>
      <c r="K149" s="375">
        <f>[17]Juli!$D$35</f>
        <v>10120000</v>
      </c>
      <c r="L149" s="375">
        <f>[17]Agustus!$D$35</f>
        <v>3290000</v>
      </c>
      <c r="M149" s="375">
        <f>[17]September!$D$35</f>
        <v>9850000</v>
      </c>
      <c r="N149" s="375">
        <f>[17]Oktober!$D$35</f>
        <v>8195000</v>
      </c>
      <c r="O149" s="375">
        <f>[17]Nopember!$D$35</f>
        <v>4370000</v>
      </c>
      <c r="P149" s="375">
        <f>[17]Desember!$D$35</f>
        <v>1325000</v>
      </c>
      <c r="Q149" s="1653">
        <f t="shared" si="62"/>
        <v>75250000</v>
      </c>
      <c r="R149" s="1630">
        <f t="shared" si="59"/>
        <v>-28639500</v>
      </c>
      <c r="S149" s="388">
        <f t="shared" si="60"/>
        <v>72.432729005337407</v>
      </c>
      <c r="T149" s="448"/>
      <c r="V149" s="434">
        <f>Q149/10</f>
        <v>7525000</v>
      </c>
      <c r="W149" s="786"/>
      <c r="X149" s="786"/>
    </row>
    <row r="150" spans="1:24" s="189" customFormat="1" ht="14.1" customHeight="1">
      <c r="A150" s="290"/>
      <c r="B150" s="253" t="s">
        <v>50</v>
      </c>
      <c r="C150" s="253" t="s">
        <v>735</v>
      </c>
      <c r="D150" s="1556">
        <f>'[4]TARGET MURNI DAN PERUBAHAN'!D117</f>
        <v>90000000</v>
      </c>
      <c r="E150" s="375">
        <f>[17]Januari!$E$35</f>
        <v>0</v>
      </c>
      <c r="F150" s="375">
        <f>[17]Februari!$E$35</f>
        <v>0</v>
      </c>
      <c r="G150" s="375">
        <f>[17]Maret!$E$35</f>
        <v>0</v>
      </c>
      <c r="H150" s="375">
        <f>[17]April!$E$35</f>
        <v>0</v>
      </c>
      <c r="I150" s="375">
        <f>[17]Mei!$E$35</f>
        <v>0</v>
      </c>
      <c r="J150" s="375">
        <f>[17]Juni!$E$35</f>
        <v>0</v>
      </c>
      <c r="K150" s="375">
        <f>[17]Juli!$E$35</f>
        <v>0</v>
      </c>
      <c r="L150" s="375">
        <f>[17]Agustus!$E$35</f>
        <v>0</v>
      </c>
      <c r="M150" s="375">
        <f>[17]September!$E$35</f>
        <v>0</v>
      </c>
      <c r="N150" s="375">
        <f>[17]Oktober!$E$35</f>
        <v>0</v>
      </c>
      <c r="O150" s="375">
        <f>[17]Nopember!$E$35</f>
        <v>0</v>
      </c>
      <c r="P150" s="375">
        <f>[17]Desember!$E$35</f>
        <v>0</v>
      </c>
      <c r="Q150" s="1653">
        <f t="shared" si="62"/>
        <v>0</v>
      </c>
      <c r="R150" s="1630">
        <f t="shared" si="59"/>
        <v>-90000000</v>
      </c>
      <c r="S150" s="388">
        <f t="shared" si="60"/>
        <v>0</v>
      </c>
      <c r="T150" s="448"/>
      <c r="V150" s="434">
        <f>Q150/10</f>
        <v>0</v>
      </c>
      <c r="W150" s="786"/>
      <c r="X150" s="786"/>
    </row>
    <row r="151" spans="1:24" s="189" customFormat="1" ht="14.1" customHeight="1">
      <c r="A151" s="290"/>
      <c r="B151" s="253"/>
      <c r="C151" s="253"/>
      <c r="D151" s="355"/>
      <c r="E151" s="375"/>
      <c r="F151" s="375"/>
      <c r="G151" s="375"/>
      <c r="H151" s="375"/>
      <c r="I151" s="375"/>
      <c r="J151" s="375"/>
      <c r="K151" s="375"/>
      <c r="L151" s="375"/>
      <c r="M151" s="375"/>
      <c r="N151" s="375"/>
      <c r="O151" s="375"/>
      <c r="P151" s="375"/>
      <c r="Q151" s="1629">
        <f t="shared" si="62"/>
        <v>0</v>
      </c>
      <c r="R151" s="1676"/>
      <c r="S151" s="600"/>
      <c r="T151" s="448"/>
      <c r="V151" s="786"/>
      <c r="W151" s="786"/>
      <c r="X151" s="786"/>
    </row>
    <row r="152" spans="1:24" s="190" customFormat="1" ht="14.1" customHeight="1">
      <c r="A152" s="290"/>
      <c r="B152" s="291" t="s">
        <v>71</v>
      </c>
      <c r="C152" s="291"/>
      <c r="D152" s="371">
        <f t="shared" ref="D152:P152" si="65">SUM(D153:D159)</f>
        <v>18000000</v>
      </c>
      <c r="E152" s="398">
        <f t="shared" si="65"/>
        <v>0</v>
      </c>
      <c r="F152" s="398">
        <f t="shared" si="65"/>
        <v>2000000</v>
      </c>
      <c r="G152" s="398">
        <f t="shared" si="65"/>
        <v>0</v>
      </c>
      <c r="H152" s="398">
        <f t="shared" si="65"/>
        <v>1090000</v>
      </c>
      <c r="I152" s="398">
        <f t="shared" si="65"/>
        <v>560000</v>
      </c>
      <c r="J152" s="398">
        <f t="shared" si="65"/>
        <v>0</v>
      </c>
      <c r="K152" s="398">
        <f t="shared" si="65"/>
        <v>0</v>
      </c>
      <c r="L152" s="398">
        <f t="shared" si="65"/>
        <v>0</v>
      </c>
      <c r="M152" s="398">
        <f t="shared" si="65"/>
        <v>700000</v>
      </c>
      <c r="N152" s="398">
        <f t="shared" si="65"/>
        <v>300000</v>
      </c>
      <c r="O152" s="398">
        <f t="shared" si="65"/>
        <v>2150000</v>
      </c>
      <c r="P152" s="398">
        <f t="shared" si="65"/>
        <v>26876388</v>
      </c>
      <c r="Q152" s="1629">
        <f t="shared" si="62"/>
        <v>33676388</v>
      </c>
      <c r="R152" s="1652">
        <f t="shared" ref="R152:R158" si="66">Q152-D152</f>
        <v>15676388</v>
      </c>
      <c r="S152" s="399">
        <f>Q152/D152*100</f>
        <v>187.09104444444444</v>
      </c>
      <c r="T152" s="699"/>
      <c r="V152" s="786"/>
      <c r="W152" s="786"/>
      <c r="X152" s="786"/>
    </row>
    <row r="153" spans="1:24" s="189" customFormat="1" ht="14.1" customHeight="1">
      <c r="A153" s="290"/>
      <c r="B153" s="2760" t="s">
        <v>50</v>
      </c>
      <c r="C153" s="253" t="s">
        <v>736</v>
      </c>
      <c r="D153" s="1556">
        <f>'[4]TARGET MURNI DAN PERUBAHAN'!D120</f>
        <v>18000000</v>
      </c>
      <c r="E153" s="375">
        <f>[17]Januari!$F$35</f>
        <v>0</v>
      </c>
      <c r="F153" s="375">
        <f>[17]Februari!$F$35</f>
        <v>0</v>
      </c>
      <c r="G153" s="375">
        <f>[17]Maret!$F$35</f>
        <v>0</v>
      </c>
      <c r="H153" s="375">
        <f>[17]April!$F$35</f>
        <v>0</v>
      </c>
      <c r="I153" s="375">
        <f>[17]Mei!$F$35</f>
        <v>0</v>
      </c>
      <c r="J153" s="375">
        <f>[17]Juni!$F$35</f>
        <v>0</v>
      </c>
      <c r="K153" s="375">
        <f>[17]Juli!$F$35</f>
        <v>0</v>
      </c>
      <c r="L153" s="375">
        <f>[17]Agustus!$F$35</f>
        <v>0</v>
      </c>
      <c r="M153" s="375">
        <f>[17]September!$F$35</f>
        <v>0</v>
      </c>
      <c r="N153" s="375">
        <f>[17]Oktober!$F$35</f>
        <v>0</v>
      </c>
      <c r="O153" s="375">
        <f>[17]Nopember!$F$35</f>
        <v>0</v>
      </c>
      <c r="P153" s="375">
        <f>[17]Desember!$F$35</f>
        <v>0</v>
      </c>
      <c r="Q153" s="1653">
        <f t="shared" si="62"/>
        <v>0</v>
      </c>
      <c r="R153" s="1672">
        <f t="shared" si="66"/>
        <v>-18000000</v>
      </c>
      <c r="S153" s="347">
        <f>Q153/D153*100</f>
        <v>0</v>
      </c>
      <c r="T153" s="448"/>
      <c r="V153" s="786"/>
      <c r="W153" s="786"/>
      <c r="X153" s="786"/>
    </row>
    <row r="154" spans="1:24" s="189" customFormat="1" ht="14.1" customHeight="1">
      <c r="A154" s="290"/>
      <c r="B154" s="2760" t="s">
        <v>50</v>
      </c>
      <c r="C154" s="859" t="s">
        <v>710</v>
      </c>
      <c r="D154" s="355"/>
      <c r="E154" s="375">
        <f>[17]Januari!$G$35</f>
        <v>0</v>
      </c>
      <c r="F154" s="375">
        <f>[17]Februari!$G$35</f>
        <v>0</v>
      </c>
      <c r="G154" s="375">
        <f>[17]Maret!$G$35</f>
        <v>0</v>
      </c>
      <c r="H154" s="375">
        <f>[17]April!$G$35</f>
        <v>0</v>
      </c>
      <c r="I154" s="375">
        <f>[17]Mei!$G$35</f>
        <v>0</v>
      </c>
      <c r="J154" s="375">
        <f>[17]Juni!$G$35</f>
        <v>0</v>
      </c>
      <c r="K154" s="375">
        <f>[17]Juli!$G$35</f>
        <v>0</v>
      </c>
      <c r="L154" s="375">
        <f>[17]Agustus!$G$35</f>
        <v>0</v>
      </c>
      <c r="M154" s="375">
        <f>[17]September!$G$35</f>
        <v>0</v>
      </c>
      <c r="N154" s="375">
        <f>[17]Oktober!$G$35</f>
        <v>0</v>
      </c>
      <c r="O154" s="375">
        <f>[17]Nopember!$G$35</f>
        <v>0</v>
      </c>
      <c r="P154" s="375">
        <f>[17]Desember!$G$35</f>
        <v>7295582</v>
      </c>
      <c r="Q154" s="1653">
        <f t="shared" si="62"/>
        <v>7295582</v>
      </c>
      <c r="R154" s="1672">
        <f t="shared" si="66"/>
        <v>7295582</v>
      </c>
      <c r="S154" s="347"/>
      <c r="T154" s="448"/>
      <c r="V154" s="786"/>
      <c r="W154" s="786"/>
      <c r="X154" s="786"/>
    </row>
    <row r="155" spans="1:24" s="189" customFormat="1" ht="14.1" customHeight="1">
      <c r="A155" s="290"/>
      <c r="B155" s="2760" t="s">
        <v>50</v>
      </c>
      <c r="C155" s="859" t="s">
        <v>711</v>
      </c>
      <c r="D155" s="355"/>
      <c r="E155" s="355">
        <f>[17]Januari!$H$35</f>
        <v>0</v>
      </c>
      <c r="F155" s="355">
        <f>[17]Februari!$H$35</f>
        <v>0</v>
      </c>
      <c r="G155" s="355">
        <f>[17]Maret!$H$35</f>
        <v>0</v>
      </c>
      <c r="H155" s="355">
        <f>[17]April!$H$35</f>
        <v>0</v>
      </c>
      <c r="I155" s="355">
        <f>[17]Mei!$H$35</f>
        <v>0</v>
      </c>
      <c r="J155" s="355">
        <f>[17]Juni!$H$35</f>
        <v>0</v>
      </c>
      <c r="K155" s="355">
        <f>[17]Juli!$H$35</f>
        <v>0</v>
      </c>
      <c r="L155" s="355">
        <f>[17]Agustus!$H$35</f>
        <v>0</v>
      </c>
      <c r="M155" s="355">
        <f>[17]September!$H$35</f>
        <v>0</v>
      </c>
      <c r="N155" s="355">
        <f>[17]Oktober!$H$35</f>
        <v>0</v>
      </c>
      <c r="O155" s="355">
        <f>[17]Nopember!$H$35</f>
        <v>0</v>
      </c>
      <c r="P155" s="355">
        <f>[17]Desember!$H$35</f>
        <v>0</v>
      </c>
      <c r="Q155" s="1653">
        <f t="shared" si="62"/>
        <v>0</v>
      </c>
      <c r="R155" s="1630">
        <f t="shared" si="66"/>
        <v>0</v>
      </c>
      <c r="S155" s="347" t="e">
        <f>Q155/D155*100</f>
        <v>#DIV/0!</v>
      </c>
      <c r="T155" s="441"/>
      <c r="V155" s="786"/>
      <c r="W155" s="786"/>
      <c r="X155" s="786"/>
    </row>
    <row r="156" spans="1:24" s="189" customFormat="1" ht="14.1" customHeight="1">
      <c r="A156" s="290"/>
      <c r="B156" s="2760" t="s">
        <v>50</v>
      </c>
      <c r="C156" s="859" t="s">
        <v>712</v>
      </c>
      <c r="D156" s="1556"/>
      <c r="E156" s="375">
        <f>[17]Januari!$I$35</f>
        <v>0</v>
      </c>
      <c r="F156" s="375">
        <f>[17]Februari!$I$35</f>
        <v>0</v>
      </c>
      <c r="G156" s="375">
        <f>[17]Maret!$I$35</f>
        <v>0</v>
      </c>
      <c r="H156" s="375">
        <f>[17]April!$I$35</f>
        <v>0</v>
      </c>
      <c r="I156" s="375">
        <f>[17]Mei!$I$35</f>
        <v>0</v>
      </c>
      <c r="J156" s="375">
        <f>[17]Juni!$I$35</f>
        <v>0</v>
      </c>
      <c r="K156" s="375">
        <f>[17]Juli!$I$35</f>
        <v>0</v>
      </c>
      <c r="L156" s="375">
        <f>[17]Agustus!$I$35</f>
        <v>0</v>
      </c>
      <c r="M156" s="375">
        <f>[17]September!$I$35</f>
        <v>0</v>
      </c>
      <c r="N156" s="375">
        <f>[17]Oktober!$I$35</f>
        <v>0</v>
      </c>
      <c r="O156" s="375">
        <f>[17]Nopember!$I$35</f>
        <v>0</v>
      </c>
      <c r="P156" s="375">
        <f>[17]Desember!$I$35</f>
        <v>0</v>
      </c>
      <c r="Q156" s="1653">
        <f t="shared" si="62"/>
        <v>0</v>
      </c>
      <c r="R156" s="1630">
        <f t="shared" si="66"/>
        <v>0</v>
      </c>
      <c r="S156" s="347"/>
      <c r="T156" s="448"/>
      <c r="V156" s="786"/>
      <c r="W156" s="786"/>
      <c r="X156" s="786"/>
    </row>
    <row r="157" spans="1:24" s="189" customFormat="1" ht="14.1" customHeight="1">
      <c r="A157" s="290"/>
      <c r="B157" s="2760" t="s">
        <v>50</v>
      </c>
      <c r="C157" s="859" t="s">
        <v>713</v>
      </c>
      <c r="D157" s="1556"/>
      <c r="E157" s="375">
        <f>[17]Januari!$J$35</f>
        <v>0</v>
      </c>
      <c r="F157" s="375">
        <f>[17]Februari!$J$35</f>
        <v>2000000</v>
      </c>
      <c r="G157" s="375">
        <f>[17]Maret!$J$35</f>
        <v>0</v>
      </c>
      <c r="H157" s="375">
        <f>[17]April!$J$35</f>
        <v>1090000</v>
      </c>
      <c r="I157" s="375">
        <f>[17]Mei!$J$35</f>
        <v>560000</v>
      </c>
      <c r="J157" s="375">
        <f>[17]Juni!$J$35</f>
        <v>0</v>
      </c>
      <c r="K157" s="375">
        <f>[17]Juli!$J$35</f>
        <v>0</v>
      </c>
      <c r="L157" s="375">
        <f>[17]Agustus!$J$35</f>
        <v>0</v>
      </c>
      <c r="M157" s="375">
        <f>[17]September!$J$35</f>
        <v>700000</v>
      </c>
      <c r="N157" s="375">
        <f>[17]Oktober!$J$35</f>
        <v>300000</v>
      </c>
      <c r="O157" s="375">
        <f>[17]Nopember!$J$35</f>
        <v>2150000</v>
      </c>
      <c r="P157" s="375">
        <f>[17]Desember!$J$35</f>
        <v>19580806</v>
      </c>
      <c r="Q157" s="1653">
        <f t="shared" si="62"/>
        <v>26380806</v>
      </c>
      <c r="R157" s="1630">
        <f t="shared" si="66"/>
        <v>26380806</v>
      </c>
      <c r="S157" s="347"/>
      <c r="T157" s="448"/>
      <c r="V157" s="786"/>
      <c r="W157" s="786"/>
      <c r="X157" s="786"/>
    </row>
    <row r="158" spans="1:24" s="189" customFormat="1" ht="14.1" customHeight="1">
      <c r="A158" s="290"/>
      <c r="B158" s="2760" t="s">
        <v>50</v>
      </c>
      <c r="C158" s="253" t="s">
        <v>714</v>
      </c>
      <c r="D158" s="1556">
        <f>'[4]TARGET MURNI DAN PERUBAHAN'!D123</f>
        <v>0</v>
      </c>
      <c r="E158" s="375">
        <v>0</v>
      </c>
      <c r="F158" s="375">
        <v>0</v>
      </c>
      <c r="G158" s="375">
        <v>0</v>
      </c>
      <c r="H158" s="375">
        <v>0</v>
      </c>
      <c r="I158" s="375">
        <v>0</v>
      </c>
      <c r="J158" s="375">
        <v>0</v>
      </c>
      <c r="K158" s="375">
        <v>0</v>
      </c>
      <c r="L158" s="375">
        <v>0</v>
      </c>
      <c r="M158" s="375">
        <v>0</v>
      </c>
      <c r="N158" s="375">
        <v>0</v>
      </c>
      <c r="O158" s="375">
        <v>0</v>
      </c>
      <c r="P158" s="375">
        <v>0</v>
      </c>
      <c r="Q158" s="1653">
        <f t="shared" si="62"/>
        <v>0</v>
      </c>
      <c r="R158" s="1630">
        <f t="shared" si="66"/>
        <v>0</v>
      </c>
      <c r="S158" s="347"/>
      <c r="T158" s="448"/>
      <c r="V158" s="786"/>
      <c r="W158" s="786"/>
      <c r="X158" s="786"/>
    </row>
    <row r="159" spans="1:24" s="189" customFormat="1" ht="14.1" customHeight="1">
      <c r="A159" s="290"/>
      <c r="B159" s="253"/>
      <c r="C159" s="253"/>
      <c r="D159" s="355"/>
      <c r="E159" s="375"/>
      <c r="F159" s="375"/>
      <c r="G159" s="375"/>
      <c r="H159" s="375"/>
      <c r="I159" s="375"/>
      <c r="J159" s="375"/>
      <c r="K159" s="375"/>
      <c r="L159" s="375"/>
      <c r="M159" s="375"/>
      <c r="N159" s="375"/>
      <c r="O159" s="375"/>
      <c r="P159" s="375"/>
      <c r="Q159" s="1653"/>
      <c r="R159" s="1652"/>
      <c r="S159" s="347"/>
      <c r="T159" s="448"/>
      <c r="V159" s="786"/>
      <c r="W159" s="786"/>
      <c r="X159" s="786"/>
    </row>
    <row r="160" spans="1:24" s="189" customFormat="1" ht="14.1" customHeight="1">
      <c r="A160" s="575"/>
      <c r="B160" s="306"/>
      <c r="C160" s="306"/>
      <c r="D160" s="380"/>
      <c r="E160" s="379"/>
      <c r="F160" s="379"/>
      <c r="G160" s="379"/>
      <c r="H160" s="379"/>
      <c r="I160" s="379"/>
      <c r="J160" s="379"/>
      <c r="K160" s="379"/>
      <c r="L160" s="379"/>
      <c r="M160" s="379"/>
      <c r="N160" s="379"/>
      <c r="O160" s="379"/>
      <c r="P160" s="379"/>
      <c r="Q160" s="1631"/>
      <c r="R160" s="1625"/>
      <c r="S160" s="501"/>
      <c r="T160" s="549"/>
      <c r="V160" s="786"/>
      <c r="W160" s="786"/>
      <c r="X160" s="786"/>
    </row>
    <row r="161" spans="1:24" s="244" customFormat="1" ht="14.1" customHeight="1">
      <c r="A161" s="1552" t="s">
        <v>124</v>
      </c>
      <c r="B161" s="1553" t="s">
        <v>737</v>
      </c>
      <c r="C161" s="285"/>
      <c r="D161" s="835">
        <f>D162</f>
        <v>0</v>
      </c>
      <c r="E161" s="337">
        <f t="shared" ref="E161:P161" si="67">E162</f>
        <v>0</v>
      </c>
      <c r="F161" s="337">
        <f t="shared" si="67"/>
        <v>0</v>
      </c>
      <c r="G161" s="337">
        <f t="shared" si="67"/>
        <v>0</v>
      </c>
      <c r="H161" s="337">
        <f t="shared" si="67"/>
        <v>3730000</v>
      </c>
      <c r="I161" s="337">
        <f t="shared" si="67"/>
        <v>0</v>
      </c>
      <c r="J161" s="337">
        <f t="shared" si="67"/>
        <v>1987000</v>
      </c>
      <c r="K161" s="337">
        <f t="shared" si="67"/>
        <v>0</v>
      </c>
      <c r="L161" s="337">
        <f t="shared" si="67"/>
        <v>912500</v>
      </c>
      <c r="M161" s="337">
        <f t="shared" si="67"/>
        <v>25000000</v>
      </c>
      <c r="N161" s="337">
        <f t="shared" si="67"/>
        <v>13437400</v>
      </c>
      <c r="O161" s="337">
        <f t="shared" si="67"/>
        <v>10288800</v>
      </c>
      <c r="P161" s="337">
        <f t="shared" si="67"/>
        <v>55132027</v>
      </c>
      <c r="Q161" s="1651">
        <f t="shared" si="62"/>
        <v>110487727</v>
      </c>
      <c r="R161" s="1636">
        <f>+Q161-D161</f>
        <v>110487727</v>
      </c>
      <c r="S161" s="338" t="e">
        <f>+Q161/D161*100</f>
        <v>#DIV/0!</v>
      </c>
      <c r="T161" s="432"/>
      <c r="V161" s="434"/>
      <c r="W161" s="434"/>
      <c r="X161" s="434"/>
    </row>
    <row r="162" spans="1:24" s="189" customFormat="1" ht="14.1" customHeight="1">
      <c r="A162" s="1554"/>
      <c r="B162" s="1329" t="s">
        <v>71</v>
      </c>
      <c r="C162" s="1329"/>
      <c r="D162" s="1555">
        <f>SUM(D163:D167)</f>
        <v>0</v>
      </c>
      <c r="E162" s="1555">
        <f>SUM(E163:E167)</f>
        <v>0</v>
      </c>
      <c r="F162" s="1555">
        <f t="shared" ref="F162:P162" si="68">SUM(F163:F167)</f>
        <v>0</v>
      </c>
      <c r="G162" s="1555">
        <f t="shared" si="68"/>
        <v>0</v>
      </c>
      <c r="H162" s="1555">
        <f t="shared" si="68"/>
        <v>3730000</v>
      </c>
      <c r="I162" s="1555">
        <f t="shared" si="68"/>
        <v>0</v>
      </c>
      <c r="J162" s="1555">
        <f t="shared" si="68"/>
        <v>1987000</v>
      </c>
      <c r="K162" s="1555">
        <f t="shared" si="68"/>
        <v>0</v>
      </c>
      <c r="L162" s="1555">
        <f t="shared" si="68"/>
        <v>912500</v>
      </c>
      <c r="M162" s="1555">
        <f t="shared" si="68"/>
        <v>25000000</v>
      </c>
      <c r="N162" s="1555">
        <f t="shared" si="68"/>
        <v>13437400</v>
      </c>
      <c r="O162" s="1555">
        <f t="shared" si="68"/>
        <v>10288800</v>
      </c>
      <c r="P162" s="1555">
        <f t="shared" si="68"/>
        <v>55132027</v>
      </c>
      <c r="Q162" s="1627">
        <f t="shared" si="62"/>
        <v>110487727</v>
      </c>
      <c r="R162" s="1628">
        <f t="shared" ref="R162:R167" si="69">Q162-D162</f>
        <v>110487727</v>
      </c>
      <c r="S162" s="1337" t="e">
        <f>Q162/D162*100</f>
        <v>#DIV/0!</v>
      </c>
      <c r="T162" s="1592"/>
      <c r="V162" s="786"/>
      <c r="W162" s="786"/>
      <c r="X162" s="786"/>
    </row>
    <row r="163" spans="1:24" s="189" customFormat="1" ht="14.1" customHeight="1">
      <c r="A163" s="292"/>
      <c r="B163" s="2759" t="s">
        <v>50</v>
      </c>
      <c r="C163" s="859" t="s">
        <v>710</v>
      </c>
      <c r="D163" s="355"/>
      <c r="E163" s="355">
        <f>[18]Januari!$D$35</f>
        <v>0</v>
      </c>
      <c r="F163" s="355">
        <f>[18]Februari!$E$35</f>
        <v>0</v>
      </c>
      <c r="G163" s="355">
        <f>[18]Maret!$E$35</f>
        <v>0</v>
      </c>
      <c r="H163" s="355">
        <f>[18]April!$E$35</f>
        <v>0</v>
      </c>
      <c r="I163" s="355">
        <f>[18]Mei!$E$35</f>
        <v>0</v>
      </c>
      <c r="J163" s="355">
        <f>[18]Juni!$E$35</f>
        <v>0</v>
      </c>
      <c r="K163" s="355">
        <f>[18]Juli!$E$35</f>
        <v>0</v>
      </c>
      <c r="L163" s="355">
        <f>[18]Agustus!$E$35</f>
        <v>0</v>
      </c>
      <c r="M163" s="355">
        <f>[18]September!$E$35</f>
        <v>0</v>
      </c>
      <c r="N163" s="355">
        <f>[18]Oktober!$E$35</f>
        <v>0</v>
      </c>
      <c r="O163" s="355">
        <f>[18]Nopember!$E$35</f>
        <v>0</v>
      </c>
      <c r="P163" s="355">
        <f>[18]Desember!$E$35</f>
        <v>0</v>
      </c>
      <c r="Q163" s="1677"/>
      <c r="R163" s="1678"/>
      <c r="S163" s="347"/>
      <c r="T163" s="441"/>
      <c r="V163" s="786"/>
      <c r="W163" s="786"/>
      <c r="X163" s="786"/>
    </row>
    <row r="164" spans="1:24" s="189" customFormat="1" ht="14.1" customHeight="1">
      <c r="A164" s="292"/>
      <c r="B164" s="2759" t="s">
        <v>50</v>
      </c>
      <c r="C164" s="859" t="s">
        <v>711</v>
      </c>
      <c r="D164" s="355">
        <v>0</v>
      </c>
      <c r="E164" s="355">
        <f>[18]Januari!$F$35</f>
        <v>0</v>
      </c>
      <c r="F164" s="355">
        <f>[18]Februari!$F$35</f>
        <v>0</v>
      </c>
      <c r="G164" s="355">
        <f>[18]Maret!$F$35</f>
        <v>0</v>
      </c>
      <c r="H164" s="355">
        <f>[18]April!$F$35</f>
        <v>0</v>
      </c>
      <c r="I164" s="355">
        <f>[18]Mei!$F$35</f>
        <v>0</v>
      </c>
      <c r="J164" s="355">
        <f>[18]Juni!$F$35</f>
        <v>0</v>
      </c>
      <c r="K164" s="355">
        <f>[18]Juli!$F$35</f>
        <v>0</v>
      </c>
      <c r="L164" s="355">
        <f>[18]Agustus!$F$35</f>
        <v>0</v>
      </c>
      <c r="M164" s="355">
        <f>[18]September!$F$35</f>
        <v>0</v>
      </c>
      <c r="N164" s="355">
        <f>[18]Oktober!$F$35</f>
        <v>0</v>
      </c>
      <c r="O164" s="355">
        <f>[18]Nopember!$F$35</f>
        <v>0</v>
      </c>
      <c r="P164" s="355">
        <f>[18]Desember!$F$35</f>
        <v>0</v>
      </c>
      <c r="Q164" s="1679">
        <f>SUM(E164:P164)</f>
        <v>0</v>
      </c>
      <c r="R164" s="1680">
        <f t="shared" si="69"/>
        <v>0</v>
      </c>
      <c r="S164" s="347"/>
      <c r="T164" s="441"/>
      <c r="V164" s="786"/>
      <c r="W164" s="786"/>
      <c r="X164" s="786"/>
    </row>
    <row r="165" spans="1:24" s="189" customFormat="1" ht="14.1" customHeight="1">
      <c r="A165" s="292"/>
      <c r="B165" s="2759" t="s">
        <v>50</v>
      </c>
      <c r="C165" s="859" t="s">
        <v>712</v>
      </c>
      <c r="D165" s="355"/>
      <c r="E165" s="355">
        <f>[18]Januari!$G$35</f>
        <v>0</v>
      </c>
      <c r="F165" s="355">
        <f>[18]Februari!$G$35</f>
        <v>0</v>
      </c>
      <c r="G165" s="355">
        <f>[18]Maret!$G$35</f>
        <v>0</v>
      </c>
      <c r="H165" s="355">
        <f>[18]April!$G$35</f>
        <v>0</v>
      </c>
      <c r="I165" s="355">
        <f>[18]Mei!$G$35</f>
        <v>0</v>
      </c>
      <c r="J165" s="355">
        <f>[18]Juni!$G$35</f>
        <v>0</v>
      </c>
      <c r="K165" s="355">
        <f>[18]Juli!$G$35</f>
        <v>0</v>
      </c>
      <c r="L165" s="355">
        <f>[18]Agustus!$G$35</f>
        <v>0</v>
      </c>
      <c r="M165" s="355">
        <f>[18]September!$G$35</f>
        <v>0</v>
      </c>
      <c r="N165" s="355">
        <f>[18]Oktober!$G$35</f>
        <v>0</v>
      </c>
      <c r="O165" s="355">
        <f>[18]Nopember!$G$35</f>
        <v>0</v>
      </c>
      <c r="P165" s="355">
        <f>[18]Desember!$G$35</f>
        <v>0</v>
      </c>
      <c r="Q165" s="1681"/>
      <c r="R165" s="1682"/>
      <c r="S165" s="347"/>
      <c r="T165" s="441"/>
      <c r="V165" s="786"/>
      <c r="W165" s="786"/>
      <c r="X165" s="786"/>
    </row>
    <row r="166" spans="1:24" s="189" customFormat="1" ht="14.1" customHeight="1">
      <c r="A166" s="292"/>
      <c r="B166" s="2759" t="s">
        <v>50</v>
      </c>
      <c r="C166" s="859" t="s">
        <v>713</v>
      </c>
      <c r="D166" s="355"/>
      <c r="E166" s="355">
        <f>[18]Januari!$H$35</f>
        <v>0</v>
      </c>
      <c r="F166" s="355">
        <f>[18]Februari!$H$35</f>
        <v>0</v>
      </c>
      <c r="G166" s="355">
        <f>[18]Maret!$H$35</f>
        <v>0</v>
      </c>
      <c r="H166" s="355">
        <f>[18]April!$H$35</f>
        <v>3730000</v>
      </c>
      <c r="I166" s="355">
        <f>[18]Mei!$H$35</f>
        <v>0</v>
      </c>
      <c r="J166" s="355">
        <f>[18]Juni!$H$35</f>
        <v>1987000</v>
      </c>
      <c r="K166" s="355">
        <f>[18]Juli!$H$35</f>
        <v>0</v>
      </c>
      <c r="L166" s="355">
        <f>[18]Agustus!$H$35</f>
        <v>912500</v>
      </c>
      <c r="M166" s="355">
        <f>[18]September!$H$35</f>
        <v>25000000</v>
      </c>
      <c r="N166" s="355">
        <f>[18]Oktober!$H$35</f>
        <v>13437400</v>
      </c>
      <c r="O166" s="355">
        <f>[18]Nopember!$H$35</f>
        <v>10288800</v>
      </c>
      <c r="P166" s="355">
        <f>[18]Desember!$H$35</f>
        <v>55132027</v>
      </c>
      <c r="Q166" s="1679">
        <f>SUM(E166:P166)</f>
        <v>110487727</v>
      </c>
      <c r="R166" s="1680">
        <f t="shared" si="69"/>
        <v>110487727</v>
      </c>
      <c r="S166" s="347"/>
      <c r="T166" s="441"/>
      <c r="V166" s="786"/>
      <c r="W166" s="786"/>
      <c r="X166" s="786"/>
    </row>
    <row r="167" spans="1:24" s="189" customFormat="1" ht="14.1" customHeight="1">
      <c r="A167" s="292"/>
      <c r="B167" s="2759" t="s">
        <v>50</v>
      </c>
      <c r="C167" s="859" t="s">
        <v>714</v>
      </c>
      <c r="D167" s="369">
        <f>'[4]TARGET MURNI DAN PERUBAHAN'!D130</f>
        <v>0</v>
      </c>
      <c r="E167" s="355">
        <v>0</v>
      </c>
      <c r="F167" s="355">
        <v>0</v>
      </c>
      <c r="G167" s="355">
        <v>0</v>
      </c>
      <c r="H167" s="355">
        <v>0</v>
      </c>
      <c r="I167" s="355">
        <v>0</v>
      </c>
      <c r="J167" s="355">
        <v>0</v>
      </c>
      <c r="K167" s="355">
        <v>0</v>
      </c>
      <c r="L167" s="355">
        <v>0</v>
      </c>
      <c r="M167" s="355">
        <v>0</v>
      </c>
      <c r="N167" s="355">
        <v>0</v>
      </c>
      <c r="O167" s="355">
        <v>0</v>
      </c>
      <c r="P167" s="355">
        <v>0</v>
      </c>
      <c r="Q167" s="1653">
        <f>SUM(E167:P167)</f>
        <v>0</v>
      </c>
      <c r="R167" s="1630">
        <f t="shared" si="69"/>
        <v>0</v>
      </c>
      <c r="S167" s="388"/>
      <c r="T167" s="441"/>
      <c r="V167" s="786"/>
      <c r="W167" s="786"/>
      <c r="X167" s="786"/>
    </row>
    <row r="168" spans="1:24" s="189" customFormat="1" ht="14.1" customHeight="1">
      <c r="A168" s="305"/>
      <c r="B168" s="306"/>
      <c r="C168" s="306"/>
      <c r="D168" s="380"/>
      <c r="E168" s="380"/>
      <c r="F168" s="380"/>
      <c r="G168" s="380"/>
      <c r="H168" s="380"/>
      <c r="I168" s="380"/>
      <c r="J168" s="380"/>
      <c r="K168" s="380"/>
      <c r="L168" s="380"/>
      <c r="M168" s="380"/>
      <c r="N168" s="380"/>
      <c r="O168" s="380"/>
      <c r="P168" s="380"/>
      <c r="Q168" s="1683"/>
      <c r="R168" s="1625"/>
      <c r="S168" s="501"/>
      <c r="T168" s="560"/>
      <c r="V168" s="786"/>
      <c r="W168" s="786"/>
      <c r="X168" s="786"/>
    </row>
    <row r="169" spans="1:24" s="244" customFormat="1" ht="14.1" customHeight="1">
      <c r="A169" s="1552" t="s">
        <v>126</v>
      </c>
      <c r="B169" s="1553" t="s">
        <v>738</v>
      </c>
      <c r="C169" s="285"/>
      <c r="D169" s="835">
        <f>D170</f>
        <v>0</v>
      </c>
      <c r="E169" s="337">
        <f t="shared" ref="E169:P169" si="70">E170</f>
        <v>0</v>
      </c>
      <c r="F169" s="337">
        <f t="shared" si="70"/>
        <v>0</v>
      </c>
      <c r="G169" s="337">
        <f t="shared" si="70"/>
        <v>0</v>
      </c>
      <c r="H169" s="337">
        <f t="shared" si="70"/>
        <v>0</v>
      </c>
      <c r="I169" s="337">
        <f t="shared" si="70"/>
        <v>0</v>
      </c>
      <c r="J169" s="337">
        <f t="shared" si="70"/>
        <v>0</v>
      </c>
      <c r="K169" s="337">
        <f t="shared" si="70"/>
        <v>0</v>
      </c>
      <c r="L169" s="337">
        <f t="shared" si="70"/>
        <v>0</v>
      </c>
      <c r="M169" s="337">
        <f t="shared" si="70"/>
        <v>0</v>
      </c>
      <c r="N169" s="337">
        <f t="shared" si="70"/>
        <v>0</v>
      </c>
      <c r="O169" s="337">
        <f t="shared" si="70"/>
        <v>0</v>
      </c>
      <c r="P169" s="337">
        <f t="shared" si="70"/>
        <v>1482800</v>
      </c>
      <c r="Q169" s="337">
        <f>SUM(E169:P169)</f>
        <v>1482800</v>
      </c>
      <c r="R169" s="1636">
        <f>+Q169-D169</f>
        <v>1482800</v>
      </c>
      <c r="S169" s="338" t="e">
        <f>+Q169/D169*100</f>
        <v>#DIV/0!</v>
      </c>
      <c r="T169" s="432"/>
      <c r="V169" s="434"/>
      <c r="W169" s="434"/>
      <c r="X169" s="434"/>
    </row>
    <row r="170" spans="1:24" s="189" customFormat="1" ht="14.1" customHeight="1">
      <c r="A170" s="1554"/>
      <c r="B170" s="1329" t="s">
        <v>71</v>
      </c>
      <c r="C170" s="1329"/>
      <c r="D170" s="1555">
        <f t="shared" ref="D170:P170" si="71">SUM(D171:D175)</f>
        <v>0</v>
      </c>
      <c r="E170" s="1555">
        <f t="shared" si="71"/>
        <v>0</v>
      </c>
      <c r="F170" s="1555">
        <f t="shared" si="71"/>
        <v>0</v>
      </c>
      <c r="G170" s="1555">
        <f t="shared" si="71"/>
        <v>0</v>
      </c>
      <c r="H170" s="1555">
        <f t="shared" si="71"/>
        <v>0</v>
      </c>
      <c r="I170" s="1555">
        <f t="shared" si="71"/>
        <v>0</v>
      </c>
      <c r="J170" s="1555">
        <f t="shared" si="71"/>
        <v>0</v>
      </c>
      <c r="K170" s="1555">
        <f t="shared" si="71"/>
        <v>0</v>
      </c>
      <c r="L170" s="1555">
        <f t="shared" si="71"/>
        <v>0</v>
      </c>
      <c r="M170" s="1555">
        <f t="shared" si="71"/>
        <v>0</v>
      </c>
      <c r="N170" s="1555">
        <f t="shared" si="71"/>
        <v>0</v>
      </c>
      <c r="O170" s="1555">
        <f t="shared" si="71"/>
        <v>0</v>
      </c>
      <c r="P170" s="1555">
        <f t="shared" si="71"/>
        <v>1482800</v>
      </c>
      <c r="Q170" s="1555">
        <f>SUM(E170:P170)</f>
        <v>1482800</v>
      </c>
      <c r="R170" s="1628">
        <f t="shared" ref="R170:R175" si="72">Q170-D170</f>
        <v>1482800</v>
      </c>
      <c r="S170" s="1337" t="e">
        <f>Q170/D170*100</f>
        <v>#DIV/0!</v>
      </c>
      <c r="T170" s="1592"/>
      <c r="V170" s="786"/>
      <c r="W170" s="786"/>
      <c r="X170" s="786"/>
    </row>
    <row r="171" spans="1:24" s="189" customFormat="1" ht="14.1" customHeight="1">
      <c r="A171" s="290"/>
      <c r="B171" s="2759" t="s">
        <v>50</v>
      </c>
      <c r="C171" s="859" t="s">
        <v>710</v>
      </c>
      <c r="D171" s="355">
        <v>0</v>
      </c>
      <c r="E171" s="355">
        <f>[19]Januari!$D$35</f>
        <v>0</v>
      </c>
      <c r="F171" s="355">
        <f>[19]Februari!$E$35</f>
        <v>0</v>
      </c>
      <c r="G171" s="355">
        <f>[19]Maret!$E$35</f>
        <v>0</v>
      </c>
      <c r="H171" s="355">
        <f>[19]April!$E$35</f>
        <v>0</v>
      </c>
      <c r="I171" s="355">
        <f>[19]Mei!$E$35</f>
        <v>0</v>
      </c>
      <c r="J171" s="355">
        <f>[19]Juni!$E$35</f>
        <v>0</v>
      </c>
      <c r="K171" s="355">
        <f>[19]Juli!$E$35</f>
        <v>0</v>
      </c>
      <c r="L171" s="355">
        <f>[19]Agustus!$E$35</f>
        <v>0</v>
      </c>
      <c r="M171" s="355">
        <f>[19]September!$E$35</f>
        <v>0</v>
      </c>
      <c r="N171" s="355">
        <f>[19]Oktober!$E$35</f>
        <v>0</v>
      </c>
      <c r="O171" s="355">
        <f>[19]Nopember!$E$35</f>
        <v>0</v>
      </c>
      <c r="P171" s="355">
        <f>[19]Desember!$E$35</f>
        <v>0</v>
      </c>
      <c r="Q171" s="1271">
        <f>SUM(E171:P171)</f>
        <v>0</v>
      </c>
      <c r="R171" s="1630">
        <f t="shared" si="72"/>
        <v>0</v>
      </c>
      <c r="S171" s="388"/>
      <c r="T171" s="441"/>
      <c r="V171" s="786"/>
      <c r="W171" s="786"/>
      <c r="X171" s="786"/>
    </row>
    <row r="172" spans="1:24" s="189" customFormat="1" ht="14.1" customHeight="1">
      <c r="A172" s="290"/>
      <c r="B172" s="2759" t="s">
        <v>50</v>
      </c>
      <c r="C172" s="859" t="s">
        <v>711</v>
      </c>
      <c r="D172" s="355"/>
      <c r="E172" s="355">
        <f>[19]Januari!$F$35</f>
        <v>0</v>
      </c>
      <c r="F172" s="355">
        <f>[19]Februari!$F$35</f>
        <v>0</v>
      </c>
      <c r="G172" s="355">
        <f>[19]Maret!$F$35</f>
        <v>0</v>
      </c>
      <c r="H172" s="355">
        <f>[19]April!$F$35</f>
        <v>0</v>
      </c>
      <c r="I172" s="355">
        <f>[19]Mei!$F$35</f>
        <v>0</v>
      </c>
      <c r="J172" s="355">
        <f>[19]Juni!$F$35</f>
        <v>0</v>
      </c>
      <c r="K172" s="355">
        <f>[19]Juli!$F$35</f>
        <v>0</v>
      </c>
      <c r="L172" s="355">
        <f>[19]Agustus!$F$35</f>
        <v>0</v>
      </c>
      <c r="M172" s="355">
        <f>[19]September!$F$35</f>
        <v>0</v>
      </c>
      <c r="N172" s="355">
        <f>[19]Oktober!$F$35</f>
        <v>0</v>
      </c>
      <c r="O172" s="355">
        <f>[19]Nopember!$F$35</f>
        <v>0</v>
      </c>
      <c r="P172" s="355">
        <f>[19]Desember!$F$35</f>
        <v>0</v>
      </c>
      <c r="Q172" s="1271"/>
      <c r="R172" s="1630"/>
      <c r="S172" s="388"/>
      <c r="T172" s="441"/>
      <c r="V172" s="786"/>
      <c r="W172" s="786"/>
      <c r="X172" s="786"/>
    </row>
    <row r="173" spans="1:24" s="189" customFormat="1" ht="14.1" customHeight="1">
      <c r="A173" s="290"/>
      <c r="B173" s="2759" t="s">
        <v>50</v>
      </c>
      <c r="C173" s="859" t="s">
        <v>712</v>
      </c>
      <c r="D173" s="355"/>
      <c r="E173" s="355">
        <f>[19]Januari!$G$35</f>
        <v>0</v>
      </c>
      <c r="F173" s="355">
        <f>[19]Februari!$G$35</f>
        <v>0</v>
      </c>
      <c r="G173" s="355">
        <f>[19]Maret!$G$35</f>
        <v>0</v>
      </c>
      <c r="H173" s="355">
        <f>[19]April!$G$35</f>
        <v>0</v>
      </c>
      <c r="I173" s="355">
        <f>[19]Mei!$G$35</f>
        <v>0</v>
      </c>
      <c r="J173" s="355">
        <f>[19]Juni!$G$35</f>
        <v>0</v>
      </c>
      <c r="K173" s="355">
        <f>[19]Juli!$G$35</f>
        <v>0</v>
      </c>
      <c r="L173" s="355">
        <f>[19]Agustus!$G$35</f>
        <v>0</v>
      </c>
      <c r="M173" s="355">
        <f>[19]September!$G$35</f>
        <v>0</v>
      </c>
      <c r="N173" s="355">
        <f>[19]Oktober!$G$35</f>
        <v>0</v>
      </c>
      <c r="O173" s="355">
        <f>[19]Nopember!$G$35</f>
        <v>0</v>
      </c>
      <c r="P173" s="355">
        <f>[19]Desember!$G$35</f>
        <v>0</v>
      </c>
      <c r="Q173" s="1271"/>
      <c r="R173" s="1630"/>
      <c r="S173" s="388"/>
      <c r="T173" s="441"/>
      <c r="V173" s="786"/>
      <c r="W173" s="786"/>
      <c r="X173" s="786"/>
    </row>
    <row r="174" spans="1:24" s="189" customFormat="1" ht="14.1" customHeight="1">
      <c r="A174" s="290"/>
      <c r="B174" s="2759" t="s">
        <v>50</v>
      </c>
      <c r="C174" s="859" t="s">
        <v>713</v>
      </c>
      <c r="D174" s="355"/>
      <c r="E174" s="355">
        <f>[19]Januari!$H$35</f>
        <v>0</v>
      </c>
      <c r="F174" s="355">
        <f>[19]Februari!$H$35</f>
        <v>0</v>
      </c>
      <c r="G174" s="355">
        <f>[19]Maret!$H$35</f>
        <v>0</v>
      </c>
      <c r="H174" s="355">
        <f>[19]April!$H$35</f>
        <v>0</v>
      </c>
      <c r="I174" s="355">
        <f>[19]Mei!$H$35</f>
        <v>0</v>
      </c>
      <c r="J174" s="355">
        <f>[19]Juni!$H$35</f>
        <v>0</v>
      </c>
      <c r="K174" s="355">
        <f>[19]Juli!$H$35</f>
        <v>0</v>
      </c>
      <c r="L174" s="355">
        <f>[19]Agustus!$H$35</f>
        <v>0</v>
      </c>
      <c r="M174" s="355">
        <f>[19]September!$H$35</f>
        <v>0</v>
      </c>
      <c r="N174" s="355">
        <f>[19]Oktober!$H$35</f>
        <v>0</v>
      </c>
      <c r="O174" s="355">
        <f>[19]Nopember!$H$35</f>
        <v>0</v>
      </c>
      <c r="P174" s="355">
        <f>[19]Desember!$H$35</f>
        <v>1482800</v>
      </c>
      <c r="Q174" s="1271"/>
      <c r="R174" s="1630"/>
      <c r="S174" s="388"/>
      <c r="T174" s="441"/>
      <c r="V174" s="786"/>
      <c r="W174" s="786"/>
      <c r="X174" s="786"/>
    </row>
    <row r="175" spans="1:24" s="189" customFormat="1" ht="14.1" customHeight="1">
      <c r="A175" s="290"/>
      <c r="B175" s="2759" t="s">
        <v>50</v>
      </c>
      <c r="C175" s="859" t="s">
        <v>714</v>
      </c>
      <c r="D175" s="1556">
        <f>'[4]TARGET MURNI DAN PERUBAHAN'!D135</f>
        <v>0</v>
      </c>
      <c r="E175" s="355">
        <v>0</v>
      </c>
      <c r="F175" s="355">
        <v>0</v>
      </c>
      <c r="G175" s="355">
        <v>0</v>
      </c>
      <c r="H175" s="355">
        <v>0</v>
      </c>
      <c r="I175" s="355">
        <v>0</v>
      </c>
      <c r="J175" s="355">
        <v>0</v>
      </c>
      <c r="K175" s="355">
        <v>0</v>
      </c>
      <c r="L175" s="355">
        <v>0</v>
      </c>
      <c r="M175" s="355">
        <v>0</v>
      </c>
      <c r="N175" s="355">
        <v>0</v>
      </c>
      <c r="O175" s="355">
        <v>0</v>
      </c>
      <c r="P175" s="355">
        <v>0</v>
      </c>
      <c r="Q175" s="1271">
        <f>SUM(E175:P175)</f>
        <v>0</v>
      </c>
      <c r="R175" s="1630">
        <f t="shared" si="72"/>
        <v>0</v>
      </c>
      <c r="S175" s="388" t="e">
        <f>Q175/D175*100</f>
        <v>#DIV/0!</v>
      </c>
      <c r="T175" s="441"/>
      <c r="V175" s="786"/>
      <c r="W175" s="786"/>
      <c r="X175" s="786"/>
    </row>
    <row r="176" spans="1:24" s="250" customFormat="1" ht="14.1" customHeight="1">
      <c r="A176" s="1657"/>
      <c r="B176" s="704"/>
      <c r="C176" s="704"/>
      <c r="D176" s="719"/>
      <c r="E176" s="1658"/>
      <c r="F176" s="1658"/>
      <c r="G176" s="1658"/>
      <c r="H176" s="1658"/>
      <c r="I176" s="1658"/>
      <c r="J176" s="1658"/>
      <c r="K176" s="1658"/>
      <c r="L176" s="1658"/>
      <c r="M176" s="1658"/>
      <c r="N176" s="1658"/>
      <c r="O176" s="1658"/>
      <c r="P176" s="1658"/>
      <c r="Q176" s="1658"/>
      <c r="R176" s="1684"/>
      <c r="S176" s="720"/>
      <c r="T176" s="1685"/>
      <c r="V176" s="1593"/>
      <c r="W176" s="1593"/>
      <c r="X176" s="1593"/>
    </row>
    <row r="177" spans="1:24" s="244" customFormat="1" ht="14.1" customHeight="1">
      <c r="A177" s="1552" t="s">
        <v>132</v>
      </c>
      <c r="B177" s="1553" t="s">
        <v>739</v>
      </c>
      <c r="C177" s="298"/>
      <c r="D177" s="835">
        <f>D178+D181</f>
        <v>2000000</v>
      </c>
      <c r="E177" s="337">
        <f t="shared" ref="E177:Q177" si="73">E178+E181</f>
        <v>0</v>
      </c>
      <c r="F177" s="337">
        <f t="shared" si="73"/>
        <v>1906500</v>
      </c>
      <c r="G177" s="337">
        <f t="shared" si="73"/>
        <v>0</v>
      </c>
      <c r="H177" s="337">
        <f t="shared" si="73"/>
        <v>0</v>
      </c>
      <c r="I177" s="337">
        <f t="shared" si="73"/>
        <v>4295000</v>
      </c>
      <c r="J177" s="337">
        <f t="shared" si="73"/>
        <v>2728000</v>
      </c>
      <c r="K177" s="337">
        <f t="shared" si="73"/>
        <v>876000</v>
      </c>
      <c r="L177" s="337">
        <f t="shared" si="73"/>
        <v>6548996.96</v>
      </c>
      <c r="M177" s="337">
        <f t="shared" si="73"/>
        <v>0</v>
      </c>
      <c r="N177" s="337">
        <f t="shared" si="73"/>
        <v>0</v>
      </c>
      <c r="O177" s="337">
        <f t="shared" si="73"/>
        <v>11907450</v>
      </c>
      <c r="P177" s="337">
        <f t="shared" si="73"/>
        <v>5734000</v>
      </c>
      <c r="Q177" s="337">
        <f t="shared" si="73"/>
        <v>33995946.960000001</v>
      </c>
      <c r="R177" s="1636">
        <f>+Q177-D177</f>
        <v>31995946.960000001</v>
      </c>
      <c r="S177" s="338">
        <f>+Q177/D177*100</f>
        <v>1699.7973479999998</v>
      </c>
      <c r="T177" s="432"/>
      <c r="V177" s="434"/>
      <c r="W177" s="434"/>
      <c r="X177" s="434"/>
    </row>
    <row r="178" spans="1:24" s="190" customFormat="1" ht="14.1" customHeight="1">
      <c r="A178" s="1554"/>
      <c r="B178" s="1329" t="s">
        <v>63</v>
      </c>
      <c r="C178" s="1329"/>
      <c r="D178" s="1555">
        <f>D179</f>
        <v>2000000</v>
      </c>
      <c r="E178" s="1336">
        <f t="shared" ref="E178:P178" si="74">E179</f>
        <v>0</v>
      </c>
      <c r="F178" s="1336">
        <f t="shared" si="74"/>
        <v>0</v>
      </c>
      <c r="G178" s="1336">
        <f t="shared" si="74"/>
        <v>0</v>
      </c>
      <c r="H178" s="1336">
        <f t="shared" si="74"/>
        <v>0</v>
      </c>
      <c r="I178" s="1336">
        <f t="shared" si="74"/>
        <v>0</v>
      </c>
      <c r="J178" s="1336">
        <f t="shared" si="74"/>
        <v>0</v>
      </c>
      <c r="K178" s="1336">
        <f t="shared" si="74"/>
        <v>0</v>
      </c>
      <c r="L178" s="1336">
        <f t="shared" si="74"/>
        <v>0</v>
      </c>
      <c r="M178" s="1336">
        <f t="shared" si="74"/>
        <v>0</v>
      </c>
      <c r="N178" s="1336">
        <f t="shared" si="74"/>
        <v>0</v>
      </c>
      <c r="O178" s="1336">
        <f t="shared" si="74"/>
        <v>0</v>
      </c>
      <c r="P178" s="1336">
        <f t="shared" si="74"/>
        <v>0</v>
      </c>
      <c r="Q178" s="1336">
        <f>SUM(E178:P178)</f>
        <v>0</v>
      </c>
      <c r="R178" s="1628">
        <f>Q178-D178</f>
        <v>-2000000</v>
      </c>
      <c r="S178" s="1591">
        <f>Q178/D178*100</f>
        <v>0</v>
      </c>
      <c r="T178" s="1342"/>
      <c r="V178" s="786"/>
      <c r="W178" s="786"/>
      <c r="X178" s="786"/>
    </row>
    <row r="179" spans="1:24" s="189" customFormat="1" ht="14.1" customHeight="1">
      <c r="A179" s="290"/>
      <c r="B179" s="253" t="s">
        <v>50</v>
      </c>
      <c r="C179" s="253" t="s">
        <v>740</v>
      </c>
      <c r="D179" s="1556">
        <f>'[4]TARGET MURNI DAN PERUBAHAN'!D139</f>
        <v>2000000</v>
      </c>
      <c r="E179" s="375">
        <f>[20]Januari!$D$35</f>
        <v>0</v>
      </c>
      <c r="F179" s="375">
        <f>[20]Februari!$D$35</f>
        <v>0</v>
      </c>
      <c r="G179" s="375">
        <f>[20]Maret!$D$35</f>
        <v>0</v>
      </c>
      <c r="H179" s="375">
        <f>[20]April!$D$35</f>
        <v>0</v>
      </c>
      <c r="I179" s="375">
        <f>[20]Mei!$D$35</f>
        <v>0</v>
      </c>
      <c r="J179" s="375">
        <f>[20]Juni!$D$35</f>
        <v>0</v>
      </c>
      <c r="K179" s="375">
        <f>[20]Juli!$D$35</f>
        <v>0</v>
      </c>
      <c r="L179" s="375">
        <f>[20]Agustus!$D$35</f>
        <v>0</v>
      </c>
      <c r="M179" s="375">
        <f>[20]September!$D$35</f>
        <v>0</v>
      </c>
      <c r="N179" s="375">
        <f>[20]Oktober!$D$35</f>
        <v>0</v>
      </c>
      <c r="O179" s="375">
        <f>[20]Nopember!$D$35</f>
        <v>0</v>
      </c>
      <c r="P179" s="375">
        <f>[20]Desember!$D$35</f>
        <v>0</v>
      </c>
      <c r="Q179" s="367">
        <f>SUM(E179:P179)</f>
        <v>0</v>
      </c>
      <c r="R179" s="1630">
        <f>Q179-D179</f>
        <v>-2000000</v>
      </c>
      <c r="S179" s="388">
        <f>Q179/D179*100</f>
        <v>0</v>
      </c>
      <c r="T179" s="448"/>
      <c r="V179" s="434">
        <f>Q179/10</f>
        <v>0</v>
      </c>
      <c r="W179" s="786"/>
      <c r="X179" s="786"/>
    </row>
    <row r="180" spans="1:24" s="189" customFormat="1" ht="14.1" customHeight="1">
      <c r="A180" s="290"/>
      <c r="B180" s="253"/>
      <c r="C180" s="253"/>
      <c r="D180" s="355"/>
      <c r="E180" s="375"/>
      <c r="F180" s="375"/>
      <c r="G180" s="375"/>
      <c r="H180" s="375"/>
      <c r="I180" s="375"/>
      <c r="J180" s="375"/>
      <c r="K180" s="375"/>
      <c r="L180" s="375"/>
      <c r="M180" s="375"/>
      <c r="N180" s="375"/>
      <c r="O180" s="375"/>
      <c r="P180" s="375"/>
      <c r="Q180" s="375"/>
      <c r="R180" s="1676"/>
      <c r="S180" s="600"/>
      <c r="T180" s="448"/>
      <c r="V180" s="786"/>
      <c r="W180" s="786"/>
      <c r="X180" s="786"/>
    </row>
    <row r="181" spans="1:24" s="190" customFormat="1" ht="14.1" customHeight="1">
      <c r="A181" s="290"/>
      <c r="B181" s="291" t="s">
        <v>71</v>
      </c>
      <c r="C181" s="291"/>
      <c r="D181" s="371">
        <f>SUM(D182:D186)</f>
        <v>0</v>
      </c>
      <c r="E181" s="398">
        <f>SUM(E182:E186)</f>
        <v>0</v>
      </c>
      <c r="F181" s="398">
        <f>F182+F185+F186</f>
        <v>1906500</v>
      </c>
      <c r="G181" s="398">
        <f>G182+G185+G186</f>
        <v>0</v>
      </c>
      <c r="H181" s="398">
        <f>H182+H185+H186</f>
        <v>0</v>
      </c>
      <c r="I181" s="398">
        <f>I182+I185+I186</f>
        <v>4295000</v>
      </c>
      <c r="J181" s="398">
        <f t="shared" ref="J181:Q181" si="75">J182+J185+J186</f>
        <v>2728000</v>
      </c>
      <c r="K181" s="398">
        <f t="shared" si="75"/>
        <v>876000</v>
      </c>
      <c r="L181" s="398">
        <f t="shared" si="75"/>
        <v>6548996.96</v>
      </c>
      <c r="M181" s="398">
        <f t="shared" si="75"/>
        <v>0</v>
      </c>
      <c r="N181" s="398">
        <f t="shared" si="75"/>
        <v>0</v>
      </c>
      <c r="O181" s="398">
        <f t="shared" si="75"/>
        <v>11907450</v>
      </c>
      <c r="P181" s="398">
        <f t="shared" si="75"/>
        <v>5734000</v>
      </c>
      <c r="Q181" s="398">
        <f t="shared" si="75"/>
        <v>33995946.960000001</v>
      </c>
      <c r="R181" s="1652">
        <f>Q181-D181</f>
        <v>33995946.960000001</v>
      </c>
      <c r="S181" s="399" t="e">
        <f t="shared" ref="S181:S186" si="76">Q181/D181*100</f>
        <v>#DIV/0!</v>
      </c>
      <c r="T181" s="699"/>
      <c r="V181" s="786"/>
      <c r="W181" s="786"/>
      <c r="X181" s="786"/>
    </row>
    <row r="182" spans="1:24" s="189" customFormat="1" ht="14.1" customHeight="1">
      <c r="A182" s="290"/>
      <c r="B182" s="2759" t="s">
        <v>50</v>
      </c>
      <c r="C182" s="859" t="s">
        <v>710</v>
      </c>
      <c r="D182" s="355"/>
      <c r="E182" s="375">
        <f>[20]Januari!$E$35</f>
        <v>0</v>
      </c>
      <c r="F182" s="375">
        <f>[20]Februari!$E$35</f>
        <v>0</v>
      </c>
      <c r="G182" s="375">
        <f>[20]Maret!$E$35</f>
        <v>0</v>
      </c>
      <c r="H182" s="375">
        <f>[20]April!$E$35</f>
        <v>0</v>
      </c>
      <c r="I182" s="375">
        <f>[20]Mei!$E$35</f>
        <v>0</v>
      </c>
      <c r="J182" s="375">
        <f>[20]Juni!$E$35</f>
        <v>0</v>
      </c>
      <c r="K182" s="375">
        <f>[20]Juli!$E$35</f>
        <v>0</v>
      </c>
      <c r="L182" s="375">
        <f>[20]Agustus!$E$35</f>
        <v>0</v>
      </c>
      <c r="M182" s="375">
        <f>[20]September!$E$35</f>
        <v>0</v>
      </c>
      <c r="N182" s="375">
        <f>[20]Oktober!$E$35</f>
        <v>0</v>
      </c>
      <c r="O182" s="375">
        <f>[20]Nopember!$E$35</f>
        <v>0</v>
      </c>
      <c r="P182" s="375">
        <f>[20]Desember!$E$35</f>
        <v>0</v>
      </c>
      <c r="Q182" s="367">
        <f>SUM(E182:P182)</f>
        <v>0</v>
      </c>
      <c r="R182" s="1630">
        <f>Q182-D182</f>
        <v>0</v>
      </c>
      <c r="S182" s="388">
        <v>0</v>
      </c>
      <c r="T182" s="448"/>
      <c r="V182" s="786"/>
      <c r="W182" s="786"/>
      <c r="X182" s="786"/>
    </row>
    <row r="183" spans="1:24" s="189" customFormat="1" ht="14.1" customHeight="1">
      <c r="A183" s="290"/>
      <c r="B183" s="2759" t="s">
        <v>50</v>
      </c>
      <c r="C183" s="859" t="s">
        <v>711</v>
      </c>
      <c r="D183" s="355"/>
      <c r="E183" s="375">
        <f>[20]Januari!$F$35</f>
        <v>0</v>
      </c>
      <c r="F183" s="375">
        <f>[20]Februari!$F$35</f>
        <v>0</v>
      </c>
      <c r="G183" s="375">
        <f>[20]Maret!$F$35</f>
        <v>0</v>
      </c>
      <c r="H183" s="375">
        <f>[20]April!$F$35</f>
        <v>0</v>
      </c>
      <c r="I183" s="375">
        <f>[20]Mei!$F$35</f>
        <v>0</v>
      </c>
      <c r="J183" s="375">
        <f>[20]Juni!$F$35</f>
        <v>0</v>
      </c>
      <c r="K183" s="375">
        <f>[20]Juli!$F$35</f>
        <v>0</v>
      </c>
      <c r="L183" s="375">
        <f>[20]Agustus!$F$35</f>
        <v>0</v>
      </c>
      <c r="M183" s="375">
        <f>[20]September!$F$35</f>
        <v>0</v>
      </c>
      <c r="N183" s="375">
        <f>[20]Oktober!$F$35</f>
        <v>0</v>
      </c>
      <c r="O183" s="375">
        <f>[20]Nopember!$F$35</f>
        <v>0</v>
      </c>
      <c r="P183" s="375">
        <f>[20]Desember!$F$35</f>
        <v>0</v>
      </c>
      <c r="Q183" s="367"/>
      <c r="R183" s="1630"/>
      <c r="S183" s="388"/>
      <c r="T183" s="448"/>
      <c r="V183" s="786"/>
      <c r="W183" s="786"/>
      <c r="X183" s="786"/>
    </row>
    <row r="184" spans="1:24" s="189" customFormat="1" ht="14.1" customHeight="1">
      <c r="A184" s="290"/>
      <c r="B184" s="2759" t="s">
        <v>50</v>
      </c>
      <c r="C184" s="859" t="s">
        <v>712</v>
      </c>
      <c r="D184" s="355"/>
      <c r="E184" s="375">
        <f>[20]Januari!$G$35</f>
        <v>0</v>
      </c>
      <c r="F184" s="375">
        <f>[20]Februari!$G$35</f>
        <v>0</v>
      </c>
      <c r="G184" s="375">
        <f>[20]Maret!$G$35</f>
        <v>0</v>
      </c>
      <c r="H184" s="375">
        <f>[20]April!$G$35</f>
        <v>0</v>
      </c>
      <c r="I184" s="375">
        <f>[20]Mei!$G$35</f>
        <v>0</v>
      </c>
      <c r="J184" s="375">
        <f>[20]Juni!$G$35</f>
        <v>0</v>
      </c>
      <c r="K184" s="375">
        <f>[20]Juli!$G$35</f>
        <v>0</v>
      </c>
      <c r="L184" s="375">
        <f>[20]Agustus!$G$35</f>
        <v>0</v>
      </c>
      <c r="M184" s="375">
        <f>[20]September!$G$35</f>
        <v>0</v>
      </c>
      <c r="N184" s="375">
        <f>[20]Oktober!$G$35</f>
        <v>0</v>
      </c>
      <c r="O184" s="375">
        <f>[20]Nopember!$G$35</f>
        <v>0</v>
      </c>
      <c r="P184" s="375">
        <f>[20]Desember!$G$35</f>
        <v>0</v>
      </c>
      <c r="Q184" s="367"/>
      <c r="R184" s="1630"/>
      <c r="S184" s="388"/>
      <c r="T184" s="448"/>
      <c r="V184" s="786"/>
      <c r="W184" s="786"/>
      <c r="X184" s="786"/>
    </row>
    <row r="185" spans="1:24" s="189" customFormat="1" ht="14.1" customHeight="1">
      <c r="A185" s="290"/>
      <c r="B185" s="2759" t="s">
        <v>50</v>
      </c>
      <c r="C185" s="859" t="s">
        <v>713</v>
      </c>
      <c r="D185" s="355"/>
      <c r="E185" s="375">
        <f>[20]Januari!$H$35</f>
        <v>0</v>
      </c>
      <c r="F185" s="375">
        <f>[20]Februari!$H$35</f>
        <v>1906500</v>
      </c>
      <c r="G185" s="375">
        <f>[20]Maret!$H$35</f>
        <v>0</v>
      </c>
      <c r="H185" s="375">
        <f>[20]April!$H$35</f>
        <v>0</v>
      </c>
      <c r="I185" s="375">
        <f>[20]Mei!$H$35</f>
        <v>4295000</v>
      </c>
      <c r="J185" s="375">
        <f>[20]Juni!$H$35</f>
        <v>2728000</v>
      </c>
      <c r="K185" s="375">
        <f>[20]Juli!$H$35</f>
        <v>876000</v>
      </c>
      <c r="L185" s="375">
        <f>[20]Agustus!$H$35</f>
        <v>6548996.96</v>
      </c>
      <c r="M185" s="375">
        <f>[20]September!$H$35</f>
        <v>0</v>
      </c>
      <c r="N185" s="375">
        <f>[20]Oktober!$H$35</f>
        <v>0</v>
      </c>
      <c r="O185" s="375">
        <f>[20]Nopember!$H$35</f>
        <v>11907450</v>
      </c>
      <c r="P185" s="375">
        <f>[20]Desember!$H$35</f>
        <v>5734000</v>
      </c>
      <c r="Q185" s="367">
        <f>SUM(E185:P185)</f>
        <v>33995946.960000001</v>
      </c>
      <c r="R185" s="1630">
        <f t="shared" ref="R185:R190" si="77">Q185-D185</f>
        <v>33995946.960000001</v>
      </c>
      <c r="S185" s="388" t="e">
        <f t="shared" si="76"/>
        <v>#DIV/0!</v>
      </c>
      <c r="T185" s="448"/>
      <c r="V185" s="786"/>
      <c r="W185" s="786"/>
      <c r="X185" s="786"/>
    </row>
    <row r="186" spans="1:24" s="189" customFormat="1" ht="14.1" customHeight="1">
      <c r="A186" s="290"/>
      <c r="B186" s="2759" t="s">
        <v>50</v>
      </c>
      <c r="C186" s="859" t="s">
        <v>714</v>
      </c>
      <c r="D186" s="369">
        <f>'[4]TARGET MURNI DAN PERUBAHAN'!D144</f>
        <v>0</v>
      </c>
      <c r="E186" s="375">
        <v>0</v>
      </c>
      <c r="F186" s="375">
        <v>0</v>
      </c>
      <c r="G186" s="375">
        <v>0</v>
      </c>
      <c r="H186" s="375">
        <v>0</v>
      </c>
      <c r="I186" s="375">
        <v>0</v>
      </c>
      <c r="J186" s="375">
        <v>0</v>
      </c>
      <c r="K186" s="375">
        <v>0</v>
      </c>
      <c r="L186" s="375">
        <v>0</v>
      </c>
      <c r="M186" s="375">
        <v>0</v>
      </c>
      <c r="N186" s="375">
        <v>0</v>
      </c>
      <c r="O186" s="375">
        <v>0</v>
      </c>
      <c r="P186" s="375">
        <v>0</v>
      </c>
      <c r="Q186" s="367">
        <f>SUM(E186:P186)</f>
        <v>0</v>
      </c>
      <c r="R186" s="1630">
        <f t="shared" si="77"/>
        <v>0</v>
      </c>
      <c r="S186" s="388" t="e">
        <f t="shared" si="76"/>
        <v>#DIV/0!</v>
      </c>
      <c r="T186" s="448"/>
      <c r="V186" s="786"/>
      <c r="W186" s="786"/>
      <c r="X186" s="786"/>
    </row>
    <row r="187" spans="1:24" s="245" customFormat="1" ht="14.1" customHeight="1">
      <c r="A187" s="575"/>
      <c r="B187" s="306"/>
      <c r="C187" s="306"/>
      <c r="D187" s="380"/>
      <c r="E187" s="380"/>
      <c r="F187" s="380"/>
      <c r="G187" s="380"/>
      <c r="H187" s="380"/>
      <c r="I187" s="380"/>
      <c r="J187" s="380"/>
      <c r="K187" s="380"/>
      <c r="L187" s="380"/>
      <c r="M187" s="380"/>
      <c r="N187" s="380"/>
      <c r="O187" s="380"/>
      <c r="P187" s="380"/>
      <c r="Q187" s="380"/>
      <c r="R187" s="1625"/>
      <c r="S187" s="501"/>
      <c r="T187" s="560"/>
      <c r="V187" s="1593"/>
      <c r="W187" s="1593"/>
      <c r="X187" s="1593"/>
    </row>
    <row r="188" spans="1:24" s="251" customFormat="1" ht="14.1" customHeight="1">
      <c r="A188" s="1552" t="s">
        <v>141</v>
      </c>
      <c r="B188" s="1553" t="s">
        <v>133</v>
      </c>
      <c r="C188" s="298"/>
      <c r="D188" s="835">
        <f>D189+D192+D200</f>
        <v>1528047000</v>
      </c>
      <c r="E188" s="337">
        <f t="shared" ref="E188:Q188" si="78">E189+E192+E200</f>
        <v>58272600</v>
      </c>
      <c r="F188" s="337">
        <f t="shared" si="78"/>
        <v>178173200</v>
      </c>
      <c r="G188" s="337">
        <f t="shared" si="78"/>
        <v>169126010</v>
      </c>
      <c r="H188" s="337">
        <f t="shared" si="78"/>
        <v>165561449</v>
      </c>
      <c r="I188" s="337">
        <f t="shared" si="78"/>
        <v>170673000</v>
      </c>
      <c r="J188" s="337">
        <f t="shared" si="78"/>
        <v>113672757.75</v>
      </c>
      <c r="K188" s="337">
        <f t="shared" si="78"/>
        <v>143536700</v>
      </c>
      <c r="L188" s="337">
        <f t="shared" si="78"/>
        <v>220247300</v>
      </c>
      <c r="M188" s="337">
        <f t="shared" si="78"/>
        <v>197439900</v>
      </c>
      <c r="N188" s="337">
        <f t="shared" si="78"/>
        <v>168775800</v>
      </c>
      <c r="O188" s="337">
        <f t="shared" si="78"/>
        <v>104691570</v>
      </c>
      <c r="P188" s="337">
        <f t="shared" si="78"/>
        <v>110081230</v>
      </c>
      <c r="Q188" s="337">
        <f t="shared" si="78"/>
        <v>1800251516.75</v>
      </c>
      <c r="R188" s="1636">
        <f>+Q188-D188</f>
        <v>272204516.75</v>
      </c>
      <c r="S188" s="338">
        <f>+Q188/D188*100</f>
        <v>117.81388378433387</v>
      </c>
      <c r="T188" s="432"/>
      <c r="V188" s="434"/>
      <c r="W188" s="434"/>
      <c r="X188" s="434"/>
    </row>
    <row r="189" spans="1:24" s="251" customFormat="1" ht="14.1" customHeight="1">
      <c r="A189" s="1659"/>
      <c r="B189" s="1660" t="s">
        <v>733</v>
      </c>
      <c r="C189" s="1661"/>
      <c r="D189" s="1662">
        <f>D190</f>
        <v>1445000000</v>
      </c>
      <c r="E189" s="1663">
        <f>E190</f>
        <v>58272600</v>
      </c>
      <c r="F189" s="1663">
        <f t="shared" ref="F189:S189" si="79">F190</f>
        <v>170370600</v>
      </c>
      <c r="G189" s="1663">
        <f t="shared" si="79"/>
        <v>142515600</v>
      </c>
      <c r="H189" s="1663">
        <f t="shared" si="79"/>
        <v>150673800</v>
      </c>
      <c r="I189" s="1663">
        <f t="shared" si="79"/>
        <v>152823000</v>
      </c>
      <c r="J189" s="1663">
        <f t="shared" si="79"/>
        <v>95566800</v>
      </c>
      <c r="K189" s="1663">
        <f t="shared" si="79"/>
        <v>141649200</v>
      </c>
      <c r="L189" s="1663">
        <f t="shared" si="79"/>
        <v>189079200</v>
      </c>
      <c r="M189" s="1663">
        <f t="shared" si="79"/>
        <v>173862000</v>
      </c>
      <c r="N189" s="1663">
        <f t="shared" si="79"/>
        <v>164173200</v>
      </c>
      <c r="O189" s="1663">
        <f t="shared" si="79"/>
        <v>87033600</v>
      </c>
      <c r="P189" s="1663">
        <f t="shared" si="79"/>
        <v>96558000</v>
      </c>
      <c r="Q189" s="1663">
        <f t="shared" si="79"/>
        <v>1622577600</v>
      </c>
      <c r="R189" s="1663">
        <f t="shared" si="79"/>
        <v>177577600</v>
      </c>
      <c r="S189" s="1663">
        <f t="shared" si="79"/>
        <v>112.28910726643599</v>
      </c>
      <c r="T189" s="1686"/>
      <c r="V189" s="434"/>
      <c r="W189" s="434"/>
      <c r="X189" s="434"/>
    </row>
    <row r="190" spans="1:24" s="251" customFormat="1" ht="14.1" customHeight="1">
      <c r="A190" s="1664"/>
      <c r="B190" s="2762" t="s">
        <v>50</v>
      </c>
      <c r="C190" s="1666" t="s">
        <v>741</v>
      </c>
      <c r="D190" s="1583">
        <f>'[4]TARGET MURNI DAN PERUBAHAN'!D148</f>
        <v>1445000000</v>
      </c>
      <c r="E190" s="878">
        <f>[21]Januari!$D$35</f>
        <v>58272600</v>
      </c>
      <c r="F190" s="878">
        <f>[21]Februari!$D$35</f>
        <v>170370600</v>
      </c>
      <c r="G190" s="878">
        <f>[21]Maret!$D$35</f>
        <v>142515600</v>
      </c>
      <c r="H190" s="878">
        <f>[21]April!$D$35</f>
        <v>150673800</v>
      </c>
      <c r="I190" s="878">
        <f>[21]Mei!$D$35</f>
        <v>152823000</v>
      </c>
      <c r="J190" s="878">
        <f>[21]Juni!$D$35</f>
        <v>95566800</v>
      </c>
      <c r="K190" s="878">
        <f>[21]Juli!$D$35</f>
        <v>141649200</v>
      </c>
      <c r="L190" s="878">
        <f>[21]Agustus!$D$35</f>
        <v>189079200</v>
      </c>
      <c r="M190" s="878">
        <f>[21]September!$D$35</f>
        <v>173862000</v>
      </c>
      <c r="N190" s="878">
        <f>[21]Oktober!$D$35</f>
        <v>164173200</v>
      </c>
      <c r="O190" s="878">
        <f>[21]Nopember!$D$35</f>
        <v>87033600</v>
      </c>
      <c r="P190" s="878">
        <f>[21]Desember!$D$35</f>
        <v>96558000</v>
      </c>
      <c r="Q190" s="386">
        <f t="shared" ref="Q190:Q208" si="80">SUM(E190:P190)</f>
        <v>1622577600</v>
      </c>
      <c r="R190" s="1687">
        <f t="shared" si="77"/>
        <v>177577600</v>
      </c>
      <c r="S190" s="879">
        <f>Q190/D190*100</f>
        <v>112.28910726643599</v>
      </c>
      <c r="T190" s="1688"/>
      <c r="V190" s="434">
        <f>Q190/10</f>
        <v>162257760</v>
      </c>
      <c r="W190" s="434"/>
      <c r="X190" s="434"/>
    </row>
    <row r="191" spans="1:24" s="251" customFormat="1" ht="14.1" customHeight="1">
      <c r="A191" s="1664"/>
      <c r="B191" s="1665"/>
      <c r="C191" s="1667"/>
      <c r="D191" s="1668"/>
      <c r="E191" s="1669"/>
      <c r="F191" s="1669"/>
      <c r="G191" s="1669"/>
      <c r="H191" s="1669"/>
      <c r="I191" s="1669"/>
      <c r="J191" s="1669"/>
      <c r="K191" s="1669"/>
      <c r="L191" s="1669"/>
      <c r="M191" s="1669"/>
      <c r="N191" s="1669"/>
      <c r="O191" s="1669"/>
      <c r="P191" s="1669"/>
      <c r="Q191" s="1669"/>
      <c r="R191" s="1689"/>
      <c r="S191" s="1690"/>
      <c r="T191" s="1688"/>
      <c r="V191" s="434"/>
      <c r="W191" s="434"/>
      <c r="X191" s="434"/>
    </row>
    <row r="192" spans="1:24" s="190" customFormat="1" ht="14.1" customHeight="1">
      <c r="A192" s="1670"/>
      <c r="B192" s="1660" t="s">
        <v>63</v>
      </c>
      <c r="C192" s="1660"/>
      <c r="D192" s="1671">
        <f>D193+D197</f>
        <v>83047000</v>
      </c>
      <c r="E192" s="1671">
        <f t="shared" ref="E192:P192" si="81">E193+E197</f>
        <v>0</v>
      </c>
      <c r="F192" s="1671">
        <f t="shared" si="81"/>
        <v>7802600</v>
      </c>
      <c r="G192" s="1671">
        <f t="shared" si="81"/>
        <v>5760000</v>
      </c>
      <c r="H192" s="1671">
        <f t="shared" si="81"/>
        <v>9302600</v>
      </c>
      <c r="I192" s="1671">
        <f t="shared" si="81"/>
        <v>8640000</v>
      </c>
      <c r="J192" s="1671">
        <f t="shared" si="81"/>
        <v>8402600</v>
      </c>
      <c r="K192" s="1671">
        <f t="shared" si="81"/>
        <v>0</v>
      </c>
      <c r="L192" s="1671">
        <f t="shared" si="81"/>
        <v>31168100</v>
      </c>
      <c r="M192" s="1671">
        <f t="shared" si="81"/>
        <v>23577900</v>
      </c>
      <c r="N192" s="1671">
        <f t="shared" si="81"/>
        <v>4602600</v>
      </c>
      <c r="O192" s="1671">
        <f t="shared" si="81"/>
        <v>13157970</v>
      </c>
      <c r="P192" s="1671">
        <f t="shared" si="81"/>
        <v>13523230</v>
      </c>
      <c r="Q192" s="386">
        <f t="shared" si="80"/>
        <v>125937600</v>
      </c>
      <c r="R192" s="1687">
        <f>Q192-D192</f>
        <v>42890600</v>
      </c>
      <c r="S192" s="1691">
        <f>Q192/D192*100</f>
        <v>151.64617626163496</v>
      </c>
      <c r="T192" s="1692"/>
      <c r="V192" s="434">
        <f>Q192/10</f>
        <v>12593760</v>
      </c>
      <c r="W192" s="786"/>
      <c r="X192" s="786"/>
    </row>
    <row r="193" spans="1:24" s="189" customFormat="1" ht="14.1" customHeight="1">
      <c r="A193" s="858"/>
      <c r="B193" s="859" t="s">
        <v>64</v>
      </c>
      <c r="C193" s="861"/>
      <c r="D193" s="878">
        <f t="shared" ref="D193:P193" si="82">SUM(D194:D195)</f>
        <v>28047000</v>
      </c>
      <c r="E193" s="878">
        <f t="shared" si="82"/>
        <v>0</v>
      </c>
      <c r="F193" s="878">
        <f t="shared" si="82"/>
        <v>122600</v>
      </c>
      <c r="G193" s="878">
        <f t="shared" si="82"/>
        <v>0</v>
      </c>
      <c r="H193" s="878">
        <f t="shared" si="82"/>
        <v>2822600</v>
      </c>
      <c r="I193" s="878">
        <f t="shared" si="82"/>
        <v>0</v>
      </c>
      <c r="J193" s="878">
        <f t="shared" si="82"/>
        <v>122600</v>
      </c>
      <c r="K193" s="878">
        <f t="shared" si="82"/>
        <v>0</v>
      </c>
      <c r="L193" s="878">
        <f t="shared" si="82"/>
        <v>21568100</v>
      </c>
      <c r="M193" s="878">
        <f t="shared" si="82"/>
        <v>5647900</v>
      </c>
      <c r="N193" s="878">
        <f t="shared" si="82"/>
        <v>122600</v>
      </c>
      <c r="O193" s="878">
        <f t="shared" si="82"/>
        <v>3557970</v>
      </c>
      <c r="P193" s="878">
        <f t="shared" si="82"/>
        <v>8723230</v>
      </c>
      <c r="Q193" s="367">
        <f t="shared" si="80"/>
        <v>42687600</v>
      </c>
      <c r="R193" s="1641">
        <f>Q193-D193</f>
        <v>14640600</v>
      </c>
      <c r="S193" s="879">
        <f>Q193/D193*100</f>
        <v>152.20023531928547</v>
      </c>
      <c r="T193" s="1604"/>
      <c r="V193" s="434">
        <f>Q193/10</f>
        <v>4268760</v>
      </c>
      <c r="W193" s="786"/>
      <c r="X193" s="786"/>
    </row>
    <row r="194" spans="1:24" s="189" customFormat="1" ht="14.1" customHeight="1">
      <c r="A194" s="1573"/>
      <c r="B194" s="859" t="s">
        <v>50</v>
      </c>
      <c r="C194" s="859" t="s">
        <v>742</v>
      </c>
      <c r="D194" s="1583">
        <f>'[4]TARGET MURNI DAN PERUBAHAN'!D152</f>
        <v>28047000</v>
      </c>
      <c r="E194" s="878">
        <f>[21]Januari!$E$35</f>
        <v>0</v>
      </c>
      <c r="F194" s="878">
        <f>[21]Februari!$E$35</f>
        <v>122600</v>
      </c>
      <c r="G194" s="878">
        <f>[21]Maret!$E$35</f>
        <v>0</v>
      </c>
      <c r="H194" s="878">
        <f>[21]April!$E$35</f>
        <v>2822600</v>
      </c>
      <c r="I194" s="878">
        <f>[21]Mei!$E$35</f>
        <v>0</v>
      </c>
      <c r="J194" s="878">
        <f>[21]Juni!$E$35</f>
        <v>122600</v>
      </c>
      <c r="K194" s="878">
        <f>[21]Juli!$E$35</f>
        <v>0</v>
      </c>
      <c r="L194" s="878">
        <f>[21]Agustus!$E$35</f>
        <v>122600</v>
      </c>
      <c r="M194" s="878">
        <f>[21]September!$E$35</f>
        <v>0</v>
      </c>
      <c r="N194" s="878">
        <f>[21]Oktober!$E$35</f>
        <v>122600</v>
      </c>
      <c r="O194" s="878">
        <f>[21]Nopember!$E$35</f>
        <v>122600</v>
      </c>
      <c r="P194" s="878">
        <f>[21]Desember!$E$35</f>
        <v>0</v>
      </c>
      <c r="Q194" s="367">
        <f t="shared" si="80"/>
        <v>3435600</v>
      </c>
      <c r="R194" s="1641">
        <f>Q194-D194</f>
        <v>-24611400</v>
      </c>
      <c r="S194" s="879">
        <v>0</v>
      </c>
      <c r="T194" s="1604"/>
      <c r="V194" s="786"/>
      <c r="W194" s="786"/>
      <c r="X194" s="786"/>
    </row>
    <row r="195" spans="1:24" s="189" customFormat="1" ht="14.1" customHeight="1">
      <c r="A195" s="1573"/>
      <c r="B195" s="859" t="s">
        <v>50</v>
      </c>
      <c r="C195" s="859" t="s">
        <v>530</v>
      </c>
      <c r="D195" s="1583">
        <f>'[4]TARGET MURNI DAN PERUBAHAN'!D153</f>
        <v>0</v>
      </c>
      <c r="E195" s="878">
        <f>[21]Januari!$F$35</f>
        <v>0</v>
      </c>
      <c r="F195" s="878">
        <f>[21]Februari!$F$35</f>
        <v>0</v>
      </c>
      <c r="G195" s="878">
        <f>[21]Maret!$F$35</f>
        <v>0</v>
      </c>
      <c r="H195" s="878">
        <f>[21]April!$F$35</f>
        <v>0</v>
      </c>
      <c r="I195" s="878">
        <f>[21]Mei!$F$35</f>
        <v>0</v>
      </c>
      <c r="J195" s="878">
        <f>[21]Juni!$F$35</f>
        <v>0</v>
      </c>
      <c r="K195" s="878">
        <f>[21]Juli!$F$35</f>
        <v>0</v>
      </c>
      <c r="L195" s="878">
        <f>[21]Agustus!$F$35</f>
        <v>21445500</v>
      </c>
      <c r="M195" s="878">
        <f>[21]September!$F$35</f>
        <v>5647900</v>
      </c>
      <c r="N195" s="878">
        <f>[21]Oktober!$F$35</f>
        <v>0</v>
      </c>
      <c r="O195" s="878">
        <f>[21]Nopember!$F$35</f>
        <v>3435370</v>
      </c>
      <c r="P195" s="878">
        <f>[21]Desember!$F$35</f>
        <v>8723230</v>
      </c>
      <c r="Q195" s="367">
        <f t="shared" si="80"/>
        <v>39252000</v>
      </c>
      <c r="R195" s="1641"/>
      <c r="S195" s="879"/>
      <c r="T195" s="1604"/>
      <c r="V195" s="786"/>
      <c r="W195" s="786"/>
      <c r="X195" s="786"/>
    </row>
    <row r="196" spans="1:24" s="189" customFormat="1" ht="14.1" customHeight="1">
      <c r="A196" s="1573"/>
      <c r="B196" s="859"/>
      <c r="C196" s="859"/>
      <c r="D196" s="878"/>
      <c r="E196" s="878"/>
      <c r="F196" s="878"/>
      <c r="G196" s="878"/>
      <c r="H196" s="878"/>
      <c r="I196" s="878"/>
      <c r="J196" s="878"/>
      <c r="K196" s="878"/>
      <c r="L196" s="878"/>
      <c r="M196" s="878"/>
      <c r="N196" s="878"/>
      <c r="O196" s="878"/>
      <c r="P196" s="878"/>
      <c r="Q196" s="367"/>
      <c r="R196" s="1641"/>
      <c r="S196" s="879"/>
      <c r="T196" s="1604"/>
      <c r="V196" s="786"/>
      <c r="W196" s="786"/>
      <c r="X196" s="786"/>
    </row>
    <row r="197" spans="1:24" s="189" customFormat="1" ht="14.1" customHeight="1">
      <c r="A197" s="1573"/>
      <c r="B197" s="859" t="s">
        <v>304</v>
      </c>
      <c r="C197" s="859"/>
      <c r="D197" s="878">
        <f>D198</f>
        <v>55000000</v>
      </c>
      <c r="E197" s="878">
        <f t="shared" ref="E197:P197" si="83">E198</f>
        <v>0</v>
      </c>
      <c r="F197" s="878">
        <f t="shared" si="83"/>
        <v>7680000</v>
      </c>
      <c r="G197" s="878">
        <f t="shared" si="83"/>
        <v>5760000</v>
      </c>
      <c r="H197" s="878">
        <f t="shared" si="83"/>
        <v>6480000</v>
      </c>
      <c r="I197" s="878">
        <f t="shared" si="83"/>
        <v>8640000</v>
      </c>
      <c r="J197" s="878">
        <f t="shared" si="83"/>
        <v>8280000</v>
      </c>
      <c r="K197" s="878">
        <f t="shared" si="83"/>
        <v>0</v>
      </c>
      <c r="L197" s="878">
        <f t="shared" si="83"/>
        <v>9600000</v>
      </c>
      <c r="M197" s="878">
        <f t="shared" si="83"/>
        <v>17930000</v>
      </c>
      <c r="N197" s="878">
        <f t="shared" si="83"/>
        <v>4480000</v>
      </c>
      <c r="O197" s="878">
        <f t="shared" si="83"/>
        <v>9600000</v>
      </c>
      <c r="P197" s="878">
        <f t="shared" si="83"/>
        <v>4800000</v>
      </c>
      <c r="Q197" s="367">
        <f t="shared" si="80"/>
        <v>83250000</v>
      </c>
      <c r="R197" s="1641">
        <f>Q197-D197</f>
        <v>28250000</v>
      </c>
      <c r="S197" s="879">
        <f>Q197/D197*100</f>
        <v>151.36363636363637</v>
      </c>
      <c r="T197" s="1604"/>
      <c r="V197" s="786"/>
      <c r="W197" s="786"/>
      <c r="X197" s="786"/>
    </row>
    <row r="198" spans="1:24" s="189" customFormat="1" ht="14.1" customHeight="1">
      <c r="A198" s="1573"/>
      <c r="B198" s="859" t="s">
        <v>50</v>
      </c>
      <c r="C198" s="859" t="s">
        <v>743</v>
      </c>
      <c r="D198" s="1583">
        <f>'[4]TARGET MURNI DAN PERUBAHAN'!D155</f>
        <v>55000000</v>
      </c>
      <c r="E198" s="878">
        <f>[21]Januari!$G$35</f>
        <v>0</v>
      </c>
      <c r="F198" s="878">
        <f>[21]Februari!$G$35</f>
        <v>7680000</v>
      </c>
      <c r="G198" s="878">
        <f>[21]Maret!$G$35</f>
        <v>5760000</v>
      </c>
      <c r="H198" s="878">
        <f>[21]April!$G$35</f>
        <v>6480000</v>
      </c>
      <c r="I198" s="878">
        <f>[21]Mei!$G$35</f>
        <v>8640000</v>
      </c>
      <c r="J198" s="878">
        <f>[21]Juni!$G$35</f>
        <v>8280000</v>
      </c>
      <c r="K198" s="878">
        <f>[21]Juli!$G$35</f>
        <v>0</v>
      </c>
      <c r="L198" s="878">
        <f>[21]Agustus!$G$35</f>
        <v>9600000</v>
      </c>
      <c r="M198" s="878">
        <f>[21]September!$G$35</f>
        <v>17930000</v>
      </c>
      <c r="N198" s="878">
        <f>[21]Oktober!$G$35</f>
        <v>4480000</v>
      </c>
      <c r="O198" s="878">
        <f>[21]Nopember!$G$35</f>
        <v>9600000</v>
      </c>
      <c r="P198" s="878">
        <f>[21]Desember!$G$35</f>
        <v>4800000</v>
      </c>
      <c r="Q198" s="367">
        <f t="shared" si="80"/>
        <v>83250000</v>
      </c>
      <c r="R198" s="1641">
        <f>Q198-D198</f>
        <v>28250000</v>
      </c>
      <c r="S198" s="879">
        <f>Q198/D198*100</f>
        <v>151.36363636363637</v>
      </c>
      <c r="T198" s="1604"/>
      <c r="V198" s="434">
        <f>Q198/10</f>
        <v>8325000</v>
      </c>
      <c r="W198" s="786"/>
      <c r="X198" s="786"/>
    </row>
    <row r="199" spans="1:24" s="189" customFormat="1" ht="14.1" customHeight="1">
      <c r="A199" s="1573"/>
      <c r="B199" s="859"/>
      <c r="C199" s="859"/>
      <c r="D199" s="878"/>
      <c r="E199" s="878"/>
      <c r="F199" s="878"/>
      <c r="G199" s="878"/>
      <c r="H199" s="878"/>
      <c r="I199" s="878"/>
      <c r="J199" s="878"/>
      <c r="K199" s="878"/>
      <c r="L199" s="878"/>
      <c r="M199" s="878"/>
      <c r="N199" s="878"/>
      <c r="O199" s="878"/>
      <c r="P199" s="878"/>
      <c r="Q199" s="367">
        <f t="shared" si="80"/>
        <v>0</v>
      </c>
      <c r="R199" s="1641"/>
      <c r="S199" s="879"/>
      <c r="T199" s="1604"/>
      <c r="V199" s="786"/>
      <c r="W199" s="786"/>
      <c r="X199" s="786"/>
    </row>
    <row r="200" spans="1:24" s="189" customFormat="1" ht="14.1" customHeight="1">
      <c r="A200" s="1573"/>
      <c r="B200" s="861" t="s">
        <v>71</v>
      </c>
      <c r="C200" s="861"/>
      <c r="D200" s="883">
        <f t="shared" ref="D200:P200" si="84">SUM(D201:D209)</f>
        <v>0</v>
      </c>
      <c r="E200" s="883">
        <f t="shared" si="84"/>
        <v>0</v>
      </c>
      <c r="F200" s="883">
        <f t="shared" si="84"/>
        <v>0</v>
      </c>
      <c r="G200" s="883">
        <f t="shared" si="84"/>
        <v>20850410</v>
      </c>
      <c r="H200" s="883">
        <f t="shared" si="84"/>
        <v>5585049</v>
      </c>
      <c r="I200" s="883">
        <f t="shared" si="84"/>
        <v>9210000</v>
      </c>
      <c r="J200" s="883">
        <f t="shared" si="84"/>
        <v>9703357.75</v>
      </c>
      <c r="K200" s="883">
        <f t="shared" si="84"/>
        <v>1887500</v>
      </c>
      <c r="L200" s="883">
        <f t="shared" si="84"/>
        <v>0</v>
      </c>
      <c r="M200" s="883">
        <f t="shared" si="84"/>
        <v>0</v>
      </c>
      <c r="N200" s="883">
        <f t="shared" si="84"/>
        <v>0</v>
      </c>
      <c r="O200" s="883">
        <f t="shared" si="84"/>
        <v>4500000</v>
      </c>
      <c r="P200" s="883">
        <f t="shared" si="84"/>
        <v>0</v>
      </c>
      <c r="Q200" s="367">
        <f t="shared" si="80"/>
        <v>51736316.75</v>
      </c>
      <c r="R200" s="1704">
        <f>Q200-D200</f>
        <v>51736316.75</v>
      </c>
      <c r="S200" s="1612" t="e">
        <f>Q200/D200*100</f>
        <v>#DIV/0!</v>
      </c>
      <c r="T200" s="1607"/>
      <c r="V200" s="786"/>
      <c r="W200" s="786"/>
      <c r="X200" s="786"/>
    </row>
    <row r="201" spans="1:24" s="189" customFormat="1" ht="14.1" customHeight="1">
      <c r="A201" s="858"/>
      <c r="B201" s="2759" t="s">
        <v>50</v>
      </c>
      <c r="C201" s="859" t="s">
        <v>710</v>
      </c>
      <c r="D201" s="878">
        <v>0</v>
      </c>
      <c r="E201" s="876">
        <f>[21]Januari!$H$35</f>
        <v>0</v>
      </c>
      <c r="F201" s="876">
        <f>[21]Februari!$H$35</f>
        <v>0</v>
      </c>
      <c r="G201" s="876">
        <f>[21]Maret!$H$35</f>
        <v>0</v>
      </c>
      <c r="H201" s="876">
        <f>[21]April!$H$35</f>
        <v>0</v>
      </c>
      <c r="I201" s="876">
        <f>[21]Mei!$H$35</f>
        <v>0</v>
      </c>
      <c r="J201" s="876">
        <f>[21]Juni!$H$35</f>
        <v>0</v>
      </c>
      <c r="K201" s="876">
        <f>[21]Juli!$H$35</f>
        <v>0</v>
      </c>
      <c r="L201" s="876">
        <f>[21]Agustus!$H$35</f>
        <v>0</v>
      </c>
      <c r="M201" s="876">
        <f>[21]September!$H$35</f>
        <v>0</v>
      </c>
      <c r="N201" s="876">
        <f>[21]Oktober!$H$35</f>
        <v>0</v>
      </c>
      <c r="O201" s="876">
        <f>[21]Nopember!$H$35</f>
        <v>0</v>
      </c>
      <c r="P201" s="876">
        <f>[21]Desember!$H$35</f>
        <v>0</v>
      </c>
      <c r="Q201" s="367">
        <f t="shared" si="80"/>
        <v>0</v>
      </c>
      <c r="R201" s="1641">
        <f>Q201-D201</f>
        <v>0</v>
      </c>
      <c r="S201" s="879"/>
      <c r="T201" s="1644"/>
      <c r="V201" s="786"/>
      <c r="W201" s="786"/>
      <c r="X201" s="786"/>
    </row>
    <row r="202" spans="1:24" s="189" customFormat="1" ht="14.1" customHeight="1">
      <c r="A202" s="858"/>
      <c r="B202" s="2759" t="s">
        <v>50</v>
      </c>
      <c r="C202" s="859" t="s">
        <v>711</v>
      </c>
      <c r="D202" s="878"/>
      <c r="E202" s="876">
        <f>[21]Januari!$I$35</f>
        <v>0</v>
      </c>
      <c r="F202" s="876">
        <f>[21]Februari!$I$35</f>
        <v>0</v>
      </c>
      <c r="G202" s="876">
        <f>[21]Maret!$I$35</f>
        <v>0</v>
      </c>
      <c r="H202" s="876">
        <f>[21]April!$I$35</f>
        <v>0</v>
      </c>
      <c r="I202" s="876">
        <f>[21]Mei!$I$35</f>
        <v>0</v>
      </c>
      <c r="J202" s="876">
        <f>[21]Juni!$I$35</f>
        <v>0</v>
      </c>
      <c r="K202" s="876">
        <f>[21]Juli!$I$35</f>
        <v>0</v>
      </c>
      <c r="L202" s="876">
        <f>[21]Agustus!$I$35</f>
        <v>0</v>
      </c>
      <c r="M202" s="876">
        <f>[21]September!$I$35</f>
        <v>0</v>
      </c>
      <c r="N202" s="876">
        <f>[21]Oktober!$I$35</f>
        <v>0</v>
      </c>
      <c r="O202" s="876">
        <f>[21]Nopember!$I$35</f>
        <v>0</v>
      </c>
      <c r="P202" s="876">
        <f>[21]Desember!$I$35</f>
        <v>0</v>
      </c>
      <c r="Q202" s="367"/>
      <c r="R202" s="1641"/>
      <c r="S202" s="879"/>
      <c r="T202" s="1644"/>
      <c r="V202" s="786"/>
      <c r="W202" s="786"/>
      <c r="X202" s="786"/>
    </row>
    <row r="203" spans="1:24" s="189" customFormat="1" ht="14.1" customHeight="1">
      <c r="A203" s="858"/>
      <c r="B203" s="2759" t="s">
        <v>50</v>
      </c>
      <c r="C203" s="859" t="s">
        <v>712</v>
      </c>
      <c r="D203" s="878"/>
      <c r="E203" s="876">
        <f>[21]Januari!$J$35</f>
        <v>0</v>
      </c>
      <c r="F203" s="876">
        <f>[21]Februari!$J$35</f>
        <v>0</v>
      </c>
      <c r="G203" s="876">
        <f>[21]Maret!$J$35</f>
        <v>0</v>
      </c>
      <c r="H203" s="876">
        <f>[21]April!$J$35</f>
        <v>0</v>
      </c>
      <c r="I203" s="876">
        <f>[21]Mei!$J$35</f>
        <v>0</v>
      </c>
      <c r="J203" s="876">
        <f>[21]Juni!$J$35</f>
        <v>0</v>
      </c>
      <c r="K203" s="876">
        <f>[21]Juli!$J$35</f>
        <v>0</v>
      </c>
      <c r="L203" s="876">
        <f>[21]Agustus!$J$35</f>
        <v>0</v>
      </c>
      <c r="M203" s="876">
        <f>[21]September!$J$35</f>
        <v>0</v>
      </c>
      <c r="N203" s="876">
        <f>[21]Oktober!$J$35</f>
        <v>0</v>
      </c>
      <c r="O203" s="876">
        <f>[21]Nopember!$J$35</f>
        <v>0</v>
      </c>
      <c r="P203" s="876">
        <f>[21]Desember!$J$35</f>
        <v>0</v>
      </c>
      <c r="Q203" s="367"/>
      <c r="R203" s="1641"/>
      <c r="S203" s="879"/>
      <c r="T203" s="1644"/>
      <c r="V203" s="786"/>
      <c r="W203" s="786"/>
      <c r="X203" s="786"/>
    </row>
    <row r="204" spans="1:24" s="189" customFormat="1" ht="14.1" customHeight="1">
      <c r="A204" s="858"/>
      <c r="B204" s="2759" t="s">
        <v>50</v>
      </c>
      <c r="C204" s="859" t="s">
        <v>713</v>
      </c>
      <c r="D204" s="878"/>
      <c r="E204" s="876">
        <f>[21]Januari!$K$35</f>
        <v>0</v>
      </c>
      <c r="F204" s="876">
        <f>[21]Februari!$K$35</f>
        <v>0</v>
      </c>
      <c r="G204" s="876">
        <f>[21]Maret!$K$35</f>
        <v>20850410</v>
      </c>
      <c r="H204" s="876">
        <f>[21]April!$K$35</f>
        <v>5585049</v>
      </c>
      <c r="I204" s="876">
        <f>[21]Mei!$K$35</f>
        <v>9210000</v>
      </c>
      <c r="J204" s="876">
        <f>[21]Juni!$K$35</f>
        <v>9703357.75</v>
      </c>
      <c r="K204" s="876">
        <f>[21]Juli!$K$35</f>
        <v>1887500</v>
      </c>
      <c r="L204" s="876">
        <f>[21]Agustus!$K$35</f>
        <v>0</v>
      </c>
      <c r="M204" s="876">
        <f>[21]September!$K$35</f>
        <v>0</v>
      </c>
      <c r="N204" s="876">
        <f>[21]Oktober!$K$35</f>
        <v>0</v>
      </c>
      <c r="O204" s="876">
        <f>[21]Nopember!$K$35</f>
        <v>4500000</v>
      </c>
      <c r="P204" s="876">
        <f>[21]Desember!$K$35</f>
        <v>0</v>
      </c>
      <c r="Q204" s="367"/>
      <c r="R204" s="1641"/>
      <c r="S204" s="879"/>
      <c r="T204" s="1644"/>
      <c r="V204" s="786"/>
      <c r="W204" s="786"/>
      <c r="X204" s="786"/>
    </row>
    <row r="205" spans="1:24" s="189" customFormat="1" ht="14.1" customHeight="1">
      <c r="A205" s="858"/>
      <c r="B205" s="859" t="s">
        <v>50</v>
      </c>
      <c r="C205" s="859" t="s">
        <v>744</v>
      </c>
      <c r="D205" s="1583">
        <f>'[4]TARGET MURNI DAN PERUBAHAN'!D159</f>
        <v>0</v>
      </c>
      <c r="E205" s="876">
        <v>0</v>
      </c>
      <c r="F205" s="876">
        <v>0</v>
      </c>
      <c r="G205" s="876">
        <v>0</v>
      </c>
      <c r="H205" s="876">
        <v>0</v>
      </c>
      <c r="I205" s="876">
        <v>0</v>
      </c>
      <c r="J205" s="876">
        <v>0</v>
      </c>
      <c r="K205" s="876">
        <v>0</v>
      </c>
      <c r="L205" s="876">
        <v>0</v>
      </c>
      <c r="M205" s="876">
        <v>0</v>
      </c>
      <c r="N205" s="876">
        <v>0</v>
      </c>
      <c r="O205" s="876">
        <v>0</v>
      </c>
      <c r="P205" s="876">
        <v>0</v>
      </c>
      <c r="Q205" s="367">
        <f t="shared" si="80"/>
        <v>0</v>
      </c>
      <c r="R205" s="1641"/>
      <c r="S205" s="879"/>
      <c r="T205" s="1644"/>
      <c r="V205" s="786"/>
      <c r="W205" s="786"/>
      <c r="X205" s="786"/>
    </row>
    <row r="206" spans="1:24" s="189" customFormat="1" ht="14.1" customHeight="1">
      <c r="A206" s="858"/>
      <c r="B206" s="859" t="s">
        <v>50</v>
      </c>
      <c r="C206" s="859" t="s">
        <v>714</v>
      </c>
      <c r="D206" s="1583">
        <f>'[4]TARGET MURNI DAN PERUBAHAN'!D160</f>
        <v>0</v>
      </c>
      <c r="E206" s="878">
        <v>0</v>
      </c>
      <c r="F206" s="878">
        <v>0</v>
      </c>
      <c r="G206" s="878">
        <v>0</v>
      </c>
      <c r="H206" s="878">
        <v>0</v>
      </c>
      <c r="I206" s="878">
        <v>0</v>
      </c>
      <c r="J206" s="878">
        <v>0</v>
      </c>
      <c r="K206" s="878">
        <v>0</v>
      </c>
      <c r="L206" s="878">
        <v>0</v>
      </c>
      <c r="M206" s="878">
        <v>0</v>
      </c>
      <c r="N206" s="878">
        <v>0</v>
      </c>
      <c r="O206" s="878">
        <v>0</v>
      </c>
      <c r="P206" s="878">
        <v>0</v>
      </c>
      <c r="Q206" s="367">
        <f t="shared" si="80"/>
        <v>0</v>
      </c>
      <c r="R206" s="1705">
        <f t="shared" ref="R206:R213" si="85">Q206-D206</f>
        <v>0</v>
      </c>
      <c r="S206" s="1612" t="e">
        <f>Q206/D206*100</f>
        <v>#DIV/0!</v>
      </c>
      <c r="T206" s="1604"/>
      <c r="V206" s="786"/>
      <c r="W206" s="786"/>
      <c r="X206" s="786"/>
    </row>
    <row r="207" spans="1:24" s="189" customFormat="1" ht="14.1" customHeight="1">
      <c r="A207" s="858"/>
      <c r="B207" s="859" t="s">
        <v>50</v>
      </c>
      <c r="C207" s="859" t="s">
        <v>745</v>
      </c>
      <c r="D207" s="1583">
        <f>'[4]TARGET MURNI DAN PERUBAHAN'!D161</f>
        <v>0</v>
      </c>
      <c r="E207" s="878">
        <v>0</v>
      </c>
      <c r="F207" s="878">
        <v>0</v>
      </c>
      <c r="G207" s="878">
        <v>0</v>
      </c>
      <c r="H207" s="878">
        <v>0</v>
      </c>
      <c r="I207" s="878">
        <v>0</v>
      </c>
      <c r="J207" s="878">
        <v>0</v>
      </c>
      <c r="K207" s="878">
        <v>0</v>
      </c>
      <c r="L207" s="878">
        <v>0</v>
      </c>
      <c r="M207" s="878">
        <v>0</v>
      </c>
      <c r="N207" s="878">
        <v>0</v>
      </c>
      <c r="O207" s="878">
        <v>0</v>
      </c>
      <c r="P207" s="878">
        <v>0</v>
      </c>
      <c r="Q207" s="367">
        <f t="shared" si="80"/>
        <v>0</v>
      </c>
      <c r="R207" s="1641">
        <f>SUM(R208:R208)</f>
        <v>0</v>
      </c>
      <c r="S207" s="879" t="e">
        <f>Q207/D207*100</f>
        <v>#DIV/0!</v>
      </c>
      <c r="T207" s="1604"/>
      <c r="V207" s="786"/>
      <c r="W207" s="786"/>
      <c r="X207" s="786"/>
    </row>
    <row r="208" spans="1:24" s="189" customFormat="1" ht="14.1" customHeight="1">
      <c r="A208" s="858"/>
      <c r="B208" s="859" t="s">
        <v>50</v>
      </c>
      <c r="C208" s="859" t="s">
        <v>746</v>
      </c>
      <c r="D208" s="1583">
        <f>'[4]TARGET MURNI DAN PERUBAHAN'!D162</f>
        <v>0</v>
      </c>
      <c r="E208" s="878">
        <v>0</v>
      </c>
      <c r="F208" s="878">
        <v>0</v>
      </c>
      <c r="G208" s="878">
        <v>0</v>
      </c>
      <c r="H208" s="878">
        <v>0</v>
      </c>
      <c r="I208" s="878">
        <v>0</v>
      </c>
      <c r="J208" s="878">
        <v>0</v>
      </c>
      <c r="K208" s="878">
        <v>0</v>
      </c>
      <c r="L208" s="878">
        <v>0</v>
      </c>
      <c r="M208" s="878">
        <v>0</v>
      </c>
      <c r="N208" s="878">
        <v>0</v>
      </c>
      <c r="O208" s="878">
        <v>0</v>
      </c>
      <c r="P208" s="878">
        <v>0</v>
      </c>
      <c r="Q208" s="367">
        <f t="shared" si="80"/>
        <v>0</v>
      </c>
      <c r="R208" s="1641">
        <f t="shared" si="85"/>
        <v>0</v>
      </c>
      <c r="S208" s="879" t="e">
        <f>Q208/D208*100</f>
        <v>#DIV/0!</v>
      </c>
      <c r="T208" s="1604"/>
      <c r="V208" s="786"/>
      <c r="W208" s="786"/>
      <c r="X208" s="786"/>
    </row>
    <row r="209" spans="1:24" s="189" customFormat="1" ht="14.1" customHeight="1">
      <c r="A209" s="1693"/>
      <c r="B209" s="859" t="s">
        <v>50</v>
      </c>
      <c r="C209" s="1694" t="s">
        <v>747</v>
      </c>
      <c r="D209" s="1583">
        <f>'[4]TARGET MURNI DAN PERUBAHAN'!D163</f>
        <v>0</v>
      </c>
      <c r="E209" s="751"/>
      <c r="F209" s="751"/>
      <c r="G209" s="751"/>
      <c r="H209" s="751"/>
      <c r="I209" s="751"/>
      <c r="J209" s="751"/>
      <c r="K209" s="751"/>
      <c r="L209" s="751"/>
      <c r="M209" s="751">
        <f>[21]September!$P$35</f>
        <v>0</v>
      </c>
      <c r="N209" s="751"/>
      <c r="O209" s="751"/>
      <c r="P209" s="751"/>
      <c r="Q209" s="751"/>
      <c r="R209" s="1646"/>
      <c r="S209" s="829"/>
      <c r="T209" s="780"/>
      <c r="V209" s="786"/>
      <c r="W209" s="786"/>
      <c r="X209" s="786"/>
    </row>
    <row r="210" spans="1:24" s="189" customFormat="1" ht="14.1" customHeight="1">
      <c r="A210" s="1552" t="s">
        <v>148</v>
      </c>
      <c r="B210" s="1553" t="s">
        <v>142</v>
      </c>
      <c r="C210" s="298"/>
      <c r="D210" s="835">
        <f>D211+D218</f>
        <v>501125000</v>
      </c>
      <c r="E210" s="337">
        <f t="shared" ref="E210:Q210" si="86">E211+E218</f>
        <v>1000000</v>
      </c>
      <c r="F210" s="337">
        <f t="shared" si="86"/>
        <v>3350000</v>
      </c>
      <c r="G210" s="337">
        <f t="shared" si="86"/>
        <v>71850000</v>
      </c>
      <c r="H210" s="337">
        <f t="shared" si="86"/>
        <v>49200000</v>
      </c>
      <c r="I210" s="337">
        <f t="shared" si="86"/>
        <v>57200000</v>
      </c>
      <c r="J210" s="337">
        <f t="shared" si="86"/>
        <v>39900000</v>
      </c>
      <c r="K210" s="337">
        <f t="shared" ref="K210:P210" si="87">K211+K218</f>
        <v>0</v>
      </c>
      <c r="L210" s="337">
        <f t="shared" si="87"/>
        <v>71400000</v>
      </c>
      <c r="M210" s="337">
        <f t="shared" si="87"/>
        <v>81000000</v>
      </c>
      <c r="N210" s="337">
        <f t="shared" si="87"/>
        <v>51700000</v>
      </c>
      <c r="O210" s="337">
        <f t="shared" si="87"/>
        <v>68079400</v>
      </c>
      <c r="P210" s="337">
        <f t="shared" si="87"/>
        <v>89890200</v>
      </c>
      <c r="Q210" s="337">
        <f t="shared" si="86"/>
        <v>584569600</v>
      </c>
      <c r="R210" s="1636">
        <f>+Q210-D210</f>
        <v>83444600</v>
      </c>
      <c r="S210" s="338">
        <f>+Q210/D210*100</f>
        <v>116.65145422798705</v>
      </c>
      <c r="T210" s="432"/>
      <c r="V210" s="786"/>
      <c r="W210" s="786"/>
      <c r="X210" s="786"/>
    </row>
    <row r="211" spans="1:24" s="190" customFormat="1" ht="14.1" customHeight="1">
      <c r="A211" s="1554"/>
      <c r="B211" s="1329" t="s">
        <v>63</v>
      </c>
      <c r="C211" s="1329"/>
      <c r="D211" s="1555">
        <f t="shared" ref="D211:P211" si="88">+D215+D212</f>
        <v>501125000</v>
      </c>
      <c r="E211" s="1555">
        <f t="shared" si="88"/>
        <v>1000000</v>
      </c>
      <c r="F211" s="1555">
        <f t="shared" si="88"/>
        <v>3350000</v>
      </c>
      <c r="G211" s="1555">
        <f t="shared" si="88"/>
        <v>71850000</v>
      </c>
      <c r="H211" s="1555">
        <f t="shared" si="88"/>
        <v>48600000</v>
      </c>
      <c r="I211" s="1555">
        <f t="shared" si="88"/>
        <v>57200000</v>
      </c>
      <c r="J211" s="1555">
        <f t="shared" si="88"/>
        <v>39900000</v>
      </c>
      <c r="K211" s="1555">
        <f t="shared" si="88"/>
        <v>0</v>
      </c>
      <c r="L211" s="1555">
        <f t="shared" si="88"/>
        <v>71400000</v>
      </c>
      <c r="M211" s="1555">
        <f t="shared" si="88"/>
        <v>81000000</v>
      </c>
      <c r="N211" s="1555">
        <f t="shared" si="88"/>
        <v>41700000</v>
      </c>
      <c r="O211" s="1555">
        <f t="shared" si="88"/>
        <v>49800000</v>
      </c>
      <c r="P211" s="1555">
        <f t="shared" si="88"/>
        <v>70100000</v>
      </c>
      <c r="Q211" s="367">
        <f t="shared" ref="Q211:Q225" si="89">SUM(E211:P211)</f>
        <v>535900000</v>
      </c>
      <c r="R211" s="1628">
        <f t="shared" si="85"/>
        <v>34775000</v>
      </c>
      <c r="S211" s="1591">
        <f>Q211/D211*100</f>
        <v>106.93938638064355</v>
      </c>
      <c r="T211" s="1592"/>
      <c r="V211" s="786"/>
      <c r="W211" s="786"/>
      <c r="X211" s="786"/>
    </row>
    <row r="212" spans="1:24" s="189" customFormat="1" ht="14.1" customHeight="1">
      <c r="A212" s="292"/>
      <c r="B212" s="253" t="s">
        <v>64</v>
      </c>
      <c r="C212" s="291"/>
      <c r="D212" s="355">
        <f>+D213</f>
        <v>152500000</v>
      </c>
      <c r="E212" s="346">
        <f t="shared" ref="E212:P212" si="90">+E213</f>
        <v>1000000</v>
      </c>
      <c r="F212" s="346">
        <f t="shared" si="90"/>
        <v>3200000</v>
      </c>
      <c r="G212" s="346">
        <f t="shared" si="90"/>
        <v>6600000</v>
      </c>
      <c r="H212" s="346">
        <f t="shared" si="90"/>
        <v>3600000</v>
      </c>
      <c r="I212" s="346">
        <f t="shared" si="90"/>
        <v>4500000</v>
      </c>
      <c r="J212" s="346">
        <f t="shared" si="90"/>
        <v>2400000</v>
      </c>
      <c r="K212" s="346">
        <f t="shared" si="90"/>
        <v>0</v>
      </c>
      <c r="L212" s="346">
        <f t="shared" si="90"/>
        <v>2900000</v>
      </c>
      <c r="M212" s="346">
        <f t="shared" si="90"/>
        <v>6000000</v>
      </c>
      <c r="N212" s="346">
        <f t="shared" si="90"/>
        <v>3000000</v>
      </c>
      <c r="O212" s="346">
        <f t="shared" si="90"/>
        <v>3600000</v>
      </c>
      <c r="P212" s="346">
        <f t="shared" si="90"/>
        <v>5100000</v>
      </c>
      <c r="Q212" s="346">
        <f t="shared" si="89"/>
        <v>41900000</v>
      </c>
      <c r="R212" s="1630">
        <f t="shared" si="85"/>
        <v>-110600000</v>
      </c>
      <c r="S212" s="388">
        <f>Q212/D212*100</f>
        <v>27.475409836065573</v>
      </c>
      <c r="T212" s="438"/>
      <c r="V212" s="786"/>
      <c r="W212" s="786"/>
      <c r="X212" s="786"/>
    </row>
    <row r="213" spans="1:24" s="189" customFormat="1" ht="14.1" customHeight="1">
      <c r="A213" s="290"/>
      <c r="B213" s="253" t="s">
        <v>50</v>
      </c>
      <c r="C213" s="253" t="s">
        <v>748</v>
      </c>
      <c r="D213" s="1556">
        <f>'[4]TARGET MURNI DAN PERUBAHAN'!D167</f>
        <v>152500000</v>
      </c>
      <c r="E213" s="355">
        <f>[22]Januari!$D$35</f>
        <v>1000000</v>
      </c>
      <c r="F213" s="355">
        <f>[22]Februari!$D$35</f>
        <v>3200000</v>
      </c>
      <c r="G213" s="355">
        <f>[22]Maret!$D$35</f>
        <v>6600000</v>
      </c>
      <c r="H213" s="355">
        <f>[22]April!$D$35</f>
        <v>3600000</v>
      </c>
      <c r="I213" s="355">
        <f>[22]Mei!$D$35</f>
        <v>4500000</v>
      </c>
      <c r="J213" s="355">
        <f>[22]Juni!$D$35</f>
        <v>2400000</v>
      </c>
      <c r="K213" s="355">
        <f>[22]Juli!$D$35</f>
        <v>0</v>
      </c>
      <c r="L213" s="355">
        <f>[22]Agustus!$D$35</f>
        <v>2900000</v>
      </c>
      <c r="M213" s="355">
        <f>[22]September!$D$35</f>
        <v>6000000</v>
      </c>
      <c r="N213" s="355">
        <f>[22]Oktober!$D$35</f>
        <v>3000000</v>
      </c>
      <c r="O213" s="355">
        <f>[22]Nopember!$D$35</f>
        <v>3600000</v>
      </c>
      <c r="P213" s="355">
        <f>[22]Desember!$D$35</f>
        <v>5100000</v>
      </c>
      <c r="Q213" s="346">
        <f t="shared" si="89"/>
        <v>41900000</v>
      </c>
      <c r="R213" s="1630">
        <f t="shared" si="85"/>
        <v>-110600000</v>
      </c>
      <c r="S213" s="388">
        <f>Q213/D213*100</f>
        <v>27.475409836065573</v>
      </c>
      <c r="T213" s="441"/>
      <c r="V213" s="434">
        <f>Q213/10</f>
        <v>4190000</v>
      </c>
      <c r="W213" s="786"/>
      <c r="X213" s="786"/>
    </row>
    <row r="214" spans="1:24" s="189" customFormat="1" ht="14.1" customHeight="1">
      <c r="A214" s="290"/>
      <c r="B214" s="253"/>
      <c r="C214" s="253"/>
      <c r="D214" s="355"/>
      <c r="E214" s="355"/>
      <c r="F214" s="355"/>
      <c r="G214" s="355"/>
      <c r="H214" s="355"/>
      <c r="I214" s="355"/>
      <c r="J214" s="355"/>
      <c r="K214" s="355"/>
      <c r="L214" s="355"/>
      <c r="M214" s="355"/>
      <c r="N214" s="355"/>
      <c r="O214" s="355"/>
      <c r="P214" s="355"/>
      <c r="Q214" s="346">
        <f t="shared" si="89"/>
        <v>0</v>
      </c>
      <c r="R214" s="1630"/>
      <c r="S214" s="388"/>
      <c r="T214" s="441"/>
      <c r="V214" s="786"/>
      <c r="W214" s="786"/>
      <c r="X214" s="786"/>
    </row>
    <row r="215" spans="1:24" s="189" customFormat="1" ht="14.1" customHeight="1">
      <c r="A215" s="290"/>
      <c r="B215" s="253" t="s">
        <v>304</v>
      </c>
      <c r="C215" s="291"/>
      <c r="D215" s="355">
        <f>+D216</f>
        <v>348625000</v>
      </c>
      <c r="E215" s="346">
        <f t="shared" ref="E215:P215" si="91">+E216</f>
        <v>0</v>
      </c>
      <c r="F215" s="346">
        <f t="shared" si="91"/>
        <v>150000</v>
      </c>
      <c r="G215" s="346">
        <f t="shared" si="91"/>
        <v>65250000</v>
      </c>
      <c r="H215" s="346">
        <f t="shared" si="91"/>
        <v>45000000</v>
      </c>
      <c r="I215" s="346">
        <f t="shared" si="91"/>
        <v>52700000</v>
      </c>
      <c r="J215" s="346">
        <f t="shared" si="91"/>
        <v>37500000</v>
      </c>
      <c r="K215" s="346">
        <f t="shared" si="91"/>
        <v>0</v>
      </c>
      <c r="L215" s="346">
        <f t="shared" si="91"/>
        <v>68500000</v>
      </c>
      <c r="M215" s="346">
        <f t="shared" si="91"/>
        <v>75000000</v>
      </c>
      <c r="N215" s="346">
        <f t="shared" si="91"/>
        <v>38700000</v>
      </c>
      <c r="O215" s="346">
        <f t="shared" si="91"/>
        <v>46200000</v>
      </c>
      <c r="P215" s="346">
        <f t="shared" si="91"/>
        <v>65000000</v>
      </c>
      <c r="Q215" s="346">
        <f t="shared" si="89"/>
        <v>494000000</v>
      </c>
      <c r="R215" s="1630">
        <f>Q215-D215</f>
        <v>145375000</v>
      </c>
      <c r="S215" s="388">
        <f>Q215/D215*100</f>
        <v>141.69953388311222</v>
      </c>
      <c r="T215" s="438"/>
      <c r="V215" s="786"/>
      <c r="W215" s="786"/>
      <c r="X215" s="786"/>
    </row>
    <row r="216" spans="1:24" s="189" customFormat="1" ht="14.1" customHeight="1">
      <c r="A216" s="290"/>
      <c r="B216" s="253" t="s">
        <v>50</v>
      </c>
      <c r="C216" s="253" t="s">
        <v>749</v>
      </c>
      <c r="D216" s="1556">
        <f>'[4]TARGET MURNI DAN PERUBAHAN'!D170</f>
        <v>348625000</v>
      </c>
      <c r="E216" s="355">
        <f>[22]Januari!$E$35</f>
        <v>0</v>
      </c>
      <c r="F216" s="355">
        <f>[22]Februari!$E$35</f>
        <v>150000</v>
      </c>
      <c r="G216" s="355">
        <f>[22]Maret!$E$35</f>
        <v>65250000</v>
      </c>
      <c r="H216" s="355">
        <f>[22]April!$E$35</f>
        <v>45000000</v>
      </c>
      <c r="I216" s="355">
        <f>[22]Mei!$E$35</f>
        <v>52700000</v>
      </c>
      <c r="J216" s="355">
        <f>[22]Juni!$E$35</f>
        <v>37500000</v>
      </c>
      <c r="K216" s="355">
        <f>[22]Juli!$E$35</f>
        <v>0</v>
      </c>
      <c r="L216" s="355">
        <f>[22]Agustus!$E$35</f>
        <v>68500000</v>
      </c>
      <c r="M216" s="355">
        <f>[22]September!$E$35</f>
        <v>75000000</v>
      </c>
      <c r="N216" s="355">
        <f>[22]Oktober!$E$35</f>
        <v>38700000</v>
      </c>
      <c r="O216" s="355">
        <f>[22]Nopember!$E$35</f>
        <v>46200000</v>
      </c>
      <c r="P216" s="355">
        <f>[22]Desember!$E$35</f>
        <v>65000000</v>
      </c>
      <c r="Q216" s="346">
        <f t="shared" si="89"/>
        <v>494000000</v>
      </c>
      <c r="R216" s="1630">
        <f>Q216-D216</f>
        <v>145375000</v>
      </c>
      <c r="S216" s="388">
        <f>Q216/D216*100</f>
        <v>141.69953388311222</v>
      </c>
      <c r="T216" s="438"/>
      <c r="V216" s="434">
        <f>Q216/10</f>
        <v>49400000</v>
      </c>
      <c r="W216" s="786"/>
      <c r="X216" s="786"/>
    </row>
    <row r="217" spans="1:24" s="189" customFormat="1" ht="14.1" customHeight="1">
      <c r="A217" s="290"/>
      <c r="B217" s="253"/>
      <c r="C217" s="253"/>
      <c r="D217" s="355"/>
      <c r="E217" s="355"/>
      <c r="F217" s="355"/>
      <c r="G217" s="355"/>
      <c r="H217" s="355"/>
      <c r="I217" s="355"/>
      <c r="J217" s="355"/>
      <c r="K217" s="355"/>
      <c r="L217" s="355"/>
      <c r="M217" s="355"/>
      <c r="N217" s="355"/>
      <c r="O217" s="355"/>
      <c r="P217" s="355"/>
      <c r="Q217" s="367">
        <f t="shared" si="89"/>
        <v>0</v>
      </c>
      <c r="R217" s="1630"/>
      <c r="S217" s="388"/>
      <c r="T217" s="441"/>
      <c r="V217" s="786"/>
      <c r="W217" s="786"/>
      <c r="X217" s="786"/>
    </row>
    <row r="218" spans="1:24" s="189" customFormat="1" ht="14.1" customHeight="1">
      <c r="A218" s="290"/>
      <c r="B218" s="291" t="s">
        <v>71</v>
      </c>
      <c r="C218" s="291"/>
      <c r="D218" s="371">
        <f>SUM(D219:D225)</f>
        <v>0</v>
      </c>
      <c r="E218" s="371">
        <f>SUM(E219:E225)</f>
        <v>0</v>
      </c>
      <c r="F218" s="371">
        <f>SUM(F219:F225)</f>
        <v>0</v>
      </c>
      <c r="G218" s="371">
        <f>SUM(G219:G225)</f>
        <v>0</v>
      </c>
      <c r="H218" s="371">
        <f>SUM(H219:H225)</f>
        <v>600000</v>
      </c>
      <c r="I218" s="371">
        <f t="shared" ref="I218:P218" si="92">SUM(I219:I225)</f>
        <v>0</v>
      </c>
      <c r="J218" s="371">
        <f t="shared" si="92"/>
        <v>0</v>
      </c>
      <c r="K218" s="371">
        <f t="shared" si="92"/>
        <v>0</v>
      </c>
      <c r="L218" s="371">
        <f t="shared" si="92"/>
        <v>0</v>
      </c>
      <c r="M218" s="371">
        <f t="shared" si="92"/>
        <v>0</v>
      </c>
      <c r="N218" s="371">
        <f t="shared" si="92"/>
        <v>10000000</v>
      </c>
      <c r="O218" s="371">
        <f t="shared" si="92"/>
        <v>18279400</v>
      </c>
      <c r="P218" s="371">
        <f t="shared" si="92"/>
        <v>19790200</v>
      </c>
      <c r="Q218" s="367">
        <f t="shared" si="89"/>
        <v>48669600</v>
      </c>
      <c r="R218" s="1630">
        <f t="shared" ref="R218:R225" si="93">Q218-D218</f>
        <v>48669600</v>
      </c>
      <c r="S218" s="388" t="e">
        <f>Q218/D218*100</f>
        <v>#DIV/0!</v>
      </c>
      <c r="T218" s="651"/>
      <c r="V218" s="786"/>
      <c r="W218" s="786"/>
      <c r="X218" s="786"/>
    </row>
    <row r="219" spans="1:24" s="189" customFormat="1" ht="14.1" customHeight="1">
      <c r="A219" s="290"/>
      <c r="B219" s="253" t="s">
        <v>50</v>
      </c>
      <c r="C219" s="859" t="s">
        <v>750</v>
      </c>
      <c r="D219" s="355">
        <v>0</v>
      </c>
      <c r="E219" s="375">
        <f>[22]Januari!$F$35</f>
        <v>0</v>
      </c>
      <c r="F219" s="375">
        <f>[22]Februari!$F$35</f>
        <v>0</v>
      </c>
      <c r="G219" s="375">
        <f>[22]Maret!$F$35</f>
        <v>0</v>
      </c>
      <c r="H219" s="375">
        <f>[22]April!$F$35</f>
        <v>0</v>
      </c>
      <c r="I219" s="375">
        <f>[22]Mei!$F$35</f>
        <v>0</v>
      </c>
      <c r="J219" s="375">
        <f>[22]Juni!$F$35</f>
        <v>0</v>
      </c>
      <c r="K219" s="375">
        <f>[22]Juli!$F$35</f>
        <v>0</v>
      </c>
      <c r="L219" s="375">
        <f>[22]Agustus!$F$35</f>
        <v>0</v>
      </c>
      <c r="M219" s="375">
        <f>[22]September!$F$35</f>
        <v>0</v>
      </c>
      <c r="N219" s="375">
        <f>[22]Oktober!$F$35</f>
        <v>0</v>
      </c>
      <c r="O219" s="375">
        <f>[22]Nopember!$F$35</f>
        <v>0</v>
      </c>
      <c r="P219" s="375">
        <f>[22]Desember!$F$35</f>
        <v>0</v>
      </c>
      <c r="Q219" s="367">
        <f t="shared" si="89"/>
        <v>0</v>
      </c>
      <c r="R219" s="1630">
        <f t="shared" si="93"/>
        <v>0</v>
      </c>
      <c r="S219" s="388">
        <v>0</v>
      </c>
      <c r="T219" s="448"/>
      <c r="V219" s="786"/>
      <c r="W219" s="786"/>
      <c r="X219" s="786"/>
    </row>
    <row r="220" spans="1:24" s="189" customFormat="1" ht="14.1" customHeight="1">
      <c r="A220" s="290"/>
      <c r="B220" s="253" t="s">
        <v>50</v>
      </c>
      <c r="C220" s="859" t="s">
        <v>711</v>
      </c>
      <c r="D220" s="355">
        <v>0</v>
      </c>
      <c r="E220" s="375">
        <f>[22]Januari!$G$35</f>
        <v>0</v>
      </c>
      <c r="F220" s="375">
        <f>[22]Februari!$G$35</f>
        <v>0</v>
      </c>
      <c r="G220" s="375">
        <f>[22]Maret!$G$35</f>
        <v>0</v>
      </c>
      <c r="H220" s="375">
        <f>[22]April!$G$35</f>
        <v>0</v>
      </c>
      <c r="I220" s="375">
        <f>[22]Mei!$G$35</f>
        <v>0</v>
      </c>
      <c r="J220" s="375">
        <f>[22]Juni!$G$35</f>
        <v>0</v>
      </c>
      <c r="K220" s="375">
        <f>[22]Juli!$G$35</f>
        <v>0</v>
      </c>
      <c r="L220" s="375">
        <f>[22]Agustus!$G$35</f>
        <v>0</v>
      </c>
      <c r="M220" s="375">
        <f>[22]September!$G$35</f>
        <v>0</v>
      </c>
      <c r="N220" s="375">
        <f>[22]Oktober!$G$35</f>
        <v>0</v>
      </c>
      <c r="O220" s="375">
        <f>[22]Nopember!$G$35</f>
        <v>0</v>
      </c>
      <c r="P220" s="375">
        <f>[22]Desember!$G$35</f>
        <v>0</v>
      </c>
      <c r="Q220" s="367">
        <f t="shared" si="89"/>
        <v>0</v>
      </c>
      <c r="R220" s="1630">
        <f t="shared" si="93"/>
        <v>0</v>
      </c>
      <c r="S220" s="388"/>
      <c r="T220" s="448"/>
      <c r="V220" s="786"/>
      <c r="W220" s="786"/>
      <c r="X220" s="786"/>
    </row>
    <row r="221" spans="1:24" s="189" customFormat="1" ht="14.1" customHeight="1">
      <c r="A221" s="290"/>
      <c r="B221" s="253" t="s">
        <v>50</v>
      </c>
      <c r="C221" s="859" t="s">
        <v>712</v>
      </c>
      <c r="D221" s="355"/>
      <c r="E221" s="355">
        <f>[22]Januari!$H$35</f>
        <v>0</v>
      </c>
      <c r="F221" s="355">
        <f>[22]Februari!$H$35</f>
        <v>0</v>
      </c>
      <c r="G221" s="355">
        <f>[22]Maret!$H$35</f>
        <v>0</v>
      </c>
      <c r="H221" s="355">
        <f>[22]April!$H$35</f>
        <v>0</v>
      </c>
      <c r="I221" s="355">
        <f>[22]Mei!$H$35</f>
        <v>0</v>
      </c>
      <c r="J221" s="355">
        <f>[22]Juni!$H$35</f>
        <v>0</v>
      </c>
      <c r="K221" s="355">
        <f>[22]Juli!$H$35</f>
        <v>0</v>
      </c>
      <c r="L221" s="355">
        <f>[22]Agustus!$H$35</f>
        <v>0</v>
      </c>
      <c r="M221" s="355">
        <f>[22]September!$H$35</f>
        <v>0</v>
      </c>
      <c r="N221" s="355">
        <f>[22]Oktober!$H$35</f>
        <v>0</v>
      </c>
      <c r="O221" s="355">
        <f>[22]Nopember!$H$35</f>
        <v>0</v>
      </c>
      <c r="P221" s="355">
        <f>[22]Desember!$H$35</f>
        <v>0</v>
      </c>
      <c r="Q221" s="346">
        <f t="shared" si="89"/>
        <v>0</v>
      </c>
      <c r="R221" s="1630">
        <f t="shared" si="93"/>
        <v>0</v>
      </c>
      <c r="S221" s="388"/>
      <c r="T221" s="441"/>
      <c r="V221" s="786"/>
      <c r="W221" s="786"/>
      <c r="X221" s="786"/>
    </row>
    <row r="222" spans="1:24" s="189" customFormat="1" ht="14.1" customHeight="1">
      <c r="A222" s="290"/>
      <c r="B222" s="253" t="s">
        <v>50</v>
      </c>
      <c r="C222" s="859" t="s">
        <v>713</v>
      </c>
      <c r="D222" s="355"/>
      <c r="E222" s="355">
        <f>[22]Januari!$I$35</f>
        <v>0</v>
      </c>
      <c r="F222" s="355">
        <f>[22]Februari!$I$35</f>
        <v>0</v>
      </c>
      <c r="G222" s="355">
        <f>[22]Maret!$I$35</f>
        <v>0</v>
      </c>
      <c r="H222" s="355">
        <f>[22]April!$I$35</f>
        <v>600000</v>
      </c>
      <c r="I222" s="355">
        <f>[22]Mei!$I$35</f>
        <v>0</v>
      </c>
      <c r="J222" s="355">
        <f>[22]Juni!$I$35</f>
        <v>0</v>
      </c>
      <c r="K222" s="355">
        <f>[22]Juli!$I$35</f>
        <v>0</v>
      </c>
      <c r="L222" s="355">
        <f>[22]Agustus!$I$35</f>
        <v>0</v>
      </c>
      <c r="M222" s="355">
        <f>[22]September!$I$35</f>
        <v>0</v>
      </c>
      <c r="N222" s="355">
        <f>[22]Oktober!$I$35</f>
        <v>10000000</v>
      </c>
      <c r="O222" s="355">
        <f>[22]Nopember!$I$35</f>
        <v>18279400</v>
      </c>
      <c r="P222" s="355">
        <f>[22]Desember!$I$35</f>
        <v>19790200</v>
      </c>
      <c r="Q222" s="346">
        <f t="shared" si="89"/>
        <v>48669600</v>
      </c>
      <c r="R222" s="1630">
        <f t="shared" si="93"/>
        <v>48669600</v>
      </c>
      <c r="S222" s="388" t="e">
        <f>Q222/D222*100</f>
        <v>#DIV/0!</v>
      </c>
      <c r="T222" s="441"/>
      <c r="V222" s="786"/>
      <c r="W222" s="786"/>
      <c r="X222" s="786"/>
    </row>
    <row r="223" spans="1:24" s="189" customFormat="1" ht="14.1" customHeight="1">
      <c r="A223" s="290"/>
      <c r="B223" s="253" t="s">
        <v>50</v>
      </c>
      <c r="C223" s="859" t="s">
        <v>714</v>
      </c>
      <c r="D223" s="1556">
        <f>'[4]TARGET MURNI DAN PERUBAHAN'!D175</f>
        <v>0</v>
      </c>
      <c r="E223" s="355">
        <v>0</v>
      </c>
      <c r="F223" s="355">
        <v>0</v>
      </c>
      <c r="G223" s="355">
        <v>0</v>
      </c>
      <c r="H223" s="355">
        <v>0</v>
      </c>
      <c r="I223" s="355">
        <v>0</v>
      </c>
      <c r="J223" s="355">
        <v>0</v>
      </c>
      <c r="K223" s="355">
        <v>0</v>
      </c>
      <c r="L223" s="355">
        <v>0</v>
      </c>
      <c r="M223" s="355">
        <v>0</v>
      </c>
      <c r="N223" s="355">
        <v>0</v>
      </c>
      <c r="O223" s="355">
        <v>0</v>
      </c>
      <c r="P223" s="355">
        <v>0</v>
      </c>
      <c r="Q223" s="346"/>
      <c r="R223" s="1630"/>
      <c r="S223" s="388"/>
      <c r="T223" s="441"/>
      <c r="V223" s="786"/>
      <c r="W223" s="786"/>
      <c r="X223" s="786"/>
    </row>
    <row r="224" spans="1:24" s="189" customFormat="1" ht="14.1" customHeight="1">
      <c r="A224" s="290"/>
      <c r="B224" s="253" t="s">
        <v>50</v>
      </c>
      <c r="C224" s="1695" t="s">
        <v>751</v>
      </c>
      <c r="D224" s="1556">
        <f>'[4]TARGET MURNI DAN PERUBAHAN'!D177</f>
        <v>0</v>
      </c>
      <c r="E224" s="355">
        <v>0</v>
      </c>
      <c r="F224" s="355">
        <v>0</v>
      </c>
      <c r="G224" s="355">
        <v>0</v>
      </c>
      <c r="H224" s="355">
        <v>0</v>
      </c>
      <c r="I224" s="355">
        <v>0</v>
      </c>
      <c r="J224" s="355">
        <v>0</v>
      </c>
      <c r="K224" s="355">
        <v>0</v>
      </c>
      <c r="L224" s="355">
        <v>0</v>
      </c>
      <c r="M224" s="355">
        <v>0</v>
      </c>
      <c r="N224" s="355">
        <v>0</v>
      </c>
      <c r="O224" s="355">
        <v>0</v>
      </c>
      <c r="P224" s="355">
        <v>0</v>
      </c>
      <c r="Q224" s="346">
        <f t="shared" si="89"/>
        <v>0</v>
      </c>
      <c r="R224" s="1630">
        <f t="shared" si="93"/>
        <v>0</v>
      </c>
      <c r="S224" s="388" t="e">
        <f>Q224/D224*100</f>
        <v>#DIV/0!</v>
      </c>
      <c r="T224" s="441"/>
      <c r="V224" s="786"/>
      <c r="W224" s="786"/>
      <c r="X224" s="786"/>
    </row>
    <row r="225" spans="1:24" s="189" customFormat="1" ht="14.1" customHeight="1">
      <c r="A225" s="290"/>
      <c r="B225" s="253" t="s">
        <v>50</v>
      </c>
      <c r="C225" s="1695" t="s">
        <v>752</v>
      </c>
      <c r="D225" s="1556">
        <f>'[4]TARGET MURNI DAN PERUBAHAN'!D178</f>
        <v>0</v>
      </c>
      <c r="E225" s="355">
        <v>0</v>
      </c>
      <c r="F225" s="355">
        <v>0</v>
      </c>
      <c r="G225" s="355">
        <v>0</v>
      </c>
      <c r="H225" s="355">
        <v>0</v>
      </c>
      <c r="I225" s="355">
        <v>0</v>
      </c>
      <c r="J225" s="355">
        <v>0</v>
      </c>
      <c r="K225" s="355">
        <v>0</v>
      </c>
      <c r="L225" s="355">
        <v>0</v>
      </c>
      <c r="M225" s="355">
        <v>0</v>
      </c>
      <c r="N225" s="355">
        <v>0</v>
      </c>
      <c r="O225" s="355">
        <v>0</v>
      </c>
      <c r="P225" s="355">
        <v>0</v>
      </c>
      <c r="Q225" s="346">
        <f t="shared" si="89"/>
        <v>0</v>
      </c>
      <c r="R225" s="1630">
        <f t="shared" si="93"/>
        <v>0</v>
      </c>
      <c r="S225" s="388" t="e">
        <f>Q225/D225*100</f>
        <v>#DIV/0!</v>
      </c>
      <c r="T225" s="441"/>
      <c r="V225" s="786"/>
      <c r="W225" s="786"/>
      <c r="X225" s="786"/>
    </row>
    <row r="226" spans="1:24" s="245" customFormat="1" ht="14.1" customHeight="1">
      <c r="A226" s="575"/>
      <c r="B226" s="306"/>
      <c r="C226" s="306"/>
      <c r="D226" s="380"/>
      <c r="E226" s="380"/>
      <c r="F226" s="380"/>
      <c r="G226" s="380"/>
      <c r="H226" s="380"/>
      <c r="I226" s="380"/>
      <c r="J226" s="380"/>
      <c r="K226" s="380"/>
      <c r="L226" s="380"/>
      <c r="M226" s="380"/>
      <c r="N226" s="380"/>
      <c r="O226" s="380"/>
      <c r="P226" s="380"/>
      <c r="Q226" s="380"/>
      <c r="R226" s="1625"/>
      <c r="S226" s="501"/>
      <c r="T226" s="560"/>
      <c r="V226" s="1593"/>
      <c r="W226" s="1593"/>
      <c r="X226" s="1593"/>
    </row>
    <row r="227" spans="1:24" s="244" customFormat="1" ht="14.1" customHeight="1">
      <c r="A227" s="1696" t="s">
        <v>150</v>
      </c>
      <c r="B227" s="1553" t="s">
        <v>753</v>
      </c>
      <c r="C227" s="298"/>
      <c r="D227" s="835">
        <f t="shared" ref="D227:Q227" si="94">D228+D236</f>
        <v>60000000</v>
      </c>
      <c r="E227" s="337">
        <f t="shared" si="94"/>
        <v>1200000</v>
      </c>
      <c r="F227" s="337">
        <f t="shared" si="94"/>
        <v>1319500</v>
      </c>
      <c r="G227" s="337">
        <f t="shared" si="94"/>
        <v>2019000</v>
      </c>
      <c r="H227" s="337">
        <f t="shared" si="94"/>
        <v>1614000</v>
      </c>
      <c r="I227" s="337">
        <f t="shared" si="94"/>
        <v>15000000</v>
      </c>
      <c r="J227" s="337">
        <f t="shared" si="94"/>
        <v>4222000</v>
      </c>
      <c r="K227" s="337">
        <f t="shared" si="94"/>
        <v>1200000</v>
      </c>
      <c r="L227" s="337">
        <f t="shared" si="94"/>
        <v>1522000</v>
      </c>
      <c r="M227" s="337">
        <f t="shared" si="94"/>
        <v>1703000</v>
      </c>
      <c r="N227" s="337">
        <f t="shared" si="94"/>
        <v>3231000</v>
      </c>
      <c r="O227" s="337">
        <f t="shared" si="94"/>
        <v>4009500</v>
      </c>
      <c r="P227" s="337">
        <f t="shared" si="94"/>
        <v>137487452.15000001</v>
      </c>
      <c r="Q227" s="337">
        <f t="shared" si="94"/>
        <v>174527452.15000001</v>
      </c>
      <c r="R227" s="1636">
        <f>+Q227-D227</f>
        <v>114527452.15000001</v>
      </c>
      <c r="S227" s="338">
        <f>+Q227/D227*100</f>
        <v>290.87908691666667</v>
      </c>
      <c r="T227" s="432"/>
      <c r="V227" s="434"/>
      <c r="W227" s="434"/>
      <c r="X227" s="434"/>
    </row>
    <row r="228" spans="1:24" s="189" customFormat="1" ht="14.1" customHeight="1">
      <c r="A228" s="1554"/>
      <c r="B228" s="1329" t="s">
        <v>63</v>
      </c>
      <c r="C228" s="1338"/>
      <c r="D228" s="1697">
        <f t="shared" ref="D228:P228" si="95">D229+D233</f>
        <v>60000000</v>
      </c>
      <c r="E228" s="1698">
        <f t="shared" si="95"/>
        <v>1200000</v>
      </c>
      <c r="F228" s="1698">
        <f t="shared" si="95"/>
        <v>1319500</v>
      </c>
      <c r="G228" s="1656">
        <f t="shared" si="95"/>
        <v>2019000</v>
      </c>
      <c r="H228" s="1656">
        <f t="shared" si="95"/>
        <v>1614000</v>
      </c>
      <c r="I228" s="1656">
        <f t="shared" si="95"/>
        <v>15000000</v>
      </c>
      <c r="J228" s="1656">
        <f t="shared" si="95"/>
        <v>4222000</v>
      </c>
      <c r="K228" s="1656">
        <f t="shared" si="95"/>
        <v>1200000</v>
      </c>
      <c r="L228" s="1656">
        <f t="shared" si="95"/>
        <v>1522000</v>
      </c>
      <c r="M228" s="1656">
        <f t="shared" si="95"/>
        <v>1703000</v>
      </c>
      <c r="N228" s="1656">
        <f t="shared" si="95"/>
        <v>3231000</v>
      </c>
      <c r="O228" s="1656">
        <f t="shared" si="95"/>
        <v>4009500</v>
      </c>
      <c r="P228" s="1656">
        <f t="shared" si="95"/>
        <v>5492000</v>
      </c>
      <c r="Q228" s="1655">
        <f t="shared" ref="Q228:Q241" si="96">SUM(E228:P228)</f>
        <v>42532000</v>
      </c>
      <c r="R228" s="1673">
        <f>Q228-D228</f>
        <v>-17468000</v>
      </c>
      <c r="S228" s="1337">
        <f>Q228/D228*100</f>
        <v>70.88666666666667</v>
      </c>
      <c r="T228" s="1706"/>
      <c r="V228" s="786"/>
      <c r="W228" s="786"/>
      <c r="X228" s="786"/>
    </row>
    <row r="229" spans="1:24" s="189" customFormat="1" ht="14.1" customHeight="1">
      <c r="A229" s="290"/>
      <c r="B229" s="568" t="s">
        <v>64</v>
      </c>
      <c r="C229" s="253"/>
      <c r="D229" s="355">
        <f t="shared" ref="D229:P229" si="97">SUM(D230:D231)</f>
        <v>56500000</v>
      </c>
      <c r="E229" s="375">
        <f t="shared" si="97"/>
        <v>1200000</v>
      </c>
      <c r="F229" s="375">
        <f t="shared" si="97"/>
        <v>1319500</v>
      </c>
      <c r="G229" s="375">
        <f t="shared" si="97"/>
        <v>2019000</v>
      </c>
      <c r="H229" s="375">
        <f t="shared" si="97"/>
        <v>1614000</v>
      </c>
      <c r="I229" s="375">
        <f t="shared" si="97"/>
        <v>15000000</v>
      </c>
      <c r="J229" s="375">
        <f t="shared" si="97"/>
        <v>4222000</v>
      </c>
      <c r="K229" s="375">
        <f t="shared" si="97"/>
        <v>1200000</v>
      </c>
      <c r="L229" s="375">
        <f t="shared" si="97"/>
        <v>1522000</v>
      </c>
      <c r="M229" s="375">
        <f t="shared" si="97"/>
        <v>1703000</v>
      </c>
      <c r="N229" s="375">
        <f t="shared" si="97"/>
        <v>3231000</v>
      </c>
      <c r="O229" s="375">
        <f t="shared" si="97"/>
        <v>4009500</v>
      </c>
      <c r="P229" s="375">
        <f t="shared" si="97"/>
        <v>5492000</v>
      </c>
      <c r="Q229" s="346">
        <f t="shared" si="96"/>
        <v>42532000</v>
      </c>
      <c r="R229" s="1630">
        <f>Q229-D229</f>
        <v>-13968000</v>
      </c>
      <c r="S229" s="388">
        <f>Q229/D229*100</f>
        <v>75.277876106194682</v>
      </c>
      <c r="T229" s="448"/>
      <c r="V229" s="786"/>
      <c r="W229" s="786"/>
      <c r="X229" s="786"/>
    </row>
    <row r="230" spans="1:24" s="189" customFormat="1" ht="14.1" customHeight="1">
      <c r="A230" s="290"/>
      <c r="B230" s="842" t="s">
        <v>50</v>
      </c>
      <c r="C230" s="868" t="s">
        <v>498</v>
      </c>
      <c r="D230" s="1556">
        <f>'[4]TARGET MURNI DAN PERUBAHAN'!D183</f>
        <v>16500000</v>
      </c>
      <c r="E230" s="375">
        <f>[23]Januari!$D$35</f>
        <v>0</v>
      </c>
      <c r="F230" s="375">
        <f>[23]Februari!$D$35</f>
        <v>0</v>
      </c>
      <c r="G230" s="375">
        <f>[23]Maret!$D$35</f>
        <v>0</v>
      </c>
      <c r="H230" s="375">
        <f>[23]April!$D$35</f>
        <v>0</v>
      </c>
      <c r="I230" s="375">
        <f>[23]Mei!$D$35</f>
        <v>0</v>
      </c>
      <c r="J230" s="375">
        <f>[23]Juni!$D$35</f>
        <v>1000000</v>
      </c>
      <c r="K230" s="375">
        <f>[23]Juli!$D$35</f>
        <v>0</v>
      </c>
      <c r="L230" s="375">
        <f>[23]Agustus!$D$35</f>
        <v>0</v>
      </c>
      <c r="M230" s="375">
        <f>[23]September!$D$35</f>
        <v>0</v>
      </c>
      <c r="N230" s="375">
        <f>[23]Oktober!$D$35</f>
        <v>0</v>
      </c>
      <c r="O230" s="375">
        <f>[23]Nopember!$D$35</f>
        <v>0</v>
      </c>
      <c r="P230" s="375">
        <f>[23]Desember!$D$35</f>
        <v>1500000</v>
      </c>
      <c r="Q230" s="346">
        <f t="shared" si="96"/>
        <v>2500000</v>
      </c>
      <c r="R230" s="1630">
        <f>Q230-D230</f>
        <v>-14000000</v>
      </c>
      <c r="S230" s="388">
        <f>Q230/D230*100</f>
        <v>15.151515151515152</v>
      </c>
      <c r="T230" s="448"/>
      <c r="V230" s="434">
        <f>Q230/8</f>
        <v>312500</v>
      </c>
      <c r="W230" s="786"/>
      <c r="X230" s="786"/>
    </row>
    <row r="231" spans="1:24" s="189" customFormat="1" ht="14.1" customHeight="1">
      <c r="A231" s="290"/>
      <c r="B231" s="842" t="s">
        <v>50</v>
      </c>
      <c r="C231" s="868" t="s">
        <v>754</v>
      </c>
      <c r="D231" s="1556">
        <f>'[4]TARGET MURNI DAN PERUBAHAN'!D184</f>
        <v>40000000</v>
      </c>
      <c r="E231" s="375">
        <f>[23]Januari!$E$35</f>
        <v>1200000</v>
      </c>
      <c r="F231" s="375">
        <f>[23]Februari!$E$35</f>
        <v>1319500</v>
      </c>
      <c r="G231" s="375">
        <f>[23]Maret!$E$35</f>
        <v>2019000</v>
      </c>
      <c r="H231" s="375">
        <f>[23]April!$E$35</f>
        <v>1614000</v>
      </c>
      <c r="I231" s="375">
        <f>[23]Mei!$E$35</f>
        <v>15000000</v>
      </c>
      <c r="J231" s="375">
        <f>[23]Juni!$E$35</f>
        <v>3222000</v>
      </c>
      <c r="K231" s="375">
        <f>[23]Juli!$E$35</f>
        <v>1200000</v>
      </c>
      <c r="L231" s="375">
        <f>[23]Agustus!$E$35</f>
        <v>1522000</v>
      </c>
      <c r="M231" s="375">
        <f>[23]September!$E$35</f>
        <v>1703000</v>
      </c>
      <c r="N231" s="375">
        <f>[23]Oktober!$E$35</f>
        <v>3231000</v>
      </c>
      <c r="O231" s="375">
        <f>[23]Nopember!$E$35</f>
        <v>4009500</v>
      </c>
      <c r="P231" s="375">
        <f>[23]Desember!$E$35</f>
        <v>3992000</v>
      </c>
      <c r="Q231" s="346">
        <f t="shared" si="96"/>
        <v>40032000</v>
      </c>
      <c r="R231" s="1630">
        <f>Q231-D231</f>
        <v>32000</v>
      </c>
      <c r="S231" s="388">
        <f>Q231/D231*100</f>
        <v>100.07999999999998</v>
      </c>
      <c r="T231" s="448"/>
      <c r="V231" s="434">
        <f>Q231/8</f>
        <v>5004000</v>
      </c>
      <c r="W231" s="786"/>
      <c r="X231" s="786"/>
    </row>
    <row r="232" spans="1:24" s="189" customFormat="1" ht="14.1" customHeight="1">
      <c r="A232" s="290"/>
      <c r="B232" s="291"/>
      <c r="C232" s="291"/>
      <c r="D232" s="371"/>
      <c r="E232" s="398"/>
      <c r="F232" s="398"/>
      <c r="G232" s="398"/>
      <c r="H232" s="398"/>
      <c r="I232" s="398"/>
      <c r="J232" s="398"/>
      <c r="K232" s="398"/>
      <c r="L232" s="398"/>
      <c r="M232" s="398"/>
      <c r="N232" s="398"/>
      <c r="O232" s="398"/>
      <c r="P232" s="398"/>
      <c r="Q232" s="346">
        <f t="shared" si="96"/>
        <v>0</v>
      </c>
      <c r="R232" s="1707"/>
      <c r="S232" s="600"/>
      <c r="T232" s="699"/>
      <c r="V232" s="786"/>
      <c r="W232" s="786"/>
      <c r="X232" s="786"/>
    </row>
    <row r="233" spans="1:24" s="189" customFormat="1" ht="14.1" customHeight="1">
      <c r="A233" s="290"/>
      <c r="B233" s="568" t="s">
        <v>304</v>
      </c>
      <c r="C233" s="253"/>
      <c r="D233" s="355">
        <f>D234</f>
        <v>3500000</v>
      </c>
      <c r="E233" s="375">
        <f t="shared" ref="E233:P233" si="98">E234</f>
        <v>0</v>
      </c>
      <c r="F233" s="375">
        <f t="shared" si="98"/>
        <v>0</v>
      </c>
      <c r="G233" s="375">
        <f t="shared" si="98"/>
        <v>0</v>
      </c>
      <c r="H233" s="375">
        <f t="shared" si="98"/>
        <v>0</v>
      </c>
      <c r="I233" s="375">
        <f t="shared" si="98"/>
        <v>0</v>
      </c>
      <c r="J233" s="375">
        <f t="shared" si="98"/>
        <v>0</v>
      </c>
      <c r="K233" s="375">
        <f t="shared" si="98"/>
        <v>0</v>
      </c>
      <c r="L233" s="375">
        <f t="shared" si="98"/>
        <v>0</v>
      </c>
      <c r="M233" s="375">
        <f t="shared" si="98"/>
        <v>0</v>
      </c>
      <c r="N233" s="375">
        <f t="shared" si="98"/>
        <v>0</v>
      </c>
      <c r="O233" s="375">
        <f t="shared" si="98"/>
        <v>0</v>
      </c>
      <c r="P233" s="375">
        <f t="shared" si="98"/>
        <v>0</v>
      </c>
      <c r="Q233" s="346">
        <f t="shared" si="96"/>
        <v>0</v>
      </c>
      <c r="R233" s="1630">
        <f>Q233-D233</f>
        <v>-3500000</v>
      </c>
      <c r="S233" s="388">
        <f>Q233/D233*100</f>
        <v>0</v>
      </c>
      <c r="T233" s="448"/>
      <c r="V233" s="786"/>
      <c r="W233" s="786"/>
      <c r="X233" s="786"/>
    </row>
    <row r="234" spans="1:24" s="189" customFormat="1" ht="14.1" customHeight="1">
      <c r="A234" s="292"/>
      <c r="B234" s="2763" t="s">
        <v>50</v>
      </c>
      <c r="C234" s="868" t="s">
        <v>500</v>
      </c>
      <c r="D234" s="1556">
        <f>'[4]TARGET MURNI DAN PERUBAHAN'!D187</f>
        <v>3500000</v>
      </c>
      <c r="E234" s="355">
        <f>[23]Januari!$F$35</f>
        <v>0</v>
      </c>
      <c r="F234" s="355">
        <f>[23]Februari!$F$35</f>
        <v>0</v>
      </c>
      <c r="G234" s="355">
        <f>[23]Maret!$F$35</f>
        <v>0</v>
      </c>
      <c r="H234" s="355">
        <f>[23]April!$F$35</f>
        <v>0</v>
      </c>
      <c r="I234" s="355">
        <f>[23]Mei!$F$35</f>
        <v>0</v>
      </c>
      <c r="J234" s="355">
        <f>[23]Juni!$F$35</f>
        <v>0</v>
      </c>
      <c r="K234" s="355">
        <f>[23]Juli!$F$35</f>
        <v>0</v>
      </c>
      <c r="L234" s="355">
        <f>[23]Agustus!$F$35</f>
        <v>0</v>
      </c>
      <c r="M234" s="355">
        <f>[23]September!$F$35</f>
        <v>0</v>
      </c>
      <c r="N234" s="355">
        <f>[23]Oktober!$F$35</f>
        <v>0</v>
      </c>
      <c r="O234" s="355">
        <f>[23]Nopember!$F$35</f>
        <v>0</v>
      </c>
      <c r="P234" s="355">
        <f>[23]Desember!$F$35</f>
        <v>0</v>
      </c>
      <c r="Q234" s="346">
        <f t="shared" si="96"/>
        <v>0</v>
      </c>
      <c r="R234" s="1630">
        <f>Q234-D234</f>
        <v>-3500000</v>
      </c>
      <c r="S234" s="388">
        <f>Q234/D234*100</f>
        <v>0</v>
      </c>
      <c r="T234" s="441"/>
      <c r="V234" s="786"/>
      <c r="W234" s="786"/>
      <c r="X234" s="786"/>
    </row>
    <row r="235" spans="1:24" s="189" customFormat="1" ht="14.1" customHeight="1">
      <c r="A235" s="292"/>
      <c r="B235" s="253"/>
      <c r="C235" s="253"/>
      <c r="D235" s="355"/>
      <c r="E235" s="355"/>
      <c r="F235" s="355"/>
      <c r="G235" s="355"/>
      <c r="H235" s="355"/>
      <c r="I235" s="355"/>
      <c r="J235" s="355"/>
      <c r="K235" s="355"/>
      <c r="L235" s="355"/>
      <c r="M235" s="355"/>
      <c r="N235" s="355"/>
      <c r="O235" s="355"/>
      <c r="P235" s="355"/>
      <c r="Q235" s="346">
        <f t="shared" si="96"/>
        <v>0</v>
      </c>
      <c r="R235" s="1672"/>
      <c r="S235" s="388"/>
      <c r="T235" s="441"/>
      <c r="V235" s="786"/>
      <c r="W235" s="786"/>
      <c r="X235" s="786"/>
    </row>
    <row r="236" spans="1:24" s="190" customFormat="1" ht="14.1" customHeight="1">
      <c r="A236" s="290"/>
      <c r="B236" s="291" t="s">
        <v>71</v>
      </c>
      <c r="C236" s="291"/>
      <c r="D236" s="371">
        <f>SUM(D237:D241)</f>
        <v>0</v>
      </c>
      <c r="E236" s="371">
        <f>SUM(E237:E241)</f>
        <v>0</v>
      </c>
      <c r="F236" s="371">
        <f t="shared" ref="F236:P236" si="99">SUM(F237:F241)</f>
        <v>0</v>
      </c>
      <c r="G236" s="371">
        <f t="shared" si="99"/>
        <v>0</v>
      </c>
      <c r="H236" s="371">
        <f t="shared" si="99"/>
        <v>0</v>
      </c>
      <c r="I236" s="371">
        <f t="shared" si="99"/>
        <v>0</v>
      </c>
      <c r="J236" s="371">
        <f t="shared" si="99"/>
        <v>0</v>
      </c>
      <c r="K236" s="371">
        <f t="shared" si="99"/>
        <v>0</v>
      </c>
      <c r="L236" s="371">
        <f t="shared" si="99"/>
        <v>0</v>
      </c>
      <c r="M236" s="371">
        <f t="shared" si="99"/>
        <v>0</v>
      </c>
      <c r="N236" s="371">
        <f t="shared" si="99"/>
        <v>0</v>
      </c>
      <c r="O236" s="371">
        <f t="shared" si="99"/>
        <v>0</v>
      </c>
      <c r="P236" s="371">
        <f t="shared" si="99"/>
        <v>131995452.15000001</v>
      </c>
      <c r="Q236" s="367">
        <f t="shared" si="96"/>
        <v>131995452.15000001</v>
      </c>
      <c r="R236" s="1708">
        <f t="shared" ref="R236:R241" si="100">Q236-D236</f>
        <v>131995452.15000001</v>
      </c>
      <c r="S236" s="388" t="e">
        <f>Q236/D236*100</f>
        <v>#DIV/0!</v>
      </c>
      <c r="T236" s="651"/>
      <c r="V236" s="786"/>
      <c r="W236" s="786"/>
      <c r="X236" s="786"/>
    </row>
    <row r="237" spans="1:24" s="190" customFormat="1" ht="14.1" customHeight="1">
      <c r="A237" s="290"/>
      <c r="B237" s="2759" t="s">
        <v>50</v>
      </c>
      <c r="C237" s="859" t="s">
        <v>710</v>
      </c>
      <c r="D237" s="371">
        <f>D238+D239+D240</f>
        <v>0</v>
      </c>
      <c r="E237" s="375">
        <f>[23]Januari!$G$35</f>
        <v>0</v>
      </c>
      <c r="F237" s="375">
        <f>[23]Februari!$G$35</f>
        <v>0</v>
      </c>
      <c r="G237" s="375">
        <f>[23]Maret!$G$35</f>
        <v>0</v>
      </c>
      <c r="H237" s="375">
        <f>[23]April!$G$35</f>
        <v>0</v>
      </c>
      <c r="I237" s="375">
        <f>[23]Mei!$G$35</f>
        <v>0</v>
      </c>
      <c r="J237" s="375">
        <f>[23]Juni!$G$35</f>
        <v>0</v>
      </c>
      <c r="K237" s="375">
        <f>[23]Juli!$G$35</f>
        <v>0</v>
      </c>
      <c r="L237" s="375">
        <f>[23]Agustus!$G$35</f>
        <v>0</v>
      </c>
      <c r="M237" s="375">
        <f>[23]September!$G$35</f>
        <v>0</v>
      </c>
      <c r="N237" s="375">
        <f>[23]Oktober!$G$35</f>
        <v>0</v>
      </c>
      <c r="O237" s="375">
        <f>[23]Nopember!$G$35</f>
        <v>0</v>
      </c>
      <c r="P237" s="375">
        <f>[23]Desember!$G$35</f>
        <v>0</v>
      </c>
      <c r="Q237" s="346">
        <f t="shared" si="96"/>
        <v>0</v>
      </c>
      <c r="R237" s="1672">
        <f t="shared" si="100"/>
        <v>0</v>
      </c>
      <c r="S237" s="600">
        <f>SUM(S238:S240)</f>
        <v>0</v>
      </c>
      <c r="T237" s="699"/>
      <c r="V237" s="786"/>
      <c r="W237" s="786"/>
      <c r="X237" s="786"/>
    </row>
    <row r="238" spans="1:24" s="189" customFormat="1" ht="14.1" customHeight="1">
      <c r="A238" s="290"/>
      <c r="B238" s="2759" t="s">
        <v>50</v>
      </c>
      <c r="C238" s="859" t="s">
        <v>711</v>
      </c>
      <c r="D238" s="355">
        <v>0</v>
      </c>
      <c r="E238" s="375">
        <f>[23]Januari!$H$35</f>
        <v>0</v>
      </c>
      <c r="F238" s="375">
        <f>[23]Februari!$H$35</f>
        <v>0</v>
      </c>
      <c r="G238" s="375">
        <f>[23]Maret!$H$35</f>
        <v>0</v>
      </c>
      <c r="H238" s="375">
        <f>[23]April!$H$35</f>
        <v>0</v>
      </c>
      <c r="I238" s="375">
        <f>[23]Mei!$H$35</f>
        <v>0</v>
      </c>
      <c r="J238" s="375">
        <f>[23]Juni!$H$35</f>
        <v>0</v>
      </c>
      <c r="K238" s="375">
        <f>[23]Juli!$H$35</f>
        <v>0</v>
      </c>
      <c r="L238" s="375">
        <f>[23]Agustus!$H$35</f>
        <v>0</v>
      </c>
      <c r="M238" s="375">
        <f>[23]September!$H$35</f>
        <v>0</v>
      </c>
      <c r="N238" s="375">
        <f>[23]Oktober!$H$35</f>
        <v>0</v>
      </c>
      <c r="O238" s="375">
        <f>[23]Nopember!$H$35</f>
        <v>0</v>
      </c>
      <c r="P238" s="375">
        <f>[23]Desember!$H$35</f>
        <v>0</v>
      </c>
      <c r="Q238" s="346">
        <f t="shared" si="96"/>
        <v>0</v>
      </c>
      <c r="R238" s="1672">
        <f t="shared" si="100"/>
        <v>0</v>
      </c>
      <c r="S238" s="388"/>
      <c r="T238" s="448"/>
      <c r="V238" s="786"/>
      <c r="W238" s="786"/>
      <c r="X238" s="786"/>
    </row>
    <row r="239" spans="1:24" s="189" customFormat="1" ht="14.1" customHeight="1">
      <c r="A239" s="290"/>
      <c r="B239" s="2759" t="s">
        <v>50</v>
      </c>
      <c r="C239" s="859" t="s">
        <v>712</v>
      </c>
      <c r="D239" s="355">
        <v>0</v>
      </c>
      <c r="E239" s="375">
        <f>[23]Januari!$I$35</f>
        <v>0</v>
      </c>
      <c r="F239" s="375">
        <f>[23]Februari!$I$35</f>
        <v>0</v>
      </c>
      <c r="G239" s="375">
        <f>[23]Maret!$I$35</f>
        <v>0</v>
      </c>
      <c r="H239" s="375">
        <f>[23]April!$I$35</f>
        <v>0</v>
      </c>
      <c r="I239" s="375">
        <f>[23]Mei!$I$35</f>
        <v>0</v>
      </c>
      <c r="J239" s="375">
        <f>[23]Juni!$I$35</f>
        <v>0</v>
      </c>
      <c r="K239" s="375">
        <f>[23]Juli!$I$35</f>
        <v>0</v>
      </c>
      <c r="L239" s="375">
        <f>[23]Agustus!$I$35</f>
        <v>0</v>
      </c>
      <c r="M239" s="375">
        <f>[23]September!$I$35</f>
        <v>0</v>
      </c>
      <c r="N239" s="375">
        <f>[23]Oktober!$I$35</f>
        <v>0</v>
      </c>
      <c r="O239" s="375">
        <f>[23]Nopember!$I$35</f>
        <v>0</v>
      </c>
      <c r="P239" s="375">
        <f>[23]Desember!$I$35</f>
        <v>0</v>
      </c>
      <c r="Q239" s="346">
        <f t="shared" si="96"/>
        <v>0</v>
      </c>
      <c r="R239" s="1672">
        <f t="shared" si="100"/>
        <v>0</v>
      </c>
      <c r="S239" s="388"/>
      <c r="T239" s="448"/>
      <c r="V239" s="786"/>
      <c r="W239" s="786"/>
      <c r="X239" s="786"/>
    </row>
    <row r="240" spans="1:24" s="189" customFormat="1" ht="14.1" customHeight="1">
      <c r="A240" s="290"/>
      <c r="B240" s="2759" t="s">
        <v>50</v>
      </c>
      <c r="C240" s="859" t="s">
        <v>713</v>
      </c>
      <c r="D240" s="355">
        <v>0</v>
      </c>
      <c r="E240" s="375">
        <f>[23]Januari!$J$35</f>
        <v>0</v>
      </c>
      <c r="F240" s="375">
        <f>[23]Februari!$J$35</f>
        <v>0</v>
      </c>
      <c r="G240" s="375">
        <f>[23]Maret!$J$35</f>
        <v>0</v>
      </c>
      <c r="H240" s="375">
        <f>[23]April!$J$35</f>
        <v>0</v>
      </c>
      <c r="I240" s="375">
        <f>[23]Mei!$J$35</f>
        <v>0</v>
      </c>
      <c r="J240" s="375">
        <f>[23]Juni!$J$35</f>
        <v>0</v>
      </c>
      <c r="K240" s="375">
        <f>[23]Juli!$J$35</f>
        <v>0</v>
      </c>
      <c r="L240" s="375">
        <f>[23]Agustus!$J$35</f>
        <v>0</v>
      </c>
      <c r="M240" s="375">
        <f>[23]September!$J$35</f>
        <v>0</v>
      </c>
      <c r="N240" s="375">
        <f>[23]Oktober!$J$35</f>
        <v>0</v>
      </c>
      <c r="O240" s="375">
        <f>[23]Nopember!$J$35</f>
        <v>0</v>
      </c>
      <c r="P240" s="375">
        <f>[23]Desember!$J$35</f>
        <v>131995452.15000001</v>
      </c>
      <c r="Q240" s="346">
        <f t="shared" si="96"/>
        <v>131995452.15000001</v>
      </c>
      <c r="R240" s="1672">
        <f t="shared" si="100"/>
        <v>131995452.15000001</v>
      </c>
      <c r="S240" s="388"/>
      <c r="T240" s="448"/>
      <c r="V240" s="786"/>
      <c r="W240" s="786"/>
      <c r="X240" s="786"/>
    </row>
    <row r="241" spans="1:24" s="189" customFormat="1" ht="14.1" customHeight="1">
      <c r="A241" s="290"/>
      <c r="B241" s="2759" t="s">
        <v>50</v>
      </c>
      <c r="C241" s="859" t="s">
        <v>714</v>
      </c>
      <c r="D241" s="1556">
        <f>'[4]TARGET MURNI DAN PERUBAHAN'!D197</f>
        <v>0</v>
      </c>
      <c r="E241" s="375">
        <v>0</v>
      </c>
      <c r="F241" s="375">
        <v>0</v>
      </c>
      <c r="G241" s="375">
        <v>0</v>
      </c>
      <c r="H241" s="375">
        <v>0</v>
      </c>
      <c r="I241" s="375">
        <v>0</v>
      </c>
      <c r="J241" s="375">
        <v>0</v>
      </c>
      <c r="K241" s="375">
        <v>0</v>
      </c>
      <c r="L241" s="375">
        <v>0</v>
      </c>
      <c r="M241" s="375">
        <v>0</v>
      </c>
      <c r="N241" s="375">
        <v>0</v>
      </c>
      <c r="O241" s="375">
        <v>0</v>
      </c>
      <c r="P241" s="375">
        <v>0</v>
      </c>
      <c r="Q241" s="346">
        <f t="shared" si="96"/>
        <v>0</v>
      </c>
      <c r="R241" s="1672">
        <f t="shared" si="100"/>
        <v>0</v>
      </c>
      <c r="S241" s="388"/>
      <c r="T241" s="448"/>
      <c r="V241" s="786"/>
      <c r="W241" s="786"/>
      <c r="X241" s="786"/>
    </row>
    <row r="242" spans="1:24" s="245" customFormat="1" ht="14.1" customHeight="1">
      <c r="A242" s="575"/>
      <c r="B242" s="306"/>
      <c r="C242" s="306"/>
      <c r="D242" s="380"/>
      <c r="E242" s="380"/>
      <c r="F242" s="380"/>
      <c r="G242" s="380"/>
      <c r="H242" s="380"/>
      <c r="I242" s="380"/>
      <c r="J242" s="380"/>
      <c r="K242" s="380"/>
      <c r="L242" s="380"/>
      <c r="M242" s="380"/>
      <c r="N242" s="380"/>
      <c r="O242" s="380"/>
      <c r="P242" s="380"/>
      <c r="Q242" s="380"/>
      <c r="R242" s="1625"/>
      <c r="S242" s="501"/>
      <c r="T242" s="560"/>
      <c r="V242" s="1593"/>
      <c r="W242" s="1593"/>
      <c r="X242" s="1593"/>
    </row>
    <row r="243" spans="1:24" s="244" customFormat="1" ht="14.1" customHeight="1">
      <c r="A243" s="1696" t="s">
        <v>152</v>
      </c>
      <c r="B243" s="1553" t="s">
        <v>301</v>
      </c>
      <c r="C243" s="298"/>
      <c r="D243" s="835">
        <f>D244</f>
        <v>0</v>
      </c>
      <c r="E243" s="337">
        <f t="shared" ref="E243:Q243" si="101">E244</f>
        <v>0</v>
      </c>
      <c r="F243" s="337">
        <f t="shared" si="101"/>
        <v>0</v>
      </c>
      <c r="G243" s="337">
        <f t="shared" si="101"/>
        <v>0</v>
      </c>
      <c r="H243" s="337">
        <f t="shared" si="101"/>
        <v>0</v>
      </c>
      <c r="I243" s="337">
        <f t="shared" si="101"/>
        <v>0</v>
      </c>
      <c r="J243" s="337">
        <f t="shared" si="101"/>
        <v>0</v>
      </c>
      <c r="K243" s="337">
        <f t="shared" si="101"/>
        <v>0</v>
      </c>
      <c r="L243" s="337">
        <f t="shared" si="101"/>
        <v>0</v>
      </c>
      <c r="M243" s="337">
        <f t="shared" si="101"/>
        <v>0</v>
      </c>
      <c r="N243" s="337">
        <f t="shared" si="101"/>
        <v>1000000</v>
      </c>
      <c r="O243" s="337">
        <f t="shared" si="101"/>
        <v>2240000</v>
      </c>
      <c r="P243" s="337">
        <f t="shared" si="101"/>
        <v>1600000</v>
      </c>
      <c r="Q243" s="337">
        <f t="shared" si="101"/>
        <v>4840000</v>
      </c>
      <c r="R243" s="1636">
        <f>+Q243-D243</f>
        <v>4840000</v>
      </c>
      <c r="S243" s="338" t="e">
        <f>Q243/D243*100</f>
        <v>#DIV/0!</v>
      </c>
      <c r="T243" s="432"/>
      <c r="V243" s="434"/>
      <c r="W243" s="434"/>
      <c r="X243" s="434"/>
    </row>
    <row r="244" spans="1:24" s="189" customFormat="1" ht="14.1" customHeight="1">
      <c r="A244" s="290"/>
      <c r="B244" s="291" t="s">
        <v>71</v>
      </c>
      <c r="C244" s="291"/>
      <c r="D244" s="371">
        <f>SUM(D245:D249)</f>
        <v>0</v>
      </c>
      <c r="E244" s="398">
        <f>SUM(E245:E249)</f>
        <v>0</v>
      </c>
      <c r="F244" s="398">
        <f t="shared" ref="F244:P244" si="102">SUM(F245:F249)</f>
        <v>0</v>
      </c>
      <c r="G244" s="398">
        <f t="shared" si="102"/>
        <v>0</v>
      </c>
      <c r="H244" s="398">
        <f t="shared" si="102"/>
        <v>0</v>
      </c>
      <c r="I244" s="398">
        <f t="shared" si="102"/>
        <v>0</v>
      </c>
      <c r="J244" s="398">
        <f t="shared" si="102"/>
        <v>0</v>
      </c>
      <c r="K244" s="398">
        <f t="shared" si="102"/>
        <v>0</v>
      </c>
      <c r="L244" s="398">
        <f t="shared" si="102"/>
        <v>0</v>
      </c>
      <c r="M244" s="398">
        <f t="shared" si="102"/>
        <v>0</v>
      </c>
      <c r="N244" s="398">
        <f t="shared" si="102"/>
        <v>1000000</v>
      </c>
      <c r="O244" s="398">
        <f t="shared" si="102"/>
        <v>2240000</v>
      </c>
      <c r="P244" s="398">
        <f t="shared" si="102"/>
        <v>1600000</v>
      </c>
      <c r="Q244" s="367">
        <f t="shared" ref="Q244:Q249" si="103">SUM(E244:P244)</f>
        <v>4840000</v>
      </c>
      <c r="R244" s="1652">
        <f t="shared" ref="R244:R249" si="104">Q244-D244</f>
        <v>4840000</v>
      </c>
      <c r="S244" s="347" t="e">
        <f>Q244/D244*100</f>
        <v>#DIV/0!</v>
      </c>
      <c r="T244" s="699"/>
      <c r="V244" s="786"/>
      <c r="W244" s="786"/>
      <c r="X244" s="786"/>
    </row>
    <row r="245" spans="1:24" s="189" customFormat="1" ht="14.1" customHeight="1">
      <c r="A245" s="290"/>
      <c r="B245" s="2759" t="s">
        <v>50</v>
      </c>
      <c r="C245" s="859" t="s">
        <v>710</v>
      </c>
      <c r="D245" s="352">
        <v>0</v>
      </c>
      <c r="E245" s="691">
        <f>[24]Januari!$D$35</f>
        <v>0</v>
      </c>
      <c r="F245" s="691">
        <f>[24]Februari!$E$35</f>
        <v>0</v>
      </c>
      <c r="G245" s="691">
        <f>[24]Maret!$E$35</f>
        <v>0</v>
      </c>
      <c r="H245" s="691">
        <f>[24]April!$E$35</f>
        <v>0</v>
      </c>
      <c r="I245" s="691">
        <f>[24]Mei!$E$35</f>
        <v>0</v>
      </c>
      <c r="J245" s="691">
        <f>[24]Juni!$E$35</f>
        <v>0</v>
      </c>
      <c r="K245" s="691">
        <f>[24]Juli!$E$35</f>
        <v>0</v>
      </c>
      <c r="L245" s="691">
        <f>[24]Agustus!$E$35</f>
        <v>0</v>
      </c>
      <c r="M245" s="691">
        <f>[24]September!$E$35</f>
        <v>0</v>
      </c>
      <c r="N245" s="691">
        <f>[24]Oktober!$E$35</f>
        <v>0</v>
      </c>
      <c r="O245" s="691">
        <f>[24]Nopember!$E$35</f>
        <v>0</v>
      </c>
      <c r="P245" s="691">
        <f>[24]Desember!$E$35</f>
        <v>0</v>
      </c>
      <c r="Q245" s="595">
        <f t="shared" si="103"/>
        <v>0</v>
      </c>
      <c r="R245" s="1709">
        <f t="shared" si="104"/>
        <v>0</v>
      </c>
      <c r="S245" s="353"/>
      <c r="T245" s="548"/>
      <c r="V245" s="786"/>
      <c r="W245" s="786"/>
      <c r="X245" s="786"/>
    </row>
    <row r="246" spans="1:24" s="189" customFormat="1" ht="14.1" customHeight="1">
      <c r="A246" s="290"/>
      <c r="B246" s="2759" t="s">
        <v>50</v>
      </c>
      <c r="C246" s="859" t="s">
        <v>711</v>
      </c>
      <c r="D246" s="355"/>
      <c r="E246" s="375">
        <f>[24]Januari!$F$35</f>
        <v>0</v>
      </c>
      <c r="F246" s="375">
        <f>[24]Februari!$F$35</f>
        <v>0</v>
      </c>
      <c r="G246" s="375">
        <f>[24]Maret!$F$35</f>
        <v>0</v>
      </c>
      <c r="H246" s="375">
        <f>[24]April!$F$35</f>
        <v>0</v>
      </c>
      <c r="I246" s="375">
        <f>[24]Mei!$F$35</f>
        <v>0</v>
      </c>
      <c r="J246" s="375">
        <f>[24]Juni!$F$35</f>
        <v>0</v>
      </c>
      <c r="K246" s="375">
        <f>[24]Juli!$F$35</f>
        <v>0</v>
      </c>
      <c r="L246" s="375">
        <f>[24]Agustus!$F$35</f>
        <v>0</v>
      </c>
      <c r="M246" s="375">
        <f>[24]September!$F$35</f>
        <v>0</v>
      </c>
      <c r="N246" s="375">
        <f>[24]Oktober!$F$35</f>
        <v>0</v>
      </c>
      <c r="O246" s="375">
        <f>[24]Nopember!$F$35</f>
        <v>0</v>
      </c>
      <c r="P246" s="375">
        <f>[24]Desember!$F$35</f>
        <v>0</v>
      </c>
      <c r="Q246" s="595">
        <f t="shared" si="103"/>
        <v>0</v>
      </c>
      <c r="R246" s="1709">
        <f t="shared" si="104"/>
        <v>0</v>
      </c>
      <c r="S246" s="388"/>
      <c r="T246" s="448"/>
      <c r="V246" s="786"/>
      <c r="W246" s="786"/>
      <c r="X246" s="786"/>
    </row>
    <row r="247" spans="1:24" s="189" customFormat="1" ht="14.1" customHeight="1">
      <c r="A247" s="290"/>
      <c r="B247" s="2759" t="s">
        <v>50</v>
      </c>
      <c r="C247" s="859" t="s">
        <v>712</v>
      </c>
      <c r="D247" s="355"/>
      <c r="E247" s="375">
        <f>[24]Januari!$G$35</f>
        <v>0</v>
      </c>
      <c r="F247" s="375">
        <f>[24]Februari!$G$35</f>
        <v>0</v>
      </c>
      <c r="G247" s="375">
        <f>[24]Maret!$G$35</f>
        <v>0</v>
      </c>
      <c r="H247" s="375">
        <f>[24]April!$G$35</f>
        <v>0</v>
      </c>
      <c r="I247" s="375">
        <f>[24]Mei!$G$35</f>
        <v>0</v>
      </c>
      <c r="J247" s="375">
        <f>[24]Juni!$G$35</f>
        <v>0</v>
      </c>
      <c r="K247" s="375">
        <f>[24]Juli!$G$35</f>
        <v>0</v>
      </c>
      <c r="L247" s="375">
        <f>[24]Agustus!$G$35</f>
        <v>0</v>
      </c>
      <c r="M247" s="375">
        <f>[24]September!$G$35</f>
        <v>0</v>
      </c>
      <c r="N247" s="375">
        <f>[24]Oktober!$G$35</f>
        <v>0</v>
      </c>
      <c r="O247" s="375">
        <f>[24]Nopember!$G$35</f>
        <v>0</v>
      </c>
      <c r="P247" s="375">
        <f>[24]Desember!$G$35</f>
        <v>0</v>
      </c>
      <c r="Q247" s="595">
        <f t="shared" si="103"/>
        <v>0</v>
      </c>
      <c r="R247" s="1709">
        <f t="shared" si="104"/>
        <v>0</v>
      </c>
      <c r="S247" s="388"/>
      <c r="T247" s="448"/>
      <c r="V247" s="786"/>
      <c r="W247" s="786"/>
      <c r="X247" s="786"/>
    </row>
    <row r="248" spans="1:24" s="189" customFormat="1" ht="14.1" customHeight="1">
      <c r="A248" s="290"/>
      <c r="B248" s="2759" t="s">
        <v>50</v>
      </c>
      <c r="C248" s="859" t="s">
        <v>713</v>
      </c>
      <c r="D248" s="355"/>
      <c r="E248" s="375">
        <f>[24]Januari!$H$35</f>
        <v>0</v>
      </c>
      <c r="F248" s="375">
        <f>[24]Februari!$H$35</f>
        <v>0</v>
      </c>
      <c r="G248" s="375">
        <f>[24]Maret!$H$35</f>
        <v>0</v>
      </c>
      <c r="H248" s="375">
        <f>[24]April!$H$35</f>
        <v>0</v>
      </c>
      <c r="I248" s="375">
        <f>[24]Mei!$H$35</f>
        <v>0</v>
      </c>
      <c r="J248" s="375">
        <f>[24]Juni!$H$35</f>
        <v>0</v>
      </c>
      <c r="K248" s="375">
        <f>[24]Juli!$H$35</f>
        <v>0</v>
      </c>
      <c r="L248" s="375">
        <f>[24]Agustus!$H$35</f>
        <v>0</v>
      </c>
      <c r="M248" s="375">
        <f>[24]September!$H$35</f>
        <v>0</v>
      </c>
      <c r="N248" s="375">
        <f>[24]Oktober!$H$35</f>
        <v>1000000</v>
      </c>
      <c r="O248" s="375">
        <f>[24]Nopember!$H$35</f>
        <v>2240000</v>
      </c>
      <c r="P248" s="375">
        <f>[24]Desember!$H$35</f>
        <v>1600000</v>
      </c>
      <c r="Q248" s="595">
        <f t="shared" si="103"/>
        <v>4840000</v>
      </c>
      <c r="R248" s="1709">
        <f t="shared" si="104"/>
        <v>4840000</v>
      </c>
      <c r="S248" s="388"/>
      <c r="T248" s="448"/>
      <c r="V248" s="786"/>
      <c r="W248" s="786"/>
      <c r="X248" s="786"/>
    </row>
    <row r="249" spans="1:24" s="189" customFormat="1" ht="14.1" customHeight="1">
      <c r="A249" s="290"/>
      <c r="B249" s="2759" t="s">
        <v>50</v>
      </c>
      <c r="C249" s="859" t="s">
        <v>714</v>
      </c>
      <c r="D249" s="369">
        <f>'[4]TARGET MURNI DAN PERUBAHAN'!D202</f>
        <v>0</v>
      </c>
      <c r="E249" s="375">
        <v>0</v>
      </c>
      <c r="F249" s="375">
        <v>0</v>
      </c>
      <c r="G249" s="375">
        <v>0</v>
      </c>
      <c r="H249" s="375">
        <v>0</v>
      </c>
      <c r="I249" s="375">
        <v>0</v>
      </c>
      <c r="J249" s="375">
        <v>0</v>
      </c>
      <c r="K249" s="375">
        <v>0</v>
      </c>
      <c r="L249" s="375">
        <v>0</v>
      </c>
      <c r="M249" s="375">
        <v>0</v>
      </c>
      <c r="N249" s="375">
        <v>0</v>
      </c>
      <c r="O249" s="375">
        <v>0</v>
      </c>
      <c r="P249" s="375">
        <v>0</v>
      </c>
      <c r="Q249" s="595">
        <f t="shared" si="103"/>
        <v>0</v>
      </c>
      <c r="R249" s="1709">
        <f t="shared" si="104"/>
        <v>0</v>
      </c>
      <c r="S249" s="353"/>
      <c r="T249" s="449"/>
      <c r="V249" s="786"/>
      <c r="W249" s="786"/>
      <c r="X249" s="786"/>
    </row>
    <row r="250" spans="1:24" s="245" customFormat="1" ht="14.1" customHeight="1">
      <c r="A250" s="466"/>
      <c r="B250" s="297"/>
      <c r="C250" s="297"/>
      <c r="D250" s="334"/>
      <c r="E250" s="334"/>
      <c r="F250" s="334"/>
      <c r="G250" s="334"/>
      <c r="H250" s="334"/>
      <c r="I250" s="334"/>
      <c r="J250" s="334"/>
      <c r="K250" s="334"/>
      <c r="L250" s="334"/>
      <c r="M250" s="334"/>
      <c r="N250" s="334"/>
      <c r="O250" s="334"/>
      <c r="P250" s="334"/>
      <c r="Q250" s="334"/>
      <c r="R250" s="1710"/>
      <c r="S250" s="335"/>
      <c r="T250" s="430"/>
      <c r="V250" s="1593"/>
      <c r="W250" s="1593"/>
      <c r="X250" s="1593"/>
    </row>
    <row r="251" spans="1:24" s="244" customFormat="1" ht="14.1" customHeight="1">
      <c r="A251" s="1696" t="s">
        <v>154</v>
      </c>
      <c r="B251" s="1553" t="s">
        <v>155</v>
      </c>
      <c r="C251" s="619"/>
      <c r="D251" s="835">
        <f t="shared" ref="D251:P251" si="105">D253+D272</f>
        <v>236503329300</v>
      </c>
      <c r="E251" s="835">
        <f t="shared" si="105"/>
        <v>2068677316</v>
      </c>
      <c r="F251" s="835">
        <f t="shared" si="105"/>
        <v>2681726666</v>
      </c>
      <c r="G251" s="835">
        <f t="shared" si="105"/>
        <v>2299823390</v>
      </c>
      <c r="H251" s="835">
        <f t="shared" si="105"/>
        <v>4168316941.23</v>
      </c>
      <c r="I251" s="835">
        <f t="shared" si="105"/>
        <v>2646571497</v>
      </c>
      <c r="J251" s="835">
        <f t="shared" si="105"/>
        <v>2758110810.8400002</v>
      </c>
      <c r="K251" s="835">
        <f t="shared" si="105"/>
        <v>3198004409</v>
      </c>
      <c r="L251" s="835">
        <f t="shared" si="105"/>
        <v>2838813012.3299999</v>
      </c>
      <c r="M251" s="835">
        <f t="shared" si="105"/>
        <v>2303092836</v>
      </c>
      <c r="N251" s="835">
        <f t="shared" si="105"/>
        <v>8539251474</v>
      </c>
      <c r="O251" s="835">
        <f t="shared" si="105"/>
        <v>69448244952</v>
      </c>
      <c r="P251" s="835">
        <f t="shared" si="105"/>
        <v>64391828121</v>
      </c>
      <c r="Q251" s="337">
        <f>SUM(E251:P251)</f>
        <v>167342461425.39999</v>
      </c>
      <c r="R251" s="1636">
        <f>+Q251-D251</f>
        <v>-69160867874.600006</v>
      </c>
      <c r="S251" s="338">
        <f>+Q251/D251*100</f>
        <v>70.756915735900378</v>
      </c>
      <c r="T251" s="432"/>
      <c r="V251" s="434"/>
      <c r="W251" s="434"/>
      <c r="X251" s="434"/>
    </row>
    <row r="252" spans="1:24" s="189" customFormat="1" ht="14.1" customHeight="1">
      <c r="A252" s="280"/>
      <c r="D252" s="334"/>
      <c r="E252" s="334"/>
      <c r="F252" s="334"/>
      <c r="G252" s="334"/>
      <c r="H252" s="334"/>
      <c r="I252" s="334"/>
      <c r="J252" s="334"/>
      <c r="K252" s="334"/>
      <c r="L252" s="334"/>
      <c r="M252" s="334"/>
      <c r="N252" s="334"/>
      <c r="O252" s="334"/>
      <c r="P252" s="334"/>
      <c r="Q252" s="334"/>
      <c r="R252" s="1710"/>
      <c r="S252" s="335"/>
      <c r="T252" s="430"/>
      <c r="V252" s="786"/>
      <c r="W252" s="786"/>
      <c r="X252" s="786"/>
    </row>
    <row r="253" spans="1:24" s="1536" customFormat="1" ht="14.1" customHeight="1">
      <c r="A253" s="1699" t="s">
        <v>156</v>
      </c>
      <c r="B253" s="1700" t="s">
        <v>157</v>
      </c>
      <c r="C253" s="1701"/>
      <c r="D253" s="1702">
        <f>+D255</f>
        <v>125000000</v>
      </c>
      <c r="E253" s="1703">
        <f t="shared" ref="E253:Q253" si="106">+E255</f>
        <v>3510000</v>
      </c>
      <c r="F253" s="1703">
        <f t="shared" si="106"/>
        <v>29282534</v>
      </c>
      <c r="G253" s="1703">
        <f t="shared" si="106"/>
        <v>3800000</v>
      </c>
      <c r="H253" s="1703">
        <f t="shared" si="106"/>
        <v>5750913</v>
      </c>
      <c r="I253" s="1703">
        <f t="shared" si="106"/>
        <v>12155000</v>
      </c>
      <c r="J253" s="1703">
        <f t="shared" si="106"/>
        <v>6000000</v>
      </c>
      <c r="K253" s="1703">
        <f t="shared" si="106"/>
        <v>1300000</v>
      </c>
      <c r="L253" s="1703">
        <f t="shared" si="106"/>
        <v>4463700</v>
      </c>
      <c r="M253" s="1703">
        <f t="shared" si="106"/>
        <v>5705000</v>
      </c>
      <c r="N253" s="1703">
        <f t="shared" si="106"/>
        <v>9766050</v>
      </c>
      <c r="O253" s="1703">
        <f t="shared" si="106"/>
        <v>4000000</v>
      </c>
      <c r="P253" s="1703">
        <f t="shared" si="106"/>
        <v>20017287</v>
      </c>
      <c r="Q253" s="1703">
        <f t="shared" si="106"/>
        <v>105750484</v>
      </c>
      <c r="R253" s="1711">
        <f>Q253-D253</f>
        <v>-19249516</v>
      </c>
      <c r="S253" s="1712">
        <f>Q253/D253*100</f>
        <v>84.6003872</v>
      </c>
      <c r="T253" s="1713"/>
      <c r="V253" s="1714"/>
      <c r="W253" s="1714"/>
      <c r="X253" s="1714"/>
    </row>
    <row r="254" spans="1:24" s="189" customFormat="1" ht="6.75" customHeight="1">
      <c r="A254" s="1554"/>
      <c r="B254" s="1338"/>
      <c r="C254" s="1338"/>
      <c r="D254" s="1555"/>
      <c r="E254" s="1336"/>
      <c r="F254" s="1336"/>
      <c r="G254" s="1336"/>
      <c r="H254" s="1336"/>
      <c r="I254" s="1336"/>
      <c r="J254" s="1336"/>
      <c r="K254" s="1336"/>
      <c r="L254" s="1336"/>
      <c r="M254" s="1336"/>
      <c r="N254" s="1336"/>
      <c r="O254" s="1336"/>
      <c r="P254" s="1336"/>
      <c r="Q254" s="1336"/>
      <c r="R254" s="1628"/>
      <c r="S254" s="1337"/>
      <c r="T254" s="1342"/>
      <c r="V254" s="786"/>
      <c r="W254" s="786"/>
      <c r="X254" s="786"/>
    </row>
    <row r="255" spans="1:24" s="189" customFormat="1" ht="14.1" customHeight="1">
      <c r="A255" s="290"/>
      <c r="B255" s="291" t="s">
        <v>180</v>
      </c>
      <c r="C255" s="291"/>
      <c r="D255" s="371">
        <f>D257</f>
        <v>125000000</v>
      </c>
      <c r="E255" s="371">
        <f>E257+E265</f>
        <v>3510000</v>
      </c>
      <c r="F255" s="371">
        <f t="shared" ref="F255:P255" si="107">F257+F265</f>
        <v>29282534</v>
      </c>
      <c r="G255" s="371">
        <f t="shared" si="107"/>
        <v>3800000</v>
      </c>
      <c r="H255" s="371">
        <f t="shared" si="107"/>
        <v>5750913</v>
      </c>
      <c r="I255" s="371">
        <f t="shared" si="107"/>
        <v>12155000</v>
      </c>
      <c r="J255" s="371">
        <f t="shared" si="107"/>
        <v>6000000</v>
      </c>
      <c r="K255" s="371">
        <f t="shared" si="107"/>
        <v>1300000</v>
      </c>
      <c r="L255" s="371">
        <f t="shared" si="107"/>
        <v>4463700</v>
      </c>
      <c r="M255" s="371">
        <f t="shared" si="107"/>
        <v>5705000</v>
      </c>
      <c r="N255" s="371">
        <f t="shared" si="107"/>
        <v>9766050</v>
      </c>
      <c r="O255" s="371">
        <f t="shared" si="107"/>
        <v>4000000</v>
      </c>
      <c r="P255" s="371">
        <f t="shared" si="107"/>
        <v>20017287</v>
      </c>
      <c r="Q255" s="367">
        <f t="shared" ref="Q255:Q260" si="108">SUM(E255:P255)</f>
        <v>105750484</v>
      </c>
      <c r="R255" s="1652">
        <f>Q255-D255</f>
        <v>-19249516</v>
      </c>
      <c r="S255" s="347">
        <f>Q255/D255*100</f>
        <v>84.6003872</v>
      </c>
      <c r="T255" s="454"/>
      <c r="V255" s="786"/>
      <c r="W255" s="786"/>
      <c r="X255" s="786"/>
    </row>
    <row r="256" spans="1:24" s="189" customFormat="1" ht="6.75" customHeight="1">
      <c r="A256" s="290"/>
      <c r="B256" s="253"/>
      <c r="C256" s="253"/>
      <c r="D256" s="371"/>
      <c r="E256" s="371"/>
      <c r="F256" s="371"/>
      <c r="G256" s="371"/>
      <c r="H256" s="371"/>
      <c r="I256" s="371"/>
      <c r="J256" s="371"/>
      <c r="K256" s="371"/>
      <c r="L256" s="371"/>
      <c r="M256" s="371"/>
      <c r="N256" s="371"/>
      <c r="O256" s="371"/>
      <c r="P256" s="371"/>
      <c r="Q256" s="367">
        <f t="shared" si="108"/>
        <v>0</v>
      </c>
      <c r="R256" s="1652"/>
      <c r="S256" s="347"/>
      <c r="T256" s="454"/>
      <c r="V256" s="786"/>
      <c r="W256" s="786"/>
      <c r="X256" s="786"/>
    </row>
    <row r="257" spans="1:24" s="189" customFormat="1" ht="14.1" customHeight="1">
      <c r="A257" s="290"/>
      <c r="B257" s="291" t="s">
        <v>106</v>
      </c>
      <c r="C257" s="253"/>
      <c r="D257" s="371">
        <f>+D259</f>
        <v>125000000</v>
      </c>
      <c r="E257" s="371">
        <f t="shared" ref="E257:P257" si="109">+E259</f>
        <v>3510000</v>
      </c>
      <c r="F257" s="371">
        <f t="shared" si="109"/>
        <v>5655000</v>
      </c>
      <c r="G257" s="371">
        <f t="shared" si="109"/>
        <v>2600000</v>
      </c>
      <c r="H257" s="371">
        <f t="shared" si="109"/>
        <v>1950000</v>
      </c>
      <c r="I257" s="371">
        <f t="shared" si="109"/>
        <v>12155000</v>
      </c>
      <c r="J257" s="371">
        <f t="shared" si="109"/>
        <v>5200000</v>
      </c>
      <c r="K257" s="371">
        <f t="shared" si="109"/>
        <v>1300000</v>
      </c>
      <c r="L257" s="371">
        <f t="shared" si="109"/>
        <v>0</v>
      </c>
      <c r="M257" s="371">
        <f t="shared" si="109"/>
        <v>3705000</v>
      </c>
      <c r="N257" s="371">
        <f t="shared" si="109"/>
        <v>3250000</v>
      </c>
      <c r="O257" s="371">
        <f t="shared" si="109"/>
        <v>3900000</v>
      </c>
      <c r="P257" s="371">
        <f t="shared" si="109"/>
        <v>1950000</v>
      </c>
      <c r="Q257" s="367">
        <f t="shared" si="108"/>
        <v>45175000</v>
      </c>
      <c r="R257" s="1652">
        <f>Q257-D257</f>
        <v>-79825000</v>
      </c>
      <c r="S257" s="347">
        <f>Q257/D257*100</f>
        <v>36.14</v>
      </c>
      <c r="T257" s="454"/>
      <c r="V257" s="786"/>
      <c r="W257" s="786"/>
      <c r="X257" s="786"/>
    </row>
    <row r="258" spans="1:24" s="189" customFormat="1" ht="6.75" customHeight="1">
      <c r="A258" s="290"/>
      <c r="B258" s="253"/>
      <c r="C258" s="253"/>
      <c r="D258" s="355"/>
      <c r="E258" s="355"/>
      <c r="F258" s="355"/>
      <c r="G258" s="355"/>
      <c r="H258" s="355"/>
      <c r="I258" s="355"/>
      <c r="J258" s="355"/>
      <c r="K258" s="355"/>
      <c r="L258" s="355"/>
      <c r="M258" s="355"/>
      <c r="N258" s="355"/>
      <c r="O258" s="355"/>
      <c r="P258" s="355"/>
      <c r="Q258" s="367">
        <f t="shared" si="108"/>
        <v>0</v>
      </c>
      <c r="R258" s="1630"/>
      <c r="S258" s="388"/>
      <c r="T258" s="441"/>
      <c r="V258" s="786"/>
      <c r="W258" s="786"/>
      <c r="X258" s="786"/>
    </row>
    <row r="259" spans="1:24" s="189" customFormat="1" ht="16.45" customHeight="1">
      <c r="A259" s="290"/>
      <c r="B259" s="291" t="s">
        <v>63</v>
      </c>
      <c r="C259" s="253"/>
      <c r="D259" s="371">
        <f>D260</f>
        <v>125000000</v>
      </c>
      <c r="E259" s="371">
        <f t="shared" ref="E259:P259" si="110">E260</f>
        <v>3510000</v>
      </c>
      <c r="F259" s="371">
        <f t="shared" si="110"/>
        <v>5655000</v>
      </c>
      <c r="G259" s="371">
        <f t="shared" si="110"/>
        <v>2600000</v>
      </c>
      <c r="H259" s="371">
        <f t="shared" si="110"/>
        <v>1950000</v>
      </c>
      <c r="I259" s="371">
        <f t="shared" si="110"/>
        <v>12155000</v>
      </c>
      <c r="J259" s="371">
        <f t="shared" si="110"/>
        <v>5200000</v>
      </c>
      <c r="K259" s="371">
        <f t="shared" si="110"/>
        <v>1300000</v>
      </c>
      <c r="L259" s="371">
        <f t="shared" si="110"/>
        <v>0</v>
      </c>
      <c r="M259" s="371">
        <f t="shared" si="110"/>
        <v>3705000</v>
      </c>
      <c r="N259" s="371">
        <f t="shared" si="110"/>
        <v>3250000</v>
      </c>
      <c r="O259" s="371">
        <f t="shared" si="110"/>
        <v>3900000</v>
      </c>
      <c r="P259" s="371">
        <f t="shared" si="110"/>
        <v>1950000</v>
      </c>
      <c r="Q259" s="367">
        <f t="shared" si="108"/>
        <v>45175000</v>
      </c>
      <c r="R259" s="1652">
        <f t="shared" ref="R259:R301" si="111">Q259-D259</f>
        <v>-79825000</v>
      </c>
      <c r="S259" s="399">
        <f t="shared" ref="S259:S301" si="112">Q259/D259*100</f>
        <v>36.14</v>
      </c>
      <c r="T259" s="441"/>
      <c r="V259" s="786"/>
      <c r="W259" s="786"/>
      <c r="X259" s="786"/>
    </row>
    <row r="260" spans="1:24" s="252" customFormat="1" ht="19.600000000000001" customHeight="1">
      <c r="A260" s="292"/>
      <c r="B260" s="1715" t="s">
        <v>64</v>
      </c>
      <c r="C260" s="253"/>
      <c r="D260" s="830">
        <f>SUM(D261:D263)</f>
        <v>125000000</v>
      </c>
      <c r="E260" s="830">
        <f t="shared" ref="E260:P260" si="113">SUM(E261:E263)</f>
        <v>3510000</v>
      </c>
      <c r="F260" s="830">
        <f t="shared" si="113"/>
        <v>5655000</v>
      </c>
      <c r="G260" s="830">
        <f t="shared" si="113"/>
        <v>2600000</v>
      </c>
      <c r="H260" s="830">
        <f t="shared" si="113"/>
        <v>1950000</v>
      </c>
      <c r="I260" s="830">
        <f t="shared" si="113"/>
        <v>12155000</v>
      </c>
      <c r="J260" s="830">
        <f t="shared" si="113"/>
        <v>5200000</v>
      </c>
      <c r="K260" s="830">
        <f t="shared" si="113"/>
        <v>1300000</v>
      </c>
      <c r="L260" s="830">
        <f t="shared" si="113"/>
        <v>0</v>
      </c>
      <c r="M260" s="830">
        <f t="shared" si="113"/>
        <v>3705000</v>
      </c>
      <c r="N260" s="830">
        <f t="shared" si="113"/>
        <v>3250000</v>
      </c>
      <c r="O260" s="830">
        <f t="shared" si="113"/>
        <v>3900000</v>
      </c>
      <c r="P260" s="830">
        <f t="shared" si="113"/>
        <v>1950000</v>
      </c>
      <c r="Q260" s="831">
        <f t="shared" si="108"/>
        <v>45175000</v>
      </c>
      <c r="R260" s="1729">
        <f t="shared" si="111"/>
        <v>-79825000</v>
      </c>
      <c r="S260" s="1393">
        <f t="shared" si="112"/>
        <v>36.14</v>
      </c>
      <c r="T260" s="438"/>
      <c r="V260" s="786"/>
      <c r="W260" s="786"/>
      <c r="X260" s="786"/>
    </row>
    <row r="261" spans="1:24" s="252" customFormat="1" ht="14.1" customHeight="1">
      <c r="A261" s="290"/>
      <c r="B261" s="253" t="s">
        <v>50</v>
      </c>
      <c r="C261" s="253" t="s">
        <v>755</v>
      </c>
      <c r="D261" s="1556">
        <f>'[4]TARGET MURNI DAN PERUBAHAN'!D210</f>
        <v>30000000</v>
      </c>
      <c r="E261" s="355">
        <f>[25]Januari!$D$70</f>
        <v>1300000</v>
      </c>
      <c r="F261" s="355">
        <f>[25]Februari!$D$70</f>
        <v>1300000</v>
      </c>
      <c r="G261" s="355">
        <f>[25]Maret!$D$70</f>
        <v>1300000</v>
      </c>
      <c r="H261" s="355">
        <f>[25]April!$D$70</f>
        <v>0</v>
      </c>
      <c r="I261" s="355">
        <f>[25]Mei!$D$70</f>
        <v>6500000</v>
      </c>
      <c r="J261" s="355">
        <f>[25]Juni!$D$70</f>
        <v>3900000</v>
      </c>
      <c r="K261" s="355">
        <f>[25]Juli!$D$70</f>
        <v>0</v>
      </c>
      <c r="L261" s="355">
        <f>[25]Agustus!$D$70</f>
        <v>0</v>
      </c>
      <c r="M261" s="355">
        <f>[25]September!$D$70</f>
        <v>2600000</v>
      </c>
      <c r="N261" s="355">
        <f>[25]Oktober!$D$70</f>
        <v>1300000</v>
      </c>
      <c r="O261" s="355">
        <f>[25]Nopember!$D$70</f>
        <v>3900000</v>
      </c>
      <c r="P261" s="355">
        <f>[25]DESEMBER!$D$70</f>
        <v>1300000</v>
      </c>
      <c r="Q261" s="346">
        <f t="shared" ref="Q261:Q301" si="114">SUM(E261:P261)</f>
        <v>23400000</v>
      </c>
      <c r="R261" s="1630">
        <f t="shared" si="111"/>
        <v>-6600000</v>
      </c>
      <c r="S261" s="388">
        <f t="shared" si="112"/>
        <v>78</v>
      </c>
      <c r="T261" s="441"/>
      <c r="V261" s="434">
        <f>Q261/9</f>
        <v>2600000</v>
      </c>
      <c r="W261" s="786"/>
      <c r="X261" s="786"/>
    </row>
    <row r="262" spans="1:24" s="252" customFormat="1" ht="14.1" customHeight="1">
      <c r="A262" s="290"/>
      <c r="B262" s="253" t="s">
        <v>50</v>
      </c>
      <c r="C262" s="253" t="s">
        <v>756</v>
      </c>
      <c r="D262" s="1556">
        <f>'[4]TARGET MURNI DAN PERUBAHAN'!D211</f>
        <v>20000000</v>
      </c>
      <c r="E262" s="375">
        <f>[25]Januari!$E$70</f>
        <v>1300000</v>
      </c>
      <c r="F262" s="375">
        <f>[25]Februari!$E$70</f>
        <v>650000</v>
      </c>
      <c r="G262" s="375">
        <f>[25]Maret!$E$70</f>
        <v>1300000</v>
      </c>
      <c r="H262" s="375">
        <f>[25]April!$E$70</f>
        <v>1300000</v>
      </c>
      <c r="I262" s="375">
        <f>[25]Mei!$E$70</f>
        <v>5200000</v>
      </c>
      <c r="J262" s="375">
        <f>[25]Juni!$E$70</f>
        <v>1300000</v>
      </c>
      <c r="K262" s="375">
        <f>[25]Juli!$E$70</f>
        <v>0</v>
      </c>
      <c r="L262" s="375">
        <f>[25]Agustus!$E$70</f>
        <v>0</v>
      </c>
      <c r="M262" s="375">
        <f>[25]September!$E$70</f>
        <v>650000</v>
      </c>
      <c r="N262" s="375">
        <f>[25]Oktober!$E$70</f>
        <v>1950000</v>
      </c>
      <c r="O262" s="375">
        <f>[25]Nopember!$E$70</f>
        <v>0</v>
      </c>
      <c r="P262" s="375">
        <f>[25]DESEMBER!$E$70</f>
        <v>650000</v>
      </c>
      <c r="Q262" s="346">
        <f t="shared" si="114"/>
        <v>14300000</v>
      </c>
      <c r="R262" s="1630">
        <f t="shared" si="111"/>
        <v>-5700000</v>
      </c>
      <c r="S262" s="388">
        <f t="shared" si="112"/>
        <v>71.5</v>
      </c>
      <c r="T262" s="448"/>
      <c r="V262" s="434">
        <f>Q262/9</f>
        <v>1588888.888888889</v>
      </c>
      <c r="W262" s="786"/>
      <c r="X262" s="786"/>
    </row>
    <row r="263" spans="1:24" s="252" customFormat="1" ht="14.1" customHeight="1">
      <c r="A263" s="290"/>
      <c r="B263" s="253" t="s">
        <v>50</v>
      </c>
      <c r="C263" s="253" t="s">
        <v>757</v>
      </c>
      <c r="D263" s="1556">
        <f>'[4]TARGET MURNI DAN PERUBAHAN'!D212</f>
        <v>75000000</v>
      </c>
      <c r="E263" s="375">
        <f>[25]Januari!$F$70</f>
        <v>910000</v>
      </c>
      <c r="F263" s="375">
        <f>[25]Februari!$F$70</f>
        <v>3705000</v>
      </c>
      <c r="G263" s="375">
        <f>[25]Maret!$F$70</f>
        <v>0</v>
      </c>
      <c r="H263" s="375">
        <f>[25]April!$F$70</f>
        <v>650000</v>
      </c>
      <c r="I263" s="375">
        <f>[25]Mei!$F$70</f>
        <v>455000</v>
      </c>
      <c r="J263" s="375">
        <f>[25]Juni!$F$70</f>
        <v>0</v>
      </c>
      <c r="K263" s="375">
        <f>[25]Juli!$F$70</f>
        <v>1300000</v>
      </c>
      <c r="L263" s="375">
        <f>[25]Agustus!$F$70</f>
        <v>0</v>
      </c>
      <c r="M263" s="375">
        <f>[25]September!$F$70</f>
        <v>455000</v>
      </c>
      <c r="N263" s="375">
        <f>[25]Oktober!$F$70</f>
        <v>0</v>
      </c>
      <c r="O263" s="375">
        <f>[25]Nopember!$F$70</f>
        <v>0</v>
      </c>
      <c r="P263" s="375">
        <f>[25]DESEMBER!$F$70</f>
        <v>0</v>
      </c>
      <c r="Q263" s="346">
        <f t="shared" si="114"/>
        <v>7475000</v>
      </c>
      <c r="R263" s="1630">
        <f t="shared" si="111"/>
        <v>-67525000</v>
      </c>
      <c r="S263" s="388">
        <f t="shared" si="112"/>
        <v>9.9666666666666668</v>
      </c>
      <c r="T263" s="448"/>
      <c r="V263" s="434">
        <f>Q263/9</f>
        <v>830555.5555555555</v>
      </c>
      <c r="W263" s="786"/>
      <c r="X263" s="786"/>
    </row>
    <row r="264" spans="1:24" s="252" customFormat="1" ht="14.1" customHeight="1">
      <c r="A264" s="466"/>
      <c r="B264" s="189"/>
      <c r="C264" s="253"/>
      <c r="D264" s="1716"/>
      <c r="E264" s="691"/>
      <c r="F264" s="691"/>
      <c r="G264" s="691"/>
      <c r="H264" s="691"/>
      <c r="I264" s="691"/>
      <c r="J264" s="691"/>
      <c r="K264" s="691"/>
      <c r="L264" s="691"/>
      <c r="M264" s="691"/>
      <c r="N264" s="691"/>
      <c r="O264" s="691"/>
      <c r="P264" s="691"/>
      <c r="Q264" s="595"/>
      <c r="R264" s="1709"/>
      <c r="S264" s="353"/>
      <c r="T264" s="449"/>
      <c r="V264" s="786"/>
      <c r="W264" s="786"/>
      <c r="X264" s="786"/>
    </row>
    <row r="265" spans="1:24" s="190" customFormat="1" ht="14.1" customHeight="1">
      <c r="A265" s="290"/>
      <c r="B265" s="291" t="s">
        <v>71</v>
      </c>
      <c r="C265" s="291"/>
      <c r="D265" s="371">
        <f>SUM(D266:D270)</f>
        <v>0</v>
      </c>
      <c r="E265" s="371">
        <f>SUM(E266:E270)</f>
        <v>0</v>
      </c>
      <c r="F265" s="371">
        <f t="shared" ref="F265:P265" si="115">SUM(F266:F270)</f>
        <v>23627534</v>
      </c>
      <c r="G265" s="371">
        <f t="shared" si="115"/>
        <v>1200000</v>
      </c>
      <c r="H265" s="371">
        <f t="shared" si="115"/>
        <v>3800913</v>
      </c>
      <c r="I265" s="371">
        <f t="shared" si="115"/>
        <v>0</v>
      </c>
      <c r="J265" s="371">
        <f t="shared" si="115"/>
        <v>800000</v>
      </c>
      <c r="K265" s="371">
        <f t="shared" si="115"/>
        <v>0</v>
      </c>
      <c r="L265" s="371">
        <f t="shared" si="115"/>
        <v>4463700</v>
      </c>
      <c r="M265" s="371">
        <f t="shared" si="115"/>
        <v>2000000</v>
      </c>
      <c r="N265" s="371">
        <f t="shared" si="115"/>
        <v>6516050</v>
      </c>
      <c r="O265" s="371">
        <f t="shared" si="115"/>
        <v>100000</v>
      </c>
      <c r="P265" s="371">
        <f t="shared" si="115"/>
        <v>18067287</v>
      </c>
      <c r="Q265" s="367">
        <f t="shared" ref="Q265:Q270" si="116">SUM(E265:P265)</f>
        <v>60575484</v>
      </c>
      <c r="R265" s="1708">
        <f t="shared" ref="R265:R270" si="117">Q265-D265</f>
        <v>60575484</v>
      </c>
      <c r="S265" s="388" t="e">
        <f>Q265/D265*100</f>
        <v>#DIV/0!</v>
      </c>
      <c r="T265" s="651"/>
      <c r="V265" s="786"/>
      <c r="W265" s="786"/>
      <c r="X265" s="786"/>
    </row>
    <row r="266" spans="1:24" s="190" customFormat="1" ht="14.1" customHeight="1">
      <c r="A266" s="290"/>
      <c r="B266" s="2759" t="s">
        <v>50</v>
      </c>
      <c r="C266" s="859" t="s">
        <v>710</v>
      </c>
      <c r="D266" s="371">
        <v>0</v>
      </c>
      <c r="E266" s="375">
        <f>[25]Januari!$X$70</f>
        <v>0</v>
      </c>
      <c r="F266" s="375">
        <f>[25]Februari!$X$70</f>
        <v>0</v>
      </c>
      <c r="G266" s="375">
        <f>[25]Maret!$X$70</f>
        <v>0</v>
      </c>
      <c r="H266" s="375">
        <f>[25]April!$X$70</f>
        <v>0</v>
      </c>
      <c r="I266" s="375">
        <f>[25]Mei!$X$70</f>
        <v>0</v>
      </c>
      <c r="J266" s="375">
        <f>[25]Juni!$X$70</f>
        <v>0</v>
      </c>
      <c r="K266" s="375">
        <f>[25]Juli!$X$70</f>
        <v>0</v>
      </c>
      <c r="L266" s="375">
        <f>[25]Agustus!$X$70</f>
        <v>0</v>
      </c>
      <c r="M266" s="375">
        <f>[25]September!$X$70</f>
        <v>0</v>
      </c>
      <c r="N266" s="375">
        <f>[25]Oktober!$X$70</f>
        <v>0</v>
      </c>
      <c r="O266" s="375">
        <f>[25]Nopember!$X$70</f>
        <v>0</v>
      </c>
      <c r="P266" s="375">
        <f>[25]DESEMBER!$X$70</f>
        <v>0</v>
      </c>
      <c r="Q266" s="346">
        <f t="shared" si="116"/>
        <v>0</v>
      </c>
      <c r="R266" s="1672">
        <f t="shared" si="117"/>
        <v>0</v>
      </c>
      <c r="S266" s="600">
        <f>SUM(S267:S269)</f>
        <v>0</v>
      </c>
      <c r="T266" s="699"/>
      <c r="V266" s="786"/>
      <c r="W266" s="786"/>
      <c r="X266" s="786"/>
    </row>
    <row r="267" spans="1:24" s="189" customFormat="1" ht="14.1" customHeight="1">
      <c r="A267" s="290"/>
      <c r="B267" s="2759" t="s">
        <v>50</v>
      </c>
      <c r="C267" s="859" t="s">
        <v>711</v>
      </c>
      <c r="D267" s="355">
        <v>0</v>
      </c>
      <c r="E267" s="375">
        <f>[25]Januari!$Z$70</f>
        <v>0</v>
      </c>
      <c r="F267" s="375">
        <f>[25]Februari!$Z$70</f>
        <v>0</v>
      </c>
      <c r="G267" s="375">
        <f>[25]Maret!$Z$70</f>
        <v>0</v>
      </c>
      <c r="H267" s="375">
        <f>[25]April!$Z$70</f>
        <v>0</v>
      </c>
      <c r="I267" s="375">
        <f>[25]Mei!$Z$70</f>
        <v>0</v>
      </c>
      <c r="J267" s="375">
        <f>[25]Juni!$Z$70</f>
        <v>0</v>
      </c>
      <c r="K267" s="375">
        <f>[25]Juli!$Z$70</f>
        <v>0</v>
      </c>
      <c r="L267" s="375">
        <f>[25]Agustus!$Z$70</f>
        <v>0</v>
      </c>
      <c r="M267" s="375">
        <f>[25]September!$Z$70</f>
        <v>0</v>
      </c>
      <c r="N267" s="375">
        <f>[25]Oktober!$Z$70</f>
        <v>0</v>
      </c>
      <c r="O267" s="375">
        <f>[25]Nopember!$Z$70</f>
        <v>0</v>
      </c>
      <c r="P267" s="375">
        <f>[25]DESEMBER!$Z$70</f>
        <v>0</v>
      </c>
      <c r="Q267" s="346">
        <f t="shared" si="116"/>
        <v>0</v>
      </c>
      <c r="R267" s="1672">
        <f t="shared" si="117"/>
        <v>0</v>
      </c>
      <c r="S267" s="388"/>
      <c r="T267" s="448"/>
      <c r="V267" s="786"/>
      <c r="W267" s="786"/>
      <c r="X267" s="786"/>
    </row>
    <row r="268" spans="1:24" s="189" customFormat="1" ht="14.1" customHeight="1">
      <c r="A268" s="290"/>
      <c r="B268" s="2759" t="s">
        <v>50</v>
      </c>
      <c r="C268" s="859" t="s">
        <v>712</v>
      </c>
      <c r="D268" s="355">
        <v>0</v>
      </c>
      <c r="E268" s="375">
        <f>[25]Januari!$AA$70</f>
        <v>0</v>
      </c>
      <c r="F268" s="375">
        <f>[25]Februari!$AA$70</f>
        <v>0</v>
      </c>
      <c r="G268" s="375">
        <f>[25]Maret!$AA$70</f>
        <v>0</v>
      </c>
      <c r="H268" s="375">
        <f>[25]April!$AA$70</f>
        <v>0</v>
      </c>
      <c r="I268" s="375">
        <f>[25]Mei!$AA$70</f>
        <v>0</v>
      </c>
      <c r="J268" s="375">
        <f>[25]Juni!$AA$70</f>
        <v>0</v>
      </c>
      <c r="K268" s="375">
        <f>[25]Juli!$AA$70</f>
        <v>0</v>
      </c>
      <c r="L268" s="375">
        <f>[25]Agustus!$AA$70</f>
        <v>0</v>
      </c>
      <c r="M268" s="375">
        <f>[25]September!$AA$70</f>
        <v>0</v>
      </c>
      <c r="N268" s="375">
        <f>[25]Oktober!$AA$70</f>
        <v>0</v>
      </c>
      <c r="O268" s="375">
        <f>[25]Nopember!$AA$70</f>
        <v>0</v>
      </c>
      <c r="P268" s="375">
        <f>[25]DESEMBER!$AA$70</f>
        <v>0</v>
      </c>
      <c r="Q268" s="346">
        <f t="shared" si="116"/>
        <v>0</v>
      </c>
      <c r="R268" s="1672">
        <f t="shared" si="117"/>
        <v>0</v>
      </c>
      <c r="S268" s="388"/>
      <c r="T268" s="448"/>
      <c r="V268" s="786"/>
      <c r="W268" s="786"/>
      <c r="X268" s="786"/>
    </row>
    <row r="269" spans="1:24" s="189" customFormat="1" ht="14.1" customHeight="1">
      <c r="A269" s="290"/>
      <c r="B269" s="2759" t="s">
        <v>50</v>
      </c>
      <c r="C269" s="859" t="s">
        <v>713</v>
      </c>
      <c r="D269" s="355">
        <v>0</v>
      </c>
      <c r="E269" s="375">
        <f>[25]Januari!$AB$70</f>
        <v>0</v>
      </c>
      <c r="F269" s="375">
        <f>[25]Februari!$AB$70</f>
        <v>23627534</v>
      </c>
      <c r="G269" s="375">
        <f>[25]Maret!$AB$70</f>
        <v>1200000</v>
      </c>
      <c r="H269" s="375">
        <f>[25]April!$AB$70</f>
        <v>3800913</v>
      </c>
      <c r="I269" s="375">
        <f>[25]Mei!$AB$70</f>
        <v>0</v>
      </c>
      <c r="J269" s="375">
        <f>[25]Juni!$AB$70</f>
        <v>800000</v>
      </c>
      <c r="K269" s="375">
        <f>[25]Juli!$AB$70</f>
        <v>0</v>
      </c>
      <c r="L269" s="375">
        <f>[25]Agustus!$AB$70</f>
        <v>4463700</v>
      </c>
      <c r="M269" s="375">
        <f>[25]September!$AB$70</f>
        <v>2000000</v>
      </c>
      <c r="N269" s="375">
        <f>[25]Oktober!$AB$70</f>
        <v>6516050</v>
      </c>
      <c r="O269" s="375">
        <f>[25]Nopember!$AB$70</f>
        <v>100000</v>
      </c>
      <c r="P269" s="375">
        <f>[25]DESEMBER!$AB$70</f>
        <v>18067287</v>
      </c>
      <c r="Q269" s="346">
        <f t="shared" si="116"/>
        <v>60575484</v>
      </c>
      <c r="R269" s="1672">
        <f t="shared" si="117"/>
        <v>60575484</v>
      </c>
      <c r="S269" s="388"/>
      <c r="T269" s="448"/>
      <c r="V269" s="786"/>
      <c r="W269" s="786"/>
      <c r="X269" s="786"/>
    </row>
    <row r="270" spans="1:24" s="189" customFormat="1" ht="14.1" customHeight="1">
      <c r="A270" s="290"/>
      <c r="B270" s="2759" t="s">
        <v>50</v>
      </c>
      <c r="C270" s="859" t="s">
        <v>714</v>
      </c>
      <c r="D270" s="1556">
        <v>0</v>
      </c>
      <c r="E270" s="375">
        <v>0</v>
      </c>
      <c r="F270" s="375">
        <v>0</v>
      </c>
      <c r="G270" s="375">
        <v>0</v>
      </c>
      <c r="H270" s="375">
        <v>0</v>
      </c>
      <c r="I270" s="375">
        <v>0</v>
      </c>
      <c r="J270" s="375">
        <v>0</v>
      </c>
      <c r="K270" s="375">
        <v>0</v>
      </c>
      <c r="L270" s="375">
        <v>0</v>
      </c>
      <c r="M270" s="375">
        <v>0</v>
      </c>
      <c r="N270" s="375">
        <v>0</v>
      </c>
      <c r="O270" s="375">
        <v>0</v>
      </c>
      <c r="P270" s="375">
        <v>0</v>
      </c>
      <c r="Q270" s="346">
        <f t="shared" si="116"/>
        <v>0</v>
      </c>
      <c r="R270" s="1672">
        <f t="shared" si="117"/>
        <v>0</v>
      </c>
      <c r="S270" s="388"/>
      <c r="T270" s="448"/>
      <c r="V270" s="786"/>
      <c r="W270" s="786"/>
      <c r="X270" s="786"/>
    </row>
    <row r="271" spans="1:24" s="252" customFormat="1" ht="14.1" customHeight="1">
      <c r="A271" s="466"/>
      <c r="B271" s="189"/>
      <c r="C271" s="253"/>
      <c r="D271" s="352"/>
      <c r="E271" s="691"/>
      <c r="F271" s="691"/>
      <c r="G271" s="691"/>
      <c r="H271" s="691"/>
      <c r="I271" s="691"/>
      <c r="J271" s="691"/>
      <c r="K271" s="691"/>
      <c r="L271" s="691"/>
      <c r="M271" s="691"/>
      <c r="N271" s="691"/>
      <c r="O271" s="691"/>
      <c r="P271" s="691"/>
      <c r="Q271" s="595"/>
      <c r="R271" s="1709"/>
      <c r="S271" s="353"/>
      <c r="T271" s="449"/>
      <c r="V271" s="786"/>
      <c r="W271" s="786"/>
      <c r="X271" s="786"/>
    </row>
    <row r="272" spans="1:24" s="1537" customFormat="1" ht="19.600000000000001" customHeight="1">
      <c r="A272" s="1717" t="s">
        <v>161</v>
      </c>
      <c r="B272" s="1718" t="s">
        <v>177</v>
      </c>
      <c r="C272" s="1719"/>
      <c r="D272" s="1720">
        <f>D273</f>
        <v>236378329300</v>
      </c>
      <c r="E272" s="1720">
        <f t="shared" ref="E272:P272" si="118">E273</f>
        <v>2065167316</v>
      </c>
      <c r="F272" s="1720">
        <f t="shared" si="118"/>
        <v>2652444132</v>
      </c>
      <c r="G272" s="1720">
        <f t="shared" si="118"/>
        <v>2296023390</v>
      </c>
      <c r="H272" s="1720">
        <f t="shared" si="118"/>
        <v>4162566028.23</v>
      </c>
      <c r="I272" s="1720">
        <f t="shared" si="118"/>
        <v>2634416497</v>
      </c>
      <c r="J272" s="1720">
        <f t="shared" si="118"/>
        <v>2752110810.8400002</v>
      </c>
      <c r="K272" s="1720">
        <f t="shared" si="118"/>
        <v>3196704409</v>
      </c>
      <c r="L272" s="1720">
        <f t="shared" si="118"/>
        <v>2834349312.3299999</v>
      </c>
      <c r="M272" s="1720">
        <f t="shared" si="118"/>
        <v>2297387836</v>
      </c>
      <c r="N272" s="1720">
        <f t="shared" si="118"/>
        <v>8529485424</v>
      </c>
      <c r="O272" s="1720">
        <f t="shared" si="118"/>
        <v>69444244952</v>
      </c>
      <c r="P272" s="1720">
        <f t="shared" si="118"/>
        <v>64371810834</v>
      </c>
      <c r="Q272" s="1730">
        <f>SUM(E272:P272)</f>
        <v>167236710941.39999</v>
      </c>
      <c r="R272" s="1731">
        <f>Q272-D272</f>
        <v>-69141618358.600006</v>
      </c>
      <c r="S272" s="1732">
        <f>Q272/D272*100</f>
        <v>70.749595124327669</v>
      </c>
      <c r="T272" s="1733"/>
      <c r="V272" s="1734"/>
      <c r="W272" s="1734"/>
      <c r="X272" s="1734"/>
    </row>
    <row r="273" spans="1:24" s="252" customFormat="1" ht="23.35" customHeight="1">
      <c r="A273" s="1721"/>
      <c r="B273" s="1722" t="s">
        <v>180</v>
      </c>
      <c r="C273" s="1723"/>
      <c r="D273" s="1724">
        <f>D275+D292+D303+D354</f>
        <v>236378329300</v>
      </c>
      <c r="E273" s="1724">
        <f>E275+E292+E303+E354</f>
        <v>2065167316</v>
      </c>
      <c r="F273" s="1724">
        <f t="shared" ref="F273:P273" si="119">F275+F292+F303+F354</f>
        <v>2652444132</v>
      </c>
      <c r="G273" s="1724">
        <f t="shared" si="119"/>
        <v>2296023390</v>
      </c>
      <c r="H273" s="1724">
        <f t="shared" si="119"/>
        <v>4162566028.23</v>
      </c>
      <c r="I273" s="1724">
        <f t="shared" si="119"/>
        <v>2634416497</v>
      </c>
      <c r="J273" s="1724">
        <f t="shared" si="119"/>
        <v>2752110810.8400002</v>
      </c>
      <c r="K273" s="1724">
        <f t="shared" si="119"/>
        <v>3196704409</v>
      </c>
      <c r="L273" s="1724">
        <f t="shared" si="119"/>
        <v>2834349312.3299999</v>
      </c>
      <c r="M273" s="1724">
        <f t="shared" si="119"/>
        <v>2297387836</v>
      </c>
      <c r="N273" s="1724">
        <f t="shared" si="119"/>
        <v>8529485424</v>
      </c>
      <c r="O273" s="1724">
        <f t="shared" si="119"/>
        <v>69444244952</v>
      </c>
      <c r="P273" s="1724">
        <f t="shared" si="119"/>
        <v>64371810834</v>
      </c>
      <c r="Q273" s="1735">
        <f>SUM(E273:P273)</f>
        <v>167236710941.39999</v>
      </c>
      <c r="R273" s="1736">
        <f>Q273-D273</f>
        <v>-69141618358.600006</v>
      </c>
      <c r="S273" s="1737">
        <f>Q273/D273*100</f>
        <v>70.749595124327669</v>
      </c>
      <c r="T273" s="1738"/>
      <c r="V273" s="786"/>
      <c r="W273" s="786"/>
      <c r="X273" s="786"/>
    </row>
    <row r="274" spans="1:24" s="1538" customFormat="1" ht="13.5" customHeight="1">
      <c r="A274" s="1725"/>
      <c r="B274" s="1726"/>
      <c r="C274" s="257"/>
      <c r="D274" s="1727"/>
      <c r="E274" s="1727"/>
      <c r="F274" s="1727"/>
      <c r="G274" s="1727"/>
      <c r="H274" s="1727"/>
      <c r="I274" s="1727"/>
      <c r="J274" s="1727"/>
      <c r="K274" s="1727"/>
      <c r="L274" s="1727"/>
      <c r="M274" s="1727"/>
      <c r="N274" s="1727"/>
      <c r="O274" s="1727"/>
      <c r="P274" s="1727"/>
      <c r="Q274" s="1739"/>
      <c r="R274" s="1740"/>
      <c r="S274" s="1741"/>
      <c r="T274" s="1742"/>
      <c r="V274" s="1743"/>
      <c r="W274" s="1743"/>
      <c r="X274" s="1743"/>
    </row>
    <row r="275" spans="1:24" s="252" customFormat="1" ht="14.1" customHeight="1">
      <c r="A275" s="290" t="s">
        <v>179</v>
      </c>
      <c r="B275" s="291" t="s">
        <v>106</v>
      </c>
      <c r="C275" s="253"/>
      <c r="D275" s="371">
        <f>D276</f>
        <v>1802762600</v>
      </c>
      <c r="E275" s="371">
        <f t="shared" ref="E275:P275" si="120">E276</f>
        <v>122822935</v>
      </c>
      <c r="F275" s="371">
        <f t="shared" si="120"/>
        <v>87526820</v>
      </c>
      <c r="G275" s="371">
        <f t="shared" si="120"/>
        <v>74422810</v>
      </c>
      <c r="H275" s="371">
        <f t="shared" si="120"/>
        <v>163639281</v>
      </c>
      <c r="I275" s="371">
        <f t="shared" si="120"/>
        <v>186112983</v>
      </c>
      <c r="J275" s="371">
        <f t="shared" si="120"/>
        <v>118151155</v>
      </c>
      <c r="K275" s="371">
        <f t="shared" si="120"/>
        <v>97460510</v>
      </c>
      <c r="L275" s="371">
        <f t="shared" si="120"/>
        <v>114292400</v>
      </c>
      <c r="M275" s="371">
        <f t="shared" si="120"/>
        <v>79728466</v>
      </c>
      <c r="N275" s="371">
        <f t="shared" si="120"/>
        <v>69223383</v>
      </c>
      <c r="O275" s="371">
        <f t="shared" si="120"/>
        <v>666981539</v>
      </c>
      <c r="P275" s="371">
        <f t="shared" si="120"/>
        <v>193839041</v>
      </c>
      <c r="Q275" s="367">
        <f>SUM(E275:P275)</f>
        <v>1974201323</v>
      </c>
      <c r="R275" s="1708">
        <f>Q275-D275</f>
        <v>171438723</v>
      </c>
      <c r="S275" s="778">
        <f t="shared" si="112"/>
        <v>109.50977810389455</v>
      </c>
      <c r="T275" s="699"/>
      <c r="V275" s="786"/>
      <c r="W275" s="786"/>
      <c r="X275" s="786"/>
    </row>
    <row r="276" spans="1:24" s="252" customFormat="1" ht="14.1" customHeight="1">
      <c r="A276" s="290"/>
      <c r="B276" s="202" t="s">
        <v>181</v>
      </c>
      <c r="C276" s="253"/>
      <c r="D276" s="371">
        <f>D277+D281+D290</f>
        <v>1802762600</v>
      </c>
      <c r="E276" s="371">
        <f>E277+E281+E290</f>
        <v>122822935</v>
      </c>
      <c r="F276" s="371">
        <f t="shared" ref="F276:P276" si="121">F277+F281+F290</f>
        <v>87526820</v>
      </c>
      <c r="G276" s="371">
        <f t="shared" si="121"/>
        <v>74422810</v>
      </c>
      <c r="H276" s="371">
        <f t="shared" si="121"/>
        <v>163639281</v>
      </c>
      <c r="I276" s="371">
        <f t="shared" si="121"/>
        <v>186112983</v>
      </c>
      <c r="J276" s="371">
        <f t="shared" si="121"/>
        <v>118151155</v>
      </c>
      <c r="K276" s="371">
        <f t="shared" si="121"/>
        <v>97460510</v>
      </c>
      <c r="L276" s="371">
        <f t="shared" si="121"/>
        <v>114292400</v>
      </c>
      <c r="M276" s="371">
        <f t="shared" si="121"/>
        <v>79728466</v>
      </c>
      <c r="N276" s="371">
        <f t="shared" si="121"/>
        <v>69223383</v>
      </c>
      <c r="O276" s="371">
        <f t="shared" si="121"/>
        <v>666981539</v>
      </c>
      <c r="P276" s="371">
        <f t="shared" si="121"/>
        <v>193839041</v>
      </c>
      <c r="Q276" s="367">
        <f>SUM(E276:P276)</f>
        <v>1974201323</v>
      </c>
      <c r="R276" s="1708">
        <f>Q276-D276</f>
        <v>171438723</v>
      </c>
      <c r="S276" s="778">
        <f t="shared" si="112"/>
        <v>109.50977810389455</v>
      </c>
      <c r="T276" s="699"/>
      <c r="V276" s="786"/>
      <c r="W276" s="786"/>
      <c r="X276" s="786"/>
    </row>
    <row r="277" spans="1:24" s="252" customFormat="1" ht="15.05">
      <c r="A277" s="290"/>
      <c r="B277" s="253" t="s">
        <v>50</v>
      </c>
      <c r="C277" s="291" t="s">
        <v>518</v>
      </c>
      <c r="D277" s="830">
        <f t="shared" ref="D277:P277" si="122">SUM(D278:D280)</f>
        <v>979157600</v>
      </c>
      <c r="E277" s="1728">
        <f t="shared" si="122"/>
        <v>122822935</v>
      </c>
      <c r="F277" s="1728">
        <f t="shared" si="122"/>
        <v>87526820</v>
      </c>
      <c r="G277" s="1728">
        <f t="shared" si="122"/>
        <v>74422810</v>
      </c>
      <c r="H277" s="1728">
        <f t="shared" si="122"/>
        <v>163639281</v>
      </c>
      <c r="I277" s="1728">
        <f t="shared" si="122"/>
        <v>158377638</v>
      </c>
      <c r="J277" s="1728">
        <f t="shared" si="122"/>
        <v>118151155</v>
      </c>
      <c r="K277" s="1728">
        <f t="shared" si="122"/>
        <v>97460510</v>
      </c>
      <c r="L277" s="1728">
        <f t="shared" si="122"/>
        <v>114292400</v>
      </c>
      <c r="M277" s="1728">
        <f t="shared" si="122"/>
        <v>79728466</v>
      </c>
      <c r="N277" s="1728">
        <f t="shared" si="122"/>
        <v>69223383</v>
      </c>
      <c r="O277" s="1728">
        <f t="shared" si="122"/>
        <v>666981539</v>
      </c>
      <c r="P277" s="1728">
        <f t="shared" si="122"/>
        <v>193839041</v>
      </c>
      <c r="Q277" s="831">
        <f t="shared" si="114"/>
        <v>1946465978</v>
      </c>
      <c r="R277" s="1729">
        <f t="shared" si="111"/>
        <v>967308378</v>
      </c>
      <c r="S277" s="1040">
        <f t="shared" si="112"/>
        <v>198.78985548393842</v>
      </c>
      <c r="T277" s="448"/>
      <c r="V277" s="786"/>
      <c r="W277" s="786"/>
      <c r="X277" s="786"/>
    </row>
    <row r="278" spans="1:24" s="252" customFormat="1" ht="14.1" customHeight="1">
      <c r="A278" s="290"/>
      <c r="B278" s="253"/>
      <c r="C278" s="2764" t="s">
        <v>519</v>
      </c>
      <c r="D278" s="838">
        <f>'[4]TARGET MURNI DAN PERUBAHAN'!D219</f>
        <v>322246100</v>
      </c>
      <c r="E278" s="375">
        <f>[25]Januari!$G$70</f>
        <v>22800000</v>
      </c>
      <c r="F278" s="375">
        <f>[25]Februari!$G$70</f>
        <v>34806130</v>
      </c>
      <c r="G278" s="375">
        <f>[25]Maret!$G$70</f>
        <v>13320200</v>
      </c>
      <c r="H278" s="375">
        <f>[25]April!$G$70</f>
        <v>97541700</v>
      </c>
      <c r="I278" s="375">
        <f>[25]Mei!$G$70</f>
        <v>19684365</v>
      </c>
      <c r="J278" s="375">
        <f>[25]Juni!$G$70</f>
        <v>76275700</v>
      </c>
      <c r="K278" s="375">
        <f>[25]Juli!$G$70</f>
        <v>50024000</v>
      </c>
      <c r="L278" s="375">
        <f>[25]Agustus!$G$70</f>
        <v>0</v>
      </c>
      <c r="M278" s="375">
        <f>[25]September!$G$70</f>
        <v>39280745</v>
      </c>
      <c r="N278" s="375">
        <f>[25]Oktober!$G$70</f>
        <v>23792445</v>
      </c>
      <c r="O278" s="375">
        <f>[25]Nopember!$G$70</f>
        <v>325174426</v>
      </c>
      <c r="P278" s="375">
        <f>[25]DESEMBER!$G$70</f>
        <v>77184905</v>
      </c>
      <c r="Q278" s="346">
        <f t="shared" si="114"/>
        <v>779884616</v>
      </c>
      <c r="R278" s="1630">
        <f t="shared" si="111"/>
        <v>457638516</v>
      </c>
      <c r="S278" s="388">
        <f t="shared" si="112"/>
        <v>242.01522252713067</v>
      </c>
      <c r="T278" s="448"/>
      <c r="V278" s="434">
        <f t="shared" ref="V278:V283" si="123">Q278/9</f>
        <v>86653846.222222224</v>
      </c>
      <c r="W278" s="786"/>
      <c r="X278" s="786"/>
    </row>
    <row r="279" spans="1:24" s="252" customFormat="1" ht="14.1" customHeight="1">
      <c r="A279" s="290"/>
      <c r="B279" s="253"/>
      <c r="C279" s="2764" t="s">
        <v>520</v>
      </c>
      <c r="D279" s="838">
        <f>'[4]TARGET MURNI DAN PERUBAHAN'!D220</f>
        <v>406911500</v>
      </c>
      <c r="E279" s="375">
        <f>[25]Januari!$H$70</f>
        <v>295000</v>
      </c>
      <c r="F279" s="375">
        <f>[25]Februari!$H$70</f>
        <v>5500000</v>
      </c>
      <c r="G279" s="375">
        <f>[25]Maret!$H$70</f>
        <v>2000000</v>
      </c>
      <c r="H279" s="375">
        <f>[25]April!$H$70</f>
        <v>12057400</v>
      </c>
      <c r="I279" s="375">
        <f>[25]Mei!$H$70</f>
        <v>40000000</v>
      </c>
      <c r="J279" s="375">
        <f>[25]Juni!$H$70</f>
        <v>41875455</v>
      </c>
      <c r="K279" s="375">
        <f>[25]Juli!$H$70</f>
        <v>0</v>
      </c>
      <c r="L279" s="375">
        <f>[25]Agustus!$H$70</f>
        <v>0</v>
      </c>
      <c r="M279" s="375">
        <f>[25]September!$H$70</f>
        <v>0</v>
      </c>
      <c r="N279" s="375">
        <f>[25]Oktober!$H$70</f>
        <v>0</v>
      </c>
      <c r="O279" s="375">
        <f>[25]Nopember!$H$70</f>
        <v>5813218</v>
      </c>
      <c r="P279" s="375">
        <f>[25]DESEMBER!$H$70</f>
        <v>23278601</v>
      </c>
      <c r="Q279" s="346">
        <f t="shared" si="114"/>
        <v>130819674</v>
      </c>
      <c r="R279" s="1630">
        <f t="shared" si="111"/>
        <v>-276091826</v>
      </c>
      <c r="S279" s="388">
        <f t="shared" si="112"/>
        <v>32.149416765070541</v>
      </c>
      <c r="T279" s="448"/>
      <c r="V279" s="434">
        <f t="shared" si="123"/>
        <v>14535519.333333334</v>
      </c>
      <c r="W279" s="786"/>
      <c r="X279" s="786"/>
    </row>
    <row r="280" spans="1:24" s="252" customFormat="1" ht="14.1" customHeight="1">
      <c r="A280" s="290"/>
      <c r="B280" s="253"/>
      <c r="C280" s="2764" t="s">
        <v>521</v>
      </c>
      <c r="D280" s="838">
        <f>'[4]TARGET MURNI DAN PERUBAHAN'!D221</f>
        <v>250000000</v>
      </c>
      <c r="E280" s="375">
        <f>[25]Januari!$I$70</f>
        <v>99727935</v>
      </c>
      <c r="F280" s="375">
        <f>[25]Februari!$I$70</f>
        <v>47220690</v>
      </c>
      <c r="G280" s="375">
        <f>[25]Maret!$I$70</f>
        <v>59102610</v>
      </c>
      <c r="H280" s="375">
        <f>[25]April!$I$70</f>
        <v>54040181</v>
      </c>
      <c r="I280" s="375">
        <f>[25]Mei!$I$70</f>
        <v>98693273</v>
      </c>
      <c r="J280" s="375">
        <f>[25]Juni!$I$70</f>
        <v>0</v>
      </c>
      <c r="K280" s="375">
        <f>[25]Juli!$I$70</f>
        <v>47436510</v>
      </c>
      <c r="L280" s="375">
        <f>[25]Agustus!$I$70</f>
        <v>114292400</v>
      </c>
      <c r="M280" s="375">
        <f>[25]September!$I$70</f>
        <v>40447721</v>
      </c>
      <c r="N280" s="375">
        <f>[25]Oktober!$I$70</f>
        <v>45430938</v>
      </c>
      <c r="O280" s="375">
        <f>[25]Nopember!$I$70</f>
        <v>335993895</v>
      </c>
      <c r="P280" s="375">
        <f>[25]DESEMBER!$I$70</f>
        <v>93375535</v>
      </c>
      <c r="Q280" s="346">
        <f t="shared" si="114"/>
        <v>1035761688</v>
      </c>
      <c r="R280" s="1630">
        <f t="shared" si="111"/>
        <v>785761688</v>
      </c>
      <c r="S280" s="388">
        <f t="shared" si="112"/>
        <v>414.30467520000002</v>
      </c>
      <c r="T280" s="448"/>
      <c r="V280" s="434">
        <f t="shared" si="123"/>
        <v>115084632</v>
      </c>
      <c r="W280" s="786"/>
      <c r="X280" s="786"/>
    </row>
    <row r="281" spans="1:24" s="252" customFormat="1" ht="15.05">
      <c r="A281" s="290"/>
      <c r="B281" s="253" t="s">
        <v>50</v>
      </c>
      <c r="C281" s="291" t="s">
        <v>522</v>
      </c>
      <c r="D281" s="830">
        <f>SUM(D282:D289)</f>
        <v>147750000</v>
      </c>
      <c r="E281" s="830">
        <f t="shared" ref="E281:P281" si="124">SUM(E282:E289)</f>
        <v>0</v>
      </c>
      <c r="F281" s="830">
        <f t="shared" si="124"/>
        <v>0</v>
      </c>
      <c r="G281" s="830">
        <f t="shared" si="124"/>
        <v>0</v>
      </c>
      <c r="H281" s="830">
        <f t="shared" si="124"/>
        <v>0</v>
      </c>
      <c r="I281" s="830">
        <f t="shared" si="124"/>
        <v>27735345</v>
      </c>
      <c r="J281" s="830">
        <f t="shared" si="124"/>
        <v>0</v>
      </c>
      <c r="K281" s="830">
        <f t="shared" si="124"/>
        <v>0</v>
      </c>
      <c r="L281" s="830">
        <f t="shared" si="124"/>
        <v>0</v>
      </c>
      <c r="M281" s="830">
        <f t="shared" si="124"/>
        <v>0</v>
      </c>
      <c r="N281" s="830">
        <f t="shared" si="124"/>
        <v>0</v>
      </c>
      <c r="O281" s="830">
        <f t="shared" si="124"/>
        <v>0</v>
      </c>
      <c r="P281" s="830">
        <f t="shared" si="124"/>
        <v>0</v>
      </c>
      <c r="Q281" s="1036">
        <f t="shared" si="114"/>
        <v>27735345</v>
      </c>
      <c r="R281" s="1729">
        <f t="shared" si="111"/>
        <v>-120014655</v>
      </c>
      <c r="S281" s="1040">
        <f t="shared" si="112"/>
        <v>18.771807106598985</v>
      </c>
      <c r="T281" s="448"/>
      <c r="V281" s="434">
        <f t="shared" si="123"/>
        <v>3081705</v>
      </c>
      <c r="W281" s="786"/>
      <c r="X281" s="786"/>
    </row>
    <row r="282" spans="1:24" s="252" customFormat="1" ht="14.1" customHeight="1">
      <c r="A282" s="290"/>
      <c r="B282" s="253"/>
      <c r="C282" s="2764" t="s">
        <v>758</v>
      </c>
      <c r="D282" s="838">
        <f>'[4]TARGET MURNI DAN PERUBAHAN'!D223</f>
        <v>22500000</v>
      </c>
      <c r="E282" s="375">
        <f>[25]Januari!$J$70</f>
        <v>0</v>
      </c>
      <c r="F282" s="375">
        <f>[25]Februari!$J$70</f>
        <v>0</v>
      </c>
      <c r="G282" s="375">
        <f>[25]Maret!$J$70</f>
        <v>0</v>
      </c>
      <c r="H282" s="375">
        <f>[25]April!$J$70</f>
        <v>0</v>
      </c>
      <c r="I282" s="375">
        <f>[25]Mei!$J$70</f>
        <v>0</v>
      </c>
      <c r="J282" s="375">
        <f>[25]Juni!$J$70</f>
        <v>0</v>
      </c>
      <c r="K282" s="375">
        <f>[25]Juli!$J$70</f>
        <v>0</v>
      </c>
      <c r="L282" s="375">
        <f>[25]Agustus!$J$70</f>
        <v>0</v>
      </c>
      <c r="M282" s="375">
        <f>[25]September!$J$70</f>
        <v>0</v>
      </c>
      <c r="N282" s="375">
        <f>[25]Oktober!$J$70</f>
        <v>0</v>
      </c>
      <c r="O282" s="375">
        <f>[25]Nopember!$J$70</f>
        <v>0</v>
      </c>
      <c r="P282" s="375">
        <f>[25]DESEMBER!$J$70</f>
        <v>0</v>
      </c>
      <c r="Q282" s="346">
        <f t="shared" si="114"/>
        <v>0</v>
      </c>
      <c r="R282" s="1630">
        <f t="shared" si="111"/>
        <v>-22500000</v>
      </c>
      <c r="S282" s="388">
        <f t="shared" si="112"/>
        <v>0</v>
      </c>
      <c r="T282" s="448"/>
      <c r="V282" s="434">
        <f t="shared" si="123"/>
        <v>0</v>
      </c>
      <c r="W282" s="786"/>
      <c r="X282" s="786"/>
    </row>
    <row r="283" spans="1:24" s="252" customFormat="1" ht="14.1" customHeight="1">
      <c r="A283" s="290"/>
      <c r="B283" s="253"/>
      <c r="C283" s="2764" t="s">
        <v>759</v>
      </c>
      <c r="D283" s="838">
        <f>'[4]TARGET MURNI DAN PERUBAHAN'!D224</f>
        <v>28000000</v>
      </c>
      <c r="E283" s="375">
        <f>[25]Januari!$K$70</f>
        <v>0</v>
      </c>
      <c r="F283" s="375">
        <f>[25]Februari!$K$70</f>
        <v>0</v>
      </c>
      <c r="G283" s="375">
        <f>[25]Maret!$K$70</f>
        <v>0</v>
      </c>
      <c r="H283" s="375">
        <f>[25]April!$K$70</f>
        <v>0</v>
      </c>
      <c r="I283" s="375">
        <f>[25]Mei!$K$70</f>
        <v>0</v>
      </c>
      <c r="J283" s="375">
        <f>[25]Juni!$K$70</f>
        <v>0</v>
      </c>
      <c r="K283" s="375">
        <f>[25]Juli!$K$70</f>
        <v>0</v>
      </c>
      <c r="L283" s="375">
        <f>[25]Agustus!$K$70</f>
        <v>0</v>
      </c>
      <c r="M283" s="375">
        <f>[25]September!$K$70</f>
        <v>0</v>
      </c>
      <c r="N283" s="375">
        <f>[25]Oktober!$K$70</f>
        <v>0</v>
      </c>
      <c r="O283" s="375">
        <f>[25]Nopember!$K$70</f>
        <v>0</v>
      </c>
      <c r="P283" s="375">
        <f>[25]DESEMBER!$K$70</f>
        <v>0</v>
      </c>
      <c r="Q283" s="346">
        <f t="shared" si="114"/>
        <v>0</v>
      </c>
      <c r="R283" s="1630">
        <f t="shared" si="111"/>
        <v>-28000000</v>
      </c>
      <c r="S283" s="388">
        <f t="shared" si="112"/>
        <v>0</v>
      </c>
      <c r="T283" s="448"/>
      <c r="V283" s="434">
        <f t="shared" si="123"/>
        <v>0</v>
      </c>
      <c r="W283" s="786"/>
      <c r="X283" s="786"/>
    </row>
    <row r="284" spans="1:24" s="252" customFormat="1" ht="14.1" customHeight="1">
      <c r="A284" s="290"/>
      <c r="B284" s="253"/>
      <c r="C284" s="2764" t="s">
        <v>760</v>
      </c>
      <c r="D284" s="838">
        <f>'[4]TARGET MURNI DAN PERUBAHAN'!D225</f>
        <v>17250000</v>
      </c>
      <c r="E284" s="375">
        <f>[25]Januari!$L$70</f>
        <v>0</v>
      </c>
      <c r="F284" s="375">
        <f>[25]Februari!$L$70</f>
        <v>0</v>
      </c>
      <c r="G284" s="375">
        <f>[25]Maret!$L$70</f>
        <v>0</v>
      </c>
      <c r="H284" s="375">
        <f>[25]April!$L$70</f>
        <v>0</v>
      </c>
      <c r="I284" s="375">
        <f>[25]Mei!$L$70</f>
        <v>0</v>
      </c>
      <c r="J284" s="375">
        <f>[25]Juni!$L$70</f>
        <v>0</v>
      </c>
      <c r="K284" s="375">
        <f>[25]Juli!$L$70</f>
        <v>0</v>
      </c>
      <c r="L284" s="375">
        <f>[25]Agustus!$L$70</f>
        <v>0</v>
      </c>
      <c r="M284" s="375">
        <f>[25]September!$L$70</f>
        <v>0</v>
      </c>
      <c r="N284" s="375">
        <f>[25]Oktober!$L$70</f>
        <v>0</v>
      </c>
      <c r="O284" s="375">
        <f>[25]Nopember!$L$70</f>
        <v>0</v>
      </c>
      <c r="P284" s="375">
        <f>[25]DESEMBER!$L$70</f>
        <v>0</v>
      </c>
      <c r="Q284" s="346">
        <f t="shared" si="114"/>
        <v>0</v>
      </c>
      <c r="R284" s="1630">
        <f t="shared" si="111"/>
        <v>-17250000</v>
      </c>
      <c r="S284" s="388">
        <f t="shared" si="112"/>
        <v>0</v>
      </c>
      <c r="T284" s="448"/>
      <c r="V284" s="786"/>
      <c r="W284" s="786"/>
      <c r="X284" s="786"/>
    </row>
    <row r="285" spans="1:24" s="189" customFormat="1" ht="14.1" customHeight="1">
      <c r="A285" s="290"/>
      <c r="B285" s="291"/>
      <c r="C285" s="2764" t="s">
        <v>761</v>
      </c>
      <c r="D285" s="838">
        <f>'[4]TARGET MURNI DAN PERUBAHAN'!D226</f>
        <v>30000000</v>
      </c>
      <c r="E285" s="346">
        <f>[25]Januari!$M$70</f>
        <v>0</v>
      </c>
      <c r="F285" s="346">
        <f>[25]Februari!$M$70</f>
        <v>0</v>
      </c>
      <c r="G285" s="346">
        <f>[25]Maret!$M$70</f>
        <v>0</v>
      </c>
      <c r="H285" s="346">
        <f>[25]April!$M$70</f>
        <v>0</v>
      </c>
      <c r="I285" s="346">
        <f>[25]Mei!$M$70</f>
        <v>0</v>
      </c>
      <c r="J285" s="346">
        <f>[25]Juni!$M$70</f>
        <v>0</v>
      </c>
      <c r="K285" s="346">
        <f>[25]Juli!$M$70</f>
        <v>0</v>
      </c>
      <c r="L285" s="346">
        <f>[25]Agustus!$M$70</f>
        <v>0</v>
      </c>
      <c r="M285" s="346">
        <f>[25]September!$M$70</f>
        <v>0</v>
      </c>
      <c r="N285" s="346">
        <f>[25]Oktober!$M$70</f>
        <v>0</v>
      </c>
      <c r="O285" s="346">
        <f>[25]Nopember!$M$70</f>
        <v>0</v>
      </c>
      <c r="P285" s="346">
        <f>[25]DESEMBER!$M$70</f>
        <v>0</v>
      </c>
      <c r="Q285" s="346">
        <f t="shared" si="114"/>
        <v>0</v>
      </c>
      <c r="R285" s="1630">
        <f t="shared" si="111"/>
        <v>-30000000</v>
      </c>
      <c r="S285" s="388">
        <f t="shared" si="112"/>
        <v>0</v>
      </c>
      <c r="T285" s="454"/>
      <c r="V285" s="786"/>
      <c r="W285" s="786"/>
      <c r="X285" s="786"/>
    </row>
    <row r="286" spans="1:24" s="189" customFormat="1" ht="14.1" customHeight="1">
      <c r="A286" s="290"/>
      <c r="B286" s="291"/>
      <c r="C286" s="2764" t="s">
        <v>762</v>
      </c>
      <c r="D286" s="838">
        <f>'[4]TARGET MURNI DAN PERUBAHAN'!D227</f>
        <v>50000000</v>
      </c>
      <c r="E286" s="346">
        <f>[25]Januari!$N$70</f>
        <v>0</v>
      </c>
      <c r="F286" s="346">
        <f>[25]Februari!$N$70</f>
        <v>0</v>
      </c>
      <c r="G286" s="346">
        <f>[25]Maret!$N$70</f>
        <v>0</v>
      </c>
      <c r="H286" s="346">
        <f>[25]April!$N$70</f>
        <v>0</v>
      </c>
      <c r="I286" s="346">
        <f>[25]Mei!$N$70</f>
        <v>0</v>
      </c>
      <c r="J286" s="346">
        <f>[25]Juni!$N$70</f>
        <v>0</v>
      </c>
      <c r="K286" s="346">
        <f>[25]Juli!$N$70</f>
        <v>0</v>
      </c>
      <c r="L286" s="346">
        <f>[25]Agustus!$N$70</f>
        <v>0</v>
      </c>
      <c r="M286" s="346">
        <f>[25]September!$N$70</f>
        <v>0</v>
      </c>
      <c r="N286" s="346">
        <f>[25]Oktober!$N$70</f>
        <v>0</v>
      </c>
      <c r="O286" s="346">
        <f>[25]Nopember!$N$70</f>
        <v>0</v>
      </c>
      <c r="P286" s="346">
        <f>[25]DESEMBER!$N$70</f>
        <v>0</v>
      </c>
      <c r="Q286" s="346">
        <f t="shared" si="114"/>
        <v>0</v>
      </c>
      <c r="R286" s="1630">
        <f t="shared" si="111"/>
        <v>-50000000</v>
      </c>
      <c r="S286" s="388">
        <f t="shared" si="112"/>
        <v>0</v>
      </c>
      <c r="T286" s="454"/>
      <c r="V286" s="786"/>
      <c r="W286" s="786"/>
      <c r="X286" s="786"/>
    </row>
    <row r="287" spans="1:24" s="189" customFormat="1" ht="14.1" customHeight="1">
      <c r="A287" s="290"/>
      <c r="B287" s="253"/>
      <c r="C287" s="2765" t="s">
        <v>763</v>
      </c>
      <c r="D287" s="838">
        <f>'[4]TARGET MURNI DAN PERUBAHAN'!D228</f>
        <v>0</v>
      </c>
      <c r="E287" s="367">
        <f>[25]Januari!$O$70</f>
        <v>0</v>
      </c>
      <c r="F287" s="367">
        <f>[25]Februari!$O$70</f>
        <v>0</v>
      </c>
      <c r="G287" s="367">
        <f>[25]Maret!$O$70</f>
        <v>0</v>
      </c>
      <c r="H287" s="367">
        <f>[25]April!$O$70</f>
        <v>0</v>
      </c>
      <c r="I287" s="367">
        <f>[25]Mei!$O$70</f>
        <v>27735345</v>
      </c>
      <c r="J287" s="367">
        <f>[25]Juni!$O$70</f>
        <v>0</v>
      </c>
      <c r="K287" s="367">
        <f>[25]Juli!$O$70</f>
        <v>0</v>
      </c>
      <c r="L287" s="367">
        <f>[25]Agustus!$O$70</f>
        <v>0</v>
      </c>
      <c r="M287" s="367">
        <f>[25]September!$O$70</f>
        <v>0</v>
      </c>
      <c r="N287" s="367">
        <f>[25]Oktober!$O$70</f>
        <v>0</v>
      </c>
      <c r="O287" s="367">
        <f>[25]Nopember!$O$70</f>
        <v>0</v>
      </c>
      <c r="P287" s="367">
        <f>[25]DESEMBER!$O$70</f>
        <v>0</v>
      </c>
      <c r="Q287" s="346">
        <f t="shared" si="114"/>
        <v>27735345</v>
      </c>
      <c r="R287" s="1630">
        <f t="shared" si="111"/>
        <v>27735345</v>
      </c>
      <c r="S287" s="388" t="e">
        <f t="shared" si="112"/>
        <v>#DIV/0!</v>
      </c>
      <c r="T287" s="454"/>
      <c r="V287" s="786"/>
      <c r="W287" s="786"/>
      <c r="X287" s="786"/>
    </row>
    <row r="288" spans="1:24" s="189" customFormat="1" ht="14.1" customHeight="1">
      <c r="A288" s="290"/>
      <c r="B288" s="253"/>
      <c r="C288" s="2765" t="s">
        <v>764</v>
      </c>
      <c r="D288" s="838">
        <f>'[4]TARGET MURNI DAN PERUBAHAN'!D229</f>
        <v>0</v>
      </c>
      <c r="E288" s="367">
        <f>[25]Januari!$P$70</f>
        <v>0</v>
      </c>
      <c r="F288" s="367">
        <f>[25]Februari!$P$70</f>
        <v>0</v>
      </c>
      <c r="G288" s="367">
        <f>[25]Maret!$P$70</f>
        <v>0</v>
      </c>
      <c r="H288" s="367">
        <f>[25]April!$P$70</f>
        <v>0</v>
      </c>
      <c r="I288" s="367">
        <f>[25]Mei!$P$70</f>
        <v>0</v>
      </c>
      <c r="J288" s="367">
        <f>[25]Juni!$P$70</f>
        <v>0</v>
      </c>
      <c r="K288" s="367">
        <f>[25]Juli!$P$70</f>
        <v>0</v>
      </c>
      <c r="L288" s="367">
        <f>[25]Agustus!$P$70</f>
        <v>0</v>
      </c>
      <c r="M288" s="367">
        <f>[25]September!$P$70</f>
        <v>0</v>
      </c>
      <c r="N288" s="367">
        <f>[25]Oktober!$P$70</f>
        <v>0</v>
      </c>
      <c r="O288" s="367">
        <f>[25]Nopember!$P$70</f>
        <v>0</v>
      </c>
      <c r="P288" s="367">
        <f>[25]DESEMBER!$P$70</f>
        <v>0</v>
      </c>
      <c r="Q288" s="346">
        <f t="shared" si="114"/>
        <v>0</v>
      </c>
      <c r="R288" s="1630">
        <f t="shared" si="111"/>
        <v>0</v>
      </c>
      <c r="S288" s="388" t="e">
        <f t="shared" si="112"/>
        <v>#DIV/0!</v>
      </c>
      <c r="T288" s="454"/>
      <c r="V288" s="786"/>
      <c r="W288" s="786"/>
      <c r="X288" s="786"/>
    </row>
    <row r="289" spans="1:24" s="189" customFormat="1" ht="14.1" customHeight="1">
      <c r="A289" s="290"/>
      <c r="B289" s="253"/>
      <c r="C289" s="2765" t="s">
        <v>765</v>
      </c>
      <c r="D289" s="838">
        <f>'[4]TARGET MURNI DAN PERUBAHAN'!D230</f>
        <v>0</v>
      </c>
      <c r="E289" s="367">
        <f>[25]Januari!$Q$70</f>
        <v>0</v>
      </c>
      <c r="F289" s="367">
        <f>[25]Februari!$Q$70</f>
        <v>0</v>
      </c>
      <c r="G289" s="367">
        <f>[25]Maret!$Q$70</f>
        <v>0</v>
      </c>
      <c r="H289" s="367">
        <f>[25]April!$Q$70</f>
        <v>0</v>
      </c>
      <c r="I289" s="367">
        <f>[25]Mei!$Q$70</f>
        <v>0</v>
      </c>
      <c r="J289" s="367">
        <f>[25]Juni!$Q$70</f>
        <v>0</v>
      </c>
      <c r="K289" s="367">
        <f>[25]Juli!$Q$70</f>
        <v>0</v>
      </c>
      <c r="L289" s="367">
        <f>[25]Agustus!$Q$70</f>
        <v>0</v>
      </c>
      <c r="M289" s="367">
        <f>[25]September!$Q$70</f>
        <v>0</v>
      </c>
      <c r="N289" s="367">
        <f>[25]Oktober!$Q$70</f>
        <v>0</v>
      </c>
      <c r="O289" s="367">
        <f>[25]Nopember!$Q$70</f>
        <v>0</v>
      </c>
      <c r="P289" s="367">
        <f>[25]DESEMBER!$Q$70</f>
        <v>0</v>
      </c>
      <c r="Q289" s="346">
        <f t="shared" si="114"/>
        <v>0</v>
      </c>
      <c r="R289" s="1630">
        <f t="shared" si="111"/>
        <v>0</v>
      </c>
      <c r="S289" s="388" t="e">
        <f t="shared" si="112"/>
        <v>#DIV/0!</v>
      </c>
      <c r="T289" s="454"/>
      <c r="V289" s="786"/>
      <c r="W289" s="786"/>
      <c r="X289" s="786"/>
    </row>
    <row r="290" spans="1:24" s="190" customFormat="1" ht="14.1" customHeight="1">
      <c r="A290" s="290"/>
      <c r="B290" s="2761" t="s">
        <v>50</v>
      </c>
      <c r="C290" s="291" t="s">
        <v>766</v>
      </c>
      <c r="D290" s="838">
        <f>'[4]TARGET MURNI DAN PERUBAHAN'!D231</f>
        <v>675855000</v>
      </c>
      <c r="E290" s="367">
        <f>[25]Januari!$R$70</f>
        <v>0</v>
      </c>
      <c r="F290" s="367">
        <f>[25]Februari!$R$70</f>
        <v>0</v>
      </c>
      <c r="G290" s="367">
        <f>[25]Maret!$R$70</f>
        <v>0</v>
      </c>
      <c r="H290" s="367">
        <f>[25]April!$R$70</f>
        <v>0</v>
      </c>
      <c r="I290" s="367">
        <f>[25]Mei!$R$70</f>
        <v>0</v>
      </c>
      <c r="J290" s="367">
        <f>[25]Juni!$R$70</f>
        <v>0</v>
      </c>
      <c r="K290" s="367">
        <f>[25]Juli!$R$70</f>
        <v>0</v>
      </c>
      <c r="L290" s="367">
        <f>[25]Agustus!$R$70</f>
        <v>0</v>
      </c>
      <c r="M290" s="367">
        <f>[25]September!$R$70</f>
        <v>0</v>
      </c>
      <c r="N290" s="367">
        <f>[25]Oktober!$R$70</f>
        <v>0</v>
      </c>
      <c r="O290" s="367">
        <f>[25]Nopember!$R$70</f>
        <v>0</v>
      </c>
      <c r="P290" s="367">
        <f>[25]DESEMBER!$R$70</f>
        <v>0</v>
      </c>
      <c r="Q290" s="346">
        <f t="shared" si="114"/>
        <v>0</v>
      </c>
      <c r="R290" s="1708">
        <f t="shared" si="111"/>
        <v>-675855000</v>
      </c>
      <c r="S290" s="778">
        <f t="shared" si="112"/>
        <v>0</v>
      </c>
      <c r="T290" s="454"/>
      <c r="V290" s="786"/>
      <c r="W290" s="786"/>
      <c r="X290" s="786"/>
    </row>
    <row r="291" spans="1:24" s="189" customFormat="1" ht="14.1" customHeight="1">
      <c r="A291" s="290"/>
      <c r="B291" s="291"/>
      <c r="C291" s="253"/>
      <c r="D291" s="371"/>
      <c r="E291" s="367"/>
      <c r="F291" s="367"/>
      <c r="G291" s="367"/>
      <c r="H291" s="367"/>
      <c r="I291" s="367"/>
      <c r="J291" s="367"/>
      <c r="K291" s="367"/>
      <c r="L291" s="367"/>
      <c r="M291" s="367"/>
      <c r="N291" s="367"/>
      <c r="O291" s="367"/>
      <c r="P291" s="367"/>
      <c r="Q291" s="367"/>
      <c r="R291" s="1630"/>
      <c r="S291" s="388"/>
      <c r="T291" s="454"/>
      <c r="V291" s="786"/>
      <c r="W291" s="786"/>
      <c r="X291" s="786"/>
    </row>
    <row r="292" spans="1:24" s="189" customFormat="1" ht="14.1" customHeight="1">
      <c r="A292" s="290" t="s">
        <v>179</v>
      </c>
      <c r="B292" s="472" t="s">
        <v>193</v>
      </c>
      <c r="C292" s="576"/>
      <c r="D292" s="371">
        <f>D293</f>
        <v>114508661900</v>
      </c>
      <c r="E292" s="371">
        <f>E293</f>
        <v>0</v>
      </c>
      <c r="F292" s="371">
        <f t="shared" ref="F292:P293" si="125">F293</f>
        <v>0</v>
      </c>
      <c r="G292" s="371">
        <f t="shared" si="125"/>
        <v>0</v>
      </c>
      <c r="H292" s="371">
        <f t="shared" si="125"/>
        <v>0</v>
      </c>
      <c r="I292" s="371">
        <f t="shared" si="125"/>
        <v>0</v>
      </c>
      <c r="J292" s="371">
        <f t="shared" si="125"/>
        <v>237336673</v>
      </c>
      <c r="K292" s="371">
        <f t="shared" si="125"/>
        <v>880874986</v>
      </c>
      <c r="L292" s="371">
        <f t="shared" si="125"/>
        <v>0</v>
      </c>
      <c r="M292" s="371">
        <f t="shared" si="125"/>
        <v>0</v>
      </c>
      <c r="N292" s="371">
        <f t="shared" si="125"/>
        <v>6755610891</v>
      </c>
      <c r="O292" s="371">
        <f t="shared" si="125"/>
        <v>64953789194</v>
      </c>
      <c r="P292" s="371">
        <f t="shared" si="125"/>
        <v>0</v>
      </c>
      <c r="Q292" s="346">
        <f t="shared" si="114"/>
        <v>72827611744</v>
      </c>
      <c r="R292" s="1708">
        <f t="shared" si="111"/>
        <v>-41681050156</v>
      </c>
      <c r="S292" s="778">
        <f t="shared" si="112"/>
        <v>63.600089753559509</v>
      </c>
      <c r="T292" s="454"/>
      <c r="V292" s="786"/>
      <c r="W292" s="786"/>
      <c r="X292" s="786"/>
    </row>
    <row r="293" spans="1:24" s="189" customFormat="1" ht="14.1" customHeight="1">
      <c r="A293" s="290"/>
      <c r="B293" s="253" t="s">
        <v>767</v>
      </c>
      <c r="C293" s="253"/>
      <c r="D293" s="371">
        <f>D294</f>
        <v>114508661900</v>
      </c>
      <c r="E293" s="371">
        <f>E294</f>
        <v>0</v>
      </c>
      <c r="F293" s="371">
        <f t="shared" si="125"/>
        <v>0</v>
      </c>
      <c r="G293" s="371">
        <f t="shared" si="125"/>
        <v>0</v>
      </c>
      <c r="H293" s="371">
        <f t="shared" si="125"/>
        <v>0</v>
      </c>
      <c r="I293" s="371">
        <f t="shared" si="125"/>
        <v>0</v>
      </c>
      <c r="J293" s="371">
        <f t="shared" si="125"/>
        <v>237336673</v>
      </c>
      <c r="K293" s="371">
        <f t="shared" si="125"/>
        <v>880874986</v>
      </c>
      <c r="L293" s="371">
        <f t="shared" si="125"/>
        <v>0</v>
      </c>
      <c r="M293" s="371">
        <f t="shared" si="125"/>
        <v>0</v>
      </c>
      <c r="N293" s="371">
        <f t="shared" si="125"/>
        <v>6755610891</v>
      </c>
      <c r="O293" s="371">
        <f t="shared" si="125"/>
        <v>64953789194</v>
      </c>
      <c r="P293" s="371">
        <f t="shared" si="125"/>
        <v>0</v>
      </c>
      <c r="Q293" s="346">
        <f t="shared" si="114"/>
        <v>72827611744</v>
      </c>
      <c r="R293" s="1708">
        <f t="shared" si="111"/>
        <v>-41681050156</v>
      </c>
      <c r="S293" s="778">
        <f t="shared" si="112"/>
        <v>63.600089753559509</v>
      </c>
      <c r="T293" s="454"/>
      <c r="V293" s="786"/>
      <c r="W293" s="786"/>
      <c r="X293" s="786"/>
    </row>
    <row r="294" spans="1:24" s="189" customFormat="1" ht="15.05">
      <c r="A294" s="290"/>
      <c r="B294" s="253" t="s">
        <v>195</v>
      </c>
      <c r="C294" s="253"/>
      <c r="D294" s="973">
        <f t="shared" ref="D294:P294" si="126">SUM(D295:D301)</f>
        <v>114508661900</v>
      </c>
      <c r="E294" s="973">
        <f t="shared" si="126"/>
        <v>0</v>
      </c>
      <c r="F294" s="973">
        <f t="shared" si="126"/>
        <v>0</v>
      </c>
      <c r="G294" s="973">
        <f t="shared" si="126"/>
        <v>0</v>
      </c>
      <c r="H294" s="973">
        <f t="shared" si="126"/>
        <v>0</v>
      </c>
      <c r="I294" s="973">
        <f t="shared" si="126"/>
        <v>0</v>
      </c>
      <c r="J294" s="973">
        <f t="shared" si="126"/>
        <v>237336673</v>
      </c>
      <c r="K294" s="973">
        <f t="shared" si="126"/>
        <v>880874986</v>
      </c>
      <c r="L294" s="973">
        <f t="shared" si="126"/>
        <v>0</v>
      </c>
      <c r="M294" s="973">
        <f t="shared" si="126"/>
        <v>0</v>
      </c>
      <c r="N294" s="973">
        <f t="shared" si="126"/>
        <v>6755610891</v>
      </c>
      <c r="O294" s="973">
        <f t="shared" si="126"/>
        <v>64953789194</v>
      </c>
      <c r="P294" s="973">
        <f t="shared" si="126"/>
        <v>0</v>
      </c>
      <c r="Q294" s="1036">
        <f t="shared" si="114"/>
        <v>72827611744</v>
      </c>
      <c r="R294" s="1708">
        <f t="shared" si="111"/>
        <v>-41681050156</v>
      </c>
      <c r="S294" s="778">
        <f t="shared" si="112"/>
        <v>63.600089753559509</v>
      </c>
      <c r="T294" s="454"/>
      <c r="V294" s="786"/>
      <c r="W294" s="786"/>
      <c r="X294" s="786"/>
    </row>
    <row r="295" spans="1:24" s="189" customFormat="1" ht="14.1" customHeight="1">
      <c r="A295" s="290"/>
      <c r="B295" s="253" t="s">
        <v>50</v>
      </c>
      <c r="C295" s="868" t="s">
        <v>197</v>
      </c>
      <c r="D295" s="355">
        <f>'[4]TARGET MURNI DAN PERUBAHAN'!D236</f>
        <v>51904261900</v>
      </c>
      <c r="E295" s="375">
        <f>[26]Januari!$E$70</f>
        <v>0</v>
      </c>
      <c r="F295" s="375">
        <f>[26]Februari!$E$70</f>
        <v>0</v>
      </c>
      <c r="G295" s="375">
        <f>[26]Maret!$E$70</f>
        <v>0</v>
      </c>
      <c r="H295" s="375">
        <f>[26]April!$E$70</f>
        <v>0</v>
      </c>
      <c r="I295" s="375">
        <f>[26]Mei!$E$70</f>
        <v>0</v>
      </c>
      <c r="J295" s="375">
        <f>[26]Juni!$E$70</f>
        <v>0</v>
      </c>
      <c r="K295" s="375">
        <f>[26]Juli!$E$70</f>
        <v>0</v>
      </c>
      <c r="L295" s="375">
        <f>[26]Agustus!$E$70</f>
        <v>0</v>
      </c>
      <c r="M295" s="375">
        <f>[26]September!$E$70</f>
        <v>0</v>
      </c>
      <c r="N295" s="375">
        <f>[26]Oktober!$E$70</f>
        <v>0</v>
      </c>
      <c r="O295" s="375">
        <f>[26]Nopember!$E$70</f>
        <v>59958510102</v>
      </c>
      <c r="P295" s="375">
        <f>[26]Desember!$E$70</f>
        <v>0</v>
      </c>
      <c r="Q295" s="346">
        <f t="shared" si="114"/>
        <v>59958510102</v>
      </c>
      <c r="R295" s="1708">
        <f t="shared" si="111"/>
        <v>8054248202</v>
      </c>
      <c r="S295" s="778">
        <f t="shared" si="112"/>
        <v>115.51750840329356</v>
      </c>
      <c r="T295" s="454"/>
      <c r="V295" s="786"/>
      <c r="W295" s="786"/>
      <c r="X295" s="786"/>
    </row>
    <row r="296" spans="1:24" s="189" customFormat="1" ht="14.1" customHeight="1">
      <c r="A296" s="290"/>
      <c r="B296" s="253" t="s">
        <v>50</v>
      </c>
      <c r="C296" s="868" t="s">
        <v>768</v>
      </c>
      <c r="D296" s="355">
        <f>'[4]TARGET MURNI DAN PERUBAHAN'!D237</f>
        <v>10050000000</v>
      </c>
      <c r="E296" s="375">
        <f>[26]Januari!$D$70</f>
        <v>0</v>
      </c>
      <c r="F296" s="375">
        <f>[26]Februari!$D$70</f>
        <v>0</v>
      </c>
      <c r="G296" s="375">
        <f>[26]Maret!$D$70</f>
        <v>0</v>
      </c>
      <c r="H296" s="375">
        <f>[26]April!$D$70</f>
        <v>0</v>
      </c>
      <c r="I296" s="375">
        <f>[26]Mei!$D$70</f>
        <v>0</v>
      </c>
      <c r="J296" s="375">
        <f>[26]Juni!$D$70</f>
        <v>0</v>
      </c>
      <c r="K296" s="375">
        <f>[26]Juli!$D$70</f>
        <v>880874986</v>
      </c>
      <c r="L296" s="375">
        <f>[26]Agustus!$D$70</f>
        <v>0</v>
      </c>
      <c r="M296" s="375">
        <f>[26]September!$D$70</f>
        <v>0</v>
      </c>
      <c r="N296" s="375">
        <f>[26]Oktober!$D$70</f>
        <v>6005610891</v>
      </c>
      <c r="O296" s="375">
        <f>[26]Nopember!$D$70</f>
        <v>4745279092</v>
      </c>
      <c r="P296" s="375">
        <f>[26]Desember!$D$70</f>
        <v>0</v>
      </c>
      <c r="Q296" s="346">
        <f t="shared" si="114"/>
        <v>11631764969</v>
      </c>
      <c r="R296" s="1708">
        <f t="shared" si="111"/>
        <v>1581764969</v>
      </c>
      <c r="S296" s="778">
        <f t="shared" si="112"/>
        <v>115.73895491542288</v>
      </c>
      <c r="T296" s="454"/>
      <c r="V296" s="786"/>
      <c r="W296" s="786"/>
      <c r="X296" s="786"/>
    </row>
    <row r="297" spans="1:24" s="189" customFormat="1" ht="14.1" customHeight="1">
      <c r="A297" s="290"/>
      <c r="B297" s="253" t="s">
        <v>50</v>
      </c>
      <c r="C297" s="868" t="s">
        <v>769</v>
      </c>
      <c r="D297" s="355">
        <f>'[4]TARGET MURNI DAN PERUBAHAN'!D238</f>
        <v>1000000000</v>
      </c>
      <c r="E297" s="375">
        <f>[26]Januari!$F$70</f>
        <v>0</v>
      </c>
      <c r="F297" s="375">
        <f>[26]Februari!$F$70</f>
        <v>0</v>
      </c>
      <c r="G297" s="375">
        <f>[26]Maret!$F$70</f>
        <v>0</v>
      </c>
      <c r="H297" s="375">
        <f>[26]April!$F$70</f>
        <v>0</v>
      </c>
      <c r="I297" s="375">
        <f>[26]Mei!$F$70</f>
        <v>0</v>
      </c>
      <c r="J297" s="375">
        <f>[26]Juni!$F$70</f>
        <v>0</v>
      </c>
      <c r="K297" s="375">
        <f>[26]Juli!$F$70</f>
        <v>0</v>
      </c>
      <c r="L297" s="375">
        <f>[26]Agustus!$F$70</f>
        <v>0</v>
      </c>
      <c r="M297" s="375">
        <f>[26]September!$F$70</f>
        <v>0</v>
      </c>
      <c r="N297" s="375">
        <f>[26]Oktober!$F$70</f>
        <v>750000000</v>
      </c>
      <c r="O297" s="375">
        <f>[26]Nopember!$F$70</f>
        <v>250000000</v>
      </c>
      <c r="P297" s="375">
        <f>[26]Desember!$F$70</f>
        <v>0</v>
      </c>
      <c r="Q297" s="346">
        <f t="shared" si="114"/>
        <v>1000000000</v>
      </c>
      <c r="R297" s="1708">
        <f t="shared" si="111"/>
        <v>0</v>
      </c>
      <c r="S297" s="778">
        <f t="shared" si="112"/>
        <v>100</v>
      </c>
      <c r="T297" s="454"/>
      <c r="V297" s="786"/>
      <c r="W297" s="786"/>
      <c r="X297" s="786"/>
    </row>
    <row r="298" spans="1:24" s="189" customFormat="1" ht="14.1" customHeight="1">
      <c r="A298" s="290"/>
      <c r="B298" s="253" t="s">
        <v>50</v>
      </c>
      <c r="C298" s="868" t="s">
        <v>199</v>
      </c>
      <c r="D298" s="355">
        <f>'[4]TARGET MURNI DAN PERUBAHAN'!D239</f>
        <v>51382400000</v>
      </c>
      <c r="E298" s="375">
        <f>[26]Januari!$G$70</f>
        <v>0</v>
      </c>
      <c r="F298" s="375">
        <f>[26]Februari!$G$70</f>
        <v>0</v>
      </c>
      <c r="G298" s="375">
        <f>[26]Maret!$G$70</f>
        <v>0</v>
      </c>
      <c r="H298" s="375">
        <f>[26]April!$G$70</f>
        <v>0</v>
      </c>
      <c r="I298" s="375">
        <f>[26]Mei!$G$70</f>
        <v>0</v>
      </c>
      <c r="J298" s="375">
        <f>[26]Juni!$G$70</f>
        <v>0</v>
      </c>
      <c r="K298" s="375">
        <f>[26]Juli!$G$70</f>
        <v>0</v>
      </c>
      <c r="L298" s="375">
        <f>[26]Agustus!$G$70</f>
        <v>0</v>
      </c>
      <c r="M298" s="375">
        <f>[26]September!$G$70</f>
        <v>0</v>
      </c>
      <c r="N298" s="375">
        <f>[26]Oktober!$G$70</f>
        <v>0</v>
      </c>
      <c r="O298" s="375">
        <f>[26]Nopember!$G$70</f>
        <v>0</v>
      </c>
      <c r="P298" s="375">
        <f>[26]Desember!$G$70</f>
        <v>0</v>
      </c>
      <c r="Q298" s="346">
        <f t="shared" si="114"/>
        <v>0</v>
      </c>
      <c r="R298" s="1708">
        <f t="shared" si="111"/>
        <v>-51382400000</v>
      </c>
      <c r="S298" s="778">
        <f t="shared" si="112"/>
        <v>0</v>
      </c>
      <c r="T298" s="454"/>
      <c r="V298" s="786"/>
      <c r="W298" s="786"/>
      <c r="X298" s="786"/>
    </row>
    <row r="299" spans="1:24" s="189" customFormat="1" ht="14.1" customHeight="1">
      <c r="A299" s="290"/>
      <c r="B299" s="253" t="s">
        <v>50</v>
      </c>
      <c r="C299" s="868" t="s">
        <v>200</v>
      </c>
      <c r="D299" s="355">
        <f>'[4]TARGET MURNI DAN PERUBAHAN'!D240</f>
        <v>0</v>
      </c>
      <c r="E299" s="375">
        <f>[26]Januari!$H$70</f>
        <v>0</v>
      </c>
      <c r="F299" s="375">
        <f>[26]Februari!$H$70</f>
        <v>0</v>
      </c>
      <c r="G299" s="375">
        <f>[26]Maret!$H$70</f>
        <v>0</v>
      </c>
      <c r="H299" s="375">
        <f>[26]April!$H$70</f>
        <v>0</v>
      </c>
      <c r="I299" s="375">
        <f>[26]Mei!$H$70</f>
        <v>0</v>
      </c>
      <c r="J299" s="375">
        <f>[26]Juni!$H$70</f>
        <v>0</v>
      </c>
      <c r="K299" s="375">
        <f>[26]Juli!$H$70</f>
        <v>0</v>
      </c>
      <c r="L299" s="375">
        <f>[26]Agustus!$H$70</f>
        <v>0</v>
      </c>
      <c r="M299" s="375">
        <f>[26]September!$H$70</f>
        <v>0</v>
      </c>
      <c r="N299" s="375">
        <f>[26]Oktober!$H$70</f>
        <v>0</v>
      </c>
      <c r="O299" s="375">
        <f>[26]Nopember!$H$70</f>
        <v>0</v>
      </c>
      <c r="P299" s="375">
        <f>[26]Desember!$H$70</f>
        <v>0</v>
      </c>
      <c r="Q299" s="346">
        <f t="shared" si="114"/>
        <v>0</v>
      </c>
      <c r="R299" s="1708">
        <f t="shared" si="111"/>
        <v>0</v>
      </c>
      <c r="S299" s="778" t="e">
        <f t="shared" si="112"/>
        <v>#DIV/0!</v>
      </c>
      <c r="T299" s="454"/>
      <c r="V299" s="786"/>
      <c r="W299" s="786"/>
      <c r="X299" s="786"/>
    </row>
    <row r="300" spans="1:24" s="189" customFormat="1" ht="14.1" customHeight="1">
      <c r="A300" s="290"/>
      <c r="B300" s="253" t="s">
        <v>50</v>
      </c>
      <c r="C300" s="868" t="s">
        <v>201</v>
      </c>
      <c r="D300" s="355">
        <f>'[4]TARGET MURNI DAN PERUBAHAN'!D241</f>
        <v>150000000</v>
      </c>
      <c r="E300" s="375">
        <f>[26]Januari!$I$70</f>
        <v>0</v>
      </c>
      <c r="F300" s="375">
        <f>[26]Februari!$I$70</f>
        <v>0</v>
      </c>
      <c r="G300" s="375">
        <f>[26]Maret!$I$70</f>
        <v>0</v>
      </c>
      <c r="H300" s="375">
        <f>[26]April!$I$70</f>
        <v>0</v>
      </c>
      <c r="I300" s="375">
        <f>[26]Mei!$I$70</f>
        <v>0</v>
      </c>
      <c r="J300" s="375">
        <f>[26]Juni!$J$70</f>
        <v>136702012</v>
      </c>
      <c r="K300" s="375">
        <f>[26]Juli!$I$70</f>
        <v>0</v>
      </c>
      <c r="L300" s="375">
        <f>[26]Agustus!$I$70</f>
        <v>0</v>
      </c>
      <c r="M300" s="375">
        <f>[26]September!$I$70</f>
        <v>0</v>
      </c>
      <c r="N300" s="375">
        <f>[26]Oktober!$I$70</f>
        <v>0</v>
      </c>
      <c r="O300" s="375">
        <f>[26]Nopember!$I$70</f>
        <v>0</v>
      </c>
      <c r="P300" s="375">
        <f>[26]Desember!$I$70</f>
        <v>0</v>
      </c>
      <c r="Q300" s="346">
        <f t="shared" si="114"/>
        <v>136702012</v>
      </c>
      <c r="R300" s="1708">
        <f t="shared" si="111"/>
        <v>-13297988</v>
      </c>
      <c r="S300" s="778">
        <f t="shared" si="112"/>
        <v>91.134674666666669</v>
      </c>
      <c r="T300" s="454"/>
      <c r="V300" s="786"/>
      <c r="W300" s="786"/>
      <c r="X300" s="786"/>
    </row>
    <row r="301" spans="1:24" s="189" customFormat="1" ht="14.1" customHeight="1">
      <c r="A301" s="290"/>
      <c r="B301" s="253" t="s">
        <v>50</v>
      </c>
      <c r="C301" s="868" t="s">
        <v>770</v>
      </c>
      <c r="D301" s="355">
        <f>'[4]TARGET MURNI DAN PERUBAHAN'!D242</f>
        <v>22000000</v>
      </c>
      <c r="E301" s="375">
        <f>[26]Januari!$J$70</f>
        <v>0</v>
      </c>
      <c r="F301" s="375">
        <f>[26]Februari!$J$70</f>
        <v>0</v>
      </c>
      <c r="G301" s="375">
        <f>[26]Maret!$J$70</f>
        <v>0</v>
      </c>
      <c r="H301" s="375">
        <f>[26]April!$J$70</f>
        <v>0</v>
      </c>
      <c r="I301" s="375">
        <f>[26]Mei!$J$70</f>
        <v>0</v>
      </c>
      <c r="J301" s="375">
        <f>[26]Juni!$I$70</f>
        <v>100634661</v>
      </c>
      <c r="K301" s="375">
        <f>[26]Juli!$J$70</f>
        <v>0</v>
      </c>
      <c r="L301" s="375">
        <f>[26]Agustus!$J$70</f>
        <v>0</v>
      </c>
      <c r="M301" s="375">
        <f>[26]September!$J$70</f>
        <v>0</v>
      </c>
      <c r="N301" s="375">
        <f>[26]Oktober!$J$70</f>
        <v>0</v>
      </c>
      <c r="O301" s="375">
        <f>[26]Nopember!$J$70</f>
        <v>0</v>
      </c>
      <c r="P301" s="375">
        <f>[26]Desember!$J$70</f>
        <v>0</v>
      </c>
      <c r="Q301" s="346">
        <f t="shared" si="114"/>
        <v>100634661</v>
      </c>
      <c r="R301" s="1708">
        <f t="shared" si="111"/>
        <v>78634661</v>
      </c>
      <c r="S301" s="778">
        <f t="shared" si="112"/>
        <v>457.43027727272727</v>
      </c>
      <c r="T301" s="454"/>
      <c r="V301" s="786"/>
      <c r="W301" s="786"/>
      <c r="X301" s="786"/>
    </row>
    <row r="302" spans="1:24" s="189" customFormat="1" ht="14.1" customHeight="1">
      <c r="A302" s="290"/>
      <c r="B302" s="291"/>
      <c r="C302" s="253"/>
      <c r="D302" s="371"/>
      <c r="E302" s="367"/>
      <c r="F302" s="367"/>
      <c r="G302" s="367"/>
      <c r="H302" s="367"/>
      <c r="I302" s="367"/>
      <c r="J302" s="367"/>
      <c r="K302" s="367"/>
      <c r="L302" s="367"/>
      <c r="M302" s="367"/>
      <c r="N302" s="367"/>
      <c r="O302" s="367"/>
      <c r="P302" s="367"/>
      <c r="Q302" s="367"/>
      <c r="R302" s="1630"/>
      <c r="S302" s="388"/>
      <c r="T302" s="454"/>
      <c r="V302" s="786"/>
      <c r="W302" s="786"/>
      <c r="X302" s="786"/>
    </row>
    <row r="303" spans="1:24" s="189" customFormat="1">
      <c r="A303" s="290" t="s">
        <v>179</v>
      </c>
      <c r="B303" s="291" t="s">
        <v>71</v>
      </c>
      <c r="C303" s="291"/>
      <c r="D303" s="371">
        <f>D304+D311+D315+D318+D322+D333+D342+D345+D351</f>
        <v>105825900800</v>
      </c>
      <c r="E303" s="371">
        <f t="shared" ref="E303:P303" si="127">E304+E311+E315+E318+E322+E333+E342+E345+E351</f>
        <v>972974381</v>
      </c>
      <c r="F303" s="371">
        <f t="shared" si="127"/>
        <v>1743864187</v>
      </c>
      <c r="G303" s="371">
        <f t="shared" si="127"/>
        <v>1824457782</v>
      </c>
      <c r="H303" s="371">
        <f t="shared" si="127"/>
        <v>3612785540.23</v>
      </c>
      <c r="I303" s="371">
        <f t="shared" si="127"/>
        <v>2058041169</v>
      </c>
      <c r="J303" s="371">
        <f t="shared" si="127"/>
        <v>1951746982.8399999</v>
      </c>
      <c r="K303" s="371">
        <f t="shared" si="127"/>
        <v>1851568913</v>
      </c>
      <c r="L303" s="371">
        <f t="shared" si="127"/>
        <v>2275159732.3299999</v>
      </c>
      <c r="M303" s="371">
        <f t="shared" si="127"/>
        <v>1735401870</v>
      </c>
      <c r="N303" s="371">
        <f t="shared" si="127"/>
        <v>1252200000</v>
      </c>
      <c r="O303" s="371">
        <f t="shared" si="127"/>
        <v>3303684469</v>
      </c>
      <c r="P303" s="371">
        <f t="shared" si="127"/>
        <v>61506120737</v>
      </c>
      <c r="Q303" s="367">
        <f t="shared" ref="Q303:Q313" si="128">SUM(E303:P303)</f>
        <v>84088005763.399994</v>
      </c>
      <c r="R303" s="1652">
        <f t="shared" ref="R303:R313" si="129">Q303-D303</f>
        <v>-21737895036.600006</v>
      </c>
      <c r="S303" s="347">
        <f>Q303/D303*100</f>
        <v>79.4588140783395</v>
      </c>
      <c r="T303" s="651"/>
      <c r="V303" s="786"/>
      <c r="W303" s="786"/>
      <c r="X303" s="786"/>
    </row>
    <row r="304" spans="1:24" s="189" customFormat="1" ht="15.05">
      <c r="A304" s="290"/>
      <c r="B304" s="291" t="s">
        <v>206</v>
      </c>
      <c r="C304" s="291"/>
      <c r="D304" s="1392">
        <f t="shared" ref="D304:P304" si="130">SUM(D305:D309)</f>
        <v>250000000</v>
      </c>
      <c r="E304" s="1728">
        <f t="shared" si="130"/>
        <v>0</v>
      </c>
      <c r="F304" s="1728">
        <f t="shared" si="130"/>
        <v>0</v>
      </c>
      <c r="G304" s="1728">
        <f t="shared" si="130"/>
        <v>0</v>
      </c>
      <c r="H304" s="1728">
        <f t="shared" si="130"/>
        <v>5364000</v>
      </c>
      <c r="I304" s="1728">
        <f t="shared" si="130"/>
        <v>0</v>
      </c>
      <c r="J304" s="1728">
        <f t="shared" si="130"/>
        <v>0</v>
      </c>
      <c r="K304" s="1728">
        <f t="shared" si="130"/>
        <v>0</v>
      </c>
      <c r="L304" s="1728">
        <f t="shared" si="130"/>
        <v>15000000</v>
      </c>
      <c r="M304" s="1728">
        <f t="shared" si="130"/>
        <v>5000000</v>
      </c>
      <c r="N304" s="1728">
        <f t="shared" si="130"/>
        <v>0</v>
      </c>
      <c r="O304" s="1728">
        <f t="shared" si="130"/>
        <v>0</v>
      </c>
      <c r="P304" s="1728">
        <f t="shared" si="130"/>
        <v>0</v>
      </c>
      <c r="Q304" s="831">
        <f t="shared" si="128"/>
        <v>25364000</v>
      </c>
      <c r="R304" s="1744">
        <f t="shared" si="129"/>
        <v>-224636000</v>
      </c>
      <c r="S304" s="1745">
        <f>Q304/D304*100</f>
        <v>10.1456</v>
      </c>
      <c r="T304" s="1166"/>
      <c r="V304" s="786"/>
      <c r="W304" s="786"/>
      <c r="X304" s="786"/>
    </row>
    <row r="305" spans="1:24" s="189" customFormat="1" ht="14.1" customHeight="1">
      <c r="A305" s="290"/>
      <c r="B305" s="2760" t="s">
        <v>50</v>
      </c>
      <c r="C305" s="854" t="s">
        <v>207</v>
      </c>
      <c r="D305" s="1556">
        <f>'[4]TARGET MURNI DAN PERUBAHAN'!D246</f>
        <v>0</v>
      </c>
      <c r="E305" s="375">
        <f>[25]Januari!$S$70</f>
        <v>0</v>
      </c>
      <c r="F305" s="375">
        <f>[25]Februari!$S$70</f>
        <v>0</v>
      </c>
      <c r="G305" s="375">
        <f>[25]Maret!$S$70</f>
        <v>0</v>
      </c>
      <c r="H305" s="375">
        <f>[25]April!$S$70</f>
        <v>0</v>
      </c>
      <c r="I305" s="375">
        <f>[25]Mei!$S$70</f>
        <v>0</v>
      </c>
      <c r="J305" s="375">
        <f>[25]Juni!$S$70</f>
        <v>0</v>
      </c>
      <c r="K305" s="375">
        <f>[25]Juli!$S$70</f>
        <v>0</v>
      </c>
      <c r="L305" s="375">
        <f>[25]Agustus!$S$70</f>
        <v>0</v>
      </c>
      <c r="M305" s="375">
        <f>[25]September!$S$70</f>
        <v>0</v>
      </c>
      <c r="N305" s="375">
        <f>[25]Oktober!$S$70</f>
        <v>0</v>
      </c>
      <c r="O305" s="375">
        <f>[25]Nopember!$S$70</f>
        <v>0</v>
      </c>
      <c r="P305" s="375">
        <f>[25]DESEMBER!$S$70</f>
        <v>0</v>
      </c>
      <c r="Q305" s="346">
        <f t="shared" si="128"/>
        <v>0</v>
      </c>
      <c r="R305" s="1630">
        <f t="shared" si="129"/>
        <v>0</v>
      </c>
      <c r="S305" s="388" t="e">
        <f>Q305/D305*100</f>
        <v>#DIV/0!</v>
      </c>
      <c r="T305" s="448"/>
      <c r="V305" s="786"/>
      <c r="W305" s="786"/>
      <c r="X305" s="786"/>
    </row>
    <row r="306" spans="1:24" s="189" customFormat="1" ht="14.1" customHeight="1">
      <c r="A306" s="290"/>
      <c r="B306" s="2760" t="s">
        <v>50</v>
      </c>
      <c r="C306" s="854" t="s">
        <v>208</v>
      </c>
      <c r="D306" s="1556">
        <f>'[4]TARGET MURNI DAN PERUBAHAN'!D247</f>
        <v>50000000</v>
      </c>
      <c r="E306" s="375">
        <f>[25]Januari!$T$70</f>
        <v>0</v>
      </c>
      <c r="F306" s="375">
        <f>[25]Februari!$T$70</f>
        <v>0</v>
      </c>
      <c r="G306" s="375">
        <f>[25]Maret!$T$70</f>
        <v>0</v>
      </c>
      <c r="H306" s="375">
        <f>[25]April!$T$70</f>
        <v>0</v>
      </c>
      <c r="I306" s="375">
        <f>[25]Mei!$T$70</f>
        <v>0</v>
      </c>
      <c r="J306" s="375">
        <f>[25]Juni!$T$70</f>
        <v>0</v>
      </c>
      <c r="K306" s="375">
        <f>[25]Juli!$T$70</f>
        <v>0</v>
      </c>
      <c r="L306" s="375">
        <f>[25]Agustus!$T$70</f>
        <v>0</v>
      </c>
      <c r="M306" s="375">
        <f>[25]September!$T$70</f>
        <v>0</v>
      </c>
      <c r="N306" s="375">
        <f>[25]Oktober!$T$70</f>
        <v>0</v>
      </c>
      <c r="O306" s="375">
        <f>[25]Nopember!$T$70</f>
        <v>0</v>
      </c>
      <c r="P306" s="375">
        <f>[25]DESEMBER!$T$70</f>
        <v>0</v>
      </c>
      <c r="Q306" s="346">
        <f t="shared" si="128"/>
        <v>0</v>
      </c>
      <c r="R306" s="1630">
        <f t="shared" si="129"/>
        <v>-50000000</v>
      </c>
      <c r="S306" s="388">
        <v>0</v>
      </c>
      <c r="T306" s="448"/>
      <c r="V306" s="786"/>
      <c r="W306" s="786"/>
      <c r="X306" s="786"/>
    </row>
    <row r="307" spans="1:24" s="189" customFormat="1" ht="14.1" customHeight="1">
      <c r="A307" s="290"/>
      <c r="B307" s="2760" t="s">
        <v>50</v>
      </c>
      <c r="C307" s="854" t="s">
        <v>209</v>
      </c>
      <c r="D307" s="1556">
        <f>'[4]TARGET MURNI DAN PERUBAHAN'!D248</f>
        <v>0</v>
      </c>
      <c r="E307" s="375">
        <f>[25]Januari!$U$70</f>
        <v>0</v>
      </c>
      <c r="F307" s="375">
        <f>[25]Februari!$U$70</f>
        <v>0</v>
      </c>
      <c r="G307" s="375">
        <f>[25]Maret!$U$70</f>
        <v>0</v>
      </c>
      <c r="H307" s="375">
        <f>[25]April!$U$70</f>
        <v>0</v>
      </c>
      <c r="I307" s="375">
        <f>[25]Mei!$U$70</f>
        <v>0</v>
      </c>
      <c r="J307" s="375">
        <f>[25]Juni!$U$70</f>
        <v>0</v>
      </c>
      <c r="K307" s="375">
        <f>[25]Juli!$U$70</f>
        <v>0</v>
      </c>
      <c r="L307" s="375">
        <f>[25]Agustus!$U$70</f>
        <v>0</v>
      </c>
      <c r="M307" s="375">
        <f>[25]September!$U$70</f>
        <v>0</v>
      </c>
      <c r="N307" s="375">
        <f>[25]Oktober!$U$70</f>
        <v>0</v>
      </c>
      <c r="O307" s="375">
        <f>[25]Nopember!$U$70</f>
        <v>0</v>
      </c>
      <c r="P307" s="375">
        <f>[25]DESEMBER!$U$70</f>
        <v>0</v>
      </c>
      <c r="Q307" s="346">
        <f t="shared" si="128"/>
        <v>0</v>
      </c>
      <c r="R307" s="1630">
        <f t="shared" si="129"/>
        <v>0</v>
      </c>
      <c r="S307" s="388">
        <v>0</v>
      </c>
      <c r="T307" s="448"/>
      <c r="V307" s="786"/>
      <c r="W307" s="786"/>
      <c r="X307" s="786"/>
    </row>
    <row r="308" spans="1:24" s="189" customFormat="1" ht="14.1" customHeight="1">
      <c r="A308" s="290"/>
      <c r="B308" s="2760" t="s">
        <v>50</v>
      </c>
      <c r="C308" s="854" t="s">
        <v>210</v>
      </c>
      <c r="D308" s="1556">
        <f>'[4]TARGET MURNI DAN PERUBAHAN'!D249</f>
        <v>0</v>
      </c>
      <c r="E308" s="375">
        <f>[25]Januari!$V$70</f>
        <v>0</v>
      </c>
      <c r="F308" s="375">
        <f>[25]Februari!$V$70</f>
        <v>0</v>
      </c>
      <c r="G308" s="375">
        <f>[25]Maret!$V$70</f>
        <v>0</v>
      </c>
      <c r="H308" s="375">
        <f>[25]April!$V$70</f>
        <v>0</v>
      </c>
      <c r="I308" s="375">
        <f>[25]Mei!$V$70</f>
        <v>0</v>
      </c>
      <c r="J308" s="375">
        <f>[25]Juni!$V$70</f>
        <v>0</v>
      </c>
      <c r="K308" s="375">
        <f>[25]Juli!$V$70</f>
        <v>0</v>
      </c>
      <c r="L308" s="375">
        <f>[25]Agustus!$V$70</f>
        <v>0</v>
      </c>
      <c r="M308" s="375">
        <f>[25]September!$V$70</f>
        <v>0</v>
      </c>
      <c r="N308" s="375">
        <f>[25]Oktober!$V$70</f>
        <v>0</v>
      </c>
      <c r="O308" s="375">
        <f>[25]Nopember!$V$70</f>
        <v>0</v>
      </c>
      <c r="P308" s="375">
        <f>[25]DESEMBER!$V$70</f>
        <v>0</v>
      </c>
      <c r="Q308" s="346">
        <f t="shared" si="128"/>
        <v>0</v>
      </c>
      <c r="R308" s="1630">
        <f t="shared" si="129"/>
        <v>0</v>
      </c>
      <c r="S308" s="388">
        <v>0</v>
      </c>
      <c r="T308" s="448"/>
      <c r="V308" s="786"/>
      <c r="W308" s="786"/>
      <c r="X308" s="786"/>
    </row>
    <row r="309" spans="1:24" s="189" customFormat="1" ht="14.1" customHeight="1">
      <c r="A309" s="290"/>
      <c r="B309" s="2760" t="s">
        <v>50</v>
      </c>
      <c r="C309" s="854" t="s">
        <v>211</v>
      </c>
      <c r="D309" s="1556">
        <f>'[4]TARGET MURNI DAN PERUBAHAN'!D250</f>
        <v>200000000</v>
      </c>
      <c r="E309" s="355">
        <f>[25]Januari!$W$70</f>
        <v>0</v>
      </c>
      <c r="F309" s="355">
        <f>[25]Februari!$W$70</f>
        <v>0</v>
      </c>
      <c r="G309" s="355">
        <f>[25]Maret!$W$70</f>
        <v>0</v>
      </c>
      <c r="H309" s="355">
        <f>[25]April!$W$70</f>
        <v>5364000</v>
      </c>
      <c r="I309" s="355">
        <f>[25]Mei!$W$70</f>
        <v>0</v>
      </c>
      <c r="J309" s="355">
        <f>[25]Juni!$W$70</f>
        <v>0</v>
      </c>
      <c r="K309" s="355">
        <f>[25]Juli!$W$70</f>
        <v>0</v>
      </c>
      <c r="L309" s="355">
        <f>[25]Agustus!$W$70</f>
        <v>15000000</v>
      </c>
      <c r="M309" s="355">
        <f>[25]September!$W$70</f>
        <v>5000000</v>
      </c>
      <c r="N309" s="355">
        <f>[25]Oktober!$W$70</f>
        <v>0</v>
      </c>
      <c r="O309" s="355">
        <f>[25]Nopember!$W$70</f>
        <v>0</v>
      </c>
      <c r="P309" s="355">
        <f>[25]DESEMBER!$W$70</f>
        <v>0</v>
      </c>
      <c r="Q309" s="346">
        <f t="shared" si="128"/>
        <v>25364000</v>
      </c>
      <c r="R309" s="1630">
        <f t="shared" si="129"/>
        <v>-174636000</v>
      </c>
      <c r="S309" s="388">
        <f>Q309/D309*100</f>
        <v>12.681999999999999</v>
      </c>
      <c r="T309" s="441"/>
      <c r="V309" s="434">
        <f>Q309/9</f>
        <v>2818222.222222222</v>
      </c>
      <c r="W309" s="786"/>
      <c r="X309" s="786"/>
    </row>
    <row r="310" spans="1:24" s="189" customFormat="1" ht="14.1" customHeight="1">
      <c r="A310" s="290"/>
      <c r="B310" s="253"/>
      <c r="C310" s="253"/>
      <c r="D310" s="355"/>
      <c r="E310" s="355"/>
      <c r="F310" s="355"/>
      <c r="G310" s="355"/>
      <c r="H310" s="355"/>
      <c r="I310" s="355"/>
      <c r="J310" s="355"/>
      <c r="K310" s="355"/>
      <c r="L310" s="355"/>
      <c r="M310" s="355"/>
      <c r="N310" s="355"/>
      <c r="O310" s="355"/>
      <c r="P310" s="355"/>
      <c r="Q310" s="346">
        <f t="shared" si="128"/>
        <v>0</v>
      </c>
      <c r="R310" s="1630"/>
      <c r="S310" s="388"/>
      <c r="T310" s="441"/>
      <c r="V310" s="786"/>
      <c r="W310" s="786"/>
      <c r="X310" s="786"/>
    </row>
    <row r="311" spans="1:24" s="189" customFormat="1" ht="14.1" customHeight="1">
      <c r="A311" s="290"/>
      <c r="B311" s="291" t="s">
        <v>212</v>
      </c>
      <c r="C311" s="253"/>
      <c r="D311" s="973">
        <f>SUM(D312:D313)</f>
        <v>4500000000</v>
      </c>
      <c r="E311" s="973">
        <f t="shared" ref="E311:P311" si="131">SUM(E312:E313)</f>
        <v>969934695</v>
      </c>
      <c r="F311" s="973">
        <f t="shared" si="131"/>
        <v>1418870915</v>
      </c>
      <c r="G311" s="973">
        <f t="shared" si="131"/>
        <v>1023584044</v>
      </c>
      <c r="H311" s="973">
        <f t="shared" si="131"/>
        <v>1539199446</v>
      </c>
      <c r="I311" s="973">
        <f t="shared" si="131"/>
        <v>1429389216</v>
      </c>
      <c r="J311" s="973">
        <f t="shared" si="131"/>
        <v>1320025908</v>
      </c>
      <c r="K311" s="973">
        <f t="shared" si="131"/>
        <v>1224603297</v>
      </c>
      <c r="L311" s="973">
        <f t="shared" si="131"/>
        <v>1007918516.33</v>
      </c>
      <c r="M311" s="973">
        <f t="shared" si="131"/>
        <v>474339205</v>
      </c>
      <c r="N311" s="973">
        <f t="shared" si="131"/>
        <v>0</v>
      </c>
      <c r="O311" s="973">
        <f t="shared" si="131"/>
        <v>1616263172</v>
      </c>
      <c r="P311" s="973">
        <f t="shared" si="131"/>
        <v>511033861</v>
      </c>
      <c r="Q311" s="831">
        <f t="shared" si="128"/>
        <v>12535162275.33</v>
      </c>
      <c r="R311" s="1744">
        <f t="shared" si="129"/>
        <v>8035162275.3299999</v>
      </c>
      <c r="S311" s="832">
        <f>Q311/D311*100</f>
        <v>278.55916167399999</v>
      </c>
      <c r="T311" s="441"/>
      <c r="V311" s="786"/>
      <c r="W311" s="786"/>
      <c r="X311" s="786"/>
    </row>
    <row r="312" spans="1:24" s="189" customFormat="1" ht="14.1" customHeight="1">
      <c r="A312" s="290"/>
      <c r="B312" s="842" t="s">
        <v>50</v>
      </c>
      <c r="C312" s="253" t="s">
        <v>213</v>
      </c>
      <c r="D312" s="355">
        <f>'[4]TARGET MURNI DAN PERUBAHAN'!D253</f>
        <v>4500000000</v>
      </c>
      <c r="E312" s="709">
        <f>[26]Januari!$K$70</f>
        <v>968889825</v>
      </c>
      <c r="F312" s="709">
        <f>[26]Februari!$K$70</f>
        <v>1401414610</v>
      </c>
      <c r="G312" s="709">
        <f>[26]Maret!$K$70</f>
        <v>1009123325</v>
      </c>
      <c r="H312" s="709">
        <f>[26]April!$K$70</f>
        <v>1523176163</v>
      </c>
      <c r="I312" s="709">
        <f>[26]Mei!$K$70</f>
        <v>1400964128</v>
      </c>
      <c r="J312" s="709">
        <f>[26]Juni!$K$70</f>
        <v>1320025908</v>
      </c>
      <c r="K312" s="709">
        <f>[26]Juli!$K$70</f>
        <v>1222857960</v>
      </c>
      <c r="L312" s="709">
        <f>[26]Agustus!$K$70</f>
        <v>1007304802.33</v>
      </c>
      <c r="M312" s="709">
        <f>[26]September!$K$70</f>
        <v>446459534</v>
      </c>
      <c r="N312" s="709">
        <f>[26]Oktober!$K$70</f>
        <v>0</v>
      </c>
      <c r="O312" s="709">
        <f>[26]Nopember!$K$70</f>
        <v>1508045671</v>
      </c>
      <c r="P312" s="709">
        <f>[26]Desember!$K$70</f>
        <v>440193434</v>
      </c>
      <c r="Q312" s="340">
        <f t="shared" si="128"/>
        <v>12248455360.33</v>
      </c>
      <c r="R312" s="1746">
        <f t="shared" si="129"/>
        <v>7748455360.3299999</v>
      </c>
      <c r="S312" s="358">
        <f>Q312/D312*100</f>
        <v>272.18789689622224</v>
      </c>
      <c r="T312" s="732"/>
      <c r="V312" s="434">
        <f>Q312/9</f>
        <v>1360939484.481111</v>
      </c>
      <c r="W312" s="786"/>
      <c r="X312" s="786"/>
    </row>
    <row r="313" spans="1:24" s="189" customFormat="1" ht="14.1" customHeight="1">
      <c r="A313" s="290"/>
      <c r="B313" s="842" t="s">
        <v>50</v>
      </c>
      <c r="C313" s="253" t="s">
        <v>214</v>
      </c>
      <c r="D313" s="355">
        <f>'[4]TARGET MURNI DAN PERUBAHAN'!D254</f>
        <v>0</v>
      </c>
      <c r="E313" s="355">
        <f>[26]Januari!$L$70</f>
        <v>1044870</v>
      </c>
      <c r="F313" s="355">
        <f>[26]Februari!$L$70</f>
        <v>17456305</v>
      </c>
      <c r="G313" s="355">
        <f>[26]Maret!$L$70</f>
        <v>14460719</v>
      </c>
      <c r="H313" s="355">
        <f>[26]April!$L$70</f>
        <v>16023283</v>
      </c>
      <c r="I313" s="355">
        <f>[26]Mei!$L$70</f>
        <v>28425088</v>
      </c>
      <c r="J313" s="355">
        <f>[26]Juni!$L$70</f>
        <v>0</v>
      </c>
      <c r="K313" s="355">
        <f>[26]Juli!$L$70</f>
        <v>1745337</v>
      </c>
      <c r="L313" s="355">
        <f>[26]Agustus!$L$70</f>
        <v>613714</v>
      </c>
      <c r="M313" s="355">
        <f>[26]September!$L$70</f>
        <v>27879671</v>
      </c>
      <c r="N313" s="355">
        <f>[26]Oktober!$L$70</f>
        <v>0</v>
      </c>
      <c r="O313" s="355">
        <f>[26]Nopember!$L$70</f>
        <v>108217501</v>
      </c>
      <c r="P313" s="355">
        <f>[26]Desember!$L$70</f>
        <v>70840427</v>
      </c>
      <c r="Q313" s="346">
        <f t="shared" si="128"/>
        <v>286706915</v>
      </c>
      <c r="R313" s="1630">
        <f t="shared" si="129"/>
        <v>286706915</v>
      </c>
      <c r="S313" s="388" t="e">
        <f>Q313/D313*100</f>
        <v>#DIV/0!</v>
      </c>
      <c r="T313" s="441"/>
      <c r="V313" s="434">
        <f>Q313/9</f>
        <v>31856323.888888888</v>
      </c>
      <c r="W313" s="786"/>
      <c r="X313" s="786"/>
    </row>
    <row r="314" spans="1:24" s="189" customFormat="1" ht="14.1" customHeight="1">
      <c r="A314" s="290"/>
      <c r="B314" s="253"/>
      <c r="C314" s="253"/>
      <c r="D314" s="355"/>
      <c r="E314" s="355"/>
      <c r="F314" s="355"/>
      <c r="G314" s="355"/>
      <c r="H314" s="355"/>
      <c r="I314" s="355"/>
      <c r="J314" s="355"/>
      <c r="K314" s="355"/>
      <c r="L314" s="355"/>
      <c r="M314" s="355"/>
      <c r="N314" s="355"/>
      <c r="O314" s="355"/>
      <c r="P314" s="355"/>
      <c r="Q314" s="346"/>
      <c r="R314" s="1630"/>
      <c r="S314" s="388"/>
      <c r="T314" s="441"/>
      <c r="V314" s="786"/>
      <c r="W314" s="786"/>
      <c r="X314" s="786"/>
    </row>
    <row r="315" spans="1:24" s="189" customFormat="1" ht="15.05">
      <c r="A315" s="290"/>
      <c r="B315" s="291" t="s">
        <v>215</v>
      </c>
      <c r="C315" s="291"/>
      <c r="D315" s="973">
        <f>+D316</f>
        <v>12000000000</v>
      </c>
      <c r="E315" s="830">
        <f t="shared" ref="E315:P315" si="132">+E316</f>
        <v>0</v>
      </c>
      <c r="F315" s="830">
        <f t="shared" si="132"/>
        <v>0</v>
      </c>
      <c r="G315" s="830">
        <f t="shared" si="132"/>
        <v>625000000</v>
      </c>
      <c r="H315" s="830">
        <f t="shared" si="132"/>
        <v>625000000</v>
      </c>
      <c r="I315" s="830">
        <f t="shared" si="132"/>
        <v>625000000</v>
      </c>
      <c r="J315" s="830">
        <f t="shared" si="132"/>
        <v>625000000</v>
      </c>
      <c r="K315" s="830">
        <f t="shared" si="132"/>
        <v>625000000</v>
      </c>
      <c r="L315" s="830">
        <f t="shared" si="132"/>
        <v>1250000000</v>
      </c>
      <c r="M315" s="830">
        <f t="shared" si="132"/>
        <v>1250000000</v>
      </c>
      <c r="N315" s="830">
        <f t="shared" si="132"/>
        <v>1250000000</v>
      </c>
      <c r="O315" s="830">
        <f t="shared" si="132"/>
        <v>1250000000</v>
      </c>
      <c r="P315" s="830">
        <f t="shared" si="132"/>
        <v>1250000000</v>
      </c>
      <c r="Q315" s="831">
        <f>SUM(E315:P315)</f>
        <v>9375000000</v>
      </c>
      <c r="R315" s="1744">
        <f t="shared" ref="R315:R320" si="133">Q315-D315</f>
        <v>-2625000000</v>
      </c>
      <c r="S315" s="1745">
        <f t="shared" ref="S315:S320" si="134">Q315/D315*100</f>
        <v>78.125</v>
      </c>
      <c r="T315" s="1747"/>
      <c r="V315" s="786"/>
      <c r="W315" s="786"/>
      <c r="X315" s="786"/>
    </row>
    <row r="316" spans="1:24" s="189" customFormat="1" ht="14.1" customHeight="1">
      <c r="A316" s="290"/>
      <c r="B316" s="842" t="s">
        <v>50</v>
      </c>
      <c r="C316" s="253" t="s">
        <v>216</v>
      </c>
      <c r="D316" s="355">
        <f>'[4]TARGET MURNI DAN PERUBAHAN'!D257</f>
        <v>12000000000</v>
      </c>
      <c r="E316" s="375">
        <f>[26]Januari!$M$70</f>
        <v>0</v>
      </c>
      <c r="F316" s="375">
        <f>[26]Februari!$M$70</f>
        <v>0</v>
      </c>
      <c r="G316" s="375">
        <f>[26]Maret!$M$70</f>
        <v>625000000</v>
      </c>
      <c r="H316" s="375">
        <f>[26]April!$M$70</f>
        <v>625000000</v>
      </c>
      <c r="I316" s="375">
        <f>[26]Mei!$M$70</f>
        <v>625000000</v>
      </c>
      <c r="J316" s="375">
        <f>[26]Juni!$M$70</f>
        <v>625000000</v>
      </c>
      <c r="K316" s="375">
        <f>[26]Juli!$M$70</f>
        <v>625000000</v>
      </c>
      <c r="L316" s="375">
        <f>[26]Agustus!$M$70</f>
        <v>1250000000</v>
      </c>
      <c r="M316" s="375">
        <f>[26]September!$M$70</f>
        <v>1250000000</v>
      </c>
      <c r="N316" s="375">
        <f>[26]Oktober!$M$70</f>
        <v>1250000000</v>
      </c>
      <c r="O316" s="375">
        <f>[26]Nopember!$M$70</f>
        <v>1250000000</v>
      </c>
      <c r="P316" s="375">
        <f>[26]Desember!$M$70</f>
        <v>1250000000</v>
      </c>
      <c r="Q316" s="346">
        <f>SUM(E316:P316)</f>
        <v>9375000000</v>
      </c>
      <c r="R316" s="1630">
        <f t="shared" si="133"/>
        <v>-2625000000</v>
      </c>
      <c r="S316" s="388">
        <f t="shared" si="134"/>
        <v>78.125</v>
      </c>
      <c r="T316" s="448"/>
      <c r="V316" s="434">
        <f>Q316/9</f>
        <v>1041666666.6666666</v>
      </c>
      <c r="W316" s="786"/>
      <c r="X316" s="786"/>
    </row>
    <row r="317" spans="1:24" s="189" customFormat="1" ht="14.1" customHeight="1">
      <c r="A317" s="290"/>
      <c r="B317" s="253"/>
      <c r="C317" s="253"/>
      <c r="D317" s="355"/>
      <c r="E317" s="352"/>
      <c r="F317" s="352"/>
      <c r="G317" s="352"/>
      <c r="H317" s="352"/>
      <c r="I317" s="352"/>
      <c r="J317" s="352"/>
      <c r="K317" s="352"/>
      <c r="L317" s="352"/>
      <c r="M317" s="352"/>
      <c r="N317" s="352"/>
      <c r="O317" s="352"/>
      <c r="P317" s="352"/>
      <c r="Q317" s="595"/>
      <c r="R317" s="1709"/>
      <c r="S317" s="353"/>
      <c r="T317" s="440"/>
      <c r="V317" s="786"/>
      <c r="W317" s="786"/>
      <c r="X317" s="786"/>
    </row>
    <row r="318" spans="1:24" s="189" customFormat="1" ht="15.05">
      <c r="A318" s="290"/>
      <c r="B318" s="291" t="s">
        <v>217</v>
      </c>
      <c r="C318" s="253"/>
      <c r="D318" s="973">
        <f>SUM(D319:D320)</f>
        <v>6015000000</v>
      </c>
      <c r="E318" s="831">
        <f t="shared" ref="E318:P318" si="135">SUM(E319:E320)</f>
        <v>1000000</v>
      </c>
      <c r="F318" s="831">
        <f t="shared" si="135"/>
        <v>69300000</v>
      </c>
      <c r="G318" s="831">
        <f t="shared" si="135"/>
        <v>3700000</v>
      </c>
      <c r="H318" s="831">
        <f t="shared" si="135"/>
        <v>269768064.23000002</v>
      </c>
      <c r="I318" s="831">
        <f t="shared" si="135"/>
        <v>2200000</v>
      </c>
      <c r="J318" s="831">
        <f t="shared" si="135"/>
        <v>0</v>
      </c>
      <c r="K318" s="831">
        <f t="shared" si="135"/>
        <v>617000</v>
      </c>
      <c r="L318" s="831">
        <f t="shared" si="135"/>
        <v>617000</v>
      </c>
      <c r="M318" s="831">
        <f t="shared" si="135"/>
        <v>0</v>
      </c>
      <c r="N318" s="831">
        <f t="shared" si="135"/>
        <v>200000</v>
      </c>
      <c r="O318" s="831">
        <f t="shared" si="135"/>
        <v>617000</v>
      </c>
      <c r="P318" s="831">
        <f t="shared" si="135"/>
        <v>3945000</v>
      </c>
      <c r="Q318" s="831">
        <f t="shared" ref="Q318:Q323" si="136">SUM(E318:P318)</f>
        <v>351964064.23000002</v>
      </c>
      <c r="R318" s="1744">
        <f t="shared" si="133"/>
        <v>-5663035935.7700005</v>
      </c>
      <c r="S318" s="1745">
        <f t="shared" si="134"/>
        <v>5.8514391393183711</v>
      </c>
      <c r="T318" s="1748"/>
      <c r="V318" s="786"/>
      <c r="W318" s="786"/>
      <c r="X318" s="786"/>
    </row>
    <row r="319" spans="1:24" s="189" customFormat="1" ht="14.1" customHeight="1">
      <c r="A319" s="290"/>
      <c r="B319" s="842" t="s">
        <v>50</v>
      </c>
      <c r="C319" s="253" t="s">
        <v>218</v>
      </c>
      <c r="D319" s="355">
        <f>'[4]TARGET MURNI DAN PERUBAHAN'!D260</f>
        <v>6000000000</v>
      </c>
      <c r="E319" s="375">
        <f>[26]Januari!$N$70</f>
        <v>0</v>
      </c>
      <c r="F319" s="375">
        <f>[26]Februari!$N$70</f>
        <v>66000000</v>
      </c>
      <c r="G319" s="375">
        <f>[26]Maret!$N$70</f>
        <v>0</v>
      </c>
      <c r="H319" s="375">
        <f>[26]April!$N$70</f>
        <v>267768064.22999999</v>
      </c>
      <c r="I319" s="375">
        <f>[26]Mei!$N$70</f>
        <v>2000000</v>
      </c>
      <c r="J319" s="375">
        <f>[26]Juni!$N$70</f>
        <v>0</v>
      </c>
      <c r="K319" s="375">
        <f>[26]Juli!$N$70</f>
        <v>0</v>
      </c>
      <c r="L319" s="375">
        <f>[26]Agustus!$N$70</f>
        <v>0</v>
      </c>
      <c r="M319" s="375">
        <f>[26]September!$N$70</f>
        <v>0</v>
      </c>
      <c r="N319" s="375">
        <f>[26]Oktober!$N$70</f>
        <v>0</v>
      </c>
      <c r="O319" s="375">
        <f>[26]Nopember!$N$70</f>
        <v>0</v>
      </c>
      <c r="P319" s="375">
        <f>[26]Desember!$N$70</f>
        <v>0</v>
      </c>
      <c r="Q319" s="346">
        <f t="shared" si="136"/>
        <v>335768064.23000002</v>
      </c>
      <c r="R319" s="1630">
        <f t="shared" si="133"/>
        <v>-5664231935.7700005</v>
      </c>
      <c r="S319" s="399">
        <f t="shared" si="134"/>
        <v>5.596134403833334</v>
      </c>
      <c r="T319" s="448"/>
      <c r="V319" s="434">
        <f>Q319/9</f>
        <v>37307562.692222223</v>
      </c>
      <c r="W319" s="786"/>
      <c r="X319" s="786"/>
    </row>
    <row r="320" spans="1:24" s="189" customFormat="1" ht="14.1" customHeight="1">
      <c r="A320" s="290"/>
      <c r="B320" s="842" t="s">
        <v>50</v>
      </c>
      <c r="C320" s="253" t="s">
        <v>219</v>
      </c>
      <c r="D320" s="355">
        <f>'[4]TARGET MURNI DAN PERUBAHAN'!D261</f>
        <v>15000000</v>
      </c>
      <c r="E320" s="375">
        <f>[26]Januari!$O$70</f>
        <v>1000000</v>
      </c>
      <c r="F320" s="375">
        <f>[26]Februari!$O$70</f>
        <v>3300000</v>
      </c>
      <c r="G320" s="375">
        <f>[26]Maret!$O$70</f>
        <v>3700000</v>
      </c>
      <c r="H320" s="375">
        <f>[26]April!$O$70</f>
        <v>2000000</v>
      </c>
      <c r="I320" s="375">
        <f>[26]Mei!$O$70</f>
        <v>200000</v>
      </c>
      <c r="J320" s="375">
        <f>[26]Juni!$O$70</f>
        <v>0</v>
      </c>
      <c r="K320" s="375">
        <f>[26]Juli!$O$70</f>
        <v>617000</v>
      </c>
      <c r="L320" s="375">
        <f>[26]Agustus!$O$70</f>
        <v>617000</v>
      </c>
      <c r="M320" s="375">
        <f>[26]September!$O$70</f>
        <v>0</v>
      </c>
      <c r="N320" s="375">
        <f>[26]Oktober!$O$70</f>
        <v>200000</v>
      </c>
      <c r="O320" s="375">
        <f>[26]Nopember!$O$70</f>
        <v>617000</v>
      </c>
      <c r="P320" s="375">
        <f>[26]Desember!$O$70</f>
        <v>3945000</v>
      </c>
      <c r="Q320" s="346">
        <f t="shared" si="136"/>
        <v>16196000</v>
      </c>
      <c r="R320" s="1630">
        <f t="shared" si="133"/>
        <v>1196000</v>
      </c>
      <c r="S320" s="388">
        <f t="shared" si="134"/>
        <v>107.97333333333334</v>
      </c>
      <c r="T320" s="448"/>
      <c r="V320" s="434">
        <f>Q320/9</f>
        <v>1799555.5555555555</v>
      </c>
      <c r="W320" s="786"/>
      <c r="X320" s="786"/>
    </row>
    <row r="321" spans="1:24" s="189" customFormat="1" ht="14.1" customHeight="1">
      <c r="A321" s="290"/>
      <c r="B321" s="199"/>
      <c r="C321" s="253"/>
      <c r="D321" s="355"/>
      <c r="E321" s="357"/>
      <c r="F321" s="357"/>
      <c r="G321" s="357"/>
      <c r="H321" s="357"/>
      <c r="I321" s="357"/>
      <c r="J321" s="357"/>
      <c r="K321" s="357"/>
      <c r="L321" s="357"/>
      <c r="M321" s="357"/>
      <c r="N321" s="357"/>
      <c r="O321" s="357"/>
      <c r="P321" s="357"/>
      <c r="Q321" s="340"/>
      <c r="R321" s="1746"/>
      <c r="S321" s="358"/>
      <c r="T321" s="442"/>
      <c r="V321" s="786"/>
      <c r="W321" s="786"/>
      <c r="X321" s="786"/>
    </row>
    <row r="322" spans="1:24" s="189" customFormat="1" ht="14.1" customHeight="1">
      <c r="A322" s="290"/>
      <c r="B322" s="852" t="s">
        <v>220</v>
      </c>
      <c r="C322" s="253"/>
      <c r="D322" s="1392">
        <f>SUM(D323:D331)</f>
        <v>0</v>
      </c>
      <c r="E322" s="1392">
        <f t="shared" ref="E322:P322" si="137">SUM(E323:E331)</f>
        <v>2039686</v>
      </c>
      <c r="F322" s="1392">
        <f t="shared" si="137"/>
        <v>426887</v>
      </c>
      <c r="G322" s="1392">
        <f t="shared" si="137"/>
        <v>404483</v>
      </c>
      <c r="H322" s="1392">
        <f t="shared" si="137"/>
        <v>517680</v>
      </c>
      <c r="I322" s="1392">
        <f t="shared" si="137"/>
        <v>451953</v>
      </c>
      <c r="J322" s="1392">
        <f t="shared" si="137"/>
        <v>1174124</v>
      </c>
      <c r="K322" s="1392">
        <f t="shared" si="137"/>
        <v>348616</v>
      </c>
      <c r="L322" s="1392">
        <f t="shared" si="137"/>
        <v>624216</v>
      </c>
      <c r="M322" s="1392">
        <f t="shared" si="137"/>
        <v>3862665</v>
      </c>
      <c r="N322" s="1392">
        <f t="shared" si="137"/>
        <v>0</v>
      </c>
      <c r="O322" s="1392">
        <f t="shared" si="137"/>
        <v>0</v>
      </c>
      <c r="P322" s="1392">
        <f t="shared" si="137"/>
        <v>2928037</v>
      </c>
      <c r="Q322" s="831">
        <f t="shared" si="136"/>
        <v>12778347</v>
      </c>
      <c r="R322" s="1744">
        <f>Q322-D322</f>
        <v>12778347</v>
      </c>
      <c r="S322" s="1745" t="e">
        <f>Q322/D322*100</f>
        <v>#DIV/0!</v>
      </c>
      <c r="T322" s="441"/>
      <c r="V322" s="786"/>
      <c r="W322" s="786"/>
      <c r="X322" s="786"/>
    </row>
    <row r="323" spans="1:24" s="189" customFormat="1" ht="14.1" customHeight="1">
      <c r="A323" s="290"/>
      <c r="B323" s="853" t="s">
        <v>50</v>
      </c>
      <c r="C323" s="854" t="s">
        <v>221</v>
      </c>
      <c r="D323" s="355">
        <f>'[4]TARGET MURNI DAN PERUBAHAN'!D264</f>
        <v>0</v>
      </c>
      <c r="E323" s="355">
        <f>[25]Januari!$Y$70</f>
        <v>2039686</v>
      </c>
      <c r="F323" s="355">
        <f>[25]Februari!$Y$70</f>
        <v>426887</v>
      </c>
      <c r="G323" s="355">
        <f>[25]Maret!$Y$70</f>
        <v>404483</v>
      </c>
      <c r="H323" s="355">
        <f>[25]April!$Y$70</f>
        <v>517680</v>
      </c>
      <c r="I323" s="355">
        <f>[25]Mei!$Y$70</f>
        <v>451953</v>
      </c>
      <c r="J323" s="355">
        <f>[25]Juni!$Y$70</f>
        <v>1174124</v>
      </c>
      <c r="K323" s="355">
        <f>[25]Juli!$Y$70</f>
        <v>348616</v>
      </c>
      <c r="L323" s="355">
        <f>[25]Agustus!$Y$70</f>
        <v>624216</v>
      </c>
      <c r="M323" s="355">
        <f>[25]September!$Y$70</f>
        <v>3862665</v>
      </c>
      <c r="N323" s="355">
        <f>[25]Oktober!$Y$70</f>
        <v>0</v>
      </c>
      <c r="O323" s="355">
        <f>[25]Nopember!$Y$70</f>
        <v>0</v>
      </c>
      <c r="P323" s="355">
        <f>[25]DESEMBER!$Y$70</f>
        <v>2928037</v>
      </c>
      <c r="Q323" s="346">
        <f t="shared" si="136"/>
        <v>12778347</v>
      </c>
      <c r="R323" s="1630">
        <f>Q323-D323</f>
        <v>12778347</v>
      </c>
      <c r="S323" s="388"/>
      <c r="T323" s="441"/>
      <c r="V323" s="786"/>
      <c r="W323" s="786"/>
      <c r="X323" s="786"/>
    </row>
    <row r="324" spans="1:24" s="189" customFormat="1" ht="14.1" customHeight="1">
      <c r="A324" s="290"/>
      <c r="B324" s="855" t="s">
        <v>50</v>
      </c>
      <c r="C324" s="854" t="s">
        <v>771</v>
      </c>
      <c r="D324" s="355">
        <f>'[4]TARGET MURNI DAN PERUBAHAN'!D265</f>
        <v>0</v>
      </c>
      <c r="E324" s="355"/>
      <c r="F324" s="355"/>
      <c r="G324" s="355"/>
      <c r="H324" s="355"/>
      <c r="I324" s="355"/>
      <c r="J324" s="355"/>
      <c r="K324" s="355"/>
      <c r="L324" s="355"/>
      <c r="M324" s="355"/>
      <c r="N324" s="355"/>
      <c r="O324" s="355"/>
      <c r="P324" s="355"/>
      <c r="Q324" s="346"/>
      <c r="R324" s="1630"/>
      <c r="S324" s="388"/>
      <c r="T324" s="441"/>
      <c r="V324" s="786"/>
      <c r="W324" s="786"/>
      <c r="X324" s="786"/>
    </row>
    <row r="325" spans="1:24" s="189" customFormat="1" ht="14.1" customHeight="1">
      <c r="A325" s="290"/>
      <c r="B325" s="855" t="s">
        <v>50</v>
      </c>
      <c r="C325" s="854" t="s">
        <v>772</v>
      </c>
      <c r="D325" s="355">
        <f>'[4]TARGET MURNI DAN PERUBAHAN'!D266</f>
        <v>0</v>
      </c>
      <c r="E325" s="355"/>
      <c r="F325" s="355"/>
      <c r="G325" s="355"/>
      <c r="H325" s="355"/>
      <c r="I325" s="355"/>
      <c r="J325" s="355"/>
      <c r="K325" s="355"/>
      <c r="L325" s="355"/>
      <c r="M325" s="355"/>
      <c r="N325" s="355"/>
      <c r="O325" s="355"/>
      <c r="P325" s="355"/>
      <c r="Q325" s="346"/>
      <c r="R325" s="1630"/>
      <c r="S325" s="388"/>
      <c r="T325" s="441"/>
      <c r="V325" s="786"/>
      <c r="W325" s="786"/>
      <c r="X325" s="786"/>
    </row>
    <row r="326" spans="1:24" s="189" customFormat="1" ht="14.1" customHeight="1">
      <c r="A326" s="290"/>
      <c r="B326" s="855" t="s">
        <v>50</v>
      </c>
      <c r="C326" s="854" t="s">
        <v>773</v>
      </c>
      <c r="D326" s="355">
        <f>'[4]TARGET MURNI DAN PERUBAHAN'!D267</f>
        <v>0</v>
      </c>
      <c r="E326" s="355"/>
      <c r="F326" s="355"/>
      <c r="G326" s="355"/>
      <c r="H326" s="355"/>
      <c r="I326" s="355"/>
      <c r="J326" s="355"/>
      <c r="K326" s="355"/>
      <c r="L326" s="355"/>
      <c r="M326" s="355"/>
      <c r="N326" s="355"/>
      <c r="O326" s="355"/>
      <c r="P326" s="355"/>
      <c r="Q326" s="346"/>
      <c r="R326" s="1630"/>
      <c r="S326" s="388"/>
      <c r="T326" s="441"/>
      <c r="V326" s="786"/>
      <c r="W326" s="786"/>
      <c r="X326" s="786"/>
    </row>
    <row r="327" spans="1:24" s="189" customFormat="1" ht="14.1" customHeight="1">
      <c r="A327" s="290"/>
      <c r="B327" s="855" t="s">
        <v>50</v>
      </c>
      <c r="C327" s="854" t="s">
        <v>774</v>
      </c>
      <c r="D327" s="355">
        <f>'[4]TARGET MURNI DAN PERUBAHAN'!D268</f>
        <v>0</v>
      </c>
      <c r="E327" s="355"/>
      <c r="F327" s="355"/>
      <c r="G327" s="355"/>
      <c r="H327" s="355"/>
      <c r="I327" s="355"/>
      <c r="J327" s="355"/>
      <c r="K327" s="355"/>
      <c r="L327" s="355"/>
      <c r="M327" s="355"/>
      <c r="N327" s="355"/>
      <c r="O327" s="355"/>
      <c r="P327" s="355"/>
      <c r="Q327" s="346"/>
      <c r="R327" s="1630"/>
      <c r="S327" s="388"/>
      <c r="T327" s="441"/>
      <c r="V327" s="786"/>
      <c r="W327" s="786"/>
      <c r="X327" s="786"/>
    </row>
    <row r="328" spans="1:24" s="189" customFormat="1" ht="14.1" customHeight="1">
      <c r="A328" s="290"/>
      <c r="B328" s="855" t="s">
        <v>50</v>
      </c>
      <c r="C328" s="854" t="s">
        <v>775</v>
      </c>
      <c r="D328" s="355">
        <f>'[4]TARGET MURNI DAN PERUBAHAN'!D269</f>
        <v>0</v>
      </c>
      <c r="E328" s="355"/>
      <c r="F328" s="355"/>
      <c r="G328" s="355"/>
      <c r="H328" s="355"/>
      <c r="I328" s="355"/>
      <c r="J328" s="355"/>
      <c r="K328" s="355"/>
      <c r="L328" s="355"/>
      <c r="M328" s="355"/>
      <c r="N328" s="355"/>
      <c r="O328" s="355"/>
      <c r="P328" s="355"/>
      <c r="Q328" s="346"/>
      <c r="R328" s="1630"/>
      <c r="S328" s="388"/>
      <c r="T328" s="441"/>
      <c r="V328" s="786"/>
      <c r="W328" s="786"/>
      <c r="X328" s="786"/>
    </row>
    <row r="329" spans="1:24" s="189" customFormat="1" ht="14.1" customHeight="1">
      <c r="A329" s="290"/>
      <c r="B329" s="855" t="s">
        <v>50</v>
      </c>
      <c r="C329" s="854" t="s">
        <v>776</v>
      </c>
      <c r="D329" s="355">
        <f>'[4]TARGET MURNI DAN PERUBAHAN'!D270</f>
        <v>0</v>
      </c>
      <c r="E329" s="355"/>
      <c r="F329" s="355"/>
      <c r="G329" s="355"/>
      <c r="H329" s="355"/>
      <c r="I329" s="355"/>
      <c r="J329" s="355"/>
      <c r="K329" s="355"/>
      <c r="L329" s="355"/>
      <c r="M329" s="355"/>
      <c r="N329" s="355"/>
      <c r="O329" s="355"/>
      <c r="P329" s="355"/>
      <c r="Q329" s="346"/>
      <c r="R329" s="1630"/>
      <c r="S329" s="388"/>
      <c r="T329" s="441"/>
      <c r="V329" s="786"/>
      <c r="W329" s="786"/>
      <c r="X329" s="786"/>
    </row>
    <row r="330" spans="1:24" s="189" customFormat="1" ht="14.1" customHeight="1">
      <c r="A330" s="290"/>
      <c r="B330" s="855" t="s">
        <v>50</v>
      </c>
      <c r="C330" s="854" t="s">
        <v>777</v>
      </c>
      <c r="D330" s="355">
        <f>'[4]TARGET MURNI DAN PERUBAHAN'!D271</f>
        <v>0</v>
      </c>
      <c r="E330" s="355"/>
      <c r="F330" s="355"/>
      <c r="G330" s="355"/>
      <c r="H330" s="355"/>
      <c r="I330" s="355"/>
      <c r="J330" s="355"/>
      <c r="K330" s="355"/>
      <c r="L330" s="355"/>
      <c r="M330" s="355"/>
      <c r="N330" s="355"/>
      <c r="O330" s="355"/>
      <c r="P330" s="355"/>
      <c r="Q330" s="346"/>
      <c r="R330" s="1630"/>
      <c r="S330" s="388"/>
      <c r="T330" s="441"/>
      <c r="V330" s="786"/>
      <c r="W330" s="786"/>
      <c r="X330" s="786"/>
    </row>
    <row r="331" spans="1:24" s="189" customFormat="1" ht="14.1" customHeight="1">
      <c r="A331" s="290"/>
      <c r="B331" s="855" t="s">
        <v>50</v>
      </c>
      <c r="C331" s="854" t="s">
        <v>778</v>
      </c>
      <c r="D331" s="355">
        <f>'[4]TARGET MURNI DAN PERUBAHAN'!D272</f>
        <v>0</v>
      </c>
      <c r="E331" s="355"/>
      <c r="F331" s="355"/>
      <c r="G331" s="355"/>
      <c r="H331" s="355"/>
      <c r="I331" s="355"/>
      <c r="J331" s="355"/>
      <c r="K331" s="355"/>
      <c r="L331" s="355"/>
      <c r="M331" s="355"/>
      <c r="N331" s="355"/>
      <c r="O331" s="355"/>
      <c r="P331" s="355"/>
      <c r="Q331" s="346"/>
      <c r="R331" s="1630"/>
      <c r="S331" s="388"/>
      <c r="T331" s="441"/>
      <c r="V331" s="786"/>
      <c r="W331" s="786"/>
      <c r="X331" s="786"/>
    </row>
    <row r="332" spans="1:24" s="189" customFormat="1" ht="14.1" customHeight="1">
      <c r="A332" s="290"/>
      <c r="B332" s="199"/>
      <c r="C332" s="253"/>
      <c r="D332" s="355"/>
      <c r="E332" s="352"/>
      <c r="F332" s="352"/>
      <c r="G332" s="352"/>
      <c r="H332" s="352"/>
      <c r="I332" s="352"/>
      <c r="J332" s="352"/>
      <c r="K332" s="352"/>
      <c r="L332" s="352"/>
      <c r="M332" s="352"/>
      <c r="N332" s="352"/>
      <c r="O332" s="352"/>
      <c r="P332" s="352"/>
      <c r="Q332" s="595"/>
      <c r="R332" s="1709"/>
      <c r="S332" s="353"/>
      <c r="T332" s="440"/>
      <c r="V332" s="786"/>
      <c r="W332" s="786"/>
      <c r="X332" s="786"/>
    </row>
    <row r="333" spans="1:24" s="189" customFormat="1" ht="15.05">
      <c r="A333" s="290"/>
      <c r="B333" s="1277" t="s">
        <v>222</v>
      </c>
      <c r="C333" s="253"/>
      <c r="D333" s="973">
        <f>SUM(D334:D337)</f>
        <v>83000000000</v>
      </c>
      <c r="E333" s="1039">
        <f t="shared" ref="E333:P333" si="138">SUM(E334:E337)</f>
        <v>0</v>
      </c>
      <c r="F333" s="1039">
        <f t="shared" si="138"/>
        <v>33617500</v>
      </c>
      <c r="G333" s="1039">
        <f t="shared" si="138"/>
        <v>58230355</v>
      </c>
      <c r="H333" s="1039">
        <f t="shared" si="138"/>
        <v>1172936350</v>
      </c>
      <c r="I333" s="1039">
        <f t="shared" si="138"/>
        <v>1000000</v>
      </c>
      <c r="J333" s="1039">
        <f t="shared" si="138"/>
        <v>5546950.8399999999</v>
      </c>
      <c r="K333" s="1039">
        <f t="shared" si="138"/>
        <v>1000000</v>
      </c>
      <c r="L333" s="1039">
        <f t="shared" si="138"/>
        <v>1000000</v>
      </c>
      <c r="M333" s="1039">
        <f t="shared" si="138"/>
        <v>2200000</v>
      </c>
      <c r="N333" s="1039">
        <f t="shared" si="138"/>
        <v>2000000</v>
      </c>
      <c r="O333" s="1039">
        <f t="shared" si="138"/>
        <v>9711597</v>
      </c>
      <c r="P333" s="1039">
        <f t="shared" si="138"/>
        <v>59388577870</v>
      </c>
      <c r="Q333" s="1036">
        <f t="shared" ref="Q333:Q338" si="139">SUM(E333:P333)</f>
        <v>60675820622.839996</v>
      </c>
      <c r="R333" s="1755">
        <f t="shared" ref="R333:R338" si="140">Q333-D333</f>
        <v>-22324179377.160004</v>
      </c>
      <c r="S333" s="832">
        <v>0</v>
      </c>
      <c r="T333" s="1756"/>
      <c r="V333" s="786"/>
      <c r="W333" s="786"/>
      <c r="X333" s="786"/>
    </row>
    <row r="334" spans="1:24" s="189" customFormat="1" ht="14.1" customHeight="1">
      <c r="A334" s="290"/>
      <c r="B334" s="855" t="s">
        <v>50</v>
      </c>
      <c r="C334" s="253" t="s">
        <v>73</v>
      </c>
      <c r="D334" s="355">
        <f>'[4]TARGET MURNI DAN PERUBAHAN'!D275</f>
        <v>0</v>
      </c>
      <c r="E334" s="357">
        <f>[26]Januari!$P$70</f>
        <v>0</v>
      </c>
      <c r="F334" s="357">
        <f>[26]Februari!$P$70</f>
        <v>0</v>
      </c>
      <c r="G334" s="357">
        <f>[26]Maret!$P$70</f>
        <v>0</v>
      </c>
      <c r="H334" s="357">
        <f>[26]April!$P$70</f>
        <v>0</v>
      </c>
      <c r="I334" s="357">
        <f>[26]Mei!$P$70</f>
        <v>0</v>
      </c>
      <c r="J334" s="357">
        <f>[26]Juni!$P$70</f>
        <v>0</v>
      </c>
      <c r="K334" s="357">
        <f>[26]Juli!$P$70</f>
        <v>0</v>
      </c>
      <c r="L334" s="357">
        <f>[26]Agustus!$P$70</f>
        <v>0</v>
      </c>
      <c r="M334" s="357">
        <f>[26]September!$P$70</f>
        <v>0</v>
      </c>
      <c r="N334" s="357">
        <f>[26]Oktober!$P$70</f>
        <v>0</v>
      </c>
      <c r="O334" s="357">
        <f>[26]Nopember!$P$70</f>
        <v>0</v>
      </c>
      <c r="P334" s="357">
        <f>[26]Desember!$P$70</f>
        <v>0</v>
      </c>
      <c r="Q334" s="340">
        <f t="shared" si="139"/>
        <v>0</v>
      </c>
      <c r="R334" s="1746">
        <f t="shared" si="140"/>
        <v>0</v>
      </c>
      <c r="S334" s="358"/>
      <c r="T334" s="442"/>
      <c r="V334" s="786"/>
      <c r="W334" s="786"/>
      <c r="X334" s="786"/>
    </row>
    <row r="335" spans="1:24" s="189" customFormat="1" ht="14.1" customHeight="1">
      <c r="A335" s="290"/>
      <c r="B335" s="855" t="s">
        <v>50</v>
      </c>
      <c r="C335" s="253" t="s">
        <v>74</v>
      </c>
      <c r="D335" s="355">
        <f>'[4]TARGET MURNI DAN PERUBAHAN'!D276</f>
        <v>0</v>
      </c>
      <c r="E335" s="355">
        <f>[26]Januari!$Q$70</f>
        <v>0</v>
      </c>
      <c r="F335" s="355">
        <f>[26]Februari!$Q$70</f>
        <v>0</v>
      </c>
      <c r="G335" s="355">
        <f>[26]Maret!$Q$70</f>
        <v>0</v>
      </c>
      <c r="H335" s="355">
        <f>[26]April!$Q$70</f>
        <v>0</v>
      </c>
      <c r="I335" s="355">
        <f>[26]Mei!$Q$70</f>
        <v>0</v>
      </c>
      <c r="J335" s="355">
        <f>[26]Juni!$Q$70</f>
        <v>0</v>
      </c>
      <c r="K335" s="355">
        <f>[26]Juli!$Q$70</f>
        <v>0</v>
      </c>
      <c r="L335" s="355">
        <f>[26]Agustus!$Q$70</f>
        <v>0</v>
      </c>
      <c r="M335" s="355">
        <f>[26]September!$Q$70</f>
        <v>0</v>
      </c>
      <c r="N335" s="355">
        <f>[26]Oktober!$Q$70</f>
        <v>0</v>
      </c>
      <c r="O335" s="355">
        <f>[26]Nopember!$Q$70</f>
        <v>0</v>
      </c>
      <c r="P335" s="355">
        <f>[26]Desember!$Q$70</f>
        <v>0</v>
      </c>
      <c r="Q335" s="346">
        <f t="shared" si="139"/>
        <v>0</v>
      </c>
      <c r="R335" s="1630">
        <f t="shared" si="140"/>
        <v>0</v>
      </c>
      <c r="S335" s="388"/>
      <c r="T335" s="441"/>
      <c r="V335" s="786"/>
      <c r="W335" s="786"/>
      <c r="X335" s="786"/>
    </row>
    <row r="336" spans="1:24" s="189" customFormat="1" ht="14.1" customHeight="1">
      <c r="A336" s="290"/>
      <c r="B336" s="855" t="s">
        <v>50</v>
      </c>
      <c r="C336" s="253" t="s">
        <v>779</v>
      </c>
      <c r="D336" s="355">
        <f>'[4]TARGET MURNI DAN PERUBAHAN'!D277</f>
        <v>3000000000</v>
      </c>
      <c r="E336" s="355">
        <f>[26]Januari!$R$70</f>
        <v>0</v>
      </c>
      <c r="F336" s="355">
        <f>[26]Februari!$R$70</f>
        <v>33617500</v>
      </c>
      <c r="G336" s="355">
        <f>[26]Maret!$R$70</f>
        <v>58230355</v>
      </c>
      <c r="H336" s="355">
        <f>[26]April!$R$70</f>
        <v>1000000</v>
      </c>
      <c r="I336" s="355">
        <f>[26]Mei!$R$70</f>
        <v>1000000</v>
      </c>
      <c r="J336" s="355">
        <f>[26]Juni!$R$70</f>
        <v>5546950.8399999999</v>
      </c>
      <c r="K336" s="355">
        <f>[26]Juli!$R$70</f>
        <v>1000000</v>
      </c>
      <c r="L336" s="355">
        <f>[26]Agustus!$R$70</f>
        <v>1000000</v>
      </c>
      <c r="M336" s="355">
        <f>[26]September!$R$70</f>
        <v>2200000</v>
      </c>
      <c r="N336" s="355">
        <f>[26]Oktober!$R$70</f>
        <v>2000000</v>
      </c>
      <c r="O336" s="355">
        <f>[26]Nopember!$R$70</f>
        <v>9711597</v>
      </c>
      <c r="P336" s="355">
        <f>[26]Desember!$R$70</f>
        <v>3200000</v>
      </c>
      <c r="Q336" s="346">
        <f t="shared" si="139"/>
        <v>118506402.84</v>
      </c>
      <c r="R336" s="1630">
        <f t="shared" si="140"/>
        <v>-2881493597.1599998</v>
      </c>
      <c r="S336" s="388">
        <f>Q336/D336*100</f>
        <v>3.9502134280000005</v>
      </c>
      <c r="T336" s="441"/>
      <c r="V336" s="786"/>
      <c r="W336" s="786"/>
      <c r="X336" s="786"/>
    </row>
    <row r="337" spans="1:24" s="189" customFormat="1" ht="14.1" customHeight="1">
      <c r="A337" s="290"/>
      <c r="B337" s="213" t="s">
        <v>50</v>
      </c>
      <c r="C337" s="200" t="s">
        <v>226</v>
      </c>
      <c r="D337" s="1749">
        <f>SUM(D338:D340)</f>
        <v>80000000000</v>
      </c>
      <c r="E337" s="1749">
        <f t="shared" ref="E337:P337" si="141">SUM(E338:E340)</f>
        <v>0</v>
      </c>
      <c r="F337" s="1749">
        <f t="shared" si="141"/>
        <v>0</v>
      </c>
      <c r="G337" s="1749">
        <f t="shared" si="141"/>
        <v>0</v>
      </c>
      <c r="H337" s="1749">
        <f t="shared" si="141"/>
        <v>1171936350</v>
      </c>
      <c r="I337" s="1749">
        <f t="shared" si="141"/>
        <v>0</v>
      </c>
      <c r="J337" s="1749">
        <f t="shared" si="141"/>
        <v>0</v>
      </c>
      <c r="K337" s="1749">
        <f t="shared" si="141"/>
        <v>0</v>
      </c>
      <c r="L337" s="1749">
        <f t="shared" si="141"/>
        <v>0</v>
      </c>
      <c r="M337" s="1749">
        <f t="shared" si="141"/>
        <v>0</v>
      </c>
      <c r="N337" s="1749">
        <f t="shared" si="141"/>
        <v>0</v>
      </c>
      <c r="O337" s="1749">
        <f t="shared" si="141"/>
        <v>0</v>
      </c>
      <c r="P337" s="1749">
        <f t="shared" si="141"/>
        <v>59385377870</v>
      </c>
      <c r="Q337" s="346">
        <f t="shared" si="139"/>
        <v>60557314220</v>
      </c>
      <c r="R337" s="1630">
        <f t="shared" si="140"/>
        <v>-19442685780</v>
      </c>
      <c r="S337" s="388">
        <f>Q337/D337*100</f>
        <v>75.696642775000001</v>
      </c>
      <c r="T337" s="441"/>
      <c r="V337" s="786"/>
      <c r="W337" s="786"/>
      <c r="X337" s="786"/>
    </row>
    <row r="338" spans="1:24" s="189" customFormat="1" ht="14.1" customHeight="1">
      <c r="A338" s="290"/>
      <c r="B338" s="253"/>
      <c r="C338" s="2766" t="s">
        <v>227</v>
      </c>
      <c r="D338" s="355">
        <f>'[4]TARGET MURNI DAN PERUBAHAN'!D279</f>
        <v>71000000000</v>
      </c>
      <c r="E338" s="355"/>
      <c r="F338" s="355"/>
      <c r="G338" s="355"/>
      <c r="H338" s="355">
        <f>[26]April!$S$70</f>
        <v>1171936350</v>
      </c>
      <c r="I338" s="355"/>
      <c r="J338" s="355"/>
      <c r="K338" s="355"/>
      <c r="L338" s="355"/>
      <c r="M338" s="355"/>
      <c r="N338" s="355"/>
      <c r="O338" s="355"/>
      <c r="P338" s="355">
        <f>[26]Desember!$S$70</f>
        <v>59385377870</v>
      </c>
      <c r="Q338" s="346">
        <f t="shared" si="139"/>
        <v>60557314220</v>
      </c>
      <c r="R338" s="1630">
        <f t="shared" si="140"/>
        <v>-10442685780</v>
      </c>
      <c r="S338" s="388"/>
      <c r="T338" s="441"/>
      <c r="V338" s="786"/>
      <c r="W338" s="786"/>
      <c r="X338" s="786"/>
    </row>
    <row r="339" spans="1:24" s="189" customFormat="1" ht="14.1" customHeight="1">
      <c r="A339" s="290"/>
      <c r="B339" s="253"/>
      <c r="C339" s="2766" t="s">
        <v>228</v>
      </c>
      <c r="D339" s="355">
        <f>'[4]TARGET MURNI DAN PERUBAHAN'!D280</f>
        <v>5000000000</v>
      </c>
      <c r="E339" s="355"/>
      <c r="F339" s="355"/>
      <c r="G339" s="355"/>
      <c r="H339" s="355"/>
      <c r="I339" s="355"/>
      <c r="J339" s="355"/>
      <c r="K339" s="355"/>
      <c r="L339" s="355"/>
      <c r="M339" s="355"/>
      <c r="N339" s="355"/>
      <c r="O339" s="355"/>
      <c r="P339" s="355"/>
      <c r="Q339" s="346"/>
      <c r="R339" s="1630"/>
      <c r="S339" s="388"/>
      <c r="T339" s="441"/>
      <c r="V339" s="786"/>
      <c r="W339" s="786"/>
      <c r="X339" s="786"/>
    </row>
    <row r="340" spans="1:24" s="189" customFormat="1" ht="14.1" customHeight="1">
      <c r="A340" s="290"/>
      <c r="B340" s="253"/>
      <c r="C340" s="2766" t="s">
        <v>229</v>
      </c>
      <c r="D340" s="355">
        <f>'[4]TARGET MURNI DAN PERUBAHAN'!D281</f>
        <v>4000000000</v>
      </c>
      <c r="E340" s="355"/>
      <c r="F340" s="355"/>
      <c r="G340" s="355"/>
      <c r="H340" s="355"/>
      <c r="I340" s="355"/>
      <c r="J340" s="355"/>
      <c r="K340" s="355"/>
      <c r="L340" s="355"/>
      <c r="M340" s="355"/>
      <c r="N340" s="355"/>
      <c r="O340" s="355"/>
      <c r="P340" s="355"/>
      <c r="Q340" s="346"/>
      <c r="R340" s="1630"/>
      <c r="S340" s="388"/>
      <c r="T340" s="441"/>
      <c r="V340" s="786"/>
      <c r="W340" s="786"/>
      <c r="X340" s="786"/>
    </row>
    <row r="341" spans="1:24" s="189" customFormat="1" ht="14.1" customHeight="1">
      <c r="A341" s="290"/>
      <c r="B341" s="253"/>
      <c r="C341" s="253"/>
      <c r="D341" s="355"/>
      <c r="E341" s="355"/>
      <c r="F341" s="355"/>
      <c r="G341" s="355"/>
      <c r="H341" s="355"/>
      <c r="I341" s="355"/>
      <c r="J341" s="355"/>
      <c r="K341" s="355"/>
      <c r="L341" s="355"/>
      <c r="M341" s="355"/>
      <c r="N341" s="355"/>
      <c r="O341" s="355"/>
      <c r="P341" s="355"/>
      <c r="Q341" s="346"/>
      <c r="R341" s="1630"/>
      <c r="S341" s="388"/>
      <c r="T341" s="441"/>
      <c r="V341" s="786"/>
      <c r="W341" s="786"/>
      <c r="X341" s="786"/>
    </row>
    <row r="342" spans="1:24" s="189" customFormat="1" ht="14.1" customHeight="1">
      <c r="A342" s="290"/>
      <c r="B342" s="291" t="s">
        <v>557</v>
      </c>
      <c r="C342" s="253"/>
      <c r="D342" s="830">
        <f>SUM(D343)</f>
        <v>0</v>
      </c>
      <c r="E342" s="830">
        <f t="shared" ref="E342:P342" si="142">SUM(E343)</f>
        <v>0</v>
      </c>
      <c r="F342" s="830">
        <f t="shared" si="142"/>
        <v>0</v>
      </c>
      <c r="G342" s="830">
        <f t="shared" si="142"/>
        <v>0</v>
      </c>
      <c r="H342" s="830">
        <f t="shared" si="142"/>
        <v>0</v>
      </c>
      <c r="I342" s="830">
        <f t="shared" si="142"/>
        <v>0</v>
      </c>
      <c r="J342" s="830">
        <f t="shared" si="142"/>
        <v>0</v>
      </c>
      <c r="K342" s="830">
        <f t="shared" si="142"/>
        <v>0</v>
      </c>
      <c r="L342" s="830">
        <f t="shared" si="142"/>
        <v>0</v>
      </c>
      <c r="M342" s="830">
        <f t="shared" si="142"/>
        <v>0</v>
      </c>
      <c r="N342" s="830">
        <f t="shared" si="142"/>
        <v>0</v>
      </c>
      <c r="O342" s="830">
        <f t="shared" si="142"/>
        <v>0</v>
      </c>
      <c r="P342" s="830">
        <f t="shared" si="142"/>
        <v>0</v>
      </c>
      <c r="Q342" s="1036">
        <f t="shared" ref="Q342:Q349" si="143">SUM(E342:P342)</f>
        <v>0</v>
      </c>
      <c r="R342" s="1744">
        <f t="shared" ref="R342:R347" si="144">Q342-D342</f>
        <v>0</v>
      </c>
      <c r="S342" s="1745" t="e">
        <f>Q342/D342*100</f>
        <v>#DIV/0!</v>
      </c>
      <c r="T342" s="1747"/>
      <c r="V342" s="786"/>
      <c r="W342" s="786"/>
      <c r="X342" s="786"/>
    </row>
    <row r="343" spans="1:24" s="189" customFormat="1" ht="14.1" customHeight="1">
      <c r="A343" s="290"/>
      <c r="B343" s="2760" t="s">
        <v>50</v>
      </c>
      <c r="C343" s="253" t="s">
        <v>710</v>
      </c>
      <c r="D343" s="355">
        <f>'[4]TARGET MURNI DAN PERUBAHAN'!D284</f>
        <v>0</v>
      </c>
      <c r="E343" s="355">
        <f>[25]Januari!$X$70</f>
        <v>0</v>
      </c>
      <c r="F343" s="355">
        <f>[25]Februari!$X$70</f>
        <v>0</v>
      </c>
      <c r="G343" s="355">
        <f>[25]Maret!$X$70</f>
        <v>0</v>
      </c>
      <c r="H343" s="355">
        <f>[25]April!$X$70</f>
        <v>0</v>
      </c>
      <c r="I343" s="355">
        <f>[25]Mei!$X$70</f>
        <v>0</v>
      </c>
      <c r="J343" s="355">
        <f>[25]Juni!$X$70</f>
        <v>0</v>
      </c>
      <c r="K343" s="355">
        <f>[25]Juli!$X$70</f>
        <v>0</v>
      </c>
      <c r="L343" s="355">
        <f>[25]Agustus!$X$70</f>
        <v>0</v>
      </c>
      <c r="M343" s="355">
        <f>[25]September!$X$70</f>
        <v>0</v>
      </c>
      <c r="N343" s="355">
        <f>[25]Oktober!$X$70</f>
        <v>0</v>
      </c>
      <c r="O343" s="355">
        <f>[25]Nopember!$X$70</f>
        <v>0</v>
      </c>
      <c r="P343" s="355">
        <f>[25]DESEMBER!$X$70</f>
        <v>0</v>
      </c>
      <c r="Q343" s="346">
        <f t="shared" si="143"/>
        <v>0</v>
      </c>
      <c r="R343" s="1630">
        <f t="shared" si="144"/>
        <v>0</v>
      </c>
      <c r="S343" s="388" t="e">
        <f>Q343/D343*100</f>
        <v>#DIV/0!</v>
      </c>
      <c r="T343" s="441"/>
      <c r="V343" s="786"/>
      <c r="W343" s="786"/>
      <c r="X343" s="786"/>
    </row>
    <row r="344" spans="1:24" s="189" customFormat="1" ht="14.1" customHeight="1">
      <c r="A344" s="290"/>
      <c r="B344" s="253"/>
      <c r="C344" s="253"/>
      <c r="D344" s="355"/>
      <c r="E344" s="355"/>
      <c r="F344" s="355"/>
      <c r="G344" s="355"/>
      <c r="H344" s="355"/>
      <c r="I344" s="355"/>
      <c r="J344" s="355"/>
      <c r="K344" s="355"/>
      <c r="L344" s="355"/>
      <c r="M344" s="355"/>
      <c r="N344" s="355"/>
      <c r="O344" s="355"/>
      <c r="P344" s="355"/>
      <c r="Q344" s="346">
        <f t="shared" si="143"/>
        <v>0</v>
      </c>
      <c r="R344" s="1630"/>
      <c r="S344" s="388"/>
      <c r="T344" s="441"/>
      <c r="V344" s="786"/>
      <c r="W344" s="786"/>
      <c r="X344" s="786"/>
    </row>
    <row r="345" spans="1:24" s="189" customFormat="1" ht="14.1" customHeight="1">
      <c r="A345" s="290"/>
      <c r="B345" s="291" t="s">
        <v>230</v>
      </c>
      <c r="C345" s="253"/>
      <c r="D345" s="371">
        <f t="shared" ref="D345:P345" si="145">SUM(D346:D347)</f>
        <v>60900800</v>
      </c>
      <c r="E345" s="371">
        <f t="shared" si="145"/>
        <v>0</v>
      </c>
      <c r="F345" s="371">
        <f t="shared" si="145"/>
        <v>0</v>
      </c>
      <c r="G345" s="371">
        <f t="shared" si="145"/>
        <v>0</v>
      </c>
      <c r="H345" s="371">
        <f t="shared" si="145"/>
        <v>0</v>
      </c>
      <c r="I345" s="371">
        <f t="shared" si="145"/>
        <v>0</v>
      </c>
      <c r="J345" s="371">
        <f t="shared" si="145"/>
        <v>0</v>
      </c>
      <c r="K345" s="371">
        <f t="shared" si="145"/>
        <v>0</v>
      </c>
      <c r="L345" s="371">
        <f t="shared" si="145"/>
        <v>0</v>
      </c>
      <c r="M345" s="371">
        <f t="shared" si="145"/>
        <v>0</v>
      </c>
      <c r="N345" s="371">
        <f t="shared" si="145"/>
        <v>0</v>
      </c>
      <c r="O345" s="371">
        <f t="shared" si="145"/>
        <v>0</v>
      </c>
      <c r="P345" s="371">
        <f t="shared" si="145"/>
        <v>0</v>
      </c>
      <c r="Q345" s="346">
        <f t="shared" si="143"/>
        <v>0</v>
      </c>
      <c r="R345" s="1652">
        <f t="shared" si="144"/>
        <v>-60900800</v>
      </c>
      <c r="S345" s="399">
        <v>0</v>
      </c>
      <c r="T345" s="651"/>
      <c r="V345" s="786"/>
      <c r="W345" s="786"/>
      <c r="X345" s="786"/>
    </row>
    <row r="346" spans="1:24" s="189" customFormat="1" ht="14.1" customHeight="1">
      <c r="A346" s="290"/>
      <c r="B346" s="2760" t="s">
        <v>50</v>
      </c>
      <c r="C346" s="253" t="s">
        <v>780</v>
      </c>
      <c r="D346" s="1556">
        <f>'[4]TARGET MURNI DAN PERUBAHAN'!D287</f>
        <v>12035600</v>
      </c>
      <c r="E346" s="355">
        <f>[25]Januari!$AC$70</f>
        <v>0</v>
      </c>
      <c r="F346" s="355">
        <f>[25]Februari!$AC$70</f>
        <v>0</v>
      </c>
      <c r="G346" s="355">
        <f>[25]Maret!$AC$70</f>
        <v>0</v>
      </c>
      <c r="H346" s="355">
        <f>[25]April!$AC$70</f>
        <v>0</v>
      </c>
      <c r="I346" s="355">
        <f>[25]Mei!$AC$70</f>
        <v>0</v>
      </c>
      <c r="J346" s="355">
        <f>[25]Juni!$AC$70</f>
        <v>0</v>
      </c>
      <c r="K346" s="355">
        <f>[25]Juli!$AC$70</f>
        <v>0</v>
      </c>
      <c r="L346" s="355">
        <f>[25]Agustus!$AC$70</f>
        <v>0</v>
      </c>
      <c r="M346" s="355">
        <f>[25]September!$AC$70</f>
        <v>0</v>
      </c>
      <c r="N346" s="355">
        <f>[25]Oktober!$AC$70</f>
        <v>0</v>
      </c>
      <c r="O346" s="355">
        <f>[25]Nopember!$AC$70</f>
        <v>0</v>
      </c>
      <c r="P346" s="355">
        <f>[25]DESEMBER!$AC$70</f>
        <v>0</v>
      </c>
      <c r="Q346" s="346">
        <f t="shared" si="143"/>
        <v>0</v>
      </c>
      <c r="R346" s="1630">
        <f t="shared" si="144"/>
        <v>-12035600</v>
      </c>
      <c r="S346" s="388"/>
      <c r="T346" s="441"/>
      <c r="V346" s="786"/>
      <c r="W346" s="786"/>
      <c r="X346" s="786"/>
    </row>
    <row r="347" spans="1:24" s="189" customFormat="1" ht="14.1" customHeight="1">
      <c r="A347" s="290"/>
      <c r="B347" s="2760" t="s">
        <v>50</v>
      </c>
      <c r="C347" s="253" t="s">
        <v>781</v>
      </c>
      <c r="D347" s="1556">
        <f>SUM(D348:D349)</f>
        <v>48865200</v>
      </c>
      <c r="E347" s="355">
        <f>SUM(E348:E349)</f>
        <v>0</v>
      </c>
      <c r="F347" s="355">
        <f t="shared" ref="F347:P347" si="146">SUM(F348:F349)</f>
        <v>0</v>
      </c>
      <c r="G347" s="355">
        <f t="shared" si="146"/>
        <v>0</v>
      </c>
      <c r="H347" s="355">
        <f t="shared" si="146"/>
        <v>0</v>
      </c>
      <c r="I347" s="355">
        <f t="shared" si="146"/>
        <v>0</v>
      </c>
      <c r="J347" s="355">
        <f t="shared" si="146"/>
        <v>0</v>
      </c>
      <c r="K347" s="355">
        <f t="shared" si="146"/>
        <v>0</v>
      </c>
      <c r="L347" s="355">
        <f t="shared" si="146"/>
        <v>0</v>
      </c>
      <c r="M347" s="355">
        <f t="shared" si="146"/>
        <v>0</v>
      </c>
      <c r="N347" s="355">
        <f t="shared" si="146"/>
        <v>0</v>
      </c>
      <c r="O347" s="355">
        <f t="shared" si="146"/>
        <v>0</v>
      </c>
      <c r="P347" s="355">
        <f t="shared" si="146"/>
        <v>0</v>
      </c>
      <c r="Q347" s="346">
        <f t="shared" si="143"/>
        <v>0</v>
      </c>
      <c r="R347" s="1630">
        <f t="shared" si="144"/>
        <v>-48865200</v>
      </c>
      <c r="S347" s="388">
        <v>0</v>
      </c>
      <c r="T347" s="441"/>
      <c r="V347" s="786"/>
      <c r="W347" s="786"/>
      <c r="X347" s="786"/>
    </row>
    <row r="348" spans="1:24" s="189" customFormat="1" ht="14.1" customHeight="1">
      <c r="A348" s="290"/>
      <c r="B348" s="253"/>
      <c r="C348" s="2766" t="s">
        <v>782</v>
      </c>
      <c r="D348" s="355">
        <f>'[4]TARGET MURNI DAN PERUBAHAN'!D289</f>
        <v>4492800</v>
      </c>
      <c r="E348" s="355">
        <f>[25]Januari!$AC$70</f>
        <v>0</v>
      </c>
      <c r="F348" s="355">
        <f>[25]Februari!$AC$70</f>
        <v>0</v>
      </c>
      <c r="G348" s="355">
        <f>[25]Maret!$AC$70</f>
        <v>0</v>
      </c>
      <c r="H348" s="355">
        <f>[25]April!$AC$70</f>
        <v>0</v>
      </c>
      <c r="I348" s="355">
        <f>[25]Mei!$AC$70</f>
        <v>0</v>
      </c>
      <c r="J348" s="355">
        <f>[25]Juni!$AC$70</f>
        <v>0</v>
      </c>
      <c r="K348" s="355">
        <f>[25]Juli!$AC$70</f>
        <v>0</v>
      </c>
      <c r="L348" s="355">
        <f>[25]Agustus!$AC$70</f>
        <v>0</v>
      </c>
      <c r="M348" s="355">
        <f>[25]September!$AC$70</f>
        <v>0</v>
      </c>
      <c r="N348" s="355">
        <f>[25]Oktober!$AC$70</f>
        <v>0</v>
      </c>
      <c r="O348" s="355">
        <f>[25]Nopember!$AC$70</f>
        <v>0</v>
      </c>
      <c r="P348" s="355">
        <f>[25]DESEMBER!$AC$70</f>
        <v>0</v>
      </c>
      <c r="Q348" s="346">
        <f t="shared" si="143"/>
        <v>0</v>
      </c>
      <c r="R348" s="1630">
        <f>Q348-D348</f>
        <v>-4492800</v>
      </c>
      <c r="S348" s="388"/>
      <c r="T348" s="441"/>
      <c r="V348" s="786"/>
      <c r="W348" s="786"/>
      <c r="X348" s="786"/>
    </row>
    <row r="349" spans="1:24" s="189" customFormat="1" ht="14.1" customHeight="1">
      <c r="A349" s="290"/>
      <c r="B349" s="253"/>
      <c r="C349" s="2766" t="s">
        <v>783</v>
      </c>
      <c r="D349" s="355">
        <f>'[4]TARGET MURNI DAN PERUBAHAN'!D290</f>
        <v>44372400</v>
      </c>
      <c r="E349" s="355">
        <f>[25]Januari!$AC$70</f>
        <v>0</v>
      </c>
      <c r="F349" s="355">
        <f>[25]Februari!$AC$70</f>
        <v>0</v>
      </c>
      <c r="G349" s="355">
        <f>[25]Maret!$AC$70</f>
        <v>0</v>
      </c>
      <c r="H349" s="355">
        <f>[25]April!$AC$70</f>
        <v>0</v>
      </c>
      <c r="I349" s="355">
        <f>[25]Mei!$AC$70</f>
        <v>0</v>
      </c>
      <c r="J349" s="355">
        <f>[25]Juni!$AC$70</f>
        <v>0</v>
      </c>
      <c r="K349" s="355">
        <f>[25]Juli!$AC$70</f>
        <v>0</v>
      </c>
      <c r="L349" s="355">
        <f>[25]Agustus!$AC$70</f>
        <v>0</v>
      </c>
      <c r="M349" s="355">
        <f>[25]September!$AC$70</f>
        <v>0</v>
      </c>
      <c r="N349" s="355">
        <f>[25]Oktober!$AC$70</f>
        <v>0</v>
      </c>
      <c r="O349" s="355">
        <f>[25]Nopember!$AC$70</f>
        <v>0</v>
      </c>
      <c r="P349" s="355">
        <f>[25]DESEMBER!$AC$70</f>
        <v>0</v>
      </c>
      <c r="Q349" s="346">
        <f t="shared" si="143"/>
        <v>0</v>
      </c>
      <c r="R349" s="1630">
        <f>Q349-D349</f>
        <v>-44372400</v>
      </c>
      <c r="S349" s="388"/>
      <c r="T349" s="441"/>
      <c r="V349" s="786"/>
      <c r="W349" s="786"/>
      <c r="X349" s="786"/>
    </row>
    <row r="350" spans="1:24" s="189" customFormat="1" ht="14.1" customHeight="1">
      <c r="A350" s="290"/>
      <c r="B350" s="253"/>
      <c r="C350" s="1750"/>
      <c r="D350" s="355"/>
      <c r="E350" s="355"/>
      <c r="F350" s="355"/>
      <c r="G350" s="355"/>
      <c r="H350" s="355"/>
      <c r="I350" s="355"/>
      <c r="J350" s="355"/>
      <c r="K350" s="355"/>
      <c r="L350" s="355"/>
      <c r="M350" s="355"/>
      <c r="N350" s="355"/>
      <c r="O350" s="355"/>
      <c r="P350" s="355"/>
      <c r="Q350" s="355"/>
      <c r="R350" s="1630"/>
      <c r="S350" s="388"/>
      <c r="T350" s="441"/>
      <c r="V350" s="786"/>
      <c r="W350" s="786"/>
      <c r="X350" s="786"/>
    </row>
    <row r="351" spans="1:24" s="189" customFormat="1" ht="15.05">
      <c r="A351" s="290"/>
      <c r="B351" s="291" t="s">
        <v>321</v>
      </c>
      <c r="C351" s="253"/>
      <c r="D351" s="830">
        <f>D352</f>
        <v>0</v>
      </c>
      <c r="E351" s="830">
        <f t="shared" ref="E351:P351" si="147">E352</f>
        <v>0</v>
      </c>
      <c r="F351" s="830">
        <f t="shared" si="147"/>
        <v>221648885</v>
      </c>
      <c r="G351" s="830">
        <f t="shared" si="147"/>
        <v>113538900</v>
      </c>
      <c r="H351" s="830">
        <f t="shared" si="147"/>
        <v>0</v>
      </c>
      <c r="I351" s="830">
        <f t="shared" si="147"/>
        <v>0</v>
      </c>
      <c r="J351" s="830">
        <f t="shared" si="147"/>
        <v>0</v>
      </c>
      <c r="K351" s="830">
        <f t="shared" si="147"/>
        <v>0</v>
      </c>
      <c r="L351" s="830">
        <f t="shared" si="147"/>
        <v>0</v>
      </c>
      <c r="M351" s="830">
        <f t="shared" si="147"/>
        <v>0</v>
      </c>
      <c r="N351" s="830">
        <f t="shared" si="147"/>
        <v>0</v>
      </c>
      <c r="O351" s="830">
        <f t="shared" si="147"/>
        <v>427092700</v>
      </c>
      <c r="P351" s="830">
        <f t="shared" si="147"/>
        <v>349635969</v>
      </c>
      <c r="Q351" s="831">
        <f>SUM(E351:P351)</f>
        <v>1111916454</v>
      </c>
      <c r="R351" s="1757">
        <f>SUM(R352:R353)</f>
        <v>1111916454</v>
      </c>
      <c r="S351" s="1393">
        <v>0</v>
      </c>
      <c r="T351" s="448"/>
      <c r="V351" s="786"/>
      <c r="W351" s="786"/>
      <c r="X351" s="786"/>
    </row>
    <row r="352" spans="1:24" s="189" customFormat="1" ht="14.1" customHeight="1">
      <c r="A352" s="290"/>
      <c r="B352" s="253" t="s">
        <v>50</v>
      </c>
      <c r="C352" s="253" t="s">
        <v>784</v>
      </c>
      <c r="D352" s="355">
        <f>'[4]TARGET MURNI DAN PERUBAHAN'!D293</f>
        <v>0</v>
      </c>
      <c r="E352" s="375">
        <f>[26]Januari!$V$70</f>
        <v>0</v>
      </c>
      <c r="F352" s="375">
        <f>[26]Februari!$V$70</f>
        <v>221648885</v>
      </c>
      <c r="G352" s="375">
        <f>[26]Maret!$V$70</f>
        <v>113538900</v>
      </c>
      <c r="H352" s="375">
        <f>[26]April!$V$70</f>
        <v>0</v>
      </c>
      <c r="I352" s="375">
        <f>[26]Mei!$V$70</f>
        <v>0</v>
      </c>
      <c r="J352" s="375">
        <f>[26]Juni!$V$70</f>
        <v>0</v>
      </c>
      <c r="K352" s="375">
        <f>[26]Juli!$V$70</f>
        <v>0</v>
      </c>
      <c r="L352" s="375">
        <f>[26]Agustus!$V$70</f>
        <v>0</v>
      </c>
      <c r="M352" s="375">
        <f>[26]September!$V$70</f>
        <v>0</v>
      </c>
      <c r="N352" s="375">
        <f>[26]Oktober!$V$70</f>
        <v>0</v>
      </c>
      <c r="O352" s="375">
        <f>[26]Nopember!$V$70</f>
        <v>427092700</v>
      </c>
      <c r="P352" s="375">
        <f>[26]Desember!$V$70</f>
        <v>349635969</v>
      </c>
      <c r="Q352" s="346">
        <f>SUM(E352:P352)</f>
        <v>1111916454</v>
      </c>
      <c r="R352" s="1630">
        <f>Q352-D352</f>
        <v>1111916454</v>
      </c>
      <c r="S352" s="388"/>
      <c r="T352" s="448"/>
      <c r="V352" s="786"/>
      <c r="W352" s="786"/>
      <c r="X352" s="786"/>
    </row>
    <row r="353" spans="1:24" s="189" customFormat="1" ht="14.1" customHeight="1">
      <c r="A353" s="466"/>
      <c r="B353" s="1250"/>
      <c r="C353" s="1250"/>
      <c r="D353" s="352"/>
      <c r="E353" s="691"/>
      <c r="F353" s="691"/>
      <c r="G353" s="691"/>
      <c r="H353" s="1751"/>
      <c r="I353" s="1751"/>
      <c r="J353" s="691"/>
      <c r="K353" s="691"/>
      <c r="L353" s="691"/>
      <c r="M353" s="691"/>
      <c r="N353" s="691"/>
      <c r="O353" s="691"/>
      <c r="P353" s="691"/>
      <c r="Q353" s="595"/>
      <c r="R353" s="1709"/>
      <c r="S353" s="353"/>
      <c r="T353" s="449"/>
      <c r="V353" s="786"/>
      <c r="W353" s="786"/>
      <c r="X353" s="786"/>
    </row>
    <row r="354" spans="1:24" s="859" customFormat="1" ht="14.1" customHeight="1">
      <c r="A354" s="290" t="s">
        <v>179</v>
      </c>
      <c r="B354" s="291" t="s">
        <v>265</v>
      </c>
      <c r="C354" s="291"/>
      <c r="D354" s="371">
        <f>D355+D411</f>
        <v>14241004000</v>
      </c>
      <c r="E354" s="371">
        <f t="shared" ref="E354:P354" si="148">E355+E411</f>
        <v>969370000</v>
      </c>
      <c r="F354" s="371">
        <f t="shared" si="148"/>
        <v>821053125</v>
      </c>
      <c r="G354" s="371">
        <f t="shared" si="148"/>
        <v>397142798</v>
      </c>
      <c r="H354" s="371">
        <f t="shared" si="148"/>
        <v>386141207</v>
      </c>
      <c r="I354" s="371">
        <f t="shared" si="148"/>
        <v>390262345</v>
      </c>
      <c r="J354" s="371">
        <f t="shared" si="148"/>
        <v>444876000</v>
      </c>
      <c r="K354" s="371">
        <f t="shared" si="148"/>
        <v>366800000</v>
      </c>
      <c r="L354" s="371">
        <f t="shared" si="148"/>
        <v>444897180</v>
      </c>
      <c r="M354" s="371">
        <f t="shared" si="148"/>
        <v>482257500</v>
      </c>
      <c r="N354" s="371">
        <f t="shared" si="148"/>
        <v>452451150</v>
      </c>
      <c r="O354" s="371">
        <f t="shared" si="148"/>
        <v>519789750</v>
      </c>
      <c r="P354" s="371">
        <f t="shared" si="148"/>
        <v>2671851056</v>
      </c>
      <c r="Q354" s="367">
        <f t="shared" ref="Q354:Q362" si="149">SUM(E354:P354)</f>
        <v>8346892111</v>
      </c>
      <c r="R354" s="1707">
        <f t="shared" ref="R354:R362" si="150">Q354-D354</f>
        <v>-5894111889</v>
      </c>
      <c r="S354" s="399">
        <f>Q354/D354*100</f>
        <v>58.611682933310036</v>
      </c>
      <c r="T354" s="1644"/>
      <c r="V354" s="1758"/>
      <c r="W354" s="1758"/>
      <c r="X354" s="1758"/>
    </row>
    <row r="355" spans="1:24" s="859" customFormat="1" ht="15.05">
      <c r="A355" s="290"/>
      <c r="B355" s="893" t="s">
        <v>785</v>
      </c>
      <c r="C355" s="253"/>
      <c r="D355" s="1752">
        <f>SUM(D356:D409)-D364-D366-D371-D381-D385-D401-D387</f>
        <v>10498038200</v>
      </c>
      <c r="E355" s="1752">
        <f>SUM(E356:E409)-E364-E366-E371-E381-E385-E401-E387</f>
        <v>969370000</v>
      </c>
      <c r="F355" s="1752">
        <f>SUM(F356:F409)-F364-F366-F371-F381-F385-F401-F387</f>
        <v>821053125</v>
      </c>
      <c r="G355" s="1752">
        <f t="shared" ref="G355:P355" si="151">SUM(G356:G409)-G364-G366-G371-G381-G385-G401-G387</f>
        <v>397142798</v>
      </c>
      <c r="H355" s="1752">
        <f t="shared" si="151"/>
        <v>386141207</v>
      </c>
      <c r="I355" s="1752">
        <f t="shared" si="151"/>
        <v>390262345</v>
      </c>
      <c r="J355" s="1752">
        <f t="shared" si="151"/>
        <v>444876000</v>
      </c>
      <c r="K355" s="1752">
        <f t="shared" si="151"/>
        <v>366800000</v>
      </c>
      <c r="L355" s="1752">
        <f t="shared" si="151"/>
        <v>444897180</v>
      </c>
      <c r="M355" s="1752">
        <f t="shared" si="151"/>
        <v>482257500</v>
      </c>
      <c r="N355" s="1752">
        <f t="shared" si="151"/>
        <v>452451150</v>
      </c>
      <c r="O355" s="1752">
        <f t="shared" si="151"/>
        <v>519789750</v>
      </c>
      <c r="P355" s="1752">
        <f t="shared" si="151"/>
        <v>671662056</v>
      </c>
      <c r="Q355" s="1036">
        <f t="shared" si="149"/>
        <v>6346703111</v>
      </c>
      <c r="R355" s="1759">
        <f t="shared" si="150"/>
        <v>-4151335089</v>
      </c>
      <c r="S355" s="832">
        <f>Q355/D355*100</f>
        <v>60.456087033480223</v>
      </c>
      <c r="T355" s="1644"/>
      <c r="V355" s="1758"/>
      <c r="W355" s="1758"/>
      <c r="X355" s="1758"/>
    </row>
    <row r="356" spans="1:24" s="859" customFormat="1" ht="14.1" customHeight="1">
      <c r="A356" s="290"/>
      <c r="B356" s="891" t="s">
        <v>786</v>
      </c>
      <c r="C356" s="890"/>
      <c r="D356" s="878">
        <f>'[4]TARGET MURNI DAN PERUBAHAN'!D297</f>
        <v>1250000</v>
      </c>
      <c r="E356" s="375">
        <f>[5]Januari!$J$35</f>
        <v>0</v>
      </c>
      <c r="F356" s="375">
        <f>[5]Februari!$J$35</f>
        <v>0</v>
      </c>
      <c r="G356" s="375">
        <f>[5]Maret!$J$35</f>
        <v>0</v>
      </c>
      <c r="H356" s="375">
        <f>[5]April!$J$35</f>
        <v>0</v>
      </c>
      <c r="I356" s="375">
        <f>[5]Mei!$J$35</f>
        <v>0</v>
      </c>
      <c r="J356" s="375">
        <f>[5]Juni!$J$35</f>
        <v>0</v>
      </c>
      <c r="K356" s="375">
        <f>[5]Juli!$J$35</f>
        <v>0</v>
      </c>
      <c r="L356" s="375">
        <f>[5]Agustus!$J$35</f>
        <v>0</v>
      </c>
      <c r="M356" s="375">
        <f>[5]September!$J$35</f>
        <v>0</v>
      </c>
      <c r="N356" s="375">
        <f>[5]Oktober!$J$35</f>
        <v>0</v>
      </c>
      <c r="O356" s="375">
        <f>[5]Nopember!$J$35</f>
        <v>13894000</v>
      </c>
      <c r="P356" s="375">
        <f>[5]Desember!$J$35</f>
        <v>0</v>
      </c>
      <c r="Q356" s="355">
        <f t="shared" si="149"/>
        <v>13894000</v>
      </c>
      <c r="R356" s="1707">
        <f t="shared" si="150"/>
        <v>12644000</v>
      </c>
      <c r="S356" s="347"/>
      <c r="T356" s="441"/>
      <c r="V356" s="1758"/>
      <c r="W356" s="1758"/>
      <c r="X356" s="1758"/>
    </row>
    <row r="357" spans="1:24" s="859" customFormat="1" ht="14.1" customHeight="1">
      <c r="A357" s="290"/>
      <c r="B357" s="891" t="s">
        <v>787</v>
      </c>
      <c r="C357" s="890"/>
      <c r="D357" s="878">
        <f>'[4]TARGET MURNI DAN PERUBAHAN'!D298</f>
        <v>0</v>
      </c>
      <c r="E357" s="355">
        <f>[27]Januari!$I$35</f>
        <v>0</v>
      </c>
      <c r="F357" s="355">
        <f>[27]Februari!$I$35</f>
        <v>0</v>
      </c>
      <c r="G357" s="355">
        <f>[27]Maret!$I$35</f>
        <v>0</v>
      </c>
      <c r="H357" s="355">
        <f>[27]April!$I$35</f>
        <v>0</v>
      </c>
      <c r="I357" s="355">
        <f>[27]Mei!$I$35</f>
        <v>0</v>
      </c>
      <c r="J357" s="355">
        <f>[27]Juni!$I$35</f>
        <v>0</v>
      </c>
      <c r="K357" s="355">
        <f>[27]Juli!$I$35</f>
        <v>0</v>
      </c>
      <c r="L357" s="355">
        <f>[27]Agustus!$I$35</f>
        <v>0</v>
      </c>
      <c r="M357" s="355">
        <f>[27]September!$I$35</f>
        <v>0</v>
      </c>
      <c r="N357" s="355">
        <f>[27]Oktober!$I$35</f>
        <v>0</v>
      </c>
      <c r="O357" s="355">
        <f>[27]Nopember!$I$35</f>
        <v>0</v>
      </c>
      <c r="P357" s="355">
        <f>[27]Desember!$I$35</f>
        <v>0</v>
      </c>
      <c r="Q357" s="346">
        <f t="shared" si="149"/>
        <v>0</v>
      </c>
      <c r="R357" s="1672">
        <f t="shared" si="150"/>
        <v>0</v>
      </c>
      <c r="S357" s="347" t="e">
        <f>Q357/D357*100</f>
        <v>#DIV/0!</v>
      </c>
      <c r="T357" s="1644"/>
      <c r="V357" s="1758"/>
      <c r="W357" s="1758"/>
      <c r="X357" s="1758"/>
    </row>
    <row r="358" spans="1:24" s="859" customFormat="1" ht="14.1" customHeight="1">
      <c r="A358" s="290"/>
      <c r="B358" s="891" t="s">
        <v>788</v>
      </c>
      <c r="C358" s="890"/>
      <c r="D358" s="878">
        <f>'[4]TARGET MURNI DAN PERUBAHAN'!D299</f>
        <v>2950000</v>
      </c>
      <c r="E358" s="878">
        <f>[10]Januari!$I$35</f>
        <v>0</v>
      </c>
      <c r="F358" s="878">
        <f>[10]Februari!$I$35</f>
        <v>0</v>
      </c>
      <c r="G358" s="878">
        <f>[10]Maret!$I$35</f>
        <v>0</v>
      </c>
      <c r="H358" s="878">
        <f>[10]April!$I$35</f>
        <v>0</v>
      </c>
      <c r="I358" s="878">
        <f>[10]Mei!$I$35</f>
        <v>0</v>
      </c>
      <c r="J358" s="878">
        <f>[10]Juni!$I$35</f>
        <v>0</v>
      </c>
      <c r="K358" s="878">
        <f>[10]Juli!$I$35</f>
        <v>0</v>
      </c>
      <c r="L358" s="878">
        <f>[10]Agustus!$I$35</f>
        <v>0</v>
      </c>
      <c r="M358" s="878">
        <f>[10]September!$I$35</f>
        <v>0</v>
      </c>
      <c r="N358" s="878">
        <f>[10]Oktober!$I$35</f>
        <v>0</v>
      </c>
      <c r="O358" s="878">
        <f>[10]Nopember!$I$35</f>
        <v>0</v>
      </c>
      <c r="P358" s="878">
        <f>[10]Desember!$I$35</f>
        <v>0</v>
      </c>
      <c r="Q358" s="878">
        <f t="shared" si="149"/>
        <v>0</v>
      </c>
      <c r="R358" s="878">
        <f t="shared" si="150"/>
        <v>-2950000</v>
      </c>
      <c r="S358" s="879"/>
      <c r="T358" s="1644"/>
      <c r="V358" s="1758"/>
      <c r="W358" s="1758"/>
      <c r="X358" s="1758"/>
    </row>
    <row r="359" spans="1:24" s="859" customFormat="1" ht="14.1" customHeight="1">
      <c r="A359" s="290"/>
      <c r="B359" s="891" t="s">
        <v>789</v>
      </c>
      <c r="C359" s="890"/>
      <c r="D359" s="878">
        <f>'[4]TARGET MURNI DAN PERUBAHAN'!D300</f>
        <v>2876300</v>
      </c>
      <c r="E359" s="876">
        <f>[14]Januari!$I$35</f>
        <v>0</v>
      </c>
      <c r="F359" s="876">
        <f>[14]Februari!$I$35</f>
        <v>0</v>
      </c>
      <c r="G359" s="876">
        <f>[14]Maret!$I$35</f>
        <v>0</v>
      </c>
      <c r="H359" s="876">
        <f>[14]April!$I$35</f>
        <v>0</v>
      </c>
      <c r="I359" s="876">
        <f>[14]Mei!$I$35</f>
        <v>0</v>
      </c>
      <c r="J359" s="876">
        <f>[14]Juni!$I$35</f>
        <v>0</v>
      </c>
      <c r="K359" s="876">
        <f>[14]Juli!$I$35</f>
        <v>0</v>
      </c>
      <c r="L359" s="876">
        <f>[14]Agustus!$I$35</f>
        <v>0</v>
      </c>
      <c r="M359" s="876">
        <f>[14]September!$I$35</f>
        <v>0</v>
      </c>
      <c r="N359" s="876">
        <f>[14]Oktober!$I$35</f>
        <v>0</v>
      </c>
      <c r="O359" s="876">
        <f>[14]Nopember!$I$35</f>
        <v>0</v>
      </c>
      <c r="P359" s="876">
        <f>[14]Desember!$I$35</f>
        <v>0</v>
      </c>
      <c r="Q359" s="1649">
        <f t="shared" si="149"/>
        <v>0</v>
      </c>
      <c r="R359" s="1650">
        <f t="shared" si="150"/>
        <v>-2876300</v>
      </c>
      <c r="S359" s="1643">
        <f>Q359/D359*100</f>
        <v>0</v>
      </c>
      <c r="T359" s="1644"/>
      <c r="V359" s="1758"/>
      <c r="W359" s="1758"/>
      <c r="X359" s="1758"/>
    </row>
    <row r="360" spans="1:24" s="859" customFormat="1" ht="14.1" customHeight="1">
      <c r="A360" s="290"/>
      <c r="B360" s="891" t="s">
        <v>790</v>
      </c>
      <c r="C360" s="890"/>
      <c r="D360" s="878">
        <f>'[4]TARGET MURNI DAN PERUBAHAN'!D301</f>
        <v>11845000</v>
      </c>
      <c r="E360" s="355">
        <f>[15]Januari!$K$35</f>
        <v>0</v>
      </c>
      <c r="F360" s="355">
        <f>[15]Februari!$K$35</f>
        <v>0</v>
      </c>
      <c r="G360" s="355">
        <f>[15]Maret!$K$35</f>
        <v>1500000</v>
      </c>
      <c r="H360" s="355">
        <f>[15]April!$K$35</f>
        <v>750000</v>
      </c>
      <c r="I360" s="355">
        <f>[15]Mei!$K$35</f>
        <v>1500000</v>
      </c>
      <c r="J360" s="355">
        <f>[15]Juni!$K$35</f>
        <v>0</v>
      </c>
      <c r="K360" s="355">
        <f>[15]Juli!$K$35</f>
        <v>1700000</v>
      </c>
      <c r="L360" s="355">
        <f>[15]Agustus!$K$35</f>
        <v>17150000</v>
      </c>
      <c r="M360" s="355">
        <f>[15]September!$K$35</f>
        <v>20700000</v>
      </c>
      <c r="N360" s="355">
        <f>[15]Oktober!$K$35</f>
        <v>11950000</v>
      </c>
      <c r="O360" s="355">
        <f>[15]Nopember!$K$35</f>
        <v>46050000</v>
      </c>
      <c r="P360" s="355">
        <f>[15]Desember!$K$35</f>
        <v>25830000</v>
      </c>
      <c r="Q360" s="1653">
        <f t="shared" si="149"/>
        <v>127130000</v>
      </c>
      <c r="R360" s="1672">
        <f t="shared" si="150"/>
        <v>115285000</v>
      </c>
      <c r="S360" s="347">
        <f>Q360/D360*100</f>
        <v>1073.279864921908</v>
      </c>
      <c r="T360" s="1644"/>
      <c r="V360" s="1758"/>
      <c r="W360" s="1758"/>
      <c r="X360" s="1758"/>
    </row>
    <row r="361" spans="1:24" s="859" customFormat="1" ht="14.1" customHeight="1">
      <c r="A361" s="290"/>
      <c r="B361" s="891" t="s">
        <v>791</v>
      </c>
      <c r="C361" s="890"/>
      <c r="D361" s="878">
        <f>'[4]TARGET MURNI DAN PERUBAHAN'!D302</f>
        <v>4200000</v>
      </c>
      <c r="E361" s="355">
        <f>[16]Januari!$I$35</f>
        <v>0</v>
      </c>
      <c r="F361" s="355">
        <f>[16]Februari!$I$35</f>
        <v>0</v>
      </c>
      <c r="G361" s="355">
        <f>[16]Maret!$I$35</f>
        <v>0</v>
      </c>
      <c r="H361" s="355">
        <f>[16]April!$I$35</f>
        <v>0</v>
      </c>
      <c r="I361" s="355">
        <f>[16]Mei!$I$35</f>
        <v>0</v>
      </c>
      <c r="J361" s="355">
        <f>[16]Juni!$I$35</f>
        <v>0</v>
      </c>
      <c r="K361" s="355">
        <f>[16]Juli!$I$35</f>
        <v>0</v>
      </c>
      <c r="L361" s="355">
        <f>[16]Agustus!$I$35</f>
        <v>0</v>
      </c>
      <c r="M361" s="355">
        <f>[16]September!$I$35</f>
        <v>0</v>
      </c>
      <c r="N361" s="355">
        <f>[16]Oktober!$I$35</f>
        <v>0</v>
      </c>
      <c r="O361" s="355">
        <f>[16]Nopember!$I$35</f>
        <v>3588000</v>
      </c>
      <c r="P361" s="355">
        <f>[16]Desember!$I$35</f>
        <v>0</v>
      </c>
      <c r="Q361" s="1653">
        <f t="shared" si="149"/>
        <v>3588000</v>
      </c>
      <c r="R361" s="1672">
        <f t="shared" si="150"/>
        <v>-612000</v>
      </c>
      <c r="S361" s="347">
        <f>Q361/D361*100</f>
        <v>85.428571428571431</v>
      </c>
      <c r="T361" s="1644"/>
      <c r="V361" s="1758"/>
      <c r="W361" s="1758"/>
      <c r="X361" s="1758"/>
    </row>
    <row r="362" spans="1:24" s="859" customFormat="1" ht="14.1" customHeight="1">
      <c r="A362" s="290"/>
      <c r="B362" s="891" t="s">
        <v>792</v>
      </c>
      <c r="C362" s="890"/>
      <c r="D362" s="878">
        <f>'[4]TARGET MURNI DAN PERUBAHAN'!D303</f>
        <v>342158400</v>
      </c>
      <c r="E362" s="375">
        <f>[17]Januari!$K$35</f>
        <v>1797000</v>
      </c>
      <c r="F362" s="375">
        <f>[17]Februari!$K$35</f>
        <v>1050000</v>
      </c>
      <c r="G362" s="375">
        <f>[17]Maret!$K$35</f>
        <v>1300000</v>
      </c>
      <c r="H362" s="375">
        <f>[17]April!$K$35</f>
        <v>2800000</v>
      </c>
      <c r="I362" s="375">
        <f>[17]Mei!$K$35</f>
        <v>2050000</v>
      </c>
      <c r="J362" s="375">
        <f>[17]Juni!$K$35</f>
        <v>4700000</v>
      </c>
      <c r="K362" s="375">
        <f>[17]Juli!$K$35</f>
        <v>450000</v>
      </c>
      <c r="L362" s="375">
        <f>[17]Agustus!$K$35</f>
        <v>1550000</v>
      </c>
      <c r="M362" s="375">
        <f>[17]September!$K$35</f>
        <v>100000</v>
      </c>
      <c r="N362" s="375">
        <f>[17]Oktober!$K$35</f>
        <v>800000</v>
      </c>
      <c r="O362" s="375">
        <f>[17]Nopember!$K$35</f>
        <v>500000</v>
      </c>
      <c r="P362" s="375">
        <f>[17]Desember!$K$35</f>
        <v>3128025</v>
      </c>
      <c r="Q362" s="1653">
        <f t="shared" si="149"/>
        <v>20225025</v>
      </c>
      <c r="R362" s="1630">
        <f t="shared" si="150"/>
        <v>-321933375</v>
      </c>
      <c r="S362" s="347"/>
      <c r="T362" s="1644"/>
      <c r="V362" s="1758"/>
      <c r="W362" s="1758"/>
      <c r="X362" s="1758"/>
    </row>
    <row r="363" spans="1:24" s="859" customFormat="1" ht="14.1" customHeight="1">
      <c r="A363" s="290"/>
      <c r="B363" s="1753" t="s">
        <v>793</v>
      </c>
      <c r="C363" s="890"/>
      <c r="D363" s="878">
        <f>'[4]TARGET MURNI DAN PERUBAHAN'!D304</f>
        <v>3291945800</v>
      </c>
      <c r="E363" s="876"/>
      <c r="F363" s="876"/>
      <c r="G363" s="876"/>
      <c r="H363" s="876"/>
      <c r="I363" s="876"/>
      <c r="J363" s="876"/>
      <c r="K363" s="876"/>
      <c r="L363" s="876"/>
      <c r="M363" s="876"/>
      <c r="N363" s="876"/>
      <c r="O363" s="876"/>
      <c r="P363" s="876"/>
      <c r="Q363" s="367">
        <f t="shared" ref="Q363:Q415" si="152">SUM(E363:P363)</f>
        <v>0</v>
      </c>
      <c r="R363" s="1707">
        <f>SUM(R364:R365)</f>
        <v>-159974800</v>
      </c>
      <c r="S363" s="778">
        <v>0</v>
      </c>
      <c r="T363" s="1644"/>
      <c r="V363" s="1758"/>
      <c r="W363" s="1758"/>
      <c r="X363" s="1758"/>
    </row>
    <row r="364" spans="1:24" s="859" customFormat="1" ht="15.05">
      <c r="A364" s="290"/>
      <c r="B364" s="891" t="s">
        <v>794</v>
      </c>
      <c r="C364" s="890"/>
      <c r="D364" s="1754">
        <f>D365</f>
        <v>51419400</v>
      </c>
      <c r="E364" s="1754">
        <f t="shared" ref="E364:P364" si="153">E365</f>
        <v>0</v>
      </c>
      <c r="F364" s="1754">
        <f t="shared" si="153"/>
        <v>0</v>
      </c>
      <c r="G364" s="1754">
        <f t="shared" si="153"/>
        <v>0</v>
      </c>
      <c r="H364" s="1754">
        <f t="shared" si="153"/>
        <v>0</v>
      </c>
      <c r="I364" s="1754">
        <f t="shared" si="153"/>
        <v>0</v>
      </c>
      <c r="J364" s="1754">
        <f t="shared" si="153"/>
        <v>0</v>
      </c>
      <c r="K364" s="1754">
        <f t="shared" si="153"/>
        <v>0</v>
      </c>
      <c r="L364" s="1754">
        <f t="shared" si="153"/>
        <v>0</v>
      </c>
      <c r="M364" s="1754">
        <f t="shared" si="153"/>
        <v>0</v>
      </c>
      <c r="N364" s="1754">
        <f t="shared" si="153"/>
        <v>0</v>
      </c>
      <c r="O364" s="1754">
        <f t="shared" si="153"/>
        <v>0</v>
      </c>
      <c r="P364" s="1754">
        <f t="shared" si="153"/>
        <v>0</v>
      </c>
      <c r="Q364" s="831">
        <f t="shared" si="152"/>
        <v>0</v>
      </c>
      <c r="R364" s="1757">
        <f>SUM(R365:R366)</f>
        <v>-108555400</v>
      </c>
      <c r="S364" s="1393">
        <v>0</v>
      </c>
      <c r="T364" s="1644"/>
      <c r="V364" s="1758"/>
      <c r="W364" s="1758"/>
      <c r="X364" s="1758"/>
    </row>
    <row r="365" spans="1:24" s="859" customFormat="1" ht="14.1" customHeight="1">
      <c r="A365" s="290"/>
      <c r="B365" s="891" t="s">
        <v>50</v>
      </c>
      <c r="C365" s="892" t="s">
        <v>795</v>
      </c>
      <c r="D365" s="878">
        <f>'[4]TARGET MURNI DAN PERUBAHAN'!D306</f>
        <v>51419400</v>
      </c>
      <c r="E365" s="375">
        <f>[20]Januari!$I$35</f>
        <v>0</v>
      </c>
      <c r="F365" s="375">
        <f>[20]Februari!$I$35</f>
        <v>0</v>
      </c>
      <c r="G365" s="375">
        <f>[20]Maret!$I$35</f>
        <v>0</v>
      </c>
      <c r="H365" s="375">
        <f>[20]April!$I$35</f>
        <v>0</v>
      </c>
      <c r="I365" s="375">
        <f>[20]Mei!$I$35</f>
        <v>0</v>
      </c>
      <c r="J365" s="375">
        <f>[20]Juni!$I$35</f>
        <v>0</v>
      </c>
      <c r="K365" s="375">
        <f>[20]Juli!$I$35</f>
        <v>0</v>
      </c>
      <c r="L365" s="375">
        <f>[20]Agustus!$I$35</f>
        <v>0</v>
      </c>
      <c r="M365" s="375">
        <f>[20]September!$I$35</f>
        <v>0</v>
      </c>
      <c r="N365" s="375">
        <f>[20]Oktober!$I$35</f>
        <v>0</v>
      </c>
      <c r="O365" s="375">
        <f>[20]Nopember!$I$35</f>
        <v>0</v>
      </c>
      <c r="P365" s="375">
        <f>[20]Desember!$I$35</f>
        <v>0</v>
      </c>
      <c r="Q365" s="367">
        <f t="shared" si="152"/>
        <v>0</v>
      </c>
      <c r="R365" s="1630">
        <f t="shared" ref="R365:R370" si="154">Q365-D365</f>
        <v>-51419400</v>
      </c>
      <c r="S365" s="388">
        <f t="shared" ref="S365:S370" si="155">Q365/D365*100</f>
        <v>0</v>
      </c>
      <c r="T365" s="1644"/>
      <c r="V365" s="1758"/>
      <c r="W365" s="1758"/>
      <c r="X365" s="1758"/>
    </row>
    <row r="366" spans="1:24" s="859" customFormat="1" ht="15.05">
      <c r="A366" s="290"/>
      <c r="B366" s="891" t="s">
        <v>796</v>
      </c>
      <c r="C366" s="890"/>
      <c r="D366" s="1754">
        <f>'[4]TARGET MURNI DAN PERUBAHAN'!D307</f>
        <v>335291000</v>
      </c>
      <c r="E366" s="1754">
        <f>SUM(E367:E370)</f>
        <v>4736000</v>
      </c>
      <c r="F366" s="1754">
        <f t="shared" ref="F366:P366" si="156">SUM(F367:F370)</f>
        <v>4736000</v>
      </c>
      <c r="G366" s="1754">
        <f t="shared" si="156"/>
        <v>5284830</v>
      </c>
      <c r="H366" s="1754">
        <f t="shared" si="156"/>
        <v>4736000</v>
      </c>
      <c r="I366" s="1754">
        <f t="shared" si="156"/>
        <v>4736000</v>
      </c>
      <c r="J366" s="1754">
        <f t="shared" si="156"/>
        <v>4736000</v>
      </c>
      <c r="K366" s="1754">
        <f t="shared" si="156"/>
        <v>0</v>
      </c>
      <c r="L366" s="1754">
        <f t="shared" si="156"/>
        <v>0</v>
      </c>
      <c r="M366" s="1754">
        <f t="shared" si="156"/>
        <v>0</v>
      </c>
      <c r="N366" s="1754">
        <f t="shared" si="156"/>
        <v>0</v>
      </c>
      <c r="O366" s="1754">
        <f t="shared" si="156"/>
        <v>9600000</v>
      </c>
      <c r="P366" s="1754">
        <f t="shared" si="156"/>
        <v>0</v>
      </c>
      <c r="Q366" s="831">
        <f t="shared" si="152"/>
        <v>38564830</v>
      </c>
      <c r="R366" s="1757">
        <f>SUM(R367:R368)</f>
        <v>-57136000</v>
      </c>
      <c r="S366" s="1393">
        <v>0</v>
      </c>
      <c r="T366" s="1644"/>
      <c r="V366" s="1758"/>
      <c r="W366" s="1758"/>
      <c r="X366" s="1758"/>
    </row>
    <row r="367" spans="1:24" s="859" customFormat="1" ht="14.1" customHeight="1">
      <c r="A367" s="290"/>
      <c r="B367" s="891" t="s">
        <v>50</v>
      </c>
      <c r="C367" s="892" t="s">
        <v>797</v>
      </c>
      <c r="D367" s="878">
        <f>'[4]TARGET MURNI DAN PERUBAHAN'!D308</f>
        <v>55355000</v>
      </c>
      <c r="E367" s="876">
        <f>[21]Januari!$L$35</f>
        <v>0</v>
      </c>
      <c r="F367" s="876">
        <f>[21]Februari!$L$35</f>
        <v>0</v>
      </c>
      <c r="G367" s="876">
        <f>[21]Maret!$L$35</f>
        <v>548830</v>
      </c>
      <c r="H367" s="876">
        <f>[21]April!$L$35</f>
        <v>0</v>
      </c>
      <c r="I367" s="876">
        <f>[21]Mei!$L$35</f>
        <v>0</v>
      </c>
      <c r="J367" s="876">
        <f>[21]Juni!$L$35</f>
        <v>0</v>
      </c>
      <c r="K367" s="876">
        <f>[21]Juli!$L$35</f>
        <v>0</v>
      </c>
      <c r="L367" s="876">
        <f>[21]Agustus!$L$35</f>
        <v>0</v>
      </c>
      <c r="M367" s="876">
        <f>[21]September!$L$35</f>
        <v>0</v>
      </c>
      <c r="N367" s="876">
        <f>[21]Oktober!$L$35</f>
        <v>0</v>
      </c>
      <c r="O367" s="876">
        <f>[21]Nopember!$L$35</f>
        <v>0</v>
      </c>
      <c r="P367" s="876">
        <f>[21]Desember!$L$35</f>
        <v>0</v>
      </c>
      <c r="Q367" s="367">
        <f t="shared" si="152"/>
        <v>548830</v>
      </c>
      <c r="R367" s="1641"/>
      <c r="S367" s="879"/>
      <c r="T367" s="1644"/>
      <c r="V367" s="1758"/>
      <c r="W367" s="1758"/>
      <c r="X367" s="1758"/>
    </row>
    <row r="368" spans="1:24" s="859" customFormat="1" ht="14.1" customHeight="1">
      <c r="A368" s="290"/>
      <c r="B368" s="891" t="s">
        <v>50</v>
      </c>
      <c r="C368" s="892" t="s">
        <v>138</v>
      </c>
      <c r="D368" s="878">
        <f>'[4]TARGET MURNI DAN PERUBAHAN'!D309</f>
        <v>57136000</v>
      </c>
      <c r="E368" s="878">
        <f>[21]Januari!$M$35</f>
        <v>0</v>
      </c>
      <c r="F368" s="878">
        <f>[21]Februari!$M$35</f>
        <v>0</v>
      </c>
      <c r="G368" s="878">
        <f>[21]Maret!$M$35</f>
        <v>0</v>
      </c>
      <c r="H368" s="878">
        <f>[21]April!$M$35</f>
        <v>0</v>
      </c>
      <c r="I368" s="878">
        <f>[21]Mei!$M$35</f>
        <v>0</v>
      </c>
      <c r="J368" s="878">
        <f>[21]Juni!$M$35</f>
        <v>0</v>
      </c>
      <c r="K368" s="878">
        <f>[21]Juli!$M$35</f>
        <v>0</v>
      </c>
      <c r="L368" s="878">
        <f>[21]Agustus!$M$35</f>
        <v>0</v>
      </c>
      <c r="M368" s="878">
        <f>[21]September!$M$35</f>
        <v>0</v>
      </c>
      <c r="N368" s="878">
        <f>[21]Oktober!$M$35</f>
        <v>0</v>
      </c>
      <c r="O368" s="878">
        <f>[21]Nopember!$M$35</f>
        <v>0</v>
      </c>
      <c r="P368" s="878">
        <f>[21]Desember!$M$35</f>
        <v>0</v>
      </c>
      <c r="Q368" s="367">
        <f t="shared" si="152"/>
        <v>0</v>
      </c>
      <c r="R368" s="1705">
        <f t="shared" si="154"/>
        <v>-57136000</v>
      </c>
      <c r="S368" s="1612">
        <f t="shared" si="155"/>
        <v>0</v>
      </c>
      <c r="T368" s="1644"/>
      <c r="V368" s="1758"/>
      <c r="W368" s="1758"/>
      <c r="X368" s="1758"/>
    </row>
    <row r="369" spans="1:24" s="859" customFormat="1" ht="14.1" customHeight="1">
      <c r="A369" s="290"/>
      <c r="B369" s="891" t="s">
        <v>50</v>
      </c>
      <c r="C369" s="892" t="s">
        <v>798</v>
      </c>
      <c r="D369" s="878">
        <f>'[4]TARGET MURNI DAN PERUBAHAN'!D310</f>
        <v>24760000</v>
      </c>
      <c r="E369" s="878">
        <f>[21]Januari!$N$35</f>
        <v>0</v>
      </c>
      <c r="F369" s="878">
        <f>[21]Februari!$N$35</f>
        <v>0</v>
      </c>
      <c r="G369" s="878">
        <f>[21]Maret!$N$35</f>
        <v>0</v>
      </c>
      <c r="H369" s="878">
        <f>[21]April!$N$35</f>
        <v>0</v>
      </c>
      <c r="I369" s="878">
        <f>[21]Mei!$N$35</f>
        <v>0</v>
      </c>
      <c r="J369" s="878">
        <f>[21]Juni!$N$35</f>
        <v>0</v>
      </c>
      <c r="K369" s="878">
        <f>[21]Juli!$N$35</f>
        <v>0</v>
      </c>
      <c r="L369" s="878">
        <f>[21]Agustus!$N$35</f>
        <v>0</v>
      </c>
      <c r="M369" s="878">
        <f>[21]September!$N$35</f>
        <v>0</v>
      </c>
      <c r="N369" s="878">
        <f>[21]Oktober!$N$35</f>
        <v>0</v>
      </c>
      <c r="O369" s="878">
        <f>[21]Nopember!$N$35</f>
        <v>9600000</v>
      </c>
      <c r="P369" s="878">
        <f>[21]Desember!$N$35</f>
        <v>0</v>
      </c>
      <c r="Q369" s="367">
        <f t="shared" si="152"/>
        <v>9600000</v>
      </c>
      <c r="R369" s="1641">
        <f>SUM(R370:R370)</f>
        <v>-169624000</v>
      </c>
      <c r="S369" s="879">
        <f t="shared" si="155"/>
        <v>38.772213247172857</v>
      </c>
      <c r="T369" s="1644"/>
      <c r="V369" s="1758"/>
      <c r="W369" s="1758"/>
      <c r="X369" s="1758"/>
    </row>
    <row r="370" spans="1:24" s="859" customFormat="1" ht="14.1" customHeight="1">
      <c r="A370" s="290"/>
      <c r="B370" s="891" t="s">
        <v>50</v>
      </c>
      <c r="C370" s="892" t="s">
        <v>140</v>
      </c>
      <c r="D370" s="878">
        <f>'[4]TARGET MURNI DAN PERUBAHAN'!D311</f>
        <v>198040000</v>
      </c>
      <c r="E370" s="878">
        <f>[21]Januari!$O$35</f>
        <v>4736000</v>
      </c>
      <c r="F370" s="878">
        <f>[21]Februari!$O$35</f>
        <v>4736000</v>
      </c>
      <c r="G370" s="878">
        <f>[21]Maret!$O$35</f>
        <v>4736000</v>
      </c>
      <c r="H370" s="878">
        <f>[21]April!$O$35</f>
        <v>4736000</v>
      </c>
      <c r="I370" s="878">
        <f>[21]Mei!$O$35</f>
        <v>4736000</v>
      </c>
      <c r="J370" s="878">
        <f>[21]Juni!$O$35</f>
        <v>4736000</v>
      </c>
      <c r="K370" s="878">
        <f>[21]Juli!$O$35</f>
        <v>0</v>
      </c>
      <c r="L370" s="878">
        <f>[21]Agustus!$O$35</f>
        <v>0</v>
      </c>
      <c r="M370" s="878">
        <f>[21]September!$O$35</f>
        <v>0</v>
      </c>
      <c r="N370" s="878">
        <f>[21]Oktober!$O$35</f>
        <v>0</v>
      </c>
      <c r="O370" s="878">
        <f>[21]Nopember!$O$35</f>
        <v>0</v>
      </c>
      <c r="P370" s="878">
        <f>[21]Desember!$O$35</f>
        <v>0</v>
      </c>
      <c r="Q370" s="367">
        <f t="shared" si="152"/>
        <v>28416000</v>
      </c>
      <c r="R370" s="1641">
        <f t="shared" si="154"/>
        <v>-169624000</v>
      </c>
      <c r="S370" s="879">
        <f t="shared" si="155"/>
        <v>14.348616441123005</v>
      </c>
      <c r="T370" s="1644"/>
      <c r="V370" s="1758"/>
      <c r="W370" s="1758"/>
      <c r="X370" s="1758"/>
    </row>
    <row r="371" spans="1:24" s="859" customFormat="1" ht="15.05">
      <c r="A371" s="290"/>
      <c r="B371" s="891" t="s">
        <v>799</v>
      </c>
      <c r="C371" s="890"/>
      <c r="D371" s="1754">
        <f>SUM(D372:D375)</f>
        <v>400714300</v>
      </c>
      <c r="E371" s="1754">
        <f t="shared" ref="E371:P371" si="157">SUM(E372:E375)</f>
        <v>11944300</v>
      </c>
      <c r="F371" s="1754">
        <f t="shared" si="157"/>
        <v>36356500</v>
      </c>
      <c r="G371" s="1754">
        <f t="shared" si="157"/>
        <v>14825000</v>
      </c>
      <c r="H371" s="1754">
        <f t="shared" si="157"/>
        <v>7597000</v>
      </c>
      <c r="I371" s="1754">
        <f t="shared" si="157"/>
        <v>4420000</v>
      </c>
      <c r="J371" s="1754">
        <f t="shared" si="157"/>
        <v>1270000</v>
      </c>
      <c r="K371" s="1754">
        <f t="shared" si="157"/>
        <v>3750000</v>
      </c>
      <c r="L371" s="1754">
        <f t="shared" si="157"/>
        <v>1331500</v>
      </c>
      <c r="M371" s="1754">
        <f t="shared" si="157"/>
        <v>500000</v>
      </c>
      <c r="N371" s="1754">
        <f t="shared" si="157"/>
        <v>0</v>
      </c>
      <c r="O371" s="1754">
        <f t="shared" si="157"/>
        <v>26207750</v>
      </c>
      <c r="P371" s="1754">
        <f t="shared" si="157"/>
        <v>0</v>
      </c>
      <c r="Q371" s="831">
        <f t="shared" si="152"/>
        <v>108202050</v>
      </c>
      <c r="R371" s="1757">
        <f>SUM(R372:R373)</f>
        <v>-258565650</v>
      </c>
      <c r="S371" s="1393">
        <v>0</v>
      </c>
      <c r="T371" s="1644"/>
      <c r="V371" s="1758"/>
      <c r="W371" s="1758"/>
      <c r="X371" s="1758"/>
    </row>
    <row r="372" spans="1:24" s="859" customFormat="1" ht="14.1" customHeight="1">
      <c r="A372" s="290"/>
      <c r="B372" s="891" t="s">
        <v>50</v>
      </c>
      <c r="C372" s="892" t="s">
        <v>85</v>
      </c>
      <c r="D372" s="878">
        <f>'[4]TARGET MURNI DAN PERUBAHAN'!D313</f>
        <v>0</v>
      </c>
      <c r="E372" s="876"/>
      <c r="F372" s="876"/>
      <c r="G372" s="876"/>
      <c r="H372" s="876"/>
      <c r="I372" s="876"/>
      <c r="J372" s="876"/>
      <c r="K372" s="876"/>
      <c r="L372" s="876"/>
      <c r="M372" s="876"/>
      <c r="N372" s="876"/>
      <c r="O372" s="876"/>
      <c r="P372" s="876"/>
      <c r="Q372" s="367">
        <f t="shared" si="152"/>
        <v>0</v>
      </c>
      <c r="R372" s="1707">
        <f>SUM(R373:R374)</f>
        <v>-258565650</v>
      </c>
      <c r="S372" s="778">
        <v>0</v>
      </c>
      <c r="T372" s="1644"/>
      <c r="V372" s="1758"/>
      <c r="W372" s="1758"/>
      <c r="X372" s="1758"/>
    </row>
    <row r="373" spans="1:24" s="859" customFormat="1" ht="14.1" customHeight="1">
      <c r="A373" s="290"/>
      <c r="B373" s="891" t="s">
        <v>50</v>
      </c>
      <c r="C373" s="892" t="s">
        <v>145</v>
      </c>
      <c r="D373" s="878">
        <f>'[4]TARGET MURNI DAN PERUBAHAN'!D314</f>
        <v>63698000</v>
      </c>
      <c r="E373" s="355">
        <f>[22]Januari!$J$35</f>
        <v>0</v>
      </c>
      <c r="F373" s="355">
        <f>[22]Februari!$J$35</f>
        <v>0</v>
      </c>
      <c r="G373" s="355">
        <f>[22]Maret!$J$35</f>
        <v>0</v>
      </c>
      <c r="H373" s="355">
        <f>[22]April!$J$35</f>
        <v>0</v>
      </c>
      <c r="I373" s="355">
        <f>[22]Mei!$J$35</f>
        <v>0</v>
      </c>
      <c r="J373" s="355">
        <f>[22]Juni!$J$35</f>
        <v>0</v>
      </c>
      <c r="K373" s="355">
        <f>[22]Juli!$J$35</f>
        <v>0</v>
      </c>
      <c r="L373" s="355">
        <f>[22]Agustus!$J$35</f>
        <v>1200000</v>
      </c>
      <c r="M373" s="355">
        <f>[22]September!$J$35</f>
        <v>0</v>
      </c>
      <c r="N373" s="355">
        <f>[22]Oktober!$J$35</f>
        <v>0</v>
      </c>
      <c r="O373" s="355">
        <f>[22]Nopember!$J$35</f>
        <v>16962400</v>
      </c>
      <c r="P373" s="355">
        <f>[22]Desember!$J$35</f>
        <v>0</v>
      </c>
      <c r="Q373" s="346"/>
      <c r="R373" s="1630"/>
      <c r="S373" s="388"/>
      <c r="T373" s="1644"/>
      <c r="V373" s="1758"/>
      <c r="W373" s="1758"/>
      <c r="X373" s="1758"/>
    </row>
    <row r="374" spans="1:24" s="859" customFormat="1" ht="14.1" customHeight="1">
      <c r="A374" s="290"/>
      <c r="B374" s="891" t="s">
        <v>50</v>
      </c>
      <c r="C374" s="892" t="s">
        <v>146</v>
      </c>
      <c r="D374" s="878">
        <f>'[4]TARGET MURNI DAN PERUBAHAN'!D315</f>
        <v>285233000</v>
      </c>
      <c r="E374" s="355">
        <f>[22]Januari!$K$35</f>
        <v>5350000</v>
      </c>
      <c r="F374" s="355">
        <f>[22]Februari!$K$35</f>
        <v>2750000</v>
      </c>
      <c r="G374" s="355">
        <f>[22]Maret!$K$35</f>
        <v>2500000</v>
      </c>
      <c r="H374" s="355">
        <f>[22]April!$K$35</f>
        <v>450000</v>
      </c>
      <c r="I374" s="355">
        <f>[22]Mei!$K$35</f>
        <v>3700000</v>
      </c>
      <c r="J374" s="355">
        <f>[22]Juni!$K$35</f>
        <v>1000000</v>
      </c>
      <c r="K374" s="355">
        <f>[22]Juli!$K$35</f>
        <v>1750000</v>
      </c>
      <c r="L374" s="355">
        <f>[22]Agustus!$K$35</f>
        <v>0</v>
      </c>
      <c r="M374" s="355">
        <f>[22]September!$K$35</f>
        <v>500000</v>
      </c>
      <c r="N374" s="355">
        <f>[22]Oktober!$K$35</f>
        <v>0</v>
      </c>
      <c r="O374" s="355">
        <f>[22]Nopember!$K$35</f>
        <v>8667350</v>
      </c>
      <c r="P374" s="355">
        <f>[22]Desember!$K$35</f>
        <v>0</v>
      </c>
      <c r="Q374" s="346">
        <f>SUM(E374:P374)</f>
        <v>26667350</v>
      </c>
      <c r="R374" s="1630">
        <f>Q374-D374</f>
        <v>-258565650</v>
      </c>
      <c r="S374" s="388">
        <f>Q374/D374*100</f>
        <v>9.3493214319521236</v>
      </c>
      <c r="T374" s="1644"/>
      <c r="V374" s="1758"/>
      <c r="W374" s="1758"/>
      <c r="X374" s="1758"/>
    </row>
    <row r="375" spans="1:24" s="859" customFormat="1" ht="14.1" customHeight="1">
      <c r="A375" s="290"/>
      <c r="B375" s="891" t="s">
        <v>50</v>
      </c>
      <c r="C375" s="892" t="s">
        <v>147</v>
      </c>
      <c r="D375" s="878">
        <f>'[4]TARGET MURNI DAN PERUBAHAN'!D316</f>
        <v>51783300</v>
      </c>
      <c r="E375" s="355">
        <f>[22]Januari!$L$35</f>
        <v>6594300</v>
      </c>
      <c r="F375" s="355">
        <f>[22]Februari!$L$35</f>
        <v>33606500</v>
      </c>
      <c r="G375" s="355">
        <f>[22]Maret!$L$35</f>
        <v>12325000</v>
      </c>
      <c r="H375" s="355">
        <f>[22]April!$L$35</f>
        <v>7147000</v>
      </c>
      <c r="I375" s="355">
        <f>[22]Mei!$L$35</f>
        <v>720000</v>
      </c>
      <c r="J375" s="355">
        <f>[22]Juni!$L$35</f>
        <v>270000</v>
      </c>
      <c r="K375" s="355">
        <f>[22]Juli!$L$35</f>
        <v>2000000</v>
      </c>
      <c r="L375" s="355">
        <f>[22]Agustus!$L$35</f>
        <v>131500</v>
      </c>
      <c r="M375" s="355">
        <f>[22]September!$L$35</f>
        <v>0</v>
      </c>
      <c r="N375" s="355">
        <f>[22]Oktober!$L$35</f>
        <v>0</v>
      </c>
      <c r="O375" s="355">
        <f>[22]Nopember!$L$35</f>
        <v>578000</v>
      </c>
      <c r="P375" s="355">
        <f>[22]Desember!$L$35</f>
        <v>0</v>
      </c>
      <c r="Q375" s="346">
        <f>SUM(E375:P375)</f>
        <v>63372300</v>
      </c>
      <c r="R375" s="1630">
        <f>Q375-D375</f>
        <v>11589000</v>
      </c>
      <c r="S375" s="388">
        <f>Q375/D375*100</f>
        <v>122.37980198249244</v>
      </c>
      <c r="T375" s="1644"/>
      <c r="V375" s="1758"/>
      <c r="W375" s="1758"/>
      <c r="X375" s="1758"/>
    </row>
    <row r="376" spans="1:24" s="859" customFormat="1" ht="14.1" customHeight="1">
      <c r="A376" s="290"/>
      <c r="B376" s="891" t="s">
        <v>800</v>
      </c>
      <c r="C376" s="890"/>
      <c r="D376" s="878">
        <f>'[4]TARGET MURNI DAN PERUBAHAN'!D317</f>
        <v>25741600</v>
      </c>
      <c r="E376" s="375">
        <f>[23]Januari!$K$35</f>
        <v>0</v>
      </c>
      <c r="F376" s="375">
        <f>[23]Februari!$K$35</f>
        <v>0</v>
      </c>
      <c r="G376" s="375">
        <f>[23]Maret!$K$35</f>
        <v>0</v>
      </c>
      <c r="H376" s="375">
        <f>[23]April!$K$35</f>
        <v>1410507</v>
      </c>
      <c r="I376" s="375">
        <f>[23]Mei!$K$35</f>
        <v>1000000</v>
      </c>
      <c r="J376" s="375">
        <f>[23]Juni!$K$35</f>
        <v>0</v>
      </c>
      <c r="K376" s="375">
        <f>[23]Juli!$K$35</f>
        <v>0</v>
      </c>
      <c r="L376" s="375">
        <f>[23]Agustus!$K$35</f>
        <v>0</v>
      </c>
      <c r="M376" s="375">
        <f>[23]September!$K$35</f>
        <v>0</v>
      </c>
      <c r="N376" s="375">
        <f>[23]Oktober!$K$35</f>
        <v>0</v>
      </c>
      <c r="O376" s="375">
        <f>[23]Nopember!$K$35</f>
        <v>0</v>
      </c>
      <c r="P376" s="375">
        <f>[23]Desember!$K$35</f>
        <v>1200000</v>
      </c>
      <c r="Q376" s="346">
        <f>SUM(E376:P376)</f>
        <v>3610507</v>
      </c>
      <c r="R376" s="1672">
        <f>Q376-D376</f>
        <v>-22131093</v>
      </c>
      <c r="S376" s="388"/>
      <c r="T376" s="1644"/>
      <c r="V376" s="1758"/>
      <c r="W376" s="1758"/>
      <c r="X376" s="1758"/>
    </row>
    <row r="377" spans="1:24" s="859" customFormat="1" ht="14.1" customHeight="1">
      <c r="A377" s="290"/>
      <c r="B377" s="891" t="s">
        <v>801</v>
      </c>
      <c r="C377" s="890"/>
      <c r="D377" s="878">
        <f>'[4]TARGET MURNI DAN PERUBAHAN'!D318</f>
        <v>1100000</v>
      </c>
      <c r="E377" s="355">
        <f>[19]Januari!$I$35</f>
        <v>0</v>
      </c>
      <c r="F377" s="355">
        <f>[19]Februari!$I$35</f>
        <v>0</v>
      </c>
      <c r="G377" s="355">
        <f>[19]Maret!$I$35</f>
        <v>0</v>
      </c>
      <c r="H377" s="355">
        <f>[19]April!$I$35</f>
        <v>0</v>
      </c>
      <c r="I377" s="355">
        <f>[19]Mei!$I$35</f>
        <v>0</v>
      </c>
      <c r="J377" s="355">
        <f>[19]Juni!$I$35</f>
        <v>0</v>
      </c>
      <c r="K377" s="355">
        <f>[19]Juli!$I$35</f>
        <v>0</v>
      </c>
      <c r="L377" s="355">
        <f>[19]Agustus!$I$35</f>
        <v>0</v>
      </c>
      <c r="M377" s="355">
        <f>[19]September!$I$35</f>
        <v>0</v>
      </c>
      <c r="N377" s="355">
        <f>[19]Oktober!$I$35</f>
        <v>0</v>
      </c>
      <c r="O377" s="355">
        <f>[19]Nopember!$I$35</f>
        <v>322000</v>
      </c>
      <c r="P377" s="355">
        <f>[19]Desember!$I$35</f>
        <v>141017557</v>
      </c>
      <c r="Q377" s="1271">
        <f>SUM(E377:P377)</f>
        <v>141339557</v>
      </c>
      <c r="R377" s="1630">
        <f>Q377-D377</f>
        <v>140239557</v>
      </c>
      <c r="S377" s="388">
        <f>Q377/D377*100</f>
        <v>12849.050636363638</v>
      </c>
      <c r="T377" s="441"/>
      <c r="V377" s="1758"/>
      <c r="W377" s="1758"/>
      <c r="X377" s="1758"/>
    </row>
    <row r="378" spans="1:24" s="859" customFormat="1" ht="14.1" customHeight="1">
      <c r="A378" s="290"/>
      <c r="B378" s="891" t="s">
        <v>802</v>
      </c>
      <c r="C378" s="890"/>
      <c r="D378" s="878">
        <f>'[4]TARGET MURNI DAN PERUBAHAN'!D319</f>
        <v>0</v>
      </c>
      <c r="E378" s="876"/>
      <c r="F378" s="876"/>
      <c r="G378" s="876"/>
      <c r="H378" s="876"/>
      <c r="I378" s="876"/>
      <c r="J378" s="876"/>
      <c r="K378" s="876"/>
      <c r="L378" s="876"/>
      <c r="M378" s="876"/>
      <c r="N378" s="876"/>
      <c r="O378" s="876"/>
      <c r="P378" s="876"/>
      <c r="Q378" s="367">
        <f t="shared" si="152"/>
        <v>0</v>
      </c>
      <c r="R378" s="1707">
        <f>SUM(R379:R380)</f>
        <v>-240569500</v>
      </c>
      <c r="S378" s="778">
        <v>0</v>
      </c>
      <c r="T378" s="1644"/>
      <c r="V378" s="1758"/>
      <c r="W378" s="1758"/>
      <c r="X378" s="1758"/>
    </row>
    <row r="379" spans="1:24" s="859" customFormat="1" ht="14.1" customHeight="1">
      <c r="A379" s="290"/>
      <c r="B379" s="891" t="s">
        <v>803</v>
      </c>
      <c r="C379" s="890"/>
      <c r="D379" s="878">
        <f>'[4]TARGET MURNI DAN PERUBAHAN'!D320</f>
        <v>0</v>
      </c>
      <c r="E379" s="876"/>
      <c r="F379" s="876"/>
      <c r="G379" s="876"/>
      <c r="H379" s="876"/>
      <c r="I379" s="876"/>
      <c r="J379" s="876"/>
      <c r="K379" s="876"/>
      <c r="L379" s="876"/>
      <c r="M379" s="876"/>
      <c r="N379" s="876"/>
      <c r="O379" s="876"/>
      <c r="P379" s="876"/>
      <c r="Q379" s="367">
        <f t="shared" si="152"/>
        <v>0</v>
      </c>
      <c r="R379" s="1707">
        <f>SUM(R380:R381)</f>
        <v>-144341700</v>
      </c>
      <c r="S379" s="778">
        <v>0</v>
      </c>
      <c r="T379" s="1644"/>
      <c r="V379" s="1758"/>
      <c r="W379" s="1758"/>
      <c r="X379" s="1758"/>
    </row>
    <row r="380" spans="1:24" s="859" customFormat="1" ht="14.1" customHeight="1">
      <c r="A380" s="290"/>
      <c r="B380" s="891" t="s">
        <v>804</v>
      </c>
      <c r="C380" s="890"/>
      <c r="D380" s="878">
        <f>'[4]TARGET MURNI DAN PERUBAHAN'!D321</f>
        <v>0</v>
      </c>
      <c r="E380" s="876"/>
      <c r="F380" s="876"/>
      <c r="G380" s="876"/>
      <c r="H380" s="876"/>
      <c r="I380" s="876"/>
      <c r="J380" s="876"/>
      <c r="K380" s="876"/>
      <c r="L380" s="876"/>
      <c r="M380" s="876"/>
      <c r="N380" s="876"/>
      <c r="O380" s="876"/>
      <c r="P380" s="876"/>
      <c r="Q380" s="367">
        <f t="shared" si="152"/>
        <v>0</v>
      </c>
      <c r="R380" s="1707">
        <f>SUM(R381:R382)</f>
        <v>-96227800</v>
      </c>
      <c r="S380" s="778">
        <v>0</v>
      </c>
      <c r="T380" s="1644"/>
      <c r="V380" s="1758"/>
      <c r="W380" s="1758"/>
      <c r="X380" s="1758"/>
    </row>
    <row r="381" spans="1:24" s="859" customFormat="1" ht="15.05">
      <c r="A381" s="290"/>
      <c r="B381" s="891" t="s">
        <v>805</v>
      </c>
      <c r="C381" s="890"/>
      <c r="D381" s="1754">
        <f>D382</f>
        <v>0</v>
      </c>
      <c r="E381" s="1754">
        <f t="shared" ref="E381:P381" si="158">E382</f>
        <v>0</v>
      </c>
      <c r="F381" s="1754">
        <f t="shared" si="158"/>
        <v>0</v>
      </c>
      <c r="G381" s="1754">
        <f t="shared" si="158"/>
        <v>0</v>
      </c>
      <c r="H381" s="1754">
        <f t="shared" si="158"/>
        <v>0</v>
      </c>
      <c r="I381" s="1754">
        <f t="shared" si="158"/>
        <v>0</v>
      </c>
      <c r="J381" s="1754">
        <f t="shared" si="158"/>
        <v>0</v>
      </c>
      <c r="K381" s="1754">
        <f t="shared" si="158"/>
        <v>0</v>
      </c>
      <c r="L381" s="1754">
        <f t="shared" si="158"/>
        <v>0</v>
      </c>
      <c r="M381" s="1754">
        <f t="shared" si="158"/>
        <v>0</v>
      </c>
      <c r="N381" s="1754">
        <f t="shared" si="158"/>
        <v>0</v>
      </c>
      <c r="O381" s="1754">
        <f t="shared" si="158"/>
        <v>0</v>
      </c>
      <c r="P381" s="1754">
        <f t="shared" si="158"/>
        <v>0</v>
      </c>
      <c r="Q381" s="831">
        <f t="shared" si="152"/>
        <v>0</v>
      </c>
      <c r="R381" s="1757">
        <f>SUM(R382:R383)</f>
        <v>-48113900</v>
      </c>
      <c r="S381" s="1393">
        <v>0</v>
      </c>
      <c r="T381" s="1644"/>
      <c r="V381" s="1758"/>
      <c r="W381" s="1758"/>
      <c r="X381" s="1758"/>
    </row>
    <row r="382" spans="1:24" s="859" customFormat="1" ht="14.1" customHeight="1">
      <c r="A382" s="290"/>
      <c r="B382" s="891" t="s">
        <v>50</v>
      </c>
      <c r="C382" s="892" t="s">
        <v>640</v>
      </c>
      <c r="D382" s="878">
        <f>'[4]TARGET MURNI DAN PERUBAHAN'!D323</f>
        <v>0</v>
      </c>
      <c r="E382" s="876"/>
      <c r="F382" s="876"/>
      <c r="G382" s="876"/>
      <c r="H382" s="876"/>
      <c r="I382" s="876"/>
      <c r="J382" s="876"/>
      <c r="K382" s="876"/>
      <c r="L382" s="876"/>
      <c r="M382" s="876"/>
      <c r="N382" s="876"/>
      <c r="O382" s="876"/>
      <c r="P382" s="876"/>
      <c r="Q382" s="367">
        <f t="shared" si="152"/>
        <v>0</v>
      </c>
      <c r="R382" s="1707">
        <f>SUM(R383:R384)</f>
        <v>-48113900</v>
      </c>
      <c r="S382" s="778">
        <v>0</v>
      </c>
      <c r="T382" s="1644"/>
      <c r="V382" s="1758"/>
      <c r="W382" s="1758"/>
      <c r="X382" s="1758"/>
    </row>
    <row r="383" spans="1:24" s="859" customFormat="1" ht="14.1" customHeight="1">
      <c r="A383" s="290"/>
      <c r="B383" s="891" t="s">
        <v>806</v>
      </c>
      <c r="C383" s="890"/>
      <c r="D383" s="878">
        <f>'[4]TARGET MURNI DAN PERUBAHAN'!D324</f>
        <v>0</v>
      </c>
      <c r="E383" s="375">
        <f>[24]Januari!$I$35</f>
        <v>0</v>
      </c>
      <c r="F383" s="375">
        <f>[24]Februari!$I$35</f>
        <v>0</v>
      </c>
      <c r="G383" s="375">
        <f>[24]Maret!$I$35</f>
        <v>0</v>
      </c>
      <c r="H383" s="375">
        <f>[24]April!$I$35</f>
        <v>0</v>
      </c>
      <c r="I383" s="375">
        <f>[24]Mei!$I$35</f>
        <v>0</v>
      </c>
      <c r="J383" s="375">
        <f>[24]Juni!$I$35</f>
        <v>0</v>
      </c>
      <c r="K383" s="375">
        <f>[24]Juli!$I$35</f>
        <v>0</v>
      </c>
      <c r="L383" s="375">
        <f>[24]Agustus!$I$35</f>
        <v>0</v>
      </c>
      <c r="M383" s="375">
        <f>[24]September!$I$35</f>
        <v>0</v>
      </c>
      <c r="N383" s="375">
        <f>[24]Oktober!$I$35</f>
        <v>0</v>
      </c>
      <c r="O383" s="375">
        <f>[24]Nopember!$I$35</f>
        <v>0</v>
      </c>
      <c r="P383" s="375">
        <f>[24]Desember!$I$35</f>
        <v>0</v>
      </c>
      <c r="Q383" s="595">
        <f>SUM(E383:P383)</f>
        <v>0</v>
      </c>
      <c r="R383" s="1709">
        <f>Q383-D383</f>
        <v>0</v>
      </c>
      <c r="S383" s="353"/>
      <c r="T383" s="1644"/>
      <c r="V383" s="1758"/>
      <c r="W383" s="1758"/>
      <c r="X383" s="1758"/>
    </row>
    <row r="384" spans="1:24" s="859" customFormat="1" ht="14.1" customHeight="1">
      <c r="A384" s="290"/>
      <c r="B384" s="891" t="s">
        <v>807</v>
      </c>
      <c r="C384" s="890"/>
      <c r="D384" s="878">
        <f>'[4]TARGET MURNI DAN PERUBAHAN'!D325</f>
        <v>50953800</v>
      </c>
      <c r="E384" s="398">
        <f>[28]Januari!$I$35</f>
        <v>0</v>
      </c>
      <c r="F384" s="398">
        <f>[28]Februari!$I$35</f>
        <v>0</v>
      </c>
      <c r="G384" s="398">
        <f>[28]Maret!$I$35</f>
        <v>0</v>
      </c>
      <c r="H384" s="398">
        <f>[28]April!$I$35</f>
        <v>0</v>
      </c>
      <c r="I384" s="398">
        <f>[28]Mei!$I$35</f>
        <v>2839900</v>
      </c>
      <c r="J384" s="398">
        <f>[28]Juni!$I$35</f>
        <v>0</v>
      </c>
      <c r="K384" s="398">
        <f>[28]Juli!$I$35</f>
        <v>0</v>
      </c>
      <c r="L384" s="398">
        <f>[28]Agustus!$I$35</f>
        <v>0</v>
      </c>
      <c r="M384" s="398">
        <f>[28]September!$I$35</f>
        <v>0</v>
      </c>
      <c r="N384" s="398">
        <f>[28]Oktober!$I$35</f>
        <v>0</v>
      </c>
      <c r="O384" s="398">
        <f>[28]Nopember!$I$35</f>
        <v>0</v>
      </c>
      <c r="P384" s="398">
        <f>[28]Desember!$I$35</f>
        <v>0</v>
      </c>
      <c r="Q384" s="346">
        <f>SUM(E384:P384)</f>
        <v>2839900</v>
      </c>
      <c r="R384" s="1672">
        <f>Q384-D384</f>
        <v>-48113900</v>
      </c>
      <c r="S384" s="347">
        <v>0</v>
      </c>
      <c r="T384" s="1644"/>
      <c r="V384" s="1758"/>
      <c r="W384" s="1758"/>
      <c r="X384" s="1758"/>
    </row>
    <row r="385" spans="1:24" s="859" customFormat="1" ht="15.05">
      <c r="A385" s="290"/>
      <c r="B385" s="891" t="s">
        <v>808</v>
      </c>
      <c r="C385" s="890"/>
      <c r="D385" s="1754">
        <f>D386+D387</f>
        <v>4397530400</v>
      </c>
      <c r="E385" s="1754">
        <f t="shared" ref="E385:P385" si="159">E386+E387</f>
        <v>404750000</v>
      </c>
      <c r="F385" s="1754">
        <f t="shared" si="159"/>
        <v>369950000</v>
      </c>
      <c r="G385" s="1754">
        <f t="shared" si="159"/>
        <v>369050000</v>
      </c>
      <c r="H385" s="1754">
        <f t="shared" si="159"/>
        <v>359500000</v>
      </c>
      <c r="I385" s="1754">
        <f t="shared" si="159"/>
        <v>363475000</v>
      </c>
      <c r="J385" s="1754">
        <f t="shared" si="159"/>
        <v>433670000</v>
      </c>
      <c r="K385" s="1754">
        <f t="shared" si="159"/>
        <v>359150000</v>
      </c>
      <c r="L385" s="1754">
        <f t="shared" si="159"/>
        <v>419700000</v>
      </c>
      <c r="M385" s="1754">
        <f t="shared" si="159"/>
        <v>388250000</v>
      </c>
      <c r="N385" s="1754">
        <f t="shared" si="159"/>
        <v>405400000</v>
      </c>
      <c r="O385" s="1754">
        <f t="shared" si="159"/>
        <v>405950000</v>
      </c>
      <c r="P385" s="1754">
        <f t="shared" si="159"/>
        <v>442775000</v>
      </c>
      <c r="Q385" s="831">
        <f t="shared" si="152"/>
        <v>4721620000</v>
      </c>
      <c r="R385" s="1757">
        <f>SUM(R386:R387)</f>
        <v>604733215</v>
      </c>
      <c r="S385" s="1393">
        <v>0</v>
      </c>
      <c r="T385" s="1644"/>
      <c r="V385" s="1758"/>
      <c r="W385" s="1758"/>
      <c r="X385" s="1758"/>
    </row>
    <row r="386" spans="1:24" s="859" customFormat="1" ht="14.1" customHeight="1">
      <c r="A386" s="290"/>
      <c r="B386" s="891" t="s">
        <v>50</v>
      </c>
      <c r="C386" s="890" t="s">
        <v>809</v>
      </c>
      <c r="D386" s="878">
        <f>'[4]TARGET MURNI DAN PERUBAHAN'!D327</f>
        <v>1274512000</v>
      </c>
      <c r="E386" s="375">
        <f>[29]Januari!$H$35</f>
        <v>131100000</v>
      </c>
      <c r="F386" s="375">
        <f>[29]Februari!$H$35</f>
        <v>131100000</v>
      </c>
      <c r="G386" s="375">
        <f>[29]Maret!$H$35</f>
        <v>131100000</v>
      </c>
      <c r="H386" s="375">
        <f>[29]April!$H$35</f>
        <v>131100000</v>
      </c>
      <c r="I386" s="375">
        <f>[29]Mei!$H$35</f>
        <v>131100000</v>
      </c>
      <c r="J386" s="375">
        <f>[29]Juni!$H$35</f>
        <v>131100000</v>
      </c>
      <c r="K386" s="375">
        <f>[29]Juli!$H$35</f>
        <v>131100000</v>
      </c>
      <c r="L386" s="375">
        <f>[29]Agustus!$H$35</f>
        <v>131100000</v>
      </c>
      <c r="M386" s="375">
        <f>[29]September!$H$35</f>
        <v>131100000</v>
      </c>
      <c r="N386" s="375">
        <f>[29]Oktober!$H$35</f>
        <v>131100000</v>
      </c>
      <c r="O386" s="375">
        <f>[29]Nopember!$H$35</f>
        <v>131100000</v>
      </c>
      <c r="P386" s="375">
        <f>[29]Desember!$H$35</f>
        <v>131100000</v>
      </c>
      <c r="Q386" s="346">
        <f t="shared" si="152"/>
        <v>1573200000</v>
      </c>
      <c r="R386" s="1630">
        <f>Q386-D386</f>
        <v>298688000</v>
      </c>
      <c r="S386" s="347">
        <f>Q386/D386*100</f>
        <v>123.4354796188659</v>
      </c>
      <c r="T386" s="1644"/>
      <c r="V386" s="1758"/>
      <c r="W386" s="1758"/>
      <c r="X386" s="1758"/>
    </row>
    <row r="387" spans="1:24" s="859" customFormat="1">
      <c r="A387" s="290"/>
      <c r="B387" s="891" t="s">
        <v>50</v>
      </c>
      <c r="C387" s="893" t="s">
        <v>810</v>
      </c>
      <c r="D387" s="883">
        <f>SUM(D388:D396)</f>
        <v>3123018400</v>
      </c>
      <c r="E387" s="883">
        <f t="shared" ref="E387:P387" si="160">SUM(E388:E396)</f>
        <v>273650000</v>
      </c>
      <c r="F387" s="883">
        <f t="shared" si="160"/>
        <v>238850000</v>
      </c>
      <c r="G387" s="883">
        <f t="shared" si="160"/>
        <v>237950000</v>
      </c>
      <c r="H387" s="883">
        <f t="shared" si="160"/>
        <v>228400000</v>
      </c>
      <c r="I387" s="883">
        <f t="shared" si="160"/>
        <v>232375000</v>
      </c>
      <c r="J387" s="883">
        <f t="shared" si="160"/>
        <v>302570000</v>
      </c>
      <c r="K387" s="883">
        <f t="shared" si="160"/>
        <v>228050000</v>
      </c>
      <c r="L387" s="883">
        <f t="shared" si="160"/>
        <v>288600000</v>
      </c>
      <c r="M387" s="883">
        <f t="shared" si="160"/>
        <v>257150000</v>
      </c>
      <c r="N387" s="883">
        <f t="shared" si="160"/>
        <v>274300000</v>
      </c>
      <c r="O387" s="883">
        <f t="shared" si="160"/>
        <v>274850000</v>
      </c>
      <c r="P387" s="883">
        <f t="shared" si="160"/>
        <v>311675000</v>
      </c>
      <c r="Q387" s="346">
        <f t="shared" si="152"/>
        <v>3148420000</v>
      </c>
      <c r="R387" s="1707">
        <f>SUM(R397:R398)</f>
        <v>306045215</v>
      </c>
      <c r="S387" s="778">
        <v>0</v>
      </c>
      <c r="T387" s="1640"/>
      <c r="V387" s="1758"/>
      <c r="W387" s="1758"/>
      <c r="X387" s="1758"/>
    </row>
    <row r="388" spans="1:24" s="859" customFormat="1" ht="14.1" customHeight="1">
      <c r="A388" s="290"/>
      <c r="B388" s="891"/>
      <c r="C388" s="894" t="s">
        <v>310</v>
      </c>
      <c r="D388" s="1760">
        <f>'[4]TARGET MURNI DAN PERUBAHAN'!D328</f>
        <v>3123018400</v>
      </c>
      <c r="E388" s="1761">
        <f>[30]Januari!$G$35</f>
        <v>58325000</v>
      </c>
      <c r="F388" s="1761">
        <f>[30]Februari!$G$35</f>
        <v>61925000</v>
      </c>
      <c r="G388" s="1761">
        <f>[30]Maret!$G$35</f>
        <v>56250000</v>
      </c>
      <c r="H388" s="1761">
        <f>[30]April!$G$35</f>
        <v>52550000</v>
      </c>
      <c r="I388" s="1761">
        <f>[30]Mei!$G$35</f>
        <v>50775000</v>
      </c>
      <c r="J388" s="1761">
        <f>[30]Juni!$G$35</f>
        <v>63025000</v>
      </c>
      <c r="K388" s="1761">
        <f>[30]Juli!$G$35</f>
        <v>46125000</v>
      </c>
      <c r="L388" s="1761">
        <f>[30]Agustus!$G$35</f>
        <v>69175000</v>
      </c>
      <c r="M388" s="1761">
        <f>[30]September!$G$35</f>
        <v>56675000</v>
      </c>
      <c r="N388" s="1761">
        <f>[30]Oktober!$G$35</f>
        <v>57025000</v>
      </c>
      <c r="O388" s="1761">
        <f>[30]Nopember!$G$35</f>
        <v>54350000</v>
      </c>
      <c r="P388" s="1761">
        <f>[30]Desember!$G$35</f>
        <v>56275000</v>
      </c>
      <c r="Q388" s="1777">
        <f t="shared" ref="Q388:Q396" si="161">SUM(E388:P388)</f>
        <v>682475000</v>
      </c>
      <c r="R388" s="1778">
        <f t="shared" ref="R388:R396" si="162">Q388-D388</f>
        <v>-2440543400</v>
      </c>
      <c r="S388" s="1779">
        <f t="shared" ref="S388:S396" si="163">Q388/D388*100</f>
        <v>21.853057285861652</v>
      </c>
      <c r="T388" s="1780"/>
      <c r="V388" s="1758"/>
      <c r="W388" s="1758"/>
      <c r="X388" s="1758"/>
    </row>
    <row r="389" spans="1:24" s="859" customFormat="1" ht="14.1" customHeight="1">
      <c r="A389" s="290"/>
      <c r="B389" s="891"/>
      <c r="C389" s="894" t="s">
        <v>311</v>
      </c>
      <c r="D389" s="1760">
        <v>0</v>
      </c>
      <c r="E389" s="1761">
        <f>[31]Januari!$G$35</f>
        <v>44250000</v>
      </c>
      <c r="F389" s="1761">
        <f>[31]Februari!$G$35</f>
        <v>36025000</v>
      </c>
      <c r="G389" s="1761">
        <f>[31]Maret!$G$35</f>
        <v>35450000</v>
      </c>
      <c r="H389" s="1761">
        <f>[31]April!$G$35</f>
        <v>36275000</v>
      </c>
      <c r="I389" s="1761">
        <f>[31]Mei!$G$35</f>
        <v>39400000</v>
      </c>
      <c r="J389" s="1761">
        <f>[31]Juni!$G$35</f>
        <v>44700000</v>
      </c>
      <c r="K389" s="1761">
        <f>[31]Juli!$G$35</f>
        <v>38000000</v>
      </c>
      <c r="L389" s="1761">
        <f>[31]Agustus!$G$35</f>
        <v>43275000</v>
      </c>
      <c r="M389" s="1761">
        <f>[31]September!$G$35</f>
        <v>39625000</v>
      </c>
      <c r="N389" s="1761">
        <f>[31]Oktober!$G$35</f>
        <v>47125000</v>
      </c>
      <c r="O389" s="1761">
        <f>[31]Nopember!$G$35</f>
        <v>45400000</v>
      </c>
      <c r="P389" s="1761">
        <f>[31]Desember!$G$35</f>
        <v>42675000</v>
      </c>
      <c r="Q389" s="1777">
        <f t="shared" si="161"/>
        <v>492200000</v>
      </c>
      <c r="R389" s="1778">
        <f t="shared" si="162"/>
        <v>492200000</v>
      </c>
      <c r="S389" s="1779" t="e">
        <f t="shared" si="163"/>
        <v>#DIV/0!</v>
      </c>
      <c r="T389" s="448"/>
      <c r="V389" s="1758"/>
      <c r="W389" s="1758"/>
      <c r="X389" s="1758"/>
    </row>
    <row r="390" spans="1:24" s="859" customFormat="1" ht="14.1" customHeight="1">
      <c r="A390" s="290"/>
      <c r="B390" s="891"/>
      <c r="C390" s="894" t="s">
        <v>312</v>
      </c>
      <c r="D390" s="1760">
        <v>0</v>
      </c>
      <c r="E390" s="1761">
        <f>[32]Januari!$G$35</f>
        <v>62575000</v>
      </c>
      <c r="F390" s="1761">
        <f>[32]Februari!$G$35</f>
        <v>45275000</v>
      </c>
      <c r="G390" s="1761">
        <f>[32]Maret!$G$35</f>
        <v>50975000</v>
      </c>
      <c r="H390" s="1761">
        <f>[32]April!$G$35</f>
        <v>47050000</v>
      </c>
      <c r="I390" s="1761">
        <f>[32]Mei!$G$35</f>
        <v>47100000</v>
      </c>
      <c r="J390" s="1761">
        <f>[32]Juni!$G$35</f>
        <v>60125000</v>
      </c>
      <c r="K390" s="1761">
        <f>[32]Juli!$G$35</f>
        <v>41500000</v>
      </c>
      <c r="L390" s="1761">
        <f>[32]Agustus!$G$35</f>
        <v>55425000</v>
      </c>
      <c r="M390" s="1761">
        <f>[32]September!$G$35</f>
        <v>46450000</v>
      </c>
      <c r="N390" s="1761">
        <f>[32]Oktober!$G$35</f>
        <v>54825000</v>
      </c>
      <c r="O390" s="1761">
        <f>[32]Nopember!$G$35</f>
        <v>61625000</v>
      </c>
      <c r="P390" s="1761">
        <f>[32]Desember!$G$35</f>
        <v>63550000</v>
      </c>
      <c r="Q390" s="1777">
        <f t="shared" si="161"/>
        <v>636475000</v>
      </c>
      <c r="R390" s="1778">
        <f t="shared" si="162"/>
        <v>636475000</v>
      </c>
      <c r="S390" s="1779" t="e">
        <f t="shared" si="163"/>
        <v>#DIV/0!</v>
      </c>
      <c r="T390" s="448"/>
      <c r="V390" s="1758"/>
      <c r="W390" s="1758"/>
      <c r="X390" s="1758"/>
    </row>
    <row r="391" spans="1:24" s="859" customFormat="1" ht="14.1" customHeight="1">
      <c r="A391" s="290"/>
      <c r="B391" s="891"/>
      <c r="C391" s="894" t="s">
        <v>313</v>
      </c>
      <c r="D391" s="1760">
        <v>0</v>
      </c>
      <c r="E391" s="1761">
        <f>[33]Januari!$G$35</f>
        <v>18950000</v>
      </c>
      <c r="F391" s="1761">
        <f>[33]Februari!$G$35</f>
        <v>15825000</v>
      </c>
      <c r="G391" s="1761">
        <f>[33]Maret!$G$35</f>
        <v>13575000</v>
      </c>
      <c r="H391" s="1761">
        <f>[33]April!$G$35</f>
        <v>17625000</v>
      </c>
      <c r="I391" s="1761">
        <f>[33]Mei!$G$35</f>
        <v>25550000</v>
      </c>
      <c r="J391" s="1761">
        <f>[33]Juni!$G$35</f>
        <v>30325000</v>
      </c>
      <c r="K391" s="1761">
        <f>[33]Juli!$G$35</f>
        <v>24975000</v>
      </c>
      <c r="L391" s="1761">
        <f>[33]Agustus!$G$35</f>
        <v>24250000</v>
      </c>
      <c r="M391" s="1761">
        <f>[33]September!$G$35</f>
        <v>26200000</v>
      </c>
      <c r="N391" s="1761">
        <f>[33]Oktober!$G$35</f>
        <v>21375000</v>
      </c>
      <c r="O391" s="1761">
        <f>[33]Nopember!$G$35</f>
        <v>22150000</v>
      </c>
      <c r="P391" s="1761">
        <f>[33]Desember!$G$35</f>
        <v>74050000</v>
      </c>
      <c r="Q391" s="1777">
        <f t="shared" si="161"/>
        <v>314850000</v>
      </c>
      <c r="R391" s="1778">
        <f t="shared" si="162"/>
        <v>314850000</v>
      </c>
      <c r="S391" s="1779" t="e">
        <f t="shared" si="163"/>
        <v>#DIV/0!</v>
      </c>
      <c r="T391" s="448"/>
      <c r="V391" s="1758"/>
      <c r="W391" s="1758"/>
      <c r="X391" s="1758"/>
    </row>
    <row r="392" spans="1:24" s="859" customFormat="1" ht="14.1" customHeight="1">
      <c r="A392" s="290"/>
      <c r="B392" s="891"/>
      <c r="C392" s="894" t="s">
        <v>314</v>
      </c>
      <c r="D392" s="1760">
        <v>0</v>
      </c>
      <c r="E392" s="1761">
        <f>[34]Januari!$G$35</f>
        <v>18375000</v>
      </c>
      <c r="F392" s="1761">
        <f>[34]Februari!$G$35</f>
        <v>17525000</v>
      </c>
      <c r="G392" s="1761">
        <f>[34]Maret!$G$35</f>
        <v>14675000</v>
      </c>
      <c r="H392" s="1761">
        <f>[34]April!$G$35</f>
        <v>12625000</v>
      </c>
      <c r="I392" s="1761">
        <f>[34]Mei!$G$35</f>
        <v>12225000</v>
      </c>
      <c r="J392" s="1761">
        <f>[34]Juni!$G$35</f>
        <v>23600000</v>
      </c>
      <c r="K392" s="1761">
        <f>[34]Juli!$G$35</f>
        <v>18875000</v>
      </c>
      <c r="L392" s="1761">
        <f>[34]Agustus!$G$35</f>
        <v>24100000</v>
      </c>
      <c r="M392" s="1761">
        <f>[34]September!$G$35</f>
        <v>23175000</v>
      </c>
      <c r="N392" s="1761">
        <f>[34]Oktober!$G$35</f>
        <v>21350000</v>
      </c>
      <c r="O392" s="1761">
        <f>[34]Nopember!$G$35</f>
        <v>21625000</v>
      </c>
      <c r="P392" s="1761">
        <f>[34]Desember!$G$35</f>
        <v>15175000</v>
      </c>
      <c r="Q392" s="1777">
        <f t="shared" si="161"/>
        <v>223325000</v>
      </c>
      <c r="R392" s="1778">
        <f t="shared" si="162"/>
        <v>223325000</v>
      </c>
      <c r="S392" s="1779" t="e">
        <f t="shared" si="163"/>
        <v>#DIV/0!</v>
      </c>
      <c r="T392" s="448"/>
      <c r="V392" s="1758"/>
      <c r="W392" s="1758"/>
      <c r="X392" s="1758"/>
    </row>
    <row r="393" spans="1:24" s="859" customFormat="1" ht="14.1" customHeight="1">
      <c r="A393" s="290"/>
      <c r="B393" s="891"/>
      <c r="C393" s="894" t="s">
        <v>315</v>
      </c>
      <c r="D393" s="1760">
        <v>0</v>
      </c>
      <c r="E393" s="1761">
        <f>[35]Januari!$G$35</f>
        <v>6750000</v>
      </c>
      <c r="F393" s="1761">
        <f>[35]Februari!$G$35</f>
        <v>5925000</v>
      </c>
      <c r="G393" s="1761">
        <f>[35]Maret!$G$35</f>
        <v>6400000</v>
      </c>
      <c r="H393" s="1761">
        <f>[35]April!$G$35</f>
        <v>9375000</v>
      </c>
      <c r="I393" s="1761">
        <f>[35]Mei!$G$35</f>
        <v>7575000</v>
      </c>
      <c r="J393" s="1761">
        <f>[35]Juni!$G$35</f>
        <v>10700000</v>
      </c>
      <c r="K393" s="1761">
        <f>[35]Juli!$G$35</f>
        <v>9275000</v>
      </c>
      <c r="L393" s="1761">
        <f>[35]Agustus!$G$35</f>
        <v>9825000</v>
      </c>
      <c r="M393" s="1761">
        <f>[35]September!$G$35</f>
        <v>6975000</v>
      </c>
      <c r="N393" s="1761">
        <f>[35]Oktober!$G$35</f>
        <v>6475000</v>
      </c>
      <c r="O393" s="1761">
        <f>[35]Nopember!$G$35</f>
        <v>7825000</v>
      </c>
      <c r="P393" s="1761">
        <f>[35]Desember!$G$35</f>
        <v>6525000</v>
      </c>
      <c r="Q393" s="1777">
        <f t="shared" si="161"/>
        <v>93625000</v>
      </c>
      <c r="R393" s="1778">
        <f t="shared" si="162"/>
        <v>93625000</v>
      </c>
      <c r="S393" s="1779" t="e">
        <f t="shared" si="163"/>
        <v>#DIV/0!</v>
      </c>
      <c r="T393" s="448"/>
      <c r="V393" s="1758"/>
      <c r="W393" s="1758"/>
      <c r="X393" s="1758"/>
    </row>
    <row r="394" spans="1:24" s="859" customFormat="1" ht="14.1" customHeight="1">
      <c r="A394" s="290"/>
      <c r="B394" s="891"/>
      <c r="C394" s="894" t="s">
        <v>316</v>
      </c>
      <c r="D394" s="1760">
        <v>0</v>
      </c>
      <c r="E394" s="1761">
        <f>[36]Januari!$G$35</f>
        <v>54925000</v>
      </c>
      <c r="F394" s="1761">
        <f>[36]Februari!$G$35</f>
        <v>49850000</v>
      </c>
      <c r="G394" s="1761">
        <f>[36]Maret!$G$35</f>
        <v>53600000</v>
      </c>
      <c r="H394" s="1761">
        <f>[36]April!$G$35</f>
        <v>46400000</v>
      </c>
      <c r="I394" s="1761">
        <f>[36]Mei!$G$35</f>
        <v>42250000</v>
      </c>
      <c r="J394" s="1761">
        <f>[36]Juni!$G$35</f>
        <v>57750000</v>
      </c>
      <c r="K394" s="1761">
        <f>[36]Juli!$G$35</f>
        <v>40575000</v>
      </c>
      <c r="L394" s="1761">
        <f>[36]Agustus!$G$35</f>
        <v>53900000</v>
      </c>
      <c r="M394" s="1761">
        <f>[36]September!$G$35</f>
        <v>49975000</v>
      </c>
      <c r="N394" s="1761">
        <f>[36]Oktober!$G$35</f>
        <v>55100000</v>
      </c>
      <c r="O394" s="1761">
        <f>[36]Nopember!$G$35</f>
        <v>53825000</v>
      </c>
      <c r="P394" s="1761">
        <f>[36]Desember!$G$35</f>
        <v>51250000</v>
      </c>
      <c r="Q394" s="1777">
        <f t="shared" si="161"/>
        <v>609400000</v>
      </c>
      <c r="R394" s="1778">
        <f t="shared" si="162"/>
        <v>609400000</v>
      </c>
      <c r="S394" s="1779" t="e">
        <f t="shared" si="163"/>
        <v>#DIV/0!</v>
      </c>
      <c r="T394" s="448"/>
      <c r="V394" s="1758"/>
      <c r="W394" s="1758"/>
      <c r="X394" s="1758"/>
    </row>
    <row r="395" spans="1:24" s="859" customFormat="1" ht="14.1" customHeight="1">
      <c r="A395" s="290"/>
      <c r="B395" s="891"/>
      <c r="C395" s="894" t="s">
        <v>317</v>
      </c>
      <c r="D395" s="1760">
        <v>0</v>
      </c>
      <c r="E395" s="1761">
        <f>[37]Januari!$G$35</f>
        <v>9500000</v>
      </c>
      <c r="F395" s="1761">
        <f>[37]Februari!$G$35</f>
        <v>6500000</v>
      </c>
      <c r="G395" s="1761">
        <f>[37]Maret!$G$35</f>
        <v>7025000</v>
      </c>
      <c r="H395" s="1761">
        <f>[37]April!$G$35</f>
        <v>6500000</v>
      </c>
      <c r="I395" s="1761">
        <f>[37]Mei!$G$35</f>
        <v>7500000</v>
      </c>
      <c r="J395" s="1761">
        <f>[37]Juni!$G$35</f>
        <v>12345000</v>
      </c>
      <c r="K395" s="1761">
        <f>[37]Juli!$G$35</f>
        <v>8725000</v>
      </c>
      <c r="L395" s="1761">
        <f>[37]Agustus!$G$35</f>
        <v>8650000</v>
      </c>
      <c r="M395" s="1761">
        <f>[37]September!$G$35</f>
        <v>8075000</v>
      </c>
      <c r="N395" s="1761">
        <f>[37]Oktober!$G$35</f>
        <v>11025000</v>
      </c>
      <c r="O395" s="1761">
        <f>[37]Nopember!$G$35</f>
        <v>8050000</v>
      </c>
      <c r="P395" s="1761">
        <f>[37]Desember!$G$35</f>
        <v>2175000</v>
      </c>
      <c r="Q395" s="1777">
        <f t="shared" si="161"/>
        <v>96070000</v>
      </c>
      <c r="R395" s="1778">
        <f t="shared" si="162"/>
        <v>96070000</v>
      </c>
      <c r="S395" s="1779" t="e">
        <f t="shared" si="163"/>
        <v>#DIV/0!</v>
      </c>
      <c r="T395" s="1780"/>
      <c r="V395" s="1758"/>
      <c r="W395" s="1758"/>
      <c r="X395" s="1758"/>
    </row>
    <row r="396" spans="1:24" s="859" customFormat="1" ht="14.1" customHeight="1">
      <c r="A396" s="290"/>
      <c r="B396" s="891"/>
      <c r="C396" s="894" t="s">
        <v>318</v>
      </c>
      <c r="D396" s="1760">
        <v>0</v>
      </c>
      <c r="E396" s="1761">
        <f>[38]Januari!$G$35</f>
        <v>0</v>
      </c>
      <c r="F396" s="1761">
        <f>[38]Februari!$G$35</f>
        <v>0</v>
      </c>
      <c r="G396" s="1761">
        <f>[38]Maret!$G$35</f>
        <v>0</v>
      </c>
      <c r="H396" s="1761">
        <f>[38]April!$G$35</f>
        <v>0</v>
      </c>
      <c r="I396" s="1761">
        <f>[38]Mei!$G$35</f>
        <v>0</v>
      </c>
      <c r="J396" s="1761">
        <f>[38]Juni!$G$35</f>
        <v>0</v>
      </c>
      <c r="K396" s="1761">
        <f>[38]Juli!$G$35</f>
        <v>0</v>
      </c>
      <c r="L396" s="1761">
        <f>[38]Agustus!$G$35</f>
        <v>0</v>
      </c>
      <c r="M396" s="1761">
        <f>[38]September!$G$35</f>
        <v>0</v>
      </c>
      <c r="N396" s="1761">
        <f>[38]Oktober!$G$35</f>
        <v>0</v>
      </c>
      <c r="O396" s="1761">
        <f>[38]Nopember!$G$35</f>
        <v>0</v>
      </c>
      <c r="P396" s="1761">
        <f>[38]Desember!$G$35</f>
        <v>0</v>
      </c>
      <c r="Q396" s="1777">
        <f t="shared" si="161"/>
        <v>0</v>
      </c>
      <c r="R396" s="1778">
        <f t="shared" si="162"/>
        <v>0</v>
      </c>
      <c r="S396" s="1779" t="e">
        <f t="shared" si="163"/>
        <v>#DIV/0!</v>
      </c>
      <c r="T396" s="448"/>
      <c r="V396" s="1758"/>
      <c r="W396" s="1758"/>
      <c r="X396" s="1758"/>
    </row>
    <row r="397" spans="1:24" s="859" customFormat="1" ht="14.1" customHeight="1">
      <c r="A397" s="290"/>
      <c r="B397" s="891" t="s">
        <v>811</v>
      </c>
      <c r="C397" s="890"/>
      <c r="D397" s="878">
        <f>'[4]TARGET MURNI DAN PERUBAHAN'!D329</f>
        <v>0</v>
      </c>
      <c r="E397" s="876"/>
      <c r="F397" s="876"/>
      <c r="G397" s="876"/>
      <c r="H397" s="876"/>
      <c r="I397" s="876"/>
      <c r="J397" s="876"/>
      <c r="K397" s="876"/>
      <c r="L397" s="876"/>
      <c r="M397" s="876"/>
      <c r="N397" s="876"/>
      <c r="O397" s="876"/>
      <c r="P397" s="876"/>
      <c r="Q397" s="367">
        <f t="shared" si="152"/>
        <v>0</v>
      </c>
      <c r="R397" s="1707">
        <f>SUM(R398:R399)</f>
        <v>-582578280</v>
      </c>
      <c r="S397" s="778">
        <v>0</v>
      </c>
      <c r="T397" s="1644"/>
      <c r="V397" s="1758"/>
      <c r="W397" s="1758"/>
      <c r="X397" s="1758"/>
    </row>
    <row r="398" spans="1:24" s="859" customFormat="1" ht="14.1" customHeight="1">
      <c r="A398" s="290"/>
      <c r="B398" s="891" t="s">
        <v>812</v>
      </c>
      <c r="C398" s="893"/>
      <c r="D398" s="878">
        <f>'[4]TARGET MURNI DAN PERUBAHAN'!D330</f>
        <v>880000</v>
      </c>
      <c r="E398" s="878">
        <f>[12]Januari!$I$35</f>
        <v>491222700</v>
      </c>
      <c r="F398" s="878">
        <f>[12]Februari!$I$35</f>
        <v>393778900</v>
      </c>
      <c r="G398" s="878">
        <f>[12]Maret!$I$35</f>
        <v>0</v>
      </c>
      <c r="H398" s="878">
        <f>[12]April!$I$35</f>
        <v>0</v>
      </c>
      <c r="I398" s="878">
        <f>[12]Mei!$I$35</f>
        <v>1036215</v>
      </c>
      <c r="J398" s="878">
        <f>[12]Juni!$I$35</f>
        <v>0</v>
      </c>
      <c r="K398" s="878">
        <f>[12]Juli!$I$35</f>
        <v>0</v>
      </c>
      <c r="L398" s="878">
        <f>[12]Agustus!$I$35</f>
        <v>3465680</v>
      </c>
      <c r="M398" s="878">
        <f>[12]September!$I$35</f>
        <v>0</v>
      </c>
      <c r="N398" s="878">
        <f>[12]Oktober!$I$35</f>
        <v>0</v>
      </c>
      <c r="O398" s="878">
        <f>[12]Nopember!$I$35</f>
        <v>0</v>
      </c>
      <c r="P398" s="878">
        <f>[12]Desember!$I$35</f>
        <v>0</v>
      </c>
      <c r="Q398" s="878">
        <f t="shared" si="152"/>
        <v>889503495</v>
      </c>
      <c r="R398" s="878">
        <f>Q398-D398</f>
        <v>888623495</v>
      </c>
      <c r="S398" s="879">
        <f t="shared" ref="S398:S403" si="164">Q398/D398*100</f>
        <v>101079.94261363636</v>
      </c>
      <c r="T398" s="1644"/>
      <c r="V398" s="1758"/>
      <c r="W398" s="1758"/>
      <c r="X398" s="1758"/>
    </row>
    <row r="399" spans="1:24" s="859" customFormat="1" ht="14.1" customHeight="1">
      <c r="A399" s="290"/>
      <c r="B399" s="891" t="s">
        <v>813</v>
      </c>
      <c r="C399" s="890"/>
      <c r="D399" s="878">
        <f>'[4]TARGET MURNI DAN PERUBAHAN'!D331</f>
        <v>1508491400</v>
      </c>
      <c r="E399" s="355">
        <f>[39]Januari!$L$35</f>
        <v>34375000</v>
      </c>
      <c r="F399" s="355">
        <f>[39]Februari!$L$35</f>
        <v>2914625</v>
      </c>
      <c r="G399" s="355">
        <f>[39]Maret!$L$35</f>
        <v>0</v>
      </c>
      <c r="H399" s="355">
        <f>[39]April!$L$35</f>
        <v>0</v>
      </c>
      <c r="I399" s="355">
        <f>[39]Mei!$L$35</f>
        <v>0</v>
      </c>
      <c r="J399" s="355">
        <f>[39]Juni!$L$35</f>
        <v>0</v>
      </c>
      <c r="K399" s="355">
        <f>[39]Juli!$L$35</f>
        <v>0</v>
      </c>
      <c r="L399" s="355">
        <f>[39]Agustus!$L$35</f>
        <v>0</v>
      </c>
      <c r="M399" s="355">
        <f>[39]September!$L$35</f>
        <v>0</v>
      </c>
      <c r="N399" s="355">
        <f>[39]Oktober!$L$35</f>
        <v>0</v>
      </c>
      <c r="O399" s="355">
        <f>[39]Nopember!$L$35</f>
        <v>0</v>
      </c>
      <c r="P399" s="355">
        <f>[39]Desember!$L$35</f>
        <v>0</v>
      </c>
      <c r="Q399" s="346">
        <f t="shared" si="152"/>
        <v>37289625</v>
      </c>
      <c r="R399" s="1630">
        <f>Q399-D399</f>
        <v>-1471201775</v>
      </c>
      <c r="S399" s="347">
        <f t="shared" si="164"/>
        <v>2.4719812787795807</v>
      </c>
      <c r="T399" s="1644"/>
      <c r="V399" s="1758"/>
      <c r="W399" s="1758"/>
      <c r="X399" s="1758"/>
    </row>
    <row r="400" spans="1:24" s="859" customFormat="1" ht="14.1" customHeight="1">
      <c r="A400" s="290"/>
      <c r="B400" s="891" t="s">
        <v>814</v>
      </c>
      <c r="C400" s="890"/>
      <c r="D400" s="878">
        <f>'[4]TARGET MURNI DAN PERUBAHAN'!D332</f>
        <v>650000</v>
      </c>
      <c r="E400" s="355">
        <f>[40]Januari!$S$70</f>
        <v>0</v>
      </c>
      <c r="F400" s="355">
        <f>[40]Februari!$S$70</f>
        <v>0</v>
      </c>
      <c r="G400" s="355">
        <f>[40]Maret!$S$70</f>
        <v>0</v>
      </c>
      <c r="H400" s="355">
        <f>[40]April!$S$70</f>
        <v>5247700</v>
      </c>
      <c r="I400" s="355">
        <f>[40]Mei!$S$70</f>
        <v>0</v>
      </c>
      <c r="J400" s="355">
        <f>[40]Juni!$S$70</f>
        <v>0</v>
      </c>
      <c r="K400" s="355">
        <f>[40]Juli!$S$70</f>
        <v>0</v>
      </c>
      <c r="L400" s="355">
        <f>[40]Agustus!$S$70</f>
        <v>800000</v>
      </c>
      <c r="M400" s="355">
        <f>[40]September!$S$70</f>
        <v>0</v>
      </c>
      <c r="N400" s="355">
        <f>[40]Oktober!$S$70</f>
        <v>17613150</v>
      </c>
      <c r="O400" s="355">
        <f>[40]Nopember!$S$70</f>
        <v>10978000</v>
      </c>
      <c r="P400" s="355">
        <f>[40]Desember!$S$70</f>
        <v>19919500</v>
      </c>
      <c r="Q400" s="346">
        <f t="shared" si="152"/>
        <v>54558350</v>
      </c>
      <c r="R400" s="1630"/>
      <c r="S400" s="388"/>
      <c r="T400" s="1644"/>
      <c r="V400" s="1758"/>
      <c r="W400" s="1758"/>
      <c r="X400" s="1758"/>
    </row>
    <row r="401" spans="1:24" s="859" customFormat="1" ht="15.05">
      <c r="A401" s="290"/>
      <c r="B401" s="891" t="s">
        <v>815</v>
      </c>
      <c r="C401" s="890"/>
      <c r="D401" s="1754">
        <f>D402+D403</f>
        <v>0</v>
      </c>
      <c r="E401" s="1754">
        <f t="shared" ref="E401:P401" si="165">E402+E403</f>
        <v>250000</v>
      </c>
      <c r="F401" s="1754">
        <f t="shared" si="165"/>
        <v>0</v>
      </c>
      <c r="G401" s="1754">
        <f t="shared" si="165"/>
        <v>0</v>
      </c>
      <c r="H401" s="1754">
        <f t="shared" si="165"/>
        <v>0</v>
      </c>
      <c r="I401" s="1754">
        <f t="shared" si="165"/>
        <v>0</v>
      </c>
      <c r="J401" s="1754">
        <f t="shared" si="165"/>
        <v>0</v>
      </c>
      <c r="K401" s="1754">
        <f t="shared" si="165"/>
        <v>0</v>
      </c>
      <c r="L401" s="1754">
        <f t="shared" si="165"/>
        <v>0</v>
      </c>
      <c r="M401" s="1754">
        <f t="shared" si="165"/>
        <v>0</v>
      </c>
      <c r="N401" s="1754">
        <f t="shared" si="165"/>
        <v>250000</v>
      </c>
      <c r="O401" s="1754">
        <f t="shared" si="165"/>
        <v>750000</v>
      </c>
      <c r="P401" s="1754">
        <f t="shared" si="165"/>
        <v>5050000</v>
      </c>
      <c r="Q401" s="831">
        <f t="shared" si="152"/>
        <v>6300000</v>
      </c>
      <c r="R401" s="1757">
        <f>SUM(R402:R403)</f>
        <v>0</v>
      </c>
      <c r="S401" s="1393">
        <v>0</v>
      </c>
      <c r="T401" s="1644"/>
      <c r="V401" s="1758"/>
      <c r="W401" s="1758"/>
      <c r="X401" s="1758"/>
    </row>
    <row r="402" spans="1:24" s="859" customFormat="1" ht="14.1" customHeight="1">
      <c r="A402" s="290"/>
      <c r="B402" s="891" t="s">
        <v>50</v>
      </c>
      <c r="C402" s="892" t="s">
        <v>816</v>
      </c>
      <c r="D402" s="878">
        <f>'[4]TARGET MURNI DAN PERUBAHAN'!D334</f>
        <v>0</v>
      </c>
      <c r="E402" s="355">
        <f>[41]Januari!$H$35</f>
        <v>250000</v>
      </c>
      <c r="F402" s="355">
        <f>[41]Februari!$H$35</f>
        <v>0</v>
      </c>
      <c r="G402" s="355">
        <f>[41]Maret!$H$35</f>
        <v>0</v>
      </c>
      <c r="H402" s="355">
        <f>[41]April!$H$35</f>
        <v>0</v>
      </c>
      <c r="I402" s="355">
        <f>[41]Mei!$H$35</f>
        <v>0</v>
      </c>
      <c r="J402" s="355">
        <f>[41]Juni!$H$35</f>
        <v>0</v>
      </c>
      <c r="K402" s="355">
        <f>[41]Juli!$H$35</f>
        <v>0</v>
      </c>
      <c r="L402" s="355">
        <f>[41]Agustus!$H$35</f>
        <v>0</v>
      </c>
      <c r="M402" s="355">
        <f>[41]September!$H$35</f>
        <v>0</v>
      </c>
      <c r="N402" s="355">
        <f>[41]Oktober!$H$35</f>
        <v>250000</v>
      </c>
      <c r="O402" s="355">
        <f>[41]Nopember!$H$35</f>
        <v>750000</v>
      </c>
      <c r="P402" s="355">
        <f>[41]Desember!$H$35</f>
        <v>5050000</v>
      </c>
      <c r="Q402" s="367">
        <f t="shared" si="152"/>
        <v>6300000</v>
      </c>
      <c r="R402" s="1630"/>
      <c r="S402" s="388"/>
      <c r="T402" s="1644"/>
      <c r="V402" s="1758"/>
      <c r="W402" s="1758"/>
      <c r="X402" s="1758"/>
    </row>
    <row r="403" spans="1:24" s="859" customFormat="1" ht="14.1" customHeight="1">
      <c r="A403" s="290"/>
      <c r="B403" s="891" t="s">
        <v>50</v>
      </c>
      <c r="C403" s="892" t="s">
        <v>817</v>
      </c>
      <c r="D403" s="878">
        <f>'[4]TARGET MURNI DAN PERUBAHAN'!D335</f>
        <v>0</v>
      </c>
      <c r="E403" s="495">
        <f>[41]Januari!$I$35</f>
        <v>0</v>
      </c>
      <c r="F403" s="495">
        <f>[41]Februari!$I$35</f>
        <v>0</v>
      </c>
      <c r="G403" s="495">
        <f>[41]Maret!$I$35</f>
        <v>0</v>
      </c>
      <c r="H403" s="495">
        <f>[41]April!$I$35</f>
        <v>0</v>
      </c>
      <c r="I403" s="495">
        <f>[41]Mei!$I$35</f>
        <v>0</v>
      </c>
      <c r="J403" s="495">
        <f>[41]Juni!$I$35</f>
        <v>0</v>
      </c>
      <c r="K403" s="495">
        <f>[41]Juli!$I$35</f>
        <v>0</v>
      </c>
      <c r="L403" s="495">
        <f>[41]Agustus!$I$35</f>
        <v>0</v>
      </c>
      <c r="M403" s="495">
        <f>[41]September!$I$35</f>
        <v>0</v>
      </c>
      <c r="N403" s="495">
        <f>[41]Oktober!$I$35</f>
        <v>0</v>
      </c>
      <c r="O403" s="495">
        <f>[41]Nopember!$I$35</f>
        <v>0</v>
      </c>
      <c r="P403" s="495">
        <f>[41]Desember!$I$35</f>
        <v>0</v>
      </c>
      <c r="Q403" s="367">
        <f t="shared" si="152"/>
        <v>0</v>
      </c>
      <c r="R403" s="1781">
        <f t="shared" ref="R403:R409" si="166">Q403-D403</f>
        <v>0</v>
      </c>
      <c r="S403" s="344" t="e">
        <f t="shared" si="164"/>
        <v>#DIV/0!</v>
      </c>
      <c r="T403" s="1644"/>
      <c r="V403" s="1758"/>
      <c r="W403" s="1758"/>
      <c r="X403" s="1758"/>
    </row>
    <row r="404" spans="1:24" s="859" customFormat="1" ht="14.1" customHeight="1">
      <c r="A404" s="290"/>
      <c r="B404" s="891" t="s">
        <v>818</v>
      </c>
      <c r="C404" s="890"/>
      <c r="D404" s="878">
        <f>'[4]TARGET MURNI DAN PERUBAHAN'!D336</f>
        <v>25900000</v>
      </c>
      <c r="E404" s="355">
        <f>[42]Januari!$H$35</f>
        <v>0</v>
      </c>
      <c r="F404" s="355">
        <f>[42]Februari!$H$35</f>
        <v>80000</v>
      </c>
      <c r="G404" s="355">
        <f>[42]Maret!$H$35</f>
        <v>1257968</v>
      </c>
      <c r="H404" s="355">
        <f>[42]April!$H$35</f>
        <v>0</v>
      </c>
      <c r="I404" s="355">
        <f>[42]Mei!$H$35</f>
        <v>0</v>
      </c>
      <c r="J404" s="355">
        <f>[42]Juni!$H$35</f>
        <v>0</v>
      </c>
      <c r="K404" s="355">
        <f>[42]Juli!$H$35</f>
        <v>200000</v>
      </c>
      <c r="L404" s="355">
        <f>[42]Agustus!$H$35</f>
        <v>0</v>
      </c>
      <c r="M404" s="355">
        <f>[42]September!$H$35</f>
        <v>700000</v>
      </c>
      <c r="N404" s="355">
        <f>[42]Oktober!$H$35</f>
        <v>300000</v>
      </c>
      <c r="O404" s="355">
        <f>[42]Nopember!$H$35</f>
        <v>300000</v>
      </c>
      <c r="P404" s="355">
        <f>[42]Desember!$H$35</f>
        <v>7701200</v>
      </c>
      <c r="Q404" s="346">
        <f t="shared" si="152"/>
        <v>10539168</v>
      </c>
      <c r="R404" s="1630">
        <f t="shared" si="166"/>
        <v>-15360832</v>
      </c>
      <c r="S404" s="388"/>
      <c r="T404" s="1644"/>
      <c r="V404" s="1758"/>
      <c r="W404" s="1758"/>
      <c r="X404" s="1758"/>
    </row>
    <row r="405" spans="1:24" s="859" customFormat="1" ht="14.1" customHeight="1">
      <c r="A405" s="290"/>
      <c r="B405" s="891" t="s">
        <v>819</v>
      </c>
      <c r="C405" s="890"/>
      <c r="D405" s="878">
        <f>'[4]TARGET MURNI DAN PERUBAHAN'!D337</f>
        <v>20783000</v>
      </c>
      <c r="E405" s="375">
        <f>[43]Januari!$J$35</f>
        <v>480000</v>
      </c>
      <c r="F405" s="375">
        <f>[43]Februari!$J$35</f>
        <v>5220000</v>
      </c>
      <c r="G405" s="375">
        <f>[43]Maret!$J$35</f>
        <v>1950000</v>
      </c>
      <c r="H405" s="375">
        <f>[43]April!$J$35</f>
        <v>2325000</v>
      </c>
      <c r="I405" s="375">
        <f>[43]Mei!$J$35</f>
        <v>7325000</v>
      </c>
      <c r="J405" s="375">
        <f>[43]Juni!$J$35</f>
        <v>500000</v>
      </c>
      <c r="K405" s="375">
        <f>[43]Juli!$J$35</f>
        <v>300000</v>
      </c>
      <c r="L405" s="375">
        <f>[43]Agustus!$J$35</f>
        <v>500000</v>
      </c>
      <c r="M405" s="375">
        <f>[43]September!$J$35</f>
        <v>0</v>
      </c>
      <c r="N405" s="375">
        <f>[43]Oktober!$J$35</f>
        <v>14100000</v>
      </c>
      <c r="O405" s="375">
        <f>[43]Nopember!$J$35</f>
        <v>0</v>
      </c>
      <c r="P405" s="375">
        <f>[43]Desember!$J$35</f>
        <v>11385000</v>
      </c>
      <c r="Q405" s="346">
        <f>SUM(E405:P405)</f>
        <v>44085000</v>
      </c>
      <c r="R405" s="1630">
        <f t="shared" si="166"/>
        <v>23302000</v>
      </c>
      <c r="S405" s="344">
        <f>Q405/D405*100</f>
        <v>212.12048308713852</v>
      </c>
      <c r="T405" s="1644"/>
      <c r="V405" s="1758"/>
      <c r="W405" s="1758"/>
      <c r="X405" s="1758"/>
    </row>
    <row r="406" spans="1:24" s="859" customFormat="1" ht="14.1" customHeight="1">
      <c r="A406" s="290"/>
      <c r="B406" s="891" t="s">
        <v>820</v>
      </c>
      <c r="C406" s="890"/>
      <c r="D406" s="878">
        <f>'[4]TARGET MURNI DAN PERUBAHAN'!D338</f>
        <v>500000</v>
      </c>
      <c r="E406" s="355">
        <f>[44]Januari!$X$70</f>
        <v>0</v>
      </c>
      <c r="F406" s="355">
        <f>[44]Februari!$X$70</f>
        <v>0</v>
      </c>
      <c r="G406" s="355">
        <f>[44]Maret!$X$70</f>
        <v>0</v>
      </c>
      <c r="H406" s="355">
        <f>[44]April!$X$70</f>
        <v>0</v>
      </c>
      <c r="I406" s="355">
        <f>[44]Mei!$X$70</f>
        <v>230</v>
      </c>
      <c r="J406" s="355">
        <f>[44]Juni!$X$70</f>
        <v>0</v>
      </c>
      <c r="K406" s="355">
        <f>[44]Juli!$X$70</f>
        <v>0</v>
      </c>
      <c r="L406" s="355">
        <f>[44]Agustus!$X$70</f>
        <v>0</v>
      </c>
      <c r="M406" s="355">
        <f>[44]September!$X$70</f>
        <v>0</v>
      </c>
      <c r="N406" s="355">
        <f>[44]Oktober!$X$70</f>
        <v>0</v>
      </c>
      <c r="O406" s="355">
        <f>[44]Nopember!$X$70</f>
        <v>0</v>
      </c>
      <c r="P406" s="355">
        <f>[44]Desember!$X$70</f>
        <v>2742664</v>
      </c>
      <c r="Q406" s="346">
        <f>SUM(E406:P406)</f>
        <v>2742894</v>
      </c>
      <c r="R406" s="1672">
        <f t="shared" si="166"/>
        <v>2242894</v>
      </c>
      <c r="S406" s="388">
        <f>Q406/D406*100</f>
        <v>548.5788</v>
      </c>
      <c r="T406" s="1644"/>
      <c r="V406" s="1758"/>
      <c r="W406" s="1758"/>
      <c r="X406" s="1758"/>
    </row>
    <row r="407" spans="1:24" s="859" customFormat="1" ht="14.1" customHeight="1">
      <c r="A407" s="290"/>
      <c r="B407" s="891" t="s">
        <v>821</v>
      </c>
      <c r="C407" s="890"/>
      <c r="D407" s="878">
        <f>'[4]TARGET MURNI DAN PERUBAHAN'!D339</f>
        <v>0</v>
      </c>
      <c r="E407" s="355">
        <f>[45]Januari!$I$35</f>
        <v>0</v>
      </c>
      <c r="F407" s="355">
        <f>[45]Februari!$I$35</f>
        <v>0</v>
      </c>
      <c r="G407" s="355">
        <f>[45]Maret!$I$35</f>
        <v>0</v>
      </c>
      <c r="H407" s="355">
        <f>[45]April!$I$35</f>
        <v>0</v>
      </c>
      <c r="I407" s="355">
        <f>[45]Mei!$I$35</f>
        <v>0</v>
      </c>
      <c r="J407" s="355">
        <f>[45]Juni!$I$35</f>
        <v>0</v>
      </c>
      <c r="K407" s="355">
        <f>[45]Juli!$I$35</f>
        <v>0</v>
      </c>
      <c r="L407" s="355">
        <f>[45]Agustus!$I$35</f>
        <v>0</v>
      </c>
      <c r="M407" s="355">
        <f>[45]September!$I$35</f>
        <v>0</v>
      </c>
      <c r="N407" s="355">
        <f>[45]Oktober!$I$35</f>
        <v>0</v>
      </c>
      <c r="O407" s="355">
        <f>[45]Nopember!$I$35</f>
        <v>0</v>
      </c>
      <c r="P407" s="355">
        <f>[45]Desember!$I$35</f>
        <v>3038300</v>
      </c>
      <c r="Q407" s="346">
        <f>SUM(E407:P407)</f>
        <v>3038300</v>
      </c>
      <c r="R407" s="1672">
        <f t="shared" si="166"/>
        <v>3038300</v>
      </c>
      <c r="S407" s="347" t="e">
        <f>Q407/D407*100</f>
        <v>#DIV/0!</v>
      </c>
      <c r="T407" s="448"/>
      <c r="V407" s="1758"/>
      <c r="W407" s="1758"/>
      <c r="X407" s="1758"/>
    </row>
    <row r="408" spans="1:24" s="859" customFormat="1" ht="14.1" customHeight="1">
      <c r="A408" s="290"/>
      <c r="B408" s="891" t="s">
        <v>822</v>
      </c>
      <c r="C408" s="890"/>
      <c r="D408" s="878">
        <f>'[4]TARGET MURNI DAN PERUBAHAN'!D340</f>
        <v>2006500</v>
      </c>
      <c r="E408" s="355">
        <f>[46]Januari!$H$35</f>
        <v>19815000</v>
      </c>
      <c r="F408" s="355">
        <f>[46]Februari!$H$35</f>
        <v>0</v>
      </c>
      <c r="G408" s="355">
        <f>[46]Maret!$H$35</f>
        <v>0</v>
      </c>
      <c r="H408" s="355">
        <f>[46]April!$H$35</f>
        <v>0</v>
      </c>
      <c r="I408" s="355">
        <f>[46]Mei!$H$35</f>
        <v>450000</v>
      </c>
      <c r="J408" s="355">
        <f>[46]Juni!$H$35</f>
        <v>0</v>
      </c>
      <c r="K408" s="355">
        <f>[46]Juli!$H$35</f>
        <v>0</v>
      </c>
      <c r="L408" s="355">
        <f>[46]Agustus!$H$35</f>
        <v>0</v>
      </c>
      <c r="M408" s="355">
        <f>[46]September!$H$35</f>
        <v>0</v>
      </c>
      <c r="N408" s="355">
        <f>[46]Oktober!$H$35</f>
        <v>0</v>
      </c>
      <c r="O408" s="355">
        <f>[46]Nopember!$H$35</f>
        <v>0</v>
      </c>
      <c r="P408" s="355">
        <f>[46]Desember!$H$35</f>
        <v>0</v>
      </c>
      <c r="Q408" s="346">
        <f>SUM(E408:P408)</f>
        <v>20265000</v>
      </c>
      <c r="R408" s="1630">
        <f t="shared" si="166"/>
        <v>18258500</v>
      </c>
      <c r="S408" s="388"/>
      <c r="T408" s="1644"/>
      <c r="V408" s="1758"/>
      <c r="W408" s="1758"/>
      <c r="X408" s="1758"/>
    </row>
    <row r="409" spans="1:24" s="859" customFormat="1" ht="14.1" customHeight="1">
      <c r="A409" s="290"/>
      <c r="B409" s="891" t="s">
        <v>823</v>
      </c>
      <c r="C409" s="890"/>
      <c r="D409" s="878">
        <f>'[4]TARGET MURNI DAN PERUBAHAN'!D341</f>
        <v>18851300</v>
      </c>
      <c r="E409" s="375">
        <f>[25]Januari!$AE$70</f>
        <v>0</v>
      </c>
      <c r="F409" s="375">
        <f>[25]Februari!$AE$70</f>
        <v>6967100</v>
      </c>
      <c r="G409" s="375">
        <f>[25]Maret!$AE$70</f>
        <v>1975000</v>
      </c>
      <c r="H409" s="375">
        <f>[25]April!$AE$70</f>
        <v>1775000</v>
      </c>
      <c r="I409" s="375">
        <f>[25]Mei!$AE$70</f>
        <v>1430000</v>
      </c>
      <c r="J409" s="375">
        <f>[25]Juni!$AE$70</f>
        <v>0</v>
      </c>
      <c r="K409" s="375">
        <f>[25]Juli!$AE$70</f>
        <v>1250000</v>
      </c>
      <c r="L409" s="375">
        <f>[25]Agustus!$AE$70</f>
        <v>400000</v>
      </c>
      <c r="M409" s="375">
        <f>[25]September!$AE$70</f>
        <v>72007500</v>
      </c>
      <c r="N409" s="375">
        <f>[25]Oktober!$AE$70</f>
        <v>2038000</v>
      </c>
      <c r="O409" s="375">
        <f>[25]Nopember!$AE$70</f>
        <v>1650000</v>
      </c>
      <c r="P409" s="375">
        <f>[25]DESEMBER!$AE$70</f>
        <v>7874810</v>
      </c>
      <c r="Q409" s="346">
        <f>SUM(E409:P409)</f>
        <v>97367410</v>
      </c>
      <c r="R409" s="1630">
        <f t="shared" si="166"/>
        <v>78516110</v>
      </c>
      <c r="S409" s="388"/>
      <c r="T409" s="448"/>
      <c r="V409" s="1758"/>
      <c r="W409" s="1758"/>
      <c r="X409" s="1758"/>
    </row>
    <row r="410" spans="1:24" s="859" customFormat="1" ht="14.1" customHeight="1">
      <c r="A410" s="290"/>
      <c r="B410" s="895"/>
      <c r="C410" s="896"/>
      <c r="D410" s="878"/>
      <c r="E410" s="876"/>
      <c r="F410" s="876"/>
      <c r="G410" s="876"/>
      <c r="H410" s="876"/>
      <c r="I410" s="876"/>
      <c r="J410" s="876"/>
      <c r="K410" s="876"/>
      <c r="L410" s="876"/>
      <c r="M410" s="876"/>
      <c r="N410" s="876"/>
      <c r="O410" s="876"/>
      <c r="P410" s="876"/>
      <c r="Q410" s="367">
        <f t="shared" si="152"/>
        <v>0</v>
      </c>
      <c r="R410" s="1707">
        <f>SUM(R411:R412)</f>
        <v>-162497400</v>
      </c>
      <c r="S410" s="778">
        <v>0</v>
      </c>
      <c r="T410" s="1644"/>
      <c r="V410" s="1758"/>
      <c r="W410" s="1758"/>
      <c r="X410" s="1758"/>
    </row>
    <row r="411" spans="1:24" s="859" customFormat="1" ht="14.1" customHeight="1">
      <c r="A411" s="290"/>
      <c r="B411" s="893" t="s">
        <v>285</v>
      </c>
      <c r="C411" s="896"/>
      <c r="D411" s="1762">
        <f>D412+D415</f>
        <v>3742965800</v>
      </c>
      <c r="E411" s="1762">
        <f t="shared" ref="E411:P411" si="167">E412+E415</f>
        <v>0</v>
      </c>
      <c r="F411" s="1762">
        <f t="shared" si="167"/>
        <v>0</v>
      </c>
      <c r="G411" s="1762">
        <f t="shared" si="167"/>
        <v>0</v>
      </c>
      <c r="H411" s="1762">
        <f t="shared" si="167"/>
        <v>0</v>
      </c>
      <c r="I411" s="1762">
        <f t="shared" si="167"/>
        <v>0</v>
      </c>
      <c r="J411" s="1762">
        <f t="shared" si="167"/>
        <v>0</v>
      </c>
      <c r="K411" s="1762">
        <f t="shared" si="167"/>
        <v>0</v>
      </c>
      <c r="L411" s="1762">
        <f t="shared" si="167"/>
        <v>0</v>
      </c>
      <c r="M411" s="1762">
        <f t="shared" si="167"/>
        <v>0</v>
      </c>
      <c r="N411" s="1762">
        <f t="shared" si="167"/>
        <v>0</v>
      </c>
      <c r="O411" s="1762">
        <f t="shared" si="167"/>
        <v>0</v>
      </c>
      <c r="P411" s="1762">
        <f t="shared" si="167"/>
        <v>2000189000</v>
      </c>
      <c r="Q411" s="367">
        <f t="shared" si="152"/>
        <v>2000189000</v>
      </c>
      <c r="R411" s="1707">
        <f>SUM(R412:R413)</f>
        <v>-108331600</v>
      </c>
      <c r="S411" s="778">
        <v>0</v>
      </c>
      <c r="T411" s="1644"/>
      <c r="V411" s="1758"/>
      <c r="W411" s="1758"/>
      <c r="X411" s="1758"/>
    </row>
    <row r="412" spans="1:24" s="859" customFormat="1" ht="15.05">
      <c r="A412" s="290"/>
      <c r="B412" s="891" t="s">
        <v>824</v>
      </c>
      <c r="C412" s="890"/>
      <c r="D412" s="1763">
        <f>SUM(D413:D414)</f>
        <v>54165800</v>
      </c>
      <c r="E412" s="1763">
        <f t="shared" ref="E412:P412" si="168">SUM(E413:E414)</f>
        <v>0</v>
      </c>
      <c r="F412" s="1763">
        <f t="shared" si="168"/>
        <v>0</v>
      </c>
      <c r="G412" s="1763">
        <f t="shared" si="168"/>
        <v>0</v>
      </c>
      <c r="H412" s="1763">
        <f t="shared" si="168"/>
        <v>0</v>
      </c>
      <c r="I412" s="1763">
        <f t="shared" si="168"/>
        <v>0</v>
      </c>
      <c r="J412" s="1763">
        <f t="shared" si="168"/>
        <v>0</v>
      </c>
      <c r="K412" s="1763">
        <f t="shared" si="168"/>
        <v>0</v>
      </c>
      <c r="L412" s="1763">
        <f t="shared" si="168"/>
        <v>0</v>
      </c>
      <c r="M412" s="1763">
        <f t="shared" si="168"/>
        <v>0</v>
      </c>
      <c r="N412" s="1763">
        <f t="shared" si="168"/>
        <v>0</v>
      </c>
      <c r="O412" s="1763">
        <f t="shared" si="168"/>
        <v>0</v>
      </c>
      <c r="P412" s="1763">
        <f t="shared" si="168"/>
        <v>0</v>
      </c>
      <c r="Q412" s="831">
        <f t="shared" si="152"/>
        <v>0</v>
      </c>
      <c r="R412" s="1757">
        <f>SUM(R413:R414)</f>
        <v>-54165800</v>
      </c>
      <c r="S412" s="1393">
        <v>0</v>
      </c>
      <c r="T412" s="1644"/>
      <c r="V412" s="1758"/>
      <c r="W412" s="1758"/>
      <c r="X412" s="1758"/>
    </row>
    <row r="413" spans="1:24" s="859" customFormat="1" ht="14.1" customHeight="1">
      <c r="A413" s="290"/>
      <c r="B413" s="891" t="s">
        <v>50</v>
      </c>
      <c r="C413" s="892" t="s">
        <v>615</v>
      </c>
      <c r="D413" s="878">
        <f>'[4]TARGET MURNI DAN PERUBAHAN'!D345</f>
        <v>54165800</v>
      </c>
      <c r="E413" s="355">
        <f>[27]Januari!$H$35</f>
        <v>0</v>
      </c>
      <c r="F413" s="355">
        <f>[27]Februari!$H$35</f>
        <v>0</v>
      </c>
      <c r="G413" s="355">
        <f>[27]Maret!$H$35</f>
        <v>0</v>
      </c>
      <c r="H413" s="355">
        <f>[27]April!$H$35</f>
        <v>0</v>
      </c>
      <c r="I413" s="355">
        <f>[27]Mei!$H$35</f>
        <v>0</v>
      </c>
      <c r="J413" s="355">
        <f>[27]Juni!$H$35</f>
        <v>0</v>
      </c>
      <c r="K413" s="355">
        <f>[27]Juli!$H$35</f>
        <v>0</v>
      </c>
      <c r="L413" s="355">
        <f>[27]Agustus!$H$35</f>
        <v>0</v>
      </c>
      <c r="M413" s="355">
        <f>[27]September!$H$35</f>
        <v>0</v>
      </c>
      <c r="N413" s="355">
        <f>[27]Oktober!$H$35</f>
        <v>0</v>
      </c>
      <c r="O413" s="355">
        <f>[27]Nopember!$H$35</f>
        <v>0</v>
      </c>
      <c r="P413" s="355">
        <f>[27]Desember!$H$35</f>
        <v>0</v>
      </c>
      <c r="Q413" s="346">
        <f t="shared" si="152"/>
        <v>0</v>
      </c>
      <c r="R413" s="1630">
        <f>Q413-D413</f>
        <v>-54165800</v>
      </c>
      <c r="S413" s="388"/>
      <c r="T413" s="441"/>
      <c r="V413" s="1758"/>
      <c r="W413" s="1758"/>
      <c r="X413" s="1758"/>
    </row>
    <row r="414" spans="1:24" s="859" customFormat="1" ht="14.1" customHeight="1">
      <c r="A414" s="290"/>
      <c r="B414" s="891" t="s">
        <v>50</v>
      </c>
      <c r="C414" s="892" t="s">
        <v>85</v>
      </c>
      <c r="D414" s="878">
        <f>'[4]TARGET MURNI DAN PERUBAHAN'!D346</f>
        <v>0</v>
      </c>
      <c r="E414" s="355">
        <f>[27]Januari!$I$35</f>
        <v>0</v>
      </c>
      <c r="F414" s="355">
        <f>[27]Februari!$I$35</f>
        <v>0</v>
      </c>
      <c r="G414" s="355">
        <f>[27]Maret!$I$35</f>
        <v>0</v>
      </c>
      <c r="H414" s="355">
        <f>[27]April!$I$35</f>
        <v>0</v>
      </c>
      <c r="I414" s="355">
        <f>[27]Mei!$I$35</f>
        <v>0</v>
      </c>
      <c r="J414" s="355">
        <f>[27]Juni!$I$35</f>
        <v>0</v>
      </c>
      <c r="K414" s="355">
        <f>[27]Juli!$I$35</f>
        <v>0</v>
      </c>
      <c r="L414" s="355">
        <f>[27]Agustus!$I$35</f>
        <v>0</v>
      </c>
      <c r="M414" s="355">
        <f>[27]September!$I$35</f>
        <v>0</v>
      </c>
      <c r="N414" s="355">
        <f>[27]Oktober!$I$35</f>
        <v>0</v>
      </c>
      <c r="O414" s="355">
        <f>[27]Nopember!$I$35</f>
        <v>0</v>
      </c>
      <c r="P414" s="355">
        <f>[27]Desember!$I$35</f>
        <v>0</v>
      </c>
      <c r="Q414" s="346">
        <f t="shared" si="152"/>
        <v>0</v>
      </c>
      <c r="R414" s="1672">
        <f>Q414-D414</f>
        <v>0</v>
      </c>
      <c r="S414" s="347" t="e">
        <f>Q414/D414*100</f>
        <v>#DIV/0!</v>
      </c>
      <c r="T414" s="1644"/>
      <c r="V414" s="1758"/>
      <c r="W414" s="1758"/>
      <c r="X414" s="1758"/>
    </row>
    <row r="415" spans="1:24" s="859" customFormat="1" ht="15.05">
      <c r="A415" s="290"/>
      <c r="B415" s="891" t="s">
        <v>825</v>
      </c>
      <c r="C415" s="890"/>
      <c r="D415" s="1754">
        <f>D416</f>
        <v>3688800000</v>
      </c>
      <c r="E415" s="1754">
        <f t="shared" ref="E415:P415" si="169">E416</f>
        <v>0</v>
      </c>
      <c r="F415" s="1754">
        <f t="shared" si="169"/>
        <v>0</v>
      </c>
      <c r="G415" s="1754">
        <f t="shared" si="169"/>
        <v>0</v>
      </c>
      <c r="H415" s="1754">
        <f t="shared" si="169"/>
        <v>0</v>
      </c>
      <c r="I415" s="1754">
        <f t="shared" si="169"/>
        <v>0</v>
      </c>
      <c r="J415" s="1754">
        <f t="shared" si="169"/>
        <v>0</v>
      </c>
      <c r="K415" s="1754">
        <f t="shared" si="169"/>
        <v>0</v>
      </c>
      <c r="L415" s="1754">
        <f t="shared" si="169"/>
        <v>0</v>
      </c>
      <c r="M415" s="1754">
        <f t="shared" si="169"/>
        <v>0</v>
      </c>
      <c r="N415" s="1754">
        <f t="shared" si="169"/>
        <v>0</v>
      </c>
      <c r="O415" s="1754">
        <f t="shared" si="169"/>
        <v>0</v>
      </c>
      <c r="P415" s="1754">
        <f t="shared" si="169"/>
        <v>2000189000</v>
      </c>
      <c r="Q415" s="831">
        <f t="shared" si="152"/>
        <v>2000189000</v>
      </c>
      <c r="R415" s="1757">
        <f>SUM(R416:R417)</f>
        <v>-1688611000</v>
      </c>
      <c r="S415" s="1393">
        <v>0</v>
      </c>
      <c r="T415" s="1644"/>
      <c r="V415" s="1758"/>
      <c r="W415" s="1758"/>
      <c r="X415" s="1758"/>
    </row>
    <row r="416" spans="1:24" s="859" customFormat="1" ht="14.1" customHeight="1">
      <c r="A416" s="290"/>
      <c r="B416" s="891" t="s">
        <v>50</v>
      </c>
      <c r="C416" s="892" t="s">
        <v>826</v>
      </c>
      <c r="D416" s="878">
        <f>'[4]TARGET MURNI DAN PERUBAHAN'!D348</f>
        <v>3688800000</v>
      </c>
      <c r="E416" s="709">
        <f>[26]Januari!$T$70</f>
        <v>0</v>
      </c>
      <c r="F416" s="709">
        <f>[26]Februari!$T$70</f>
        <v>0</v>
      </c>
      <c r="G416" s="709">
        <f>[26]Maret!$T$70</f>
        <v>0</v>
      </c>
      <c r="H416" s="709">
        <f>[26]April!$T$70</f>
        <v>0</v>
      </c>
      <c r="I416" s="709">
        <f>[26]Mei!$T$70</f>
        <v>0</v>
      </c>
      <c r="J416" s="709">
        <f>[26]Juni!$T$70</f>
        <v>0</v>
      </c>
      <c r="K416" s="709">
        <f>[26]Juli!$T$70</f>
        <v>0</v>
      </c>
      <c r="L416" s="709">
        <f>[26]Agustus!$T$70</f>
        <v>0</v>
      </c>
      <c r="M416" s="709">
        <f>[26]September!$T$70</f>
        <v>0</v>
      </c>
      <c r="N416" s="709">
        <f>[26]Oktober!$T$70</f>
        <v>0</v>
      </c>
      <c r="O416" s="709">
        <f>[26]Nopember!$T$70</f>
        <v>0</v>
      </c>
      <c r="P416" s="709">
        <f>[26]Desember!$T$70</f>
        <v>2000189000</v>
      </c>
      <c r="Q416" s="340">
        <f>SUM(E416:P416)</f>
        <v>2000189000</v>
      </c>
      <c r="R416" s="1746">
        <f>Q416-D416</f>
        <v>-1688611000</v>
      </c>
      <c r="S416" s="358">
        <f>Q416/D416*100</f>
        <v>54.223297549338533</v>
      </c>
      <c r="T416" s="732"/>
      <c r="V416" s="1758"/>
      <c r="W416" s="1758"/>
      <c r="X416" s="1758"/>
    </row>
    <row r="417" spans="1:24" s="859" customFormat="1" ht="14.1" customHeight="1">
      <c r="A417" s="1764"/>
      <c r="B417" s="1765"/>
      <c r="C417" s="1765"/>
      <c r="D417" s="914"/>
      <c r="E417" s="912"/>
      <c r="F417" s="912"/>
      <c r="G417" s="912"/>
      <c r="H417" s="912"/>
      <c r="I417" s="912"/>
      <c r="J417" s="912"/>
      <c r="K417" s="912"/>
      <c r="L417" s="912"/>
      <c r="M417" s="912"/>
      <c r="N417" s="912"/>
      <c r="O417" s="912"/>
      <c r="P417" s="912"/>
      <c r="Q417" s="1782"/>
      <c r="R417" s="1783"/>
      <c r="S417" s="915"/>
      <c r="T417" s="1133"/>
      <c r="V417" s="1758"/>
      <c r="W417" s="1758"/>
      <c r="X417" s="1758"/>
    </row>
    <row r="418" spans="1:24" s="189" customFormat="1" ht="14.1" customHeight="1">
      <c r="A418" s="1766"/>
      <c r="B418" s="1767" t="s">
        <v>50</v>
      </c>
      <c r="C418" s="1768" t="s">
        <v>827</v>
      </c>
      <c r="D418" s="1769">
        <v>0</v>
      </c>
      <c r="E418" s="1769">
        <f>'[26]BIRO KEUANGAN SKPKD'!$D$25</f>
        <v>0</v>
      </c>
      <c r="F418" s="1769">
        <f>'[26]BIRO KEUANGAN SKPKD'!$E$25</f>
        <v>0</v>
      </c>
      <c r="G418" s="1769">
        <f>'[26]BIRO KEUANGAN SKPKD'!$F$25</f>
        <v>0</v>
      </c>
      <c r="H418" s="1769">
        <f>'[26]BIRO KEUANGAN SKPKD'!$G$25</f>
        <v>0</v>
      </c>
      <c r="I418" s="1769">
        <f>'[26]BIRO KEUANGAN SKPKD'!$H$25</f>
        <v>0</v>
      </c>
      <c r="J418" s="1769">
        <f>'[26]BIRO KEUANGAN SKPKD'!$I$25</f>
        <v>0</v>
      </c>
      <c r="K418" s="1769">
        <f>'[26]BIRO KEUANGAN SKPKD'!$J$25</f>
        <v>0</v>
      </c>
      <c r="L418" s="1769">
        <f>'[26]BIRO KEUANGAN SKPKD'!$K$25</f>
        <v>0</v>
      </c>
      <c r="M418" s="1769">
        <f>'[26]BIRO KEUANGAN SKPKD'!$L$25</f>
        <v>0</v>
      </c>
      <c r="N418" s="1769">
        <f>'[26]BIRO KEUANGAN SKPKD'!$M$25</f>
        <v>0</v>
      </c>
      <c r="O418" s="1769">
        <f>'[26]BIRO KEUANGAN SKPKD'!$N$25</f>
        <v>0</v>
      </c>
      <c r="P418" s="1769">
        <f>'[26]BIRO KEUANGAN SKPKD'!$O$25</f>
        <v>2761343193</v>
      </c>
      <c r="Q418" s="1784">
        <f>SUM(E418:P418)</f>
        <v>2761343193</v>
      </c>
      <c r="R418" s="1785">
        <f>Q418-D418</f>
        <v>2761343193</v>
      </c>
      <c r="S418" s="1786">
        <v>0</v>
      </c>
      <c r="T418" s="1787"/>
      <c r="V418" s="786"/>
      <c r="W418" s="786"/>
      <c r="X418" s="786"/>
    </row>
    <row r="419" spans="1:24" s="189" customFormat="1" ht="14.1" customHeight="1">
      <c r="A419" s="1770"/>
      <c r="C419" s="245"/>
      <c r="D419" s="404"/>
      <c r="E419" s="404"/>
      <c r="F419" s="404"/>
      <c r="G419" s="404"/>
      <c r="H419" s="404"/>
      <c r="I419" s="404"/>
      <c r="J419" s="404"/>
      <c r="K419" s="404"/>
      <c r="L419" s="404"/>
      <c r="M419" s="404"/>
      <c r="N419" s="404"/>
      <c r="O419" s="404"/>
      <c r="P419" s="404"/>
      <c r="Q419" s="404"/>
      <c r="R419" s="1622"/>
      <c r="S419" s="483"/>
      <c r="T419" s="733"/>
      <c r="V419" s="786"/>
      <c r="W419" s="786"/>
      <c r="X419" s="786"/>
    </row>
    <row r="420" spans="1:24" s="244" customFormat="1" ht="14.1" customHeight="1">
      <c r="A420" s="1696" t="s">
        <v>174</v>
      </c>
      <c r="B420" s="1553" t="s">
        <v>175</v>
      </c>
      <c r="C420" s="298"/>
      <c r="D420" s="835">
        <f>D421</f>
        <v>0</v>
      </c>
      <c r="E420" s="337">
        <f t="shared" ref="E420:Q420" si="170">E421</f>
        <v>1300000</v>
      </c>
      <c r="F420" s="337">
        <f t="shared" si="170"/>
        <v>30750000</v>
      </c>
      <c r="G420" s="337">
        <f t="shared" si="170"/>
        <v>5844158</v>
      </c>
      <c r="H420" s="337">
        <f t="shared" si="170"/>
        <v>16770000</v>
      </c>
      <c r="I420" s="337">
        <f t="shared" si="170"/>
        <v>26725000</v>
      </c>
      <c r="J420" s="337">
        <f t="shared" si="170"/>
        <v>20617570</v>
      </c>
      <c r="K420" s="337">
        <f t="shared" si="170"/>
        <v>17000000</v>
      </c>
      <c r="L420" s="337">
        <f t="shared" si="170"/>
        <v>9400000</v>
      </c>
      <c r="M420" s="337">
        <f t="shared" si="170"/>
        <v>13093200</v>
      </c>
      <c r="N420" s="337">
        <f t="shared" si="170"/>
        <v>8694910</v>
      </c>
      <c r="O420" s="337">
        <f t="shared" si="170"/>
        <v>30463559</v>
      </c>
      <c r="P420" s="337">
        <f t="shared" si="170"/>
        <v>41968368</v>
      </c>
      <c r="Q420" s="337">
        <f t="shared" si="170"/>
        <v>222626765</v>
      </c>
      <c r="R420" s="1636">
        <f>+Q420-D420</f>
        <v>222626765</v>
      </c>
      <c r="S420" s="338" t="e">
        <f>+Q420/D420*100</f>
        <v>#DIV/0!</v>
      </c>
      <c r="T420" s="432"/>
      <c r="V420" s="434"/>
      <c r="W420" s="434"/>
      <c r="X420" s="434"/>
    </row>
    <row r="421" spans="1:24" s="253" customFormat="1" ht="14.1" customHeight="1">
      <c r="A421" s="290"/>
      <c r="B421" s="291" t="s">
        <v>71</v>
      </c>
      <c r="C421" s="291"/>
      <c r="D421" s="371">
        <f>SUM(D422:D426)</f>
        <v>0</v>
      </c>
      <c r="E421" s="371">
        <f>SUM(E422:E426)</f>
        <v>1300000</v>
      </c>
      <c r="F421" s="371">
        <f t="shared" ref="F421:P421" si="171">SUM(F422:F426)</f>
        <v>30750000</v>
      </c>
      <c r="G421" s="371">
        <f t="shared" si="171"/>
        <v>5844158</v>
      </c>
      <c r="H421" s="371">
        <f t="shared" si="171"/>
        <v>16770000</v>
      </c>
      <c r="I421" s="371">
        <f t="shared" si="171"/>
        <v>26725000</v>
      </c>
      <c r="J421" s="371">
        <f t="shared" si="171"/>
        <v>20617570</v>
      </c>
      <c r="K421" s="371">
        <f t="shared" si="171"/>
        <v>17000000</v>
      </c>
      <c r="L421" s="371">
        <f t="shared" si="171"/>
        <v>9400000</v>
      </c>
      <c r="M421" s="371">
        <f t="shared" si="171"/>
        <v>13093200</v>
      </c>
      <c r="N421" s="371">
        <f t="shared" si="171"/>
        <v>8694910</v>
      </c>
      <c r="O421" s="371">
        <f t="shared" si="171"/>
        <v>30463559</v>
      </c>
      <c r="P421" s="371">
        <f t="shared" si="171"/>
        <v>41968368</v>
      </c>
      <c r="Q421" s="346">
        <f t="shared" ref="Q421:Q426" si="172">SUM(E421:P421)</f>
        <v>222626765</v>
      </c>
      <c r="R421" s="1652">
        <f t="shared" ref="R421:R426" si="173">Q421-D421</f>
        <v>222626765</v>
      </c>
      <c r="S421" s="347" t="e">
        <f>Q421/D421*100</f>
        <v>#DIV/0!</v>
      </c>
      <c r="T421" s="841"/>
      <c r="V421" s="1788"/>
      <c r="W421" s="1788"/>
      <c r="X421" s="1788"/>
    </row>
    <row r="422" spans="1:24" s="253" customFormat="1" ht="14.1" customHeight="1">
      <c r="A422" s="290"/>
      <c r="B422" s="2759" t="s">
        <v>50</v>
      </c>
      <c r="C422" s="859" t="s">
        <v>710</v>
      </c>
      <c r="D422" s="355">
        <v>0</v>
      </c>
      <c r="E422" s="355">
        <f>[28]Januari!$D$35</f>
        <v>0</v>
      </c>
      <c r="F422" s="355">
        <f>[28]Februari!$E$35</f>
        <v>0</v>
      </c>
      <c r="G422" s="355">
        <f>[28]Maret!$E$35</f>
        <v>0</v>
      </c>
      <c r="H422" s="355">
        <f>[28]April!$E$35</f>
        <v>0</v>
      </c>
      <c r="I422" s="355">
        <f>[28]Mei!$E$35</f>
        <v>0</v>
      </c>
      <c r="J422" s="355">
        <f>[28]Juni!$E$35</f>
        <v>0</v>
      </c>
      <c r="K422" s="355">
        <f>[28]Juli!$E$35</f>
        <v>0</v>
      </c>
      <c r="L422" s="355">
        <f>[28]Agustus!$E$35</f>
        <v>0</v>
      </c>
      <c r="M422" s="355">
        <f>[28]September!$E$35</f>
        <v>0</v>
      </c>
      <c r="N422" s="355">
        <f>[28]Oktober!$E$35</f>
        <v>0</v>
      </c>
      <c r="O422" s="355">
        <f>[28]Nopember!$E$35</f>
        <v>0</v>
      </c>
      <c r="P422" s="355">
        <f>[28]Desember!$E$35</f>
        <v>0</v>
      </c>
      <c r="Q422" s="346">
        <f t="shared" si="172"/>
        <v>0</v>
      </c>
      <c r="R422" s="1630">
        <f t="shared" si="173"/>
        <v>0</v>
      </c>
      <c r="S422" s="347" t="e">
        <f>Q422/D422*100</f>
        <v>#DIV/0!</v>
      </c>
      <c r="T422" s="841"/>
      <c r="V422" s="1788"/>
      <c r="W422" s="1788"/>
      <c r="X422" s="1788"/>
    </row>
    <row r="423" spans="1:24" s="253" customFormat="1" ht="14.1" customHeight="1">
      <c r="A423" s="290"/>
      <c r="B423" s="2759" t="s">
        <v>50</v>
      </c>
      <c r="C423" s="859" t="s">
        <v>711</v>
      </c>
      <c r="D423" s="1556"/>
      <c r="E423" s="355">
        <f>[28]Januari!$F$35</f>
        <v>0</v>
      </c>
      <c r="F423" s="355">
        <f>[28]Februari!$F$35</f>
        <v>0</v>
      </c>
      <c r="G423" s="355">
        <f>[28]Maret!$F$35</f>
        <v>0</v>
      </c>
      <c r="H423" s="355">
        <f>[28]April!$F$35</f>
        <v>0</v>
      </c>
      <c r="I423" s="355">
        <f>[28]Mei!$F$35</f>
        <v>0</v>
      </c>
      <c r="J423" s="355">
        <f>[28]Juni!$F$35</f>
        <v>0</v>
      </c>
      <c r="K423" s="355">
        <f>[28]Juli!$F$35</f>
        <v>0</v>
      </c>
      <c r="L423" s="355">
        <f>[28]Agustus!$F$35</f>
        <v>0</v>
      </c>
      <c r="M423" s="355">
        <f>[28]September!$F$35</f>
        <v>0</v>
      </c>
      <c r="N423" s="355">
        <f>[28]Oktober!$F$35</f>
        <v>0</v>
      </c>
      <c r="O423" s="355">
        <f>[28]Nopember!$F$35</f>
        <v>0</v>
      </c>
      <c r="P423" s="355">
        <f>[28]Desember!$F$35</f>
        <v>0</v>
      </c>
      <c r="Q423" s="346">
        <f t="shared" si="172"/>
        <v>0</v>
      </c>
      <c r="R423" s="1630">
        <f t="shared" si="173"/>
        <v>0</v>
      </c>
      <c r="S423" s="388"/>
      <c r="T423" s="841"/>
      <c r="V423" s="1788"/>
      <c r="W423" s="1788"/>
      <c r="X423" s="1788"/>
    </row>
    <row r="424" spans="1:24" s="253" customFormat="1" ht="14.1" customHeight="1">
      <c r="A424" s="290"/>
      <c r="B424" s="2759" t="s">
        <v>50</v>
      </c>
      <c r="C424" s="859" t="s">
        <v>712</v>
      </c>
      <c r="D424" s="1556"/>
      <c r="E424" s="355">
        <f>[28]Januari!$G$35</f>
        <v>0</v>
      </c>
      <c r="F424" s="355">
        <f>[28]Februari!$G$35</f>
        <v>0</v>
      </c>
      <c r="G424" s="355">
        <f>[28]Maret!$G$35</f>
        <v>0</v>
      </c>
      <c r="H424" s="355">
        <f>[28]April!$G$35</f>
        <v>0</v>
      </c>
      <c r="I424" s="355">
        <f>[28]Mei!$G$35</f>
        <v>0</v>
      </c>
      <c r="J424" s="355">
        <f>[28]Juni!$G$35</f>
        <v>0</v>
      </c>
      <c r="K424" s="355">
        <f>[28]Juli!$G$35</f>
        <v>0</v>
      </c>
      <c r="L424" s="355">
        <f>[28]Agustus!$G$35</f>
        <v>0</v>
      </c>
      <c r="M424" s="355">
        <f>[28]September!$G$35</f>
        <v>0</v>
      </c>
      <c r="N424" s="355">
        <f>[28]Oktober!$G$35</f>
        <v>0</v>
      </c>
      <c r="O424" s="355">
        <f>[28]Nopember!$G$35</f>
        <v>0</v>
      </c>
      <c r="P424" s="355">
        <f>[28]Desember!$G$35</f>
        <v>0</v>
      </c>
      <c r="Q424" s="346">
        <f t="shared" si="172"/>
        <v>0</v>
      </c>
      <c r="R424" s="1630">
        <f t="shared" si="173"/>
        <v>0</v>
      </c>
      <c r="S424" s="388"/>
      <c r="T424" s="841"/>
      <c r="V424" s="1788"/>
      <c r="W424" s="1788"/>
      <c r="X424" s="1788"/>
    </row>
    <row r="425" spans="1:24" s="253" customFormat="1" ht="14.1" customHeight="1">
      <c r="A425" s="290"/>
      <c r="B425" s="2759" t="s">
        <v>50</v>
      </c>
      <c r="C425" s="859" t="s">
        <v>713</v>
      </c>
      <c r="D425" s="1556"/>
      <c r="E425" s="355">
        <f>[28]Januari!$H$35</f>
        <v>1300000</v>
      </c>
      <c r="F425" s="355">
        <f>[28]Februari!$H$35</f>
        <v>30750000</v>
      </c>
      <c r="G425" s="355">
        <f>[28]Maret!$H$35</f>
        <v>5844158</v>
      </c>
      <c r="H425" s="355">
        <f>[28]April!$H$35</f>
        <v>16770000</v>
      </c>
      <c r="I425" s="355">
        <f>[28]Mei!$H$35</f>
        <v>26725000</v>
      </c>
      <c r="J425" s="355">
        <f>[28]Juni!$H$35</f>
        <v>20617570</v>
      </c>
      <c r="K425" s="355">
        <f>[28]Juli!$H$35</f>
        <v>17000000</v>
      </c>
      <c r="L425" s="355">
        <f>[28]Agustus!$H$35</f>
        <v>9400000</v>
      </c>
      <c r="M425" s="355">
        <f>[28]September!$H$35</f>
        <v>13093200</v>
      </c>
      <c r="N425" s="355">
        <f>[28]Oktober!$H$35</f>
        <v>8694910</v>
      </c>
      <c r="O425" s="355">
        <f>[28]Nopember!$H$35</f>
        <v>30463559</v>
      </c>
      <c r="P425" s="355">
        <f>[28]Desember!$H$35</f>
        <v>41968368</v>
      </c>
      <c r="Q425" s="346">
        <f t="shared" si="172"/>
        <v>222626765</v>
      </c>
      <c r="R425" s="1630">
        <f t="shared" si="173"/>
        <v>222626765</v>
      </c>
      <c r="S425" s="388"/>
      <c r="T425" s="841"/>
      <c r="V425" s="1788"/>
      <c r="W425" s="1788"/>
      <c r="X425" s="1788"/>
    </row>
    <row r="426" spans="1:24" s="253" customFormat="1" ht="14.1" customHeight="1">
      <c r="A426" s="290"/>
      <c r="B426" s="2759" t="s">
        <v>50</v>
      </c>
      <c r="C426" s="859" t="s">
        <v>714</v>
      </c>
      <c r="D426" s="371">
        <v>0</v>
      </c>
      <c r="E426" s="398">
        <v>0</v>
      </c>
      <c r="F426" s="398">
        <v>0</v>
      </c>
      <c r="G426" s="398">
        <v>0</v>
      </c>
      <c r="H426" s="398">
        <v>0</v>
      </c>
      <c r="I426" s="398">
        <v>0</v>
      </c>
      <c r="J426" s="398">
        <v>0</v>
      </c>
      <c r="K426" s="398">
        <v>0</v>
      </c>
      <c r="L426" s="398">
        <v>0</v>
      </c>
      <c r="M426" s="398">
        <v>0</v>
      </c>
      <c r="N426" s="398">
        <v>0</v>
      </c>
      <c r="O426" s="398">
        <v>0</v>
      </c>
      <c r="P426" s="398">
        <v>0</v>
      </c>
      <c r="Q426" s="346">
        <f t="shared" si="172"/>
        <v>0</v>
      </c>
      <c r="R426" s="1672">
        <f t="shared" si="173"/>
        <v>0</v>
      </c>
      <c r="S426" s="347">
        <v>0</v>
      </c>
      <c r="T426" s="841"/>
      <c r="V426" s="1788"/>
      <c r="W426" s="1788"/>
      <c r="X426" s="1788"/>
    </row>
    <row r="427" spans="1:24" s="245" customFormat="1" ht="14.1" customHeight="1">
      <c r="A427" s="1771"/>
      <c r="D427" s="404"/>
      <c r="E427" s="404"/>
      <c r="F427" s="404"/>
      <c r="G427" s="404"/>
      <c r="H427" s="404"/>
      <c r="I427" s="404"/>
      <c r="J427" s="404"/>
      <c r="K427" s="404"/>
      <c r="L427" s="404"/>
      <c r="M427" s="404"/>
      <c r="N427" s="404"/>
      <c r="O427" s="404"/>
      <c r="P427" s="404"/>
      <c r="Q427" s="404"/>
      <c r="R427" s="1622"/>
      <c r="S427" s="483"/>
      <c r="T427" s="845"/>
      <c r="V427" s="1593"/>
      <c r="W427" s="1593"/>
      <c r="X427" s="1593"/>
    </row>
    <row r="428" spans="1:24" s="189" customFormat="1" ht="14.1" customHeight="1">
      <c r="A428" s="1770"/>
      <c r="D428" s="334"/>
      <c r="E428" s="334"/>
      <c r="F428" s="334"/>
      <c r="G428" s="334"/>
      <c r="H428" s="334"/>
      <c r="I428" s="334"/>
      <c r="J428" s="334"/>
      <c r="K428" s="334"/>
      <c r="L428" s="334"/>
      <c r="M428" s="334"/>
      <c r="N428" s="334"/>
      <c r="O428" s="334"/>
      <c r="P428" s="334"/>
      <c r="Q428" s="334"/>
      <c r="R428" s="1710"/>
      <c r="S428" s="335"/>
      <c r="T428" s="430"/>
      <c r="V428" s="786"/>
      <c r="W428" s="786"/>
      <c r="X428" s="786"/>
    </row>
    <row r="429" spans="1:24" s="244" customFormat="1" ht="14.1" customHeight="1">
      <c r="A429" s="1772" t="s">
        <v>176</v>
      </c>
      <c r="B429" s="1773" t="s">
        <v>828</v>
      </c>
      <c r="C429" s="1321"/>
      <c r="D429" s="1774">
        <f>D430+D433</f>
        <v>1400000000</v>
      </c>
      <c r="E429" s="1331">
        <f t="shared" ref="E429:Q429" si="174">E430+E433</f>
        <v>36150000</v>
      </c>
      <c r="F429" s="1331">
        <f t="shared" si="174"/>
        <v>68800000</v>
      </c>
      <c r="G429" s="1331">
        <f t="shared" si="174"/>
        <v>66150000</v>
      </c>
      <c r="H429" s="1331">
        <f t="shared" si="174"/>
        <v>105500000</v>
      </c>
      <c r="I429" s="1331">
        <f t="shared" si="174"/>
        <v>106100000</v>
      </c>
      <c r="J429" s="1331">
        <f t="shared" si="174"/>
        <v>91859750</v>
      </c>
      <c r="K429" s="1331">
        <f t="shared" si="174"/>
        <v>64500000</v>
      </c>
      <c r="L429" s="1331">
        <f t="shared" si="174"/>
        <v>81550000</v>
      </c>
      <c r="M429" s="1331">
        <f t="shared" si="174"/>
        <v>72600000</v>
      </c>
      <c r="N429" s="1331">
        <f t="shared" si="174"/>
        <v>95100000</v>
      </c>
      <c r="O429" s="1331">
        <f t="shared" si="174"/>
        <v>148700000</v>
      </c>
      <c r="P429" s="1331">
        <f t="shared" si="174"/>
        <v>160629447</v>
      </c>
      <c r="Q429" s="1331">
        <f t="shared" si="174"/>
        <v>1097639197</v>
      </c>
      <c r="R429" s="1789">
        <f>+Q429-D429</f>
        <v>-302360803</v>
      </c>
      <c r="S429" s="1487">
        <f>+Q429/D429*100</f>
        <v>78.402799785714279</v>
      </c>
      <c r="T429" s="1340"/>
      <c r="V429" s="434"/>
      <c r="W429" s="434"/>
      <c r="X429" s="434"/>
    </row>
    <row r="430" spans="1:24" s="189" customFormat="1" ht="14.1" customHeight="1">
      <c r="A430" s="1554"/>
      <c r="B430" s="1329" t="s">
        <v>63</v>
      </c>
      <c r="C430" s="1338"/>
      <c r="D430" s="1654">
        <f>D431</f>
        <v>1400000000</v>
      </c>
      <c r="E430" s="1654">
        <f t="shared" ref="E430:P430" si="175">E431</f>
        <v>36150000</v>
      </c>
      <c r="F430" s="1654">
        <f t="shared" si="175"/>
        <v>68800000</v>
      </c>
      <c r="G430" s="1654">
        <f t="shared" si="175"/>
        <v>66150000</v>
      </c>
      <c r="H430" s="1654">
        <f t="shared" si="175"/>
        <v>105500000</v>
      </c>
      <c r="I430" s="1654">
        <f t="shared" si="175"/>
        <v>106100000</v>
      </c>
      <c r="J430" s="1654">
        <f t="shared" si="175"/>
        <v>79900000</v>
      </c>
      <c r="K430" s="1654">
        <f t="shared" si="175"/>
        <v>64500000</v>
      </c>
      <c r="L430" s="1654">
        <f t="shared" si="175"/>
        <v>81550000</v>
      </c>
      <c r="M430" s="1654">
        <f t="shared" si="175"/>
        <v>72600000</v>
      </c>
      <c r="N430" s="1654">
        <f t="shared" si="175"/>
        <v>95100000</v>
      </c>
      <c r="O430" s="1654">
        <f t="shared" si="175"/>
        <v>148700000</v>
      </c>
      <c r="P430" s="1654">
        <f t="shared" si="175"/>
        <v>148850000</v>
      </c>
      <c r="Q430" s="1655">
        <f>SUM(E430:P430)</f>
        <v>1073900000</v>
      </c>
      <c r="R430" s="1673">
        <f>Q430-D430</f>
        <v>-326100000</v>
      </c>
      <c r="S430" s="1337">
        <f>Q430/D430*100</f>
        <v>76.707142857142856</v>
      </c>
      <c r="T430" s="1790"/>
      <c r="V430" s="786"/>
      <c r="W430" s="786"/>
      <c r="X430" s="786"/>
    </row>
    <row r="431" spans="1:24" s="189" customFormat="1" ht="14.1" customHeight="1">
      <c r="A431" s="290"/>
      <c r="B431" s="2760" t="s">
        <v>50</v>
      </c>
      <c r="C431" s="253" t="s">
        <v>829</v>
      </c>
      <c r="D431" s="1556">
        <f>'[4]TARGET MURNI DAN PERUBAHAN'!D354</f>
        <v>1400000000</v>
      </c>
      <c r="E431" s="375">
        <f>[47]Januari!$D$35</f>
        <v>36150000</v>
      </c>
      <c r="F431" s="375">
        <f>[47]Februari!$D$35</f>
        <v>68800000</v>
      </c>
      <c r="G431" s="375">
        <f>[47]Maret!$D$35</f>
        <v>66150000</v>
      </c>
      <c r="H431" s="375">
        <f>[47]April!$D$35</f>
        <v>105500000</v>
      </c>
      <c r="I431" s="375">
        <f>[47]Mei!$D$35</f>
        <v>106100000</v>
      </c>
      <c r="J431" s="375">
        <f>[47]Juni!$D$35</f>
        <v>79900000</v>
      </c>
      <c r="K431" s="375">
        <f>[47]Juli!$D$35</f>
        <v>64500000</v>
      </c>
      <c r="L431" s="375">
        <f>[47]Agustus!$D$35</f>
        <v>81550000</v>
      </c>
      <c r="M431" s="375">
        <f>[47]September!$D$35</f>
        <v>72600000</v>
      </c>
      <c r="N431" s="375">
        <f>[47]Oktober!$D$35</f>
        <v>95100000</v>
      </c>
      <c r="O431" s="375">
        <f>[47]Nopember!$D$35</f>
        <v>148700000</v>
      </c>
      <c r="P431" s="375">
        <f>[47]Desember!$D$35</f>
        <v>148850000</v>
      </c>
      <c r="Q431" s="346">
        <f>SUM(E431:P431)</f>
        <v>1073900000</v>
      </c>
      <c r="R431" s="1630">
        <f>Q431-D431</f>
        <v>-326100000</v>
      </c>
      <c r="S431" s="388">
        <f>Q431/D431*100</f>
        <v>76.707142857142856</v>
      </c>
      <c r="T431" s="1497"/>
      <c r="V431" s="434">
        <f>Q431/9</f>
        <v>119322222.22222222</v>
      </c>
      <c r="W431" s="786"/>
      <c r="X431" s="786"/>
    </row>
    <row r="432" spans="1:24" s="189" customFormat="1" ht="14.1" customHeight="1">
      <c r="A432" s="290"/>
      <c r="B432" s="253"/>
      <c r="C432" s="253"/>
      <c r="D432" s="355"/>
      <c r="E432" s="375"/>
      <c r="F432" s="375"/>
      <c r="G432" s="375"/>
      <c r="H432" s="375"/>
      <c r="I432" s="375"/>
      <c r="J432" s="375"/>
      <c r="K432" s="375"/>
      <c r="L432" s="375"/>
      <c r="M432" s="375"/>
      <c r="N432" s="375"/>
      <c r="O432" s="375"/>
      <c r="P432" s="375"/>
      <c r="Q432" s="375"/>
      <c r="R432" s="1630"/>
      <c r="S432" s="388"/>
      <c r="T432" s="1497"/>
      <c r="V432" s="786"/>
      <c r="W432" s="786"/>
      <c r="X432" s="786"/>
    </row>
    <row r="433" spans="1:24" s="189" customFormat="1" ht="14.1" customHeight="1">
      <c r="A433" s="290"/>
      <c r="B433" s="291" t="s">
        <v>71</v>
      </c>
      <c r="C433" s="291"/>
      <c r="D433" s="371">
        <f>SUM(D434:D438)</f>
        <v>0</v>
      </c>
      <c r="E433" s="398">
        <f>SUM(E434:E438)</f>
        <v>0</v>
      </c>
      <c r="F433" s="398">
        <f t="shared" ref="F433:Q433" si="176">SUM(F434:F438)</f>
        <v>0</v>
      </c>
      <c r="G433" s="398">
        <f t="shared" si="176"/>
        <v>0</v>
      </c>
      <c r="H433" s="398">
        <f t="shared" si="176"/>
        <v>0</v>
      </c>
      <c r="I433" s="398">
        <f t="shared" si="176"/>
        <v>0</v>
      </c>
      <c r="J433" s="398">
        <f t="shared" si="176"/>
        <v>11959750</v>
      </c>
      <c r="K433" s="398">
        <f t="shared" si="176"/>
        <v>0</v>
      </c>
      <c r="L433" s="398">
        <f t="shared" si="176"/>
        <v>0</v>
      </c>
      <c r="M433" s="398">
        <f t="shared" si="176"/>
        <v>0</v>
      </c>
      <c r="N433" s="398">
        <f t="shared" si="176"/>
        <v>0</v>
      </c>
      <c r="O433" s="398">
        <f t="shared" si="176"/>
        <v>0</v>
      </c>
      <c r="P433" s="398">
        <f t="shared" si="176"/>
        <v>11779447</v>
      </c>
      <c r="Q433" s="398">
        <f t="shared" si="176"/>
        <v>23739197</v>
      </c>
      <c r="R433" s="1652">
        <f>Q433-D433</f>
        <v>23739197</v>
      </c>
      <c r="S433" s="347"/>
      <c r="T433" s="699"/>
      <c r="V433" s="786"/>
      <c r="W433" s="786"/>
      <c r="X433" s="786"/>
    </row>
    <row r="434" spans="1:24" s="189" customFormat="1" ht="14.1" customHeight="1">
      <c r="A434" s="290"/>
      <c r="B434" s="2759" t="s">
        <v>50</v>
      </c>
      <c r="C434" s="859" t="s">
        <v>710</v>
      </c>
      <c r="D434" s="355">
        <v>0</v>
      </c>
      <c r="E434" s="375">
        <f>[47]Januari!$E$35</f>
        <v>0</v>
      </c>
      <c r="F434" s="375">
        <f>[47]Februari!$E$35</f>
        <v>0</v>
      </c>
      <c r="G434" s="375">
        <f>[47]Maret!$E$35</f>
        <v>0</v>
      </c>
      <c r="H434" s="375">
        <f>[47]April!$E$35</f>
        <v>0</v>
      </c>
      <c r="I434" s="375">
        <f>[47]Mei!$E$35</f>
        <v>0</v>
      </c>
      <c r="J434" s="375">
        <f>[47]Juni!$E$35</f>
        <v>0</v>
      </c>
      <c r="K434" s="375">
        <f>[47]Juli!$E$35</f>
        <v>0</v>
      </c>
      <c r="L434" s="375">
        <f>[47]Agustus!$E$35</f>
        <v>0</v>
      </c>
      <c r="M434" s="375">
        <f>[47]September!$E$35</f>
        <v>0</v>
      </c>
      <c r="N434" s="375">
        <f>[47]Oktober!$E$35</f>
        <v>0</v>
      </c>
      <c r="O434" s="375">
        <f>[47]Nopember!$E$35</f>
        <v>0</v>
      </c>
      <c r="P434" s="375">
        <f>[47]Desember!$E$35</f>
        <v>0</v>
      </c>
      <c r="Q434" s="346">
        <f>SUM(E434:P434)</f>
        <v>0</v>
      </c>
      <c r="R434" s="1630">
        <f>Q434-D434</f>
        <v>0</v>
      </c>
      <c r="S434" s="388"/>
      <c r="T434" s="448"/>
      <c r="V434" s="786"/>
      <c r="W434" s="786"/>
      <c r="X434" s="786"/>
    </row>
    <row r="435" spans="1:24" s="189" customFormat="1" ht="14.1" customHeight="1">
      <c r="A435" s="290"/>
      <c r="B435" s="2759" t="s">
        <v>50</v>
      </c>
      <c r="C435" s="859" t="s">
        <v>711</v>
      </c>
      <c r="D435" s="355"/>
      <c r="E435" s="375">
        <f>[47]Januari!$F$35</f>
        <v>0</v>
      </c>
      <c r="F435" s="375">
        <f>[47]Februari!$F$35</f>
        <v>0</v>
      </c>
      <c r="G435" s="375">
        <f>[47]Maret!$F$35</f>
        <v>0</v>
      </c>
      <c r="H435" s="375">
        <f>[47]April!$F$35</f>
        <v>0</v>
      </c>
      <c r="I435" s="375">
        <f>[47]Mei!$F$35</f>
        <v>0</v>
      </c>
      <c r="J435" s="375">
        <f>[47]Juni!$F$35</f>
        <v>0</v>
      </c>
      <c r="K435" s="375">
        <f>[47]Juli!$F$35</f>
        <v>0</v>
      </c>
      <c r="L435" s="375">
        <f>[47]Agustus!$F$35</f>
        <v>0</v>
      </c>
      <c r="M435" s="375">
        <f>[47]September!$F$35</f>
        <v>0</v>
      </c>
      <c r="N435" s="375">
        <f>[47]Oktober!$F$35</f>
        <v>0</v>
      </c>
      <c r="O435" s="375">
        <f>[47]Nopember!$F$35</f>
        <v>0</v>
      </c>
      <c r="P435" s="375">
        <f>[47]Desember!$F$35</f>
        <v>0</v>
      </c>
      <c r="Q435" s="346"/>
      <c r="R435" s="1630"/>
      <c r="S435" s="388"/>
      <c r="T435" s="449"/>
      <c r="V435" s="786"/>
      <c r="W435" s="786"/>
      <c r="X435" s="786"/>
    </row>
    <row r="436" spans="1:24" s="189" customFormat="1" ht="14.1" customHeight="1">
      <c r="A436" s="290"/>
      <c r="B436" s="2759" t="s">
        <v>50</v>
      </c>
      <c r="C436" s="859" t="s">
        <v>712</v>
      </c>
      <c r="D436" s="355"/>
      <c r="E436" s="375">
        <f>[47]Januari!$G$35</f>
        <v>0</v>
      </c>
      <c r="F436" s="375">
        <f>[47]Februari!$G$35</f>
        <v>0</v>
      </c>
      <c r="G436" s="375">
        <f>[47]Maret!$G$35</f>
        <v>0</v>
      </c>
      <c r="H436" s="375">
        <f>[47]April!$G$35</f>
        <v>0</v>
      </c>
      <c r="I436" s="375">
        <f>[47]Mei!$G$35</f>
        <v>0</v>
      </c>
      <c r="J436" s="375">
        <f>[47]Juni!$G$35</f>
        <v>0</v>
      </c>
      <c r="K436" s="375">
        <f>[47]Juli!$G$35</f>
        <v>0</v>
      </c>
      <c r="L436" s="375">
        <f>[47]Agustus!$G$35</f>
        <v>0</v>
      </c>
      <c r="M436" s="375">
        <f>[47]September!$G$35</f>
        <v>0</v>
      </c>
      <c r="N436" s="375">
        <f>[47]Oktober!$G$35</f>
        <v>0</v>
      </c>
      <c r="O436" s="375">
        <f>[47]Nopember!$G$35</f>
        <v>0</v>
      </c>
      <c r="P436" s="375">
        <f>[47]Desember!$G$35</f>
        <v>0</v>
      </c>
      <c r="Q436" s="346"/>
      <c r="R436" s="1630"/>
      <c r="S436" s="388"/>
      <c r="T436" s="449"/>
      <c r="V436" s="786"/>
      <c r="W436" s="786"/>
      <c r="X436" s="786"/>
    </row>
    <row r="437" spans="1:24" s="189" customFormat="1" ht="14.1" customHeight="1">
      <c r="A437" s="290"/>
      <c r="B437" s="2759" t="s">
        <v>50</v>
      </c>
      <c r="C437" s="859" t="s">
        <v>713</v>
      </c>
      <c r="D437" s="355"/>
      <c r="E437" s="375">
        <f>[47]Januari!$H$35</f>
        <v>0</v>
      </c>
      <c r="F437" s="375">
        <f>[47]Februari!$H$35</f>
        <v>0</v>
      </c>
      <c r="G437" s="375">
        <f>[47]Maret!$H$35</f>
        <v>0</v>
      </c>
      <c r="H437" s="375">
        <f>[47]April!$H$35</f>
        <v>0</v>
      </c>
      <c r="I437" s="375">
        <f>[47]Mei!$H$35</f>
        <v>0</v>
      </c>
      <c r="J437" s="375">
        <f>[47]Juni!$H$35</f>
        <v>11959750</v>
      </c>
      <c r="K437" s="375">
        <f>[47]Juli!$H$35</f>
        <v>0</v>
      </c>
      <c r="L437" s="375">
        <f>[47]Agustus!$H$35</f>
        <v>0</v>
      </c>
      <c r="M437" s="375">
        <f>[47]September!$H$35</f>
        <v>0</v>
      </c>
      <c r="N437" s="375">
        <f>[47]Oktober!$H$35</f>
        <v>0</v>
      </c>
      <c r="O437" s="375">
        <f>[47]Nopember!$H$35</f>
        <v>0</v>
      </c>
      <c r="P437" s="375">
        <f>[47]Desember!$H$35</f>
        <v>11779447</v>
      </c>
      <c r="Q437" s="346">
        <f>SUM(E437:P437)</f>
        <v>23739197</v>
      </c>
      <c r="R437" s="1652">
        <f t="shared" ref="R437:R442" si="177">Q437-D437</f>
        <v>23739197</v>
      </c>
      <c r="S437" s="388"/>
      <c r="T437" s="449"/>
      <c r="V437" s="786"/>
      <c r="W437" s="786"/>
      <c r="X437" s="786"/>
    </row>
    <row r="438" spans="1:24" s="189" customFormat="1" ht="14.1" customHeight="1">
      <c r="A438" s="290"/>
      <c r="B438" s="2759" t="s">
        <v>50</v>
      </c>
      <c r="C438" s="859" t="s">
        <v>714</v>
      </c>
      <c r="D438" s="355"/>
      <c r="E438" s="375">
        <v>0</v>
      </c>
      <c r="F438" s="375">
        <v>0</v>
      </c>
      <c r="G438" s="375">
        <v>0</v>
      </c>
      <c r="H438" s="375">
        <v>0</v>
      </c>
      <c r="I438" s="375">
        <v>0</v>
      </c>
      <c r="J438" s="375">
        <v>0</v>
      </c>
      <c r="K438" s="375">
        <v>0</v>
      </c>
      <c r="L438" s="375">
        <v>0</v>
      </c>
      <c r="M438" s="375">
        <v>0</v>
      </c>
      <c r="N438" s="375">
        <v>0</v>
      </c>
      <c r="O438" s="375">
        <v>0</v>
      </c>
      <c r="P438" s="375">
        <v>0</v>
      </c>
      <c r="Q438" s="346">
        <f>SUM(E438:P438)</f>
        <v>0</v>
      </c>
      <c r="R438" s="1630">
        <f t="shared" si="177"/>
        <v>0</v>
      </c>
      <c r="S438" s="388"/>
      <c r="T438" s="1791"/>
      <c r="V438" s="786"/>
      <c r="W438" s="786"/>
      <c r="X438" s="786"/>
    </row>
    <row r="439" spans="1:24" s="245" customFormat="1" ht="14.1" customHeight="1">
      <c r="A439" s="575"/>
      <c r="B439" s="253"/>
      <c r="C439" s="253"/>
      <c r="D439" s="380"/>
      <c r="E439" s="379"/>
      <c r="F439" s="379"/>
      <c r="G439" s="379"/>
      <c r="H439" s="379"/>
      <c r="I439" s="379"/>
      <c r="J439" s="379"/>
      <c r="K439" s="379"/>
      <c r="L439" s="379"/>
      <c r="M439" s="379"/>
      <c r="N439" s="379"/>
      <c r="O439" s="379"/>
      <c r="P439" s="379"/>
      <c r="Q439" s="379"/>
      <c r="R439" s="1625"/>
      <c r="S439" s="501"/>
      <c r="T439" s="1792"/>
      <c r="V439" s="1593"/>
      <c r="W439" s="1593"/>
      <c r="X439" s="1593"/>
    </row>
    <row r="440" spans="1:24" s="244" customFormat="1" ht="14.1" customHeight="1">
      <c r="A440" s="1696" t="s">
        <v>300</v>
      </c>
      <c r="B440" s="1553" t="s">
        <v>830</v>
      </c>
      <c r="C440" s="298"/>
      <c r="D440" s="835">
        <f t="shared" ref="D440:P440" si="178">D442</f>
        <v>18548560000</v>
      </c>
      <c r="E440" s="337">
        <f t="shared" si="178"/>
        <v>1635856737</v>
      </c>
      <c r="F440" s="337">
        <f t="shared" si="178"/>
        <v>1419557191</v>
      </c>
      <c r="G440" s="337">
        <f t="shared" si="178"/>
        <v>1517085812</v>
      </c>
      <c r="H440" s="337">
        <f t="shared" si="178"/>
        <v>1419903402</v>
      </c>
      <c r="I440" s="337">
        <f t="shared" si="178"/>
        <v>1640036613.3399999</v>
      </c>
      <c r="J440" s="337">
        <f t="shared" si="178"/>
        <v>1618093527</v>
      </c>
      <c r="K440" s="337">
        <f t="shared" si="178"/>
        <v>1449985809</v>
      </c>
      <c r="L440" s="337">
        <f t="shared" si="178"/>
        <v>1771745667</v>
      </c>
      <c r="M440" s="337">
        <f t="shared" si="178"/>
        <v>1629769613</v>
      </c>
      <c r="N440" s="337">
        <f t="shared" si="178"/>
        <v>1617648765</v>
      </c>
      <c r="O440" s="337">
        <f t="shared" si="178"/>
        <v>2166678013</v>
      </c>
      <c r="P440" s="337">
        <f t="shared" si="178"/>
        <v>1841811370.02</v>
      </c>
      <c r="Q440" s="337">
        <f>SUM(E440:P440)</f>
        <v>19728172519.360001</v>
      </c>
      <c r="R440" s="1636">
        <f>+Q440-D440</f>
        <v>1179612519.3600006</v>
      </c>
      <c r="S440" s="338">
        <f>+Q440/D440*100</f>
        <v>106.35959082192903</v>
      </c>
      <c r="T440" s="432"/>
      <c r="V440" s="434"/>
      <c r="W440" s="434"/>
      <c r="X440" s="434"/>
    </row>
    <row r="441" spans="1:24" s="189" customFormat="1" ht="14.1" customHeight="1">
      <c r="A441" s="1554"/>
      <c r="B441" s="1338"/>
      <c r="C441" s="1338"/>
      <c r="D441" s="1654"/>
      <c r="E441" s="1775"/>
      <c r="F441" s="1775"/>
      <c r="G441" s="1775"/>
      <c r="H441" s="1775"/>
      <c r="I441" s="1775"/>
      <c r="J441" s="1775"/>
      <c r="K441" s="1775"/>
      <c r="L441" s="1775"/>
      <c r="M441" s="1775"/>
      <c r="N441" s="1775"/>
      <c r="O441" s="1775"/>
      <c r="P441" s="1775"/>
      <c r="Q441" s="1775"/>
      <c r="R441" s="1793"/>
      <c r="S441" s="1794"/>
      <c r="T441" s="1706"/>
      <c r="V441" s="786"/>
      <c r="W441" s="786"/>
      <c r="X441" s="786"/>
    </row>
    <row r="442" spans="1:24" s="254" customFormat="1" ht="14.1" customHeight="1">
      <c r="A442" s="290"/>
      <c r="B442" s="291" t="s">
        <v>71</v>
      </c>
      <c r="C442" s="291"/>
      <c r="D442" s="371">
        <f t="shared" ref="D442:Q442" si="179">+D444+D465+D481</f>
        <v>18548560000</v>
      </c>
      <c r="E442" s="398">
        <f t="shared" si="179"/>
        <v>1635856737</v>
      </c>
      <c r="F442" s="398">
        <f t="shared" si="179"/>
        <v>1419557191</v>
      </c>
      <c r="G442" s="398">
        <f t="shared" si="179"/>
        <v>1517085812</v>
      </c>
      <c r="H442" s="398">
        <f t="shared" si="179"/>
        <v>1419903402</v>
      </c>
      <c r="I442" s="398">
        <f t="shared" si="179"/>
        <v>1640036613.3399999</v>
      </c>
      <c r="J442" s="398">
        <f t="shared" si="179"/>
        <v>1618093527</v>
      </c>
      <c r="K442" s="398">
        <f t="shared" si="179"/>
        <v>1449985809</v>
      </c>
      <c r="L442" s="398">
        <f t="shared" si="179"/>
        <v>1771745667</v>
      </c>
      <c r="M442" s="398">
        <f t="shared" si="179"/>
        <v>1629769613</v>
      </c>
      <c r="N442" s="398">
        <f t="shared" si="179"/>
        <v>1617648765</v>
      </c>
      <c r="O442" s="398">
        <f t="shared" si="179"/>
        <v>2166678013</v>
      </c>
      <c r="P442" s="398">
        <f t="shared" si="179"/>
        <v>1841811370.02</v>
      </c>
      <c r="Q442" s="398">
        <f t="shared" si="179"/>
        <v>19728172519.360001</v>
      </c>
      <c r="R442" s="1652">
        <f t="shared" si="177"/>
        <v>1179612519.3600006</v>
      </c>
      <c r="S442" s="347">
        <f>Q442/D442*100</f>
        <v>106.35959082192903</v>
      </c>
      <c r="T442" s="699"/>
      <c r="V442" s="786"/>
      <c r="W442" s="786"/>
      <c r="X442" s="786"/>
    </row>
    <row r="443" spans="1:24" s="254" customFormat="1" ht="14.1" customHeight="1">
      <c r="A443" s="290"/>
      <c r="B443" s="291"/>
      <c r="C443" s="291"/>
      <c r="D443" s="371"/>
      <c r="E443" s="398"/>
      <c r="F443" s="398"/>
      <c r="G443" s="398"/>
      <c r="H443" s="398"/>
      <c r="I443" s="398"/>
      <c r="J443" s="398"/>
      <c r="K443" s="398"/>
      <c r="L443" s="398"/>
      <c r="M443" s="398"/>
      <c r="N443" s="398"/>
      <c r="O443" s="398"/>
      <c r="P443" s="398"/>
      <c r="Q443" s="398"/>
      <c r="R443" s="1652"/>
      <c r="S443" s="347"/>
      <c r="T443" s="699"/>
      <c r="V443" s="786"/>
      <c r="W443" s="786"/>
      <c r="X443" s="786"/>
    </row>
    <row r="444" spans="1:24" s="254" customFormat="1" ht="14.1" customHeight="1">
      <c r="A444" s="290"/>
      <c r="B444" s="291" t="s">
        <v>307</v>
      </c>
      <c r="C444" s="253"/>
      <c r="D444" s="371">
        <f>+D445+D455</f>
        <v>18548560000</v>
      </c>
      <c r="E444" s="398">
        <f t="shared" ref="E444:Q444" si="180">+E445+E455</f>
        <v>1629556737</v>
      </c>
      <c r="F444" s="398">
        <f t="shared" si="180"/>
        <v>1415569191</v>
      </c>
      <c r="G444" s="398">
        <f t="shared" si="180"/>
        <v>1516377812</v>
      </c>
      <c r="H444" s="398">
        <f t="shared" si="180"/>
        <v>1418896879</v>
      </c>
      <c r="I444" s="398">
        <f t="shared" si="180"/>
        <v>1575888106</v>
      </c>
      <c r="J444" s="398">
        <f t="shared" si="180"/>
        <v>1615385527</v>
      </c>
      <c r="K444" s="398">
        <f t="shared" si="180"/>
        <v>1449150309</v>
      </c>
      <c r="L444" s="398">
        <f t="shared" si="180"/>
        <v>1762788667</v>
      </c>
      <c r="M444" s="398">
        <f t="shared" si="180"/>
        <v>1625689113</v>
      </c>
      <c r="N444" s="398">
        <f t="shared" si="180"/>
        <v>1616940765</v>
      </c>
      <c r="O444" s="398">
        <f t="shared" si="180"/>
        <v>2141098373</v>
      </c>
      <c r="P444" s="398">
        <f t="shared" si="180"/>
        <v>1834690054</v>
      </c>
      <c r="Q444" s="398">
        <f t="shared" si="180"/>
        <v>19602031533</v>
      </c>
      <c r="R444" s="1652">
        <f t="shared" ref="R444:R477" si="181">Q444-D444</f>
        <v>1053471533</v>
      </c>
      <c r="S444" s="347">
        <f t="shared" ref="S444:S464" si="182">Q444/D444*100</f>
        <v>105.67953271305157</v>
      </c>
      <c r="T444" s="448"/>
      <c r="V444" s="786"/>
      <c r="W444" s="786"/>
      <c r="X444" s="786"/>
    </row>
    <row r="445" spans="1:24" s="255" customFormat="1" ht="14.1" customHeight="1">
      <c r="A445" s="290"/>
      <c r="B445" s="291" t="s">
        <v>309</v>
      </c>
      <c r="C445" s="291"/>
      <c r="D445" s="973">
        <f>SUM(D446:D454)</f>
        <v>18448560000</v>
      </c>
      <c r="E445" s="1005">
        <f t="shared" ref="E445:Q445" si="183">SUM(E446:E454)</f>
        <v>1574913460</v>
      </c>
      <c r="F445" s="1005">
        <f t="shared" si="183"/>
        <v>1363962976</v>
      </c>
      <c r="G445" s="1005">
        <f t="shared" si="183"/>
        <v>1487333016</v>
      </c>
      <c r="H445" s="1005">
        <f t="shared" si="183"/>
        <v>1399406203</v>
      </c>
      <c r="I445" s="1005">
        <f t="shared" si="183"/>
        <v>1570178458</v>
      </c>
      <c r="J445" s="1005">
        <f t="shared" si="183"/>
        <v>1572970122</v>
      </c>
      <c r="K445" s="1005">
        <f t="shared" si="183"/>
        <v>1403205022</v>
      </c>
      <c r="L445" s="1005">
        <f t="shared" si="183"/>
        <v>1751411330</v>
      </c>
      <c r="M445" s="1005">
        <f t="shared" si="183"/>
        <v>1611421422</v>
      </c>
      <c r="N445" s="1005">
        <f t="shared" si="183"/>
        <v>1596525948</v>
      </c>
      <c r="O445" s="1005">
        <f t="shared" si="183"/>
        <v>2098048648</v>
      </c>
      <c r="P445" s="1005">
        <f t="shared" si="183"/>
        <v>1807930115</v>
      </c>
      <c r="Q445" s="398">
        <f t="shared" si="183"/>
        <v>19237306720</v>
      </c>
      <c r="R445" s="1708">
        <f t="shared" si="181"/>
        <v>788746720</v>
      </c>
      <c r="S445" s="388">
        <f t="shared" si="182"/>
        <v>104.27538366138063</v>
      </c>
      <c r="T445" s="699"/>
      <c r="V445" s="786"/>
      <c r="W445" s="786"/>
      <c r="X445" s="786"/>
    </row>
    <row r="446" spans="1:24" s="254" customFormat="1" ht="14.1" customHeight="1">
      <c r="A446" s="290"/>
      <c r="B446" s="842">
        <v>1</v>
      </c>
      <c r="C446" s="1776" t="s">
        <v>831</v>
      </c>
      <c r="D446" s="1556">
        <f>'[4]TARGET MURNI DAN PERUBAHAN'!D366</f>
        <v>18448560000</v>
      </c>
      <c r="E446" s="355">
        <f>[30]Januari!$D$35</f>
        <v>443861406</v>
      </c>
      <c r="F446" s="355">
        <f>[30]Februari!$D$35</f>
        <v>422608032</v>
      </c>
      <c r="G446" s="355">
        <f>[30]Maret!$D$35</f>
        <v>515721653</v>
      </c>
      <c r="H446" s="355">
        <f>[30]April!$D$35</f>
        <v>483664265</v>
      </c>
      <c r="I446" s="355">
        <f>[30]Mei!$D$35</f>
        <v>488519596</v>
      </c>
      <c r="J446" s="355">
        <f>[30]Juni!$D$35</f>
        <v>465855133</v>
      </c>
      <c r="K446" s="355">
        <f>[30]Juli!$D$35</f>
        <v>429649475</v>
      </c>
      <c r="L446" s="355">
        <f>[30]Agustus!$D$35</f>
        <v>529846615</v>
      </c>
      <c r="M446" s="355">
        <f>[30]September!$D$35</f>
        <v>495007609</v>
      </c>
      <c r="N446" s="355">
        <f>[30]Oktober!$D$35</f>
        <v>437994656</v>
      </c>
      <c r="O446" s="355">
        <f>[30]Nopember!$D$35</f>
        <v>631349238</v>
      </c>
      <c r="P446" s="355">
        <f>[30]Desember!$D$35</f>
        <v>556916803</v>
      </c>
      <c r="Q446" s="346">
        <f t="shared" ref="Q446:Q481" si="184">SUM(E446:P446)</f>
        <v>5900994481</v>
      </c>
      <c r="R446" s="1630">
        <f t="shared" si="181"/>
        <v>-12547565519</v>
      </c>
      <c r="S446" s="388">
        <f t="shared" si="182"/>
        <v>31.986206408521856</v>
      </c>
      <c r="T446" s="994"/>
      <c r="V446" s="434">
        <f>Q446/10</f>
        <v>590099448.10000002</v>
      </c>
      <c r="W446" s="786"/>
      <c r="X446" s="786"/>
    </row>
    <row r="447" spans="1:24" s="254" customFormat="1" ht="14.1" customHeight="1">
      <c r="A447" s="290"/>
      <c r="B447" s="842">
        <v>2</v>
      </c>
      <c r="C447" s="1776" t="s">
        <v>832</v>
      </c>
      <c r="D447" s="1556">
        <f>'[4]TARGET MURNI DAN PERUBAHAN'!D367</f>
        <v>0</v>
      </c>
      <c r="E447" s="355">
        <f>[31]Januari!$D$35</f>
        <v>193258575</v>
      </c>
      <c r="F447" s="355">
        <f>[31]Februari!$D$35</f>
        <v>196572055</v>
      </c>
      <c r="G447" s="355">
        <f>[31]Maret!$D$35</f>
        <v>222194349</v>
      </c>
      <c r="H447" s="355">
        <f>[31]April!$D$35</f>
        <v>198749306</v>
      </c>
      <c r="I447" s="355">
        <f>[31]Mei!$D$35</f>
        <v>226061911</v>
      </c>
      <c r="J447" s="355">
        <f>[31]Juni!$D$35</f>
        <v>213189820</v>
      </c>
      <c r="K447" s="355">
        <f>[31]Juli!$D$35</f>
        <v>190098650</v>
      </c>
      <c r="L447" s="355">
        <f>[31]Agustus!$D$35</f>
        <v>262306450</v>
      </c>
      <c r="M447" s="355">
        <f>[31]September!$D$35</f>
        <v>223693554</v>
      </c>
      <c r="N447" s="355">
        <f>[31]Oktober!$D$35</f>
        <v>288091706</v>
      </c>
      <c r="O447" s="355">
        <f>[31]Nopember!$D$35</f>
        <v>312061270</v>
      </c>
      <c r="P447" s="355">
        <f>[31]Desember!$D$35</f>
        <v>254642520</v>
      </c>
      <c r="Q447" s="346">
        <f t="shared" si="184"/>
        <v>2780920166</v>
      </c>
      <c r="R447" s="1630">
        <f t="shared" si="181"/>
        <v>2780920166</v>
      </c>
      <c r="S447" s="388" t="e">
        <f t="shared" si="182"/>
        <v>#DIV/0!</v>
      </c>
      <c r="T447" s="448"/>
      <c r="V447" s="434">
        <f t="shared" ref="V447:V454" si="185">Q447/10</f>
        <v>278092016.60000002</v>
      </c>
      <c r="W447" s="786"/>
      <c r="X447" s="786"/>
    </row>
    <row r="448" spans="1:24" s="254" customFormat="1" ht="14.1" customHeight="1">
      <c r="A448" s="290"/>
      <c r="B448" s="842">
        <v>3</v>
      </c>
      <c r="C448" s="1776" t="s">
        <v>833</v>
      </c>
      <c r="D448" s="1556">
        <f>'[4]TARGET MURNI DAN PERUBAHAN'!D368</f>
        <v>0</v>
      </c>
      <c r="E448" s="355">
        <f>[32]Januari!$D$35</f>
        <v>247579964</v>
      </c>
      <c r="F448" s="355">
        <f>[32]Februari!$D$35</f>
        <v>224749542</v>
      </c>
      <c r="G448" s="355">
        <f>[32]Maret!$D$35</f>
        <v>223222081</v>
      </c>
      <c r="H448" s="355">
        <f>[32]April!$D$35</f>
        <v>220890307</v>
      </c>
      <c r="I448" s="355">
        <f>[32]Mei!$D$35</f>
        <v>261737181</v>
      </c>
      <c r="J448" s="355">
        <f>[32]Juni!$D$35</f>
        <v>236485848</v>
      </c>
      <c r="K448" s="355">
        <f>[32]Juli!$D$35</f>
        <v>231514405</v>
      </c>
      <c r="L448" s="355">
        <f>[32]Agustus!$D$35</f>
        <v>266987959</v>
      </c>
      <c r="M448" s="355">
        <f>[32]September!$D$35</f>
        <v>244545371</v>
      </c>
      <c r="N448" s="355">
        <f>[32]Oktober!$D$35</f>
        <v>256004175</v>
      </c>
      <c r="O448" s="355">
        <f>[32]Nopember!$D$35</f>
        <v>341571736</v>
      </c>
      <c r="P448" s="355">
        <f>[32]Desember!$D$35</f>
        <v>334374917</v>
      </c>
      <c r="Q448" s="346">
        <f t="shared" si="184"/>
        <v>3089663486</v>
      </c>
      <c r="R448" s="1630">
        <f t="shared" si="181"/>
        <v>3089663486</v>
      </c>
      <c r="S448" s="388" t="e">
        <f t="shared" si="182"/>
        <v>#DIV/0!</v>
      </c>
      <c r="T448" s="448"/>
      <c r="V448" s="434">
        <f t="shared" si="185"/>
        <v>308966348.60000002</v>
      </c>
      <c r="W448" s="786"/>
      <c r="X448" s="786"/>
    </row>
    <row r="449" spans="1:24" s="254" customFormat="1" ht="14.1" customHeight="1">
      <c r="A449" s="290"/>
      <c r="B449" s="842">
        <v>4</v>
      </c>
      <c r="C449" s="1776" t="s">
        <v>834</v>
      </c>
      <c r="D449" s="1556">
        <f>'[4]TARGET MURNI DAN PERUBAHAN'!D369</f>
        <v>0</v>
      </c>
      <c r="E449" s="355">
        <f>[33]Januari!$D$35</f>
        <v>90850585</v>
      </c>
      <c r="F449" s="355">
        <f>[33]Februari!$D$35</f>
        <v>93092047</v>
      </c>
      <c r="G449" s="355">
        <f>[33]Maret!$D$35</f>
        <v>101197728</v>
      </c>
      <c r="H449" s="355">
        <f>[33]April!$D$35</f>
        <v>113305818</v>
      </c>
      <c r="I449" s="355">
        <f>[33]Mei!$D$35</f>
        <v>132816453</v>
      </c>
      <c r="J449" s="355">
        <f>[33]Juni!$D$35</f>
        <v>153242124</v>
      </c>
      <c r="K449" s="355">
        <f>[33]Juli!$D$35</f>
        <v>128705473</v>
      </c>
      <c r="L449" s="355">
        <f>[33]Agustus!$D$35</f>
        <v>177230340</v>
      </c>
      <c r="M449" s="355">
        <f>[33]September!$D$35</f>
        <v>147531565</v>
      </c>
      <c r="N449" s="355">
        <f>[33]Oktober!$D$35</f>
        <v>138360713</v>
      </c>
      <c r="O449" s="355">
        <f>[33]Nopember!$D$35</f>
        <v>171152681</v>
      </c>
      <c r="P449" s="355">
        <f>[33]Desember!$D$35</f>
        <v>168640967</v>
      </c>
      <c r="Q449" s="346">
        <f t="shared" si="184"/>
        <v>1616126494</v>
      </c>
      <c r="R449" s="1630">
        <f t="shared" si="181"/>
        <v>1616126494</v>
      </c>
      <c r="S449" s="388" t="e">
        <f t="shared" si="182"/>
        <v>#DIV/0!</v>
      </c>
      <c r="T449" s="1797"/>
      <c r="V449" s="434">
        <f t="shared" si="185"/>
        <v>161612649.40000001</v>
      </c>
      <c r="W449" s="786"/>
      <c r="X449" s="786"/>
    </row>
    <row r="450" spans="1:24" s="254" customFormat="1" ht="14.1" customHeight="1">
      <c r="A450" s="290"/>
      <c r="B450" s="842">
        <v>5</v>
      </c>
      <c r="C450" s="1776" t="s">
        <v>835</v>
      </c>
      <c r="D450" s="1556">
        <f>'[4]TARGET MURNI DAN PERUBAHAN'!D370</f>
        <v>0</v>
      </c>
      <c r="E450" s="355">
        <f>[34]Januari!$D$35</f>
        <v>110304287</v>
      </c>
      <c r="F450" s="355">
        <f>[34]Februari!$D$35</f>
        <v>128612161</v>
      </c>
      <c r="G450" s="355">
        <f>[34]Maret!$D$35</f>
        <v>122402241</v>
      </c>
      <c r="H450" s="355">
        <f>[34]April!$D$35</f>
        <v>98008232</v>
      </c>
      <c r="I450" s="355">
        <f>[34]Mei!$D$35</f>
        <v>139917182</v>
      </c>
      <c r="J450" s="355">
        <f>[34]Juni!$D$35</f>
        <v>145719767</v>
      </c>
      <c r="K450" s="355">
        <f>[34]Juli!$D$35</f>
        <v>121615156</v>
      </c>
      <c r="L450" s="355">
        <f>[34]Agustus!$D$35</f>
        <v>161414001</v>
      </c>
      <c r="M450" s="355">
        <f>[34]September!$D$35</f>
        <v>161852676</v>
      </c>
      <c r="N450" s="355">
        <f>[34]Oktober!$D$35</f>
        <v>146650156</v>
      </c>
      <c r="O450" s="355">
        <f>[34]Nopember!$D$35</f>
        <v>200935108</v>
      </c>
      <c r="P450" s="355">
        <f>[34]Desember!$D$35</f>
        <v>154003162</v>
      </c>
      <c r="Q450" s="346">
        <f t="shared" si="184"/>
        <v>1691434129</v>
      </c>
      <c r="R450" s="1630">
        <f t="shared" si="181"/>
        <v>1691434129</v>
      </c>
      <c r="S450" s="388" t="e">
        <f t="shared" si="182"/>
        <v>#DIV/0!</v>
      </c>
      <c r="T450" s="448"/>
      <c r="V450" s="434">
        <f t="shared" si="185"/>
        <v>169143412.90000001</v>
      </c>
      <c r="W450" s="786"/>
      <c r="X450" s="786"/>
    </row>
    <row r="451" spans="1:24" s="254" customFormat="1" ht="14.1" customHeight="1">
      <c r="A451" s="290"/>
      <c r="B451" s="842">
        <v>6</v>
      </c>
      <c r="C451" s="1776" t="s">
        <v>836</v>
      </c>
      <c r="D451" s="1556">
        <f>'[4]TARGET MURNI DAN PERUBAHAN'!D371</f>
        <v>0</v>
      </c>
      <c r="E451" s="355">
        <f>[35]Januari!$D$35</f>
        <v>31104130</v>
      </c>
      <c r="F451" s="355">
        <f>[35]Februari!$D$35</f>
        <v>41952403</v>
      </c>
      <c r="G451" s="355">
        <f>[35]Maret!$D$35</f>
        <v>41790558</v>
      </c>
      <c r="H451" s="355">
        <f>[35]April!$D$35</f>
        <v>37872177</v>
      </c>
      <c r="I451" s="355">
        <f>[35]Mei!$D$35</f>
        <v>52305080</v>
      </c>
      <c r="J451" s="355">
        <f>[35]Juni!$D$35</f>
        <v>59639330</v>
      </c>
      <c r="K451" s="355">
        <f>[35]Juli!$D$35</f>
        <v>56689748</v>
      </c>
      <c r="L451" s="355">
        <f>[35]Agustus!$D$35</f>
        <v>55581090</v>
      </c>
      <c r="M451" s="355">
        <f>[35]September!$D$35</f>
        <v>55093945</v>
      </c>
      <c r="N451" s="355">
        <f>[35]Oktober!$D$35</f>
        <v>47040275</v>
      </c>
      <c r="O451" s="355">
        <f>[35]Nopember!$D$35</f>
        <v>68491622</v>
      </c>
      <c r="P451" s="355">
        <f>[35]Desember!$D$35</f>
        <v>54492878</v>
      </c>
      <c r="Q451" s="346">
        <f t="shared" si="184"/>
        <v>602053236</v>
      </c>
      <c r="R451" s="1630">
        <f t="shared" si="181"/>
        <v>602053236</v>
      </c>
      <c r="S451" s="388" t="e">
        <f t="shared" si="182"/>
        <v>#DIV/0!</v>
      </c>
      <c r="T451" s="448"/>
      <c r="V451" s="434">
        <f t="shared" si="185"/>
        <v>60205323.600000001</v>
      </c>
      <c r="W451" s="786"/>
      <c r="X451" s="786"/>
    </row>
    <row r="452" spans="1:24" s="254" customFormat="1" ht="14.1" customHeight="1">
      <c r="A452" s="290"/>
      <c r="B452" s="842">
        <v>7</v>
      </c>
      <c r="C452" s="1776" t="s">
        <v>837</v>
      </c>
      <c r="D452" s="1556">
        <f>'[4]TARGET MURNI DAN PERUBAHAN'!D372</f>
        <v>0</v>
      </c>
      <c r="E452" s="355">
        <f>[36]Januari!$D$35</f>
        <v>148938755</v>
      </c>
      <c r="F452" s="355">
        <f>[36]Februari!$D$35</f>
        <v>157882369</v>
      </c>
      <c r="G452" s="355">
        <f>[36]Maret!$D$35</f>
        <v>153586425</v>
      </c>
      <c r="H452" s="355">
        <f>[36]April!$D$35</f>
        <v>136441650</v>
      </c>
      <c r="I452" s="355">
        <f>[36]Mei!$D$35</f>
        <v>150828325</v>
      </c>
      <c r="J452" s="355">
        <f>[36]Juni!$D$35</f>
        <v>157086510</v>
      </c>
      <c r="K452" s="355">
        <f>[36]Juli!$D$35</f>
        <v>133249990</v>
      </c>
      <c r="L452" s="355">
        <f>[36]Agustus!$D$35</f>
        <v>164101175</v>
      </c>
      <c r="M452" s="355">
        <f>[36]September!$D$35</f>
        <v>156532902</v>
      </c>
      <c r="N452" s="355">
        <f>[36]Oktober!$D$35</f>
        <v>159720917</v>
      </c>
      <c r="O452" s="355">
        <f>[36]Nopember!$D$35</f>
        <v>214010251</v>
      </c>
      <c r="P452" s="355">
        <f>[36]Desember!$D$35</f>
        <v>192544268</v>
      </c>
      <c r="Q452" s="346">
        <f t="shared" si="184"/>
        <v>1924923537</v>
      </c>
      <c r="R452" s="1630">
        <f t="shared" si="181"/>
        <v>1924923537</v>
      </c>
      <c r="S452" s="388" t="e">
        <f t="shared" si="182"/>
        <v>#DIV/0!</v>
      </c>
      <c r="T452" s="448"/>
      <c r="V452" s="434">
        <f t="shared" si="185"/>
        <v>192492353.69999999</v>
      </c>
      <c r="W452" s="786"/>
      <c r="X452" s="786"/>
    </row>
    <row r="453" spans="1:24" s="254" customFormat="1" ht="14.1" customHeight="1">
      <c r="A453" s="290"/>
      <c r="B453" s="842">
        <v>8</v>
      </c>
      <c r="C453" s="1776" t="s">
        <v>838</v>
      </c>
      <c r="D453" s="1556">
        <f>'[4]TARGET MURNI DAN PERUBAHAN'!D373</f>
        <v>0</v>
      </c>
      <c r="E453" s="355">
        <f>[37]Januari!$D$35</f>
        <v>266327748</v>
      </c>
      <c r="F453" s="355">
        <f>[37]Februari!$D$35</f>
        <v>51116949</v>
      </c>
      <c r="G453" s="355">
        <f>[37]Maret!$D$35</f>
        <v>61725718</v>
      </c>
      <c r="H453" s="355">
        <f>[37]April!$D$35</f>
        <v>71248716</v>
      </c>
      <c r="I453" s="355">
        <f>[37]Mei!$D$35</f>
        <v>72850030</v>
      </c>
      <c r="J453" s="355">
        <f>[37]Juni!$D$35</f>
        <v>92587190</v>
      </c>
      <c r="K453" s="355">
        <f>[37]Juli!$D$35</f>
        <v>62525725</v>
      </c>
      <c r="L453" s="355">
        <f>[37]Agustus!$D$35</f>
        <v>61974000</v>
      </c>
      <c r="M453" s="355">
        <f>[37]September!$D$35</f>
        <v>63107900</v>
      </c>
      <c r="N453" s="355">
        <f>[37]Oktober!$D$35</f>
        <v>55449350</v>
      </c>
      <c r="O453" s="355">
        <f>[37]Nopember!$D$35</f>
        <v>87627642</v>
      </c>
      <c r="P453" s="355">
        <f>[37]Desember!$D$35</f>
        <v>27298375</v>
      </c>
      <c r="Q453" s="346">
        <f t="shared" si="184"/>
        <v>973839343</v>
      </c>
      <c r="R453" s="1630">
        <f t="shared" si="181"/>
        <v>973839343</v>
      </c>
      <c r="S453" s="388" t="e">
        <f t="shared" si="182"/>
        <v>#DIV/0!</v>
      </c>
      <c r="T453" s="448"/>
      <c r="V453" s="434">
        <f t="shared" si="185"/>
        <v>97383934.299999997</v>
      </c>
      <c r="W453" s="786"/>
      <c r="X453" s="786"/>
    </row>
    <row r="454" spans="1:24" s="254" customFormat="1" ht="14.1" customHeight="1">
      <c r="A454" s="290"/>
      <c r="B454" s="842">
        <v>9</v>
      </c>
      <c r="C454" s="1776" t="s">
        <v>839</v>
      </c>
      <c r="D454" s="1556">
        <f>'[4]TARGET MURNI DAN PERUBAHAN'!D374</f>
        <v>0</v>
      </c>
      <c r="E454" s="355">
        <f>[38]Januari!$D$35</f>
        <v>42688010</v>
      </c>
      <c r="F454" s="355">
        <f>[38]Februari!$D$35</f>
        <v>47377418</v>
      </c>
      <c r="G454" s="355">
        <f>[38]Maret!$D$35</f>
        <v>45492263</v>
      </c>
      <c r="H454" s="355">
        <f>[38]April!$D$35</f>
        <v>39225732</v>
      </c>
      <c r="I454" s="355">
        <f>[38]Mei!$D$35</f>
        <v>45142700</v>
      </c>
      <c r="J454" s="355">
        <f>[38]Juni!$D$35</f>
        <v>49164400</v>
      </c>
      <c r="K454" s="355">
        <f>[38]Juli!$D$35</f>
        <v>49156400</v>
      </c>
      <c r="L454" s="355">
        <f>[38]Agustus!$D$35</f>
        <v>71969700</v>
      </c>
      <c r="M454" s="355">
        <f>[38]September!$D$35</f>
        <v>64055900</v>
      </c>
      <c r="N454" s="355">
        <f>[38]Oktober!$D$35</f>
        <v>67214000</v>
      </c>
      <c r="O454" s="355">
        <f>[38]Nopember!$D$35</f>
        <v>70849100</v>
      </c>
      <c r="P454" s="355">
        <f>[38]Desember!$D$35</f>
        <v>65016225</v>
      </c>
      <c r="Q454" s="346">
        <f t="shared" si="184"/>
        <v>657351848</v>
      </c>
      <c r="R454" s="1676">
        <f t="shared" si="181"/>
        <v>657351848</v>
      </c>
      <c r="S454" s="388" t="e">
        <f t="shared" si="182"/>
        <v>#DIV/0!</v>
      </c>
      <c r="T454" s="448"/>
      <c r="V454" s="434">
        <f t="shared" si="185"/>
        <v>65735184.799999997</v>
      </c>
      <c r="W454" s="786"/>
      <c r="X454" s="786"/>
    </row>
    <row r="455" spans="1:24" s="255" customFormat="1" ht="14.1" customHeight="1">
      <c r="A455" s="290"/>
      <c r="B455" s="291" t="s">
        <v>319</v>
      </c>
      <c r="C455" s="291"/>
      <c r="D455" s="973">
        <f>SUM(D456:D464)</f>
        <v>100000000</v>
      </c>
      <c r="E455" s="1005">
        <f t="shared" ref="E455:Q455" si="186">SUM(E456:E464)</f>
        <v>54643277</v>
      </c>
      <c r="F455" s="1005">
        <f t="shared" si="186"/>
        <v>51606215</v>
      </c>
      <c r="G455" s="1005">
        <f t="shared" si="186"/>
        <v>29044796</v>
      </c>
      <c r="H455" s="1005">
        <f t="shared" si="186"/>
        <v>19490676</v>
      </c>
      <c r="I455" s="1005">
        <f t="shared" si="186"/>
        <v>5709648</v>
      </c>
      <c r="J455" s="1005">
        <f t="shared" si="186"/>
        <v>42415405</v>
      </c>
      <c r="K455" s="1005">
        <f t="shared" si="186"/>
        <v>45945287</v>
      </c>
      <c r="L455" s="1005">
        <f t="shared" si="186"/>
        <v>11377337</v>
      </c>
      <c r="M455" s="1005">
        <f t="shared" si="186"/>
        <v>14267691</v>
      </c>
      <c r="N455" s="1005">
        <f t="shared" si="186"/>
        <v>20414817</v>
      </c>
      <c r="O455" s="1005">
        <f t="shared" si="186"/>
        <v>43049725</v>
      </c>
      <c r="P455" s="1005">
        <f t="shared" si="186"/>
        <v>26759939</v>
      </c>
      <c r="Q455" s="398">
        <f t="shared" si="186"/>
        <v>364724813</v>
      </c>
      <c r="R455" s="1652">
        <f t="shared" si="181"/>
        <v>264724813</v>
      </c>
      <c r="S455" s="347">
        <f t="shared" si="182"/>
        <v>364.72481299999998</v>
      </c>
      <c r="T455" s="699"/>
      <c r="V455" s="786"/>
      <c r="W455" s="786"/>
      <c r="X455" s="786"/>
    </row>
    <row r="456" spans="1:24" s="254" customFormat="1" ht="14.1" customHeight="1">
      <c r="A456" s="290"/>
      <c r="B456" s="842">
        <v>1</v>
      </c>
      <c r="C456" s="1776" t="s">
        <v>831</v>
      </c>
      <c r="D456" s="1556">
        <f>'[4]TARGET MURNI DAN PERUBAHAN'!D376</f>
        <v>100000000</v>
      </c>
      <c r="E456" s="355">
        <f>[30]Januari!$E$35</f>
        <v>16581156</v>
      </c>
      <c r="F456" s="355">
        <f>[30]Februari!$E$35</f>
        <v>15108687</v>
      </c>
      <c r="G456" s="355">
        <f>[30]Maret!$E$35</f>
        <v>6045974</v>
      </c>
      <c r="H456" s="355">
        <f>[30]April!$E$35</f>
        <v>4623354</v>
      </c>
      <c r="I456" s="355">
        <f>[30]Mei!$E$35</f>
        <v>1846000</v>
      </c>
      <c r="J456" s="355">
        <f>[30]Juni!$E$35</f>
        <v>2474975</v>
      </c>
      <c r="K456" s="355">
        <f>[30]Juli!$E$35</f>
        <v>24032637</v>
      </c>
      <c r="L456" s="355">
        <f>[30]Agustus!$E$35</f>
        <v>3860787</v>
      </c>
      <c r="M456" s="355">
        <f>[30]September!$E$35</f>
        <v>8406200</v>
      </c>
      <c r="N456" s="355">
        <f>[30]Oktober!$E$35</f>
        <v>13358917</v>
      </c>
      <c r="O456" s="355">
        <f>[30]Nopember!$E$35</f>
        <v>21584032</v>
      </c>
      <c r="P456" s="355">
        <f>[30]Desember!$E$35</f>
        <v>8385077</v>
      </c>
      <c r="Q456" s="346">
        <f t="shared" si="184"/>
        <v>126307796</v>
      </c>
      <c r="R456" s="1630">
        <f t="shared" si="181"/>
        <v>26307796</v>
      </c>
      <c r="S456" s="388">
        <f t="shared" si="182"/>
        <v>126.307796</v>
      </c>
      <c r="T456" s="448"/>
      <c r="V456" s="434">
        <f>Q456/10</f>
        <v>12630779.6</v>
      </c>
      <c r="W456" s="786"/>
      <c r="X456" s="786"/>
    </row>
    <row r="457" spans="1:24" s="254" customFormat="1" ht="14.1" customHeight="1">
      <c r="A457" s="290"/>
      <c r="B457" s="842">
        <v>2</v>
      </c>
      <c r="C457" s="1776" t="s">
        <v>832</v>
      </c>
      <c r="D457" s="1556">
        <f>'[4]TARGET MURNI DAN PERUBAHAN'!D377</f>
        <v>0</v>
      </c>
      <c r="E457" s="355">
        <f>[31]Januari!$E$35</f>
        <v>11698118</v>
      </c>
      <c r="F457" s="355">
        <f>[31]Februari!$E$35</f>
        <v>5248412</v>
      </c>
      <c r="G457" s="355">
        <f>[31]Maret!$E$35</f>
        <v>2463125</v>
      </c>
      <c r="H457" s="355">
        <f>[31]April!$E$35</f>
        <v>6512072</v>
      </c>
      <c r="I457" s="355">
        <f>[31]Mei!$E$35</f>
        <v>178500</v>
      </c>
      <c r="J457" s="355">
        <f>[31]Juni!$E$35</f>
        <v>1085350</v>
      </c>
      <c r="K457" s="355">
        <f>[31]Juli!$E$35</f>
        <v>7638000</v>
      </c>
      <c r="L457" s="355">
        <f>[31]Agustus!$E$35</f>
        <v>1015425</v>
      </c>
      <c r="M457" s="355">
        <f>[31]September!$E$35</f>
        <v>731900</v>
      </c>
      <c r="N457" s="355">
        <f>[31]Oktober!$E$35</f>
        <v>921800</v>
      </c>
      <c r="O457" s="355">
        <f>[31]Nopember!$E$35</f>
        <v>9262425</v>
      </c>
      <c r="P457" s="355">
        <f>[31]Desember!$E$35</f>
        <v>2202050</v>
      </c>
      <c r="Q457" s="346">
        <f t="shared" si="184"/>
        <v>48957177</v>
      </c>
      <c r="R457" s="1630">
        <f t="shared" si="181"/>
        <v>48957177</v>
      </c>
      <c r="S457" s="388" t="e">
        <f t="shared" si="182"/>
        <v>#DIV/0!</v>
      </c>
      <c r="T457" s="448"/>
      <c r="V457" s="434">
        <f t="shared" ref="V457:V463" si="187">Q457/10</f>
        <v>4895717.7</v>
      </c>
      <c r="W457" s="786"/>
      <c r="X457" s="786"/>
    </row>
    <row r="458" spans="1:24" s="254" customFormat="1" ht="14.1" customHeight="1">
      <c r="A458" s="290"/>
      <c r="B458" s="842">
        <v>3</v>
      </c>
      <c r="C458" s="1776" t="s">
        <v>833</v>
      </c>
      <c r="D458" s="1556">
        <f>'[4]TARGET MURNI DAN PERUBAHAN'!D378</f>
        <v>0</v>
      </c>
      <c r="E458" s="355">
        <f>[32]Januari!$E$35</f>
        <v>6323755</v>
      </c>
      <c r="F458" s="355">
        <f>[32]Februari!$E$35</f>
        <v>9400526</v>
      </c>
      <c r="G458" s="355">
        <f>[32]Maret!$E$35</f>
        <v>7001403</v>
      </c>
      <c r="H458" s="355">
        <f>[32]April!$E$35</f>
        <v>3624251</v>
      </c>
      <c r="I458" s="355">
        <f>[32]Mei!$E$35</f>
        <v>1899248</v>
      </c>
      <c r="J458" s="355">
        <f>[32]Juni!$E$35</f>
        <v>696923</v>
      </c>
      <c r="K458" s="355">
        <f>[32]Juli!$E$35</f>
        <v>852850</v>
      </c>
      <c r="L458" s="355">
        <f>[32]Agustus!$E$35</f>
        <v>866825</v>
      </c>
      <c r="M458" s="355">
        <f>[32]September!$E$35</f>
        <v>1389300</v>
      </c>
      <c r="N458" s="355">
        <f>[32]Oktober!$E$35</f>
        <v>1722250</v>
      </c>
      <c r="O458" s="355">
        <f>[32]Nopember!$E$35</f>
        <v>3018407</v>
      </c>
      <c r="P458" s="355">
        <f>[32]Desember!$E$35</f>
        <v>5148225</v>
      </c>
      <c r="Q458" s="346">
        <f t="shared" si="184"/>
        <v>41943963</v>
      </c>
      <c r="R458" s="1630">
        <f t="shared" si="181"/>
        <v>41943963</v>
      </c>
      <c r="S458" s="388" t="e">
        <f t="shared" si="182"/>
        <v>#DIV/0!</v>
      </c>
      <c r="T458" s="448"/>
      <c r="V458" s="434">
        <f t="shared" si="187"/>
        <v>4194396.3</v>
      </c>
      <c r="W458" s="786"/>
      <c r="X458" s="786"/>
    </row>
    <row r="459" spans="1:24" s="254" customFormat="1" ht="14.1" customHeight="1">
      <c r="A459" s="290"/>
      <c r="B459" s="842">
        <v>4</v>
      </c>
      <c r="C459" s="1776" t="s">
        <v>834</v>
      </c>
      <c r="D459" s="1556">
        <f>'[4]TARGET MURNI DAN PERUBAHAN'!D379</f>
        <v>0</v>
      </c>
      <c r="E459" s="355">
        <f>[33]Januari!$E$35</f>
        <v>3810125</v>
      </c>
      <c r="F459" s="355">
        <f>[33]Februari!$E$35</f>
        <v>2110525</v>
      </c>
      <c r="G459" s="355">
        <f>[33]Maret!$E$35</f>
        <v>3610375</v>
      </c>
      <c r="H459" s="355">
        <f>[33]April!$E$35</f>
        <v>1772715</v>
      </c>
      <c r="I459" s="355">
        <f>[33]Mei!$E$35</f>
        <v>833400</v>
      </c>
      <c r="J459" s="355">
        <f>[33]Juni!$E$35</f>
        <v>700750</v>
      </c>
      <c r="K459" s="355">
        <f>[33]Juli!$E$35</f>
        <v>447250</v>
      </c>
      <c r="L459" s="355">
        <f>[33]Agustus!$E$35</f>
        <v>2246700</v>
      </c>
      <c r="M459" s="355">
        <f>[33]September!$E$35</f>
        <v>230450</v>
      </c>
      <c r="N459" s="355">
        <f>[33]Oktober!$E$35</f>
        <v>666950</v>
      </c>
      <c r="O459" s="355">
        <f>[33]Nopember!$E$35</f>
        <v>1589775</v>
      </c>
      <c r="P459" s="355">
        <f>[33]Desember!$E$35</f>
        <v>2464175</v>
      </c>
      <c r="Q459" s="346">
        <f t="shared" si="184"/>
        <v>20483190</v>
      </c>
      <c r="R459" s="1630">
        <f t="shared" si="181"/>
        <v>20483190</v>
      </c>
      <c r="S459" s="388" t="e">
        <f t="shared" si="182"/>
        <v>#DIV/0!</v>
      </c>
      <c r="T459" s="448"/>
      <c r="V459" s="434">
        <f t="shared" si="187"/>
        <v>2048319</v>
      </c>
      <c r="W459" s="786"/>
      <c r="X459" s="786"/>
    </row>
    <row r="460" spans="1:24" s="254" customFormat="1" ht="14.1" customHeight="1">
      <c r="A460" s="290"/>
      <c r="B460" s="842">
        <v>5</v>
      </c>
      <c r="C460" s="1776" t="s">
        <v>835</v>
      </c>
      <c r="D460" s="1556">
        <f>'[4]TARGET MURNI DAN PERUBAHAN'!D380</f>
        <v>0</v>
      </c>
      <c r="E460" s="355">
        <f>[34]Januari!$E$35</f>
        <v>6694750</v>
      </c>
      <c r="F460" s="355">
        <f>[34]Februari!$E$35</f>
        <v>4251015</v>
      </c>
      <c r="G460" s="355">
        <f>[34]Maret!$E$35</f>
        <v>4532717</v>
      </c>
      <c r="H460" s="355">
        <f>[34]April!$E$35</f>
        <v>1587925</v>
      </c>
      <c r="I460" s="355">
        <f>[34]Mei!$E$35</f>
        <v>140000</v>
      </c>
      <c r="J460" s="355">
        <f>[34]Juni!$E$35</f>
        <v>2308662</v>
      </c>
      <c r="K460" s="355">
        <f>[34]Juli!$E$35</f>
        <v>12307050</v>
      </c>
      <c r="L460" s="355">
        <f>[34]Agustus!$E$35</f>
        <v>1654400</v>
      </c>
      <c r="M460" s="355">
        <f>[34]September!$E$35</f>
        <v>2092150</v>
      </c>
      <c r="N460" s="355">
        <f>[34]Oktober!$E$35</f>
        <v>1446000</v>
      </c>
      <c r="O460" s="355">
        <f>[34]Nopember!$E$35</f>
        <v>4453600</v>
      </c>
      <c r="P460" s="355">
        <f>[34]Desember!$E$35</f>
        <v>3225904</v>
      </c>
      <c r="Q460" s="346">
        <f t="shared" si="184"/>
        <v>44694173</v>
      </c>
      <c r="R460" s="1630">
        <f t="shared" si="181"/>
        <v>44694173</v>
      </c>
      <c r="S460" s="388" t="e">
        <f t="shared" si="182"/>
        <v>#DIV/0!</v>
      </c>
      <c r="T460" s="448"/>
      <c r="V460" s="434">
        <f t="shared" si="187"/>
        <v>4469417.3</v>
      </c>
      <c r="W460" s="786"/>
      <c r="X460" s="786"/>
    </row>
    <row r="461" spans="1:24" s="254" customFormat="1" ht="14.1" customHeight="1">
      <c r="A461" s="290"/>
      <c r="B461" s="842">
        <v>6</v>
      </c>
      <c r="C461" s="1776" t="s">
        <v>836</v>
      </c>
      <c r="D461" s="1556">
        <f>'[4]TARGET MURNI DAN PERUBAHAN'!D381</f>
        <v>0</v>
      </c>
      <c r="E461" s="355">
        <f>[35]Januari!$E$35</f>
        <v>660000</v>
      </c>
      <c r="F461" s="355">
        <f>[35]Februari!$E$35</f>
        <v>528250</v>
      </c>
      <c r="G461" s="355">
        <f>[35]Maret!$E$35</f>
        <v>656250</v>
      </c>
      <c r="H461" s="355">
        <f>[35]April!$E$35</f>
        <v>122586</v>
      </c>
      <c r="I461" s="355">
        <f>[35]Mei!$E$35</f>
        <v>145000</v>
      </c>
      <c r="J461" s="355">
        <f>[35]Juni!$E$35</f>
        <v>181750</v>
      </c>
      <c r="K461" s="355">
        <f>[35]Juli!$E$35</f>
        <v>0</v>
      </c>
      <c r="L461" s="355">
        <f>[35]Agustus!$E$35</f>
        <v>0</v>
      </c>
      <c r="M461" s="355">
        <f>[35]September!$E$35</f>
        <v>943200</v>
      </c>
      <c r="N461" s="355">
        <f>[35]Oktober!$E$35</f>
        <v>426300</v>
      </c>
      <c r="O461" s="355">
        <f>[35]Nopember!$E$35</f>
        <v>439000</v>
      </c>
      <c r="P461" s="355">
        <f>[35]Desember!$E$35</f>
        <v>2209635</v>
      </c>
      <c r="Q461" s="346">
        <f t="shared" si="184"/>
        <v>6311971</v>
      </c>
      <c r="R461" s="1630">
        <f t="shared" si="181"/>
        <v>6311971</v>
      </c>
      <c r="S461" s="388" t="e">
        <f t="shared" si="182"/>
        <v>#DIV/0!</v>
      </c>
      <c r="T461" s="448"/>
      <c r="V461" s="434">
        <f t="shared" si="187"/>
        <v>631197.1</v>
      </c>
      <c r="W461" s="786"/>
      <c r="X461" s="786"/>
    </row>
    <row r="462" spans="1:24" s="254" customFormat="1" ht="14.1" customHeight="1">
      <c r="A462" s="290"/>
      <c r="B462" s="842">
        <v>7</v>
      </c>
      <c r="C462" s="1776" t="s">
        <v>837</v>
      </c>
      <c r="D462" s="1556">
        <f>'[4]TARGET MURNI DAN PERUBAHAN'!D382</f>
        <v>0</v>
      </c>
      <c r="E462" s="355">
        <f>[36]Januari!$E$35</f>
        <v>7013500</v>
      </c>
      <c r="F462" s="355">
        <f>[36]Februari!$E$35</f>
        <v>14076300</v>
      </c>
      <c r="G462" s="355">
        <f>[36]Maret!$E$35</f>
        <v>3255202</v>
      </c>
      <c r="H462" s="355">
        <f>[36]April!$E$35</f>
        <v>1238325</v>
      </c>
      <c r="I462" s="355">
        <f>[36]Mei!$E$35</f>
        <v>0</v>
      </c>
      <c r="J462" s="355">
        <f>[36]Juni!$E$35</f>
        <v>1959495</v>
      </c>
      <c r="K462" s="355">
        <f>[36]Juli!$E$35</f>
        <v>0</v>
      </c>
      <c r="L462" s="355">
        <f>[36]Agustus!$E$35</f>
        <v>1039400</v>
      </c>
      <c r="M462" s="355">
        <f>[36]September!$E$35</f>
        <v>474491</v>
      </c>
      <c r="N462" s="355">
        <f>[36]Oktober!$E$35</f>
        <v>1100100</v>
      </c>
      <c r="O462" s="355">
        <f>[36]Nopember!$E$35</f>
        <v>1973486</v>
      </c>
      <c r="P462" s="355">
        <f>[36]Desember!$E$35</f>
        <v>3085373</v>
      </c>
      <c r="Q462" s="346">
        <f t="shared" si="184"/>
        <v>35215672</v>
      </c>
      <c r="R462" s="1630">
        <f t="shared" si="181"/>
        <v>35215672</v>
      </c>
      <c r="S462" s="388" t="e">
        <f t="shared" si="182"/>
        <v>#DIV/0!</v>
      </c>
      <c r="T462" s="448"/>
      <c r="V462" s="434">
        <f t="shared" si="187"/>
        <v>3521567.2</v>
      </c>
      <c r="W462" s="786"/>
      <c r="X462" s="786"/>
    </row>
    <row r="463" spans="1:24" s="254" customFormat="1" ht="14.1" customHeight="1">
      <c r="A463" s="290"/>
      <c r="B463" s="842">
        <v>8</v>
      </c>
      <c r="C463" s="1776" t="s">
        <v>838</v>
      </c>
      <c r="D463" s="1556">
        <f>'[4]TARGET MURNI DAN PERUBAHAN'!D383</f>
        <v>0</v>
      </c>
      <c r="E463" s="355">
        <f>[37]Januari!$E$35</f>
        <v>1861873</v>
      </c>
      <c r="F463" s="355">
        <f>[37]Februari!$E$35</f>
        <v>882500</v>
      </c>
      <c r="G463" s="355">
        <f>[37]Maret!$E$35</f>
        <v>1479750</v>
      </c>
      <c r="H463" s="355">
        <f>[37]April!$E$35</f>
        <v>9448</v>
      </c>
      <c r="I463" s="355">
        <f>[37]Mei!$E$35</f>
        <v>667500</v>
      </c>
      <c r="J463" s="355">
        <f>[37]Juni!$E$35</f>
        <v>33007500</v>
      </c>
      <c r="K463" s="355">
        <f>[37]Juli!$E$35</f>
        <v>667500</v>
      </c>
      <c r="L463" s="355">
        <f>[37]Agustus!$E$35</f>
        <v>693800</v>
      </c>
      <c r="M463" s="355">
        <f>[37]September!$E$35</f>
        <v>0</v>
      </c>
      <c r="N463" s="355">
        <f>[37]Oktober!$E$35</f>
        <v>772500</v>
      </c>
      <c r="O463" s="355">
        <f>[37]Nopember!$E$35</f>
        <v>729000</v>
      </c>
      <c r="P463" s="355">
        <f>[37]Desember!$E$35</f>
        <v>39500</v>
      </c>
      <c r="Q463" s="346">
        <f t="shared" si="184"/>
        <v>40810871</v>
      </c>
      <c r="R463" s="1630">
        <f t="shared" si="181"/>
        <v>40810871</v>
      </c>
      <c r="S463" s="388" t="e">
        <f t="shared" si="182"/>
        <v>#DIV/0!</v>
      </c>
      <c r="T463" s="448"/>
      <c r="V463" s="434">
        <f t="shared" si="187"/>
        <v>4081087.1</v>
      </c>
      <c r="W463" s="786"/>
      <c r="X463" s="786"/>
    </row>
    <row r="464" spans="1:24" s="254" customFormat="1" ht="14.1" customHeight="1">
      <c r="A464" s="290"/>
      <c r="B464" s="842">
        <v>9</v>
      </c>
      <c r="C464" s="1776" t="s">
        <v>839</v>
      </c>
      <c r="D464" s="1556">
        <f>'[4]TARGET MURNI DAN PERUBAHAN'!D384</f>
        <v>0</v>
      </c>
      <c r="E464" s="355">
        <f>[38]Januari!$E$35</f>
        <v>0</v>
      </c>
      <c r="F464" s="355">
        <f>[38]Februari!$E$35</f>
        <v>0</v>
      </c>
      <c r="G464" s="355">
        <f>[38]Maret!$E$35</f>
        <v>0</v>
      </c>
      <c r="H464" s="355">
        <f>[38]April!$E$35</f>
        <v>0</v>
      </c>
      <c r="I464" s="355">
        <f>[38]Mei!$E$35</f>
        <v>0</v>
      </c>
      <c r="J464" s="355">
        <f>[38]Juni!$E$35</f>
        <v>0</v>
      </c>
      <c r="K464" s="355">
        <f>[38]Juli!$E$35</f>
        <v>0</v>
      </c>
      <c r="L464" s="355">
        <f>[38]Agustus!$E$35</f>
        <v>0</v>
      </c>
      <c r="M464" s="355">
        <f>[38]September!$E$35</f>
        <v>0</v>
      </c>
      <c r="N464" s="355">
        <f>[38]Oktober!$E$35</f>
        <v>0</v>
      </c>
      <c r="O464" s="355">
        <f>[38]Nopember!$E$35</f>
        <v>0</v>
      </c>
      <c r="P464" s="355">
        <f>[38]Desember!$E$35</f>
        <v>0</v>
      </c>
      <c r="Q464" s="346">
        <f t="shared" si="184"/>
        <v>0</v>
      </c>
      <c r="R464" s="1630">
        <f t="shared" si="181"/>
        <v>0</v>
      </c>
      <c r="S464" s="388" t="e">
        <f t="shared" si="182"/>
        <v>#DIV/0!</v>
      </c>
      <c r="T464" s="448"/>
      <c r="V464" s="786"/>
      <c r="W464" s="786"/>
      <c r="X464" s="786"/>
    </row>
    <row r="465" spans="1:24" s="255" customFormat="1" ht="14.1" customHeight="1">
      <c r="A465" s="290"/>
      <c r="B465" s="291" t="s">
        <v>222</v>
      </c>
      <c r="C465" s="291"/>
      <c r="D465" s="973">
        <f>SUM(D466:D469)</f>
        <v>0</v>
      </c>
      <c r="E465" s="973">
        <f t="shared" ref="E465:P465" si="188">SUM(E466:E469)</f>
        <v>6300000</v>
      </c>
      <c r="F465" s="973">
        <f t="shared" si="188"/>
        <v>3988000</v>
      </c>
      <c r="G465" s="973">
        <f t="shared" si="188"/>
        <v>708000</v>
      </c>
      <c r="H465" s="973">
        <f t="shared" si="188"/>
        <v>1006523</v>
      </c>
      <c r="I465" s="973">
        <f t="shared" si="188"/>
        <v>64148507.340000004</v>
      </c>
      <c r="J465" s="973">
        <f t="shared" si="188"/>
        <v>2708000</v>
      </c>
      <c r="K465" s="973">
        <f t="shared" si="188"/>
        <v>835500</v>
      </c>
      <c r="L465" s="973">
        <f t="shared" si="188"/>
        <v>8957000</v>
      </c>
      <c r="M465" s="973">
        <f t="shared" si="188"/>
        <v>4080500</v>
      </c>
      <c r="N465" s="973">
        <f t="shared" si="188"/>
        <v>708000</v>
      </c>
      <c r="O465" s="973">
        <f t="shared" si="188"/>
        <v>25579640</v>
      </c>
      <c r="P465" s="973">
        <f t="shared" si="188"/>
        <v>7121316.0199999996</v>
      </c>
      <c r="Q465" s="1798">
        <f t="shared" si="184"/>
        <v>126140986.36</v>
      </c>
      <c r="R465" s="1652">
        <f t="shared" si="181"/>
        <v>126140986.36</v>
      </c>
      <c r="S465" s="399">
        <v>0</v>
      </c>
      <c r="T465" s="651"/>
      <c r="V465" s="786"/>
      <c r="W465" s="786"/>
      <c r="X465" s="786"/>
    </row>
    <row r="466" spans="1:24" s="254" customFormat="1" ht="14.1" customHeight="1">
      <c r="A466" s="292"/>
      <c r="B466" s="2767" t="s">
        <v>50</v>
      </c>
      <c r="C466" s="253" t="s">
        <v>840</v>
      </c>
      <c r="D466" s="355">
        <f>'[4]TARGET MURNI DAN PERUBAHAN'!D415</f>
        <v>0</v>
      </c>
      <c r="E466" s="355">
        <f>[29]Januari!$D$35</f>
        <v>0</v>
      </c>
      <c r="F466" s="355">
        <f>[29]Februari!$D$35</f>
        <v>0</v>
      </c>
      <c r="G466" s="355">
        <f>[29]Maret!$D$35</f>
        <v>0</v>
      </c>
      <c r="H466" s="355">
        <f>[29]April!$D$35</f>
        <v>0</v>
      </c>
      <c r="I466" s="355">
        <f>[29]Mei!$D$35</f>
        <v>0</v>
      </c>
      <c r="J466" s="355">
        <f>[29]Juni!$D$35</f>
        <v>0</v>
      </c>
      <c r="K466" s="355">
        <f>[29]Juli!$D$35</f>
        <v>127500</v>
      </c>
      <c r="L466" s="355">
        <f>[29]Agustus!$D$35</f>
        <v>0</v>
      </c>
      <c r="M466" s="355">
        <f>[29]September!$D$35</f>
        <v>0</v>
      </c>
      <c r="N466" s="355">
        <f>[29]Oktober!$D$35</f>
        <v>0</v>
      </c>
      <c r="O466" s="355">
        <f>[29]Nopember!$D$35</f>
        <v>0</v>
      </c>
      <c r="P466" s="355">
        <f>[29]Desember!$D$35</f>
        <v>0</v>
      </c>
      <c r="Q466" s="346">
        <f t="shared" si="184"/>
        <v>127500</v>
      </c>
      <c r="R466" s="1630">
        <f t="shared" si="181"/>
        <v>127500</v>
      </c>
      <c r="S466" s="388"/>
      <c r="T466" s="441"/>
      <c r="V466" s="786"/>
      <c r="W466" s="786"/>
      <c r="X466" s="786"/>
    </row>
    <row r="467" spans="1:24" s="254" customFormat="1" ht="14.1" customHeight="1">
      <c r="A467" s="292"/>
      <c r="B467" s="2767" t="s">
        <v>50</v>
      </c>
      <c r="C467" s="253" t="s">
        <v>841</v>
      </c>
      <c r="D467" s="355">
        <f>'[4]TARGET MURNI DAN PERUBAHAN'!D386</f>
        <v>0</v>
      </c>
      <c r="E467" s="355">
        <f>[29]Januari!$E$35</f>
        <v>0</v>
      </c>
      <c r="F467" s="355">
        <f>[29]Februari!$E$35</f>
        <v>0</v>
      </c>
      <c r="G467" s="355">
        <f>[29]Maret!$E$35</f>
        <v>0</v>
      </c>
      <c r="H467" s="355">
        <f>[29]April!$E$35</f>
        <v>0</v>
      </c>
      <c r="I467" s="355">
        <f>[29]Mei!$E$35</f>
        <v>0</v>
      </c>
      <c r="J467" s="355">
        <f>[29]Juni!$E$35</f>
        <v>0</v>
      </c>
      <c r="K467" s="355">
        <f>[29]Juli!$E$35</f>
        <v>0</v>
      </c>
      <c r="L467" s="355">
        <f>[29]Agustus!$E$35</f>
        <v>0</v>
      </c>
      <c r="M467" s="355">
        <f>[29]September!$E$35</f>
        <v>0</v>
      </c>
      <c r="N467" s="355">
        <f>[29]Oktober!$E$35</f>
        <v>0</v>
      </c>
      <c r="O467" s="355">
        <f>[29]Nopember!$E$35</f>
        <v>0</v>
      </c>
      <c r="P467" s="355">
        <f>[29]Desember!$E$35</f>
        <v>0</v>
      </c>
      <c r="Q467" s="346">
        <f t="shared" si="184"/>
        <v>0</v>
      </c>
      <c r="R467" s="1630">
        <f t="shared" si="181"/>
        <v>0</v>
      </c>
      <c r="S467" s="388"/>
      <c r="T467" s="441"/>
      <c r="V467" s="786"/>
      <c r="W467" s="786"/>
      <c r="X467" s="786"/>
    </row>
    <row r="468" spans="1:24" s="254" customFormat="1" ht="14.1" customHeight="1">
      <c r="A468" s="292"/>
      <c r="B468" s="2767" t="s">
        <v>50</v>
      </c>
      <c r="C468" s="253" t="s">
        <v>842</v>
      </c>
      <c r="D468" s="355">
        <f>'[4]TARGET MURNI DAN PERUBAHAN'!D387</f>
        <v>0</v>
      </c>
      <c r="E468" s="355">
        <f>[29]Januari!$F$35</f>
        <v>0</v>
      </c>
      <c r="F468" s="355">
        <f>[29]Februari!$F$35</f>
        <v>0</v>
      </c>
      <c r="G468" s="355">
        <f>[29]Maret!$F$35</f>
        <v>0</v>
      </c>
      <c r="H468" s="355">
        <f>[29]April!$F$35</f>
        <v>0</v>
      </c>
      <c r="I468" s="355">
        <f>[29]Mei!$F$35</f>
        <v>0</v>
      </c>
      <c r="J468" s="355">
        <f>[29]Juni!$F$35</f>
        <v>0</v>
      </c>
      <c r="K468" s="355">
        <f>[29]Juli!$F$35</f>
        <v>0</v>
      </c>
      <c r="L468" s="355">
        <f>[29]Agustus!$F$35</f>
        <v>0</v>
      </c>
      <c r="M468" s="355">
        <f>[29]September!$F$35</f>
        <v>0</v>
      </c>
      <c r="N468" s="355">
        <f>[29]Oktober!$F$35</f>
        <v>0</v>
      </c>
      <c r="O468" s="355">
        <f>[29]Nopember!$F$35</f>
        <v>0</v>
      </c>
      <c r="P468" s="355">
        <f>[29]Desember!$F$35</f>
        <v>0</v>
      </c>
      <c r="Q468" s="346">
        <f t="shared" si="184"/>
        <v>0</v>
      </c>
      <c r="R468" s="1630">
        <f t="shared" si="181"/>
        <v>0</v>
      </c>
      <c r="S468" s="388"/>
      <c r="T468" s="441"/>
      <c r="V468" s="786"/>
      <c r="W468" s="786"/>
      <c r="X468" s="786"/>
    </row>
    <row r="469" spans="1:24" s="254" customFormat="1" ht="14.1" customHeight="1">
      <c r="A469" s="292"/>
      <c r="B469" s="2767" t="s">
        <v>50</v>
      </c>
      <c r="C469" s="253" t="s">
        <v>843</v>
      </c>
      <c r="D469" s="1795">
        <f>SUM(D470:D479)</f>
        <v>0</v>
      </c>
      <c r="E469" s="1795">
        <f t="shared" ref="E469:P469" si="189">SUM(E470:E479)</f>
        <v>6300000</v>
      </c>
      <c r="F469" s="1795">
        <f t="shared" si="189"/>
        <v>3988000</v>
      </c>
      <c r="G469" s="1795">
        <f t="shared" si="189"/>
        <v>708000</v>
      </c>
      <c r="H469" s="1795">
        <f t="shared" si="189"/>
        <v>1006523</v>
      </c>
      <c r="I469" s="1795">
        <f t="shared" si="189"/>
        <v>64148507.340000004</v>
      </c>
      <c r="J469" s="1795">
        <f t="shared" si="189"/>
        <v>2708000</v>
      </c>
      <c r="K469" s="1795">
        <f t="shared" si="189"/>
        <v>708000</v>
      </c>
      <c r="L469" s="1795">
        <f t="shared" si="189"/>
        <v>8957000</v>
      </c>
      <c r="M469" s="1795">
        <f t="shared" si="189"/>
        <v>4080500</v>
      </c>
      <c r="N469" s="1795">
        <f t="shared" si="189"/>
        <v>708000</v>
      </c>
      <c r="O469" s="1795">
        <f t="shared" si="189"/>
        <v>25579640</v>
      </c>
      <c r="P469" s="1795">
        <f t="shared" si="189"/>
        <v>7121316.0199999996</v>
      </c>
      <c r="Q469" s="1799">
        <f t="shared" si="184"/>
        <v>126013486.36</v>
      </c>
      <c r="R469" s="1630">
        <f t="shared" si="181"/>
        <v>126013486.36</v>
      </c>
      <c r="S469" s="388"/>
      <c r="T469" s="441"/>
      <c r="V469" s="786"/>
      <c r="W469" s="786"/>
      <c r="X469" s="786"/>
    </row>
    <row r="470" spans="1:24" s="254" customFormat="1" ht="14.1" customHeight="1">
      <c r="A470" s="292"/>
      <c r="B470" s="842">
        <v>1</v>
      </c>
      <c r="C470" s="1776" t="s">
        <v>844</v>
      </c>
      <c r="D470" s="355">
        <f>'[4]TARGET MURNI DAN PERUBAHAN'!D389</f>
        <v>0</v>
      </c>
      <c r="E470" s="355">
        <f>[29]Januari!$G$35</f>
        <v>6300000</v>
      </c>
      <c r="F470" s="355">
        <f>[29]Februari!$G$35</f>
        <v>3988000</v>
      </c>
      <c r="G470" s="355">
        <f>[29]Maret!$G$35</f>
        <v>708000</v>
      </c>
      <c r="H470" s="355">
        <f>[29]April!$G$35</f>
        <v>1006523</v>
      </c>
      <c r="I470" s="355">
        <f>[29]Mei!$G$35</f>
        <v>64148507.340000004</v>
      </c>
      <c r="J470" s="355">
        <f>[29]Juni!$G$35</f>
        <v>708000</v>
      </c>
      <c r="K470" s="355">
        <f>[29]Juli!$G$35</f>
        <v>708000</v>
      </c>
      <c r="L470" s="355">
        <f>[29]Agustus!$G$35</f>
        <v>0</v>
      </c>
      <c r="M470" s="355">
        <f>[29]September!$G$35</f>
        <v>1416000</v>
      </c>
      <c r="N470" s="355">
        <f>[29]Oktober!$G$35</f>
        <v>708000</v>
      </c>
      <c r="O470" s="355">
        <f>[29]Nopember!$G$35</f>
        <v>5725710</v>
      </c>
      <c r="P470" s="355">
        <f>[29]Desember!$G$35</f>
        <v>2523163.02</v>
      </c>
      <c r="Q470" s="346">
        <f t="shared" si="184"/>
        <v>87939903.359999999</v>
      </c>
      <c r="R470" s="1630">
        <f t="shared" si="181"/>
        <v>87939903.359999999</v>
      </c>
      <c r="S470" s="388"/>
      <c r="T470" s="441"/>
      <c r="V470" s="434">
        <f>Q470/9</f>
        <v>9771100.3733333331</v>
      </c>
      <c r="W470" s="786"/>
      <c r="X470" s="786"/>
    </row>
    <row r="471" spans="1:24" s="254" customFormat="1" ht="14.1" customHeight="1">
      <c r="A471" s="292"/>
      <c r="B471" s="842">
        <v>2</v>
      </c>
      <c r="C471" s="1776" t="s">
        <v>831</v>
      </c>
      <c r="D471" s="355">
        <f>'[4]TARGET MURNI DAN PERUBAHAN'!D390</f>
        <v>0</v>
      </c>
      <c r="E471" s="355">
        <f>[30]Januari!$F$35</f>
        <v>0</v>
      </c>
      <c r="F471" s="355">
        <f>[30]Februari!$F$35</f>
        <v>0</v>
      </c>
      <c r="G471" s="355">
        <f>[30]Maret!$F$35</f>
        <v>0</v>
      </c>
      <c r="H471" s="355">
        <f>[30]April!$F$35</f>
        <v>0</v>
      </c>
      <c r="I471" s="355">
        <f>[30]Mei!$F$35</f>
        <v>0</v>
      </c>
      <c r="J471" s="355">
        <f>[30]Juni!$F$35</f>
        <v>0</v>
      </c>
      <c r="K471" s="355">
        <f>[30]Juli!$F$35</f>
        <v>0</v>
      </c>
      <c r="L471" s="355">
        <f>[30]Agustus!$F$35</f>
        <v>0</v>
      </c>
      <c r="M471" s="355">
        <f>[30]September!$F$35</f>
        <v>0</v>
      </c>
      <c r="N471" s="355">
        <f>[30]Oktober!$F$35</f>
        <v>0</v>
      </c>
      <c r="O471" s="355">
        <f>[30]Nopember!$F$35</f>
        <v>0</v>
      </c>
      <c r="P471" s="355">
        <f>[30]Desember!$F$35</f>
        <v>2109403</v>
      </c>
      <c r="Q471" s="346">
        <f t="shared" si="184"/>
        <v>2109403</v>
      </c>
      <c r="R471" s="1630">
        <f t="shared" si="181"/>
        <v>2109403</v>
      </c>
      <c r="S471" s="388"/>
      <c r="T471" s="441"/>
      <c r="V471" s="786"/>
      <c r="W471" s="786"/>
      <c r="X471" s="786"/>
    </row>
    <row r="472" spans="1:24" s="254" customFormat="1" ht="14.1" customHeight="1">
      <c r="A472" s="292"/>
      <c r="B472" s="842">
        <v>3</v>
      </c>
      <c r="C472" s="1776" t="s">
        <v>832</v>
      </c>
      <c r="D472" s="355">
        <f>'[4]TARGET MURNI DAN PERUBAHAN'!D391</f>
        <v>0</v>
      </c>
      <c r="E472" s="355">
        <f>[31]Januari!$F$35</f>
        <v>0</v>
      </c>
      <c r="F472" s="355">
        <f>[31]Februari!$F$35</f>
        <v>0</v>
      </c>
      <c r="G472" s="355">
        <f>[31]Maret!$F$35</f>
        <v>0</v>
      </c>
      <c r="H472" s="355">
        <f>[31]April!$F$35</f>
        <v>0</v>
      </c>
      <c r="I472" s="355">
        <f>[31]Mei!$F$35</f>
        <v>0</v>
      </c>
      <c r="J472" s="355">
        <f>[31]Juni!$F$35</f>
        <v>0</v>
      </c>
      <c r="K472" s="355">
        <f>[31]Juli!$F$35</f>
        <v>0</v>
      </c>
      <c r="L472" s="355">
        <f>[31]Agustus!$F$35</f>
        <v>0</v>
      </c>
      <c r="M472" s="355">
        <f>[31]September!$F$35</f>
        <v>0</v>
      </c>
      <c r="N472" s="355">
        <f>[31]Oktober!$F$35</f>
        <v>0</v>
      </c>
      <c r="O472" s="355">
        <f>[31]Nopember!$F$35</f>
        <v>0</v>
      </c>
      <c r="P472" s="355">
        <f>[31]Desember!$F$35</f>
        <v>2488750</v>
      </c>
      <c r="Q472" s="346">
        <f t="shared" si="184"/>
        <v>2488750</v>
      </c>
      <c r="R472" s="1630">
        <f t="shared" si="181"/>
        <v>2488750</v>
      </c>
      <c r="S472" s="388"/>
      <c r="T472" s="441"/>
      <c r="V472" s="786"/>
      <c r="W472" s="786"/>
      <c r="X472" s="786"/>
    </row>
    <row r="473" spans="1:24" s="254" customFormat="1" ht="14.1" customHeight="1">
      <c r="A473" s="292"/>
      <c r="B473" s="842">
        <v>4</v>
      </c>
      <c r="C473" s="1776" t="s">
        <v>833</v>
      </c>
      <c r="D473" s="355">
        <f>'[4]TARGET MURNI DAN PERUBAHAN'!D392</f>
        <v>0</v>
      </c>
      <c r="E473" s="355">
        <f>[32]Januari!$F$35</f>
        <v>0</v>
      </c>
      <c r="F473" s="355">
        <f>[32]Februari!$F$35</f>
        <v>0</v>
      </c>
      <c r="G473" s="355">
        <f>[32]Maret!$F$35</f>
        <v>0</v>
      </c>
      <c r="H473" s="355">
        <f>[32]April!$F$35</f>
        <v>0</v>
      </c>
      <c r="I473" s="355">
        <f>[32]Mei!$F$35</f>
        <v>0</v>
      </c>
      <c r="J473" s="355">
        <f>[32]Juni!$F$35</f>
        <v>0</v>
      </c>
      <c r="K473" s="355">
        <f>[32]Juli!$F$35</f>
        <v>0</v>
      </c>
      <c r="L473" s="355">
        <f>[32]Agustus!$F$35</f>
        <v>0</v>
      </c>
      <c r="M473" s="355">
        <f>[32]September!$F$35</f>
        <v>0</v>
      </c>
      <c r="N473" s="355">
        <f>[32]Oktober!$F$35</f>
        <v>0</v>
      </c>
      <c r="O473" s="355">
        <f>[32]Nopember!$F$35</f>
        <v>0</v>
      </c>
      <c r="P473" s="355">
        <f>[32]Desember!$F$35</f>
        <v>0</v>
      </c>
      <c r="Q473" s="346">
        <f t="shared" si="184"/>
        <v>0</v>
      </c>
      <c r="R473" s="1630">
        <f t="shared" si="181"/>
        <v>0</v>
      </c>
      <c r="S473" s="388"/>
      <c r="T473" s="441"/>
      <c r="V473" s="786"/>
      <c r="W473" s="786"/>
      <c r="X473" s="786"/>
    </row>
    <row r="474" spans="1:24" s="254" customFormat="1" ht="14.1" customHeight="1">
      <c r="A474" s="292"/>
      <c r="B474" s="842">
        <v>5</v>
      </c>
      <c r="C474" s="1776" t="s">
        <v>834</v>
      </c>
      <c r="D474" s="355">
        <f>'[4]TARGET MURNI DAN PERUBAHAN'!D393</f>
        <v>0</v>
      </c>
      <c r="E474" s="355">
        <f>[33]Januari!$F$35</f>
        <v>0</v>
      </c>
      <c r="F474" s="355">
        <f>[33]Februari!$F$35</f>
        <v>0</v>
      </c>
      <c r="G474" s="355">
        <f>[33]Maret!$F$35</f>
        <v>0</v>
      </c>
      <c r="H474" s="355">
        <f>[33]April!$F$35</f>
        <v>0</v>
      </c>
      <c r="I474" s="355">
        <f>[33]Mei!$F$35</f>
        <v>0</v>
      </c>
      <c r="J474" s="355">
        <f>[33]Juni!$F$35</f>
        <v>0</v>
      </c>
      <c r="K474" s="355">
        <f>[33]Juli!$F$35</f>
        <v>0</v>
      </c>
      <c r="L474" s="355">
        <f>[33]Agustus!$F$35</f>
        <v>0</v>
      </c>
      <c r="M474" s="355">
        <f>[33]September!$F$35</f>
        <v>0</v>
      </c>
      <c r="N474" s="355">
        <f>[33]Oktober!$F$35</f>
        <v>0</v>
      </c>
      <c r="O474" s="355">
        <f>[33]Nopember!$F$35</f>
        <v>0</v>
      </c>
      <c r="P474" s="355">
        <f>[33]Desember!$F$35</f>
        <v>0</v>
      </c>
      <c r="Q474" s="346">
        <f t="shared" si="184"/>
        <v>0</v>
      </c>
      <c r="R474" s="1630">
        <f t="shared" si="181"/>
        <v>0</v>
      </c>
      <c r="S474" s="388"/>
      <c r="T474" s="441"/>
      <c r="V474" s="786"/>
      <c r="W474" s="786"/>
      <c r="X474" s="786"/>
    </row>
    <row r="475" spans="1:24" s="254" customFormat="1" ht="14.1" customHeight="1">
      <c r="A475" s="292"/>
      <c r="B475" s="842">
        <v>6</v>
      </c>
      <c r="C475" s="1776" t="s">
        <v>835</v>
      </c>
      <c r="D475" s="355">
        <f>'[4]TARGET MURNI DAN PERUBAHAN'!D394</f>
        <v>0</v>
      </c>
      <c r="E475" s="355">
        <f>[34]Januari!$F$35</f>
        <v>0</v>
      </c>
      <c r="F475" s="355">
        <f>[34]Februari!$F$35</f>
        <v>0</v>
      </c>
      <c r="G475" s="355">
        <f>[34]Maret!$F$35</f>
        <v>0</v>
      </c>
      <c r="H475" s="355">
        <f>[34]April!$F$35</f>
        <v>0</v>
      </c>
      <c r="I475" s="355">
        <f>[34]Mei!$F$35</f>
        <v>0</v>
      </c>
      <c r="J475" s="355">
        <f>[34]Juni!$F$35</f>
        <v>2000000</v>
      </c>
      <c r="K475" s="355">
        <f>[34]Juli!$F$35</f>
        <v>0</v>
      </c>
      <c r="L475" s="355">
        <f>[34]Agustus!$F$35</f>
        <v>0</v>
      </c>
      <c r="M475" s="355">
        <f>[34]September!$F$35</f>
        <v>0</v>
      </c>
      <c r="N475" s="355">
        <f>[34]Oktober!$F$35</f>
        <v>0</v>
      </c>
      <c r="O475" s="355">
        <f>[34]Nopember!$F$35</f>
        <v>8972500</v>
      </c>
      <c r="P475" s="355">
        <f>[34]Desember!$F$35</f>
        <v>0</v>
      </c>
      <c r="Q475" s="346">
        <f t="shared" si="184"/>
        <v>10972500</v>
      </c>
      <c r="R475" s="1630">
        <f t="shared" si="181"/>
        <v>10972500</v>
      </c>
      <c r="S475" s="388"/>
      <c r="T475" s="441"/>
      <c r="V475" s="786"/>
      <c r="W475" s="786"/>
      <c r="X475" s="786"/>
    </row>
    <row r="476" spans="1:24" s="254" customFormat="1" ht="14.1" customHeight="1">
      <c r="A476" s="290"/>
      <c r="B476" s="842">
        <v>7</v>
      </c>
      <c r="C476" s="1776" t="s">
        <v>836</v>
      </c>
      <c r="D476" s="355">
        <f>'[4]TARGET MURNI DAN PERUBAHAN'!D395</f>
        <v>0</v>
      </c>
      <c r="E476" s="375">
        <f>[35]Januari!$F$35</f>
        <v>0</v>
      </c>
      <c r="F476" s="375">
        <f>[35]Februari!$F$35</f>
        <v>0</v>
      </c>
      <c r="G476" s="375">
        <f>[35]Maret!$F$35</f>
        <v>0</v>
      </c>
      <c r="H476" s="375">
        <f>[35]April!$F$35</f>
        <v>0</v>
      </c>
      <c r="I476" s="375">
        <f>[35]Mei!$F$35</f>
        <v>0</v>
      </c>
      <c r="J476" s="375">
        <f>[35]Juni!$F$35</f>
        <v>0</v>
      </c>
      <c r="K476" s="375">
        <f>[35]Juli!$F$35</f>
        <v>0</v>
      </c>
      <c r="L476" s="375">
        <f>[35]Agustus!$F$35</f>
        <v>0</v>
      </c>
      <c r="M476" s="375">
        <f>[35]September!$F$35</f>
        <v>2664500</v>
      </c>
      <c r="N476" s="375">
        <f>[35]Oktober!$F$35</f>
        <v>0</v>
      </c>
      <c r="O476" s="375">
        <f>[35]Nopember!$F$35</f>
        <v>0</v>
      </c>
      <c r="P476" s="375">
        <f>[35]Desember!$F$35</f>
        <v>0</v>
      </c>
      <c r="Q476" s="346">
        <f t="shared" si="184"/>
        <v>2664500</v>
      </c>
      <c r="R476" s="1630">
        <f t="shared" si="181"/>
        <v>2664500</v>
      </c>
      <c r="S476" s="600"/>
      <c r="T476" s="448"/>
      <c r="V476" s="786"/>
      <c r="W476" s="786"/>
      <c r="X476" s="786"/>
    </row>
    <row r="477" spans="1:24" s="254" customFormat="1" ht="14.1" customHeight="1">
      <c r="A477" s="290"/>
      <c r="B477" s="842">
        <v>8</v>
      </c>
      <c r="C477" s="1776" t="s">
        <v>837</v>
      </c>
      <c r="D477" s="355">
        <f>'[4]TARGET MURNI DAN PERUBAHAN'!D396</f>
        <v>0</v>
      </c>
      <c r="E477" s="375">
        <f>[36]Januari!$F$35</f>
        <v>0</v>
      </c>
      <c r="F477" s="375">
        <f>[36]Februari!$F$35</f>
        <v>0</v>
      </c>
      <c r="G477" s="375">
        <f>[36]Maret!$F$35</f>
        <v>0</v>
      </c>
      <c r="H477" s="375">
        <f>[36]April!$F$35</f>
        <v>0</v>
      </c>
      <c r="I477" s="375">
        <f>[36]Mei!$F$35</f>
        <v>0</v>
      </c>
      <c r="J477" s="375">
        <f>[36]Juni!$F$35</f>
        <v>0</v>
      </c>
      <c r="K477" s="375">
        <f>[36]Juli!$F$35</f>
        <v>0</v>
      </c>
      <c r="L477" s="375">
        <f>[36]Agustus!$F$35</f>
        <v>0</v>
      </c>
      <c r="M477" s="375">
        <f>[36]September!$F$35</f>
        <v>0</v>
      </c>
      <c r="N477" s="375">
        <f>[36]Oktober!$F$35</f>
        <v>0</v>
      </c>
      <c r="O477" s="375">
        <f>[36]Nopember!$F$35</f>
        <v>2605000</v>
      </c>
      <c r="P477" s="375">
        <f>[36]Desember!$F$35</f>
        <v>0</v>
      </c>
      <c r="Q477" s="346">
        <f t="shared" si="184"/>
        <v>2605000</v>
      </c>
      <c r="R477" s="1630">
        <f t="shared" si="181"/>
        <v>2605000</v>
      </c>
      <c r="S477" s="600"/>
      <c r="T477" s="448"/>
      <c r="V477" s="786"/>
      <c r="W477" s="786"/>
      <c r="X477" s="786"/>
    </row>
    <row r="478" spans="1:24" s="254" customFormat="1" ht="14.1" customHeight="1">
      <c r="A478" s="290"/>
      <c r="B478" s="842">
        <v>9</v>
      </c>
      <c r="C478" s="1776" t="s">
        <v>838</v>
      </c>
      <c r="D478" s="355">
        <f>'[4]TARGET MURNI DAN PERUBAHAN'!D397</f>
        <v>0</v>
      </c>
      <c r="E478" s="375">
        <f>[37]Januari!$F$35</f>
        <v>0</v>
      </c>
      <c r="F478" s="375">
        <f>[37]Februari!$F$35</f>
        <v>0</v>
      </c>
      <c r="G478" s="375">
        <f>[37]Maret!$F$35</f>
        <v>0</v>
      </c>
      <c r="H478" s="375">
        <f>[37]April!$F$35</f>
        <v>0</v>
      </c>
      <c r="I478" s="375">
        <f>[37]Mei!$F$35</f>
        <v>0</v>
      </c>
      <c r="J478" s="375">
        <f>[37]Juni!$F$35</f>
        <v>0</v>
      </c>
      <c r="K478" s="375">
        <f>[37]Juli!$F$35</f>
        <v>0</v>
      </c>
      <c r="L478" s="375">
        <f>[37]Agustus!$F$35</f>
        <v>0</v>
      </c>
      <c r="M478" s="375">
        <f>[37]September!$F$35</f>
        <v>0</v>
      </c>
      <c r="N478" s="375">
        <f>[37]Oktober!$F$35</f>
        <v>0</v>
      </c>
      <c r="O478" s="375">
        <f>[37]Nopember!$F$35</f>
        <v>3670000</v>
      </c>
      <c r="P478" s="375">
        <f>[37]Desember!$F$35</f>
        <v>0</v>
      </c>
      <c r="Q478" s="346">
        <f t="shared" si="184"/>
        <v>3670000</v>
      </c>
      <c r="R478" s="1630"/>
      <c r="S478" s="600"/>
      <c r="T478" s="448"/>
      <c r="V478" s="786"/>
      <c r="W478" s="786"/>
      <c r="X478" s="786"/>
    </row>
    <row r="479" spans="1:24" s="254" customFormat="1" ht="14.1" customHeight="1">
      <c r="A479" s="290"/>
      <c r="B479" s="842">
        <v>10</v>
      </c>
      <c r="C479" s="1776" t="s">
        <v>839</v>
      </c>
      <c r="D479" s="355">
        <f>'[4]TARGET MURNI DAN PERUBAHAN'!D398</f>
        <v>0</v>
      </c>
      <c r="E479" s="375">
        <f>[38]Januari!$F$35</f>
        <v>0</v>
      </c>
      <c r="F479" s="375">
        <f>[38]Februari!$F$35</f>
        <v>0</v>
      </c>
      <c r="G479" s="375">
        <f>[38]Maret!$F$35</f>
        <v>0</v>
      </c>
      <c r="H479" s="375">
        <f>[38]April!$F$35</f>
        <v>0</v>
      </c>
      <c r="I479" s="375">
        <f>[38]Mei!$F$35</f>
        <v>0</v>
      </c>
      <c r="J479" s="375">
        <f>[38]Juni!$F$35</f>
        <v>0</v>
      </c>
      <c r="K479" s="375">
        <f>[38]Juli!$F$35</f>
        <v>0</v>
      </c>
      <c r="L479" s="375">
        <f>[38]Agustus!$F$35</f>
        <v>8957000</v>
      </c>
      <c r="M479" s="375">
        <f>[38]September!$F$35</f>
        <v>0</v>
      </c>
      <c r="N479" s="375">
        <f>[38]Oktober!$F$35</f>
        <v>0</v>
      </c>
      <c r="O479" s="375">
        <f>[38]Nopember!$F$35</f>
        <v>4606430</v>
      </c>
      <c r="P479" s="375">
        <f>[38]Desember!$F$35</f>
        <v>0</v>
      </c>
      <c r="Q479" s="346">
        <f t="shared" si="184"/>
        <v>13563430</v>
      </c>
      <c r="R479" s="1630"/>
      <c r="S479" s="600"/>
      <c r="T479" s="448"/>
      <c r="V479" s="786"/>
      <c r="W479" s="786"/>
      <c r="X479" s="786"/>
    </row>
    <row r="480" spans="1:24" s="254" customFormat="1" ht="14.1" customHeight="1">
      <c r="A480" s="290"/>
      <c r="B480" s="842"/>
      <c r="C480" s="253"/>
      <c r="D480" s="355"/>
      <c r="E480" s="375"/>
      <c r="F480" s="375"/>
      <c r="G480" s="375"/>
      <c r="H480" s="375"/>
      <c r="I480" s="375"/>
      <c r="J480" s="375"/>
      <c r="K480" s="375"/>
      <c r="L480" s="375"/>
      <c r="M480" s="375"/>
      <c r="N480" s="375"/>
      <c r="O480" s="375"/>
      <c r="P480" s="375"/>
      <c r="Q480" s="346">
        <f t="shared" si="184"/>
        <v>0</v>
      </c>
      <c r="R480" s="1630"/>
      <c r="S480" s="600"/>
      <c r="T480" s="448"/>
      <c r="V480" s="786"/>
      <c r="W480" s="786"/>
      <c r="X480" s="786"/>
    </row>
    <row r="481" spans="1:24" s="254" customFormat="1" ht="15.05">
      <c r="A481" s="290"/>
      <c r="B481" s="291" t="s">
        <v>321</v>
      </c>
      <c r="C481" s="253"/>
      <c r="D481" s="973">
        <f>D495</f>
        <v>0</v>
      </c>
      <c r="E481" s="973">
        <f t="shared" ref="E481:P481" si="190">E495</f>
        <v>0</v>
      </c>
      <c r="F481" s="973">
        <f t="shared" si="190"/>
        <v>0</v>
      </c>
      <c r="G481" s="973">
        <f t="shared" si="190"/>
        <v>0</v>
      </c>
      <c r="H481" s="973">
        <f t="shared" si="190"/>
        <v>0</v>
      </c>
      <c r="I481" s="973">
        <f t="shared" si="190"/>
        <v>0</v>
      </c>
      <c r="J481" s="973">
        <f t="shared" si="190"/>
        <v>0</v>
      </c>
      <c r="K481" s="973">
        <f t="shared" si="190"/>
        <v>0</v>
      </c>
      <c r="L481" s="973">
        <f t="shared" si="190"/>
        <v>0</v>
      </c>
      <c r="M481" s="973">
        <f t="shared" si="190"/>
        <v>0</v>
      </c>
      <c r="N481" s="973">
        <f t="shared" si="190"/>
        <v>0</v>
      </c>
      <c r="O481" s="973">
        <f t="shared" si="190"/>
        <v>0</v>
      </c>
      <c r="P481" s="973">
        <f t="shared" si="190"/>
        <v>0</v>
      </c>
      <c r="Q481" s="831">
        <f t="shared" si="184"/>
        <v>0</v>
      </c>
      <c r="R481" s="1744">
        <f>Q481-D481</f>
        <v>0</v>
      </c>
      <c r="S481" s="347" t="e">
        <f>Q481/D481*100</f>
        <v>#DIV/0!</v>
      </c>
      <c r="T481" s="448"/>
      <c r="V481" s="786"/>
      <c r="W481" s="786"/>
      <c r="X481" s="786"/>
    </row>
    <row r="482" spans="1:24" s="254" customFormat="1" ht="14.1" customHeight="1">
      <c r="A482" s="290"/>
      <c r="B482" s="291"/>
      <c r="C482" s="253"/>
      <c r="D482" s="371"/>
      <c r="E482" s="398"/>
      <c r="F482" s="398"/>
      <c r="G482" s="398"/>
      <c r="H482" s="398"/>
      <c r="I482" s="398"/>
      <c r="J482" s="398"/>
      <c r="K482" s="398"/>
      <c r="L482" s="398"/>
      <c r="M482" s="398"/>
      <c r="N482" s="398"/>
      <c r="O482" s="398"/>
      <c r="P482" s="398"/>
      <c r="Q482" s="398"/>
      <c r="R482" s="1652"/>
      <c r="S482" s="347"/>
      <c r="T482" s="448"/>
      <c r="V482" s="786"/>
      <c r="W482" s="786"/>
      <c r="X482" s="786"/>
    </row>
    <row r="483" spans="1:24" s="254" customFormat="1" ht="14.1" customHeight="1">
      <c r="A483" s="290"/>
      <c r="B483" s="1715" t="s">
        <v>845</v>
      </c>
      <c r="C483" s="253"/>
      <c r="D483" s="1716">
        <f>'[4]TARGET MURNI DAN PERUBAHAN'!D402</f>
        <v>0</v>
      </c>
      <c r="E483" s="1796">
        <v>0</v>
      </c>
      <c r="F483" s="1796">
        <v>0</v>
      </c>
      <c r="G483" s="1796">
        <v>0</v>
      </c>
      <c r="H483" s="1796">
        <v>0</v>
      </c>
      <c r="I483" s="1796">
        <v>0</v>
      </c>
      <c r="J483" s="1796">
        <v>0</v>
      </c>
      <c r="K483" s="1796">
        <v>0</v>
      </c>
      <c r="L483" s="1796">
        <v>0</v>
      </c>
      <c r="M483" s="1796">
        <v>0</v>
      </c>
      <c r="N483" s="1796">
        <v>0</v>
      </c>
      <c r="O483" s="1796">
        <v>0</v>
      </c>
      <c r="P483" s="1796">
        <v>0</v>
      </c>
      <c r="Q483" s="367">
        <f>SUM(E483:P483)</f>
        <v>0</v>
      </c>
      <c r="R483" s="1708">
        <f>Q483-D483</f>
        <v>0</v>
      </c>
      <c r="S483" s="347" t="e">
        <f>Q483/D483*100</f>
        <v>#DIV/0!</v>
      </c>
      <c r="T483" s="448"/>
      <c r="V483" s="786"/>
      <c r="W483" s="786"/>
      <c r="X483" s="786"/>
    </row>
    <row r="484" spans="1:24" s="254" customFormat="1" ht="14.1" customHeight="1">
      <c r="A484" s="290"/>
      <c r="B484" s="291"/>
      <c r="C484" s="253"/>
      <c r="D484" s="371"/>
      <c r="E484" s="398"/>
      <c r="F484" s="398"/>
      <c r="G484" s="398"/>
      <c r="H484" s="398"/>
      <c r="I484" s="398"/>
      <c r="J484" s="398"/>
      <c r="K484" s="398"/>
      <c r="L484" s="398"/>
      <c r="M484" s="398"/>
      <c r="N484" s="398"/>
      <c r="O484" s="398"/>
      <c r="P484" s="398"/>
      <c r="Q484" s="398"/>
      <c r="R484" s="1708"/>
      <c r="S484" s="388"/>
      <c r="T484" s="448"/>
      <c r="V484" s="786"/>
      <c r="W484" s="786"/>
      <c r="X484" s="786"/>
    </row>
    <row r="485" spans="1:24" s="254" customFormat="1" ht="14.1" customHeight="1">
      <c r="A485" s="290"/>
      <c r="B485" s="5842" t="s">
        <v>323</v>
      </c>
      <c r="C485" s="5842"/>
      <c r="D485" s="973">
        <f>SUM(D486:D494)</f>
        <v>0</v>
      </c>
      <c r="E485" s="1005">
        <f t="shared" ref="E485:Q485" si="191">SUM(E486:E494)</f>
        <v>0</v>
      </c>
      <c r="F485" s="1005">
        <f t="shared" si="191"/>
        <v>0</v>
      </c>
      <c r="G485" s="1005">
        <f t="shared" si="191"/>
        <v>0</v>
      </c>
      <c r="H485" s="1005">
        <f t="shared" si="191"/>
        <v>0</v>
      </c>
      <c r="I485" s="1005">
        <f t="shared" si="191"/>
        <v>0</v>
      </c>
      <c r="J485" s="1005">
        <f t="shared" si="191"/>
        <v>0</v>
      </c>
      <c r="K485" s="1005">
        <f t="shared" si="191"/>
        <v>0</v>
      </c>
      <c r="L485" s="1005">
        <f t="shared" si="191"/>
        <v>0</v>
      </c>
      <c r="M485" s="1005">
        <f t="shared" si="191"/>
        <v>0</v>
      </c>
      <c r="N485" s="1005">
        <f t="shared" si="191"/>
        <v>0</v>
      </c>
      <c r="O485" s="1005">
        <f t="shared" si="191"/>
        <v>0</v>
      </c>
      <c r="P485" s="1005">
        <f t="shared" si="191"/>
        <v>0</v>
      </c>
      <c r="Q485" s="398">
        <f t="shared" si="191"/>
        <v>0</v>
      </c>
      <c r="R485" s="1708">
        <f t="shared" ref="R485:R496" si="192">Q485-D485</f>
        <v>0</v>
      </c>
      <c r="S485" s="388" t="e">
        <f t="shared" ref="S485:S494" si="193">Q485/D485*100</f>
        <v>#DIV/0!</v>
      </c>
      <c r="T485" s="448"/>
      <c r="V485" s="786"/>
      <c r="W485" s="786"/>
      <c r="X485" s="786"/>
    </row>
    <row r="486" spans="1:24" s="254" customFormat="1" ht="14.1" customHeight="1">
      <c r="A486" s="290"/>
      <c r="B486" s="2763" t="s">
        <v>50</v>
      </c>
      <c r="C486" s="1776" t="s">
        <v>831</v>
      </c>
      <c r="D486" s="1556">
        <f>'[4]TARGET MURNI DAN PERUBAHAN'!D405</f>
        <v>0</v>
      </c>
      <c r="E486" s="1796">
        <v>0</v>
      </c>
      <c r="F486" s="1796">
        <v>0</v>
      </c>
      <c r="G486" s="1796">
        <v>0</v>
      </c>
      <c r="H486" s="1796">
        <v>0</v>
      </c>
      <c r="I486" s="1796">
        <v>0</v>
      </c>
      <c r="J486" s="1796">
        <v>0</v>
      </c>
      <c r="K486" s="1796">
        <v>0</v>
      </c>
      <c r="L486" s="1796">
        <v>0</v>
      </c>
      <c r="M486" s="1796">
        <v>0</v>
      </c>
      <c r="N486" s="1796">
        <v>0</v>
      </c>
      <c r="O486" s="1796">
        <v>0</v>
      </c>
      <c r="P486" s="1796">
        <v>0</v>
      </c>
      <c r="Q486" s="346">
        <f t="shared" ref="Q486:Q496" si="194">SUM(E486:P486)</f>
        <v>0</v>
      </c>
      <c r="R486" s="1630">
        <f t="shared" si="192"/>
        <v>0</v>
      </c>
      <c r="S486" s="388" t="e">
        <f t="shared" si="193"/>
        <v>#DIV/0!</v>
      </c>
      <c r="T486" s="1780"/>
      <c r="V486" s="786"/>
      <c r="W486" s="786"/>
      <c r="X486" s="786"/>
    </row>
    <row r="487" spans="1:24" s="254" customFormat="1" ht="14.1" customHeight="1">
      <c r="A487" s="290"/>
      <c r="B487" s="2763" t="s">
        <v>50</v>
      </c>
      <c r="C487" s="1776" t="s">
        <v>832</v>
      </c>
      <c r="D487" s="1556">
        <f>'[4]TARGET MURNI DAN PERUBAHAN'!D406</f>
        <v>0</v>
      </c>
      <c r="E487" s="1796">
        <v>0</v>
      </c>
      <c r="F487" s="1796">
        <v>0</v>
      </c>
      <c r="G487" s="1796">
        <v>0</v>
      </c>
      <c r="H487" s="1796">
        <v>0</v>
      </c>
      <c r="I487" s="1796">
        <v>0</v>
      </c>
      <c r="J487" s="1796">
        <v>0</v>
      </c>
      <c r="K487" s="1796">
        <v>0</v>
      </c>
      <c r="L487" s="1796">
        <v>0</v>
      </c>
      <c r="M487" s="1796">
        <v>0</v>
      </c>
      <c r="N487" s="1796">
        <v>0</v>
      </c>
      <c r="O487" s="1796">
        <v>0</v>
      </c>
      <c r="P487" s="1796">
        <v>0</v>
      </c>
      <c r="Q487" s="346">
        <f t="shared" si="194"/>
        <v>0</v>
      </c>
      <c r="R487" s="1630">
        <f t="shared" si="192"/>
        <v>0</v>
      </c>
      <c r="S487" s="388" t="e">
        <f t="shared" si="193"/>
        <v>#DIV/0!</v>
      </c>
      <c r="T487" s="448"/>
      <c r="V487" s="786"/>
      <c r="W487" s="786"/>
      <c r="X487" s="786"/>
    </row>
    <row r="488" spans="1:24" s="254" customFormat="1" ht="14.1" customHeight="1">
      <c r="A488" s="290"/>
      <c r="B488" s="2763" t="s">
        <v>50</v>
      </c>
      <c r="C488" s="1776" t="s">
        <v>833</v>
      </c>
      <c r="D488" s="1556">
        <f>'[4]TARGET MURNI DAN PERUBAHAN'!D407</f>
        <v>0</v>
      </c>
      <c r="E488" s="1796">
        <v>0</v>
      </c>
      <c r="F488" s="1796">
        <v>0</v>
      </c>
      <c r="G488" s="1796">
        <v>0</v>
      </c>
      <c r="H488" s="1796">
        <v>0</v>
      </c>
      <c r="I488" s="1796">
        <v>0</v>
      </c>
      <c r="J488" s="1796">
        <v>0</v>
      </c>
      <c r="K488" s="1796">
        <v>0</v>
      </c>
      <c r="L488" s="1796">
        <v>0</v>
      </c>
      <c r="M488" s="1796">
        <v>0</v>
      </c>
      <c r="N488" s="1796">
        <v>0</v>
      </c>
      <c r="O488" s="1796">
        <v>0</v>
      </c>
      <c r="P488" s="1796">
        <v>0</v>
      </c>
      <c r="Q488" s="346">
        <f t="shared" si="194"/>
        <v>0</v>
      </c>
      <c r="R488" s="1630">
        <f t="shared" si="192"/>
        <v>0</v>
      </c>
      <c r="S488" s="388" t="e">
        <f t="shared" si="193"/>
        <v>#DIV/0!</v>
      </c>
      <c r="T488" s="448"/>
      <c r="V488" s="786"/>
      <c r="W488" s="786"/>
      <c r="X488" s="786"/>
    </row>
    <row r="489" spans="1:24" s="254" customFormat="1" ht="14.1" customHeight="1">
      <c r="A489" s="290"/>
      <c r="B489" s="2763" t="s">
        <v>50</v>
      </c>
      <c r="C489" s="1776" t="s">
        <v>834</v>
      </c>
      <c r="D489" s="1556">
        <f>'[4]TARGET MURNI DAN PERUBAHAN'!D408</f>
        <v>0</v>
      </c>
      <c r="E489" s="1796">
        <v>0</v>
      </c>
      <c r="F489" s="1796">
        <v>0</v>
      </c>
      <c r="G489" s="1796">
        <v>0</v>
      </c>
      <c r="H489" s="1796">
        <v>0</v>
      </c>
      <c r="I489" s="1796">
        <v>0</v>
      </c>
      <c r="J489" s="1796">
        <v>0</v>
      </c>
      <c r="K489" s="1796">
        <v>0</v>
      </c>
      <c r="L489" s="1796">
        <v>0</v>
      </c>
      <c r="M489" s="1796">
        <v>0</v>
      </c>
      <c r="N489" s="1796">
        <v>0</v>
      </c>
      <c r="O489" s="1796">
        <v>0</v>
      </c>
      <c r="P489" s="1796">
        <v>0</v>
      </c>
      <c r="Q489" s="346">
        <f t="shared" si="194"/>
        <v>0</v>
      </c>
      <c r="R489" s="1630">
        <f t="shared" si="192"/>
        <v>0</v>
      </c>
      <c r="S489" s="388" t="e">
        <f t="shared" si="193"/>
        <v>#DIV/0!</v>
      </c>
      <c r="T489" s="448"/>
      <c r="V489" s="786"/>
      <c r="W489" s="786"/>
      <c r="X489" s="786"/>
    </row>
    <row r="490" spans="1:24" s="254" customFormat="1" ht="14.1" customHeight="1">
      <c r="A490" s="290"/>
      <c r="B490" s="2763" t="s">
        <v>50</v>
      </c>
      <c r="C490" s="1776" t="s">
        <v>835</v>
      </c>
      <c r="D490" s="1556">
        <f>'[4]TARGET MURNI DAN PERUBAHAN'!D409</f>
        <v>0</v>
      </c>
      <c r="E490" s="1796">
        <v>0</v>
      </c>
      <c r="F490" s="1796">
        <v>0</v>
      </c>
      <c r="G490" s="1796">
        <v>0</v>
      </c>
      <c r="H490" s="1796">
        <v>0</v>
      </c>
      <c r="I490" s="1796">
        <v>0</v>
      </c>
      <c r="J490" s="1796">
        <v>0</v>
      </c>
      <c r="K490" s="1796">
        <v>0</v>
      </c>
      <c r="L490" s="1796">
        <v>0</v>
      </c>
      <c r="M490" s="1796">
        <v>0</v>
      </c>
      <c r="N490" s="1796">
        <v>0</v>
      </c>
      <c r="O490" s="1796">
        <v>0</v>
      </c>
      <c r="P490" s="1796">
        <v>0</v>
      </c>
      <c r="Q490" s="346">
        <f t="shared" si="194"/>
        <v>0</v>
      </c>
      <c r="R490" s="1630">
        <f t="shared" si="192"/>
        <v>0</v>
      </c>
      <c r="S490" s="388" t="e">
        <f t="shared" si="193"/>
        <v>#DIV/0!</v>
      </c>
      <c r="T490" s="448"/>
      <c r="V490" s="786"/>
      <c r="W490" s="786"/>
      <c r="X490" s="786"/>
    </row>
    <row r="491" spans="1:24" s="254" customFormat="1" ht="14.1" customHeight="1">
      <c r="A491" s="290"/>
      <c r="B491" s="2763" t="s">
        <v>50</v>
      </c>
      <c r="C491" s="1776" t="s">
        <v>836</v>
      </c>
      <c r="D491" s="1556">
        <f>'[4]TARGET MURNI DAN PERUBAHAN'!D410</f>
        <v>0</v>
      </c>
      <c r="E491" s="1796">
        <v>0</v>
      </c>
      <c r="F491" s="1796">
        <v>0</v>
      </c>
      <c r="G491" s="1796">
        <v>0</v>
      </c>
      <c r="H491" s="1796">
        <v>0</v>
      </c>
      <c r="I491" s="1796">
        <v>0</v>
      </c>
      <c r="J491" s="1796">
        <v>0</v>
      </c>
      <c r="K491" s="1796">
        <v>0</v>
      </c>
      <c r="L491" s="1796">
        <v>0</v>
      </c>
      <c r="M491" s="1796">
        <v>0</v>
      </c>
      <c r="N491" s="1796">
        <v>0</v>
      </c>
      <c r="O491" s="1796">
        <v>0</v>
      </c>
      <c r="P491" s="1796">
        <v>0</v>
      </c>
      <c r="Q491" s="346">
        <f t="shared" si="194"/>
        <v>0</v>
      </c>
      <c r="R491" s="1630">
        <f t="shared" si="192"/>
        <v>0</v>
      </c>
      <c r="S491" s="388" t="e">
        <f t="shared" si="193"/>
        <v>#DIV/0!</v>
      </c>
      <c r="T491" s="448"/>
      <c r="V491" s="786"/>
      <c r="W491" s="786"/>
      <c r="X491" s="786"/>
    </row>
    <row r="492" spans="1:24" s="254" customFormat="1" ht="14.1" customHeight="1">
      <c r="A492" s="290"/>
      <c r="B492" s="2763" t="s">
        <v>50</v>
      </c>
      <c r="C492" s="1776" t="s">
        <v>837</v>
      </c>
      <c r="D492" s="1556">
        <f>'[4]TARGET MURNI DAN PERUBAHAN'!D411</f>
        <v>0</v>
      </c>
      <c r="E492" s="1796">
        <v>0</v>
      </c>
      <c r="F492" s="1796">
        <v>0</v>
      </c>
      <c r="G492" s="1796">
        <v>0</v>
      </c>
      <c r="H492" s="1796">
        <v>0</v>
      </c>
      <c r="I492" s="1796">
        <v>0</v>
      </c>
      <c r="J492" s="1796">
        <v>0</v>
      </c>
      <c r="K492" s="1796">
        <v>0</v>
      </c>
      <c r="L492" s="1796">
        <v>0</v>
      </c>
      <c r="M492" s="1796">
        <v>0</v>
      </c>
      <c r="N492" s="1796">
        <v>0</v>
      </c>
      <c r="O492" s="1796">
        <v>0</v>
      </c>
      <c r="P492" s="1796">
        <v>0</v>
      </c>
      <c r="Q492" s="346">
        <f t="shared" si="194"/>
        <v>0</v>
      </c>
      <c r="R492" s="1630">
        <f t="shared" si="192"/>
        <v>0</v>
      </c>
      <c r="S492" s="388" t="e">
        <f t="shared" si="193"/>
        <v>#DIV/0!</v>
      </c>
      <c r="T492" s="448"/>
      <c r="V492" s="786"/>
      <c r="W492" s="786"/>
      <c r="X492" s="786"/>
    </row>
    <row r="493" spans="1:24" s="254" customFormat="1" ht="14.1" customHeight="1">
      <c r="A493" s="290"/>
      <c r="B493" s="2763" t="s">
        <v>50</v>
      </c>
      <c r="C493" s="1776" t="s">
        <v>838</v>
      </c>
      <c r="D493" s="1556">
        <f>'[4]TARGET MURNI DAN PERUBAHAN'!D412</f>
        <v>0</v>
      </c>
      <c r="E493" s="1796">
        <v>0</v>
      </c>
      <c r="F493" s="1796">
        <v>0</v>
      </c>
      <c r="G493" s="1796">
        <v>0</v>
      </c>
      <c r="H493" s="1796">
        <v>0</v>
      </c>
      <c r="I493" s="1796">
        <v>0</v>
      </c>
      <c r="J493" s="1796">
        <v>0</v>
      </c>
      <c r="K493" s="1796">
        <v>0</v>
      </c>
      <c r="L493" s="1796">
        <v>0</v>
      </c>
      <c r="M493" s="1796">
        <v>0</v>
      </c>
      <c r="N493" s="1796">
        <v>0</v>
      </c>
      <c r="O493" s="1796">
        <v>0</v>
      </c>
      <c r="P493" s="1796">
        <v>0</v>
      </c>
      <c r="Q493" s="346">
        <f t="shared" si="194"/>
        <v>0</v>
      </c>
      <c r="R493" s="1630">
        <f t="shared" si="192"/>
        <v>0</v>
      </c>
      <c r="S493" s="388" t="e">
        <f t="shared" si="193"/>
        <v>#DIV/0!</v>
      </c>
      <c r="T493" s="1780"/>
      <c r="V493" s="786"/>
      <c r="W493" s="786"/>
      <c r="X493" s="786"/>
    </row>
    <row r="494" spans="1:24" s="254" customFormat="1" ht="14.1" customHeight="1">
      <c r="A494" s="290"/>
      <c r="B494" s="2763" t="s">
        <v>50</v>
      </c>
      <c r="C494" s="1776" t="s">
        <v>839</v>
      </c>
      <c r="D494" s="1556">
        <f>'[4]TARGET MURNI DAN PERUBAHAN'!D413</f>
        <v>0</v>
      </c>
      <c r="E494" s="375">
        <v>0</v>
      </c>
      <c r="F494" s="375">
        <v>0</v>
      </c>
      <c r="G494" s="375">
        <v>0</v>
      </c>
      <c r="H494" s="375">
        <v>0</v>
      </c>
      <c r="I494" s="375">
        <v>0</v>
      </c>
      <c r="J494" s="375">
        <v>0</v>
      </c>
      <c r="K494" s="375">
        <v>0</v>
      </c>
      <c r="L494" s="375">
        <v>0</v>
      </c>
      <c r="M494" s="375">
        <v>0</v>
      </c>
      <c r="N494" s="375">
        <v>0</v>
      </c>
      <c r="O494" s="375">
        <v>0</v>
      </c>
      <c r="P494" s="375">
        <v>0</v>
      </c>
      <c r="Q494" s="346">
        <f t="shared" si="194"/>
        <v>0</v>
      </c>
      <c r="R494" s="1630">
        <f t="shared" si="192"/>
        <v>0</v>
      </c>
      <c r="S494" s="388" t="e">
        <f t="shared" si="193"/>
        <v>#DIV/0!</v>
      </c>
      <c r="T494" s="448"/>
      <c r="V494" s="786"/>
      <c r="W494" s="786"/>
      <c r="X494" s="786"/>
    </row>
    <row r="495" spans="1:24" s="254" customFormat="1" ht="14.1" customHeight="1">
      <c r="A495" s="290"/>
      <c r="B495" s="5843" t="s">
        <v>744</v>
      </c>
      <c r="C495" s="5844"/>
      <c r="D495" s="371">
        <v>0</v>
      </c>
      <c r="E495" s="398">
        <v>0</v>
      </c>
      <c r="F495" s="398">
        <v>0</v>
      </c>
      <c r="G495" s="398">
        <v>0</v>
      </c>
      <c r="H495" s="398">
        <v>0</v>
      </c>
      <c r="I495" s="398">
        <v>0</v>
      </c>
      <c r="J495" s="398">
        <v>0</v>
      </c>
      <c r="K495" s="398">
        <v>0</v>
      </c>
      <c r="L495" s="398">
        <v>0</v>
      </c>
      <c r="M495" s="398">
        <v>0</v>
      </c>
      <c r="N495" s="398">
        <v>0</v>
      </c>
      <c r="O495" s="398">
        <v>0</v>
      </c>
      <c r="P495" s="398">
        <v>0</v>
      </c>
      <c r="Q495" s="367">
        <f t="shared" si="194"/>
        <v>0</v>
      </c>
      <c r="R495" s="1708">
        <f t="shared" si="192"/>
        <v>0</v>
      </c>
      <c r="S495" s="388">
        <v>0</v>
      </c>
      <c r="T495" s="448"/>
      <c r="V495" s="786"/>
      <c r="W495" s="786"/>
      <c r="X495" s="786"/>
    </row>
    <row r="496" spans="1:24" s="254" customFormat="1" ht="14.1" customHeight="1">
      <c r="A496" s="290"/>
      <c r="B496" s="2763" t="s">
        <v>50</v>
      </c>
      <c r="C496" s="253" t="s">
        <v>744</v>
      </c>
      <c r="D496" s="355">
        <v>0</v>
      </c>
      <c r="E496" s="375">
        <v>0</v>
      </c>
      <c r="F496" s="375">
        <v>0</v>
      </c>
      <c r="G496" s="375">
        <v>0</v>
      </c>
      <c r="H496" s="375">
        <v>0</v>
      </c>
      <c r="I496" s="375">
        <v>0</v>
      </c>
      <c r="J496" s="375">
        <v>0</v>
      </c>
      <c r="K496" s="375">
        <v>0</v>
      </c>
      <c r="L496" s="375">
        <v>0</v>
      </c>
      <c r="M496" s="375">
        <v>0</v>
      </c>
      <c r="N496" s="375">
        <v>0</v>
      </c>
      <c r="O496" s="375">
        <v>0</v>
      </c>
      <c r="P496" s="375">
        <v>0</v>
      </c>
      <c r="Q496" s="367">
        <f t="shared" si="194"/>
        <v>0</v>
      </c>
      <c r="R496" s="1630">
        <f t="shared" si="192"/>
        <v>0</v>
      </c>
      <c r="S496" s="600">
        <v>0</v>
      </c>
      <c r="T496" s="448"/>
      <c r="V496" s="786"/>
      <c r="W496" s="786"/>
      <c r="X496" s="786"/>
    </row>
    <row r="497" spans="1:24" s="245" customFormat="1" ht="14.1" customHeight="1">
      <c r="A497" s="575"/>
      <c r="B497" s="306"/>
      <c r="C497" s="306"/>
      <c r="D497" s="380"/>
      <c r="E497" s="379"/>
      <c r="F497" s="379"/>
      <c r="G497" s="379"/>
      <c r="H497" s="379"/>
      <c r="I497" s="379"/>
      <c r="J497" s="379"/>
      <c r="K497" s="379"/>
      <c r="L497" s="379"/>
      <c r="M497" s="379"/>
      <c r="N497" s="379"/>
      <c r="O497" s="379"/>
      <c r="P497" s="379"/>
      <c r="Q497" s="379"/>
      <c r="R497" s="1800"/>
      <c r="S497" s="1801"/>
      <c r="T497" s="549"/>
      <c r="V497" s="1593"/>
      <c r="W497" s="1593"/>
      <c r="X497" s="1593"/>
    </row>
    <row r="498" spans="1:24" s="244" customFormat="1" ht="14.1" customHeight="1">
      <c r="A498" s="1552" t="s">
        <v>846</v>
      </c>
      <c r="B498" s="1553" t="s">
        <v>405</v>
      </c>
      <c r="C498" s="298"/>
      <c r="D498" s="835">
        <f>D499+D503</f>
        <v>6876738000</v>
      </c>
      <c r="E498" s="337">
        <f t="shared" ref="E498:Q498" si="195">E499+E503</f>
        <v>39805511.200000003</v>
      </c>
      <c r="F498" s="337">
        <f t="shared" si="195"/>
        <v>25965685</v>
      </c>
      <c r="G498" s="337">
        <f t="shared" si="195"/>
        <v>1262248000</v>
      </c>
      <c r="H498" s="337">
        <f t="shared" si="195"/>
        <v>219060000</v>
      </c>
      <c r="I498" s="337">
        <f t="shared" si="195"/>
        <v>889700000</v>
      </c>
      <c r="J498" s="337">
        <f t="shared" si="195"/>
        <v>478955000</v>
      </c>
      <c r="K498" s="337">
        <f t="shared" si="195"/>
        <v>29820000</v>
      </c>
      <c r="L498" s="337">
        <f t="shared" si="195"/>
        <v>439350000</v>
      </c>
      <c r="M498" s="337">
        <f t="shared" si="195"/>
        <v>309885000</v>
      </c>
      <c r="N498" s="337">
        <f t="shared" si="195"/>
        <v>1082555000</v>
      </c>
      <c r="O498" s="337">
        <f t="shared" si="195"/>
        <v>2558091000</v>
      </c>
      <c r="P498" s="337">
        <f t="shared" si="195"/>
        <v>551425000</v>
      </c>
      <c r="Q498" s="337">
        <f t="shared" si="195"/>
        <v>7886860196.1999998</v>
      </c>
      <c r="R498" s="1636">
        <f>+Q498-D498</f>
        <v>1010122196.1999998</v>
      </c>
      <c r="S498" s="338">
        <f>+Q498/D498*100</f>
        <v>114.68897311777764</v>
      </c>
      <c r="T498" s="432"/>
      <c r="V498" s="434"/>
      <c r="W498" s="434"/>
      <c r="X498" s="434"/>
    </row>
    <row r="499" spans="1:24" s="189" customFormat="1" ht="14.1" customHeight="1">
      <c r="A499" s="1554"/>
      <c r="B499" s="1329" t="s">
        <v>63</v>
      </c>
      <c r="C499" s="1338"/>
      <c r="D499" s="1654">
        <f>+D500+D501</f>
        <v>165000000</v>
      </c>
      <c r="E499" s="1654">
        <f t="shared" ref="E499:Q499" si="196">+E500+E501</f>
        <v>7000000</v>
      </c>
      <c r="F499" s="1654">
        <f t="shared" si="196"/>
        <v>24130000</v>
      </c>
      <c r="G499" s="1654">
        <f t="shared" si="196"/>
        <v>59450000</v>
      </c>
      <c r="H499" s="1654">
        <f t="shared" si="196"/>
        <v>8350000</v>
      </c>
      <c r="I499" s="1654">
        <f t="shared" si="196"/>
        <v>148045000</v>
      </c>
      <c r="J499" s="1654">
        <f t="shared" si="196"/>
        <v>20350000</v>
      </c>
      <c r="K499" s="1654">
        <f t="shared" si="196"/>
        <v>3000000</v>
      </c>
      <c r="L499" s="1654">
        <f t="shared" si="196"/>
        <v>34750000</v>
      </c>
      <c r="M499" s="1654">
        <f t="shared" si="196"/>
        <v>67125000</v>
      </c>
      <c r="N499" s="1654">
        <f t="shared" si="196"/>
        <v>69080000</v>
      </c>
      <c r="O499" s="1654">
        <f t="shared" si="196"/>
        <v>17125000</v>
      </c>
      <c r="P499" s="1654">
        <f t="shared" si="196"/>
        <v>345335000</v>
      </c>
      <c r="Q499" s="1654">
        <f t="shared" si="196"/>
        <v>803740000</v>
      </c>
      <c r="R499" s="1673">
        <f>Q499-D499</f>
        <v>638740000</v>
      </c>
      <c r="S499" s="1337">
        <f>Q499/D499*100</f>
        <v>487.11515151515152</v>
      </c>
      <c r="T499" s="1802"/>
      <c r="V499" s="786"/>
      <c r="W499" s="786"/>
      <c r="X499" s="786"/>
    </row>
    <row r="500" spans="1:24" s="189" customFormat="1" ht="14.1" customHeight="1">
      <c r="A500" s="290"/>
      <c r="B500" s="2760" t="s">
        <v>50</v>
      </c>
      <c r="C500" s="253" t="s">
        <v>847</v>
      </c>
      <c r="D500" s="355">
        <f>'[4]TARGET MURNI DAN PERUBAHAN'!D419</f>
        <v>80000000</v>
      </c>
      <c r="E500" s="355">
        <f>[48]Januari!$D$35</f>
        <v>0</v>
      </c>
      <c r="F500" s="355">
        <f>[48]Februari!$D$35</f>
        <v>11250000</v>
      </c>
      <c r="G500" s="355">
        <f>[48]Maret!$D$35</f>
        <v>34350000</v>
      </c>
      <c r="H500" s="355">
        <f>[48]April!$D$35</f>
        <v>0</v>
      </c>
      <c r="I500" s="355">
        <f>[48]Mei!$D$35</f>
        <v>102600000</v>
      </c>
      <c r="J500" s="355">
        <f>[48]Juni!$D$35</f>
        <v>15300000</v>
      </c>
      <c r="K500" s="355">
        <f>[48]Juli!$D$35</f>
        <v>0</v>
      </c>
      <c r="L500" s="355">
        <f>[48]Agustus!$D$35</f>
        <v>16900000</v>
      </c>
      <c r="M500" s="355">
        <f>[48]September!$D$35</f>
        <v>44325000</v>
      </c>
      <c r="N500" s="355">
        <f>[48]Oktober!$D$35</f>
        <v>50250000</v>
      </c>
      <c r="O500" s="355">
        <f>[48]Nopember!$D$35</f>
        <v>0</v>
      </c>
      <c r="P500" s="355">
        <f>[48]Desember!$D$35</f>
        <v>259500000</v>
      </c>
      <c r="Q500" s="367">
        <f>SUM(E500:P500)</f>
        <v>534475000</v>
      </c>
      <c r="R500" s="1630">
        <f>Q500-D500</f>
        <v>454475000</v>
      </c>
      <c r="S500" s="388">
        <f>Q500/D500*100</f>
        <v>668.09375</v>
      </c>
      <c r="T500" s="1505"/>
      <c r="V500" s="434">
        <f>Q500/10</f>
        <v>53447500</v>
      </c>
      <c r="W500" s="786"/>
      <c r="X500" s="786"/>
    </row>
    <row r="501" spans="1:24" s="189" customFormat="1" ht="14.1" customHeight="1">
      <c r="A501" s="292"/>
      <c r="B501" s="2760" t="s">
        <v>50</v>
      </c>
      <c r="C501" s="253" t="s">
        <v>181</v>
      </c>
      <c r="D501" s="355">
        <f>'[4]TARGET MURNI DAN PERUBAHAN'!D420</f>
        <v>85000000</v>
      </c>
      <c r="E501" s="355">
        <f>[48]Januari!$E$35</f>
        <v>7000000</v>
      </c>
      <c r="F501" s="355">
        <f>[48]Februari!$E$35</f>
        <v>12880000</v>
      </c>
      <c r="G501" s="355">
        <f>[48]Maret!$E$35</f>
        <v>25100000</v>
      </c>
      <c r="H501" s="355">
        <f>[48]April!$E$35</f>
        <v>8350000</v>
      </c>
      <c r="I501" s="355">
        <f>[48]Mei!$E$35</f>
        <v>45445000</v>
      </c>
      <c r="J501" s="355">
        <f>[48]Juni!$E$35</f>
        <v>5050000</v>
      </c>
      <c r="K501" s="355">
        <f>[48]Juli!$E$35</f>
        <v>3000000</v>
      </c>
      <c r="L501" s="355">
        <f>[48]Agustus!$E$35</f>
        <v>17850000</v>
      </c>
      <c r="M501" s="355">
        <f>[48]September!$E$35</f>
        <v>22800000</v>
      </c>
      <c r="N501" s="355">
        <f>[48]Oktober!$E$35</f>
        <v>18830000</v>
      </c>
      <c r="O501" s="355">
        <f>[48]Nopember!$E$35</f>
        <v>17125000</v>
      </c>
      <c r="P501" s="355">
        <f>[48]Desember!$E$35</f>
        <v>85835000</v>
      </c>
      <c r="Q501" s="367">
        <f>SUM(E501:P501)</f>
        <v>269265000</v>
      </c>
      <c r="R501" s="1630">
        <f>Q501-D501</f>
        <v>184265000</v>
      </c>
      <c r="S501" s="388">
        <f>Q501/D501*100</f>
        <v>316.7823529411765</v>
      </c>
      <c r="T501" s="1505"/>
      <c r="V501" s="434">
        <f>Q501/10</f>
        <v>26926500</v>
      </c>
      <c r="W501" s="786"/>
      <c r="X501" s="786"/>
    </row>
    <row r="502" spans="1:24" s="189" customFormat="1" ht="14.1" customHeight="1">
      <c r="A502" s="290"/>
      <c r="B502" s="253"/>
      <c r="C502" s="253"/>
      <c r="D502" s="355"/>
      <c r="E502" s="355"/>
      <c r="F502" s="355"/>
      <c r="G502" s="355"/>
      <c r="H502" s="355"/>
      <c r="I502" s="355"/>
      <c r="J502" s="355"/>
      <c r="K502" s="355"/>
      <c r="L502" s="355"/>
      <c r="M502" s="355"/>
      <c r="N502" s="355"/>
      <c r="O502" s="355"/>
      <c r="P502" s="355"/>
      <c r="Q502" s="355"/>
      <c r="R502" s="1630"/>
      <c r="S502" s="388"/>
      <c r="T502" s="1505"/>
      <c r="V502" s="786"/>
      <c r="W502" s="786"/>
      <c r="X502" s="786"/>
    </row>
    <row r="503" spans="1:24" s="189" customFormat="1" ht="14.1" customHeight="1">
      <c r="A503" s="290"/>
      <c r="B503" s="291" t="s">
        <v>71</v>
      </c>
      <c r="C503" s="291"/>
      <c r="D503" s="371">
        <f t="shared" ref="D503:P503" si="197">SUM(D504:D509)</f>
        <v>6711738000</v>
      </c>
      <c r="E503" s="371">
        <f t="shared" si="197"/>
        <v>32805511.199999999</v>
      </c>
      <c r="F503" s="371">
        <f t="shared" si="197"/>
        <v>1835685</v>
      </c>
      <c r="G503" s="371">
        <f t="shared" si="197"/>
        <v>1202798000</v>
      </c>
      <c r="H503" s="371">
        <f t="shared" si="197"/>
        <v>210710000</v>
      </c>
      <c r="I503" s="371">
        <f t="shared" si="197"/>
        <v>741655000</v>
      </c>
      <c r="J503" s="371">
        <f t="shared" si="197"/>
        <v>458605000</v>
      </c>
      <c r="K503" s="371">
        <f t="shared" si="197"/>
        <v>26820000</v>
      </c>
      <c r="L503" s="371">
        <f t="shared" si="197"/>
        <v>404600000</v>
      </c>
      <c r="M503" s="371">
        <f t="shared" si="197"/>
        <v>242760000</v>
      </c>
      <c r="N503" s="371">
        <f t="shared" si="197"/>
        <v>1013475000</v>
      </c>
      <c r="O503" s="371">
        <f t="shared" si="197"/>
        <v>2540966000</v>
      </c>
      <c r="P503" s="371">
        <f t="shared" si="197"/>
        <v>206090000</v>
      </c>
      <c r="Q503" s="367">
        <f t="shared" ref="Q503:Q509" si="198">SUM(E503:P503)</f>
        <v>7083120196.1999998</v>
      </c>
      <c r="R503" s="1652">
        <f>Q503-D503</f>
        <v>371382196.19999981</v>
      </c>
      <c r="S503" s="347">
        <f>Q503/D503*100</f>
        <v>105.53332380078007</v>
      </c>
      <c r="T503" s="1505"/>
      <c r="V503" s="786"/>
      <c r="W503" s="786"/>
      <c r="X503" s="786"/>
    </row>
    <row r="504" spans="1:24" s="189" customFormat="1" ht="14.1" customHeight="1">
      <c r="A504" s="292"/>
      <c r="B504" s="2759" t="s">
        <v>50</v>
      </c>
      <c r="C504" s="859" t="s">
        <v>710</v>
      </c>
      <c r="D504" s="355">
        <v>0</v>
      </c>
      <c r="E504" s="355">
        <f>[48]Januari!$F$35</f>
        <v>0</v>
      </c>
      <c r="F504" s="355">
        <f>[48]Februari!$F$35</f>
        <v>1835685</v>
      </c>
      <c r="G504" s="355">
        <f>[48]Maret!$F$35</f>
        <v>0</v>
      </c>
      <c r="H504" s="355">
        <f>[48]April!$F$35</f>
        <v>0</v>
      </c>
      <c r="I504" s="355">
        <f>[48]Mei!$F$35</f>
        <v>0</v>
      </c>
      <c r="J504" s="355">
        <f>[48]Juni!$F$35</f>
        <v>0</v>
      </c>
      <c r="K504" s="355">
        <f>[48]Juli!$F$35</f>
        <v>0</v>
      </c>
      <c r="L504" s="355">
        <f>[48]Agustus!$F$35</f>
        <v>0</v>
      </c>
      <c r="M504" s="355">
        <f>[48]September!$F$35</f>
        <v>0</v>
      </c>
      <c r="N504" s="355">
        <f>[48]Oktober!$F$35</f>
        <v>0</v>
      </c>
      <c r="O504" s="355">
        <f>[48]Nopember!$F$35</f>
        <v>0</v>
      </c>
      <c r="P504" s="355">
        <f>[48]Desember!$F$35</f>
        <v>0</v>
      </c>
      <c r="Q504" s="367">
        <f t="shared" si="198"/>
        <v>1835685</v>
      </c>
      <c r="R504" s="1672">
        <f>Q504-D504</f>
        <v>1835685</v>
      </c>
      <c r="S504" s="347">
        <v>0</v>
      </c>
      <c r="T504" s="1505"/>
      <c r="V504" s="786"/>
      <c r="W504" s="786"/>
      <c r="X504" s="786"/>
    </row>
    <row r="505" spans="1:24" s="189" customFormat="1" ht="14.1" customHeight="1">
      <c r="A505" s="292"/>
      <c r="B505" s="2759" t="s">
        <v>50</v>
      </c>
      <c r="C505" s="859" t="s">
        <v>711</v>
      </c>
      <c r="D505" s="355"/>
      <c r="E505" s="355">
        <f>[48]Januari!$G$35</f>
        <v>0</v>
      </c>
      <c r="F505" s="355">
        <f>[48]Februari!$G$35</f>
        <v>0</v>
      </c>
      <c r="G505" s="355">
        <f>[48]Maret!$G$35</f>
        <v>0</v>
      </c>
      <c r="H505" s="355">
        <f>[48]April!$G$35</f>
        <v>0</v>
      </c>
      <c r="I505" s="355">
        <f>[48]Mei!$G$35</f>
        <v>0</v>
      </c>
      <c r="J505" s="355">
        <f>[48]Juni!$G$35</f>
        <v>0</v>
      </c>
      <c r="K505" s="355">
        <f>[48]Juli!$G$35</f>
        <v>0</v>
      </c>
      <c r="L505" s="355">
        <f>[48]Agustus!$G$35</f>
        <v>0</v>
      </c>
      <c r="M505" s="355">
        <f>[48]September!$G$35</f>
        <v>0</v>
      </c>
      <c r="N505" s="355">
        <f>[48]Oktober!$G$35</f>
        <v>0</v>
      </c>
      <c r="O505" s="355">
        <f>[48]Nopember!$G$35</f>
        <v>0</v>
      </c>
      <c r="P505" s="355">
        <f>[48]Desember!$G$35</f>
        <v>0</v>
      </c>
      <c r="Q505" s="367">
        <f t="shared" si="198"/>
        <v>0</v>
      </c>
      <c r="R505" s="1630">
        <f>Q505-D505</f>
        <v>0</v>
      </c>
      <c r="S505" s="388"/>
      <c r="T505" s="1505"/>
      <c r="V505" s="786"/>
      <c r="W505" s="786"/>
      <c r="X505" s="786"/>
    </row>
    <row r="506" spans="1:24" s="189" customFormat="1" ht="14.1" customHeight="1">
      <c r="A506" s="292"/>
      <c r="B506" s="2759" t="s">
        <v>50</v>
      </c>
      <c r="C506" s="859" t="s">
        <v>712</v>
      </c>
      <c r="D506" s="355">
        <v>0</v>
      </c>
      <c r="E506" s="355">
        <f>[48]Januari!$H$35</f>
        <v>0</v>
      </c>
      <c r="F506" s="355">
        <f>[48]Februari!$H$35</f>
        <v>0</v>
      </c>
      <c r="G506" s="355">
        <f>[48]Maret!$H$35</f>
        <v>0</v>
      </c>
      <c r="H506" s="355">
        <f>[48]April!$H$35</f>
        <v>0</v>
      </c>
      <c r="I506" s="355">
        <f>[48]Mei!$H$35</f>
        <v>0</v>
      </c>
      <c r="J506" s="355">
        <f>[48]Juni!$H$35</f>
        <v>0</v>
      </c>
      <c r="K506" s="355">
        <f>[48]Juli!$H$35</f>
        <v>0</v>
      </c>
      <c r="L506" s="355">
        <f>[48]Agustus!$H$35</f>
        <v>0</v>
      </c>
      <c r="M506" s="355">
        <f>[48]September!$H$35</f>
        <v>0</v>
      </c>
      <c r="N506" s="355">
        <f>[48]Oktober!$H$35</f>
        <v>0</v>
      </c>
      <c r="O506" s="355">
        <f>[48]Nopember!$H$35</f>
        <v>0</v>
      </c>
      <c r="P506" s="355">
        <f>[48]Desember!$H$35</f>
        <v>0</v>
      </c>
      <c r="Q506" s="367">
        <f t="shared" si="198"/>
        <v>0</v>
      </c>
      <c r="R506" s="1630">
        <f>Q506-D506</f>
        <v>0</v>
      </c>
      <c r="S506" s="388"/>
      <c r="T506" s="1505"/>
      <c r="V506" s="786"/>
      <c r="W506" s="786"/>
      <c r="X506" s="786"/>
    </row>
    <row r="507" spans="1:24" s="189" customFormat="1" ht="14.1" customHeight="1">
      <c r="A507" s="292"/>
      <c r="B507" s="2759" t="s">
        <v>50</v>
      </c>
      <c r="C507" s="859" t="s">
        <v>713</v>
      </c>
      <c r="D507" s="355"/>
      <c r="E507" s="355">
        <f>[48]Januari!$I$35</f>
        <v>6724929</v>
      </c>
      <c r="F507" s="355">
        <f>[48]Februari!$I$35</f>
        <v>0</v>
      </c>
      <c r="G507" s="355">
        <f>[48]Maret!$I$35</f>
        <v>0</v>
      </c>
      <c r="H507" s="355">
        <f>[48]April!$I$35</f>
        <v>0</v>
      </c>
      <c r="I507" s="355">
        <f>[48]Mei!$I$35</f>
        <v>0</v>
      </c>
      <c r="J507" s="355">
        <f>[48]Juni!$I$35</f>
        <v>0</v>
      </c>
      <c r="K507" s="355">
        <f>[48]Juli!$I$35</f>
        <v>0</v>
      </c>
      <c r="L507" s="355">
        <f>[48]Agustus!$I$35</f>
        <v>0</v>
      </c>
      <c r="M507" s="355">
        <f>[48]September!$I$35</f>
        <v>0</v>
      </c>
      <c r="N507" s="355">
        <f>[48]Oktober!$I$35</f>
        <v>0</v>
      </c>
      <c r="O507" s="355">
        <f>[48]Nopember!$I$35</f>
        <v>0</v>
      </c>
      <c r="P507" s="355">
        <f>[48]Desember!$I$35</f>
        <v>0</v>
      </c>
      <c r="Q507" s="367">
        <f t="shared" si="198"/>
        <v>6724929</v>
      </c>
      <c r="R507" s="1630"/>
      <c r="S507" s="388"/>
      <c r="T507" s="1505"/>
      <c r="V507" s="786"/>
      <c r="W507" s="786"/>
      <c r="X507" s="786"/>
    </row>
    <row r="508" spans="1:24" s="189" customFormat="1" ht="14.1" customHeight="1">
      <c r="A508" s="292"/>
      <c r="B508" s="2759" t="s">
        <v>50</v>
      </c>
      <c r="C508" s="859" t="s">
        <v>714</v>
      </c>
      <c r="D508" s="355"/>
      <c r="E508" s="355">
        <f>[48]Januari!$J$35</f>
        <v>26080582.199999999</v>
      </c>
      <c r="F508" s="355">
        <f>[48]Februari!$J$35</f>
        <v>0</v>
      </c>
      <c r="G508" s="355">
        <f>[48]Maret!$J$35</f>
        <v>0</v>
      </c>
      <c r="H508" s="355">
        <f>[48]April!$J$35</f>
        <v>0</v>
      </c>
      <c r="I508" s="355">
        <f>[48]Mei!$J$35</f>
        <v>0</v>
      </c>
      <c r="J508" s="355">
        <f>[48]Juni!$J$35</f>
        <v>0</v>
      </c>
      <c r="K508" s="355">
        <f>[48]Juli!$J$35</f>
        <v>0</v>
      </c>
      <c r="L508" s="355">
        <f>[48]Agustus!$J$35</f>
        <v>0</v>
      </c>
      <c r="M508" s="355">
        <f>[48]September!$J$35</f>
        <v>0</v>
      </c>
      <c r="N508" s="355">
        <f>[48]Oktober!$J$35</f>
        <v>0</v>
      </c>
      <c r="O508" s="355">
        <f>[48]Nopember!$J$35</f>
        <v>0</v>
      </c>
      <c r="P508" s="355">
        <f>[48]Desember!$J$35</f>
        <v>0</v>
      </c>
      <c r="Q508" s="367">
        <f t="shared" si="198"/>
        <v>26080582.199999999</v>
      </c>
      <c r="R508" s="1630"/>
      <c r="S508" s="388"/>
      <c r="T508" s="1505"/>
      <c r="V508" s="786"/>
      <c r="W508" s="786"/>
      <c r="X508" s="786"/>
    </row>
    <row r="509" spans="1:24" s="189" customFormat="1" ht="14.1" customHeight="1">
      <c r="A509" s="292"/>
      <c r="B509" s="2760" t="s">
        <v>50</v>
      </c>
      <c r="C509" s="253" t="s">
        <v>848</v>
      </c>
      <c r="D509" s="355">
        <f>'[4]TARGET MURNI DAN PERUBAHAN'!D426</f>
        <v>6711738000</v>
      </c>
      <c r="E509" s="355">
        <f>[48]Januari!$K$35</f>
        <v>0</v>
      </c>
      <c r="F509" s="355">
        <f>[48]Februari!$K$35</f>
        <v>0</v>
      </c>
      <c r="G509" s="355">
        <f>[48]Maret!$K$35</f>
        <v>1202798000</v>
      </c>
      <c r="H509" s="355">
        <f>[48]April!$K$35</f>
        <v>210710000</v>
      </c>
      <c r="I509" s="355">
        <f>[48]Mei!$K$35</f>
        <v>741655000</v>
      </c>
      <c r="J509" s="355">
        <f>[48]Juni!$K$35</f>
        <v>458605000</v>
      </c>
      <c r="K509" s="355">
        <f>[48]Juli!$K$35</f>
        <v>26820000</v>
      </c>
      <c r="L509" s="355">
        <f>[48]Agustus!$K$35</f>
        <v>404600000</v>
      </c>
      <c r="M509" s="355">
        <f>[48]September!$K$35</f>
        <v>242760000</v>
      </c>
      <c r="N509" s="355">
        <f>[48]Oktober!$K$35</f>
        <v>1013475000</v>
      </c>
      <c r="O509" s="355">
        <f>[48]Nopember!$K$35</f>
        <v>2540966000</v>
      </c>
      <c r="P509" s="355">
        <f>[48]Desember!$K$35</f>
        <v>206090000</v>
      </c>
      <c r="Q509" s="367">
        <f t="shared" si="198"/>
        <v>7048479000</v>
      </c>
      <c r="R509" s="1630">
        <f t="shared" ref="R509:R515" si="199">Q509-D509</f>
        <v>336741000</v>
      </c>
      <c r="S509" s="388"/>
      <c r="T509" s="1505"/>
      <c r="V509" s="786"/>
      <c r="W509" s="786"/>
      <c r="X509" s="786"/>
    </row>
    <row r="510" spans="1:24" s="245" customFormat="1" ht="14.1" customHeight="1">
      <c r="A510" s="575"/>
      <c r="B510" s="306"/>
      <c r="C510" s="306"/>
      <c r="D510" s="380"/>
      <c r="E510" s="379"/>
      <c r="F510" s="379"/>
      <c r="G510" s="379"/>
      <c r="H510" s="379"/>
      <c r="I510" s="379"/>
      <c r="J510" s="379"/>
      <c r="K510" s="379"/>
      <c r="L510" s="379"/>
      <c r="M510" s="379"/>
      <c r="N510" s="379"/>
      <c r="O510" s="379"/>
      <c r="P510" s="379"/>
      <c r="Q510" s="379"/>
      <c r="R510" s="1625"/>
      <c r="S510" s="501"/>
      <c r="T510" s="1803"/>
      <c r="V510" s="1593"/>
      <c r="W510" s="1593"/>
      <c r="X510" s="1593"/>
    </row>
    <row r="511" spans="1:24" s="244" customFormat="1" ht="14.1" customHeight="1">
      <c r="A511" s="1696" t="s">
        <v>849</v>
      </c>
      <c r="B511" s="1553" t="s">
        <v>850</v>
      </c>
      <c r="C511" s="298"/>
      <c r="D511" s="835">
        <f>D512</f>
        <v>0</v>
      </c>
      <c r="E511" s="337">
        <f t="shared" ref="E511:Q511" si="200">E512</f>
        <v>0</v>
      </c>
      <c r="F511" s="337">
        <f t="shared" si="200"/>
        <v>0</v>
      </c>
      <c r="G511" s="337">
        <f t="shared" si="200"/>
        <v>0</v>
      </c>
      <c r="H511" s="337">
        <f t="shared" si="200"/>
        <v>13311200</v>
      </c>
      <c r="I511" s="337">
        <f t="shared" si="200"/>
        <v>10359650</v>
      </c>
      <c r="J511" s="337">
        <f t="shared" si="200"/>
        <v>0</v>
      </c>
      <c r="K511" s="337">
        <f t="shared" si="200"/>
        <v>0</v>
      </c>
      <c r="L511" s="337">
        <f t="shared" si="200"/>
        <v>0</v>
      </c>
      <c r="M511" s="337">
        <f t="shared" si="200"/>
        <v>0</v>
      </c>
      <c r="N511" s="337">
        <f t="shared" si="200"/>
        <v>0</v>
      </c>
      <c r="O511" s="337">
        <f t="shared" si="200"/>
        <v>0</v>
      </c>
      <c r="P511" s="337">
        <f t="shared" si="200"/>
        <v>6704000</v>
      </c>
      <c r="Q511" s="337">
        <f t="shared" si="200"/>
        <v>30374850</v>
      </c>
      <c r="R511" s="1636">
        <f>+Q511-D511</f>
        <v>30374850</v>
      </c>
      <c r="S511" s="338" t="e">
        <f>+Q511/D511*100</f>
        <v>#DIV/0!</v>
      </c>
      <c r="T511" s="432"/>
      <c r="V511" s="434"/>
      <c r="W511" s="434"/>
      <c r="X511" s="434"/>
    </row>
    <row r="512" spans="1:24" s="189" customFormat="1" ht="14.1" customHeight="1">
      <c r="A512" s="1554"/>
      <c r="B512" s="1329" t="s">
        <v>71</v>
      </c>
      <c r="C512" s="1329"/>
      <c r="D512" s="1555">
        <f t="shared" ref="D512:P512" si="201">SUM(D513:D518)</f>
        <v>0</v>
      </c>
      <c r="E512" s="1555">
        <f t="shared" si="201"/>
        <v>0</v>
      </c>
      <c r="F512" s="1555">
        <f t="shared" si="201"/>
        <v>0</v>
      </c>
      <c r="G512" s="1555">
        <f t="shared" si="201"/>
        <v>0</v>
      </c>
      <c r="H512" s="1555">
        <f t="shared" si="201"/>
        <v>13311200</v>
      </c>
      <c r="I512" s="1555">
        <f t="shared" si="201"/>
        <v>10359650</v>
      </c>
      <c r="J512" s="1555">
        <f t="shared" si="201"/>
        <v>0</v>
      </c>
      <c r="K512" s="1555">
        <f t="shared" si="201"/>
        <v>0</v>
      </c>
      <c r="L512" s="1555">
        <f t="shared" si="201"/>
        <v>0</v>
      </c>
      <c r="M512" s="1555">
        <f t="shared" si="201"/>
        <v>0</v>
      </c>
      <c r="N512" s="1555">
        <f t="shared" si="201"/>
        <v>0</v>
      </c>
      <c r="O512" s="1555">
        <f t="shared" si="201"/>
        <v>0</v>
      </c>
      <c r="P512" s="1555">
        <f t="shared" si="201"/>
        <v>6704000</v>
      </c>
      <c r="Q512" s="1336">
        <f t="shared" ref="Q512:Q518" si="202">SUM(E512:P512)</f>
        <v>30374850</v>
      </c>
      <c r="R512" s="1628">
        <f t="shared" si="199"/>
        <v>30374850</v>
      </c>
      <c r="S512" s="1337" t="e">
        <f>Q512/D512*100</f>
        <v>#DIV/0!</v>
      </c>
      <c r="T512" s="1592"/>
      <c r="V512" s="786"/>
      <c r="W512" s="786"/>
      <c r="X512" s="786"/>
    </row>
    <row r="513" spans="1:24" s="189" customFormat="1" ht="14.1" customHeight="1">
      <c r="A513" s="287"/>
      <c r="B513" s="2768" t="s">
        <v>50</v>
      </c>
      <c r="C513" s="1804" t="s">
        <v>710</v>
      </c>
      <c r="D513" s="357">
        <v>0</v>
      </c>
      <c r="E513" s="357">
        <f>[41]Januari!$D$35</f>
        <v>0</v>
      </c>
      <c r="F513" s="357">
        <f>[41]Februari!$D$35</f>
        <v>0</v>
      </c>
      <c r="G513" s="357">
        <f>[41]Maret!$D$35</f>
        <v>0</v>
      </c>
      <c r="H513" s="357">
        <f>[41]April!$D$35</f>
        <v>0</v>
      </c>
      <c r="I513" s="357">
        <f>[41]Mei!$D$35</f>
        <v>0</v>
      </c>
      <c r="J513" s="357">
        <f>[41]Juni!$D$35</f>
        <v>0</v>
      </c>
      <c r="K513" s="357">
        <f>[41]Juli!$D$35</f>
        <v>0</v>
      </c>
      <c r="L513" s="357">
        <f>[41]Agustus!$D$35</f>
        <v>0</v>
      </c>
      <c r="M513" s="357">
        <f>[41]September!$D$35</f>
        <v>0</v>
      </c>
      <c r="N513" s="357">
        <f>[41]Oktober!$D$35</f>
        <v>0</v>
      </c>
      <c r="O513" s="357">
        <f>[41]Nopember!$D$35</f>
        <v>0</v>
      </c>
      <c r="P513" s="357">
        <f>[41]Desember!$D$35</f>
        <v>0</v>
      </c>
      <c r="Q513" s="386">
        <f t="shared" si="202"/>
        <v>0</v>
      </c>
      <c r="R513" s="1746">
        <f t="shared" si="199"/>
        <v>0</v>
      </c>
      <c r="S513" s="358"/>
      <c r="T513" s="442"/>
      <c r="V513" s="786"/>
      <c r="W513" s="786"/>
      <c r="X513" s="786"/>
    </row>
    <row r="514" spans="1:24" s="189" customFormat="1" ht="14.1" customHeight="1">
      <c r="A514" s="292"/>
      <c r="B514" s="2759" t="s">
        <v>50</v>
      </c>
      <c r="C514" s="859" t="s">
        <v>711</v>
      </c>
      <c r="D514" s="355">
        <v>0</v>
      </c>
      <c r="E514" s="355">
        <f>[41]Januari!$E$35</f>
        <v>0</v>
      </c>
      <c r="F514" s="355">
        <f>[41]Februari!$E$35</f>
        <v>0</v>
      </c>
      <c r="G514" s="355">
        <f>[41]Maret!$E$35</f>
        <v>0</v>
      </c>
      <c r="H514" s="355">
        <f>[41]April!$E$35</f>
        <v>0</v>
      </c>
      <c r="I514" s="355">
        <f>[41]Mei!$E$35</f>
        <v>0</v>
      </c>
      <c r="J514" s="355">
        <f>[41]Juni!$E$35</f>
        <v>0</v>
      </c>
      <c r="K514" s="355">
        <f>[41]Juli!$E$35</f>
        <v>0</v>
      </c>
      <c r="L514" s="355">
        <f>[41]Agustus!$E$35</f>
        <v>0</v>
      </c>
      <c r="M514" s="355">
        <f>[41]September!$E$35</f>
        <v>0</v>
      </c>
      <c r="N514" s="355">
        <f>[41]Oktober!$E$35</f>
        <v>0</v>
      </c>
      <c r="O514" s="355">
        <f>[41]Nopember!$E$35</f>
        <v>0</v>
      </c>
      <c r="P514" s="355">
        <f>[41]Desember!$E$35</f>
        <v>0</v>
      </c>
      <c r="Q514" s="367">
        <f t="shared" si="202"/>
        <v>0</v>
      </c>
      <c r="R514" s="1630">
        <f t="shared" si="199"/>
        <v>0</v>
      </c>
      <c r="S514" s="388"/>
      <c r="T514" s="441"/>
      <c r="V514" s="786"/>
      <c r="W514" s="786"/>
      <c r="X514" s="786"/>
    </row>
    <row r="515" spans="1:24" s="189" customFormat="1" ht="14.1" customHeight="1">
      <c r="A515" s="292"/>
      <c r="B515" s="2759" t="s">
        <v>50</v>
      </c>
      <c r="C515" s="859" t="s">
        <v>712</v>
      </c>
      <c r="D515" s="355">
        <v>0</v>
      </c>
      <c r="E515" s="355">
        <f>[41]Januari!$F$35</f>
        <v>0</v>
      </c>
      <c r="F515" s="355">
        <f>[41]Februari!$F$35</f>
        <v>0</v>
      </c>
      <c r="G515" s="355">
        <f>[41]Maret!$F$35</f>
        <v>0</v>
      </c>
      <c r="H515" s="355">
        <f>[41]April!$F$35</f>
        <v>0</v>
      </c>
      <c r="I515" s="355">
        <f>[41]Mei!$F$35</f>
        <v>0</v>
      </c>
      <c r="J515" s="355">
        <f>[41]Juni!$F$35</f>
        <v>0</v>
      </c>
      <c r="K515" s="355">
        <f>[41]Juli!$F$35</f>
        <v>0</v>
      </c>
      <c r="L515" s="355">
        <f>[41]Agustus!$F$35</f>
        <v>0</v>
      </c>
      <c r="M515" s="355">
        <f>[41]September!$F$35</f>
        <v>0</v>
      </c>
      <c r="N515" s="355">
        <f>[41]Oktober!$F$35</f>
        <v>0</v>
      </c>
      <c r="O515" s="355">
        <f>[41]Nopember!$F$35</f>
        <v>0</v>
      </c>
      <c r="P515" s="355">
        <f>[41]Desember!$F$35</f>
        <v>0</v>
      </c>
      <c r="Q515" s="367">
        <f t="shared" si="202"/>
        <v>0</v>
      </c>
      <c r="R515" s="1630">
        <f t="shared" si="199"/>
        <v>0</v>
      </c>
      <c r="S515" s="388"/>
      <c r="T515" s="441"/>
      <c r="V515" s="786"/>
      <c r="W515" s="786"/>
      <c r="X515" s="786"/>
    </row>
    <row r="516" spans="1:24" s="189" customFormat="1" ht="14.1" customHeight="1">
      <c r="A516" s="292"/>
      <c r="B516" s="2759" t="s">
        <v>50</v>
      </c>
      <c r="C516" s="859" t="s">
        <v>713</v>
      </c>
      <c r="D516" s="355"/>
      <c r="E516" s="355">
        <f>[41]Januari!$G$35</f>
        <v>0</v>
      </c>
      <c r="F516" s="355">
        <f>[41]Februari!$G$35</f>
        <v>0</v>
      </c>
      <c r="G516" s="355">
        <f>[41]Maret!$G$35</f>
        <v>0</v>
      </c>
      <c r="H516" s="355">
        <f>[41]April!$G$35</f>
        <v>13311200</v>
      </c>
      <c r="I516" s="355">
        <f>[41]Mei!$G$35</f>
        <v>10359650</v>
      </c>
      <c r="J516" s="355">
        <f>[41]Juni!$G$35</f>
        <v>0</v>
      </c>
      <c r="K516" s="355">
        <f>[41]Juli!$G$35</f>
        <v>0</v>
      </c>
      <c r="L516" s="355">
        <f>[41]Agustus!$G$35</f>
        <v>0</v>
      </c>
      <c r="M516" s="355">
        <f>[41]September!$G$35</f>
        <v>0</v>
      </c>
      <c r="N516" s="355">
        <f>[41]Oktober!$G$35</f>
        <v>0</v>
      </c>
      <c r="O516" s="355">
        <f>[41]Nopember!$G$35</f>
        <v>0</v>
      </c>
      <c r="P516" s="355">
        <f>[41]Desember!$G$35</f>
        <v>6704000</v>
      </c>
      <c r="Q516" s="367"/>
      <c r="R516" s="1630"/>
      <c r="S516" s="388"/>
      <c r="T516" s="441"/>
      <c r="V516" s="786"/>
      <c r="W516" s="786"/>
      <c r="X516" s="786"/>
    </row>
    <row r="517" spans="1:24" s="189" customFormat="1" ht="14.1" customHeight="1">
      <c r="A517" s="292"/>
      <c r="B517" s="253" t="s">
        <v>50</v>
      </c>
      <c r="C517" s="253" t="s">
        <v>851</v>
      </c>
      <c r="D517" s="369">
        <f>'[4]TARGET MURNI DAN PERUBAHAN'!D433</f>
        <v>0</v>
      </c>
      <c r="E517" s="355">
        <v>0</v>
      </c>
      <c r="F517" s="355">
        <v>0</v>
      </c>
      <c r="G517" s="355">
        <v>0</v>
      </c>
      <c r="H517" s="355">
        <v>0</v>
      </c>
      <c r="I517" s="355">
        <v>0</v>
      </c>
      <c r="J517" s="355">
        <v>0</v>
      </c>
      <c r="K517" s="355">
        <v>0</v>
      </c>
      <c r="L517" s="355">
        <v>0</v>
      </c>
      <c r="M517" s="355">
        <v>0</v>
      </c>
      <c r="N517" s="355">
        <v>0</v>
      </c>
      <c r="O517" s="355">
        <v>0</v>
      </c>
      <c r="P517" s="355">
        <v>0</v>
      </c>
      <c r="Q517" s="367">
        <f t="shared" si="202"/>
        <v>0</v>
      </c>
      <c r="R517" s="1630"/>
      <c r="S517" s="388"/>
      <c r="T517" s="441"/>
      <c r="V517" s="786"/>
      <c r="W517" s="786"/>
      <c r="X517" s="786"/>
    </row>
    <row r="518" spans="1:24" s="189" customFormat="1" ht="14.1" customHeight="1">
      <c r="A518" s="290"/>
      <c r="B518" s="253" t="s">
        <v>50</v>
      </c>
      <c r="C518" s="253" t="s">
        <v>714</v>
      </c>
      <c r="D518" s="369">
        <f>'[4]TARGET MURNI DAN PERUBAHAN'!D434</f>
        <v>0</v>
      </c>
      <c r="E518" s="495">
        <v>0</v>
      </c>
      <c r="F518" s="495">
        <v>0</v>
      </c>
      <c r="G518" s="495">
        <v>0</v>
      </c>
      <c r="H518" s="495">
        <v>0</v>
      </c>
      <c r="I518" s="495">
        <v>0</v>
      </c>
      <c r="J518" s="495">
        <v>0</v>
      </c>
      <c r="K518" s="495">
        <v>0</v>
      </c>
      <c r="L518" s="495">
        <v>0</v>
      </c>
      <c r="M518" s="495">
        <v>0</v>
      </c>
      <c r="N518" s="495">
        <v>0</v>
      </c>
      <c r="O518" s="495">
        <v>0</v>
      </c>
      <c r="P518" s="495">
        <v>0</v>
      </c>
      <c r="Q518" s="367">
        <f t="shared" si="202"/>
        <v>0</v>
      </c>
      <c r="R518" s="1781">
        <f>Q518-D518</f>
        <v>0</v>
      </c>
      <c r="S518" s="344" t="e">
        <f>Q518/D518*100</f>
        <v>#DIV/0!</v>
      </c>
      <c r="T518" s="548"/>
      <c r="V518" s="786"/>
      <c r="W518" s="786"/>
      <c r="X518" s="786"/>
    </row>
    <row r="519" spans="1:24" s="189" customFormat="1" ht="14.1" customHeight="1">
      <c r="A519" s="290"/>
      <c r="B519" s="253"/>
      <c r="C519" s="253"/>
      <c r="D519" s="527"/>
      <c r="E519" s="681"/>
      <c r="F519" s="681"/>
      <c r="G519" s="681"/>
      <c r="H519" s="681"/>
      <c r="I519" s="681"/>
      <c r="J519" s="681"/>
      <c r="K519" s="681"/>
      <c r="L519" s="681"/>
      <c r="M519" s="681"/>
      <c r="N519" s="681"/>
      <c r="O519" s="681"/>
      <c r="P519" s="681"/>
      <c r="Q519" s="681"/>
      <c r="R519" s="1805"/>
      <c r="S519" s="1806"/>
      <c r="T519" s="698"/>
      <c r="V519" s="786"/>
      <c r="W519" s="786"/>
      <c r="X519" s="786"/>
    </row>
    <row r="520" spans="1:24" s="244" customFormat="1" ht="14.1" customHeight="1">
      <c r="A520" s="1772" t="s">
        <v>852</v>
      </c>
      <c r="B520" s="1773" t="s">
        <v>853</v>
      </c>
      <c r="C520" s="1321"/>
      <c r="D520" s="1774">
        <f>D521</f>
        <v>0</v>
      </c>
      <c r="E520" s="1331">
        <f t="shared" ref="E520:Q520" si="203">E521</f>
        <v>210000</v>
      </c>
      <c r="F520" s="1331">
        <f t="shared" si="203"/>
        <v>2360000</v>
      </c>
      <c r="G520" s="1331">
        <f t="shared" si="203"/>
        <v>721500</v>
      </c>
      <c r="H520" s="1331">
        <f t="shared" si="203"/>
        <v>200000</v>
      </c>
      <c r="I520" s="1331">
        <f t="shared" si="203"/>
        <v>250000</v>
      </c>
      <c r="J520" s="1331">
        <f t="shared" si="203"/>
        <v>95000</v>
      </c>
      <c r="K520" s="1331">
        <f t="shared" si="203"/>
        <v>0</v>
      </c>
      <c r="L520" s="1331">
        <f t="shared" si="203"/>
        <v>0</v>
      </c>
      <c r="M520" s="1331">
        <f t="shared" si="203"/>
        <v>0</v>
      </c>
      <c r="N520" s="1331">
        <f t="shared" si="203"/>
        <v>0</v>
      </c>
      <c r="O520" s="1331">
        <f t="shared" si="203"/>
        <v>4500000</v>
      </c>
      <c r="P520" s="1331">
        <f t="shared" si="203"/>
        <v>3063000</v>
      </c>
      <c r="Q520" s="1331">
        <f t="shared" si="203"/>
        <v>11399500</v>
      </c>
      <c r="R520" s="1789">
        <f>+Q520-D520</f>
        <v>11399500</v>
      </c>
      <c r="S520" s="1332" t="e">
        <f>+Q520/D520*100</f>
        <v>#DIV/0!</v>
      </c>
      <c r="T520" s="1340"/>
      <c r="V520" s="434"/>
      <c r="W520" s="434"/>
      <c r="X520" s="434"/>
    </row>
    <row r="521" spans="1:24" s="189" customFormat="1" ht="14.1" customHeight="1">
      <c r="A521" s="1324"/>
      <c r="B521" s="1325" t="s">
        <v>71</v>
      </c>
      <c r="C521" s="1325"/>
      <c r="D521" s="768">
        <f t="shared" ref="D521:P521" si="204">SUM(D522:D527)</f>
        <v>0</v>
      </c>
      <c r="E521" s="768">
        <f t="shared" si="204"/>
        <v>210000</v>
      </c>
      <c r="F521" s="768">
        <f t="shared" si="204"/>
        <v>2360000</v>
      </c>
      <c r="G521" s="768">
        <f t="shared" si="204"/>
        <v>721500</v>
      </c>
      <c r="H521" s="768">
        <f t="shared" si="204"/>
        <v>200000</v>
      </c>
      <c r="I521" s="768">
        <f t="shared" si="204"/>
        <v>250000</v>
      </c>
      <c r="J521" s="768">
        <f t="shared" si="204"/>
        <v>95000</v>
      </c>
      <c r="K521" s="768">
        <f t="shared" si="204"/>
        <v>0</v>
      </c>
      <c r="L521" s="768">
        <f t="shared" si="204"/>
        <v>0</v>
      </c>
      <c r="M521" s="768">
        <f t="shared" si="204"/>
        <v>0</v>
      </c>
      <c r="N521" s="768">
        <f t="shared" si="204"/>
        <v>0</v>
      </c>
      <c r="O521" s="768">
        <f t="shared" si="204"/>
        <v>4500000</v>
      </c>
      <c r="P521" s="768">
        <f t="shared" si="204"/>
        <v>3063000</v>
      </c>
      <c r="Q521" s="367">
        <f t="shared" ref="Q521:Q527" si="205">SUM(E521:P521)</f>
        <v>11399500</v>
      </c>
      <c r="R521" s="1807">
        <f t="shared" ref="R521:R527" si="206">Q521-D521</f>
        <v>11399500</v>
      </c>
      <c r="S521" s="690" t="e">
        <f>Q521/D521*100</f>
        <v>#DIV/0!</v>
      </c>
      <c r="T521" s="1808"/>
      <c r="V521" s="786"/>
      <c r="W521" s="786"/>
      <c r="X521" s="786"/>
    </row>
    <row r="522" spans="1:24" s="189" customFormat="1" ht="14.1" customHeight="1">
      <c r="A522" s="292"/>
      <c r="B522" s="253" t="s">
        <v>50</v>
      </c>
      <c r="C522" s="1804" t="s">
        <v>710</v>
      </c>
      <c r="D522" s="355"/>
      <c r="E522" s="355">
        <f>[27]Januari!$D$35</f>
        <v>0</v>
      </c>
      <c r="F522" s="355">
        <f>[27]Februari!$D$35</f>
        <v>0</v>
      </c>
      <c r="G522" s="355">
        <f>[27]Maret!$D$35</f>
        <v>0</v>
      </c>
      <c r="H522" s="355">
        <f>[27]April!$D$35</f>
        <v>0</v>
      </c>
      <c r="I522" s="355">
        <f>[27]Mei!$D$35</f>
        <v>0</v>
      </c>
      <c r="J522" s="355">
        <f>[27]Juni!$D$35</f>
        <v>0</v>
      </c>
      <c r="K522" s="355">
        <f>[27]Juli!$D$35</f>
        <v>0</v>
      </c>
      <c r="L522" s="355">
        <f>[27]Agustus!$D$35</f>
        <v>0</v>
      </c>
      <c r="M522" s="355">
        <f>[27]September!$D$35</f>
        <v>0</v>
      </c>
      <c r="N522" s="355">
        <f>[27]Oktober!$D$35</f>
        <v>0</v>
      </c>
      <c r="O522" s="355">
        <f>[27]Nopember!$D$35</f>
        <v>0</v>
      </c>
      <c r="P522" s="355">
        <f>[27]Desember!$D$35</f>
        <v>0</v>
      </c>
      <c r="Q522" s="346">
        <f t="shared" si="205"/>
        <v>0</v>
      </c>
      <c r="R522" s="1630">
        <f t="shared" si="206"/>
        <v>0</v>
      </c>
      <c r="S522" s="388"/>
      <c r="T522" s="441"/>
      <c r="V522" s="786"/>
      <c r="W522" s="786"/>
      <c r="X522" s="786"/>
    </row>
    <row r="523" spans="1:24" s="189" customFormat="1" ht="14.1" customHeight="1">
      <c r="A523" s="292"/>
      <c r="B523" s="253" t="s">
        <v>50</v>
      </c>
      <c r="C523" s="859" t="s">
        <v>711</v>
      </c>
      <c r="D523" s="355"/>
      <c r="E523" s="355">
        <f>[27]Januari!$E$35</f>
        <v>0</v>
      </c>
      <c r="F523" s="355">
        <f>[27]Februari!$E$35</f>
        <v>0</v>
      </c>
      <c r="G523" s="355">
        <f>[27]Maret!$E$35</f>
        <v>0</v>
      </c>
      <c r="H523" s="355">
        <f>[27]April!$E$35</f>
        <v>0</v>
      </c>
      <c r="I523" s="355">
        <f>[27]Mei!$E$35</f>
        <v>0</v>
      </c>
      <c r="J523" s="355">
        <f>[27]Juni!$E$35</f>
        <v>0</v>
      </c>
      <c r="K523" s="355">
        <f>[27]Juli!$E$35</f>
        <v>0</v>
      </c>
      <c r="L523" s="355">
        <f>[27]Agustus!$E$35</f>
        <v>0</v>
      </c>
      <c r="M523" s="355">
        <f>[27]September!$E$35</f>
        <v>0</v>
      </c>
      <c r="N523" s="355">
        <f>[27]Oktober!$E$35</f>
        <v>0</v>
      </c>
      <c r="O523" s="355">
        <f>[27]Nopember!$E$35</f>
        <v>0</v>
      </c>
      <c r="P523" s="355">
        <f>[27]Desember!$E$35</f>
        <v>0</v>
      </c>
      <c r="Q523" s="346">
        <f t="shared" si="205"/>
        <v>0</v>
      </c>
      <c r="R523" s="1630">
        <f t="shared" si="206"/>
        <v>0</v>
      </c>
      <c r="S523" s="388"/>
      <c r="T523" s="441"/>
      <c r="V523" s="786"/>
      <c r="W523" s="786"/>
      <c r="X523" s="786"/>
    </row>
    <row r="524" spans="1:24" s="189" customFormat="1" ht="14.1" customHeight="1">
      <c r="A524" s="292"/>
      <c r="B524" s="253" t="s">
        <v>50</v>
      </c>
      <c r="C524" s="859" t="s">
        <v>712</v>
      </c>
      <c r="D524" s="355"/>
      <c r="E524" s="355">
        <f>[27]Januari!$F$35</f>
        <v>0</v>
      </c>
      <c r="F524" s="355">
        <f>[27]Februari!$F$35</f>
        <v>0</v>
      </c>
      <c r="G524" s="355">
        <f>[27]Maret!$F$35</f>
        <v>0</v>
      </c>
      <c r="H524" s="355">
        <f>[27]April!$F$35</f>
        <v>0</v>
      </c>
      <c r="I524" s="355">
        <f>[27]Mei!$F$35</f>
        <v>0</v>
      </c>
      <c r="J524" s="355">
        <f>[27]Juni!$F$35</f>
        <v>0</v>
      </c>
      <c r="K524" s="355">
        <f>[27]Juli!$F$35</f>
        <v>0</v>
      </c>
      <c r="L524" s="355">
        <f>[27]Agustus!$F$35</f>
        <v>0</v>
      </c>
      <c r="M524" s="355">
        <f>[27]September!$F$35</f>
        <v>0</v>
      </c>
      <c r="N524" s="355">
        <f>[27]Oktober!$F$35</f>
        <v>0</v>
      </c>
      <c r="O524" s="355">
        <f>[27]Nopember!$F$35</f>
        <v>0</v>
      </c>
      <c r="P524" s="355">
        <f>[27]Desember!$F$35</f>
        <v>0</v>
      </c>
      <c r="Q524" s="346">
        <f t="shared" si="205"/>
        <v>0</v>
      </c>
      <c r="R524" s="1630">
        <f t="shared" si="206"/>
        <v>0</v>
      </c>
      <c r="S524" s="388"/>
      <c r="T524" s="441"/>
      <c r="V524" s="786"/>
      <c r="W524" s="786"/>
      <c r="X524" s="786"/>
    </row>
    <row r="525" spans="1:24" s="189" customFormat="1" ht="14.1" customHeight="1">
      <c r="A525" s="292"/>
      <c r="B525" s="253"/>
      <c r="C525" s="859" t="s">
        <v>713</v>
      </c>
      <c r="D525" s="355"/>
      <c r="E525" s="355">
        <f>[27]Januari!$G$35</f>
        <v>210000</v>
      </c>
      <c r="F525" s="355">
        <f>[27]Februari!$G$35</f>
        <v>2360000</v>
      </c>
      <c r="G525" s="355">
        <f>[27]Maret!$G$35</f>
        <v>721500</v>
      </c>
      <c r="H525" s="355">
        <f>[27]April!$G$35</f>
        <v>200000</v>
      </c>
      <c r="I525" s="355">
        <f>[27]Mei!$G$35</f>
        <v>250000</v>
      </c>
      <c r="J525" s="355">
        <f>[27]Juni!$G$35</f>
        <v>95000</v>
      </c>
      <c r="K525" s="355">
        <f>[27]Juli!$G$35</f>
        <v>0</v>
      </c>
      <c r="L525" s="355">
        <f>[27]Agustus!$G$35</f>
        <v>0</v>
      </c>
      <c r="M525" s="355">
        <f>[27]September!$G$35</f>
        <v>0</v>
      </c>
      <c r="N525" s="355">
        <f>[27]Oktober!$G$35</f>
        <v>0</v>
      </c>
      <c r="O525" s="355">
        <f>[27]Nopember!$G$35</f>
        <v>4500000</v>
      </c>
      <c r="P525" s="355">
        <f>[27]Desember!$G$35</f>
        <v>3063000</v>
      </c>
      <c r="Q525" s="346"/>
      <c r="R525" s="1630"/>
      <c r="S525" s="388"/>
      <c r="T525" s="441"/>
      <c r="V525" s="786"/>
      <c r="W525" s="786"/>
      <c r="X525" s="786"/>
    </row>
    <row r="526" spans="1:24" s="189" customFormat="1" ht="14.1" customHeight="1">
      <c r="A526" s="292"/>
      <c r="B526" s="253" t="s">
        <v>50</v>
      </c>
      <c r="C526" s="253" t="s">
        <v>854</v>
      </c>
      <c r="D526" s="1556">
        <f>'[4]TARGET MURNI DAN PERUBAHAN'!D441</f>
        <v>0</v>
      </c>
      <c r="E526" s="355">
        <v>0</v>
      </c>
      <c r="F526" s="355">
        <v>0</v>
      </c>
      <c r="G526" s="355">
        <v>0</v>
      </c>
      <c r="H526" s="355">
        <v>0</v>
      </c>
      <c r="I526" s="355">
        <v>0</v>
      </c>
      <c r="J526" s="355">
        <v>0</v>
      </c>
      <c r="K526" s="355">
        <v>0</v>
      </c>
      <c r="L526" s="355">
        <v>0</v>
      </c>
      <c r="M526" s="355">
        <v>0</v>
      </c>
      <c r="N526" s="355">
        <v>0</v>
      </c>
      <c r="O526" s="355">
        <v>0</v>
      </c>
      <c r="P526" s="355">
        <v>0</v>
      </c>
      <c r="Q526" s="346">
        <f t="shared" si="205"/>
        <v>0</v>
      </c>
      <c r="R526" s="1630">
        <f t="shared" si="206"/>
        <v>0</v>
      </c>
      <c r="S526" s="388"/>
      <c r="T526" s="441"/>
      <c r="V526" s="786"/>
      <c r="W526" s="786"/>
      <c r="X526" s="786"/>
    </row>
    <row r="527" spans="1:24" s="189" customFormat="1" ht="14.1" customHeight="1">
      <c r="A527" s="292"/>
      <c r="B527" s="253" t="s">
        <v>50</v>
      </c>
      <c r="C527" s="253" t="s">
        <v>855</v>
      </c>
      <c r="D527" s="1556">
        <f>'[4]TARGET MURNI DAN PERUBAHAN'!D442</f>
        <v>0</v>
      </c>
      <c r="E527" s="355">
        <v>0</v>
      </c>
      <c r="F527" s="355">
        <v>0</v>
      </c>
      <c r="G527" s="355">
        <v>0</v>
      </c>
      <c r="H527" s="355">
        <v>0</v>
      </c>
      <c r="I527" s="355">
        <v>0</v>
      </c>
      <c r="J527" s="355">
        <v>0</v>
      </c>
      <c r="K527" s="355">
        <v>0</v>
      </c>
      <c r="L527" s="355">
        <v>0</v>
      </c>
      <c r="M527" s="355">
        <v>0</v>
      </c>
      <c r="N527" s="355">
        <v>0</v>
      </c>
      <c r="O527" s="355">
        <v>0</v>
      </c>
      <c r="P527" s="355">
        <v>0</v>
      </c>
      <c r="Q527" s="346">
        <f t="shared" si="205"/>
        <v>0</v>
      </c>
      <c r="R527" s="1672">
        <f t="shared" si="206"/>
        <v>0</v>
      </c>
      <c r="S527" s="347" t="e">
        <f>Q527/D527*100</f>
        <v>#DIV/0!</v>
      </c>
      <c r="T527" s="441"/>
      <c r="V527" s="786"/>
      <c r="W527" s="786"/>
      <c r="X527" s="786"/>
    </row>
    <row r="528" spans="1:24" s="189" customFormat="1" ht="14.1" customHeight="1">
      <c r="A528" s="655"/>
      <c r="B528" s="656"/>
      <c r="C528" s="656"/>
      <c r="D528" s="527"/>
      <c r="E528" s="527"/>
      <c r="F528" s="527"/>
      <c r="G528" s="527"/>
      <c r="H528" s="527"/>
      <c r="I528" s="527"/>
      <c r="J528" s="527"/>
      <c r="K528" s="527"/>
      <c r="L528" s="527"/>
      <c r="M528" s="527"/>
      <c r="N528" s="527"/>
      <c r="O528" s="527"/>
      <c r="P528" s="527"/>
      <c r="Q528" s="527"/>
      <c r="R528" s="1805"/>
      <c r="S528" s="671"/>
      <c r="T528" s="644"/>
      <c r="V528" s="786"/>
      <c r="W528" s="786"/>
      <c r="X528" s="786"/>
    </row>
    <row r="529" spans="1:24" s="244" customFormat="1" ht="14.1" customHeight="1">
      <c r="A529" s="1557" t="s">
        <v>856</v>
      </c>
      <c r="B529" s="1558" t="s">
        <v>857</v>
      </c>
      <c r="C529" s="1188"/>
      <c r="D529" s="1265">
        <f>D530+D542</f>
        <v>1364387000</v>
      </c>
      <c r="E529" s="1196">
        <f t="shared" ref="E529:Q529" si="207">E530+E542</f>
        <v>178461000</v>
      </c>
      <c r="F529" s="1196">
        <f t="shared" si="207"/>
        <v>29326000</v>
      </c>
      <c r="G529" s="1196">
        <f t="shared" si="207"/>
        <v>3840000</v>
      </c>
      <c r="H529" s="1196">
        <f t="shared" si="207"/>
        <v>41582568</v>
      </c>
      <c r="I529" s="1196">
        <f t="shared" si="207"/>
        <v>22900000</v>
      </c>
      <c r="J529" s="1196">
        <f t="shared" si="207"/>
        <v>3760000</v>
      </c>
      <c r="K529" s="1196">
        <f t="shared" si="207"/>
        <v>28630000</v>
      </c>
      <c r="L529" s="1196">
        <f t="shared" si="207"/>
        <v>34006652</v>
      </c>
      <c r="M529" s="1196">
        <f t="shared" si="207"/>
        <v>31463928</v>
      </c>
      <c r="N529" s="1196">
        <f t="shared" si="207"/>
        <v>237348200</v>
      </c>
      <c r="O529" s="1196">
        <f t="shared" si="207"/>
        <v>267380300</v>
      </c>
      <c r="P529" s="1196">
        <f t="shared" si="207"/>
        <v>163252750</v>
      </c>
      <c r="Q529" s="1196">
        <f t="shared" si="207"/>
        <v>1041951398</v>
      </c>
      <c r="R529" s="1809">
        <f>+Q529-D529</f>
        <v>-322435602</v>
      </c>
      <c r="S529" s="1197">
        <f>+Q529/D529*100</f>
        <v>76.367731296179159</v>
      </c>
      <c r="T529" s="1208"/>
      <c r="V529" s="434"/>
      <c r="W529" s="434"/>
      <c r="X529" s="434"/>
    </row>
    <row r="530" spans="1:24" s="189" customFormat="1" ht="14.1" customHeight="1">
      <c r="A530" s="1554"/>
      <c r="B530" s="1329" t="s">
        <v>342</v>
      </c>
      <c r="C530" s="1329"/>
      <c r="D530" s="1555">
        <f>SUM(D531:D540)</f>
        <v>1364387000</v>
      </c>
      <c r="E530" s="1336">
        <f t="shared" ref="E530:Q530" si="208">SUM(E531:E540)</f>
        <v>163210000</v>
      </c>
      <c r="F530" s="1336">
        <f t="shared" si="208"/>
        <v>26430000</v>
      </c>
      <c r="G530" s="1336">
        <f t="shared" si="208"/>
        <v>3840000</v>
      </c>
      <c r="H530" s="1336">
        <f t="shared" si="208"/>
        <v>25200000</v>
      </c>
      <c r="I530" s="1336">
        <f t="shared" si="208"/>
        <v>22900000</v>
      </c>
      <c r="J530" s="1336">
        <f t="shared" si="208"/>
        <v>0</v>
      </c>
      <c r="K530" s="1336">
        <f t="shared" si="208"/>
        <v>28630000</v>
      </c>
      <c r="L530" s="1336">
        <f t="shared" si="208"/>
        <v>31100000</v>
      </c>
      <c r="M530" s="1336">
        <f t="shared" si="208"/>
        <v>31448000</v>
      </c>
      <c r="N530" s="1336">
        <f t="shared" si="208"/>
        <v>233920000</v>
      </c>
      <c r="O530" s="1336">
        <f t="shared" si="208"/>
        <v>262341000</v>
      </c>
      <c r="P530" s="1336">
        <f t="shared" si="208"/>
        <v>145675000</v>
      </c>
      <c r="Q530" s="1336">
        <f t="shared" si="208"/>
        <v>974694000</v>
      </c>
      <c r="R530" s="1810">
        <f t="shared" ref="R530:R540" si="209">Q530-D530</f>
        <v>-389693000</v>
      </c>
      <c r="S530" s="1811">
        <f t="shared" ref="S530:S540" si="210">Q530/D530*100</f>
        <v>71.438235632558801</v>
      </c>
      <c r="T530" s="1674"/>
      <c r="V530" s="786"/>
      <c r="W530" s="786"/>
      <c r="X530" s="786"/>
    </row>
    <row r="531" spans="1:24" s="189" customFormat="1" ht="14.1" customHeight="1">
      <c r="A531" s="290"/>
      <c r="B531" s="253" t="s">
        <v>50</v>
      </c>
      <c r="C531" s="253" t="s">
        <v>858</v>
      </c>
      <c r="D531" s="1556">
        <f>'[4]TARGET MURNI DAN PERUBAHAN'!D446</f>
        <v>259229500</v>
      </c>
      <c r="E531" s="355">
        <f>[49]Januari!$D$70</f>
        <v>121770000</v>
      </c>
      <c r="F531" s="355">
        <f>[49]Februari!$D$70</f>
        <v>13260000</v>
      </c>
      <c r="G531" s="355">
        <f>[49]Maret!$D$70</f>
        <v>0</v>
      </c>
      <c r="H531" s="355">
        <f>[49]April!$D$70</f>
        <v>0</v>
      </c>
      <c r="I531" s="355">
        <f>[49]Mei!$D$70</f>
        <v>0</v>
      </c>
      <c r="J531" s="355">
        <f>[49]Juni!$D$70</f>
        <v>0</v>
      </c>
      <c r="K531" s="355">
        <f>[49]Juli!$D$70</f>
        <v>21630000</v>
      </c>
      <c r="L531" s="355">
        <f>[49]Agustus!$D$70</f>
        <v>31100000</v>
      </c>
      <c r="M531" s="355">
        <f>[49]September!$D$70</f>
        <v>14000000</v>
      </c>
      <c r="N531" s="355">
        <f>[49]Oktober!$D$70</f>
        <v>79480000</v>
      </c>
      <c r="O531" s="355">
        <f>[49]Nopember!$D$70</f>
        <v>5500000</v>
      </c>
      <c r="P531" s="355">
        <f>[49]Desember!$D$70</f>
        <v>128575000</v>
      </c>
      <c r="Q531" s="346">
        <f t="shared" ref="Q531:Q540" si="211">SUM(E531:P531)</f>
        <v>415315000</v>
      </c>
      <c r="R531" s="1630">
        <f t="shared" si="209"/>
        <v>156085500</v>
      </c>
      <c r="S531" s="388">
        <f t="shared" si="210"/>
        <v>160.21131854206408</v>
      </c>
      <c r="T531" s="5856"/>
      <c r="V531" s="434">
        <f t="shared" ref="V531:V539" si="212">Q531/10</f>
        <v>41531500</v>
      </c>
      <c r="W531" s="786"/>
      <c r="X531" s="786"/>
    </row>
    <row r="532" spans="1:24" s="189" customFormat="1" ht="14.1" customHeight="1">
      <c r="A532" s="290"/>
      <c r="B532" s="253" t="s">
        <v>50</v>
      </c>
      <c r="C532" s="253" t="s">
        <v>859</v>
      </c>
      <c r="D532" s="1556">
        <f>'[4]TARGET MURNI DAN PERUBAHAN'!D447</f>
        <v>374739500</v>
      </c>
      <c r="E532" s="355">
        <f>[49]Januari!$E$70</f>
        <v>0</v>
      </c>
      <c r="F532" s="355">
        <f>[49]Februari!$E$70</f>
        <v>0</v>
      </c>
      <c r="G532" s="355">
        <f>[49]Maret!$E$70</f>
        <v>0</v>
      </c>
      <c r="H532" s="355">
        <f>[49]April!$E$70</f>
        <v>0</v>
      </c>
      <c r="I532" s="355">
        <f>[49]Mei!$E$70</f>
        <v>0</v>
      </c>
      <c r="J532" s="355">
        <f>[49]Juni!$E$70</f>
        <v>0</v>
      </c>
      <c r="K532" s="355">
        <f>[49]Juli!$E$70</f>
        <v>7000000</v>
      </c>
      <c r="L532" s="355">
        <f>[49]Agustus!$E$70</f>
        <v>0</v>
      </c>
      <c r="M532" s="355">
        <f>[49]September!$E$70</f>
        <v>8400000</v>
      </c>
      <c r="N532" s="355">
        <f>[49]Oktober!$E$70</f>
        <v>67200000</v>
      </c>
      <c r="O532" s="355">
        <f>[49]Nopember!$E$70</f>
        <v>127410000</v>
      </c>
      <c r="P532" s="355">
        <f>[49]Desember!$E$70</f>
        <v>0</v>
      </c>
      <c r="Q532" s="346">
        <f t="shared" si="211"/>
        <v>210010000</v>
      </c>
      <c r="R532" s="1630">
        <f t="shared" si="209"/>
        <v>-164729500</v>
      </c>
      <c r="S532" s="388">
        <f t="shared" si="210"/>
        <v>56.041596895977072</v>
      </c>
      <c r="T532" s="5856"/>
      <c r="V532" s="434">
        <f t="shared" si="212"/>
        <v>21001000</v>
      </c>
      <c r="W532" s="786"/>
      <c r="X532" s="786"/>
    </row>
    <row r="533" spans="1:24" s="189" customFormat="1" ht="14.1" customHeight="1">
      <c r="A533" s="290"/>
      <c r="B533" s="253" t="s">
        <v>50</v>
      </c>
      <c r="C533" s="253" t="s">
        <v>860</v>
      </c>
      <c r="D533" s="1556">
        <f>'[4]TARGET MURNI DAN PERUBAHAN'!D448</f>
        <v>271618000</v>
      </c>
      <c r="E533" s="355">
        <f>[49]Januari!$F$70</f>
        <v>0</v>
      </c>
      <c r="F533" s="355">
        <f>[49]Februari!$F$70</f>
        <v>0</v>
      </c>
      <c r="G533" s="355">
        <f>[49]Maret!$F$70</f>
        <v>0</v>
      </c>
      <c r="H533" s="355">
        <f>[49]April!$F$70</f>
        <v>0</v>
      </c>
      <c r="I533" s="355">
        <f>[49]Mei!$F$70</f>
        <v>15900000</v>
      </c>
      <c r="J533" s="355">
        <f>[49]Juni!$F$70</f>
        <v>0</v>
      </c>
      <c r="K533" s="355">
        <f>[49]Juli!$F$70</f>
        <v>0</v>
      </c>
      <c r="L533" s="355">
        <f>[49]Agustus!$F$70</f>
        <v>0</v>
      </c>
      <c r="M533" s="355">
        <f>[49]September!$F$70</f>
        <v>0</v>
      </c>
      <c r="N533" s="355">
        <f>[49]Oktober!$F$70</f>
        <v>74750000</v>
      </c>
      <c r="O533" s="355">
        <f>[49]Nopember!$F$70</f>
        <v>85590000</v>
      </c>
      <c r="P533" s="355">
        <f>[49]Desember!$F$70</f>
        <v>17100000</v>
      </c>
      <c r="Q533" s="346">
        <f t="shared" si="211"/>
        <v>193340000</v>
      </c>
      <c r="R533" s="1630">
        <f t="shared" si="209"/>
        <v>-78278000</v>
      </c>
      <c r="S533" s="388">
        <f t="shared" si="210"/>
        <v>71.180849575506784</v>
      </c>
      <c r="T533" s="441"/>
      <c r="V533" s="434">
        <f t="shared" si="212"/>
        <v>19334000</v>
      </c>
      <c r="W533" s="786"/>
      <c r="X533" s="786"/>
    </row>
    <row r="534" spans="1:24" s="189" customFormat="1" ht="14.1" customHeight="1">
      <c r="A534" s="290"/>
      <c r="B534" s="253" t="s">
        <v>50</v>
      </c>
      <c r="C534" s="253" t="s">
        <v>861</v>
      </c>
      <c r="D534" s="1556">
        <f>'[4]TARGET MURNI DAN PERUBAHAN'!D449</f>
        <v>0</v>
      </c>
      <c r="E534" s="355">
        <f>[49]Januari!$G$70</f>
        <v>0</v>
      </c>
      <c r="F534" s="355">
        <f>[49]Februari!$G$70</f>
        <v>0</v>
      </c>
      <c r="G534" s="355">
        <f>[49]Maret!$G$70</f>
        <v>0</v>
      </c>
      <c r="H534" s="355">
        <f>[49]April!$G$70</f>
        <v>0</v>
      </c>
      <c r="I534" s="355">
        <f>[49]Mei!$G$70</f>
        <v>0</v>
      </c>
      <c r="J534" s="355">
        <f>[49]Juni!$G$70</f>
        <v>0</v>
      </c>
      <c r="K534" s="355">
        <f>[49]Juli!$G$70</f>
        <v>0</v>
      </c>
      <c r="L534" s="355">
        <f>[49]Agustus!$G$70</f>
        <v>0</v>
      </c>
      <c r="M534" s="355">
        <f>[49]September!$G$70</f>
        <v>0</v>
      </c>
      <c r="N534" s="355">
        <f>[49]Oktober!$G$70</f>
        <v>0</v>
      </c>
      <c r="O534" s="355">
        <f>[49]Nopember!$G$70</f>
        <v>0</v>
      </c>
      <c r="P534" s="355">
        <f>[49]Desember!$G$70</f>
        <v>0</v>
      </c>
      <c r="Q534" s="346">
        <f t="shared" si="211"/>
        <v>0</v>
      </c>
      <c r="R534" s="1630">
        <f t="shared" si="209"/>
        <v>0</v>
      </c>
      <c r="S534" s="388" t="e">
        <f t="shared" si="210"/>
        <v>#DIV/0!</v>
      </c>
      <c r="T534" s="441"/>
      <c r="V534" s="434">
        <f t="shared" si="212"/>
        <v>0</v>
      </c>
      <c r="W534" s="786"/>
      <c r="X534" s="786"/>
    </row>
    <row r="535" spans="1:24" s="189" customFormat="1" ht="14.1" customHeight="1">
      <c r="A535" s="290"/>
      <c r="B535" s="253" t="s">
        <v>50</v>
      </c>
      <c r="C535" s="253" t="s">
        <v>862</v>
      </c>
      <c r="D535" s="1556">
        <f>'[4]TARGET MURNI DAN PERUBAHAN'!D450</f>
        <v>0</v>
      </c>
      <c r="E535" s="355">
        <f>[49]Januari!$H$70</f>
        <v>0</v>
      </c>
      <c r="F535" s="355">
        <f>[49]Februari!$H$70</f>
        <v>0</v>
      </c>
      <c r="G535" s="355">
        <f>[49]Maret!$H$70</f>
        <v>0</v>
      </c>
      <c r="H535" s="355">
        <f>[49]April!$H$70</f>
        <v>0</v>
      </c>
      <c r="I535" s="355">
        <f>[49]Mei!$H$70</f>
        <v>0</v>
      </c>
      <c r="J535" s="355">
        <f>[49]Juni!$H$70</f>
        <v>0</v>
      </c>
      <c r="K535" s="355">
        <f>[49]Juli!$H$70</f>
        <v>0</v>
      </c>
      <c r="L535" s="355">
        <f>[49]Agustus!$H$70</f>
        <v>0</v>
      </c>
      <c r="M535" s="355">
        <f>[49]September!$H$70</f>
        <v>0</v>
      </c>
      <c r="N535" s="355">
        <f>[49]Oktober!$H$70</f>
        <v>0</v>
      </c>
      <c r="O535" s="355">
        <f>[49]Nopember!$H$70</f>
        <v>0</v>
      </c>
      <c r="P535" s="355">
        <f>[49]Desember!$H$70</f>
        <v>0</v>
      </c>
      <c r="Q535" s="346">
        <f t="shared" si="211"/>
        <v>0</v>
      </c>
      <c r="R535" s="1630">
        <f t="shared" si="209"/>
        <v>0</v>
      </c>
      <c r="S535" s="388" t="e">
        <f t="shared" si="210"/>
        <v>#DIV/0!</v>
      </c>
      <c r="T535" s="441"/>
      <c r="V535" s="434">
        <f t="shared" si="212"/>
        <v>0</v>
      </c>
      <c r="W535" s="786"/>
      <c r="X535" s="786"/>
    </row>
    <row r="536" spans="1:24" s="189" customFormat="1" ht="14.1" customHeight="1">
      <c r="A536" s="290"/>
      <c r="B536" s="253" t="s">
        <v>50</v>
      </c>
      <c r="C536" s="253" t="s">
        <v>863</v>
      </c>
      <c r="D536" s="1556">
        <f>'[4]TARGET MURNI DAN PERUBAHAN'!D451</f>
        <v>46200000</v>
      </c>
      <c r="E536" s="355">
        <f>[49]Januari!$I$70</f>
        <v>0</v>
      </c>
      <c r="F536" s="355">
        <f>[49]Februari!$I$70</f>
        <v>5200000</v>
      </c>
      <c r="G536" s="355">
        <f>[49]Maret!$I$70</f>
        <v>0</v>
      </c>
      <c r="H536" s="355">
        <f>[49]April!$I$70</f>
        <v>20000000</v>
      </c>
      <c r="I536" s="355">
        <f>[49]Mei!$I$70</f>
        <v>7000000</v>
      </c>
      <c r="J536" s="355">
        <f>[49]Juni!$I$70</f>
        <v>0</v>
      </c>
      <c r="K536" s="355">
        <f>[49]Juli!$I$70</f>
        <v>0</v>
      </c>
      <c r="L536" s="355">
        <f>[49]Agustus!$I$70</f>
        <v>0</v>
      </c>
      <c r="M536" s="355">
        <f>[49]September!$I$70</f>
        <v>0</v>
      </c>
      <c r="N536" s="355">
        <f>[49]Oktober!$I$70</f>
        <v>0</v>
      </c>
      <c r="O536" s="355">
        <f>[49]Nopember!$I$70</f>
        <v>14400000</v>
      </c>
      <c r="P536" s="355">
        <f>[49]Desember!$I$70</f>
        <v>0</v>
      </c>
      <c r="Q536" s="346">
        <f t="shared" si="211"/>
        <v>46600000</v>
      </c>
      <c r="R536" s="1630">
        <f t="shared" si="209"/>
        <v>400000</v>
      </c>
      <c r="S536" s="388">
        <f t="shared" si="210"/>
        <v>100.86580086580086</v>
      </c>
      <c r="T536" s="441"/>
      <c r="V536" s="434">
        <f t="shared" si="212"/>
        <v>4660000</v>
      </c>
      <c r="W536" s="786"/>
      <c r="X536" s="786"/>
    </row>
    <row r="537" spans="1:24" s="189" customFormat="1" ht="14.1" customHeight="1">
      <c r="A537" s="290"/>
      <c r="B537" s="253" t="s">
        <v>50</v>
      </c>
      <c r="C537" s="253" t="s">
        <v>864</v>
      </c>
      <c r="D537" s="1556">
        <f>'[4]TARGET MURNI DAN PERUBAHAN'!D452</f>
        <v>88200000</v>
      </c>
      <c r="E537" s="355">
        <f>[49]Januari!$J$70</f>
        <v>41440000</v>
      </c>
      <c r="F537" s="355">
        <f>[49]Februari!$J$70</f>
        <v>1470000</v>
      </c>
      <c r="G537" s="355">
        <f>[49]Maret!$J$70</f>
        <v>3840000</v>
      </c>
      <c r="H537" s="355">
        <f>[49]April!$J$70</f>
        <v>0</v>
      </c>
      <c r="I537" s="355">
        <f>[49]Mei!$J$70</f>
        <v>0</v>
      </c>
      <c r="J537" s="355">
        <f>[49]Juni!$J$70</f>
        <v>0</v>
      </c>
      <c r="K537" s="355">
        <f>[49]Juli!$J$70</f>
        <v>0</v>
      </c>
      <c r="L537" s="355">
        <f>[49]Agustus!$J$70</f>
        <v>0</v>
      </c>
      <c r="M537" s="355">
        <f>[49]September!$J$70</f>
        <v>0</v>
      </c>
      <c r="N537" s="355">
        <f>[49]Oktober!$J$70</f>
        <v>7490000</v>
      </c>
      <c r="O537" s="355">
        <f>[49]Nopember!$J$70</f>
        <v>20700000</v>
      </c>
      <c r="P537" s="355">
        <f>[49]Desember!$J$70</f>
        <v>0</v>
      </c>
      <c r="Q537" s="346">
        <f t="shared" si="211"/>
        <v>74940000</v>
      </c>
      <c r="R537" s="1630">
        <f t="shared" si="209"/>
        <v>-13260000</v>
      </c>
      <c r="S537" s="388">
        <f t="shared" si="210"/>
        <v>84.965986394557831</v>
      </c>
      <c r="T537" s="441"/>
      <c r="V537" s="434">
        <f t="shared" si="212"/>
        <v>7494000</v>
      </c>
      <c r="W537" s="786"/>
      <c r="X537" s="786"/>
    </row>
    <row r="538" spans="1:24" s="189" customFormat="1" ht="14.1" customHeight="1">
      <c r="A538" s="290"/>
      <c r="B538" s="253" t="s">
        <v>50</v>
      </c>
      <c r="C538" s="253" t="s">
        <v>865</v>
      </c>
      <c r="D538" s="1556">
        <f>'[4]TARGET MURNI DAN PERUBAHAN'!D453</f>
        <v>24400000</v>
      </c>
      <c r="E538" s="355">
        <f>[49]Januari!$K$70</f>
        <v>0</v>
      </c>
      <c r="F538" s="355">
        <f>[49]Februari!$K$70</f>
        <v>6500000</v>
      </c>
      <c r="G538" s="355">
        <f>[49]Maret!$K$70</f>
        <v>0</v>
      </c>
      <c r="H538" s="355">
        <f>[49]April!$K$70</f>
        <v>5200000</v>
      </c>
      <c r="I538" s="355">
        <f>[49]Mei!$K$70</f>
        <v>0</v>
      </c>
      <c r="J538" s="355">
        <f>[49]Juni!$K$70</f>
        <v>0</v>
      </c>
      <c r="K538" s="355">
        <f>[49]Juli!$K$70</f>
        <v>0</v>
      </c>
      <c r="L538" s="355">
        <f>[49]Agustus!$K$70</f>
        <v>0</v>
      </c>
      <c r="M538" s="355">
        <f>[49]September!$K$70</f>
        <v>9048000</v>
      </c>
      <c r="N538" s="355">
        <f>[49]Oktober!$K$70</f>
        <v>0</v>
      </c>
      <c r="O538" s="355">
        <f>[49]Nopember!$K$70</f>
        <v>3705000</v>
      </c>
      <c r="P538" s="355">
        <f>[49]Desember!$K$70</f>
        <v>0</v>
      </c>
      <c r="Q538" s="346">
        <f t="shared" si="211"/>
        <v>24453000</v>
      </c>
      <c r="R538" s="1630">
        <f t="shared" si="209"/>
        <v>53000</v>
      </c>
      <c r="S538" s="388">
        <f t="shared" si="210"/>
        <v>100.21721311475409</v>
      </c>
      <c r="T538" s="441"/>
      <c r="V538" s="434">
        <f t="shared" si="212"/>
        <v>2445300</v>
      </c>
      <c r="W538" s="786"/>
      <c r="X538" s="786"/>
    </row>
    <row r="539" spans="1:24" s="189" customFormat="1" ht="14.1" customHeight="1">
      <c r="A539" s="290"/>
      <c r="B539" s="253" t="s">
        <v>50</v>
      </c>
      <c r="C539" s="253" t="s">
        <v>866</v>
      </c>
      <c r="D539" s="1556">
        <f>'[4]TARGET MURNI DAN PERUBAHAN'!D454</f>
        <v>300000000</v>
      </c>
      <c r="E539" s="355">
        <f>[49]Januari!$L$70</f>
        <v>0</v>
      </c>
      <c r="F539" s="355">
        <f>[49]Februari!$L$70</f>
        <v>0</v>
      </c>
      <c r="G539" s="355">
        <f>[49]Maret!$L$70</f>
        <v>0</v>
      </c>
      <c r="H539" s="355">
        <f>[49]April!$L$70</f>
        <v>0</v>
      </c>
      <c r="I539" s="355">
        <f>[49]Mei!$L$70</f>
        <v>0</v>
      </c>
      <c r="J539" s="355">
        <f>[49]Juni!$L$70</f>
        <v>0</v>
      </c>
      <c r="K539" s="355">
        <f>[49]Juli!$L$70</f>
        <v>0</v>
      </c>
      <c r="L539" s="355">
        <f>[49]Agustus!$L$70</f>
        <v>0</v>
      </c>
      <c r="M539" s="355">
        <f>[49]September!$L$70</f>
        <v>0</v>
      </c>
      <c r="N539" s="355">
        <f>[49]Oktober!$L$70</f>
        <v>5000000</v>
      </c>
      <c r="O539" s="355">
        <f>[49]Nopember!$L$70</f>
        <v>5036000</v>
      </c>
      <c r="P539" s="355">
        <f>[49]Desember!$L$70</f>
        <v>0</v>
      </c>
      <c r="Q539" s="346">
        <f t="shared" si="211"/>
        <v>10036000</v>
      </c>
      <c r="R539" s="1630">
        <f t="shared" si="209"/>
        <v>-289964000</v>
      </c>
      <c r="S539" s="388">
        <f t="shared" si="210"/>
        <v>3.3453333333333335</v>
      </c>
      <c r="T539" s="441"/>
      <c r="V539" s="434">
        <f t="shared" si="212"/>
        <v>1003600</v>
      </c>
      <c r="W539" s="786"/>
      <c r="X539" s="786"/>
    </row>
    <row r="540" spans="1:24" s="189" customFormat="1" ht="14.1" customHeight="1">
      <c r="A540" s="290"/>
      <c r="B540" s="253" t="s">
        <v>50</v>
      </c>
      <c r="C540" s="1027" t="s">
        <v>352</v>
      </c>
      <c r="D540" s="355">
        <v>0</v>
      </c>
      <c r="E540" s="355">
        <f>[49]Januari!$M$70</f>
        <v>0</v>
      </c>
      <c r="F540" s="355">
        <f>[49]Februari!$M$70</f>
        <v>0</v>
      </c>
      <c r="G540" s="355">
        <f>[49]Maret!$M$70</f>
        <v>0</v>
      </c>
      <c r="H540" s="355">
        <f>[49]April!$M$70</f>
        <v>0</v>
      </c>
      <c r="I540" s="355">
        <f>[49]Mei!$M$70</f>
        <v>0</v>
      </c>
      <c r="J540" s="355">
        <f>[49]Juni!$M$70</f>
        <v>0</v>
      </c>
      <c r="K540" s="355">
        <f>[49]Juli!$M$70</f>
        <v>0</v>
      </c>
      <c r="L540" s="355">
        <f>[49]Agustus!$M$70</f>
        <v>0</v>
      </c>
      <c r="M540" s="355">
        <f>[49]September!$M$70</f>
        <v>0</v>
      </c>
      <c r="N540" s="355">
        <f>[49]Oktober!$M$70</f>
        <v>0</v>
      </c>
      <c r="O540" s="355">
        <f>[49]Nopember!$M$70</f>
        <v>0</v>
      </c>
      <c r="P540" s="355">
        <f>[49]Desember!$M$70</f>
        <v>0</v>
      </c>
      <c r="Q540" s="346">
        <f t="shared" si="211"/>
        <v>0</v>
      </c>
      <c r="R540" s="1630">
        <f t="shared" si="209"/>
        <v>0</v>
      </c>
      <c r="S540" s="388" t="e">
        <f t="shared" si="210"/>
        <v>#DIV/0!</v>
      </c>
      <c r="T540" s="441"/>
      <c r="V540" s="786"/>
      <c r="W540" s="786"/>
      <c r="X540" s="786"/>
    </row>
    <row r="541" spans="1:24" s="189" customFormat="1" ht="14.1" customHeight="1">
      <c r="A541" s="290"/>
      <c r="B541" s="253"/>
      <c r="C541" s="253"/>
      <c r="D541" s="355"/>
      <c r="E541" s="355"/>
      <c r="F541" s="355"/>
      <c r="G541" s="355"/>
      <c r="H541" s="355"/>
      <c r="I541" s="355"/>
      <c r="J541" s="355"/>
      <c r="K541" s="355"/>
      <c r="L541" s="355"/>
      <c r="M541" s="355"/>
      <c r="N541" s="355"/>
      <c r="O541" s="355"/>
      <c r="P541" s="355"/>
      <c r="Q541" s="355"/>
      <c r="R541" s="1630"/>
      <c r="S541" s="388"/>
      <c r="T541" s="441"/>
      <c r="V541" s="786"/>
      <c r="W541" s="786"/>
      <c r="X541" s="786"/>
    </row>
    <row r="542" spans="1:24" s="189" customFormat="1" ht="14.1" customHeight="1">
      <c r="A542" s="290"/>
      <c r="B542" s="291" t="s">
        <v>71</v>
      </c>
      <c r="C542" s="291"/>
      <c r="D542" s="371">
        <f>SUM(D543:D547)</f>
        <v>0</v>
      </c>
      <c r="E542" s="371">
        <f>SUM(E543:E547)</f>
        <v>15251000</v>
      </c>
      <c r="F542" s="371">
        <f t="shared" ref="F542:Q542" si="213">SUM(F543:F547)</f>
        <v>2896000</v>
      </c>
      <c r="G542" s="371">
        <f t="shared" si="213"/>
        <v>0</v>
      </c>
      <c r="H542" s="371">
        <f t="shared" si="213"/>
        <v>16382568</v>
      </c>
      <c r="I542" s="371">
        <f t="shared" si="213"/>
        <v>0</v>
      </c>
      <c r="J542" s="371">
        <f t="shared" si="213"/>
        <v>3760000</v>
      </c>
      <c r="K542" s="371">
        <f t="shared" si="213"/>
        <v>0</v>
      </c>
      <c r="L542" s="371">
        <f t="shared" si="213"/>
        <v>2906652</v>
      </c>
      <c r="M542" s="371">
        <f t="shared" si="213"/>
        <v>15928</v>
      </c>
      <c r="N542" s="371">
        <f t="shared" si="213"/>
        <v>3428200</v>
      </c>
      <c r="O542" s="371">
        <f t="shared" si="213"/>
        <v>5039300</v>
      </c>
      <c r="P542" s="371">
        <f t="shared" si="213"/>
        <v>17577750</v>
      </c>
      <c r="Q542" s="371">
        <f t="shared" si="213"/>
        <v>67257398</v>
      </c>
      <c r="R542" s="1652">
        <f>Q542-D542</f>
        <v>67257398</v>
      </c>
      <c r="S542" s="347" t="e">
        <f t="shared" ref="S542:S547" si="214">Q542/D542*100</f>
        <v>#DIV/0!</v>
      </c>
      <c r="T542" s="651"/>
      <c r="V542" s="786"/>
      <c r="W542" s="786"/>
      <c r="X542" s="786"/>
    </row>
    <row r="543" spans="1:24" s="189" customFormat="1" ht="14.1" customHeight="1">
      <c r="A543" s="292"/>
      <c r="B543" s="2759" t="s">
        <v>50</v>
      </c>
      <c r="C543" s="859" t="s">
        <v>710</v>
      </c>
      <c r="D543" s="355">
        <f>'[4]TARGET MURNI DAN PERUBAHAN'!D462</f>
        <v>0</v>
      </c>
      <c r="E543" s="355">
        <f>[49]Januari!$N$70</f>
        <v>0</v>
      </c>
      <c r="F543" s="355">
        <f>[49]Februari!$N$70</f>
        <v>0</v>
      </c>
      <c r="G543" s="355">
        <f>[49]Maret!$N$70</f>
        <v>0</v>
      </c>
      <c r="H543" s="355">
        <f>[49]April!$N$70</f>
        <v>0</v>
      </c>
      <c r="I543" s="355">
        <f>[49]Mei!$N$70</f>
        <v>0</v>
      </c>
      <c r="J543" s="355">
        <f>[49]Juni!$N$70</f>
        <v>0</v>
      </c>
      <c r="K543" s="355">
        <f>[49]Juli!$N$70</f>
        <v>0</v>
      </c>
      <c r="L543" s="355">
        <f>[49]Agustus!$N$70</f>
        <v>399512</v>
      </c>
      <c r="M543" s="355">
        <f>[49]September!$N$70</f>
        <v>15928</v>
      </c>
      <c r="N543" s="355">
        <f>[49]Oktober!$N$70</f>
        <v>0</v>
      </c>
      <c r="O543" s="355">
        <f>[49]Nopember!$N$70</f>
        <v>0</v>
      </c>
      <c r="P543" s="355">
        <f>[49]Desember!$N$70</f>
        <v>0</v>
      </c>
      <c r="Q543" s="346">
        <f>SUM(E543:P543)</f>
        <v>415440</v>
      </c>
      <c r="R543" s="1630">
        <f>Q543-D543</f>
        <v>415440</v>
      </c>
      <c r="S543" s="388"/>
      <c r="T543" s="441"/>
      <c r="V543" s="786"/>
      <c r="W543" s="786"/>
      <c r="X543" s="786"/>
    </row>
    <row r="544" spans="1:24" s="189" customFormat="1" ht="14.1" customHeight="1">
      <c r="A544" s="292"/>
      <c r="B544" s="2759" t="s">
        <v>50</v>
      </c>
      <c r="C544" s="859" t="s">
        <v>711</v>
      </c>
      <c r="D544" s="355">
        <v>0</v>
      </c>
      <c r="E544" s="355">
        <f>[49]Januari!$O$70</f>
        <v>0</v>
      </c>
      <c r="F544" s="355">
        <f>[49]Februari!$O$70</f>
        <v>0</v>
      </c>
      <c r="G544" s="355">
        <f>[49]Maret!$O$70</f>
        <v>0</v>
      </c>
      <c r="H544" s="355">
        <f>[49]April!$O$70</f>
        <v>0</v>
      </c>
      <c r="I544" s="355">
        <f>[49]Mei!$O$70</f>
        <v>0</v>
      </c>
      <c r="J544" s="355">
        <f>[49]Juni!$O$70</f>
        <v>0</v>
      </c>
      <c r="K544" s="355">
        <f>[49]Juli!$O$70</f>
        <v>0</v>
      </c>
      <c r="L544" s="355">
        <f>[49]Agustus!$O$70</f>
        <v>0</v>
      </c>
      <c r="M544" s="355">
        <f>[49]September!$O$70</f>
        <v>0</v>
      </c>
      <c r="N544" s="355">
        <f>[49]Oktober!$O$70</f>
        <v>0</v>
      </c>
      <c r="O544" s="355">
        <f>[49]Nopember!$O$70</f>
        <v>0</v>
      </c>
      <c r="P544" s="355">
        <f>[49]Desember!$O$70</f>
        <v>0</v>
      </c>
      <c r="Q544" s="346">
        <f>SUM(E544:P544)</f>
        <v>0</v>
      </c>
      <c r="R544" s="1630">
        <f>Q544-D544</f>
        <v>0</v>
      </c>
      <c r="S544" s="388"/>
      <c r="T544" s="441"/>
      <c r="V544" s="786"/>
      <c r="W544" s="786"/>
      <c r="X544" s="786"/>
    </row>
    <row r="545" spans="1:24" s="189" customFormat="1" ht="14.1" customHeight="1">
      <c r="A545" s="292"/>
      <c r="B545" s="2759" t="s">
        <v>50</v>
      </c>
      <c r="C545" s="859" t="s">
        <v>712</v>
      </c>
      <c r="D545" s="355">
        <v>0</v>
      </c>
      <c r="E545" s="355">
        <f>[49]Januari!$P$70</f>
        <v>0</v>
      </c>
      <c r="F545" s="355">
        <f>[49]Februari!$P$70</f>
        <v>0</v>
      </c>
      <c r="G545" s="355">
        <f>[49]Maret!$P$70</f>
        <v>0</v>
      </c>
      <c r="H545" s="355">
        <f>[49]April!$P$70</f>
        <v>0</v>
      </c>
      <c r="I545" s="355">
        <f>[49]Mei!$P$70</f>
        <v>0</v>
      </c>
      <c r="J545" s="355">
        <f>[49]Juni!$P$70</f>
        <v>0</v>
      </c>
      <c r="K545" s="355">
        <f>[49]Juli!$P$70</f>
        <v>0</v>
      </c>
      <c r="L545" s="355">
        <f>[49]Agustus!$P$70</f>
        <v>0</v>
      </c>
      <c r="M545" s="355">
        <f>[49]September!$P$70</f>
        <v>0</v>
      </c>
      <c r="N545" s="355">
        <f>[49]Oktober!$P$70</f>
        <v>0</v>
      </c>
      <c r="O545" s="355">
        <f>[49]Nopember!$P$70</f>
        <v>0</v>
      </c>
      <c r="P545" s="355">
        <f>[49]Desember!$P$70</f>
        <v>0</v>
      </c>
      <c r="Q545" s="346">
        <f>SUM(E545:P545)</f>
        <v>0</v>
      </c>
      <c r="R545" s="1630">
        <f>Q545-D545</f>
        <v>0</v>
      </c>
      <c r="S545" s="388" t="e">
        <f t="shared" si="214"/>
        <v>#DIV/0!</v>
      </c>
      <c r="T545" s="651"/>
      <c r="V545" s="786"/>
      <c r="W545" s="786"/>
      <c r="X545" s="786"/>
    </row>
    <row r="546" spans="1:24" s="189" customFormat="1" ht="14.1" customHeight="1">
      <c r="A546" s="290"/>
      <c r="B546" s="2759" t="s">
        <v>50</v>
      </c>
      <c r="C546" s="859" t="s">
        <v>713</v>
      </c>
      <c r="D546" s="369">
        <v>0</v>
      </c>
      <c r="E546" s="355">
        <f>[49]Januari!$Q$70</f>
        <v>15251000</v>
      </c>
      <c r="F546" s="355">
        <f>[49]Februari!$Q$70</f>
        <v>2896000</v>
      </c>
      <c r="G546" s="355">
        <f>[49]Maret!$Q$70</f>
        <v>0</v>
      </c>
      <c r="H546" s="355">
        <f>[49]April!$Q$70</f>
        <v>16382568</v>
      </c>
      <c r="I546" s="355">
        <f>[49]Mei!$Q$70</f>
        <v>0</v>
      </c>
      <c r="J546" s="355">
        <f>[49]Juni!$Q$70</f>
        <v>3760000</v>
      </c>
      <c r="K546" s="355">
        <f>[49]Juli!$Q$70</f>
        <v>0</v>
      </c>
      <c r="L546" s="355">
        <f>[49]Agustus!$Q$70</f>
        <v>0</v>
      </c>
      <c r="M546" s="355">
        <f>[49]September!$Q$70</f>
        <v>0</v>
      </c>
      <c r="N546" s="355">
        <f>[49]Oktober!$Q$70</f>
        <v>3428200</v>
      </c>
      <c r="O546" s="355">
        <f>[49]Nopember!$Q$70</f>
        <v>5039300</v>
      </c>
      <c r="P546" s="355">
        <f>[49]Desember!$Q$70</f>
        <v>17577750</v>
      </c>
      <c r="Q546" s="346">
        <f>SUM(E546:P546)</f>
        <v>64334818</v>
      </c>
      <c r="R546" s="1630"/>
      <c r="S546" s="388"/>
      <c r="T546" s="441"/>
      <c r="V546" s="786"/>
      <c r="W546" s="786"/>
      <c r="X546" s="786"/>
    </row>
    <row r="547" spans="1:24" s="189" customFormat="1" ht="14.1" customHeight="1">
      <c r="A547" s="290"/>
      <c r="B547" s="2759" t="s">
        <v>50</v>
      </c>
      <c r="C547" s="859" t="s">
        <v>714</v>
      </c>
      <c r="D547" s="355">
        <f>'[4]TARGET MURNI DAN PERUBAHAN'!D461</f>
        <v>0</v>
      </c>
      <c r="E547" s="355">
        <v>0</v>
      </c>
      <c r="F547" s="355">
        <v>0</v>
      </c>
      <c r="G547" s="355">
        <v>0</v>
      </c>
      <c r="H547" s="355">
        <v>0</v>
      </c>
      <c r="I547" s="355">
        <v>0</v>
      </c>
      <c r="J547" s="355">
        <v>0</v>
      </c>
      <c r="K547" s="355">
        <v>0</v>
      </c>
      <c r="L547" s="355">
        <f>[49]Agustus!$R$70</f>
        <v>2507140</v>
      </c>
      <c r="M547" s="355">
        <v>0</v>
      </c>
      <c r="N547" s="355">
        <f>[49]Oktober!$R$70</f>
        <v>0</v>
      </c>
      <c r="O547" s="355">
        <v>0</v>
      </c>
      <c r="P547" s="355">
        <v>0</v>
      </c>
      <c r="Q547" s="346">
        <f>SUM(E547:P547)</f>
        <v>2507140</v>
      </c>
      <c r="R547" s="1672">
        <f t="shared" ref="R547:R553" si="215">Q547-D547</f>
        <v>2507140</v>
      </c>
      <c r="S547" s="347" t="e">
        <f t="shared" si="214"/>
        <v>#DIV/0!</v>
      </c>
      <c r="T547" s="441"/>
      <c r="V547" s="786"/>
      <c r="W547" s="786"/>
      <c r="X547" s="786"/>
    </row>
    <row r="548" spans="1:24" s="245" customFormat="1" ht="14.1" customHeight="1">
      <c r="A548" s="575"/>
      <c r="B548" s="253"/>
      <c r="C548" s="253"/>
      <c r="D548" s="380"/>
      <c r="E548" s="380"/>
      <c r="F548" s="380"/>
      <c r="G548" s="380"/>
      <c r="H548" s="380"/>
      <c r="I548" s="380"/>
      <c r="J548" s="380"/>
      <c r="K548" s="380"/>
      <c r="L548" s="380"/>
      <c r="M548" s="380"/>
      <c r="N548" s="380"/>
      <c r="O548" s="380"/>
      <c r="P548" s="380"/>
      <c r="Q548" s="380"/>
      <c r="R548" s="1625"/>
      <c r="S548" s="501"/>
      <c r="T548" s="1812"/>
      <c r="V548" s="1593"/>
      <c r="W548" s="1593"/>
      <c r="X548" s="1593"/>
    </row>
    <row r="549" spans="1:24" s="244" customFormat="1" ht="14.1" customHeight="1">
      <c r="A549" s="1696" t="s">
        <v>867</v>
      </c>
      <c r="B549" s="1553" t="s">
        <v>523</v>
      </c>
      <c r="C549" s="298"/>
      <c r="D549" s="835">
        <f t="shared" ref="D549:Q549" si="216">D550+D559</f>
        <v>37000000</v>
      </c>
      <c r="E549" s="337">
        <f t="shared" si="216"/>
        <v>0</v>
      </c>
      <c r="F549" s="337">
        <f t="shared" si="216"/>
        <v>0</v>
      </c>
      <c r="G549" s="337">
        <f t="shared" si="216"/>
        <v>113520200</v>
      </c>
      <c r="H549" s="337">
        <f t="shared" si="216"/>
        <v>1439875</v>
      </c>
      <c r="I549" s="337">
        <f t="shared" si="216"/>
        <v>7872303</v>
      </c>
      <c r="J549" s="337">
        <f t="shared" si="216"/>
        <v>0</v>
      </c>
      <c r="K549" s="337">
        <f t="shared" si="216"/>
        <v>0</v>
      </c>
      <c r="L549" s="337">
        <f t="shared" si="216"/>
        <v>1404679</v>
      </c>
      <c r="M549" s="337">
        <f t="shared" si="216"/>
        <v>5859162</v>
      </c>
      <c r="N549" s="337">
        <f t="shared" si="216"/>
        <v>377500</v>
      </c>
      <c r="O549" s="337">
        <f t="shared" si="216"/>
        <v>18462500</v>
      </c>
      <c r="P549" s="337">
        <f t="shared" si="216"/>
        <v>55122700</v>
      </c>
      <c r="Q549" s="337">
        <f t="shared" si="216"/>
        <v>204058919</v>
      </c>
      <c r="R549" s="1636">
        <f>+Q549-D549</f>
        <v>167058919</v>
      </c>
      <c r="S549" s="338">
        <f>+Q549/D549*100</f>
        <v>551.51059189189186</v>
      </c>
      <c r="T549" s="432"/>
      <c r="V549" s="434"/>
      <c r="W549" s="434"/>
      <c r="X549" s="434"/>
    </row>
    <row r="550" spans="1:24" s="189" customFormat="1" ht="14.1" customHeight="1">
      <c r="A550" s="1554"/>
      <c r="B550" s="1329" t="s">
        <v>63</v>
      </c>
      <c r="C550" s="1329"/>
      <c r="D550" s="1555">
        <f>D551+D555</f>
        <v>37000000</v>
      </c>
      <c r="E550" s="1555">
        <f t="shared" ref="E550:Q550" si="217">E551+E555</f>
        <v>0</v>
      </c>
      <c r="F550" s="1555">
        <f t="shared" si="217"/>
        <v>0</v>
      </c>
      <c r="G550" s="1555">
        <f t="shared" si="217"/>
        <v>0</v>
      </c>
      <c r="H550" s="1555">
        <f t="shared" si="217"/>
        <v>543750</v>
      </c>
      <c r="I550" s="1555">
        <f t="shared" si="217"/>
        <v>250000</v>
      </c>
      <c r="J550" s="1555">
        <f t="shared" si="217"/>
        <v>0</v>
      </c>
      <c r="K550" s="1555">
        <f t="shared" si="217"/>
        <v>0</v>
      </c>
      <c r="L550" s="1555">
        <f t="shared" si="217"/>
        <v>180000</v>
      </c>
      <c r="M550" s="1555">
        <f t="shared" si="217"/>
        <v>270000</v>
      </c>
      <c r="N550" s="1555">
        <f t="shared" si="217"/>
        <v>377500</v>
      </c>
      <c r="O550" s="1555">
        <f t="shared" si="217"/>
        <v>18362500</v>
      </c>
      <c r="P550" s="1555">
        <f t="shared" si="217"/>
        <v>32369500</v>
      </c>
      <c r="Q550" s="1555">
        <f t="shared" si="217"/>
        <v>52353250</v>
      </c>
      <c r="R550" s="1628">
        <f t="shared" si="215"/>
        <v>15353250</v>
      </c>
      <c r="S550" s="1591">
        <f>Q550/D550*100</f>
        <v>141.49527027027028</v>
      </c>
      <c r="T550" s="1592"/>
      <c r="V550" s="786"/>
      <c r="W550" s="786"/>
      <c r="X550" s="786"/>
    </row>
    <row r="551" spans="1:24" s="189" customFormat="1" ht="14.1" customHeight="1">
      <c r="A551" s="292"/>
      <c r="B551" s="253" t="s">
        <v>181</v>
      </c>
      <c r="C551" s="253"/>
      <c r="D551" s="1795">
        <f t="shared" ref="D551:I551" si="218">SUM(D552:D553)</f>
        <v>0</v>
      </c>
      <c r="E551" s="1795">
        <f t="shared" si="218"/>
        <v>0</v>
      </c>
      <c r="F551" s="1795">
        <f t="shared" si="218"/>
        <v>0</v>
      </c>
      <c r="G551" s="1795">
        <f t="shared" si="218"/>
        <v>0</v>
      </c>
      <c r="H551" s="1795">
        <f t="shared" si="218"/>
        <v>543750</v>
      </c>
      <c r="I551" s="1795">
        <f t="shared" si="218"/>
        <v>250000</v>
      </c>
      <c r="J551" s="1795">
        <f t="shared" ref="J551:P551" si="219">SUM(J552:J553)</f>
        <v>0</v>
      </c>
      <c r="K551" s="1795">
        <f t="shared" si="219"/>
        <v>0</v>
      </c>
      <c r="L551" s="1795">
        <f t="shared" si="219"/>
        <v>180000</v>
      </c>
      <c r="M551" s="1795">
        <f t="shared" si="219"/>
        <v>270000</v>
      </c>
      <c r="N551" s="1795">
        <f t="shared" si="219"/>
        <v>0</v>
      </c>
      <c r="O551" s="1795">
        <f t="shared" si="219"/>
        <v>8820000</v>
      </c>
      <c r="P551" s="1795">
        <f t="shared" si="219"/>
        <v>0</v>
      </c>
      <c r="Q551" s="346">
        <f>SUM(E551:P551)</f>
        <v>10063750</v>
      </c>
      <c r="R551" s="1630">
        <f t="shared" si="215"/>
        <v>10063750</v>
      </c>
      <c r="S551" s="388" t="e">
        <f>Q551/D551*100</f>
        <v>#DIV/0!</v>
      </c>
      <c r="T551" s="441"/>
      <c r="V551" s="786"/>
      <c r="W551" s="786"/>
      <c r="X551" s="786"/>
    </row>
    <row r="552" spans="1:24" s="189" customFormat="1" ht="14.1" customHeight="1">
      <c r="A552" s="290"/>
      <c r="B552" s="253" t="s">
        <v>50</v>
      </c>
      <c r="C552" s="894" t="s">
        <v>868</v>
      </c>
      <c r="D552" s="1556">
        <f>'[4]TARGET MURNI DAN PERUBAHAN'!D467</f>
        <v>0</v>
      </c>
      <c r="E552" s="355">
        <f>[39]Januari!$D$35</f>
        <v>0</v>
      </c>
      <c r="F552" s="355">
        <f>[39]Februari!$D$35</f>
        <v>0</v>
      </c>
      <c r="G552" s="355">
        <f>[39]Maret!$D$35</f>
        <v>0</v>
      </c>
      <c r="H552" s="355">
        <f>[39]April!$D$35</f>
        <v>0</v>
      </c>
      <c r="I552" s="355">
        <f>[39]Mei!$D$35</f>
        <v>0</v>
      </c>
      <c r="J552" s="355">
        <f>[39]Juni!$D$35</f>
        <v>0</v>
      </c>
      <c r="K552" s="355">
        <f>[39]Juli!$D$35</f>
        <v>0</v>
      </c>
      <c r="L552" s="355">
        <f>[39]Agustus!$D$35</f>
        <v>0</v>
      </c>
      <c r="M552" s="355">
        <f>[39]September!$D$35</f>
        <v>0</v>
      </c>
      <c r="N552" s="355">
        <f>[39]Oktober!$D$35</f>
        <v>0</v>
      </c>
      <c r="O552" s="355">
        <f>[39]Nopember!$D$35</f>
        <v>0</v>
      </c>
      <c r="P552" s="355">
        <f>[39]Desember!$D$35</f>
        <v>0</v>
      </c>
      <c r="Q552" s="346">
        <f>SUM(E552:P552)</f>
        <v>0</v>
      </c>
      <c r="R552" s="1630">
        <f t="shared" si="215"/>
        <v>0</v>
      </c>
      <c r="S552" s="388" t="e">
        <f>Q552/D552*100</f>
        <v>#DIV/0!</v>
      </c>
      <c r="T552" s="441"/>
      <c r="V552" s="434">
        <f>Q552/10</f>
        <v>0</v>
      </c>
      <c r="W552" s="786"/>
      <c r="X552" s="786"/>
    </row>
    <row r="553" spans="1:24" s="189" customFormat="1" ht="14.1" customHeight="1">
      <c r="A553" s="290"/>
      <c r="B553" s="253" t="s">
        <v>50</v>
      </c>
      <c r="C553" s="894" t="s">
        <v>869</v>
      </c>
      <c r="D553" s="1556">
        <f>'[4]TARGET MURNI DAN PERUBAHAN'!D468</f>
        <v>0</v>
      </c>
      <c r="E553" s="355">
        <f>[39]Januari!$E$35</f>
        <v>0</v>
      </c>
      <c r="F553" s="355">
        <f>[39]Februari!$E$35</f>
        <v>0</v>
      </c>
      <c r="G553" s="355">
        <f>[39]Maret!$E$35</f>
        <v>0</v>
      </c>
      <c r="H553" s="355">
        <f>[39]April!$E$35</f>
        <v>543750</v>
      </c>
      <c r="I553" s="355">
        <f>[39]Mei!$E$35</f>
        <v>250000</v>
      </c>
      <c r="J553" s="355">
        <f>[39]Juni!$E$35</f>
        <v>0</v>
      </c>
      <c r="K553" s="355">
        <f>[39]Juli!$E$35</f>
        <v>0</v>
      </c>
      <c r="L553" s="355">
        <f>[39]Agustus!$E$35</f>
        <v>180000</v>
      </c>
      <c r="M553" s="355">
        <f>[39]September!$E$35</f>
        <v>270000</v>
      </c>
      <c r="N553" s="355">
        <f>[39]Oktober!$E$35</f>
        <v>0</v>
      </c>
      <c r="O553" s="355">
        <f>[39]Nopember!$E$35</f>
        <v>8820000</v>
      </c>
      <c r="P553" s="355">
        <f>[39]Desember!$E$35</f>
        <v>0</v>
      </c>
      <c r="Q553" s="346">
        <f>SUM(E553:P553)</f>
        <v>10063750</v>
      </c>
      <c r="R553" s="1630">
        <f t="shared" si="215"/>
        <v>10063750</v>
      </c>
      <c r="S553" s="388" t="e">
        <f>Q553/D553*100</f>
        <v>#DIV/0!</v>
      </c>
      <c r="T553" s="441"/>
      <c r="V553" s="434">
        <f>Q553/10</f>
        <v>1006375</v>
      </c>
      <c r="W553" s="786"/>
      <c r="X553" s="786"/>
    </row>
    <row r="554" spans="1:24" s="189" customFormat="1" ht="14.1" customHeight="1">
      <c r="A554" s="290"/>
      <c r="B554" s="253"/>
      <c r="C554" s="253"/>
      <c r="D554" s="355"/>
      <c r="E554" s="355"/>
      <c r="F554" s="355"/>
      <c r="G554" s="355"/>
      <c r="H554" s="355"/>
      <c r="I554" s="355"/>
      <c r="J554" s="355"/>
      <c r="K554" s="355"/>
      <c r="L554" s="355"/>
      <c r="M554" s="355"/>
      <c r="N554" s="355"/>
      <c r="O554" s="355"/>
      <c r="P554" s="355"/>
      <c r="Q554" s="355"/>
      <c r="R554" s="1630"/>
      <c r="S554" s="388"/>
      <c r="T554" s="441"/>
      <c r="V554" s="786"/>
      <c r="W554" s="786"/>
      <c r="X554" s="786"/>
    </row>
    <row r="555" spans="1:24" s="189" customFormat="1" ht="14.1" customHeight="1">
      <c r="A555" s="290"/>
      <c r="B555" s="253" t="s">
        <v>342</v>
      </c>
      <c r="C555" s="253"/>
      <c r="D555" s="1795">
        <f t="shared" ref="D555:P555" si="220">SUM(D556:D557)</f>
        <v>37000000</v>
      </c>
      <c r="E555" s="1799">
        <f t="shared" si="220"/>
        <v>0</v>
      </c>
      <c r="F555" s="1799">
        <f t="shared" si="220"/>
        <v>0</v>
      </c>
      <c r="G555" s="1799">
        <f t="shared" si="220"/>
        <v>0</v>
      </c>
      <c r="H555" s="1799">
        <f t="shared" si="220"/>
        <v>0</v>
      </c>
      <c r="I555" s="1799">
        <f t="shared" si="220"/>
        <v>0</v>
      </c>
      <c r="J555" s="1799">
        <f t="shared" si="220"/>
        <v>0</v>
      </c>
      <c r="K555" s="1799">
        <f t="shared" si="220"/>
        <v>0</v>
      </c>
      <c r="L555" s="1799">
        <f t="shared" si="220"/>
        <v>0</v>
      </c>
      <c r="M555" s="1799">
        <f t="shared" si="220"/>
        <v>0</v>
      </c>
      <c r="N555" s="1799">
        <f t="shared" si="220"/>
        <v>377500</v>
      </c>
      <c r="O555" s="1799">
        <f t="shared" si="220"/>
        <v>9542500</v>
      </c>
      <c r="P555" s="1799">
        <f t="shared" si="220"/>
        <v>32369500</v>
      </c>
      <c r="Q555" s="346">
        <f>SUM(E555:P555)</f>
        <v>42289500</v>
      </c>
      <c r="R555" s="1630">
        <f>Q555-D555</f>
        <v>5289500</v>
      </c>
      <c r="S555" s="388">
        <f>Q555/D555*100</f>
        <v>114.29594594594595</v>
      </c>
      <c r="T555" s="438"/>
      <c r="V555" s="786"/>
      <c r="W555" s="786"/>
      <c r="X555" s="786"/>
    </row>
    <row r="556" spans="1:24" s="189" customFormat="1" ht="14.1" customHeight="1">
      <c r="A556" s="290"/>
      <c r="B556" s="253" t="s">
        <v>50</v>
      </c>
      <c r="C556" s="894" t="s">
        <v>870</v>
      </c>
      <c r="D556" s="355">
        <f>'[4]TARGET MURNI DAN PERUBAHAN'!D471</f>
        <v>0</v>
      </c>
      <c r="E556" s="355">
        <f>[39]Januari!$F$35</f>
        <v>0</v>
      </c>
      <c r="F556" s="355">
        <f>[39]Februari!$F$35</f>
        <v>0</v>
      </c>
      <c r="G556" s="355">
        <f>[39]Maret!$F$35</f>
        <v>0</v>
      </c>
      <c r="H556" s="355">
        <f>[39]April!$F$35</f>
        <v>0</v>
      </c>
      <c r="I556" s="355">
        <f>[39]Mei!$F$35</f>
        <v>0</v>
      </c>
      <c r="J556" s="355">
        <f>[39]Juni!$F$35</f>
        <v>0</v>
      </c>
      <c r="K556" s="355">
        <f>[39]Juli!$F$35</f>
        <v>0</v>
      </c>
      <c r="L556" s="355">
        <f>[39]Agustus!$F$35</f>
        <v>0</v>
      </c>
      <c r="M556" s="355">
        <f>[39]September!$F$35</f>
        <v>0</v>
      </c>
      <c r="N556" s="355">
        <f>[39]Oktober!$F$35</f>
        <v>0</v>
      </c>
      <c r="O556" s="355">
        <f>[39]Nopember!$F$35</f>
        <v>0</v>
      </c>
      <c r="P556" s="355">
        <f>[39]Desember!$F$35</f>
        <v>0</v>
      </c>
      <c r="Q556" s="346">
        <f>SUM(E556:P556)</f>
        <v>0</v>
      </c>
      <c r="R556" s="1630">
        <f>Q556-D556</f>
        <v>0</v>
      </c>
      <c r="S556" s="388" t="e">
        <f>Q556/D556*100</f>
        <v>#DIV/0!</v>
      </c>
      <c r="T556" s="441"/>
      <c r="V556" s="434">
        <f>Q556/10</f>
        <v>0</v>
      </c>
      <c r="W556" s="786"/>
      <c r="X556" s="786"/>
    </row>
    <row r="557" spans="1:24" s="189" customFormat="1" ht="14.1" customHeight="1">
      <c r="A557" s="290"/>
      <c r="B557" s="253" t="s">
        <v>50</v>
      </c>
      <c r="C557" s="894" t="s">
        <v>871</v>
      </c>
      <c r="D557" s="1556">
        <f>'[4]TARGET MURNI DAN PERUBAHAN'!D474</f>
        <v>37000000</v>
      </c>
      <c r="E557" s="355">
        <f>[39]Januari!$G$35</f>
        <v>0</v>
      </c>
      <c r="F557" s="355">
        <f>[39]Februari!$G$35</f>
        <v>0</v>
      </c>
      <c r="G557" s="355">
        <f>[39]Maret!$G$35</f>
        <v>0</v>
      </c>
      <c r="H557" s="355">
        <f>[39]April!$G$35</f>
        <v>0</v>
      </c>
      <c r="I557" s="355">
        <f>[39]Mei!$G$35</f>
        <v>0</v>
      </c>
      <c r="J557" s="355">
        <f>[39]Juni!$G$35</f>
        <v>0</v>
      </c>
      <c r="K557" s="355">
        <f>[39]Juli!$G$35</f>
        <v>0</v>
      </c>
      <c r="L557" s="355">
        <f>[39]Agustus!$G$35</f>
        <v>0</v>
      </c>
      <c r="M557" s="355">
        <f>[39]September!$G$35</f>
        <v>0</v>
      </c>
      <c r="N557" s="355">
        <f>[39]Oktober!$G$35</f>
        <v>377500</v>
      </c>
      <c r="O557" s="355">
        <f>[39]Nopember!$G$35</f>
        <v>9542500</v>
      </c>
      <c r="P557" s="355">
        <f>[39]Desember!$G$35</f>
        <v>32369500</v>
      </c>
      <c r="Q557" s="346">
        <f>SUM(E557:P557)</f>
        <v>42289500</v>
      </c>
      <c r="R557" s="1630">
        <f>Q557-D557</f>
        <v>5289500</v>
      </c>
      <c r="S557" s="388">
        <f>Q557/D557*100</f>
        <v>114.29594594594595</v>
      </c>
      <c r="T557" s="441"/>
      <c r="V557" s="434">
        <f>Q557/10</f>
        <v>4228950</v>
      </c>
      <c r="W557" s="786"/>
      <c r="X557" s="786"/>
    </row>
    <row r="558" spans="1:24" s="189" customFormat="1" ht="14.1" customHeight="1">
      <c r="A558" s="290"/>
      <c r="B558" s="253"/>
      <c r="C558" s="253"/>
      <c r="D558" s="355"/>
      <c r="E558" s="355"/>
      <c r="F558" s="355"/>
      <c r="G558" s="355"/>
      <c r="H558" s="355"/>
      <c r="I558" s="355"/>
      <c r="J558" s="355"/>
      <c r="K558" s="355"/>
      <c r="L558" s="355"/>
      <c r="M558" s="355"/>
      <c r="N558" s="355"/>
      <c r="O558" s="355"/>
      <c r="P558" s="355"/>
      <c r="Q558" s="355"/>
      <c r="R558" s="1630"/>
      <c r="S558" s="388"/>
      <c r="T558" s="441"/>
      <c r="V558" s="786"/>
      <c r="W558" s="786"/>
      <c r="X558" s="786"/>
    </row>
    <row r="559" spans="1:24" s="189" customFormat="1" ht="14.1" customHeight="1">
      <c r="A559" s="290"/>
      <c r="B559" s="291" t="s">
        <v>71</v>
      </c>
      <c r="C559" s="291"/>
      <c r="D559" s="973">
        <f t="shared" ref="D559:Q559" si="221">SUM(D560:D564)</f>
        <v>0</v>
      </c>
      <c r="E559" s="973">
        <f t="shared" si="221"/>
        <v>0</v>
      </c>
      <c r="F559" s="973">
        <f t="shared" si="221"/>
        <v>0</v>
      </c>
      <c r="G559" s="973">
        <f t="shared" si="221"/>
        <v>113520200</v>
      </c>
      <c r="H559" s="973">
        <f t="shared" si="221"/>
        <v>896125</v>
      </c>
      <c r="I559" s="371">
        <f t="shared" si="221"/>
        <v>7622303</v>
      </c>
      <c r="J559" s="371">
        <f t="shared" si="221"/>
        <v>0</v>
      </c>
      <c r="K559" s="371">
        <f t="shared" si="221"/>
        <v>0</v>
      </c>
      <c r="L559" s="371">
        <f t="shared" si="221"/>
        <v>1224679</v>
      </c>
      <c r="M559" s="371">
        <f t="shared" si="221"/>
        <v>5589162</v>
      </c>
      <c r="N559" s="371">
        <f t="shared" si="221"/>
        <v>0</v>
      </c>
      <c r="O559" s="371">
        <f t="shared" si="221"/>
        <v>100000</v>
      </c>
      <c r="P559" s="371">
        <f t="shared" si="221"/>
        <v>22753200</v>
      </c>
      <c r="Q559" s="371">
        <f t="shared" si="221"/>
        <v>151705669</v>
      </c>
      <c r="R559" s="1652">
        <f t="shared" ref="R559:R564" si="222">Q559-D559</f>
        <v>151705669</v>
      </c>
      <c r="S559" s="347" t="e">
        <f t="shared" ref="S559:S564" si="223">Q559/D559*100</f>
        <v>#DIV/0!</v>
      </c>
      <c r="T559" s="651"/>
      <c r="V559" s="786"/>
      <c r="W559" s="786"/>
      <c r="X559" s="786"/>
    </row>
    <row r="560" spans="1:24" s="189" customFormat="1" ht="14.1" customHeight="1">
      <c r="A560" s="292"/>
      <c r="B560" s="2759" t="s">
        <v>50</v>
      </c>
      <c r="C560" s="859" t="s">
        <v>710</v>
      </c>
      <c r="D560" s="355">
        <v>0</v>
      </c>
      <c r="E560" s="355">
        <f>[39]Januari!$H$35</f>
        <v>0</v>
      </c>
      <c r="F560" s="355">
        <f>[39]Februari!$H$35</f>
        <v>0</v>
      </c>
      <c r="G560" s="355">
        <f>[39]Maret!$H$35</f>
        <v>113520200</v>
      </c>
      <c r="H560" s="355">
        <f>[39]April!$H$35</f>
        <v>0</v>
      </c>
      <c r="I560" s="355">
        <f>[39]Mei!$H$35</f>
        <v>0</v>
      </c>
      <c r="J560" s="355">
        <f>[39]Juni!$H$35</f>
        <v>0</v>
      </c>
      <c r="K560" s="355">
        <f>[39]Juli!$H$35</f>
        <v>0</v>
      </c>
      <c r="L560" s="355">
        <f>[39]Agustus!$H$35</f>
        <v>0</v>
      </c>
      <c r="M560" s="355">
        <f>[39]September!$H$35</f>
        <v>0</v>
      </c>
      <c r="N560" s="355">
        <f>[39]Oktober!$H$35</f>
        <v>0</v>
      </c>
      <c r="O560" s="355">
        <f>[39]Nopember!$H$35</f>
        <v>0</v>
      </c>
      <c r="P560" s="355">
        <f>[39]Desember!$H$35</f>
        <v>12541200</v>
      </c>
      <c r="Q560" s="346">
        <f>SUM(E560:P560)</f>
        <v>126061400</v>
      </c>
      <c r="R560" s="1630">
        <f t="shared" si="222"/>
        <v>126061400</v>
      </c>
      <c r="S560" s="388"/>
      <c r="T560" s="441"/>
      <c r="V560" s="786"/>
      <c r="W560" s="786"/>
      <c r="X560" s="786"/>
    </row>
    <row r="561" spans="1:24" s="189" customFormat="1" ht="14.1" customHeight="1">
      <c r="A561" s="292"/>
      <c r="B561" s="2759" t="s">
        <v>50</v>
      </c>
      <c r="C561" s="859" t="s">
        <v>711</v>
      </c>
      <c r="D561" s="355">
        <v>0</v>
      </c>
      <c r="E561" s="355">
        <f>[39]Januari!$I$35</f>
        <v>0</v>
      </c>
      <c r="F561" s="355">
        <f>[39]Februari!$I$35</f>
        <v>0</v>
      </c>
      <c r="G561" s="355">
        <f>[39]Maret!$I$35</f>
        <v>0</v>
      </c>
      <c r="H561" s="355">
        <f>[39]April!$I$35</f>
        <v>0</v>
      </c>
      <c r="I561" s="355">
        <f>[39]Mei!$I$35</f>
        <v>0</v>
      </c>
      <c r="J561" s="355">
        <f>[39]Juni!$I$35</f>
        <v>0</v>
      </c>
      <c r="K561" s="355">
        <f>[39]Juli!$I$35</f>
        <v>0</v>
      </c>
      <c r="L561" s="355">
        <f>[39]Agustus!$I$35</f>
        <v>0</v>
      </c>
      <c r="M561" s="355">
        <f>[39]September!$I$35</f>
        <v>0</v>
      </c>
      <c r="N561" s="355">
        <f>[39]Oktober!$I$35</f>
        <v>0</v>
      </c>
      <c r="O561" s="355">
        <f>[39]Nopember!$I$35</f>
        <v>0</v>
      </c>
      <c r="P561" s="355">
        <f>[39]Desember!$I$35</f>
        <v>0</v>
      </c>
      <c r="Q561" s="346">
        <f>SUM(E561:P561)</f>
        <v>0</v>
      </c>
      <c r="R561" s="1630">
        <f t="shared" si="222"/>
        <v>0</v>
      </c>
      <c r="S561" s="388"/>
      <c r="T561" s="441"/>
      <c r="V561" s="786"/>
      <c r="W561" s="786"/>
      <c r="X561" s="786"/>
    </row>
    <row r="562" spans="1:24" s="189" customFormat="1" ht="14.1" customHeight="1">
      <c r="A562" s="292"/>
      <c r="B562" s="2759" t="s">
        <v>50</v>
      </c>
      <c r="C562" s="859" t="s">
        <v>712</v>
      </c>
      <c r="D562" s="355">
        <v>0</v>
      </c>
      <c r="E562" s="355">
        <f>[39]Januari!$J$35</f>
        <v>0</v>
      </c>
      <c r="F562" s="355">
        <f>[39]Februari!$J$35</f>
        <v>0</v>
      </c>
      <c r="G562" s="355">
        <f>[39]Maret!$J$35</f>
        <v>0</v>
      </c>
      <c r="H562" s="355">
        <f>[39]April!$J$35</f>
        <v>0</v>
      </c>
      <c r="I562" s="355">
        <f>[39]Mei!$J$35</f>
        <v>0</v>
      </c>
      <c r="J562" s="355">
        <f>[39]Juni!$J$35</f>
        <v>0</v>
      </c>
      <c r="K562" s="355">
        <f>[39]Juli!$J$35</f>
        <v>0</v>
      </c>
      <c r="L562" s="355">
        <f>[39]Agustus!$J$35</f>
        <v>0</v>
      </c>
      <c r="M562" s="355">
        <f>[39]September!$J$35</f>
        <v>0</v>
      </c>
      <c r="N562" s="355">
        <f>[39]Oktober!$J$35</f>
        <v>0</v>
      </c>
      <c r="O562" s="355">
        <f>[39]Nopember!$J$35</f>
        <v>0</v>
      </c>
      <c r="P562" s="355">
        <f>[39]Desember!$J$35</f>
        <v>0</v>
      </c>
      <c r="Q562" s="346">
        <f>SUM(E562:P562)</f>
        <v>0</v>
      </c>
      <c r="R562" s="1630">
        <f t="shared" si="222"/>
        <v>0</v>
      </c>
      <c r="S562" s="347" t="e">
        <f t="shared" si="223"/>
        <v>#DIV/0!</v>
      </c>
      <c r="T562" s="441"/>
      <c r="V562" s="786"/>
      <c r="W562" s="786"/>
      <c r="X562" s="786"/>
    </row>
    <row r="563" spans="1:24" s="189" customFormat="1" ht="14.1" customHeight="1">
      <c r="A563" s="290"/>
      <c r="B563" s="2759" t="s">
        <v>50</v>
      </c>
      <c r="C563" s="859" t="s">
        <v>713</v>
      </c>
      <c r="D563" s="355"/>
      <c r="E563" s="355">
        <f>[39]Januari!$K$35</f>
        <v>0</v>
      </c>
      <c r="F563" s="355">
        <f>[39]Februari!$K$35</f>
        <v>0</v>
      </c>
      <c r="G563" s="355">
        <f>[39]Maret!$K$35</f>
        <v>0</v>
      </c>
      <c r="H563" s="355">
        <f>[39]April!$K$35</f>
        <v>896125</v>
      </c>
      <c r="I563" s="355">
        <f>[39]Mei!$K$35</f>
        <v>7622303</v>
      </c>
      <c r="J563" s="355">
        <f>[39]Juni!$K$35</f>
        <v>0</v>
      </c>
      <c r="K563" s="355">
        <f>[39]Juli!$K$35</f>
        <v>0</v>
      </c>
      <c r="L563" s="355">
        <f>[39]Agustus!$K$35</f>
        <v>1224679</v>
      </c>
      <c r="M563" s="355">
        <f>[39]September!$K$35</f>
        <v>5589162</v>
      </c>
      <c r="N563" s="355">
        <f>[39]Oktober!$K$35</f>
        <v>0</v>
      </c>
      <c r="O563" s="355">
        <f>[39]Nopember!$K$35</f>
        <v>100000</v>
      </c>
      <c r="P563" s="355">
        <f>[39]Desember!$K$35</f>
        <v>10212000</v>
      </c>
      <c r="Q563" s="346">
        <f>SUM(E563:P563)</f>
        <v>25644269</v>
      </c>
      <c r="R563" s="1630">
        <f t="shared" si="222"/>
        <v>25644269</v>
      </c>
      <c r="S563" s="347" t="e">
        <f t="shared" si="223"/>
        <v>#DIV/0!</v>
      </c>
      <c r="T563" s="441"/>
      <c r="V563" s="786"/>
      <c r="W563" s="786"/>
      <c r="X563" s="786"/>
    </row>
    <row r="564" spans="1:24" s="189" customFormat="1" ht="14.1" customHeight="1">
      <c r="A564" s="290"/>
      <c r="B564" s="2759" t="s">
        <v>50</v>
      </c>
      <c r="C564" s="859" t="s">
        <v>872</v>
      </c>
      <c r="D564" s="1556">
        <f>'[4]TARGET MURNI DAN PERUBAHAN'!D481</f>
        <v>0</v>
      </c>
      <c r="E564" s="355">
        <v>0</v>
      </c>
      <c r="F564" s="355">
        <v>0</v>
      </c>
      <c r="G564" s="355">
        <v>0</v>
      </c>
      <c r="H564" s="355">
        <v>0</v>
      </c>
      <c r="I564" s="355">
        <v>0</v>
      </c>
      <c r="J564" s="355">
        <v>0</v>
      </c>
      <c r="K564" s="355">
        <v>0</v>
      </c>
      <c r="L564" s="355">
        <v>0</v>
      </c>
      <c r="M564" s="355">
        <v>0</v>
      </c>
      <c r="N564" s="355">
        <v>0</v>
      </c>
      <c r="O564" s="355">
        <v>0</v>
      </c>
      <c r="P564" s="355">
        <v>0</v>
      </c>
      <c r="Q564" s="346">
        <f>SUM(E564:P564)</f>
        <v>0</v>
      </c>
      <c r="R564" s="1630">
        <f t="shared" si="222"/>
        <v>0</v>
      </c>
      <c r="S564" s="347" t="e">
        <f t="shared" si="223"/>
        <v>#DIV/0!</v>
      </c>
      <c r="T564" s="441"/>
      <c r="V564" s="786"/>
      <c r="W564" s="786"/>
      <c r="X564" s="786"/>
    </row>
    <row r="565" spans="1:24" s="189" customFormat="1" ht="14.1" customHeight="1">
      <c r="A565" s="575"/>
      <c r="B565" s="306"/>
      <c r="C565" s="306"/>
      <c r="D565" s="380"/>
      <c r="E565" s="380"/>
      <c r="F565" s="380"/>
      <c r="G565" s="380"/>
      <c r="H565" s="380"/>
      <c r="I565" s="380"/>
      <c r="J565" s="380"/>
      <c r="K565" s="380"/>
      <c r="L565" s="380"/>
      <c r="M565" s="380"/>
      <c r="N565" s="380"/>
      <c r="O565" s="380"/>
      <c r="P565" s="380"/>
      <c r="Q565" s="380"/>
      <c r="R565" s="1625"/>
      <c r="S565" s="501"/>
      <c r="T565" s="560"/>
      <c r="V565" s="786"/>
      <c r="W565" s="786"/>
      <c r="X565" s="786"/>
    </row>
    <row r="566" spans="1:24" s="244" customFormat="1" ht="14.1" customHeight="1">
      <c r="A566" s="1552" t="s">
        <v>873</v>
      </c>
      <c r="B566" s="1553" t="s">
        <v>356</v>
      </c>
      <c r="C566" s="298"/>
      <c r="D566" s="835">
        <f>D567+D583</f>
        <v>1030500000</v>
      </c>
      <c r="E566" s="337">
        <f t="shared" ref="E566:Q566" si="224">E567+E583</f>
        <v>21356390</v>
      </c>
      <c r="F566" s="337">
        <f t="shared" si="224"/>
        <v>12045870</v>
      </c>
      <c r="G566" s="337">
        <f t="shared" si="224"/>
        <v>18977250</v>
      </c>
      <c r="H566" s="337">
        <f t="shared" si="224"/>
        <v>2672400</v>
      </c>
      <c r="I566" s="337">
        <f t="shared" si="224"/>
        <v>9362500</v>
      </c>
      <c r="J566" s="337">
        <f t="shared" si="224"/>
        <v>12698500</v>
      </c>
      <c r="K566" s="337">
        <f t="shared" si="224"/>
        <v>5293000</v>
      </c>
      <c r="L566" s="337">
        <f t="shared" si="224"/>
        <v>47309440</v>
      </c>
      <c r="M566" s="337">
        <f t="shared" si="224"/>
        <v>38368875</v>
      </c>
      <c r="N566" s="337">
        <f t="shared" si="224"/>
        <v>389329300</v>
      </c>
      <c r="O566" s="337">
        <f t="shared" si="224"/>
        <v>29622700</v>
      </c>
      <c r="P566" s="337">
        <f t="shared" si="224"/>
        <v>62007700</v>
      </c>
      <c r="Q566" s="337">
        <f t="shared" si="224"/>
        <v>649043925</v>
      </c>
      <c r="R566" s="1636">
        <f>+Q566-D566</f>
        <v>-381456075</v>
      </c>
      <c r="S566" s="338">
        <f>+Q566/D566*100</f>
        <v>62.983398835516738</v>
      </c>
      <c r="T566" s="432"/>
      <c r="V566" s="434"/>
      <c r="W566" s="434"/>
      <c r="X566" s="434"/>
    </row>
    <row r="567" spans="1:24" s="189" customFormat="1" ht="14.1" customHeight="1">
      <c r="A567" s="1554"/>
      <c r="B567" s="1329" t="s">
        <v>63</v>
      </c>
      <c r="C567" s="1338"/>
      <c r="D567" s="1555">
        <f t="shared" ref="D567:P567" si="225">+D568+D574</f>
        <v>1030500000</v>
      </c>
      <c r="E567" s="1336">
        <f t="shared" si="225"/>
        <v>16257380</v>
      </c>
      <c r="F567" s="1336">
        <f t="shared" si="225"/>
        <v>12045870</v>
      </c>
      <c r="G567" s="1336">
        <f t="shared" si="225"/>
        <v>18977250</v>
      </c>
      <c r="H567" s="1336">
        <f t="shared" si="225"/>
        <v>2672400</v>
      </c>
      <c r="I567" s="1336">
        <f t="shared" si="225"/>
        <v>9362500</v>
      </c>
      <c r="J567" s="1336">
        <f t="shared" si="225"/>
        <v>12698500</v>
      </c>
      <c r="K567" s="1336">
        <f t="shared" si="225"/>
        <v>-1627000</v>
      </c>
      <c r="L567" s="1336">
        <f t="shared" si="225"/>
        <v>21319440</v>
      </c>
      <c r="M567" s="1336">
        <f t="shared" si="225"/>
        <v>25422850</v>
      </c>
      <c r="N567" s="1336">
        <f t="shared" si="225"/>
        <v>380333300</v>
      </c>
      <c r="O567" s="1336">
        <f t="shared" si="225"/>
        <v>26490300</v>
      </c>
      <c r="P567" s="1336">
        <f t="shared" si="225"/>
        <v>55535200</v>
      </c>
      <c r="Q567" s="1336">
        <f t="shared" ref="Q567:Q572" si="226">SUM(E567:P567)</f>
        <v>579487990</v>
      </c>
      <c r="R567" s="1628">
        <f t="shared" ref="R567:R572" si="227">Q567-D567</f>
        <v>-451012010</v>
      </c>
      <c r="S567" s="1591">
        <f t="shared" ref="S567:S572" si="228">Q567/D567*100</f>
        <v>56.233672003881608</v>
      </c>
      <c r="T567" s="1674"/>
      <c r="V567" s="786"/>
      <c r="W567" s="786"/>
      <c r="X567" s="786"/>
    </row>
    <row r="568" spans="1:24" s="189" customFormat="1" ht="14.1" customHeight="1">
      <c r="A568" s="292"/>
      <c r="B568" s="291" t="s">
        <v>181</v>
      </c>
      <c r="C568" s="253"/>
      <c r="D568" s="973">
        <f t="shared" ref="D568:P568" si="229">SUM(D569:D572)</f>
        <v>785500000</v>
      </c>
      <c r="E568" s="1798">
        <f t="shared" si="229"/>
        <v>3486600</v>
      </c>
      <c r="F568" s="1798">
        <f t="shared" si="229"/>
        <v>975000</v>
      </c>
      <c r="G568" s="1798">
        <f t="shared" si="229"/>
        <v>2580000</v>
      </c>
      <c r="H568" s="1798">
        <f t="shared" si="229"/>
        <v>0</v>
      </c>
      <c r="I568" s="367">
        <f t="shared" si="229"/>
        <v>3171500</v>
      </c>
      <c r="J568" s="367">
        <f t="shared" si="229"/>
        <v>9751000</v>
      </c>
      <c r="K568" s="367">
        <f t="shared" si="229"/>
        <v>6465000</v>
      </c>
      <c r="L568" s="367">
        <f t="shared" si="229"/>
        <v>12339060</v>
      </c>
      <c r="M568" s="367">
        <f t="shared" si="229"/>
        <v>10177000</v>
      </c>
      <c r="N568" s="367">
        <f t="shared" si="229"/>
        <v>1775500</v>
      </c>
      <c r="O568" s="367">
        <f t="shared" si="229"/>
        <v>13040000</v>
      </c>
      <c r="P568" s="367">
        <f t="shared" si="229"/>
        <v>11512000</v>
      </c>
      <c r="Q568" s="367">
        <f t="shared" si="226"/>
        <v>75272660</v>
      </c>
      <c r="R568" s="1708">
        <f t="shared" si="227"/>
        <v>-710227340</v>
      </c>
      <c r="S568" s="778">
        <f t="shared" si="228"/>
        <v>9.5827702100572889</v>
      </c>
      <c r="T568" s="438"/>
      <c r="V568" s="786"/>
      <c r="W568" s="786"/>
      <c r="X568" s="786"/>
    </row>
    <row r="569" spans="1:24" s="189" customFormat="1" ht="14.1" customHeight="1">
      <c r="A569" s="290"/>
      <c r="B569" s="253" t="s">
        <v>50</v>
      </c>
      <c r="C569" s="253" t="s">
        <v>874</v>
      </c>
      <c r="D569" s="355">
        <f>'[4]TARGET MURNI DAN PERUBAHAN'!D486</f>
        <v>40000000</v>
      </c>
      <c r="E569" s="355">
        <f>[40]Januari!$D$70</f>
        <v>1721100</v>
      </c>
      <c r="F569" s="355">
        <f>[40]Februari!$D$70</f>
        <v>0</v>
      </c>
      <c r="G569" s="355">
        <f>[40]Maret!$D$70</f>
        <v>23000</v>
      </c>
      <c r="H569" s="355">
        <f>[40]April!$D$70</f>
        <v>0</v>
      </c>
      <c r="I569" s="355">
        <f>[40]Mei!$D$70</f>
        <v>367500</v>
      </c>
      <c r="J569" s="355">
        <f>[40]Juni!$D$70</f>
        <v>6195000</v>
      </c>
      <c r="K569" s="355">
        <f>[40]Juli!$D$70</f>
        <v>4462000</v>
      </c>
      <c r="L569" s="355">
        <f>[40]Agustus!$D$70</f>
        <v>11069060</v>
      </c>
      <c r="M569" s="355">
        <f>[40]September!$D$70</f>
        <v>716000</v>
      </c>
      <c r="N569" s="355">
        <f>[40]Oktober!$D$70</f>
        <v>324500</v>
      </c>
      <c r="O569" s="355">
        <f>[40]Nopember!$D$70</f>
        <v>11475000</v>
      </c>
      <c r="P569" s="355">
        <f>[40]Desember!$D$70</f>
        <v>1156000</v>
      </c>
      <c r="Q569" s="346">
        <f t="shared" si="226"/>
        <v>37509160</v>
      </c>
      <c r="R569" s="1630">
        <f t="shared" si="227"/>
        <v>-2490840</v>
      </c>
      <c r="S569" s="388">
        <f t="shared" si="228"/>
        <v>93.772900000000007</v>
      </c>
      <c r="T569" s="441"/>
      <c r="V569" s="434">
        <f>Q569/10</f>
        <v>3750916</v>
      </c>
      <c r="W569" s="786"/>
      <c r="X569" s="786"/>
    </row>
    <row r="570" spans="1:24" s="189" customFormat="1" ht="14.1" customHeight="1">
      <c r="A570" s="290"/>
      <c r="B570" s="253" t="s">
        <v>50</v>
      </c>
      <c r="C570" s="253" t="s">
        <v>875</v>
      </c>
      <c r="D570" s="355">
        <f>'[4]TARGET MURNI DAN PERUBAHAN'!D487</f>
        <v>18000000</v>
      </c>
      <c r="E570" s="355">
        <f>[40]Januari!$E$70</f>
        <v>1765500</v>
      </c>
      <c r="F570" s="355">
        <f>[40]Februari!$E$70</f>
        <v>975000</v>
      </c>
      <c r="G570" s="355">
        <f>[40]Maret!$E$70</f>
        <v>2557000</v>
      </c>
      <c r="H570" s="355">
        <f>[40]April!$E$70</f>
        <v>0</v>
      </c>
      <c r="I570" s="355">
        <f>[40]Mei!$E$70</f>
        <v>1304000</v>
      </c>
      <c r="J570" s="355">
        <f>[40]Juni!$E$70</f>
        <v>2056000</v>
      </c>
      <c r="K570" s="355">
        <f>[40]Juli!$E$70</f>
        <v>2003000</v>
      </c>
      <c r="L570" s="355">
        <f>[40]Agustus!$E$70</f>
        <v>1270000</v>
      </c>
      <c r="M570" s="355">
        <f>[40]September!$E$70</f>
        <v>2126000</v>
      </c>
      <c r="N570" s="355">
        <f>[40]Oktober!$E$70</f>
        <v>1451000</v>
      </c>
      <c r="O570" s="355">
        <f>[40]Nopember!$E$70</f>
        <v>706000</v>
      </c>
      <c r="P570" s="355">
        <f>[40]Desember!$E$70</f>
        <v>1536000</v>
      </c>
      <c r="Q570" s="346">
        <f t="shared" si="226"/>
        <v>17749500</v>
      </c>
      <c r="R570" s="1630">
        <f t="shared" si="227"/>
        <v>-250500</v>
      </c>
      <c r="S570" s="388">
        <f t="shared" si="228"/>
        <v>98.608333333333334</v>
      </c>
      <c r="T570" s="441"/>
      <c r="V570" s="434">
        <f>Q570/10</f>
        <v>1774950</v>
      </c>
      <c r="W570" s="786"/>
      <c r="X570" s="786"/>
    </row>
    <row r="571" spans="1:24" s="189" customFormat="1" ht="14.1" customHeight="1">
      <c r="A571" s="290"/>
      <c r="B571" s="253" t="s">
        <v>50</v>
      </c>
      <c r="C571" s="253" t="s">
        <v>876</v>
      </c>
      <c r="D571" s="355">
        <f>'[4]TARGET MURNI DAN PERUBAHAN'!D488</f>
        <v>722500000</v>
      </c>
      <c r="E571" s="355">
        <f>[40]Januari!$F$70</f>
        <v>0</v>
      </c>
      <c r="F571" s="355">
        <f>[40]Februari!$F$70</f>
        <v>0</v>
      </c>
      <c r="G571" s="355">
        <f>[40]Maret!$F$70</f>
        <v>0</v>
      </c>
      <c r="H571" s="355">
        <f>[40]April!$F$70</f>
        <v>0</v>
      </c>
      <c r="I571" s="355">
        <f>[40]Mei!$F$70</f>
        <v>1500000</v>
      </c>
      <c r="J571" s="355">
        <f>[40]Juni!$F$70</f>
        <v>1500000</v>
      </c>
      <c r="K571" s="355">
        <f>[40]Juli!$F$70</f>
        <v>0</v>
      </c>
      <c r="L571" s="355">
        <f>[40]Agustus!$F$70</f>
        <v>0</v>
      </c>
      <c r="M571" s="355">
        <f>[40]September!$F$70</f>
        <v>7335000</v>
      </c>
      <c r="N571" s="355">
        <f>[40]Oktober!$F$70</f>
        <v>0</v>
      </c>
      <c r="O571" s="355">
        <f>[40]Nopember!$F$70</f>
        <v>342000</v>
      </c>
      <c r="P571" s="355">
        <f>[40]Desember!$F$70</f>
        <v>8820000</v>
      </c>
      <c r="Q571" s="346">
        <f t="shared" si="226"/>
        <v>19497000</v>
      </c>
      <c r="R571" s="1630">
        <f t="shared" si="227"/>
        <v>-703003000</v>
      </c>
      <c r="S571" s="388">
        <f t="shared" si="228"/>
        <v>2.6985467128027683</v>
      </c>
      <c r="T571" s="441"/>
      <c r="V571" s="434">
        <f>Q571/10</f>
        <v>1949700</v>
      </c>
      <c r="W571" s="786"/>
      <c r="X571" s="786"/>
    </row>
    <row r="572" spans="1:24" s="189" customFormat="1" ht="14.1" customHeight="1">
      <c r="A572" s="290"/>
      <c r="B572" s="253" t="s">
        <v>50</v>
      </c>
      <c r="C572" s="253" t="s">
        <v>877</v>
      </c>
      <c r="D572" s="355">
        <f>'[4]TARGET MURNI DAN PERUBAHAN'!D489</f>
        <v>5000000</v>
      </c>
      <c r="E572" s="355">
        <f>[40]Januari!$G$70</f>
        <v>0</v>
      </c>
      <c r="F572" s="355">
        <f>[40]Februari!$G$70</f>
        <v>0</v>
      </c>
      <c r="G572" s="355">
        <f>[40]Maret!$G$70</f>
        <v>0</v>
      </c>
      <c r="H572" s="355">
        <f>[40]April!$G$70</f>
        <v>0</v>
      </c>
      <c r="I572" s="355">
        <f>[40]Mei!$G$70</f>
        <v>0</v>
      </c>
      <c r="J572" s="355">
        <f>[40]Juni!$G$70</f>
        <v>0</v>
      </c>
      <c r="K572" s="355">
        <f>[40]Juli!$G$70</f>
        <v>0</v>
      </c>
      <c r="L572" s="355">
        <f>[40]Agustus!$G$70</f>
        <v>0</v>
      </c>
      <c r="M572" s="355">
        <f>[40]September!$G$70</f>
        <v>0</v>
      </c>
      <c r="N572" s="355">
        <f>[40]Oktober!$G$70</f>
        <v>0</v>
      </c>
      <c r="O572" s="355">
        <f>[40]Nopember!$G$70</f>
        <v>517000</v>
      </c>
      <c r="P572" s="355">
        <f>[40]Desember!$G$70</f>
        <v>0</v>
      </c>
      <c r="Q572" s="346">
        <f t="shared" si="226"/>
        <v>517000</v>
      </c>
      <c r="R572" s="1630">
        <f t="shared" si="227"/>
        <v>-4483000</v>
      </c>
      <c r="S572" s="388">
        <f t="shared" si="228"/>
        <v>10.34</v>
      </c>
      <c r="T572" s="441"/>
      <c r="V572" s="434">
        <f>Q572/10</f>
        <v>51700</v>
      </c>
      <c r="W572" s="786"/>
      <c r="X572" s="786"/>
    </row>
    <row r="573" spans="1:24" s="189" customFormat="1" ht="14.1" customHeight="1">
      <c r="A573" s="290"/>
      <c r="B573" s="253"/>
      <c r="C573" s="253"/>
      <c r="D573" s="355"/>
      <c r="E573" s="375"/>
      <c r="F573" s="375"/>
      <c r="G573" s="375"/>
      <c r="H573" s="375"/>
      <c r="I573" s="375"/>
      <c r="J573" s="375"/>
      <c r="K573" s="375"/>
      <c r="L573" s="375"/>
      <c r="M573" s="375"/>
      <c r="N573" s="375"/>
      <c r="O573" s="375"/>
      <c r="P573" s="375"/>
      <c r="Q573" s="375"/>
      <c r="R573" s="1630"/>
      <c r="S573" s="388"/>
      <c r="T573" s="448"/>
      <c r="V573" s="786"/>
      <c r="W573" s="786"/>
      <c r="X573" s="786"/>
    </row>
    <row r="574" spans="1:24" s="189" customFormat="1" ht="14.1" customHeight="1">
      <c r="A574" s="290"/>
      <c r="B574" s="291" t="s">
        <v>342</v>
      </c>
      <c r="C574" s="253"/>
      <c r="D574" s="973">
        <f>SUM(D575:D581)</f>
        <v>245000000</v>
      </c>
      <c r="E574" s="1005">
        <f t="shared" ref="E574:Q574" si="230">SUM(E575:E581)</f>
        <v>12770780</v>
      </c>
      <c r="F574" s="1005">
        <f t="shared" si="230"/>
        <v>11070870</v>
      </c>
      <c r="G574" s="1005">
        <f t="shared" si="230"/>
        <v>16397250</v>
      </c>
      <c r="H574" s="1005">
        <f t="shared" si="230"/>
        <v>2672400</v>
      </c>
      <c r="I574" s="398">
        <f t="shared" si="230"/>
        <v>6191000</v>
      </c>
      <c r="J574" s="398">
        <f t="shared" si="230"/>
        <v>2947500</v>
      </c>
      <c r="K574" s="398">
        <f t="shared" si="230"/>
        <v>-8092000</v>
      </c>
      <c r="L574" s="398">
        <f t="shared" si="230"/>
        <v>8980380</v>
      </c>
      <c r="M574" s="398">
        <f t="shared" si="230"/>
        <v>15245850</v>
      </c>
      <c r="N574" s="398">
        <f t="shared" si="230"/>
        <v>378557800</v>
      </c>
      <c r="O574" s="398">
        <f t="shared" si="230"/>
        <v>13450300</v>
      </c>
      <c r="P574" s="398">
        <f t="shared" si="230"/>
        <v>44023200</v>
      </c>
      <c r="Q574" s="398">
        <f t="shared" si="230"/>
        <v>504215330</v>
      </c>
      <c r="R574" s="1708">
        <f t="shared" ref="R574:R581" si="231">Q574-D574</f>
        <v>259215330</v>
      </c>
      <c r="S574" s="388">
        <f t="shared" ref="S574:S580" si="232">Q574/D574*100</f>
        <v>205.80217551020411</v>
      </c>
      <c r="T574" s="448"/>
      <c r="V574" s="786"/>
      <c r="W574" s="786"/>
      <c r="X574" s="786"/>
    </row>
    <row r="575" spans="1:24" s="189" customFormat="1" ht="14.1" customHeight="1">
      <c r="A575" s="290"/>
      <c r="B575" s="253" t="s">
        <v>50</v>
      </c>
      <c r="C575" s="253" t="s">
        <v>878</v>
      </c>
      <c r="D575" s="355">
        <f>'[4]TARGET MURNI DAN PERUBAHAN'!D492</f>
        <v>0</v>
      </c>
      <c r="E575" s="355">
        <f>[40]Januari!$H$70</f>
        <v>0</v>
      </c>
      <c r="F575" s="355">
        <f>[40]Februari!$H$70</f>
        <v>0</v>
      </c>
      <c r="G575" s="355">
        <f>[40]Maret!$H$70</f>
        <v>0</v>
      </c>
      <c r="H575" s="355">
        <f>[40]April!$H$70</f>
        <v>0</v>
      </c>
      <c r="I575" s="355">
        <f>[40]Mei!$H$70</f>
        <v>0</v>
      </c>
      <c r="J575" s="355">
        <f>[40]Juni!$H$70</f>
        <v>0</v>
      </c>
      <c r="K575" s="355">
        <f>[40]Juli!$H$70</f>
        <v>0</v>
      </c>
      <c r="L575" s="355">
        <f>[40]Agustus!$H$70</f>
        <v>0</v>
      </c>
      <c r="M575" s="355">
        <f>[40]September!$H$70</f>
        <v>0</v>
      </c>
      <c r="N575" s="355">
        <f>[40]Oktober!$H$70</f>
        <v>0</v>
      </c>
      <c r="O575" s="355">
        <f>[40]Nopember!$H$70</f>
        <v>0</v>
      </c>
      <c r="P575" s="355">
        <f>[40]Desember!$H$70</f>
        <v>777000</v>
      </c>
      <c r="Q575" s="346">
        <f t="shared" ref="Q575:Q581" si="233">SUM(E575:P575)</f>
        <v>777000</v>
      </c>
      <c r="R575" s="1630">
        <f t="shared" si="231"/>
        <v>777000</v>
      </c>
      <c r="S575" s="388" t="e">
        <f t="shared" si="232"/>
        <v>#DIV/0!</v>
      </c>
      <c r="T575" s="441"/>
      <c r="V575" s="434">
        <f t="shared" ref="V575:V580" si="234">Q575/10</f>
        <v>77700</v>
      </c>
      <c r="W575" s="786"/>
      <c r="X575" s="786"/>
    </row>
    <row r="576" spans="1:24" s="189" customFormat="1" ht="14.1" customHeight="1">
      <c r="A576" s="290"/>
      <c r="B576" s="253" t="s">
        <v>50</v>
      </c>
      <c r="C576" s="253" t="s">
        <v>879</v>
      </c>
      <c r="D576" s="355">
        <f>'[4]TARGET MURNI DAN PERUBAHAN'!D493</f>
        <v>75000000</v>
      </c>
      <c r="E576" s="355">
        <f>[40]Januari!$I$70</f>
        <v>0</v>
      </c>
      <c r="F576" s="355">
        <f>[40]Februari!$I$70</f>
        <v>4585000</v>
      </c>
      <c r="G576" s="355">
        <f>[40]Maret!$I$70</f>
        <v>6550000</v>
      </c>
      <c r="H576" s="355">
        <f>[40]April!$I$70</f>
        <v>2672400</v>
      </c>
      <c r="I576" s="355">
        <f>[40]Mei!$I$70</f>
        <v>4093750</v>
      </c>
      <c r="J576" s="355">
        <f>[40]Juni!$I$70</f>
        <v>2947500</v>
      </c>
      <c r="K576" s="355">
        <f>[40]Juli!$I$70</f>
        <v>0</v>
      </c>
      <c r="L576" s="355">
        <f>[40]Agustus!$I$70</f>
        <v>6550000</v>
      </c>
      <c r="M576" s="355">
        <f>[40]September!$I$70</f>
        <v>14737500</v>
      </c>
      <c r="N576" s="355">
        <f>[40]Oktober!$I$70</f>
        <v>11790000</v>
      </c>
      <c r="O576" s="355">
        <f>[40]Nopember!$I$70</f>
        <v>12772500</v>
      </c>
      <c r="P576" s="355">
        <f>[40]Desember!$I$70</f>
        <v>9825000</v>
      </c>
      <c r="Q576" s="346">
        <f t="shared" si="233"/>
        <v>76523650</v>
      </c>
      <c r="R576" s="1630">
        <f t="shared" si="231"/>
        <v>1523650</v>
      </c>
      <c r="S576" s="388">
        <f t="shared" si="232"/>
        <v>102.03153333333333</v>
      </c>
      <c r="T576" s="441"/>
      <c r="V576" s="434">
        <f t="shared" si="234"/>
        <v>7652365</v>
      </c>
      <c r="W576" s="786"/>
      <c r="X576" s="786"/>
    </row>
    <row r="577" spans="1:24" s="189" customFormat="1" ht="14.1" customHeight="1">
      <c r="A577" s="290"/>
      <c r="B577" s="253" t="s">
        <v>50</v>
      </c>
      <c r="C577" s="253" t="s">
        <v>880</v>
      </c>
      <c r="D577" s="355">
        <f>'[4]TARGET MURNI DAN PERUBAHAN'!D494</f>
        <v>19000000</v>
      </c>
      <c r="E577" s="355">
        <f>[40]Januari!$J$70</f>
        <v>12770780</v>
      </c>
      <c r="F577" s="355">
        <f>[40]Februari!$J$70</f>
        <v>6485870</v>
      </c>
      <c r="G577" s="355">
        <f>[40]Maret!$J$70</f>
        <v>9847250</v>
      </c>
      <c r="H577" s="355">
        <f>[40]April!$J$70</f>
        <v>0</v>
      </c>
      <c r="I577" s="355">
        <f>[40]Mei!$J$70</f>
        <v>847250</v>
      </c>
      <c r="J577" s="355">
        <f>[40]Juni!$J$70</f>
        <v>0</v>
      </c>
      <c r="K577" s="355">
        <f>[40]Juli!$J$70</f>
        <v>-8092000</v>
      </c>
      <c r="L577" s="355">
        <f>[40]Agustus!$J$70</f>
        <v>2430380</v>
      </c>
      <c r="M577" s="355">
        <f>[40]September!$J$70</f>
        <v>508350</v>
      </c>
      <c r="N577" s="355">
        <f>[40]Oktober!$J$70</f>
        <v>677800</v>
      </c>
      <c r="O577" s="355">
        <f>[40]Nopember!$J$70</f>
        <v>677800</v>
      </c>
      <c r="P577" s="355">
        <f>[40]Desember!$J$70</f>
        <v>33421200</v>
      </c>
      <c r="Q577" s="346">
        <f t="shared" si="233"/>
        <v>59574680</v>
      </c>
      <c r="R577" s="1630">
        <f t="shared" si="231"/>
        <v>40574680</v>
      </c>
      <c r="S577" s="388">
        <f t="shared" si="232"/>
        <v>313.55094736842102</v>
      </c>
      <c r="T577" s="441"/>
      <c r="V577" s="434">
        <f t="shared" si="234"/>
        <v>5957468</v>
      </c>
      <c r="W577" s="786"/>
      <c r="X577" s="786"/>
    </row>
    <row r="578" spans="1:24" s="189" customFormat="1" ht="14.1" customHeight="1">
      <c r="A578" s="290"/>
      <c r="B578" s="253" t="s">
        <v>50</v>
      </c>
      <c r="C578" s="253" t="s">
        <v>881</v>
      </c>
      <c r="D578" s="355">
        <f>'[4]TARGET MURNI DAN PERUBAHAN'!D495</f>
        <v>125000000</v>
      </c>
      <c r="E578" s="355">
        <f>[40]Januari!$K$70</f>
        <v>0</v>
      </c>
      <c r="F578" s="355">
        <f>[40]Februari!$K$70</f>
        <v>0</v>
      </c>
      <c r="G578" s="355">
        <f>[40]Maret!$K$70</f>
        <v>0</v>
      </c>
      <c r="H578" s="355">
        <f>[40]April!$K$70</f>
        <v>0</v>
      </c>
      <c r="I578" s="355">
        <f>[40]Mei!$K$70</f>
        <v>1250000</v>
      </c>
      <c r="J578" s="355">
        <f>[40]Juni!$K$70</f>
        <v>0</v>
      </c>
      <c r="K578" s="355">
        <f>[40]Juli!$K$70</f>
        <v>0</v>
      </c>
      <c r="L578" s="355">
        <f>[40]Agustus!$K$70</f>
        <v>0</v>
      </c>
      <c r="M578" s="355">
        <f>[40]September!$K$70</f>
        <v>0</v>
      </c>
      <c r="N578" s="355">
        <f>[40]Oktober!$K$70</f>
        <v>366090000</v>
      </c>
      <c r="O578" s="355">
        <f>[40]Nopember!$K$70</f>
        <v>0</v>
      </c>
      <c r="P578" s="355">
        <f>[40]Desember!$K$70</f>
        <v>0</v>
      </c>
      <c r="Q578" s="346">
        <f t="shared" si="233"/>
        <v>367340000</v>
      </c>
      <c r="R578" s="1630">
        <f t="shared" si="231"/>
        <v>242340000</v>
      </c>
      <c r="S578" s="388">
        <f t="shared" si="232"/>
        <v>293.87200000000001</v>
      </c>
      <c r="T578" s="441"/>
      <c r="V578" s="434">
        <f t="shared" si="234"/>
        <v>36734000</v>
      </c>
      <c r="W578" s="786"/>
      <c r="X578" s="786"/>
    </row>
    <row r="579" spans="1:24" s="189" customFormat="1" ht="14.1" customHeight="1">
      <c r="A579" s="290"/>
      <c r="B579" s="253" t="s">
        <v>50</v>
      </c>
      <c r="C579" s="253" t="s">
        <v>882</v>
      </c>
      <c r="D579" s="355">
        <f>'[4]TARGET MURNI DAN PERUBAHAN'!D496</f>
        <v>26000000</v>
      </c>
      <c r="E579" s="355">
        <f>[40]Januari!$L$70</f>
        <v>0</v>
      </c>
      <c r="F579" s="355">
        <f>[40]Februari!$L$70</f>
        <v>0</v>
      </c>
      <c r="G579" s="355">
        <f>[40]Maret!$L$70</f>
        <v>0</v>
      </c>
      <c r="H579" s="355">
        <f>[40]April!$L$70</f>
        <v>0</v>
      </c>
      <c r="I579" s="355">
        <f>[40]Mei!$L$70</f>
        <v>0</v>
      </c>
      <c r="J579" s="355">
        <f>[40]Juni!$L$70</f>
        <v>0</v>
      </c>
      <c r="K579" s="355">
        <f>[40]Juli!$L$70</f>
        <v>0</v>
      </c>
      <c r="L579" s="355">
        <f>[40]Agustus!$L$70</f>
        <v>0</v>
      </c>
      <c r="M579" s="355">
        <f>[40]September!$L$70</f>
        <v>0</v>
      </c>
      <c r="N579" s="355">
        <f>[40]Oktober!$L$70</f>
        <v>0</v>
      </c>
      <c r="O579" s="355">
        <f>[40]Nopember!$L$70</f>
        <v>0</v>
      </c>
      <c r="P579" s="355">
        <f>[40]Desember!$L$70</f>
        <v>0</v>
      </c>
      <c r="Q579" s="346">
        <f t="shared" si="233"/>
        <v>0</v>
      </c>
      <c r="R579" s="1630">
        <f t="shared" si="231"/>
        <v>-26000000</v>
      </c>
      <c r="S579" s="388">
        <f t="shared" si="232"/>
        <v>0</v>
      </c>
      <c r="T579" s="441"/>
      <c r="V579" s="434">
        <f t="shared" si="234"/>
        <v>0</v>
      </c>
      <c r="W579" s="786"/>
      <c r="X579" s="786"/>
    </row>
    <row r="580" spans="1:24" s="189" customFormat="1" ht="14.1" customHeight="1">
      <c r="A580" s="290"/>
      <c r="B580" s="253" t="s">
        <v>50</v>
      </c>
      <c r="C580" s="253" t="s">
        <v>883</v>
      </c>
      <c r="D580" s="355">
        <f>'[4]TARGET MURNI DAN PERUBAHAN'!D497</f>
        <v>0</v>
      </c>
      <c r="E580" s="355">
        <f>[40]Januari!$M$70</f>
        <v>0</v>
      </c>
      <c r="F580" s="355">
        <f>[40]Februari!$M$70</f>
        <v>0</v>
      </c>
      <c r="G580" s="355">
        <f>[40]Maret!$M$70</f>
        <v>0</v>
      </c>
      <c r="H580" s="355">
        <f>[40]April!$M$70</f>
        <v>0</v>
      </c>
      <c r="I580" s="355">
        <f>[40]Mei!$M$70</f>
        <v>0</v>
      </c>
      <c r="J580" s="355">
        <f>[40]Juni!$M$70</f>
        <v>0</v>
      </c>
      <c r="K580" s="355">
        <f>[40]Juli!$M$70</f>
        <v>0</v>
      </c>
      <c r="L580" s="355">
        <f>[40]Agustus!$M$70</f>
        <v>0</v>
      </c>
      <c r="M580" s="355">
        <f>[40]September!$M$70</f>
        <v>0</v>
      </c>
      <c r="N580" s="355">
        <f>[40]Oktober!$M$70</f>
        <v>0</v>
      </c>
      <c r="O580" s="355">
        <f>[40]Nopember!$M$70</f>
        <v>0</v>
      </c>
      <c r="P580" s="355">
        <f>[40]Desember!$M$70</f>
        <v>0</v>
      </c>
      <c r="Q580" s="346">
        <f t="shared" si="233"/>
        <v>0</v>
      </c>
      <c r="R580" s="1630">
        <f t="shared" si="231"/>
        <v>0</v>
      </c>
      <c r="S580" s="388" t="e">
        <f t="shared" si="232"/>
        <v>#DIV/0!</v>
      </c>
      <c r="T580" s="441"/>
      <c r="V580" s="434">
        <f t="shared" si="234"/>
        <v>0</v>
      </c>
      <c r="W580" s="786"/>
      <c r="X580" s="786"/>
    </row>
    <row r="581" spans="1:24" s="189" customFormat="1" ht="14.1" customHeight="1">
      <c r="A581" s="290"/>
      <c r="B581" s="253" t="s">
        <v>50</v>
      </c>
      <c r="C581" s="253" t="s">
        <v>884</v>
      </c>
      <c r="D581" s="355">
        <f>'[4]TARGET MURNI DAN PERUBAHAN'!D498</f>
        <v>0</v>
      </c>
      <c r="E581" s="355">
        <f>[40]Januari!$N$70</f>
        <v>0</v>
      </c>
      <c r="F581" s="355">
        <f>[40]Februari!$N$70</f>
        <v>0</v>
      </c>
      <c r="G581" s="355">
        <f>[40]Maret!$N$70</f>
        <v>0</v>
      </c>
      <c r="H581" s="355">
        <f>[40]April!$N$70</f>
        <v>0</v>
      </c>
      <c r="I581" s="355">
        <f>[40]Mei!$N$70</f>
        <v>0</v>
      </c>
      <c r="J581" s="355">
        <f>[40]Juni!$N$70</f>
        <v>0</v>
      </c>
      <c r="K581" s="355">
        <f>[40]Juli!$N$70</f>
        <v>0</v>
      </c>
      <c r="L581" s="355">
        <f>[40]Agustus!$N$70</f>
        <v>0</v>
      </c>
      <c r="M581" s="355">
        <f>[40]September!$N$70</f>
        <v>0</v>
      </c>
      <c r="N581" s="355">
        <f>[40]Oktober!$N$70</f>
        <v>0</v>
      </c>
      <c r="O581" s="355">
        <f>[40]Nopember!$N$70</f>
        <v>0</v>
      </c>
      <c r="P581" s="355">
        <f>[40]Desember!$N$70</f>
        <v>0</v>
      </c>
      <c r="Q581" s="346">
        <f t="shared" si="233"/>
        <v>0</v>
      </c>
      <c r="R581" s="1630">
        <f t="shared" si="231"/>
        <v>0</v>
      </c>
      <c r="S581" s="388"/>
      <c r="T581" s="441"/>
      <c r="V581" s="786"/>
      <c r="W581" s="786"/>
      <c r="X581" s="786"/>
    </row>
    <row r="582" spans="1:24" s="189" customFormat="1" ht="14.1" customHeight="1">
      <c r="A582" s="290"/>
      <c r="B582" s="253"/>
      <c r="C582" s="253"/>
      <c r="D582" s="355"/>
      <c r="E582" s="375"/>
      <c r="F582" s="375"/>
      <c r="G582" s="375"/>
      <c r="H582" s="375"/>
      <c r="I582" s="375"/>
      <c r="J582" s="375"/>
      <c r="K582" s="375"/>
      <c r="L582" s="375"/>
      <c r="M582" s="375"/>
      <c r="N582" s="375"/>
      <c r="O582" s="375"/>
      <c r="P582" s="375"/>
      <c r="Q582" s="375"/>
      <c r="R582" s="1676"/>
      <c r="S582" s="600"/>
      <c r="T582" s="448"/>
      <c r="V582" s="786"/>
      <c r="W582" s="786"/>
      <c r="X582" s="786"/>
    </row>
    <row r="583" spans="1:24" s="189" customFormat="1" ht="14.1" customHeight="1">
      <c r="A583" s="290"/>
      <c r="B583" s="291" t="s">
        <v>71</v>
      </c>
      <c r="C583" s="291"/>
      <c r="D583" s="371">
        <f>SUM(D584:D588)</f>
        <v>0</v>
      </c>
      <c r="E583" s="1005">
        <f t="shared" ref="E583:Q583" si="235">SUM(E584:E588)</f>
        <v>5099010</v>
      </c>
      <c r="F583" s="1005">
        <f t="shared" si="235"/>
        <v>0</v>
      </c>
      <c r="G583" s="1005">
        <f t="shared" si="235"/>
        <v>0</v>
      </c>
      <c r="H583" s="1005">
        <f t="shared" si="235"/>
        <v>0</v>
      </c>
      <c r="I583" s="398">
        <f t="shared" si="235"/>
        <v>0</v>
      </c>
      <c r="J583" s="398">
        <f t="shared" si="235"/>
        <v>0</v>
      </c>
      <c r="K583" s="398">
        <f t="shared" si="235"/>
        <v>6920000</v>
      </c>
      <c r="L583" s="398">
        <f t="shared" si="235"/>
        <v>25990000</v>
      </c>
      <c r="M583" s="398">
        <f t="shared" si="235"/>
        <v>12946025</v>
      </c>
      <c r="N583" s="398">
        <f t="shared" si="235"/>
        <v>8996000</v>
      </c>
      <c r="O583" s="398">
        <f t="shared" si="235"/>
        <v>3132400</v>
      </c>
      <c r="P583" s="398">
        <f t="shared" si="235"/>
        <v>6472500</v>
      </c>
      <c r="Q583" s="398">
        <f t="shared" si="235"/>
        <v>69555935</v>
      </c>
      <c r="R583" s="1652">
        <f>Q583-D583</f>
        <v>69555935</v>
      </c>
      <c r="S583" s="399" t="e">
        <f>Q583/D583*100</f>
        <v>#DIV/0!</v>
      </c>
      <c r="T583" s="651"/>
      <c r="V583" s="786"/>
      <c r="W583" s="786"/>
      <c r="X583" s="786"/>
    </row>
    <row r="584" spans="1:24" s="189" customFormat="1" ht="14.1" customHeight="1">
      <c r="A584" s="292"/>
      <c r="B584" s="2759" t="s">
        <v>50</v>
      </c>
      <c r="C584" s="859" t="s">
        <v>710</v>
      </c>
      <c r="D584" s="355">
        <v>0</v>
      </c>
      <c r="E584" s="355">
        <f>[40]Januari!$O$70</f>
        <v>5099010</v>
      </c>
      <c r="F584" s="355">
        <f>[40]Februari!$O$70</f>
        <v>0</v>
      </c>
      <c r="G584" s="355">
        <f>[40]Maret!$O$70</f>
        <v>0</v>
      </c>
      <c r="H584" s="355">
        <f>[40]April!$O$70</f>
        <v>0</v>
      </c>
      <c r="I584" s="355">
        <f>[40]Mei!$O$70</f>
        <v>0</v>
      </c>
      <c r="J584" s="355">
        <f>[40]Juni!$O$70</f>
        <v>0</v>
      </c>
      <c r="K584" s="355">
        <f>[40]Juli!$O$70</f>
        <v>0</v>
      </c>
      <c r="L584" s="355">
        <f>[40]Agustus!$O$70</f>
        <v>0</v>
      </c>
      <c r="M584" s="355">
        <f>[40]September!$O$70</f>
        <v>0</v>
      </c>
      <c r="N584" s="355">
        <f>[40]Oktober!$O$70</f>
        <v>0</v>
      </c>
      <c r="O584" s="355">
        <f>[40]Nopember!$O$70</f>
        <v>1470400</v>
      </c>
      <c r="P584" s="355">
        <f>[40]Desember!$O$70</f>
        <v>5221000</v>
      </c>
      <c r="Q584" s="346">
        <f>SUM(E584:P584)</f>
        <v>11790410</v>
      </c>
      <c r="R584" s="1630">
        <f>Q584-D584</f>
        <v>11790410</v>
      </c>
      <c r="S584" s="388"/>
      <c r="T584" s="441"/>
      <c r="V584" s="786"/>
      <c r="W584" s="786"/>
      <c r="X584" s="786"/>
    </row>
    <row r="585" spans="1:24" s="189" customFormat="1" ht="14.1" customHeight="1">
      <c r="A585" s="292"/>
      <c r="B585" s="2759" t="s">
        <v>50</v>
      </c>
      <c r="C585" s="859" t="s">
        <v>711</v>
      </c>
      <c r="D585" s="355">
        <v>0</v>
      </c>
      <c r="E585" s="355">
        <f>[40]Januari!$P$70</f>
        <v>0</v>
      </c>
      <c r="F585" s="355">
        <f>[40]Februari!$P$70</f>
        <v>0</v>
      </c>
      <c r="G585" s="355">
        <f>[40]Maret!$P$70</f>
        <v>0</v>
      </c>
      <c r="H585" s="355">
        <f>[40]April!$P$70</f>
        <v>0</v>
      </c>
      <c r="I585" s="355">
        <f>[40]Mei!$P$70</f>
        <v>0</v>
      </c>
      <c r="J585" s="355">
        <f>[40]Juni!$P$70</f>
        <v>0</v>
      </c>
      <c r="K585" s="355">
        <f>[40]Juli!$P$70</f>
        <v>0</v>
      </c>
      <c r="L585" s="355">
        <f>[40]Agustus!$P$70</f>
        <v>0</v>
      </c>
      <c r="M585" s="355">
        <f>[40]September!$P$70</f>
        <v>0</v>
      </c>
      <c r="N585" s="355">
        <f>[40]Oktober!$P$70</f>
        <v>0</v>
      </c>
      <c r="O585" s="355">
        <f>[40]Nopember!$P$70</f>
        <v>0</v>
      </c>
      <c r="P585" s="355">
        <f>[40]Desember!$P$70</f>
        <v>0</v>
      </c>
      <c r="Q585" s="346">
        <f>SUM(E585:P585)</f>
        <v>0</v>
      </c>
      <c r="R585" s="1630">
        <f>Q585-D585</f>
        <v>0</v>
      </c>
      <c r="S585" s="388"/>
      <c r="T585" s="441"/>
      <c r="V585" s="786"/>
      <c r="W585" s="786"/>
      <c r="X585" s="786"/>
    </row>
    <row r="586" spans="1:24" s="189" customFormat="1" ht="14.1" customHeight="1">
      <c r="A586" s="292"/>
      <c r="B586" s="2759" t="s">
        <v>50</v>
      </c>
      <c r="C586" s="859" t="s">
        <v>712</v>
      </c>
      <c r="D586" s="355"/>
      <c r="E586" s="355">
        <f>[40]Januari!$Q$70</f>
        <v>0</v>
      </c>
      <c r="F586" s="355">
        <f>[40]Februari!$Q$70</f>
        <v>0</v>
      </c>
      <c r="G586" s="355">
        <f>[40]Maret!$Q$70</f>
        <v>0</v>
      </c>
      <c r="H586" s="355">
        <f>[40]April!$Q$70</f>
        <v>0</v>
      </c>
      <c r="I586" s="355">
        <f>[40]Mei!$Q$70</f>
        <v>0</v>
      </c>
      <c r="J586" s="355">
        <f>[40]Juni!$Q$70</f>
        <v>0</v>
      </c>
      <c r="K586" s="355">
        <f>[40]Juli!$Q$70</f>
        <v>0</v>
      </c>
      <c r="L586" s="355">
        <f>[40]Agustus!$Q$70</f>
        <v>0</v>
      </c>
      <c r="M586" s="355">
        <f>[40]September!$Q$70</f>
        <v>0</v>
      </c>
      <c r="N586" s="355">
        <f>[40]Oktober!$Q$70</f>
        <v>0</v>
      </c>
      <c r="O586" s="355">
        <f>[40]Nopember!$Q$70</f>
        <v>0</v>
      </c>
      <c r="P586" s="355">
        <f>[40]Desember!$Q$70</f>
        <v>0</v>
      </c>
      <c r="Q586" s="346"/>
      <c r="R586" s="1630"/>
      <c r="S586" s="388"/>
      <c r="T586" s="441"/>
      <c r="V586" s="786"/>
      <c r="W586" s="786"/>
      <c r="X586" s="786"/>
    </row>
    <row r="587" spans="1:24" s="189" customFormat="1" ht="14.1" customHeight="1">
      <c r="A587" s="292"/>
      <c r="B587" s="2759" t="s">
        <v>50</v>
      </c>
      <c r="C587" s="859" t="s">
        <v>713</v>
      </c>
      <c r="D587" s="355">
        <v>0</v>
      </c>
      <c r="E587" s="355">
        <f>[40]Januari!$R$70</f>
        <v>0</v>
      </c>
      <c r="F587" s="355">
        <f>[40]Februari!$R$70</f>
        <v>0</v>
      </c>
      <c r="G587" s="355">
        <f>[40]Maret!$R$70</f>
        <v>0</v>
      </c>
      <c r="H587" s="355">
        <f>[40]April!$R$70</f>
        <v>0</v>
      </c>
      <c r="I587" s="355">
        <f>[40]Mei!$R$70</f>
        <v>0</v>
      </c>
      <c r="J587" s="355">
        <f>[40]Juni!$R$70</f>
        <v>0</v>
      </c>
      <c r="K587" s="355">
        <f>[40]Juli!$R$70</f>
        <v>6920000</v>
      </c>
      <c r="L587" s="355">
        <f>[40]Agustus!$R$70</f>
        <v>25990000</v>
      </c>
      <c r="M587" s="355">
        <f>[40]September!$R$70</f>
        <v>12946025</v>
      </c>
      <c r="N587" s="355">
        <f>[40]Oktober!$R$70</f>
        <v>8996000</v>
      </c>
      <c r="O587" s="355">
        <f>[40]Nopember!$R$70</f>
        <v>1662000</v>
      </c>
      <c r="P587" s="355">
        <f>[40]Desember!$R$70</f>
        <v>1251500</v>
      </c>
      <c r="Q587" s="346">
        <f>SUM(E587:P587)</f>
        <v>57765525</v>
      </c>
      <c r="R587" s="1630">
        <f t="shared" ref="R587:R592" si="236">Q587-D587</f>
        <v>57765525</v>
      </c>
      <c r="S587" s="388"/>
      <c r="T587" s="441"/>
      <c r="V587" s="786"/>
      <c r="W587" s="786"/>
      <c r="X587" s="786"/>
    </row>
    <row r="588" spans="1:24" s="189" customFormat="1" ht="14.1" customHeight="1">
      <c r="A588" s="292"/>
      <c r="B588" s="2759" t="s">
        <v>50</v>
      </c>
      <c r="C588" s="859" t="s">
        <v>885</v>
      </c>
      <c r="D588" s="1556">
        <f>'[4]TARGET MURNI DAN PERUBAHAN'!D504</f>
        <v>0</v>
      </c>
      <c r="E588" s="355">
        <v>0</v>
      </c>
      <c r="F588" s="355">
        <v>0</v>
      </c>
      <c r="G588" s="355">
        <v>0</v>
      </c>
      <c r="H588" s="355">
        <v>0</v>
      </c>
      <c r="I588" s="355">
        <v>0</v>
      </c>
      <c r="J588" s="355">
        <v>0</v>
      </c>
      <c r="K588" s="355">
        <v>0</v>
      </c>
      <c r="L588" s="355">
        <v>0</v>
      </c>
      <c r="M588" s="355">
        <v>0</v>
      </c>
      <c r="N588" s="355">
        <v>0</v>
      </c>
      <c r="O588" s="355">
        <v>0</v>
      </c>
      <c r="P588" s="355">
        <v>0</v>
      </c>
      <c r="Q588" s="346">
        <f>SUM(E588:P588)</f>
        <v>0</v>
      </c>
      <c r="R588" s="1630"/>
      <c r="S588" s="388"/>
      <c r="T588" s="441"/>
      <c r="V588" s="786"/>
      <c r="W588" s="786"/>
      <c r="X588" s="786"/>
    </row>
    <row r="589" spans="1:24" s="245" customFormat="1" ht="14.1" customHeight="1">
      <c r="A589" s="575"/>
      <c r="B589" s="306"/>
      <c r="C589" s="306"/>
      <c r="D589" s="380"/>
      <c r="E589" s="380"/>
      <c r="F589" s="380"/>
      <c r="G589" s="380"/>
      <c r="H589" s="380"/>
      <c r="I589" s="380"/>
      <c r="J589" s="380"/>
      <c r="K589" s="380"/>
      <c r="L589" s="380"/>
      <c r="M589" s="380"/>
      <c r="N589" s="380"/>
      <c r="O589" s="380"/>
      <c r="P589" s="380"/>
      <c r="Q589" s="380"/>
      <c r="R589" s="1625"/>
      <c r="S589" s="501"/>
      <c r="T589" s="560"/>
      <c r="V589" s="1593"/>
      <c r="W589" s="1593"/>
      <c r="X589" s="1593"/>
    </row>
    <row r="590" spans="1:24" s="244" customFormat="1" ht="14.1" customHeight="1">
      <c r="A590" s="1696" t="s">
        <v>886</v>
      </c>
      <c r="B590" s="1553" t="s">
        <v>887</v>
      </c>
      <c r="C590" s="298"/>
      <c r="D590" s="835">
        <f>D591</f>
        <v>0</v>
      </c>
      <c r="E590" s="337">
        <f t="shared" ref="E590:Q590" si="237">E591</f>
        <v>2000000</v>
      </c>
      <c r="F590" s="337">
        <f t="shared" si="237"/>
        <v>2475000</v>
      </c>
      <c r="G590" s="337">
        <f t="shared" si="237"/>
        <v>24487400</v>
      </c>
      <c r="H590" s="337">
        <f t="shared" si="237"/>
        <v>0</v>
      </c>
      <c r="I590" s="337">
        <f t="shared" si="237"/>
        <v>0</v>
      </c>
      <c r="J590" s="337">
        <f t="shared" si="237"/>
        <v>0</v>
      </c>
      <c r="K590" s="337">
        <f t="shared" si="237"/>
        <v>250000</v>
      </c>
      <c r="L590" s="337">
        <f t="shared" si="237"/>
        <v>90900000</v>
      </c>
      <c r="M590" s="337">
        <f t="shared" si="237"/>
        <v>0</v>
      </c>
      <c r="N590" s="337">
        <f t="shared" si="237"/>
        <v>0</v>
      </c>
      <c r="O590" s="337">
        <f t="shared" si="237"/>
        <v>16256250</v>
      </c>
      <c r="P590" s="337">
        <f t="shared" si="237"/>
        <v>5276940</v>
      </c>
      <c r="Q590" s="337">
        <f t="shared" si="237"/>
        <v>141645590</v>
      </c>
      <c r="R590" s="1636">
        <f>+Q590-D590</f>
        <v>141645590</v>
      </c>
      <c r="S590" s="338" t="e">
        <f>+Q590/D590*100</f>
        <v>#DIV/0!</v>
      </c>
      <c r="T590" s="432"/>
      <c r="V590" s="434"/>
      <c r="W590" s="434"/>
      <c r="X590" s="434"/>
    </row>
    <row r="591" spans="1:24" s="189" customFormat="1" ht="14.1" customHeight="1">
      <c r="A591" s="1554"/>
      <c r="B591" s="1329" t="s">
        <v>71</v>
      </c>
      <c r="C591" s="1329"/>
      <c r="D591" s="1555">
        <f t="shared" ref="D591:P591" si="238">SUM(D592:D597)</f>
        <v>0</v>
      </c>
      <c r="E591" s="1656">
        <f t="shared" si="238"/>
        <v>2000000</v>
      </c>
      <c r="F591" s="1656">
        <f t="shared" si="238"/>
        <v>2475000</v>
      </c>
      <c r="G591" s="1656">
        <f t="shared" si="238"/>
        <v>24487400</v>
      </c>
      <c r="H591" s="1656">
        <f t="shared" si="238"/>
        <v>0</v>
      </c>
      <c r="I591" s="1656">
        <f t="shared" si="238"/>
        <v>0</v>
      </c>
      <c r="J591" s="1656">
        <f t="shared" si="238"/>
        <v>0</v>
      </c>
      <c r="K591" s="1656">
        <f t="shared" si="238"/>
        <v>250000</v>
      </c>
      <c r="L591" s="1656">
        <f t="shared" si="238"/>
        <v>90900000</v>
      </c>
      <c r="M591" s="1656">
        <f t="shared" si="238"/>
        <v>0</v>
      </c>
      <c r="N591" s="1656">
        <f t="shared" si="238"/>
        <v>0</v>
      </c>
      <c r="O591" s="1656">
        <f t="shared" si="238"/>
        <v>16256250</v>
      </c>
      <c r="P591" s="1656">
        <f t="shared" si="238"/>
        <v>5276940</v>
      </c>
      <c r="Q591" s="1655">
        <f t="shared" ref="Q591:Q597" si="239">SUM(E591:P591)</f>
        <v>141645590</v>
      </c>
      <c r="R591" s="1628">
        <f t="shared" si="236"/>
        <v>141645590</v>
      </c>
      <c r="S591" s="1337" t="e">
        <f>Q591/D591*100</f>
        <v>#DIV/0!</v>
      </c>
      <c r="T591" s="1675"/>
      <c r="V591" s="786"/>
      <c r="W591" s="786"/>
      <c r="X591" s="786"/>
    </row>
    <row r="592" spans="1:24" s="189" customFormat="1" ht="14.1" customHeight="1">
      <c r="A592" s="290"/>
      <c r="B592" s="253" t="s">
        <v>50</v>
      </c>
      <c r="C592" s="859" t="s">
        <v>710</v>
      </c>
      <c r="D592" s="355"/>
      <c r="E592" s="355">
        <f>[42]Januari!$D$35</f>
        <v>0</v>
      </c>
      <c r="F592" s="355">
        <f>[42]Februari!$D$35</f>
        <v>0</v>
      </c>
      <c r="G592" s="355">
        <f>[42]Maret!$D$35</f>
        <v>0</v>
      </c>
      <c r="H592" s="355">
        <f>[42]April!$D$35</f>
        <v>0</v>
      </c>
      <c r="I592" s="355">
        <f>[42]Mei!$D$35</f>
        <v>0</v>
      </c>
      <c r="J592" s="355">
        <f>[42]Juni!$D$35</f>
        <v>0</v>
      </c>
      <c r="K592" s="355">
        <f>[42]Juli!$D$35</f>
        <v>0</v>
      </c>
      <c r="L592" s="355">
        <f>[42]Agustus!$D$35</f>
        <v>0</v>
      </c>
      <c r="M592" s="355">
        <f>[42]September!$D$35</f>
        <v>0</v>
      </c>
      <c r="N592" s="355">
        <f>[42]Oktober!$D$35</f>
        <v>0</v>
      </c>
      <c r="O592" s="355">
        <f>[42]Nopember!$D$35</f>
        <v>0</v>
      </c>
      <c r="P592" s="355">
        <f>[42]Desember!$D$35</f>
        <v>0</v>
      </c>
      <c r="Q592" s="346">
        <f t="shared" si="239"/>
        <v>0</v>
      </c>
      <c r="R592" s="1630">
        <f t="shared" si="236"/>
        <v>0</v>
      </c>
      <c r="S592" s="388" t="e">
        <f>Q592/D592*100</f>
        <v>#DIV/0!</v>
      </c>
      <c r="T592" s="441"/>
      <c r="V592" s="786"/>
      <c r="W592" s="786"/>
      <c r="X592" s="786"/>
    </row>
    <row r="593" spans="1:24" s="189" customFormat="1" ht="14.1" customHeight="1">
      <c r="A593" s="290"/>
      <c r="B593" s="253" t="s">
        <v>50</v>
      </c>
      <c r="C593" s="859" t="s">
        <v>711</v>
      </c>
      <c r="D593" s="355"/>
      <c r="E593" s="355">
        <f>[42]Januari!$E$35</f>
        <v>0</v>
      </c>
      <c r="F593" s="355">
        <f>[42]Februari!$E$35</f>
        <v>0</v>
      </c>
      <c r="G593" s="355">
        <f>[42]Maret!$E$35</f>
        <v>0</v>
      </c>
      <c r="H593" s="355">
        <f>[42]April!$E$35</f>
        <v>0</v>
      </c>
      <c r="I593" s="355">
        <f>[42]Mei!$E$35</f>
        <v>0</v>
      </c>
      <c r="J593" s="355">
        <f>[42]Juni!$E$35</f>
        <v>0</v>
      </c>
      <c r="K593" s="355">
        <f>[42]Juli!$E$35</f>
        <v>0</v>
      </c>
      <c r="L593" s="355">
        <f>[42]Agustus!$E$35</f>
        <v>0</v>
      </c>
      <c r="M593" s="355">
        <f>[42]September!$E$35</f>
        <v>0</v>
      </c>
      <c r="N593" s="355">
        <f>[42]Oktober!$E$35</f>
        <v>0</v>
      </c>
      <c r="O593" s="355">
        <f>[42]Nopember!$E$35</f>
        <v>0</v>
      </c>
      <c r="P593" s="355">
        <f>[42]Desember!$E$35</f>
        <v>0</v>
      </c>
      <c r="Q593" s="346">
        <f t="shared" si="239"/>
        <v>0</v>
      </c>
      <c r="R593" s="1630"/>
      <c r="S593" s="388"/>
      <c r="T593" s="441"/>
      <c r="V593" s="786"/>
      <c r="W593" s="786"/>
      <c r="X593" s="786"/>
    </row>
    <row r="594" spans="1:24" s="189" customFormat="1" ht="14.1" customHeight="1">
      <c r="A594" s="292"/>
      <c r="B594" s="253" t="s">
        <v>50</v>
      </c>
      <c r="C594" s="859" t="s">
        <v>712</v>
      </c>
      <c r="D594" s="355"/>
      <c r="E594" s="355">
        <f>[42]Januari!$F$35</f>
        <v>0</v>
      </c>
      <c r="F594" s="355">
        <f>[42]Februari!$F$35</f>
        <v>0</v>
      </c>
      <c r="G594" s="355">
        <f>[42]Maret!$F$35</f>
        <v>0</v>
      </c>
      <c r="H594" s="355">
        <f>[42]April!$F$35</f>
        <v>0</v>
      </c>
      <c r="I594" s="355">
        <f>[42]Mei!$F$35</f>
        <v>0</v>
      </c>
      <c r="J594" s="355">
        <f>[42]Juni!$F$35</f>
        <v>0</v>
      </c>
      <c r="K594" s="355">
        <f>[42]Juli!$F$35</f>
        <v>0</v>
      </c>
      <c r="L594" s="355">
        <f>[42]Agustus!$F$35</f>
        <v>0</v>
      </c>
      <c r="M594" s="355">
        <f>[42]September!$F$35</f>
        <v>0</v>
      </c>
      <c r="N594" s="355">
        <f>[42]Oktober!$F$35</f>
        <v>0</v>
      </c>
      <c r="O594" s="355">
        <f>[42]Nopember!$F$35</f>
        <v>0</v>
      </c>
      <c r="P594" s="355">
        <f>[42]Desember!$F$35</f>
        <v>0</v>
      </c>
      <c r="Q594" s="346">
        <f t="shared" si="239"/>
        <v>0</v>
      </c>
      <c r="R594" s="1672">
        <f>Q594-D594</f>
        <v>0</v>
      </c>
      <c r="S594" s="347">
        <v>0</v>
      </c>
      <c r="T594" s="441"/>
      <c r="V594" s="786"/>
      <c r="W594" s="786"/>
      <c r="X594" s="786"/>
    </row>
    <row r="595" spans="1:24" s="189" customFormat="1" ht="14.1" customHeight="1">
      <c r="A595" s="292"/>
      <c r="B595" s="253" t="s">
        <v>50</v>
      </c>
      <c r="C595" s="859" t="s">
        <v>713</v>
      </c>
      <c r="D595" s="355"/>
      <c r="E595" s="355">
        <f>[42]Januari!$G$35</f>
        <v>2000000</v>
      </c>
      <c r="F595" s="355">
        <f>[42]Februari!$G$35</f>
        <v>2475000</v>
      </c>
      <c r="G595" s="355">
        <f>[42]Maret!$G$35</f>
        <v>24487400</v>
      </c>
      <c r="H595" s="355">
        <f>[42]April!$G$35</f>
        <v>0</v>
      </c>
      <c r="I595" s="355">
        <f>[42]Mei!$G$35</f>
        <v>0</v>
      </c>
      <c r="J595" s="355">
        <f>[42]Juni!$G$35</f>
        <v>0</v>
      </c>
      <c r="K595" s="355">
        <f>[42]Juli!$G$35</f>
        <v>250000</v>
      </c>
      <c r="L595" s="355">
        <f>[42]Agustus!$G$35</f>
        <v>90900000</v>
      </c>
      <c r="M595" s="355">
        <f>[42]September!$G$35</f>
        <v>0</v>
      </c>
      <c r="N595" s="355">
        <f>[42]Oktober!$G$35</f>
        <v>0</v>
      </c>
      <c r="O595" s="355">
        <f>[42]Nopember!$G$35</f>
        <v>16256250</v>
      </c>
      <c r="P595" s="355">
        <f>[42]Desember!$G$35</f>
        <v>5276940</v>
      </c>
      <c r="Q595" s="346">
        <f t="shared" si="239"/>
        <v>141645590</v>
      </c>
      <c r="R595" s="1630">
        <f>Q595-D595</f>
        <v>141645590</v>
      </c>
      <c r="S595" s="388"/>
      <c r="T595" s="441"/>
      <c r="V595" s="786"/>
      <c r="W595" s="786"/>
      <c r="X595" s="786"/>
    </row>
    <row r="596" spans="1:24" s="189" customFormat="1" ht="14.1" customHeight="1">
      <c r="A596" s="292"/>
      <c r="B596" s="253" t="s">
        <v>50</v>
      </c>
      <c r="C596" s="859" t="s">
        <v>885</v>
      </c>
      <c r="D596" s="355"/>
      <c r="E596" s="355">
        <f>[42]Januari!$H$35</f>
        <v>0</v>
      </c>
      <c r="F596" s="355">
        <v>0</v>
      </c>
      <c r="G596" s="355">
        <v>0</v>
      </c>
      <c r="H596" s="355">
        <f>[42]April!$H$35</f>
        <v>0</v>
      </c>
      <c r="I596" s="355">
        <f>[42]Mei!$H$35</f>
        <v>0</v>
      </c>
      <c r="J596" s="355">
        <f>[42]Juni!$H$35</f>
        <v>0</v>
      </c>
      <c r="K596" s="355">
        <v>0</v>
      </c>
      <c r="L596" s="355">
        <f>[42]Agustus!$H$35</f>
        <v>0</v>
      </c>
      <c r="M596" s="355">
        <v>0</v>
      </c>
      <c r="N596" s="355">
        <v>0</v>
      </c>
      <c r="O596" s="355">
        <v>0</v>
      </c>
      <c r="P596" s="355">
        <v>0</v>
      </c>
      <c r="Q596" s="346">
        <f t="shared" si="239"/>
        <v>0</v>
      </c>
      <c r="R596" s="1630">
        <f>Q596-D596</f>
        <v>0</v>
      </c>
      <c r="S596" s="388"/>
      <c r="T596" s="441"/>
      <c r="V596" s="786"/>
      <c r="W596" s="786"/>
      <c r="X596" s="786"/>
    </row>
    <row r="597" spans="1:24" s="189" customFormat="1" ht="14.1" customHeight="1">
      <c r="A597" s="292"/>
      <c r="B597" s="253" t="s">
        <v>50</v>
      </c>
      <c r="C597" s="253" t="s">
        <v>744</v>
      </c>
      <c r="D597" s="1556">
        <f>'[4]TARGET MURNI DAN PERUBAHAN'!D513</f>
        <v>0</v>
      </c>
      <c r="E597" s="355">
        <v>0</v>
      </c>
      <c r="F597" s="355">
        <v>0</v>
      </c>
      <c r="G597" s="355">
        <v>0</v>
      </c>
      <c r="H597" s="355">
        <v>0</v>
      </c>
      <c r="I597" s="355">
        <v>0</v>
      </c>
      <c r="J597" s="355">
        <v>0</v>
      </c>
      <c r="K597" s="355">
        <v>0</v>
      </c>
      <c r="L597" s="355">
        <v>0</v>
      </c>
      <c r="M597" s="355">
        <v>0</v>
      </c>
      <c r="N597" s="355">
        <v>0</v>
      </c>
      <c r="O597" s="355">
        <v>0</v>
      </c>
      <c r="P597" s="355">
        <v>0</v>
      </c>
      <c r="Q597" s="346">
        <f t="shared" si="239"/>
        <v>0</v>
      </c>
      <c r="R597" s="1630">
        <f>Q597-D597</f>
        <v>0</v>
      </c>
      <c r="S597" s="388"/>
      <c r="T597" s="441"/>
      <c r="V597" s="786"/>
      <c r="W597" s="786"/>
      <c r="X597" s="786"/>
    </row>
    <row r="598" spans="1:24" s="245" customFormat="1" ht="14.1" customHeight="1">
      <c r="A598" s="575"/>
      <c r="B598" s="306"/>
      <c r="C598" s="306"/>
      <c r="D598" s="380"/>
      <c r="E598" s="380"/>
      <c r="F598" s="380"/>
      <c r="G598" s="380"/>
      <c r="H598" s="380"/>
      <c r="I598" s="380"/>
      <c r="J598" s="380"/>
      <c r="K598" s="380"/>
      <c r="L598" s="380"/>
      <c r="M598" s="380"/>
      <c r="N598" s="380"/>
      <c r="O598" s="380"/>
      <c r="P598" s="380"/>
      <c r="Q598" s="380"/>
      <c r="R598" s="1625"/>
      <c r="S598" s="501"/>
      <c r="T598" s="560"/>
      <c r="V598" s="1593"/>
      <c r="W598" s="1593"/>
      <c r="X598" s="1593"/>
    </row>
    <row r="599" spans="1:24" s="244" customFormat="1" ht="14.1" customHeight="1">
      <c r="A599" s="1696" t="s">
        <v>888</v>
      </c>
      <c r="B599" s="1553" t="s">
        <v>889</v>
      </c>
      <c r="C599" s="298"/>
      <c r="D599" s="835">
        <f>D601</f>
        <v>0</v>
      </c>
      <c r="E599" s="337">
        <f t="shared" ref="E599:Q599" si="240">E601</f>
        <v>33319348</v>
      </c>
      <c r="F599" s="337">
        <f t="shared" si="240"/>
        <v>0</v>
      </c>
      <c r="G599" s="337">
        <f t="shared" si="240"/>
        <v>0</v>
      </c>
      <c r="H599" s="337">
        <f t="shared" si="240"/>
        <v>9885757</v>
      </c>
      <c r="I599" s="337">
        <f t="shared" si="240"/>
        <v>6066667</v>
      </c>
      <c r="J599" s="337">
        <f t="shared" si="240"/>
        <v>0</v>
      </c>
      <c r="K599" s="337">
        <f t="shared" si="240"/>
        <v>0</v>
      </c>
      <c r="L599" s="337">
        <f t="shared" si="240"/>
        <v>0</v>
      </c>
      <c r="M599" s="337">
        <f t="shared" si="240"/>
        <v>15841175</v>
      </c>
      <c r="N599" s="337">
        <f t="shared" si="240"/>
        <v>0</v>
      </c>
      <c r="O599" s="337">
        <f t="shared" si="240"/>
        <v>0</v>
      </c>
      <c r="P599" s="337">
        <f t="shared" si="240"/>
        <v>115338466</v>
      </c>
      <c r="Q599" s="337">
        <f t="shared" si="240"/>
        <v>180451413</v>
      </c>
      <c r="R599" s="1636">
        <f>+Q599-D599</f>
        <v>180451413</v>
      </c>
      <c r="S599" s="338" t="e">
        <f>+Q599/D599*100</f>
        <v>#DIV/0!</v>
      </c>
      <c r="T599" s="432"/>
      <c r="V599" s="434"/>
      <c r="W599" s="434"/>
      <c r="X599" s="434"/>
    </row>
    <row r="600" spans="1:24" s="189" customFormat="1" ht="14.1" customHeight="1">
      <c r="A600" s="290"/>
      <c r="B600" s="253"/>
      <c r="C600" s="253"/>
      <c r="D600" s="355"/>
      <c r="E600" s="355"/>
      <c r="F600" s="355"/>
      <c r="G600" s="355"/>
      <c r="H600" s="355"/>
      <c r="I600" s="355"/>
      <c r="J600" s="355"/>
      <c r="K600" s="355"/>
      <c r="L600" s="355"/>
      <c r="M600" s="355"/>
      <c r="N600" s="355"/>
      <c r="O600" s="355"/>
      <c r="P600" s="355"/>
      <c r="Q600" s="346">
        <f t="shared" ref="Q600:Q608" si="241">SUM(E600:P600)</f>
        <v>0</v>
      </c>
      <c r="R600" s="1816">
        <f t="shared" ref="R600:R605" si="242">Q600-D600</f>
        <v>0</v>
      </c>
      <c r="S600" s="388"/>
      <c r="T600" s="441"/>
      <c r="V600" s="786"/>
      <c r="W600" s="786"/>
      <c r="X600" s="786"/>
    </row>
    <row r="601" spans="1:24" s="189" customFormat="1" ht="14.1" customHeight="1">
      <c r="A601" s="466"/>
      <c r="B601" s="467" t="s">
        <v>71</v>
      </c>
      <c r="C601" s="467"/>
      <c r="D601" s="330">
        <f t="shared" ref="D601:P601" si="243">SUM(D602:D608)</f>
        <v>0</v>
      </c>
      <c r="E601" s="1813">
        <f t="shared" si="243"/>
        <v>33319348</v>
      </c>
      <c r="F601" s="1813">
        <f t="shared" si="243"/>
        <v>0</v>
      </c>
      <c r="G601" s="1813">
        <f t="shared" si="243"/>
        <v>0</v>
      </c>
      <c r="H601" s="1813">
        <f t="shared" si="243"/>
        <v>9885757</v>
      </c>
      <c r="I601" s="1813">
        <f t="shared" si="243"/>
        <v>6066667</v>
      </c>
      <c r="J601" s="1813">
        <f t="shared" si="243"/>
        <v>0</v>
      </c>
      <c r="K601" s="1813">
        <f t="shared" si="243"/>
        <v>0</v>
      </c>
      <c r="L601" s="1813">
        <f t="shared" si="243"/>
        <v>0</v>
      </c>
      <c r="M601" s="1813">
        <f t="shared" si="243"/>
        <v>15841175</v>
      </c>
      <c r="N601" s="1813">
        <f t="shared" si="243"/>
        <v>0</v>
      </c>
      <c r="O601" s="1813">
        <f t="shared" si="243"/>
        <v>0</v>
      </c>
      <c r="P601" s="1813">
        <f t="shared" si="243"/>
        <v>115338466</v>
      </c>
      <c r="Q601" s="346">
        <f t="shared" si="241"/>
        <v>180451413</v>
      </c>
      <c r="R601" s="1816">
        <f t="shared" si="242"/>
        <v>180451413</v>
      </c>
      <c r="S601" s="344" t="e">
        <f>Q601/D601*100</f>
        <v>#DIV/0!</v>
      </c>
      <c r="T601" s="445"/>
      <c r="V601" s="786"/>
      <c r="W601" s="786"/>
      <c r="X601" s="786"/>
    </row>
    <row r="602" spans="1:24" s="189" customFormat="1" ht="14.1" customHeight="1">
      <c r="A602" s="290"/>
      <c r="B602" s="189" t="s">
        <v>50</v>
      </c>
      <c r="C602" s="859" t="s">
        <v>710</v>
      </c>
      <c r="D602" s="355"/>
      <c r="E602" s="355">
        <f>[43]Januari!$D$35</f>
        <v>33319348</v>
      </c>
      <c r="F602" s="355">
        <f>[43]Februari!$D$35</f>
        <v>0</v>
      </c>
      <c r="G602" s="355">
        <f>[43]Maret!$D$35</f>
        <v>0</v>
      </c>
      <c r="H602" s="355">
        <f>[43]April!$D$35</f>
        <v>0</v>
      </c>
      <c r="I602" s="355">
        <f>[43]Mei!$D$35</f>
        <v>0</v>
      </c>
      <c r="J602" s="355">
        <f>[43]Juni!$D$35</f>
        <v>0</v>
      </c>
      <c r="K602" s="355">
        <f>[43]Juli!$D$35</f>
        <v>0</v>
      </c>
      <c r="L602" s="355">
        <f>[43]Agustus!$D$35</f>
        <v>0</v>
      </c>
      <c r="M602" s="355">
        <f>[43]September!$D$35</f>
        <v>15841175</v>
      </c>
      <c r="N602" s="355">
        <f>[43]Oktober!$D$35</f>
        <v>0</v>
      </c>
      <c r="O602" s="355">
        <f>[43]Nopember!$D$35</f>
        <v>0</v>
      </c>
      <c r="P602" s="355">
        <f>[43]Desember!$D$35</f>
        <v>115338466</v>
      </c>
      <c r="Q602" s="346">
        <f t="shared" si="241"/>
        <v>164498989</v>
      </c>
      <c r="R602" s="1630">
        <f t="shared" si="242"/>
        <v>164498989</v>
      </c>
      <c r="S602" s="388"/>
      <c r="T602" s="441"/>
      <c r="V602" s="786"/>
      <c r="W602" s="786"/>
      <c r="X602" s="786"/>
    </row>
    <row r="603" spans="1:24" s="189" customFormat="1" ht="14.1" customHeight="1">
      <c r="A603" s="292"/>
      <c r="B603" s="189" t="s">
        <v>50</v>
      </c>
      <c r="C603" s="859" t="s">
        <v>711</v>
      </c>
      <c r="D603" s="355">
        <v>0</v>
      </c>
      <c r="E603" s="355">
        <f>[43]Januari!$E$35</f>
        <v>0</v>
      </c>
      <c r="F603" s="355">
        <f>[43]Februari!$E$35</f>
        <v>0</v>
      </c>
      <c r="G603" s="355">
        <f>[43]Maret!$E$35</f>
        <v>0</v>
      </c>
      <c r="H603" s="355">
        <f>[43]April!$E$35</f>
        <v>0</v>
      </c>
      <c r="I603" s="355">
        <f>[43]Mei!$E$35</f>
        <v>0</v>
      </c>
      <c r="J603" s="355">
        <f>[43]Juni!$E$35</f>
        <v>0</v>
      </c>
      <c r="K603" s="355">
        <f>[43]Juli!$E$35</f>
        <v>0</v>
      </c>
      <c r="L603" s="355">
        <f>[43]Agustus!$E$35</f>
        <v>0</v>
      </c>
      <c r="M603" s="355">
        <f>[43]September!$E$35</f>
        <v>0</v>
      </c>
      <c r="N603" s="355">
        <f>[43]Oktober!$E$35</f>
        <v>0</v>
      </c>
      <c r="O603" s="355">
        <f>[43]Nopember!$E$35</f>
        <v>0</v>
      </c>
      <c r="P603" s="355">
        <f>[43]Desember!$E$35</f>
        <v>0</v>
      </c>
      <c r="Q603" s="346">
        <f t="shared" si="241"/>
        <v>0</v>
      </c>
      <c r="R603" s="1630">
        <f t="shared" si="242"/>
        <v>0</v>
      </c>
      <c r="S603" s="388"/>
      <c r="T603" s="441"/>
      <c r="V603" s="786"/>
      <c r="W603" s="786"/>
      <c r="X603" s="786"/>
    </row>
    <row r="604" spans="1:24" s="189" customFormat="1" ht="14.1" customHeight="1">
      <c r="A604" s="292"/>
      <c r="B604" s="189" t="s">
        <v>50</v>
      </c>
      <c r="C604" s="859" t="s">
        <v>712</v>
      </c>
      <c r="D604" s="355">
        <v>0</v>
      </c>
      <c r="E604" s="355">
        <f>[43]Januari!$F$35</f>
        <v>0</v>
      </c>
      <c r="F604" s="355">
        <f>[43]Februari!$F$35</f>
        <v>0</v>
      </c>
      <c r="G604" s="355">
        <f>[43]Maret!$F$35</f>
        <v>0</v>
      </c>
      <c r="H604" s="355">
        <f>[43]April!$F$35</f>
        <v>0</v>
      </c>
      <c r="I604" s="355">
        <f>[43]Mei!$F$35</f>
        <v>0</v>
      </c>
      <c r="J604" s="355">
        <f>[43]Juni!$F$35</f>
        <v>0</v>
      </c>
      <c r="K604" s="355">
        <f>[43]Juli!$F$35</f>
        <v>0</v>
      </c>
      <c r="L604" s="355">
        <f>[43]Agustus!$F$35</f>
        <v>0</v>
      </c>
      <c r="M604" s="355">
        <f>[43]September!$F$35</f>
        <v>0</v>
      </c>
      <c r="N604" s="355">
        <f>[43]Oktober!$F$35</f>
        <v>0</v>
      </c>
      <c r="O604" s="355">
        <f>[43]Nopember!$F$35</f>
        <v>0</v>
      </c>
      <c r="P604" s="355">
        <f>[43]Desember!$F$35</f>
        <v>0</v>
      </c>
      <c r="Q604" s="346">
        <f t="shared" si="241"/>
        <v>0</v>
      </c>
      <c r="R604" s="1630">
        <f t="shared" si="242"/>
        <v>0</v>
      </c>
      <c r="S604" s="388"/>
      <c r="T604" s="441"/>
      <c r="V604" s="786"/>
      <c r="W604" s="786"/>
      <c r="X604" s="786"/>
    </row>
    <row r="605" spans="1:24" s="189" customFormat="1" ht="14.1" customHeight="1">
      <c r="A605" s="292"/>
      <c r="B605" s="189" t="s">
        <v>50</v>
      </c>
      <c r="C605" s="859" t="s">
        <v>713</v>
      </c>
      <c r="D605" s="355">
        <v>0</v>
      </c>
      <c r="E605" s="355">
        <f>[43]Januari!$G$35</f>
        <v>0</v>
      </c>
      <c r="F605" s="355">
        <f>[43]Februari!$G$35</f>
        <v>0</v>
      </c>
      <c r="G605" s="355">
        <f>[43]Maret!$G$35</f>
        <v>0</v>
      </c>
      <c r="H605" s="355">
        <f>[43]April!$G$35</f>
        <v>9885757</v>
      </c>
      <c r="I605" s="355">
        <f>[43]Mei!$G$35</f>
        <v>6066667</v>
      </c>
      <c r="J605" s="355">
        <f>[43]Juni!$G$35</f>
        <v>0</v>
      </c>
      <c r="K605" s="355">
        <f>[43]Juli!$G$35</f>
        <v>0</v>
      </c>
      <c r="L605" s="355">
        <f>[43]Agustus!$G$35</f>
        <v>0</v>
      </c>
      <c r="M605" s="355">
        <f>[43]September!$G$35</f>
        <v>0</v>
      </c>
      <c r="N605" s="355">
        <f>[43]Oktober!$G$35</f>
        <v>0</v>
      </c>
      <c r="O605" s="355">
        <f>[43]Nopember!$G$35</f>
        <v>0</v>
      </c>
      <c r="P605" s="355">
        <f>[43]Desember!$G$35</f>
        <v>0</v>
      </c>
      <c r="Q605" s="346">
        <f t="shared" si="241"/>
        <v>15952424</v>
      </c>
      <c r="R605" s="1630">
        <f t="shared" si="242"/>
        <v>15952424</v>
      </c>
      <c r="S605" s="388"/>
      <c r="T605" s="441"/>
      <c r="V605" s="786"/>
      <c r="W605" s="786"/>
      <c r="X605" s="786"/>
    </row>
    <row r="606" spans="1:24" s="189" customFormat="1" ht="14.1" customHeight="1">
      <c r="A606" s="292"/>
      <c r="B606" s="189" t="s">
        <v>50</v>
      </c>
      <c r="C606" s="297" t="s">
        <v>890</v>
      </c>
      <c r="D606" s="355"/>
      <c r="E606" s="355">
        <f>[43]Januari!$H$35</f>
        <v>0</v>
      </c>
      <c r="F606" s="355">
        <f>[43]Februari!$H$35</f>
        <v>0</v>
      </c>
      <c r="G606" s="355">
        <f>[43]Maret!$H$35</f>
        <v>0</v>
      </c>
      <c r="H606" s="355">
        <f>[43]April!$H$35</f>
        <v>0</v>
      </c>
      <c r="I606" s="355">
        <f>[43]Mei!$H$35</f>
        <v>0</v>
      </c>
      <c r="J606" s="355">
        <f>[43]Juni!$H$35</f>
        <v>0</v>
      </c>
      <c r="K606" s="355">
        <f>[43]Juli!$H$35</f>
        <v>0</v>
      </c>
      <c r="L606" s="355">
        <f>[43]Agustus!$H$35</f>
        <v>0</v>
      </c>
      <c r="M606" s="355">
        <f>[43]September!$H$35</f>
        <v>0</v>
      </c>
      <c r="N606" s="355">
        <f>[43]Oktober!$H$35</f>
        <v>0</v>
      </c>
      <c r="O606" s="355">
        <f>[43]Nopember!$H$35</f>
        <v>0</v>
      </c>
      <c r="P606" s="355">
        <f>[43]Desember!$H$35</f>
        <v>0</v>
      </c>
      <c r="Q606" s="346">
        <f t="shared" si="241"/>
        <v>0</v>
      </c>
      <c r="R606" s="1630"/>
      <c r="S606" s="388"/>
      <c r="T606" s="441"/>
      <c r="V606" s="786"/>
      <c r="W606" s="786"/>
      <c r="X606" s="786"/>
    </row>
    <row r="607" spans="1:24" s="189" customFormat="1" ht="14.1" customHeight="1">
      <c r="A607" s="290"/>
      <c r="B607" s="189" t="s">
        <v>50</v>
      </c>
      <c r="C607" s="253" t="s">
        <v>891</v>
      </c>
      <c r="D607" s="352"/>
      <c r="E607" s="375">
        <f>[43]Januari!$I$35</f>
        <v>0</v>
      </c>
      <c r="F607" s="375">
        <f>[43]Februari!$I$35</f>
        <v>0</v>
      </c>
      <c r="G607" s="375">
        <f>[43]Maret!$I$35</f>
        <v>0</v>
      </c>
      <c r="H607" s="375">
        <f>[43]April!$I$35</f>
        <v>0</v>
      </c>
      <c r="I607" s="375">
        <f>[43]Mei!$I$35</f>
        <v>0</v>
      </c>
      <c r="J607" s="375">
        <f>[43]Juni!$I$35</f>
        <v>0</v>
      </c>
      <c r="K607" s="375">
        <f>[43]Juli!$I$35</f>
        <v>0</v>
      </c>
      <c r="L607" s="375">
        <f>[43]Agustus!$I$35</f>
        <v>0</v>
      </c>
      <c r="M607" s="375">
        <f>[43]September!$I$35</f>
        <v>0</v>
      </c>
      <c r="N607" s="375">
        <f>[43]Oktober!$I$35</f>
        <v>0</v>
      </c>
      <c r="O607" s="375">
        <f>[43]Nopember!$I$35</f>
        <v>0</v>
      </c>
      <c r="P607" s="375">
        <f>[43]Desember!$I$35</f>
        <v>0</v>
      </c>
      <c r="Q607" s="346">
        <f t="shared" si="241"/>
        <v>0</v>
      </c>
      <c r="R607" s="1672">
        <f t="shared" ref="R607:R612" si="244">Q607-D607</f>
        <v>0</v>
      </c>
      <c r="S607" s="347">
        <v>0</v>
      </c>
      <c r="T607" s="448"/>
      <c r="V607" s="786"/>
      <c r="W607" s="786"/>
      <c r="X607" s="786"/>
    </row>
    <row r="608" spans="1:24" s="189" customFormat="1" ht="14.1" customHeight="1">
      <c r="A608" s="290"/>
      <c r="B608" s="199" t="s">
        <v>50</v>
      </c>
      <c r="C608" s="253" t="s">
        <v>714</v>
      </c>
      <c r="D608" s="1556">
        <f>'[4]TARGET MURNI DAN PERUBAHAN'!D524</f>
        <v>0</v>
      </c>
      <c r="E608" s="375">
        <v>0</v>
      </c>
      <c r="F608" s="375">
        <v>0</v>
      </c>
      <c r="G608" s="375">
        <v>0</v>
      </c>
      <c r="H608" s="375">
        <v>0</v>
      </c>
      <c r="I608" s="375">
        <v>0</v>
      </c>
      <c r="J608" s="375">
        <v>0</v>
      </c>
      <c r="K608" s="375">
        <v>0</v>
      </c>
      <c r="L608" s="375">
        <v>0</v>
      </c>
      <c r="M608" s="375">
        <v>0</v>
      </c>
      <c r="N608" s="375">
        <v>0</v>
      </c>
      <c r="O608" s="375">
        <v>0</v>
      </c>
      <c r="P608" s="375">
        <v>0</v>
      </c>
      <c r="Q608" s="346">
        <f t="shared" si="241"/>
        <v>0</v>
      </c>
      <c r="R608" s="1630">
        <f t="shared" si="244"/>
        <v>0</v>
      </c>
      <c r="S608" s="344" t="e">
        <f>Q608/D608*100</f>
        <v>#DIV/0!</v>
      </c>
      <c r="T608" s="448"/>
      <c r="V608" s="786"/>
      <c r="W608" s="786"/>
      <c r="X608" s="786"/>
    </row>
    <row r="609" spans="1:24" s="245" customFormat="1" ht="14.1" customHeight="1">
      <c r="A609" s="575"/>
      <c r="D609" s="404"/>
      <c r="E609" s="379"/>
      <c r="F609" s="379"/>
      <c r="G609" s="379"/>
      <c r="H609" s="379"/>
      <c r="I609" s="379"/>
      <c r="J609" s="379"/>
      <c r="K609" s="379"/>
      <c r="L609" s="379"/>
      <c r="M609" s="379"/>
      <c r="N609" s="379"/>
      <c r="O609" s="379"/>
      <c r="P609" s="379"/>
      <c r="Q609" s="379"/>
      <c r="R609" s="1625"/>
      <c r="S609" s="501"/>
      <c r="T609" s="549"/>
      <c r="V609" s="1593"/>
      <c r="W609" s="1593"/>
      <c r="X609" s="1593"/>
    </row>
    <row r="610" spans="1:24" s="244" customFormat="1" ht="14.1" customHeight="1">
      <c r="A610" s="1696" t="s">
        <v>892</v>
      </c>
      <c r="B610" s="1553" t="s">
        <v>373</v>
      </c>
      <c r="C610" s="298"/>
      <c r="D610" s="835">
        <f t="shared" ref="D610:Q610" si="245">D612+D637</f>
        <v>1423180000</v>
      </c>
      <c r="E610" s="337">
        <f t="shared" si="245"/>
        <v>40335000</v>
      </c>
      <c r="F610" s="337">
        <f t="shared" si="245"/>
        <v>62824900</v>
      </c>
      <c r="G610" s="337">
        <f t="shared" si="245"/>
        <v>108878921.63</v>
      </c>
      <c r="H610" s="337">
        <f t="shared" si="245"/>
        <v>82032500</v>
      </c>
      <c r="I610" s="337">
        <f t="shared" si="245"/>
        <v>173372300</v>
      </c>
      <c r="J610" s="337">
        <f t="shared" si="245"/>
        <v>100716000</v>
      </c>
      <c r="K610" s="337">
        <f t="shared" si="245"/>
        <v>80067000</v>
      </c>
      <c r="L610" s="337">
        <f t="shared" si="245"/>
        <v>72324750</v>
      </c>
      <c r="M610" s="337">
        <f t="shared" si="245"/>
        <v>121541000</v>
      </c>
      <c r="N610" s="337">
        <f t="shared" si="245"/>
        <v>79720000</v>
      </c>
      <c r="O610" s="337">
        <f t="shared" si="245"/>
        <v>138652099.96000001</v>
      </c>
      <c r="P610" s="337">
        <f t="shared" si="245"/>
        <v>271168550</v>
      </c>
      <c r="Q610" s="337">
        <f t="shared" si="245"/>
        <v>1331633021.5899999</v>
      </c>
      <c r="R610" s="1636">
        <f>+Q610-D610</f>
        <v>-91546978.410000086</v>
      </c>
      <c r="S610" s="338">
        <f>+Q610/D610*100</f>
        <v>93.567435011031634</v>
      </c>
      <c r="T610" s="432"/>
      <c r="V610" s="434"/>
      <c r="W610" s="434"/>
      <c r="X610" s="434"/>
    </row>
    <row r="611" spans="1:24" s="189" customFormat="1" ht="14.1" customHeight="1">
      <c r="A611" s="1554"/>
      <c r="B611" s="1338"/>
      <c r="C611" s="1329"/>
      <c r="D611" s="1654"/>
      <c r="E611" s="1655"/>
      <c r="F611" s="1655"/>
      <c r="G611" s="1655"/>
      <c r="H611" s="1655"/>
      <c r="I611" s="1655"/>
      <c r="J611" s="1655"/>
      <c r="K611" s="1655"/>
      <c r="L611" s="1655"/>
      <c r="M611" s="1655"/>
      <c r="N611" s="1655"/>
      <c r="O611" s="1655"/>
      <c r="P611" s="1655"/>
      <c r="Q611" s="1655"/>
      <c r="R611" s="1673"/>
      <c r="S611" s="1337"/>
      <c r="T611" s="1674"/>
      <c r="V611" s="786"/>
      <c r="W611" s="786"/>
      <c r="X611" s="786"/>
    </row>
    <row r="612" spans="1:24" s="189" customFormat="1" ht="14.1" customHeight="1">
      <c r="A612" s="290"/>
      <c r="B612" s="291" t="s">
        <v>106</v>
      </c>
      <c r="C612" s="291"/>
      <c r="D612" s="371">
        <f t="shared" ref="D612:Q612" si="246">+D614+D635+D626</f>
        <v>1423180000</v>
      </c>
      <c r="E612" s="367">
        <f t="shared" si="246"/>
        <v>38335000</v>
      </c>
      <c r="F612" s="367">
        <f t="shared" si="246"/>
        <v>60085000</v>
      </c>
      <c r="G612" s="367">
        <f t="shared" si="246"/>
        <v>108105200</v>
      </c>
      <c r="H612" s="367">
        <f t="shared" si="246"/>
        <v>82032500</v>
      </c>
      <c r="I612" s="367">
        <f t="shared" si="246"/>
        <v>168845500</v>
      </c>
      <c r="J612" s="367">
        <f t="shared" si="246"/>
        <v>98001000</v>
      </c>
      <c r="K612" s="367">
        <f t="shared" si="246"/>
        <v>77627000</v>
      </c>
      <c r="L612" s="367">
        <f t="shared" si="246"/>
        <v>65746000</v>
      </c>
      <c r="M612" s="367">
        <f t="shared" si="246"/>
        <v>119431000</v>
      </c>
      <c r="N612" s="367">
        <f t="shared" si="246"/>
        <v>77020000</v>
      </c>
      <c r="O612" s="367">
        <f t="shared" si="246"/>
        <v>119715000</v>
      </c>
      <c r="P612" s="367">
        <f t="shared" si="246"/>
        <v>224419000</v>
      </c>
      <c r="Q612" s="367">
        <f t="shared" si="246"/>
        <v>1239362200</v>
      </c>
      <c r="R612" s="1652">
        <f t="shared" si="244"/>
        <v>-183817800</v>
      </c>
      <c r="S612" s="347">
        <f>Q612/D612*100</f>
        <v>87.084009050155288</v>
      </c>
      <c r="T612" s="454"/>
      <c r="V612" s="786"/>
      <c r="W612" s="786"/>
      <c r="X612" s="786"/>
    </row>
    <row r="613" spans="1:24" s="189" customFormat="1" ht="14.1" customHeight="1">
      <c r="A613" s="290"/>
      <c r="B613" s="253"/>
      <c r="C613" s="253"/>
      <c r="D613" s="355"/>
      <c r="E613" s="355"/>
      <c r="F613" s="355"/>
      <c r="G613" s="355"/>
      <c r="H613" s="355"/>
      <c r="I613" s="355"/>
      <c r="J613" s="355"/>
      <c r="K613" s="355"/>
      <c r="L613" s="355"/>
      <c r="M613" s="355"/>
      <c r="N613" s="355"/>
      <c r="O613" s="355"/>
      <c r="P613" s="355"/>
      <c r="Q613" s="355"/>
      <c r="R613" s="1630"/>
      <c r="S613" s="388"/>
      <c r="T613" s="441"/>
      <c r="V613" s="786"/>
      <c r="W613" s="786"/>
      <c r="X613" s="786"/>
    </row>
    <row r="614" spans="1:24" s="190" customFormat="1" ht="14.1" customHeight="1">
      <c r="A614" s="290"/>
      <c r="B614" s="291" t="s">
        <v>374</v>
      </c>
      <c r="C614" s="291"/>
      <c r="D614" s="371">
        <f>+D615</f>
        <v>618180000</v>
      </c>
      <c r="E614" s="371">
        <f t="shared" ref="E614:Q614" si="247">+E615</f>
        <v>11255000</v>
      </c>
      <c r="F614" s="371">
        <f t="shared" si="247"/>
        <v>15635000</v>
      </c>
      <c r="G614" s="371">
        <f t="shared" si="247"/>
        <v>33819200</v>
      </c>
      <c r="H614" s="371">
        <f t="shared" si="247"/>
        <v>25015000</v>
      </c>
      <c r="I614" s="371">
        <f t="shared" si="247"/>
        <v>51376000</v>
      </c>
      <c r="J614" s="371">
        <f t="shared" si="247"/>
        <v>40371000</v>
      </c>
      <c r="K614" s="371">
        <f t="shared" si="247"/>
        <v>23100000</v>
      </c>
      <c r="L614" s="371">
        <f t="shared" si="247"/>
        <v>5450000</v>
      </c>
      <c r="M614" s="371">
        <f t="shared" si="247"/>
        <v>20450000</v>
      </c>
      <c r="N614" s="371">
        <f t="shared" si="247"/>
        <v>32250000</v>
      </c>
      <c r="O614" s="371">
        <f t="shared" si="247"/>
        <v>53150000</v>
      </c>
      <c r="P614" s="371">
        <f t="shared" si="247"/>
        <v>36550000</v>
      </c>
      <c r="Q614" s="371">
        <f t="shared" si="247"/>
        <v>348421200</v>
      </c>
      <c r="R614" s="1652">
        <f t="shared" ref="R614:R624" si="248">Q614-D614</f>
        <v>-269758800</v>
      </c>
      <c r="S614" s="347">
        <f t="shared" ref="S614:S623" si="249">Q614/D614*100</f>
        <v>56.36241871299621</v>
      </c>
      <c r="T614" s="651"/>
      <c r="V614" s="786"/>
      <c r="W614" s="786"/>
      <c r="X614" s="786"/>
    </row>
    <row r="615" spans="1:24" s="190" customFormat="1" ht="14.1" customHeight="1">
      <c r="A615" s="292"/>
      <c r="B615" s="291" t="s">
        <v>64</v>
      </c>
      <c r="C615" s="291"/>
      <c r="D615" s="371">
        <f>SUM(D616:D624)</f>
        <v>618180000</v>
      </c>
      <c r="E615" s="367">
        <f t="shared" ref="E615:Q615" si="250">SUM(E616:E624)</f>
        <v>11255000</v>
      </c>
      <c r="F615" s="367">
        <f t="shared" si="250"/>
        <v>15635000</v>
      </c>
      <c r="G615" s="367">
        <f t="shared" si="250"/>
        <v>33819200</v>
      </c>
      <c r="H615" s="367">
        <f t="shared" si="250"/>
        <v>25015000</v>
      </c>
      <c r="I615" s="367">
        <f t="shared" si="250"/>
        <v>51376000</v>
      </c>
      <c r="J615" s="367">
        <f t="shared" si="250"/>
        <v>40371000</v>
      </c>
      <c r="K615" s="367">
        <f t="shared" si="250"/>
        <v>23100000</v>
      </c>
      <c r="L615" s="367">
        <f t="shared" si="250"/>
        <v>5450000</v>
      </c>
      <c r="M615" s="367">
        <f t="shared" si="250"/>
        <v>20450000</v>
      </c>
      <c r="N615" s="367">
        <f t="shared" si="250"/>
        <v>32250000</v>
      </c>
      <c r="O615" s="367">
        <f t="shared" si="250"/>
        <v>53150000</v>
      </c>
      <c r="P615" s="367">
        <f t="shared" si="250"/>
        <v>36550000</v>
      </c>
      <c r="Q615" s="367">
        <f t="shared" si="250"/>
        <v>348421200</v>
      </c>
      <c r="R615" s="1708">
        <f t="shared" si="248"/>
        <v>-269758800</v>
      </c>
      <c r="S615" s="388">
        <f t="shared" si="249"/>
        <v>56.36241871299621</v>
      </c>
      <c r="T615" s="454"/>
      <c r="V615" s="786"/>
      <c r="W615" s="786"/>
      <c r="X615" s="786"/>
    </row>
    <row r="616" spans="1:24" s="189" customFormat="1" ht="14.1" customHeight="1">
      <c r="A616" s="290"/>
      <c r="B616" s="291" t="s">
        <v>50</v>
      </c>
      <c r="C616" s="253" t="s">
        <v>893</v>
      </c>
      <c r="D616" s="1556">
        <f>'[4]TARGET MURNI DAN PERUBAHAN'!D532</f>
        <v>428430000</v>
      </c>
      <c r="E616" s="355">
        <f>[44]Januari!$D$70</f>
        <v>10655000</v>
      </c>
      <c r="F616" s="355">
        <f>[44]Februari!$D$70</f>
        <v>6460000</v>
      </c>
      <c r="G616" s="355">
        <f>[44]Maret!$D$70</f>
        <v>29689200</v>
      </c>
      <c r="H616" s="355">
        <f>[44]April!$D$70</f>
        <v>16315000</v>
      </c>
      <c r="I616" s="355">
        <f>[44]Mei!$D$70</f>
        <v>12876000</v>
      </c>
      <c r="J616" s="355">
        <f>[44]Juni!$D$70</f>
        <v>26121000</v>
      </c>
      <c r="K616" s="355">
        <f>[44]Juli!$D$70</f>
        <v>16450000</v>
      </c>
      <c r="L616" s="355">
        <f>[44]Agustus!$D$70</f>
        <v>5450000</v>
      </c>
      <c r="M616" s="355">
        <f>[44]September!$D$70</f>
        <v>9450000</v>
      </c>
      <c r="N616" s="355">
        <f>[44]Oktober!$D$70</f>
        <v>4750000</v>
      </c>
      <c r="O616" s="355">
        <f>[44]Nopember!$D$70</f>
        <v>4075000</v>
      </c>
      <c r="P616" s="355">
        <f>[44]Desember!$D$70</f>
        <v>24550000</v>
      </c>
      <c r="Q616" s="346">
        <f t="shared" ref="Q616:Q624" si="251">SUM(E616:P616)</f>
        <v>166841200</v>
      </c>
      <c r="R616" s="1630">
        <f t="shared" si="248"/>
        <v>-261588800</v>
      </c>
      <c r="S616" s="388">
        <f t="shared" si="249"/>
        <v>38.942464346567704</v>
      </c>
      <c r="T616" s="441"/>
      <c r="V616" s="434">
        <f t="shared" ref="V616:V623" si="252">Q616/10</f>
        <v>16684120</v>
      </c>
      <c r="W616" s="786"/>
      <c r="X616" s="786"/>
    </row>
    <row r="617" spans="1:24" s="189" customFormat="1" ht="14.1" customHeight="1">
      <c r="A617" s="290"/>
      <c r="B617" s="253" t="s">
        <v>50</v>
      </c>
      <c r="C617" s="253" t="s">
        <v>894</v>
      </c>
      <c r="D617" s="1556">
        <f>'[4]TARGET MURNI DAN PERUBAHAN'!D533</f>
        <v>14500000</v>
      </c>
      <c r="E617" s="355">
        <f>[44]Januari!$E$70</f>
        <v>0</v>
      </c>
      <c r="F617" s="355">
        <f>[44]Februari!$E$70</f>
        <v>0</v>
      </c>
      <c r="G617" s="355">
        <f>[44]Maret!$E$70</f>
        <v>2000000</v>
      </c>
      <c r="H617" s="355">
        <f>[44]April!$E$70</f>
        <v>0</v>
      </c>
      <c r="I617" s="355">
        <f>[44]Mei!$E$70</f>
        <v>0</v>
      </c>
      <c r="J617" s="355">
        <f>[44]Juni!$E$70</f>
        <v>3000000</v>
      </c>
      <c r="K617" s="355">
        <f>[44]Juli!$E$70</f>
        <v>1000000</v>
      </c>
      <c r="L617" s="355">
        <f>[44]Agustus!$E$70</f>
        <v>0</v>
      </c>
      <c r="M617" s="355">
        <f>[44]September!$E$70</f>
        <v>3000000</v>
      </c>
      <c r="N617" s="355">
        <f>[44]Oktober!$E$70</f>
        <v>2000000</v>
      </c>
      <c r="O617" s="355">
        <f>[44]Nopember!$E$70</f>
        <v>2000000</v>
      </c>
      <c r="P617" s="355">
        <f>[44]Desember!$E$70</f>
        <v>3000000</v>
      </c>
      <c r="Q617" s="346">
        <f t="shared" si="251"/>
        <v>16000000</v>
      </c>
      <c r="R617" s="1630">
        <f t="shared" si="248"/>
        <v>1500000</v>
      </c>
      <c r="S617" s="388">
        <f t="shared" si="249"/>
        <v>110.34482758620689</v>
      </c>
      <c r="T617" s="441"/>
      <c r="V617" s="434">
        <f t="shared" si="252"/>
        <v>1600000</v>
      </c>
      <c r="W617" s="786"/>
      <c r="X617" s="786"/>
    </row>
    <row r="618" spans="1:24" s="189" customFormat="1" ht="14.1" customHeight="1">
      <c r="A618" s="290"/>
      <c r="B618" s="253" t="s">
        <v>50</v>
      </c>
      <c r="C618" s="253" t="s">
        <v>895</v>
      </c>
      <c r="D618" s="1556">
        <f>'[4]TARGET MURNI DAN PERUBAHAN'!D534</f>
        <v>50000000</v>
      </c>
      <c r="E618" s="355">
        <f>[44]Januari!$F$70</f>
        <v>0</v>
      </c>
      <c r="F618" s="355">
        <f>[44]Februari!$F$70</f>
        <v>3500000</v>
      </c>
      <c r="G618" s="355">
        <f>[44]Maret!$F$70</f>
        <v>480000</v>
      </c>
      <c r="H618" s="355">
        <f>[44]April!$F$70</f>
        <v>3000000</v>
      </c>
      <c r="I618" s="355">
        <f>[44]Mei!$F$70</f>
        <v>13000000</v>
      </c>
      <c r="J618" s="355">
        <f>[44]Juni!$F$70</f>
        <v>7000000</v>
      </c>
      <c r="K618" s="355">
        <f>[44]Juli!$F$70</f>
        <v>0</v>
      </c>
      <c r="L618" s="355">
        <f>[44]Agustus!$F$70</f>
        <v>0</v>
      </c>
      <c r="M618" s="355">
        <f>[44]September!$F$70</f>
        <v>2700000</v>
      </c>
      <c r="N618" s="355">
        <f>[44]Oktober!$F$70</f>
        <v>18250000</v>
      </c>
      <c r="O618" s="355">
        <f>[44]Nopember!$F$70</f>
        <v>0</v>
      </c>
      <c r="P618" s="355">
        <f>[44]Desember!$F$70</f>
        <v>7000000</v>
      </c>
      <c r="Q618" s="346">
        <f t="shared" si="251"/>
        <v>54930000</v>
      </c>
      <c r="R618" s="1630">
        <f t="shared" si="248"/>
        <v>4930000</v>
      </c>
      <c r="S618" s="388">
        <f t="shared" si="249"/>
        <v>109.86</v>
      </c>
      <c r="T618" s="441"/>
      <c r="V618" s="434">
        <f t="shared" si="252"/>
        <v>5493000</v>
      </c>
      <c r="W618" s="786"/>
      <c r="X618" s="786"/>
    </row>
    <row r="619" spans="1:24" s="189" customFormat="1" ht="14.1" customHeight="1">
      <c r="A619" s="290"/>
      <c r="B619" s="291" t="s">
        <v>50</v>
      </c>
      <c r="C619" s="253" t="s">
        <v>896</v>
      </c>
      <c r="D619" s="1556">
        <f>'[4]TARGET MURNI DAN PERUBAHAN'!D535</f>
        <v>40250000</v>
      </c>
      <c r="E619" s="355">
        <f>[44]Januari!$G$70</f>
        <v>0</v>
      </c>
      <c r="F619" s="355">
        <f>[44]Februari!$G$70</f>
        <v>5175000</v>
      </c>
      <c r="G619" s="355">
        <f>[44]Maret!$G$70</f>
        <v>0</v>
      </c>
      <c r="H619" s="355">
        <f>[44]April!$G$70</f>
        <v>5000000</v>
      </c>
      <c r="I619" s="355">
        <f>[44]Mei!$G$70</f>
        <v>0</v>
      </c>
      <c r="J619" s="355">
        <f>[44]Juni!$G$70</f>
        <v>3500000</v>
      </c>
      <c r="K619" s="355">
        <f>[44]Juli!$G$70</f>
        <v>5000000</v>
      </c>
      <c r="L619" s="355">
        <f>[44]Agustus!$G$70</f>
        <v>0</v>
      </c>
      <c r="M619" s="355">
        <f>[44]September!$G$70</f>
        <v>3500000</v>
      </c>
      <c r="N619" s="355">
        <f>[44]Oktober!$G$70</f>
        <v>6500000</v>
      </c>
      <c r="O619" s="355">
        <f>[44]Nopember!$G$70</f>
        <v>4525000</v>
      </c>
      <c r="P619" s="355">
        <f>[44]Desember!$G$70</f>
        <v>0</v>
      </c>
      <c r="Q619" s="346">
        <f t="shared" si="251"/>
        <v>33200000</v>
      </c>
      <c r="R619" s="1630">
        <f t="shared" si="248"/>
        <v>-7050000</v>
      </c>
      <c r="S619" s="388">
        <f t="shared" si="249"/>
        <v>82.484472049689444</v>
      </c>
      <c r="T619" s="441"/>
      <c r="V619" s="434">
        <f t="shared" si="252"/>
        <v>3320000</v>
      </c>
      <c r="W619" s="786"/>
      <c r="X619" s="786"/>
    </row>
    <row r="620" spans="1:24" s="189" customFormat="1" ht="14.1" customHeight="1">
      <c r="A620" s="290"/>
      <c r="B620" s="253" t="s">
        <v>50</v>
      </c>
      <c r="C620" s="253" t="s">
        <v>897</v>
      </c>
      <c r="D620" s="1556">
        <f>'[4]TARGET MURNI DAN PERUBAHAN'!D536</f>
        <v>25000000</v>
      </c>
      <c r="E620" s="355">
        <f>[44]Januari!$H$70</f>
        <v>600000</v>
      </c>
      <c r="F620" s="355">
        <f>[44]Februari!$H$70</f>
        <v>500000</v>
      </c>
      <c r="G620" s="355">
        <f>[44]Maret!$H$70</f>
        <v>650000</v>
      </c>
      <c r="H620" s="355">
        <f>[44]April!$H$70</f>
        <v>700000</v>
      </c>
      <c r="I620" s="355">
        <f>[44]Mei!$H$70</f>
        <v>500000</v>
      </c>
      <c r="J620" s="355">
        <f>[44]Juni!$H$70</f>
        <v>750000</v>
      </c>
      <c r="K620" s="355">
        <f>[44]Juli!$H$70</f>
        <v>650000</v>
      </c>
      <c r="L620" s="355">
        <f>[44]Agustus!$H$70</f>
        <v>0</v>
      </c>
      <c r="M620" s="355">
        <f>[44]September!$H$70</f>
        <v>1800000</v>
      </c>
      <c r="N620" s="355">
        <f>[44]Oktober!$H$70</f>
        <v>750000</v>
      </c>
      <c r="O620" s="355">
        <f>[44]Nopember!$H$70</f>
        <v>42550000</v>
      </c>
      <c r="P620" s="355">
        <f>[44]Desember!$H$70</f>
        <v>1000000</v>
      </c>
      <c r="Q620" s="346">
        <f t="shared" si="251"/>
        <v>50450000</v>
      </c>
      <c r="R620" s="1630">
        <f t="shared" si="248"/>
        <v>25450000</v>
      </c>
      <c r="S620" s="388">
        <f t="shared" si="249"/>
        <v>201.79999999999998</v>
      </c>
      <c r="T620" s="441"/>
      <c r="V620" s="434">
        <f t="shared" si="252"/>
        <v>5045000</v>
      </c>
      <c r="W620" s="786"/>
      <c r="X620" s="786"/>
    </row>
    <row r="621" spans="1:24" s="189" customFormat="1" ht="14.1" customHeight="1">
      <c r="A621" s="290"/>
      <c r="B621" s="253" t="s">
        <v>50</v>
      </c>
      <c r="C621" s="1814" t="s">
        <v>898</v>
      </c>
      <c r="D621" s="1556">
        <f>'[4]TARGET MURNI DAN PERUBAHAN'!D537</f>
        <v>0</v>
      </c>
      <c r="E621" s="355"/>
      <c r="F621" s="355"/>
      <c r="G621" s="355"/>
      <c r="H621" s="355"/>
      <c r="I621" s="355"/>
      <c r="J621" s="355"/>
      <c r="K621" s="355"/>
      <c r="L621" s="355"/>
      <c r="M621" s="355"/>
      <c r="N621" s="355"/>
      <c r="O621" s="355"/>
      <c r="P621" s="355"/>
      <c r="Q621" s="346">
        <f t="shared" si="251"/>
        <v>0</v>
      </c>
      <c r="R621" s="1630">
        <f t="shared" si="248"/>
        <v>0</v>
      </c>
      <c r="S621" s="388" t="e">
        <f t="shared" si="249"/>
        <v>#DIV/0!</v>
      </c>
      <c r="T621" s="441"/>
      <c r="V621" s="434">
        <f t="shared" si="252"/>
        <v>0</v>
      </c>
      <c r="W621" s="786"/>
      <c r="X621" s="786"/>
    </row>
    <row r="622" spans="1:24" s="189" customFormat="1" ht="14.1" customHeight="1">
      <c r="A622" s="290"/>
      <c r="B622" s="253" t="s">
        <v>50</v>
      </c>
      <c r="C622" s="253" t="s">
        <v>899</v>
      </c>
      <c r="D622" s="1556">
        <f>'[4]TARGET MURNI DAN PERUBAHAN'!D538</f>
        <v>60000000</v>
      </c>
      <c r="E622" s="355">
        <f>[44]Januari!$J$70</f>
        <v>0</v>
      </c>
      <c r="F622" s="355">
        <f>[44]Februari!$J$70</f>
        <v>0</v>
      </c>
      <c r="G622" s="355">
        <f>[44]Maret!$J$70</f>
        <v>1000000</v>
      </c>
      <c r="H622" s="355">
        <f>[44]April!$J$70</f>
        <v>0</v>
      </c>
      <c r="I622" s="355">
        <f>[44]Mei!$J$70</f>
        <v>25000000</v>
      </c>
      <c r="J622" s="355">
        <f>[44]Juni!$J$70</f>
        <v>0</v>
      </c>
      <c r="K622" s="355">
        <f>[44]Juli!$J$70</f>
        <v>0</v>
      </c>
      <c r="L622" s="355">
        <f>[44]Agustus!$J$70</f>
        <v>0</v>
      </c>
      <c r="M622" s="355">
        <f>[44]September!$J$70</f>
        <v>0</v>
      </c>
      <c r="N622" s="355">
        <f>[44]Oktober!$J$70</f>
        <v>0</v>
      </c>
      <c r="O622" s="355">
        <f>[44]Nopember!$J$70</f>
        <v>0</v>
      </c>
      <c r="P622" s="355">
        <f>[44]Desember!$J$70</f>
        <v>1000000</v>
      </c>
      <c r="Q622" s="346">
        <f t="shared" si="251"/>
        <v>27000000</v>
      </c>
      <c r="R622" s="1630">
        <f t="shared" si="248"/>
        <v>-33000000</v>
      </c>
      <c r="S622" s="388">
        <f t="shared" si="249"/>
        <v>45</v>
      </c>
      <c r="T622" s="441"/>
      <c r="V622" s="434">
        <f t="shared" si="252"/>
        <v>2700000</v>
      </c>
      <c r="W622" s="786"/>
      <c r="X622" s="786"/>
    </row>
    <row r="623" spans="1:24" s="189" customFormat="1" ht="14.1" customHeight="1">
      <c r="A623" s="290"/>
      <c r="B623" s="253" t="s">
        <v>50</v>
      </c>
      <c r="C623" s="1814" t="s">
        <v>900</v>
      </c>
      <c r="D623" s="1556">
        <f>'[4]TARGET MURNI DAN PERUBAHAN'!D539</f>
        <v>0</v>
      </c>
      <c r="E623" s="355">
        <f>[44]Januari!$K$70</f>
        <v>0</v>
      </c>
      <c r="F623" s="355">
        <f>[44]Februari!$K$70</f>
        <v>0</v>
      </c>
      <c r="G623" s="355">
        <f>[44]Maret!$K$70</f>
        <v>0</v>
      </c>
      <c r="H623" s="355">
        <f>[44]April!$K$70</f>
        <v>0</v>
      </c>
      <c r="I623" s="355">
        <f>[44]Mei!$K$70</f>
        <v>0</v>
      </c>
      <c r="J623" s="355">
        <f>[44]Juni!$K$70</f>
        <v>0</v>
      </c>
      <c r="K623" s="355">
        <f>[44]Juli!$K$70</f>
        <v>0</v>
      </c>
      <c r="L623" s="355">
        <f>[44]Agustus!$K$70</f>
        <v>0</v>
      </c>
      <c r="M623" s="355">
        <f>[44]September!$K$70</f>
        <v>0</v>
      </c>
      <c r="N623" s="355">
        <f>[44]Oktober!$K$70</f>
        <v>0</v>
      </c>
      <c r="O623" s="355">
        <f>[44]Nopember!$K$70</f>
        <v>0</v>
      </c>
      <c r="P623" s="355">
        <f>[44]Desember!$K$70</f>
        <v>0</v>
      </c>
      <c r="Q623" s="346">
        <f t="shared" si="251"/>
        <v>0</v>
      </c>
      <c r="R623" s="1630">
        <f t="shared" si="248"/>
        <v>0</v>
      </c>
      <c r="S623" s="388" t="e">
        <f t="shared" si="249"/>
        <v>#DIV/0!</v>
      </c>
      <c r="T623" s="441"/>
      <c r="V623" s="434">
        <f t="shared" si="252"/>
        <v>0</v>
      </c>
      <c r="W623" s="786"/>
      <c r="X623" s="786"/>
    </row>
    <row r="624" spans="1:24" s="189" customFormat="1" ht="14.1" customHeight="1">
      <c r="A624" s="290"/>
      <c r="B624" s="253" t="s">
        <v>50</v>
      </c>
      <c r="C624" s="1814" t="s">
        <v>901</v>
      </c>
      <c r="D624" s="1556">
        <f>'[4]TARGET MURNI DAN PERUBAHAN'!D540</f>
        <v>0</v>
      </c>
      <c r="E624" s="355">
        <f>[44]Januari!$L$70</f>
        <v>0</v>
      </c>
      <c r="F624" s="355">
        <f>[44]Februari!$L$70</f>
        <v>0</v>
      </c>
      <c r="G624" s="355">
        <f>[44]Maret!$L$70</f>
        <v>0</v>
      </c>
      <c r="H624" s="355">
        <f>[44]April!$L$70</f>
        <v>0</v>
      </c>
      <c r="I624" s="355">
        <f>[44]Mei!$L$70</f>
        <v>0</v>
      </c>
      <c r="J624" s="355">
        <f>[44]Juni!$L$70</f>
        <v>0</v>
      </c>
      <c r="K624" s="355">
        <f>[44]Juli!$L$70</f>
        <v>0</v>
      </c>
      <c r="L624" s="355">
        <f>[44]Agustus!$L$70</f>
        <v>0</v>
      </c>
      <c r="M624" s="355">
        <f>[44]September!$L$70</f>
        <v>0</v>
      </c>
      <c r="N624" s="355">
        <f>[44]Oktober!$L$70</f>
        <v>0</v>
      </c>
      <c r="O624" s="355">
        <f>[44]Nopember!$L$70</f>
        <v>0</v>
      </c>
      <c r="P624" s="355">
        <f>[44]Desember!$L$70</f>
        <v>0</v>
      </c>
      <c r="Q624" s="346">
        <f t="shared" si="251"/>
        <v>0</v>
      </c>
      <c r="R624" s="1630">
        <f t="shared" si="248"/>
        <v>0</v>
      </c>
      <c r="S624" s="388"/>
      <c r="T624" s="441"/>
      <c r="V624" s="786"/>
      <c r="W624" s="786"/>
      <c r="X624" s="786"/>
    </row>
    <row r="625" spans="1:24" s="189" customFormat="1" ht="14.1" customHeight="1">
      <c r="A625" s="290"/>
      <c r="B625" s="291"/>
      <c r="C625" s="253"/>
      <c r="D625" s="355"/>
      <c r="E625" s="355"/>
      <c r="F625" s="355"/>
      <c r="G625" s="355"/>
      <c r="H625" s="355"/>
      <c r="I625" s="355"/>
      <c r="J625" s="355"/>
      <c r="K625" s="355"/>
      <c r="L625" s="355"/>
      <c r="M625" s="355"/>
      <c r="N625" s="355"/>
      <c r="O625" s="355"/>
      <c r="P625" s="355"/>
      <c r="Q625" s="355"/>
      <c r="R625" s="1630"/>
      <c r="S625" s="388"/>
      <c r="T625" s="441"/>
      <c r="V625" s="786"/>
      <c r="W625" s="786"/>
      <c r="X625" s="786"/>
    </row>
    <row r="626" spans="1:24" s="190" customFormat="1" ht="14.1" customHeight="1">
      <c r="A626" s="290"/>
      <c r="B626" s="291" t="s">
        <v>361</v>
      </c>
      <c r="C626" s="291"/>
      <c r="D626" s="371">
        <f>SUM(D627:D633)</f>
        <v>805000000</v>
      </c>
      <c r="E626" s="371">
        <f t="shared" ref="E626:Q626" si="253">SUM(E627:E633)</f>
        <v>27080000</v>
      </c>
      <c r="F626" s="371">
        <f t="shared" si="253"/>
        <v>44450000</v>
      </c>
      <c r="G626" s="371">
        <f t="shared" si="253"/>
        <v>74286000</v>
      </c>
      <c r="H626" s="371">
        <f t="shared" si="253"/>
        <v>57017500</v>
      </c>
      <c r="I626" s="371">
        <f t="shared" si="253"/>
        <v>117469500</v>
      </c>
      <c r="J626" s="371">
        <f t="shared" si="253"/>
        <v>57630000</v>
      </c>
      <c r="K626" s="371">
        <f t="shared" si="253"/>
        <v>54527000</v>
      </c>
      <c r="L626" s="371">
        <f t="shared" si="253"/>
        <v>60296000</v>
      </c>
      <c r="M626" s="371">
        <f t="shared" si="253"/>
        <v>98981000</v>
      </c>
      <c r="N626" s="371">
        <f t="shared" si="253"/>
        <v>44770000</v>
      </c>
      <c r="O626" s="371">
        <f t="shared" si="253"/>
        <v>66565000</v>
      </c>
      <c r="P626" s="371">
        <f t="shared" si="253"/>
        <v>187869000</v>
      </c>
      <c r="Q626" s="367">
        <f t="shared" si="253"/>
        <v>890941000</v>
      </c>
      <c r="R626" s="1708">
        <f t="shared" ref="R626:R633" si="254">Q626-D626</f>
        <v>85941000</v>
      </c>
      <c r="S626" s="388">
        <f t="shared" ref="S626:S633" si="255">Q626/D626*100</f>
        <v>110.675900621118</v>
      </c>
      <c r="T626" s="454"/>
      <c r="V626" s="786"/>
      <c r="W626" s="786"/>
      <c r="X626" s="786"/>
    </row>
    <row r="627" spans="1:24" s="189" customFormat="1" ht="14.1" customHeight="1">
      <c r="A627" s="290"/>
      <c r="B627" s="253" t="s">
        <v>50</v>
      </c>
      <c r="C627" s="253" t="s">
        <v>902</v>
      </c>
      <c r="D627" s="1556">
        <f>'[4]TARGET MURNI DAN PERUBAHAN'!D543</f>
        <v>185000000</v>
      </c>
      <c r="E627" s="355">
        <f>[44]Januari!$M$70</f>
        <v>10000000</v>
      </c>
      <c r="F627" s="355">
        <f>[44]Februari!$M$70</f>
        <v>17400000</v>
      </c>
      <c r="G627" s="355">
        <f>[44]Maret!$M$70</f>
        <v>9750000</v>
      </c>
      <c r="H627" s="355">
        <f>[44]April!$M$70</f>
        <v>11900000</v>
      </c>
      <c r="I627" s="355">
        <f>[44]Mei!$M$70</f>
        <v>8200000</v>
      </c>
      <c r="J627" s="355">
        <f>[44]Juni!$M$70</f>
        <v>10750000</v>
      </c>
      <c r="K627" s="355">
        <f>[44]Juli!$M$70</f>
        <v>19000000</v>
      </c>
      <c r="L627" s="355">
        <f>[44]Agustus!$M$70</f>
        <v>14100000</v>
      </c>
      <c r="M627" s="355">
        <f>[44]September!$M$70</f>
        <v>16100000</v>
      </c>
      <c r="N627" s="355">
        <f>[44]Oktober!$M$70</f>
        <v>18600000</v>
      </c>
      <c r="O627" s="355">
        <f>[44]Nopember!$M$70</f>
        <v>16200000</v>
      </c>
      <c r="P627" s="355">
        <f>[44]Desember!$M$70</f>
        <v>33000000</v>
      </c>
      <c r="Q627" s="346">
        <f t="shared" ref="Q627:Q635" si="256">SUM(E627:P627)</f>
        <v>185000000</v>
      </c>
      <c r="R627" s="1630">
        <f t="shared" si="254"/>
        <v>0</v>
      </c>
      <c r="S627" s="388">
        <f t="shared" si="255"/>
        <v>100</v>
      </c>
      <c r="T627" s="441"/>
      <c r="V627" s="434">
        <f>Q627/10</f>
        <v>18500000</v>
      </c>
      <c r="W627" s="786"/>
      <c r="X627" s="786"/>
    </row>
    <row r="628" spans="1:24" s="189" customFormat="1" ht="14.1" customHeight="1">
      <c r="A628" s="290"/>
      <c r="B628" s="253" t="s">
        <v>50</v>
      </c>
      <c r="C628" s="253" t="s">
        <v>903</v>
      </c>
      <c r="D628" s="1556">
        <f>'[4]TARGET MURNI DAN PERUBAHAN'!D544</f>
        <v>155000000</v>
      </c>
      <c r="E628" s="355">
        <f>[44]Januari!$N$70</f>
        <v>1140000</v>
      </c>
      <c r="F628" s="355">
        <f>[44]Februari!$N$70</f>
        <v>14500000</v>
      </c>
      <c r="G628" s="355">
        <f>[44]Maret!$N$70</f>
        <v>11401000</v>
      </c>
      <c r="H628" s="355">
        <f>[44]April!$N$70</f>
        <v>18397500</v>
      </c>
      <c r="I628" s="355">
        <f>[44]Mei!$N$70</f>
        <v>23619500</v>
      </c>
      <c r="J628" s="355">
        <f>[44]Juni!$N$70</f>
        <v>9455000</v>
      </c>
      <c r="K628" s="355">
        <f>[44]Juli!$N$70</f>
        <v>6047000</v>
      </c>
      <c r="L628" s="355">
        <f>[44]Agustus!$N$70</f>
        <v>11658500</v>
      </c>
      <c r="M628" s="355">
        <f>[44]September!$N$70</f>
        <v>5556000</v>
      </c>
      <c r="N628" s="355">
        <f>[44]Oktober!$N$70</f>
        <v>21295000</v>
      </c>
      <c r="O628" s="355">
        <f>[44]Nopember!$N$70</f>
        <v>17265000</v>
      </c>
      <c r="P628" s="355">
        <f>[44]Desember!$N$70</f>
        <v>19819000</v>
      </c>
      <c r="Q628" s="346">
        <f t="shared" si="256"/>
        <v>160153500</v>
      </c>
      <c r="R628" s="1630">
        <f t="shared" si="254"/>
        <v>5153500</v>
      </c>
      <c r="S628" s="388">
        <f t="shared" si="255"/>
        <v>103.32483870967741</v>
      </c>
      <c r="T628" s="441"/>
      <c r="V628" s="434">
        <f t="shared" ref="V628:V633" si="257">Q628/10</f>
        <v>16015350</v>
      </c>
      <c r="W628" s="786"/>
      <c r="X628" s="786"/>
    </row>
    <row r="629" spans="1:24" s="189" customFormat="1" ht="14.1" customHeight="1">
      <c r="A629" s="290"/>
      <c r="B629" s="253" t="s">
        <v>50</v>
      </c>
      <c r="C629" s="253" t="s">
        <v>904</v>
      </c>
      <c r="D629" s="1556">
        <f>'[4]TARGET MURNI DAN PERUBAHAN'!D545</f>
        <v>85000000</v>
      </c>
      <c r="E629" s="355">
        <f>[44]Januari!$O$70</f>
        <v>4600000</v>
      </c>
      <c r="F629" s="355">
        <f>[44]Februari!$O$70</f>
        <v>12550000</v>
      </c>
      <c r="G629" s="355">
        <f>[44]Maret!$O$70</f>
        <v>9000000</v>
      </c>
      <c r="H629" s="355">
        <f>[44]April!$O$70</f>
        <v>9720000</v>
      </c>
      <c r="I629" s="355">
        <f>[44]Mei!$O$70</f>
        <v>6600000</v>
      </c>
      <c r="J629" s="355">
        <f>[44]Juni!$O$70</f>
        <v>5475000</v>
      </c>
      <c r="K629" s="355">
        <f>[44]Juli!$O$70</f>
        <v>2750000</v>
      </c>
      <c r="L629" s="355">
        <f>[44]Agustus!$O$70</f>
        <v>11727500</v>
      </c>
      <c r="M629" s="355">
        <f>[44]September!$O$70</f>
        <v>5300000</v>
      </c>
      <c r="N629" s="355">
        <f>[44]Oktober!$O$70</f>
        <v>3550000</v>
      </c>
      <c r="O629" s="355">
        <f>[44]Nopember!$O$70</f>
        <v>3000000</v>
      </c>
      <c r="P629" s="355">
        <f>[44]Desember!$O$70</f>
        <v>16500000</v>
      </c>
      <c r="Q629" s="346">
        <f t="shared" si="256"/>
        <v>90772500</v>
      </c>
      <c r="R629" s="1630">
        <f t="shared" si="254"/>
        <v>5772500</v>
      </c>
      <c r="S629" s="388">
        <f t="shared" si="255"/>
        <v>106.79117647058824</v>
      </c>
      <c r="T629" s="441"/>
      <c r="V629" s="434">
        <f t="shared" si="257"/>
        <v>9077250</v>
      </c>
      <c r="W629" s="786"/>
      <c r="X629" s="786"/>
    </row>
    <row r="630" spans="1:24" s="189" customFormat="1" ht="14.1" customHeight="1">
      <c r="A630" s="290"/>
      <c r="B630" s="253" t="s">
        <v>50</v>
      </c>
      <c r="C630" s="253" t="s">
        <v>905</v>
      </c>
      <c r="D630" s="1556">
        <f>'[4]TARGET MURNI DAN PERUBAHAN'!D549</f>
        <v>0</v>
      </c>
      <c r="E630" s="355">
        <f>[44]Januari!$P$70</f>
        <v>0</v>
      </c>
      <c r="F630" s="355">
        <f>[44]Februari!$P$70</f>
        <v>0</v>
      </c>
      <c r="G630" s="355">
        <f>[44]Maret!$P$70</f>
        <v>0</v>
      </c>
      <c r="H630" s="355">
        <f>[44]April!$P$70</f>
        <v>0</v>
      </c>
      <c r="I630" s="355">
        <f>[44]Mei!$P$70</f>
        <v>0</v>
      </c>
      <c r="J630" s="355">
        <f>[44]Juni!$P$70</f>
        <v>0</v>
      </c>
      <c r="K630" s="355">
        <f>[44]Juli!$P$70</f>
        <v>0</v>
      </c>
      <c r="L630" s="355">
        <f>[44]Agustus!$P$70</f>
        <v>0</v>
      </c>
      <c r="M630" s="355">
        <f>[44]September!$P$70</f>
        <v>0</v>
      </c>
      <c r="N630" s="355">
        <f>[44]Oktober!$P$70</f>
        <v>0</v>
      </c>
      <c r="O630" s="355">
        <f>[44]Nopember!$P$70</f>
        <v>0</v>
      </c>
      <c r="P630" s="355">
        <f>[44]Desember!$P$70</f>
        <v>0</v>
      </c>
      <c r="Q630" s="346">
        <f t="shared" si="256"/>
        <v>0</v>
      </c>
      <c r="R630" s="1630">
        <f t="shared" si="254"/>
        <v>0</v>
      </c>
      <c r="S630" s="388" t="e">
        <f t="shared" si="255"/>
        <v>#DIV/0!</v>
      </c>
      <c r="T630" s="441"/>
      <c r="V630" s="434">
        <f t="shared" si="257"/>
        <v>0</v>
      </c>
      <c r="W630" s="786"/>
      <c r="X630" s="786"/>
    </row>
    <row r="631" spans="1:24" s="189" customFormat="1" ht="14.1" customHeight="1">
      <c r="A631" s="290"/>
      <c r="B631" s="253" t="s">
        <v>50</v>
      </c>
      <c r="C631" s="253" t="s">
        <v>906</v>
      </c>
      <c r="D631" s="1556">
        <f>'[4]TARGET MURNI DAN PERUBAHAN'!D547</f>
        <v>15000000</v>
      </c>
      <c r="E631" s="355">
        <f>[44]Januari!$Q$70</f>
        <v>900000</v>
      </c>
      <c r="F631" s="355">
        <f>[44]Februari!$Q$70</f>
        <v>0</v>
      </c>
      <c r="G631" s="355">
        <f>[44]Maret!$Q$70</f>
        <v>2385000</v>
      </c>
      <c r="H631" s="355">
        <f>[44]April!$Q$70</f>
        <v>1000000</v>
      </c>
      <c r="I631" s="355">
        <f>[44]Mei!$Q$70</f>
        <v>1500000</v>
      </c>
      <c r="J631" s="355">
        <f>[44]Juni!$Q$70</f>
        <v>0</v>
      </c>
      <c r="K631" s="355">
        <f>[44]Juli!$Q$70</f>
        <v>2230000</v>
      </c>
      <c r="L631" s="355">
        <f>[44]Agustus!$Q$70</f>
        <v>1510000</v>
      </c>
      <c r="M631" s="355">
        <f>[44]September!$Q$70</f>
        <v>0</v>
      </c>
      <c r="N631" s="355">
        <f>[44]Oktober!$Q$70</f>
        <v>1325000</v>
      </c>
      <c r="O631" s="355">
        <f>[44]Nopember!$Q$70</f>
        <v>0</v>
      </c>
      <c r="P631" s="355">
        <f>[44]Desember!$Q$70</f>
        <v>4150000</v>
      </c>
      <c r="Q631" s="346">
        <f t="shared" si="256"/>
        <v>15000000</v>
      </c>
      <c r="R631" s="1630">
        <f t="shared" si="254"/>
        <v>0</v>
      </c>
      <c r="S631" s="388">
        <f t="shared" si="255"/>
        <v>100</v>
      </c>
      <c r="T631" s="441"/>
      <c r="V631" s="434">
        <f t="shared" si="257"/>
        <v>1500000</v>
      </c>
      <c r="W631" s="786"/>
      <c r="X631" s="786"/>
    </row>
    <row r="632" spans="1:24" s="189" customFormat="1" ht="14.1" customHeight="1">
      <c r="A632" s="290"/>
      <c r="B632" s="253" t="s">
        <v>50</v>
      </c>
      <c r="C632" s="253" t="s">
        <v>907</v>
      </c>
      <c r="D632" s="1556">
        <f>'[4]TARGET MURNI DAN PERUBAHAN'!D548</f>
        <v>30000000</v>
      </c>
      <c r="E632" s="355">
        <f>[44]Januari!$R$70</f>
        <v>0</v>
      </c>
      <c r="F632" s="355">
        <f>[44]Februari!$R$70</f>
        <v>0</v>
      </c>
      <c r="G632" s="355">
        <f>[44]Maret!$R$70</f>
        <v>2000000</v>
      </c>
      <c r="H632" s="355">
        <f>[44]April!$R$70</f>
        <v>0</v>
      </c>
      <c r="I632" s="355">
        <f>[44]Mei!$R$70</f>
        <v>0</v>
      </c>
      <c r="J632" s="355">
        <f>[44]Juni!$R$70</f>
        <v>0</v>
      </c>
      <c r="K632" s="355">
        <f>[44]Juli!$R$70</f>
        <v>2000000</v>
      </c>
      <c r="L632" s="355">
        <f>[44]Agustus!$R$70</f>
        <v>0</v>
      </c>
      <c r="M632" s="355">
        <f>[44]September!$R$70</f>
        <v>0</v>
      </c>
      <c r="N632" s="355">
        <f>[44]Oktober!$R$70</f>
        <v>0</v>
      </c>
      <c r="O632" s="355">
        <f>[44]Nopember!$R$70</f>
        <v>0</v>
      </c>
      <c r="P632" s="355">
        <f>[44]Desember!$R$70</f>
        <v>0</v>
      </c>
      <c r="Q632" s="346">
        <f t="shared" si="256"/>
        <v>4000000</v>
      </c>
      <c r="R632" s="1630">
        <f t="shared" si="254"/>
        <v>-26000000</v>
      </c>
      <c r="S632" s="388">
        <f t="shared" si="255"/>
        <v>13.333333333333334</v>
      </c>
      <c r="T632" s="441"/>
      <c r="V632" s="434">
        <f t="shared" si="257"/>
        <v>400000</v>
      </c>
      <c r="W632" s="786"/>
      <c r="X632" s="786"/>
    </row>
    <row r="633" spans="1:24" s="189" customFormat="1" ht="14.1" customHeight="1">
      <c r="A633" s="290"/>
      <c r="B633" s="253" t="s">
        <v>50</v>
      </c>
      <c r="C633" s="253" t="s">
        <v>908</v>
      </c>
      <c r="D633" s="1556">
        <f>'[4]TARGET MURNI DAN PERUBAHAN'!D546</f>
        <v>335000000</v>
      </c>
      <c r="E633" s="355">
        <f>[44]Januari!$I$70</f>
        <v>10440000</v>
      </c>
      <c r="F633" s="355">
        <f>[44]Februari!$I$70</f>
        <v>0</v>
      </c>
      <c r="G633" s="355">
        <f>[44]Maret!$I$70</f>
        <v>39750000</v>
      </c>
      <c r="H633" s="355">
        <f>[44]April!$I$70</f>
        <v>16000000</v>
      </c>
      <c r="I633" s="355">
        <f>[44]Mei!$I$70</f>
        <v>77550000</v>
      </c>
      <c r="J633" s="355">
        <f>[44]Juni!$I$70</f>
        <v>31950000</v>
      </c>
      <c r="K633" s="355">
        <f>[44]Juli!$I$70</f>
        <v>22500000</v>
      </c>
      <c r="L633" s="355">
        <f>[44]Agustus!$I$70</f>
        <v>21300000</v>
      </c>
      <c r="M633" s="355">
        <f>[44]September!$I$70</f>
        <v>72025000</v>
      </c>
      <c r="N633" s="355">
        <f>[44]Oktober!$I$70</f>
        <v>0</v>
      </c>
      <c r="O633" s="355">
        <f>[44]Nopember!$I$70</f>
        <v>30100000</v>
      </c>
      <c r="P633" s="355">
        <f>[44]Desember!$I$70</f>
        <v>114400000</v>
      </c>
      <c r="Q633" s="346">
        <f t="shared" si="256"/>
        <v>436015000</v>
      </c>
      <c r="R633" s="1630">
        <f t="shared" si="254"/>
        <v>101015000</v>
      </c>
      <c r="S633" s="388">
        <f t="shared" si="255"/>
        <v>130.1537313432836</v>
      </c>
      <c r="T633" s="1518"/>
      <c r="V633" s="434">
        <f t="shared" si="257"/>
        <v>43601500</v>
      </c>
      <c r="W633" s="786"/>
      <c r="X633" s="786"/>
    </row>
    <row r="634" spans="1:24" s="189" customFormat="1" ht="14.1" customHeight="1">
      <c r="A634" s="290"/>
      <c r="B634" s="253"/>
      <c r="C634" s="253"/>
      <c r="D634" s="355"/>
      <c r="E634" s="355"/>
      <c r="F634" s="355"/>
      <c r="G634" s="355"/>
      <c r="H634" s="355"/>
      <c r="I634" s="355"/>
      <c r="J634" s="355"/>
      <c r="K634" s="355"/>
      <c r="L634" s="355"/>
      <c r="M634" s="355"/>
      <c r="N634" s="355"/>
      <c r="O634" s="355"/>
      <c r="P634" s="355"/>
      <c r="Q634" s="355"/>
      <c r="R634" s="1630"/>
      <c r="S634" s="388"/>
      <c r="T634" s="1518"/>
      <c r="V634" s="786"/>
      <c r="W634" s="786"/>
      <c r="X634" s="786"/>
    </row>
    <row r="635" spans="1:24" s="189" customFormat="1" ht="14.1" customHeight="1">
      <c r="A635" s="290"/>
      <c r="B635" s="291" t="s">
        <v>909</v>
      </c>
      <c r="C635" s="253"/>
      <c r="D635" s="1815">
        <f>'[4]TARGET MURNI DAN PERUBAHAN'!D550</f>
        <v>0</v>
      </c>
      <c r="E635" s="371">
        <f>[44]Januari!$S$70</f>
        <v>0</v>
      </c>
      <c r="F635" s="371">
        <f>[44]Februari!$S$70</f>
        <v>0</v>
      </c>
      <c r="G635" s="371">
        <f>[44]Maret!$S$70</f>
        <v>0</v>
      </c>
      <c r="H635" s="371">
        <f>[44]April!$S$70</f>
        <v>0</v>
      </c>
      <c r="I635" s="371">
        <f>[44]Mei!$S$70</f>
        <v>0</v>
      </c>
      <c r="J635" s="371">
        <f>[44]Juni!$S$70</f>
        <v>0</v>
      </c>
      <c r="K635" s="371">
        <f>[44]Juli!$S$70</f>
        <v>0</v>
      </c>
      <c r="L635" s="371">
        <f>[44]Agustus!$S$70</f>
        <v>0</v>
      </c>
      <c r="M635" s="371">
        <f>[44]September!$S$70</f>
        <v>0</v>
      </c>
      <c r="N635" s="371">
        <f>[44]Oktober!$S$70</f>
        <v>0</v>
      </c>
      <c r="O635" s="371">
        <f>[44]Nopember!$S$70</f>
        <v>0</v>
      </c>
      <c r="P635" s="371">
        <f>[44]Desember!$S$70</f>
        <v>0</v>
      </c>
      <c r="Q635" s="346">
        <f t="shared" si="256"/>
        <v>0</v>
      </c>
      <c r="R635" s="1708">
        <f t="shared" ref="R635:R640" si="258">Q635-D635</f>
        <v>0</v>
      </c>
      <c r="S635" s="651" t="e">
        <f t="shared" ref="S635:S640" si="259">Q635/D635*100</f>
        <v>#DIV/0!</v>
      </c>
      <c r="T635" s="441"/>
      <c r="V635" s="786"/>
      <c r="W635" s="786"/>
      <c r="X635" s="786"/>
    </row>
    <row r="636" spans="1:24" s="189" customFormat="1" ht="14.1" customHeight="1">
      <c r="A636" s="290"/>
      <c r="B636" s="253"/>
      <c r="C636" s="253"/>
      <c r="D636" s="355"/>
      <c r="E636" s="355"/>
      <c r="F636" s="355"/>
      <c r="G636" s="355"/>
      <c r="H636" s="355"/>
      <c r="I636" s="355"/>
      <c r="J636" s="355"/>
      <c r="K636" s="355"/>
      <c r="L636" s="355"/>
      <c r="M636" s="355"/>
      <c r="N636" s="355"/>
      <c r="O636" s="355"/>
      <c r="P636" s="355"/>
      <c r="Q636" s="355"/>
      <c r="R636" s="1630"/>
      <c r="S636" s="388"/>
      <c r="T636" s="441"/>
      <c r="V636" s="786"/>
      <c r="W636" s="786"/>
      <c r="X636" s="786"/>
    </row>
    <row r="637" spans="1:24" s="189" customFormat="1" ht="14.1" customHeight="1">
      <c r="A637" s="290"/>
      <c r="B637" s="291" t="s">
        <v>71</v>
      </c>
      <c r="C637" s="291"/>
      <c r="D637" s="371">
        <f t="shared" ref="D637:Q637" si="260">SUM(D638:D642)</f>
        <v>0</v>
      </c>
      <c r="E637" s="973">
        <f t="shared" si="260"/>
        <v>2000000</v>
      </c>
      <c r="F637" s="973">
        <f t="shared" si="260"/>
        <v>2739900</v>
      </c>
      <c r="G637" s="973">
        <f t="shared" si="260"/>
        <v>773721.63</v>
      </c>
      <c r="H637" s="973">
        <f t="shared" si="260"/>
        <v>0</v>
      </c>
      <c r="I637" s="371">
        <f t="shared" si="260"/>
        <v>4526800</v>
      </c>
      <c r="J637" s="371">
        <f t="shared" si="260"/>
        <v>2715000</v>
      </c>
      <c r="K637" s="371">
        <f t="shared" si="260"/>
        <v>2440000</v>
      </c>
      <c r="L637" s="371">
        <f t="shared" si="260"/>
        <v>6578750</v>
      </c>
      <c r="M637" s="371">
        <f t="shared" si="260"/>
        <v>2110000</v>
      </c>
      <c r="N637" s="371">
        <f t="shared" si="260"/>
        <v>2700000</v>
      </c>
      <c r="O637" s="371">
        <f t="shared" si="260"/>
        <v>18937099.960000001</v>
      </c>
      <c r="P637" s="371">
        <f t="shared" si="260"/>
        <v>46749550</v>
      </c>
      <c r="Q637" s="371">
        <f t="shared" si="260"/>
        <v>92270821.590000004</v>
      </c>
      <c r="R637" s="1652">
        <f t="shared" si="258"/>
        <v>92270821.590000004</v>
      </c>
      <c r="S637" s="347" t="e">
        <f t="shared" si="259"/>
        <v>#DIV/0!</v>
      </c>
      <c r="T637" s="651"/>
      <c r="V637" s="786"/>
      <c r="W637" s="786"/>
      <c r="X637" s="786"/>
    </row>
    <row r="638" spans="1:24" s="189" customFormat="1" ht="14.1" customHeight="1">
      <c r="A638" s="292"/>
      <c r="B638" s="2759" t="s">
        <v>50</v>
      </c>
      <c r="C638" s="859" t="s">
        <v>710</v>
      </c>
      <c r="D638" s="355">
        <f>'[4]TARGET MURNI DAN PERUBAHAN'!D554</f>
        <v>0</v>
      </c>
      <c r="E638" s="355">
        <f>[44]Januari!$T$70</f>
        <v>0</v>
      </c>
      <c r="F638" s="355">
        <f>[44]Februari!$T$70</f>
        <v>0</v>
      </c>
      <c r="G638" s="355">
        <f>[44]Maret!$T$70</f>
        <v>0</v>
      </c>
      <c r="H638" s="355">
        <f>[44]April!$T$70</f>
        <v>0</v>
      </c>
      <c r="I638" s="355">
        <f>[44]Mei!$T$70</f>
        <v>0</v>
      </c>
      <c r="J638" s="355">
        <f>[44]Juni!$T$70</f>
        <v>0</v>
      </c>
      <c r="K638" s="355">
        <f>[44]Juli!$T$70</f>
        <v>0</v>
      </c>
      <c r="L638" s="355">
        <f>[44]Agustus!$T$70</f>
        <v>0</v>
      </c>
      <c r="M638" s="355">
        <f>[44]September!$T$70</f>
        <v>0</v>
      </c>
      <c r="N638" s="355">
        <f>[44]Oktober!$T$70</f>
        <v>0</v>
      </c>
      <c r="O638" s="355">
        <f>[44]Nopember!$T$70</f>
        <v>0</v>
      </c>
      <c r="P638" s="355">
        <f>[44]Desember!$T$70</f>
        <v>0</v>
      </c>
      <c r="Q638" s="346">
        <f>SUM(E638:P638)</f>
        <v>0</v>
      </c>
      <c r="R638" s="1630">
        <f t="shared" si="258"/>
        <v>0</v>
      </c>
      <c r="S638" s="388"/>
      <c r="T638" s="441"/>
      <c r="V638" s="786"/>
      <c r="W638" s="786"/>
      <c r="X638" s="786"/>
    </row>
    <row r="639" spans="1:24" s="189" customFormat="1" ht="14.1" customHeight="1">
      <c r="A639" s="292"/>
      <c r="B639" s="2759" t="s">
        <v>50</v>
      </c>
      <c r="C639" s="859" t="s">
        <v>711</v>
      </c>
      <c r="D639" s="371"/>
      <c r="E639" s="371">
        <f>[44]Januari!$U$70</f>
        <v>0</v>
      </c>
      <c r="F639" s="371">
        <f>[44]Februari!$U$70</f>
        <v>0</v>
      </c>
      <c r="G639" s="371">
        <f>[44]Maret!$U$70</f>
        <v>0</v>
      </c>
      <c r="H639" s="371">
        <f>[44]April!$U$70</f>
        <v>0</v>
      </c>
      <c r="I639" s="371">
        <f>[44]Mei!$U$70</f>
        <v>0</v>
      </c>
      <c r="J639" s="371">
        <f>[44]Juni!$U$70</f>
        <v>0</v>
      </c>
      <c r="K639" s="371">
        <f>[44]Juli!$U$70</f>
        <v>0</v>
      </c>
      <c r="L639" s="371">
        <f>[44]Agustus!$U$70</f>
        <v>0</v>
      </c>
      <c r="M639" s="371">
        <f>[44]September!$U$70</f>
        <v>0</v>
      </c>
      <c r="N639" s="371">
        <f>[44]Oktober!$U$70</f>
        <v>0</v>
      </c>
      <c r="O639" s="371">
        <f>[44]Nopember!$U$70</f>
        <v>0</v>
      </c>
      <c r="P639" s="371">
        <f>[44]Desember!$U$70</f>
        <v>0</v>
      </c>
      <c r="Q639" s="367">
        <f>SUM(E639:P639)</f>
        <v>0</v>
      </c>
      <c r="R639" s="1708">
        <f t="shared" si="258"/>
        <v>0</v>
      </c>
      <c r="S639" s="778"/>
      <c r="T639" s="651"/>
      <c r="V639" s="786"/>
      <c r="W639" s="786"/>
      <c r="X639" s="786"/>
    </row>
    <row r="640" spans="1:24" s="189" customFormat="1" ht="14.1" customHeight="1">
      <c r="A640" s="292"/>
      <c r="B640" s="2759" t="s">
        <v>50</v>
      </c>
      <c r="C640" s="859" t="s">
        <v>712</v>
      </c>
      <c r="D640" s="355">
        <v>0</v>
      </c>
      <c r="E640" s="355">
        <f>[44]Januari!$V$70</f>
        <v>0</v>
      </c>
      <c r="F640" s="355">
        <f>[44]Februari!$V$70</f>
        <v>0</v>
      </c>
      <c r="G640" s="355">
        <f>[44]Maret!$V$70</f>
        <v>0</v>
      </c>
      <c r="H640" s="355">
        <f>[44]April!$V$70</f>
        <v>0</v>
      </c>
      <c r="I640" s="355">
        <f>[44]Mei!$V$70</f>
        <v>0</v>
      </c>
      <c r="J640" s="355">
        <f>[44]Juni!$V$70</f>
        <v>0</v>
      </c>
      <c r="K640" s="355">
        <f>[44]Juli!$V$70</f>
        <v>0</v>
      </c>
      <c r="L640" s="355">
        <f>[44]Agustus!$V$70</f>
        <v>0</v>
      </c>
      <c r="M640" s="355">
        <f>[44]September!$V$70</f>
        <v>0</v>
      </c>
      <c r="N640" s="355">
        <f>[44]Oktober!$V$70</f>
        <v>0</v>
      </c>
      <c r="O640" s="355">
        <f>[44]Nopember!$V$70</f>
        <v>0</v>
      </c>
      <c r="P640" s="355">
        <f>[44]Desember!$V$70</f>
        <v>0</v>
      </c>
      <c r="Q640" s="346">
        <f>SUM(E640:P640)</f>
        <v>0</v>
      </c>
      <c r="R640" s="1630">
        <f t="shared" si="258"/>
        <v>0</v>
      </c>
      <c r="S640" s="388" t="e">
        <f t="shared" si="259"/>
        <v>#DIV/0!</v>
      </c>
      <c r="T640" s="441"/>
      <c r="V640" s="786"/>
      <c r="W640" s="786"/>
      <c r="X640" s="786"/>
    </row>
    <row r="641" spans="1:24" s="189" customFormat="1" ht="14.1" customHeight="1">
      <c r="A641" s="290"/>
      <c r="B641" s="2759" t="s">
        <v>50</v>
      </c>
      <c r="C641" s="859" t="s">
        <v>713</v>
      </c>
      <c r="D641" s="355"/>
      <c r="E641" s="355">
        <f>[44]Januari!$W$70</f>
        <v>2000000</v>
      </c>
      <c r="F641" s="355">
        <f>[44]Februari!$W$70</f>
        <v>2739900</v>
      </c>
      <c r="G641" s="355">
        <f>[44]Maret!$W$70</f>
        <v>773721.63</v>
      </c>
      <c r="H641" s="355">
        <f>[44]April!$W$70</f>
        <v>0</v>
      </c>
      <c r="I641" s="355">
        <f>[44]Mei!$W$70</f>
        <v>4526800</v>
      </c>
      <c r="J641" s="355">
        <f>[44]Juni!$W$70</f>
        <v>2715000</v>
      </c>
      <c r="K641" s="355">
        <f>[44]Juli!$W$70</f>
        <v>2440000</v>
      </c>
      <c r="L641" s="355">
        <f>[44]Agustus!$W$70</f>
        <v>6578750</v>
      </c>
      <c r="M641" s="355">
        <f>[44]September!$W$70</f>
        <v>2110000</v>
      </c>
      <c r="N641" s="355">
        <f>[44]Oktober!$W$70</f>
        <v>2700000</v>
      </c>
      <c r="O641" s="355">
        <f>[44]Nopember!$W$70</f>
        <v>18937099.960000001</v>
      </c>
      <c r="P641" s="355">
        <f>[44]Desember!$W$70</f>
        <v>46749550</v>
      </c>
      <c r="Q641" s="346">
        <f>SUM(E641:P641)</f>
        <v>92270821.590000004</v>
      </c>
      <c r="R641" s="1630"/>
      <c r="S641" s="388"/>
      <c r="T641" s="441"/>
      <c r="V641" s="786"/>
      <c r="W641" s="786"/>
      <c r="X641" s="786"/>
    </row>
    <row r="642" spans="1:24" s="189" customFormat="1" ht="14.1" customHeight="1">
      <c r="A642" s="290"/>
      <c r="B642" s="2759" t="s">
        <v>50</v>
      </c>
      <c r="C642" s="859" t="s">
        <v>714</v>
      </c>
      <c r="D642" s="1556">
        <f>'[4]TARGET MURNI DAN PERUBAHAN'!D557</f>
        <v>0</v>
      </c>
      <c r="E642" s="355">
        <v>0</v>
      </c>
      <c r="F642" s="355">
        <v>0</v>
      </c>
      <c r="G642" s="355">
        <v>0</v>
      </c>
      <c r="H642" s="355">
        <v>0</v>
      </c>
      <c r="I642" s="355">
        <v>0</v>
      </c>
      <c r="J642" s="355">
        <v>0</v>
      </c>
      <c r="K642" s="355">
        <v>0</v>
      </c>
      <c r="L642" s="355">
        <v>0</v>
      </c>
      <c r="M642" s="355">
        <v>0</v>
      </c>
      <c r="N642" s="355">
        <v>0</v>
      </c>
      <c r="O642" s="355">
        <v>0</v>
      </c>
      <c r="P642" s="355">
        <v>0</v>
      </c>
      <c r="Q642" s="346">
        <f>SUM(E642:P642)</f>
        <v>0</v>
      </c>
      <c r="R642" s="1672">
        <f t="shared" ref="R642:R648" si="261">Q642-D642</f>
        <v>0</v>
      </c>
      <c r="S642" s="388" t="e">
        <f t="shared" ref="S642:S648" si="262">Q642/D642*100</f>
        <v>#DIV/0!</v>
      </c>
      <c r="T642" s="441"/>
      <c r="V642" s="786"/>
      <c r="W642" s="786"/>
      <c r="X642" s="786"/>
    </row>
    <row r="643" spans="1:24" s="245" customFormat="1" ht="14.1" customHeight="1">
      <c r="A643" s="575"/>
      <c r="B643" s="306"/>
      <c r="C643" s="306"/>
      <c r="D643" s="380"/>
      <c r="E643" s="380"/>
      <c r="F643" s="380"/>
      <c r="G643" s="380"/>
      <c r="H643" s="380"/>
      <c r="I643" s="380"/>
      <c r="J643" s="380"/>
      <c r="K643" s="380"/>
      <c r="L643" s="380"/>
      <c r="M643" s="380"/>
      <c r="N643" s="380"/>
      <c r="O643" s="380"/>
      <c r="P643" s="380"/>
      <c r="Q643" s="380"/>
      <c r="R643" s="1625"/>
      <c r="S643" s="501"/>
      <c r="T643" s="560"/>
      <c r="V643" s="1593"/>
      <c r="W643" s="1593"/>
      <c r="X643" s="1593"/>
    </row>
    <row r="644" spans="1:24" s="244" customFormat="1" ht="14.1" customHeight="1">
      <c r="A644" s="1552" t="s">
        <v>910</v>
      </c>
      <c r="B644" s="1553" t="s">
        <v>911</v>
      </c>
      <c r="C644" s="298"/>
      <c r="D644" s="835">
        <f>D646+D650</f>
        <v>315000000</v>
      </c>
      <c r="E644" s="337">
        <f t="shared" ref="E644:Q644" si="263">E646+E650</f>
        <v>18004600</v>
      </c>
      <c r="F644" s="337">
        <f t="shared" si="263"/>
        <v>51683750</v>
      </c>
      <c r="G644" s="337">
        <f t="shared" si="263"/>
        <v>45704050</v>
      </c>
      <c r="H644" s="337">
        <f t="shared" si="263"/>
        <v>35075000</v>
      </c>
      <c r="I644" s="337">
        <f t="shared" si="263"/>
        <v>44371050</v>
      </c>
      <c r="J644" s="337">
        <f t="shared" si="263"/>
        <v>25836500</v>
      </c>
      <c r="K644" s="337">
        <f t="shared" si="263"/>
        <v>25789700</v>
      </c>
      <c r="L644" s="337">
        <f t="shared" si="263"/>
        <v>14837650</v>
      </c>
      <c r="M644" s="337">
        <f t="shared" si="263"/>
        <v>31223500</v>
      </c>
      <c r="N644" s="337">
        <f t="shared" si="263"/>
        <v>4390500</v>
      </c>
      <c r="O644" s="337">
        <f t="shared" si="263"/>
        <v>0</v>
      </c>
      <c r="P644" s="337">
        <f t="shared" si="263"/>
        <v>18634700</v>
      </c>
      <c r="Q644" s="337">
        <f t="shared" si="263"/>
        <v>315551000</v>
      </c>
      <c r="R644" s="1636">
        <f>+Q644-D644</f>
        <v>551000</v>
      </c>
      <c r="S644" s="338">
        <f>+Q644/D644*100</f>
        <v>100.17492063492064</v>
      </c>
      <c r="T644" s="432"/>
      <c r="V644" s="434"/>
      <c r="W644" s="434"/>
      <c r="X644" s="434"/>
    </row>
    <row r="645" spans="1:24" s="189" customFormat="1" ht="14.1" customHeight="1">
      <c r="A645" s="1554"/>
      <c r="B645" s="1338"/>
      <c r="C645" s="1329"/>
      <c r="D645" s="1654"/>
      <c r="E645" s="1655"/>
      <c r="F645" s="1655"/>
      <c r="G645" s="1655"/>
      <c r="H645" s="1655"/>
      <c r="I645" s="1655"/>
      <c r="J645" s="1655"/>
      <c r="K645" s="1655"/>
      <c r="L645" s="1655"/>
      <c r="M645" s="1655"/>
      <c r="N645" s="1655"/>
      <c r="O645" s="1655"/>
      <c r="P645" s="1655"/>
      <c r="Q645" s="1655"/>
      <c r="R645" s="1673"/>
      <c r="S645" s="1337"/>
      <c r="T645" s="1674"/>
      <c r="V645" s="786"/>
      <c r="W645" s="786"/>
      <c r="X645" s="786"/>
    </row>
    <row r="646" spans="1:24" s="189" customFormat="1" ht="14.1" customHeight="1">
      <c r="A646" s="290"/>
      <c r="B646" s="291" t="s">
        <v>106</v>
      </c>
      <c r="C646" s="291"/>
      <c r="D646" s="371">
        <f>D647</f>
        <v>315000000</v>
      </c>
      <c r="E646" s="367">
        <f t="shared" ref="E646:Q647" si="264">E647</f>
        <v>18004600</v>
      </c>
      <c r="F646" s="367">
        <f t="shared" si="264"/>
        <v>51683750</v>
      </c>
      <c r="G646" s="367">
        <f t="shared" si="264"/>
        <v>45704050</v>
      </c>
      <c r="H646" s="367">
        <f t="shared" si="264"/>
        <v>35075000</v>
      </c>
      <c r="I646" s="367">
        <f t="shared" si="264"/>
        <v>44371050</v>
      </c>
      <c r="J646" s="367">
        <f t="shared" si="264"/>
        <v>16606950</v>
      </c>
      <c r="K646" s="367">
        <f t="shared" si="264"/>
        <v>24969700</v>
      </c>
      <c r="L646" s="367">
        <f t="shared" si="264"/>
        <v>14837650</v>
      </c>
      <c r="M646" s="367">
        <f t="shared" si="264"/>
        <v>31223500</v>
      </c>
      <c r="N646" s="367">
        <f t="shared" si="264"/>
        <v>4390500</v>
      </c>
      <c r="O646" s="367">
        <f t="shared" si="264"/>
        <v>0</v>
      </c>
      <c r="P646" s="367">
        <f t="shared" si="264"/>
        <v>0</v>
      </c>
      <c r="Q646" s="367">
        <f t="shared" si="264"/>
        <v>286866750</v>
      </c>
      <c r="R646" s="1652">
        <f t="shared" si="261"/>
        <v>-28133250</v>
      </c>
      <c r="S646" s="347">
        <f t="shared" si="262"/>
        <v>91.06880952380952</v>
      </c>
      <c r="T646" s="454"/>
      <c r="V646" s="786"/>
      <c r="W646" s="786"/>
      <c r="X646" s="786"/>
    </row>
    <row r="647" spans="1:24" s="189" customFormat="1" ht="14.1" customHeight="1">
      <c r="A647" s="290"/>
      <c r="B647" s="253" t="s">
        <v>83</v>
      </c>
      <c r="C647" s="291"/>
      <c r="D647" s="355">
        <f>D648</f>
        <v>315000000</v>
      </c>
      <c r="E647" s="346">
        <f t="shared" si="264"/>
        <v>18004600</v>
      </c>
      <c r="F647" s="346">
        <f t="shared" si="264"/>
        <v>51683750</v>
      </c>
      <c r="G647" s="346">
        <f t="shared" si="264"/>
        <v>45704050</v>
      </c>
      <c r="H647" s="346">
        <f t="shared" si="264"/>
        <v>35075000</v>
      </c>
      <c r="I647" s="346">
        <f t="shared" si="264"/>
        <v>44371050</v>
      </c>
      <c r="J647" s="346">
        <f t="shared" si="264"/>
        <v>16606950</v>
      </c>
      <c r="K647" s="346">
        <f t="shared" si="264"/>
        <v>24969700</v>
      </c>
      <c r="L647" s="346">
        <f t="shared" si="264"/>
        <v>14837650</v>
      </c>
      <c r="M647" s="346">
        <f t="shared" si="264"/>
        <v>31223500</v>
      </c>
      <c r="N647" s="346">
        <f t="shared" si="264"/>
        <v>4390500</v>
      </c>
      <c r="O647" s="346">
        <f t="shared" si="264"/>
        <v>0</v>
      </c>
      <c r="P647" s="346">
        <f t="shared" si="264"/>
        <v>0</v>
      </c>
      <c r="Q647" s="346">
        <f t="shared" si="264"/>
        <v>286866750</v>
      </c>
      <c r="R647" s="1672">
        <f t="shared" si="261"/>
        <v>-28133250</v>
      </c>
      <c r="S647" s="347">
        <f t="shared" si="262"/>
        <v>91.06880952380952</v>
      </c>
      <c r="T647" s="438"/>
      <c r="V647" s="786"/>
      <c r="W647" s="786"/>
      <c r="X647" s="786"/>
    </row>
    <row r="648" spans="1:24" s="189" customFormat="1" ht="14.1" customHeight="1">
      <c r="A648" s="290"/>
      <c r="B648" s="253" t="s">
        <v>50</v>
      </c>
      <c r="C648" s="253" t="s">
        <v>912</v>
      </c>
      <c r="D648" s="1556">
        <f>'[4]TARGET MURNI DAN PERUBAHAN'!D563</f>
        <v>315000000</v>
      </c>
      <c r="E648" s="375">
        <f>[45]Januari!$D$35</f>
        <v>18004600</v>
      </c>
      <c r="F648" s="375">
        <f>[45]Februari!$D$35</f>
        <v>51683750</v>
      </c>
      <c r="G648" s="375">
        <f>[45]Maret!$D$35</f>
        <v>45704050</v>
      </c>
      <c r="H648" s="375">
        <f>[45]April!$D$35</f>
        <v>35075000</v>
      </c>
      <c r="I648" s="375">
        <f>[45]Mei!$D$35</f>
        <v>44371050</v>
      </c>
      <c r="J648" s="375">
        <f>[45]Juni!$D$35</f>
        <v>16606950</v>
      </c>
      <c r="K648" s="375">
        <f>[45]Juli!$D$35</f>
        <v>24969700</v>
      </c>
      <c r="L648" s="375">
        <f>[45]Agustus!$D$35</f>
        <v>14837650</v>
      </c>
      <c r="M648" s="375">
        <f>[45]September!$D$35</f>
        <v>31223500</v>
      </c>
      <c r="N648" s="375">
        <f>[45]Oktober!$D$35</f>
        <v>4390500</v>
      </c>
      <c r="O648" s="375">
        <f>[45]Nopember!$D$35</f>
        <v>0</v>
      </c>
      <c r="P648" s="375">
        <f>[45]Desember!$D$35</f>
        <v>0</v>
      </c>
      <c r="Q648" s="346">
        <f t="shared" ref="Q648:Q655" si="265">SUM(E648:P648)</f>
        <v>286866750</v>
      </c>
      <c r="R648" s="1630">
        <f t="shared" si="261"/>
        <v>-28133250</v>
      </c>
      <c r="S648" s="388">
        <f t="shared" si="262"/>
        <v>91.06880952380952</v>
      </c>
      <c r="T648" s="448"/>
      <c r="V648" s="434">
        <f>Q648/10</f>
        <v>28686675</v>
      </c>
      <c r="W648" s="786"/>
      <c r="X648" s="786"/>
    </row>
    <row r="649" spans="1:24" s="189" customFormat="1" ht="14.1" customHeight="1">
      <c r="A649" s="290"/>
      <c r="B649" s="253"/>
      <c r="C649" s="253"/>
      <c r="D649" s="355"/>
      <c r="E649" s="375"/>
      <c r="F649" s="375"/>
      <c r="G649" s="375"/>
      <c r="H649" s="375"/>
      <c r="I649" s="375"/>
      <c r="J649" s="375"/>
      <c r="K649" s="375"/>
      <c r="L649" s="375"/>
      <c r="M649" s="375"/>
      <c r="N649" s="375"/>
      <c r="O649" s="375"/>
      <c r="P649" s="375"/>
      <c r="Q649" s="375"/>
      <c r="R649" s="1676"/>
      <c r="S649" s="600"/>
      <c r="T649" s="448"/>
      <c r="V649" s="786"/>
      <c r="W649" s="786"/>
      <c r="X649" s="786"/>
    </row>
    <row r="650" spans="1:24" s="189" customFormat="1" ht="14.1" customHeight="1">
      <c r="A650" s="290"/>
      <c r="B650" s="291" t="s">
        <v>71</v>
      </c>
      <c r="C650" s="291"/>
      <c r="D650" s="371">
        <f>SUM(D651:D655)</f>
        <v>0</v>
      </c>
      <c r="E650" s="398">
        <f t="shared" ref="E650:Q650" si="266">SUM(E651:E655)</f>
        <v>0</v>
      </c>
      <c r="F650" s="398">
        <f t="shared" si="266"/>
        <v>0</v>
      </c>
      <c r="G650" s="398">
        <f t="shared" si="266"/>
        <v>0</v>
      </c>
      <c r="H650" s="398">
        <f t="shared" si="266"/>
        <v>0</v>
      </c>
      <c r="I650" s="398">
        <f t="shared" si="266"/>
        <v>0</v>
      </c>
      <c r="J650" s="398">
        <f t="shared" si="266"/>
        <v>9229550</v>
      </c>
      <c r="K650" s="398">
        <f t="shared" si="266"/>
        <v>820000</v>
      </c>
      <c r="L650" s="398">
        <f t="shared" si="266"/>
        <v>0</v>
      </c>
      <c r="M650" s="398">
        <f t="shared" si="266"/>
        <v>0</v>
      </c>
      <c r="N650" s="398">
        <f t="shared" si="266"/>
        <v>0</v>
      </c>
      <c r="O650" s="398">
        <f t="shared" si="266"/>
        <v>0</v>
      </c>
      <c r="P650" s="398">
        <f t="shared" si="266"/>
        <v>18634700</v>
      </c>
      <c r="Q650" s="398">
        <f t="shared" si="266"/>
        <v>28684250</v>
      </c>
      <c r="R650" s="1652">
        <f t="shared" ref="R650:R655" si="267">Q650-D650</f>
        <v>28684250</v>
      </c>
      <c r="S650" s="347" t="e">
        <f>Q650/D650*100</f>
        <v>#DIV/0!</v>
      </c>
      <c r="T650" s="699"/>
      <c r="V650" s="786"/>
      <c r="W650" s="786"/>
      <c r="X650" s="786"/>
    </row>
    <row r="651" spans="1:24" s="189" customFormat="1" ht="14.1" customHeight="1">
      <c r="A651" s="292"/>
      <c r="B651" s="2759" t="s">
        <v>50</v>
      </c>
      <c r="C651" s="859" t="s">
        <v>710</v>
      </c>
      <c r="D651" s="355">
        <v>0</v>
      </c>
      <c r="E651" s="355">
        <f>[45]Januari!$E$35</f>
        <v>0</v>
      </c>
      <c r="F651" s="355">
        <f>[45]Februari!$E$35</f>
        <v>0</v>
      </c>
      <c r="G651" s="355">
        <f>[45]Maret!$E$35</f>
        <v>0</v>
      </c>
      <c r="H651" s="355">
        <f>[45]April!$E$35</f>
        <v>0</v>
      </c>
      <c r="I651" s="355">
        <f>[45]Mei!$E$35</f>
        <v>0</v>
      </c>
      <c r="J651" s="355">
        <f>[45]Juni!$E$35</f>
        <v>0</v>
      </c>
      <c r="K651" s="355">
        <f>[45]Juli!$E$35</f>
        <v>0</v>
      </c>
      <c r="L651" s="355">
        <f>[45]Agustus!$E$35</f>
        <v>0</v>
      </c>
      <c r="M651" s="355">
        <f>[45]September!$E$35</f>
        <v>0</v>
      </c>
      <c r="N651" s="355">
        <f>[45]Oktober!$E$35</f>
        <v>0</v>
      </c>
      <c r="O651" s="355">
        <f>[45]Nopember!$E$35</f>
        <v>0</v>
      </c>
      <c r="P651" s="355">
        <f>[45]Desember!$E$35</f>
        <v>0</v>
      </c>
      <c r="Q651" s="346">
        <f t="shared" si="265"/>
        <v>0</v>
      </c>
      <c r="R651" s="1630">
        <f t="shared" si="267"/>
        <v>0</v>
      </c>
      <c r="S651" s="388"/>
      <c r="T651" s="441"/>
      <c r="V651" s="786"/>
      <c r="W651" s="786"/>
      <c r="X651" s="786"/>
    </row>
    <row r="652" spans="1:24" s="189" customFormat="1" ht="14.1" customHeight="1">
      <c r="A652" s="292"/>
      <c r="B652" s="2759" t="s">
        <v>50</v>
      </c>
      <c r="C652" s="859" t="s">
        <v>711</v>
      </c>
      <c r="D652" s="355">
        <v>0</v>
      </c>
      <c r="E652" s="355">
        <f>[45]Januari!$F$35</f>
        <v>0</v>
      </c>
      <c r="F652" s="355">
        <f>[45]Februari!$F$35</f>
        <v>0</v>
      </c>
      <c r="G652" s="355">
        <f>[45]Maret!$F$35</f>
        <v>0</v>
      </c>
      <c r="H652" s="355">
        <f>[45]April!$F$35</f>
        <v>0</v>
      </c>
      <c r="I652" s="355">
        <f>[45]Mei!$F$35</f>
        <v>0</v>
      </c>
      <c r="J652" s="355">
        <f>[45]Juni!$F$35</f>
        <v>0</v>
      </c>
      <c r="K652" s="355">
        <f>[45]Juli!$F$35</f>
        <v>0</v>
      </c>
      <c r="L652" s="355">
        <f>[45]Agustus!$F$35</f>
        <v>0</v>
      </c>
      <c r="M652" s="355">
        <f>[45]September!$F$35</f>
        <v>0</v>
      </c>
      <c r="N652" s="355">
        <f>[45]Oktober!$F$35</f>
        <v>0</v>
      </c>
      <c r="O652" s="355">
        <f>[45]Nopember!$F$35</f>
        <v>0</v>
      </c>
      <c r="P652" s="355">
        <f>[45]Desember!$F$35</f>
        <v>0</v>
      </c>
      <c r="Q652" s="346">
        <f t="shared" si="265"/>
        <v>0</v>
      </c>
      <c r="R652" s="1630">
        <f t="shared" si="267"/>
        <v>0</v>
      </c>
      <c r="S652" s="388"/>
      <c r="T652" s="441"/>
      <c r="V652" s="786"/>
      <c r="W652" s="786"/>
      <c r="X652" s="786"/>
    </row>
    <row r="653" spans="1:24" s="189" customFormat="1" ht="14.1" customHeight="1">
      <c r="A653" s="292"/>
      <c r="B653" s="2759" t="s">
        <v>50</v>
      </c>
      <c r="C653" s="859" t="s">
        <v>712</v>
      </c>
      <c r="D653" s="355">
        <v>0</v>
      </c>
      <c r="E653" s="355">
        <f>[45]Januari!$G$35</f>
        <v>0</v>
      </c>
      <c r="F653" s="355">
        <f>[45]Februari!$G$35</f>
        <v>0</v>
      </c>
      <c r="G653" s="355">
        <f>[45]Maret!$G$35</f>
        <v>0</v>
      </c>
      <c r="H653" s="355">
        <f>[45]April!$G$35</f>
        <v>0</v>
      </c>
      <c r="I653" s="355">
        <f>[45]Mei!$G$35</f>
        <v>0</v>
      </c>
      <c r="J653" s="355">
        <f>[45]Juni!$G$35</f>
        <v>0</v>
      </c>
      <c r="K653" s="355">
        <f>[45]Juli!$G$35</f>
        <v>0</v>
      </c>
      <c r="L653" s="355">
        <f>[45]Agustus!$G$35</f>
        <v>0</v>
      </c>
      <c r="M653" s="355">
        <f>[45]September!$G$35</f>
        <v>0</v>
      </c>
      <c r="N653" s="355">
        <f>[45]Oktober!$G$35</f>
        <v>0</v>
      </c>
      <c r="O653" s="355">
        <f>[45]Nopember!$G$35</f>
        <v>0</v>
      </c>
      <c r="P653" s="355">
        <f>[45]Desember!$G$35</f>
        <v>0</v>
      </c>
      <c r="Q653" s="346">
        <f t="shared" si="265"/>
        <v>0</v>
      </c>
      <c r="R653" s="1630">
        <f t="shared" si="267"/>
        <v>0</v>
      </c>
      <c r="S653" s="388"/>
      <c r="T653" s="441"/>
      <c r="V653" s="786"/>
      <c r="W653" s="786"/>
      <c r="X653" s="786"/>
    </row>
    <row r="654" spans="1:24" s="189" customFormat="1" ht="14.1" customHeight="1">
      <c r="A654" s="290"/>
      <c r="B654" s="2759" t="s">
        <v>50</v>
      </c>
      <c r="C654" s="859" t="s">
        <v>713</v>
      </c>
      <c r="D654" s="1556">
        <f>'[4]TARGET MURNI DAN PERUBAHAN'!D568</f>
        <v>0</v>
      </c>
      <c r="E654" s="355">
        <f>[45]Januari!$H$35</f>
        <v>0</v>
      </c>
      <c r="F654" s="355">
        <f>[45]Februari!$H$35</f>
        <v>0</v>
      </c>
      <c r="G654" s="355">
        <f>[45]Maret!$H$35</f>
        <v>0</v>
      </c>
      <c r="H654" s="355">
        <f>[45]April!$H$35</f>
        <v>0</v>
      </c>
      <c r="I654" s="355">
        <f>[45]Mei!$H$35</f>
        <v>0</v>
      </c>
      <c r="J654" s="355">
        <f>[45]Juni!$H$35</f>
        <v>9229550</v>
      </c>
      <c r="K654" s="355">
        <f>[45]Juli!$H$35</f>
        <v>820000</v>
      </c>
      <c r="L654" s="355">
        <f>[45]Agustus!$H$35</f>
        <v>0</v>
      </c>
      <c r="M654" s="355">
        <f>[45]September!$H$35</f>
        <v>0</v>
      </c>
      <c r="N654" s="355">
        <f>[45]Oktober!$H$35</f>
        <v>0</v>
      </c>
      <c r="O654" s="355">
        <f>[45]Nopember!$H$35</f>
        <v>0</v>
      </c>
      <c r="P654" s="355">
        <f>[45]Desember!$H$35</f>
        <v>18634700</v>
      </c>
      <c r="Q654" s="346">
        <f t="shared" si="265"/>
        <v>28684250</v>
      </c>
      <c r="R654" s="1630">
        <f t="shared" si="267"/>
        <v>28684250</v>
      </c>
      <c r="S654" s="388"/>
      <c r="T654" s="448"/>
      <c r="V654" s="786"/>
      <c r="W654" s="786"/>
      <c r="X654" s="786"/>
    </row>
    <row r="655" spans="1:24" s="189" customFormat="1" ht="14.1" customHeight="1">
      <c r="A655" s="290"/>
      <c r="B655" s="2759" t="s">
        <v>50</v>
      </c>
      <c r="C655" s="859" t="s">
        <v>714</v>
      </c>
      <c r="D655" s="1556">
        <f>'[4]TARGET MURNI DAN PERUBAHAN'!D569</f>
        <v>0</v>
      </c>
      <c r="E655" s="355">
        <v>0</v>
      </c>
      <c r="F655" s="355">
        <v>0</v>
      </c>
      <c r="G655" s="355">
        <v>0</v>
      </c>
      <c r="H655" s="355">
        <v>0</v>
      </c>
      <c r="I655" s="355">
        <v>0</v>
      </c>
      <c r="J655" s="355">
        <v>0</v>
      </c>
      <c r="K655" s="355">
        <v>0</v>
      </c>
      <c r="L655" s="355">
        <v>0</v>
      </c>
      <c r="M655" s="355">
        <v>0</v>
      </c>
      <c r="N655" s="355">
        <v>0</v>
      </c>
      <c r="O655" s="355">
        <v>0</v>
      </c>
      <c r="P655" s="355">
        <v>0</v>
      </c>
      <c r="Q655" s="346">
        <f t="shared" si="265"/>
        <v>0</v>
      </c>
      <c r="R655" s="1672">
        <f t="shared" si="267"/>
        <v>0</v>
      </c>
      <c r="S655" s="347" t="e">
        <f>Q655/D655*100</f>
        <v>#DIV/0!</v>
      </c>
      <c r="T655" s="448"/>
      <c r="V655" s="786"/>
      <c r="W655" s="786"/>
      <c r="X655" s="786"/>
    </row>
    <row r="656" spans="1:24" s="245" customFormat="1" ht="14.1" customHeight="1">
      <c r="A656" s="575"/>
      <c r="B656" s="306"/>
      <c r="C656" s="306"/>
      <c r="D656" s="380"/>
      <c r="E656" s="379"/>
      <c r="F656" s="379"/>
      <c r="G656" s="379"/>
      <c r="H656" s="379"/>
      <c r="I656" s="379"/>
      <c r="J656" s="379"/>
      <c r="K656" s="379"/>
      <c r="L656" s="379"/>
      <c r="M656" s="379"/>
      <c r="N656" s="379"/>
      <c r="O656" s="379"/>
      <c r="P656" s="379"/>
      <c r="Q656" s="379"/>
      <c r="R656" s="1625"/>
      <c r="S656" s="501"/>
      <c r="T656" s="549"/>
      <c r="V656" s="1593"/>
      <c r="W656" s="1593"/>
      <c r="X656" s="1593"/>
    </row>
    <row r="657" spans="1:24" s="244" customFormat="1" ht="14.1" customHeight="1">
      <c r="A657" s="1696" t="s">
        <v>913</v>
      </c>
      <c r="B657" s="1553" t="s">
        <v>914</v>
      </c>
      <c r="C657" s="298"/>
      <c r="D657" s="835">
        <f>D659</f>
        <v>0</v>
      </c>
      <c r="E657" s="337">
        <f t="shared" ref="E657:Q657" si="268">E659</f>
        <v>0</v>
      </c>
      <c r="F657" s="337">
        <f t="shared" si="268"/>
        <v>0</v>
      </c>
      <c r="G657" s="337">
        <f t="shared" si="268"/>
        <v>0</v>
      </c>
      <c r="H657" s="337">
        <f t="shared" si="268"/>
        <v>0</v>
      </c>
      <c r="I657" s="337">
        <f t="shared" si="268"/>
        <v>0</v>
      </c>
      <c r="J657" s="337">
        <f t="shared" si="268"/>
        <v>0</v>
      </c>
      <c r="K657" s="337">
        <f t="shared" si="268"/>
        <v>0</v>
      </c>
      <c r="L657" s="337">
        <f t="shared" si="268"/>
        <v>0</v>
      </c>
      <c r="M657" s="337">
        <f t="shared" si="268"/>
        <v>0</v>
      </c>
      <c r="N657" s="337">
        <f t="shared" si="268"/>
        <v>0</v>
      </c>
      <c r="O657" s="337">
        <f t="shared" si="268"/>
        <v>0</v>
      </c>
      <c r="P657" s="337">
        <f t="shared" si="268"/>
        <v>17314100</v>
      </c>
      <c r="Q657" s="337">
        <f t="shared" si="268"/>
        <v>0</v>
      </c>
      <c r="R657" s="1636">
        <f>+Q657-D657</f>
        <v>0</v>
      </c>
      <c r="S657" s="338" t="e">
        <f>+Q657/D657*100</f>
        <v>#DIV/0!</v>
      </c>
      <c r="T657" s="432"/>
      <c r="V657" s="434"/>
      <c r="W657" s="434"/>
      <c r="X657" s="434"/>
    </row>
    <row r="658" spans="1:24" s="189" customFormat="1" ht="14.1" customHeight="1">
      <c r="A658" s="1554"/>
      <c r="B658" s="1338"/>
      <c r="C658" s="1338"/>
      <c r="D658" s="1654"/>
      <c r="E658" s="1655"/>
      <c r="F658" s="1655"/>
      <c r="G658" s="1655"/>
      <c r="H658" s="1655"/>
      <c r="I658" s="1655"/>
      <c r="J658" s="1655"/>
      <c r="K658" s="1655"/>
      <c r="L658" s="1655"/>
      <c r="M658" s="1655"/>
      <c r="N658" s="1655"/>
      <c r="O658" s="1655"/>
      <c r="P658" s="1655"/>
      <c r="Q658" s="1655"/>
      <c r="R658" s="1628"/>
      <c r="S658" s="1337"/>
      <c r="T658" s="1819"/>
      <c r="V658" s="786"/>
      <c r="W658" s="786"/>
      <c r="X658" s="786"/>
    </row>
    <row r="659" spans="1:24" s="189" customFormat="1" ht="14.1" customHeight="1">
      <c r="A659" s="290"/>
      <c r="B659" s="291" t="s">
        <v>71</v>
      </c>
      <c r="C659" s="291"/>
      <c r="D659" s="371">
        <f>SUM(D660:D664)</f>
        <v>0</v>
      </c>
      <c r="E659" s="371">
        <f t="shared" ref="E659:Q659" si="269">SUM(E660:E664)</f>
        <v>0</v>
      </c>
      <c r="F659" s="371">
        <f t="shared" si="269"/>
        <v>0</v>
      </c>
      <c r="G659" s="371">
        <f t="shared" si="269"/>
        <v>0</v>
      </c>
      <c r="H659" s="371">
        <f t="shared" si="269"/>
        <v>0</v>
      </c>
      <c r="I659" s="371">
        <f t="shared" si="269"/>
        <v>0</v>
      </c>
      <c r="J659" s="371">
        <f t="shared" si="269"/>
        <v>0</v>
      </c>
      <c r="K659" s="371">
        <f t="shared" si="269"/>
        <v>0</v>
      </c>
      <c r="L659" s="371">
        <f t="shared" si="269"/>
        <v>0</v>
      </c>
      <c r="M659" s="371">
        <f t="shared" si="269"/>
        <v>0</v>
      </c>
      <c r="N659" s="371">
        <f t="shared" si="269"/>
        <v>0</v>
      </c>
      <c r="O659" s="371">
        <f t="shared" si="269"/>
        <v>0</v>
      </c>
      <c r="P659" s="371">
        <f t="shared" si="269"/>
        <v>17314100</v>
      </c>
      <c r="Q659" s="371">
        <f t="shared" si="269"/>
        <v>0</v>
      </c>
      <c r="R659" s="1652">
        <f>Q659-D659</f>
        <v>0</v>
      </c>
      <c r="S659" s="347" t="e">
        <f>Q659/D659*100</f>
        <v>#DIV/0!</v>
      </c>
      <c r="T659" s="1461"/>
      <c r="V659" s="786"/>
      <c r="W659" s="786"/>
      <c r="X659" s="786"/>
    </row>
    <row r="660" spans="1:24" s="189" customFormat="1" ht="14.1" customHeight="1">
      <c r="A660" s="292"/>
      <c r="B660" s="2759" t="s">
        <v>50</v>
      </c>
      <c r="C660" s="859" t="s">
        <v>710</v>
      </c>
      <c r="D660" s="355">
        <v>0</v>
      </c>
      <c r="E660" s="355">
        <f>[50]Januari!$D$35</f>
        <v>0</v>
      </c>
      <c r="F660" s="355">
        <f>[50]Februari!$D$35</f>
        <v>0</v>
      </c>
      <c r="G660" s="355">
        <f>[50]Maret!$D$35</f>
        <v>0</v>
      </c>
      <c r="H660" s="355">
        <f>[50]April!$D$35</f>
        <v>0</v>
      </c>
      <c r="I660" s="355">
        <f>[50]Mei!$D$35</f>
        <v>0</v>
      </c>
      <c r="J660" s="355">
        <f>[50]Juni!$D$35</f>
        <v>0</v>
      </c>
      <c r="K660" s="355">
        <f>[50]Juli!$D$35</f>
        <v>0</v>
      </c>
      <c r="L660" s="355">
        <f>[50]Agustus!$D$35</f>
        <v>0</v>
      </c>
      <c r="M660" s="355">
        <f>[50]September!$D$35</f>
        <v>0</v>
      </c>
      <c r="N660" s="355">
        <f>[50]Oktober!$D$35</f>
        <v>0</v>
      </c>
      <c r="O660" s="355">
        <f>[50]Nopember!$D$35</f>
        <v>0</v>
      </c>
      <c r="P660" s="355">
        <f>[50]Desember!$D$35</f>
        <v>0</v>
      </c>
      <c r="Q660" s="346">
        <f>SUM(E660:P660)</f>
        <v>0</v>
      </c>
      <c r="R660" s="1630">
        <f>Q660-D660</f>
        <v>0</v>
      </c>
      <c r="S660" s="388"/>
      <c r="T660" s="1461"/>
      <c r="V660" s="786"/>
      <c r="W660" s="786"/>
      <c r="X660" s="786"/>
    </row>
    <row r="661" spans="1:24" s="189" customFormat="1" ht="14.1" customHeight="1">
      <c r="A661" s="292"/>
      <c r="B661" s="2759" t="s">
        <v>50</v>
      </c>
      <c r="C661" s="859" t="s">
        <v>711</v>
      </c>
      <c r="D661" s="355">
        <v>0</v>
      </c>
      <c r="E661" s="355">
        <f>[50]Januari!$E$35</f>
        <v>0</v>
      </c>
      <c r="F661" s="355">
        <f>[50]Februari!$E$35</f>
        <v>0</v>
      </c>
      <c r="G661" s="355">
        <f>[50]Maret!$E$35</f>
        <v>0</v>
      </c>
      <c r="H661" s="355">
        <f>[50]April!$E$35</f>
        <v>0</v>
      </c>
      <c r="I661" s="355">
        <f>[50]Mei!$E$35</f>
        <v>0</v>
      </c>
      <c r="J661" s="355">
        <f>[50]Juni!$E$35</f>
        <v>0</v>
      </c>
      <c r="K661" s="355">
        <f>[50]Juli!$E$35</f>
        <v>0</v>
      </c>
      <c r="L661" s="355">
        <f>[50]Agustus!$E$35</f>
        <v>0</v>
      </c>
      <c r="M661" s="355">
        <f>[50]September!$E$35</f>
        <v>0</v>
      </c>
      <c r="N661" s="355">
        <f>[50]Oktober!$E$35</f>
        <v>0</v>
      </c>
      <c r="O661" s="355">
        <f>[50]Nopember!$E$35</f>
        <v>0</v>
      </c>
      <c r="P661" s="355">
        <f>[50]Desember!$E$35</f>
        <v>0</v>
      </c>
      <c r="Q661" s="346">
        <f>SUM(E661:P661)</f>
        <v>0</v>
      </c>
      <c r="R661" s="1630">
        <f>Q661-D661</f>
        <v>0</v>
      </c>
      <c r="S661" s="388"/>
      <c r="T661" s="1461"/>
      <c r="V661" s="786"/>
      <c r="W661" s="786"/>
      <c r="X661" s="786"/>
    </row>
    <row r="662" spans="1:24" s="189" customFormat="1" ht="14.1" customHeight="1">
      <c r="A662" s="292"/>
      <c r="B662" s="2759" t="s">
        <v>50</v>
      </c>
      <c r="C662" s="859" t="s">
        <v>712</v>
      </c>
      <c r="D662" s="355">
        <v>0</v>
      </c>
      <c r="E662" s="355">
        <f>[50]Januari!$F$35</f>
        <v>0</v>
      </c>
      <c r="F662" s="355">
        <f>[50]Februari!$F$35</f>
        <v>0</v>
      </c>
      <c r="G662" s="355">
        <f>[50]Maret!$F$35</f>
        <v>0</v>
      </c>
      <c r="H662" s="355">
        <f>[50]April!$F$35</f>
        <v>0</v>
      </c>
      <c r="I662" s="355">
        <f>[50]Mei!$F$35</f>
        <v>0</v>
      </c>
      <c r="J662" s="355">
        <f>[50]Juni!$F$35</f>
        <v>0</v>
      </c>
      <c r="K662" s="355">
        <f>[50]Juli!$F$35</f>
        <v>0</v>
      </c>
      <c r="L662" s="355">
        <f>[50]Agustus!$F$35</f>
        <v>0</v>
      </c>
      <c r="M662" s="355">
        <f>[50]September!$F$35</f>
        <v>0</v>
      </c>
      <c r="N662" s="355">
        <f>[50]Oktober!$F$35</f>
        <v>0</v>
      </c>
      <c r="O662" s="355">
        <f>[50]Nopember!$F$35</f>
        <v>0</v>
      </c>
      <c r="P662" s="355">
        <f>[50]Desember!$F$35</f>
        <v>0</v>
      </c>
      <c r="Q662" s="346">
        <f>SUM(E662:P662)</f>
        <v>0</v>
      </c>
      <c r="R662" s="1630">
        <f>Q662-D662</f>
        <v>0</v>
      </c>
      <c r="S662" s="347" t="e">
        <f>Q662/D662*100</f>
        <v>#DIV/0!</v>
      </c>
      <c r="T662" s="1461"/>
      <c r="V662" s="786"/>
      <c r="W662" s="786"/>
      <c r="X662" s="786"/>
    </row>
    <row r="663" spans="1:24" s="189" customFormat="1" ht="14.1" customHeight="1">
      <c r="A663" s="292"/>
      <c r="B663" s="2759" t="s">
        <v>50</v>
      </c>
      <c r="C663" s="859" t="s">
        <v>713</v>
      </c>
      <c r="D663" s="355"/>
      <c r="E663" s="355">
        <f>[50]Januari!$G$35</f>
        <v>0</v>
      </c>
      <c r="F663" s="355">
        <f>[50]Februari!$G$35</f>
        <v>0</v>
      </c>
      <c r="G663" s="355">
        <f>[50]Maret!$G$35</f>
        <v>0</v>
      </c>
      <c r="H663" s="355">
        <f>[50]April!$G$35</f>
        <v>0</v>
      </c>
      <c r="I663" s="355">
        <f>[50]Mei!$G$35</f>
        <v>0</v>
      </c>
      <c r="J663" s="355">
        <f>[50]Juni!$G$35</f>
        <v>0</v>
      </c>
      <c r="K663" s="355">
        <f>[50]Juli!$G$35</f>
        <v>0</v>
      </c>
      <c r="L663" s="355">
        <f>[50]Agustus!$G$35</f>
        <v>0</v>
      </c>
      <c r="M663" s="355">
        <f>[50]September!$G$35</f>
        <v>0</v>
      </c>
      <c r="N663" s="355">
        <f>[50]Oktober!$G$35</f>
        <v>0</v>
      </c>
      <c r="O663" s="355">
        <f>[50]Nopember!$G$35</f>
        <v>0</v>
      </c>
      <c r="P663" s="355">
        <f>[50]Desember!$G$35</f>
        <v>17314100</v>
      </c>
      <c r="Q663" s="346"/>
      <c r="R663" s="1630"/>
      <c r="S663" s="347"/>
      <c r="T663" s="1461"/>
      <c r="V663" s="786"/>
      <c r="W663" s="786"/>
      <c r="X663" s="786"/>
    </row>
    <row r="664" spans="1:24" s="189" customFormat="1" ht="14.1" customHeight="1">
      <c r="A664" s="292"/>
      <c r="B664" s="2759" t="s">
        <v>50</v>
      </c>
      <c r="C664" s="859" t="s">
        <v>714</v>
      </c>
      <c r="D664" s="355">
        <f>'[4]TARGET MURNI DAN PERUBAHAN'!D578</f>
        <v>0</v>
      </c>
      <c r="E664" s="355">
        <v>0</v>
      </c>
      <c r="F664" s="355">
        <v>0</v>
      </c>
      <c r="G664" s="355">
        <v>0</v>
      </c>
      <c r="H664" s="355">
        <v>0</v>
      </c>
      <c r="I664" s="355">
        <v>0</v>
      </c>
      <c r="J664" s="355">
        <v>0</v>
      </c>
      <c r="K664" s="355">
        <v>0</v>
      </c>
      <c r="L664" s="355">
        <v>0</v>
      </c>
      <c r="M664" s="355">
        <v>0</v>
      </c>
      <c r="N664" s="355">
        <v>0</v>
      </c>
      <c r="O664" s="355">
        <v>0</v>
      </c>
      <c r="P664" s="355">
        <v>0</v>
      </c>
      <c r="Q664" s="346">
        <f>SUM(E664:P664)</f>
        <v>0</v>
      </c>
      <c r="R664" s="1630">
        <f t="shared" ref="R664:R670" si="270">Q664-D664</f>
        <v>0</v>
      </c>
      <c r="S664" s="388"/>
      <c r="T664" s="1461"/>
      <c r="V664" s="786"/>
      <c r="W664" s="786"/>
      <c r="X664" s="786"/>
    </row>
    <row r="665" spans="1:24" s="245" customFormat="1" ht="14.1" customHeight="1">
      <c r="A665" s="575"/>
      <c r="B665" s="306"/>
      <c r="C665" s="306"/>
      <c r="D665" s="380"/>
      <c r="E665" s="379"/>
      <c r="F665" s="379"/>
      <c r="G665" s="379"/>
      <c r="H665" s="379"/>
      <c r="I665" s="379"/>
      <c r="J665" s="379"/>
      <c r="K665" s="379"/>
      <c r="L665" s="379"/>
      <c r="M665" s="379"/>
      <c r="N665" s="379"/>
      <c r="O665" s="379"/>
      <c r="P665" s="379"/>
      <c r="Q665" s="379"/>
      <c r="R665" s="1625"/>
      <c r="S665" s="501"/>
      <c r="T665" s="549"/>
      <c r="V665" s="1593"/>
      <c r="W665" s="1593"/>
      <c r="X665" s="1593"/>
    </row>
    <row r="666" spans="1:24" s="244" customFormat="1" ht="14.1" customHeight="1">
      <c r="A666" s="1696" t="s">
        <v>915</v>
      </c>
      <c r="B666" s="1553" t="s">
        <v>916</v>
      </c>
      <c r="C666" s="298"/>
      <c r="D666" s="835">
        <f>D672+D668</f>
        <v>0</v>
      </c>
      <c r="E666" s="835">
        <f t="shared" ref="E666:P666" si="271">E672+E668</f>
        <v>2323200</v>
      </c>
      <c r="F666" s="835">
        <f t="shared" si="271"/>
        <v>491000</v>
      </c>
      <c r="G666" s="835">
        <f t="shared" si="271"/>
        <v>0</v>
      </c>
      <c r="H666" s="835">
        <f t="shared" si="271"/>
        <v>2991000</v>
      </c>
      <c r="I666" s="835">
        <f t="shared" si="271"/>
        <v>0</v>
      </c>
      <c r="J666" s="835">
        <f t="shared" si="271"/>
        <v>40468162</v>
      </c>
      <c r="K666" s="835">
        <f t="shared" si="271"/>
        <v>8015000</v>
      </c>
      <c r="L666" s="835">
        <f t="shared" si="271"/>
        <v>0</v>
      </c>
      <c r="M666" s="835">
        <f t="shared" si="271"/>
        <v>0</v>
      </c>
      <c r="N666" s="835">
        <f t="shared" si="271"/>
        <v>6088500</v>
      </c>
      <c r="O666" s="835">
        <f t="shared" si="271"/>
        <v>28027227</v>
      </c>
      <c r="P666" s="835">
        <f t="shared" si="271"/>
        <v>5392200</v>
      </c>
      <c r="Q666" s="337">
        <f>SUM(E666:P666)</f>
        <v>93796289</v>
      </c>
      <c r="R666" s="1636">
        <f>+Q666-D666</f>
        <v>93796289</v>
      </c>
      <c r="S666" s="338" t="e">
        <f>+Q666/D666*100</f>
        <v>#DIV/0!</v>
      </c>
      <c r="T666" s="432"/>
      <c r="V666" s="434"/>
      <c r="W666" s="434"/>
      <c r="X666" s="434"/>
    </row>
    <row r="667" spans="1:24" s="189" customFormat="1" ht="14.1" customHeight="1">
      <c r="A667" s="1554"/>
      <c r="B667" s="1338"/>
      <c r="C667" s="1338"/>
      <c r="D667" s="1654"/>
      <c r="E667" s="1655"/>
      <c r="F667" s="1655"/>
      <c r="G667" s="1655"/>
      <c r="H667" s="1655"/>
      <c r="I667" s="1655"/>
      <c r="J667" s="1655"/>
      <c r="K667" s="1655"/>
      <c r="L667" s="1655"/>
      <c r="M667" s="1655"/>
      <c r="N667" s="1655"/>
      <c r="O667" s="1655"/>
      <c r="P667" s="1655"/>
      <c r="Q667" s="1655"/>
      <c r="R667" s="1628"/>
      <c r="S667" s="1337"/>
      <c r="T667" s="1819"/>
      <c r="V667" s="786"/>
      <c r="W667" s="786"/>
      <c r="X667" s="786"/>
    </row>
    <row r="668" spans="1:24" s="189" customFormat="1" ht="14.1" customHeight="1">
      <c r="A668" s="707"/>
      <c r="B668" s="568" t="s">
        <v>733</v>
      </c>
      <c r="C668" s="868"/>
      <c r="D668" s="357">
        <f>SUM(D669:D670)</f>
        <v>0</v>
      </c>
      <c r="E668" s="1817">
        <f>SUM(E669:E670)</f>
        <v>0</v>
      </c>
      <c r="F668" s="1817">
        <f t="shared" ref="F668:P668" si="272">SUM(F669:F670)</f>
        <v>0</v>
      </c>
      <c r="G668" s="1817">
        <f t="shared" si="272"/>
        <v>0</v>
      </c>
      <c r="H668" s="1817">
        <f t="shared" si="272"/>
        <v>0</v>
      </c>
      <c r="I668" s="1817">
        <f t="shared" si="272"/>
        <v>0</v>
      </c>
      <c r="J668" s="1817">
        <f t="shared" si="272"/>
        <v>37213500</v>
      </c>
      <c r="K668" s="1817">
        <f t="shared" si="272"/>
        <v>4150000</v>
      </c>
      <c r="L668" s="1817">
        <f t="shared" si="272"/>
        <v>0</v>
      </c>
      <c r="M668" s="1817">
        <f t="shared" si="272"/>
        <v>0</v>
      </c>
      <c r="N668" s="1817">
        <f t="shared" si="272"/>
        <v>5880500</v>
      </c>
      <c r="O668" s="1817">
        <f t="shared" si="272"/>
        <v>16070000</v>
      </c>
      <c r="P668" s="1817">
        <f t="shared" si="272"/>
        <v>0</v>
      </c>
      <c r="Q668" s="1036">
        <f>SUM(E668:P668)</f>
        <v>63314000</v>
      </c>
      <c r="R668" s="1820">
        <f t="shared" si="270"/>
        <v>63314000</v>
      </c>
      <c r="S668" s="347" t="e">
        <f>Q668/D668*100</f>
        <v>#DIV/0!</v>
      </c>
      <c r="T668" s="1109"/>
      <c r="V668" s="786"/>
      <c r="W668" s="786"/>
      <c r="X668" s="786"/>
    </row>
    <row r="669" spans="1:24" s="189" customFormat="1" ht="14.1" customHeight="1">
      <c r="A669" s="707"/>
      <c r="B669" s="868" t="s">
        <v>50</v>
      </c>
      <c r="C669" s="868" t="s">
        <v>917</v>
      </c>
      <c r="D669" s="1818">
        <f>'[4]TARGET MURNI DAN PERUBAHAN'!D586</f>
        <v>0</v>
      </c>
      <c r="E669" s="340">
        <f>[51]Januari!$D$35</f>
        <v>0</v>
      </c>
      <c r="F669" s="340">
        <f>[51]Februari!$D$35</f>
        <v>0</v>
      </c>
      <c r="G669" s="340">
        <f>[51]Maret!$D$35</f>
        <v>0</v>
      </c>
      <c r="H669" s="340">
        <f>[51]April!$D$35</f>
        <v>0</v>
      </c>
      <c r="I669" s="340">
        <f>[51]Mei!$D$35</f>
        <v>0</v>
      </c>
      <c r="J669" s="340">
        <f>[51]Juni!$D$35</f>
        <v>5213500</v>
      </c>
      <c r="K669" s="340">
        <f>[51]Juli!$D$35</f>
        <v>4150000</v>
      </c>
      <c r="L669" s="340">
        <f>[51]Agustus!$D$35</f>
        <v>0</v>
      </c>
      <c r="M669" s="340">
        <f>[51]September!$D$35</f>
        <v>0</v>
      </c>
      <c r="N669" s="340">
        <f>[51]Oktober!$D$35</f>
        <v>5880500</v>
      </c>
      <c r="O669" s="340">
        <f>[51]Nopember!$D$35</f>
        <v>15720000</v>
      </c>
      <c r="P669" s="340">
        <f>[51]Desember!$D$35</f>
        <v>0</v>
      </c>
      <c r="Q669" s="346">
        <f>SUM(E669:P669)</f>
        <v>30964000</v>
      </c>
      <c r="R669" s="1630">
        <f t="shared" si="270"/>
        <v>30964000</v>
      </c>
      <c r="S669" s="347" t="e">
        <f>Q669/D669*100</f>
        <v>#DIV/0!</v>
      </c>
      <c r="T669" s="1109"/>
      <c r="V669" s="786"/>
      <c r="W669" s="786"/>
      <c r="X669" s="786"/>
    </row>
    <row r="670" spans="1:24" s="189" customFormat="1" ht="14.1" customHeight="1">
      <c r="A670" s="707"/>
      <c r="B670" s="868" t="s">
        <v>50</v>
      </c>
      <c r="C670" s="410" t="s">
        <v>918</v>
      </c>
      <c r="D670" s="1818">
        <f>'[4]TARGET MURNI DAN PERUBAHAN'!D587</f>
        <v>0</v>
      </c>
      <c r="E670" s="340">
        <f>[51]Januari!$F$35</f>
        <v>0</v>
      </c>
      <c r="F670" s="340">
        <f>[51]Februari!$F$35</f>
        <v>0</v>
      </c>
      <c r="G670" s="340">
        <f>[51]Maret!$F$35</f>
        <v>0</v>
      </c>
      <c r="H670" s="340">
        <f>[51]April!$F$35</f>
        <v>0</v>
      </c>
      <c r="I670" s="340">
        <f>[51]Mei!$F$35</f>
        <v>0</v>
      </c>
      <c r="J670" s="340">
        <f>[51]Juni!$F$35</f>
        <v>32000000</v>
      </c>
      <c r="K670" s="340">
        <f>[51]Juli!$F$35</f>
        <v>0</v>
      </c>
      <c r="L670" s="340">
        <f>[51]Agustus!$F$35</f>
        <v>0</v>
      </c>
      <c r="M670" s="340">
        <f>[51]September!$F$35</f>
        <v>0</v>
      </c>
      <c r="N670" s="340">
        <f>[51]Oktober!$F$35</f>
        <v>0</v>
      </c>
      <c r="O670" s="340">
        <f>[51]Nopember!$F$35</f>
        <v>350000</v>
      </c>
      <c r="P670" s="340">
        <f>[51]Desember!$F$35</f>
        <v>0</v>
      </c>
      <c r="Q670" s="346">
        <f>SUM(E670:P670)</f>
        <v>32350000</v>
      </c>
      <c r="R670" s="1630">
        <f t="shared" si="270"/>
        <v>32350000</v>
      </c>
      <c r="S670" s="347" t="e">
        <f>Q670/D670*100</f>
        <v>#DIV/0!</v>
      </c>
      <c r="T670" s="1109"/>
      <c r="V670" s="786"/>
      <c r="W670" s="786"/>
      <c r="X670" s="786"/>
    </row>
    <row r="671" spans="1:24" s="189" customFormat="1" ht="14.1" customHeight="1">
      <c r="A671" s="707"/>
      <c r="B671" s="410"/>
      <c r="C671" s="410"/>
      <c r="D671" s="357"/>
      <c r="E671" s="340"/>
      <c r="F671" s="340"/>
      <c r="G671" s="340"/>
      <c r="H671" s="340"/>
      <c r="I671" s="340"/>
      <c r="J671" s="340"/>
      <c r="K671" s="340"/>
      <c r="L671" s="340"/>
      <c r="M671" s="340"/>
      <c r="N671" s="340"/>
      <c r="O671" s="340"/>
      <c r="P671" s="340"/>
      <c r="Q671" s="340"/>
      <c r="R671" s="1682"/>
      <c r="S671" s="341"/>
      <c r="T671" s="1109"/>
      <c r="V671" s="786"/>
      <c r="W671" s="786"/>
      <c r="X671" s="786"/>
    </row>
    <row r="672" spans="1:24" s="189" customFormat="1" ht="14.1" customHeight="1">
      <c r="A672" s="290"/>
      <c r="B672" s="291" t="s">
        <v>71</v>
      </c>
      <c r="C672" s="291"/>
      <c r="D672" s="371">
        <f>SUM(D673:D677)</f>
        <v>0</v>
      </c>
      <c r="E672" s="371">
        <f t="shared" ref="E672:Q672" si="273">SUM(E673:E677)</f>
        <v>2323200</v>
      </c>
      <c r="F672" s="371">
        <f t="shared" si="273"/>
        <v>491000</v>
      </c>
      <c r="G672" s="371">
        <f t="shared" si="273"/>
        <v>0</v>
      </c>
      <c r="H672" s="371">
        <f t="shared" si="273"/>
        <v>2991000</v>
      </c>
      <c r="I672" s="371">
        <f t="shared" si="273"/>
        <v>0</v>
      </c>
      <c r="J672" s="371">
        <f t="shared" si="273"/>
        <v>3254662</v>
      </c>
      <c r="K672" s="371">
        <f t="shared" si="273"/>
        <v>3865000</v>
      </c>
      <c r="L672" s="371">
        <f t="shared" si="273"/>
        <v>0</v>
      </c>
      <c r="M672" s="371">
        <f t="shared" si="273"/>
        <v>0</v>
      </c>
      <c r="N672" s="371">
        <f t="shared" si="273"/>
        <v>208000</v>
      </c>
      <c r="O672" s="371">
        <f t="shared" si="273"/>
        <v>11957227</v>
      </c>
      <c r="P672" s="371">
        <f t="shared" si="273"/>
        <v>5392200</v>
      </c>
      <c r="Q672" s="371">
        <f t="shared" si="273"/>
        <v>30482289</v>
      </c>
      <c r="R672" s="1652">
        <f>Q672-D672</f>
        <v>30482289</v>
      </c>
      <c r="S672" s="347" t="e">
        <f>Q672/D672*100</f>
        <v>#DIV/0!</v>
      </c>
      <c r="T672" s="1461"/>
      <c r="V672" s="786"/>
      <c r="W672" s="786"/>
      <c r="X672" s="786"/>
    </row>
    <row r="673" spans="1:24" s="189" customFormat="1" ht="14.1" customHeight="1">
      <c r="A673" s="292"/>
      <c r="B673" s="2759" t="s">
        <v>50</v>
      </c>
      <c r="C673" s="859" t="s">
        <v>710</v>
      </c>
      <c r="D673" s="355">
        <v>0</v>
      </c>
      <c r="E673" s="355">
        <f>[51]Januari!$E$35</f>
        <v>0</v>
      </c>
      <c r="F673" s="355">
        <f>[51]Februari!$E$35</f>
        <v>0</v>
      </c>
      <c r="G673" s="355">
        <f>[51]Maret!$E$35</f>
        <v>0</v>
      </c>
      <c r="H673" s="355">
        <f>[51]April!$E$35</f>
        <v>0</v>
      </c>
      <c r="I673" s="355">
        <f>[51]Mei!$E$35</f>
        <v>0</v>
      </c>
      <c r="J673" s="355">
        <f>[51]Juni!$E$35</f>
        <v>0</v>
      </c>
      <c r="K673" s="355">
        <f>[51]Juli!$E$35</f>
        <v>0</v>
      </c>
      <c r="L673" s="355">
        <f>[51]Agustus!$E$35</f>
        <v>0</v>
      </c>
      <c r="M673" s="355">
        <f>[51]September!$E$35</f>
        <v>0</v>
      </c>
      <c r="N673" s="355">
        <f>[51]Oktober!$E$35</f>
        <v>0</v>
      </c>
      <c r="O673" s="355">
        <f>[51]Nopember!$E$35</f>
        <v>0</v>
      </c>
      <c r="P673" s="355">
        <f>[51]Desember!$E$35</f>
        <v>0</v>
      </c>
      <c r="Q673" s="346">
        <f>SUM(E673:P673)</f>
        <v>0</v>
      </c>
      <c r="R673" s="1630">
        <f>Q673-D673</f>
        <v>0</v>
      </c>
      <c r="S673" s="388"/>
      <c r="T673" s="1461"/>
      <c r="V673" s="786"/>
      <c r="W673" s="786"/>
      <c r="X673" s="786"/>
    </row>
    <row r="674" spans="1:24" s="189" customFormat="1" ht="14.1" customHeight="1">
      <c r="A674" s="292"/>
      <c r="B674" s="2759" t="s">
        <v>50</v>
      </c>
      <c r="C674" s="859" t="s">
        <v>711</v>
      </c>
      <c r="D674" s="355">
        <v>0</v>
      </c>
      <c r="E674" s="355">
        <f>[51]Januari!$F$35</f>
        <v>0</v>
      </c>
      <c r="F674" s="355">
        <f>[51]Februari!$F$35</f>
        <v>0</v>
      </c>
      <c r="G674" s="355">
        <f>[51]Maret!$F$35</f>
        <v>0</v>
      </c>
      <c r="H674" s="355">
        <f>[51]April!$F$35</f>
        <v>0</v>
      </c>
      <c r="I674" s="355">
        <f>[51]Mei!$F$35</f>
        <v>0</v>
      </c>
      <c r="J674" s="355">
        <v>0</v>
      </c>
      <c r="K674" s="355">
        <f>[51]Juli!$F$35</f>
        <v>0</v>
      </c>
      <c r="L674" s="355">
        <f>[51]Agustus!$F$35</f>
        <v>0</v>
      </c>
      <c r="M674" s="355">
        <f>[51]September!$F$35</f>
        <v>0</v>
      </c>
      <c r="N674" s="355">
        <f>[51]Oktober!$F$35</f>
        <v>0</v>
      </c>
      <c r="O674" s="355">
        <v>0</v>
      </c>
      <c r="P674" s="355">
        <f>[51]Desember!$F$35</f>
        <v>0</v>
      </c>
      <c r="Q674" s="346">
        <f>SUM(E674:P674)</f>
        <v>0</v>
      </c>
      <c r="R674" s="1630">
        <f>Q674-D674</f>
        <v>0</v>
      </c>
      <c r="S674" s="388"/>
      <c r="T674" s="1461"/>
      <c r="V674" s="786"/>
      <c r="W674" s="786"/>
      <c r="X674" s="786"/>
    </row>
    <row r="675" spans="1:24" s="189" customFormat="1" ht="14.1" customHeight="1">
      <c r="A675" s="292"/>
      <c r="B675" s="2759" t="s">
        <v>50</v>
      </c>
      <c r="C675" s="859" t="s">
        <v>712</v>
      </c>
      <c r="D675" s="355"/>
      <c r="E675" s="355">
        <f>[51]Januari!$G$35</f>
        <v>0</v>
      </c>
      <c r="F675" s="355">
        <f>[51]Februari!$G$35</f>
        <v>0</v>
      </c>
      <c r="G675" s="355">
        <f>[51]Maret!$G$35</f>
        <v>0</v>
      </c>
      <c r="H675" s="355">
        <f>[51]April!$G$35</f>
        <v>0</v>
      </c>
      <c r="I675" s="355">
        <f>[51]Mei!$G$35</f>
        <v>0</v>
      </c>
      <c r="J675" s="355">
        <f>[51]Juni!$G$35</f>
        <v>0</v>
      </c>
      <c r="K675" s="355">
        <f>[51]Juli!$G$35</f>
        <v>0</v>
      </c>
      <c r="L675" s="355">
        <f>[51]Agustus!$G$35</f>
        <v>0</v>
      </c>
      <c r="M675" s="355">
        <f>[51]September!$G$35</f>
        <v>0</v>
      </c>
      <c r="N675" s="355">
        <f>[51]Oktober!$G$35</f>
        <v>0</v>
      </c>
      <c r="O675" s="355">
        <f>[51]Nopember!$G$35</f>
        <v>0</v>
      </c>
      <c r="P675" s="355">
        <f>[51]Desember!$G$35</f>
        <v>0</v>
      </c>
      <c r="Q675" s="346"/>
      <c r="R675" s="1630"/>
      <c r="S675" s="388"/>
      <c r="T675" s="1461"/>
      <c r="V675" s="786"/>
      <c r="W675" s="786"/>
      <c r="X675" s="786"/>
    </row>
    <row r="676" spans="1:24" s="189" customFormat="1" ht="14.1" customHeight="1">
      <c r="A676" s="292"/>
      <c r="B676" s="2759" t="s">
        <v>50</v>
      </c>
      <c r="C676" s="859" t="s">
        <v>713</v>
      </c>
      <c r="D676" s="355">
        <v>0</v>
      </c>
      <c r="E676" s="355">
        <f>[51]Januari!$H$35</f>
        <v>2323200</v>
      </c>
      <c r="F676" s="355">
        <f>[51]Februari!$H$35</f>
        <v>491000</v>
      </c>
      <c r="G676" s="355">
        <f>[51]Maret!$H$35</f>
        <v>0</v>
      </c>
      <c r="H676" s="355">
        <f>[51]April!$H$35</f>
        <v>2991000</v>
      </c>
      <c r="I676" s="355">
        <f>[51]Mei!$H$35</f>
        <v>0</v>
      </c>
      <c r="J676" s="355">
        <f>[51]Juni!$H$35</f>
        <v>1500000</v>
      </c>
      <c r="K676" s="355">
        <f>[51]Juli!$H$35</f>
        <v>3865000</v>
      </c>
      <c r="L676" s="355">
        <f>[51]Agustus!$H$35</f>
        <v>0</v>
      </c>
      <c r="M676" s="355">
        <f>[51]September!$H$35</f>
        <v>0</v>
      </c>
      <c r="N676" s="355">
        <f>[51]Oktober!$H$35</f>
        <v>208000</v>
      </c>
      <c r="O676" s="355">
        <f>[51]Nopember!$H$35</f>
        <v>11957227</v>
      </c>
      <c r="P676" s="355">
        <f>[51]Desember!$H$35</f>
        <v>5392200</v>
      </c>
      <c r="Q676" s="346">
        <f>SUM(E676:P676)</f>
        <v>28727627</v>
      </c>
      <c r="R676" s="1630">
        <f t="shared" ref="R676:R682" si="274">Q676-D676</f>
        <v>28727627</v>
      </c>
      <c r="S676" s="347" t="e">
        <f>Q676/D676*100</f>
        <v>#DIV/0!</v>
      </c>
      <c r="T676" s="1461"/>
      <c r="V676" s="786"/>
      <c r="W676" s="786"/>
      <c r="X676" s="786"/>
    </row>
    <row r="677" spans="1:24" s="189" customFormat="1" ht="14.1" customHeight="1">
      <c r="A677" s="292"/>
      <c r="B677" s="2759" t="s">
        <v>50</v>
      </c>
      <c r="C677" s="859" t="s">
        <v>714</v>
      </c>
      <c r="D677" s="355"/>
      <c r="E677" s="355">
        <v>0</v>
      </c>
      <c r="F677" s="355">
        <v>0</v>
      </c>
      <c r="G677" s="355">
        <v>0</v>
      </c>
      <c r="H677" s="355">
        <v>0</v>
      </c>
      <c r="I677" s="355">
        <v>0</v>
      </c>
      <c r="J677" s="355">
        <f>[51]Juni!$I$35</f>
        <v>1754662</v>
      </c>
      <c r="K677" s="355">
        <v>0</v>
      </c>
      <c r="L677" s="355">
        <v>0</v>
      </c>
      <c r="M677" s="355">
        <v>0</v>
      </c>
      <c r="N677" s="355">
        <v>0</v>
      </c>
      <c r="O677" s="355">
        <v>0</v>
      </c>
      <c r="P677" s="355">
        <v>0</v>
      </c>
      <c r="Q677" s="346">
        <f>SUM(E677:P677)</f>
        <v>1754662</v>
      </c>
      <c r="R677" s="1630">
        <f t="shared" si="274"/>
        <v>1754662</v>
      </c>
      <c r="S677" s="388"/>
      <c r="T677" s="1461"/>
      <c r="V677" s="786"/>
      <c r="W677" s="786"/>
      <c r="X677" s="786"/>
    </row>
    <row r="678" spans="1:24" s="245" customFormat="1" ht="14.1" customHeight="1">
      <c r="A678" s="575"/>
      <c r="B678" s="306"/>
      <c r="C678" s="306"/>
      <c r="D678" s="380"/>
      <c r="E678" s="379"/>
      <c r="F678" s="379"/>
      <c r="G678" s="379"/>
      <c r="H678" s="379"/>
      <c r="I678" s="379"/>
      <c r="J678" s="379"/>
      <c r="K678" s="379"/>
      <c r="L678" s="379"/>
      <c r="M678" s="379"/>
      <c r="N678" s="379"/>
      <c r="O678" s="379"/>
      <c r="P678" s="379"/>
      <c r="Q678" s="379"/>
      <c r="R678" s="1625"/>
      <c r="S678" s="501"/>
      <c r="T678" s="549"/>
      <c r="V678" s="1593"/>
      <c r="W678" s="1593"/>
      <c r="X678" s="1593"/>
    </row>
    <row r="679" spans="1:24" s="189" customFormat="1" ht="14.1" customHeight="1">
      <c r="A679" s="1696" t="s">
        <v>919</v>
      </c>
      <c r="B679" s="1553" t="s">
        <v>920</v>
      </c>
      <c r="C679" s="298"/>
      <c r="D679" s="835">
        <f t="shared" ref="D679:P679" si="275">D684+D681</f>
        <v>150000000</v>
      </c>
      <c r="E679" s="337">
        <f t="shared" si="275"/>
        <v>92746000</v>
      </c>
      <c r="F679" s="337">
        <f t="shared" si="275"/>
        <v>7700000</v>
      </c>
      <c r="G679" s="337">
        <f t="shared" si="275"/>
        <v>3588000</v>
      </c>
      <c r="H679" s="337">
        <f t="shared" si="275"/>
        <v>29850000</v>
      </c>
      <c r="I679" s="337">
        <f t="shared" si="275"/>
        <v>46565000</v>
      </c>
      <c r="J679" s="337">
        <f t="shared" si="275"/>
        <v>4550000</v>
      </c>
      <c r="K679" s="337">
        <f t="shared" si="275"/>
        <v>3213200</v>
      </c>
      <c r="L679" s="337">
        <f t="shared" si="275"/>
        <v>30550000</v>
      </c>
      <c r="M679" s="337">
        <f t="shared" si="275"/>
        <v>58450000</v>
      </c>
      <c r="N679" s="337">
        <f t="shared" si="275"/>
        <v>36550000</v>
      </c>
      <c r="O679" s="337">
        <f t="shared" si="275"/>
        <v>35916998</v>
      </c>
      <c r="P679" s="337">
        <f t="shared" si="275"/>
        <v>57240500</v>
      </c>
      <c r="Q679" s="337">
        <f>SUM(E679:P679)</f>
        <v>406919698</v>
      </c>
      <c r="R679" s="1636">
        <f>+Q679-D679</f>
        <v>256919698</v>
      </c>
      <c r="S679" s="338">
        <f>+Q679/D679*100</f>
        <v>271.27979866666669</v>
      </c>
      <c r="T679" s="432"/>
      <c r="V679" s="786"/>
      <c r="W679" s="786"/>
      <c r="X679" s="786"/>
    </row>
    <row r="680" spans="1:24" s="189" customFormat="1" ht="14.1" customHeight="1">
      <c r="A680" s="1554"/>
      <c r="B680" s="1338"/>
      <c r="C680" s="1338"/>
      <c r="D680" s="1654"/>
      <c r="E680" s="1655"/>
      <c r="F680" s="1655"/>
      <c r="G680" s="1655"/>
      <c r="H680" s="1655"/>
      <c r="I680" s="1655"/>
      <c r="J680" s="1655"/>
      <c r="K680" s="1655"/>
      <c r="L680" s="1655"/>
      <c r="M680" s="1655"/>
      <c r="N680" s="1655"/>
      <c r="O680" s="1655"/>
      <c r="P680" s="1655"/>
      <c r="Q680" s="1655"/>
      <c r="R680" s="1628"/>
      <c r="S680" s="1337"/>
      <c r="T680" s="1819"/>
      <c r="V680" s="786"/>
      <c r="W680" s="786"/>
      <c r="X680" s="786"/>
    </row>
    <row r="681" spans="1:24" s="189" customFormat="1" ht="14.1" customHeight="1">
      <c r="A681" s="707"/>
      <c r="B681" s="568" t="s">
        <v>63</v>
      </c>
      <c r="C681" s="868"/>
      <c r="D681" s="357">
        <f>SUM(D682:D683)</f>
        <v>150000000</v>
      </c>
      <c r="E681" s="357">
        <f t="shared" ref="E681:P681" si="276">SUM(E682:E683)</f>
        <v>91500000</v>
      </c>
      <c r="F681" s="357">
        <f t="shared" si="276"/>
        <v>5700000</v>
      </c>
      <c r="G681" s="357">
        <f t="shared" si="276"/>
        <v>1700000</v>
      </c>
      <c r="H681" s="357">
        <f t="shared" si="276"/>
        <v>26750000</v>
      </c>
      <c r="I681" s="357">
        <f t="shared" si="276"/>
        <v>44100000</v>
      </c>
      <c r="J681" s="357">
        <f t="shared" si="276"/>
        <v>4550000</v>
      </c>
      <c r="K681" s="357">
        <f t="shared" si="276"/>
        <v>600000</v>
      </c>
      <c r="L681" s="357">
        <f t="shared" si="276"/>
        <v>30550000</v>
      </c>
      <c r="M681" s="357">
        <f t="shared" si="276"/>
        <v>58450000</v>
      </c>
      <c r="N681" s="357">
        <f t="shared" si="276"/>
        <v>36550000</v>
      </c>
      <c r="O681" s="357">
        <f t="shared" si="276"/>
        <v>24200000</v>
      </c>
      <c r="P681" s="357">
        <f t="shared" si="276"/>
        <v>20650000</v>
      </c>
      <c r="Q681" s="1036">
        <f t="shared" ref="Q681:Q689" si="277">SUM(E681:P681)</f>
        <v>345300000</v>
      </c>
      <c r="R681" s="1820">
        <f t="shared" si="274"/>
        <v>195300000</v>
      </c>
      <c r="S681" s="347">
        <f>Q681/D681*100</f>
        <v>230.20000000000002</v>
      </c>
      <c r="T681" s="1109"/>
      <c r="V681" s="786"/>
      <c r="W681" s="786"/>
      <c r="X681" s="786"/>
    </row>
    <row r="682" spans="1:24" s="189" customFormat="1" ht="14.1" customHeight="1">
      <c r="A682" s="707"/>
      <c r="B682" s="868" t="s">
        <v>50</v>
      </c>
      <c r="C682" s="868" t="s">
        <v>921</v>
      </c>
      <c r="D682" s="1818">
        <f>'[4]TARGET MURNI DAN PERUBAHAN'!D591</f>
        <v>150000000</v>
      </c>
      <c r="E682" s="340">
        <f>[52]Januari!$D$35</f>
        <v>91500000</v>
      </c>
      <c r="F682" s="340">
        <f>[52]Februari!$D$35</f>
        <v>5700000</v>
      </c>
      <c r="G682" s="340">
        <f>[52]Maret!$D$35</f>
        <v>1700000</v>
      </c>
      <c r="H682" s="340">
        <f>[52]April!$D$35</f>
        <v>26750000</v>
      </c>
      <c r="I682" s="340">
        <f>[52]Mei!$D$35</f>
        <v>44100000</v>
      </c>
      <c r="J682" s="340">
        <f>[52]Juni!$D$35</f>
        <v>4550000</v>
      </c>
      <c r="K682" s="340">
        <f>[52]Juli!$D$35</f>
        <v>600000</v>
      </c>
      <c r="L682" s="340">
        <f>[52]Agustus!$D$35</f>
        <v>30550000</v>
      </c>
      <c r="M682" s="340">
        <f>[52]September!$D$35</f>
        <v>58450000</v>
      </c>
      <c r="N682" s="340">
        <f>[52]Oktober!$D$35</f>
        <v>36550000</v>
      </c>
      <c r="O682" s="340">
        <f>[52]Nopember!$D$35</f>
        <v>11750000</v>
      </c>
      <c r="P682" s="340">
        <f>[52]Desember!$D$35</f>
        <v>20650000</v>
      </c>
      <c r="Q682" s="346">
        <f t="shared" si="277"/>
        <v>332850000</v>
      </c>
      <c r="R682" s="1630">
        <f t="shared" si="274"/>
        <v>182850000</v>
      </c>
      <c r="S682" s="347">
        <f>Q682/D682*100</f>
        <v>221.89999999999998</v>
      </c>
      <c r="T682" s="1109"/>
      <c r="V682" s="434">
        <f>Q682/10</f>
        <v>33285000</v>
      </c>
      <c r="W682" s="786"/>
      <c r="X682" s="786"/>
    </row>
    <row r="683" spans="1:24" s="189" customFormat="1" ht="14.1" customHeight="1">
      <c r="A683" s="707"/>
      <c r="B683" s="868" t="s">
        <v>50</v>
      </c>
      <c r="C683" s="410" t="s">
        <v>517</v>
      </c>
      <c r="D683" s="357"/>
      <c r="E683" s="355">
        <f>[52]Januari!$F$35</f>
        <v>0</v>
      </c>
      <c r="F683" s="355">
        <f>[52]Februari!$F$35</f>
        <v>0</v>
      </c>
      <c r="G683" s="355">
        <f>[52]Maret!$F$35</f>
        <v>0</v>
      </c>
      <c r="H683" s="355">
        <f>[52]April!$F$35</f>
        <v>0</v>
      </c>
      <c r="I683" s="355">
        <f>[52]Mei!$F$35</f>
        <v>0</v>
      </c>
      <c r="J683" s="355">
        <f>[52]Juni!$F$35</f>
        <v>0</v>
      </c>
      <c r="K683" s="355">
        <f>[52]Juli!$F$35</f>
        <v>0</v>
      </c>
      <c r="L683" s="355">
        <f>[52]Agustus!$F$35</f>
        <v>0</v>
      </c>
      <c r="M683" s="355">
        <f>[52]September!$F$35</f>
        <v>0</v>
      </c>
      <c r="N683" s="355">
        <f>[52]Oktober!$F$35</f>
        <v>0</v>
      </c>
      <c r="O683" s="355">
        <f>[52]Nopember!$F$35</f>
        <v>12450000</v>
      </c>
      <c r="P683" s="355">
        <f>[52]Desember!$F$35</f>
        <v>0</v>
      </c>
      <c r="Q683" s="346">
        <f t="shared" si="277"/>
        <v>12450000</v>
      </c>
      <c r="R683" s="1630">
        <f>Q683-D686</f>
        <v>12450000</v>
      </c>
      <c r="S683" s="388"/>
      <c r="T683" s="1109"/>
      <c r="V683" s="786"/>
      <c r="W683" s="786"/>
      <c r="X683" s="786"/>
    </row>
    <row r="684" spans="1:24" s="189" customFormat="1" ht="14.1" customHeight="1">
      <c r="A684" s="290"/>
      <c r="B684" s="291" t="s">
        <v>71</v>
      </c>
      <c r="C684" s="291"/>
      <c r="D684" s="371">
        <f t="shared" ref="D684:P684" si="278">SUM(D685:D689)</f>
        <v>0</v>
      </c>
      <c r="E684" s="371">
        <f t="shared" si="278"/>
        <v>1246000</v>
      </c>
      <c r="F684" s="371">
        <f t="shared" si="278"/>
        <v>2000000</v>
      </c>
      <c r="G684" s="371">
        <f t="shared" si="278"/>
        <v>1888000</v>
      </c>
      <c r="H684" s="371">
        <f t="shared" si="278"/>
        <v>3100000</v>
      </c>
      <c r="I684" s="371">
        <f t="shared" si="278"/>
        <v>2465000</v>
      </c>
      <c r="J684" s="371">
        <f t="shared" si="278"/>
        <v>0</v>
      </c>
      <c r="K684" s="371">
        <f t="shared" si="278"/>
        <v>2613200</v>
      </c>
      <c r="L684" s="371">
        <f t="shared" si="278"/>
        <v>0</v>
      </c>
      <c r="M684" s="371">
        <f t="shared" si="278"/>
        <v>0</v>
      </c>
      <c r="N684" s="371">
        <f t="shared" si="278"/>
        <v>0</v>
      </c>
      <c r="O684" s="371">
        <f t="shared" si="278"/>
        <v>11716998</v>
      </c>
      <c r="P684" s="371">
        <f t="shared" si="278"/>
        <v>36590500</v>
      </c>
      <c r="Q684" s="367">
        <f t="shared" si="277"/>
        <v>61619698</v>
      </c>
      <c r="R684" s="1708">
        <f>Q684-D684</f>
        <v>61619698</v>
      </c>
      <c r="S684" s="399" t="e">
        <f>Q684/D684*100</f>
        <v>#DIV/0!</v>
      </c>
      <c r="T684" s="1461"/>
      <c r="V684" s="786"/>
      <c r="W684" s="786"/>
      <c r="X684" s="786"/>
    </row>
    <row r="685" spans="1:24" s="189" customFormat="1" ht="14.1" customHeight="1">
      <c r="A685" s="292"/>
      <c r="B685" s="2759" t="s">
        <v>50</v>
      </c>
      <c r="C685" s="859" t="s">
        <v>710</v>
      </c>
      <c r="D685" s="355">
        <v>0</v>
      </c>
      <c r="E685" s="355">
        <f>[52]Januari!$E$35</f>
        <v>0</v>
      </c>
      <c r="F685" s="355">
        <f>[52]Februari!$E$35</f>
        <v>0</v>
      </c>
      <c r="G685" s="355">
        <f>[52]Maret!$E$35</f>
        <v>0</v>
      </c>
      <c r="H685" s="355">
        <f>[52]April!$E$35</f>
        <v>0</v>
      </c>
      <c r="I685" s="355">
        <f>[52]Mei!$E$35</f>
        <v>0</v>
      </c>
      <c r="J685" s="355">
        <f>[52]Juni!$E$35</f>
        <v>0</v>
      </c>
      <c r="K685" s="355">
        <f>[52]Juli!$E$35</f>
        <v>0</v>
      </c>
      <c r="L685" s="355">
        <f>[52]Agustus!$E$35</f>
        <v>0</v>
      </c>
      <c r="M685" s="355">
        <f>[52]September!$E$35</f>
        <v>0</v>
      </c>
      <c r="N685" s="355">
        <f>[52]Oktober!$E$35</f>
        <v>0</v>
      </c>
      <c r="O685" s="355">
        <f>[52]Nopember!$E$35</f>
        <v>0</v>
      </c>
      <c r="P685" s="355">
        <f>[52]Desember!$E$35</f>
        <v>0</v>
      </c>
      <c r="Q685" s="346">
        <f t="shared" si="277"/>
        <v>0</v>
      </c>
      <c r="R685" s="1630">
        <f>Q685-D685</f>
        <v>0</v>
      </c>
      <c r="S685" s="388"/>
      <c r="T685" s="1461"/>
      <c r="V685" s="786"/>
      <c r="W685" s="786"/>
      <c r="X685" s="786"/>
    </row>
    <row r="686" spans="1:24" s="189" customFormat="1" ht="14.1" customHeight="1">
      <c r="A686" s="292"/>
      <c r="B686" s="2759" t="s">
        <v>50</v>
      </c>
      <c r="C686" s="859" t="s">
        <v>711</v>
      </c>
      <c r="D686" s="355">
        <v>0</v>
      </c>
      <c r="E686" s="824"/>
      <c r="F686" s="824"/>
      <c r="G686" s="824"/>
      <c r="H686" s="824"/>
      <c r="I686" s="824"/>
      <c r="J686" s="824"/>
      <c r="K686" s="824"/>
      <c r="L686" s="824"/>
      <c r="M686" s="824"/>
      <c r="N686" s="824"/>
      <c r="O686" s="824"/>
      <c r="P686" s="824"/>
      <c r="Q686" s="824"/>
      <c r="R686" s="824"/>
      <c r="S686" s="824"/>
      <c r="T686" s="1461"/>
      <c r="V686" s="786"/>
      <c r="W686" s="786"/>
      <c r="X686" s="786"/>
    </row>
    <row r="687" spans="1:24" s="189" customFormat="1" ht="14.1" customHeight="1">
      <c r="A687" s="292"/>
      <c r="B687" s="2759" t="s">
        <v>50</v>
      </c>
      <c r="C687" s="859" t="s">
        <v>712</v>
      </c>
      <c r="D687" s="355">
        <v>0</v>
      </c>
      <c r="E687" s="355">
        <f>[52]Januari!$G$35</f>
        <v>0</v>
      </c>
      <c r="F687" s="355">
        <f>[52]Februari!$G$35</f>
        <v>0</v>
      </c>
      <c r="G687" s="355">
        <f>[52]Maret!$G$35</f>
        <v>0</v>
      </c>
      <c r="H687" s="355">
        <f>[52]April!$G$35</f>
        <v>0</v>
      </c>
      <c r="I687" s="355">
        <f>[52]Mei!$G$35</f>
        <v>0</v>
      </c>
      <c r="J687" s="355">
        <f>[52]Juni!$G$35</f>
        <v>0</v>
      </c>
      <c r="K687" s="355">
        <f>[52]Juli!$G$35</f>
        <v>0</v>
      </c>
      <c r="L687" s="355">
        <f>[52]Agustus!$G$35</f>
        <v>0</v>
      </c>
      <c r="M687" s="355">
        <f>[52]September!$G$35</f>
        <v>0</v>
      </c>
      <c r="N687" s="355">
        <f>[52]Oktober!$G$35</f>
        <v>0</v>
      </c>
      <c r="O687" s="355">
        <f>[52]Nopember!$G$35</f>
        <v>0</v>
      </c>
      <c r="P687" s="355">
        <f>[52]Desember!$G$35</f>
        <v>0</v>
      </c>
      <c r="Q687" s="346">
        <f t="shared" si="277"/>
        <v>0</v>
      </c>
      <c r="R687" s="1630">
        <f>Q687-D687</f>
        <v>0</v>
      </c>
      <c r="S687" s="347" t="e">
        <f>Q687/D687*100</f>
        <v>#DIV/0!</v>
      </c>
      <c r="T687" s="1461"/>
      <c r="V687" s="786"/>
      <c r="W687" s="786"/>
      <c r="X687" s="786"/>
    </row>
    <row r="688" spans="1:24" s="189" customFormat="1" ht="14.1" customHeight="1">
      <c r="A688" s="292"/>
      <c r="B688" s="2759" t="s">
        <v>50</v>
      </c>
      <c r="C688" s="859" t="s">
        <v>713</v>
      </c>
      <c r="D688" s="355"/>
      <c r="E688" s="355">
        <f>[52]Januari!$H$35</f>
        <v>1246000</v>
      </c>
      <c r="F688" s="355">
        <f>[52]Februari!$H$35</f>
        <v>2000000</v>
      </c>
      <c r="G688" s="355">
        <f>[52]Maret!$H$35</f>
        <v>1888000</v>
      </c>
      <c r="H688" s="355">
        <f>[52]April!$H$35</f>
        <v>3100000</v>
      </c>
      <c r="I688" s="355">
        <f>[52]Mei!$H$35</f>
        <v>2465000</v>
      </c>
      <c r="J688" s="355">
        <f>[52]Juni!$H$35</f>
        <v>0</v>
      </c>
      <c r="K688" s="355">
        <f>[52]Juli!$H$35</f>
        <v>2613200</v>
      </c>
      <c r="L688" s="355">
        <f>[52]Agustus!$H$35</f>
        <v>0</v>
      </c>
      <c r="M688" s="355">
        <f>[52]September!$H$35</f>
        <v>0</v>
      </c>
      <c r="N688" s="355">
        <f>[52]Oktober!$H$35</f>
        <v>0</v>
      </c>
      <c r="O688" s="355">
        <f>[52]Nopember!$H$35</f>
        <v>11716998</v>
      </c>
      <c r="P688" s="355">
        <f>[52]Desember!$H$35</f>
        <v>36590500</v>
      </c>
      <c r="Q688" s="346"/>
      <c r="R688" s="1630"/>
      <c r="S688" s="347"/>
      <c r="T688" s="1461"/>
      <c r="V688" s="786"/>
      <c r="W688" s="786"/>
      <c r="X688" s="786"/>
    </row>
    <row r="689" spans="1:24" s="189" customFormat="1" ht="14.1" customHeight="1">
      <c r="A689" s="292"/>
      <c r="B689" s="2759" t="s">
        <v>50</v>
      </c>
      <c r="C689" s="859" t="s">
        <v>714</v>
      </c>
      <c r="D689" s="355"/>
      <c r="E689" s="355">
        <v>0</v>
      </c>
      <c r="F689" s="355">
        <v>0</v>
      </c>
      <c r="G689" s="355">
        <v>0</v>
      </c>
      <c r="H689" s="355">
        <v>0</v>
      </c>
      <c r="I689" s="355">
        <v>0</v>
      </c>
      <c r="J689" s="355">
        <v>0</v>
      </c>
      <c r="K689" s="355">
        <v>0</v>
      </c>
      <c r="L689" s="355">
        <v>0</v>
      </c>
      <c r="M689" s="355">
        <v>0</v>
      </c>
      <c r="N689" s="355">
        <v>0</v>
      </c>
      <c r="O689" s="355">
        <v>0</v>
      </c>
      <c r="P689" s="355">
        <v>0</v>
      </c>
      <c r="Q689" s="346">
        <f t="shared" si="277"/>
        <v>0</v>
      </c>
      <c r="R689" s="1630">
        <f t="shared" ref="R689:R696" si="279">Q689-D689</f>
        <v>0</v>
      </c>
      <c r="S689" s="388"/>
      <c r="T689" s="1461"/>
      <c r="V689" s="786"/>
      <c r="W689" s="786"/>
      <c r="X689" s="786"/>
    </row>
    <row r="690" spans="1:24" s="245" customFormat="1" ht="14.1" customHeight="1">
      <c r="A690" s="575"/>
      <c r="B690" s="306"/>
      <c r="C690" s="306"/>
      <c r="D690" s="380"/>
      <c r="E690" s="379"/>
      <c r="F690" s="379"/>
      <c r="G690" s="379"/>
      <c r="H690" s="379"/>
      <c r="I690" s="379"/>
      <c r="J690" s="379"/>
      <c r="K690" s="379"/>
      <c r="L690" s="379"/>
      <c r="M690" s="379"/>
      <c r="N690" s="379"/>
      <c r="O690" s="379"/>
      <c r="P690" s="379"/>
      <c r="Q690" s="379"/>
      <c r="R690" s="1625"/>
      <c r="S690" s="501"/>
      <c r="T690" s="549"/>
      <c r="V690" s="1593"/>
      <c r="W690" s="1593"/>
      <c r="X690" s="1593"/>
    </row>
    <row r="691" spans="1:24" s="189" customFormat="1" ht="14.1" customHeight="1">
      <c r="A691" s="1696" t="s">
        <v>922</v>
      </c>
      <c r="B691" s="1553" t="s">
        <v>399</v>
      </c>
      <c r="C691" s="298"/>
      <c r="D691" s="835">
        <f>D693</f>
        <v>0</v>
      </c>
      <c r="E691" s="337">
        <f t="shared" ref="E691:Q691" si="280">E693</f>
        <v>0</v>
      </c>
      <c r="F691" s="337">
        <f t="shared" si="280"/>
        <v>0</v>
      </c>
      <c r="G691" s="337">
        <f t="shared" si="280"/>
        <v>0</v>
      </c>
      <c r="H691" s="337">
        <f t="shared" si="280"/>
        <v>0</v>
      </c>
      <c r="I691" s="337">
        <f t="shared" si="280"/>
        <v>0</v>
      </c>
      <c r="J691" s="337">
        <f t="shared" si="280"/>
        <v>0</v>
      </c>
      <c r="K691" s="337">
        <f t="shared" si="280"/>
        <v>0</v>
      </c>
      <c r="L691" s="337">
        <f t="shared" si="280"/>
        <v>0</v>
      </c>
      <c r="M691" s="337">
        <f t="shared" si="280"/>
        <v>0</v>
      </c>
      <c r="N691" s="337">
        <f t="shared" si="280"/>
        <v>0</v>
      </c>
      <c r="O691" s="337">
        <f t="shared" si="280"/>
        <v>0</v>
      </c>
      <c r="P691" s="337">
        <f t="shared" si="280"/>
        <v>0</v>
      </c>
      <c r="Q691" s="337">
        <f t="shared" si="280"/>
        <v>0</v>
      </c>
      <c r="R691" s="1636">
        <f>+Q691-D691</f>
        <v>0</v>
      </c>
      <c r="S691" s="338" t="e">
        <f>+Q691/D691*100</f>
        <v>#DIV/0!</v>
      </c>
      <c r="T691" s="432"/>
      <c r="V691" s="786"/>
      <c r="W691" s="786"/>
      <c r="X691" s="786"/>
    </row>
    <row r="692" spans="1:24" s="189" customFormat="1" ht="14.1" customHeight="1">
      <c r="A692" s="290"/>
      <c r="B692" s="253"/>
      <c r="C692" s="253"/>
      <c r="D692" s="355"/>
      <c r="E692" s="346"/>
      <c r="F692" s="346"/>
      <c r="G692" s="346"/>
      <c r="H692" s="346"/>
      <c r="I692" s="346"/>
      <c r="J692" s="346"/>
      <c r="K692" s="346"/>
      <c r="L692" s="346"/>
      <c r="M692" s="346"/>
      <c r="N692" s="346"/>
      <c r="O692" s="346"/>
      <c r="P692" s="346"/>
      <c r="Q692" s="346"/>
      <c r="R692" s="1652"/>
      <c r="S692" s="347"/>
      <c r="T692" s="1109"/>
      <c r="V692" s="786"/>
      <c r="W692" s="786"/>
      <c r="X692" s="786"/>
    </row>
    <row r="693" spans="1:24" s="189" customFormat="1" ht="14.1" customHeight="1">
      <c r="A693" s="290"/>
      <c r="B693" s="291" t="s">
        <v>71</v>
      </c>
      <c r="C693" s="291"/>
      <c r="D693" s="371">
        <f>SUM(D694:D698)</f>
        <v>0</v>
      </c>
      <c r="E693" s="371">
        <f t="shared" ref="E693:Q693" si="281">SUM(E694:E698)</f>
        <v>0</v>
      </c>
      <c r="F693" s="371">
        <f t="shared" si="281"/>
        <v>0</v>
      </c>
      <c r="G693" s="371">
        <f t="shared" si="281"/>
        <v>0</v>
      </c>
      <c r="H693" s="371">
        <f t="shared" si="281"/>
        <v>0</v>
      </c>
      <c r="I693" s="371">
        <f t="shared" si="281"/>
        <v>0</v>
      </c>
      <c r="J693" s="371">
        <f t="shared" si="281"/>
        <v>0</v>
      </c>
      <c r="K693" s="371">
        <f t="shared" si="281"/>
        <v>0</v>
      </c>
      <c r="L693" s="371">
        <f t="shared" si="281"/>
        <v>0</v>
      </c>
      <c r="M693" s="371">
        <f t="shared" si="281"/>
        <v>0</v>
      </c>
      <c r="N693" s="371">
        <f t="shared" si="281"/>
        <v>0</v>
      </c>
      <c r="O693" s="371">
        <f t="shared" si="281"/>
        <v>0</v>
      </c>
      <c r="P693" s="371">
        <f t="shared" si="281"/>
        <v>0</v>
      </c>
      <c r="Q693" s="371">
        <f t="shared" si="281"/>
        <v>0</v>
      </c>
      <c r="R693" s="1652">
        <f t="shared" si="279"/>
        <v>0</v>
      </c>
      <c r="S693" s="347" t="e">
        <f>Q693/D693*100</f>
        <v>#DIV/0!</v>
      </c>
      <c r="T693" s="1461"/>
      <c r="V693" s="786"/>
      <c r="W693" s="786"/>
      <c r="X693" s="786"/>
    </row>
    <row r="694" spans="1:24" s="189" customFormat="1" ht="14.1" customHeight="1">
      <c r="A694" s="292"/>
      <c r="B694" s="253" t="s">
        <v>50</v>
      </c>
      <c r="C694" s="859" t="s">
        <v>710</v>
      </c>
      <c r="D694" s="355">
        <v>0</v>
      </c>
      <c r="E694" s="355">
        <f>[46]Januari!$D$35</f>
        <v>0</v>
      </c>
      <c r="F694" s="355">
        <f>[46]Februari!$D$35</f>
        <v>0</v>
      </c>
      <c r="G694" s="355">
        <f>[46]Maret!$D$35</f>
        <v>0</v>
      </c>
      <c r="H694" s="355">
        <f>[46]April!$D$35</f>
        <v>0</v>
      </c>
      <c r="I694" s="355">
        <f>[46]Mei!$D$35</f>
        <v>0</v>
      </c>
      <c r="J694" s="355">
        <f>[46]Juni!$D$35</f>
        <v>0</v>
      </c>
      <c r="K694" s="355">
        <f>[46]Juli!$D$35</f>
        <v>0</v>
      </c>
      <c r="L694" s="355">
        <f>[46]Agustus!$D$35</f>
        <v>0</v>
      </c>
      <c r="M694" s="355">
        <f>[46]September!$D$35</f>
        <v>0</v>
      </c>
      <c r="N694" s="355">
        <f>[46]Oktober!$D$35</f>
        <v>0</v>
      </c>
      <c r="O694" s="355">
        <f>[46]Nopember!$D$35</f>
        <v>0</v>
      </c>
      <c r="P694" s="355">
        <f>[46]Desember!$D$35</f>
        <v>0</v>
      </c>
      <c r="Q694" s="346">
        <f>SUM(E694:P694)</f>
        <v>0</v>
      </c>
      <c r="R694" s="1630">
        <f t="shared" si="279"/>
        <v>0</v>
      </c>
      <c r="S694" s="388"/>
      <c r="T694" s="1461"/>
      <c r="V694" s="786"/>
      <c r="W694" s="786"/>
      <c r="X694" s="786"/>
    </row>
    <row r="695" spans="1:24" s="189" customFormat="1" ht="14.1" customHeight="1">
      <c r="A695" s="292"/>
      <c r="B695" s="253" t="s">
        <v>50</v>
      </c>
      <c r="C695" s="859" t="s">
        <v>711</v>
      </c>
      <c r="D695" s="355">
        <v>0</v>
      </c>
      <c r="E695" s="355">
        <f>[46]Januari!$E$35</f>
        <v>0</v>
      </c>
      <c r="F695" s="355">
        <f>[46]Februari!$E$35</f>
        <v>0</v>
      </c>
      <c r="G695" s="355">
        <f>[46]Maret!$E$35</f>
        <v>0</v>
      </c>
      <c r="H695" s="355">
        <f>[46]April!$E$35</f>
        <v>0</v>
      </c>
      <c r="I695" s="355">
        <f>[46]Mei!$E$35</f>
        <v>0</v>
      </c>
      <c r="J695" s="355">
        <f>[46]Juni!$E$35</f>
        <v>0</v>
      </c>
      <c r="K695" s="355">
        <f>[46]Juli!$E$35</f>
        <v>0</v>
      </c>
      <c r="L695" s="355">
        <f>[46]Agustus!$E$35</f>
        <v>0</v>
      </c>
      <c r="M695" s="355">
        <f>[46]September!$E$35</f>
        <v>0</v>
      </c>
      <c r="N695" s="355">
        <f>[46]Oktober!$E$35</f>
        <v>0</v>
      </c>
      <c r="O695" s="355">
        <f>[46]Nopember!$E$35</f>
        <v>0</v>
      </c>
      <c r="P695" s="355">
        <f>[46]Desember!$E$35</f>
        <v>0</v>
      </c>
      <c r="Q695" s="346">
        <f>SUM(E695:P695)</f>
        <v>0</v>
      </c>
      <c r="R695" s="1630">
        <f t="shared" si="279"/>
        <v>0</v>
      </c>
      <c r="S695" s="388"/>
      <c r="T695" s="1461"/>
      <c r="V695" s="786"/>
      <c r="W695" s="786"/>
      <c r="X695" s="786"/>
    </row>
    <row r="696" spans="1:24" s="189" customFormat="1" ht="14.1" customHeight="1">
      <c r="A696" s="292"/>
      <c r="B696" s="253" t="s">
        <v>50</v>
      </c>
      <c r="C696" s="859" t="s">
        <v>712</v>
      </c>
      <c r="D696" s="355">
        <v>0</v>
      </c>
      <c r="E696" s="355">
        <f>[46]Januari!$F$35</f>
        <v>0</v>
      </c>
      <c r="F696" s="355">
        <f>[46]Februari!$F$35</f>
        <v>0</v>
      </c>
      <c r="G696" s="355">
        <f>[46]Maret!$F$35</f>
        <v>0</v>
      </c>
      <c r="H696" s="355">
        <f>[46]April!$F$35</f>
        <v>0</v>
      </c>
      <c r="I696" s="355">
        <f>[46]Mei!$F$35</f>
        <v>0</v>
      </c>
      <c r="J696" s="355">
        <f>[46]Juni!$F$35</f>
        <v>0</v>
      </c>
      <c r="K696" s="355">
        <f>[46]Juli!$F$35</f>
        <v>0</v>
      </c>
      <c r="L696" s="355">
        <f>[46]Agustus!$F$35</f>
        <v>0</v>
      </c>
      <c r="M696" s="355">
        <f>[46]September!$F$35</f>
        <v>0</v>
      </c>
      <c r="N696" s="355">
        <f>[46]Oktober!$F$35</f>
        <v>0</v>
      </c>
      <c r="O696" s="355">
        <f>[46]Nopember!$F$35</f>
        <v>0</v>
      </c>
      <c r="P696" s="355">
        <f>[46]Desember!$F$35</f>
        <v>0</v>
      </c>
      <c r="Q696" s="346">
        <f>SUM(E696:P696)</f>
        <v>0</v>
      </c>
      <c r="R696" s="1630">
        <f t="shared" si="279"/>
        <v>0</v>
      </c>
      <c r="S696" s="347" t="e">
        <f>Q696/D696*100</f>
        <v>#DIV/0!</v>
      </c>
      <c r="T696" s="1461"/>
      <c r="V696" s="786"/>
      <c r="W696" s="786"/>
      <c r="X696" s="786"/>
    </row>
    <row r="697" spans="1:24" s="189" customFormat="1" ht="14.1" customHeight="1">
      <c r="A697" s="292"/>
      <c r="B697" s="253" t="s">
        <v>50</v>
      </c>
      <c r="C697" s="859" t="s">
        <v>713</v>
      </c>
      <c r="D697" s="355"/>
      <c r="E697" s="355">
        <f>[46]Januari!$G$35</f>
        <v>0</v>
      </c>
      <c r="F697" s="355">
        <f>[46]Februari!$G$35</f>
        <v>0</v>
      </c>
      <c r="G697" s="355">
        <f>[46]Maret!$G$35</f>
        <v>0</v>
      </c>
      <c r="H697" s="355">
        <f>[46]April!$G$35</f>
        <v>0</v>
      </c>
      <c r="I697" s="355">
        <f>[46]Mei!$G$35</f>
        <v>0</v>
      </c>
      <c r="J697" s="355">
        <f>[46]Juni!$G$35</f>
        <v>0</v>
      </c>
      <c r="K697" s="355">
        <f>[46]Juli!$G$35</f>
        <v>0</v>
      </c>
      <c r="L697" s="355">
        <f>[46]Agustus!$G$35</f>
        <v>0</v>
      </c>
      <c r="M697" s="355">
        <f>[46]September!$G$35</f>
        <v>0</v>
      </c>
      <c r="N697" s="355">
        <f>[46]Oktober!$G$35</f>
        <v>0</v>
      </c>
      <c r="O697" s="355">
        <f>[46]Nopember!$G$35</f>
        <v>0</v>
      </c>
      <c r="P697" s="355">
        <f>[46]Desember!$G$35</f>
        <v>0</v>
      </c>
      <c r="Q697" s="346"/>
      <c r="R697" s="1630"/>
      <c r="S697" s="347"/>
      <c r="T697" s="1461"/>
      <c r="V697" s="786"/>
      <c r="W697" s="786"/>
      <c r="X697" s="786"/>
    </row>
    <row r="698" spans="1:24" s="189" customFormat="1" ht="14.1" customHeight="1">
      <c r="A698" s="292"/>
      <c r="B698" s="253" t="s">
        <v>50</v>
      </c>
      <c r="C698" s="859" t="s">
        <v>714</v>
      </c>
      <c r="D698" s="369">
        <f>'[4]TARGET MURNI DAN PERUBAHAN'!D605</f>
        <v>0</v>
      </c>
      <c r="E698" s="355">
        <v>0</v>
      </c>
      <c r="F698" s="355">
        <v>0</v>
      </c>
      <c r="G698" s="355">
        <v>0</v>
      </c>
      <c r="H698" s="355">
        <v>0</v>
      </c>
      <c r="I698" s="355">
        <v>0</v>
      </c>
      <c r="J698" s="355">
        <v>0</v>
      </c>
      <c r="K698" s="355">
        <v>0</v>
      </c>
      <c r="L698" s="355">
        <v>0</v>
      </c>
      <c r="M698" s="355">
        <v>0</v>
      </c>
      <c r="N698" s="355">
        <v>0</v>
      </c>
      <c r="O698" s="355">
        <v>0</v>
      </c>
      <c r="P698" s="355">
        <v>0</v>
      </c>
      <c r="Q698" s="346">
        <f>SUM(E698:P698)</f>
        <v>0</v>
      </c>
      <c r="R698" s="1630">
        <f>Q698-D698</f>
        <v>0</v>
      </c>
      <c r="S698" s="388"/>
      <c r="T698" s="1461"/>
      <c r="V698" s="786"/>
      <c r="W698" s="786"/>
      <c r="X698" s="786"/>
    </row>
    <row r="699" spans="1:24" s="245" customFormat="1" ht="14.1" customHeight="1">
      <c r="A699" s="575"/>
      <c r="B699" s="306"/>
      <c r="C699" s="306"/>
      <c r="D699" s="380"/>
      <c r="E699" s="379"/>
      <c r="F699" s="379"/>
      <c r="G699" s="379"/>
      <c r="H699" s="379"/>
      <c r="I699" s="379"/>
      <c r="J699" s="379"/>
      <c r="K699" s="379"/>
      <c r="L699" s="379"/>
      <c r="M699" s="379"/>
      <c r="N699" s="379"/>
      <c r="O699" s="379"/>
      <c r="P699" s="379"/>
      <c r="Q699" s="379"/>
      <c r="R699" s="1625"/>
      <c r="S699" s="501"/>
      <c r="T699" s="549"/>
      <c r="V699" s="1593"/>
      <c r="W699" s="1593"/>
      <c r="X699" s="1593"/>
    </row>
    <row r="700" spans="1:24" s="189" customFormat="1" ht="14.1" customHeight="1">
      <c r="A700" s="1696" t="s">
        <v>404</v>
      </c>
      <c r="B700" s="1553" t="s">
        <v>923</v>
      </c>
      <c r="C700" s="298"/>
      <c r="D700" s="835">
        <f>D702</f>
        <v>0</v>
      </c>
      <c r="E700" s="337">
        <f t="shared" ref="E700:Q700" si="282">E702</f>
        <v>0</v>
      </c>
      <c r="F700" s="337">
        <f t="shared" si="282"/>
        <v>500000</v>
      </c>
      <c r="G700" s="337">
        <f t="shared" si="282"/>
        <v>0</v>
      </c>
      <c r="H700" s="337">
        <f t="shared" si="282"/>
        <v>0</v>
      </c>
      <c r="I700" s="337">
        <f t="shared" si="282"/>
        <v>500000</v>
      </c>
      <c r="J700" s="337">
        <f t="shared" si="282"/>
        <v>0</v>
      </c>
      <c r="K700" s="337">
        <f t="shared" si="282"/>
        <v>0</v>
      </c>
      <c r="L700" s="337">
        <f t="shared" si="282"/>
        <v>500000</v>
      </c>
      <c r="M700" s="337">
        <f t="shared" si="282"/>
        <v>0</v>
      </c>
      <c r="N700" s="337">
        <f t="shared" si="282"/>
        <v>0</v>
      </c>
      <c r="O700" s="337">
        <f t="shared" si="282"/>
        <v>0</v>
      </c>
      <c r="P700" s="337">
        <f t="shared" si="282"/>
        <v>0</v>
      </c>
      <c r="Q700" s="337">
        <f t="shared" si="282"/>
        <v>1500000</v>
      </c>
      <c r="R700" s="1636">
        <f>+Q700-D700</f>
        <v>1500000</v>
      </c>
      <c r="S700" s="338" t="e">
        <f>+Q700/D700*100</f>
        <v>#DIV/0!</v>
      </c>
      <c r="T700" s="432"/>
      <c r="V700" s="786"/>
      <c r="W700" s="786"/>
      <c r="X700" s="786"/>
    </row>
    <row r="701" spans="1:24" s="189" customFormat="1" ht="14.1" customHeight="1">
      <c r="A701" s="1554"/>
      <c r="B701" s="1338"/>
      <c r="C701" s="1338"/>
      <c r="D701" s="1654"/>
      <c r="E701" s="1655"/>
      <c r="F701" s="1655"/>
      <c r="G701" s="1655"/>
      <c r="H701" s="1655"/>
      <c r="I701" s="1655"/>
      <c r="J701" s="1655"/>
      <c r="K701" s="1655"/>
      <c r="L701" s="1655"/>
      <c r="M701" s="1655"/>
      <c r="N701" s="1655"/>
      <c r="O701" s="1655"/>
      <c r="P701" s="1655"/>
      <c r="Q701" s="1655"/>
      <c r="R701" s="1628"/>
      <c r="S701" s="1337"/>
      <c r="T701" s="1819"/>
      <c r="V701" s="786"/>
      <c r="W701" s="786"/>
      <c r="X701" s="786"/>
    </row>
    <row r="702" spans="1:24" s="189" customFormat="1" ht="14.1" customHeight="1">
      <c r="A702" s="290"/>
      <c r="B702" s="291" t="s">
        <v>71</v>
      </c>
      <c r="C702" s="291"/>
      <c r="D702" s="371">
        <f>SUM(D703:D707)</f>
        <v>0</v>
      </c>
      <c r="E702" s="371">
        <f t="shared" ref="E702:Q702" si="283">SUM(E703:E707)</f>
        <v>0</v>
      </c>
      <c r="F702" s="371">
        <f t="shared" si="283"/>
        <v>500000</v>
      </c>
      <c r="G702" s="371">
        <f t="shared" si="283"/>
        <v>0</v>
      </c>
      <c r="H702" s="371">
        <f t="shared" si="283"/>
        <v>0</v>
      </c>
      <c r="I702" s="371">
        <f t="shared" si="283"/>
        <v>500000</v>
      </c>
      <c r="J702" s="371">
        <f t="shared" si="283"/>
        <v>0</v>
      </c>
      <c r="K702" s="371">
        <f t="shared" si="283"/>
        <v>0</v>
      </c>
      <c r="L702" s="371">
        <f t="shared" si="283"/>
        <v>500000</v>
      </c>
      <c r="M702" s="371">
        <f t="shared" si="283"/>
        <v>0</v>
      </c>
      <c r="N702" s="371">
        <f t="shared" si="283"/>
        <v>0</v>
      </c>
      <c r="O702" s="371">
        <f t="shared" si="283"/>
        <v>0</v>
      </c>
      <c r="P702" s="371">
        <f t="shared" si="283"/>
        <v>0</v>
      </c>
      <c r="Q702" s="371">
        <f t="shared" si="283"/>
        <v>1500000</v>
      </c>
      <c r="R702" s="1652">
        <f t="shared" ref="R702:R707" si="284">Q702-D702</f>
        <v>1500000</v>
      </c>
      <c r="S702" s="347" t="e">
        <f>Q702/D702*100</f>
        <v>#DIV/0!</v>
      </c>
      <c r="T702" s="1461"/>
      <c r="V702" s="786"/>
      <c r="W702" s="786"/>
      <c r="X702" s="786"/>
    </row>
    <row r="703" spans="1:24" s="189" customFormat="1" ht="14.1" customHeight="1">
      <c r="A703" s="292"/>
      <c r="B703" s="253" t="s">
        <v>50</v>
      </c>
      <c r="C703" s="859" t="s">
        <v>710</v>
      </c>
      <c r="D703" s="355">
        <v>0</v>
      </c>
      <c r="E703" s="355">
        <f>[53]Januari!$D$35</f>
        <v>0</v>
      </c>
      <c r="F703" s="355">
        <f>[53]Februari!$D$35</f>
        <v>0</v>
      </c>
      <c r="G703" s="355">
        <f>[53]Maret!$D$35</f>
        <v>0</v>
      </c>
      <c r="H703" s="355">
        <f>[53]April!$D$35</f>
        <v>0</v>
      </c>
      <c r="I703" s="355">
        <f>[53]Mei!$D$35</f>
        <v>0</v>
      </c>
      <c r="J703" s="355">
        <f>[53]Juni!$D$35</f>
        <v>0</v>
      </c>
      <c r="K703" s="355">
        <f>[53]Juli!$D$35</f>
        <v>0</v>
      </c>
      <c r="L703" s="355">
        <f>[53]Agustus!$D$35</f>
        <v>0</v>
      </c>
      <c r="M703" s="355">
        <f>[53]September!$D$35</f>
        <v>0</v>
      </c>
      <c r="N703" s="355">
        <f>[53]Oktober!$D$35</f>
        <v>0</v>
      </c>
      <c r="O703" s="355">
        <f>[53]Nopember!$D$35</f>
        <v>0</v>
      </c>
      <c r="P703" s="355">
        <f>[53]Desember!$D$35</f>
        <v>0</v>
      </c>
      <c r="Q703" s="346">
        <f>SUM(E703:P703)</f>
        <v>0</v>
      </c>
      <c r="R703" s="1630">
        <f t="shared" si="284"/>
        <v>0</v>
      </c>
      <c r="S703" s="388"/>
      <c r="T703" s="1461"/>
      <c r="V703" s="786"/>
      <c r="W703" s="786"/>
      <c r="X703" s="786"/>
    </row>
    <row r="704" spans="1:24" s="189" customFormat="1" ht="14.1" customHeight="1">
      <c r="A704" s="292"/>
      <c r="B704" s="253" t="s">
        <v>50</v>
      </c>
      <c r="C704" s="859" t="s">
        <v>711</v>
      </c>
      <c r="D704" s="355">
        <v>0</v>
      </c>
      <c r="E704" s="355">
        <f>[53]Januari!$E$35</f>
        <v>0</v>
      </c>
      <c r="F704" s="355">
        <f>[53]Februari!$E$35</f>
        <v>0</v>
      </c>
      <c r="G704" s="355">
        <f>[53]Maret!$E$35</f>
        <v>0</v>
      </c>
      <c r="H704" s="355">
        <f>[53]April!$E$35</f>
        <v>0</v>
      </c>
      <c r="I704" s="355">
        <f>[53]Mei!$E$35</f>
        <v>0</v>
      </c>
      <c r="J704" s="355">
        <f>[53]Juni!$E$35</f>
        <v>0</v>
      </c>
      <c r="K704" s="355">
        <f>[53]Juli!$E$35</f>
        <v>0</v>
      </c>
      <c r="L704" s="355">
        <f>[53]Agustus!$E$35</f>
        <v>0</v>
      </c>
      <c r="M704" s="355">
        <f>[53]September!$E$35</f>
        <v>0</v>
      </c>
      <c r="N704" s="355">
        <f>[53]Oktober!$E$35</f>
        <v>0</v>
      </c>
      <c r="O704" s="355">
        <f>[53]Nopember!$E$35</f>
        <v>0</v>
      </c>
      <c r="P704" s="355">
        <f>[53]Desember!$E$35</f>
        <v>0</v>
      </c>
      <c r="Q704" s="346">
        <f>SUM(E704:P704)</f>
        <v>0</v>
      </c>
      <c r="R704" s="1630">
        <f t="shared" si="284"/>
        <v>0</v>
      </c>
      <c r="S704" s="388"/>
      <c r="T704" s="1461"/>
      <c r="V704" s="786"/>
      <c r="W704" s="786"/>
      <c r="X704" s="786"/>
    </row>
    <row r="705" spans="1:24" s="189" customFormat="1" ht="14.1" customHeight="1">
      <c r="A705" s="292"/>
      <c r="B705" s="253" t="s">
        <v>50</v>
      </c>
      <c r="C705" s="859" t="s">
        <v>712</v>
      </c>
      <c r="D705" s="355">
        <v>0</v>
      </c>
      <c r="E705" s="355">
        <f>[53]Januari!$F$35</f>
        <v>0</v>
      </c>
      <c r="F705" s="355">
        <f>[53]Februari!$F$35</f>
        <v>0</v>
      </c>
      <c r="G705" s="355">
        <f>[53]Maret!$F$35</f>
        <v>0</v>
      </c>
      <c r="H705" s="355">
        <f>[53]April!$F$35</f>
        <v>0</v>
      </c>
      <c r="I705" s="355">
        <f>[53]Mei!$F$35</f>
        <v>0</v>
      </c>
      <c r="J705" s="355">
        <f>[53]Juni!$F$35</f>
        <v>0</v>
      </c>
      <c r="K705" s="355">
        <f>[53]Juli!$F$35</f>
        <v>0</v>
      </c>
      <c r="L705" s="355">
        <f>[53]Agustus!$F$35</f>
        <v>0</v>
      </c>
      <c r="M705" s="355">
        <f>[53]September!$F$35</f>
        <v>0</v>
      </c>
      <c r="N705" s="355">
        <f>[53]Oktober!$F$35</f>
        <v>0</v>
      </c>
      <c r="O705" s="355">
        <f>[53]Nopember!$F$35</f>
        <v>0</v>
      </c>
      <c r="P705" s="355">
        <f>[53]Desember!$F$35</f>
        <v>0</v>
      </c>
      <c r="Q705" s="346">
        <f>SUM(E705:P705)</f>
        <v>0</v>
      </c>
      <c r="R705" s="1630">
        <f t="shared" si="284"/>
        <v>0</v>
      </c>
      <c r="S705" s="347" t="e">
        <f>Q705/D705*100</f>
        <v>#DIV/0!</v>
      </c>
      <c r="T705" s="1461"/>
      <c r="V705" s="786"/>
      <c r="W705" s="786"/>
      <c r="X705" s="786"/>
    </row>
    <row r="706" spans="1:24" s="189" customFormat="1" ht="14.1" customHeight="1">
      <c r="A706" s="292"/>
      <c r="B706" s="253" t="s">
        <v>50</v>
      </c>
      <c r="C706" s="859" t="s">
        <v>713</v>
      </c>
      <c r="D706" s="355"/>
      <c r="E706" s="355">
        <f>[53]Januari!$G$35</f>
        <v>0</v>
      </c>
      <c r="F706" s="355">
        <f>[53]Februari!$G$35</f>
        <v>500000</v>
      </c>
      <c r="G706" s="355">
        <f>[53]Maret!$G$35</f>
        <v>0</v>
      </c>
      <c r="H706" s="355">
        <f>[53]April!$G$35</f>
        <v>0</v>
      </c>
      <c r="I706" s="355">
        <f>[53]Mei!$G$35</f>
        <v>500000</v>
      </c>
      <c r="J706" s="355">
        <f>[53]Juni!$G$35</f>
        <v>0</v>
      </c>
      <c r="K706" s="355">
        <f>[53]Juli!$G$35</f>
        <v>0</v>
      </c>
      <c r="L706" s="355">
        <f>[53]Agustus!$G$35</f>
        <v>500000</v>
      </c>
      <c r="M706" s="355">
        <f>[53]September!$G$35</f>
        <v>0</v>
      </c>
      <c r="N706" s="355">
        <f>[53]Oktober!$G$35</f>
        <v>0</v>
      </c>
      <c r="O706" s="355">
        <f>[53]Nopember!$G$35</f>
        <v>0</v>
      </c>
      <c r="P706" s="355">
        <f>[53]Desember!$G$35</f>
        <v>0</v>
      </c>
      <c r="Q706" s="346">
        <f>SUM(E706:P706)</f>
        <v>1500000</v>
      </c>
      <c r="R706" s="1630">
        <f t="shared" si="284"/>
        <v>1500000</v>
      </c>
      <c r="S706" s="347"/>
      <c r="T706" s="1461"/>
      <c r="V706" s="786"/>
      <c r="W706" s="786"/>
      <c r="X706" s="786"/>
    </row>
    <row r="707" spans="1:24" s="189" customFormat="1" ht="14.1" customHeight="1">
      <c r="A707" s="292"/>
      <c r="B707" s="253" t="s">
        <v>50</v>
      </c>
      <c r="C707" s="859" t="s">
        <v>714</v>
      </c>
      <c r="D707" s="355">
        <f>'[4]TARGET MURNI DAN PERUBAHAN'!D613</f>
        <v>0</v>
      </c>
      <c r="E707" s="355">
        <v>0</v>
      </c>
      <c r="F707" s="355">
        <v>0</v>
      </c>
      <c r="G707" s="355">
        <v>0</v>
      </c>
      <c r="H707" s="355">
        <v>0</v>
      </c>
      <c r="I707" s="355">
        <v>0</v>
      </c>
      <c r="J707" s="355">
        <v>0</v>
      </c>
      <c r="K707" s="355">
        <v>0</v>
      </c>
      <c r="L707" s="355">
        <v>0</v>
      </c>
      <c r="M707" s="355">
        <v>0</v>
      </c>
      <c r="N707" s="355">
        <v>0</v>
      </c>
      <c r="O707" s="355">
        <v>0</v>
      </c>
      <c r="P707" s="355">
        <v>0</v>
      </c>
      <c r="Q707" s="346">
        <f>SUM(E707:P707)</f>
        <v>0</v>
      </c>
      <c r="R707" s="1630">
        <f t="shared" si="284"/>
        <v>0</v>
      </c>
      <c r="S707" s="388"/>
      <c r="T707" s="1461"/>
      <c r="V707" s="786"/>
      <c r="W707" s="786"/>
      <c r="X707" s="786"/>
    </row>
    <row r="708" spans="1:24" s="245" customFormat="1" ht="14.1" customHeight="1">
      <c r="A708" s="575"/>
      <c r="B708" s="306"/>
      <c r="C708" s="306"/>
      <c r="D708" s="380"/>
      <c r="E708" s="379"/>
      <c r="F708" s="379"/>
      <c r="G708" s="379"/>
      <c r="H708" s="379"/>
      <c r="I708" s="379"/>
      <c r="J708" s="379"/>
      <c r="K708" s="379"/>
      <c r="L708" s="379"/>
      <c r="M708" s="379"/>
      <c r="N708" s="379"/>
      <c r="O708" s="379"/>
      <c r="P708" s="379"/>
      <c r="Q708" s="379"/>
      <c r="R708" s="1625"/>
      <c r="S708" s="501"/>
      <c r="T708" s="549"/>
      <c r="V708" s="1593"/>
      <c r="W708" s="1593"/>
      <c r="X708" s="1593"/>
    </row>
    <row r="709" spans="1:24" s="189" customFormat="1" ht="14.1" customHeight="1">
      <c r="A709" s="1696" t="s">
        <v>406</v>
      </c>
      <c r="B709" s="1553" t="s">
        <v>924</v>
      </c>
      <c r="C709" s="298"/>
      <c r="D709" s="835">
        <f>D711</f>
        <v>0</v>
      </c>
      <c r="E709" s="337">
        <f t="shared" ref="E709:Q709" si="285">E711</f>
        <v>0</v>
      </c>
      <c r="F709" s="337">
        <f t="shared" si="285"/>
        <v>0</v>
      </c>
      <c r="G709" s="337">
        <f t="shared" si="285"/>
        <v>0</v>
      </c>
      <c r="H709" s="337">
        <f t="shared" si="285"/>
        <v>0</v>
      </c>
      <c r="I709" s="337">
        <f t="shared" si="285"/>
        <v>0</v>
      </c>
      <c r="J709" s="337">
        <f t="shared" si="285"/>
        <v>0</v>
      </c>
      <c r="K709" s="337">
        <f t="shared" si="285"/>
        <v>0</v>
      </c>
      <c r="L709" s="337">
        <f t="shared" si="285"/>
        <v>0</v>
      </c>
      <c r="M709" s="337">
        <f t="shared" si="285"/>
        <v>0</v>
      </c>
      <c r="N709" s="337">
        <f t="shared" si="285"/>
        <v>0</v>
      </c>
      <c r="O709" s="337">
        <f t="shared" si="285"/>
        <v>15104597</v>
      </c>
      <c r="P709" s="337">
        <f t="shared" si="285"/>
        <v>0</v>
      </c>
      <c r="Q709" s="337">
        <f t="shared" si="285"/>
        <v>0</v>
      </c>
      <c r="R709" s="1636">
        <f>+Q709-D709</f>
        <v>0</v>
      </c>
      <c r="S709" s="338" t="e">
        <f>+Q709/D709*100</f>
        <v>#DIV/0!</v>
      </c>
      <c r="T709" s="432"/>
      <c r="V709" s="786"/>
      <c r="W709" s="786"/>
      <c r="X709" s="786"/>
    </row>
    <row r="710" spans="1:24" s="189" customFormat="1" ht="14.1" customHeight="1">
      <c r="A710" s="290"/>
      <c r="B710" s="253"/>
      <c r="C710" s="253"/>
      <c r="D710" s="355"/>
      <c r="E710" s="346"/>
      <c r="F710" s="346"/>
      <c r="G710" s="346"/>
      <c r="H710" s="346"/>
      <c r="I710" s="346"/>
      <c r="J710" s="346"/>
      <c r="K710" s="346"/>
      <c r="L710" s="346"/>
      <c r="M710" s="346"/>
      <c r="N710" s="346"/>
      <c r="O710" s="346"/>
      <c r="P710" s="346"/>
      <c r="Q710" s="346"/>
      <c r="R710" s="1652"/>
      <c r="S710" s="347"/>
      <c r="T710" s="1109"/>
      <c r="V710" s="786"/>
      <c r="W710" s="786"/>
      <c r="X710" s="786"/>
    </row>
    <row r="711" spans="1:24" s="189" customFormat="1" ht="14.1" customHeight="1">
      <c r="A711" s="290"/>
      <c r="B711" s="291" t="s">
        <v>71</v>
      </c>
      <c r="C711" s="291"/>
      <c r="D711" s="371">
        <f>SUM(D712:D716)</f>
        <v>0</v>
      </c>
      <c r="E711" s="371">
        <f t="shared" ref="E711:Q711" si="286">SUM(E712:E716)</f>
        <v>0</v>
      </c>
      <c r="F711" s="371">
        <f t="shared" si="286"/>
        <v>0</v>
      </c>
      <c r="G711" s="371">
        <f t="shared" si="286"/>
        <v>0</v>
      </c>
      <c r="H711" s="371">
        <f t="shared" si="286"/>
        <v>0</v>
      </c>
      <c r="I711" s="371">
        <f t="shared" si="286"/>
        <v>0</v>
      </c>
      <c r="J711" s="371">
        <f t="shared" si="286"/>
        <v>0</v>
      </c>
      <c r="K711" s="371">
        <f t="shared" si="286"/>
        <v>0</v>
      </c>
      <c r="L711" s="371">
        <f t="shared" si="286"/>
        <v>0</v>
      </c>
      <c r="M711" s="371">
        <f t="shared" si="286"/>
        <v>0</v>
      </c>
      <c r="N711" s="371">
        <f t="shared" si="286"/>
        <v>0</v>
      </c>
      <c r="O711" s="371">
        <f t="shared" si="286"/>
        <v>15104597</v>
      </c>
      <c r="P711" s="371">
        <f t="shared" si="286"/>
        <v>0</v>
      </c>
      <c r="Q711" s="371">
        <f t="shared" si="286"/>
        <v>0</v>
      </c>
      <c r="R711" s="1652">
        <f>Q711-D711</f>
        <v>0</v>
      </c>
      <c r="S711" s="347" t="e">
        <f>Q711/D711*100</f>
        <v>#DIV/0!</v>
      </c>
      <c r="T711" s="1461"/>
      <c r="V711" s="786"/>
      <c r="W711" s="786"/>
      <c r="X711" s="786"/>
    </row>
    <row r="712" spans="1:24" s="189" customFormat="1" ht="14.1" customHeight="1">
      <c r="A712" s="292"/>
      <c r="B712" s="253" t="s">
        <v>50</v>
      </c>
      <c r="C712" s="859" t="s">
        <v>710</v>
      </c>
      <c r="D712" s="355">
        <v>0</v>
      </c>
      <c r="E712" s="355">
        <f>[54]Januari!$D$35</f>
        <v>0</v>
      </c>
      <c r="F712" s="355">
        <f>[54]Februari!$D$35</f>
        <v>0</v>
      </c>
      <c r="G712" s="355">
        <f>[54]Maret!$D$35</f>
        <v>0</v>
      </c>
      <c r="H712" s="355">
        <f>[54]April!$D$35</f>
        <v>0</v>
      </c>
      <c r="I712" s="355">
        <f>[54]Mei!$D$35</f>
        <v>0</v>
      </c>
      <c r="J712" s="355">
        <f>[54]Juni!$D$35</f>
        <v>0</v>
      </c>
      <c r="K712" s="355">
        <f>[54]Juli!$D$35</f>
        <v>0</v>
      </c>
      <c r="L712" s="355">
        <f>[54]Agustus!$D$35</f>
        <v>0</v>
      </c>
      <c r="M712" s="355">
        <f>[54]September!$D$35</f>
        <v>0</v>
      </c>
      <c r="N712" s="355">
        <f>[54]Oktober!$D$35</f>
        <v>0</v>
      </c>
      <c r="O712" s="355">
        <f>[54]Nopember!$D$35</f>
        <v>0</v>
      </c>
      <c r="P712" s="355">
        <f>[54]Desember!$D$35</f>
        <v>0</v>
      </c>
      <c r="Q712" s="346">
        <f>SUM(E712:P712)</f>
        <v>0</v>
      </c>
      <c r="R712" s="1630">
        <f>Q712-D712</f>
        <v>0</v>
      </c>
      <c r="S712" s="388"/>
      <c r="T712" s="1461"/>
      <c r="V712" s="786"/>
      <c r="W712" s="786"/>
      <c r="X712" s="786"/>
    </row>
    <row r="713" spans="1:24" s="189" customFormat="1" ht="14.1" customHeight="1">
      <c r="A713" s="292"/>
      <c r="B713" s="253" t="s">
        <v>50</v>
      </c>
      <c r="C713" s="859" t="s">
        <v>711</v>
      </c>
      <c r="D713" s="355">
        <v>0</v>
      </c>
      <c r="E713" s="355">
        <f>[54]Januari!$E$35</f>
        <v>0</v>
      </c>
      <c r="F713" s="355">
        <f>[54]Februari!$E$35</f>
        <v>0</v>
      </c>
      <c r="G713" s="355">
        <f>[54]Maret!$E$35</f>
        <v>0</v>
      </c>
      <c r="H713" s="355">
        <f>[54]April!$E$35</f>
        <v>0</v>
      </c>
      <c r="I713" s="355">
        <f>[54]Mei!$E$35</f>
        <v>0</v>
      </c>
      <c r="J713" s="355">
        <f>[54]Juni!$E$35</f>
        <v>0</v>
      </c>
      <c r="K713" s="355">
        <f>[54]Juli!$E$35</f>
        <v>0</v>
      </c>
      <c r="L713" s="355">
        <f>[54]Agustus!$E$35</f>
        <v>0</v>
      </c>
      <c r="M713" s="355">
        <f>[54]September!$E$35</f>
        <v>0</v>
      </c>
      <c r="N713" s="355">
        <f>[54]Oktober!$E$35</f>
        <v>0</v>
      </c>
      <c r="O713" s="355">
        <f>[54]Nopember!$E$35</f>
        <v>0</v>
      </c>
      <c r="P713" s="355">
        <f>[54]Desember!$E$35</f>
        <v>0</v>
      </c>
      <c r="Q713" s="346">
        <f>SUM(E713:P713)</f>
        <v>0</v>
      </c>
      <c r="R713" s="1630">
        <f>Q713-D713</f>
        <v>0</v>
      </c>
      <c r="S713" s="388"/>
      <c r="T713" s="1461"/>
      <c r="V713" s="786"/>
      <c r="W713" s="786"/>
      <c r="X713" s="786"/>
    </row>
    <row r="714" spans="1:24" s="189" customFormat="1" ht="14.1" customHeight="1">
      <c r="A714" s="292"/>
      <c r="B714" s="253" t="s">
        <v>50</v>
      </c>
      <c r="C714" s="859" t="s">
        <v>712</v>
      </c>
      <c r="D714" s="355">
        <v>0</v>
      </c>
      <c r="E714" s="355">
        <f>[54]Januari!$F$35</f>
        <v>0</v>
      </c>
      <c r="F714" s="355">
        <f>[54]Februari!$F$35</f>
        <v>0</v>
      </c>
      <c r="G714" s="355">
        <f>[54]Maret!$F$35</f>
        <v>0</v>
      </c>
      <c r="H714" s="355">
        <f>[54]April!$F$35</f>
        <v>0</v>
      </c>
      <c r="I714" s="355">
        <f>[54]Mei!$F$35</f>
        <v>0</v>
      </c>
      <c r="J714" s="355">
        <f>[54]Juni!$F$35</f>
        <v>0</v>
      </c>
      <c r="K714" s="355">
        <f>[54]Juli!$F$35</f>
        <v>0</v>
      </c>
      <c r="L714" s="355">
        <f>[54]Agustus!$F$35</f>
        <v>0</v>
      </c>
      <c r="M714" s="355">
        <f>[54]September!$F$35</f>
        <v>0</v>
      </c>
      <c r="N714" s="355">
        <f>[54]Oktober!$F$35</f>
        <v>0</v>
      </c>
      <c r="O714" s="355">
        <f>[54]Nopember!$F$35</f>
        <v>0</v>
      </c>
      <c r="P714" s="355">
        <f>[54]Desember!$F$35</f>
        <v>0</v>
      </c>
      <c r="Q714" s="346">
        <f>SUM(E714:P714)</f>
        <v>0</v>
      </c>
      <c r="R714" s="1630">
        <f>Q714-D714</f>
        <v>0</v>
      </c>
      <c r="S714" s="347" t="e">
        <f>Q714/D714*100</f>
        <v>#DIV/0!</v>
      </c>
      <c r="T714" s="1461"/>
      <c r="V714" s="786"/>
      <c r="W714" s="786"/>
      <c r="X714" s="786"/>
    </row>
    <row r="715" spans="1:24" s="189" customFormat="1" ht="14.1" customHeight="1">
      <c r="A715" s="292"/>
      <c r="B715" s="253" t="s">
        <v>50</v>
      </c>
      <c r="C715" s="859" t="s">
        <v>713</v>
      </c>
      <c r="D715" s="355"/>
      <c r="E715" s="355">
        <f>[54]Januari!$G$35</f>
        <v>0</v>
      </c>
      <c r="F715" s="355">
        <f>[54]Februari!$G$35</f>
        <v>0</v>
      </c>
      <c r="G715" s="355">
        <f>[54]Maret!$G$35</f>
        <v>0</v>
      </c>
      <c r="H715" s="355">
        <f>[54]April!$G$35</f>
        <v>0</v>
      </c>
      <c r="I715" s="355">
        <f>[54]Mei!$G$35</f>
        <v>0</v>
      </c>
      <c r="J715" s="355">
        <f>[54]Juni!$G$35</f>
        <v>0</v>
      </c>
      <c r="K715" s="355">
        <f>[54]Juli!$G$35</f>
        <v>0</v>
      </c>
      <c r="L715" s="355">
        <f>[54]Agustus!$G$35</f>
        <v>0</v>
      </c>
      <c r="M715" s="355">
        <f>[54]September!$G$35</f>
        <v>0</v>
      </c>
      <c r="N715" s="355">
        <f>[54]Oktober!$G$35</f>
        <v>0</v>
      </c>
      <c r="O715" s="355">
        <f>[54]Nopember!$G$35</f>
        <v>15104597</v>
      </c>
      <c r="P715" s="355">
        <f>[54]Desember!$G$35</f>
        <v>0</v>
      </c>
      <c r="Q715" s="346"/>
      <c r="R715" s="1630"/>
      <c r="S715" s="347"/>
      <c r="T715" s="1461"/>
      <c r="V715" s="786"/>
      <c r="W715" s="786"/>
      <c r="X715" s="786"/>
    </row>
    <row r="716" spans="1:24" s="189" customFormat="1" ht="14.1" customHeight="1">
      <c r="A716" s="292"/>
      <c r="B716" s="253" t="s">
        <v>50</v>
      </c>
      <c r="C716" s="859" t="s">
        <v>714</v>
      </c>
      <c r="D716" s="355">
        <f>'[4]TARGET MURNI DAN PERUBAHAN'!D621</f>
        <v>0</v>
      </c>
      <c r="E716" s="355">
        <v>0</v>
      </c>
      <c r="F716" s="355">
        <v>0</v>
      </c>
      <c r="G716" s="355">
        <v>0</v>
      </c>
      <c r="H716" s="355">
        <v>0</v>
      </c>
      <c r="I716" s="355">
        <v>0</v>
      </c>
      <c r="J716" s="355">
        <v>0</v>
      </c>
      <c r="K716" s="355">
        <v>0</v>
      </c>
      <c r="L716" s="355">
        <v>0</v>
      </c>
      <c r="M716" s="355">
        <v>0</v>
      </c>
      <c r="N716" s="355">
        <v>0</v>
      </c>
      <c r="O716" s="355">
        <v>0</v>
      </c>
      <c r="P716" s="355">
        <v>0</v>
      </c>
      <c r="Q716" s="346">
        <f>SUM(E716:P716)</f>
        <v>0</v>
      </c>
      <c r="R716" s="1630">
        <f>Q716-D716</f>
        <v>0</v>
      </c>
      <c r="S716" s="388"/>
      <c r="T716" s="1461"/>
      <c r="V716" s="786"/>
      <c r="W716" s="786"/>
      <c r="X716" s="786"/>
    </row>
    <row r="717" spans="1:24" s="245" customFormat="1" ht="14.1" customHeight="1">
      <c r="A717" s="575"/>
      <c r="B717" s="306"/>
      <c r="C717" s="306"/>
      <c r="D717" s="380"/>
      <c r="E717" s="379"/>
      <c r="F717" s="379"/>
      <c r="G717" s="379"/>
      <c r="H717" s="379"/>
      <c r="I717" s="379"/>
      <c r="J717" s="379"/>
      <c r="K717" s="379"/>
      <c r="L717" s="379"/>
      <c r="M717" s="379"/>
      <c r="N717" s="379"/>
      <c r="O717" s="379"/>
      <c r="P717" s="379"/>
      <c r="Q717" s="379"/>
      <c r="R717" s="1625"/>
      <c r="S717" s="501"/>
      <c r="T717" s="549"/>
      <c r="V717" s="1593"/>
      <c r="W717" s="1593"/>
      <c r="X717" s="1593"/>
    </row>
    <row r="718" spans="1:24" s="257" customFormat="1" ht="14.1" customHeight="1">
      <c r="A718" s="5845" t="s">
        <v>925</v>
      </c>
      <c r="B718" s="5846"/>
      <c r="C718" s="5847"/>
      <c r="D718" s="1131">
        <f t="shared" ref="D718:P718" si="287">D709+D700+D691+D679+D666+D657+D644+D610+D599+D590+D566+D549+D529+D520+D511+D498+D440+D429+D420+D272+D253+D243+D227+D210+D188+D177+D169+D161+D146+D135+D120+D111+D102+D25+D13</f>
        <v>383634542450</v>
      </c>
      <c r="E718" s="1131">
        <f t="shared" si="287"/>
        <v>13248155936.290001</v>
      </c>
      <c r="F718" s="1131">
        <f t="shared" si="287"/>
        <v>13623626576.200001</v>
      </c>
      <c r="G718" s="1131">
        <f t="shared" si="287"/>
        <v>17941625197.16</v>
      </c>
      <c r="H718" s="1131">
        <f t="shared" si="287"/>
        <v>18708937640.23</v>
      </c>
      <c r="I718" s="1131">
        <f t="shared" si="287"/>
        <v>20414307495.389999</v>
      </c>
      <c r="J718" s="1131">
        <f t="shared" si="287"/>
        <v>20287354272.779999</v>
      </c>
      <c r="K718" s="1131">
        <f t="shared" si="287"/>
        <v>16875244641.220001</v>
      </c>
      <c r="L718" s="1131">
        <f t="shared" si="287"/>
        <v>18492178941.650002</v>
      </c>
      <c r="M718" s="1131">
        <f t="shared" si="287"/>
        <v>18798123107</v>
      </c>
      <c r="N718" s="1131">
        <f t="shared" si="287"/>
        <v>23457302174.98</v>
      </c>
      <c r="O718" s="1131">
        <f t="shared" si="287"/>
        <v>91988153933.960007</v>
      </c>
      <c r="P718" s="1131">
        <f t="shared" si="287"/>
        <v>82516262239.47998</v>
      </c>
      <c r="Q718" s="1131">
        <f>SUM(E718:P718)</f>
        <v>356351272156.34003</v>
      </c>
      <c r="R718" s="1131">
        <f>Q718-D718</f>
        <v>-27283270293.659973</v>
      </c>
      <c r="S718" s="1825">
        <f>Q718/D718*100</f>
        <v>92.888213319003754</v>
      </c>
      <c r="T718" s="1826"/>
      <c r="V718" s="1743"/>
      <c r="W718" s="1743"/>
      <c r="X718" s="1743"/>
    </row>
    <row r="719" spans="1:24" s="189" customFormat="1" ht="14.1" customHeight="1">
      <c r="A719" s="1821"/>
      <c r="D719" s="542">
        <v>0</v>
      </c>
      <c r="E719" s="542"/>
      <c r="F719" s="542"/>
      <c r="G719" s="542"/>
      <c r="H719" s="542"/>
      <c r="I719" s="542"/>
      <c r="J719" s="542"/>
      <c r="K719" s="542"/>
      <c r="L719" s="542"/>
      <c r="M719" s="542"/>
      <c r="N719" s="542"/>
      <c r="O719" s="542"/>
      <c r="P719" s="542"/>
      <c r="Q719" s="542"/>
      <c r="R719" s="542"/>
      <c r="V719" s="786"/>
      <c r="W719" s="786"/>
      <c r="X719" s="786"/>
    </row>
    <row r="720" spans="1:24" s="189" customFormat="1" ht="14.1" customHeight="1">
      <c r="A720" s="1245"/>
      <c r="B720" s="422"/>
      <c r="C720" s="422"/>
      <c r="D720" s="555" t="s">
        <v>660</v>
      </c>
      <c r="E720" s="555"/>
      <c r="F720" s="555"/>
      <c r="G720" s="555"/>
      <c r="H720" s="555"/>
      <c r="I720" s="555"/>
      <c r="J720" s="555"/>
      <c r="K720" s="555"/>
      <c r="L720" s="555"/>
      <c r="M720" s="555"/>
      <c r="N720" s="555"/>
      <c r="O720" s="555"/>
      <c r="P720" s="555"/>
      <c r="Q720" s="1827"/>
      <c r="R720" s="1828" t="s">
        <v>926</v>
      </c>
      <c r="V720" s="786"/>
      <c r="W720" s="786"/>
      <c r="X720" s="786"/>
    </row>
    <row r="721" spans="1:24" s="189" customFormat="1" ht="14.1" customHeight="1">
      <c r="A721" s="422"/>
      <c r="B721" s="422"/>
      <c r="C721" s="422"/>
      <c r="D721" s="555" t="s">
        <v>927</v>
      </c>
      <c r="E721" s="555"/>
      <c r="F721" s="555"/>
      <c r="G721" s="555"/>
      <c r="H721" s="555"/>
      <c r="I721" s="555"/>
      <c r="J721" s="555"/>
      <c r="K721" s="555"/>
      <c r="L721" s="555"/>
      <c r="M721" s="555"/>
      <c r="N721" s="555"/>
      <c r="O721" s="555"/>
      <c r="P721" s="555"/>
      <c r="Q721" s="542"/>
      <c r="R721" s="555" t="s">
        <v>928</v>
      </c>
      <c r="V721" s="786"/>
      <c r="W721" s="786"/>
      <c r="X721" s="786"/>
    </row>
    <row r="722" spans="1:24" s="189" customFormat="1" ht="14.1" customHeight="1">
      <c r="A722" s="422"/>
      <c r="B722" s="422"/>
      <c r="C722" s="422"/>
      <c r="D722" s="555" t="s">
        <v>929</v>
      </c>
      <c r="E722" s="555"/>
      <c r="F722" s="555"/>
      <c r="G722" s="555"/>
      <c r="H722" s="555"/>
      <c r="I722" s="555"/>
      <c r="J722" s="555"/>
      <c r="K722" s="555"/>
      <c r="L722" s="555"/>
      <c r="M722" s="555"/>
      <c r="N722" s="555"/>
      <c r="O722" s="555"/>
      <c r="P722" s="555"/>
      <c r="Q722" s="542"/>
      <c r="R722" s="555"/>
      <c r="V722" s="786"/>
      <c r="W722" s="786"/>
      <c r="X722" s="786"/>
    </row>
    <row r="723" spans="1:24" s="189" customFormat="1" ht="14.1" customHeight="1">
      <c r="A723" s="422"/>
      <c r="B723" s="422"/>
      <c r="C723" s="422"/>
      <c r="D723" s="555"/>
      <c r="E723" s="555"/>
      <c r="F723" s="555"/>
      <c r="G723" s="555"/>
      <c r="H723" s="555"/>
      <c r="I723" s="555"/>
      <c r="J723" s="555"/>
      <c r="K723" s="555"/>
      <c r="L723" s="555"/>
      <c r="M723" s="555"/>
      <c r="N723" s="555"/>
      <c r="O723" s="555"/>
      <c r="P723" s="555"/>
      <c r="Q723" s="542"/>
      <c r="R723" s="555"/>
      <c r="V723" s="786"/>
      <c r="W723" s="786"/>
      <c r="X723" s="786"/>
    </row>
    <row r="724" spans="1:24" s="189" customFormat="1" ht="14.1" customHeight="1">
      <c r="A724" s="422"/>
      <c r="B724" s="422"/>
      <c r="C724" s="422"/>
      <c r="D724" s="555"/>
      <c r="E724" s="555"/>
      <c r="F724" s="555"/>
      <c r="G724" s="555"/>
      <c r="H724" s="555"/>
      <c r="I724" s="555"/>
      <c r="J724" s="555"/>
      <c r="K724" s="555"/>
      <c r="L724" s="555"/>
      <c r="M724" s="555"/>
      <c r="N724" s="555"/>
      <c r="O724" s="555"/>
      <c r="P724" s="555"/>
      <c r="Q724" s="542"/>
      <c r="R724" s="555"/>
      <c r="V724" s="786"/>
      <c r="W724" s="786"/>
      <c r="X724" s="786"/>
    </row>
    <row r="725" spans="1:24" s="189" customFormat="1" ht="14.1" customHeight="1">
      <c r="A725" s="422"/>
      <c r="B725" s="422"/>
      <c r="C725" s="422"/>
      <c r="D725" s="555"/>
      <c r="E725" s="555"/>
      <c r="F725" s="555"/>
      <c r="G725" s="555"/>
      <c r="H725" s="555"/>
      <c r="I725" s="555"/>
      <c r="J725" s="555"/>
      <c r="K725" s="555"/>
      <c r="L725" s="555"/>
      <c r="M725" s="555"/>
      <c r="N725" s="555"/>
      <c r="O725" s="555"/>
      <c r="P725" s="555"/>
      <c r="Q725" s="542"/>
      <c r="R725" s="555"/>
      <c r="V725" s="786"/>
      <c r="W725" s="786"/>
      <c r="X725" s="786"/>
    </row>
    <row r="726" spans="1:24" s="189" customFormat="1" ht="14.1" customHeight="1">
      <c r="A726" s="422"/>
      <c r="B726" s="422"/>
      <c r="C726" s="422"/>
      <c r="D726" s="1822" t="s">
        <v>930</v>
      </c>
      <c r="E726" s="1822"/>
      <c r="F726" s="1822"/>
      <c r="G726" s="1822"/>
      <c r="H726" s="1822"/>
      <c r="I726" s="1822"/>
      <c r="J726" s="1822"/>
      <c r="K726" s="1822"/>
      <c r="L726" s="1822"/>
      <c r="M726" s="1822"/>
      <c r="N726" s="1822"/>
      <c r="O726" s="1822"/>
      <c r="P726" s="1822"/>
      <c r="Q726" s="542"/>
      <c r="R726" s="1829" t="s">
        <v>931</v>
      </c>
      <c r="V726" s="786"/>
      <c r="W726" s="786"/>
      <c r="X726" s="786"/>
    </row>
    <row r="727" spans="1:24" s="189" customFormat="1" ht="14.1" customHeight="1">
      <c r="A727" s="422"/>
      <c r="C727" s="1823"/>
      <c r="D727" s="555" t="s">
        <v>932</v>
      </c>
      <c r="E727" s="555"/>
      <c r="F727" s="555"/>
      <c r="G727" s="555"/>
      <c r="H727" s="555"/>
      <c r="I727" s="555"/>
      <c r="J727" s="555"/>
      <c r="K727" s="555"/>
      <c r="L727" s="555"/>
      <c r="M727" s="555"/>
      <c r="N727" s="555"/>
      <c r="O727" s="555"/>
      <c r="P727" s="555"/>
      <c r="Q727" s="542"/>
      <c r="R727" s="422" t="s">
        <v>933</v>
      </c>
      <c r="V727" s="786"/>
      <c r="W727" s="786"/>
      <c r="X727" s="786"/>
    </row>
    <row r="728" spans="1:24" s="189" customFormat="1" ht="13.5" customHeight="1">
      <c r="A728" s="1821"/>
      <c r="V728" s="786"/>
      <c r="W728" s="786"/>
      <c r="X728" s="786"/>
    </row>
    <row r="729" spans="1:24" s="189" customFormat="1" ht="13.5" customHeight="1">
      <c r="A729" s="1821"/>
      <c r="V729" s="786"/>
      <c r="W729" s="786"/>
      <c r="X729" s="786"/>
    </row>
    <row r="730" spans="1:24" ht="13.5" customHeight="1">
      <c r="A730" s="1821"/>
      <c r="B730" s="189"/>
      <c r="C730" s="189"/>
      <c r="E730" s="189"/>
      <c r="F730" s="189"/>
      <c r="G730" s="189"/>
      <c r="H730" s="189"/>
      <c r="I730" s="189"/>
      <c r="J730" s="189"/>
      <c r="K730" s="189"/>
      <c r="L730" s="189"/>
      <c r="M730" s="189"/>
      <c r="N730" s="189"/>
      <c r="O730" s="189"/>
      <c r="P730" s="189"/>
      <c r="Q730" s="189"/>
      <c r="R730" s="189"/>
      <c r="S730" s="189"/>
      <c r="T730" s="189"/>
    </row>
    <row r="731" spans="1:24" ht="13.5" customHeight="1">
      <c r="A731" s="1821"/>
      <c r="B731" s="189"/>
      <c r="C731" s="189"/>
      <c r="E731" s="189"/>
      <c r="F731" s="189"/>
      <c r="G731" s="189"/>
      <c r="H731" s="189"/>
      <c r="I731" s="189"/>
      <c r="J731" s="189"/>
      <c r="K731" s="189"/>
      <c r="L731" s="189"/>
      <c r="M731" s="189"/>
      <c r="N731" s="189"/>
      <c r="O731" s="189"/>
      <c r="P731" s="189"/>
      <c r="Q731" s="189"/>
      <c r="R731" s="189"/>
      <c r="S731" s="189"/>
      <c r="T731" s="189"/>
    </row>
    <row r="732" spans="1:24" ht="13.5" customHeight="1">
      <c r="A732" s="1821"/>
      <c r="B732" s="189"/>
      <c r="C732" s="189"/>
      <c r="D732" s="190"/>
      <c r="E732" s="1824"/>
      <c r="F732" s="1824"/>
      <c r="G732" s="1824"/>
      <c r="H732" s="1824"/>
      <c r="I732" s="1824"/>
      <c r="J732" s="1824"/>
      <c r="K732" s="1824"/>
      <c r="L732" s="1824"/>
      <c r="M732" s="1824"/>
      <c r="N732" s="1824"/>
      <c r="O732" s="1824"/>
      <c r="P732" s="1824"/>
      <c r="Q732" s="189"/>
      <c r="R732" s="189"/>
      <c r="S732" s="189"/>
      <c r="T732" s="189"/>
    </row>
    <row r="733" spans="1:24" ht="13.5" customHeight="1">
      <c r="A733" s="1821"/>
      <c r="B733" s="189"/>
      <c r="C733" s="189"/>
      <c r="E733" s="189"/>
      <c r="F733" s="189"/>
      <c r="G733" s="189"/>
      <c r="H733" s="189"/>
      <c r="I733" s="189"/>
      <c r="J733" s="189"/>
      <c r="K733" s="189"/>
      <c r="L733" s="189"/>
      <c r="M733" s="189"/>
      <c r="N733" s="189"/>
      <c r="O733" s="189"/>
      <c r="P733" s="189"/>
      <c r="Q733" s="189"/>
      <c r="R733" s="189"/>
      <c r="S733" s="189"/>
      <c r="T733" s="189"/>
    </row>
    <row r="734" spans="1:24" ht="13.5" customHeight="1">
      <c r="A734" s="1821"/>
      <c r="B734" s="189"/>
      <c r="C734" s="189"/>
      <c r="E734" s="189"/>
      <c r="F734" s="189"/>
      <c r="G734" s="189"/>
      <c r="H734" s="189"/>
      <c r="I734" s="189"/>
      <c r="J734" s="189"/>
      <c r="K734" s="189"/>
      <c r="L734" s="189"/>
      <c r="M734" s="189"/>
      <c r="N734" s="189"/>
      <c r="O734" s="189"/>
      <c r="P734" s="189"/>
      <c r="Q734" s="189"/>
      <c r="R734" s="189"/>
      <c r="S734" s="189"/>
      <c r="T734" s="189"/>
    </row>
    <row r="735" spans="1:24" ht="13.5" customHeight="1">
      <c r="A735" s="1821"/>
      <c r="B735" s="189"/>
      <c r="C735" s="189"/>
      <c r="E735" s="189"/>
      <c r="F735" s="189"/>
      <c r="G735" s="189"/>
      <c r="H735" s="189"/>
      <c r="I735" s="189"/>
      <c r="J735" s="189"/>
      <c r="K735" s="189"/>
      <c r="L735" s="189"/>
      <c r="M735" s="189"/>
      <c r="N735" s="189"/>
      <c r="O735" s="189"/>
      <c r="P735" s="189"/>
      <c r="Q735" s="189"/>
      <c r="R735" s="189"/>
      <c r="S735" s="189"/>
      <c r="T735" s="189"/>
    </row>
    <row r="736" spans="1:24" ht="13.5" customHeight="1">
      <c r="A736" s="1821"/>
      <c r="B736" s="189"/>
      <c r="C736" s="189"/>
      <c r="E736" s="189"/>
      <c r="F736" s="189"/>
      <c r="G736" s="189"/>
      <c r="H736" s="189"/>
      <c r="I736" s="189"/>
      <c r="J736" s="189"/>
      <c r="K736" s="189"/>
      <c r="L736" s="189"/>
      <c r="M736" s="189"/>
      <c r="N736" s="189"/>
      <c r="O736" s="189"/>
      <c r="P736" s="189"/>
      <c r="Q736" s="189"/>
      <c r="R736" s="189"/>
      <c r="S736" s="189"/>
      <c r="T736" s="189"/>
    </row>
    <row r="737" spans="1:20" ht="13.5" customHeight="1">
      <c r="A737" s="1821"/>
      <c r="B737" s="189"/>
      <c r="C737" s="189"/>
      <c r="E737" s="189"/>
      <c r="F737" s="189"/>
      <c r="G737" s="189"/>
      <c r="H737" s="189"/>
      <c r="I737" s="189"/>
      <c r="J737" s="189"/>
      <c r="K737" s="189"/>
      <c r="L737" s="189"/>
      <c r="M737" s="189"/>
      <c r="N737" s="189"/>
      <c r="O737" s="189"/>
      <c r="P737" s="189"/>
      <c r="Q737" s="189"/>
      <c r="R737" s="189"/>
      <c r="S737" s="189"/>
      <c r="T737" s="189"/>
    </row>
    <row r="738" spans="1:20" ht="13.5" customHeight="1">
      <c r="A738" s="1821"/>
      <c r="B738" s="189"/>
      <c r="C738" s="189"/>
      <c r="E738" s="189"/>
      <c r="F738" s="189"/>
      <c r="G738" s="189"/>
      <c r="H738" s="189"/>
      <c r="I738" s="189"/>
      <c r="J738" s="189"/>
      <c r="K738" s="189"/>
      <c r="L738" s="189"/>
      <c r="M738" s="189"/>
      <c r="N738" s="189"/>
      <c r="O738" s="189"/>
      <c r="P738" s="189"/>
      <c r="Q738" s="189"/>
      <c r="R738" s="189"/>
      <c r="S738" s="189"/>
      <c r="T738" s="189"/>
    </row>
    <row r="739" spans="1:20" ht="13.5" customHeight="1">
      <c r="A739" s="1821"/>
      <c r="B739" s="189"/>
      <c r="C739" s="189"/>
      <c r="E739" s="189"/>
      <c r="F739" s="189"/>
      <c r="G739" s="189"/>
      <c r="H739" s="189"/>
      <c r="I739" s="189"/>
      <c r="J739" s="189"/>
      <c r="K739" s="189"/>
      <c r="L739" s="189"/>
      <c r="M739" s="189"/>
      <c r="N739" s="189"/>
      <c r="O739" s="189"/>
      <c r="P739" s="189"/>
      <c r="Q739" s="189"/>
      <c r="R739" s="189"/>
      <c r="S739" s="189"/>
      <c r="T739" s="189"/>
    </row>
    <row r="740" spans="1:20" ht="13.5" customHeight="1">
      <c r="A740" s="1821"/>
      <c r="B740" s="189"/>
      <c r="C740" s="189"/>
      <c r="E740" s="189"/>
      <c r="F740" s="189"/>
      <c r="G740" s="189"/>
      <c r="H740" s="189"/>
      <c r="I740" s="189"/>
      <c r="J740" s="189"/>
      <c r="K740" s="189"/>
      <c r="L740" s="189"/>
      <c r="M740" s="189"/>
      <c r="N740" s="189"/>
      <c r="O740" s="189"/>
      <c r="P740" s="189"/>
      <c r="Q740" s="189"/>
      <c r="R740" s="189"/>
      <c r="S740" s="189"/>
      <c r="T740" s="189"/>
    </row>
    <row r="741" spans="1:20" ht="13.5" customHeight="1">
      <c r="A741" s="1821"/>
      <c r="B741" s="189"/>
      <c r="C741" s="189"/>
      <c r="E741" s="189"/>
      <c r="F741" s="189"/>
      <c r="G741" s="189"/>
      <c r="H741" s="189"/>
      <c r="I741" s="189"/>
      <c r="J741" s="189"/>
      <c r="K741" s="189"/>
      <c r="L741" s="189"/>
      <c r="M741" s="189"/>
      <c r="N741" s="189"/>
      <c r="O741" s="189"/>
      <c r="P741" s="189"/>
      <c r="Q741" s="189"/>
      <c r="R741" s="189"/>
      <c r="S741" s="189"/>
      <c r="T741" s="189"/>
    </row>
    <row r="742" spans="1:20" ht="13.5" customHeight="1">
      <c r="A742" s="1821"/>
      <c r="B742" s="189"/>
      <c r="C742" s="189"/>
      <c r="E742" s="189"/>
      <c r="F742" s="189"/>
      <c r="G742" s="189"/>
      <c r="H742" s="189"/>
      <c r="I742" s="189"/>
      <c r="J742" s="189"/>
      <c r="K742" s="189"/>
      <c r="L742" s="189"/>
      <c r="M742" s="189"/>
      <c r="N742" s="189"/>
      <c r="O742" s="189"/>
      <c r="P742" s="189"/>
      <c r="Q742" s="189"/>
      <c r="R742" s="189"/>
      <c r="S742" s="189"/>
      <c r="T742" s="189"/>
    </row>
    <row r="743" spans="1:20" ht="13.5" customHeight="1">
      <c r="A743" s="1821"/>
      <c r="B743" s="189"/>
      <c r="C743" s="189"/>
      <c r="E743" s="189"/>
      <c r="F743" s="189"/>
      <c r="G743" s="189"/>
      <c r="H743" s="189"/>
      <c r="I743" s="189"/>
      <c r="J743" s="189"/>
      <c r="K743" s="189"/>
      <c r="L743" s="189"/>
      <c r="M743" s="189"/>
      <c r="N743" s="189"/>
      <c r="O743" s="189"/>
      <c r="P743" s="189"/>
      <c r="Q743" s="189"/>
      <c r="R743" s="189"/>
      <c r="S743" s="189"/>
      <c r="T743" s="189"/>
    </row>
    <row r="744" spans="1:20" ht="13.5" customHeight="1">
      <c r="A744" s="1821"/>
      <c r="B744" s="189"/>
      <c r="C744" s="189"/>
      <c r="E744" s="189"/>
      <c r="F744" s="189"/>
      <c r="G744" s="189"/>
      <c r="H744" s="189"/>
      <c r="I744" s="189"/>
      <c r="J744" s="189"/>
      <c r="K744" s="189"/>
      <c r="L744" s="189"/>
      <c r="M744" s="189"/>
      <c r="N744" s="189"/>
      <c r="O744" s="189"/>
      <c r="P744" s="189"/>
      <c r="Q744" s="189"/>
      <c r="R744" s="189"/>
      <c r="S744" s="189"/>
      <c r="T744" s="189"/>
    </row>
    <row r="745" spans="1:20" ht="13.5" customHeight="1">
      <c r="A745" s="1821"/>
      <c r="B745" s="189"/>
      <c r="C745" s="189"/>
      <c r="E745" s="189"/>
      <c r="F745" s="189"/>
      <c r="G745" s="189"/>
      <c r="H745" s="189"/>
      <c r="I745" s="189"/>
      <c r="J745" s="189"/>
      <c r="K745" s="189"/>
      <c r="L745" s="189"/>
      <c r="M745" s="189"/>
      <c r="N745" s="189"/>
      <c r="O745" s="189"/>
      <c r="P745" s="189"/>
      <c r="Q745" s="189"/>
      <c r="R745" s="189"/>
      <c r="S745" s="189"/>
      <c r="T745" s="189"/>
    </row>
    <row r="746" spans="1:20" ht="13.5" customHeight="1">
      <c r="A746" s="1821"/>
      <c r="B746" s="189"/>
      <c r="C746" s="189"/>
      <c r="E746" s="189"/>
      <c r="F746" s="189"/>
      <c r="G746" s="189"/>
      <c r="H746" s="189"/>
      <c r="I746" s="189"/>
      <c r="J746" s="189"/>
      <c r="K746" s="189"/>
      <c r="L746" s="189"/>
      <c r="M746" s="189"/>
      <c r="N746" s="189"/>
      <c r="O746" s="189"/>
      <c r="P746" s="189"/>
      <c r="Q746" s="189"/>
      <c r="R746" s="189"/>
      <c r="S746" s="189"/>
      <c r="T746" s="189"/>
    </row>
    <row r="747" spans="1:20" ht="13.5" customHeight="1">
      <c r="A747" s="1821"/>
      <c r="B747" s="189"/>
      <c r="C747" s="189"/>
      <c r="E747" s="189"/>
      <c r="F747" s="189"/>
      <c r="G747" s="189"/>
      <c r="H747" s="189"/>
      <c r="I747" s="189"/>
      <c r="J747" s="189"/>
      <c r="K747" s="189"/>
      <c r="L747" s="189"/>
      <c r="M747" s="189"/>
      <c r="N747" s="189"/>
      <c r="O747" s="189"/>
      <c r="P747" s="189"/>
      <c r="Q747" s="189"/>
      <c r="R747" s="189"/>
      <c r="S747" s="189"/>
      <c r="T747" s="189"/>
    </row>
    <row r="748" spans="1:20" ht="13.5" customHeight="1">
      <c r="A748" s="1821"/>
      <c r="B748" s="189"/>
      <c r="C748" s="189"/>
      <c r="E748" s="189"/>
      <c r="F748" s="189"/>
      <c r="G748" s="189"/>
      <c r="H748" s="189"/>
      <c r="I748" s="189"/>
      <c r="J748" s="189"/>
      <c r="K748" s="189"/>
      <c r="L748" s="189"/>
      <c r="M748" s="189"/>
      <c r="N748" s="189"/>
      <c r="O748" s="189"/>
      <c r="P748" s="189"/>
      <c r="Q748" s="189"/>
      <c r="R748" s="189"/>
      <c r="S748" s="189"/>
      <c r="T748" s="189"/>
    </row>
    <row r="749" spans="1:20" ht="13.5" customHeight="1">
      <c r="A749" s="1821"/>
      <c r="B749" s="189"/>
      <c r="C749" s="189"/>
      <c r="E749" s="189"/>
      <c r="F749" s="189"/>
      <c r="G749" s="189"/>
      <c r="H749" s="189"/>
      <c r="I749" s="189"/>
      <c r="J749" s="189"/>
      <c r="K749" s="189"/>
      <c r="L749" s="189"/>
      <c r="M749" s="189"/>
      <c r="N749" s="189"/>
      <c r="O749" s="189"/>
      <c r="P749" s="189"/>
      <c r="Q749" s="189"/>
      <c r="R749" s="189"/>
      <c r="S749" s="189"/>
      <c r="T749" s="189"/>
    </row>
    <row r="750" spans="1:20" ht="13.5" customHeight="1">
      <c r="A750" s="1821"/>
      <c r="B750" s="189"/>
      <c r="C750" s="189"/>
      <c r="E750" s="189"/>
      <c r="F750" s="189"/>
      <c r="G750" s="189"/>
      <c r="H750" s="189"/>
      <c r="I750" s="189"/>
      <c r="J750" s="189"/>
      <c r="K750" s="189"/>
      <c r="L750" s="189"/>
      <c r="M750" s="189"/>
      <c r="N750" s="189"/>
      <c r="O750" s="189"/>
      <c r="P750" s="189"/>
      <c r="Q750" s="189"/>
      <c r="R750" s="189"/>
      <c r="S750" s="189"/>
      <c r="T750" s="189"/>
    </row>
    <row r="751" spans="1:20" ht="13.5" customHeight="1">
      <c r="A751" s="1821"/>
      <c r="B751" s="189"/>
      <c r="C751" s="189"/>
      <c r="E751" s="189"/>
      <c r="F751" s="189"/>
      <c r="G751" s="189"/>
      <c r="H751" s="189"/>
      <c r="I751" s="189"/>
      <c r="J751" s="189"/>
      <c r="K751" s="189"/>
      <c r="L751" s="189"/>
      <c r="M751" s="189"/>
      <c r="N751" s="189"/>
      <c r="O751" s="189"/>
      <c r="P751" s="189"/>
      <c r="Q751" s="189"/>
      <c r="R751" s="189"/>
      <c r="S751" s="189"/>
      <c r="T751" s="189"/>
    </row>
    <row r="752" spans="1:20" ht="13.5" customHeight="1">
      <c r="A752" s="1821"/>
      <c r="B752" s="189"/>
      <c r="C752" s="189"/>
      <c r="E752" s="189"/>
      <c r="F752" s="189"/>
      <c r="G752" s="189"/>
      <c r="H752" s="189"/>
      <c r="I752" s="189"/>
      <c r="J752" s="189"/>
      <c r="K752" s="189"/>
      <c r="L752" s="189"/>
      <c r="M752" s="189"/>
      <c r="N752" s="189"/>
      <c r="O752" s="189"/>
      <c r="P752" s="189"/>
      <c r="Q752" s="189"/>
      <c r="R752" s="189"/>
      <c r="S752" s="189"/>
      <c r="T752" s="189"/>
    </row>
    <row r="753" spans="1:20" ht="13.5" customHeight="1">
      <c r="A753" s="1821"/>
      <c r="B753" s="189"/>
      <c r="C753" s="189"/>
      <c r="E753" s="189"/>
      <c r="F753" s="189"/>
      <c r="G753" s="189"/>
      <c r="H753" s="189"/>
      <c r="I753" s="189"/>
      <c r="J753" s="189"/>
      <c r="K753" s="189"/>
      <c r="L753" s="189"/>
      <c r="M753" s="189"/>
      <c r="N753" s="189"/>
      <c r="O753" s="189"/>
      <c r="P753" s="189"/>
      <c r="Q753" s="189"/>
      <c r="R753" s="189"/>
      <c r="S753" s="189"/>
      <c r="T753" s="189"/>
    </row>
    <row r="754" spans="1:20" ht="13.5" customHeight="1">
      <c r="A754" s="1821"/>
      <c r="B754" s="189"/>
      <c r="C754" s="189"/>
      <c r="E754" s="189"/>
      <c r="F754" s="189"/>
      <c r="G754" s="189"/>
      <c r="H754" s="189"/>
      <c r="I754" s="189"/>
      <c r="J754" s="189"/>
      <c r="K754" s="189"/>
      <c r="L754" s="189"/>
      <c r="M754" s="189"/>
      <c r="N754" s="189"/>
      <c r="O754" s="189"/>
      <c r="P754" s="189"/>
      <c r="Q754" s="189"/>
      <c r="R754" s="189"/>
      <c r="S754" s="189"/>
      <c r="T754" s="189"/>
    </row>
    <row r="755" spans="1:20" ht="13.5" customHeight="1">
      <c r="A755" s="1821"/>
      <c r="B755" s="189"/>
      <c r="C755" s="189"/>
      <c r="E755" s="189"/>
      <c r="F755" s="189"/>
      <c r="G755" s="189"/>
      <c r="H755" s="189"/>
      <c r="I755" s="189"/>
      <c r="J755" s="189"/>
      <c r="K755" s="189"/>
      <c r="L755" s="189"/>
      <c r="M755" s="189"/>
      <c r="N755" s="189"/>
      <c r="O755" s="189"/>
      <c r="P755" s="189"/>
      <c r="Q755" s="189"/>
      <c r="R755" s="189"/>
      <c r="S755" s="189"/>
      <c r="T755" s="189"/>
    </row>
    <row r="756" spans="1:20" ht="13.5" customHeight="1">
      <c r="A756" s="1821"/>
      <c r="B756" s="189"/>
      <c r="C756" s="189"/>
      <c r="E756" s="189"/>
      <c r="F756" s="189"/>
      <c r="G756" s="189"/>
      <c r="H756" s="189"/>
      <c r="I756" s="189"/>
      <c r="J756" s="189"/>
      <c r="K756" s="189"/>
      <c r="L756" s="189"/>
      <c r="M756" s="189"/>
      <c r="N756" s="189"/>
      <c r="O756" s="189"/>
      <c r="P756" s="189"/>
      <c r="Q756" s="189"/>
      <c r="R756" s="189"/>
      <c r="S756" s="189"/>
      <c r="T756" s="189"/>
    </row>
    <row r="757" spans="1:20" ht="13.5" customHeight="1">
      <c r="A757" s="1821"/>
      <c r="B757" s="189"/>
      <c r="C757" s="189"/>
      <c r="E757" s="189"/>
      <c r="F757" s="189"/>
      <c r="G757" s="189"/>
      <c r="H757" s="189"/>
      <c r="I757" s="189"/>
      <c r="J757" s="189"/>
      <c r="K757" s="189"/>
      <c r="L757" s="189"/>
      <c r="M757" s="189"/>
      <c r="N757" s="189"/>
      <c r="O757" s="189"/>
      <c r="P757" s="189"/>
      <c r="Q757" s="189"/>
      <c r="R757" s="189"/>
      <c r="S757" s="189"/>
      <c r="T757" s="189"/>
    </row>
    <row r="758" spans="1:20" ht="13.5" customHeight="1">
      <c r="A758" s="1821"/>
      <c r="B758" s="189"/>
      <c r="C758" s="189"/>
      <c r="E758" s="189"/>
      <c r="F758" s="189"/>
      <c r="G758" s="189"/>
      <c r="H758" s="189"/>
      <c r="I758" s="189"/>
      <c r="J758" s="189"/>
      <c r="K758" s="189"/>
      <c r="L758" s="189"/>
      <c r="M758" s="189"/>
      <c r="N758" s="189"/>
      <c r="O758" s="189"/>
      <c r="P758" s="189"/>
      <c r="Q758" s="189"/>
      <c r="R758" s="189"/>
      <c r="S758" s="189"/>
      <c r="T758" s="189"/>
    </row>
    <row r="759" spans="1:20" ht="13.5" customHeight="1">
      <c r="A759" s="1821"/>
      <c r="B759" s="189"/>
      <c r="C759" s="189"/>
      <c r="E759" s="189"/>
      <c r="F759" s="189"/>
      <c r="G759" s="189"/>
      <c r="H759" s="189"/>
      <c r="I759" s="189"/>
      <c r="J759" s="189"/>
      <c r="K759" s="189"/>
      <c r="L759" s="189"/>
      <c r="M759" s="189"/>
      <c r="N759" s="189"/>
      <c r="O759" s="189"/>
      <c r="P759" s="189"/>
      <c r="Q759" s="189"/>
      <c r="R759" s="189"/>
      <c r="S759" s="189"/>
      <c r="T759" s="189"/>
    </row>
    <row r="760" spans="1:20" ht="13.5" customHeight="1">
      <c r="A760" s="1821"/>
      <c r="B760" s="189"/>
      <c r="C760" s="189"/>
      <c r="E760" s="189"/>
      <c r="F760" s="189"/>
      <c r="G760" s="189"/>
      <c r="H760" s="189"/>
      <c r="I760" s="189"/>
      <c r="J760" s="189"/>
      <c r="K760" s="189"/>
      <c r="L760" s="189"/>
      <c r="M760" s="189"/>
      <c r="N760" s="189"/>
      <c r="O760" s="189"/>
      <c r="P760" s="189"/>
      <c r="Q760" s="189"/>
      <c r="R760" s="189"/>
      <c r="S760" s="189"/>
      <c r="T760" s="189"/>
    </row>
    <row r="761" spans="1:20" ht="13.5" customHeight="1">
      <c r="A761" s="1821"/>
      <c r="B761" s="189"/>
      <c r="C761" s="189"/>
      <c r="E761" s="189"/>
      <c r="F761" s="189"/>
      <c r="G761" s="189"/>
      <c r="H761" s="189"/>
      <c r="I761" s="189"/>
      <c r="J761" s="189"/>
      <c r="K761" s="189"/>
      <c r="L761" s="189"/>
      <c r="M761" s="189"/>
      <c r="N761" s="189"/>
      <c r="O761" s="189"/>
      <c r="P761" s="189"/>
      <c r="Q761" s="189"/>
      <c r="R761" s="189"/>
      <c r="S761" s="189"/>
      <c r="T761" s="189"/>
    </row>
    <row r="762" spans="1:20" ht="13.5" customHeight="1">
      <c r="A762" s="1821"/>
      <c r="B762" s="189"/>
      <c r="C762" s="189"/>
      <c r="E762" s="189"/>
      <c r="F762" s="189"/>
      <c r="G762" s="189"/>
      <c r="H762" s="189"/>
      <c r="I762" s="189"/>
      <c r="J762" s="189"/>
      <c r="K762" s="189"/>
      <c r="L762" s="189"/>
      <c r="M762" s="189"/>
      <c r="N762" s="189"/>
      <c r="O762" s="189"/>
      <c r="P762" s="189"/>
      <c r="Q762" s="189"/>
      <c r="R762" s="189"/>
      <c r="S762" s="189"/>
      <c r="T762" s="189"/>
    </row>
    <row r="763" spans="1:20" ht="13.5" customHeight="1">
      <c r="A763" s="1821"/>
      <c r="B763" s="189"/>
      <c r="C763" s="189"/>
      <c r="E763" s="189"/>
      <c r="F763" s="189"/>
      <c r="G763" s="189"/>
      <c r="H763" s="189"/>
      <c r="I763" s="189"/>
      <c r="J763" s="189"/>
      <c r="K763" s="189"/>
      <c r="L763" s="189"/>
      <c r="M763" s="189"/>
      <c r="N763" s="189"/>
      <c r="O763" s="189"/>
      <c r="P763" s="189"/>
      <c r="Q763" s="189"/>
      <c r="R763" s="189"/>
      <c r="S763" s="189"/>
      <c r="T763" s="189"/>
    </row>
    <row r="764" spans="1:20" ht="13.5" customHeight="1">
      <c r="A764" s="1821"/>
      <c r="B764" s="189"/>
      <c r="C764" s="189"/>
      <c r="E764" s="189"/>
      <c r="F764" s="189"/>
      <c r="G764" s="189"/>
      <c r="H764" s="189"/>
      <c r="I764" s="189"/>
      <c r="J764" s="189"/>
      <c r="K764" s="189"/>
      <c r="L764" s="189"/>
      <c r="M764" s="189"/>
      <c r="N764" s="189"/>
      <c r="O764" s="189"/>
      <c r="P764" s="189"/>
      <c r="Q764" s="189"/>
      <c r="R764" s="189"/>
      <c r="S764" s="189"/>
      <c r="T764" s="189"/>
    </row>
    <row r="765" spans="1:20" ht="13.5" customHeight="1">
      <c r="A765" s="1821"/>
      <c r="B765" s="189"/>
      <c r="C765" s="189"/>
      <c r="E765" s="189"/>
      <c r="F765" s="189"/>
      <c r="G765" s="189"/>
      <c r="H765" s="189"/>
      <c r="I765" s="189"/>
      <c r="J765" s="189"/>
      <c r="K765" s="189"/>
      <c r="L765" s="189"/>
      <c r="M765" s="189"/>
      <c r="N765" s="189"/>
      <c r="O765" s="189"/>
      <c r="P765" s="189"/>
      <c r="Q765" s="189"/>
      <c r="R765" s="189"/>
      <c r="S765" s="189"/>
      <c r="T765" s="189"/>
    </row>
    <row r="766" spans="1:20" ht="13.5" customHeight="1">
      <c r="A766" s="1821"/>
      <c r="B766" s="189"/>
      <c r="C766" s="189"/>
      <c r="E766" s="189"/>
      <c r="F766" s="189"/>
      <c r="G766" s="189"/>
      <c r="H766" s="189"/>
      <c r="I766" s="189"/>
      <c r="J766" s="189"/>
      <c r="K766" s="189"/>
      <c r="L766" s="189"/>
      <c r="M766" s="189"/>
      <c r="N766" s="189"/>
      <c r="O766" s="189"/>
      <c r="P766" s="189"/>
      <c r="Q766" s="189"/>
      <c r="R766" s="189"/>
      <c r="S766" s="189"/>
      <c r="T766" s="189"/>
    </row>
    <row r="767" spans="1:20" ht="13.5" customHeight="1">
      <c r="A767" s="1821"/>
      <c r="B767" s="189"/>
      <c r="C767" s="189"/>
      <c r="E767" s="189"/>
      <c r="F767" s="189"/>
      <c r="G767" s="189"/>
      <c r="H767" s="189"/>
      <c r="I767" s="189"/>
      <c r="J767" s="189"/>
      <c r="K767" s="189"/>
      <c r="L767" s="189"/>
      <c r="M767" s="189"/>
      <c r="N767" s="189"/>
      <c r="O767" s="189"/>
      <c r="P767" s="189"/>
      <c r="Q767" s="189"/>
      <c r="R767" s="189"/>
      <c r="S767" s="189"/>
      <c r="T767" s="189"/>
    </row>
    <row r="768" spans="1:20" ht="13.5" customHeight="1">
      <c r="A768" s="1821"/>
      <c r="B768" s="189"/>
      <c r="C768" s="189"/>
      <c r="E768" s="189"/>
      <c r="F768" s="189"/>
      <c r="G768" s="189"/>
      <c r="H768" s="189"/>
      <c r="I768" s="189"/>
      <c r="J768" s="189"/>
      <c r="K768" s="189"/>
      <c r="L768" s="189"/>
      <c r="M768" s="189"/>
      <c r="N768" s="189"/>
      <c r="O768" s="189"/>
      <c r="P768" s="189"/>
      <c r="Q768" s="189"/>
      <c r="R768" s="189"/>
      <c r="S768" s="189"/>
      <c r="T768" s="189"/>
    </row>
    <row r="769" spans="1:20" ht="13.5" customHeight="1">
      <c r="A769" s="1821"/>
      <c r="B769" s="189"/>
      <c r="C769" s="189"/>
      <c r="E769" s="189"/>
      <c r="F769" s="189"/>
      <c r="G769" s="189"/>
      <c r="H769" s="189"/>
      <c r="I769" s="189"/>
      <c r="J769" s="189"/>
      <c r="K769" s="189"/>
      <c r="L769" s="189"/>
      <c r="M769" s="189"/>
      <c r="N769" s="189"/>
      <c r="O769" s="189"/>
      <c r="P769" s="189"/>
      <c r="Q769" s="189"/>
      <c r="R769" s="189"/>
      <c r="S769" s="189"/>
      <c r="T769" s="189"/>
    </row>
    <row r="770" spans="1:20" ht="13.5" customHeight="1">
      <c r="A770" s="1821"/>
      <c r="B770" s="189"/>
      <c r="C770" s="189"/>
      <c r="E770" s="189"/>
      <c r="F770" s="189"/>
      <c r="G770" s="189"/>
      <c r="H770" s="189"/>
      <c r="I770" s="189"/>
      <c r="J770" s="189"/>
      <c r="K770" s="189"/>
      <c r="L770" s="189"/>
      <c r="M770" s="189"/>
      <c r="N770" s="189"/>
      <c r="O770" s="189"/>
      <c r="P770" s="189"/>
      <c r="Q770" s="189"/>
      <c r="R770" s="189"/>
      <c r="S770" s="189"/>
      <c r="T770" s="189"/>
    </row>
    <row r="771" spans="1:20" ht="13.5" customHeight="1">
      <c r="A771" s="1821"/>
      <c r="B771" s="189"/>
      <c r="C771" s="189"/>
      <c r="E771" s="189"/>
      <c r="F771" s="189"/>
      <c r="G771" s="189"/>
      <c r="H771" s="189"/>
      <c r="I771" s="189"/>
      <c r="J771" s="189"/>
      <c r="K771" s="189"/>
      <c r="L771" s="189"/>
      <c r="M771" s="189"/>
      <c r="N771" s="189"/>
      <c r="O771" s="189"/>
      <c r="P771" s="189"/>
      <c r="Q771" s="189"/>
      <c r="R771" s="189"/>
      <c r="S771" s="189"/>
      <c r="T771" s="189"/>
    </row>
    <row r="772" spans="1:20" ht="13.5" customHeight="1">
      <c r="A772" s="1821"/>
      <c r="B772" s="189"/>
      <c r="C772" s="189"/>
      <c r="E772" s="189"/>
      <c r="F772" s="189"/>
      <c r="G772" s="189"/>
      <c r="H772" s="189"/>
      <c r="I772" s="189"/>
      <c r="J772" s="189"/>
      <c r="K772" s="189"/>
      <c r="L772" s="189"/>
      <c r="M772" s="189"/>
      <c r="N772" s="189"/>
      <c r="O772" s="189"/>
      <c r="P772" s="189"/>
      <c r="Q772" s="189"/>
      <c r="R772" s="189"/>
      <c r="S772" s="189"/>
      <c r="T772" s="189"/>
    </row>
    <row r="773" spans="1:20" ht="13.5" customHeight="1">
      <c r="A773" s="1821"/>
      <c r="B773" s="189"/>
      <c r="C773" s="189"/>
      <c r="E773" s="189"/>
      <c r="F773" s="189"/>
      <c r="G773" s="189"/>
      <c r="H773" s="189"/>
      <c r="I773" s="189"/>
      <c r="J773" s="189"/>
      <c r="K773" s="189"/>
      <c r="L773" s="189"/>
      <c r="M773" s="189"/>
      <c r="N773" s="189"/>
      <c r="O773" s="189"/>
      <c r="P773" s="189"/>
      <c r="Q773" s="189"/>
      <c r="R773" s="189"/>
      <c r="S773" s="189"/>
      <c r="T773" s="189"/>
    </row>
    <row r="774" spans="1:20" ht="13.5" customHeight="1">
      <c r="A774" s="1821"/>
      <c r="B774" s="189"/>
      <c r="C774" s="189"/>
      <c r="E774" s="189"/>
      <c r="F774" s="189"/>
      <c r="G774" s="189"/>
      <c r="H774" s="189"/>
      <c r="I774" s="189"/>
      <c r="J774" s="189"/>
      <c r="K774" s="189"/>
      <c r="L774" s="189"/>
      <c r="M774" s="189"/>
      <c r="N774" s="189"/>
      <c r="O774" s="189"/>
      <c r="P774" s="189"/>
      <c r="Q774" s="189"/>
      <c r="R774" s="189"/>
      <c r="S774" s="189"/>
      <c r="T774" s="189"/>
    </row>
    <row r="775" spans="1:20" ht="13.5" customHeight="1">
      <c r="A775" s="1821"/>
      <c r="B775" s="189"/>
      <c r="C775" s="189"/>
      <c r="E775" s="189"/>
      <c r="F775" s="189"/>
      <c r="G775" s="189"/>
      <c r="H775" s="189"/>
      <c r="I775" s="189"/>
      <c r="J775" s="189"/>
      <c r="K775" s="189"/>
      <c r="L775" s="189"/>
      <c r="M775" s="189"/>
      <c r="N775" s="189"/>
      <c r="O775" s="189"/>
      <c r="P775" s="189"/>
      <c r="Q775" s="189"/>
      <c r="R775" s="189"/>
      <c r="S775" s="189"/>
      <c r="T775" s="189"/>
    </row>
    <row r="776" spans="1:20" ht="13.5" customHeight="1">
      <c r="A776" s="1821"/>
      <c r="B776" s="189"/>
      <c r="C776" s="189"/>
      <c r="E776" s="189"/>
      <c r="F776" s="189"/>
      <c r="G776" s="189"/>
      <c r="H776" s="189"/>
      <c r="I776" s="189"/>
      <c r="J776" s="189"/>
      <c r="K776" s="189"/>
      <c r="L776" s="189"/>
      <c r="M776" s="189"/>
      <c r="N776" s="189"/>
      <c r="O776" s="189"/>
      <c r="P776" s="189"/>
      <c r="Q776" s="189"/>
      <c r="R776" s="189"/>
      <c r="S776" s="189"/>
      <c r="T776" s="189"/>
    </row>
    <row r="777" spans="1:20" ht="13.5" customHeight="1">
      <c r="A777" s="1821"/>
      <c r="B777" s="189"/>
      <c r="C777" s="189"/>
      <c r="E777" s="189"/>
      <c r="F777" s="189"/>
      <c r="G777" s="189"/>
      <c r="H777" s="189"/>
      <c r="I777" s="189"/>
      <c r="J777" s="189"/>
      <c r="K777" s="189"/>
      <c r="L777" s="189"/>
      <c r="M777" s="189"/>
      <c r="N777" s="189"/>
      <c r="O777" s="189"/>
      <c r="P777" s="189"/>
      <c r="Q777" s="189"/>
      <c r="R777" s="189"/>
      <c r="S777" s="189"/>
      <c r="T777" s="189"/>
    </row>
    <row r="778" spans="1:20" ht="13.5" customHeight="1">
      <c r="A778" s="1821"/>
      <c r="B778" s="189"/>
      <c r="C778" s="189"/>
      <c r="E778" s="189"/>
      <c r="F778" s="189"/>
      <c r="G778" s="189"/>
      <c r="H778" s="189"/>
      <c r="I778" s="189"/>
      <c r="J778" s="189"/>
      <c r="K778" s="189"/>
      <c r="L778" s="189"/>
      <c r="M778" s="189"/>
      <c r="N778" s="189"/>
      <c r="O778" s="189"/>
      <c r="P778" s="189"/>
      <c r="Q778" s="189"/>
      <c r="R778" s="189"/>
      <c r="S778" s="189"/>
      <c r="T778" s="189"/>
    </row>
    <row r="779" spans="1:20" ht="13.5" customHeight="1">
      <c r="A779" s="1821"/>
      <c r="B779" s="189"/>
      <c r="C779" s="189"/>
      <c r="E779" s="189"/>
      <c r="F779" s="189"/>
      <c r="G779" s="189"/>
      <c r="H779" s="189"/>
      <c r="I779" s="189"/>
      <c r="J779" s="189"/>
      <c r="K779" s="189"/>
      <c r="L779" s="189"/>
      <c r="M779" s="189"/>
      <c r="N779" s="189"/>
      <c r="O779" s="189"/>
      <c r="P779" s="189"/>
      <c r="Q779" s="189"/>
      <c r="R779" s="189"/>
      <c r="S779" s="189"/>
      <c r="T779" s="189"/>
    </row>
    <row r="780" spans="1:20" ht="13.5" customHeight="1">
      <c r="A780" s="1821"/>
      <c r="B780" s="189"/>
      <c r="C780" s="189"/>
      <c r="E780" s="189"/>
      <c r="F780" s="189"/>
      <c r="G780" s="189"/>
      <c r="H780" s="189"/>
      <c r="I780" s="189"/>
      <c r="J780" s="189"/>
      <c r="K780" s="189"/>
      <c r="L780" s="189"/>
      <c r="M780" s="189"/>
      <c r="N780" s="189"/>
      <c r="O780" s="189"/>
      <c r="P780" s="189"/>
      <c r="Q780" s="189"/>
      <c r="R780" s="189"/>
      <c r="S780" s="189"/>
      <c r="T780" s="189"/>
    </row>
    <row r="781" spans="1:20" ht="13.5" customHeight="1">
      <c r="A781" s="1821"/>
      <c r="B781" s="189"/>
      <c r="C781" s="189"/>
      <c r="E781" s="189"/>
      <c r="F781" s="189"/>
      <c r="G781" s="189"/>
      <c r="H781" s="189"/>
      <c r="I781" s="189"/>
      <c r="J781" s="189"/>
      <c r="K781" s="189"/>
      <c r="L781" s="189"/>
      <c r="M781" s="189"/>
      <c r="N781" s="189"/>
      <c r="O781" s="189"/>
      <c r="P781" s="189"/>
      <c r="Q781" s="189"/>
      <c r="R781" s="189"/>
      <c r="S781" s="189"/>
      <c r="T781" s="189"/>
    </row>
    <row r="782" spans="1:20" ht="13.5" customHeight="1">
      <c r="A782" s="1821"/>
      <c r="B782" s="189"/>
      <c r="C782" s="189"/>
      <c r="E782" s="189"/>
      <c r="F782" s="189"/>
      <c r="G782" s="189"/>
      <c r="H782" s="189"/>
      <c r="I782" s="189"/>
      <c r="J782" s="189"/>
      <c r="K782" s="189"/>
      <c r="L782" s="189"/>
      <c r="M782" s="189"/>
      <c r="N782" s="189"/>
      <c r="O782" s="189"/>
      <c r="P782" s="189"/>
      <c r="Q782" s="189"/>
      <c r="R782" s="189"/>
      <c r="S782" s="189"/>
      <c r="T782" s="189"/>
    </row>
    <row r="783" spans="1:20" ht="13.5" customHeight="1">
      <c r="A783" s="1821"/>
      <c r="B783" s="189"/>
      <c r="C783" s="189"/>
      <c r="E783" s="189"/>
      <c r="F783" s="189"/>
      <c r="G783" s="189"/>
      <c r="H783" s="189"/>
      <c r="I783" s="189"/>
      <c r="J783" s="189"/>
      <c r="K783" s="189"/>
      <c r="L783" s="189"/>
      <c r="M783" s="189"/>
      <c r="N783" s="189"/>
      <c r="O783" s="189"/>
      <c r="P783" s="189"/>
      <c r="Q783" s="189"/>
      <c r="R783" s="189"/>
      <c r="S783" s="189"/>
      <c r="T783" s="189"/>
    </row>
    <row r="784" spans="1:20" ht="13.5" customHeight="1">
      <c r="A784" s="1821"/>
      <c r="B784" s="189"/>
      <c r="C784" s="189"/>
      <c r="E784" s="189"/>
      <c r="F784" s="189"/>
      <c r="G784" s="189"/>
      <c r="H784" s="189"/>
      <c r="I784" s="189"/>
      <c r="J784" s="189"/>
      <c r="K784" s="189"/>
      <c r="L784" s="189"/>
      <c r="M784" s="189"/>
      <c r="N784" s="189"/>
      <c r="O784" s="189"/>
      <c r="P784" s="189"/>
      <c r="Q784" s="189"/>
      <c r="R784" s="189"/>
      <c r="S784" s="189"/>
      <c r="T784" s="189"/>
    </row>
    <row r="785" spans="1:20" ht="13.5" customHeight="1">
      <c r="A785" s="1821"/>
      <c r="B785" s="189"/>
      <c r="C785" s="189"/>
      <c r="E785" s="189"/>
      <c r="F785" s="189"/>
      <c r="G785" s="189"/>
      <c r="H785" s="189"/>
      <c r="I785" s="189"/>
      <c r="J785" s="189"/>
      <c r="K785" s="189"/>
      <c r="L785" s="189"/>
      <c r="M785" s="189"/>
      <c r="N785" s="189"/>
      <c r="O785" s="189"/>
      <c r="P785" s="189"/>
      <c r="Q785" s="189"/>
      <c r="R785" s="189"/>
      <c r="S785" s="189"/>
      <c r="T785" s="189"/>
    </row>
    <row r="786" spans="1:20" ht="13.5" customHeight="1">
      <c r="A786" s="1821"/>
      <c r="B786" s="189"/>
      <c r="C786" s="189"/>
      <c r="E786" s="189"/>
      <c r="F786" s="189"/>
      <c r="G786" s="189"/>
      <c r="H786" s="189"/>
      <c r="I786" s="189"/>
      <c r="J786" s="189"/>
      <c r="K786" s="189"/>
      <c r="L786" s="189"/>
      <c r="M786" s="189"/>
      <c r="N786" s="189"/>
      <c r="O786" s="189"/>
      <c r="P786" s="189"/>
      <c r="Q786" s="189"/>
      <c r="R786" s="189"/>
      <c r="S786" s="189"/>
      <c r="T786" s="189"/>
    </row>
    <row r="787" spans="1:20" ht="13.5" customHeight="1">
      <c r="A787" s="1821"/>
      <c r="B787" s="189"/>
      <c r="C787" s="189"/>
      <c r="E787" s="189"/>
      <c r="F787" s="189"/>
      <c r="G787" s="189"/>
      <c r="H787" s="189"/>
      <c r="I787" s="189"/>
      <c r="J787" s="189"/>
      <c r="K787" s="189"/>
      <c r="L787" s="189"/>
      <c r="M787" s="189"/>
      <c r="N787" s="189"/>
      <c r="O787" s="189"/>
      <c r="P787" s="189"/>
      <c r="Q787" s="189"/>
      <c r="R787" s="189"/>
      <c r="S787" s="189"/>
      <c r="T787" s="189"/>
    </row>
    <row r="788" spans="1:20" ht="13.5" customHeight="1">
      <c r="A788" s="1821"/>
      <c r="B788" s="189"/>
      <c r="C788" s="189"/>
      <c r="E788" s="189"/>
      <c r="F788" s="189"/>
      <c r="G788" s="189"/>
      <c r="H788" s="189"/>
      <c r="I788" s="189"/>
      <c r="J788" s="189"/>
      <c r="K788" s="189"/>
      <c r="L788" s="189"/>
      <c r="M788" s="189"/>
      <c r="N788" s="189"/>
      <c r="O788" s="189"/>
      <c r="P788" s="189"/>
      <c r="Q788" s="189"/>
      <c r="R788" s="189"/>
      <c r="S788" s="189"/>
      <c r="T788" s="189"/>
    </row>
    <row r="789" spans="1:20" ht="13.5" customHeight="1">
      <c r="A789" s="1821"/>
      <c r="B789" s="189"/>
      <c r="C789" s="189"/>
      <c r="E789" s="189"/>
      <c r="F789" s="189"/>
      <c r="G789" s="189"/>
      <c r="H789" s="189"/>
      <c r="I789" s="189"/>
      <c r="J789" s="189"/>
      <c r="K789" s="189"/>
      <c r="L789" s="189"/>
      <c r="M789" s="189"/>
      <c r="N789" s="189"/>
      <c r="O789" s="189"/>
      <c r="P789" s="189"/>
      <c r="Q789" s="189"/>
      <c r="R789" s="189"/>
      <c r="S789" s="189"/>
      <c r="T789" s="189"/>
    </row>
    <row r="790" spans="1:20" ht="13.5" customHeight="1">
      <c r="A790" s="1821"/>
      <c r="B790" s="189"/>
      <c r="C790" s="189"/>
      <c r="E790" s="189"/>
      <c r="F790" s="189"/>
      <c r="G790" s="189"/>
      <c r="H790" s="189"/>
      <c r="I790" s="189"/>
      <c r="J790" s="189"/>
      <c r="K790" s="189"/>
      <c r="L790" s="189"/>
      <c r="M790" s="189"/>
      <c r="N790" s="189"/>
      <c r="O790" s="189"/>
      <c r="P790" s="189"/>
      <c r="Q790" s="189"/>
      <c r="R790" s="189"/>
      <c r="S790" s="189"/>
      <c r="T790" s="189"/>
    </row>
    <row r="791" spans="1:20" ht="13.5" customHeight="1">
      <c r="A791" s="1821"/>
      <c r="B791" s="189"/>
      <c r="C791" s="189"/>
      <c r="E791" s="189"/>
      <c r="F791" s="189"/>
      <c r="G791" s="189"/>
      <c r="H791" s="189"/>
      <c r="I791" s="189"/>
      <c r="J791" s="189"/>
      <c r="K791" s="189"/>
      <c r="L791" s="189"/>
      <c r="M791" s="189"/>
      <c r="N791" s="189"/>
      <c r="O791" s="189"/>
      <c r="P791" s="189"/>
      <c r="Q791" s="189"/>
      <c r="R791" s="189"/>
      <c r="S791" s="189"/>
      <c r="T791" s="189"/>
    </row>
    <row r="792" spans="1:20" ht="13.5" customHeight="1">
      <c r="A792" s="1821"/>
      <c r="B792" s="189"/>
      <c r="C792" s="189"/>
      <c r="E792" s="189"/>
      <c r="F792" s="189"/>
      <c r="G792" s="189"/>
      <c r="H792" s="189"/>
      <c r="I792" s="189"/>
      <c r="J792" s="189"/>
      <c r="K792" s="189"/>
      <c r="L792" s="189"/>
      <c r="M792" s="189"/>
      <c r="N792" s="189"/>
      <c r="O792" s="189"/>
      <c r="P792" s="189"/>
      <c r="Q792" s="189"/>
      <c r="R792" s="189"/>
      <c r="S792" s="189"/>
      <c r="T792" s="189"/>
    </row>
    <row r="793" spans="1:20" ht="13.5" customHeight="1">
      <c r="A793" s="1821"/>
      <c r="B793" s="189"/>
      <c r="C793" s="189"/>
      <c r="E793" s="189"/>
      <c r="F793" s="189"/>
      <c r="G793" s="189"/>
      <c r="H793" s="189"/>
      <c r="I793" s="189"/>
      <c r="J793" s="189"/>
      <c r="K793" s="189"/>
      <c r="L793" s="189"/>
      <c r="M793" s="189"/>
      <c r="N793" s="189"/>
      <c r="O793" s="189"/>
      <c r="P793" s="189"/>
      <c r="Q793" s="189"/>
      <c r="R793" s="189"/>
      <c r="S793" s="189"/>
      <c r="T793" s="189"/>
    </row>
    <row r="794" spans="1:20" ht="13.5" customHeight="1">
      <c r="A794" s="1821"/>
      <c r="B794" s="189"/>
      <c r="C794" s="189"/>
      <c r="E794" s="189"/>
      <c r="F794" s="189"/>
      <c r="G794" s="189"/>
      <c r="H794" s="189"/>
      <c r="I794" s="189"/>
      <c r="J794" s="189"/>
      <c r="K794" s="189"/>
      <c r="L794" s="189"/>
      <c r="M794" s="189"/>
      <c r="N794" s="189"/>
      <c r="O794" s="189"/>
      <c r="P794" s="189"/>
      <c r="Q794" s="189"/>
      <c r="R794" s="189"/>
      <c r="S794" s="189"/>
      <c r="T794" s="189"/>
    </row>
    <row r="795" spans="1:20" ht="13.5" customHeight="1">
      <c r="A795" s="1821"/>
      <c r="B795" s="189"/>
      <c r="C795" s="189"/>
      <c r="E795" s="189"/>
      <c r="F795" s="189"/>
      <c r="G795" s="189"/>
      <c r="H795" s="189"/>
      <c r="I795" s="189"/>
      <c r="J795" s="189"/>
      <c r="K795" s="189"/>
      <c r="L795" s="189"/>
      <c r="M795" s="189"/>
      <c r="N795" s="189"/>
      <c r="O795" s="189"/>
      <c r="P795" s="189"/>
      <c r="Q795" s="189"/>
      <c r="R795" s="189"/>
      <c r="S795" s="189"/>
      <c r="T795" s="189"/>
    </row>
    <row r="796" spans="1:20" ht="13.5" customHeight="1">
      <c r="A796" s="1821"/>
      <c r="B796" s="189"/>
      <c r="C796" s="189"/>
      <c r="E796" s="189"/>
      <c r="F796" s="189"/>
      <c r="G796" s="189"/>
      <c r="H796" s="189"/>
      <c r="I796" s="189"/>
      <c r="J796" s="189"/>
      <c r="K796" s="189"/>
      <c r="L796" s="189"/>
      <c r="M796" s="189"/>
      <c r="N796" s="189"/>
      <c r="O796" s="189"/>
      <c r="P796" s="189"/>
      <c r="Q796" s="189"/>
      <c r="R796" s="189"/>
      <c r="S796" s="189"/>
      <c r="T796" s="189"/>
    </row>
    <row r="797" spans="1:20" ht="13.5" customHeight="1">
      <c r="A797" s="1821"/>
      <c r="B797" s="189"/>
      <c r="C797" s="189"/>
      <c r="E797" s="189"/>
      <c r="F797" s="189"/>
      <c r="G797" s="189"/>
      <c r="H797" s="189"/>
      <c r="I797" s="189"/>
      <c r="J797" s="189"/>
      <c r="K797" s="189"/>
      <c r="L797" s="189"/>
      <c r="M797" s="189"/>
      <c r="N797" s="189"/>
      <c r="O797" s="189"/>
      <c r="P797" s="189"/>
      <c r="Q797" s="189"/>
      <c r="R797" s="189"/>
      <c r="S797" s="189"/>
      <c r="T797" s="189"/>
    </row>
    <row r="798" spans="1:20" ht="13.5" customHeight="1">
      <c r="A798" s="1821"/>
      <c r="B798" s="189"/>
      <c r="C798" s="189"/>
      <c r="E798" s="189"/>
      <c r="F798" s="189"/>
      <c r="G798" s="189"/>
      <c r="H798" s="189"/>
      <c r="I798" s="189"/>
      <c r="J798" s="189"/>
      <c r="K798" s="189"/>
      <c r="L798" s="189"/>
      <c r="M798" s="189"/>
      <c r="N798" s="189"/>
      <c r="O798" s="189"/>
      <c r="P798" s="189"/>
      <c r="Q798" s="189"/>
      <c r="R798" s="189"/>
      <c r="S798" s="189"/>
      <c r="T798" s="189"/>
    </row>
    <row r="799" spans="1:20" ht="13.5" customHeight="1">
      <c r="A799" s="1821"/>
      <c r="B799" s="189"/>
      <c r="C799" s="189"/>
      <c r="E799" s="189"/>
      <c r="F799" s="189"/>
      <c r="G799" s="189"/>
      <c r="H799" s="189"/>
      <c r="I799" s="189"/>
      <c r="J799" s="189"/>
      <c r="K799" s="189"/>
      <c r="L799" s="189"/>
      <c r="M799" s="189"/>
      <c r="N799" s="189"/>
      <c r="O799" s="189"/>
      <c r="P799" s="189"/>
      <c r="Q799" s="189"/>
      <c r="R799" s="189"/>
      <c r="S799" s="189"/>
      <c r="T799" s="189"/>
    </row>
    <row r="800" spans="1:20" ht="13.5" customHeight="1">
      <c r="A800" s="1821"/>
      <c r="B800" s="189"/>
      <c r="C800" s="189"/>
      <c r="E800" s="189"/>
      <c r="F800" s="189"/>
      <c r="G800" s="189"/>
      <c r="H800" s="189"/>
      <c r="I800" s="189"/>
      <c r="J800" s="189"/>
      <c r="K800" s="189"/>
      <c r="L800" s="189"/>
      <c r="M800" s="189"/>
      <c r="N800" s="189"/>
      <c r="O800" s="189"/>
      <c r="P800" s="189"/>
      <c r="Q800" s="189"/>
      <c r="R800" s="189"/>
      <c r="S800" s="189"/>
      <c r="T800" s="189"/>
    </row>
    <row r="801" spans="1:20" ht="13.5" customHeight="1">
      <c r="A801" s="1821"/>
      <c r="B801" s="189"/>
      <c r="C801" s="189"/>
      <c r="E801" s="189"/>
      <c r="F801" s="189"/>
      <c r="G801" s="189"/>
      <c r="H801" s="189"/>
      <c r="I801" s="189"/>
      <c r="J801" s="189"/>
      <c r="K801" s="189"/>
      <c r="L801" s="189"/>
      <c r="M801" s="189"/>
      <c r="N801" s="189"/>
      <c r="O801" s="189"/>
      <c r="P801" s="189"/>
      <c r="Q801" s="189"/>
      <c r="R801" s="189"/>
      <c r="S801" s="189"/>
      <c r="T801" s="189"/>
    </row>
    <row r="802" spans="1:20" ht="13.5" customHeight="1">
      <c r="A802" s="1821"/>
      <c r="B802" s="189"/>
      <c r="C802" s="189"/>
      <c r="E802" s="189"/>
      <c r="F802" s="189"/>
      <c r="G802" s="189"/>
      <c r="H802" s="189"/>
      <c r="I802" s="189"/>
      <c r="J802" s="189"/>
      <c r="K802" s="189"/>
      <c r="L802" s="189"/>
      <c r="M802" s="189"/>
      <c r="N802" s="189"/>
      <c r="O802" s="189"/>
      <c r="P802" s="189"/>
      <c r="Q802" s="189"/>
      <c r="R802" s="189"/>
      <c r="S802" s="189"/>
      <c r="T802" s="189"/>
    </row>
    <row r="803" spans="1:20" ht="13.5" customHeight="1">
      <c r="A803" s="1821"/>
      <c r="B803" s="189"/>
      <c r="C803" s="189"/>
      <c r="E803" s="189"/>
      <c r="F803" s="189"/>
      <c r="G803" s="189"/>
      <c r="H803" s="189"/>
      <c r="I803" s="189"/>
      <c r="J803" s="189"/>
      <c r="K803" s="189"/>
      <c r="L803" s="189"/>
      <c r="M803" s="189"/>
      <c r="N803" s="189"/>
      <c r="O803" s="189"/>
      <c r="P803" s="189"/>
      <c r="Q803" s="189"/>
      <c r="R803" s="189"/>
      <c r="S803" s="189"/>
      <c r="T803" s="189"/>
    </row>
    <row r="804" spans="1:20" ht="13.5" customHeight="1">
      <c r="A804" s="1821"/>
      <c r="B804" s="189"/>
      <c r="C804" s="189"/>
      <c r="E804" s="189"/>
      <c r="F804" s="189"/>
      <c r="G804" s="189"/>
      <c r="H804" s="189"/>
      <c r="I804" s="189"/>
      <c r="J804" s="189"/>
      <c r="K804" s="189"/>
      <c r="L804" s="189"/>
      <c r="M804" s="189"/>
      <c r="N804" s="189"/>
      <c r="O804" s="189"/>
      <c r="P804" s="189"/>
      <c r="Q804" s="189"/>
      <c r="R804" s="189"/>
      <c r="S804" s="189"/>
      <c r="T804" s="189"/>
    </row>
    <row r="805" spans="1:20" ht="13.5" customHeight="1">
      <c r="A805" s="1821"/>
      <c r="B805" s="189"/>
      <c r="C805" s="189"/>
      <c r="E805" s="189"/>
      <c r="F805" s="189"/>
      <c r="G805" s="189"/>
      <c r="H805" s="189"/>
      <c r="I805" s="189"/>
      <c r="J805" s="189"/>
      <c r="K805" s="189"/>
      <c r="L805" s="189"/>
      <c r="M805" s="189"/>
      <c r="N805" s="189"/>
      <c r="O805" s="189"/>
      <c r="P805" s="189"/>
      <c r="Q805" s="189"/>
      <c r="R805" s="189"/>
      <c r="S805" s="189"/>
      <c r="T805" s="189"/>
    </row>
    <row r="806" spans="1:20" ht="13.5" customHeight="1">
      <c r="A806" s="1821"/>
      <c r="B806" s="189"/>
      <c r="C806" s="189"/>
      <c r="E806" s="189"/>
      <c r="F806" s="189"/>
      <c r="G806" s="189"/>
      <c r="H806" s="189"/>
      <c r="I806" s="189"/>
      <c r="J806" s="189"/>
      <c r="K806" s="189"/>
      <c r="L806" s="189"/>
      <c r="M806" s="189"/>
      <c r="N806" s="189"/>
      <c r="O806" s="189"/>
      <c r="P806" s="189"/>
      <c r="Q806" s="189"/>
      <c r="R806" s="189"/>
      <c r="S806" s="189"/>
      <c r="T806" s="189"/>
    </row>
    <row r="807" spans="1:20" ht="13.5" customHeight="1">
      <c r="A807" s="1821"/>
      <c r="B807" s="189"/>
      <c r="C807" s="189"/>
      <c r="E807" s="189"/>
      <c r="F807" s="189"/>
      <c r="G807" s="189"/>
      <c r="H807" s="189"/>
      <c r="I807" s="189"/>
      <c r="J807" s="189"/>
      <c r="K807" s="189"/>
      <c r="L807" s="189"/>
      <c r="M807" s="189"/>
      <c r="N807" s="189"/>
      <c r="O807" s="189"/>
      <c r="P807" s="189"/>
      <c r="Q807" s="189"/>
      <c r="R807" s="189"/>
      <c r="S807" s="189"/>
      <c r="T807" s="189"/>
    </row>
    <row r="808" spans="1:20" ht="13.5" customHeight="1">
      <c r="A808" s="1821"/>
      <c r="B808" s="189"/>
      <c r="C808" s="189"/>
      <c r="E808" s="189"/>
      <c r="F808" s="189"/>
      <c r="G808" s="189"/>
      <c r="H808" s="189"/>
      <c r="I808" s="189"/>
      <c r="J808" s="189"/>
      <c r="K808" s="189"/>
      <c r="L808" s="189"/>
      <c r="M808" s="189"/>
      <c r="N808" s="189"/>
      <c r="O808" s="189"/>
      <c r="P808" s="189"/>
      <c r="Q808" s="189"/>
      <c r="R808" s="189"/>
      <c r="S808" s="189"/>
      <c r="T808" s="189"/>
    </row>
    <row r="809" spans="1:20" ht="13.5" customHeight="1">
      <c r="A809" s="1821"/>
      <c r="B809" s="189"/>
      <c r="C809" s="189"/>
      <c r="E809" s="189"/>
      <c r="F809" s="189"/>
      <c r="G809" s="189"/>
      <c r="H809" s="189"/>
      <c r="I809" s="189"/>
      <c r="J809" s="189"/>
      <c r="K809" s="189"/>
      <c r="L809" s="189"/>
      <c r="M809" s="189"/>
      <c r="N809" s="189"/>
      <c r="O809" s="189"/>
      <c r="P809" s="189"/>
      <c r="Q809" s="189"/>
      <c r="R809" s="189"/>
      <c r="S809" s="189"/>
      <c r="T809" s="189"/>
    </row>
    <row r="810" spans="1:20" ht="13.5" customHeight="1">
      <c r="A810" s="1821"/>
      <c r="B810" s="189"/>
      <c r="C810" s="189"/>
      <c r="E810" s="189"/>
      <c r="F810" s="189"/>
      <c r="G810" s="189"/>
      <c r="H810" s="189"/>
      <c r="I810" s="189"/>
      <c r="J810" s="189"/>
      <c r="K810" s="189"/>
      <c r="L810" s="189"/>
      <c r="M810" s="189"/>
      <c r="N810" s="189"/>
      <c r="O810" s="189"/>
      <c r="P810" s="189"/>
      <c r="Q810" s="189"/>
      <c r="R810" s="189"/>
      <c r="S810" s="189"/>
      <c r="T810" s="189"/>
    </row>
    <row r="811" spans="1:20" ht="13.5" customHeight="1">
      <c r="A811" s="1821"/>
      <c r="B811" s="189"/>
      <c r="C811" s="189"/>
      <c r="E811" s="189"/>
      <c r="F811" s="189"/>
      <c r="G811" s="189"/>
      <c r="H811" s="189"/>
      <c r="I811" s="189"/>
      <c r="J811" s="189"/>
      <c r="K811" s="189"/>
      <c r="L811" s="189"/>
      <c r="M811" s="189"/>
      <c r="N811" s="189"/>
      <c r="O811" s="189"/>
      <c r="P811" s="189"/>
      <c r="Q811" s="189"/>
      <c r="R811" s="189"/>
      <c r="S811" s="189"/>
      <c r="T811" s="189"/>
    </row>
    <row r="812" spans="1:20" ht="13.5" customHeight="1">
      <c r="A812" s="1821"/>
      <c r="B812" s="189"/>
      <c r="C812" s="189"/>
      <c r="E812" s="189"/>
      <c r="F812" s="189"/>
      <c r="G812" s="189"/>
      <c r="H812" s="189"/>
      <c r="I812" s="189"/>
      <c r="J812" s="189"/>
      <c r="K812" s="189"/>
      <c r="L812" s="189"/>
      <c r="M812" s="189"/>
      <c r="N812" s="189"/>
      <c r="O812" s="189"/>
      <c r="P812" s="189"/>
      <c r="Q812" s="189"/>
      <c r="R812" s="189"/>
      <c r="S812" s="189"/>
      <c r="T812" s="189"/>
    </row>
    <row r="813" spans="1:20" ht="13.5" customHeight="1">
      <c r="A813" s="1821"/>
      <c r="B813" s="189"/>
      <c r="C813" s="189"/>
      <c r="E813" s="189"/>
      <c r="F813" s="189"/>
      <c r="G813" s="189"/>
      <c r="H813" s="189"/>
      <c r="I813" s="189"/>
      <c r="J813" s="189"/>
      <c r="K813" s="189"/>
      <c r="L813" s="189"/>
      <c r="M813" s="189"/>
      <c r="N813" s="189"/>
      <c r="O813" s="189"/>
      <c r="P813" s="189"/>
      <c r="Q813" s="189"/>
      <c r="R813" s="189"/>
      <c r="S813" s="189"/>
      <c r="T813" s="189"/>
    </row>
    <row r="814" spans="1:20" ht="13.5" customHeight="1">
      <c r="A814" s="1821"/>
      <c r="B814" s="189"/>
      <c r="C814" s="189"/>
      <c r="E814" s="189"/>
      <c r="F814" s="189"/>
      <c r="G814" s="189"/>
      <c r="H814" s="189"/>
      <c r="I814" s="189"/>
      <c r="J814" s="189"/>
      <c r="K814" s="189"/>
      <c r="L814" s="189"/>
      <c r="M814" s="189"/>
      <c r="N814" s="189"/>
      <c r="O814" s="189"/>
      <c r="P814" s="189"/>
      <c r="Q814" s="189"/>
      <c r="R814" s="189"/>
      <c r="S814" s="189"/>
      <c r="T814" s="189"/>
    </row>
    <row r="815" spans="1:20" ht="13.5" customHeight="1">
      <c r="A815" s="1821"/>
      <c r="B815" s="189"/>
      <c r="C815" s="189"/>
      <c r="E815" s="189"/>
      <c r="F815" s="189"/>
      <c r="G815" s="189"/>
      <c r="H815" s="189"/>
      <c r="I815" s="189"/>
      <c r="J815" s="189"/>
      <c r="K815" s="189"/>
      <c r="L815" s="189"/>
      <c r="M815" s="189"/>
      <c r="N815" s="189"/>
      <c r="O815" s="189"/>
      <c r="P815" s="189"/>
      <c r="Q815" s="189"/>
      <c r="R815" s="189"/>
      <c r="S815" s="189"/>
      <c r="T815" s="189"/>
    </row>
    <row r="816" spans="1:20" ht="13.5" customHeight="1">
      <c r="A816" s="1821"/>
      <c r="B816" s="189"/>
      <c r="C816" s="189"/>
      <c r="E816" s="189"/>
      <c r="F816" s="189"/>
      <c r="G816" s="189"/>
      <c r="H816" s="189"/>
      <c r="I816" s="189"/>
      <c r="J816" s="189"/>
      <c r="K816" s="189"/>
      <c r="L816" s="189"/>
      <c r="M816" s="189"/>
      <c r="N816" s="189"/>
      <c r="O816" s="189"/>
      <c r="P816" s="189"/>
      <c r="Q816" s="189"/>
      <c r="R816" s="189"/>
      <c r="S816" s="189"/>
      <c r="T816" s="189"/>
    </row>
    <row r="817" spans="1:20" ht="13.5" customHeight="1">
      <c r="A817" s="1821"/>
      <c r="B817" s="189"/>
      <c r="C817" s="189"/>
      <c r="E817" s="189"/>
      <c r="F817" s="189"/>
      <c r="G817" s="189"/>
      <c r="H817" s="189"/>
      <c r="I817" s="189"/>
      <c r="J817" s="189"/>
      <c r="K817" s="189"/>
      <c r="L817" s="189"/>
      <c r="M817" s="189"/>
      <c r="N817" s="189"/>
      <c r="O817" s="189"/>
      <c r="P817" s="189"/>
      <c r="Q817" s="189"/>
      <c r="R817" s="189"/>
      <c r="S817" s="189"/>
      <c r="T817" s="189"/>
    </row>
    <row r="818" spans="1:20" ht="13.5" customHeight="1">
      <c r="A818" s="1821"/>
      <c r="B818" s="189"/>
      <c r="C818" s="189"/>
      <c r="E818" s="189"/>
      <c r="F818" s="189"/>
      <c r="G818" s="189"/>
      <c r="H818" s="189"/>
      <c r="I818" s="189"/>
      <c r="J818" s="189"/>
      <c r="K818" s="189"/>
      <c r="L818" s="189"/>
      <c r="M818" s="189"/>
      <c r="N818" s="189"/>
      <c r="O818" s="189"/>
      <c r="P818" s="189"/>
      <c r="Q818" s="189"/>
      <c r="R818" s="189"/>
      <c r="S818" s="189"/>
      <c r="T818" s="189"/>
    </row>
    <row r="819" spans="1:20" ht="13.5" customHeight="1">
      <c r="A819" s="1821"/>
      <c r="B819" s="189"/>
      <c r="C819" s="189"/>
      <c r="E819" s="189"/>
      <c r="F819" s="189"/>
      <c r="G819" s="189"/>
      <c r="H819" s="189"/>
      <c r="I819" s="189"/>
      <c r="J819" s="189"/>
      <c r="K819" s="189"/>
      <c r="L819" s="189"/>
      <c r="M819" s="189"/>
      <c r="N819" s="189"/>
      <c r="O819" s="189"/>
      <c r="P819" s="189"/>
      <c r="Q819" s="189"/>
      <c r="R819" s="189"/>
      <c r="S819" s="189"/>
      <c r="T819" s="189"/>
    </row>
    <row r="820" spans="1:20" ht="13.5" customHeight="1">
      <c r="A820" s="1821"/>
      <c r="B820" s="189"/>
      <c r="C820" s="189"/>
      <c r="E820" s="189"/>
      <c r="F820" s="189"/>
      <c r="G820" s="189"/>
      <c r="H820" s="189"/>
      <c r="I820" s="189"/>
      <c r="J820" s="189"/>
      <c r="K820" s="189"/>
      <c r="L820" s="189"/>
      <c r="M820" s="189"/>
      <c r="N820" s="189"/>
      <c r="O820" s="189"/>
      <c r="P820" s="189"/>
      <c r="Q820" s="189"/>
      <c r="R820" s="189"/>
      <c r="S820" s="189"/>
      <c r="T820" s="189"/>
    </row>
    <row r="821" spans="1:20" ht="13.5" customHeight="1">
      <c r="A821" s="1821"/>
      <c r="B821" s="189"/>
      <c r="C821" s="189"/>
      <c r="E821" s="189"/>
      <c r="F821" s="189"/>
      <c r="G821" s="189"/>
      <c r="H821" s="189"/>
      <c r="I821" s="189"/>
      <c r="J821" s="189"/>
      <c r="K821" s="189"/>
      <c r="L821" s="189"/>
      <c r="M821" s="189"/>
      <c r="N821" s="189"/>
      <c r="O821" s="189"/>
      <c r="P821" s="189"/>
      <c r="Q821" s="189"/>
      <c r="R821" s="189"/>
      <c r="S821" s="189"/>
      <c r="T821" s="189"/>
    </row>
    <row r="822" spans="1:20" ht="13.5" customHeight="1">
      <c r="A822" s="1821"/>
      <c r="B822" s="189"/>
      <c r="C822" s="189"/>
      <c r="E822" s="189"/>
      <c r="F822" s="189"/>
      <c r="G822" s="189"/>
      <c r="H822" s="189"/>
      <c r="I822" s="189"/>
      <c r="J822" s="189"/>
      <c r="K822" s="189"/>
      <c r="L822" s="189"/>
      <c r="M822" s="189"/>
      <c r="N822" s="189"/>
      <c r="O822" s="189"/>
      <c r="P822" s="189"/>
      <c r="Q822" s="189"/>
      <c r="R822" s="189"/>
      <c r="S822" s="189"/>
      <c r="T822" s="189"/>
    </row>
    <row r="823" spans="1:20" ht="13.5" customHeight="1">
      <c r="A823" s="1821"/>
      <c r="B823" s="189"/>
      <c r="C823" s="189"/>
      <c r="E823" s="189"/>
      <c r="F823" s="189"/>
      <c r="G823" s="189"/>
      <c r="H823" s="189"/>
      <c r="I823" s="189"/>
      <c r="J823" s="189"/>
      <c r="K823" s="189"/>
      <c r="L823" s="189"/>
      <c r="M823" s="189"/>
      <c r="N823" s="189"/>
      <c r="O823" s="189"/>
      <c r="P823" s="189"/>
      <c r="Q823" s="189"/>
      <c r="R823" s="189"/>
      <c r="S823" s="189"/>
      <c r="T823" s="189"/>
    </row>
    <row r="824" spans="1:20" ht="13.5" customHeight="1">
      <c r="A824" s="1821"/>
      <c r="B824" s="189"/>
      <c r="C824" s="189"/>
      <c r="E824" s="189"/>
      <c r="F824" s="189"/>
      <c r="G824" s="189"/>
      <c r="H824" s="189"/>
      <c r="I824" s="189"/>
      <c r="J824" s="189"/>
      <c r="K824" s="189"/>
      <c r="L824" s="189"/>
      <c r="M824" s="189"/>
      <c r="N824" s="189"/>
      <c r="O824" s="189"/>
      <c r="P824" s="189"/>
      <c r="Q824" s="189"/>
      <c r="R824" s="189"/>
      <c r="S824" s="189"/>
      <c r="T824" s="189"/>
    </row>
    <row r="825" spans="1:20" ht="13.5" customHeight="1">
      <c r="A825" s="1821"/>
      <c r="B825" s="189"/>
      <c r="C825" s="189"/>
      <c r="E825" s="189"/>
      <c r="F825" s="189"/>
      <c r="G825" s="189"/>
      <c r="H825" s="189"/>
      <c r="I825" s="189"/>
      <c r="J825" s="189"/>
      <c r="K825" s="189"/>
      <c r="L825" s="189"/>
      <c r="M825" s="189"/>
      <c r="N825" s="189"/>
      <c r="O825" s="189"/>
      <c r="P825" s="189"/>
      <c r="Q825" s="189"/>
      <c r="R825" s="189"/>
      <c r="S825" s="189"/>
      <c r="T825" s="189"/>
    </row>
    <row r="826" spans="1:20" ht="13.5" customHeight="1">
      <c r="A826" s="1821"/>
      <c r="B826" s="189"/>
      <c r="C826" s="189"/>
      <c r="E826" s="189"/>
      <c r="F826" s="189"/>
      <c r="G826" s="189"/>
      <c r="H826" s="189"/>
      <c r="I826" s="189"/>
      <c r="J826" s="189"/>
      <c r="K826" s="189"/>
      <c r="L826" s="189"/>
      <c r="M826" s="189"/>
      <c r="N826" s="189"/>
      <c r="O826" s="189"/>
      <c r="P826" s="189"/>
      <c r="Q826" s="189"/>
      <c r="R826" s="189"/>
      <c r="S826" s="189"/>
      <c r="T826" s="189"/>
    </row>
    <row r="827" spans="1:20" ht="13.5" customHeight="1">
      <c r="A827" s="1821"/>
      <c r="B827" s="189"/>
      <c r="C827" s="189"/>
      <c r="E827" s="189"/>
      <c r="F827" s="189"/>
      <c r="G827" s="189"/>
      <c r="H827" s="189"/>
      <c r="I827" s="189"/>
      <c r="J827" s="189"/>
      <c r="K827" s="189"/>
      <c r="L827" s="189"/>
      <c r="M827" s="189"/>
      <c r="N827" s="189"/>
      <c r="O827" s="189"/>
      <c r="P827" s="189"/>
      <c r="Q827" s="189"/>
      <c r="R827" s="189"/>
      <c r="S827" s="189"/>
      <c r="T827" s="189"/>
    </row>
    <row r="828" spans="1:20" ht="13.5" customHeight="1">
      <c r="A828" s="1821"/>
      <c r="B828" s="189"/>
      <c r="C828" s="189"/>
      <c r="E828" s="189"/>
      <c r="F828" s="189"/>
      <c r="G828" s="189"/>
      <c r="H828" s="189"/>
      <c r="I828" s="189"/>
      <c r="J828" s="189"/>
      <c r="K828" s="189"/>
      <c r="L828" s="189"/>
      <c r="M828" s="189"/>
      <c r="N828" s="189"/>
      <c r="O828" s="189"/>
      <c r="P828" s="189"/>
      <c r="Q828" s="189"/>
      <c r="R828" s="189"/>
      <c r="S828" s="189"/>
      <c r="T828" s="189"/>
    </row>
    <row r="829" spans="1:20" ht="13.5" customHeight="1">
      <c r="A829" s="1821"/>
      <c r="B829" s="189"/>
      <c r="C829" s="189"/>
      <c r="E829" s="189"/>
      <c r="F829" s="189"/>
      <c r="G829" s="189"/>
      <c r="H829" s="189"/>
      <c r="I829" s="189"/>
      <c r="J829" s="189"/>
      <c r="K829" s="189"/>
      <c r="L829" s="189"/>
      <c r="M829" s="189"/>
      <c r="N829" s="189"/>
      <c r="O829" s="189"/>
      <c r="P829" s="189"/>
      <c r="Q829" s="189"/>
      <c r="R829" s="189"/>
      <c r="S829" s="189"/>
      <c r="T829" s="189"/>
    </row>
    <row r="830" spans="1:20" ht="13.5" customHeight="1">
      <c r="A830" s="1821"/>
      <c r="B830" s="189"/>
      <c r="C830" s="189"/>
      <c r="E830" s="189"/>
      <c r="F830" s="189"/>
      <c r="G830" s="189"/>
      <c r="H830" s="189"/>
      <c r="I830" s="189"/>
      <c r="J830" s="189"/>
      <c r="K830" s="189"/>
      <c r="L830" s="189"/>
      <c r="M830" s="189"/>
      <c r="N830" s="189"/>
      <c r="O830" s="189"/>
      <c r="P830" s="189"/>
      <c r="Q830" s="189"/>
      <c r="R830" s="189"/>
      <c r="S830" s="189"/>
      <c r="T830" s="189"/>
    </row>
    <row r="831" spans="1:20" ht="13.5" customHeight="1">
      <c r="A831" s="1821"/>
      <c r="B831" s="189"/>
      <c r="C831" s="189"/>
      <c r="E831" s="189"/>
      <c r="F831" s="189"/>
      <c r="G831" s="189"/>
      <c r="H831" s="189"/>
      <c r="I831" s="189"/>
      <c r="J831" s="189"/>
      <c r="K831" s="189"/>
      <c r="L831" s="189"/>
      <c r="M831" s="189"/>
      <c r="N831" s="189"/>
      <c r="O831" s="189"/>
      <c r="P831" s="189"/>
      <c r="Q831" s="189"/>
      <c r="R831" s="189"/>
      <c r="S831" s="189"/>
      <c r="T831" s="189"/>
    </row>
    <row r="832" spans="1:20" ht="13.5" customHeight="1">
      <c r="A832" s="1821"/>
      <c r="B832" s="189"/>
      <c r="C832" s="189"/>
      <c r="E832" s="189"/>
      <c r="F832" s="189"/>
      <c r="G832" s="189"/>
      <c r="H832" s="189"/>
      <c r="I832" s="189"/>
      <c r="J832" s="189"/>
      <c r="K832" s="189"/>
      <c r="L832" s="189"/>
      <c r="M832" s="189"/>
      <c r="N832" s="189"/>
      <c r="O832" s="189"/>
      <c r="P832" s="189"/>
      <c r="Q832" s="189"/>
      <c r="R832" s="189"/>
      <c r="S832" s="189"/>
      <c r="T832" s="189"/>
    </row>
    <row r="833" spans="1:20" ht="13.5" customHeight="1">
      <c r="A833" s="1821"/>
      <c r="B833" s="189"/>
      <c r="C833" s="189"/>
      <c r="E833" s="189"/>
      <c r="F833" s="189"/>
      <c r="G833" s="189"/>
      <c r="H833" s="189"/>
      <c r="I833" s="189"/>
      <c r="J833" s="189"/>
      <c r="K833" s="189"/>
      <c r="L833" s="189"/>
      <c r="M833" s="189"/>
      <c r="N833" s="189"/>
      <c r="O833" s="189"/>
      <c r="P833" s="189"/>
      <c r="Q833" s="189"/>
      <c r="R833" s="189"/>
      <c r="S833" s="189"/>
      <c r="T833" s="189"/>
    </row>
    <row r="834" spans="1:20" ht="13.5" customHeight="1">
      <c r="A834" s="1821"/>
      <c r="B834" s="189"/>
      <c r="C834" s="189"/>
      <c r="E834" s="189"/>
      <c r="F834" s="189"/>
      <c r="G834" s="189"/>
      <c r="H834" s="189"/>
      <c r="I834" s="189"/>
      <c r="J834" s="189"/>
      <c r="K834" s="189"/>
      <c r="L834" s="189"/>
      <c r="M834" s="189"/>
      <c r="N834" s="189"/>
      <c r="O834" s="189"/>
      <c r="P834" s="189"/>
      <c r="Q834" s="189"/>
      <c r="R834" s="189"/>
      <c r="S834" s="189"/>
      <c r="T834" s="189"/>
    </row>
    <row r="835" spans="1:20" ht="13.5" customHeight="1">
      <c r="A835" s="1821"/>
      <c r="B835" s="189"/>
      <c r="C835" s="189"/>
      <c r="E835" s="189"/>
      <c r="F835" s="189"/>
      <c r="G835" s="189"/>
      <c r="H835" s="189"/>
      <c r="I835" s="189"/>
      <c r="J835" s="189"/>
      <c r="K835" s="189"/>
      <c r="L835" s="189"/>
      <c r="M835" s="189"/>
      <c r="N835" s="189"/>
      <c r="O835" s="189"/>
      <c r="P835" s="189"/>
      <c r="Q835" s="189"/>
      <c r="R835" s="189"/>
      <c r="S835" s="189"/>
      <c r="T835" s="189"/>
    </row>
    <row r="836" spans="1:20" ht="13.5" customHeight="1">
      <c r="A836" s="1821"/>
      <c r="B836" s="189"/>
      <c r="C836" s="189"/>
      <c r="E836" s="189"/>
      <c r="F836" s="189"/>
      <c r="G836" s="189"/>
      <c r="H836" s="189"/>
      <c r="I836" s="189"/>
      <c r="J836" s="189"/>
      <c r="K836" s="189"/>
      <c r="L836" s="189"/>
      <c r="M836" s="189"/>
      <c r="N836" s="189"/>
      <c r="O836" s="189"/>
      <c r="P836" s="189"/>
      <c r="Q836" s="189"/>
      <c r="R836" s="189"/>
      <c r="S836" s="189"/>
      <c r="T836" s="189"/>
    </row>
    <row r="837" spans="1:20" ht="13.5" customHeight="1">
      <c r="A837" s="1821"/>
      <c r="B837" s="189"/>
      <c r="C837" s="189"/>
      <c r="E837" s="189"/>
      <c r="F837" s="189"/>
      <c r="G837" s="189"/>
      <c r="H837" s="189"/>
      <c r="I837" s="189"/>
      <c r="J837" s="189"/>
      <c r="K837" s="189"/>
      <c r="L837" s="189"/>
      <c r="M837" s="189"/>
      <c r="N837" s="189"/>
      <c r="O837" s="189"/>
      <c r="P837" s="189"/>
      <c r="Q837" s="189"/>
      <c r="R837" s="189"/>
      <c r="S837" s="189"/>
      <c r="T837" s="189"/>
    </row>
    <row r="838" spans="1:20" ht="13.5" customHeight="1">
      <c r="A838" s="1821"/>
      <c r="B838" s="189"/>
      <c r="C838" s="189"/>
      <c r="E838" s="189"/>
      <c r="F838" s="189"/>
      <c r="G838" s="189"/>
      <c r="H838" s="189"/>
      <c r="I838" s="189"/>
      <c r="J838" s="189"/>
      <c r="K838" s="189"/>
      <c r="L838" s="189"/>
      <c r="M838" s="189"/>
      <c r="N838" s="189"/>
      <c r="O838" s="189"/>
      <c r="P838" s="189"/>
      <c r="Q838" s="189"/>
      <c r="R838" s="189"/>
      <c r="S838" s="189"/>
      <c r="T838" s="189"/>
    </row>
    <row r="839" spans="1:20" ht="13.5" customHeight="1">
      <c r="A839" s="1821"/>
      <c r="B839" s="189"/>
      <c r="C839" s="189"/>
      <c r="E839" s="189"/>
      <c r="F839" s="189"/>
      <c r="G839" s="189"/>
      <c r="H839" s="189"/>
      <c r="I839" s="189"/>
      <c r="J839" s="189"/>
      <c r="K839" s="189"/>
      <c r="L839" s="189"/>
      <c r="M839" s="189"/>
      <c r="N839" s="189"/>
      <c r="O839" s="189"/>
      <c r="P839" s="189"/>
      <c r="Q839" s="189"/>
      <c r="R839" s="189"/>
      <c r="S839" s="189"/>
      <c r="T839" s="189"/>
    </row>
    <row r="840" spans="1:20" ht="13.5" customHeight="1">
      <c r="A840" s="1821"/>
      <c r="B840" s="189"/>
      <c r="C840" s="189"/>
      <c r="E840" s="189"/>
      <c r="F840" s="189"/>
      <c r="G840" s="189"/>
      <c r="H840" s="189"/>
      <c r="I840" s="189"/>
      <c r="J840" s="189"/>
      <c r="K840" s="189"/>
      <c r="L840" s="189"/>
      <c r="M840" s="189"/>
      <c r="N840" s="189"/>
      <c r="O840" s="189"/>
      <c r="P840" s="189"/>
      <c r="Q840" s="189"/>
      <c r="R840" s="189"/>
      <c r="S840" s="189"/>
      <c r="T840" s="189"/>
    </row>
    <row r="841" spans="1:20" ht="13.5" customHeight="1">
      <c r="A841" s="1821"/>
      <c r="B841" s="189"/>
      <c r="C841" s="189"/>
      <c r="E841" s="189"/>
      <c r="F841" s="189"/>
      <c r="G841" s="189"/>
      <c r="H841" s="189"/>
      <c r="I841" s="189"/>
      <c r="J841" s="189"/>
      <c r="K841" s="189"/>
      <c r="L841" s="189"/>
      <c r="M841" s="189"/>
      <c r="N841" s="189"/>
      <c r="O841" s="189"/>
      <c r="P841" s="189"/>
      <c r="Q841" s="189"/>
      <c r="R841" s="189"/>
      <c r="S841" s="189"/>
      <c r="T841" s="189"/>
    </row>
    <row r="842" spans="1:20" ht="13.5" customHeight="1">
      <c r="A842" s="1821"/>
      <c r="B842" s="189"/>
      <c r="C842" s="189"/>
      <c r="E842" s="189"/>
      <c r="F842" s="189"/>
      <c r="G842" s="189"/>
      <c r="H842" s="189"/>
      <c r="I842" s="189"/>
      <c r="J842" s="189"/>
      <c r="K842" s="189"/>
      <c r="L842" s="189"/>
      <c r="M842" s="189"/>
      <c r="N842" s="189"/>
      <c r="O842" s="189"/>
      <c r="P842" s="189"/>
      <c r="Q842" s="189"/>
      <c r="R842" s="189"/>
      <c r="T842" s="189"/>
    </row>
    <row r="843" spans="1:20" ht="13.5" customHeight="1">
      <c r="A843" s="1821"/>
      <c r="B843" s="189"/>
      <c r="C843" s="189"/>
      <c r="E843" s="189"/>
      <c r="F843" s="189"/>
      <c r="G843" s="189"/>
      <c r="H843" s="189"/>
      <c r="I843" s="189"/>
      <c r="J843" s="189"/>
      <c r="K843" s="189"/>
      <c r="L843" s="189"/>
      <c r="M843" s="189"/>
      <c r="N843" s="189"/>
      <c r="O843" s="189"/>
      <c r="P843" s="189"/>
      <c r="Q843" s="189"/>
      <c r="R843" s="189"/>
      <c r="T843" s="189"/>
    </row>
    <row r="844" spans="1:20" ht="13.5" customHeight="1">
      <c r="A844" s="1821"/>
      <c r="B844" s="189"/>
      <c r="C844" s="189"/>
      <c r="E844" s="189"/>
      <c r="F844" s="189"/>
      <c r="G844" s="189"/>
      <c r="H844" s="189"/>
      <c r="I844" s="189"/>
      <c r="J844" s="189"/>
      <c r="K844" s="189"/>
      <c r="L844" s="189"/>
      <c r="M844" s="189"/>
      <c r="N844" s="189"/>
      <c r="O844" s="189"/>
      <c r="P844" s="189"/>
      <c r="Q844" s="189"/>
      <c r="R844" s="189"/>
      <c r="T844" s="189"/>
    </row>
    <row r="845" spans="1:20" ht="13.5" customHeight="1">
      <c r="A845" s="1821"/>
      <c r="B845" s="189"/>
      <c r="C845" s="189"/>
      <c r="E845" s="189"/>
      <c r="F845" s="189"/>
      <c r="G845" s="189"/>
      <c r="H845" s="189"/>
      <c r="I845" s="189"/>
      <c r="J845" s="189"/>
      <c r="K845" s="189"/>
      <c r="L845" s="189"/>
      <c r="M845" s="189"/>
      <c r="N845" s="189"/>
      <c r="O845" s="189"/>
      <c r="P845" s="189"/>
      <c r="Q845" s="189"/>
      <c r="R845" s="189"/>
      <c r="T845" s="189"/>
    </row>
    <row r="846" spans="1:20" ht="13.5" customHeight="1">
      <c r="A846" s="1821"/>
      <c r="B846" s="189"/>
      <c r="C846" s="189"/>
      <c r="E846" s="189"/>
      <c r="F846" s="189"/>
      <c r="G846" s="189"/>
      <c r="H846" s="189"/>
      <c r="I846" s="189"/>
      <c r="J846" s="189"/>
      <c r="K846" s="189"/>
      <c r="L846" s="189"/>
      <c r="M846" s="189"/>
      <c r="N846" s="189"/>
      <c r="O846" s="189"/>
      <c r="P846" s="189"/>
      <c r="Q846" s="189"/>
      <c r="R846" s="189"/>
      <c r="T846" s="189"/>
    </row>
    <row r="847" spans="1:20" ht="13.5" customHeight="1">
      <c r="A847" s="1821"/>
      <c r="B847" s="189"/>
      <c r="C847" s="189"/>
      <c r="E847" s="189"/>
      <c r="F847" s="189"/>
      <c r="G847" s="189"/>
      <c r="H847" s="189"/>
      <c r="I847" s="189"/>
      <c r="J847" s="189"/>
      <c r="K847" s="189"/>
      <c r="L847" s="189"/>
      <c r="M847" s="189"/>
      <c r="N847" s="189"/>
      <c r="O847" s="189"/>
      <c r="P847" s="189"/>
      <c r="Q847" s="189"/>
      <c r="R847" s="189"/>
      <c r="T847" s="189"/>
    </row>
    <row r="848" spans="1:20" ht="13.5" customHeight="1">
      <c r="A848" s="1821"/>
      <c r="B848" s="189"/>
      <c r="C848" s="189"/>
      <c r="E848" s="189"/>
      <c r="F848" s="189"/>
      <c r="G848" s="189"/>
      <c r="H848" s="189"/>
      <c r="I848" s="189"/>
      <c r="J848" s="189"/>
      <c r="K848" s="189"/>
      <c r="L848" s="189"/>
      <c r="M848" s="189"/>
      <c r="N848" s="189"/>
      <c r="O848" s="189"/>
      <c r="P848" s="189"/>
      <c r="Q848" s="189"/>
      <c r="R848" s="189"/>
      <c r="T848" s="189"/>
    </row>
    <row r="849" spans="1:20" ht="13.5" customHeight="1">
      <c r="A849" s="1821"/>
      <c r="B849" s="189"/>
      <c r="C849" s="189"/>
      <c r="E849" s="189"/>
      <c r="F849" s="189"/>
      <c r="G849" s="189"/>
      <c r="H849" s="189"/>
      <c r="I849" s="189"/>
      <c r="J849" s="189"/>
      <c r="K849" s="189"/>
      <c r="L849" s="189"/>
      <c r="M849" s="189"/>
      <c r="N849" s="189"/>
      <c r="O849" s="189"/>
      <c r="P849" s="189"/>
      <c r="Q849" s="189"/>
      <c r="R849" s="189"/>
      <c r="T849" s="189"/>
    </row>
    <row r="850" spans="1:20" ht="13.5" customHeight="1"/>
    <row r="851" spans="1:20" ht="13.5" customHeight="1"/>
    <row r="852" spans="1:20" ht="13.5" customHeight="1"/>
    <row r="853" spans="1:20" ht="13.5" customHeight="1"/>
    <row r="854" spans="1:20" ht="13.5" customHeight="1"/>
    <row r="855" spans="1:20" ht="13.5" customHeight="1"/>
    <row r="856" spans="1:20" ht="13.5" customHeight="1"/>
    <row r="857" spans="1:20" ht="13.5" customHeight="1"/>
    <row r="858" spans="1:20" ht="13.5" customHeight="1"/>
    <row r="859" spans="1:20" ht="13.5" customHeight="1"/>
    <row r="860" spans="1:20" ht="13.5" customHeight="1"/>
    <row r="861" spans="1:20" ht="13.5" customHeight="1"/>
    <row r="862" spans="1:20" ht="13.5" customHeight="1"/>
    <row r="863" spans="1:20" ht="13.5" customHeight="1"/>
    <row r="864" spans="1:20" ht="13.5" customHeight="1"/>
    <row r="865" ht="13.5" customHeight="1"/>
    <row r="866" ht="13.5" customHeight="1"/>
    <row r="867" ht="13.5" customHeight="1"/>
    <row r="868" ht="13.5" customHeight="1"/>
    <row r="869" ht="13.5" customHeight="1"/>
    <row r="870" ht="13.5" customHeight="1"/>
    <row r="871" ht="13.5" customHeight="1"/>
    <row r="872" ht="13.5" customHeight="1"/>
    <row r="873" ht="13.5" customHeight="1"/>
    <row r="874" ht="13.5" customHeight="1"/>
    <row r="875" ht="13.5" customHeight="1"/>
    <row r="876" ht="13.5" customHeight="1"/>
    <row r="877" ht="13.5" customHeight="1"/>
    <row r="878" ht="13.5" customHeight="1"/>
    <row r="879" ht="13.5" customHeight="1"/>
    <row r="880" ht="13.5" customHeight="1"/>
    <row r="881" ht="13.5" customHeight="1"/>
    <row r="882" ht="13.5" customHeight="1"/>
    <row r="883" ht="13.5" customHeight="1"/>
    <row r="884" ht="13.5" customHeight="1"/>
    <row r="885" ht="13.5" customHeight="1"/>
    <row r="886" ht="13.5" customHeight="1"/>
    <row r="887" ht="13.5" customHeight="1"/>
    <row r="888" ht="13.5" customHeight="1"/>
    <row r="889" ht="13.5" customHeight="1"/>
    <row r="890" ht="13.5" customHeight="1"/>
    <row r="891" ht="13.5" customHeight="1"/>
    <row r="892" ht="13.5" customHeight="1"/>
    <row r="893" ht="13.5" customHeight="1"/>
    <row r="894" ht="13.5" customHeight="1"/>
    <row r="895" ht="13.5" customHeight="1"/>
    <row r="896" ht="13.5" customHeight="1"/>
    <row r="897" ht="13.5" customHeight="1"/>
    <row r="898" ht="13.5" customHeight="1"/>
    <row r="899" ht="13.5" customHeight="1"/>
    <row r="900" ht="13.5" customHeight="1"/>
    <row r="901" ht="13.5" customHeight="1"/>
    <row r="902" ht="13.5" customHeight="1"/>
    <row r="903" ht="13.5" customHeight="1"/>
    <row r="904" ht="13.5" customHeight="1"/>
    <row r="905" ht="13.5" customHeight="1"/>
    <row r="906" ht="13.5" customHeight="1"/>
    <row r="907" ht="13.5" customHeight="1"/>
    <row r="908" ht="13.5" customHeight="1"/>
    <row r="909" ht="13.5" customHeight="1"/>
    <row r="910" ht="13.5" customHeight="1"/>
    <row r="911" ht="13.5" customHeight="1"/>
    <row r="912" ht="13.5" customHeight="1"/>
    <row r="913" ht="13.5" customHeight="1"/>
    <row r="914" ht="13.5" customHeight="1"/>
    <row r="915" ht="13.5" customHeight="1"/>
    <row r="916" ht="13.5" customHeight="1"/>
    <row r="917" ht="13.5" customHeight="1"/>
    <row r="918" ht="13.5" customHeight="1"/>
    <row r="919" ht="13.5" customHeight="1"/>
    <row r="920" ht="13.5" customHeight="1"/>
    <row r="921" ht="13.5" customHeight="1"/>
    <row r="922" ht="13.5" customHeight="1"/>
    <row r="923" ht="13.5" customHeight="1"/>
    <row r="924" ht="13.5" customHeight="1"/>
    <row r="925" ht="13.5" customHeight="1"/>
    <row r="926" ht="13.5" customHeight="1"/>
    <row r="927" ht="13.5" customHeight="1"/>
    <row r="928" ht="13.5" customHeight="1"/>
    <row r="929" ht="13.5" customHeight="1"/>
    <row r="930" ht="13.5" customHeight="1"/>
    <row r="931" ht="13.5" customHeight="1"/>
    <row r="932" ht="13.5" customHeight="1"/>
    <row r="933" ht="13.5" customHeight="1"/>
    <row r="934" ht="13.5" customHeight="1"/>
    <row r="935" ht="13.5" customHeight="1"/>
    <row r="936" ht="13.5" customHeight="1"/>
    <row r="937" ht="13.5" customHeight="1"/>
    <row r="938" ht="13.5" customHeight="1"/>
    <row r="939" ht="13.5" customHeight="1"/>
    <row r="940" ht="13.5" customHeight="1"/>
    <row r="941" ht="13.5" customHeight="1"/>
    <row r="942" ht="13.5" customHeight="1"/>
    <row r="943" ht="13.5" customHeight="1"/>
    <row r="944" ht="13.5" customHeight="1"/>
    <row r="945" ht="13.5" customHeight="1"/>
    <row r="946" ht="13.5" customHeight="1"/>
    <row r="947" ht="13.5" customHeight="1"/>
    <row r="948" ht="13.5" customHeight="1"/>
    <row r="949" ht="13.5" customHeight="1"/>
    <row r="950" ht="13.5" customHeight="1"/>
    <row r="951" ht="13.5" customHeight="1"/>
    <row r="952" ht="13.5" customHeight="1"/>
    <row r="953" ht="13.5" customHeight="1"/>
    <row r="954" ht="13.5" customHeight="1"/>
    <row r="955" ht="13.5" customHeight="1"/>
    <row r="956" ht="13.5" customHeight="1"/>
    <row r="957" ht="13.5" customHeight="1"/>
    <row r="958" ht="13.5" customHeight="1"/>
    <row r="959" ht="13.5" customHeight="1"/>
    <row r="960" ht="13.5" customHeight="1"/>
    <row r="961" ht="13.5" customHeight="1"/>
    <row r="962" ht="13.5" customHeight="1"/>
    <row r="963" ht="13.5" customHeight="1"/>
    <row r="964" ht="13.5" customHeight="1"/>
    <row r="965" ht="13.5" customHeight="1"/>
    <row r="966" ht="13.5" customHeight="1"/>
    <row r="967" ht="13.5" customHeight="1"/>
    <row r="968" ht="13.5" customHeight="1"/>
    <row r="969" ht="13.5" customHeight="1"/>
    <row r="970" ht="13.5" customHeight="1"/>
    <row r="971" ht="13.5" customHeight="1"/>
    <row r="972" ht="13.5" customHeight="1"/>
    <row r="973" ht="13.5" customHeight="1"/>
    <row r="974" ht="13.5" customHeight="1"/>
    <row r="975" ht="13.5" customHeight="1"/>
    <row r="976" ht="13.5" customHeight="1"/>
    <row r="977" ht="13.5" customHeight="1"/>
    <row r="978" ht="13.5" customHeight="1"/>
    <row r="979" ht="13.5" customHeight="1"/>
    <row r="980" ht="13.5" customHeight="1"/>
    <row r="981" ht="13.5" customHeight="1"/>
    <row r="982" ht="13.5" customHeight="1"/>
    <row r="983" ht="13.5" customHeight="1"/>
    <row r="984" ht="13.5" customHeight="1"/>
    <row r="985" ht="13.5" customHeight="1"/>
    <row r="986" ht="13.5" customHeight="1"/>
    <row r="987" ht="13.5" customHeight="1"/>
    <row r="988" ht="13.5" customHeight="1"/>
    <row r="989" ht="13.5" customHeight="1"/>
    <row r="990" ht="13.5" customHeight="1"/>
    <row r="991" ht="13.5" customHeight="1"/>
    <row r="992" ht="13.5" customHeight="1"/>
    <row r="993" ht="13.5" customHeight="1"/>
    <row r="994" ht="13.5" customHeight="1"/>
    <row r="995" ht="13.5" customHeight="1"/>
    <row r="996" ht="13.5" customHeight="1"/>
    <row r="997" ht="13.5" customHeight="1"/>
    <row r="998" ht="13.5" customHeight="1"/>
    <row r="999" ht="13.5" customHeight="1"/>
    <row r="1000" ht="13.5" customHeight="1"/>
    <row r="1001" ht="13.5" customHeight="1"/>
    <row r="1002" ht="13.5" customHeight="1"/>
    <row r="1003" ht="13.5" customHeight="1"/>
    <row r="1004" ht="13.5" customHeight="1"/>
    <row r="1005" ht="13.5" customHeight="1"/>
    <row r="1006" ht="13.5" customHeight="1"/>
    <row r="1007" ht="13.5" customHeight="1"/>
    <row r="1008" ht="13.5" customHeight="1"/>
    <row r="1009" ht="13.5" customHeight="1"/>
    <row r="1010" ht="13.5" customHeight="1"/>
    <row r="1011" ht="13.5" customHeight="1"/>
    <row r="1012" ht="13.5" customHeight="1"/>
    <row r="1013" ht="13.5" customHeight="1"/>
    <row r="1014" ht="13.5" customHeight="1"/>
    <row r="1015" ht="13.5" customHeight="1"/>
    <row r="1016" ht="13.5" customHeight="1"/>
    <row r="1017" ht="13.5" customHeight="1"/>
    <row r="1018" ht="13.5" customHeight="1"/>
    <row r="1019" ht="13.5" customHeight="1"/>
    <row r="1020" ht="13.5" customHeight="1"/>
    <row r="1021" ht="13.5" customHeight="1"/>
    <row r="1022" ht="13.5" customHeight="1"/>
    <row r="1023" ht="13.5" customHeight="1"/>
    <row r="1024" ht="13.5" customHeight="1"/>
    <row r="1025" ht="13.5" customHeight="1"/>
    <row r="1026" ht="13.5" customHeight="1"/>
    <row r="1027" ht="13.5" customHeight="1"/>
    <row r="1028" ht="13.5" customHeight="1"/>
    <row r="1029" ht="13.5" customHeight="1"/>
    <row r="1030" ht="13.5" customHeight="1"/>
    <row r="1031" ht="13.5" customHeight="1"/>
    <row r="1032" ht="13.5" customHeight="1"/>
    <row r="1033" ht="13.5" customHeight="1"/>
    <row r="1034" ht="13.5" customHeight="1"/>
    <row r="1035" ht="13.5" customHeight="1"/>
    <row r="1036" ht="13.5" customHeight="1"/>
    <row r="1037" ht="13.5" customHeight="1"/>
    <row r="1038" ht="13.5" customHeight="1"/>
    <row r="1039" ht="13.5" customHeight="1"/>
    <row r="1040" ht="13.5" customHeight="1"/>
    <row r="1041" spans="4:5" ht="13.5" customHeight="1"/>
    <row r="1046" spans="4:5">
      <c r="E1046" s="786">
        <v>19000000</v>
      </c>
    </row>
    <row r="1047" spans="4:5">
      <c r="E1047" s="786">
        <v>8140000</v>
      </c>
    </row>
    <row r="1048" spans="4:5">
      <c r="E1048" s="786">
        <f>SUBTOTAL(9,E1046:E1047)</f>
        <v>27140000</v>
      </c>
    </row>
    <row r="1050" spans="4:5">
      <c r="E1050" s="1830">
        <f>E1048-27500000</f>
        <v>-360000</v>
      </c>
    </row>
    <row r="1053" spans="4:5">
      <c r="D1053" s="436">
        <f>D718-'[4]TARGET MURNI DAN PERUBAHAN'!D9</f>
        <v>0</v>
      </c>
    </row>
  </sheetData>
  <mergeCells count="21">
    <mergeCell ref="P5:P6"/>
    <mergeCell ref="Q5:Q6"/>
    <mergeCell ref="S5:S6"/>
    <mergeCell ref="T5:T6"/>
    <mergeCell ref="T531:T532"/>
    <mergeCell ref="K5:K6"/>
    <mergeCell ref="L5:L6"/>
    <mergeCell ref="M5:M6"/>
    <mergeCell ref="N5:N6"/>
    <mergeCell ref="O5:O6"/>
    <mergeCell ref="F5:F6"/>
    <mergeCell ref="G5:G6"/>
    <mergeCell ref="H5:H6"/>
    <mergeCell ref="I5:I6"/>
    <mergeCell ref="J5:J6"/>
    <mergeCell ref="B7:C7"/>
    <mergeCell ref="B485:C485"/>
    <mergeCell ref="B495:C495"/>
    <mergeCell ref="A718:C718"/>
    <mergeCell ref="E5:E6"/>
    <mergeCell ref="B5:C6"/>
  </mergeCells>
  <pageMargins left="0.25" right="0.25" top="0.5" bottom="0.25" header="0.3" footer="0.3"/>
  <pageSetup scale="37" orientation="landscape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tabColor rgb="FF00B050"/>
  </sheetPr>
  <dimension ref="A1:V1291"/>
  <sheetViews>
    <sheetView view="pageBreakPreview" topLeftCell="B4" zoomScale="90" zoomScaleNormal="80" zoomScaleSheetLayoutView="90" workbookViewId="0">
      <pane ySplit="1453" topLeftCell="A4" activePane="bottomLeft"/>
      <selection pane="bottomLeft" activeCell="P9" sqref="P9"/>
    </sheetView>
  </sheetViews>
  <sheetFormatPr defaultColWidth="9.109375" defaultRowHeight="13.15"/>
  <cols>
    <col min="1" max="1" width="4.109375" style="258" customWidth="1"/>
    <col min="2" max="4" width="2.6640625" style="258" customWidth="1"/>
    <col min="5" max="6" width="2.88671875" style="258" customWidth="1"/>
    <col min="7" max="7" width="3.5546875" style="259" customWidth="1"/>
    <col min="8" max="8" width="2.88671875" style="259" customWidth="1"/>
    <col min="9" max="9" width="42.33203125" style="259" customWidth="1"/>
    <col min="10" max="10" width="16.6640625" style="260" hidden="1" customWidth="1"/>
    <col min="11" max="11" width="24.6640625" style="189" customWidth="1"/>
    <col min="12" max="12" width="20.109375" style="259" customWidth="1"/>
    <col min="13" max="13" width="19.109375" style="259" customWidth="1"/>
    <col min="14" max="14" width="20.109375" style="259" customWidth="1"/>
    <col min="15" max="15" width="25.109375" style="259" customWidth="1"/>
    <col min="16" max="16" width="12.44140625" style="260" customWidth="1"/>
    <col min="17" max="17" width="26" style="259" customWidth="1"/>
    <col min="18" max="18" width="19.33203125" style="261" customWidth="1"/>
    <col min="19" max="21" width="18.88671875" style="259" customWidth="1"/>
    <col min="22" max="22" width="17.5546875" style="259" customWidth="1"/>
    <col min="23" max="16384" width="9.109375" style="259"/>
  </cols>
  <sheetData>
    <row r="1" spans="1:21">
      <c r="A1" s="262"/>
      <c r="B1" s="262"/>
      <c r="C1" s="262"/>
      <c r="D1" s="262"/>
      <c r="E1" s="262"/>
      <c r="F1" s="262"/>
      <c r="G1" s="263"/>
      <c r="H1" s="263"/>
      <c r="I1" s="263"/>
      <c r="J1" s="312"/>
      <c r="K1" s="194"/>
      <c r="L1" s="263"/>
      <c r="M1" s="263"/>
      <c r="N1" s="263"/>
      <c r="O1" s="263"/>
      <c r="P1" s="263"/>
      <c r="Q1" s="416"/>
    </row>
    <row r="2" spans="1:21" ht="15.05">
      <c r="A2" s="264" t="s">
        <v>934</v>
      </c>
      <c r="B2" s="265"/>
      <c r="C2" s="264"/>
      <c r="D2" s="265"/>
      <c r="E2" s="5857" t="s">
        <v>935</v>
      </c>
      <c r="F2" s="5857"/>
      <c r="G2" s="5857"/>
      <c r="H2" s="5857"/>
      <c r="I2" s="5857"/>
      <c r="J2" s="5857"/>
      <c r="K2" s="5857"/>
      <c r="L2" s="5857"/>
      <c r="M2" s="5857"/>
      <c r="N2" s="313"/>
      <c r="O2" s="313"/>
      <c r="P2" s="226"/>
      <c r="Q2" s="226"/>
    </row>
    <row r="3" spans="1:21" ht="15.05">
      <c r="A3" s="264"/>
      <c r="B3" s="265"/>
      <c r="C3" s="265"/>
      <c r="D3" s="265"/>
      <c r="E3" s="5857" t="s">
        <v>936</v>
      </c>
      <c r="F3" s="5857"/>
      <c r="G3" s="5857"/>
      <c r="H3" s="5857"/>
      <c r="I3" s="5857"/>
      <c r="J3" s="5857"/>
      <c r="K3" s="5857"/>
      <c r="L3" s="5857"/>
      <c r="M3" s="313"/>
      <c r="N3" s="313"/>
      <c r="O3" s="313"/>
      <c r="P3" s="226"/>
      <c r="Q3" s="226"/>
    </row>
    <row r="4" spans="1:21">
      <c r="A4" s="5858"/>
      <c r="B4" s="5858"/>
      <c r="C4" s="5858"/>
      <c r="D4" s="5858"/>
      <c r="E4" s="5858"/>
      <c r="F4" s="5858"/>
      <c r="G4" s="5858"/>
      <c r="H4" s="5858"/>
      <c r="I4" s="194"/>
      <c r="J4" s="314"/>
      <c r="K4" s="315">
        <f>K9-PerDinas!K9</f>
        <v>-35000000</v>
      </c>
      <c r="L4" s="316">
        <f>L11-PerDinas!L11</f>
        <v>0</v>
      </c>
      <c r="M4" s="315"/>
      <c r="N4" s="315"/>
      <c r="O4" s="315"/>
      <c r="P4" s="194"/>
      <c r="Q4" s="194"/>
    </row>
    <row r="5" spans="1:21" s="241" customFormat="1">
      <c r="A5" s="266" t="s">
        <v>937</v>
      </c>
      <c r="B5" s="5883" t="s">
        <v>938</v>
      </c>
      <c r="C5" s="5883"/>
      <c r="D5" s="5883"/>
      <c r="E5" s="5883"/>
      <c r="F5" s="5883"/>
      <c r="G5" s="5855" t="s">
        <v>56</v>
      </c>
      <c r="H5" s="5884"/>
      <c r="I5" s="5884"/>
      <c r="J5" s="5876" t="s">
        <v>939</v>
      </c>
      <c r="K5" s="5878" t="s">
        <v>940</v>
      </c>
      <c r="L5" s="5859" t="s">
        <v>5</v>
      </c>
      <c r="M5" s="5859"/>
      <c r="N5" s="5859"/>
      <c r="O5" s="318" t="s">
        <v>941</v>
      </c>
      <c r="P5" s="5854" t="s">
        <v>6</v>
      </c>
      <c r="Q5" s="5851" t="s">
        <v>7</v>
      </c>
      <c r="R5" s="417"/>
    </row>
    <row r="6" spans="1:21" s="241" customFormat="1" ht="16.45" customHeight="1">
      <c r="A6" s="267" t="s">
        <v>942</v>
      </c>
      <c r="B6" s="5883"/>
      <c r="C6" s="5883"/>
      <c r="D6" s="5883"/>
      <c r="E6" s="5883"/>
      <c r="F6" s="5883"/>
      <c r="G6" s="5885"/>
      <c r="H6" s="5886"/>
      <c r="I6" s="5886"/>
      <c r="J6" s="5877"/>
      <c r="K6" s="5879"/>
      <c r="L6" s="317" t="s">
        <v>479</v>
      </c>
      <c r="M6" s="317" t="s">
        <v>433</v>
      </c>
      <c r="N6" s="317" t="s">
        <v>434</v>
      </c>
      <c r="O6" s="319" t="s">
        <v>430</v>
      </c>
      <c r="P6" s="5854"/>
      <c r="Q6" s="5851"/>
      <c r="R6" s="418"/>
    </row>
    <row r="7" spans="1:21" s="242" customFormat="1">
      <c r="A7" s="268" t="s">
        <v>58</v>
      </c>
      <c r="B7" s="5860" t="s">
        <v>460</v>
      </c>
      <c r="C7" s="5860"/>
      <c r="D7" s="5860"/>
      <c r="E7" s="5860"/>
      <c r="F7" s="5860"/>
      <c r="G7" s="5861" t="s">
        <v>457</v>
      </c>
      <c r="H7" s="5862"/>
      <c r="I7" s="5862"/>
      <c r="J7" s="320"/>
      <c r="K7" s="320" t="s">
        <v>443</v>
      </c>
      <c r="L7" s="321" t="s">
        <v>482</v>
      </c>
      <c r="M7" s="321" t="s">
        <v>483</v>
      </c>
      <c r="N7" s="321" t="s">
        <v>484</v>
      </c>
      <c r="O7" s="322" t="s">
        <v>485</v>
      </c>
      <c r="P7" s="269" t="s">
        <v>486</v>
      </c>
      <c r="Q7" s="419" t="s">
        <v>444</v>
      </c>
      <c r="R7" s="420" t="s">
        <v>943</v>
      </c>
      <c r="S7" s="420" t="s">
        <v>944</v>
      </c>
    </row>
    <row r="8" spans="1:21" s="189" customFormat="1">
      <c r="A8" s="270"/>
      <c r="B8" s="271"/>
      <c r="C8" s="272"/>
      <c r="D8" s="272"/>
      <c r="E8" s="272"/>
      <c r="F8" s="273"/>
      <c r="G8" s="274"/>
      <c r="H8" s="275"/>
      <c r="I8" s="275"/>
      <c r="J8" s="323"/>
      <c r="K8" s="324"/>
      <c r="L8" s="324"/>
      <c r="M8" s="324"/>
      <c r="N8" s="324"/>
      <c r="O8" s="324"/>
      <c r="P8" s="325"/>
      <c r="Q8" s="421"/>
      <c r="R8" s="431">
        <f>N9-[55]Perdinas!$Q$9</f>
        <v>685347739.99993896</v>
      </c>
      <c r="S8" s="436">
        <f>M9-[55]Perdinas!$P$9</f>
        <v>5500225.0000152588</v>
      </c>
    </row>
    <row r="9" spans="1:21" s="243" customFormat="1">
      <c r="A9" s="276"/>
      <c r="B9" s="277" t="s">
        <v>483</v>
      </c>
      <c r="C9" s="277" t="s">
        <v>58</v>
      </c>
      <c r="D9" s="277" t="s">
        <v>58</v>
      </c>
      <c r="E9" s="277" t="s">
        <v>445</v>
      </c>
      <c r="F9" s="277" t="s">
        <v>440</v>
      </c>
      <c r="G9" s="278" t="s">
        <v>59</v>
      </c>
      <c r="H9" s="278"/>
      <c r="I9" s="278"/>
      <c r="J9" s="326" t="e">
        <f>J11</f>
        <v>#REF!</v>
      </c>
      <c r="K9" s="327">
        <f>K11</f>
        <v>426330842219</v>
      </c>
      <c r="L9" s="327">
        <f>L11</f>
        <v>273837434016.85999</v>
      </c>
      <c r="M9" s="327">
        <f>M11</f>
        <v>77926026727.480011</v>
      </c>
      <c r="N9" s="327">
        <f>M9+L9</f>
        <v>351763460744.33997</v>
      </c>
      <c r="O9" s="327">
        <f>+N9-K9</f>
        <v>-74567381474.660034</v>
      </c>
      <c r="P9" s="328">
        <f>+N9/K9*100</f>
        <v>82.509503397280398</v>
      </c>
      <c r="Q9" s="423"/>
      <c r="R9" s="424"/>
    </row>
    <row r="10" spans="1:21" s="189" customFormat="1">
      <c r="A10" s="279"/>
      <c r="B10" s="280"/>
      <c r="C10" s="280"/>
      <c r="D10" s="280"/>
      <c r="E10" s="280"/>
      <c r="F10" s="280"/>
      <c r="G10" s="190"/>
      <c r="H10" s="190"/>
      <c r="I10" s="190"/>
      <c r="J10" s="329"/>
      <c r="K10" s="330"/>
      <c r="L10" s="330"/>
      <c r="M10" s="330"/>
      <c r="N10" s="330"/>
      <c r="O10" s="330"/>
      <c r="P10" s="331"/>
      <c r="Q10" s="425"/>
      <c r="R10" s="426" t="s">
        <v>945</v>
      </c>
      <c r="S10" s="427" t="s">
        <v>946</v>
      </c>
      <c r="T10" s="189" t="s">
        <v>947</v>
      </c>
    </row>
    <row r="11" spans="1:21" s="243" customFormat="1">
      <c r="A11" s="281"/>
      <c r="B11" s="282"/>
      <c r="C11" s="282"/>
      <c r="D11" s="282"/>
      <c r="E11" s="282"/>
      <c r="F11" s="282"/>
      <c r="G11" s="278" t="s">
        <v>60</v>
      </c>
      <c r="H11" s="278"/>
      <c r="I11" s="278"/>
      <c r="J11" s="326" t="e">
        <f>SUM(J13+J36+J157+J174+J190+J214+J232+J260+J273+J288+J310+J338+J363+J390+J403+J428+J447+J533+J546+J607+J627+J643+J659+J691+J720+J752+J773+J797+J836+J859+J873+J887+J904+J916+J929)</f>
        <v>#REF!</v>
      </c>
      <c r="K11" s="327">
        <f>K13+K36+K157+K174+K190+K214+K232+K260+K273+K288+K310+K338+K363+K390+K405+K428+K447+K530+K533+K546+K607+K627+K643+K659+K691+K720+K752+K773+K797+K836+K859+K873+K887+K904+K916+K929+K941+K953</f>
        <v>426330842219</v>
      </c>
      <c r="L11" s="327">
        <f>L13+L36+L157+L174+L190+L214+L232+L260+L273+L288+L310+L338+L363+L390+L405+L428+L447+L530+L533+L546+L607+L627+L643+L659+L691+L720+L752+L773+L797+L836+L859+L873+L887+L904+L916+L929+L941+L953</f>
        <v>273837434016.85999</v>
      </c>
      <c r="M11" s="327">
        <f>M13+M36+M157+M174+M190+M214+M232+M260+M273+M288+M310+M338+M363+M390+M405+M428+M447+M530+M533+M546+M607+M627+M643+M659+M691+M720+M752+M773+M797+M836+M859+M873+M887+M904+M916+M929+M941+M953</f>
        <v>77926026727.480011</v>
      </c>
      <c r="N11" s="327">
        <f>M11+L11</f>
        <v>351763460744.33997</v>
      </c>
      <c r="O11" s="327">
        <f>+N11-K11</f>
        <v>-74567381474.660034</v>
      </c>
      <c r="P11" s="332">
        <f>+N11/K11*100</f>
        <v>82.509503397280398</v>
      </c>
      <c r="Q11" s="423"/>
      <c r="R11" s="428">
        <f>L11-PerDinas!L11</f>
        <v>0</v>
      </c>
      <c r="S11" s="428">
        <f>M11-PerDinas!M11</f>
        <v>-2761343193</v>
      </c>
      <c r="T11" s="428">
        <f>N11-PerDinas!N11</f>
        <v>-2761343193</v>
      </c>
      <c r="U11" s="1339"/>
    </row>
    <row r="12" spans="1:21" s="189" customFormat="1">
      <c r="A12" s="279"/>
      <c r="B12" s="280"/>
      <c r="C12" s="280"/>
      <c r="D12" s="280"/>
      <c r="E12" s="280"/>
      <c r="F12" s="280"/>
      <c r="G12" s="190"/>
      <c r="H12" s="190"/>
      <c r="I12" s="190"/>
      <c r="J12" s="333"/>
      <c r="K12" s="334"/>
      <c r="L12" s="334"/>
      <c r="M12" s="334"/>
      <c r="N12" s="334"/>
      <c r="O12" s="334"/>
      <c r="P12" s="335"/>
      <c r="Q12" s="430"/>
      <c r="R12" s="431"/>
    </row>
    <row r="13" spans="1:21" s="244" customFormat="1">
      <c r="A13" s="1319" t="s">
        <v>61</v>
      </c>
      <c r="B13" s="1320" t="s">
        <v>58</v>
      </c>
      <c r="C13" s="1320" t="s">
        <v>437</v>
      </c>
      <c r="D13" s="1320" t="s">
        <v>437</v>
      </c>
      <c r="E13" s="1320"/>
      <c r="F13" s="1320"/>
      <c r="G13" s="1321" t="str">
        <f>TARGET!B12</f>
        <v>DINAS PENDIDIKAN DAN KEBUDAYAAN</v>
      </c>
      <c r="H13" s="1322"/>
      <c r="I13" s="1322"/>
      <c r="J13" s="1330">
        <f>+J15</f>
        <v>83320000</v>
      </c>
      <c r="K13" s="1331">
        <f>+K15</f>
        <v>58395000</v>
      </c>
      <c r="L13" s="1331">
        <f>+L15</f>
        <v>178478867</v>
      </c>
      <c r="M13" s="1331">
        <f>+M15</f>
        <v>78245021</v>
      </c>
      <c r="N13" s="1331">
        <f>+N15</f>
        <v>256723888</v>
      </c>
      <c r="O13" s="1331">
        <f>+N13-K13</f>
        <v>198328888</v>
      </c>
      <c r="P13" s="1332">
        <f>+N13/K13*100</f>
        <v>439.6333384707595</v>
      </c>
      <c r="Q13" s="1340"/>
      <c r="R13" s="433"/>
      <c r="S13" s="434"/>
    </row>
    <row r="14" spans="1:21" s="189" customFormat="1">
      <c r="A14" s="1323"/>
      <c r="B14" s="1324"/>
      <c r="C14" s="1324"/>
      <c r="D14" s="1324"/>
      <c r="E14" s="1324"/>
      <c r="F14" s="1324"/>
      <c r="G14" s="1325"/>
      <c r="H14" s="1325"/>
      <c r="I14" s="1325"/>
      <c r="J14" s="1333"/>
      <c r="K14" s="677"/>
      <c r="L14" s="677"/>
      <c r="M14" s="677"/>
      <c r="N14" s="677"/>
      <c r="O14" s="677"/>
      <c r="P14" s="690"/>
      <c r="Q14" s="531"/>
      <c r="R14" s="431"/>
      <c r="S14" s="436"/>
    </row>
    <row r="15" spans="1:21" s="189" customFormat="1">
      <c r="A15" s="289"/>
      <c r="B15" s="290">
        <v>4</v>
      </c>
      <c r="C15" s="290">
        <v>1</v>
      </c>
      <c r="D15" s="290"/>
      <c r="E15" s="290"/>
      <c r="F15" s="290"/>
      <c r="G15" s="291" t="str">
        <f>TARGET!B13</f>
        <v>RETRIBUSI JASA USAHA</v>
      </c>
      <c r="H15" s="291"/>
      <c r="I15" s="291"/>
      <c r="J15" s="387">
        <f>+J17+J24</f>
        <v>83320000</v>
      </c>
      <c r="K15" s="367">
        <f>+K17+K24</f>
        <v>58395000</v>
      </c>
      <c r="L15" s="367">
        <f>+L17+L24</f>
        <v>178478867</v>
      </c>
      <c r="M15" s="367">
        <f>+M17+M24</f>
        <v>78245021</v>
      </c>
      <c r="N15" s="367">
        <f>+N17+N24</f>
        <v>256723888</v>
      </c>
      <c r="O15" s="367">
        <f t="shared" ref="O15:O22" si="0">N15-K15</f>
        <v>198328888</v>
      </c>
      <c r="P15" s="347">
        <f t="shared" ref="P15:P22" si="1">N15/K15*100</f>
        <v>439.6333384707595</v>
      </c>
      <c r="Q15" s="454"/>
      <c r="R15" s="431"/>
    </row>
    <row r="16" spans="1:21" s="189" customFormat="1">
      <c r="A16" s="289"/>
      <c r="B16" s="292"/>
      <c r="C16" s="292"/>
      <c r="D16" s="292"/>
      <c r="E16" s="292"/>
      <c r="F16" s="292"/>
      <c r="G16" s="253"/>
      <c r="H16" s="253"/>
      <c r="I16" s="291"/>
      <c r="J16" s="345"/>
      <c r="K16" s="346"/>
      <c r="L16" s="346"/>
      <c r="M16" s="346"/>
      <c r="N16" s="346"/>
      <c r="O16" s="346"/>
      <c r="P16" s="347"/>
      <c r="Q16" s="438"/>
      <c r="R16" s="431"/>
    </row>
    <row r="17" spans="1:18" s="189" customFormat="1">
      <c r="A17" s="289"/>
      <c r="B17" s="290">
        <v>4</v>
      </c>
      <c r="C17" s="290">
        <v>1</v>
      </c>
      <c r="D17" s="290">
        <v>2</v>
      </c>
      <c r="E17" s="290"/>
      <c r="F17" s="290"/>
      <c r="G17" s="291" t="s">
        <v>106</v>
      </c>
      <c r="H17" s="291"/>
      <c r="I17" s="291"/>
      <c r="J17" s="387">
        <f>J19</f>
        <v>50000000</v>
      </c>
      <c r="K17" s="367">
        <f>K19</f>
        <v>58395000</v>
      </c>
      <c r="L17" s="367">
        <f>L19</f>
        <v>100496592</v>
      </c>
      <c r="M17" s="367">
        <f>M19</f>
        <v>0</v>
      </c>
      <c r="N17" s="367">
        <f>N19</f>
        <v>100496592</v>
      </c>
      <c r="O17" s="367">
        <f t="shared" si="0"/>
        <v>42101592</v>
      </c>
      <c r="P17" s="347">
        <f t="shared" si="1"/>
        <v>172.09793989211406</v>
      </c>
      <c r="Q17" s="454"/>
      <c r="R17" s="422"/>
    </row>
    <row r="18" spans="1:18" s="189" customFormat="1">
      <c r="A18" s="289"/>
      <c r="B18" s="292"/>
      <c r="C18" s="292"/>
      <c r="D18" s="292"/>
      <c r="E18" s="292"/>
      <c r="F18" s="292"/>
      <c r="G18" s="253"/>
      <c r="H18" s="253"/>
      <c r="I18" s="253"/>
      <c r="J18" s="354"/>
      <c r="K18" s="355"/>
      <c r="L18" s="355"/>
      <c r="M18" s="355"/>
      <c r="N18" s="355"/>
      <c r="O18" s="355"/>
      <c r="P18" s="388"/>
      <c r="Q18" s="441"/>
      <c r="R18" s="422"/>
    </row>
    <row r="19" spans="1:18" s="189" customFormat="1">
      <c r="A19" s="289"/>
      <c r="B19" s="292">
        <v>4</v>
      </c>
      <c r="C19" s="292">
        <v>1</v>
      </c>
      <c r="D19" s="292">
        <v>2</v>
      </c>
      <c r="E19" s="292" t="s">
        <v>438</v>
      </c>
      <c r="F19" s="292"/>
      <c r="G19" s="253" t="s">
        <v>374</v>
      </c>
      <c r="H19" s="253"/>
      <c r="I19" s="253"/>
      <c r="J19" s="354">
        <f t="shared" ref="J19:M20" si="2">+J20</f>
        <v>50000000</v>
      </c>
      <c r="K19" s="355">
        <f t="shared" si="2"/>
        <v>58395000</v>
      </c>
      <c r="L19" s="355">
        <f t="shared" si="2"/>
        <v>100496592</v>
      </c>
      <c r="M19" s="355">
        <f t="shared" si="2"/>
        <v>0</v>
      </c>
      <c r="N19" s="346">
        <f>+M19+L19</f>
        <v>100496592</v>
      </c>
      <c r="O19" s="346">
        <f t="shared" si="0"/>
        <v>42101592</v>
      </c>
      <c r="P19" s="347">
        <f t="shared" si="1"/>
        <v>172.09793989211406</v>
      </c>
      <c r="Q19" s="441"/>
      <c r="R19" s="422"/>
    </row>
    <row r="20" spans="1:18" s="189" customFormat="1">
      <c r="A20" s="289"/>
      <c r="B20" s="292">
        <v>4</v>
      </c>
      <c r="C20" s="292">
        <v>1</v>
      </c>
      <c r="D20" s="292">
        <v>2</v>
      </c>
      <c r="E20" s="292" t="s">
        <v>438</v>
      </c>
      <c r="F20" s="292" t="s">
        <v>440</v>
      </c>
      <c r="G20" s="253" t="s">
        <v>304</v>
      </c>
      <c r="H20" s="253"/>
      <c r="I20" s="253"/>
      <c r="J20" s="354">
        <f t="shared" si="2"/>
        <v>50000000</v>
      </c>
      <c r="K20" s="355">
        <f>SUM(K21:K22)</f>
        <v>58395000</v>
      </c>
      <c r="L20" s="360">
        <f>SUM(L21:L22)</f>
        <v>100496592</v>
      </c>
      <c r="M20" s="355">
        <f>SUM(M21:M22)</f>
        <v>0</v>
      </c>
      <c r="N20" s="355">
        <f>M20+L20</f>
        <v>100496592</v>
      </c>
      <c r="O20" s="355">
        <f t="shared" si="0"/>
        <v>42101592</v>
      </c>
      <c r="P20" s="388">
        <f t="shared" si="1"/>
        <v>172.09793989211406</v>
      </c>
      <c r="Q20" s="441"/>
      <c r="R20" s="422"/>
    </row>
    <row r="21" spans="1:18" s="189" customFormat="1">
      <c r="A21" s="289"/>
      <c r="B21" s="292"/>
      <c r="C21" s="292"/>
      <c r="D21" s="292"/>
      <c r="E21" s="292"/>
      <c r="F21" s="292"/>
      <c r="G21" s="253" t="s">
        <v>50</v>
      </c>
      <c r="H21" s="253"/>
      <c r="I21" s="253" t="s">
        <v>69</v>
      </c>
      <c r="J21" s="354">
        <v>50000000</v>
      </c>
      <c r="K21" s="359">
        <f>TARGET!D15</f>
        <v>33395000</v>
      </c>
      <c r="L21" s="360">
        <f>[56]PerDinas!$N$21</f>
        <v>66678400</v>
      </c>
      <c r="M21" s="355">
        <f>PERBULAN2!E15</f>
        <v>0</v>
      </c>
      <c r="N21" s="369">
        <f>M21+L21</f>
        <v>66678400</v>
      </c>
      <c r="O21" s="355">
        <f t="shared" si="0"/>
        <v>33283400</v>
      </c>
      <c r="P21" s="388">
        <f t="shared" si="1"/>
        <v>199.66581823626291</v>
      </c>
      <c r="Q21" s="441"/>
      <c r="R21" s="422"/>
    </row>
    <row r="22" spans="1:18" s="189" customFormat="1">
      <c r="A22" s="289"/>
      <c r="B22" s="292"/>
      <c r="C22" s="292"/>
      <c r="D22" s="292"/>
      <c r="E22" s="292"/>
      <c r="F22" s="292"/>
      <c r="G22" s="253" t="s">
        <v>50</v>
      </c>
      <c r="H22" s="253"/>
      <c r="I22" s="253" t="s">
        <v>709</v>
      </c>
      <c r="J22" s="354"/>
      <c r="K22" s="359">
        <f>TARGET!D16</f>
        <v>25000000</v>
      </c>
      <c r="L22" s="360">
        <f>[56]PerDinas!$N$22</f>
        <v>33818192</v>
      </c>
      <c r="M22" s="355">
        <f>PERBULAN2!E16</f>
        <v>0</v>
      </c>
      <c r="N22" s="369">
        <f>M22+L22</f>
        <v>33818192</v>
      </c>
      <c r="O22" s="355">
        <f t="shared" si="0"/>
        <v>8818192</v>
      </c>
      <c r="P22" s="388">
        <f t="shared" si="1"/>
        <v>135.27276800000001</v>
      </c>
      <c r="Q22" s="1341"/>
      <c r="R22" s="422"/>
    </row>
    <row r="23" spans="1:18" s="189" customFormat="1">
      <c r="A23" s="289"/>
      <c r="B23" s="292"/>
      <c r="C23" s="292"/>
      <c r="D23" s="292"/>
      <c r="E23" s="292"/>
      <c r="F23" s="292"/>
      <c r="G23" s="253"/>
      <c r="H23" s="253"/>
      <c r="I23" s="253"/>
      <c r="J23" s="354"/>
      <c r="K23" s="355"/>
      <c r="L23" s="360"/>
      <c r="M23" s="355"/>
      <c r="N23" s="355"/>
      <c r="O23" s="355"/>
      <c r="P23" s="388"/>
      <c r="Q23" s="441"/>
      <c r="R23" s="422"/>
    </row>
    <row r="24" spans="1:18" s="189" customFormat="1">
      <c r="A24" s="289"/>
      <c r="B24" s="290">
        <v>4</v>
      </c>
      <c r="C24" s="290">
        <v>1</v>
      </c>
      <c r="D24" s="290">
        <v>4</v>
      </c>
      <c r="E24" s="290"/>
      <c r="F24" s="290"/>
      <c r="G24" s="291" t="s">
        <v>71</v>
      </c>
      <c r="H24" s="291"/>
      <c r="I24" s="291"/>
      <c r="J24" s="370">
        <f>J25+J27+J32</f>
        <v>33320000</v>
      </c>
      <c r="K24" s="371">
        <f>K25+K27+K32</f>
        <v>0</v>
      </c>
      <c r="L24" s="372">
        <f>L25+L27+L32</f>
        <v>77982275</v>
      </c>
      <c r="M24" s="371">
        <f>M25+M27+M32</f>
        <v>78245021</v>
      </c>
      <c r="N24" s="371">
        <f>N25+N27+N32</f>
        <v>156227296</v>
      </c>
      <c r="O24" s="367">
        <f t="shared" ref="O24:O30" si="3">N24-K24</f>
        <v>156227296</v>
      </c>
      <c r="P24" s="347" t="e">
        <f>N24/K24*100</f>
        <v>#DIV/0!</v>
      </c>
      <c r="Q24" s="651"/>
      <c r="R24" s="422"/>
    </row>
    <row r="25" spans="1:18" s="190" customFormat="1">
      <c r="A25" s="293"/>
      <c r="B25" s="290">
        <v>4</v>
      </c>
      <c r="C25" s="290">
        <v>1</v>
      </c>
      <c r="D25" s="290">
        <v>4</v>
      </c>
      <c r="E25" s="290" t="s">
        <v>441</v>
      </c>
      <c r="F25" s="290"/>
      <c r="G25" s="291" t="s">
        <v>557</v>
      </c>
      <c r="H25" s="291"/>
      <c r="I25" s="291"/>
      <c r="J25" s="370">
        <f>J26</f>
        <v>0</v>
      </c>
      <c r="K25" s="371">
        <f>K26</f>
        <v>0</v>
      </c>
      <c r="L25" s="372">
        <f>L26</f>
        <v>18748800</v>
      </c>
      <c r="M25" s="371">
        <f>M26</f>
        <v>71943321</v>
      </c>
      <c r="N25" s="371">
        <f>N26</f>
        <v>90692121</v>
      </c>
      <c r="O25" s="367">
        <f t="shared" si="3"/>
        <v>90692121</v>
      </c>
      <c r="P25" s="399"/>
      <c r="Q25" s="651"/>
      <c r="R25" s="446"/>
    </row>
    <row r="26" spans="1:18" s="189" customFormat="1">
      <c r="A26" s="289"/>
      <c r="B26" s="292">
        <v>4</v>
      </c>
      <c r="C26" s="292">
        <v>1</v>
      </c>
      <c r="D26" s="292">
        <v>4</v>
      </c>
      <c r="E26" s="292" t="s">
        <v>441</v>
      </c>
      <c r="F26" s="292" t="s">
        <v>440</v>
      </c>
      <c r="G26" s="253" t="s">
        <v>72</v>
      </c>
      <c r="H26" s="253"/>
      <c r="I26" s="253"/>
      <c r="J26" s="354"/>
      <c r="K26" s="355"/>
      <c r="L26" s="360">
        <f>[56]PerDinas!$N$26</f>
        <v>18748800</v>
      </c>
      <c r="M26" s="355">
        <f>[55]Perdinas!$P$19</f>
        <v>71943321</v>
      </c>
      <c r="N26" s="369">
        <f>M26+L26</f>
        <v>90692121</v>
      </c>
      <c r="O26" s="346">
        <f t="shared" si="3"/>
        <v>90692121</v>
      </c>
      <c r="P26" s="347"/>
      <c r="Q26" s="651"/>
      <c r="R26" s="422"/>
    </row>
    <row r="27" spans="1:18" s="190" customFormat="1">
      <c r="A27" s="293"/>
      <c r="B27" s="290">
        <v>4</v>
      </c>
      <c r="C27" s="290">
        <v>1</v>
      </c>
      <c r="D27" s="290">
        <v>4</v>
      </c>
      <c r="E27" s="290" t="s">
        <v>444</v>
      </c>
      <c r="F27" s="290"/>
      <c r="G27" s="291" t="s">
        <v>222</v>
      </c>
      <c r="H27" s="291"/>
      <c r="I27" s="291"/>
      <c r="J27" s="370">
        <f>+J30</f>
        <v>30000000</v>
      </c>
      <c r="K27" s="371">
        <f>SUM(K28:K30)</f>
        <v>0</v>
      </c>
      <c r="L27" s="372">
        <f>SUM(L28:L30)</f>
        <v>45339475</v>
      </c>
      <c r="M27" s="371">
        <f>SUM(M28:M30)</f>
        <v>6301700</v>
      </c>
      <c r="N27" s="371">
        <f>SUM(N28:N30)</f>
        <v>51641175</v>
      </c>
      <c r="O27" s="367">
        <f t="shared" si="3"/>
        <v>51641175</v>
      </c>
      <c r="P27" s="388" t="e">
        <f t="shared" ref="P27:P33" si="4">N27/K27*100</f>
        <v>#DIV/0!</v>
      </c>
      <c r="Q27" s="651"/>
      <c r="R27" s="446"/>
    </row>
    <row r="28" spans="1:18" s="189" customFormat="1">
      <c r="A28" s="289"/>
      <c r="B28" s="292">
        <v>4</v>
      </c>
      <c r="C28" s="292">
        <v>1</v>
      </c>
      <c r="D28" s="292">
        <v>4</v>
      </c>
      <c r="E28" s="292" t="s">
        <v>444</v>
      </c>
      <c r="F28" s="292" t="s">
        <v>440</v>
      </c>
      <c r="G28" s="253" t="s">
        <v>73</v>
      </c>
      <c r="H28" s="253"/>
      <c r="I28" s="253"/>
      <c r="J28" s="354">
        <v>0</v>
      </c>
      <c r="K28" s="355">
        <v>0</v>
      </c>
      <c r="L28" s="360">
        <v>0</v>
      </c>
      <c r="M28" s="355">
        <f>[57]Perdinas!$D$20</f>
        <v>0</v>
      </c>
      <c r="N28" s="355">
        <f t="shared" ref="N28:N36" si="5">M28+L28</f>
        <v>0</v>
      </c>
      <c r="O28" s="355">
        <f t="shared" si="3"/>
        <v>0</v>
      </c>
      <c r="P28" s="388"/>
      <c r="Q28" s="441"/>
      <c r="R28" s="422"/>
    </row>
    <row r="29" spans="1:18" s="189" customFormat="1">
      <c r="A29" s="289"/>
      <c r="B29" s="292">
        <v>4</v>
      </c>
      <c r="C29" s="292">
        <v>1</v>
      </c>
      <c r="D29" s="292">
        <v>4</v>
      </c>
      <c r="E29" s="292" t="s">
        <v>444</v>
      </c>
      <c r="F29" s="292" t="s">
        <v>445</v>
      </c>
      <c r="G29" s="253" t="s">
        <v>74</v>
      </c>
      <c r="H29" s="253"/>
      <c r="I29" s="253"/>
      <c r="J29" s="354">
        <v>0</v>
      </c>
      <c r="K29" s="355">
        <v>0</v>
      </c>
      <c r="L29" s="360">
        <f>[56]PerDinas!$N$29</f>
        <v>0</v>
      </c>
      <c r="M29" s="355">
        <f>[55]Perdinas!$P$21</f>
        <v>0</v>
      </c>
      <c r="N29" s="355">
        <f t="shared" si="5"/>
        <v>0</v>
      </c>
      <c r="O29" s="355">
        <f t="shared" si="3"/>
        <v>0</v>
      </c>
      <c r="P29" s="388"/>
      <c r="Q29" s="441"/>
      <c r="R29" s="422"/>
    </row>
    <row r="30" spans="1:18" s="189" customFormat="1">
      <c r="A30" s="289"/>
      <c r="B30" s="292">
        <v>4</v>
      </c>
      <c r="C30" s="292">
        <v>1</v>
      </c>
      <c r="D30" s="292">
        <v>4</v>
      </c>
      <c r="E30" s="292" t="s">
        <v>444</v>
      </c>
      <c r="F30" s="292" t="s">
        <v>441</v>
      </c>
      <c r="G30" s="253" t="s">
        <v>75</v>
      </c>
      <c r="H30" s="253"/>
      <c r="I30" s="253"/>
      <c r="J30" s="354">
        <v>30000000</v>
      </c>
      <c r="K30" s="373">
        <f>'[55]TARGET VERSI LAMA'!$E$19</f>
        <v>0</v>
      </c>
      <c r="L30" s="360">
        <f>[56]PerDinas!$N$30</f>
        <v>45339475</v>
      </c>
      <c r="M30" s="373">
        <f>[55]Perdinas!$P$22</f>
        <v>6301700</v>
      </c>
      <c r="N30" s="369">
        <f t="shared" si="5"/>
        <v>51641175</v>
      </c>
      <c r="O30" s="355">
        <f t="shared" si="3"/>
        <v>51641175</v>
      </c>
      <c r="P30" s="388" t="e">
        <f t="shared" si="4"/>
        <v>#DIV/0!</v>
      </c>
      <c r="Q30" s="441"/>
      <c r="R30" s="422"/>
    </row>
    <row r="31" spans="1:18" s="189" customFormat="1">
      <c r="A31" s="289"/>
      <c r="B31" s="292"/>
      <c r="C31" s="292"/>
      <c r="D31" s="292"/>
      <c r="E31" s="292"/>
      <c r="F31" s="292"/>
      <c r="G31" s="253"/>
      <c r="H31" s="253"/>
      <c r="I31" s="253"/>
      <c r="J31" s="354"/>
      <c r="K31" s="355"/>
      <c r="L31" s="360"/>
      <c r="M31" s="355"/>
      <c r="N31" s="355">
        <f t="shared" si="5"/>
        <v>0</v>
      </c>
      <c r="O31" s="355"/>
      <c r="P31" s="388"/>
      <c r="Q31" s="441"/>
      <c r="R31" s="422"/>
    </row>
    <row r="32" spans="1:18" s="189" customFormat="1">
      <c r="A32" s="294"/>
      <c r="B32" s="292">
        <v>4</v>
      </c>
      <c r="C32" s="292">
        <v>1</v>
      </c>
      <c r="D32" s="292">
        <v>4</v>
      </c>
      <c r="E32" s="292" t="s">
        <v>948</v>
      </c>
      <c r="F32" s="292"/>
      <c r="G32" s="253" t="s">
        <v>321</v>
      </c>
      <c r="H32" s="253"/>
      <c r="I32" s="253"/>
      <c r="J32" s="374">
        <f>J33</f>
        <v>3320000</v>
      </c>
      <c r="K32" s="375">
        <f>K33</f>
        <v>0</v>
      </c>
      <c r="L32" s="360">
        <f>L33</f>
        <v>13894000</v>
      </c>
      <c r="M32" s="355">
        <f>M33</f>
        <v>0</v>
      </c>
      <c r="N32" s="355">
        <f t="shared" si="5"/>
        <v>13894000</v>
      </c>
      <c r="O32" s="355">
        <f>N32-K32</f>
        <v>13894000</v>
      </c>
      <c r="P32" s="388" t="e">
        <f t="shared" si="4"/>
        <v>#DIV/0!</v>
      </c>
      <c r="Q32" s="448"/>
      <c r="R32" s="422"/>
    </row>
    <row r="33" spans="1:18" s="189" customFormat="1">
      <c r="A33" s="294"/>
      <c r="B33" s="292"/>
      <c r="C33" s="292"/>
      <c r="D33" s="292"/>
      <c r="E33" s="292"/>
      <c r="F33" s="292"/>
      <c r="G33" s="253" t="s">
        <v>50</v>
      </c>
      <c r="H33" s="253"/>
      <c r="I33" s="253" t="s">
        <v>145</v>
      </c>
      <c r="J33" s="374">
        <v>3320000</v>
      </c>
      <c r="K33" s="376">
        <f>'[55]TARGET VERSI LAMA'!$E$21</f>
        <v>0</v>
      </c>
      <c r="L33" s="1231">
        <f>[56]PerDinas!$N$580</f>
        <v>13894000</v>
      </c>
      <c r="M33" s="375">
        <f>[55]Perdinas!$P$356</f>
        <v>0</v>
      </c>
      <c r="N33" s="355">
        <f t="shared" si="5"/>
        <v>13894000</v>
      </c>
      <c r="O33" s="355">
        <f>N33-K33</f>
        <v>13894000</v>
      </c>
      <c r="P33" s="388" t="e">
        <f t="shared" si="4"/>
        <v>#DIV/0!</v>
      </c>
      <c r="Q33" s="448"/>
      <c r="R33" s="422"/>
    </row>
    <row r="34" spans="1:18" s="189" customFormat="1">
      <c r="A34" s="289"/>
      <c r="B34" s="292"/>
      <c r="C34" s="292"/>
      <c r="D34" s="292"/>
      <c r="E34" s="292"/>
      <c r="F34" s="292"/>
      <c r="G34" s="253"/>
      <c r="H34" s="253"/>
      <c r="I34" s="253"/>
      <c r="J34" s="374">
        <v>0</v>
      </c>
      <c r="K34" s="375">
        <v>0</v>
      </c>
      <c r="L34" s="375">
        <v>0</v>
      </c>
      <c r="M34" s="375"/>
      <c r="N34" s="355">
        <f t="shared" si="5"/>
        <v>0</v>
      </c>
      <c r="O34" s="355">
        <f>N34-K34</f>
        <v>0</v>
      </c>
      <c r="P34" s="347"/>
      <c r="Q34" s="441"/>
      <c r="R34" s="422"/>
    </row>
    <row r="35" spans="1:18" s="245" customFormat="1">
      <c r="A35" s="1326"/>
      <c r="B35" s="655"/>
      <c r="C35" s="655"/>
      <c r="D35" s="655"/>
      <c r="E35" s="655"/>
      <c r="F35" s="655"/>
      <c r="G35" s="656"/>
      <c r="H35" s="656"/>
      <c r="I35" s="656"/>
      <c r="J35" s="1334"/>
      <c r="K35" s="681">
        <v>0</v>
      </c>
      <c r="L35" s="681">
        <v>0</v>
      </c>
      <c r="M35" s="681"/>
      <c r="N35" s="527">
        <f t="shared" si="5"/>
        <v>0</v>
      </c>
      <c r="O35" s="527">
        <f>N35-K35</f>
        <v>0</v>
      </c>
      <c r="P35" s="478"/>
      <c r="Q35" s="644"/>
      <c r="R35" s="450"/>
    </row>
    <row r="36" spans="1:18" s="244" customFormat="1">
      <c r="A36" s="1186" t="s">
        <v>78</v>
      </c>
      <c r="B36" s="1187" t="s">
        <v>58</v>
      </c>
      <c r="C36" s="1187" t="s">
        <v>438</v>
      </c>
      <c r="D36" s="1187" t="s">
        <v>437</v>
      </c>
      <c r="E36" s="1187"/>
      <c r="F36" s="1187"/>
      <c r="G36" s="1188" t="s">
        <v>79</v>
      </c>
      <c r="H36" s="1188"/>
      <c r="I36" s="1188"/>
      <c r="J36" s="1195" t="e">
        <f>J38+J57+J108+J125+J139+J75+J91</f>
        <v>#REF!</v>
      </c>
      <c r="K36" s="1196">
        <f>K38+K57+K108+K125+K139+K75+K91</f>
        <v>21247286650</v>
      </c>
      <c r="L36" s="1196">
        <f>SUM(L38+L75+L91+L139+L125+L57+L108)</f>
        <v>20164156827</v>
      </c>
      <c r="M36" s="1196">
        <f>SUM(M38+M75+M91+M139+M125+M57+M108)</f>
        <v>979390022.25999999</v>
      </c>
      <c r="N36" s="1196">
        <f t="shared" si="5"/>
        <v>21143546849.259998</v>
      </c>
      <c r="O36" s="1196">
        <f>+N36-K36</f>
        <v>-103739800.74000168</v>
      </c>
      <c r="P36" s="1197">
        <f>+N36/K36*100</f>
        <v>99.511750359239386</v>
      </c>
      <c r="Q36" s="1208"/>
      <c r="R36" s="433"/>
    </row>
    <row r="37" spans="1:18" s="189" customFormat="1">
      <c r="A37" s="299"/>
      <c r="B37" s="280"/>
      <c r="C37" s="280"/>
      <c r="D37" s="280"/>
      <c r="E37" s="280"/>
      <c r="F37" s="280"/>
      <c r="G37" s="190"/>
      <c r="H37" s="190"/>
      <c r="I37" s="190"/>
      <c r="J37" s="342"/>
      <c r="K37" s="343"/>
      <c r="L37" s="343"/>
      <c r="M37" s="343"/>
      <c r="N37" s="343"/>
      <c r="O37" s="343"/>
      <c r="P37" s="344"/>
      <c r="Q37" s="437"/>
      <c r="R37" s="422"/>
    </row>
    <row r="38" spans="1:18" s="246" customFormat="1">
      <c r="A38" s="300"/>
      <c r="B38" s="301" t="s">
        <v>58</v>
      </c>
      <c r="C38" s="301" t="s">
        <v>438</v>
      </c>
      <c r="D38" s="301" t="s">
        <v>437</v>
      </c>
      <c r="E38" s="301" t="s">
        <v>437</v>
      </c>
      <c r="F38" s="301"/>
      <c r="G38" s="302" t="s">
        <v>79</v>
      </c>
      <c r="H38" s="302"/>
      <c r="I38" s="302"/>
      <c r="J38" s="382">
        <f>+J40</f>
        <v>4000000</v>
      </c>
      <c r="K38" s="383">
        <f>+K40</f>
        <v>0</v>
      </c>
      <c r="L38" s="383">
        <f>+L40</f>
        <v>5629000</v>
      </c>
      <c r="M38" s="383">
        <f>+M40</f>
        <v>7074356.2599999998</v>
      </c>
      <c r="N38" s="383">
        <f>+M38+L38</f>
        <v>12703356.26</v>
      </c>
      <c r="O38" s="383">
        <f>N38-K38</f>
        <v>12703356.26</v>
      </c>
      <c r="P38" s="384" t="e">
        <f>N38/K38*100</f>
        <v>#DIV/0!</v>
      </c>
      <c r="Q38" s="451"/>
      <c r="R38" s="452"/>
    </row>
    <row r="39" spans="1:18" s="189" customFormat="1">
      <c r="A39" s="1327"/>
      <c r="B39" s="1328"/>
      <c r="C39" s="1328"/>
      <c r="D39" s="1328"/>
      <c r="E39" s="1328"/>
      <c r="F39" s="1328"/>
      <c r="G39" s="1329"/>
      <c r="H39" s="1329"/>
      <c r="I39" s="1329"/>
      <c r="J39" s="1335"/>
      <c r="K39" s="1336"/>
      <c r="L39" s="1336"/>
      <c r="M39" s="1336"/>
      <c r="N39" s="1336"/>
      <c r="O39" s="1336"/>
      <c r="P39" s="1337"/>
      <c r="Q39" s="1342"/>
      <c r="R39" s="422"/>
    </row>
    <row r="40" spans="1:18" s="189" customFormat="1">
      <c r="A40" s="294"/>
      <c r="B40" s="290">
        <v>4</v>
      </c>
      <c r="C40" s="290">
        <v>1</v>
      </c>
      <c r="D40" s="290"/>
      <c r="E40" s="290"/>
      <c r="F40" s="290"/>
      <c r="G40" s="291" t="s">
        <v>180</v>
      </c>
      <c r="H40" s="291"/>
      <c r="I40" s="291"/>
      <c r="J40" s="387">
        <f>+J42+J48</f>
        <v>4000000</v>
      </c>
      <c r="K40" s="367">
        <f>+K42+K48</f>
        <v>0</v>
      </c>
      <c r="L40" s="367">
        <f>+L42+L48</f>
        <v>5629000</v>
      </c>
      <c r="M40" s="367">
        <f>+M42+M48</f>
        <v>7074356.2599999998</v>
      </c>
      <c r="N40" s="367">
        <f>+M40+L40</f>
        <v>12703356.26</v>
      </c>
      <c r="O40" s="367">
        <f>N40-K40</f>
        <v>12703356.26</v>
      </c>
      <c r="P40" s="347" t="e">
        <f>N40/K40*100</f>
        <v>#DIV/0!</v>
      </c>
      <c r="Q40" s="454"/>
      <c r="R40" s="422"/>
    </row>
    <row r="41" spans="1:18" s="189" customFormat="1">
      <c r="A41" s="289"/>
      <c r="B41" s="292"/>
      <c r="C41" s="292"/>
      <c r="D41" s="292"/>
      <c r="E41" s="292"/>
      <c r="F41" s="292"/>
      <c r="G41" s="253"/>
      <c r="H41" s="253"/>
      <c r="I41" s="291"/>
      <c r="J41" s="387"/>
      <c r="K41" s="367"/>
      <c r="L41" s="367"/>
      <c r="M41" s="367"/>
      <c r="N41" s="367"/>
      <c r="O41" s="367"/>
      <c r="P41" s="347"/>
      <c r="Q41" s="454"/>
      <c r="R41" s="422"/>
    </row>
    <row r="42" spans="1:18" s="189" customFormat="1">
      <c r="A42" s="294"/>
      <c r="B42" s="290">
        <v>4</v>
      </c>
      <c r="C42" s="290">
        <v>1</v>
      </c>
      <c r="D42" s="290">
        <v>2</v>
      </c>
      <c r="E42" s="290"/>
      <c r="F42" s="290"/>
      <c r="G42" s="291" t="s">
        <v>106</v>
      </c>
      <c r="H42" s="291"/>
      <c r="I42" s="291"/>
      <c r="J42" s="387">
        <f>+J44</f>
        <v>4000000</v>
      </c>
      <c r="K42" s="367">
        <f>+K44</f>
        <v>0</v>
      </c>
      <c r="L42" s="367">
        <f>+L44</f>
        <v>0</v>
      </c>
      <c r="M42" s="367">
        <f>+M44</f>
        <v>0</v>
      </c>
      <c r="N42" s="367">
        <f>+M42+L42</f>
        <v>0</v>
      </c>
      <c r="O42" s="367">
        <f>N42-K42</f>
        <v>0</v>
      </c>
      <c r="P42" s="347" t="e">
        <f>N42/K42*100</f>
        <v>#DIV/0!</v>
      </c>
      <c r="Q42" s="454"/>
      <c r="R42" s="422"/>
    </row>
    <row r="43" spans="1:18" s="189" customFormat="1">
      <c r="A43" s="289"/>
      <c r="B43" s="292"/>
      <c r="C43" s="292"/>
      <c r="D43" s="292"/>
      <c r="E43" s="292"/>
      <c r="F43" s="292"/>
      <c r="G43" s="253"/>
      <c r="H43" s="253"/>
      <c r="I43" s="253"/>
      <c r="J43" s="354"/>
      <c r="K43" s="355"/>
      <c r="L43" s="355"/>
      <c r="M43" s="355"/>
      <c r="N43" s="355"/>
      <c r="O43" s="355"/>
      <c r="P43" s="388"/>
      <c r="Q43" s="441"/>
      <c r="R43" s="422"/>
    </row>
    <row r="44" spans="1:18" s="189" customFormat="1">
      <c r="A44" s="294"/>
      <c r="B44" s="292">
        <v>4</v>
      </c>
      <c r="C44" s="292">
        <v>1</v>
      </c>
      <c r="D44" s="292">
        <v>2</v>
      </c>
      <c r="E44" s="292" t="s">
        <v>438</v>
      </c>
      <c r="F44" s="292"/>
      <c r="G44" s="253" t="s">
        <v>374</v>
      </c>
      <c r="H44" s="253"/>
      <c r="I44" s="253"/>
      <c r="J44" s="354">
        <f>J45</f>
        <v>4000000</v>
      </c>
      <c r="K44" s="355">
        <f>K45</f>
        <v>0</v>
      </c>
      <c r="L44" s="355">
        <f>L45</f>
        <v>0</v>
      </c>
      <c r="M44" s="355">
        <f>M45</f>
        <v>0</v>
      </c>
      <c r="N44" s="346">
        <f>+M44+L44</f>
        <v>0</v>
      </c>
      <c r="O44" s="346">
        <f>N44-K44</f>
        <v>0</v>
      </c>
      <c r="P44" s="347" t="e">
        <f>N44/K44*100</f>
        <v>#DIV/0!</v>
      </c>
      <c r="Q44" s="441"/>
      <c r="R44" s="422"/>
    </row>
    <row r="45" spans="1:18" s="189" customFormat="1">
      <c r="A45" s="294"/>
      <c r="B45" s="292">
        <v>4</v>
      </c>
      <c r="C45" s="292">
        <v>1</v>
      </c>
      <c r="D45" s="292">
        <v>2</v>
      </c>
      <c r="E45" s="292" t="s">
        <v>438</v>
      </c>
      <c r="F45" s="292" t="s">
        <v>448</v>
      </c>
      <c r="G45" s="253" t="s">
        <v>361</v>
      </c>
      <c r="H45" s="253"/>
      <c r="I45" s="253"/>
      <c r="J45" s="354">
        <f>+J46</f>
        <v>4000000</v>
      </c>
      <c r="K45" s="355">
        <f>+K46</f>
        <v>0</v>
      </c>
      <c r="L45" s="360">
        <f>+L46</f>
        <v>0</v>
      </c>
      <c r="M45" s="355">
        <f>+M46</f>
        <v>0</v>
      </c>
      <c r="N45" s="355">
        <f>M45+L45</f>
        <v>0</v>
      </c>
      <c r="O45" s="355">
        <f>N45-K45</f>
        <v>0</v>
      </c>
      <c r="P45" s="388" t="e">
        <f>N45/K45*100</f>
        <v>#DIV/0!</v>
      </c>
      <c r="Q45" s="441"/>
      <c r="R45" s="422"/>
    </row>
    <row r="46" spans="1:18" s="189" customFormat="1">
      <c r="A46" s="289"/>
      <c r="B46" s="292"/>
      <c r="C46" s="292"/>
      <c r="D46" s="292"/>
      <c r="E46" s="292"/>
      <c r="F46" s="292"/>
      <c r="G46" s="253" t="s">
        <v>50</v>
      </c>
      <c r="H46" s="253"/>
      <c r="I46" s="253" t="s">
        <v>949</v>
      </c>
      <c r="J46" s="354">
        <v>4000000</v>
      </c>
      <c r="K46" s="373">
        <f>'[55]TARGET VERSI LAMA'!$E$27</f>
        <v>0</v>
      </c>
      <c r="L46" s="360">
        <f>[56]PerDinas!$N$46</f>
        <v>0</v>
      </c>
      <c r="M46" s="373">
        <f>[55]Perdinas!$P$29</f>
        <v>0</v>
      </c>
      <c r="N46" s="355">
        <f>M46+L46</f>
        <v>0</v>
      </c>
      <c r="O46" s="355">
        <f>N46-K46</f>
        <v>0</v>
      </c>
      <c r="P46" s="388" t="e">
        <f>N46/K46*100</f>
        <v>#DIV/0!</v>
      </c>
      <c r="Q46" s="441"/>
      <c r="R46" s="422"/>
    </row>
    <row r="47" spans="1:18" s="189" customFormat="1">
      <c r="A47" s="289"/>
      <c r="B47" s="292"/>
      <c r="C47" s="292"/>
      <c r="D47" s="292"/>
      <c r="E47" s="292"/>
      <c r="F47" s="292"/>
      <c r="G47" s="253"/>
      <c r="H47" s="253"/>
      <c r="I47" s="253"/>
      <c r="J47" s="354"/>
      <c r="K47" s="355"/>
      <c r="L47" s="360"/>
      <c r="M47" s="355"/>
      <c r="N47" s="355"/>
      <c r="O47" s="355"/>
      <c r="P47" s="388"/>
      <c r="Q47" s="441"/>
      <c r="R47" s="422"/>
    </row>
    <row r="48" spans="1:18" s="189" customFormat="1">
      <c r="A48" s="294"/>
      <c r="B48" s="290">
        <v>4</v>
      </c>
      <c r="C48" s="290">
        <v>1</v>
      </c>
      <c r="D48" s="290">
        <v>4</v>
      </c>
      <c r="E48" s="290"/>
      <c r="F48" s="290"/>
      <c r="G48" s="291" t="s">
        <v>71</v>
      </c>
      <c r="H48" s="291"/>
      <c r="I48" s="291"/>
      <c r="J48" s="370"/>
      <c r="K48" s="371"/>
      <c r="L48" s="372">
        <f>L51+L55+L49</f>
        <v>5629000</v>
      </c>
      <c r="M48" s="371">
        <f>M51+M55+M49</f>
        <v>7074356.2599999998</v>
      </c>
      <c r="N48" s="371">
        <f>M48+L48</f>
        <v>12703356.26</v>
      </c>
      <c r="O48" s="367">
        <f>N48-K48</f>
        <v>12703356.26</v>
      </c>
      <c r="P48" s="347"/>
      <c r="Q48" s="651"/>
      <c r="R48" s="422"/>
    </row>
    <row r="49" spans="1:19" s="189" customFormat="1">
      <c r="A49" s="294"/>
      <c r="B49" s="292">
        <v>4</v>
      </c>
      <c r="C49" s="292">
        <v>1</v>
      </c>
      <c r="D49" s="292">
        <v>4</v>
      </c>
      <c r="E49" s="292" t="s">
        <v>441</v>
      </c>
      <c r="F49" s="292"/>
      <c r="G49" s="253" t="s">
        <v>557</v>
      </c>
      <c r="H49" s="253"/>
      <c r="I49" s="253"/>
      <c r="J49" s="354">
        <f>+J50</f>
        <v>0</v>
      </c>
      <c r="K49" s="355">
        <f>+K50</f>
        <v>0</v>
      </c>
      <c r="L49" s="360">
        <f>+L50</f>
        <v>0</v>
      </c>
      <c r="M49" s="355">
        <f>+M50</f>
        <v>0</v>
      </c>
      <c r="N49" s="346">
        <f>+M49+L49</f>
        <v>0</v>
      </c>
      <c r="O49" s="346">
        <f>N49-K49</f>
        <v>0</v>
      </c>
      <c r="P49" s="347"/>
      <c r="Q49" s="651"/>
      <c r="R49" s="422"/>
    </row>
    <row r="50" spans="1:19" s="189" customFormat="1">
      <c r="A50" s="294"/>
      <c r="B50" s="292">
        <v>4</v>
      </c>
      <c r="C50" s="292">
        <v>1</v>
      </c>
      <c r="D50" s="292">
        <v>4</v>
      </c>
      <c r="E50" s="292" t="s">
        <v>441</v>
      </c>
      <c r="F50" s="292" t="s">
        <v>437</v>
      </c>
      <c r="G50" s="253" t="s">
        <v>72</v>
      </c>
      <c r="H50" s="253"/>
      <c r="I50" s="253"/>
      <c r="J50" s="354">
        <v>0</v>
      </c>
      <c r="K50" s="373">
        <f>'[55]TARGET VERSI LAMA'!$E$30</f>
        <v>0</v>
      </c>
      <c r="L50" s="360">
        <f>[56]PerDinas!$N$50</f>
        <v>0</v>
      </c>
      <c r="M50" s="373">
        <f>[55]Perdinas!$P$32</f>
        <v>0</v>
      </c>
      <c r="N50" s="355">
        <f t="shared" ref="N50:N56" si="6">M50+L50</f>
        <v>0</v>
      </c>
      <c r="O50" s="355">
        <f>N50-K50</f>
        <v>0</v>
      </c>
      <c r="P50" s="388"/>
      <c r="Q50" s="651"/>
      <c r="R50" s="422"/>
    </row>
    <row r="51" spans="1:19" s="189" customFormat="1">
      <c r="A51" s="289"/>
      <c r="B51" s="292">
        <v>4</v>
      </c>
      <c r="C51" s="292">
        <v>1</v>
      </c>
      <c r="D51" s="292">
        <v>4</v>
      </c>
      <c r="E51" s="292" t="s">
        <v>444</v>
      </c>
      <c r="F51" s="292"/>
      <c r="G51" s="253" t="s">
        <v>222</v>
      </c>
      <c r="H51" s="253"/>
      <c r="I51" s="253"/>
      <c r="J51" s="354">
        <f>+J54</f>
        <v>0</v>
      </c>
      <c r="K51" s="355">
        <f>SUM(K52:K54)</f>
        <v>0</v>
      </c>
      <c r="L51" s="360">
        <f>SUM(L52:L54)</f>
        <v>5629000</v>
      </c>
      <c r="M51" s="355">
        <f>SUM(M52:M54)</f>
        <v>5798056.2599999998</v>
      </c>
      <c r="N51" s="355">
        <f t="shared" si="6"/>
        <v>11427056.26</v>
      </c>
      <c r="O51" s="355">
        <f>SUM(O52:O55)</f>
        <v>12703356.26</v>
      </c>
      <c r="P51" s="388">
        <f>SUM(P52:P55)</f>
        <v>0</v>
      </c>
      <c r="Q51" s="441"/>
      <c r="R51" s="422"/>
    </row>
    <row r="52" spans="1:19" s="189" customFormat="1">
      <c r="A52" s="289"/>
      <c r="B52" s="292">
        <v>4</v>
      </c>
      <c r="C52" s="292">
        <v>1</v>
      </c>
      <c r="D52" s="292">
        <v>4</v>
      </c>
      <c r="E52" s="292" t="s">
        <v>444</v>
      </c>
      <c r="F52" s="292" t="s">
        <v>440</v>
      </c>
      <c r="G52" s="253" t="s">
        <v>73</v>
      </c>
      <c r="H52" s="253"/>
      <c r="I52" s="253"/>
      <c r="J52" s="354">
        <v>0</v>
      </c>
      <c r="K52" s="355">
        <v>0</v>
      </c>
      <c r="L52" s="355">
        <f>PerDinas!L52</f>
        <v>3000000</v>
      </c>
      <c r="M52" s="355">
        <f>[55]Perdinas!$P$33</f>
        <v>0</v>
      </c>
      <c r="N52" s="355">
        <f t="shared" si="6"/>
        <v>3000000</v>
      </c>
      <c r="O52" s="355">
        <f t="shared" ref="O52:O57" si="7">N52-K52</f>
        <v>3000000</v>
      </c>
      <c r="P52" s="388"/>
      <c r="Q52" s="441"/>
      <c r="R52" s="422"/>
    </row>
    <row r="53" spans="1:19" s="189" customFormat="1">
      <c r="A53" s="289"/>
      <c r="B53" s="292">
        <v>4</v>
      </c>
      <c r="C53" s="292">
        <v>1</v>
      </c>
      <c r="D53" s="292">
        <v>4</v>
      </c>
      <c r="E53" s="292" t="s">
        <v>444</v>
      </c>
      <c r="F53" s="292" t="s">
        <v>445</v>
      </c>
      <c r="G53" s="253" t="s">
        <v>74</v>
      </c>
      <c r="H53" s="253"/>
      <c r="I53" s="253"/>
      <c r="J53" s="354">
        <v>0</v>
      </c>
      <c r="K53" s="355">
        <v>0</v>
      </c>
      <c r="L53" s="355">
        <f>PerDinas!L53</f>
        <v>0</v>
      </c>
      <c r="M53" s="355">
        <f>[55]Perdinas!$P$34</f>
        <v>0</v>
      </c>
      <c r="N53" s="355">
        <f t="shared" si="6"/>
        <v>0</v>
      </c>
      <c r="O53" s="355">
        <f t="shared" si="7"/>
        <v>0</v>
      </c>
      <c r="P53" s="388"/>
      <c r="Q53" s="441"/>
      <c r="R53" s="422"/>
    </row>
    <row r="54" spans="1:19" s="189" customFormat="1">
      <c r="A54" s="289"/>
      <c r="B54" s="292">
        <v>4</v>
      </c>
      <c r="C54" s="292">
        <v>1</v>
      </c>
      <c r="D54" s="292">
        <v>4</v>
      </c>
      <c r="E54" s="292" t="s">
        <v>444</v>
      </c>
      <c r="F54" s="292" t="s">
        <v>441</v>
      </c>
      <c r="G54" s="253" t="s">
        <v>75</v>
      </c>
      <c r="H54" s="253"/>
      <c r="I54" s="253"/>
      <c r="J54" s="354">
        <v>0</v>
      </c>
      <c r="K54" s="355">
        <f>'[55]TARGET VERSI LAMA'!$E$31</f>
        <v>0</v>
      </c>
      <c r="L54" s="355">
        <f>[56]PerDinas!$N$54</f>
        <v>2629000</v>
      </c>
      <c r="M54" s="355">
        <f>[55]Perdinas!$P$35</f>
        <v>5798056.2599999998</v>
      </c>
      <c r="N54" s="355">
        <f t="shared" si="6"/>
        <v>8427056.2599999998</v>
      </c>
      <c r="O54" s="355">
        <f t="shared" si="7"/>
        <v>8427056.2599999998</v>
      </c>
      <c r="P54" s="388"/>
      <c r="Q54" s="441"/>
      <c r="R54" s="422"/>
    </row>
    <row r="55" spans="1:19" s="190" customFormat="1">
      <c r="A55" s="303"/>
      <c r="B55" s="290">
        <v>4</v>
      </c>
      <c r="C55" s="290">
        <v>1</v>
      </c>
      <c r="D55" s="290">
        <v>4</v>
      </c>
      <c r="E55" s="290" t="s">
        <v>948</v>
      </c>
      <c r="F55" s="290" t="s">
        <v>437</v>
      </c>
      <c r="G55" s="291" t="s">
        <v>321</v>
      </c>
      <c r="H55" s="291"/>
      <c r="I55" s="291"/>
      <c r="J55" s="397">
        <v>0</v>
      </c>
      <c r="K55" s="398">
        <v>0</v>
      </c>
      <c r="L55" s="371">
        <f>L56</f>
        <v>0</v>
      </c>
      <c r="M55" s="371">
        <f>M56</f>
        <v>1276300</v>
      </c>
      <c r="N55" s="371">
        <f t="shared" si="6"/>
        <v>1276300</v>
      </c>
      <c r="O55" s="371">
        <f t="shared" si="7"/>
        <v>1276300</v>
      </c>
      <c r="P55" s="399"/>
      <c r="Q55" s="651"/>
      <c r="R55" s="446"/>
    </row>
    <row r="56" spans="1:19" s="245" customFormat="1">
      <c r="A56" s="304"/>
      <c r="B56" s="305"/>
      <c r="C56" s="305"/>
      <c r="D56" s="305"/>
      <c r="E56" s="305"/>
      <c r="F56" s="305"/>
      <c r="G56" s="306" t="s">
        <v>50</v>
      </c>
      <c r="H56" s="306"/>
      <c r="I56" s="306" t="s">
        <v>76</v>
      </c>
      <c r="J56" s="400">
        <v>0</v>
      </c>
      <c r="K56" s="401">
        <f>'[55]TARGET VERSI LAMA'!$E$32</f>
        <v>0</v>
      </c>
      <c r="L56" s="402">
        <f>[56]PerDinas!$N$56</f>
        <v>0</v>
      </c>
      <c r="M56" s="401">
        <f>[55]Perdinas!$P$36</f>
        <v>1276300</v>
      </c>
      <c r="N56" s="403">
        <f t="shared" si="6"/>
        <v>1276300</v>
      </c>
      <c r="O56" s="404">
        <f t="shared" si="7"/>
        <v>1276300</v>
      </c>
      <c r="P56" s="405"/>
      <c r="Q56" s="456"/>
      <c r="R56" s="450"/>
    </row>
    <row r="57" spans="1:19" s="247" customFormat="1">
      <c r="A57" s="307" t="s">
        <v>700</v>
      </c>
      <c r="B57" s="308" t="s">
        <v>58</v>
      </c>
      <c r="C57" s="308" t="s">
        <v>438</v>
      </c>
      <c r="D57" s="308" t="s">
        <v>437</v>
      </c>
      <c r="E57" s="308" t="s">
        <v>438</v>
      </c>
      <c r="F57" s="309"/>
      <c r="G57" s="310" t="s">
        <v>950</v>
      </c>
      <c r="H57" s="311"/>
      <c r="I57" s="406"/>
      <c r="J57" s="407">
        <f>+J59</f>
        <v>650250000</v>
      </c>
      <c r="K57" s="408">
        <f>+K59</f>
        <v>1100000000</v>
      </c>
      <c r="L57" s="408">
        <f>+L59</f>
        <v>1193820500</v>
      </c>
      <c r="M57" s="408">
        <f>+M59</f>
        <v>157662000</v>
      </c>
      <c r="N57" s="408">
        <f t="shared" ref="N57:N62" si="8">+M57+L57</f>
        <v>1351482500</v>
      </c>
      <c r="O57" s="408">
        <f t="shared" si="7"/>
        <v>251482500</v>
      </c>
      <c r="P57" s="409">
        <f t="shared" ref="P57:P63" si="9">N57/K57*100</f>
        <v>122.86204545454547</v>
      </c>
      <c r="Q57" s="457"/>
      <c r="R57" s="458"/>
    </row>
    <row r="58" spans="1:19" s="189" customFormat="1">
      <c r="A58" s="1327"/>
      <c r="B58" s="1328"/>
      <c r="C58" s="1328"/>
      <c r="D58" s="1328"/>
      <c r="E58" s="1328"/>
      <c r="F58" s="1328"/>
      <c r="G58" s="1329"/>
      <c r="H58" s="1329"/>
      <c r="I58" s="1338"/>
      <c r="J58" s="1335"/>
      <c r="K58" s="1336"/>
      <c r="L58" s="1336"/>
      <c r="M58" s="1336"/>
      <c r="N58" s="1336"/>
      <c r="O58" s="1336"/>
      <c r="P58" s="1337"/>
      <c r="Q58" s="1342"/>
      <c r="R58" s="422"/>
    </row>
    <row r="59" spans="1:19" s="189" customFormat="1">
      <c r="A59" s="294"/>
      <c r="B59" s="290">
        <v>4</v>
      </c>
      <c r="C59" s="290">
        <v>1</v>
      </c>
      <c r="D59" s="290"/>
      <c r="E59" s="290"/>
      <c r="F59" s="290"/>
      <c r="G59" s="291" t="s">
        <v>180</v>
      </c>
      <c r="H59" s="291"/>
      <c r="I59" s="291"/>
      <c r="J59" s="387">
        <f>+J61+J66</f>
        <v>650250000</v>
      </c>
      <c r="K59" s="367">
        <f>+K61+K66</f>
        <v>1100000000</v>
      </c>
      <c r="L59" s="367">
        <f>+L61+L66</f>
        <v>1193820500</v>
      </c>
      <c r="M59" s="367">
        <f>+M61+M66</f>
        <v>157662000</v>
      </c>
      <c r="N59" s="367">
        <f t="shared" si="8"/>
        <v>1351482500</v>
      </c>
      <c r="O59" s="367">
        <f t="shared" ref="O59:O64" si="10">N59-K59</f>
        <v>251482500</v>
      </c>
      <c r="P59" s="347">
        <f t="shared" si="9"/>
        <v>122.86204545454547</v>
      </c>
      <c r="Q59" s="454"/>
      <c r="R59" s="422"/>
    </row>
    <row r="60" spans="1:19" s="189" customFormat="1">
      <c r="A60" s="289"/>
      <c r="B60" s="292"/>
      <c r="C60" s="292"/>
      <c r="D60" s="292"/>
      <c r="E60" s="292"/>
      <c r="F60" s="292"/>
      <c r="G60" s="253"/>
      <c r="H60" s="253"/>
      <c r="I60" s="253"/>
      <c r="J60" s="387"/>
      <c r="K60" s="367"/>
      <c r="L60" s="367"/>
      <c r="M60" s="367"/>
      <c r="N60" s="367"/>
      <c r="O60" s="367"/>
      <c r="P60" s="347"/>
      <c r="Q60" s="454"/>
      <c r="R60" s="422"/>
    </row>
    <row r="61" spans="1:19" s="189" customFormat="1">
      <c r="A61" s="294"/>
      <c r="B61" s="290">
        <v>4</v>
      </c>
      <c r="C61" s="290">
        <v>1</v>
      </c>
      <c r="D61" s="290">
        <v>2</v>
      </c>
      <c r="E61" s="290"/>
      <c r="F61" s="290"/>
      <c r="G61" s="291" t="s">
        <v>106</v>
      </c>
      <c r="H61" s="291"/>
      <c r="I61" s="253"/>
      <c r="J61" s="387">
        <f>+J62</f>
        <v>650000000</v>
      </c>
      <c r="K61" s="367">
        <f>+K62</f>
        <v>1100000000</v>
      </c>
      <c r="L61" s="367">
        <f>+L62</f>
        <v>1193820500</v>
      </c>
      <c r="M61" s="367">
        <f>+M62</f>
        <v>157662000</v>
      </c>
      <c r="N61" s="367">
        <f t="shared" si="8"/>
        <v>1351482500</v>
      </c>
      <c r="O61" s="367">
        <f t="shared" si="10"/>
        <v>251482500</v>
      </c>
      <c r="P61" s="347">
        <f t="shared" si="9"/>
        <v>122.86204545454547</v>
      </c>
      <c r="Q61" s="1343"/>
      <c r="R61" s="460"/>
    </row>
    <row r="62" spans="1:19" s="189" customFormat="1">
      <c r="A62" s="294"/>
      <c r="B62" s="292">
        <v>4</v>
      </c>
      <c r="C62" s="292">
        <v>1</v>
      </c>
      <c r="D62" s="292">
        <v>2</v>
      </c>
      <c r="E62" s="292" t="s">
        <v>437</v>
      </c>
      <c r="F62" s="292"/>
      <c r="G62" s="253" t="s">
        <v>107</v>
      </c>
      <c r="H62" s="253"/>
      <c r="I62" s="253"/>
      <c r="J62" s="345">
        <f>+J63+J64</f>
        <v>650000000</v>
      </c>
      <c r="K62" s="346">
        <f>+K63+K64</f>
        <v>1100000000</v>
      </c>
      <c r="L62" s="346">
        <f>+L63+L64</f>
        <v>1193820500</v>
      </c>
      <c r="M62" s="346">
        <f>+M63+M64</f>
        <v>157662000</v>
      </c>
      <c r="N62" s="346">
        <f t="shared" si="8"/>
        <v>1351482500</v>
      </c>
      <c r="O62" s="346">
        <f t="shared" si="10"/>
        <v>251482500</v>
      </c>
      <c r="P62" s="347">
        <f t="shared" si="9"/>
        <v>122.86204545454547</v>
      </c>
      <c r="Q62" s="1344"/>
      <c r="R62" s="422"/>
    </row>
    <row r="63" spans="1:19" s="189" customFormat="1">
      <c r="A63" s="294"/>
      <c r="B63" s="292">
        <v>4</v>
      </c>
      <c r="C63" s="292">
        <v>1</v>
      </c>
      <c r="D63" s="292">
        <v>2</v>
      </c>
      <c r="E63" s="292" t="s">
        <v>437</v>
      </c>
      <c r="F63" s="292" t="s">
        <v>437</v>
      </c>
      <c r="G63" s="253" t="s">
        <v>84</v>
      </c>
      <c r="H63" s="253"/>
      <c r="I63" s="253"/>
      <c r="J63" s="354">
        <v>650000000</v>
      </c>
      <c r="K63" s="373">
        <f>'[55]TARGET VERSI LAMA'!$E$36</f>
        <v>1100000000</v>
      </c>
      <c r="L63" s="360">
        <f>[56]PerDinas!$N$63</f>
        <v>1193820500</v>
      </c>
      <c r="M63" s="373">
        <f>[55]Perdinas!$P$40</f>
        <v>157662000</v>
      </c>
      <c r="N63" s="369">
        <f>M63+L63</f>
        <v>1351482500</v>
      </c>
      <c r="O63" s="355">
        <f t="shared" si="10"/>
        <v>251482500</v>
      </c>
      <c r="P63" s="388">
        <f t="shared" si="9"/>
        <v>122.86204545454547</v>
      </c>
      <c r="Q63" s="1345"/>
      <c r="R63" s="463"/>
      <c r="S63" s="436"/>
    </row>
    <row r="64" spans="1:19" s="189" customFormat="1">
      <c r="A64" s="294"/>
      <c r="B64" s="292">
        <v>4</v>
      </c>
      <c r="C64" s="292">
        <v>1</v>
      </c>
      <c r="D64" s="292">
        <v>2</v>
      </c>
      <c r="E64" s="292" t="s">
        <v>437</v>
      </c>
      <c r="F64" s="292" t="s">
        <v>441</v>
      </c>
      <c r="G64" s="253" t="s">
        <v>951</v>
      </c>
      <c r="H64" s="253"/>
      <c r="I64" s="253"/>
      <c r="J64" s="354"/>
      <c r="K64" s="355"/>
      <c r="L64" s="360">
        <v>0</v>
      </c>
      <c r="M64" s="355"/>
      <c r="N64" s="371">
        <f>M64+L64</f>
        <v>0</v>
      </c>
      <c r="O64" s="355">
        <f t="shared" si="10"/>
        <v>0</v>
      </c>
      <c r="P64" s="388"/>
      <c r="Q64" s="441"/>
      <c r="R64" s="464"/>
    </row>
    <row r="65" spans="1:20" s="189" customFormat="1">
      <c r="A65" s="289"/>
      <c r="B65" s="292"/>
      <c r="C65" s="292"/>
      <c r="D65" s="292"/>
      <c r="E65" s="292"/>
      <c r="F65" s="292"/>
      <c r="G65" s="253"/>
      <c r="H65" s="253"/>
      <c r="I65" s="253"/>
      <c r="J65" s="354"/>
      <c r="K65" s="355"/>
      <c r="L65" s="355"/>
      <c r="M65" s="355"/>
      <c r="N65" s="355"/>
      <c r="O65" s="355"/>
      <c r="P65" s="388"/>
      <c r="Q65" s="441"/>
      <c r="R65" s="539"/>
      <c r="S65" s="540"/>
    </row>
    <row r="66" spans="1:20" s="189" customFormat="1">
      <c r="A66" s="294"/>
      <c r="B66" s="290">
        <v>4</v>
      </c>
      <c r="C66" s="290">
        <v>1</v>
      </c>
      <c r="D66" s="290">
        <v>4</v>
      </c>
      <c r="E66" s="290"/>
      <c r="F66" s="290"/>
      <c r="G66" s="291" t="s">
        <v>71</v>
      </c>
      <c r="H66" s="291"/>
      <c r="I66" s="291"/>
      <c r="J66" s="370">
        <f>J67+J72</f>
        <v>250000</v>
      </c>
      <c r="K66" s="371">
        <f>K67+K72</f>
        <v>0</v>
      </c>
      <c r="L66" s="371">
        <f>L67+L72</f>
        <v>0</v>
      </c>
      <c r="M66" s="371">
        <f>M67+M72</f>
        <v>0</v>
      </c>
      <c r="N66" s="371">
        <f>N67+N72</f>
        <v>0</v>
      </c>
      <c r="O66" s="367">
        <f t="shared" ref="O66:O73" si="11">N66-K66</f>
        <v>0</v>
      </c>
      <c r="P66" s="347" t="e">
        <f>N66/K66*100</f>
        <v>#DIV/0!</v>
      </c>
      <c r="Q66" s="651"/>
      <c r="R66" s="422"/>
      <c r="T66" s="63"/>
    </row>
    <row r="67" spans="1:20" s="189" customFormat="1">
      <c r="A67" s="289"/>
      <c r="B67" s="292">
        <v>4</v>
      </c>
      <c r="C67" s="292">
        <v>1</v>
      </c>
      <c r="D67" s="292">
        <v>4</v>
      </c>
      <c r="E67" s="292" t="s">
        <v>444</v>
      </c>
      <c r="F67" s="292"/>
      <c r="G67" s="253" t="s">
        <v>222</v>
      </c>
      <c r="H67" s="253"/>
      <c r="I67" s="253"/>
      <c r="J67" s="370">
        <f>+J70</f>
        <v>0</v>
      </c>
      <c r="K67" s="371">
        <f>+K70</f>
        <v>0</v>
      </c>
      <c r="L67" s="371">
        <f>SUM(L68:L70)</f>
        <v>0</v>
      </c>
      <c r="M67" s="371">
        <f>SUM(M68:M70)</f>
        <v>0</v>
      </c>
      <c r="N67" s="371">
        <f>SUM(N68:N70)</f>
        <v>0</v>
      </c>
      <c r="O67" s="367">
        <f t="shared" si="11"/>
        <v>0</v>
      </c>
      <c r="P67" s="347">
        <v>0</v>
      </c>
      <c r="Q67" s="441"/>
      <c r="R67" s="422"/>
      <c r="T67" s="542"/>
    </row>
    <row r="68" spans="1:20" s="189" customFormat="1">
      <c r="A68" s="289"/>
      <c r="B68" s="292">
        <v>4</v>
      </c>
      <c r="C68" s="292">
        <v>1</v>
      </c>
      <c r="D68" s="292">
        <v>4</v>
      </c>
      <c r="E68" s="292" t="s">
        <v>444</v>
      </c>
      <c r="F68" s="292" t="s">
        <v>440</v>
      </c>
      <c r="G68" s="253" t="s">
        <v>73</v>
      </c>
      <c r="H68" s="253"/>
      <c r="I68" s="253"/>
      <c r="J68" s="354">
        <v>0</v>
      </c>
      <c r="K68" s="355">
        <v>0</v>
      </c>
      <c r="L68" s="360">
        <v>0</v>
      </c>
      <c r="M68" s="355">
        <f>[55]Perdinas!$P$44</f>
        <v>0</v>
      </c>
      <c r="N68" s="355">
        <f t="shared" ref="N68:N73" si="12">M68+L68</f>
        <v>0</v>
      </c>
      <c r="O68" s="355">
        <f t="shared" si="11"/>
        <v>0</v>
      </c>
      <c r="P68" s="388"/>
      <c r="Q68" s="441"/>
      <c r="R68" s="422"/>
    </row>
    <row r="69" spans="1:20" s="189" customFormat="1">
      <c r="A69" s="289"/>
      <c r="B69" s="292">
        <v>4</v>
      </c>
      <c r="C69" s="292">
        <v>1</v>
      </c>
      <c r="D69" s="292">
        <v>4</v>
      </c>
      <c r="E69" s="292" t="s">
        <v>444</v>
      </c>
      <c r="F69" s="292" t="s">
        <v>445</v>
      </c>
      <c r="G69" s="253" t="s">
        <v>74</v>
      </c>
      <c r="H69" s="253"/>
      <c r="I69" s="253"/>
      <c r="J69" s="354">
        <v>0</v>
      </c>
      <c r="K69" s="355">
        <v>0</v>
      </c>
      <c r="L69" s="360">
        <v>0</v>
      </c>
      <c r="M69" s="355">
        <f>[55]Perdinas!$P$45</f>
        <v>0</v>
      </c>
      <c r="N69" s="355">
        <f t="shared" si="12"/>
        <v>0</v>
      </c>
      <c r="O69" s="355">
        <f t="shared" si="11"/>
        <v>0</v>
      </c>
      <c r="P69" s="388"/>
      <c r="Q69" s="441"/>
      <c r="R69" s="422"/>
    </row>
    <row r="70" spans="1:20" s="189" customFormat="1">
      <c r="A70" s="289"/>
      <c r="B70" s="292">
        <v>4</v>
      </c>
      <c r="C70" s="292">
        <v>1</v>
      </c>
      <c r="D70" s="292">
        <v>4</v>
      </c>
      <c r="E70" s="292" t="s">
        <v>444</v>
      </c>
      <c r="F70" s="292" t="s">
        <v>441</v>
      </c>
      <c r="G70" s="253" t="s">
        <v>75</v>
      </c>
      <c r="H70" s="253"/>
      <c r="I70" s="253"/>
      <c r="J70" s="354">
        <v>0</v>
      </c>
      <c r="K70" s="373">
        <f>'[55]TARGET VERSI LAMA'!$E$39</f>
        <v>0</v>
      </c>
      <c r="L70" s="360">
        <f>[56]PerDinas!$N$70</f>
        <v>0</v>
      </c>
      <c r="M70" s="373">
        <f>[55]Perdinas!$P$46</f>
        <v>0</v>
      </c>
      <c r="N70" s="369">
        <f t="shared" si="12"/>
        <v>0</v>
      </c>
      <c r="O70" s="355">
        <f t="shared" si="11"/>
        <v>0</v>
      </c>
      <c r="P70" s="388"/>
      <c r="Q70" s="441"/>
      <c r="R70" s="422"/>
    </row>
    <row r="71" spans="1:20" s="189" customFormat="1">
      <c r="A71" s="289"/>
      <c r="B71" s="292"/>
      <c r="C71" s="292"/>
      <c r="D71" s="292"/>
      <c r="E71" s="292"/>
      <c r="F71" s="292"/>
      <c r="G71" s="253"/>
      <c r="H71" s="253"/>
      <c r="I71" s="253"/>
      <c r="J71" s="354">
        <v>0</v>
      </c>
      <c r="K71" s="355">
        <v>0</v>
      </c>
      <c r="L71" s="360">
        <v>0</v>
      </c>
      <c r="M71" s="355">
        <v>0</v>
      </c>
      <c r="N71" s="355">
        <f t="shared" si="12"/>
        <v>0</v>
      </c>
      <c r="O71" s="355">
        <f t="shared" si="11"/>
        <v>0</v>
      </c>
      <c r="P71" s="388"/>
      <c r="Q71" s="1344"/>
      <c r="R71" s="422"/>
    </row>
    <row r="72" spans="1:20" s="190" customFormat="1">
      <c r="A72" s="293"/>
      <c r="B72" s="290">
        <v>4</v>
      </c>
      <c r="C72" s="290">
        <v>1</v>
      </c>
      <c r="D72" s="290">
        <v>4</v>
      </c>
      <c r="E72" s="290" t="s">
        <v>948</v>
      </c>
      <c r="F72" s="290"/>
      <c r="G72" s="291" t="s">
        <v>321</v>
      </c>
      <c r="H72" s="291"/>
      <c r="I72" s="291"/>
      <c r="J72" s="370">
        <f>+J73</f>
        <v>250000</v>
      </c>
      <c r="K72" s="371">
        <f>+K73</f>
        <v>0</v>
      </c>
      <c r="L72" s="372">
        <f>+L73</f>
        <v>0</v>
      </c>
      <c r="M72" s="371">
        <f>+M73</f>
        <v>0</v>
      </c>
      <c r="N72" s="355">
        <f t="shared" si="12"/>
        <v>0</v>
      </c>
      <c r="O72" s="371">
        <f t="shared" si="11"/>
        <v>0</v>
      </c>
      <c r="P72" s="388"/>
      <c r="Q72" s="651"/>
      <c r="R72" s="543"/>
    </row>
    <row r="73" spans="1:20" s="245" customFormat="1">
      <c r="A73" s="289"/>
      <c r="B73" s="292">
        <v>4</v>
      </c>
      <c r="C73" s="292">
        <v>1</v>
      </c>
      <c r="D73" s="292">
        <v>4</v>
      </c>
      <c r="E73" s="292" t="s">
        <v>948</v>
      </c>
      <c r="F73" s="292" t="s">
        <v>437</v>
      </c>
      <c r="G73" s="253" t="s">
        <v>50</v>
      </c>
      <c r="H73" s="253"/>
      <c r="I73" s="253" t="s">
        <v>85</v>
      </c>
      <c r="J73" s="354">
        <v>250000</v>
      </c>
      <c r="K73" s="373">
        <f>'[55]TARGET VERSI LAMA'!$E$48</f>
        <v>0</v>
      </c>
      <c r="L73" s="360">
        <f>[56]PerDinas!$N$73</f>
        <v>0</v>
      </c>
      <c r="M73" s="373">
        <f>[55]Perdinas!$P$47</f>
        <v>0</v>
      </c>
      <c r="N73" s="369">
        <f t="shared" si="12"/>
        <v>0</v>
      </c>
      <c r="O73" s="355">
        <f t="shared" si="11"/>
        <v>0</v>
      </c>
      <c r="P73" s="388"/>
      <c r="Q73" s="441"/>
      <c r="R73" s="544"/>
      <c r="S73" s="436"/>
    </row>
    <row r="74" spans="1:20" s="189" customFormat="1">
      <c r="A74" s="468"/>
      <c r="B74" s="469"/>
      <c r="C74" s="469"/>
      <c r="D74" s="469"/>
      <c r="E74" s="469"/>
      <c r="F74" s="469"/>
      <c r="G74" s="245"/>
      <c r="H74" s="245"/>
      <c r="I74" s="245"/>
      <c r="J74" s="482"/>
      <c r="K74" s="404"/>
      <c r="L74" s="404"/>
      <c r="M74" s="404"/>
      <c r="N74" s="404"/>
      <c r="O74" s="404"/>
      <c r="P74" s="483"/>
      <c r="Q74" s="456"/>
      <c r="R74" s="422"/>
    </row>
    <row r="75" spans="1:20" s="247" customFormat="1">
      <c r="A75" s="470"/>
      <c r="B75" s="308" t="s">
        <v>58</v>
      </c>
      <c r="C75" s="308" t="s">
        <v>438</v>
      </c>
      <c r="D75" s="308" t="s">
        <v>437</v>
      </c>
      <c r="E75" s="308" t="s">
        <v>451</v>
      </c>
      <c r="F75" s="308"/>
      <c r="G75" s="310" t="s">
        <v>952</v>
      </c>
      <c r="H75" s="310"/>
      <c r="I75" s="310"/>
      <c r="J75" s="407">
        <f>+J77</f>
        <v>150000000</v>
      </c>
      <c r="K75" s="408">
        <f>+K77</f>
        <v>200000000</v>
      </c>
      <c r="L75" s="408">
        <f>+L77</f>
        <v>270998300</v>
      </c>
      <c r="M75" s="408">
        <f>+M77</f>
        <v>22679000</v>
      </c>
      <c r="N75" s="408">
        <f>M75+L75</f>
        <v>293677300</v>
      </c>
      <c r="O75" s="408">
        <f>+N75-K75</f>
        <v>93677300</v>
      </c>
      <c r="P75" s="409">
        <f>+N75/K75*100</f>
        <v>146.83865</v>
      </c>
      <c r="Q75" s="457"/>
      <c r="R75" s="458"/>
    </row>
    <row r="76" spans="1:20" s="189" customFormat="1">
      <c r="A76" s="1346"/>
      <c r="B76" s="1328"/>
      <c r="C76" s="1328"/>
      <c r="D76" s="1328"/>
      <c r="E76" s="1328"/>
      <c r="F76" s="1328"/>
      <c r="G76" s="1329"/>
      <c r="H76" s="1329"/>
      <c r="I76" s="1329"/>
      <c r="J76" s="1335"/>
      <c r="K76" s="1336"/>
      <c r="L76" s="1336"/>
      <c r="M76" s="1336"/>
      <c r="N76" s="1336"/>
      <c r="O76" s="1336"/>
      <c r="P76" s="1337"/>
      <c r="Q76" s="1342"/>
      <c r="R76" s="422"/>
    </row>
    <row r="77" spans="1:20" s="189" customFormat="1">
      <c r="A77" s="293"/>
      <c r="B77" s="290">
        <v>4</v>
      </c>
      <c r="C77" s="290">
        <v>1</v>
      </c>
      <c r="D77" s="290"/>
      <c r="E77" s="290"/>
      <c r="F77" s="290"/>
      <c r="G77" s="291" t="s">
        <v>180</v>
      </c>
      <c r="H77" s="291"/>
      <c r="I77" s="291"/>
      <c r="J77" s="387">
        <f>J78+J82</f>
        <v>150000000</v>
      </c>
      <c r="K77" s="367">
        <f>K78+K82</f>
        <v>200000000</v>
      </c>
      <c r="L77" s="367">
        <f>L78+L82</f>
        <v>270998300</v>
      </c>
      <c r="M77" s="367">
        <f>M78+M82</f>
        <v>22679000</v>
      </c>
      <c r="N77" s="367">
        <f>+M77+L77</f>
        <v>293677300</v>
      </c>
      <c r="O77" s="367">
        <f>N77-K77</f>
        <v>93677300</v>
      </c>
      <c r="P77" s="347">
        <f>N77/K77*100</f>
        <v>146.83865</v>
      </c>
      <c r="Q77" s="454"/>
      <c r="R77" s="422"/>
    </row>
    <row r="78" spans="1:20" s="189" customFormat="1">
      <c r="A78" s="293"/>
      <c r="B78" s="290">
        <v>4</v>
      </c>
      <c r="C78" s="290">
        <v>1</v>
      </c>
      <c r="D78" s="290">
        <v>2</v>
      </c>
      <c r="E78" s="290"/>
      <c r="F78" s="290"/>
      <c r="G78" s="291" t="s">
        <v>106</v>
      </c>
      <c r="H78" s="291"/>
      <c r="I78" s="253"/>
      <c r="J78" s="370">
        <f>+J79</f>
        <v>150000000</v>
      </c>
      <c r="K78" s="371">
        <f>+K79</f>
        <v>200000000</v>
      </c>
      <c r="L78" s="371">
        <f>+L79</f>
        <v>268434500</v>
      </c>
      <c r="M78" s="371">
        <f>+M79</f>
        <v>22679000</v>
      </c>
      <c r="N78" s="367">
        <f>+M78+L78</f>
        <v>291113500</v>
      </c>
      <c r="O78" s="367">
        <f>N78-K78</f>
        <v>91113500</v>
      </c>
      <c r="P78" s="347">
        <f>N78/K78*100</f>
        <v>145.55674999999999</v>
      </c>
      <c r="Q78" s="651"/>
      <c r="R78" s="422"/>
    </row>
    <row r="79" spans="1:20" s="189" customFormat="1">
      <c r="A79" s="293"/>
      <c r="B79" s="292">
        <v>4</v>
      </c>
      <c r="C79" s="292">
        <v>1</v>
      </c>
      <c r="D79" s="292">
        <v>2</v>
      </c>
      <c r="E79" s="292" t="s">
        <v>437</v>
      </c>
      <c r="F79" s="292"/>
      <c r="G79" s="253" t="s">
        <v>107</v>
      </c>
      <c r="H79" s="253"/>
      <c r="I79" s="253"/>
      <c r="J79" s="354">
        <f>+J80</f>
        <v>150000000</v>
      </c>
      <c r="K79" s="355">
        <f>+K80</f>
        <v>200000000</v>
      </c>
      <c r="L79" s="360">
        <f>L80</f>
        <v>268434500</v>
      </c>
      <c r="M79" s="355">
        <f>M80</f>
        <v>22679000</v>
      </c>
      <c r="N79" s="355">
        <f>N80</f>
        <v>291113500</v>
      </c>
      <c r="O79" s="346">
        <f>N79-K79</f>
        <v>91113500</v>
      </c>
      <c r="P79" s="347">
        <f>N79/K79*100</f>
        <v>145.55674999999999</v>
      </c>
      <c r="Q79" s="1344"/>
      <c r="R79" s="422"/>
    </row>
    <row r="80" spans="1:20" s="189" customFormat="1">
      <c r="A80" s="293"/>
      <c r="B80" s="292">
        <v>4</v>
      </c>
      <c r="C80" s="292">
        <v>1</v>
      </c>
      <c r="D80" s="292">
        <v>2</v>
      </c>
      <c r="E80" s="292" t="s">
        <v>438</v>
      </c>
      <c r="F80" s="292" t="s">
        <v>437</v>
      </c>
      <c r="G80" s="253" t="s">
        <v>84</v>
      </c>
      <c r="H80" s="253"/>
      <c r="I80" s="253"/>
      <c r="J80" s="354">
        <v>150000000</v>
      </c>
      <c r="K80" s="373">
        <f>'[55]TARGET VERSI LAMA'!$E$44</f>
        <v>200000000</v>
      </c>
      <c r="L80" s="360">
        <f>[56]PerDinas!$N$80</f>
        <v>268434500</v>
      </c>
      <c r="M80" s="373">
        <f>[55]Perdinas!$P$51</f>
        <v>22679000</v>
      </c>
      <c r="N80" s="369">
        <f t="shared" ref="N80:N86" si="13">M80+L80</f>
        <v>291113500</v>
      </c>
      <c r="O80" s="355">
        <f>N80-K80</f>
        <v>91113500</v>
      </c>
      <c r="P80" s="388">
        <f>N80/K80*100</f>
        <v>145.55674999999999</v>
      </c>
      <c r="Q80" s="441"/>
      <c r="R80" s="545"/>
      <c r="S80" s="546"/>
    </row>
    <row r="81" spans="1:18" s="189" customFormat="1">
      <c r="A81" s="293"/>
      <c r="B81" s="292"/>
      <c r="C81" s="292"/>
      <c r="D81" s="292"/>
      <c r="E81" s="292"/>
      <c r="F81" s="292"/>
      <c r="G81" s="253"/>
      <c r="H81" s="253"/>
      <c r="I81" s="253"/>
      <c r="J81" s="354"/>
      <c r="K81" s="355"/>
      <c r="L81" s="355"/>
      <c r="M81" s="355"/>
      <c r="N81" s="355"/>
      <c r="O81" s="355"/>
      <c r="P81" s="388"/>
      <c r="Q81" s="441"/>
      <c r="R81" s="422"/>
    </row>
    <row r="82" spans="1:18" s="189" customFormat="1">
      <c r="A82" s="293"/>
      <c r="B82" s="290">
        <v>4</v>
      </c>
      <c r="C82" s="290">
        <v>1</v>
      </c>
      <c r="D82" s="290">
        <v>4</v>
      </c>
      <c r="E82" s="290"/>
      <c r="F82" s="290"/>
      <c r="G82" s="291" t="s">
        <v>71</v>
      </c>
      <c r="H82" s="291"/>
      <c r="I82" s="291"/>
      <c r="J82" s="370">
        <f>J83+J88</f>
        <v>0</v>
      </c>
      <c r="K82" s="371">
        <f>K83+K88</f>
        <v>0</v>
      </c>
      <c r="L82" s="371">
        <f>L83+L88</f>
        <v>2563800</v>
      </c>
      <c r="M82" s="371">
        <f>M83+M88</f>
        <v>0</v>
      </c>
      <c r="N82" s="371">
        <f>N83+N88</f>
        <v>2563800</v>
      </c>
      <c r="O82" s="367">
        <f>N82-K82</f>
        <v>2563800</v>
      </c>
      <c r="P82" s="347"/>
      <c r="Q82" s="651"/>
      <c r="R82" s="422"/>
    </row>
    <row r="83" spans="1:18" s="189" customFormat="1">
      <c r="A83" s="289"/>
      <c r="B83" s="292">
        <v>4</v>
      </c>
      <c r="C83" s="292">
        <v>1</v>
      </c>
      <c r="D83" s="292">
        <v>4</v>
      </c>
      <c r="E83" s="292" t="s">
        <v>444</v>
      </c>
      <c r="F83" s="292"/>
      <c r="G83" s="253" t="s">
        <v>222</v>
      </c>
      <c r="H83" s="253"/>
      <c r="I83" s="253"/>
      <c r="J83" s="354">
        <f>+J86</f>
        <v>0</v>
      </c>
      <c r="K83" s="355">
        <f>+K86</f>
        <v>0</v>
      </c>
      <c r="L83" s="355">
        <f>SUM(L84:L86)</f>
        <v>380300</v>
      </c>
      <c r="M83" s="355">
        <f>SUM(M84:M86)</f>
        <v>0</v>
      </c>
      <c r="N83" s="355">
        <f>SUM(N84:N86)</f>
        <v>380300</v>
      </c>
      <c r="O83" s="346">
        <f>N83-K83</f>
        <v>380300</v>
      </c>
      <c r="P83" s="1351">
        <v>0</v>
      </c>
      <c r="Q83" s="441"/>
      <c r="R83" s="422"/>
    </row>
    <row r="84" spans="1:18" s="189" customFormat="1">
      <c r="A84" s="289"/>
      <c r="B84" s="292">
        <v>4</v>
      </c>
      <c r="C84" s="292" t="s">
        <v>700</v>
      </c>
      <c r="D84" s="292">
        <v>4</v>
      </c>
      <c r="E84" s="292" t="s">
        <v>444</v>
      </c>
      <c r="F84" s="292" t="s">
        <v>440</v>
      </c>
      <c r="G84" s="253" t="s">
        <v>73</v>
      </c>
      <c r="H84" s="253"/>
      <c r="I84" s="253"/>
      <c r="J84" s="354">
        <v>0</v>
      </c>
      <c r="K84" s="355">
        <v>0</v>
      </c>
      <c r="L84" s="355">
        <v>0</v>
      </c>
      <c r="M84" s="355">
        <f>[55]Perdinas!$P$55</f>
        <v>0</v>
      </c>
      <c r="N84" s="355">
        <f t="shared" si="13"/>
        <v>0</v>
      </c>
      <c r="O84" s="355">
        <f>N84-K84</f>
        <v>0</v>
      </c>
      <c r="P84" s="388"/>
      <c r="Q84" s="441"/>
      <c r="R84" s="422"/>
    </row>
    <row r="85" spans="1:18" s="189" customFormat="1">
      <c r="A85" s="289"/>
      <c r="B85" s="292">
        <v>4</v>
      </c>
      <c r="C85" s="292">
        <v>1</v>
      </c>
      <c r="D85" s="292">
        <v>4</v>
      </c>
      <c r="E85" s="292" t="s">
        <v>444</v>
      </c>
      <c r="F85" s="292" t="s">
        <v>445</v>
      </c>
      <c r="G85" s="253" t="s">
        <v>74</v>
      </c>
      <c r="H85" s="253"/>
      <c r="I85" s="253"/>
      <c r="J85" s="354">
        <v>0</v>
      </c>
      <c r="K85" s="355">
        <v>0</v>
      </c>
      <c r="L85" s="360">
        <v>0</v>
      </c>
      <c r="M85" s="355">
        <f>[55]Perdinas!$P$56</f>
        <v>0</v>
      </c>
      <c r="N85" s="355">
        <f t="shared" si="13"/>
        <v>0</v>
      </c>
      <c r="O85" s="355">
        <f>N85-K85</f>
        <v>0</v>
      </c>
      <c r="P85" s="388"/>
      <c r="Q85" s="441"/>
      <c r="R85" s="422"/>
    </row>
    <row r="86" spans="1:18" s="189" customFormat="1">
      <c r="A86" s="289"/>
      <c r="B86" s="292">
        <v>4</v>
      </c>
      <c r="C86" s="292">
        <v>1</v>
      </c>
      <c r="D86" s="292">
        <v>4</v>
      </c>
      <c r="E86" s="292" t="s">
        <v>444</v>
      </c>
      <c r="F86" s="292" t="s">
        <v>441</v>
      </c>
      <c r="G86" s="253" t="s">
        <v>75</v>
      </c>
      <c r="H86" s="253"/>
      <c r="I86" s="253"/>
      <c r="J86" s="354">
        <v>0</v>
      </c>
      <c r="K86" s="355">
        <f>'[55]TARGET VERSI LAMA'!$E$47</f>
        <v>0</v>
      </c>
      <c r="L86" s="360">
        <f>[56]PerDinas!$N$86</f>
        <v>380300</v>
      </c>
      <c r="M86" s="359">
        <f>[55]Perdinas!$P$57</f>
        <v>0</v>
      </c>
      <c r="N86" s="369">
        <f t="shared" si="13"/>
        <v>380300</v>
      </c>
      <c r="O86" s="355">
        <f>N86-K86</f>
        <v>380300</v>
      </c>
      <c r="P86" s="2769" t="s">
        <v>50</v>
      </c>
      <c r="Q86" s="441"/>
      <c r="R86" s="422"/>
    </row>
    <row r="87" spans="1:18" s="189" customFormat="1">
      <c r="A87" s="289"/>
      <c r="B87" s="292"/>
      <c r="C87" s="292"/>
      <c r="D87" s="292"/>
      <c r="E87" s="292"/>
      <c r="F87" s="292"/>
      <c r="G87" s="253"/>
      <c r="H87" s="253"/>
      <c r="I87" s="253"/>
      <c r="J87" s="354"/>
      <c r="K87" s="355"/>
      <c r="L87" s="360"/>
      <c r="M87" s="355"/>
      <c r="N87" s="355"/>
      <c r="O87" s="355"/>
      <c r="P87" s="388"/>
      <c r="Q87" s="441"/>
      <c r="R87" s="422"/>
    </row>
    <row r="88" spans="1:18" s="189" customFormat="1">
      <c r="A88" s="293"/>
      <c r="B88" s="292">
        <v>4</v>
      </c>
      <c r="C88" s="292">
        <v>1</v>
      </c>
      <c r="D88" s="292">
        <v>4</v>
      </c>
      <c r="E88" s="292" t="s">
        <v>948</v>
      </c>
      <c r="F88" s="292"/>
      <c r="G88" s="253" t="s">
        <v>321</v>
      </c>
      <c r="H88" s="253"/>
      <c r="I88" s="253"/>
      <c r="J88" s="374">
        <f t="shared" ref="J88:M89" si="14">+J89</f>
        <v>0</v>
      </c>
      <c r="K88" s="398">
        <f t="shared" si="14"/>
        <v>0</v>
      </c>
      <c r="L88" s="684">
        <f t="shared" si="14"/>
        <v>2183500</v>
      </c>
      <c r="M88" s="398">
        <f t="shared" si="14"/>
        <v>0</v>
      </c>
      <c r="N88" s="367">
        <f>+M88+L88</f>
        <v>2183500</v>
      </c>
      <c r="O88" s="367">
        <f>N88-K88</f>
        <v>2183500</v>
      </c>
      <c r="P88" s="399">
        <v>0</v>
      </c>
      <c r="Q88" s="699"/>
      <c r="R88" s="422"/>
    </row>
    <row r="89" spans="1:18" s="189" customFormat="1">
      <c r="A89" s="293"/>
      <c r="B89" s="292">
        <v>4</v>
      </c>
      <c r="C89" s="292">
        <v>1</v>
      </c>
      <c r="D89" s="292">
        <v>4</v>
      </c>
      <c r="E89" s="292" t="s">
        <v>948</v>
      </c>
      <c r="F89" s="292" t="s">
        <v>437</v>
      </c>
      <c r="G89" s="253" t="s">
        <v>85</v>
      </c>
      <c r="H89" s="253"/>
      <c r="I89" s="253"/>
      <c r="J89" s="374">
        <f t="shared" si="14"/>
        <v>0</v>
      </c>
      <c r="K89" s="375">
        <f t="shared" si="14"/>
        <v>0</v>
      </c>
      <c r="L89" s="375">
        <f t="shared" si="14"/>
        <v>2183500</v>
      </c>
      <c r="M89" s="375">
        <f>M90</f>
        <v>0</v>
      </c>
      <c r="N89" s="355">
        <f>M89+L89</f>
        <v>2183500</v>
      </c>
      <c r="O89" s="355">
        <f>N89-K89</f>
        <v>2183500</v>
      </c>
      <c r="P89" s="388">
        <v>0</v>
      </c>
      <c r="Q89" s="448"/>
      <c r="R89" s="422"/>
    </row>
    <row r="90" spans="1:18" s="245" customFormat="1">
      <c r="A90" s="472"/>
      <c r="B90" s="305"/>
      <c r="C90" s="305"/>
      <c r="D90" s="305"/>
      <c r="E90" s="305"/>
      <c r="F90" s="305"/>
      <c r="G90" s="306" t="s">
        <v>50</v>
      </c>
      <c r="H90" s="306"/>
      <c r="I90" s="306" t="s">
        <v>76</v>
      </c>
      <c r="J90" s="499"/>
      <c r="K90" s="379">
        <f>'[55]TARGET VERSI LAMA'!$E$48</f>
        <v>0</v>
      </c>
      <c r="L90" s="379">
        <f>[56]PerDinas!$N$90</f>
        <v>2183500</v>
      </c>
      <c r="M90" s="379">
        <f>[55]Perdinas!$P$58</f>
        <v>0</v>
      </c>
      <c r="N90" s="500">
        <f>M90+L90</f>
        <v>2183500</v>
      </c>
      <c r="O90" s="380">
        <f>N90-K90</f>
        <v>2183500</v>
      </c>
      <c r="P90" s="501">
        <v>0</v>
      </c>
      <c r="Q90" s="549"/>
      <c r="R90" s="450"/>
    </row>
    <row r="91" spans="1:18" s="247" customFormat="1">
      <c r="A91" s="470"/>
      <c r="B91" s="308" t="s">
        <v>58</v>
      </c>
      <c r="C91" s="308" t="s">
        <v>438</v>
      </c>
      <c r="D91" s="308" t="s">
        <v>437</v>
      </c>
      <c r="E91" s="308" t="s">
        <v>441</v>
      </c>
      <c r="F91" s="308"/>
      <c r="G91" s="310" t="s">
        <v>953</v>
      </c>
      <c r="H91" s="310"/>
      <c r="I91" s="310"/>
      <c r="J91" s="407">
        <f>+J93</f>
        <v>0</v>
      </c>
      <c r="K91" s="408">
        <f>+K93</f>
        <v>13500000000</v>
      </c>
      <c r="L91" s="408">
        <f>+L93</f>
        <v>11755480300</v>
      </c>
      <c r="M91" s="408">
        <f>+M93</f>
        <v>269838166</v>
      </c>
      <c r="N91" s="408">
        <f>M91+L91</f>
        <v>12025318466</v>
      </c>
      <c r="O91" s="408">
        <f>+N91-K91</f>
        <v>-1474681534</v>
      </c>
      <c r="P91" s="409">
        <f>+N91/K91*100</f>
        <v>89.076433081481483</v>
      </c>
      <c r="Q91" s="550"/>
      <c r="R91" s="458"/>
    </row>
    <row r="92" spans="1:18" s="189" customFormat="1">
      <c r="A92" s="1346"/>
      <c r="B92" s="1328"/>
      <c r="C92" s="1328"/>
      <c r="D92" s="1328"/>
      <c r="E92" s="1328"/>
      <c r="F92" s="1328"/>
      <c r="G92" s="1329"/>
      <c r="H92" s="1329"/>
      <c r="I92" s="1329"/>
      <c r="J92" s="1335"/>
      <c r="K92" s="1336"/>
      <c r="L92" s="1336"/>
      <c r="M92" s="1336"/>
      <c r="N92" s="1336"/>
      <c r="O92" s="1336"/>
      <c r="P92" s="1352"/>
      <c r="Q92" s="1366"/>
      <c r="R92" s="422"/>
    </row>
    <row r="93" spans="1:18" s="189" customFormat="1">
      <c r="A93" s="293"/>
      <c r="B93" s="290">
        <v>4</v>
      </c>
      <c r="C93" s="290">
        <v>1</v>
      </c>
      <c r="D93" s="290"/>
      <c r="E93" s="290"/>
      <c r="F93" s="290"/>
      <c r="G93" s="291" t="s">
        <v>180</v>
      </c>
      <c r="H93" s="291"/>
      <c r="I93" s="291"/>
      <c r="J93" s="387">
        <f>J94+J98</f>
        <v>0</v>
      </c>
      <c r="K93" s="367">
        <f>K94+K98</f>
        <v>13500000000</v>
      </c>
      <c r="L93" s="367">
        <f>L94+L98</f>
        <v>11755480300</v>
      </c>
      <c r="M93" s="367">
        <f>M94+M98</f>
        <v>269838166</v>
      </c>
      <c r="N93" s="367">
        <f>+M93+L93</f>
        <v>12025318466</v>
      </c>
      <c r="O93" s="367">
        <f>N93-K93</f>
        <v>-1474681534</v>
      </c>
      <c r="P93" s="1353">
        <f>N93/K93*100</f>
        <v>89.076433081481483</v>
      </c>
      <c r="Q93" s="551"/>
      <c r="R93" s="422"/>
    </row>
    <row r="94" spans="1:18" s="189" customFormat="1">
      <c r="A94" s="293"/>
      <c r="B94" s="290">
        <v>4</v>
      </c>
      <c r="C94" s="290">
        <v>1</v>
      </c>
      <c r="D94" s="290">
        <v>2</v>
      </c>
      <c r="E94" s="290"/>
      <c r="F94" s="290"/>
      <c r="G94" s="291" t="s">
        <v>106</v>
      </c>
      <c r="H94" s="291"/>
      <c r="I94" s="253"/>
      <c r="J94" s="370">
        <f>+J95</f>
        <v>0</v>
      </c>
      <c r="K94" s="371">
        <f>+K95</f>
        <v>13500000000</v>
      </c>
      <c r="L94" s="371">
        <f>+L95</f>
        <v>9879544900</v>
      </c>
      <c r="M94" s="371">
        <f>+M95</f>
        <v>224522166</v>
      </c>
      <c r="N94" s="367">
        <f>+M94+L94</f>
        <v>10104067066</v>
      </c>
      <c r="O94" s="367">
        <f>N94-K94</f>
        <v>-3395932934</v>
      </c>
      <c r="P94" s="1353">
        <f>N94/K94*100</f>
        <v>74.844941229629626</v>
      </c>
      <c r="Q94" s="551"/>
      <c r="R94" s="422"/>
    </row>
    <row r="95" spans="1:18" s="189" customFormat="1">
      <c r="A95" s="293"/>
      <c r="B95" s="292">
        <v>4</v>
      </c>
      <c r="C95" s="292">
        <v>1</v>
      </c>
      <c r="D95" s="292">
        <v>2</v>
      </c>
      <c r="E95" s="292" t="s">
        <v>437</v>
      </c>
      <c r="F95" s="292"/>
      <c r="G95" s="253" t="s">
        <v>107</v>
      </c>
      <c r="H95" s="253"/>
      <c r="I95" s="253"/>
      <c r="J95" s="354">
        <f>+J96</f>
        <v>0</v>
      </c>
      <c r="K95" s="355">
        <f>+K96</f>
        <v>13500000000</v>
      </c>
      <c r="L95" s="360">
        <f>L96</f>
        <v>9879544900</v>
      </c>
      <c r="M95" s="355">
        <f>M96</f>
        <v>224522166</v>
      </c>
      <c r="N95" s="355">
        <f>N96</f>
        <v>10104067066</v>
      </c>
      <c r="O95" s="346">
        <f>N95-K95</f>
        <v>-3395932934</v>
      </c>
      <c r="P95" s="1353">
        <f>N95/K95*100</f>
        <v>74.844941229629626</v>
      </c>
      <c r="Q95" s="551"/>
      <c r="R95" s="422"/>
    </row>
    <row r="96" spans="1:18" s="189" customFormat="1">
      <c r="A96" s="293"/>
      <c r="B96" s="292">
        <v>4</v>
      </c>
      <c r="C96" s="292">
        <v>1</v>
      </c>
      <c r="D96" s="292">
        <v>2</v>
      </c>
      <c r="E96" s="292" t="s">
        <v>438</v>
      </c>
      <c r="F96" s="292" t="s">
        <v>437</v>
      </c>
      <c r="G96" s="253" t="s">
        <v>84</v>
      </c>
      <c r="H96" s="253"/>
      <c r="I96" s="253"/>
      <c r="J96" s="354"/>
      <c r="K96" s="373">
        <f>'[55]TARGET VERSI LAMA'!$E$52</f>
        <v>13500000000</v>
      </c>
      <c r="L96" s="360">
        <f>[56]PerDinas!$N$96</f>
        <v>9879544900</v>
      </c>
      <c r="M96" s="373">
        <f>[55]Perdinas!$P$62</f>
        <v>224522166</v>
      </c>
      <c r="N96" s="369">
        <f t="shared" ref="N96:N102" si="15">M96+L96</f>
        <v>10104067066</v>
      </c>
      <c r="O96" s="355">
        <f>N96-K96</f>
        <v>-3395932934</v>
      </c>
      <c r="P96" s="388">
        <f>N96/K96*100</f>
        <v>74.844941229629626</v>
      </c>
      <c r="Q96" s="551"/>
      <c r="R96" s="552"/>
    </row>
    <row r="97" spans="1:19" s="189" customFormat="1" ht="15.65">
      <c r="A97" s="293"/>
      <c r="B97" s="292"/>
      <c r="C97" s="292"/>
      <c r="D97" s="292"/>
      <c r="E97" s="292"/>
      <c r="F97" s="292"/>
      <c r="G97" s="253"/>
      <c r="H97" s="253"/>
      <c r="I97" s="253"/>
      <c r="J97" s="354"/>
      <c r="K97" s="355"/>
      <c r="L97" s="355"/>
      <c r="M97" s="355"/>
      <c r="N97" s="355"/>
      <c r="O97" s="355"/>
      <c r="P97" s="506"/>
      <c r="Q97" s="551"/>
      <c r="R97" s="553"/>
      <c r="S97" s="540"/>
    </row>
    <row r="98" spans="1:19" s="189" customFormat="1">
      <c r="A98" s="293"/>
      <c r="B98" s="290">
        <v>4</v>
      </c>
      <c r="C98" s="290">
        <v>1</v>
      </c>
      <c r="D98" s="290">
        <v>4</v>
      </c>
      <c r="E98" s="290"/>
      <c r="F98" s="290"/>
      <c r="G98" s="291" t="s">
        <v>71</v>
      </c>
      <c r="H98" s="291"/>
      <c r="I98" s="291"/>
      <c r="J98" s="370">
        <f>J99+J104</f>
        <v>0</v>
      </c>
      <c r="K98" s="371">
        <f>K99+K100+K101+K102+K104</f>
        <v>0</v>
      </c>
      <c r="L98" s="371">
        <f>L99+L100+L101+L102+L104</f>
        <v>1875935400</v>
      </c>
      <c r="M98" s="371">
        <f>M99+M100+M101+M102+M104</f>
        <v>45316000</v>
      </c>
      <c r="N98" s="371">
        <f t="shared" si="15"/>
        <v>1921251400</v>
      </c>
      <c r="O98" s="367">
        <f>N98-K98</f>
        <v>1921251400</v>
      </c>
      <c r="P98" s="1353" t="e">
        <f>N98/K98*100</f>
        <v>#DIV/0!</v>
      </c>
      <c r="Q98" s="551"/>
      <c r="R98" s="422"/>
    </row>
    <row r="99" spans="1:19" s="189" customFormat="1">
      <c r="A99" s="289"/>
      <c r="B99" s="292">
        <v>4</v>
      </c>
      <c r="C99" s="292">
        <v>1</v>
      </c>
      <c r="D99" s="292">
        <v>4</v>
      </c>
      <c r="E99" s="292" t="s">
        <v>441</v>
      </c>
      <c r="F99" s="292"/>
      <c r="G99" s="253" t="s">
        <v>324</v>
      </c>
      <c r="H99" s="253"/>
      <c r="I99" s="253"/>
      <c r="J99" s="354">
        <f>+J102</f>
        <v>0</v>
      </c>
      <c r="K99" s="355">
        <v>0</v>
      </c>
      <c r="L99" s="355">
        <f>[56]PerDinas!$N$99</f>
        <v>19410100</v>
      </c>
      <c r="M99" s="355">
        <f>[55]Perdinas!$P$65</f>
        <v>0</v>
      </c>
      <c r="N99" s="369">
        <f t="shared" si="15"/>
        <v>19410100</v>
      </c>
      <c r="O99" s="346">
        <f>N99-K99</f>
        <v>19410100</v>
      </c>
      <c r="P99" s="1354">
        <v>0</v>
      </c>
      <c r="Q99" s="551"/>
      <c r="R99" s="422"/>
    </row>
    <row r="100" spans="1:19" s="189" customFormat="1">
      <c r="A100" s="289"/>
      <c r="B100" s="292">
        <v>4</v>
      </c>
      <c r="C100" s="292">
        <v>1</v>
      </c>
      <c r="D100" s="292">
        <v>4</v>
      </c>
      <c r="E100" s="292" t="s">
        <v>444</v>
      </c>
      <c r="F100" s="292" t="s">
        <v>440</v>
      </c>
      <c r="G100" s="253" t="s">
        <v>73</v>
      </c>
      <c r="H100" s="253"/>
      <c r="I100" s="253"/>
      <c r="J100" s="354">
        <v>0</v>
      </c>
      <c r="K100" s="355">
        <v>0</v>
      </c>
      <c r="L100" s="355">
        <v>0</v>
      </c>
      <c r="M100" s="355">
        <f>[55]Perdinas!$P$66</f>
        <v>0</v>
      </c>
      <c r="N100" s="355">
        <f t="shared" si="15"/>
        <v>0</v>
      </c>
      <c r="O100" s="355">
        <f>N100-K100</f>
        <v>0</v>
      </c>
      <c r="P100" s="511"/>
      <c r="Q100" s="551"/>
      <c r="R100" s="554"/>
    </row>
    <row r="101" spans="1:19" s="189" customFormat="1">
      <c r="A101" s="289"/>
      <c r="B101" s="292">
        <v>4</v>
      </c>
      <c r="C101" s="292">
        <v>1</v>
      </c>
      <c r="D101" s="292">
        <v>4</v>
      </c>
      <c r="E101" s="292" t="s">
        <v>444</v>
      </c>
      <c r="F101" s="292" t="s">
        <v>445</v>
      </c>
      <c r="G101" s="253" t="s">
        <v>74</v>
      </c>
      <c r="H101" s="253"/>
      <c r="I101" s="253"/>
      <c r="J101" s="354">
        <v>0</v>
      </c>
      <c r="K101" s="355">
        <v>0</v>
      </c>
      <c r="L101" s="355">
        <v>0</v>
      </c>
      <c r="M101" s="355">
        <f>[55]Perdinas!$P$67</f>
        <v>0</v>
      </c>
      <c r="N101" s="355">
        <f t="shared" si="15"/>
        <v>0</v>
      </c>
      <c r="O101" s="355">
        <f>N101-K101</f>
        <v>0</v>
      </c>
      <c r="P101" s="506"/>
      <c r="Q101" s="551"/>
      <c r="R101" s="555"/>
    </row>
    <row r="102" spans="1:19" s="189" customFormat="1">
      <c r="A102" s="289"/>
      <c r="B102" s="292">
        <v>4</v>
      </c>
      <c r="C102" s="292">
        <v>1</v>
      </c>
      <c r="D102" s="292">
        <v>4</v>
      </c>
      <c r="E102" s="292" t="s">
        <v>444</v>
      </c>
      <c r="F102" s="292" t="s">
        <v>441</v>
      </c>
      <c r="G102" s="253" t="s">
        <v>75</v>
      </c>
      <c r="H102" s="253"/>
      <c r="I102" s="253"/>
      <c r="J102" s="354">
        <v>0</v>
      </c>
      <c r="K102" s="355">
        <f>'[55]TARGET VERSI LAMA'!$E$55</f>
        <v>0</v>
      </c>
      <c r="L102" s="355">
        <f>[56]PerDinas!$N$102</f>
        <v>5682000</v>
      </c>
      <c r="M102" s="355">
        <f>[55]Perdinas!$P$68</f>
        <v>45316000</v>
      </c>
      <c r="N102" s="369">
        <f t="shared" si="15"/>
        <v>50998000</v>
      </c>
      <c r="O102" s="355">
        <f>N102-K102</f>
        <v>50998000</v>
      </c>
      <c r="P102" s="388"/>
      <c r="Q102" s="551"/>
      <c r="R102" s="422"/>
    </row>
    <row r="103" spans="1:19" s="189" customFormat="1">
      <c r="A103" s="289"/>
      <c r="B103" s="292"/>
      <c r="C103" s="292"/>
      <c r="D103" s="292"/>
      <c r="E103" s="292"/>
      <c r="F103" s="292"/>
      <c r="G103" s="253"/>
      <c r="H103" s="253"/>
      <c r="I103" s="253"/>
      <c r="J103" s="354"/>
      <c r="K103" s="355"/>
      <c r="L103" s="355"/>
      <c r="M103" s="355"/>
      <c r="N103" s="355"/>
      <c r="O103" s="355"/>
      <c r="P103" s="388"/>
      <c r="Q103" s="551"/>
      <c r="R103" s="422"/>
    </row>
    <row r="104" spans="1:19" s="189" customFormat="1">
      <c r="A104" s="293"/>
      <c r="B104" s="292">
        <v>4</v>
      </c>
      <c r="C104" s="292">
        <v>1</v>
      </c>
      <c r="D104" s="292">
        <v>4</v>
      </c>
      <c r="E104" s="292" t="s">
        <v>948</v>
      </c>
      <c r="F104" s="292"/>
      <c r="G104" s="253" t="s">
        <v>321</v>
      </c>
      <c r="H104" s="253"/>
      <c r="I104" s="253"/>
      <c r="J104" s="374">
        <f t="shared" ref="J104:M105" si="16">+J105</f>
        <v>0</v>
      </c>
      <c r="K104" s="375">
        <f t="shared" si="16"/>
        <v>0</v>
      </c>
      <c r="L104" s="375">
        <f t="shared" si="16"/>
        <v>1850843300</v>
      </c>
      <c r="M104" s="375">
        <f t="shared" si="16"/>
        <v>0</v>
      </c>
      <c r="N104" s="346">
        <f>+M104+L104</f>
        <v>1850843300</v>
      </c>
      <c r="O104" s="346">
        <f>N104-K104</f>
        <v>1850843300</v>
      </c>
      <c r="P104" s="347">
        <v>0</v>
      </c>
      <c r="Q104" s="551"/>
      <c r="R104" s="422"/>
    </row>
    <row r="105" spans="1:19" s="189" customFormat="1">
      <c r="A105" s="293"/>
      <c r="B105" s="292">
        <v>4</v>
      </c>
      <c r="C105" s="292">
        <v>1</v>
      </c>
      <c r="D105" s="292">
        <v>4</v>
      </c>
      <c r="E105" s="292" t="s">
        <v>948</v>
      </c>
      <c r="F105" s="292" t="s">
        <v>437</v>
      </c>
      <c r="G105" s="253" t="s">
        <v>85</v>
      </c>
      <c r="H105" s="253"/>
      <c r="I105" s="253"/>
      <c r="J105" s="374">
        <f t="shared" si="16"/>
        <v>0</v>
      </c>
      <c r="K105" s="375">
        <f t="shared" si="16"/>
        <v>0</v>
      </c>
      <c r="L105" s="377">
        <f>SUM(L106:L107)</f>
        <v>1850843300</v>
      </c>
      <c r="M105" s="375">
        <f>SUM(M106:M107)</f>
        <v>0</v>
      </c>
      <c r="N105" s="375">
        <f>SUM(N106:N107)</f>
        <v>1850843300</v>
      </c>
      <c r="O105" s="375">
        <f>SUM(O106:O107)</f>
        <v>1850843300</v>
      </c>
      <c r="P105" s="1355">
        <f>SUM(P106:P107)</f>
        <v>0</v>
      </c>
      <c r="Q105" s="551"/>
      <c r="R105" s="422"/>
    </row>
    <row r="106" spans="1:19" s="189" customFormat="1">
      <c r="A106" s="472"/>
      <c r="B106" s="305"/>
      <c r="C106" s="305"/>
      <c r="D106" s="305"/>
      <c r="E106" s="305"/>
      <c r="F106" s="305"/>
      <c r="G106" s="306" t="s">
        <v>50</v>
      </c>
      <c r="H106" s="306"/>
      <c r="I106" s="306" t="s">
        <v>954</v>
      </c>
      <c r="J106" s="499"/>
      <c r="K106" s="379">
        <f>'[55]TARGET VERSI LAMA'!$E$56</f>
        <v>0</v>
      </c>
      <c r="L106" s="1356">
        <f>'[58]PERDINAS VERSI LAMA'!$N$106</f>
        <v>1850843300</v>
      </c>
      <c r="M106" s="379">
        <f>[55]Perdinas!$P$69</f>
        <v>0</v>
      </c>
      <c r="N106" s="380">
        <f>M106+L106</f>
        <v>1850843300</v>
      </c>
      <c r="O106" s="380">
        <f>N106-K106</f>
        <v>1850843300</v>
      </c>
      <c r="P106" s="501">
        <v>0</v>
      </c>
      <c r="Q106" s="1367"/>
      <c r="R106" s="422"/>
    </row>
    <row r="107" spans="1:19" s="245" customFormat="1">
      <c r="A107" s="1347"/>
      <c r="B107" s="469"/>
      <c r="C107" s="469"/>
      <c r="D107" s="469"/>
      <c r="E107" s="469"/>
      <c r="F107" s="469"/>
      <c r="I107" s="1357"/>
      <c r="J107" s="482"/>
      <c r="K107" s="516"/>
      <c r="L107" s="710">
        <f>[56]PerDinas!$N$107</f>
        <v>0</v>
      </c>
      <c r="M107" s="516"/>
      <c r="N107" s="516"/>
      <c r="O107" s="516"/>
      <c r="P107" s="517"/>
      <c r="Q107" s="1368"/>
      <c r="R107" s="450"/>
    </row>
    <row r="108" spans="1:19" s="247" customFormat="1">
      <c r="A108" s="307"/>
      <c r="B108" s="308" t="s">
        <v>58</v>
      </c>
      <c r="C108" s="308" t="s">
        <v>438</v>
      </c>
      <c r="D108" s="308" t="s">
        <v>437</v>
      </c>
      <c r="E108" s="308" t="s">
        <v>440</v>
      </c>
      <c r="F108" s="309"/>
      <c r="G108" s="310" t="s">
        <v>955</v>
      </c>
      <c r="H108" s="311"/>
      <c r="I108" s="406"/>
      <c r="J108" s="407">
        <f>+J110</f>
        <v>275000000</v>
      </c>
      <c r="K108" s="408">
        <f>+K110</f>
        <v>250000000</v>
      </c>
      <c r="L108" s="408">
        <f>+L110</f>
        <v>144557500</v>
      </c>
      <c r="M108" s="408">
        <f>+M110</f>
        <v>51727500</v>
      </c>
      <c r="N108" s="408">
        <f>+M108+L108</f>
        <v>196285000</v>
      </c>
      <c r="O108" s="408">
        <f>N108-K108</f>
        <v>-53715000</v>
      </c>
      <c r="P108" s="409">
        <f>N108/K108*100</f>
        <v>78.513999999999996</v>
      </c>
      <c r="Q108" s="457"/>
      <c r="R108" s="458"/>
    </row>
    <row r="109" spans="1:19" s="189" customFormat="1">
      <c r="A109" s="286"/>
      <c r="B109" s="287"/>
      <c r="C109" s="287"/>
      <c r="D109" s="287"/>
      <c r="E109" s="287"/>
      <c r="F109" s="287"/>
      <c r="G109" s="288"/>
      <c r="H109" s="288"/>
      <c r="I109" s="410"/>
      <c r="J109" s="342"/>
      <c r="K109" s="343"/>
      <c r="L109" s="343"/>
      <c r="M109" s="343"/>
      <c r="N109" s="492"/>
      <c r="O109" s="492"/>
      <c r="P109" s="487"/>
      <c r="Q109" s="437"/>
      <c r="R109" s="422"/>
    </row>
    <row r="110" spans="1:19" s="189" customFormat="1">
      <c r="A110" s="294"/>
      <c r="B110" s="290">
        <v>4</v>
      </c>
      <c r="C110" s="290">
        <v>1</v>
      </c>
      <c r="D110" s="290"/>
      <c r="E110" s="290"/>
      <c r="F110" s="290"/>
      <c r="G110" s="291" t="s">
        <v>180</v>
      </c>
      <c r="H110" s="291"/>
      <c r="I110" s="291"/>
      <c r="J110" s="518">
        <f>+J112+J117</f>
        <v>275000000</v>
      </c>
      <c r="K110" s="519">
        <f>+K112+K117</f>
        <v>250000000</v>
      </c>
      <c r="L110" s="519">
        <f>+L112+L117</f>
        <v>144557500</v>
      </c>
      <c r="M110" s="519">
        <f>+M112+M117</f>
        <v>51727500</v>
      </c>
      <c r="N110" s="343">
        <f>+M110+L110</f>
        <v>196285000</v>
      </c>
      <c r="O110" s="343">
        <f>N110-K110</f>
        <v>-53715000</v>
      </c>
      <c r="P110" s="344">
        <f>N110/K110*100</f>
        <v>78.513999999999996</v>
      </c>
      <c r="Q110" s="559"/>
      <c r="R110" s="422"/>
    </row>
    <row r="111" spans="1:19" s="189" customFormat="1">
      <c r="A111" s="289"/>
      <c r="B111" s="292"/>
      <c r="C111" s="292"/>
      <c r="D111" s="292"/>
      <c r="E111" s="292"/>
      <c r="F111" s="292"/>
      <c r="G111" s="253"/>
      <c r="H111" s="253"/>
      <c r="I111" s="253"/>
      <c r="J111" s="387"/>
      <c r="K111" s="367"/>
      <c r="L111" s="367"/>
      <c r="M111" s="367"/>
      <c r="N111" s="367"/>
      <c r="O111" s="367"/>
      <c r="P111" s="347"/>
      <c r="Q111" s="454"/>
      <c r="R111" s="422"/>
    </row>
    <row r="112" spans="1:19" s="189" customFormat="1">
      <c r="A112" s="294"/>
      <c r="B112" s="290">
        <v>4</v>
      </c>
      <c r="C112" s="290">
        <v>1</v>
      </c>
      <c r="D112" s="290">
        <v>2</v>
      </c>
      <c r="E112" s="290"/>
      <c r="F112" s="290"/>
      <c r="G112" s="291" t="s">
        <v>106</v>
      </c>
      <c r="H112" s="291"/>
      <c r="I112" s="253"/>
      <c r="J112" s="348">
        <f>+J114</f>
        <v>273500000</v>
      </c>
      <c r="K112" s="349">
        <f>+K114</f>
        <v>250000000</v>
      </c>
      <c r="L112" s="349">
        <f>+L114</f>
        <v>143275000</v>
      </c>
      <c r="M112" s="349">
        <f>+M114</f>
        <v>51300000</v>
      </c>
      <c r="N112" s="349">
        <f>+M112+L112</f>
        <v>194575000</v>
      </c>
      <c r="O112" s="349">
        <f>N112-K112</f>
        <v>-55425000</v>
      </c>
      <c r="P112" s="350">
        <f>N112/K112*100</f>
        <v>77.83</v>
      </c>
      <c r="Q112" s="439"/>
      <c r="R112" s="422"/>
    </row>
    <row r="113" spans="1:18" s="189" customFormat="1">
      <c r="A113" s="289"/>
      <c r="B113" s="292"/>
      <c r="C113" s="292"/>
      <c r="D113" s="292"/>
      <c r="E113" s="292"/>
      <c r="F113" s="292"/>
      <c r="G113" s="253"/>
      <c r="H113" s="253"/>
      <c r="I113" s="253"/>
      <c r="J113" s="354"/>
      <c r="K113" s="507"/>
      <c r="L113" s="507"/>
      <c r="M113" s="507"/>
      <c r="N113" s="507"/>
      <c r="O113" s="507"/>
      <c r="P113" s="1358"/>
      <c r="Q113" s="1369"/>
      <c r="R113" s="422"/>
    </row>
    <row r="114" spans="1:18" s="189" customFormat="1">
      <c r="A114" s="294"/>
      <c r="B114" s="292">
        <v>4</v>
      </c>
      <c r="C114" s="292">
        <v>1</v>
      </c>
      <c r="D114" s="292">
        <v>2</v>
      </c>
      <c r="E114" s="292" t="s">
        <v>438</v>
      </c>
      <c r="F114" s="292"/>
      <c r="G114" s="253" t="s">
        <v>374</v>
      </c>
      <c r="H114" s="253"/>
      <c r="I114" s="253"/>
      <c r="J114" s="484">
        <f>+J115</f>
        <v>273500000</v>
      </c>
      <c r="K114" s="355">
        <f>+K115+K119</f>
        <v>250000000</v>
      </c>
      <c r="L114" s="355">
        <f>+L115+L119</f>
        <v>143275000</v>
      </c>
      <c r="M114" s="355">
        <f>+M115+M119</f>
        <v>51300000</v>
      </c>
      <c r="N114" s="346">
        <f>+M114+L114</f>
        <v>194575000</v>
      </c>
      <c r="O114" s="346">
        <f t="shared" ref="O114:O125" si="17">N114-K114</f>
        <v>-55425000</v>
      </c>
      <c r="P114" s="347">
        <f>N114/K114*100</f>
        <v>77.83</v>
      </c>
      <c r="Q114" s="1344"/>
      <c r="R114" s="422"/>
    </row>
    <row r="115" spans="1:18" s="189" customFormat="1">
      <c r="A115" s="294"/>
      <c r="B115" s="292">
        <v>4</v>
      </c>
      <c r="C115" s="292">
        <v>1</v>
      </c>
      <c r="D115" s="292">
        <v>2</v>
      </c>
      <c r="E115" s="292" t="s">
        <v>438</v>
      </c>
      <c r="F115" s="292" t="s">
        <v>440</v>
      </c>
      <c r="G115" s="253" t="s">
        <v>304</v>
      </c>
      <c r="H115" s="253"/>
      <c r="I115" s="253"/>
      <c r="J115" s="333">
        <v>273500000</v>
      </c>
      <c r="K115" s="373">
        <f>PerDinas!K115</f>
        <v>175000000</v>
      </c>
      <c r="L115" s="360">
        <f>[56]PerDinas!$N$115</f>
        <v>112475000</v>
      </c>
      <c r="M115" s="373">
        <f>[55]Perdinas!$P$73</f>
        <v>36300000</v>
      </c>
      <c r="N115" s="369">
        <f t="shared" ref="N115:N122" si="18">M115+L115</f>
        <v>148775000</v>
      </c>
      <c r="O115" s="355">
        <f t="shared" si="17"/>
        <v>-26225000</v>
      </c>
      <c r="P115" s="388">
        <f>N115/K115*100</f>
        <v>85.014285714285705</v>
      </c>
      <c r="Q115" s="441"/>
      <c r="R115" s="545"/>
    </row>
    <row r="116" spans="1:18" s="189" customFormat="1">
      <c r="A116" s="289"/>
      <c r="B116" s="292"/>
      <c r="C116" s="292"/>
      <c r="D116" s="292"/>
      <c r="E116" s="292"/>
      <c r="F116" s="292"/>
      <c r="G116" s="253"/>
      <c r="H116" s="253"/>
      <c r="I116" s="253"/>
      <c r="J116" s="354"/>
      <c r="K116" s="355"/>
      <c r="L116" s="360"/>
      <c r="M116" s="530"/>
      <c r="N116" s="355">
        <f t="shared" si="18"/>
        <v>0</v>
      </c>
      <c r="O116" s="355">
        <f t="shared" si="17"/>
        <v>0</v>
      </c>
      <c r="P116" s="388"/>
      <c r="Q116" s="441"/>
      <c r="R116" s="422"/>
    </row>
    <row r="117" spans="1:18" s="189" customFormat="1">
      <c r="A117" s="294"/>
      <c r="B117" s="290">
        <v>4</v>
      </c>
      <c r="C117" s="290">
        <v>1</v>
      </c>
      <c r="D117" s="290">
        <v>4</v>
      </c>
      <c r="E117" s="290"/>
      <c r="F117" s="290"/>
      <c r="G117" s="291" t="s">
        <v>71</v>
      </c>
      <c r="H117" s="291"/>
      <c r="I117" s="291"/>
      <c r="J117" s="392">
        <f>J118+J123</f>
        <v>1500000</v>
      </c>
      <c r="K117" s="1359">
        <f>K118+K123</f>
        <v>0</v>
      </c>
      <c r="L117" s="1360">
        <f>+L123+L118</f>
        <v>1282500</v>
      </c>
      <c r="M117" s="1361">
        <f>+M123+M118</f>
        <v>427500</v>
      </c>
      <c r="N117" s="760">
        <f>+M117+L117</f>
        <v>1710000</v>
      </c>
      <c r="O117" s="760">
        <f t="shared" si="17"/>
        <v>1710000</v>
      </c>
      <c r="P117" s="761">
        <v>0</v>
      </c>
      <c r="Q117" s="1370"/>
      <c r="R117" s="422"/>
    </row>
    <row r="118" spans="1:18" s="189" customFormat="1">
      <c r="A118" s="289"/>
      <c r="B118" s="292">
        <v>4</v>
      </c>
      <c r="C118" s="292">
        <v>1</v>
      </c>
      <c r="D118" s="292">
        <v>4</v>
      </c>
      <c r="E118" s="292" t="s">
        <v>444</v>
      </c>
      <c r="F118" s="292"/>
      <c r="G118" s="253" t="s">
        <v>222</v>
      </c>
      <c r="H118" s="253"/>
      <c r="I118" s="253"/>
      <c r="J118" s="526">
        <f>+J121</f>
        <v>0</v>
      </c>
      <c r="K118" s="527">
        <f>+K121</f>
        <v>0</v>
      </c>
      <c r="L118" s="527">
        <f>+L121</f>
        <v>1282500</v>
      </c>
      <c r="M118" s="527">
        <f>+M121</f>
        <v>427500</v>
      </c>
      <c r="N118" s="527">
        <f t="shared" si="18"/>
        <v>1710000</v>
      </c>
      <c r="O118" s="529">
        <f t="shared" si="17"/>
        <v>1710000</v>
      </c>
      <c r="P118" s="478">
        <v>0</v>
      </c>
      <c r="Q118" s="541"/>
      <c r="R118" s="422"/>
    </row>
    <row r="119" spans="1:18" s="189" customFormat="1">
      <c r="A119" s="289"/>
      <c r="B119" s="292">
        <v>4</v>
      </c>
      <c r="C119" s="292">
        <v>1</v>
      </c>
      <c r="D119" s="292" t="s">
        <v>460</v>
      </c>
      <c r="E119" s="292" t="s">
        <v>438</v>
      </c>
      <c r="F119" s="292" t="s">
        <v>438</v>
      </c>
      <c r="G119" s="253" t="s">
        <v>517</v>
      </c>
      <c r="H119" s="253"/>
      <c r="I119" s="253"/>
      <c r="J119" s="354">
        <v>0</v>
      </c>
      <c r="K119" s="355">
        <f>PerDinas!K119</f>
        <v>75000000</v>
      </c>
      <c r="L119" s="360">
        <f>'[56]PERDINAS VERSI LAMA'!$N$119</f>
        <v>30800000</v>
      </c>
      <c r="M119" s="530">
        <f>[55]Perdinas!$P$74</f>
        <v>15000000</v>
      </c>
      <c r="N119" s="369">
        <f t="shared" si="18"/>
        <v>45800000</v>
      </c>
      <c r="O119" s="355">
        <f t="shared" si="17"/>
        <v>-29200000</v>
      </c>
      <c r="P119" s="531">
        <v>0</v>
      </c>
      <c r="Q119" s="441"/>
      <c r="R119" s="422"/>
    </row>
    <row r="120" spans="1:18" s="189" customFormat="1">
      <c r="A120" s="289"/>
      <c r="B120" s="292">
        <v>4</v>
      </c>
      <c r="C120" s="292">
        <v>1</v>
      </c>
      <c r="D120" s="292">
        <v>4</v>
      </c>
      <c r="E120" s="292" t="s">
        <v>444</v>
      </c>
      <c r="F120" s="292" t="s">
        <v>445</v>
      </c>
      <c r="G120" s="253" t="s">
        <v>74</v>
      </c>
      <c r="H120" s="253"/>
      <c r="I120" s="253"/>
      <c r="J120" s="354">
        <v>0</v>
      </c>
      <c r="K120" s="355">
        <v>0</v>
      </c>
      <c r="L120" s="360">
        <v>0</v>
      </c>
      <c r="M120" s="530">
        <f>[55]Perdinas!$P$78</f>
        <v>0</v>
      </c>
      <c r="N120" s="355">
        <f t="shared" si="18"/>
        <v>0</v>
      </c>
      <c r="O120" s="355">
        <f t="shared" si="17"/>
        <v>0</v>
      </c>
      <c r="P120" s="358"/>
      <c r="Q120" s="441"/>
      <c r="R120" s="422"/>
    </row>
    <row r="121" spans="1:18" s="189" customFormat="1">
      <c r="A121" s="289"/>
      <c r="B121" s="292">
        <v>4</v>
      </c>
      <c r="C121" s="292">
        <v>1</v>
      </c>
      <c r="D121" s="292">
        <v>4</v>
      </c>
      <c r="E121" s="292" t="s">
        <v>444</v>
      </c>
      <c r="F121" s="292" t="s">
        <v>441</v>
      </c>
      <c r="G121" s="253" t="s">
        <v>75</v>
      </c>
      <c r="H121" s="253"/>
      <c r="I121" s="253"/>
      <c r="J121" s="354">
        <v>0</v>
      </c>
      <c r="K121" s="360">
        <f>'[55]TARGET VERSI LAMA'!$E$63</f>
        <v>0</v>
      </c>
      <c r="L121" s="360">
        <f>[56]PerDinas!$N$121</f>
        <v>1282500</v>
      </c>
      <c r="M121" s="530">
        <f>[55]Perdinas!$P$79</f>
        <v>427500</v>
      </c>
      <c r="N121" s="355">
        <f t="shared" si="18"/>
        <v>1710000</v>
      </c>
      <c r="O121" s="355">
        <f t="shared" si="17"/>
        <v>1710000</v>
      </c>
      <c r="P121" s="388"/>
      <c r="Q121" s="441"/>
      <c r="R121" s="422"/>
    </row>
    <row r="122" spans="1:18" s="189" customFormat="1">
      <c r="A122" s="294"/>
      <c r="B122" s="290"/>
      <c r="C122" s="290"/>
      <c r="D122" s="290"/>
      <c r="E122" s="290"/>
      <c r="F122" s="290"/>
      <c r="G122" s="467"/>
      <c r="H122" s="467"/>
      <c r="I122" s="467"/>
      <c r="J122" s="354">
        <v>0</v>
      </c>
      <c r="K122" s="352">
        <v>0</v>
      </c>
      <c r="L122" s="362"/>
      <c r="M122" s="532">
        <v>0</v>
      </c>
      <c r="N122" s="355">
        <f t="shared" si="18"/>
        <v>0</v>
      </c>
      <c r="O122" s="355">
        <f t="shared" si="17"/>
        <v>0</v>
      </c>
      <c r="P122" s="388"/>
      <c r="Q122" s="445"/>
      <c r="R122" s="422"/>
    </row>
    <row r="123" spans="1:18" s="189" customFormat="1">
      <c r="A123" s="294"/>
      <c r="B123" s="292">
        <v>4</v>
      </c>
      <c r="C123" s="292">
        <v>1</v>
      </c>
      <c r="D123" s="292">
        <v>4</v>
      </c>
      <c r="E123" s="292" t="s">
        <v>948</v>
      </c>
      <c r="F123" s="292"/>
      <c r="G123" s="297" t="s">
        <v>321</v>
      </c>
      <c r="H123" s="297"/>
      <c r="I123" s="297"/>
      <c r="J123" s="333">
        <f>+J124</f>
        <v>1500000</v>
      </c>
      <c r="K123" s="507">
        <f>+K124</f>
        <v>0</v>
      </c>
      <c r="L123" s="507">
        <f>+L124</f>
        <v>0</v>
      </c>
      <c r="M123" s="533">
        <f>+M124</f>
        <v>0</v>
      </c>
      <c r="N123" s="534">
        <f>+M123+L123</f>
        <v>0</v>
      </c>
      <c r="O123" s="534">
        <f t="shared" si="17"/>
        <v>0</v>
      </c>
      <c r="P123" s="535">
        <v>0</v>
      </c>
      <c r="Q123" s="430"/>
      <c r="R123" s="422"/>
    </row>
    <row r="124" spans="1:18" s="245" customFormat="1">
      <c r="A124" s="304"/>
      <c r="B124" s="305">
        <v>4</v>
      </c>
      <c r="C124" s="305">
        <v>1</v>
      </c>
      <c r="D124" s="305">
        <v>4</v>
      </c>
      <c r="E124" s="305" t="s">
        <v>948</v>
      </c>
      <c r="F124" s="305" t="s">
        <v>437</v>
      </c>
      <c r="G124" s="306" t="s">
        <v>50</v>
      </c>
      <c r="H124" s="306"/>
      <c r="I124" s="306" t="s">
        <v>85</v>
      </c>
      <c r="J124" s="536">
        <v>1500000</v>
      </c>
      <c r="K124" s="537">
        <f>'[55]TARGET VERSI LAMA'!$E$64</f>
        <v>0</v>
      </c>
      <c r="L124" s="538">
        <f>[56]PerDinas!$N$124</f>
        <v>0</v>
      </c>
      <c r="M124" s="537">
        <f>[55]Perdinas!$P$80</f>
        <v>0</v>
      </c>
      <c r="N124" s="380">
        <f>M124+L124</f>
        <v>0</v>
      </c>
      <c r="O124" s="380">
        <f t="shared" si="17"/>
        <v>0</v>
      </c>
      <c r="P124" s="501">
        <v>0</v>
      </c>
      <c r="Q124" s="560"/>
      <c r="R124" s="450"/>
    </row>
    <row r="125" spans="1:18" s="248" customFormat="1">
      <c r="A125" s="1348"/>
      <c r="B125" s="1349" t="s">
        <v>58</v>
      </c>
      <c r="C125" s="1349" t="s">
        <v>438</v>
      </c>
      <c r="D125" s="1349" t="s">
        <v>437</v>
      </c>
      <c r="E125" s="1349" t="s">
        <v>445</v>
      </c>
      <c r="F125" s="1349"/>
      <c r="G125" s="1350" t="s">
        <v>722</v>
      </c>
      <c r="H125" s="1350"/>
      <c r="I125" s="1350"/>
      <c r="J125" s="1362" t="e">
        <f>+J127</f>
        <v>#REF!</v>
      </c>
      <c r="K125" s="1363">
        <f>+K127</f>
        <v>2197286650</v>
      </c>
      <c r="L125" s="1363">
        <f>L127</f>
        <v>1797517732</v>
      </c>
      <c r="M125" s="1363">
        <f>+M127</f>
        <v>5775000</v>
      </c>
      <c r="N125" s="1363">
        <f>+M125+L125</f>
        <v>1803292732</v>
      </c>
      <c r="O125" s="1363">
        <f t="shared" si="17"/>
        <v>-393993918</v>
      </c>
      <c r="P125" s="1364">
        <f>N129/K129*100</f>
        <v>80.599212305777229</v>
      </c>
      <c r="Q125" s="1371"/>
      <c r="R125" s="561"/>
    </row>
    <row r="126" spans="1:18" s="189" customFormat="1">
      <c r="A126" s="1323"/>
      <c r="B126" s="1324"/>
      <c r="C126" s="1324"/>
      <c r="D126" s="1324"/>
      <c r="E126" s="1324"/>
      <c r="F126" s="1324"/>
      <c r="G126" s="1325"/>
      <c r="H126" s="1325"/>
      <c r="I126" s="1365"/>
      <c r="J126" s="757"/>
      <c r="K126" s="758"/>
      <c r="L126" s="758"/>
      <c r="M126" s="758"/>
      <c r="N126" s="758"/>
      <c r="O126" s="758"/>
      <c r="P126" s="690">
        <v>0</v>
      </c>
      <c r="Q126" s="782"/>
      <c r="R126" s="422"/>
    </row>
    <row r="127" spans="1:18" s="189" customFormat="1">
      <c r="A127" s="294"/>
      <c r="B127" s="290">
        <v>4</v>
      </c>
      <c r="C127" s="290">
        <v>1</v>
      </c>
      <c r="D127" s="290"/>
      <c r="E127" s="290"/>
      <c r="F127" s="290"/>
      <c r="G127" s="291" t="s">
        <v>180</v>
      </c>
      <c r="H127" s="291"/>
      <c r="I127" s="291"/>
      <c r="J127" s="387" t="e">
        <f>+J129+#REF!</f>
        <v>#REF!</v>
      </c>
      <c r="K127" s="367">
        <f>+K129</f>
        <v>2197286650</v>
      </c>
      <c r="L127" s="367">
        <f>+L129</f>
        <v>1797517732</v>
      </c>
      <c r="M127" s="367">
        <f>+M129</f>
        <v>5775000</v>
      </c>
      <c r="N127" s="367">
        <f>M127+L127</f>
        <v>1803292732</v>
      </c>
      <c r="O127" s="367">
        <f>N127-K127</f>
        <v>-393993918</v>
      </c>
      <c r="P127" s="347">
        <f>N129/K129*100</f>
        <v>80.599212305777229</v>
      </c>
      <c r="Q127" s="454"/>
      <c r="R127" s="422"/>
    </row>
    <row r="128" spans="1:18" s="189" customFormat="1">
      <c r="A128" s="289"/>
      <c r="B128" s="292"/>
      <c r="C128" s="292"/>
      <c r="D128" s="292"/>
      <c r="E128" s="292"/>
      <c r="F128" s="292"/>
      <c r="G128" s="253"/>
      <c r="H128" s="253"/>
      <c r="I128" s="253"/>
      <c r="J128" s="387"/>
      <c r="K128" s="367"/>
      <c r="L128" s="367"/>
      <c r="M128" s="367"/>
      <c r="N128" s="367"/>
      <c r="O128" s="367"/>
      <c r="P128" s="347"/>
      <c r="Q128" s="454"/>
      <c r="R128" s="422"/>
    </row>
    <row r="129" spans="1:19" s="190" customFormat="1">
      <c r="A129" s="303"/>
      <c r="B129" s="290">
        <v>4</v>
      </c>
      <c r="C129" s="290">
        <v>1</v>
      </c>
      <c r="D129" s="290" t="s">
        <v>443</v>
      </c>
      <c r="E129" s="290"/>
      <c r="F129" s="290"/>
      <c r="G129" s="291" t="s">
        <v>71</v>
      </c>
      <c r="H129" s="291"/>
      <c r="I129" s="291"/>
      <c r="J129" s="387">
        <f>+J130</f>
        <v>0</v>
      </c>
      <c r="K129" s="367">
        <f>K130+K132+K137</f>
        <v>2197286650</v>
      </c>
      <c r="L129" s="367">
        <f>L130+L132+L137</f>
        <v>1797517732</v>
      </c>
      <c r="M129" s="367">
        <f>M130+M132+M137</f>
        <v>5775000</v>
      </c>
      <c r="N129" s="367">
        <f>+N130</f>
        <v>1770995732</v>
      </c>
      <c r="O129" s="367">
        <f>N129-K129</f>
        <v>-426290918</v>
      </c>
      <c r="P129" s="399">
        <f>N129/K129*100</f>
        <v>80.599212305777229</v>
      </c>
      <c r="Q129" s="454"/>
      <c r="R129" s="446"/>
    </row>
    <row r="130" spans="1:19" s="189" customFormat="1">
      <c r="A130" s="294"/>
      <c r="B130" s="292">
        <v>4</v>
      </c>
      <c r="C130" s="292">
        <v>1</v>
      </c>
      <c r="D130" s="292" t="s">
        <v>443</v>
      </c>
      <c r="E130" s="292" t="s">
        <v>449</v>
      </c>
      <c r="F130" s="292" t="s">
        <v>437</v>
      </c>
      <c r="G130" s="253" t="s">
        <v>956</v>
      </c>
      <c r="H130" s="253"/>
      <c r="I130" s="253"/>
      <c r="J130" s="345">
        <f>+J131</f>
        <v>0</v>
      </c>
      <c r="K130" s="1387">
        <f>'[55]TARGET VERSI LAMA'!$E$68</f>
        <v>2197286650</v>
      </c>
      <c r="L130" s="346">
        <f>[56]PerDinas!$N$130</f>
        <v>1770995732</v>
      </c>
      <c r="M130" s="346">
        <f>[55]Perdinas!$P$84</f>
        <v>0</v>
      </c>
      <c r="N130" s="346">
        <f>+M130+L130</f>
        <v>1770995732</v>
      </c>
      <c r="O130" s="346">
        <f>N130-K130</f>
        <v>-426290918</v>
      </c>
      <c r="P130" s="347">
        <v>0</v>
      </c>
      <c r="Q130" s="438"/>
      <c r="R130" s="554"/>
      <c r="S130" s="542"/>
    </row>
    <row r="131" spans="1:19" s="189" customFormat="1">
      <c r="A131" s="294"/>
      <c r="B131" s="292"/>
      <c r="C131" s="292"/>
      <c r="D131" s="292"/>
      <c r="E131" s="292"/>
      <c r="F131" s="292"/>
      <c r="G131" s="253"/>
      <c r="H131" s="253"/>
      <c r="I131" s="253"/>
      <c r="J131" s="354"/>
      <c r="K131" s="355"/>
      <c r="L131" s="355"/>
      <c r="M131" s="355"/>
      <c r="N131" s="355"/>
      <c r="O131" s="355"/>
      <c r="P131" s="388"/>
      <c r="Q131" s="441"/>
      <c r="R131" s="422"/>
    </row>
    <row r="132" spans="1:19" s="189" customFormat="1">
      <c r="A132" s="289"/>
      <c r="B132" s="292">
        <v>4</v>
      </c>
      <c r="C132" s="292">
        <v>1</v>
      </c>
      <c r="D132" s="292">
        <v>4</v>
      </c>
      <c r="E132" s="292" t="s">
        <v>444</v>
      </c>
      <c r="F132" s="292"/>
      <c r="G132" s="253" t="s">
        <v>222</v>
      </c>
      <c r="H132" s="253"/>
      <c r="I132" s="253"/>
      <c r="J132" s="354">
        <f>+J135</f>
        <v>0</v>
      </c>
      <c r="K132" s="355">
        <f>+K135</f>
        <v>0</v>
      </c>
      <c r="L132" s="355">
        <f>SUM(L133:L135)</f>
        <v>26522000</v>
      </c>
      <c r="M132" s="355">
        <f>SUM(M133:M135)</f>
        <v>5775000</v>
      </c>
      <c r="N132" s="355">
        <f>SUM(N133:N135)</f>
        <v>32297000</v>
      </c>
      <c r="O132" s="346">
        <f>N132-K132</f>
        <v>32297000</v>
      </c>
      <c r="P132" s="347">
        <v>0</v>
      </c>
      <c r="Q132" s="441"/>
      <c r="R132" s="422"/>
    </row>
    <row r="133" spans="1:19" s="189" customFormat="1">
      <c r="A133" s="289"/>
      <c r="B133" s="292">
        <v>4</v>
      </c>
      <c r="C133" s="292">
        <v>1</v>
      </c>
      <c r="D133" s="292">
        <v>4</v>
      </c>
      <c r="E133" s="292" t="s">
        <v>444</v>
      </c>
      <c r="F133" s="292" t="s">
        <v>440</v>
      </c>
      <c r="G133" s="253" t="s">
        <v>73</v>
      </c>
      <c r="H133" s="253"/>
      <c r="I133" s="253"/>
      <c r="J133" s="354">
        <v>0</v>
      </c>
      <c r="K133" s="355">
        <v>0</v>
      </c>
      <c r="L133" s="355"/>
      <c r="M133" s="355">
        <f>[55]Perdinas!$P$86</f>
        <v>0</v>
      </c>
      <c r="N133" s="355">
        <f>M133+L133</f>
        <v>0</v>
      </c>
      <c r="O133" s="355">
        <f>N133-K133</f>
        <v>0</v>
      </c>
      <c r="P133" s="388"/>
      <c r="Q133" s="441"/>
      <c r="R133" s="422"/>
    </row>
    <row r="134" spans="1:19" s="189" customFormat="1">
      <c r="A134" s="289"/>
      <c r="B134" s="292">
        <v>4</v>
      </c>
      <c r="C134" s="292">
        <v>1</v>
      </c>
      <c r="D134" s="292">
        <v>4</v>
      </c>
      <c r="E134" s="292" t="s">
        <v>444</v>
      </c>
      <c r="F134" s="292" t="s">
        <v>445</v>
      </c>
      <c r="G134" s="253" t="s">
        <v>74</v>
      </c>
      <c r="H134" s="253"/>
      <c r="I134" s="253"/>
      <c r="J134" s="354">
        <v>0</v>
      </c>
      <c r="K134" s="355">
        <v>0</v>
      </c>
      <c r="L134" s="355"/>
      <c r="M134" s="355">
        <f>[55]Perdinas!$P$87</f>
        <v>0</v>
      </c>
      <c r="N134" s="355">
        <f>M134+L134</f>
        <v>0</v>
      </c>
      <c r="O134" s="355">
        <f>N134-K134</f>
        <v>0</v>
      </c>
      <c r="P134" s="388"/>
      <c r="Q134" s="441"/>
      <c r="R134" s="422"/>
    </row>
    <row r="135" spans="1:19" s="189" customFormat="1">
      <c r="A135" s="289"/>
      <c r="B135" s="292">
        <v>4</v>
      </c>
      <c r="C135" s="292">
        <v>1</v>
      </c>
      <c r="D135" s="292">
        <v>4</v>
      </c>
      <c r="E135" s="292" t="s">
        <v>444</v>
      </c>
      <c r="F135" s="292" t="s">
        <v>441</v>
      </c>
      <c r="G135" s="253" t="s">
        <v>75</v>
      </c>
      <c r="H135" s="253"/>
      <c r="I135" s="253"/>
      <c r="J135" s="354">
        <v>0</v>
      </c>
      <c r="K135" s="355">
        <v>0</v>
      </c>
      <c r="L135" s="355">
        <f>[56]PerDinas!$N$135</f>
        <v>26522000</v>
      </c>
      <c r="M135" s="373">
        <f>[55]Perdinas!$P$88</f>
        <v>5775000</v>
      </c>
      <c r="N135" s="369">
        <f>M135+L135</f>
        <v>32297000</v>
      </c>
      <c r="O135" s="355">
        <f>N135-K135</f>
        <v>32297000</v>
      </c>
      <c r="P135" s="388"/>
      <c r="Q135" s="633"/>
      <c r="R135" s="422"/>
    </row>
    <row r="136" spans="1:19" s="189" customFormat="1">
      <c r="A136" s="289"/>
      <c r="B136" s="292"/>
      <c r="C136" s="292"/>
      <c r="D136" s="292"/>
      <c r="E136" s="292"/>
      <c r="F136" s="292"/>
      <c r="G136" s="253"/>
      <c r="H136" s="253"/>
      <c r="I136" s="253"/>
      <c r="J136" s="354"/>
      <c r="K136" s="355"/>
      <c r="L136" s="355"/>
      <c r="M136" s="355"/>
      <c r="N136" s="355"/>
      <c r="O136" s="355"/>
      <c r="P136" s="388"/>
      <c r="Q136" s="441"/>
      <c r="R136" s="422"/>
    </row>
    <row r="137" spans="1:19" s="189" customFormat="1">
      <c r="A137" s="294"/>
      <c r="B137" s="292">
        <v>4</v>
      </c>
      <c r="C137" s="292">
        <v>1</v>
      </c>
      <c r="D137" s="292">
        <v>4</v>
      </c>
      <c r="E137" s="292" t="s">
        <v>948</v>
      </c>
      <c r="F137" s="292"/>
      <c r="G137" s="253" t="s">
        <v>321</v>
      </c>
      <c r="H137" s="253"/>
      <c r="I137" s="253"/>
      <c r="J137" s="354">
        <f>+J138</f>
        <v>0</v>
      </c>
      <c r="K137" s="355">
        <f>+K138</f>
        <v>0</v>
      </c>
      <c r="L137" s="355">
        <f>L138</f>
        <v>0</v>
      </c>
      <c r="M137" s="355">
        <f>M138</f>
        <v>0</v>
      </c>
      <c r="N137" s="355">
        <f>N138</f>
        <v>0</v>
      </c>
      <c r="O137" s="346">
        <f>N137-K137</f>
        <v>0</v>
      </c>
      <c r="P137" s="347">
        <v>0</v>
      </c>
      <c r="Q137" s="441"/>
      <c r="R137" s="422"/>
    </row>
    <row r="138" spans="1:19" s="245" customFormat="1">
      <c r="A138" s="1372"/>
      <c r="B138" s="655">
        <v>4</v>
      </c>
      <c r="C138" s="655">
        <v>1</v>
      </c>
      <c r="D138" s="655">
        <v>4</v>
      </c>
      <c r="E138" s="655" t="s">
        <v>948</v>
      </c>
      <c r="F138" s="655" t="s">
        <v>437</v>
      </c>
      <c r="G138" s="656" t="s">
        <v>50</v>
      </c>
      <c r="H138" s="656"/>
      <c r="I138" s="656" t="s">
        <v>76</v>
      </c>
      <c r="J138" s="526"/>
      <c r="K138" s="527"/>
      <c r="L138" s="527">
        <f>[56]PerDinas!$N$138</f>
        <v>0</v>
      </c>
      <c r="M138" s="527">
        <f>[55]Perdinas!$P$89</f>
        <v>0</v>
      </c>
      <c r="N138" s="527">
        <f>M138+L138</f>
        <v>0</v>
      </c>
      <c r="O138" s="527">
        <f>N138-K138</f>
        <v>0</v>
      </c>
      <c r="P138" s="671">
        <v>0</v>
      </c>
      <c r="Q138" s="644"/>
      <c r="R138" s="450"/>
    </row>
    <row r="139" spans="1:19" s="249" customFormat="1" ht="12.7" customHeight="1">
      <c r="A139" s="1373"/>
      <c r="B139" s="1374" t="s">
        <v>58</v>
      </c>
      <c r="C139" s="1374" t="s">
        <v>438</v>
      </c>
      <c r="D139" s="1374" t="s">
        <v>437</v>
      </c>
      <c r="E139" s="1374" t="s">
        <v>451</v>
      </c>
      <c r="F139" s="1374"/>
      <c r="G139" s="1375" t="s">
        <v>724</v>
      </c>
      <c r="H139" s="1376"/>
      <c r="I139" s="1388"/>
      <c r="J139" s="1389">
        <f>+J141</f>
        <v>1660700000</v>
      </c>
      <c r="K139" s="1390">
        <f>+K141</f>
        <v>4000000000</v>
      </c>
      <c r="L139" s="1390">
        <f>+L141</f>
        <v>4996153495</v>
      </c>
      <c r="M139" s="1390">
        <f>+M141</f>
        <v>464634000</v>
      </c>
      <c r="N139" s="1390">
        <f t="shared" ref="N139:N144" si="19">+M139+L139</f>
        <v>5460787495</v>
      </c>
      <c r="O139" s="1390">
        <f>N139-K139</f>
        <v>1460787495</v>
      </c>
      <c r="P139" s="1391">
        <f t="shared" ref="P139:P145" si="20">N139/K139*100</f>
        <v>136.51968737499999</v>
      </c>
      <c r="Q139" s="1404"/>
      <c r="R139" s="5863"/>
      <c r="S139" s="5863"/>
    </row>
    <row r="140" spans="1:19" s="189" customFormat="1">
      <c r="A140" s="1323"/>
      <c r="B140" s="1324"/>
      <c r="C140" s="1324"/>
      <c r="D140" s="1324"/>
      <c r="E140" s="1324"/>
      <c r="F140" s="1324"/>
      <c r="G140" s="1365"/>
      <c r="H140" s="1365"/>
      <c r="I140" s="1365"/>
      <c r="J140" s="757"/>
      <c r="K140" s="758"/>
      <c r="L140" s="758"/>
      <c r="M140" s="758"/>
      <c r="N140" s="758"/>
      <c r="O140" s="758"/>
      <c r="P140" s="690"/>
      <c r="Q140" s="782"/>
      <c r="R140" s="422"/>
    </row>
    <row r="141" spans="1:19" s="189" customFormat="1">
      <c r="A141" s="294"/>
      <c r="B141" s="290">
        <v>4</v>
      </c>
      <c r="C141" s="290">
        <v>1</v>
      </c>
      <c r="D141" s="290"/>
      <c r="E141" s="290"/>
      <c r="F141" s="290"/>
      <c r="G141" s="291" t="s">
        <v>180</v>
      </c>
      <c r="H141" s="291"/>
      <c r="I141" s="291"/>
      <c r="J141" s="387">
        <f>+J143+J147</f>
        <v>1660700000</v>
      </c>
      <c r="K141" s="367">
        <f>+K143+K147</f>
        <v>4000000000</v>
      </c>
      <c r="L141" s="367">
        <f>+L143+L147</f>
        <v>4996153495</v>
      </c>
      <c r="M141" s="367">
        <f>+M143+M147</f>
        <v>464634000</v>
      </c>
      <c r="N141" s="367">
        <f t="shared" si="19"/>
        <v>5460787495</v>
      </c>
      <c r="O141" s="367">
        <f>N141-K141</f>
        <v>1460787495</v>
      </c>
      <c r="P141" s="347">
        <f t="shared" si="20"/>
        <v>136.51968737499999</v>
      </c>
      <c r="Q141" s="454"/>
      <c r="R141" s="422"/>
    </row>
    <row r="142" spans="1:19" s="189" customFormat="1">
      <c r="A142" s="289"/>
      <c r="B142" s="292"/>
      <c r="C142" s="292"/>
      <c r="D142" s="292"/>
      <c r="E142" s="292"/>
      <c r="F142" s="292"/>
      <c r="G142" s="253"/>
      <c r="H142" s="253"/>
      <c r="I142" s="291"/>
      <c r="J142" s="387"/>
      <c r="K142" s="367"/>
      <c r="L142" s="367"/>
      <c r="M142" s="367"/>
      <c r="N142" s="367"/>
      <c r="O142" s="367"/>
      <c r="P142" s="347"/>
      <c r="Q142" s="454"/>
      <c r="R142" s="422"/>
    </row>
    <row r="143" spans="1:19" s="189" customFormat="1">
      <c r="A143" s="294"/>
      <c r="B143" s="290">
        <v>4</v>
      </c>
      <c r="C143" s="290">
        <v>1</v>
      </c>
      <c r="D143" s="290">
        <v>2</v>
      </c>
      <c r="E143" s="290"/>
      <c r="F143" s="290"/>
      <c r="G143" s="291" t="s">
        <v>106</v>
      </c>
      <c r="H143" s="291"/>
      <c r="I143" s="291"/>
      <c r="J143" s="387">
        <f t="shared" ref="J143:M144" si="21">+J144</f>
        <v>1660200000</v>
      </c>
      <c r="K143" s="367">
        <f t="shared" si="21"/>
        <v>4000000000</v>
      </c>
      <c r="L143" s="1066">
        <f t="shared" si="21"/>
        <v>4106650000</v>
      </c>
      <c r="M143" s="367">
        <f t="shared" si="21"/>
        <v>464634000</v>
      </c>
      <c r="N143" s="367">
        <f t="shared" si="19"/>
        <v>4571284000</v>
      </c>
      <c r="O143" s="367">
        <f>N143-K143</f>
        <v>571284000</v>
      </c>
      <c r="P143" s="347">
        <f t="shared" si="20"/>
        <v>114.28210000000001</v>
      </c>
      <c r="Q143" s="454"/>
      <c r="R143" s="422"/>
    </row>
    <row r="144" spans="1:19" s="189" customFormat="1">
      <c r="A144" s="294"/>
      <c r="B144" s="292">
        <v>4</v>
      </c>
      <c r="C144" s="292">
        <v>1</v>
      </c>
      <c r="D144" s="292">
        <v>2</v>
      </c>
      <c r="E144" s="292" t="s">
        <v>437</v>
      </c>
      <c r="F144" s="292"/>
      <c r="G144" s="253" t="s">
        <v>107</v>
      </c>
      <c r="H144" s="253"/>
      <c r="I144" s="291"/>
      <c r="J144" s="345">
        <f t="shared" si="21"/>
        <v>1660200000</v>
      </c>
      <c r="K144" s="346">
        <f t="shared" si="21"/>
        <v>4000000000</v>
      </c>
      <c r="L144" s="660">
        <f t="shared" si="21"/>
        <v>4106650000</v>
      </c>
      <c r="M144" s="346">
        <f t="shared" si="21"/>
        <v>464634000</v>
      </c>
      <c r="N144" s="346">
        <f t="shared" si="19"/>
        <v>4571284000</v>
      </c>
      <c r="O144" s="346">
        <f>N144-K144</f>
        <v>571284000</v>
      </c>
      <c r="P144" s="347">
        <f t="shared" si="20"/>
        <v>114.28210000000001</v>
      </c>
      <c r="Q144" s="1344"/>
      <c r="R144" s="422"/>
    </row>
    <row r="145" spans="1:18" s="189" customFormat="1">
      <c r="A145" s="294"/>
      <c r="B145" s="292">
        <v>4</v>
      </c>
      <c r="C145" s="292">
        <v>1</v>
      </c>
      <c r="D145" s="292">
        <v>2</v>
      </c>
      <c r="E145" s="292" t="s">
        <v>437</v>
      </c>
      <c r="F145" s="292" t="s">
        <v>437</v>
      </c>
      <c r="G145" s="253" t="s">
        <v>84</v>
      </c>
      <c r="H145" s="253"/>
      <c r="I145" s="253"/>
      <c r="J145" s="354">
        <v>1660200000</v>
      </c>
      <c r="K145" s="373">
        <f>'[55]TARGET VERSI LAMA'!$E$73</f>
        <v>4000000000</v>
      </c>
      <c r="L145" s="360">
        <f>[56]PerDinas!$N$145</f>
        <v>4106650000</v>
      </c>
      <c r="M145" s="373">
        <f>[55]Perdinas!$P$93</f>
        <v>464634000</v>
      </c>
      <c r="N145" s="369">
        <f>M145+L145</f>
        <v>4571284000</v>
      </c>
      <c r="O145" s="355">
        <f>N145-K145</f>
        <v>571284000</v>
      </c>
      <c r="P145" s="388">
        <f t="shared" si="20"/>
        <v>114.28210000000001</v>
      </c>
      <c r="Q145" s="441"/>
      <c r="R145" s="545"/>
    </row>
    <row r="146" spans="1:18" s="189" customFormat="1">
      <c r="A146" s="289"/>
      <c r="B146" s="292"/>
      <c r="C146" s="292"/>
      <c r="D146" s="292"/>
      <c r="E146" s="292"/>
      <c r="F146" s="292"/>
      <c r="G146" s="253"/>
      <c r="H146" s="253"/>
      <c r="I146" s="253"/>
      <c r="J146" s="354"/>
      <c r="K146" s="355"/>
      <c r="L146" s="360"/>
      <c r="M146" s="355"/>
      <c r="N146" s="355"/>
      <c r="O146" s="355"/>
      <c r="P146" s="388"/>
      <c r="Q146" s="1405"/>
      <c r="R146" s="636"/>
    </row>
    <row r="147" spans="1:18" s="189" customFormat="1">
      <c r="A147" s="294"/>
      <c r="B147" s="290">
        <v>4</v>
      </c>
      <c r="C147" s="290">
        <v>1</v>
      </c>
      <c r="D147" s="290">
        <v>4</v>
      </c>
      <c r="E147" s="290"/>
      <c r="F147" s="290"/>
      <c r="G147" s="291" t="s">
        <v>71</v>
      </c>
      <c r="H147" s="291"/>
      <c r="I147" s="291"/>
      <c r="J147" s="370">
        <f>+J155</f>
        <v>500000</v>
      </c>
      <c r="K147" s="371">
        <f>+K155+K151+K148</f>
        <v>0</v>
      </c>
      <c r="L147" s="372">
        <f>+L155+L151+L148</f>
        <v>889503495</v>
      </c>
      <c r="M147" s="371">
        <f>+M155+M151+M148</f>
        <v>0</v>
      </c>
      <c r="N147" s="371">
        <f>M147+L147</f>
        <v>889503495</v>
      </c>
      <c r="O147" s="367">
        <f t="shared" ref="O147:O156" si="22">N147-K147</f>
        <v>889503495</v>
      </c>
      <c r="P147" s="399">
        <v>0</v>
      </c>
      <c r="Q147" s="1405"/>
      <c r="R147" s="545"/>
    </row>
    <row r="148" spans="1:18" s="189" customFormat="1" ht="15.05">
      <c r="A148" s="294"/>
      <c r="B148" s="290">
        <v>4</v>
      </c>
      <c r="C148" s="290">
        <v>1</v>
      </c>
      <c r="D148" s="290">
        <v>4</v>
      </c>
      <c r="E148" s="290" t="s">
        <v>441</v>
      </c>
      <c r="F148" s="290"/>
      <c r="G148" s="291" t="s">
        <v>557</v>
      </c>
      <c r="H148" s="291"/>
      <c r="I148" s="291"/>
      <c r="J148" s="370"/>
      <c r="K148" s="830">
        <f>K149</f>
        <v>0</v>
      </c>
      <c r="L148" s="1392">
        <f>L149</f>
        <v>0</v>
      </c>
      <c r="M148" s="830">
        <f>M149</f>
        <v>0</v>
      </c>
      <c r="N148" s="830">
        <f>M148+L148</f>
        <v>0</v>
      </c>
      <c r="O148" s="831">
        <f t="shared" si="22"/>
        <v>0</v>
      </c>
      <c r="P148" s="399"/>
      <c r="Q148" s="1405"/>
      <c r="R148" s="422"/>
    </row>
    <row r="149" spans="1:18" s="189" customFormat="1">
      <c r="A149" s="294"/>
      <c r="B149" s="292">
        <v>4</v>
      </c>
      <c r="C149" s="292">
        <v>1</v>
      </c>
      <c r="D149" s="292">
        <v>4</v>
      </c>
      <c r="E149" s="292" t="s">
        <v>441</v>
      </c>
      <c r="F149" s="292" t="s">
        <v>437</v>
      </c>
      <c r="G149" s="253" t="s">
        <v>72</v>
      </c>
      <c r="H149" s="291"/>
      <c r="I149" s="291"/>
      <c r="J149" s="370"/>
      <c r="K149" s="355"/>
      <c r="L149" s="360">
        <f>[56]PerDinas!$N$149</f>
        <v>0</v>
      </c>
      <c r="M149" s="355">
        <f>[55]Perdinas!$P$96</f>
        <v>0</v>
      </c>
      <c r="N149" s="355">
        <f>M149+L149</f>
        <v>0</v>
      </c>
      <c r="O149" s="346">
        <f t="shared" si="22"/>
        <v>0</v>
      </c>
      <c r="P149" s="347"/>
      <c r="Q149" s="1405"/>
      <c r="R149" s="422"/>
    </row>
    <row r="150" spans="1:18" s="189" customFormat="1">
      <c r="A150" s="294"/>
      <c r="B150" s="290"/>
      <c r="C150" s="290"/>
      <c r="D150" s="290"/>
      <c r="E150" s="290"/>
      <c r="F150" s="290"/>
      <c r="G150" s="291"/>
      <c r="H150" s="291"/>
      <c r="I150" s="291"/>
      <c r="J150" s="370"/>
      <c r="K150" s="355"/>
      <c r="L150" s="360"/>
      <c r="M150" s="355"/>
      <c r="N150" s="355"/>
      <c r="O150" s="346"/>
      <c r="P150" s="347"/>
      <c r="Q150" s="1405"/>
      <c r="R150" s="422"/>
    </row>
    <row r="151" spans="1:18" s="189" customFormat="1">
      <c r="A151" s="293"/>
      <c r="B151" s="292">
        <v>4</v>
      </c>
      <c r="C151" s="292">
        <v>1</v>
      </c>
      <c r="D151" s="292">
        <v>4</v>
      </c>
      <c r="E151" s="292" t="s">
        <v>444</v>
      </c>
      <c r="F151" s="292"/>
      <c r="G151" s="253" t="s">
        <v>222</v>
      </c>
      <c r="H151" s="253"/>
      <c r="I151" s="253"/>
      <c r="J151" s="354">
        <v>0</v>
      </c>
      <c r="K151" s="355">
        <f>+K154</f>
        <v>0</v>
      </c>
      <c r="L151" s="360">
        <f>SUM(L152:L154)</f>
        <v>0</v>
      </c>
      <c r="M151" s="355">
        <f>SUM(M152:M154)</f>
        <v>0</v>
      </c>
      <c r="N151" s="355">
        <f>SUM(N152:N154)</f>
        <v>0</v>
      </c>
      <c r="O151" s="346">
        <f t="shared" si="22"/>
        <v>0</v>
      </c>
      <c r="P151" s="347"/>
      <c r="Q151" s="1405"/>
      <c r="R151" s="422"/>
    </row>
    <row r="152" spans="1:18" s="189" customFormat="1">
      <c r="A152" s="289"/>
      <c r="B152" s="292">
        <v>4</v>
      </c>
      <c r="C152" s="292">
        <v>1</v>
      </c>
      <c r="D152" s="292">
        <v>4</v>
      </c>
      <c r="E152" s="292" t="s">
        <v>444</v>
      </c>
      <c r="F152" s="292" t="s">
        <v>440</v>
      </c>
      <c r="G152" s="253" t="s">
        <v>73</v>
      </c>
      <c r="H152" s="253"/>
      <c r="I152" s="253"/>
      <c r="J152" s="354"/>
      <c r="K152" s="355"/>
      <c r="L152" s="360">
        <v>0</v>
      </c>
      <c r="M152" s="355">
        <f>[55]Perdinas!$P$97</f>
        <v>0</v>
      </c>
      <c r="N152" s="355">
        <f>M152+L152</f>
        <v>0</v>
      </c>
      <c r="O152" s="355">
        <f t="shared" si="22"/>
        <v>0</v>
      </c>
      <c r="P152" s="388"/>
      <c r="Q152" s="1405"/>
      <c r="R152" s="422"/>
    </row>
    <row r="153" spans="1:18" s="189" customFormat="1">
      <c r="A153" s="289"/>
      <c r="B153" s="292">
        <v>4</v>
      </c>
      <c r="C153" s="292">
        <v>1</v>
      </c>
      <c r="D153" s="292">
        <v>4</v>
      </c>
      <c r="E153" s="292" t="s">
        <v>444</v>
      </c>
      <c r="F153" s="292" t="s">
        <v>445</v>
      </c>
      <c r="G153" s="253" t="s">
        <v>74</v>
      </c>
      <c r="H153" s="253"/>
      <c r="I153" s="253"/>
      <c r="J153" s="354"/>
      <c r="K153" s="355"/>
      <c r="L153" s="360">
        <v>0</v>
      </c>
      <c r="M153" s="355">
        <f>[55]Perdinas!$P$98</f>
        <v>0</v>
      </c>
      <c r="N153" s="355">
        <f>M153+L153</f>
        <v>0</v>
      </c>
      <c r="O153" s="355">
        <f t="shared" si="22"/>
        <v>0</v>
      </c>
      <c r="P153" s="388"/>
      <c r="Q153" s="441"/>
      <c r="R153" s="422"/>
    </row>
    <row r="154" spans="1:18" s="189" customFormat="1">
      <c r="A154" s="293"/>
      <c r="B154" s="292">
        <v>4</v>
      </c>
      <c r="C154" s="292">
        <v>1</v>
      </c>
      <c r="D154" s="292">
        <v>4</v>
      </c>
      <c r="E154" s="292" t="s">
        <v>444</v>
      </c>
      <c r="F154" s="292" t="s">
        <v>441</v>
      </c>
      <c r="G154" s="253" t="s">
        <v>75</v>
      </c>
      <c r="H154" s="253"/>
      <c r="I154" s="253"/>
      <c r="J154" s="354">
        <v>0</v>
      </c>
      <c r="K154" s="355">
        <f>'[55]TARGET VERSI LAMA'!$E$76</f>
        <v>0</v>
      </c>
      <c r="L154" s="1194">
        <f>[56]PerDinas!$N$154</f>
        <v>0</v>
      </c>
      <c r="M154" s="355">
        <f>[55]Perdinas!$P$99</f>
        <v>0</v>
      </c>
      <c r="N154" s="369">
        <f>M154+L154</f>
        <v>0</v>
      </c>
      <c r="O154" s="355">
        <f t="shared" si="22"/>
        <v>0</v>
      </c>
      <c r="P154" s="388"/>
      <c r="Q154" s="441"/>
      <c r="R154" s="422"/>
    </row>
    <row r="155" spans="1:18" s="189" customFormat="1" ht="15.05">
      <c r="A155" s="294"/>
      <c r="B155" s="292">
        <v>4</v>
      </c>
      <c r="C155" s="292">
        <v>1</v>
      </c>
      <c r="D155" s="292">
        <v>4</v>
      </c>
      <c r="E155" s="292" t="s">
        <v>948</v>
      </c>
      <c r="F155" s="292"/>
      <c r="G155" s="253" t="s">
        <v>321</v>
      </c>
      <c r="H155" s="253"/>
      <c r="I155" s="253"/>
      <c r="J155" s="354">
        <f>+J156</f>
        <v>500000</v>
      </c>
      <c r="K155" s="355">
        <f>+K156</f>
        <v>0</v>
      </c>
      <c r="L155" s="830">
        <f>L156</f>
        <v>889503495</v>
      </c>
      <c r="M155" s="830">
        <f>M156</f>
        <v>0</v>
      </c>
      <c r="N155" s="830">
        <f>N156</f>
        <v>889503495</v>
      </c>
      <c r="O155" s="831">
        <f t="shared" si="22"/>
        <v>889503495</v>
      </c>
      <c r="P155" s="1393" t="e">
        <f>N155/K155*100</f>
        <v>#DIV/0!</v>
      </c>
      <c r="Q155" s="441"/>
      <c r="R155" s="422"/>
    </row>
    <row r="156" spans="1:18" s="245" customFormat="1">
      <c r="A156" s="1372"/>
      <c r="B156" s="655">
        <v>4</v>
      </c>
      <c r="C156" s="655">
        <v>1</v>
      </c>
      <c r="D156" s="655">
        <v>4</v>
      </c>
      <c r="E156" s="655" t="s">
        <v>948</v>
      </c>
      <c r="F156" s="655" t="s">
        <v>437</v>
      </c>
      <c r="G156" s="656" t="s">
        <v>50</v>
      </c>
      <c r="H156" s="656"/>
      <c r="I156" s="656" t="s">
        <v>85</v>
      </c>
      <c r="J156" s="526">
        <v>500000</v>
      </c>
      <c r="K156" s="527">
        <f>'[55]TARGET VERSI LAMA'!$E$77</f>
        <v>0</v>
      </c>
      <c r="L156" s="1394">
        <f>[56]PerDinas!$N$622</f>
        <v>889503495</v>
      </c>
      <c r="M156" s="681">
        <f>[55]Perdinas!$P$398</f>
        <v>0</v>
      </c>
      <c r="N156" s="1395">
        <f t="shared" ref="N156:N161" si="23">M156+L156</f>
        <v>889503495</v>
      </c>
      <c r="O156" s="527">
        <f t="shared" si="22"/>
        <v>889503495</v>
      </c>
      <c r="P156" s="671" t="e">
        <f>N156/K156*100</f>
        <v>#DIV/0!</v>
      </c>
      <c r="Q156" s="644"/>
      <c r="R156" s="450"/>
    </row>
    <row r="157" spans="1:18" s="244" customFormat="1">
      <c r="A157" s="1377" t="s">
        <v>100</v>
      </c>
      <c r="B157" s="1378" t="s">
        <v>58</v>
      </c>
      <c r="C157" s="1378" t="s">
        <v>438</v>
      </c>
      <c r="D157" s="1378" t="s">
        <v>438</v>
      </c>
      <c r="E157" s="1378"/>
      <c r="F157" s="1378"/>
      <c r="G157" s="1379" t="s">
        <v>99</v>
      </c>
      <c r="H157" s="1379"/>
      <c r="I157" s="1379"/>
      <c r="J157" s="1396" t="e">
        <f>+J159</f>
        <v>#REF!</v>
      </c>
      <c r="K157" s="1397">
        <f>+K159</f>
        <v>100000000000</v>
      </c>
      <c r="L157" s="1397">
        <f>+L159</f>
        <v>106104632784.36</v>
      </c>
      <c r="M157" s="1397">
        <f>+M159</f>
        <v>9390531668.2000008</v>
      </c>
      <c r="N157" s="1397">
        <f t="shared" si="23"/>
        <v>115495164452.56</v>
      </c>
      <c r="O157" s="1397">
        <f>+N157-K157</f>
        <v>15495164452.559998</v>
      </c>
      <c r="P157" s="1398">
        <f>+N157/K157*100</f>
        <v>115.49516445256</v>
      </c>
      <c r="Q157" s="1406"/>
      <c r="R157" s="639"/>
    </row>
    <row r="158" spans="1:18" s="189" customFormat="1">
      <c r="A158" s="1323"/>
      <c r="B158" s="1324"/>
      <c r="C158" s="1324"/>
      <c r="D158" s="1324"/>
      <c r="E158" s="1324"/>
      <c r="F158" s="1324"/>
      <c r="G158" s="1325"/>
      <c r="H158" s="1325"/>
      <c r="I158" s="1325"/>
      <c r="J158" s="757"/>
      <c r="K158" s="758"/>
      <c r="L158" s="758"/>
      <c r="M158" s="758"/>
      <c r="N158" s="758"/>
      <c r="O158" s="758"/>
      <c r="P158" s="690"/>
      <c r="Q158" s="782"/>
      <c r="R158" s="422"/>
    </row>
    <row r="159" spans="1:18" s="189" customFormat="1">
      <c r="A159" s="294"/>
      <c r="B159" s="290">
        <v>4</v>
      </c>
      <c r="C159" s="290">
        <v>1</v>
      </c>
      <c r="D159" s="292"/>
      <c r="E159" s="292"/>
      <c r="F159" s="292"/>
      <c r="G159" s="291" t="s">
        <v>180</v>
      </c>
      <c r="H159" s="291"/>
      <c r="I159" s="291"/>
      <c r="J159" s="387" t="e">
        <f>+J161</f>
        <v>#REF!</v>
      </c>
      <c r="K159" s="1399">
        <f>+K161</f>
        <v>100000000000</v>
      </c>
      <c r="L159" s="367">
        <f>+L161</f>
        <v>106104632784.36</v>
      </c>
      <c r="M159" s="367">
        <f>+M161</f>
        <v>9390531668.2000008</v>
      </c>
      <c r="N159" s="367">
        <f>+M159+L159</f>
        <v>115495164452.56</v>
      </c>
      <c r="O159" s="367">
        <f>N159-K159</f>
        <v>15495164452.559998</v>
      </c>
      <c r="P159" s="347">
        <f>N159/K159*100</f>
        <v>115.49516445256</v>
      </c>
      <c r="Q159" s="454"/>
      <c r="R159" s="422"/>
    </row>
    <row r="160" spans="1:18" s="189" customFormat="1">
      <c r="A160" s="289"/>
      <c r="B160" s="292"/>
      <c r="C160" s="292"/>
      <c r="D160" s="292"/>
      <c r="E160" s="292"/>
      <c r="F160" s="292"/>
      <c r="G160" s="253"/>
      <c r="H160" s="253"/>
      <c r="I160" s="253"/>
      <c r="J160" s="374"/>
      <c r="K160" s="375"/>
      <c r="L160" s="375"/>
      <c r="M160" s="375"/>
      <c r="N160" s="375"/>
      <c r="O160" s="375"/>
      <c r="P160" s="600"/>
      <c r="Q160" s="448"/>
      <c r="R160" s="422"/>
    </row>
    <row r="161" spans="1:19" s="189" customFormat="1">
      <c r="A161" s="294"/>
      <c r="B161" s="290">
        <v>4</v>
      </c>
      <c r="C161" s="290">
        <v>1</v>
      </c>
      <c r="D161" s="290">
        <v>4</v>
      </c>
      <c r="E161" s="290"/>
      <c r="F161" s="290"/>
      <c r="G161" s="291" t="s">
        <v>71</v>
      </c>
      <c r="H161" s="291"/>
      <c r="I161" s="291"/>
      <c r="J161" s="397" t="e">
        <f>J163+J165+J170</f>
        <v>#REF!</v>
      </c>
      <c r="K161" s="398">
        <f>K163+K165+K170+K166+K167</f>
        <v>100000000000</v>
      </c>
      <c r="L161" s="398">
        <f>L163+L165+L170+L166+L167</f>
        <v>106104632784.36</v>
      </c>
      <c r="M161" s="398">
        <f>M163+M165+M170+M166+M167</f>
        <v>9390531668.2000008</v>
      </c>
      <c r="N161" s="398">
        <f t="shared" si="23"/>
        <v>115495164452.56</v>
      </c>
      <c r="O161" s="367">
        <f>N161-K161</f>
        <v>15495164452.559998</v>
      </c>
      <c r="P161" s="347"/>
      <c r="Q161" s="699"/>
      <c r="R161" s="422"/>
    </row>
    <row r="162" spans="1:19" s="189" customFormat="1">
      <c r="A162" s="294"/>
      <c r="B162" s="290"/>
      <c r="C162" s="290"/>
      <c r="D162" s="290"/>
      <c r="E162" s="290"/>
      <c r="F162" s="290"/>
      <c r="G162" s="291"/>
      <c r="H162" s="291"/>
      <c r="I162" s="291"/>
      <c r="J162" s="397"/>
      <c r="K162" s="398"/>
      <c r="L162" s="684"/>
      <c r="M162" s="398"/>
      <c r="N162" s="398"/>
      <c r="O162" s="367"/>
      <c r="P162" s="347"/>
      <c r="Q162" s="699"/>
      <c r="R162" s="422"/>
    </row>
    <row r="163" spans="1:19" s="189" customFormat="1" ht="15.05">
      <c r="A163" s="294"/>
      <c r="B163" s="292">
        <v>4</v>
      </c>
      <c r="C163" s="292">
        <v>1</v>
      </c>
      <c r="D163" s="292" t="s">
        <v>443</v>
      </c>
      <c r="E163" s="292" t="s">
        <v>449</v>
      </c>
      <c r="F163" s="292" t="s">
        <v>437</v>
      </c>
      <c r="G163" s="568" t="s">
        <v>957</v>
      </c>
      <c r="H163" s="291"/>
      <c r="I163" s="291"/>
      <c r="J163" s="387" t="e">
        <f>#REF!+#REF!+#REF!+#REF!+#REF!+#REF!+#REF!+#REF!+#REF!+#REF!+#REF!+#REF!+#REF!+#REF!+#REF!+#REF!+#REF!+#REF!+#REF!+#REF!+#REF!+#REF!+#REF!+#REF!</f>
        <v>#REF!</v>
      </c>
      <c r="K163" s="367">
        <f>'[55]TARGET VERSI LAMA'!$E$81</f>
        <v>100000000000</v>
      </c>
      <c r="L163" s="1066">
        <f>[56]PerDinas!$N$163</f>
        <v>105926445633.36</v>
      </c>
      <c r="M163" s="367">
        <f>[55]Perdinas!$P$104</f>
        <v>9368011668.2000008</v>
      </c>
      <c r="N163" s="777">
        <f t="shared" ref="N163:N168" si="24">M163+L163</f>
        <v>115294457301.56</v>
      </c>
      <c r="O163" s="355">
        <f>N163-K163</f>
        <v>15294457301.559998</v>
      </c>
      <c r="P163" s="388">
        <f>N163/K163*100</f>
        <v>115.29445730156</v>
      </c>
      <c r="Q163" s="438"/>
      <c r="R163" s="554"/>
      <c r="S163" s="643"/>
    </row>
    <row r="164" spans="1:19" s="189" customFormat="1">
      <c r="A164" s="289"/>
      <c r="B164" s="292"/>
      <c r="C164" s="292"/>
      <c r="D164" s="292"/>
      <c r="E164" s="292"/>
      <c r="F164" s="292"/>
      <c r="G164" s="253"/>
      <c r="H164" s="253"/>
      <c r="I164" s="253"/>
      <c r="J164" s="374"/>
      <c r="K164" s="375"/>
      <c r="L164" s="377"/>
      <c r="M164" s="375"/>
      <c r="N164" s="346"/>
      <c r="O164" s="355"/>
      <c r="P164" s="388"/>
      <c r="Q164" s="448"/>
      <c r="R164" s="422"/>
    </row>
    <row r="165" spans="1:19" s="189" customFormat="1">
      <c r="A165" s="293"/>
      <c r="B165" s="292">
        <v>4</v>
      </c>
      <c r="C165" s="292">
        <v>1</v>
      </c>
      <c r="D165" s="292">
        <v>4</v>
      </c>
      <c r="E165" s="292" t="s">
        <v>444</v>
      </c>
      <c r="F165" s="292"/>
      <c r="G165" s="253" t="s">
        <v>222</v>
      </c>
      <c r="H165" s="253"/>
      <c r="I165" s="253"/>
      <c r="J165" s="354">
        <f>SUM(J166:J168)</f>
        <v>0</v>
      </c>
      <c r="K165" s="371">
        <f>K168</f>
        <v>0</v>
      </c>
      <c r="L165" s="371">
        <f>L168</f>
        <v>0</v>
      </c>
      <c r="M165" s="371">
        <f>M168</f>
        <v>22520000</v>
      </c>
      <c r="N165" s="367">
        <f>+M165+L165</f>
        <v>22520000</v>
      </c>
      <c r="O165" s="367">
        <f>N165-K165</f>
        <v>22520000</v>
      </c>
      <c r="P165" s="399"/>
      <c r="Q165" s="441"/>
      <c r="R165" s="422"/>
    </row>
    <row r="166" spans="1:19" s="189" customFormat="1">
      <c r="A166" s="289"/>
      <c r="B166" s="1380">
        <v>4</v>
      </c>
      <c r="C166" s="1380">
        <v>1</v>
      </c>
      <c r="D166" s="1380">
        <v>4</v>
      </c>
      <c r="E166" s="1380" t="s">
        <v>441</v>
      </c>
      <c r="F166" s="1380" t="s">
        <v>437</v>
      </c>
      <c r="G166" s="1381" t="s">
        <v>710</v>
      </c>
      <c r="H166" s="1382"/>
      <c r="I166" s="1382"/>
      <c r="J166" s="609">
        <v>0</v>
      </c>
      <c r="K166" s="610">
        <v>0</v>
      </c>
      <c r="L166" s="611">
        <f>PerDinas!L166</f>
        <v>178187151</v>
      </c>
      <c r="M166" s="610">
        <f>[55]Perdinas!$P$105</f>
        <v>0</v>
      </c>
      <c r="N166" s="610">
        <f t="shared" si="24"/>
        <v>178187151</v>
      </c>
      <c r="O166" s="610">
        <f>N166-K166</f>
        <v>178187151</v>
      </c>
      <c r="P166" s="612"/>
      <c r="Q166" s="645"/>
      <c r="R166" s="422"/>
    </row>
    <row r="167" spans="1:19" s="189" customFormat="1">
      <c r="A167" s="289"/>
      <c r="B167" s="572">
        <v>4</v>
      </c>
      <c r="C167" s="572">
        <v>1</v>
      </c>
      <c r="D167" s="572">
        <v>4</v>
      </c>
      <c r="E167" s="572" t="s">
        <v>449</v>
      </c>
      <c r="F167" s="572" t="s">
        <v>437</v>
      </c>
      <c r="G167" s="573" t="s">
        <v>958</v>
      </c>
      <c r="H167" s="574"/>
      <c r="I167" s="574"/>
      <c r="J167" s="613">
        <v>0</v>
      </c>
      <c r="K167" s="614">
        <v>0</v>
      </c>
      <c r="L167" s="614">
        <v>0</v>
      </c>
      <c r="M167" s="614">
        <f>[55]Perdinas!$P$106</f>
        <v>0</v>
      </c>
      <c r="N167" s="614">
        <f t="shared" si="24"/>
        <v>0</v>
      </c>
      <c r="O167" s="614">
        <f>N167-K167</f>
        <v>0</v>
      </c>
      <c r="P167" s="615"/>
      <c r="Q167" s="646"/>
      <c r="R167" s="422"/>
    </row>
    <row r="168" spans="1:19" s="189" customFormat="1">
      <c r="A168" s="293"/>
      <c r="B168" s="292">
        <v>4</v>
      </c>
      <c r="C168" s="292">
        <v>1</v>
      </c>
      <c r="D168" s="292">
        <v>4</v>
      </c>
      <c r="E168" s="292" t="s">
        <v>444</v>
      </c>
      <c r="F168" s="292" t="s">
        <v>441</v>
      </c>
      <c r="G168" s="253" t="s">
        <v>75</v>
      </c>
      <c r="H168" s="253"/>
      <c r="I168" s="253"/>
      <c r="J168" s="354">
        <v>0</v>
      </c>
      <c r="K168" s="355">
        <f>'[55]TARGET VERSI LAMA'!$E$82</f>
        <v>0</v>
      </c>
      <c r="L168" s="360">
        <f>[56]PerDinas!$N$168</f>
        <v>0</v>
      </c>
      <c r="M168" s="355">
        <f>[55]Perdinas!$P$108</f>
        <v>22520000</v>
      </c>
      <c r="N168" s="369">
        <f t="shared" si="24"/>
        <v>22520000</v>
      </c>
      <c r="O168" s="355">
        <f>N168-K168</f>
        <v>22520000</v>
      </c>
      <c r="P168" s="388">
        <v>0</v>
      </c>
      <c r="Q168" s="441"/>
      <c r="R168" s="422"/>
    </row>
    <row r="169" spans="1:19" s="189" customFormat="1">
      <c r="A169" s="289"/>
      <c r="B169" s="292"/>
      <c r="C169" s="292"/>
      <c r="D169" s="292"/>
      <c r="E169" s="292"/>
      <c r="F169" s="292"/>
      <c r="G169" s="253"/>
      <c r="H169" s="253"/>
      <c r="I169" s="253"/>
      <c r="J169" s="374"/>
      <c r="K169" s="375"/>
      <c r="L169" s="377"/>
      <c r="M169" s="375"/>
      <c r="N169" s="375"/>
      <c r="O169" s="375"/>
      <c r="P169" s="600"/>
      <c r="Q169" s="448"/>
      <c r="R169" s="422"/>
    </row>
    <row r="170" spans="1:19" s="189" customFormat="1">
      <c r="A170" s="294"/>
      <c r="B170" s="292">
        <v>4</v>
      </c>
      <c r="C170" s="292">
        <v>1</v>
      </c>
      <c r="D170" s="292">
        <v>4</v>
      </c>
      <c r="E170" s="292" t="s">
        <v>948</v>
      </c>
      <c r="F170" s="292"/>
      <c r="G170" s="253" t="s">
        <v>321</v>
      </c>
      <c r="H170" s="253"/>
      <c r="I170" s="253"/>
      <c r="J170" s="374">
        <f>+J171</f>
        <v>0</v>
      </c>
      <c r="K170" s="375">
        <f>+K171</f>
        <v>0</v>
      </c>
      <c r="L170" s="377">
        <f>+L171</f>
        <v>0</v>
      </c>
      <c r="M170" s="375">
        <f>+M171</f>
        <v>0</v>
      </c>
      <c r="N170" s="375">
        <f>+N171</f>
        <v>0</v>
      </c>
      <c r="O170" s="346">
        <f>N170-K170</f>
        <v>0</v>
      </c>
      <c r="P170" s="347"/>
      <c r="Q170" s="448"/>
      <c r="R170" s="422"/>
    </row>
    <row r="171" spans="1:19" s="189" customFormat="1">
      <c r="A171" s="294"/>
      <c r="B171" s="292">
        <v>4</v>
      </c>
      <c r="C171" s="292">
        <v>1</v>
      </c>
      <c r="D171" s="292">
        <v>4</v>
      </c>
      <c r="E171" s="292" t="s">
        <v>948</v>
      </c>
      <c r="F171" s="292" t="s">
        <v>437</v>
      </c>
      <c r="G171" s="253" t="s">
        <v>85</v>
      </c>
      <c r="H171" s="253"/>
      <c r="I171" s="253"/>
      <c r="J171" s="374">
        <f>SUM(J172:J172)</f>
        <v>0</v>
      </c>
      <c r="K171" s="375">
        <f>SUM(K172:K172)</f>
        <v>0</v>
      </c>
      <c r="L171" s="375">
        <f>SUM(L172:L172)</f>
        <v>0</v>
      </c>
      <c r="M171" s="375">
        <f>SUM(M172:M172)</f>
        <v>0</v>
      </c>
      <c r="N171" s="375">
        <f>SUM(N172:N172)</f>
        <v>0</v>
      </c>
      <c r="O171" s="355">
        <f>N171-K171</f>
        <v>0</v>
      </c>
      <c r="P171" s="388"/>
      <c r="Q171" s="448"/>
      <c r="R171" s="422"/>
    </row>
    <row r="172" spans="1:19" s="189" customFormat="1">
      <c r="A172" s="289"/>
      <c r="B172" s="292"/>
      <c r="C172" s="292"/>
      <c r="D172" s="292"/>
      <c r="E172" s="292"/>
      <c r="F172" s="292"/>
      <c r="G172" s="253" t="s">
        <v>50</v>
      </c>
      <c r="H172" s="253" t="s">
        <v>85</v>
      </c>
      <c r="I172" s="253"/>
      <c r="J172" s="374">
        <v>0</v>
      </c>
      <c r="K172" s="375">
        <f>'[55]TARGET VERSI LAMA'!$E$83</f>
        <v>0</v>
      </c>
      <c r="L172" s="617">
        <f>[56]PerDinas!$N$172</f>
        <v>0</v>
      </c>
      <c r="M172" s="375">
        <f>[55]Perdinas!$P$109</f>
        <v>0</v>
      </c>
      <c r="N172" s="618">
        <f>+M172+L172</f>
        <v>0</v>
      </c>
      <c r="O172" s="355">
        <f>N172-K172</f>
        <v>0</v>
      </c>
      <c r="P172" s="600"/>
      <c r="Q172" s="448"/>
      <c r="R172" s="422"/>
    </row>
    <row r="173" spans="1:19" s="245" customFormat="1">
      <c r="A173" s="1326"/>
      <c r="B173" s="655"/>
      <c r="C173" s="655"/>
      <c r="D173" s="655"/>
      <c r="E173" s="655"/>
      <c r="F173" s="655"/>
      <c r="G173" s="656"/>
      <c r="H173" s="656"/>
      <c r="I173" s="656"/>
      <c r="J173" s="526"/>
      <c r="K173" s="527"/>
      <c r="L173" s="527"/>
      <c r="M173" s="527"/>
      <c r="N173" s="527"/>
      <c r="O173" s="527"/>
      <c r="P173" s="671"/>
      <c r="Q173" s="644"/>
      <c r="R173" s="450"/>
    </row>
    <row r="174" spans="1:19" s="244" customFormat="1">
      <c r="A174" s="1383" t="s">
        <v>104</v>
      </c>
      <c r="B174" s="1378" t="s">
        <v>58</v>
      </c>
      <c r="C174" s="1378" t="s">
        <v>438</v>
      </c>
      <c r="D174" s="1378" t="s">
        <v>440</v>
      </c>
      <c r="E174" s="1378"/>
      <c r="F174" s="1378"/>
      <c r="G174" s="1379" t="s">
        <v>725</v>
      </c>
      <c r="H174" s="1379"/>
      <c r="J174" s="1396">
        <f>+J176</f>
        <v>6040170000</v>
      </c>
      <c r="K174" s="1397">
        <f>+K176</f>
        <v>14000000000</v>
      </c>
      <c r="L174" s="1397">
        <f>+L176</f>
        <v>11888820301</v>
      </c>
      <c r="M174" s="1397">
        <f>+M176</f>
        <v>1167987154</v>
      </c>
      <c r="N174" s="1397">
        <f t="shared" ref="N174:N179" si="25">M174+L174</f>
        <v>13056807455</v>
      </c>
      <c r="O174" s="1397">
        <f>+N174-K174</f>
        <v>-943192545</v>
      </c>
      <c r="P174" s="1398">
        <f>+N174/K174*100</f>
        <v>93.262910392857151</v>
      </c>
      <c r="Q174" s="1406"/>
      <c r="R174" s="433"/>
    </row>
    <row r="175" spans="1:19" s="189" customFormat="1">
      <c r="A175" s="1323"/>
      <c r="B175" s="1324"/>
      <c r="C175" s="1324"/>
      <c r="D175" s="1324"/>
      <c r="E175" s="1324"/>
      <c r="F175" s="1324"/>
      <c r="G175" s="1325"/>
      <c r="H175" s="1325"/>
      <c r="I175" s="1365"/>
      <c r="J175" s="757"/>
      <c r="K175" s="758"/>
      <c r="L175" s="758"/>
      <c r="M175" s="758"/>
      <c r="N175" s="758"/>
      <c r="O175" s="758"/>
      <c r="P175" s="690"/>
      <c r="Q175" s="782"/>
      <c r="R175" s="422"/>
    </row>
    <row r="176" spans="1:19" s="189" customFormat="1">
      <c r="A176" s="294"/>
      <c r="B176" s="290">
        <v>4</v>
      </c>
      <c r="C176" s="290">
        <v>1</v>
      </c>
      <c r="D176" s="290"/>
      <c r="E176" s="290"/>
      <c r="F176" s="290"/>
      <c r="G176" s="291" t="s">
        <v>180</v>
      </c>
      <c r="H176" s="291"/>
      <c r="I176" s="291"/>
      <c r="J176" s="387">
        <f>+J181+J187</f>
        <v>6040170000</v>
      </c>
      <c r="K176" s="367">
        <f>+K181+K178</f>
        <v>14000000000</v>
      </c>
      <c r="L176" s="367">
        <f>+L181+L178</f>
        <v>11888820301</v>
      </c>
      <c r="M176" s="367">
        <f>+M181+M178</f>
        <v>1167987154</v>
      </c>
      <c r="N176" s="367">
        <f>+M176+L176</f>
        <v>13056807455</v>
      </c>
      <c r="O176" s="367">
        <f>N176-K176</f>
        <v>-943192545</v>
      </c>
      <c r="P176" s="347">
        <f>N176/K176*100</f>
        <v>93.262910392857151</v>
      </c>
      <c r="Q176" s="454"/>
      <c r="R176" s="422"/>
    </row>
    <row r="177" spans="1:18" s="189" customFormat="1">
      <c r="A177" s="289"/>
      <c r="B177" s="292"/>
      <c r="C177" s="292"/>
      <c r="D177" s="292"/>
      <c r="E177" s="292"/>
      <c r="F177" s="292"/>
      <c r="G177" s="253"/>
      <c r="H177" s="253"/>
      <c r="I177" s="253"/>
      <c r="J177" s="387"/>
      <c r="K177" s="367"/>
      <c r="L177" s="367"/>
      <c r="M177" s="367"/>
      <c r="N177" s="367"/>
      <c r="O177" s="367"/>
      <c r="P177" s="347"/>
      <c r="Q177" s="454"/>
      <c r="R177" s="422"/>
    </row>
    <row r="178" spans="1:18" s="189" customFormat="1">
      <c r="A178" s="289"/>
      <c r="B178" s="292">
        <v>4</v>
      </c>
      <c r="C178" s="292">
        <v>1</v>
      </c>
      <c r="D178" s="292" t="s">
        <v>443</v>
      </c>
      <c r="E178" s="292" t="s">
        <v>437</v>
      </c>
      <c r="F178" s="292"/>
      <c r="G178" s="253" t="s">
        <v>959</v>
      </c>
      <c r="H178" s="253"/>
      <c r="I178" s="253"/>
      <c r="J178" s="387"/>
      <c r="K178" s="367">
        <f>K179</f>
        <v>0</v>
      </c>
      <c r="L178" s="367">
        <f>L179</f>
        <v>3882000</v>
      </c>
      <c r="M178" s="367">
        <f>M179</f>
        <v>0</v>
      </c>
      <c r="N178" s="367">
        <f t="shared" si="25"/>
        <v>3882000</v>
      </c>
      <c r="O178" s="367">
        <f>N178-K178</f>
        <v>3882000</v>
      </c>
      <c r="P178" s="347" t="e">
        <f>N178/K178*100</f>
        <v>#DIV/0!</v>
      </c>
      <c r="Q178" s="454"/>
      <c r="R178" s="422"/>
    </row>
    <row r="179" spans="1:18" s="189" customFormat="1">
      <c r="A179" s="289"/>
      <c r="B179" s="292">
        <v>4</v>
      </c>
      <c r="C179" s="292">
        <v>1</v>
      </c>
      <c r="D179" s="292">
        <v>2</v>
      </c>
      <c r="E179" s="292" t="s">
        <v>438</v>
      </c>
      <c r="F179" s="292" t="s">
        <v>437</v>
      </c>
      <c r="G179" s="253" t="s">
        <v>960</v>
      </c>
      <c r="H179" s="253"/>
      <c r="I179" s="253"/>
      <c r="J179" s="387"/>
      <c r="K179" s="367">
        <v>0</v>
      </c>
      <c r="L179" s="346">
        <f>'[58]PERDINAS VERSI LAMA'!$N$179</f>
        <v>3882000</v>
      </c>
      <c r="M179" s="346">
        <f>[55]Perdinas!$P$117</f>
        <v>0</v>
      </c>
      <c r="N179" s="1400">
        <f t="shared" si="25"/>
        <v>3882000</v>
      </c>
      <c r="O179" s="346">
        <f>N179-K179</f>
        <v>3882000</v>
      </c>
      <c r="P179" s="347" t="e">
        <f>N179/K179*100</f>
        <v>#DIV/0!</v>
      </c>
      <c r="Q179" s="454"/>
      <c r="R179" s="422"/>
    </row>
    <row r="180" spans="1:18" s="189" customFormat="1">
      <c r="A180" s="289"/>
      <c r="B180" s="292"/>
      <c r="C180" s="292"/>
      <c r="D180" s="292"/>
      <c r="E180" s="292"/>
      <c r="F180" s="292"/>
      <c r="G180" s="253"/>
      <c r="H180" s="253"/>
      <c r="I180" s="253"/>
      <c r="J180" s="387"/>
      <c r="K180" s="367"/>
      <c r="L180" s="1066"/>
      <c r="M180" s="367"/>
      <c r="N180" s="367"/>
      <c r="O180" s="367"/>
      <c r="P180" s="347"/>
      <c r="Q180" s="454"/>
      <c r="R180" s="422"/>
    </row>
    <row r="181" spans="1:18" s="189" customFormat="1">
      <c r="A181" s="294"/>
      <c r="B181" s="290">
        <v>4</v>
      </c>
      <c r="C181" s="290">
        <v>1</v>
      </c>
      <c r="D181" s="290">
        <v>4</v>
      </c>
      <c r="E181" s="290"/>
      <c r="F181" s="290"/>
      <c r="G181" s="291" t="s">
        <v>71</v>
      </c>
      <c r="H181" s="291"/>
      <c r="I181" s="291"/>
      <c r="J181" s="387">
        <f>+J184</f>
        <v>6000000000</v>
      </c>
      <c r="K181" s="367">
        <f>+K184+K182+K187</f>
        <v>14000000000</v>
      </c>
      <c r="L181" s="367">
        <f>+L184+L182+L187</f>
        <v>11884938301</v>
      </c>
      <c r="M181" s="367">
        <f>+M184+M182+M187</f>
        <v>1167987154</v>
      </c>
      <c r="N181" s="367">
        <f>+M181+L181</f>
        <v>13052925455</v>
      </c>
      <c r="O181" s="367">
        <f>N181-K181</f>
        <v>-947074545</v>
      </c>
      <c r="P181" s="347">
        <f>N181/K181*100</f>
        <v>93.235181821428569</v>
      </c>
      <c r="Q181" s="454"/>
      <c r="R181" s="422"/>
    </row>
    <row r="182" spans="1:18" s="189" customFormat="1">
      <c r="A182" s="294"/>
      <c r="B182" s="292">
        <v>4</v>
      </c>
      <c r="C182" s="292">
        <v>1</v>
      </c>
      <c r="D182" s="292">
        <v>4</v>
      </c>
      <c r="E182" s="292" t="s">
        <v>441</v>
      </c>
      <c r="F182" s="292" t="s">
        <v>437</v>
      </c>
      <c r="G182" s="253" t="s">
        <v>324</v>
      </c>
      <c r="H182" s="291"/>
      <c r="I182" s="291"/>
      <c r="J182" s="387"/>
      <c r="K182" s="346">
        <f>'[55]TARGET VERSI LAMA'!$E$88</f>
        <v>0</v>
      </c>
      <c r="L182" s="346">
        <f>[56]PerDinas!$N$182</f>
        <v>0</v>
      </c>
      <c r="M182" s="346">
        <f>[55]Perdinas!$P$114</f>
        <v>0</v>
      </c>
      <c r="N182" s="1400">
        <f>M182+L182</f>
        <v>0</v>
      </c>
      <c r="O182" s="346">
        <f>N182-K182</f>
        <v>0</v>
      </c>
      <c r="P182" s="347"/>
      <c r="Q182" s="438"/>
      <c r="R182" s="422"/>
    </row>
    <row r="183" spans="1:18" s="189" customFormat="1">
      <c r="A183" s="294"/>
      <c r="B183" s="290"/>
      <c r="C183" s="290"/>
      <c r="D183" s="290"/>
      <c r="E183" s="290"/>
      <c r="F183" s="290"/>
      <c r="G183" s="291"/>
      <c r="H183" s="291"/>
      <c r="I183" s="291"/>
      <c r="J183" s="387"/>
      <c r="K183" s="367"/>
      <c r="L183" s="367"/>
      <c r="M183" s="367"/>
      <c r="N183" s="367"/>
      <c r="O183" s="367"/>
      <c r="P183" s="347"/>
      <c r="Q183" s="454"/>
      <c r="R183" s="422"/>
    </row>
    <row r="184" spans="1:18" s="189" customFormat="1">
      <c r="A184" s="294"/>
      <c r="B184" s="292">
        <v>4</v>
      </c>
      <c r="C184" s="292">
        <v>1</v>
      </c>
      <c r="D184" s="292" t="s">
        <v>443</v>
      </c>
      <c r="E184" s="292" t="s">
        <v>449</v>
      </c>
      <c r="F184" s="292"/>
      <c r="G184" s="253" t="s">
        <v>102</v>
      </c>
      <c r="H184" s="253"/>
      <c r="I184" s="253"/>
      <c r="J184" s="345">
        <f t="shared" ref="J184:O184" si="26">+J185</f>
        <v>6000000000</v>
      </c>
      <c r="K184" s="346">
        <f t="shared" si="26"/>
        <v>14000000000</v>
      </c>
      <c r="L184" s="346">
        <f>L185</f>
        <v>11884938301</v>
      </c>
      <c r="M184" s="346">
        <f>M185</f>
        <v>1167987154</v>
      </c>
      <c r="N184" s="346">
        <f>N185</f>
        <v>13052925455</v>
      </c>
      <c r="O184" s="346">
        <f t="shared" si="26"/>
        <v>-947074545</v>
      </c>
      <c r="P184" s="347">
        <f>N184/K184*100</f>
        <v>93.235181821428569</v>
      </c>
      <c r="Q184" s="650"/>
      <c r="R184" s="422"/>
    </row>
    <row r="185" spans="1:18" s="189" customFormat="1">
      <c r="A185" s="294"/>
      <c r="B185" s="292">
        <v>4</v>
      </c>
      <c r="C185" s="292">
        <v>1</v>
      </c>
      <c r="D185" s="292" t="s">
        <v>443</v>
      </c>
      <c r="E185" s="292" t="s">
        <v>449</v>
      </c>
      <c r="F185" s="292" t="s">
        <v>437</v>
      </c>
      <c r="G185" s="253" t="s">
        <v>957</v>
      </c>
      <c r="H185" s="253"/>
      <c r="I185" s="253"/>
      <c r="J185" s="354">
        <v>6000000000</v>
      </c>
      <c r="K185" s="373">
        <f>'[55]TARGET VERSI LAMA'!$E$87</f>
        <v>14000000000</v>
      </c>
      <c r="L185" s="355">
        <f>[56]PerDinas!$N$185</f>
        <v>11884938301</v>
      </c>
      <c r="M185" s="373">
        <f>[55]Perdinas!$P$113</f>
        <v>1167987154</v>
      </c>
      <c r="N185" s="369">
        <f t="shared" ref="N185:N190" si="27">M185+L185</f>
        <v>13052925455</v>
      </c>
      <c r="O185" s="355">
        <f>N185-K185</f>
        <v>-947074545</v>
      </c>
      <c r="P185" s="388">
        <f>N185/K185*100</f>
        <v>93.235181821428569</v>
      </c>
      <c r="Q185" s="441"/>
      <c r="R185" s="422"/>
    </row>
    <row r="186" spans="1:18" s="189" customFormat="1">
      <c r="A186" s="294"/>
      <c r="B186" s="290"/>
      <c r="C186" s="290"/>
      <c r="D186" s="290"/>
      <c r="E186" s="290"/>
      <c r="F186" s="290"/>
      <c r="G186" s="291"/>
      <c r="H186" s="291"/>
      <c r="I186" s="291"/>
      <c r="J186" s="370"/>
      <c r="K186" s="371"/>
      <c r="L186" s="371"/>
      <c r="M186" s="371"/>
      <c r="N186" s="371"/>
      <c r="O186" s="367"/>
      <c r="P186" s="347"/>
      <c r="Q186" s="651"/>
      <c r="R186" s="422"/>
    </row>
    <row r="187" spans="1:18" s="189" customFormat="1">
      <c r="A187" s="294"/>
      <c r="B187" s="292">
        <v>4</v>
      </c>
      <c r="C187" s="292">
        <v>1</v>
      </c>
      <c r="D187" s="292">
        <v>4</v>
      </c>
      <c r="E187" s="292" t="s">
        <v>449</v>
      </c>
      <c r="F187" s="292"/>
      <c r="G187" s="253" t="s">
        <v>321</v>
      </c>
      <c r="H187" s="253"/>
      <c r="I187" s="253"/>
      <c r="J187" s="354">
        <f>+J188</f>
        <v>40170000</v>
      </c>
      <c r="K187" s="355">
        <f>+K188</f>
        <v>0</v>
      </c>
      <c r="L187" s="355">
        <f>+L188</f>
        <v>0</v>
      </c>
      <c r="M187" s="355">
        <f>+M188</f>
        <v>0</v>
      </c>
      <c r="N187" s="346">
        <f>+M187+L187</f>
        <v>0</v>
      </c>
      <c r="O187" s="346">
        <f t="shared" ref="O187:O192" si="28">N187-K187</f>
        <v>0</v>
      </c>
      <c r="P187" s="347" t="e">
        <f t="shared" ref="P187:P192" si="29">N187/K187*100</f>
        <v>#DIV/0!</v>
      </c>
      <c r="Q187" s="441"/>
      <c r="R187" s="422"/>
    </row>
    <row r="188" spans="1:18" s="189" customFormat="1">
      <c r="A188" s="294"/>
      <c r="B188" s="292">
        <v>4</v>
      </c>
      <c r="C188" s="292">
        <v>1</v>
      </c>
      <c r="D188" s="292">
        <v>4</v>
      </c>
      <c r="E188" s="292" t="s">
        <v>449</v>
      </c>
      <c r="F188" s="292" t="s">
        <v>437</v>
      </c>
      <c r="G188" s="253" t="s">
        <v>85</v>
      </c>
      <c r="H188" s="253"/>
      <c r="I188" s="253"/>
      <c r="J188" s="354">
        <v>40170000</v>
      </c>
      <c r="K188" s="373">
        <f>'[55]TARGET VERSI LAMA'!$E$89</f>
        <v>0</v>
      </c>
      <c r="L188" s="355">
        <f>[56]PerDinas!$N$188</f>
        <v>0</v>
      </c>
      <c r="M188" s="373">
        <f>[55]Perdinas!$P$118</f>
        <v>0</v>
      </c>
      <c r="N188" s="369">
        <f t="shared" si="27"/>
        <v>0</v>
      </c>
      <c r="O188" s="355">
        <f t="shared" si="28"/>
        <v>0</v>
      </c>
      <c r="P188" s="388" t="e">
        <f t="shared" si="29"/>
        <v>#DIV/0!</v>
      </c>
      <c r="Q188" s="441"/>
      <c r="R188" s="422"/>
    </row>
    <row r="189" spans="1:18" s="245" customFormat="1">
      <c r="A189" s="1326"/>
      <c r="B189" s="655"/>
      <c r="C189" s="655"/>
      <c r="D189" s="655"/>
      <c r="E189" s="655"/>
      <c r="F189" s="655"/>
      <c r="G189" s="659"/>
      <c r="H189" s="659"/>
      <c r="I189" s="656"/>
      <c r="J189" s="526"/>
      <c r="K189" s="527"/>
      <c r="L189" s="670"/>
      <c r="M189" s="527"/>
      <c r="N189" s="527"/>
      <c r="O189" s="527"/>
      <c r="P189" s="671"/>
      <c r="Q189" s="644"/>
      <c r="R189" s="450"/>
    </row>
    <row r="190" spans="1:18" s="244" customFormat="1">
      <c r="A190" s="1383" t="s">
        <v>112</v>
      </c>
      <c r="B190" s="1378" t="s">
        <v>58</v>
      </c>
      <c r="C190" s="1378" t="s">
        <v>440</v>
      </c>
      <c r="D190" s="1378" t="s">
        <v>437</v>
      </c>
      <c r="E190" s="1378"/>
      <c r="F190" s="1378"/>
      <c r="G190" s="1379" t="s">
        <v>726</v>
      </c>
      <c r="H190" s="1379"/>
      <c r="I190" s="1379"/>
      <c r="J190" s="1396">
        <f>+J192</f>
        <v>1652875000</v>
      </c>
      <c r="K190" s="1397">
        <f>+K192</f>
        <v>486000000</v>
      </c>
      <c r="L190" s="1397">
        <f>+L192</f>
        <v>1162392307.26</v>
      </c>
      <c r="M190" s="1397">
        <f>+M192</f>
        <v>198569225.84999999</v>
      </c>
      <c r="N190" s="1397">
        <f t="shared" si="27"/>
        <v>1360961533.1099999</v>
      </c>
      <c r="O190" s="1397">
        <f>+N190-K190</f>
        <v>874961533.1099999</v>
      </c>
      <c r="P190" s="1398">
        <f>+N190/K190*100</f>
        <v>280.03323726543209</v>
      </c>
      <c r="Q190" s="1406"/>
      <c r="R190" s="639"/>
    </row>
    <row r="191" spans="1:18" s="189" customFormat="1">
      <c r="A191" s="1384"/>
      <c r="B191" s="1385"/>
      <c r="C191" s="1385"/>
      <c r="D191" s="1385"/>
      <c r="E191" s="1385"/>
      <c r="F191" s="1385"/>
      <c r="G191" s="1386"/>
      <c r="H191" s="1386"/>
      <c r="I191" s="1386"/>
      <c r="J191" s="1401"/>
      <c r="K191" s="1402"/>
      <c r="L191" s="1402"/>
      <c r="M191" s="1402"/>
      <c r="N191" s="1402"/>
      <c r="O191" s="1402"/>
      <c r="P191" s="1403"/>
      <c r="Q191" s="1407"/>
      <c r="R191" s="422"/>
    </row>
    <row r="192" spans="1:18" s="189" customFormat="1">
      <c r="A192" s="293"/>
      <c r="B192" s="290">
        <v>4</v>
      </c>
      <c r="C192" s="290">
        <v>1</v>
      </c>
      <c r="D192" s="290"/>
      <c r="E192" s="290"/>
      <c r="F192" s="290"/>
      <c r="G192" s="291" t="s">
        <v>180</v>
      </c>
      <c r="H192" s="291"/>
      <c r="I192" s="291"/>
      <c r="J192" s="387">
        <f>+J194+J203</f>
        <v>1652875000</v>
      </c>
      <c r="K192" s="367">
        <f>+K194+K203</f>
        <v>486000000</v>
      </c>
      <c r="L192" s="367">
        <f>+L194+L203</f>
        <v>1162392307.26</v>
      </c>
      <c r="M192" s="367">
        <f>+M194+M203</f>
        <v>198569225.84999999</v>
      </c>
      <c r="N192" s="367">
        <f>+M192+L192</f>
        <v>1360961533.1099999</v>
      </c>
      <c r="O192" s="367">
        <f t="shared" si="28"/>
        <v>874961533.1099999</v>
      </c>
      <c r="P192" s="347">
        <f t="shared" si="29"/>
        <v>280.03323726543209</v>
      </c>
      <c r="Q192" s="454"/>
      <c r="R192" s="422"/>
    </row>
    <row r="193" spans="1:19" s="189" customFormat="1">
      <c r="A193" s="293"/>
      <c r="B193" s="292"/>
      <c r="C193" s="292"/>
      <c r="D193" s="292"/>
      <c r="E193" s="292"/>
      <c r="F193" s="292"/>
      <c r="G193" s="253"/>
      <c r="H193" s="253"/>
      <c r="I193" s="291"/>
      <c r="J193" s="345"/>
      <c r="K193" s="346"/>
      <c r="L193" s="660"/>
      <c r="M193" s="346"/>
      <c r="N193" s="346"/>
      <c r="O193" s="346"/>
      <c r="P193" s="347"/>
      <c r="Q193" s="438"/>
      <c r="R193" s="422"/>
    </row>
    <row r="194" spans="1:19" s="189" customFormat="1">
      <c r="A194" s="293"/>
      <c r="B194" s="290">
        <v>4</v>
      </c>
      <c r="C194" s="290">
        <v>1</v>
      </c>
      <c r="D194" s="290">
        <v>2</v>
      </c>
      <c r="E194" s="290"/>
      <c r="F194" s="290"/>
      <c r="G194" s="291" t="s">
        <v>106</v>
      </c>
      <c r="H194" s="291"/>
      <c r="I194" s="291"/>
      <c r="J194" s="387">
        <f>+J195+J198</f>
        <v>282875000</v>
      </c>
      <c r="K194" s="367">
        <f>+K195+K198</f>
        <v>486000000</v>
      </c>
      <c r="L194" s="1066">
        <f>+L195+L198</f>
        <v>343645600</v>
      </c>
      <c r="M194" s="367">
        <f>+M195+M198</f>
        <v>67714400</v>
      </c>
      <c r="N194" s="367">
        <f>+M194+L194</f>
        <v>411360000</v>
      </c>
      <c r="O194" s="367">
        <f>N194-K194</f>
        <v>-74640000</v>
      </c>
      <c r="P194" s="347">
        <f>N194/K194*100</f>
        <v>84.641975308641975</v>
      </c>
      <c r="Q194" s="454"/>
      <c r="R194" s="422"/>
    </row>
    <row r="195" spans="1:19" s="189" customFormat="1">
      <c r="A195" s="293"/>
      <c r="B195" s="292">
        <v>4</v>
      </c>
      <c r="C195" s="292">
        <v>1</v>
      </c>
      <c r="D195" s="292">
        <v>2</v>
      </c>
      <c r="E195" s="292" t="s">
        <v>437</v>
      </c>
      <c r="F195" s="292"/>
      <c r="G195" s="253" t="s">
        <v>107</v>
      </c>
      <c r="H195" s="253"/>
      <c r="I195" s="291"/>
      <c r="J195" s="345">
        <f>+J196</f>
        <v>2875000</v>
      </c>
      <c r="K195" s="346">
        <f>+K196</f>
        <v>19250000</v>
      </c>
      <c r="L195" s="660">
        <f>+L196</f>
        <v>0</v>
      </c>
      <c r="M195" s="346">
        <f>+M196</f>
        <v>0</v>
      </c>
      <c r="N195" s="346">
        <f>+M195+L195</f>
        <v>0</v>
      </c>
      <c r="O195" s="346">
        <f>N195-K195</f>
        <v>-19250000</v>
      </c>
      <c r="P195" s="347">
        <f>N195/K195*100</f>
        <v>0</v>
      </c>
      <c r="Q195" s="438"/>
      <c r="R195" s="422"/>
    </row>
    <row r="196" spans="1:19" s="189" customFormat="1">
      <c r="A196" s="293"/>
      <c r="B196" s="292">
        <v>4</v>
      </c>
      <c r="C196" s="292">
        <v>1</v>
      </c>
      <c r="D196" s="292">
        <v>2</v>
      </c>
      <c r="E196" s="292" t="s">
        <v>437</v>
      </c>
      <c r="F196" s="292" t="s">
        <v>440</v>
      </c>
      <c r="G196" s="253" t="s">
        <v>961</v>
      </c>
      <c r="H196" s="253"/>
      <c r="I196" s="253"/>
      <c r="J196" s="354">
        <v>2875000</v>
      </c>
      <c r="K196" s="373">
        <f>'[55]TARGET VERSI LAMA'!$E$93</f>
        <v>19250000</v>
      </c>
      <c r="L196" s="360">
        <f>[56]PerDinas!$N$196</f>
        <v>0</v>
      </c>
      <c r="M196" s="373">
        <f>[55]Perdinas!$P$122</f>
        <v>0</v>
      </c>
      <c r="N196" s="355">
        <f t="shared" ref="N196:N201" si="30">M196+L196</f>
        <v>0</v>
      </c>
      <c r="O196" s="355">
        <f>N196-K196</f>
        <v>-19250000</v>
      </c>
      <c r="P196" s="388">
        <f>N196/K196*100</f>
        <v>0</v>
      </c>
      <c r="Q196" s="441"/>
      <c r="R196" s="422"/>
    </row>
    <row r="197" spans="1:19" s="189" customFormat="1">
      <c r="A197" s="293"/>
      <c r="B197" s="292"/>
      <c r="C197" s="292"/>
      <c r="D197" s="292"/>
      <c r="E197" s="292"/>
      <c r="F197" s="292"/>
      <c r="G197" s="253"/>
      <c r="H197" s="253"/>
      <c r="I197" s="253"/>
      <c r="J197" s="354"/>
      <c r="K197" s="355"/>
      <c r="L197" s="360"/>
      <c r="M197" s="355"/>
      <c r="N197" s="355"/>
      <c r="O197" s="355"/>
      <c r="P197" s="388"/>
      <c r="Q197" s="441"/>
      <c r="R197" s="422"/>
    </row>
    <row r="198" spans="1:19" s="189" customFormat="1">
      <c r="A198" s="293"/>
      <c r="B198" s="292">
        <v>4</v>
      </c>
      <c r="C198" s="292">
        <v>1</v>
      </c>
      <c r="D198" s="292">
        <v>2</v>
      </c>
      <c r="E198" s="292" t="s">
        <v>438</v>
      </c>
      <c r="F198" s="292"/>
      <c r="G198" s="253" t="s">
        <v>374</v>
      </c>
      <c r="H198" s="253"/>
      <c r="I198" s="253"/>
      <c r="J198" s="345">
        <f>+J199</f>
        <v>280000000</v>
      </c>
      <c r="K198" s="346">
        <f>+K199</f>
        <v>466750000</v>
      </c>
      <c r="L198" s="1411">
        <f>+L199</f>
        <v>343645600</v>
      </c>
      <c r="M198" s="1412">
        <f>+M199</f>
        <v>67714400</v>
      </c>
      <c r="N198" s="1400">
        <f>+M198+L198</f>
        <v>411360000</v>
      </c>
      <c r="O198" s="346">
        <f>N198-K198</f>
        <v>-55390000</v>
      </c>
      <c r="P198" s="347">
        <f>N198/K198*100</f>
        <v>88.132833422603113</v>
      </c>
      <c r="Q198" s="438"/>
      <c r="R198" s="422"/>
    </row>
    <row r="199" spans="1:19" s="189" customFormat="1">
      <c r="A199" s="289"/>
      <c r="B199" s="292">
        <v>4</v>
      </c>
      <c r="C199" s="292">
        <v>1</v>
      </c>
      <c r="D199" s="292">
        <v>2</v>
      </c>
      <c r="E199" s="292" t="s">
        <v>438</v>
      </c>
      <c r="F199" s="292" t="s">
        <v>437</v>
      </c>
      <c r="G199" s="253" t="s">
        <v>64</v>
      </c>
      <c r="H199" s="253"/>
      <c r="I199" s="291"/>
      <c r="J199" s="345">
        <f>+J200</f>
        <v>280000000</v>
      </c>
      <c r="K199" s="346">
        <f>+K200+K201</f>
        <v>466750000</v>
      </c>
      <c r="L199" s="660">
        <f>+L200+L201</f>
        <v>343645600</v>
      </c>
      <c r="M199" s="346">
        <f>+M200+M201</f>
        <v>67714400</v>
      </c>
      <c r="N199" s="355">
        <f t="shared" si="30"/>
        <v>411360000</v>
      </c>
      <c r="O199" s="355">
        <f>N199-K199</f>
        <v>-55390000</v>
      </c>
      <c r="P199" s="388">
        <f>N199/K199*100</f>
        <v>88.132833422603113</v>
      </c>
      <c r="Q199" s="438"/>
      <c r="R199" s="422"/>
    </row>
    <row r="200" spans="1:19" s="189" customFormat="1">
      <c r="A200" s="293"/>
      <c r="B200" s="292"/>
      <c r="C200" s="292"/>
      <c r="D200" s="292"/>
      <c r="E200" s="292"/>
      <c r="F200" s="292"/>
      <c r="G200" s="253" t="s">
        <v>50</v>
      </c>
      <c r="H200" s="253"/>
      <c r="I200" s="253" t="s">
        <v>962</v>
      </c>
      <c r="J200" s="354">
        <v>280000000</v>
      </c>
      <c r="K200" s="668">
        <f>'[55]TARGET VERSI LAMA'!$E$96</f>
        <v>216750000</v>
      </c>
      <c r="L200" s="669">
        <f>[56]PerDinas!$N$200</f>
        <v>64766000</v>
      </c>
      <c r="M200" s="668">
        <f>[55]Perdinas!$P$125</f>
        <v>17400000</v>
      </c>
      <c r="N200" s="355">
        <f t="shared" si="30"/>
        <v>82166000</v>
      </c>
      <c r="O200" s="355">
        <f>N200-K200</f>
        <v>-134584000</v>
      </c>
      <c r="P200" s="388">
        <f>N200/K200*100</f>
        <v>37.90818915801615</v>
      </c>
      <c r="Q200" s="441"/>
      <c r="R200" s="422"/>
    </row>
    <row r="201" spans="1:19" s="189" customFormat="1">
      <c r="A201" s="293"/>
      <c r="B201" s="292"/>
      <c r="C201" s="292"/>
      <c r="D201" s="292"/>
      <c r="E201" s="292"/>
      <c r="F201" s="292"/>
      <c r="G201" s="253" t="s">
        <v>50</v>
      </c>
      <c r="H201" s="253"/>
      <c r="I201" s="253" t="s">
        <v>963</v>
      </c>
      <c r="J201" s="354">
        <v>0</v>
      </c>
      <c r="K201" s="373">
        <f>'[55]TARGET VERSI LAMA'!$E$97</f>
        <v>250000000</v>
      </c>
      <c r="L201" s="360">
        <f>[56]PerDinas!$N$201</f>
        <v>278879600</v>
      </c>
      <c r="M201" s="373">
        <f>[55]Perdinas!$P$126</f>
        <v>50314400</v>
      </c>
      <c r="N201" s="355">
        <f t="shared" si="30"/>
        <v>329194000</v>
      </c>
      <c r="O201" s="355">
        <f>N201-K201</f>
        <v>79194000</v>
      </c>
      <c r="P201" s="388">
        <f>N201/K201*100</f>
        <v>131.67759999999998</v>
      </c>
      <c r="Q201" s="695"/>
      <c r="R201" s="427"/>
    </row>
    <row r="202" spans="1:19" s="189" customFormat="1">
      <c r="A202" s="293"/>
      <c r="B202" s="292"/>
      <c r="C202" s="292"/>
      <c r="D202" s="292"/>
      <c r="E202" s="292"/>
      <c r="F202" s="292"/>
      <c r="G202" s="253"/>
      <c r="H202" s="253"/>
      <c r="I202" s="253"/>
      <c r="J202" s="354"/>
      <c r="K202" s="355"/>
      <c r="L202" s="360"/>
      <c r="M202" s="355"/>
      <c r="N202" s="355"/>
      <c r="O202" s="355"/>
      <c r="P202" s="388"/>
      <c r="Q202" s="441"/>
      <c r="R202" s="422"/>
    </row>
    <row r="203" spans="1:19" s="189" customFormat="1">
      <c r="A203" s="293"/>
      <c r="B203" s="290">
        <v>4</v>
      </c>
      <c r="C203" s="290">
        <v>1</v>
      </c>
      <c r="D203" s="290">
        <v>4</v>
      </c>
      <c r="E203" s="290"/>
      <c r="F203" s="290"/>
      <c r="G203" s="291" t="s">
        <v>71</v>
      </c>
      <c r="H203" s="291"/>
      <c r="I203" s="291"/>
      <c r="J203" s="370">
        <f>J204+J207+J212</f>
        <v>1370000000</v>
      </c>
      <c r="K203" s="371">
        <f>K204+K207+K212</f>
        <v>0</v>
      </c>
      <c r="L203" s="372">
        <f>L204+L207+L212</f>
        <v>818746707.25999999</v>
      </c>
      <c r="M203" s="371">
        <f>M204+M207+M212</f>
        <v>130854825.84999999</v>
      </c>
      <c r="N203" s="371">
        <f>N204+N207+N212</f>
        <v>949601533.11000001</v>
      </c>
      <c r="O203" s="367">
        <f>N203-K203</f>
        <v>949601533.11000001</v>
      </c>
      <c r="P203" s="347" t="e">
        <f>N203/K203*100</f>
        <v>#DIV/0!</v>
      </c>
      <c r="Q203" s="651"/>
      <c r="R203" s="422"/>
      <c r="S203" s="436"/>
    </row>
    <row r="204" spans="1:19" s="189" customFormat="1">
      <c r="A204" s="293"/>
      <c r="B204" s="292">
        <v>4</v>
      </c>
      <c r="C204" s="292">
        <v>1</v>
      </c>
      <c r="D204" s="292">
        <v>4</v>
      </c>
      <c r="E204" s="292" t="s">
        <v>441</v>
      </c>
      <c r="F204" s="292"/>
      <c r="G204" s="253" t="s">
        <v>557</v>
      </c>
      <c r="H204" s="253"/>
      <c r="I204" s="253"/>
      <c r="J204" s="354">
        <f>+J205</f>
        <v>0</v>
      </c>
      <c r="K204" s="355">
        <f>+K205</f>
        <v>0</v>
      </c>
      <c r="L204" s="360">
        <f>+L205</f>
        <v>187115021.74000001</v>
      </c>
      <c r="M204" s="355">
        <f>+M205</f>
        <v>1559000</v>
      </c>
      <c r="N204" s="346">
        <f>+M204+L204</f>
        <v>188674021.74000001</v>
      </c>
      <c r="O204" s="346">
        <f>N204-K204</f>
        <v>188674021.74000001</v>
      </c>
      <c r="P204" s="347"/>
      <c r="Q204" s="441"/>
      <c r="R204" s="422"/>
    </row>
    <row r="205" spans="1:19" s="189" customFormat="1">
      <c r="A205" s="293"/>
      <c r="B205" s="292">
        <v>4</v>
      </c>
      <c r="C205" s="292">
        <v>1</v>
      </c>
      <c r="D205" s="292">
        <v>4</v>
      </c>
      <c r="E205" s="292" t="s">
        <v>441</v>
      </c>
      <c r="F205" s="292" t="s">
        <v>437</v>
      </c>
      <c r="G205" s="253" t="s">
        <v>72</v>
      </c>
      <c r="H205" s="253"/>
      <c r="I205" s="253"/>
      <c r="J205" s="354">
        <v>0</v>
      </c>
      <c r="K205" s="355">
        <f>'[55]TARGET VERSI LAMA'!$E$100</f>
        <v>0</v>
      </c>
      <c r="L205" s="360">
        <f>[56]PerDinas!$N$205</f>
        <v>187115021.74000001</v>
      </c>
      <c r="M205" s="355">
        <f>[55]Perdinas!$P$129</f>
        <v>1559000</v>
      </c>
      <c r="N205" s="369">
        <f t="shared" ref="N205:N210" si="31">M205+L205</f>
        <v>188674021.74000001</v>
      </c>
      <c r="O205" s="355">
        <f>N205-K205</f>
        <v>188674021.74000001</v>
      </c>
      <c r="P205" s="388"/>
      <c r="Q205" s="441"/>
      <c r="R205" s="554"/>
      <c r="S205" s="542"/>
    </row>
    <row r="206" spans="1:19" s="189" customFormat="1">
      <c r="A206" s="293"/>
      <c r="B206" s="292"/>
      <c r="C206" s="292"/>
      <c r="D206" s="292"/>
      <c r="E206" s="292"/>
      <c r="F206" s="292"/>
      <c r="G206" s="253"/>
      <c r="H206" s="253"/>
      <c r="I206" s="253"/>
      <c r="J206" s="354"/>
      <c r="K206" s="355"/>
      <c r="L206" s="360"/>
      <c r="M206" s="355"/>
      <c r="N206" s="355"/>
      <c r="O206" s="355"/>
      <c r="P206" s="388"/>
      <c r="Q206" s="441"/>
      <c r="R206" s="422"/>
    </row>
    <row r="207" spans="1:19" s="189" customFormat="1">
      <c r="A207" s="293"/>
      <c r="B207" s="292">
        <v>4</v>
      </c>
      <c r="C207" s="292">
        <v>1</v>
      </c>
      <c r="D207" s="292">
        <v>4</v>
      </c>
      <c r="E207" s="292" t="s">
        <v>444</v>
      </c>
      <c r="F207" s="292"/>
      <c r="G207" s="253" t="s">
        <v>222</v>
      </c>
      <c r="H207" s="253"/>
      <c r="I207" s="253"/>
      <c r="J207" s="354">
        <f>+J210</f>
        <v>1300000000</v>
      </c>
      <c r="K207" s="355">
        <f>+K210</f>
        <v>0</v>
      </c>
      <c r="L207" s="360">
        <f>SUM(L208:L210)</f>
        <v>530331685.51999998</v>
      </c>
      <c r="M207" s="355">
        <f>SUM(M208:M210)</f>
        <v>103465825.84999999</v>
      </c>
      <c r="N207" s="355">
        <f>SUM(N208:N210)</f>
        <v>633797511.37</v>
      </c>
      <c r="O207" s="346">
        <f>N207-K207</f>
        <v>633797511.37</v>
      </c>
      <c r="P207" s="347" t="e">
        <f>N207/K207*100</f>
        <v>#DIV/0!</v>
      </c>
      <c r="Q207" s="441"/>
      <c r="R207" s="422"/>
    </row>
    <row r="208" spans="1:19" s="189" customFormat="1">
      <c r="A208" s="289"/>
      <c r="B208" s="292">
        <v>4</v>
      </c>
      <c r="C208" s="292">
        <v>1</v>
      </c>
      <c r="D208" s="292">
        <v>4</v>
      </c>
      <c r="E208" s="292" t="s">
        <v>444</v>
      </c>
      <c r="F208" s="292" t="s">
        <v>440</v>
      </c>
      <c r="G208" s="253" t="s">
        <v>73</v>
      </c>
      <c r="H208" s="253"/>
      <c r="I208" s="253"/>
      <c r="J208" s="354"/>
      <c r="K208" s="355"/>
      <c r="L208" s="360">
        <f>[56]PerDinas!$N$208</f>
        <v>0</v>
      </c>
      <c r="M208" s="355">
        <f>[55]Perdinas!$P$130</f>
        <v>0</v>
      </c>
      <c r="N208" s="369">
        <f t="shared" si="31"/>
        <v>0</v>
      </c>
      <c r="O208" s="355">
        <f>N208-K208</f>
        <v>0</v>
      </c>
      <c r="P208" s="388"/>
      <c r="Q208" s="441"/>
      <c r="R208" s="422"/>
    </row>
    <row r="209" spans="1:19" s="189" customFormat="1">
      <c r="A209" s="289"/>
      <c r="B209" s="292">
        <v>4</v>
      </c>
      <c r="C209" s="292">
        <v>1</v>
      </c>
      <c r="D209" s="292">
        <v>4</v>
      </c>
      <c r="E209" s="292" t="s">
        <v>444</v>
      </c>
      <c r="F209" s="292" t="s">
        <v>445</v>
      </c>
      <c r="G209" s="253" t="s">
        <v>74</v>
      </c>
      <c r="H209" s="253"/>
      <c r="I209" s="253"/>
      <c r="J209" s="354"/>
      <c r="K209" s="355"/>
      <c r="L209" s="360">
        <f>[56]PerDinas!$N$209</f>
        <v>0</v>
      </c>
      <c r="M209" s="355">
        <f>[55]Perdinas!$P$131</f>
        <v>0</v>
      </c>
      <c r="N209" s="355">
        <f t="shared" si="31"/>
        <v>0</v>
      </c>
      <c r="O209" s="355">
        <f>N209-K209</f>
        <v>0</v>
      </c>
      <c r="P209" s="388">
        <v>0</v>
      </c>
      <c r="Q209" s="441"/>
      <c r="R209" s="422"/>
    </row>
    <row r="210" spans="1:19" s="189" customFormat="1">
      <c r="A210" s="293"/>
      <c r="B210" s="292">
        <v>4</v>
      </c>
      <c r="C210" s="292">
        <v>1</v>
      </c>
      <c r="D210" s="292">
        <v>4</v>
      </c>
      <c r="E210" s="292" t="s">
        <v>444</v>
      </c>
      <c r="F210" s="292" t="s">
        <v>441</v>
      </c>
      <c r="G210" s="253" t="s">
        <v>75</v>
      </c>
      <c r="H210" s="253"/>
      <c r="I210" s="253"/>
      <c r="J210" s="354">
        <v>1300000000</v>
      </c>
      <c r="K210" s="355">
        <f>'[55]TARGET VERSI LAMA'!$E$101</f>
        <v>0</v>
      </c>
      <c r="L210" s="360">
        <f>[56]PerDinas!$N$210</f>
        <v>530331685.51999998</v>
      </c>
      <c r="M210" s="355">
        <f>[55]Perdinas!$P$132</f>
        <v>103465825.84999999</v>
      </c>
      <c r="N210" s="369">
        <f t="shared" si="31"/>
        <v>633797511.37</v>
      </c>
      <c r="O210" s="355">
        <f>N210-K210</f>
        <v>633797511.37</v>
      </c>
      <c r="P210" s="347" t="e">
        <f>N210/K210*100</f>
        <v>#DIV/0!</v>
      </c>
      <c r="Q210" s="441"/>
      <c r="R210" s="545"/>
      <c r="S210" s="436"/>
    </row>
    <row r="211" spans="1:19" s="189" customFormat="1">
      <c r="A211" s="293"/>
      <c r="B211" s="292"/>
      <c r="C211" s="292"/>
      <c r="D211" s="292"/>
      <c r="E211" s="292"/>
      <c r="F211" s="292"/>
      <c r="G211" s="253"/>
      <c r="H211" s="253"/>
      <c r="I211" s="253"/>
      <c r="J211" s="354"/>
      <c r="K211" s="355"/>
      <c r="L211" s="360"/>
      <c r="M211" s="355"/>
      <c r="N211" s="355"/>
      <c r="O211" s="355"/>
      <c r="P211" s="388"/>
      <c r="Q211" s="441"/>
      <c r="R211" s="422"/>
    </row>
    <row r="212" spans="1:19" s="189" customFormat="1">
      <c r="A212" s="293"/>
      <c r="B212" s="292" t="s">
        <v>443</v>
      </c>
      <c r="C212" s="292" t="s">
        <v>58</v>
      </c>
      <c r="D212" s="292" t="s">
        <v>443</v>
      </c>
      <c r="E212" s="292" t="s">
        <v>948</v>
      </c>
      <c r="F212" s="292" t="s">
        <v>437</v>
      </c>
      <c r="G212" s="253" t="s">
        <v>964</v>
      </c>
      <c r="H212" s="253"/>
      <c r="I212" s="253"/>
      <c r="J212" s="354">
        <f>J213</f>
        <v>70000000</v>
      </c>
      <c r="K212" s="355">
        <f>K213</f>
        <v>0</v>
      </c>
      <c r="L212" s="360">
        <f>L213</f>
        <v>101300000</v>
      </c>
      <c r="M212" s="355">
        <f>M213</f>
        <v>25830000</v>
      </c>
      <c r="N212" s="355">
        <f>M212+L212</f>
        <v>127130000</v>
      </c>
      <c r="O212" s="355">
        <f>N212-K212</f>
        <v>127130000</v>
      </c>
      <c r="P212" s="388"/>
      <c r="Q212" s="441"/>
      <c r="R212" s="422"/>
    </row>
    <row r="213" spans="1:19" s="245" customFormat="1">
      <c r="A213" s="654"/>
      <c r="B213" s="655"/>
      <c r="C213" s="655"/>
      <c r="D213" s="655"/>
      <c r="E213" s="655"/>
      <c r="F213" s="655"/>
      <c r="G213" s="2770" t="s">
        <v>50</v>
      </c>
      <c r="H213" s="656" t="s">
        <v>85</v>
      </c>
      <c r="I213" s="656"/>
      <c r="J213" s="526">
        <v>70000000</v>
      </c>
      <c r="K213" s="1413">
        <f>'[55]TARGET VERSI LAMA'!$E$102</f>
        <v>0</v>
      </c>
      <c r="L213" s="1394">
        <f>[56]PerDinas!$N$584</f>
        <v>101300000</v>
      </c>
      <c r="M213" s="681">
        <f>[55]Perdinas!$P$360</f>
        <v>25830000</v>
      </c>
      <c r="N213" s="1395">
        <f>M213+L213</f>
        <v>127130000</v>
      </c>
      <c r="O213" s="527">
        <f>N213-K213</f>
        <v>127130000</v>
      </c>
      <c r="P213" s="671"/>
      <c r="Q213" s="644"/>
      <c r="R213" s="450"/>
    </row>
    <row r="214" spans="1:19" s="244" customFormat="1" ht="15.05">
      <c r="A214" s="1383" t="s">
        <v>483</v>
      </c>
      <c r="B214" s="1378" t="s">
        <v>58</v>
      </c>
      <c r="C214" s="1378" t="s">
        <v>441</v>
      </c>
      <c r="D214" s="1378" t="s">
        <v>437</v>
      </c>
      <c r="E214" s="1378"/>
      <c r="F214" s="1378"/>
      <c r="G214" s="1408" t="s">
        <v>730</v>
      </c>
      <c r="H214" s="1379"/>
      <c r="I214" s="1379"/>
      <c r="J214" s="1396">
        <f>+J222</f>
        <v>4800000</v>
      </c>
      <c r="K214" s="1397">
        <f>K216</f>
        <v>0</v>
      </c>
      <c r="L214" s="1397">
        <f>+L216</f>
        <v>5015500</v>
      </c>
      <c r="M214" s="1397">
        <f>+M216</f>
        <v>0</v>
      </c>
      <c r="N214" s="1397">
        <f>M214+L214</f>
        <v>5015500</v>
      </c>
      <c r="O214" s="1397">
        <f>+N214-K214</f>
        <v>5015500</v>
      </c>
      <c r="P214" s="1398" t="e">
        <f>+N214/K214*100</f>
        <v>#DIV/0!</v>
      </c>
      <c r="Q214" s="1406"/>
      <c r="R214" s="639"/>
    </row>
    <row r="215" spans="1:19" s="189" customFormat="1">
      <c r="A215" s="1409"/>
      <c r="B215" s="1324"/>
      <c r="C215" s="1324"/>
      <c r="D215" s="1324"/>
      <c r="E215" s="1324"/>
      <c r="F215" s="1324"/>
      <c r="G215" s="1325"/>
      <c r="H215" s="1325"/>
      <c r="I215" s="1325"/>
      <c r="J215" s="757"/>
      <c r="K215" s="758"/>
      <c r="L215" s="758"/>
      <c r="M215" s="758"/>
      <c r="N215" s="758"/>
      <c r="O215" s="758"/>
      <c r="P215" s="690"/>
      <c r="Q215" s="782"/>
      <c r="R215" s="422"/>
    </row>
    <row r="216" spans="1:19" s="189" customFormat="1">
      <c r="A216" s="293"/>
      <c r="B216" s="290">
        <v>4</v>
      </c>
      <c r="C216" s="290">
        <v>1</v>
      </c>
      <c r="D216" s="290"/>
      <c r="E216" s="290"/>
      <c r="F216" s="290"/>
      <c r="G216" s="291" t="s">
        <v>180</v>
      </c>
      <c r="H216" s="291"/>
      <c r="I216" s="291"/>
      <c r="J216" s="387">
        <f>+J218+J222</f>
        <v>4800000</v>
      </c>
      <c r="K216" s="367">
        <f>+K218+K222</f>
        <v>0</v>
      </c>
      <c r="L216" s="367">
        <f>+L218+L222</f>
        <v>5015500</v>
      </c>
      <c r="M216" s="367">
        <f>+M218+M222</f>
        <v>0</v>
      </c>
      <c r="N216" s="367">
        <f>+M216+L216</f>
        <v>5015500</v>
      </c>
      <c r="O216" s="367">
        <f>N216-K216</f>
        <v>5015500</v>
      </c>
      <c r="P216" s="347" t="e">
        <f>N216/K216*100</f>
        <v>#DIV/0!</v>
      </c>
      <c r="Q216" s="454"/>
      <c r="R216" s="422"/>
    </row>
    <row r="217" spans="1:19" s="189" customFormat="1">
      <c r="A217" s="293"/>
      <c r="B217" s="292"/>
      <c r="C217" s="292"/>
      <c r="D217" s="292"/>
      <c r="E217" s="292"/>
      <c r="F217" s="292"/>
      <c r="G217" s="253"/>
      <c r="H217" s="253"/>
      <c r="I217" s="291"/>
      <c r="J217" s="345"/>
      <c r="K217" s="346"/>
      <c r="L217" s="346"/>
      <c r="M217" s="346"/>
      <c r="N217" s="346"/>
      <c r="O217" s="346"/>
      <c r="P217" s="347"/>
      <c r="Q217" s="438"/>
      <c r="R217" s="422"/>
    </row>
    <row r="218" spans="1:19" s="189" customFormat="1">
      <c r="A218" s="293"/>
      <c r="B218" s="290">
        <v>4</v>
      </c>
      <c r="C218" s="290">
        <v>1</v>
      </c>
      <c r="D218" s="290">
        <v>2</v>
      </c>
      <c r="E218" s="290"/>
      <c r="F218" s="290"/>
      <c r="G218" s="291" t="s">
        <v>106</v>
      </c>
      <c r="H218" s="291"/>
      <c r="I218" s="291"/>
      <c r="J218" s="387">
        <f t="shared" ref="J218:M219" si="32">+J219</f>
        <v>0</v>
      </c>
      <c r="K218" s="367">
        <f t="shared" si="32"/>
        <v>0</v>
      </c>
      <c r="L218" s="1066">
        <f t="shared" si="32"/>
        <v>0</v>
      </c>
      <c r="M218" s="367">
        <f t="shared" si="32"/>
        <v>0</v>
      </c>
      <c r="N218" s="367">
        <f>+M218+L218</f>
        <v>0</v>
      </c>
      <c r="O218" s="367">
        <f>N218-K218</f>
        <v>0</v>
      </c>
      <c r="P218" s="347"/>
      <c r="Q218" s="454"/>
      <c r="R218" s="422"/>
    </row>
    <row r="219" spans="1:19" s="189" customFormat="1">
      <c r="A219" s="293"/>
      <c r="B219" s="292">
        <v>4</v>
      </c>
      <c r="C219" s="292">
        <v>1</v>
      </c>
      <c r="D219" s="292">
        <v>2</v>
      </c>
      <c r="E219" s="292" t="s">
        <v>437</v>
      </c>
      <c r="F219" s="292"/>
      <c r="G219" s="253" t="s">
        <v>107</v>
      </c>
      <c r="H219" s="253"/>
      <c r="I219" s="291"/>
      <c r="J219" s="345">
        <f t="shared" si="32"/>
        <v>0</v>
      </c>
      <c r="K219" s="346">
        <f t="shared" si="32"/>
        <v>0</v>
      </c>
      <c r="L219" s="660">
        <f t="shared" si="32"/>
        <v>0</v>
      </c>
      <c r="M219" s="346">
        <f t="shared" si="32"/>
        <v>0</v>
      </c>
      <c r="N219" s="346">
        <f>+M219+L219</f>
        <v>0</v>
      </c>
      <c r="O219" s="346">
        <f>N219-K219</f>
        <v>0</v>
      </c>
      <c r="P219" s="347"/>
      <c r="Q219" s="438"/>
      <c r="R219" s="422"/>
    </row>
    <row r="220" spans="1:19" s="189" customFormat="1">
      <c r="A220" s="293"/>
      <c r="B220" s="292">
        <v>4</v>
      </c>
      <c r="C220" s="292">
        <v>1</v>
      </c>
      <c r="D220" s="292">
        <v>2</v>
      </c>
      <c r="E220" s="292" t="s">
        <v>437</v>
      </c>
      <c r="F220" s="292" t="s">
        <v>440</v>
      </c>
      <c r="G220" s="253" t="s">
        <v>961</v>
      </c>
      <c r="H220" s="253"/>
      <c r="I220" s="253"/>
      <c r="J220" s="354">
        <v>0</v>
      </c>
      <c r="K220" s="373">
        <f>'[55]TARGET VERSI LAMA'!$E$106</f>
        <v>0</v>
      </c>
      <c r="L220" s="360">
        <f>[56]PerDinas!$N$220</f>
        <v>0</v>
      </c>
      <c r="M220" s="373">
        <f>[55]Perdinas!$P$137</f>
        <v>0</v>
      </c>
      <c r="N220" s="355">
        <f>M220+L220</f>
        <v>0</v>
      </c>
      <c r="O220" s="355">
        <f>N220-K220</f>
        <v>0</v>
      </c>
      <c r="P220" s="388"/>
      <c r="Q220" s="441"/>
      <c r="R220" s="422"/>
    </row>
    <row r="221" spans="1:19" s="189" customFormat="1">
      <c r="A221" s="293"/>
      <c r="B221" s="292"/>
      <c r="C221" s="292"/>
      <c r="D221" s="292"/>
      <c r="E221" s="292"/>
      <c r="F221" s="292"/>
      <c r="G221" s="253"/>
      <c r="H221" s="253"/>
      <c r="I221" s="253"/>
      <c r="J221" s="354"/>
      <c r="K221" s="355"/>
      <c r="L221" s="360"/>
      <c r="M221" s="355"/>
      <c r="N221" s="355"/>
      <c r="O221" s="355"/>
      <c r="P221" s="388"/>
      <c r="Q221" s="441"/>
      <c r="R221" s="422"/>
    </row>
    <row r="222" spans="1:19" s="189" customFormat="1">
      <c r="A222" s="293"/>
      <c r="B222" s="290">
        <v>4</v>
      </c>
      <c r="C222" s="290">
        <v>1</v>
      </c>
      <c r="D222" s="290">
        <v>4</v>
      </c>
      <c r="E222" s="290"/>
      <c r="F222" s="290"/>
      <c r="G222" s="291" t="s">
        <v>71</v>
      </c>
      <c r="H222" s="291"/>
      <c r="I222" s="291"/>
      <c r="J222" s="370">
        <f>J223+J226+J230</f>
        <v>4800000</v>
      </c>
      <c r="K222" s="371">
        <f>K223+K226+K230</f>
        <v>0</v>
      </c>
      <c r="L222" s="372">
        <f>L223+L226+L230</f>
        <v>5015500</v>
      </c>
      <c r="M222" s="371">
        <f>M223+M226+M230</f>
        <v>0</v>
      </c>
      <c r="N222" s="371">
        <f>L222+M222</f>
        <v>5015500</v>
      </c>
      <c r="O222" s="367">
        <f>N222-K222</f>
        <v>5015500</v>
      </c>
      <c r="P222" s="347" t="e">
        <f>N222/K222*100</f>
        <v>#DIV/0!</v>
      </c>
      <c r="Q222" s="651"/>
      <c r="R222" s="422"/>
    </row>
    <row r="223" spans="1:19" s="189" customFormat="1">
      <c r="A223" s="293"/>
      <c r="B223" s="292">
        <v>4</v>
      </c>
      <c r="C223" s="292">
        <v>1</v>
      </c>
      <c r="D223" s="292">
        <v>4</v>
      </c>
      <c r="E223" s="292" t="s">
        <v>441</v>
      </c>
      <c r="F223" s="292"/>
      <c r="G223" s="253" t="s">
        <v>557</v>
      </c>
      <c r="H223" s="253"/>
      <c r="I223" s="253"/>
      <c r="J223" s="354">
        <f>J224</f>
        <v>0</v>
      </c>
      <c r="K223" s="355">
        <f>K224</f>
        <v>0</v>
      </c>
      <c r="L223" s="360">
        <f>+L224</f>
        <v>0</v>
      </c>
      <c r="M223" s="355">
        <f>+M224</f>
        <v>0</v>
      </c>
      <c r="N223" s="346">
        <f>+M223+L223</f>
        <v>0</v>
      </c>
      <c r="O223" s="346">
        <f>N223-K223</f>
        <v>0</v>
      </c>
      <c r="P223" s="347"/>
      <c r="Q223" s="441"/>
      <c r="R223" s="422"/>
    </row>
    <row r="224" spans="1:19" s="189" customFormat="1">
      <c r="A224" s="293"/>
      <c r="B224" s="292">
        <v>4</v>
      </c>
      <c r="C224" s="292">
        <v>1</v>
      </c>
      <c r="D224" s="292">
        <v>4</v>
      </c>
      <c r="E224" s="292" t="s">
        <v>441</v>
      </c>
      <c r="F224" s="292" t="s">
        <v>437</v>
      </c>
      <c r="G224" s="253" t="s">
        <v>72</v>
      </c>
      <c r="H224" s="253"/>
      <c r="I224" s="253"/>
      <c r="J224" s="354">
        <v>0</v>
      </c>
      <c r="K224" s="373">
        <f>'[55]TARGET VERSI LAMA'!$E$109</f>
        <v>0</v>
      </c>
      <c r="L224" s="360">
        <f>[56]PerDinas!$N$224</f>
        <v>0</v>
      </c>
      <c r="M224" s="355">
        <f>[55]Perdinas!$P$140</f>
        <v>0</v>
      </c>
      <c r="N224" s="355">
        <f t="shared" ref="N224:N230" si="33">M224+L224</f>
        <v>0</v>
      </c>
      <c r="O224" s="355">
        <f>N224-K224</f>
        <v>0</v>
      </c>
      <c r="P224" s="388"/>
      <c r="Q224" s="441"/>
      <c r="R224" s="422"/>
    </row>
    <row r="225" spans="1:18" s="189" customFormat="1">
      <c r="A225" s="293"/>
      <c r="B225" s="290"/>
      <c r="C225" s="290"/>
      <c r="D225" s="290"/>
      <c r="E225" s="290"/>
      <c r="F225" s="290"/>
      <c r="G225" s="291"/>
      <c r="H225" s="291"/>
      <c r="I225" s="291"/>
      <c r="J225" s="370"/>
      <c r="K225" s="371"/>
      <c r="L225" s="372"/>
      <c r="M225" s="371"/>
      <c r="N225" s="371"/>
      <c r="O225" s="367"/>
      <c r="P225" s="347"/>
      <c r="Q225" s="651"/>
      <c r="R225" s="422"/>
    </row>
    <row r="226" spans="1:18" s="190" customFormat="1">
      <c r="A226" s="293"/>
      <c r="B226" s="290">
        <v>4</v>
      </c>
      <c r="C226" s="290">
        <v>1</v>
      </c>
      <c r="D226" s="290">
        <v>4</v>
      </c>
      <c r="E226" s="290" t="s">
        <v>444</v>
      </c>
      <c r="F226" s="290"/>
      <c r="G226" s="291" t="s">
        <v>222</v>
      </c>
      <c r="H226" s="291"/>
      <c r="I226" s="291"/>
      <c r="J226" s="370">
        <f>J227+J228+J229</f>
        <v>0</v>
      </c>
      <c r="K226" s="371">
        <f>K227+K228+K229</f>
        <v>0</v>
      </c>
      <c r="L226" s="372">
        <f>L227+L228+L229</f>
        <v>1427500</v>
      </c>
      <c r="M226" s="371">
        <f>M227+M228+M229</f>
        <v>0</v>
      </c>
      <c r="N226" s="367">
        <f>+M226+L226</f>
        <v>1427500</v>
      </c>
      <c r="O226" s="367">
        <f>N226-K230</f>
        <v>1427500</v>
      </c>
      <c r="P226" s="347"/>
      <c r="Q226" s="651"/>
      <c r="R226" s="446"/>
    </row>
    <row r="227" spans="1:18" s="189" customFormat="1">
      <c r="A227" s="289"/>
      <c r="B227" s="292">
        <v>4</v>
      </c>
      <c r="C227" s="292">
        <v>1</v>
      </c>
      <c r="D227" s="292">
        <v>4</v>
      </c>
      <c r="E227" s="292" t="s">
        <v>444</v>
      </c>
      <c r="F227" s="292" t="s">
        <v>440</v>
      </c>
      <c r="G227" s="253" t="s">
        <v>73</v>
      </c>
      <c r="H227" s="253"/>
      <c r="I227" s="253"/>
      <c r="J227" s="354">
        <v>0</v>
      </c>
      <c r="K227" s="355">
        <v>0</v>
      </c>
      <c r="L227" s="360">
        <v>0</v>
      </c>
      <c r="M227" s="355">
        <f>[55]Perdinas!$P$141</f>
        <v>0</v>
      </c>
      <c r="N227" s="355">
        <f t="shared" si="33"/>
        <v>0</v>
      </c>
      <c r="O227" s="346">
        <f>N227-K227</f>
        <v>0</v>
      </c>
      <c r="P227" s="388"/>
      <c r="Q227" s="441"/>
      <c r="R227" s="422"/>
    </row>
    <row r="228" spans="1:18" s="189" customFormat="1">
      <c r="A228" s="289"/>
      <c r="B228" s="292">
        <v>4</v>
      </c>
      <c r="C228" s="292">
        <v>1</v>
      </c>
      <c r="D228" s="292">
        <v>4</v>
      </c>
      <c r="E228" s="292" t="s">
        <v>444</v>
      </c>
      <c r="F228" s="292" t="s">
        <v>445</v>
      </c>
      <c r="G228" s="253" t="s">
        <v>74</v>
      </c>
      <c r="H228" s="253"/>
      <c r="I228" s="253"/>
      <c r="J228" s="354">
        <v>0</v>
      </c>
      <c r="K228" s="355">
        <v>0</v>
      </c>
      <c r="L228" s="360">
        <v>0</v>
      </c>
      <c r="M228" s="355">
        <f>[55]Perdinas!$P$142</f>
        <v>0</v>
      </c>
      <c r="N228" s="355">
        <f t="shared" si="33"/>
        <v>0</v>
      </c>
      <c r="O228" s="346">
        <f>N228-K228</f>
        <v>0</v>
      </c>
      <c r="P228" s="388"/>
      <c r="Q228" s="697"/>
      <c r="R228" s="422"/>
    </row>
    <row r="229" spans="1:18" s="189" customFormat="1">
      <c r="A229" s="289"/>
      <c r="B229" s="292">
        <v>4</v>
      </c>
      <c r="C229" s="292">
        <v>1</v>
      </c>
      <c r="D229" s="292">
        <v>4</v>
      </c>
      <c r="E229" s="292" t="s">
        <v>444</v>
      </c>
      <c r="F229" s="292" t="s">
        <v>441</v>
      </c>
      <c r="G229" s="253" t="s">
        <v>965</v>
      </c>
      <c r="H229" s="253"/>
      <c r="I229" s="253"/>
      <c r="J229" s="354">
        <v>0</v>
      </c>
      <c r="K229" s="373">
        <f>'[55]TARGET VERSI LAMA'!$E$110</f>
        <v>0</v>
      </c>
      <c r="L229" s="360">
        <f>[56]PerDinas!$N$229</f>
        <v>1427500</v>
      </c>
      <c r="M229" s="373">
        <f>[55]Perdinas!$P$143</f>
        <v>0</v>
      </c>
      <c r="N229" s="355">
        <f t="shared" si="33"/>
        <v>1427500</v>
      </c>
      <c r="O229" s="346">
        <f>N229-K229</f>
        <v>1427500</v>
      </c>
      <c r="P229" s="388"/>
      <c r="Q229" s="441"/>
      <c r="R229" s="545"/>
    </row>
    <row r="230" spans="1:18" s="189" customFormat="1">
      <c r="A230" s="293"/>
      <c r="B230" s="292">
        <v>4</v>
      </c>
      <c r="C230" s="292">
        <v>1</v>
      </c>
      <c r="D230" s="292">
        <v>4</v>
      </c>
      <c r="E230" s="292" t="s">
        <v>948</v>
      </c>
      <c r="F230" s="292" t="s">
        <v>437</v>
      </c>
      <c r="G230" s="253" t="s">
        <v>85</v>
      </c>
      <c r="H230" s="253"/>
      <c r="I230" s="253"/>
      <c r="J230" s="354">
        <v>4800000</v>
      </c>
      <c r="K230" s="373">
        <f>'[55]TARGET VERSI LAMA'!$E$111</f>
        <v>0</v>
      </c>
      <c r="L230" s="360">
        <f>PerDinas!L585</f>
        <v>3588000</v>
      </c>
      <c r="M230" s="373">
        <f>[55]Perdinas!$P$144</f>
        <v>0</v>
      </c>
      <c r="N230" s="355">
        <f t="shared" si="33"/>
        <v>3588000</v>
      </c>
      <c r="O230" s="346">
        <f>N230-K230</f>
        <v>3588000</v>
      </c>
      <c r="P230" s="388" t="e">
        <f>N230/K230*100</f>
        <v>#DIV/0!</v>
      </c>
      <c r="Q230" s="441"/>
      <c r="R230" s="422"/>
    </row>
    <row r="231" spans="1:18" s="245" customFormat="1">
      <c r="A231" s="654"/>
      <c r="B231" s="655"/>
      <c r="C231" s="655"/>
      <c r="D231" s="655"/>
      <c r="E231" s="655"/>
      <c r="F231" s="655"/>
      <c r="G231" s="656"/>
      <c r="H231" s="656"/>
      <c r="I231" s="656"/>
      <c r="J231" s="526"/>
      <c r="K231" s="527"/>
      <c r="L231" s="670"/>
      <c r="M231" s="527"/>
      <c r="N231" s="527"/>
      <c r="O231" s="527"/>
      <c r="P231" s="671"/>
      <c r="Q231" s="644"/>
      <c r="R231" s="450"/>
    </row>
    <row r="232" spans="1:18" s="244" customFormat="1" ht="15.05">
      <c r="A232" s="1383" t="s">
        <v>121</v>
      </c>
      <c r="B232" s="1378" t="s">
        <v>58</v>
      </c>
      <c r="C232" s="1378" t="s">
        <v>456</v>
      </c>
      <c r="D232" s="1378" t="s">
        <v>437</v>
      </c>
      <c r="E232" s="1378"/>
      <c r="F232" s="1378"/>
      <c r="G232" s="1408" t="s">
        <v>732</v>
      </c>
      <c r="H232" s="1410"/>
      <c r="I232" s="1410"/>
      <c r="J232" s="1396">
        <f>+J234</f>
        <v>771601000</v>
      </c>
      <c r="K232" s="1397">
        <f>+K234</f>
        <v>211889500</v>
      </c>
      <c r="L232" s="1397">
        <f>+L234</f>
        <v>97822000</v>
      </c>
      <c r="M232" s="1397">
        <f>+M234</f>
        <v>31329413</v>
      </c>
      <c r="N232" s="1397">
        <f>M232+L232</f>
        <v>129151413</v>
      </c>
      <c r="O232" s="1397">
        <f>+N232-K232</f>
        <v>-82738087</v>
      </c>
      <c r="P232" s="1398">
        <f>+N232/K232*100</f>
        <v>60.952247751776277</v>
      </c>
      <c r="Q232" s="1406"/>
      <c r="R232" s="639"/>
    </row>
    <row r="233" spans="1:18" s="189" customFormat="1">
      <c r="A233" s="1409"/>
      <c r="B233" s="1324"/>
      <c r="C233" s="1324"/>
      <c r="D233" s="1324"/>
      <c r="E233" s="1324"/>
      <c r="F233" s="1324"/>
      <c r="G233" s="1325"/>
      <c r="H233" s="1325"/>
      <c r="I233" s="1325"/>
      <c r="J233" s="1333"/>
      <c r="K233" s="677"/>
      <c r="L233" s="677"/>
      <c r="M233" s="677"/>
      <c r="N233" s="677"/>
      <c r="O233" s="677"/>
      <c r="P233" s="690"/>
      <c r="Q233" s="531"/>
      <c r="R233" s="422"/>
    </row>
    <row r="234" spans="1:18" s="189" customFormat="1">
      <c r="A234" s="293"/>
      <c r="B234" s="290">
        <v>4</v>
      </c>
      <c r="C234" s="290">
        <v>1</v>
      </c>
      <c r="D234" s="290"/>
      <c r="E234" s="290"/>
      <c r="F234" s="290"/>
      <c r="G234" s="291" t="s">
        <v>180</v>
      </c>
      <c r="H234" s="291"/>
      <c r="I234" s="291"/>
      <c r="J234" s="387">
        <f>+J236+J243</f>
        <v>771601000</v>
      </c>
      <c r="K234" s="367">
        <f>+K236+K243</f>
        <v>211889500</v>
      </c>
      <c r="L234" s="367">
        <f>+L236+L243</f>
        <v>97822000</v>
      </c>
      <c r="M234" s="367">
        <f>+M236+M243</f>
        <v>31329413</v>
      </c>
      <c r="N234" s="367">
        <f>+M234+L234</f>
        <v>129151413</v>
      </c>
      <c r="O234" s="367">
        <f t="shared" ref="O234:O241" si="34">N234-K234</f>
        <v>-82738087</v>
      </c>
      <c r="P234" s="347">
        <f t="shared" ref="P234:P241" si="35">N234/K234*100</f>
        <v>60.952247751776277</v>
      </c>
      <c r="Q234" s="454"/>
      <c r="R234" s="422"/>
    </row>
    <row r="235" spans="1:18" s="189" customFormat="1">
      <c r="A235" s="293"/>
      <c r="B235" s="292"/>
      <c r="C235" s="292"/>
      <c r="D235" s="292"/>
      <c r="E235" s="292"/>
      <c r="F235" s="292"/>
      <c r="G235" s="253"/>
      <c r="H235" s="253"/>
      <c r="I235" s="291"/>
      <c r="J235" s="345"/>
      <c r="K235" s="346"/>
      <c r="L235" s="346"/>
      <c r="M235" s="346"/>
      <c r="N235" s="346"/>
      <c r="O235" s="346"/>
      <c r="P235" s="347"/>
      <c r="Q235" s="438"/>
      <c r="R235" s="422"/>
    </row>
    <row r="236" spans="1:18" s="189" customFormat="1">
      <c r="A236" s="293"/>
      <c r="B236" s="290">
        <v>4</v>
      </c>
      <c r="C236" s="290">
        <v>1</v>
      </c>
      <c r="D236" s="290">
        <v>2</v>
      </c>
      <c r="E236" s="290"/>
      <c r="F236" s="290"/>
      <c r="G236" s="291" t="s">
        <v>106</v>
      </c>
      <c r="H236" s="291"/>
      <c r="I236" s="291"/>
      <c r="J236" s="387">
        <f>+J238</f>
        <v>100100000</v>
      </c>
      <c r="K236" s="367">
        <f>+K238</f>
        <v>193889500</v>
      </c>
      <c r="L236" s="367">
        <f>+L238</f>
        <v>73925000</v>
      </c>
      <c r="M236" s="367">
        <f>+M238</f>
        <v>1325000</v>
      </c>
      <c r="N236" s="367">
        <f>+M236+L236</f>
        <v>75250000</v>
      </c>
      <c r="O236" s="367">
        <f t="shared" si="34"/>
        <v>-118639500</v>
      </c>
      <c r="P236" s="347">
        <f t="shared" si="35"/>
        <v>38.810765925952666</v>
      </c>
      <c r="Q236" s="454"/>
      <c r="R236" s="422"/>
    </row>
    <row r="237" spans="1:18" s="189" customFormat="1">
      <c r="A237" s="293"/>
      <c r="B237" s="292"/>
      <c r="C237" s="292"/>
      <c r="D237" s="292"/>
      <c r="E237" s="292"/>
      <c r="F237" s="292"/>
      <c r="G237" s="253"/>
      <c r="H237" s="253"/>
      <c r="I237" s="253"/>
      <c r="J237" s="374"/>
      <c r="K237" s="375"/>
      <c r="L237" s="377"/>
      <c r="M237" s="375"/>
      <c r="N237" s="375"/>
      <c r="O237" s="375"/>
      <c r="P237" s="600"/>
      <c r="Q237" s="448"/>
      <c r="R237" s="422"/>
    </row>
    <row r="238" spans="1:18" s="189" customFormat="1">
      <c r="A238" s="293"/>
      <c r="B238" s="292">
        <v>4</v>
      </c>
      <c r="C238" s="292">
        <v>1</v>
      </c>
      <c r="D238" s="292">
        <v>2</v>
      </c>
      <c r="E238" s="292" t="s">
        <v>440</v>
      </c>
      <c r="F238" s="292"/>
      <c r="G238" s="253" t="s">
        <v>545</v>
      </c>
      <c r="H238" s="253"/>
      <c r="I238" s="253"/>
      <c r="J238" s="397">
        <f>+J239</f>
        <v>100100000</v>
      </c>
      <c r="K238" s="398">
        <f>+K239</f>
        <v>193889500</v>
      </c>
      <c r="L238" s="377">
        <f>+L239</f>
        <v>73925000</v>
      </c>
      <c r="M238" s="375">
        <f>+M239</f>
        <v>1325000</v>
      </c>
      <c r="N238" s="1400">
        <f>+M238+L238</f>
        <v>75250000</v>
      </c>
      <c r="O238" s="346">
        <f t="shared" si="34"/>
        <v>-118639500</v>
      </c>
      <c r="P238" s="347">
        <f t="shared" si="35"/>
        <v>38.810765925952666</v>
      </c>
      <c r="Q238" s="448"/>
      <c r="R238" s="422"/>
    </row>
    <row r="239" spans="1:18" s="189" customFormat="1">
      <c r="A239" s="293"/>
      <c r="B239" s="292">
        <v>4</v>
      </c>
      <c r="C239" s="292">
        <v>1</v>
      </c>
      <c r="D239" s="292">
        <v>2</v>
      </c>
      <c r="E239" s="292" t="s">
        <v>440</v>
      </c>
      <c r="F239" s="292" t="s">
        <v>437</v>
      </c>
      <c r="G239" s="253" t="s">
        <v>117</v>
      </c>
      <c r="H239" s="253"/>
      <c r="I239" s="253"/>
      <c r="J239" s="374">
        <f>+J240+J241</f>
        <v>100100000</v>
      </c>
      <c r="K239" s="375">
        <f>+K240+K241</f>
        <v>193889500</v>
      </c>
      <c r="L239" s="377">
        <f>+L240+L241</f>
        <v>73925000</v>
      </c>
      <c r="M239" s="375">
        <f>+M240+M241</f>
        <v>1325000</v>
      </c>
      <c r="N239" s="375">
        <f>+N240+N241</f>
        <v>75250000</v>
      </c>
      <c r="O239" s="355">
        <f t="shared" si="34"/>
        <v>-118639500</v>
      </c>
      <c r="P239" s="388">
        <f t="shared" si="35"/>
        <v>38.810765925952666</v>
      </c>
      <c r="Q239" s="448"/>
      <c r="R239" s="422"/>
    </row>
    <row r="240" spans="1:18" s="189" customFormat="1">
      <c r="A240" s="293"/>
      <c r="B240" s="292"/>
      <c r="C240" s="292"/>
      <c r="D240" s="292"/>
      <c r="E240" s="292"/>
      <c r="F240" s="292"/>
      <c r="G240" s="253" t="s">
        <v>50</v>
      </c>
      <c r="H240" s="253"/>
      <c r="I240" s="253" t="s">
        <v>118</v>
      </c>
      <c r="J240" s="374">
        <v>60000000</v>
      </c>
      <c r="K240" s="376">
        <f>'[55]TARGET VERSI LAMA'!$E$116</f>
        <v>103889500</v>
      </c>
      <c r="L240" s="377">
        <f>[56]PerDinas!$N$240</f>
        <v>73925000</v>
      </c>
      <c r="M240" s="376">
        <f>[55]Perdinas!$P$149</f>
        <v>1325000</v>
      </c>
      <c r="N240" s="355">
        <f t="shared" ref="N240:N245" si="36">M240+L240</f>
        <v>75250000</v>
      </c>
      <c r="O240" s="355">
        <f t="shared" si="34"/>
        <v>-28639500</v>
      </c>
      <c r="P240" s="388">
        <f t="shared" si="35"/>
        <v>72.432729005337407</v>
      </c>
      <c r="Q240" s="448"/>
      <c r="R240" s="422"/>
    </row>
    <row r="241" spans="1:18" s="189" customFormat="1">
      <c r="A241" s="293"/>
      <c r="B241" s="292"/>
      <c r="C241" s="292"/>
      <c r="D241" s="292"/>
      <c r="E241" s="292"/>
      <c r="F241" s="292"/>
      <c r="G241" s="253" t="s">
        <v>50</v>
      </c>
      <c r="H241" s="253"/>
      <c r="I241" s="253" t="s">
        <v>119</v>
      </c>
      <c r="J241" s="374">
        <v>40100000</v>
      </c>
      <c r="K241" s="375">
        <f>'[55]TARGET VERSI LAMA'!$E$117</f>
        <v>90000000</v>
      </c>
      <c r="L241" s="377">
        <f>[56]PerDinas!$N$241</f>
        <v>0</v>
      </c>
      <c r="M241" s="375">
        <f>[55]Perdinas!$P$150</f>
        <v>0</v>
      </c>
      <c r="N241" s="355">
        <f t="shared" si="36"/>
        <v>0</v>
      </c>
      <c r="O241" s="355">
        <f t="shared" si="34"/>
        <v>-90000000</v>
      </c>
      <c r="P241" s="388">
        <f t="shared" si="35"/>
        <v>0</v>
      </c>
      <c r="Q241" s="448"/>
      <c r="R241" s="422"/>
    </row>
    <row r="242" spans="1:18" s="189" customFormat="1">
      <c r="A242" s="293"/>
      <c r="B242" s="292"/>
      <c r="C242" s="292"/>
      <c r="D242" s="292"/>
      <c r="E242" s="292"/>
      <c r="F242" s="292"/>
      <c r="G242" s="253"/>
      <c r="H242" s="253"/>
      <c r="I242" s="253"/>
      <c r="J242" s="374"/>
      <c r="K242" s="375"/>
      <c r="L242" s="377"/>
      <c r="M242" s="375"/>
      <c r="N242" s="375"/>
      <c r="O242" s="375"/>
      <c r="P242" s="600"/>
      <c r="Q242" s="448"/>
      <c r="R242" s="422"/>
    </row>
    <row r="243" spans="1:18" s="189" customFormat="1">
      <c r="A243" s="293"/>
      <c r="B243" s="290">
        <v>4</v>
      </c>
      <c r="C243" s="290">
        <v>1</v>
      </c>
      <c r="D243" s="290">
        <v>4</v>
      </c>
      <c r="E243" s="290"/>
      <c r="F243" s="290"/>
      <c r="G243" s="291" t="s">
        <v>71</v>
      </c>
      <c r="H243" s="291"/>
      <c r="I243" s="291"/>
      <c r="J243" s="397">
        <f>J247+J251+J256</f>
        <v>671501000</v>
      </c>
      <c r="K243" s="398">
        <f>K247+K251+K256+K244</f>
        <v>18000000</v>
      </c>
      <c r="L243" s="684">
        <f>L247+L251+L256+L244</f>
        <v>23897000</v>
      </c>
      <c r="M243" s="398">
        <f>M247+M251+M256+M244</f>
        <v>30004413</v>
      </c>
      <c r="N243" s="398">
        <f t="shared" si="36"/>
        <v>53901413</v>
      </c>
      <c r="O243" s="367">
        <f>N243-K243</f>
        <v>35901413</v>
      </c>
      <c r="P243" s="347">
        <f>N243/K243*100</f>
        <v>299.45229444444442</v>
      </c>
      <c r="Q243" s="699"/>
      <c r="R243" s="422"/>
    </row>
    <row r="244" spans="1:18" s="189" customFormat="1">
      <c r="A244" s="293"/>
      <c r="B244" s="292">
        <v>4</v>
      </c>
      <c r="C244" s="292">
        <v>1</v>
      </c>
      <c r="D244" s="292">
        <v>4</v>
      </c>
      <c r="E244" s="292" t="s">
        <v>441</v>
      </c>
      <c r="F244" s="292"/>
      <c r="G244" s="253" t="s">
        <v>966</v>
      </c>
      <c r="H244" s="291"/>
      <c r="I244" s="291"/>
      <c r="J244" s="397"/>
      <c r="K244" s="398">
        <f>K245</f>
        <v>0</v>
      </c>
      <c r="L244" s="684">
        <f>L245</f>
        <v>0</v>
      </c>
      <c r="M244" s="398">
        <f>M245</f>
        <v>7295582</v>
      </c>
      <c r="N244" s="398">
        <f t="shared" si="36"/>
        <v>7295582</v>
      </c>
      <c r="O244" s="367">
        <f>N244-K244</f>
        <v>7295582</v>
      </c>
      <c r="P244" s="347" t="e">
        <f>N244/K244*100</f>
        <v>#DIV/0!</v>
      </c>
      <c r="Q244" s="699"/>
      <c r="R244" s="422"/>
    </row>
    <row r="245" spans="1:18" s="189" customFormat="1">
      <c r="A245" s="293"/>
      <c r="B245" s="292">
        <v>4</v>
      </c>
      <c r="C245" s="292">
        <v>1</v>
      </c>
      <c r="D245" s="292">
        <v>4</v>
      </c>
      <c r="E245" s="292" t="s">
        <v>441</v>
      </c>
      <c r="F245" s="292"/>
      <c r="G245" s="2760" t="s">
        <v>50</v>
      </c>
      <c r="H245" s="253" t="s">
        <v>967</v>
      </c>
      <c r="I245" s="291"/>
      <c r="J245" s="397"/>
      <c r="K245" s="375">
        <f>'[55]TARGET VERSI LAMA'!$E$121</f>
        <v>0</v>
      </c>
      <c r="L245" s="377">
        <f>[56]PerDinas!$N$245</f>
        <v>0</v>
      </c>
      <c r="M245" s="375">
        <f>[55]Perdinas!$P$154</f>
        <v>7295582</v>
      </c>
      <c r="N245" s="375">
        <f t="shared" si="36"/>
        <v>7295582</v>
      </c>
      <c r="O245" s="346">
        <f>N245-K245</f>
        <v>7295582</v>
      </c>
      <c r="P245" s="347" t="e">
        <f>N245/K245*100</f>
        <v>#DIV/0!</v>
      </c>
      <c r="Q245" s="699"/>
      <c r="R245" s="422"/>
    </row>
    <row r="246" spans="1:18" s="189" customFormat="1">
      <c r="A246" s="293"/>
      <c r="B246" s="290"/>
      <c r="C246" s="290"/>
      <c r="D246" s="290"/>
      <c r="E246" s="290"/>
      <c r="F246" s="290"/>
      <c r="G246" s="291"/>
      <c r="H246" s="291"/>
      <c r="I246" s="291"/>
      <c r="J246" s="397"/>
      <c r="K246" s="398"/>
      <c r="L246" s="684"/>
      <c r="M246" s="398"/>
      <c r="N246" s="398"/>
      <c r="O246" s="367"/>
      <c r="P246" s="347"/>
      <c r="Q246" s="699"/>
      <c r="R246" s="422"/>
    </row>
    <row r="247" spans="1:18" s="189" customFormat="1">
      <c r="A247" s="293"/>
      <c r="B247" s="292">
        <v>4</v>
      </c>
      <c r="C247" s="292">
        <v>1</v>
      </c>
      <c r="D247" s="292">
        <v>4</v>
      </c>
      <c r="E247" s="292" t="s">
        <v>448</v>
      </c>
      <c r="F247" s="292"/>
      <c r="G247" s="253" t="s">
        <v>220</v>
      </c>
      <c r="H247" s="253"/>
      <c r="I247" s="253"/>
      <c r="J247" s="374">
        <f t="shared" ref="J247:M248" si="37">+J248</f>
        <v>1501000</v>
      </c>
      <c r="K247" s="375">
        <f t="shared" si="37"/>
        <v>18000000</v>
      </c>
      <c r="L247" s="377">
        <f t="shared" si="37"/>
        <v>0</v>
      </c>
      <c r="M247" s="375">
        <f t="shared" si="37"/>
        <v>0</v>
      </c>
      <c r="N247" s="346">
        <f>+M247+L247</f>
        <v>0</v>
      </c>
      <c r="O247" s="346">
        <f>N247-K247</f>
        <v>-18000000</v>
      </c>
      <c r="P247" s="347">
        <f>N247/K247*100</f>
        <v>0</v>
      </c>
      <c r="Q247" s="448"/>
      <c r="R247" s="422"/>
    </row>
    <row r="248" spans="1:18" s="189" customFormat="1">
      <c r="A248" s="293"/>
      <c r="B248" s="292">
        <v>4</v>
      </c>
      <c r="C248" s="292">
        <v>1</v>
      </c>
      <c r="D248" s="292">
        <v>4</v>
      </c>
      <c r="E248" s="292" t="s">
        <v>448</v>
      </c>
      <c r="F248" s="292" t="s">
        <v>440</v>
      </c>
      <c r="G248" s="253" t="s">
        <v>561</v>
      </c>
      <c r="H248" s="253"/>
      <c r="I248" s="253"/>
      <c r="J248" s="374">
        <f t="shared" si="37"/>
        <v>1501000</v>
      </c>
      <c r="K248" s="375">
        <f t="shared" si="37"/>
        <v>18000000</v>
      </c>
      <c r="L248" s="377">
        <f t="shared" si="37"/>
        <v>0</v>
      </c>
      <c r="M248" s="375">
        <f t="shared" si="37"/>
        <v>0</v>
      </c>
      <c r="N248" s="355">
        <f>M248+L248</f>
        <v>0</v>
      </c>
      <c r="O248" s="355">
        <f>N248-K248</f>
        <v>-18000000</v>
      </c>
      <c r="P248" s="388">
        <f>N248/K248*100</f>
        <v>0</v>
      </c>
      <c r="Q248" s="448"/>
      <c r="R248" s="422"/>
    </row>
    <row r="249" spans="1:18" s="189" customFormat="1">
      <c r="A249" s="293"/>
      <c r="B249" s="292"/>
      <c r="C249" s="292"/>
      <c r="D249" s="292"/>
      <c r="E249" s="292"/>
      <c r="F249" s="292"/>
      <c r="G249" s="253" t="s">
        <v>50</v>
      </c>
      <c r="H249" s="253"/>
      <c r="I249" s="253" t="s">
        <v>968</v>
      </c>
      <c r="J249" s="374">
        <v>1501000</v>
      </c>
      <c r="K249" s="375">
        <f>'[55]TARGET VERSI LAMA'!$E$120</f>
        <v>18000000</v>
      </c>
      <c r="L249" s="377">
        <f>[56]PerDinas!$N$249</f>
        <v>0</v>
      </c>
      <c r="M249" s="375">
        <f>[55]Perdinas!$P$153</f>
        <v>0</v>
      </c>
      <c r="N249" s="369">
        <f>M249+L249</f>
        <v>0</v>
      </c>
      <c r="O249" s="355">
        <f>N249-K249</f>
        <v>-18000000</v>
      </c>
      <c r="P249" s="388">
        <f>N249/K249*100</f>
        <v>0</v>
      </c>
      <c r="Q249" s="448"/>
      <c r="R249" s="422"/>
    </row>
    <row r="250" spans="1:18" s="189" customFormat="1">
      <c r="A250" s="293"/>
      <c r="B250" s="292"/>
      <c r="C250" s="292"/>
      <c r="D250" s="292"/>
      <c r="E250" s="292"/>
      <c r="F250" s="292"/>
      <c r="G250" s="253"/>
      <c r="H250" s="253"/>
      <c r="I250" s="253"/>
      <c r="J250" s="374"/>
      <c r="K250" s="375"/>
      <c r="L250" s="377"/>
      <c r="M250" s="375"/>
      <c r="N250" s="355"/>
      <c r="O250" s="355"/>
      <c r="P250" s="388"/>
      <c r="Q250" s="448"/>
      <c r="R250" s="422"/>
    </row>
    <row r="251" spans="1:18" s="189" customFormat="1">
      <c r="A251" s="293"/>
      <c r="B251" s="292">
        <v>4</v>
      </c>
      <c r="C251" s="292">
        <v>1</v>
      </c>
      <c r="D251" s="292">
        <v>4</v>
      </c>
      <c r="E251" s="292" t="s">
        <v>444</v>
      </c>
      <c r="F251" s="292"/>
      <c r="G251" s="253" t="s">
        <v>222</v>
      </c>
      <c r="H251" s="253"/>
      <c r="I251" s="253"/>
      <c r="J251" s="370">
        <f>+J254</f>
        <v>150000000</v>
      </c>
      <c r="K251" s="371">
        <f>+K254</f>
        <v>0</v>
      </c>
      <c r="L251" s="360">
        <f>SUM(L252:L254)</f>
        <v>6800000</v>
      </c>
      <c r="M251" s="355">
        <f>SUM(M252:M254)</f>
        <v>19580806</v>
      </c>
      <c r="N251" s="355">
        <f>SUM(N252:N254)</f>
        <v>26380806</v>
      </c>
      <c r="O251" s="346">
        <f>N251-K251</f>
        <v>26380806</v>
      </c>
      <c r="P251" s="347" t="e">
        <f t="shared" ref="P251:P258" si="38">N251/K251*100</f>
        <v>#DIV/0!</v>
      </c>
      <c r="Q251" s="441"/>
      <c r="R251" s="422"/>
    </row>
    <row r="252" spans="1:18" s="189" customFormat="1">
      <c r="A252" s="289"/>
      <c r="B252" s="292">
        <v>4</v>
      </c>
      <c r="C252" s="292">
        <v>1</v>
      </c>
      <c r="D252" s="292">
        <v>4</v>
      </c>
      <c r="E252" s="292" t="s">
        <v>444</v>
      </c>
      <c r="F252" s="292" t="s">
        <v>440</v>
      </c>
      <c r="G252" s="253" t="s">
        <v>73</v>
      </c>
      <c r="H252" s="253"/>
      <c r="I252" s="253"/>
      <c r="J252" s="354">
        <v>0</v>
      </c>
      <c r="K252" s="355">
        <v>0</v>
      </c>
      <c r="L252" s="360">
        <v>0</v>
      </c>
      <c r="M252" s="355">
        <f>[55]Perdinas!$P$155</f>
        <v>0</v>
      </c>
      <c r="N252" s="355">
        <f t="shared" ref="N252:N260" si="39">M252+L252</f>
        <v>0</v>
      </c>
      <c r="O252" s="355">
        <f>N252-K252</f>
        <v>0</v>
      </c>
      <c r="P252" s="347"/>
      <c r="Q252" s="441"/>
      <c r="R252" s="422"/>
    </row>
    <row r="253" spans="1:18" s="189" customFormat="1">
      <c r="A253" s="289"/>
      <c r="B253" s="292">
        <v>4</v>
      </c>
      <c r="C253" s="292">
        <v>1</v>
      </c>
      <c r="D253" s="292">
        <v>4</v>
      </c>
      <c r="E253" s="292" t="s">
        <v>444</v>
      </c>
      <c r="F253" s="292" t="s">
        <v>445</v>
      </c>
      <c r="G253" s="253" t="s">
        <v>74</v>
      </c>
      <c r="H253" s="253"/>
      <c r="I253" s="253"/>
      <c r="J253" s="354">
        <v>0</v>
      </c>
      <c r="K253" s="355">
        <v>0</v>
      </c>
      <c r="L253" s="360">
        <f>[59]PerDinas!$M$253</f>
        <v>0</v>
      </c>
      <c r="M253" s="355">
        <f>[55]Perdinas!$P$156</f>
        <v>0</v>
      </c>
      <c r="N253" s="355">
        <f t="shared" si="39"/>
        <v>0</v>
      </c>
      <c r="O253" s="355">
        <f>N253-K253</f>
        <v>0</v>
      </c>
      <c r="P253" s="347"/>
      <c r="Q253" s="441"/>
      <c r="R253" s="422"/>
    </row>
    <row r="254" spans="1:18" s="189" customFormat="1">
      <c r="A254" s="293"/>
      <c r="B254" s="292">
        <v>4</v>
      </c>
      <c r="C254" s="292">
        <v>1</v>
      </c>
      <c r="D254" s="292">
        <v>4</v>
      </c>
      <c r="E254" s="292" t="s">
        <v>444</v>
      </c>
      <c r="F254" s="292" t="s">
        <v>441</v>
      </c>
      <c r="G254" s="253" t="s">
        <v>75</v>
      </c>
      <c r="H254" s="253"/>
      <c r="I254" s="253"/>
      <c r="J254" s="354">
        <v>150000000</v>
      </c>
      <c r="K254" s="373">
        <f>'[55]TARGET VERSI LAMA'!$E$122</f>
        <v>0</v>
      </c>
      <c r="L254" s="360">
        <f>[56]PerDinas!$N$254</f>
        <v>6800000</v>
      </c>
      <c r="M254" s="373">
        <f>[55]Perdinas!$P$157</f>
        <v>19580806</v>
      </c>
      <c r="N254" s="369">
        <f t="shared" si="39"/>
        <v>26380806</v>
      </c>
      <c r="O254" s="355">
        <f>N254-K254</f>
        <v>26380806</v>
      </c>
      <c r="P254" s="347" t="e">
        <f t="shared" si="38"/>
        <v>#DIV/0!</v>
      </c>
      <c r="Q254" s="441"/>
      <c r="R254" s="422"/>
    </row>
    <row r="255" spans="1:18" s="189" customFormat="1">
      <c r="A255" s="293"/>
      <c r="B255" s="292"/>
      <c r="C255" s="292"/>
      <c r="D255" s="292"/>
      <c r="E255" s="292"/>
      <c r="F255" s="292"/>
      <c r="G255" s="253"/>
      <c r="H255" s="253"/>
      <c r="I255" s="253"/>
      <c r="J255" s="374"/>
      <c r="K255" s="375"/>
      <c r="L255" s="377"/>
      <c r="M255" s="375"/>
      <c r="N255" s="355">
        <f t="shared" si="39"/>
        <v>0</v>
      </c>
      <c r="O255" s="375"/>
      <c r="P255" s="347"/>
      <c r="Q255" s="448"/>
      <c r="R255" s="422"/>
    </row>
    <row r="256" spans="1:18" s="189" customFormat="1">
      <c r="A256" s="293"/>
      <c r="B256" s="292">
        <v>4</v>
      </c>
      <c r="C256" s="292">
        <v>1</v>
      </c>
      <c r="D256" s="292">
        <v>4</v>
      </c>
      <c r="E256" s="292" t="s">
        <v>948</v>
      </c>
      <c r="F256" s="292"/>
      <c r="G256" s="253" t="s">
        <v>321</v>
      </c>
      <c r="H256" s="253"/>
      <c r="I256" s="253"/>
      <c r="J256" s="397">
        <f>+J257</f>
        <v>520000000</v>
      </c>
      <c r="K256" s="398">
        <f>+K257</f>
        <v>0</v>
      </c>
      <c r="L256" s="684">
        <f>+L257</f>
        <v>17097000</v>
      </c>
      <c r="M256" s="398">
        <f>+M257</f>
        <v>3128025</v>
      </c>
      <c r="N256" s="371">
        <f t="shared" si="39"/>
        <v>20225025</v>
      </c>
      <c r="O256" s="367">
        <f>N256-K256</f>
        <v>20225025</v>
      </c>
      <c r="P256" s="347" t="e">
        <f t="shared" si="38"/>
        <v>#DIV/0!</v>
      </c>
      <c r="Q256" s="448"/>
      <c r="R256" s="422"/>
    </row>
    <row r="257" spans="1:18" s="189" customFormat="1">
      <c r="A257" s="293"/>
      <c r="B257" s="292">
        <v>4</v>
      </c>
      <c r="C257" s="292">
        <v>1</v>
      </c>
      <c r="D257" s="292">
        <v>4</v>
      </c>
      <c r="E257" s="292" t="s">
        <v>948</v>
      </c>
      <c r="F257" s="292" t="s">
        <v>437</v>
      </c>
      <c r="G257" s="253" t="s">
        <v>85</v>
      </c>
      <c r="H257" s="253"/>
      <c r="I257" s="253"/>
      <c r="J257" s="374">
        <f>+J258+J259</f>
        <v>520000000</v>
      </c>
      <c r="K257" s="375">
        <f>+K258+K259</f>
        <v>0</v>
      </c>
      <c r="L257" s="377">
        <f>L258+L259</f>
        <v>17097000</v>
      </c>
      <c r="M257" s="375">
        <f>M258+M259</f>
        <v>3128025</v>
      </c>
      <c r="N257" s="355">
        <f t="shared" si="39"/>
        <v>20225025</v>
      </c>
      <c r="O257" s="355">
        <f>N257-K257</f>
        <v>20225025</v>
      </c>
      <c r="P257" s="388" t="e">
        <f t="shared" si="38"/>
        <v>#DIV/0!</v>
      </c>
      <c r="Q257" s="448"/>
      <c r="R257" s="422"/>
    </row>
    <row r="258" spans="1:18" s="189" customFormat="1">
      <c r="A258" s="293"/>
      <c r="B258" s="292"/>
      <c r="C258" s="292"/>
      <c r="D258" s="292"/>
      <c r="E258" s="292"/>
      <c r="F258" s="292"/>
      <c r="G258" s="253" t="s">
        <v>50</v>
      </c>
      <c r="H258" s="253"/>
      <c r="I258" s="253" t="s">
        <v>76</v>
      </c>
      <c r="J258" s="374">
        <v>520000000</v>
      </c>
      <c r="K258" s="376">
        <f>'[55]TARGET VERSI LAMA'!$E$123</f>
        <v>0</v>
      </c>
      <c r="L258" s="1231">
        <f>[56]PerDinas!$N$586</f>
        <v>17097000</v>
      </c>
      <c r="M258" s="375">
        <f>[55]Perdinas!$P$362</f>
        <v>3128025</v>
      </c>
      <c r="N258" s="369">
        <f t="shared" si="39"/>
        <v>20225025</v>
      </c>
      <c r="O258" s="355">
        <f>N258-K258</f>
        <v>20225025</v>
      </c>
      <c r="P258" s="388" t="e">
        <f t="shared" si="38"/>
        <v>#DIV/0!</v>
      </c>
      <c r="Q258" s="448"/>
      <c r="R258" s="422"/>
    </row>
    <row r="259" spans="1:18" s="245" customFormat="1">
      <c r="A259" s="654"/>
      <c r="B259" s="655"/>
      <c r="C259" s="655"/>
      <c r="D259" s="655"/>
      <c r="E259" s="655"/>
      <c r="F259" s="655"/>
      <c r="G259" s="656"/>
      <c r="H259" s="656"/>
      <c r="I259" s="656"/>
      <c r="J259" s="680"/>
      <c r="K259" s="1419"/>
      <c r="L259" s="682">
        <f>[56]PerDinas!$N$259</f>
        <v>0</v>
      </c>
      <c r="M259" s="1419"/>
      <c r="N259" s="527"/>
      <c r="O259" s="681"/>
      <c r="P259" s="683"/>
      <c r="Q259" s="698"/>
      <c r="R259" s="450"/>
    </row>
    <row r="260" spans="1:18" s="244" customFormat="1" ht="15.05">
      <c r="A260" s="1383" t="s">
        <v>124</v>
      </c>
      <c r="B260" s="1378" t="s">
        <v>58</v>
      </c>
      <c r="C260" s="1378" t="s">
        <v>448</v>
      </c>
      <c r="D260" s="1378" t="s">
        <v>438</v>
      </c>
      <c r="E260" s="1378"/>
      <c r="F260" s="1378"/>
      <c r="G260" s="1408" t="s">
        <v>737</v>
      </c>
      <c r="H260" s="1410"/>
      <c r="I260" s="1410"/>
      <c r="J260" s="1396">
        <f>+J262</f>
        <v>5750000</v>
      </c>
      <c r="K260" s="1397">
        <f>+K262</f>
        <v>0</v>
      </c>
      <c r="L260" s="1397">
        <f>+L262</f>
        <v>55355700</v>
      </c>
      <c r="M260" s="1397">
        <f>+M262</f>
        <v>55132027</v>
      </c>
      <c r="N260" s="1397">
        <f t="shared" si="39"/>
        <v>110487727</v>
      </c>
      <c r="O260" s="1397">
        <f>+N260-K260</f>
        <v>110487727</v>
      </c>
      <c r="P260" s="1398" t="e">
        <f>+N260/K260*100</f>
        <v>#DIV/0!</v>
      </c>
      <c r="Q260" s="1406"/>
      <c r="R260" s="639"/>
    </row>
    <row r="261" spans="1:18" s="189" customFormat="1">
      <c r="A261" s="1409"/>
      <c r="B261" s="1324"/>
      <c r="C261" s="1324"/>
      <c r="D261" s="1324"/>
      <c r="E261" s="1324"/>
      <c r="F261" s="1324"/>
      <c r="G261" s="1325"/>
      <c r="H261" s="1325"/>
      <c r="I261" s="1325"/>
      <c r="J261" s="1333"/>
      <c r="K261" s="677"/>
      <c r="L261" s="677"/>
      <c r="M261" s="677"/>
      <c r="N261" s="677"/>
      <c r="O261" s="677"/>
      <c r="P261" s="690"/>
      <c r="Q261" s="531"/>
      <c r="R261" s="422"/>
    </row>
    <row r="262" spans="1:18" s="189" customFormat="1">
      <c r="A262" s="293"/>
      <c r="B262" s="290">
        <v>4</v>
      </c>
      <c r="C262" s="290">
        <v>1</v>
      </c>
      <c r="D262" s="290"/>
      <c r="E262" s="290"/>
      <c r="F262" s="290"/>
      <c r="G262" s="291" t="s">
        <v>180</v>
      </c>
      <c r="H262" s="291"/>
      <c r="I262" s="291"/>
      <c r="J262" s="387">
        <f>+J263</f>
        <v>5750000</v>
      </c>
      <c r="K262" s="367">
        <f>+K263</f>
        <v>0</v>
      </c>
      <c r="L262" s="1066">
        <f>+L263</f>
        <v>55355700</v>
      </c>
      <c r="M262" s="367">
        <f>+M263</f>
        <v>55132027</v>
      </c>
      <c r="N262" s="367">
        <f>+M262+L262</f>
        <v>110487727</v>
      </c>
      <c r="O262" s="367">
        <f t="shared" ref="O262:O267" si="40">N262-K262</f>
        <v>110487727</v>
      </c>
      <c r="P262" s="347" t="e">
        <f>N262/K262*100</f>
        <v>#DIV/0!</v>
      </c>
      <c r="Q262" s="454"/>
      <c r="R262" s="422"/>
    </row>
    <row r="263" spans="1:18" s="189" customFormat="1">
      <c r="A263" s="293"/>
      <c r="B263" s="290">
        <v>4</v>
      </c>
      <c r="C263" s="290">
        <v>1</v>
      </c>
      <c r="D263" s="290">
        <v>4</v>
      </c>
      <c r="E263" s="290"/>
      <c r="F263" s="290"/>
      <c r="G263" s="291" t="s">
        <v>71</v>
      </c>
      <c r="H263" s="291"/>
      <c r="I263" s="291"/>
      <c r="J263" s="370">
        <f>J264+J269</f>
        <v>5750000</v>
      </c>
      <c r="K263" s="371">
        <f>K264+K269</f>
        <v>0</v>
      </c>
      <c r="L263" s="372">
        <f>L264+L269</f>
        <v>55355700</v>
      </c>
      <c r="M263" s="371">
        <f>M264+M269</f>
        <v>55132027</v>
      </c>
      <c r="N263" s="371">
        <f>N264+N269</f>
        <v>110487727</v>
      </c>
      <c r="O263" s="367">
        <f t="shared" si="40"/>
        <v>110487727</v>
      </c>
      <c r="P263" s="347" t="e">
        <f>N263/K263*100</f>
        <v>#DIV/0!</v>
      </c>
      <c r="Q263" s="651"/>
      <c r="R263" s="422"/>
    </row>
    <row r="264" spans="1:18" s="189" customFormat="1">
      <c r="A264" s="293"/>
      <c r="B264" s="292">
        <v>4</v>
      </c>
      <c r="C264" s="292">
        <v>1</v>
      </c>
      <c r="D264" s="292">
        <v>4</v>
      </c>
      <c r="E264" s="292" t="s">
        <v>444</v>
      </c>
      <c r="F264" s="292"/>
      <c r="G264" s="253" t="s">
        <v>222</v>
      </c>
      <c r="H264" s="253"/>
      <c r="I264" s="253"/>
      <c r="J264" s="354">
        <f>+J267</f>
        <v>0</v>
      </c>
      <c r="K264" s="355">
        <f>+K267</f>
        <v>0</v>
      </c>
      <c r="L264" s="360">
        <f>SUM(L265:L267)</f>
        <v>55355700</v>
      </c>
      <c r="M264" s="355">
        <f>SUM(M265:M267)</f>
        <v>55132027</v>
      </c>
      <c r="N264" s="355">
        <f>SUM(N265:N267)</f>
        <v>110487727</v>
      </c>
      <c r="O264" s="346">
        <f t="shared" si="40"/>
        <v>110487727</v>
      </c>
      <c r="P264" s="347" t="e">
        <f>N264/K264*100</f>
        <v>#DIV/0!</v>
      </c>
      <c r="Q264" s="441"/>
      <c r="R264" s="422"/>
    </row>
    <row r="265" spans="1:18" s="189" customFormat="1">
      <c r="A265" s="289"/>
      <c r="B265" s="292">
        <v>4</v>
      </c>
      <c r="C265" s="292">
        <v>1</v>
      </c>
      <c r="D265" s="292">
        <v>4</v>
      </c>
      <c r="E265" s="292" t="s">
        <v>444</v>
      </c>
      <c r="F265" s="292" t="s">
        <v>440</v>
      </c>
      <c r="G265" s="253" t="s">
        <v>73</v>
      </c>
      <c r="H265" s="253"/>
      <c r="I265" s="253"/>
      <c r="J265" s="354">
        <v>0</v>
      </c>
      <c r="K265" s="355">
        <v>0</v>
      </c>
      <c r="L265" s="360">
        <v>0</v>
      </c>
      <c r="M265" s="355">
        <f>[55]Perdinas!$P$164</f>
        <v>0</v>
      </c>
      <c r="N265" s="355">
        <f>M265+L265</f>
        <v>0</v>
      </c>
      <c r="O265" s="355">
        <f t="shared" si="40"/>
        <v>0</v>
      </c>
      <c r="P265" s="441"/>
      <c r="Q265" s="441"/>
      <c r="R265" s="422"/>
    </row>
    <row r="266" spans="1:18" s="189" customFormat="1">
      <c r="A266" s="289"/>
      <c r="B266" s="292">
        <v>4</v>
      </c>
      <c r="C266" s="292">
        <v>1</v>
      </c>
      <c r="D266" s="292">
        <v>4</v>
      </c>
      <c r="E266" s="292" t="s">
        <v>444</v>
      </c>
      <c r="F266" s="292" t="s">
        <v>445</v>
      </c>
      <c r="G266" s="253" t="s">
        <v>74</v>
      </c>
      <c r="H266" s="253"/>
      <c r="I266" s="253"/>
      <c r="J266" s="354">
        <v>0</v>
      </c>
      <c r="K266" s="355">
        <v>0</v>
      </c>
      <c r="L266" s="360">
        <v>0</v>
      </c>
      <c r="M266" s="355">
        <f>[55]Perdinas!$P$165</f>
        <v>0</v>
      </c>
      <c r="N266" s="355">
        <f>M266+L266</f>
        <v>0</v>
      </c>
      <c r="O266" s="355">
        <f t="shared" si="40"/>
        <v>0</v>
      </c>
      <c r="P266" s="388"/>
      <c r="Q266" s="441"/>
      <c r="R266" s="422"/>
    </row>
    <row r="267" spans="1:18" s="189" customFormat="1">
      <c r="A267" s="293"/>
      <c r="B267" s="292">
        <v>4</v>
      </c>
      <c r="C267" s="292">
        <v>1</v>
      </c>
      <c r="D267" s="292">
        <v>4</v>
      </c>
      <c r="E267" s="292" t="s">
        <v>444</v>
      </c>
      <c r="F267" s="292" t="s">
        <v>441</v>
      </c>
      <c r="G267" s="253" t="s">
        <v>75</v>
      </c>
      <c r="H267" s="253"/>
      <c r="I267" s="253"/>
      <c r="J267" s="354">
        <v>0</v>
      </c>
      <c r="K267" s="355">
        <f>'[55]TARGET VERSI LAMA'!$E$129</f>
        <v>0</v>
      </c>
      <c r="L267" s="360">
        <f>[56]PerDinas!$N$267</f>
        <v>55355700</v>
      </c>
      <c r="M267" s="355">
        <f>[55]Perdinas!$P$166</f>
        <v>55132027</v>
      </c>
      <c r="N267" s="369">
        <f>M267+L267</f>
        <v>110487727</v>
      </c>
      <c r="O267" s="355">
        <f t="shared" si="40"/>
        <v>110487727</v>
      </c>
      <c r="P267" s="388"/>
      <c r="Q267" s="441"/>
      <c r="R267" s="422"/>
    </row>
    <row r="268" spans="1:18" s="189" customFormat="1">
      <c r="A268" s="293"/>
      <c r="B268" s="292"/>
      <c r="C268" s="292"/>
      <c r="D268" s="292"/>
      <c r="E268" s="292"/>
      <c r="F268" s="292"/>
      <c r="G268" s="253"/>
      <c r="H268" s="253"/>
      <c r="I268" s="253"/>
      <c r="J268" s="374"/>
      <c r="K268" s="375"/>
      <c r="L268" s="377"/>
      <c r="M268" s="375"/>
      <c r="N268" s="375"/>
      <c r="O268" s="375"/>
      <c r="P268" s="600"/>
      <c r="Q268" s="448"/>
      <c r="R268" s="422"/>
    </row>
    <row r="269" spans="1:18" s="189" customFormat="1">
      <c r="A269" s="293"/>
      <c r="B269" s="292">
        <v>4</v>
      </c>
      <c r="C269" s="292">
        <v>1</v>
      </c>
      <c r="D269" s="292">
        <v>4</v>
      </c>
      <c r="E269" s="292" t="s">
        <v>948</v>
      </c>
      <c r="F269" s="292"/>
      <c r="G269" s="253" t="s">
        <v>321</v>
      </c>
      <c r="H269" s="253"/>
      <c r="I269" s="253"/>
      <c r="J269" s="374">
        <f>+J270</f>
        <v>5750000</v>
      </c>
      <c r="K269" s="375">
        <f>+K270</f>
        <v>0</v>
      </c>
      <c r="L269" s="377">
        <f>+L270</f>
        <v>0</v>
      </c>
      <c r="M269" s="375">
        <f>+M270</f>
        <v>0</v>
      </c>
      <c r="N269" s="375">
        <f>+N270</f>
        <v>0</v>
      </c>
      <c r="O269" s="346">
        <f>N269-K269</f>
        <v>0</v>
      </c>
      <c r="P269" s="347" t="e">
        <f>N269/K269*100</f>
        <v>#DIV/0!</v>
      </c>
      <c r="Q269" s="448"/>
      <c r="R269" s="422"/>
    </row>
    <row r="270" spans="1:18" s="189" customFormat="1">
      <c r="A270" s="293"/>
      <c r="B270" s="292">
        <v>4</v>
      </c>
      <c r="C270" s="292">
        <v>1</v>
      </c>
      <c r="D270" s="292">
        <v>4</v>
      </c>
      <c r="E270" s="292" t="s">
        <v>948</v>
      </c>
      <c r="F270" s="292" t="s">
        <v>437</v>
      </c>
      <c r="G270" s="253" t="s">
        <v>85</v>
      </c>
      <c r="H270" s="253"/>
      <c r="I270" s="253"/>
      <c r="J270" s="374">
        <f>+J271</f>
        <v>5750000</v>
      </c>
      <c r="K270" s="375">
        <f>+K271</f>
        <v>0</v>
      </c>
      <c r="L270" s="377">
        <f>L271</f>
        <v>0</v>
      </c>
      <c r="M270" s="375">
        <f>M271</f>
        <v>0</v>
      </c>
      <c r="N270" s="375">
        <f>N271</f>
        <v>0</v>
      </c>
      <c r="O270" s="355">
        <f>N270-K270</f>
        <v>0</v>
      </c>
      <c r="P270" s="388" t="e">
        <f>N270/K270*100</f>
        <v>#DIV/0!</v>
      </c>
      <c r="Q270" s="448"/>
      <c r="R270" s="422"/>
    </row>
    <row r="271" spans="1:18" s="189" customFormat="1">
      <c r="A271" s="293"/>
      <c r="B271" s="292"/>
      <c r="C271" s="292"/>
      <c r="D271" s="292"/>
      <c r="E271" s="292"/>
      <c r="F271" s="292"/>
      <c r="G271" s="253" t="s">
        <v>50</v>
      </c>
      <c r="H271" s="253"/>
      <c r="I271" s="253" t="s">
        <v>76</v>
      </c>
      <c r="J271" s="374">
        <v>5750000</v>
      </c>
      <c r="K271" s="375">
        <f>'[55]TARGET VERSI LAMA'!$E$130</f>
        <v>0</v>
      </c>
      <c r="L271" s="375">
        <f>[56]PerDinas!$N$271</f>
        <v>0</v>
      </c>
      <c r="M271" s="375">
        <f>[55]Perdinas!$P$167</f>
        <v>0</v>
      </c>
      <c r="N271" s="355">
        <f>M271+L271</f>
        <v>0</v>
      </c>
      <c r="O271" s="355">
        <f>N271-K271</f>
        <v>0</v>
      </c>
      <c r="P271" s="388" t="e">
        <f>N271/K271*100</f>
        <v>#DIV/0!</v>
      </c>
      <c r="Q271" s="448"/>
      <c r="R271" s="422"/>
    </row>
    <row r="272" spans="1:18" s="245" customFormat="1">
      <c r="A272" s="654"/>
      <c r="B272" s="655"/>
      <c r="C272" s="655"/>
      <c r="D272" s="655"/>
      <c r="E272" s="655"/>
      <c r="F272" s="655"/>
      <c r="G272" s="656"/>
      <c r="H272" s="656"/>
      <c r="I272" s="656"/>
      <c r="J272" s="526"/>
      <c r="K272" s="527"/>
      <c r="L272" s="527"/>
      <c r="M272" s="527"/>
      <c r="N272" s="527"/>
      <c r="O272" s="527"/>
      <c r="P272" s="671"/>
      <c r="Q272" s="644"/>
      <c r="R272" s="450"/>
    </row>
    <row r="273" spans="1:18" s="244" customFormat="1">
      <c r="A273" s="1383" t="s">
        <v>126</v>
      </c>
      <c r="B273" s="1378" t="s">
        <v>58</v>
      </c>
      <c r="C273" s="1378" t="s">
        <v>969</v>
      </c>
      <c r="D273" s="1378" t="s">
        <v>437</v>
      </c>
      <c r="E273" s="1378"/>
      <c r="F273" s="1378"/>
      <c r="G273" s="1410" t="s">
        <v>738</v>
      </c>
      <c r="H273" s="1410"/>
      <c r="I273" s="1410"/>
      <c r="J273" s="1396">
        <f>+J275</f>
        <v>2000000</v>
      </c>
      <c r="K273" s="1397">
        <f>+K275</f>
        <v>1100000</v>
      </c>
      <c r="L273" s="1397">
        <f>+L275</f>
        <v>322000</v>
      </c>
      <c r="M273" s="1397">
        <f>+M275</f>
        <v>142499557</v>
      </c>
      <c r="N273" s="1397">
        <f>M273+L273</f>
        <v>142821557</v>
      </c>
      <c r="O273" s="1397">
        <f>+N273-K273</f>
        <v>141721557</v>
      </c>
      <c r="P273" s="1398">
        <f>+N273/K273*100</f>
        <v>12983.77790909091</v>
      </c>
      <c r="Q273" s="1406"/>
      <c r="R273" s="639"/>
    </row>
    <row r="274" spans="1:18" s="189" customFormat="1">
      <c r="A274" s="1409"/>
      <c r="B274" s="1324"/>
      <c r="C274" s="1324"/>
      <c r="D274" s="1324"/>
      <c r="E274" s="1324"/>
      <c r="F274" s="1324"/>
      <c r="G274" s="1325"/>
      <c r="H274" s="1325"/>
      <c r="I274" s="1325"/>
      <c r="J274" s="1333"/>
      <c r="K274" s="677"/>
      <c r="L274" s="677"/>
      <c r="M274" s="677"/>
      <c r="N274" s="677"/>
      <c r="O274" s="677"/>
      <c r="P274" s="690"/>
      <c r="Q274" s="531"/>
      <c r="R274" s="422"/>
    </row>
    <row r="275" spans="1:18" s="189" customFormat="1">
      <c r="A275" s="293"/>
      <c r="B275" s="290">
        <v>4</v>
      </c>
      <c r="C275" s="290">
        <v>1</v>
      </c>
      <c r="D275" s="290"/>
      <c r="E275" s="290"/>
      <c r="F275" s="290"/>
      <c r="G275" s="291" t="s">
        <v>180</v>
      </c>
      <c r="H275" s="291"/>
      <c r="I275" s="291"/>
      <c r="J275" s="387">
        <f>+J278</f>
        <v>2000000</v>
      </c>
      <c r="K275" s="367">
        <f>+K278</f>
        <v>1100000</v>
      </c>
      <c r="L275" s="367">
        <f>+L278</f>
        <v>322000</v>
      </c>
      <c r="M275" s="367">
        <f>+M278</f>
        <v>142499557</v>
      </c>
      <c r="N275" s="367">
        <f>+M275+L275</f>
        <v>142821557</v>
      </c>
      <c r="O275" s="367">
        <f t="shared" ref="O275:O282" si="41">N275-K275</f>
        <v>141721557</v>
      </c>
      <c r="P275" s="347">
        <f>N275/K275*100</f>
        <v>12983.77790909091</v>
      </c>
      <c r="Q275" s="454"/>
      <c r="R275" s="422"/>
    </row>
    <row r="276" spans="1:18" s="189" customFormat="1">
      <c r="A276" s="293"/>
      <c r="B276" s="290"/>
      <c r="C276" s="290"/>
      <c r="D276" s="290"/>
      <c r="E276" s="290"/>
      <c r="F276" s="290"/>
      <c r="G276" s="291"/>
      <c r="H276" s="291"/>
      <c r="I276" s="291"/>
      <c r="J276" s="387"/>
      <c r="K276" s="367"/>
      <c r="L276" s="367"/>
      <c r="M276" s="367"/>
      <c r="N276" s="367"/>
      <c r="O276" s="367"/>
      <c r="P276" s="347"/>
      <c r="Q276" s="454"/>
      <c r="R276" s="422"/>
    </row>
    <row r="277" spans="1:18" s="189" customFormat="1">
      <c r="A277" s="293"/>
      <c r="B277" s="292"/>
      <c r="C277" s="292"/>
      <c r="D277" s="292"/>
      <c r="E277" s="292"/>
      <c r="F277" s="292"/>
      <c r="G277" s="253"/>
      <c r="H277" s="253"/>
      <c r="I277" s="253"/>
      <c r="J277" s="354"/>
      <c r="K277" s="355"/>
      <c r="L277" s="355"/>
      <c r="M277" s="355"/>
      <c r="N277" s="355"/>
      <c r="O277" s="355"/>
      <c r="P277" s="388"/>
      <c r="Q277" s="441"/>
      <c r="R277" s="422"/>
    </row>
    <row r="278" spans="1:18" s="189" customFormat="1">
      <c r="A278" s="293"/>
      <c r="B278" s="290">
        <v>4</v>
      </c>
      <c r="C278" s="290">
        <v>1</v>
      </c>
      <c r="D278" s="290">
        <v>4</v>
      </c>
      <c r="E278" s="290"/>
      <c r="F278" s="290"/>
      <c r="G278" s="291" t="s">
        <v>71</v>
      </c>
      <c r="H278" s="291"/>
      <c r="I278" s="291"/>
      <c r="J278" s="370">
        <f>J279+J284</f>
        <v>2000000</v>
      </c>
      <c r="K278" s="371">
        <f>K279+K284</f>
        <v>1100000</v>
      </c>
      <c r="L278" s="372">
        <f>L279+L284</f>
        <v>322000</v>
      </c>
      <c r="M278" s="371">
        <f>M279+M284</f>
        <v>142499557</v>
      </c>
      <c r="N278" s="371">
        <f>N279+N284</f>
        <v>142821557</v>
      </c>
      <c r="O278" s="367">
        <f t="shared" si="41"/>
        <v>141721557</v>
      </c>
      <c r="P278" s="347">
        <f>N278/K278*100</f>
        <v>12983.77790909091</v>
      </c>
      <c r="Q278" s="651"/>
      <c r="R278" s="422"/>
    </row>
    <row r="279" spans="1:18" s="189" customFormat="1">
      <c r="A279" s="293"/>
      <c r="B279" s="292">
        <v>4</v>
      </c>
      <c r="C279" s="292">
        <v>1</v>
      </c>
      <c r="D279" s="292">
        <v>4</v>
      </c>
      <c r="E279" s="292" t="s">
        <v>444</v>
      </c>
      <c r="F279" s="292"/>
      <c r="G279" s="253" t="s">
        <v>222</v>
      </c>
      <c r="H279" s="253"/>
      <c r="I279" s="253"/>
      <c r="J279" s="354">
        <f>+J282</f>
        <v>0</v>
      </c>
      <c r="K279" s="355">
        <f>+K282</f>
        <v>0</v>
      </c>
      <c r="L279" s="360">
        <f>SUM(L280:L282)</f>
        <v>0</v>
      </c>
      <c r="M279" s="355">
        <f>SUM(M280:M282)</f>
        <v>1482000</v>
      </c>
      <c r="N279" s="355">
        <f>SUM(N280:N282)</f>
        <v>1482000</v>
      </c>
      <c r="O279" s="346">
        <f t="shared" si="41"/>
        <v>1482000</v>
      </c>
      <c r="P279" s="347"/>
      <c r="Q279" s="441"/>
      <c r="R279" s="422"/>
    </row>
    <row r="280" spans="1:18" s="189" customFormat="1">
      <c r="A280" s="293"/>
      <c r="B280" s="292">
        <v>4</v>
      </c>
      <c r="C280" s="292">
        <v>1</v>
      </c>
      <c r="D280" s="292">
        <v>4</v>
      </c>
      <c r="E280" s="292" t="s">
        <v>444</v>
      </c>
      <c r="F280" s="292" t="s">
        <v>440</v>
      </c>
      <c r="G280" s="253" t="s">
        <v>73</v>
      </c>
      <c r="H280" s="253"/>
      <c r="I280" s="253"/>
      <c r="J280" s="354">
        <v>0</v>
      </c>
      <c r="K280" s="355">
        <v>0</v>
      </c>
      <c r="L280" s="360">
        <v>0</v>
      </c>
      <c r="M280" s="355">
        <f>[55]Perdinas!$P$172</f>
        <v>0</v>
      </c>
      <c r="N280" s="355">
        <f>M280+L280</f>
        <v>0</v>
      </c>
      <c r="O280" s="355">
        <f t="shared" si="41"/>
        <v>0</v>
      </c>
      <c r="P280" s="388"/>
      <c r="Q280" s="441"/>
      <c r="R280" s="422"/>
    </row>
    <row r="281" spans="1:18" s="189" customFormat="1">
      <c r="A281" s="293"/>
      <c r="B281" s="292">
        <v>4</v>
      </c>
      <c r="C281" s="292">
        <v>1</v>
      </c>
      <c r="D281" s="292">
        <v>4</v>
      </c>
      <c r="E281" s="292" t="s">
        <v>444</v>
      </c>
      <c r="F281" s="292" t="s">
        <v>445</v>
      </c>
      <c r="G281" s="253" t="s">
        <v>74</v>
      </c>
      <c r="H281" s="253"/>
      <c r="I281" s="253"/>
      <c r="J281" s="354">
        <v>0</v>
      </c>
      <c r="K281" s="355">
        <v>0</v>
      </c>
      <c r="L281" s="360">
        <v>0</v>
      </c>
      <c r="M281" s="355">
        <f>[55]Perdinas!$P$173</f>
        <v>0</v>
      </c>
      <c r="N281" s="355">
        <f>M281+L281</f>
        <v>0</v>
      </c>
      <c r="O281" s="355">
        <f t="shared" si="41"/>
        <v>0</v>
      </c>
      <c r="P281" s="388"/>
      <c r="Q281" s="441"/>
      <c r="R281" s="422"/>
    </row>
    <row r="282" spans="1:18" s="189" customFormat="1">
      <c r="A282" s="293"/>
      <c r="B282" s="292">
        <v>4</v>
      </c>
      <c r="C282" s="292">
        <v>1</v>
      </c>
      <c r="D282" s="292">
        <v>4</v>
      </c>
      <c r="E282" s="292" t="s">
        <v>444</v>
      </c>
      <c r="F282" s="292" t="s">
        <v>441</v>
      </c>
      <c r="G282" s="253" t="s">
        <v>75</v>
      </c>
      <c r="H282" s="253"/>
      <c r="I282" s="253"/>
      <c r="J282" s="354">
        <v>0</v>
      </c>
      <c r="K282" s="373">
        <f>'[55]TARGET VERSI LAMA'!$E$134</f>
        <v>0</v>
      </c>
      <c r="L282" s="360">
        <f>[56]PerDinas!$N$282</f>
        <v>0</v>
      </c>
      <c r="M282" s="373">
        <f>[55]Perdinas!$P$174</f>
        <v>1482000</v>
      </c>
      <c r="N282" s="369">
        <f>M282+L282</f>
        <v>1482000</v>
      </c>
      <c r="O282" s="355">
        <f t="shared" si="41"/>
        <v>1482000</v>
      </c>
      <c r="P282" s="388"/>
      <c r="Q282" s="441"/>
      <c r="R282" s="422"/>
    </row>
    <row r="283" spans="1:18" s="189" customFormat="1">
      <c r="A283" s="293"/>
      <c r="B283" s="292"/>
      <c r="C283" s="292"/>
      <c r="D283" s="292"/>
      <c r="E283" s="292"/>
      <c r="F283" s="292"/>
      <c r="G283" s="253"/>
      <c r="H283" s="253"/>
      <c r="I283" s="253"/>
      <c r="J283" s="354"/>
      <c r="K283" s="355"/>
      <c r="L283" s="360"/>
      <c r="M283" s="355"/>
      <c r="N283" s="355"/>
      <c r="O283" s="355"/>
      <c r="P283" s="388"/>
      <c r="Q283" s="441"/>
      <c r="R283" s="422"/>
    </row>
    <row r="284" spans="1:18" s="189" customFormat="1">
      <c r="A284" s="293"/>
      <c r="B284" s="292">
        <v>4</v>
      </c>
      <c r="C284" s="292">
        <v>1</v>
      </c>
      <c r="D284" s="292">
        <v>4</v>
      </c>
      <c r="E284" s="292" t="s">
        <v>948</v>
      </c>
      <c r="F284" s="292"/>
      <c r="G284" s="253" t="s">
        <v>321</v>
      </c>
      <c r="H284" s="253"/>
      <c r="I284" s="253"/>
      <c r="J284" s="374">
        <f>+J285</f>
        <v>2000000</v>
      </c>
      <c r="K284" s="375">
        <f>+K285</f>
        <v>1100000</v>
      </c>
      <c r="L284" s="377">
        <f>+L285</f>
        <v>322000</v>
      </c>
      <c r="M284" s="375">
        <f>+M285</f>
        <v>141017557</v>
      </c>
      <c r="N284" s="375">
        <f>+N285</f>
        <v>141339557</v>
      </c>
      <c r="O284" s="346">
        <f>N284-K284</f>
        <v>140239557</v>
      </c>
      <c r="P284" s="347">
        <f>N284/K284*100</f>
        <v>12849.050636363638</v>
      </c>
      <c r="Q284" s="448"/>
      <c r="R284" s="422"/>
    </row>
    <row r="285" spans="1:18" s="189" customFormat="1">
      <c r="A285" s="293"/>
      <c r="B285" s="292">
        <v>4</v>
      </c>
      <c r="C285" s="292">
        <v>1</v>
      </c>
      <c r="D285" s="292">
        <v>4</v>
      </c>
      <c r="E285" s="292" t="s">
        <v>948</v>
      </c>
      <c r="F285" s="292" t="s">
        <v>437</v>
      </c>
      <c r="G285" s="253" t="s">
        <v>85</v>
      </c>
      <c r="H285" s="253"/>
      <c r="I285" s="253"/>
      <c r="J285" s="374">
        <f>+J286</f>
        <v>2000000</v>
      </c>
      <c r="K285" s="375">
        <f>+K286</f>
        <v>1100000</v>
      </c>
      <c r="L285" s="377">
        <f>L286</f>
        <v>322000</v>
      </c>
      <c r="M285" s="375">
        <f>M286</f>
        <v>141017557</v>
      </c>
      <c r="N285" s="375">
        <f>N286</f>
        <v>141339557</v>
      </c>
      <c r="O285" s="355">
        <f>N285-K285</f>
        <v>140239557</v>
      </c>
      <c r="P285" s="388">
        <f>N285/K285*100</f>
        <v>12849.050636363638</v>
      </c>
      <c r="Q285" s="448"/>
      <c r="R285" s="422"/>
    </row>
    <row r="286" spans="1:18" s="189" customFormat="1">
      <c r="A286" s="293"/>
      <c r="B286" s="292"/>
      <c r="C286" s="292"/>
      <c r="D286" s="292"/>
      <c r="E286" s="292"/>
      <c r="F286" s="292"/>
      <c r="G286" s="253" t="s">
        <v>50</v>
      </c>
      <c r="H286" s="253"/>
      <c r="I286" s="253" t="s">
        <v>76</v>
      </c>
      <c r="J286" s="374">
        <v>2000000</v>
      </c>
      <c r="K286" s="373">
        <f>'[55]TARGET VERSI LAMA'!$E$135</f>
        <v>1100000</v>
      </c>
      <c r="L286" s="715">
        <f>PerDinas!L601</f>
        <v>322000</v>
      </c>
      <c r="M286" s="715">
        <f>PerDinas!M601</f>
        <v>141017557</v>
      </c>
      <c r="N286" s="369">
        <f>M286+L286</f>
        <v>141339557</v>
      </c>
      <c r="O286" s="355">
        <f>N286-K286</f>
        <v>140239557</v>
      </c>
      <c r="P286" s="388">
        <f>N286/K286*100</f>
        <v>12849.050636363638</v>
      </c>
      <c r="Q286" s="448"/>
      <c r="R286" s="422"/>
    </row>
    <row r="287" spans="1:18" s="250" customFormat="1">
      <c r="A287" s="1414"/>
      <c r="B287" s="1415"/>
      <c r="C287" s="1415"/>
      <c r="D287" s="1415"/>
      <c r="E287" s="1415"/>
      <c r="F287" s="1415"/>
      <c r="G287" s="1416"/>
      <c r="H287" s="1416"/>
      <c r="I287" s="1416"/>
      <c r="J287" s="1420"/>
      <c r="K287" s="1421"/>
      <c r="L287" s="1422"/>
      <c r="M287" s="1421"/>
      <c r="N287" s="1423"/>
      <c r="O287" s="1423"/>
      <c r="P287" s="1424"/>
      <c r="Q287" s="1425"/>
      <c r="R287" s="735"/>
    </row>
    <row r="288" spans="1:18" s="244" customFormat="1">
      <c r="A288" s="1383" t="s">
        <v>132</v>
      </c>
      <c r="B288" s="1378" t="s">
        <v>58</v>
      </c>
      <c r="C288" s="1378" t="s">
        <v>459</v>
      </c>
      <c r="D288" s="1378" t="s">
        <v>437</v>
      </c>
      <c r="E288" s="1378"/>
      <c r="F288" s="1378"/>
      <c r="G288" s="1379" t="s">
        <v>739</v>
      </c>
      <c r="H288" s="1379"/>
      <c r="I288" s="1379"/>
      <c r="J288" s="1396">
        <f>+J290</f>
        <v>106900000</v>
      </c>
      <c r="K288" s="1397">
        <f>+K290</f>
        <v>53419400</v>
      </c>
      <c r="L288" s="1397">
        <f>+L290</f>
        <v>28261946.960000001</v>
      </c>
      <c r="M288" s="1397">
        <f>+M290</f>
        <v>5734000</v>
      </c>
      <c r="N288" s="1397">
        <f>M288+L288</f>
        <v>33995946.960000001</v>
      </c>
      <c r="O288" s="1397">
        <f>+N288-K288</f>
        <v>-19423453.039999999</v>
      </c>
      <c r="P288" s="1398">
        <f>+N288/K288*100</f>
        <v>63.63970198092828</v>
      </c>
      <c r="Q288" s="1406"/>
      <c r="R288" s="639"/>
    </row>
    <row r="289" spans="1:18" s="189" customFormat="1">
      <c r="A289" s="1409"/>
      <c r="B289" s="1324"/>
      <c r="C289" s="1324"/>
      <c r="D289" s="1324"/>
      <c r="E289" s="1324"/>
      <c r="F289" s="1324"/>
      <c r="G289" s="1325"/>
      <c r="H289" s="1325"/>
      <c r="I289" s="1325"/>
      <c r="J289" s="1333"/>
      <c r="K289" s="677"/>
      <c r="L289" s="677"/>
      <c r="M289" s="677"/>
      <c r="N289" s="677"/>
      <c r="O289" s="677"/>
      <c r="P289" s="690"/>
      <c r="Q289" s="531"/>
      <c r="R289" s="422"/>
    </row>
    <row r="290" spans="1:18" s="189" customFormat="1">
      <c r="A290" s="293"/>
      <c r="B290" s="290">
        <v>4</v>
      </c>
      <c r="C290" s="290">
        <v>1</v>
      </c>
      <c r="D290" s="290"/>
      <c r="E290" s="290"/>
      <c r="F290" s="290"/>
      <c r="G290" s="291" t="s">
        <v>180</v>
      </c>
      <c r="H290" s="291"/>
      <c r="I290" s="291"/>
      <c r="J290" s="387">
        <f>+J292+J298</f>
        <v>106900000</v>
      </c>
      <c r="K290" s="367">
        <f>+K292+K298</f>
        <v>53419400</v>
      </c>
      <c r="L290" s="367">
        <f>+L292+L298</f>
        <v>28261946.960000001</v>
      </c>
      <c r="M290" s="367">
        <f>+M292+M298</f>
        <v>5734000</v>
      </c>
      <c r="N290" s="367">
        <f>+M290+L290</f>
        <v>33995946.960000001</v>
      </c>
      <c r="O290" s="367">
        <f t="shared" ref="O290:O296" si="42">N290-K290</f>
        <v>-19423453.039999999</v>
      </c>
      <c r="P290" s="347">
        <f t="shared" ref="P290:P296" si="43">N290/K290*100</f>
        <v>63.63970198092828</v>
      </c>
      <c r="Q290" s="454"/>
      <c r="R290" s="422"/>
    </row>
    <row r="291" spans="1:18" s="189" customFormat="1">
      <c r="A291" s="293"/>
      <c r="B291" s="292"/>
      <c r="C291" s="292"/>
      <c r="D291" s="292"/>
      <c r="E291" s="292"/>
      <c r="F291" s="292"/>
      <c r="G291" s="253"/>
      <c r="H291" s="253"/>
      <c r="I291" s="291"/>
      <c r="J291" s="345"/>
      <c r="K291" s="346"/>
      <c r="L291" s="346"/>
      <c r="M291" s="346"/>
      <c r="N291" s="346"/>
      <c r="O291" s="346"/>
      <c r="P291" s="347"/>
      <c r="Q291" s="438"/>
      <c r="R291" s="422"/>
    </row>
    <row r="292" spans="1:18" s="189" customFormat="1">
      <c r="A292" s="293"/>
      <c r="B292" s="290">
        <v>4</v>
      </c>
      <c r="C292" s="290">
        <v>1</v>
      </c>
      <c r="D292" s="290">
        <v>2</v>
      </c>
      <c r="E292" s="290"/>
      <c r="F292" s="290"/>
      <c r="G292" s="291" t="s">
        <v>106</v>
      </c>
      <c r="H292" s="291"/>
      <c r="I292" s="291"/>
      <c r="J292" s="387">
        <f>+J294</f>
        <v>3000000</v>
      </c>
      <c r="K292" s="367">
        <f>+K294</f>
        <v>2000000</v>
      </c>
      <c r="L292" s="367">
        <f>+L294</f>
        <v>0</v>
      </c>
      <c r="M292" s="367">
        <f>+M294</f>
        <v>0</v>
      </c>
      <c r="N292" s="367">
        <f>+M292+L292</f>
        <v>0</v>
      </c>
      <c r="O292" s="367">
        <f t="shared" si="42"/>
        <v>-2000000</v>
      </c>
      <c r="P292" s="347">
        <f t="shared" si="43"/>
        <v>0</v>
      </c>
      <c r="Q292" s="454"/>
      <c r="R292" s="422"/>
    </row>
    <row r="293" spans="1:18" s="189" customFormat="1">
      <c r="A293" s="293"/>
      <c r="B293" s="292"/>
      <c r="C293" s="292"/>
      <c r="D293" s="292"/>
      <c r="E293" s="292"/>
      <c r="F293" s="292"/>
      <c r="G293" s="253"/>
      <c r="H293" s="253"/>
      <c r="I293" s="253"/>
      <c r="J293" s="374"/>
      <c r="K293" s="375"/>
      <c r="L293" s="375"/>
      <c r="M293" s="375"/>
      <c r="N293" s="375"/>
      <c r="O293" s="375"/>
      <c r="P293" s="600"/>
      <c r="Q293" s="448"/>
      <c r="R293" s="422"/>
    </row>
    <row r="294" spans="1:18" s="189" customFormat="1">
      <c r="A294" s="293"/>
      <c r="B294" s="292">
        <v>4</v>
      </c>
      <c r="C294" s="292">
        <v>1</v>
      </c>
      <c r="D294" s="292">
        <v>2</v>
      </c>
      <c r="E294" s="292" t="s">
        <v>438</v>
      </c>
      <c r="F294" s="292"/>
      <c r="G294" s="253" t="s">
        <v>374</v>
      </c>
      <c r="H294" s="253"/>
      <c r="I294" s="253"/>
      <c r="J294" s="345">
        <f t="shared" ref="J294:M295" si="44">+J295</f>
        <v>3000000</v>
      </c>
      <c r="K294" s="346">
        <f t="shared" si="44"/>
        <v>2000000</v>
      </c>
      <c r="L294" s="660">
        <f t="shared" si="44"/>
        <v>0</v>
      </c>
      <c r="M294" s="346">
        <f t="shared" si="44"/>
        <v>0</v>
      </c>
      <c r="N294" s="346">
        <f>+M294+L294</f>
        <v>0</v>
      </c>
      <c r="O294" s="346">
        <f t="shared" si="42"/>
        <v>-2000000</v>
      </c>
      <c r="P294" s="347">
        <f t="shared" si="43"/>
        <v>0</v>
      </c>
      <c r="Q294" s="438"/>
      <c r="R294" s="422"/>
    </row>
    <row r="295" spans="1:18" s="189" customFormat="1">
      <c r="A295" s="289"/>
      <c r="B295" s="292">
        <v>4</v>
      </c>
      <c r="C295" s="292">
        <v>1</v>
      </c>
      <c r="D295" s="292">
        <v>2</v>
      </c>
      <c r="E295" s="292" t="s">
        <v>438</v>
      </c>
      <c r="F295" s="292" t="s">
        <v>437</v>
      </c>
      <c r="G295" s="253" t="s">
        <v>64</v>
      </c>
      <c r="H295" s="253"/>
      <c r="I295" s="253"/>
      <c r="J295" s="345">
        <f t="shared" si="44"/>
        <v>3000000</v>
      </c>
      <c r="K295" s="346">
        <f t="shared" si="44"/>
        <v>2000000</v>
      </c>
      <c r="L295" s="660">
        <f t="shared" si="44"/>
        <v>0</v>
      </c>
      <c r="M295" s="346">
        <f t="shared" si="44"/>
        <v>0</v>
      </c>
      <c r="N295" s="355">
        <f t="shared" ref="N295:N303" si="45">M295+L295</f>
        <v>0</v>
      </c>
      <c r="O295" s="355">
        <f t="shared" si="42"/>
        <v>-2000000</v>
      </c>
      <c r="P295" s="388">
        <f t="shared" si="43"/>
        <v>0</v>
      </c>
      <c r="Q295" s="438"/>
      <c r="R295" s="422"/>
    </row>
    <row r="296" spans="1:18" s="189" customFormat="1">
      <c r="A296" s="293"/>
      <c r="B296" s="292"/>
      <c r="C296" s="292"/>
      <c r="D296" s="292"/>
      <c r="E296" s="292"/>
      <c r="F296" s="292"/>
      <c r="G296" s="253" t="s">
        <v>50</v>
      </c>
      <c r="H296" s="253"/>
      <c r="I296" s="253" t="s">
        <v>970</v>
      </c>
      <c r="J296" s="374">
        <v>3000000</v>
      </c>
      <c r="K296" s="376">
        <f>'[55]TARGET VERSI LAMA'!$E$139</f>
        <v>2000000</v>
      </c>
      <c r="L296" s="377">
        <f>[56]PerDinas!$N$296</f>
        <v>0</v>
      </c>
      <c r="M296" s="376">
        <f>[55]Perdinas!$P$179</f>
        <v>0</v>
      </c>
      <c r="N296" s="355">
        <f t="shared" si="45"/>
        <v>0</v>
      </c>
      <c r="O296" s="355">
        <f t="shared" si="42"/>
        <v>-2000000</v>
      </c>
      <c r="P296" s="388">
        <f t="shared" si="43"/>
        <v>0</v>
      </c>
      <c r="Q296" s="448"/>
      <c r="R296" s="422"/>
    </row>
    <row r="297" spans="1:18" s="189" customFormat="1">
      <c r="A297" s="293"/>
      <c r="B297" s="292"/>
      <c r="C297" s="292"/>
      <c r="D297" s="292"/>
      <c r="E297" s="292"/>
      <c r="F297" s="292"/>
      <c r="G297" s="253"/>
      <c r="H297" s="253"/>
      <c r="I297" s="253"/>
      <c r="J297" s="374"/>
      <c r="K297" s="375"/>
      <c r="L297" s="377"/>
      <c r="M297" s="375"/>
      <c r="N297" s="375"/>
      <c r="O297" s="375"/>
      <c r="P297" s="600"/>
      <c r="Q297" s="448"/>
      <c r="R297" s="422"/>
    </row>
    <row r="298" spans="1:18" s="189" customFormat="1">
      <c r="A298" s="293"/>
      <c r="B298" s="290">
        <v>4</v>
      </c>
      <c r="C298" s="290">
        <v>1</v>
      </c>
      <c r="D298" s="290">
        <v>4</v>
      </c>
      <c r="E298" s="290"/>
      <c r="F298" s="290"/>
      <c r="G298" s="291" t="s">
        <v>71</v>
      </c>
      <c r="H298" s="291"/>
      <c r="I298" s="291"/>
      <c r="J298" s="397">
        <f>J299+J305</f>
        <v>103900000</v>
      </c>
      <c r="K298" s="398">
        <f>K299+K305+K307</f>
        <v>51419400</v>
      </c>
      <c r="L298" s="398">
        <f>L299+L305+L307</f>
        <v>28261946.960000001</v>
      </c>
      <c r="M298" s="398">
        <f>M299+M305+M307</f>
        <v>5734000</v>
      </c>
      <c r="N298" s="398">
        <f>N299+N305</f>
        <v>33995946.960000001</v>
      </c>
      <c r="O298" s="367">
        <f t="shared" ref="O298:O303" si="46">N298-K298</f>
        <v>-17423453.039999999</v>
      </c>
      <c r="P298" s="347">
        <f>N298/K298*100</f>
        <v>66.11502071202699</v>
      </c>
      <c r="Q298" s="699"/>
      <c r="R298" s="422"/>
    </row>
    <row r="299" spans="1:18" s="189" customFormat="1">
      <c r="A299" s="293"/>
      <c r="B299" s="292">
        <v>4</v>
      </c>
      <c r="C299" s="292">
        <v>1</v>
      </c>
      <c r="D299" s="292">
        <v>4</v>
      </c>
      <c r="E299" s="292" t="s">
        <v>444</v>
      </c>
      <c r="F299" s="292"/>
      <c r="G299" s="253" t="s">
        <v>222</v>
      </c>
      <c r="H299" s="253"/>
      <c r="I299" s="253"/>
      <c r="J299" s="374">
        <f>SUM(J300:J303)</f>
        <v>0</v>
      </c>
      <c r="K299" s="375">
        <f>SUM(K300:K303)</f>
        <v>0</v>
      </c>
      <c r="L299" s="377">
        <f>SUM(L300:L303)</f>
        <v>28261946.960000001</v>
      </c>
      <c r="M299" s="375">
        <f>SUM(M300:M303)</f>
        <v>5734000</v>
      </c>
      <c r="N299" s="346">
        <f>+M299+L299</f>
        <v>33995946.960000001</v>
      </c>
      <c r="O299" s="346">
        <f t="shared" si="46"/>
        <v>33995946.960000001</v>
      </c>
      <c r="P299" s="347">
        <v>0</v>
      </c>
      <c r="Q299" s="448"/>
      <c r="R299" s="422"/>
    </row>
    <row r="300" spans="1:18" s="189" customFormat="1">
      <c r="A300" s="289"/>
      <c r="B300" s="292">
        <v>4</v>
      </c>
      <c r="C300" s="292">
        <v>1</v>
      </c>
      <c r="D300" s="292">
        <v>4</v>
      </c>
      <c r="E300" s="292" t="s">
        <v>444</v>
      </c>
      <c r="F300" s="292" t="s">
        <v>440</v>
      </c>
      <c r="G300" s="253" t="s">
        <v>73</v>
      </c>
      <c r="H300" s="253"/>
      <c r="I300" s="253"/>
      <c r="J300" s="354">
        <v>0</v>
      </c>
      <c r="K300" s="355">
        <v>0</v>
      </c>
      <c r="L300" s="360">
        <v>0</v>
      </c>
      <c r="M300" s="355">
        <f>[55]Perdinas!$P$183</f>
        <v>0</v>
      </c>
      <c r="N300" s="355">
        <f t="shared" si="45"/>
        <v>0</v>
      </c>
      <c r="O300" s="355">
        <f t="shared" si="46"/>
        <v>0</v>
      </c>
      <c r="P300" s="388"/>
      <c r="Q300" s="441"/>
      <c r="R300" s="422"/>
    </row>
    <row r="301" spans="1:18" s="189" customFormat="1">
      <c r="A301" s="289"/>
      <c r="B301" s="292">
        <v>4</v>
      </c>
      <c r="C301" s="292">
        <v>1</v>
      </c>
      <c r="D301" s="292">
        <v>4</v>
      </c>
      <c r="E301" s="292" t="s">
        <v>444</v>
      </c>
      <c r="F301" s="292" t="s">
        <v>445</v>
      </c>
      <c r="G301" s="253" t="s">
        <v>74</v>
      </c>
      <c r="H301" s="253"/>
      <c r="I301" s="253"/>
      <c r="J301" s="354">
        <v>0</v>
      </c>
      <c r="K301" s="355">
        <v>0</v>
      </c>
      <c r="L301" s="360">
        <v>0</v>
      </c>
      <c r="M301" s="355">
        <f>[55]Perdinas!$P$184</f>
        <v>0</v>
      </c>
      <c r="N301" s="355">
        <f t="shared" si="45"/>
        <v>0</v>
      </c>
      <c r="O301" s="355">
        <f t="shared" si="46"/>
        <v>0</v>
      </c>
      <c r="P301" s="388"/>
      <c r="Q301" s="441"/>
      <c r="R301" s="422"/>
    </row>
    <row r="302" spans="1:18" s="189" customFormat="1">
      <c r="A302" s="293"/>
      <c r="B302" s="292">
        <v>4</v>
      </c>
      <c r="C302" s="292">
        <v>1</v>
      </c>
      <c r="D302" s="292">
        <v>4</v>
      </c>
      <c r="E302" s="292" t="s">
        <v>444</v>
      </c>
      <c r="F302" s="292" t="s">
        <v>441</v>
      </c>
      <c r="G302" s="253" t="s">
        <v>75</v>
      </c>
      <c r="H302" s="253"/>
      <c r="I302" s="253"/>
      <c r="J302" s="374">
        <v>0</v>
      </c>
      <c r="K302" s="376">
        <f>'[55]TARGET VERSI LAMA'!$E$142</f>
        <v>0</v>
      </c>
      <c r="L302" s="377">
        <f>[56]PerDinas!$N$302</f>
        <v>28261946.960000001</v>
      </c>
      <c r="M302" s="376">
        <f>[55]Perdinas!$P$185</f>
        <v>5734000</v>
      </c>
      <c r="N302" s="369">
        <f t="shared" si="45"/>
        <v>33995946.960000001</v>
      </c>
      <c r="O302" s="355">
        <f t="shared" si="46"/>
        <v>33995946.960000001</v>
      </c>
      <c r="P302" s="388">
        <v>0</v>
      </c>
      <c r="Q302" s="448"/>
      <c r="R302" s="422"/>
    </row>
    <row r="303" spans="1:18" s="189" customFormat="1">
      <c r="A303" s="705"/>
      <c r="B303" s="292">
        <v>4</v>
      </c>
      <c r="C303" s="292">
        <v>1</v>
      </c>
      <c r="D303" s="292">
        <v>4</v>
      </c>
      <c r="E303" s="292" t="s">
        <v>438</v>
      </c>
      <c r="F303" s="292" t="s">
        <v>438</v>
      </c>
      <c r="G303" s="199" t="s">
        <v>214</v>
      </c>
      <c r="H303" s="253"/>
      <c r="I303" s="253"/>
      <c r="J303" s="726">
        <v>0</v>
      </c>
      <c r="K303" s="727">
        <v>0</v>
      </c>
      <c r="L303" s="728">
        <v>0</v>
      </c>
      <c r="M303" s="448">
        <v>0</v>
      </c>
      <c r="N303" s="441">
        <f t="shared" si="45"/>
        <v>0</v>
      </c>
      <c r="O303" s="441">
        <f t="shared" si="46"/>
        <v>0</v>
      </c>
      <c r="P303" s="388">
        <v>0</v>
      </c>
      <c r="Q303" s="448"/>
      <c r="R303" s="422"/>
    </row>
    <row r="304" spans="1:18" s="189" customFormat="1">
      <c r="A304" s="293"/>
      <c r="B304" s="292"/>
      <c r="C304" s="292"/>
      <c r="D304" s="292"/>
      <c r="E304" s="292"/>
      <c r="F304" s="292"/>
      <c r="G304" s="253"/>
      <c r="H304" s="253"/>
      <c r="I304" s="253"/>
      <c r="J304" s="726"/>
      <c r="K304" s="727"/>
      <c r="L304" s="728"/>
      <c r="M304" s="448"/>
      <c r="N304" s="441"/>
      <c r="O304" s="441"/>
      <c r="P304" s="388"/>
      <c r="Q304" s="448"/>
      <c r="R304" s="422"/>
    </row>
    <row r="305" spans="1:19" s="189" customFormat="1">
      <c r="A305" s="293"/>
      <c r="B305" s="292">
        <v>4</v>
      </c>
      <c r="C305" s="292">
        <v>1</v>
      </c>
      <c r="D305" s="292">
        <v>4</v>
      </c>
      <c r="E305" s="292" t="s">
        <v>948</v>
      </c>
      <c r="F305" s="292"/>
      <c r="G305" s="253" t="s">
        <v>321</v>
      </c>
      <c r="H305" s="253"/>
      <c r="I305" s="253"/>
      <c r="J305" s="374">
        <f>+J306</f>
        <v>103900000</v>
      </c>
      <c r="K305" s="375">
        <f>+K306</f>
        <v>51419400</v>
      </c>
      <c r="L305" s="375">
        <f>+L306</f>
        <v>0</v>
      </c>
      <c r="M305" s="375">
        <f>+M306</f>
        <v>0</v>
      </c>
      <c r="N305" s="346">
        <f>+M305+L305</f>
        <v>0</v>
      </c>
      <c r="O305" s="346">
        <f>N305-K305</f>
        <v>-51419400</v>
      </c>
      <c r="P305" s="347">
        <f>N305/K305*100</f>
        <v>0</v>
      </c>
      <c r="Q305" s="448"/>
      <c r="R305" s="422"/>
    </row>
    <row r="306" spans="1:19" s="189" customFormat="1">
      <c r="A306" s="293"/>
      <c r="B306" s="292">
        <v>4</v>
      </c>
      <c r="C306" s="292">
        <v>1</v>
      </c>
      <c r="D306" s="292">
        <v>4</v>
      </c>
      <c r="E306" s="292" t="s">
        <v>948</v>
      </c>
      <c r="F306" s="292" t="s">
        <v>437</v>
      </c>
      <c r="G306" s="253" t="s">
        <v>85</v>
      </c>
      <c r="H306" s="253"/>
      <c r="I306" s="253"/>
      <c r="J306" s="374">
        <f>+J307+J308</f>
        <v>103900000</v>
      </c>
      <c r="K306" s="375">
        <f>K308</f>
        <v>51419400</v>
      </c>
      <c r="L306" s="375">
        <f>L308</f>
        <v>0</v>
      </c>
      <c r="M306" s="375">
        <f>M308</f>
        <v>0</v>
      </c>
      <c r="N306" s="375">
        <f>SUM(N307:N308)</f>
        <v>0</v>
      </c>
      <c r="O306" s="355">
        <f>N306-K306</f>
        <v>-51419400</v>
      </c>
      <c r="P306" s="388">
        <f>N306/K306*100</f>
        <v>0</v>
      </c>
      <c r="Q306" s="448"/>
      <c r="R306" s="422"/>
    </row>
    <row r="307" spans="1:19" s="189" customFormat="1">
      <c r="A307" s="293"/>
      <c r="B307" s="292"/>
      <c r="C307" s="292"/>
      <c r="D307" s="292"/>
      <c r="E307" s="292"/>
      <c r="F307" s="292"/>
      <c r="G307" s="253" t="s">
        <v>50</v>
      </c>
      <c r="H307" s="253"/>
      <c r="I307" s="253" t="s">
        <v>710</v>
      </c>
      <c r="J307" s="374">
        <v>89000000</v>
      </c>
      <c r="K307" s="375"/>
      <c r="L307" s="377"/>
      <c r="M307" s="375">
        <f>[55]Perdinas!$P$182</f>
        <v>0</v>
      </c>
      <c r="N307" s="369">
        <f>M307+L307</f>
        <v>0</v>
      </c>
      <c r="O307" s="355">
        <f>N307-K307</f>
        <v>0</v>
      </c>
      <c r="P307" s="388"/>
      <c r="Q307" s="448"/>
      <c r="R307" s="422"/>
    </row>
    <row r="308" spans="1:19" s="189" customFormat="1">
      <c r="A308" s="293"/>
      <c r="B308" s="292"/>
      <c r="C308" s="292"/>
      <c r="D308" s="292"/>
      <c r="E308" s="292"/>
      <c r="F308" s="292"/>
      <c r="G308" s="253" t="s">
        <v>50</v>
      </c>
      <c r="H308" s="253"/>
      <c r="I308" s="253" t="s">
        <v>85</v>
      </c>
      <c r="J308" s="374">
        <v>14900000</v>
      </c>
      <c r="K308" s="376">
        <f>'[55]TARGET VERSI LAMA'!$E$144</f>
        <v>51419400</v>
      </c>
      <c r="L308" s="377">
        <f>'[56]PERDINAS VERSI LAMA'!$N$308</f>
        <v>0</v>
      </c>
      <c r="M308" s="376">
        <f>[55]Perdinas!$P$186</f>
        <v>0</v>
      </c>
      <c r="N308" s="369">
        <f>M308+L308</f>
        <v>0</v>
      </c>
      <c r="O308" s="355">
        <f>N308-K308</f>
        <v>-51419400</v>
      </c>
      <c r="P308" s="388">
        <f>N308/K308*100</f>
        <v>0</v>
      </c>
      <c r="Q308" s="448"/>
      <c r="R308" s="422"/>
    </row>
    <row r="309" spans="1:19" s="245" customFormat="1">
      <c r="A309" s="654"/>
      <c r="B309" s="655"/>
      <c r="C309" s="655"/>
      <c r="D309" s="655"/>
      <c r="E309" s="655"/>
      <c r="F309" s="655"/>
      <c r="G309" s="656"/>
      <c r="H309" s="656"/>
      <c r="I309" s="656"/>
      <c r="J309" s="526"/>
      <c r="K309" s="527"/>
      <c r="L309" s="670"/>
      <c r="M309" s="527"/>
      <c r="N309" s="527"/>
      <c r="O309" s="527"/>
      <c r="P309" s="671"/>
      <c r="Q309" s="644"/>
      <c r="R309" s="450"/>
    </row>
    <row r="310" spans="1:19" s="251" customFormat="1">
      <c r="A310" s="1383" t="s">
        <v>141</v>
      </c>
      <c r="B310" s="1378" t="s">
        <v>58</v>
      </c>
      <c r="C310" s="1378" t="s">
        <v>948</v>
      </c>
      <c r="D310" s="1378" t="s">
        <v>437</v>
      </c>
      <c r="E310" s="1378"/>
      <c r="F310" s="1378"/>
      <c r="G310" s="1379" t="s">
        <v>133</v>
      </c>
      <c r="H310" s="1379"/>
      <c r="I310" s="1379"/>
      <c r="J310" s="1396">
        <f>+J312</f>
        <v>601173200</v>
      </c>
      <c r="K310" s="1397">
        <f>+K312</f>
        <v>1865291000</v>
      </c>
      <c r="L310" s="1397">
        <f>+L312</f>
        <v>1728735116.75</v>
      </c>
      <c r="M310" s="1397">
        <f>+M312</f>
        <v>110081230</v>
      </c>
      <c r="N310" s="1397">
        <f>M310+L310</f>
        <v>1838816346.75</v>
      </c>
      <c r="O310" s="1397">
        <f>+N310-K310</f>
        <v>-26474653.25</v>
      </c>
      <c r="P310" s="1398">
        <f>+N310/K310*100</f>
        <v>98.580669008213732</v>
      </c>
      <c r="Q310" s="1406"/>
      <c r="R310" s="736">
        <f>N310-[55]Perdinas!$Q$188</f>
        <v>38564830</v>
      </c>
      <c r="S310" s="737" t="s">
        <v>744</v>
      </c>
    </row>
    <row r="311" spans="1:19" s="252" customFormat="1">
      <c r="A311" s="1417"/>
      <c r="B311" s="1418"/>
      <c r="C311" s="1418"/>
      <c r="D311" s="1418"/>
      <c r="E311" s="1418"/>
      <c r="F311" s="1418"/>
      <c r="G311" s="1325"/>
      <c r="H311" s="1325"/>
      <c r="I311" s="1325"/>
      <c r="J311" s="757"/>
      <c r="K311" s="758"/>
      <c r="L311" s="758"/>
      <c r="M311" s="758"/>
      <c r="N311" s="758"/>
      <c r="O311" s="758"/>
      <c r="P311" s="690"/>
      <c r="Q311" s="782"/>
      <c r="R311" s="738"/>
    </row>
    <row r="312" spans="1:19" s="189" customFormat="1">
      <c r="A312" s="293"/>
      <c r="B312" s="290">
        <v>4</v>
      </c>
      <c r="C312" s="290">
        <v>1</v>
      </c>
      <c r="D312" s="290"/>
      <c r="E312" s="290"/>
      <c r="F312" s="290"/>
      <c r="G312" s="291" t="s">
        <v>180</v>
      </c>
      <c r="H312" s="291"/>
      <c r="I312" s="291"/>
      <c r="J312" s="387">
        <f>+J314+J326</f>
        <v>601173200</v>
      </c>
      <c r="K312" s="367">
        <f>+K314+K326</f>
        <v>1865291000</v>
      </c>
      <c r="L312" s="367">
        <f>+L314+L326</f>
        <v>1728735116.75</v>
      </c>
      <c r="M312" s="367">
        <f>+M314+M326</f>
        <v>110081230</v>
      </c>
      <c r="N312" s="367">
        <f>+M312+L312</f>
        <v>1838816346.75</v>
      </c>
      <c r="O312" s="367">
        <f>N312-K312</f>
        <v>-26474653.25</v>
      </c>
      <c r="P312" s="347">
        <f>N312/K312*100</f>
        <v>98.580669008213732</v>
      </c>
      <c r="Q312" s="454"/>
      <c r="R312" s="422"/>
    </row>
    <row r="313" spans="1:19" s="189" customFormat="1">
      <c r="A313" s="293"/>
      <c r="B313" s="290"/>
      <c r="C313" s="290"/>
      <c r="D313" s="290"/>
      <c r="E313" s="290"/>
      <c r="F313" s="290"/>
      <c r="G313" s="291"/>
      <c r="H313" s="291"/>
      <c r="I313" s="291"/>
      <c r="J313" s="387"/>
      <c r="K313" s="367"/>
      <c r="L313" s="367"/>
      <c r="M313" s="367"/>
      <c r="N313" s="367"/>
      <c r="O313" s="367"/>
      <c r="P313" s="347"/>
      <c r="Q313" s="454"/>
      <c r="R313" s="422"/>
    </row>
    <row r="314" spans="1:19" s="189" customFormat="1">
      <c r="A314" s="293"/>
      <c r="B314" s="290">
        <v>4</v>
      </c>
      <c r="C314" s="290">
        <v>1</v>
      </c>
      <c r="D314" s="290">
        <v>2</v>
      </c>
      <c r="E314" s="290"/>
      <c r="F314" s="290"/>
      <c r="G314" s="291" t="s">
        <v>106</v>
      </c>
      <c r="H314" s="291"/>
      <c r="I314" s="291"/>
      <c r="J314" s="387">
        <f>+J315+J318</f>
        <v>37942400</v>
      </c>
      <c r="K314" s="367">
        <f>+K315+K318</f>
        <v>1530000000</v>
      </c>
      <c r="L314" s="367">
        <f>+L315+L318</f>
        <v>1638433970</v>
      </c>
      <c r="M314" s="367">
        <f>+M315+M318</f>
        <v>110081230</v>
      </c>
      <c r="N314" s="367">
        <f>+M314+L314</f>
        <v>1748515200</v>
      </c>
      <c r="O314" s="367">
        <f>N314-K314</f>
        <v>218515200</v>
      </c>
      <c r="P314" s="347">
        <f>N314/K314*100</f>
        <v>114.28203921568627</v>
      </c>
      <c r="Q314" s="454"/>
      <c r="R314" s="422"/>
    </row>
    <row r="315" spans="1:19" s="189" customFormat="1">
      <c r="A315" s="293"/>
      <c r="B315" s="292">
        <v>4</v>
      </c>
      <c r="C315" s="292">
        <v>1</v>
      </c>
      <c r="D315" s="292">
        <v>2</v>
      </c>
      <c r="E315" s="292" t="s">
        <v>440</v>
      </c>
      <c r="F315" s="292"/>
      <c r="G315" s="253" t="s">
        <v>116</v>
      </c>
      <c r="H315" s="253"/>
      <c r="I315" s="291"/>
      <c r="J315" s="345">
        <f>+J316</f>
        <v>0</v>
      </c>
      <c r="K315" s="346">
        <f>+K316</f>
        <v>1455000000</v>
      </c>
      <c r="L315" s="660">
        <f>+L316</f>
        <v>1526019600</v>
      </c>
      <c r="M315" s="346">
        <f>+M316</f>
        <v>96558000</v>
      </c>
      <c r="N315" s="346">
        <f>+M315+L315</f>
        <v>1622577600</v>
      </c>
      <c r="O315" s="346">
        <f>N315-K315</f>
        <v>167577600</v>
      </c>
      <c r="P315" s="347"/>
      <c r="Q315" s="438"/>
      <c r="R315" s="422"/>
    </row>
    <row r="316" spans="1:19" s="189" customFormat="1">
      <c r="A316" s="293"/>
      <c r="B316" s="292">
        <v>4</v>
      </c>
      <c r="C316" s="292">
        <v>1</v>
      </c>
      <c r="D316" s="292">
        <v>2</v>
      </c>
      <c r="E316" s="292" t="s">
        <v>440</v>
      </c>
      <c r="F316" s="292"/>
      <c r="G316" s="253" t="s">
        <v>971</v>
      </c>
      <c r="H316" s="253"/>
      <c r="I316" s="253"/>
      <c r="J316" s="354"/>
      <c r="K316" s="355">
        <f>'[55]TARGET VERSI LAMA'!$E$148</f>
        <v>1455000000</v>
      </c>
      <c r="L316" s="360">
        <f>[56]PerDinas!$N$316</f>
        <v>1526019600</v>
      </c>
      <c r="M316" s="355">
        <f>[55]Perdinas!$P$190</f>
        <v>96558000</v>
      </c>
      <c r="N316" s="369">
        <f t="shared" ref="N316:N321" si="47">M316+L316</f>
        <v>1622577600</v>
      </c>
      <c r="O316" s="355">
        <f>N316-K316</f>
        <v>167577600</v>
      </c>
      <c r="P316" s="388">
        <f>N316/K316*100</f>
        <v>111.51736082474227</v>
      </c>
      <c r="Q316" s="441"/>
      <c r="R316" s="422"/>
    </row>
    <row r="317" spans="1:19" s="189" customFormat="1">
      <c r="A317" s="293"/>
      <c r="B317" s="292"/>
      <c r="C317" s="292"/>
      <c r="D317" s="292"/>
      <c r="E317" s="292"/>
      <c r="F317" s="292"/>
      <c r="G317" s="253"/>
      <c r="H317" s="253"/>
      <c r="I317" s="253"/>
      <c r="J317" s="354"/>
      <c r="K317" s="355"/>
      <c r="L317" s="360"/>
      <c r="M317" s="355"/>
      <c r="N317" s="355"/>
      <c r="O317" s="355"/>
      <c r="P317" s="388"/>
      <c r="Q317" s="441"/>
      <c r="R317" s="422"/>
    </row>
    <row r="318" spans="1:19" s="189" customFormat="1">
      <c r="A318" s="293"/>
      <c r="B318" s="292">
        <v>4</v>
      </c>
      <c r="C318" s="292">
        <v>1</v>
      </c>
      <c r="D318" s="292">
        <v>2</v>
      </c>
      <c r="E318" s="292" t="s">
        <v>438</v>
      </c>
      <c r="F318" s="292"/>
      <c r="G318" s="253" t="s">
        <v>374</v>
      </c>
      <c r="H318" s="253"/>
      <c r="I318" s="253"/>
      <c r="J318" s="354">
        <f>J319+J323</f>
        <v>37942400</v>
      </c>
      <c r="K318" s="355">
        <f>K319+K323</f>
        <v>75000000</v>
      </c>
      <c r="L318" s="360">
        <f>L319+L323</f>
        <v>112414370</v>
      </c>
      <c r="M318" s="355">
        <f>M319+M323</f>
        <v>13523230</v>
      </c>
      <c r="N318" s="355">
        <f>N319+N323</f>
        <v>125937600</v>
      </c>
      <c r="O318" s="346">
        <f>N318-K318</f>
        <v>50937600</v>
      </c>
      <c r="P318" s="347">
        <f t="shared" ref="P318:P324" si="48">N318/K318*100</f>
        <v>167.91679999999999</v>
      </c>
      <c r="Q318" s="441"/>
      <c r="R318" s="422"/>
    </row>
    <row r="319" spans="1:19" s="189" customFormat="1">
      <c r="A319" s="289"/>
      <c r="B319" s="292">
        <v>4</v>
      </c>
      <c r="C319" s="292">
        <v>1</v>
      </c>
      <c r="D319" s="292">
        <v>2</v>
      </c>
      <c r="E319" s="292" t="s">
        <v>438</v>
      </c>
      <c r="F319" s="292" t="s">
        <v>437</v>
      </c>
      <c r="G319" s="253" t="s">
        <v>64</v>
      </c>
      <c r="H319" s="253"/>
      <c r="I319" s="291"/>
      <c r="J319" s="354">
        <f>J320</f>
        <v>2942400</v>
      </c>
      <c r="K319" s="355">
        <f>SUM(K320:K321)</f>
        <v>0</v>
      </c>
      <c r="L319" s="360">
        <f>SUM(L320:L321)</f>
        <v>33964370</v>
      </c>
      <c r="M319" s="355">
        <f>SUM(M320:M321)</f>
        <v>8723230</v>
      </c>
      <c r="N319" s="369">
        <f>SUM(N320:N321)</f>
        <v>42687600</v>
      </c>
      <c r="O319" s="355">
        <f>N319-K319</f>
        <v>42687600</v>
      </c>
      <c r="P319" s="388" t="e">
        <f t="shared" si="48"/>
        <v>#DIV/0!</v>
      </c>
      <c r="Q319" s="1426"/>
      <c r="R319" s="422"/>
    </row>
    <row r="320" spans="1:19" s="189" customFormat="1">
      <c r="A320" s="293"/>
      <c r="B320" s="292">
        <v>4</v>
      </c>
      <c r="C320" s="292">
        <v>1</v>
      </c>
      <c r="D320" s="292">
        <v>2</v>
      </c>
      <c r="E320" s="292" t="s">
        <v>438</v>
      </c>
      <c r="F320" s="292" t="s">
        <v>437</v>
      </c>
      <c r="G320" s="253" t="s">
        <v>50</v>
      </c>
      <c r="H320" s="253"/>
      <c r="I320" s="253" t="s">
        <v>185</v>
      </c>
      <c r="J320" s="354">
        <v>2942400</v>
      </c>
      <c r="K320" s="373">
        <f>'[55]TARGET VERSI LAMA'!$E$152</f>
        <v>0</v>
      </c>
      <c r="L320" s="360">
        <f>[56]PerDinas!$N$320</f>
        <v>3435600</v>
      </c>
      <c r="M320" s="373">
        <f>[55]Perdinas!$P$194</f>
        <v>0</v>
      </c>
      <c r="N320" s="355">
        <f t="shared" si="47"/>
        <v>3435600</v>
      </c>
      <c r="O320" s="355">
        <f>N320-K320</f>
        <v>3435600</v>
      </c>
      <c r="P320" s="388">
        <v>0</v>
      </c>
      <c r="Q320" s="441"/>
      <c r="R320" s="545"/>
    </row>
    <row r="321" spans="1:19" s="189" customFormat="1">
      <c r="A321" s="293"/>
      <c r="B321" s="292"/>
      <c r="C321" s="292"/>
      <c r="D321" s="292"/>
      <c r="E321" s="292"/>
      <c r="F321" s="292"/>
      <c r="G321" s="253" t="s">
        <v>50</v>
      </c>
      <c r="H321" s="253"/>
      <c r="I321" s="253" t="s">
        <v>530</v>
      </c>
      <c r="J321" s="354"/>
      <c r="K321" s="355">
        <v>0</v>
      </c>
      <c r="L321" s="360">
        <f>PerDinas!L337</f>
        <v>30528770</v>
      </c>
      <c r="M321" s="355">
        <f>[55]Perdinas!$P$195</f>
        <v>8723230</v>
      </c>
      <c r="N321" s="355">
        <f t="shared" si="47"/>
        <v>39252000</v>
      </c>
      <c r="O321" s="355">
        <f>N321-K321</f>
        <v>39252000</v>
      </c>
      <c r="P321" s="388">
        <v>0</v>
      </c>
      <c r="Q321" s="441"/>
      <c r="R321" s="5871"/>
      <c r="S321" s="5872"/>
    </row>
    <row r="322" spans="1:19" s="189" customFormat="1">
      <c r="A322" s="293"/>
      <c r="B322" s="824"/>
      <c r="C322" s="824"/>
      <c r="D322" s="824"/>
      <c r="E322" s="824"/>
      <c r="F322" s="824"/>
      <c r="G322" s="253"/>
      <c r="H322" s="253"/>
      <c r="I322" s="253"/>
      <c r="J322" s="253"/>
      <c r="K322" s="824"/>
      <c r="L322" s="824"/>
      <c r="M322" s="824"/>
      <c r="N322" s="824"/>
      <c r="O322" s="824"/>
      <c r="P322" s="824"/>
      <c r="Q322" s="824"/>
      <c r="R322" s="5871"/>
      <c r="S322" s="5872"/>
    </row>
    <row r="323" spans="1:19" s="189" customFormat="1">
      <c r="A323" s="293"/>
      <c r="B323" s="292">
        <v>4</v>
      </c>
      <c r="C323" s="292">
        <v>1</v>
      </c>
      <c r="D323" s="292">
        <v>2</v>
      </c>
      <c r="E323" s="292" t="s">
        <v>438</v>
      </c>
      <c r="F323" s="292" t="s">
        <v>440</v>
      </c>
      <c r="G323" s="253" t="s">
        <v>304</v>
      </c>
      <c r="H323" s="253"/>
      <c r="I323" s="253"/>
      <c r="J323" s="354">
        <f>+J324</f>
        <v>35000000</v>
      </c>
      <c r="K323" s="355">
        <f>+K324</f>
        <v>75000000</v>
      </c>
      <c r="L323" s="360">
        <f>+L324+L325</f>
        <v>78450000</v>
      </c>
      <c r="M323" s="355">
        <f>+M324+M325</f>
        <v>4800000</v>
      </c>
      <c r="N323" s="355">
        <f>M323+L323</f>
        <v>83250000</v>
      </c>
      <c r="O323" s="355">
        <f t="shared" ref="O323:O330" si="49">N323-K323</f>
        <v>8250000</v>
      </c>
      <c r="P323" s="388">
        <f t="shared" si="48"/>
        <v>111.00000000000001</v>
      </c>
      <c r="Q323" s="1426"/>
      <c r="R323" s="5871"/>
      <c r="S323" s="5872"/>
    </row>
    <row r="324" spans="1:19" s="189" customFormat="1">
      <c r="A324" s="293"/>
      <c r="B324" s="292"/>
      <c r="C324" s="292"/>
      <c r="D324" s="292"/>
      <c r="E324" s="292"/>
      <c r="F324" s="292"/>
      <c r="G324" s="253" t="s">
        <v>50</v>
      </c>
      <c r="H324" s="253"/>
      <c r="I324" s="253" t="s">
        <v>972</v>
      </c>
      <c r="J324" s="354">
        <v>35000000</v>
      </c>
      <c r="K324" s="373">
        <f>'[55]TARGET VERSI LAMA'!$E$155</f>
        <v>75000000</v>
      </c>
      <c r="L324" s="360">
        <f>[56]PerDinas!$N$323</f>
        <v>78450000</v>
      </c>
      <c r="M324" s="373">
        <f>[55]Perdinas!$P$198</f>
        <v>4800000</v>
      </c>
      <c r="N324" s="369">
        <f>M324+L324</f>
        <v>83250000</v>
      </c>
      <c r="O324" s="355">
        <f t="shared" si="49"/>
        <v>8250000</v>
      </c>
      <c r="P324" s="388">
        <f t="shared" si="48"/>
        <v>111.00000000000001</v>
      </c>
      <c r="Q324" s="441"/>
      <c r="R324" s="5871"/>
      <c r="S324" s="5872"/>
    </row>
    <row r="325" spans="1:19" s="189" customFormat="1">
      <c r="A325" s="293"/>
      <c r="B325" s="292"/>
      <c r="C325" s="292"/>
      <c r="D325" s="292"/>
      <c r="E325" s="292"/>
      <c r="F325" s="292"/>
      <c r="G325" s="253"/>
      <c r="H325" s="253"/>
      <c r="I325" s="253"/>
      <c r="J325" s="354"/>
      <c r="K325" s="355"/>
      <c r="L325" s="360">
        <v>0</v>
      </c>
      <c r="M325" s="355">
        <v>0</v>
      </c>
      <c r="N325" s="355">
        <f>+M325+L325</f>
        <v>0</v>
      </c>
      <c r="O325" s="355"/>
      <c r="P325" s="388"/>
      <c r="Q325" s="441"/>
      <c r="R325" s="5871"/>
      <c r="S325" s="5872"/>
    </row>
    <row r="326" spans="1:19" s="189" customFormat="1">
      <c r="A326" s="293"/>
      <c r="B326" s="290">
        <v>4</v>
      </c>
      <c r="C326" s="290">
        <v>1</v>
      </c>
      <c r="D326" s="290">
        <v>4</v>
      </c>
      <c r="E326" s="290"/>
      <c r="F326" s="290"/>
      <c r="G326" s="291" t="s">
        <v>71</v>
      </c>
      <c r="H326" s="291"/>
      <c r="I326" s="291"/>
      <c r="J326" s="370">
        <f>J327+J332</f>
        <v>563230800</v>
      </c>
      <c r="K326" s="371">
        <f>K327+K332</f>
        <v>335291000</v>
      </c>
      <c r="L326" s="371">
        <f>L327+L332</f>
        <v>90301146.75</v>
      </c>
      <c r="M326" s="371">
        <f>M327+M332</f>
        <v>0</v>
      </c>
      <c r="N326" s="371">
        <f>M326+L326</f>
        <v>90301146.75</v>
      </c>
      <c r="O326" s="367">
        <f t="shared" si="49"/>
        <v>-244989853.25</v>
      </c>
      <c r="P326" s="347">
        <f>N326/K326*100</f>
        <v>26.932171382470749</v>
      </c>
      <c r="Q326" s="651"/>
      <c r="R326" s="422"/>
    </row>
    <row r="327" spans="1:19" s="189" customFormat="1">
      <c r="A327" s="289"/>
      <c r="B327" s="292">
        <v>4</v>
      </c>
      <c r="C327" s="292">
        <v>1</v>
      </c>
      <c r="D327" s="292">
        <v>4</v>
      </c>
      <c r="E327" s="292" t="s">
        <v>444</v>
      </c>
      <c r="F327" s="292"/>
      <c r="G327" s="253" t="s">
        <v>222</v>
      </c>
      <c r="H327" s="253"/>
      <c r="I327" s="253"/>
      <c r="J327" s="374">
        <f>SUM(J328:J330)</f>
        <v>0</v>
      </c>
      <c r="K327" s="375">
        <f>SUM(K328:K330)</f>
        <v>0</v>
      </c>
      <c r="L327" s="377">
        <f>SUM(L328:L330)</f>
        <v>51736316.75</v>
      </c>
      <c r="M327" s="375">
        <f>SUM(M328:M330)</f>
        <v>0</v>
      </c>
      <c r="N327" s="375">
        <f>SUM(N328:N330)</f>
        <v>51736316.75</v>
      </c>
      <c r="O327" s="346">
        <f t="shared" si="49"/>
        <v>51736316.75</v>
      </c>
      <c r="P327" s="347">
        <v>0</v>
      </c>
      <c r="Q327" s="448"/>
      <c r="R327" s="422"/>
    </row>
    <row r="328" spans="1:19" s="189" customFormat="1">
      <c r="A328" s="289"/>
      <c r="B328" s="292">
        <v>4</v>
      </c>
      <c r="C328" s="292">
        <v>1</v>
      </c>
      <c r="D328" s="292">
        <v>4</v>
      </c>
      <c r="E328" s="292" t="s">
        <v>441</v>
      </c>
      <c r="F328" s="292" t="s">
        <v>437</v>
      </c>
      <c r="G328" s="253" t="s">
        <v>72</v>
      </c>
      <c r="H328" s="253"/>
      <c r="I328" s="253"/>
      <c r="J328" s="354">
        <v>0</v>
      </c>
      <c r="K328" s="355">
        <v>0</v>
      </c>
      <c r="L328" s="360">
        <v>0</v>
      </c>
      <c r="M328" s="355">
        <f>[55]Perdinas!$P$201</f>
        <v>0</v>
      </c>
      <c r="N328" s="355">
        <f>M328+L328</f>
        <v>0</v>
      </c>
      <c r="O328" s="355">
        <f t="shared" si="49"/>
        <v>0</v>
      </c>
      <c r="P328" s="388"/>
      <c r="Q328" s="441"/>
      <c r="R328" s="422"/>
    </row>
    <row r="329" spans="1:19" s="189" customFormat="1">
      <c r="A329" s="293"/>
      <c r="B329" s="292">
        <v>4</v>
      </c>
      <c r="C329" s="292">
        <v>1</v>
      </c>
      <c r="D329" s="292">
        <v>4</v>
      </c>
      <c r="E329" s="292" t="s">
        <v>444</v>
      </c>
      <c r="F329" s="292" t="s">
        <v>445</v>
      </c>
      <c r="G329" s="253" t="s">
        <v>74</v>
      </c>
      <c r="H329" s="253"/>
      <c r="I329" s="253"/>
      <c r="J329" s="354">
        <v>0</v>
      </c>
      <c r="K329" s="355">
        <v>0</v>
      </c>
      <c r="L329" s="360">
        <f>[56]PerDinas!$N$328</f>
        <v>0</v>
      </c>
      <c r="M329" s="355">
        <f>[55]Perdinas!$P$203</f>
        <v>0</v>
      </c>
      <c r="N329" s="355">
        <f>M329+L329</f>
        <v>0</v>
      </c>
      <c r="O329" s="355">
        <f t="shared" si="49"/>
        <v>0</v>
      </c>
      <c r="P329" s="388"/>
      <c r="Q329" s="441"/>
      <c r="R329" s="422"/>
    </row>
    <row r="330" spans="1:19" s="189" customFormat="1">
      <c r="A330" s="293"/>
      <c r="B330" s="292">
        <v>4</v>
      </c>
      <c r="C330" s="292">
        <v>1</v>
      </c>
      <c r="D330" s="292">
        <v>4</v>
      </c>
      <c r="E330" s="292" t="s">
        <v>444</v>
      </c>
      <c r="F330" s="292" t="s">
        <v>441</v>
      </c>
      <c r="G330" s="253" t="s">
        <v>75</v>
      </c>
      <c r="H330" s="253"/>
      <c r="I330" s="253"/>
      <c r="J330" s="374">
        <v>0</v>
      </c>
      <c r="K330" s="376">
        <f>'[55]TARGET VERSI LAMA'!$E$158</f>
        <v>0</v>
      </c>
      <c r="L330" s="377">
        <f>[56]PerDinas!$N$329</f>
        <v>51736316.75</v>
      </c>
      <c r="M330" s="376">
        <f>[55]Perdinas!$P$204</f>
        <v>0</v>
      </c>
      <c r="N330" s="369">
        <f>M330+L330</f>
        <v>51736316.75</v>
      </c>
      <c r="O330" s="355">
        <f t="shared" si="49"/>
        <v>51736316.75</v>
      </c>
      <c r="P330" s="388"/>
      <c r="Q330" s="448"/>
      <c r="R330" s="422"/>
    </row>
    <row r="331" spans="1:19" s="189" customFormat="1">
      <c r="A331" s="293"/>
      <c r="B331" s="292"/>
      <c r="C331" s="292"/>
      <c r="D331" s="292"/>
      <c r="E331" s="292"/>
      <c r="F331" s="292"/>
      <c r="G331" s="253"/>
      <c r="H331" s="253"/>
      <c r="I331" s="253"/>
      <c r="J331" s="374"/>
      <c r="K331" s="375"/>
      <c r="L331" s="377"/>
      <c r="M331" s="375"/>
      <c r="N331" s="355"/>
      <c r="O331" s="355"/>
      <c r="P331" s="388"/>
      <c r="Q331" s="448"/>
      <c r="R331" s="422"/>
    </row>
    <row r="332" spans="1:19" s="189" customFormat="1">
      <c r="A332" s="293"/>
      <c r="B332" s="292">
        <v>4</v>
      </c>
      <c r="C332" s="292">
        <v>1</v>
      </c>
      <c r="D332" s="292">
        <v>4</v>
      </c>
      <c r="E332" s="292" t="s">
        <v>948</v>
      </c>
      <c r="F332" s="292"/>
      <c r="G332" s="253" t="s">
        <v>321</v>
      </c>
      <c r="H332" s="253"/>
      <c r="I332" s="253"/>
      <c r="J332" s="370">
        <f>+J333</f>
        <v>563230800</v>
      </c>
      <c r="K332" s="371">
        <f>+K333</f>
        <v>335291000</v>
      </c>
      <c r="L332" s="372">
        <f>+L333</f>
        <v>38564830</v>
      </c>
      <c r="M332" s="371">
        <f>+M333</f>
        <v>0</v>
      </c>
      <c r="N332" s="367">
        <f t="shared" ref="N332:N337" si="50">M332+L332</f>
        <v>38564830</v>
      </c>
      <c r="O332" s="367">
        <f t="shared" ref="O332:O337" si="51">N332-K332</f>
        <v>-296726170</v>
      </c>
      <c r="P332" s="347">
        <f t="shared" ref="P332:P337" si="52">N332/K332*100</f>
        <v>11.501898350984668</v>
      </c>
      <c r="Q332" s="441"/>
      <c r="R332" s="545"/>
    </row>
    <row r="333" spans="1:19" s="189" customFormat="1">
      <c r="A333" s="293"/>
      <c r="B333" s="292">
        <v>4</v>
      </c>
      <c r="C333" s="292">
        <v>1</v>
      </c>
      <c r="D333" s="292">
        <v>4</v>
      </c>
      <c r="E333" s="292" t="s">
        <v>948</v>
      </c>
      <c r="F333" s="292" t="s">
        <v>437</v>
      </c>
      <c r="G333" s="253" t="s">
        <v>85</v>
      </c>
      <c r="H333" s="253"/>
      <c r="I333" s="253"/>
      <c r="J333" s="354">
        <f t="shared" ref="J333:O333" si="53">SUM(J334:J337)</f>
        <v>563230800</v>
      </c>
      <c r="K333" s="355">
        <f t="shared" si="53"/>
        <v>335291000</v>
      </c>
      <c r="L333" s="355">
        <f t="shared" si="53"/>
        <v>38564830</v>
      </c>
      <c r="M333" s="355">
        <f t="shared" si="53"/>
        <v>0</v>
      </c>
      <c r="N333" s="355">
        <f t="shared" si="53"/>
        <v>38564830</v>
      </c>
      <c r="O333" s="355">
        <f t="shared" si="53"/>
        <v>-296726170</v>
      </c>
      <c r="P333" s="388">
        <f t="shared" si="52"/>
        <v>11.501898350984668</v>
      </c>
      <c r="Q333" s="441"/>
      <c r="R333" s="422"/>
    </row>
    <row r="334" spans="1:19" s="189" customFormat="1">
      <c r="A334" s="293"/>
      <c r="B334" s="292"/>
      <c r="C334" s="292"/>
      <c r="D334" s="292"/>
      <c r="E334" s="292"/>
      <c r="F334" s="292"/>
      <c r="G334" s="253" t="s">
        <v>50</v>
      </c>
      <c r="H334" s="253"/>
      <c r="I334" s="747" t="s">
        <v>274</v>
      </c>
      <c r="J334" s="354">
        <v>15780000</v>
      </c>
      <c r="K334" s="373">
        <f>'[55]TARGET VERSI LAMA'!$E$159</f>
        <v>55355000</v>
      </c>
      <c r="L334" s="1231">
        <f>[56]PerDinas!$N$591</f>
        <v>548830</v>
      </c>
      <c r="M334" s="375">
        <f>[55]Perdinas!$P$367</f>
        <v>0</v>
      </c>
      <c r="N334" s="355">
        <f t="shared" si="50"/>
        <v>548830</v>
      </c>
      <c r="O334" s="355">
        <f t="shared" si="51"/>
        <v>-54806170</v>
      </c>
      <c r="P334" s="388">
        <f t="shared" si="52"/>
        <v>0.99147321831812851</v>
      </c>
      <c r="Q334" s="441"/>
      <c r="R334" s="422"/>
    </row>
    <row r="335" spans="1:19" s="189" customFormat="1">
      <c r="A335" s="293"/>
      <c r="B335" s="292"/>
      <c r="C335" s="292"/>
      <c r="D335" s="292"/>
      <c r="E335" s="292"/>
      <c r="F335" s="292"/>
      <c r="G335" s="253" t="s">
        <v>50</v>
      </c>
      <c r="H335" s="253"/>
      <c r="I335" s="747" t="s">
        <v>145</v>
      </c>
      <c r="J335" s="748">
        <v>242580800</v>
      </c>
      <c r="K335" s="373">
        <f>'[55]TARGET VERSI LAMA'!$E$160</f>
        <v>57136000</v>
      </c>
      <c r="L335" s="377">
        <f>[56]PerDinas!$N$592</f>
        <v>0</v>
      </c>
      <c r="M335" s="375">
        <f>[55]Perdinas!$P$368</f>
        <v>0</v>
      </c>
      <c r="N335" s="355">
        <f t="shared" si="50"/>
        <v>0</v>
      </c>
      <c r="O335" s="355">
        <f t="shared" si="51"/>
        <v>-57136000</v>
      </c>
      <c r="P335" s="388">
        <f t="shared" si="52"/>
        <v>0</v>
      </c>
      <c r="Q335" s="441"/>
      <c r="R335" s="422"/>
    </row>
    <row r="336" spans="1:19" s="245" customFormat="1">
      <c r="A336" s="293"/>
      <c r="B336" s="292"/>
      <c r="C336" s="292"/>
      <c r="D336" s="292"/>
      <c r="E336" s="292"/>
      <c r="F336" s="292"/>
      <c r="G336" s="253" t="s">
        <v>50</v>
      </c>
      <c r="H336" s="253"/>
      <c r="I336" s="747" t="s">
        <v>973</v>
      </c>
      <c r="J336" s="354">
        <v>25000000</v>
      </c>
      <c r="K336" s="373">
        <f>'[55]TARGET VERSI LAMA'!$E$161</f>
        <v>24760000</v>
      </c>
      <c r="L336" s="377">
        <f>[56]PerDinas!$N$593</f>
        <v>9600000</v>
      </c>
      <c r="M336" s="375">
        <f>[55]Perdinas!$P$369</f>
        <v>0</v>
      </c>
      <c r="N336" s="355">
        <f t="shared" si="50"/>
        <v>9600000</v>
      </c>
      <c r="O336" s="355">
        <f t="shared" si="51"/>
        <v>-15160000</v>
      </c>
      <c r="P336" s="388">
        <f t="shared" si="52"/>
        <v>38.772213247172857</v>
      </c>
      <c r="Q336" s="441"/>
      <c r="R336" s="450"/>
    </row>
    <row r="337" spans="1:19" s="189" customFormat="1">
      <c r="A337" s="654"/>
      <c r="B337" s="655"/>
      <c r="C337" s="655"/>
      <c r="D337" s="655"/>
      <c r="E337" s="655"/>
      <c r="F337" s="655"/>
      <c r="G337" s="656" t="s">
        <v>50</v>
      </c>
      <c r="H337" s="656"/>
      <c r="I337" s="1429" t="s">
        <v>974</v>
      </c>
      <c r="J337" s="526">
        <v>279870000</v>
      </c>
      <c r="K337" s="1413">
        <f>'[55]TARGET VERSI LAMA'!$E$162</f>
        <v>198040000</v>
      </c>
      <c r="L337" s="1430">
        <f>[56]PerDinas!$N$594</f>
        <v>28416000</v>
      </c>
      <c r="M337" s="681">
        <f>[55]Perdinas!$P$370</f>
        <v>0</v>
      </c>
      <c r="N337" s="527">
        <f t="shared" si="50"/>
        <v>28416000</v>
      </c>
      <c r="O337" s="527">
        <f t="shared" si="51"/>
        <v>-169624000</v>
      </c>
      <c r="P337" s="671">
        <f t="shared" si="52"/>
        <v>14.348616441123005</v>
      </c>
      <c r="Q337" s="644"/>
      <c r="R337" s="422"/>
    </row>
    <row r="338" spans="1:19" s="189" customFormat="1">
      <c r="A338" s="1377" t="s">
        <v>148</v>
      </c>
      <c r="B338" s="1427" t="s">
        <v>58</v>
      </c>
      <c r="C338" s="1427" t="s">
        <v>447</v>
      </c>
      <c r="D338" s="1427" t="s">
        <v>437</v>
      </c>
      <c r="E338" s="1427"/>
      <c r="F338" s="1427"/>
      <c r="G338" s="1428" t="s">
        <v>142</v>
      </c>
      <c r="H338" s="1428"/>
      <c r="I338" s="1428"/>
      <c r="J338" s="1431">
        <f>+J340</f>
        <v>456900000</v>
      </c>
      <c r="K338" s="1432">
        <f>+K340</f>
        <v>901839300</v>
      </c>
      <c r="L338" s="1433">
        <f>+L340</f>
        <v>602881450</v>
      </c>
      <c r="M338" s="1432">
        <f>+M340</f>
        <v>89890200</v>
      </c>
      <c r="N338" s="1432">
        <f>M338+L338</f>
        <v>692771650</v>
      </c>
      <c r="O338" s="1432">
        <f>+N338-K338</f>
        <v>-209067650</v>
      </c>
      <c r="P338" s="1434">
        <f>+N338/K338*100</f>
        <v>76.817638131316741</v>
      </c>
      <c r="Q338" s="1437"/>
      <c r="R338" s="422"/>
    </row>
    <row r="339" spans="1:19" s="189" customFormat="1">
      <c r="A339" s="1417"/>
      <c r="B339" s="1418"/>
      <c r="C339" s="1418"/>
      <c r="D339" s="1418"/>
      <c r="E339" s="1418"/>
      <c r="F339" s="1418"/>
      <c r="G339" s="1325"/>
      <c r="H339" s="1325"/>
      <c r="I339" s="1325"/>
      <c r="J339" s="757"/>
      <c r="K339" s="758"/>
      <c r="L339" s="758"/>
      <c r="M339" s="758"/>
      <c r="N339" s="758"/>
      <c r="O339" s="758"/>
      <c r="P339" s="690"/>
      <c r="Q339" s="782"/>
      <c r="R339" s="422"/>
    </row>
    <row r="340" spans="1:19" s="189" customFormat="1">
      <c r="A340" s="293"/>
      <c r="B340" s="290">
        <v>4</v>
      </c>
      <c r="C340" s="290">
        <v>1</v>
      </c>
      <c r="D340" s="290"/>
      <c r="E340" s="290"/>
      <c r="F340" s="290"/>
      <c r="G340" s="291" t="s">
        <v>180</v>
      </c>
      <c r="H340" s="291"/>
      <c r="I340" s="291"/>
      <c r="J340" s="387">
        <f>+J342+J350</f>
        <v>456900000</v>
      </c>
      <c r="K340" s="367">
        <f>+K342+K350</f>
        <v>901839300</v>
      </c>
      <c r="L340" s="367">
        <f>+L342+L350</f>
        <v>602881450</v>
      </c>
      <c r="M340" s="367">
        <f>+M342+M350</f>
        <v>89890200</v>
      </c>
      <c r="N340" s="367">
        <f>+M340+L340</f>
        <v>692771650</v>
      </c>
      <c r="O340" s="367">
        <f t="shared" ref="O340:O345" si="54">N340-K340</f>
        <v>-209067650</v>
      </c>
      <c r="P340" s="347">
        <f t="shared" ref="P340:P345" si="55">N340/K340*100</f>
        <v>76.817638131316741</v>
      </c>
      <c r="Q340" s="454"/>
      <c r="R340" s="422"/>
    </row>
    <row r="341" spans="1:19" s="189" customFormat="1">
      <c r="A341" s="293"/>
      <c r="B341" s="290"/>
      <c r="C341" s="290"/>
      <c r="D341" s="290"/>
      <c r="E341" s="290"/>
      <c r="F341" s="290"/>
      <c r="G341" s="291"/>
      <c r="H341" s="291"/>
      <c r="I341" s="291"/>
      <c r="J341" s="387"/>
      <c r="K341" s="367"/>
      <c r="L341" s="367"/>
      <c r="M341" s="367"/>
      <c r="N341" s="367"/>
      <c r="O341" s="367"/>
      <c r="P341" s="347"/>
      <c r="Q341" s="454"/>
      <c r="R341" s="422"/>
    </row>
    <row r="342" spans="1:19" s="189" customFormat="1">
      <c r="A342" s="293"/>
      <c r="B342" s="290">
        <v>4</v>
      </c>
      <c r="C342" s="290">
        <v>1</v>
      </c>
      <c r="D342" s="290">
        <v>2</v>
      </c>
      <c r="E342" s="290"/>
      <c r="F342" s="290"/>
      <c r="G342" s="291" t="s">
        <v>106</v>
      </c>
      <c r="H342" s="291"/>
      <c r="I342" s="291"/>
      <c r="J342" s="387">
        <f>+J343</f>
        <v>78400000</v>
      </c>
      <c r="K342" s="367">
        <f>+K343</f>
        <v>501125000</v>
      </c>
      <c r="L342" s="367">
        <f>+L343</f>
        <v>465800000</v>
      </c>
      <c r="M342" s="367">
        <f>+M343</f>
        <v>70100000</v>
      </c>
      <c r="N342" s="367">
        <f>+M342+L342</f>
        <v>535900000</v>
      </c>
      <c r="O342" s="367">
        <f t="shared" si="54"/>
        <v>34775000</v>
      </c>
      <c r="P342" s="347">
        <f t="shared" si="55"/>
        <v>106.93938638064355</v>
      </c>
      <c r="Q342" s="454"/>
      <c r="R342" s="422"/>
    </row>
    <row r="343" spans="1:19" s="189" customFormat="1">
      <c r="A343" s="293"/>
      <c r="B343" s="292">
        <v>4</v>
      </c>
      <c r="C343" s="292">
        <v>1</v>
      </c>
      <c r="D343" s="292">
        <v>2</v>
      </c>
      <c r="E343" s="292" t="s">
        <v>438</v>
      </c>
      <c r="F343" s="292"/>
      <c r="G343" s="253" t="s">
        <v>374</v>
      </c>
      <c r="H343" s="253"/>
      <c r="I343" s="253"/>
      <c r="J343" s="354">
        <f>+J347+J344</f>
        <v>78400000</v>
      </c>
      <c r="K343" s="355">
        <f>+K347+K344</f>
        <v>501125000</v>
      </c>
      <c r="L343" s="360">
        <f>+L347+L344</f>
        <v>465800000</v>
      </c>
      <c r="M343" s="355">
        <f>+M347+M344</f>
        <v>70100000</v>
      </c>
      <c r="N343" s="355">
        <f>+N347+N344</f>
        <v>535900000</v>
      </c>
      <c r="O343" s="346">
        <f t="shared" si="54"/>
        <v>34775000</v>
      </c>
      <c r="P343" s="347">
        <f t="shared" si="55"/>
        <v>106.93938638064355</v>
      </c>
      <c r="Q343" s="441"/>
      <c r="R343" s="422"/>
    </row>
    <row r="344" spans="1:19" s="189" customFormat="1">
      <c r="A344" s="289"/>
      <c r="B344" s="292">
        <v>4</v>
      </c>
      <c r="C344" s="292">
        <v>1</v>
      </c>
      <c r="D344" s="292">
        <v>2</v>
      </c>
      <c r="E344" s="292" t="s">
        <v>438</v>
      </c>
      <c r="F344" s="292" t="s">
        <v>437</v>
      </c>
      <c r="G344" s="253" t="s">
        <v>64</v>
      </c>
      <c r="H344" s="253"/>
      <c r="I344" s="291"/>
      <c r="J344" s="345">
        <f>+J345</f>
        <v>10000000</v>
      </c>
      <c r="K344" s="346">
        <f>+K345</f>
        <v>152500000</v>
      </c>
      <c r="L344" s="660">
        <f>+L345</f>
        <v>36800000</v>
      </c>
      <c r="M344" s="346">
        <f>+M345</f>
        <v>5100000</v>
      </c>
      <c r="N344" s="355">
        <f>M344+L344</f>
        <v>41900000</v>
      </c>
      <c r="O344" s="355">
        <f t="shared" si="54"/>
        <v>-110600000</v>
      </c>
      <c r="P344" s="388">
        <f t="shared" si="55"/>
        <v>27.475409836065573</v>
      </c>
      <c r="Q344" s="438"/>
      <c r="R344" s="422"/>
    </row>
    <row r="345" spans="1:19" s="189" customFormat="1">
      <c r="A345" s="293"/>
      <c r="B345" s="292"/>
      <c r="C345" s="292"/>
      <c r="D345" s="292"/>
      <c r="E345" s="292"/>
      <c r="F345" s="292"/>
      <c r="G345" s="253" t="s">
        <v>50</v>
      </c>
      <c r="H345" s="253"/>
      <c r="I345" s="253" t="s">
        <v>143</v>
      </c>
      <c r="J345" s="354">
        <v>10000000</v>
      </c>
      <c r="K345" s="762">
        <f>'[55]TARGET VERSI LAMA'!$E$167</f>
        <v>152500000</v>
      </c>
      <c r="L345" s="660">
        <f>[56]PerDinas!$N$345</f>
        <v>36800000</v>
      </c>
      <c r="M345" s="762">
        <f>[55]Perdinas!$P$213</f>
        <v>5100000</v>
      </c>
      <c r="N345" s="369">
        <f>M345+L345</f>
        <v>41900000</v>
      </c>
      <c r="O345" s="355">
        <f t="shared" si="54"/>
        <v>-110600000</v>
      </c>
      <c r="P345" s="388">
        <f t="shared" si="55"/>
        <v>27.475409836065573</v>
      </c>
      <c r="Q345" s="784"/>
      <c r="R345" s="545"/>
    </row>
    <row r="346" spans="1:19" s="189" customFormat="1">
      <c r="A346" s="293"/>
      <c r="B346" s="292"/>
      <c r="C346" s="292"/>
      <c r="D346" s="292"/>
      <c r="E346" s="292"/>
      <c r="F346" s="292"/>
      <c r="G346" s="253"/>
      <c r="H346" s="253"/>
      <c r="I346" s="253"/>
      <c r="J346" s="354"/>
      <c r="K346" s="355"/>
      <c r="L346" s="360"/>
      <c r="M346" s="355"/>
      <c r="N346" s="355"/>
      <c r="O346" s="355"/>
      <c r="P346" s="388"/>
      <c r="Q346" s="441"/>
      <c r="R346" s="422"/>
    </row>
    <row r="347" spans="1:19" s="189" customFormat="1">
      <c r="A347" s="293"/>
      <c r="B347" s="292">
        <v>4</v>
      </c>
      <c r="C347" s="292">
        <v>1</v>
      </c>
      <c r="D347" s="292">
        <v>2</v>
      </c>
      <c r="E347" s="292" t="s">
        <v>438</v>
      </c>
      <c r="F347" s="292" t="s">
        <v>440</v>
      </c>
      <c r="G347" s="253" t="s">
        <v>304</v>
      </c>
      <c r="H347" s="253"/>
      <c r="I347" s="291"/>
      <c r="J347" s="345">
        <f>+J348</f>
        <v>68400000</v>
      </c>
      <c r="K347" s="346">
        <f>+K348</f>
        <v>348625000</v>
      </c>
      <c r="L347" s="660">
        <f>+L348</f>
        <v>429000000</v>
      </c>
      <c r="M347" s="346">
        <f>M348</f>
        <v>65000000</v>
      </c>
      <c r="N347" s="355">
        <f>M347+L347</f>
        <v>494000000</v>
      </c>
      <c r="O347" s="355">
        <f t="shared" ref="O347:O355" si="56">N347-K347</f>
        <v>145375000</v>
      </c>
      <c r="P347" s="388">
        <f>N347/K347*100</f>
        <v>141.69953388311222</v>
      </c>
      <c r="Q347" s="438"/>
      <c r="R347" s="422"/>
    </row>
    <row r="348" spans="1:19" s="189" customFormat="1">
      <c r="A348" s="293"/>
      <c r="B348" s="292"/>
      <c r="C348" s="292"/>
      <c r="D348" s="292"/>
      <c r="E348" s="292"/>
      <c r="F348" s="292"/>
      <c r="G348" s="253" t="s">
        <v>50</v>
      </c>
      <c r="H348" s="253"/>
      <c r="I348" s="253" t="s">
        <v>144</v>
      </c>
      <c r="J348" s="354">
        <v>68400000</v>
      </c>
      <c r="K348" s="373">
        <f>'[55]TARGET VERSI LAMA'!$E$170</f>
        <v>348625000</v>
      </c>
      <c r="L348" s="360">
        <f>[56]PerDinas!$N$348</f>
        <v>429000000</v>
      </c>
      <c r="M348" s="373">
        <f>[55]Perdinas!$P$216</f>
        <v>65000000</v>
      </c>
      <c r="N348" s="369">
        <f>M348+L348</f>
        <v>494000000</v>
      </c>
      <c r="O348" s="355">
        <f t="shared" si="56"/>
        <v>145375000</v>
      </c>
      <c r="P348" s="388">
        <f>N348/K348*100</f>
        <v>141.69953388311222</v>
      </c>
      <c r="Q348" s="438"/>
      <c r="R348" s="545"/>
      <c r="S348" s="786"/>
    </row>
    <row r="349" spans="1:19" s="189" customFormat="1">
      <c r="A349" s="293"/>
      <c r="B349" s="292"/>
      <c r="C349" s="292"/>
      <c r="D349" s="292"/>
      <c r="E349" s="292"/>
      <c r="F349" s="292"/>
      <c r="G349" s="253"/>
      <c r="H349" s="253"/>
      <c r="I349" s="253"/>
      <c r="J349" s="354"/>
      <c r="K349" s="355"/>
      <c r="L349" s="360"/>
      <c r="M349" s="355"/>
      <c r="N349" s="355"/>
      <c r="O349" s="355"/>
      <c r="P349" s="388"/>
      <c r="Q349" s="441"/>
      <c r="R349" s="422"/>
      <c r="S349" s="786"/>
    </row>
    <row r="350" spans="1:19" s="189" customFormat="1">
      <c r="A350" s="293"/>
      <c r="B350" s="290">
        <v>4</v>
      </c>
      <c r="C350" s="290">
        <v>1</v>
      </c>
      <c r="D350" s="290">
        <v>4</v>
      </c>
      <c r="E350" s="290"/>
      <c r="F350" s="290"/>
      <c r="G350" s="291" t="s">
        <v>71</v>
      </c>
      <c r="H350" s="291"/>
      <c r="I350" s="291"/>
      <c r="J350" s="370">
        <f>J351+J356</f>
        <v>378500000</v>
      </c>
      <c r="K350" s="371">
        <f>K351+K356</f>
        <v>400714300</v>
      </c>
      <c r="L350" s="372">
        <f>L351+L355+L356</f>
        <v>137081450</v>
      </c>
      <c r="M350" s="371">
        <f>SUM(M356,M355,M351)</f>
        <v>19790200</v>
      </c>
      <c r="N350" s="371">
        <f>SUM(N357,N355,N354)</f>
        <v>156871650</v>
      </c>
      <c r="O350" s="371">
        <f>SUM(O357,O355,O354)</f>
        <v>-243842650</v>
      </c>
      <c r="P350" s="388">
        <f>N350/K350*100</f>
        <v>39.148003951942819</v>
      </c>
      <c r="Q350" s="651"/>
      <c r="R350" s="422"/>
    </row>
    <row r="351" spans="1:19" s="189" customFormat="1">
      <c r="A351" s="293"/>
      <c r="B351" s="292">
        <v>4</v>
      </c>
      <c r="C351" s="292">
        <v>1</v>
      </c>
      <c r="D351" s="292">
        <v>4</v>
      </c>
      <c r="E351" s="292" t="s">
        <v>444</v>
      </c>
      <c r="F351" s="292"/>
      <c r="G351" s="253" t="s">
        <v>222</v>
      </c>
      <c r="H351" s="253"/>
      <c r="I351" s="253"/>
      <c r="J351" s="374">
        <v>0</v>
      </c>
      <c r="K351" s="375">
        <v>0</v>
      </c>
      <c r="L351" s="377">
        <f>SUM(L352:L354)</f>
        <v>28879400</v>
      </c>
      <c r="M351" s="375">
        <f>SUM(M352:M354)</f>
        <v>19790200</v>
      </c>
      <c r="N351" s="346">
        <f>+M351+L351</f>
        <v>48669600</v>
      </c>
      <c r="O351" s="346">
        <f t="shared" si="56"/>
        <v>48669600</v>
      </c>
      <c r="P351" s="347">
        <v>0</v>
      </c>
      <c r="Q351" s="448"/>
      <c r="R351" s="422"/>
    </row>
    <row r="352" spans="1:19" s="189" customFormat="1">
      <c r="A352" s="289"/>
      <c r="B352" s="292">
        <v>4</v>
      </c>
      <c r="C352" s="292">
        <v>1</v>
      </c>
      <c r="D352" s="292">
        <v>4</v>
      </c>
      <c r="E352" s="292" t="s">
        <v>444</v>
      </c>
      <c r="F352" s="292" t="s">
        <v>440</v>
      </c>
      <c r="G352" s="253" t="s">
        <v>73</v>
      </c>
      <c r="H352" s="253"/>
      <c r="I352" s="253"/>
      <c r="J352" s="354">
        <v>0</v>
      </c>
      <c r="K352" s="355">
        <v>0</v>
      </c>
      <c r="L352" s="360">
        <v>0</v>
      </c>
      <c r="M352" s="355">
        <f>[55]Perdinas!$P$220</f>
        <v>0</v>
      </c>
      <c r="N352" s="355">
        <f>M352+L352</f>
        <v>0</v>
      </c>
      <c r="O352" s="355">
        <f t="shared" si="56"/>
        <v>0</v>
      </c>
      <c r="P352" s="388"/>
      <c r="Q352" s="441"/>
      <c r="R352" s="422"/>
    </row>
    <row r="353" spans="1:18" s="189" customFormat="1">
      <c r="A353" s="289"/>
      <c r="B353" s="292">
        <v>4</v>
      </c>
      <c r="C353" s="292">
        <v>1</v>
      </c>
      <c r="D353" s="292">
        <v>4</v>
      </c>
      <c r="E353" s="292" t="s">
        <v>444</v>
      </c>
      <c r="F353" s="292" t="s">
        <v>445</v>
      </c>
      <c r="G353" s="253" t="s">
        <v>74</v>
      </c>
      <c r="H353" s="253"/>
      <c r="I353" s="253"/>
      <c r="J353" s="354">
        <v>0</v>
      </c>
      <c r="K353" s="355">
        <v>0</v>
      </c>
      <c r="L353" s="360">
        <v>0</v>
      </c>
      <c r="M353" s="355">
        <f>[55]Perdinas!$P$221</f>
        <v>0</v>
      </c>
      <c r="N353" s="355">
        <f>M353+L353</f>
        <v>0</v>
      </c>
      <c r="O353" s="355">
        <f t="shared" si="56"/>
        <v>0</v>
      </c>
      <c r="P353" s="388"/>
      <c r="Q353" s="441"/>
      <c r="R353" s="422"/>
    </row>
    <row r="354" spans="1:18" s="189" customFormat="1">
      <c r="A354" s="293"/>
      <c r="B354" s="292">
        <v>4</v>
      </c>
      <c r="C354" s="292">
        <v>1</v>
      </c>
      <c r="D354" s="292">
        <v>4</v>
      </c>
      <c r="E354" s="292" t="s">
        <v>444</v>
      </c>
      <c r="F354" s="292" t="s">
        <v>441</v>
      </c>
      <c r="G354" s="253" t="s">
        <v>75</v>
      </c>
      <c r="H354" s="253"/>
      <c r="I354" s="253"/>
      <c r="J354" s="374">
        <v>0</v>
      </c>
      <c r="K354" s="375">
        <f>'[55]TARGET VERSI LAMA'!$E$173</f>
        <v>0</v>
      </c>
      <c r="L354" s="360">
        <f>[56]PerDinas!$N$354</f>
        <v>28879400</v>
      </c>
      <c r="M354" s="375">
        <f>[55]Perdinas!$P$222</f>
        <v>19790200</v>
      </c>
      <c r="N354" s="369">
        <f>M354+L354</f>
        <v>48669600</v>
      </c>
      <c r="O354" s="355">
        <f t="shared" si="56"/>
        <v>48669600</v>
      </c>
      <c r="P354" s="388">
        <v>0</v>
      </c>
      <c r="Q354" s="448"/>
      <c r="R354" s="422"/>
    </row>
    <row r="355" spans="1:18" s="189" customFormat="1">
      <c r="A355" s="293"/>
      <c r="B355" s="292" t="s">
        <v>443</v>
      </c>
      <c r="C355" s="292" t="s">
        <v>58</v>
      </c>
      <c r="D355" s="292" t="s">
        <v>443</v>
      </c>
      <c r="E355" s="292" t="s">
        <v>441</v>
      </c>
      <c r="F355" s="292" t="s">
        <v>437</v>
      </c>
      <c r="G355" s="253" t="s">
        <v>975</v>
      </c>
      <c r="H355" s="253"/>
      <c r="I355" s="253"/>
      <c r="J355" s="374">
        <v>0</v>
      </c>
      <c r="K355" s="373">
        <f>'[55]TARGET VERSI LAMA'!$E$174</f>
        <v>0</v>
      </c>
      <c r="L355" s="360">
        <f>[56]PerDinas!$N$355</f>
        <v>0</v>
      </c>
      <c r="M355" s="373">
        <f>[55]Perdinas!$P$219</f>
        <v>0</v>
      </c>
      <c r="N355" s="355">
        <f>M355+L355</f>
        <v>0</v>
      </c>
      <c r="O355" s="355">
        <f t="shared" si="56"/>
        <v>0</v>
      </c>
      <c r="P355" s="388"/>
      <c r="Q355" s="784"/>
      <c r="R355" s="545"/>
    </row>
    <row r="356" spans="1:18" s="189" customFormat="1">
      <c r="A356" s="293"/>
      <c r="B356" s="292">
        <v>4</v>
      </c>
      <c r="C356" s="292">
        <v>1</v>
      </c>
      <c r="D356" s="292">
        <v>4</v>
      </c>
      <c r="E356" s="292" t="s">
        <v>948</v>
      </c>
      <c r="F356" s="292"/>
      <c r="G356" s="291" t="s">
        <v>321</v>
      </c>
      <c r="H356" s="291"/>
      <c r="I356" s="291"/>
      <c r="J356" s="370">
        <f>+J357</f>
        <v>378500000</v>
      </c>
      <c r="K356" s="371">
        <f>+K357</f>
        <v>400714300</v>
      </c>
      <c r="L356" s="372">
        <f>+L357</f>
        <v>108202050</v>
      </c>
      <c r="M356" s="371">
        <f>+M357</f>
        <v>0</v>
      </c>
      <c r="N356" s="367">
        <f>+M356+L356</f>
        <v>108202050</v>
      </c>
      <c r="O356" s="367">
        <f t="shared" ref="O356:O361" si="57">N356-K356</f>
        <v>-292512250</v>
      </c>
      <c r="P356" s="347">
        <f t="shared" ref="P356:P361" si="58">N356/K356*100</f>
        <v>27.002293154998462</v>
      </c>
      <c r="Q356" s="441"/>
      <c r="R356" s="422"/>
    </row>
    <row r="357" spans="1:18" s="189" customFormat="1">
      <c r="A357" s="293"/>
      <c r="B357" s="292">
        <v>4</v>
      </c>
      <c r="C357" s="292">
        <v>1</v>
      </c>
      <c r="D357" s="292">
        <v>4</v>
      </c>
      <c r="E357" s="292" t="s">
        <v>948</v>
      </c>
      <c r="F357" s="292" t="s">
        <v>437</v>
      </c>
      <c r="G357" s="291" t="s">
        <v>85</v>
      </c>
      <c r="H357" s="291"/>
      <c r="I357" s="291"/>
      <c r="J357" s="370">
        <f>SUM(J359:J361)</f>
        <v>378500000</v>
      </c>
      <c r="K357" s="371">
        <f>SUM(K358:K361)</f>
        <v>400714300</v>
      </c>
      <c r="L357" s="372">
        <f>SUM(L358:L361)</f>
        <v>108202050</v>
      </c>
      <c r="M357" s="371">
        <f>SUM(M358:M361)</f>
        <v>0</v>
      </c>
      <c r="N357" s="1067">
        <f>SUM(N358:N361)</f>
        <v>108202050</v>
      </c>
      <c r="O357" s="371">
        <f t="shared" si="57"/>
        <v>-292512250</v>
      </c>
      <c r="P357" s="388">
        <f t="shared" si="58"/>
        <v>27.002293154998462</v>
      </c>
      <c r="Q357" s="441"/>
      <c r="R357" s="422"/>
    </row>
    <row r="358" spans="1:18" s="189" customFormat="1">
      <c r="A358" s="293"/>
      <c r="B358" s="292"/>
      <c r="C358" s="292"/>
      <c r="D358" s="292"/>
      <c r="E358" s="292"/>
      <c r="F358" s="292"/>
      <c r="G358" s="253" t="s">
        <v>50</v>
      </c>
      <c r="H358" s="253"/>
      <c r="I358" s="253" t="s">
        <v>85</v>
      </c>
      <c r="J358" s="354">
        <v>0</v>
      </c>
      <c r="K358" s="373">
        <f>'[55]TARGET VERSI LAMA'!$E$175</f>
        <v>63698000</v>
      </c>
      <c r="L358" s="360">
        <f>[56]PerDinas!$N$596</f>
        <v>0</v>
      </c>
      <c r="M358" s="375">
        <f>[55]Perdinas!$P$372</f>
        <v>0</v>
      </c>
      <c r="N358" s="771">
        <f>M358+L358</f>
        <v>0</v>
      </c>
      <c r="O358" s="355"/>
      <c r="P358" s="388"/>
      <c r="Q358" s="441"/>
      <c r="R358" s="422"/>
    </row>
    <row r="359" spans="1:18" s="189" customFormat="1">
      <c r="A359" s="293"/>
      <c r="B359" s="292"/>
      <c r="C359" s="292"/>
      <c r="D359" s="292"/>
      <c r="E359" s="292"/>
      <c r="F359" s="292"/>
      <c r="G359" s="253" t="s">
        <v>50</v>
      </c>
      <c r="H359" s="253"/>
      <c r="I359" s="772" t="s">
        <v>976</v>
      </c>
      <c r="J359" s="354">
        <v>3500000</v>
      </c>
      <c r="K359" s="373">
        <f>'[55]TARGET VERSI LAMA'!$E$176</f>
        <v>0</v>
      </c>
      <c r="L359" s="360">
        <f>[56]PerDinas!$N$597</f>
        <v>18162400</v>
      </c>
      <c r="M359" s="375">
        <f>[55]Perdinas!$P$373</f>
        <v>0</v>
      </c>
      <c r="N359" s="355">
        <f>M359+L359</f>
        <v>18162400</v>
      </c>
      <c r="O359" s="355">
        <f>N359-K359</f>
        <v>18162400</v>
      </c>
      <c r="P359" s="388"/>
      <c r="Q359" s="441"/>
      <c r="R359" s="422"/>
    </row>
    <row r="360" spans="1:18" s="189" customFormat="1">
      <c r="A360" s="293"/>
      <c r="B360" s="292"/>
      <c r="C360" s="292"/>
      <c r="D360" s="292"/>
      <c r="E360" s="292"/>
      <c r="F360" s="292"/>
      <c r="G360" s="253" t="s">
        <v>50</v>
      </c>
      <c r="H360" s="253"/>
      <c r="I360" s="253" t="s">
        <v>977</v>
      </c>
      <c r="J360" s="354">
        <v>187000000</v>
      </c>
      <c r="K360" s="373">
        <f>'[55]TARGET VERSI LAMA'!$E$177</f>
        <v>285233000</v>
      </c>
      <c r="L360" s="1194">
        <f>[56]PerDinas!$N$598</f>
        <v>26667350</v>
      </c>
      <c r="M360" s="375">
        <f>[55]Perdinas!$P$374</f>
        <v>0</v>
      </c>
      <c r="N360" s="771">
        <f>M360+L360</f>
        <v>26667350</v>
      </c>
      <c r="O360" s="355">
        <f t="shared" si="57"/>
        <v>-258565650</v>
      </c>
      <c r="P360" s="388">
        <f t="shared" si="58"/>
        <v>9.3493214319521236</v>
      </c>
      <c r="Q360" s="441"/>
      <c r="R360" s="422"/>
    </row>
    <row r="361" spans="1:18" s="189" customFormat="1">
      <c r="A361" s="293"/>
      <c r="B361" s="292"/>
      <c r="C361" s="292"/>
      <c r="D361" s="292"/>
      <c r="E361" s="292"/>
      <c r="F361" s="292"/>
      <c r="G361" s="253" t="s">
        <v>50</v>
      </c>
      <c r="H361" s="253"/>
      <c r="I361" s="253" t="s">
        <v>147</v>
      </c>
      <c r="J361" s="354">
        <v>188000000</v>
      </c>
      <c r="K361" s="373">
        <f>'[55]TARGET VERSI LAMA'!$E$178</f>
        <v>51783300</v>
      </c>
      <c r="L361" s="1194">
        <f>[56]PerDinas!$N$599</f>
        <v>63372300</v>
      </c>
      <c r="M361" s="375">
        <f>[55]Perdinas!$P$375</f>
        <v>0</v>
      </c>
      <c r="N361" s="771">
        <f>M361+L361</f>
        <v>63372300</v>
      </c>
      <c r="O361" s="355">
        <f t="shared" si="57"/>
        <v>11589000</v>
      </c>
      <c r="P361" s="388">
        <f t="shared" si="58"/>
        <v>122.37980198249244</v>
      </c>
      <c r="Q361" s="441"/>
      <c r="R361" s="422"/>
    </row>
    <row r="362" spans="1:18" s="245" customFormat="1">
      <c r="A362" s="654"/>
      <c r="B362" s="655"/>
      <c r="C362" s="655"/>
      <c r="D362" s="655"/>
      <c r="E362" s="655"/>
      <c r="F362" s="655"/>
      <c r="G362" s="656"/>
      <c r="H362" s="656"/>
      <c r="I362" s="656"/>
      <c r="J362" s="526"/>
      <c r="K362" s="527"/>
      <c r="L362" s="670"/>
      <c r="M362" s="527"/>
      <c r="N362" s="527"/>
      <c r="O362" s="527"/>
      <c r="P362" s="671"/>
      <c r="Q362" s="644"/>
      <c r="R362" s="450"/>
    </row>
    <row r="363" spans="1:18" s="244" customFormat="1">
      <c r="A363" s="1383" t="s">
        <v>150</v>
      </c>
      <c r="B363" s="1378" t="s">
        <v>58</v>
      </c>
      <c r="C363" s="1378" t="s">
        <v>978</v>
      </c>
      <c r="D363" s="1378" t="s">
        <v>437</v>
      </c>
      <c r="E363" s="1378"/>
      <c r="F363" s="1378"/>
      <c r="G363" s="1379" t="s">
        <v>753</v>
      </c>
      <c r="H363" s="1379"/>
      <c r="I363" s="1379"/>
      <c r="J363" s="1396">
        <f>+J365</f>
        <v>70850000</v>
      </c>
      <c r="K363" s="1397">
        <f>+K365</f>
        <v>85741600</v>
      </c>
      <c r="L363" s="1397">
        <f>+L365</f>
        <v>39450507</v>
      </c>
      <c r="M363" s="1397">
        <f>+M365</f>
        <v>138687452.15000001</v>
      </c>
      <c r="N363" s="1397">
        <f>M363+L363</f>
        <v>178137959.15000001</v>
      </c>
      <c r="O363" s="1397">
        <f>+N363-K363</f>
        <v>92396359.150000006</v>
      </c>
      <c r="P363" s="1398">
        <f>+N363/K363*100</f>
        <v>207.76141237159092</v>
      </c>
      <c r="Q363" s="1406"/>
      <c r="R363" s="788"/>
    </row>
    <row r="364" spans="1:18" s="189" customFormat="1">
      <c r="A364" s="1417"/>
      <c r="B364" s="1418"/>
      <c r="C364" s="1418"/>
      <c r="D364" s="1418"/>
      <c r="E364" s="1418"/>
      <c r="F364" s="1418"/>
      <c r="G364" s="1325"/>
      <c r="H364" s="1325"/>
      <c r="I364" s="1325"/>
      <c r="J364" s="757"/>
      <c r="K364" s="758"/>
      <c r="L364" s="758"/>
      <c r="M364" s="758"/>
      <c r="N364" s="758"/>
      <c r="O364" s="758"/>
      <c r="P364" s="690"/>
      <c r="Q364" s="782"/>
      <c r="R364" s="422"/>
    </row>
    <row r="365" spans="1:18" s="189" customFormat="1">
      <c r="A365" s="293"/>
      <c r="B365" s="290">
        <v>4</v>
      </c>
      <c r="C365" s="290">
        <v>1</v>
      </c>
      <c r="D365" s="290"/>
      <c r="E365" s="290"/>
      <c r="F365" s="290"/>
      <c r="G365" s="291" t="s">
        <v>180</v>
      </c>
      <c r="H365" s="291"/>
      <c r="I365" s="291"/>
      <c r="J365" s="387">
        <f>+J367+J377</f>
        <v>70850000</v>
      </c>
      <c r="K365" s="367">
        <f>+K367+K377</f>
        <v>85741600</v>
      </c>
      <c r="L365" s="367">
        <f>+L367+L377</f>
        <v>39450507</v>
      </c>
      <c r="M365" s="367">
        <f>+M367+M377</f>
        <v>138687452.15000001</v>
      </c>
      <c r="N365" s="367">
        <f>+M365+L365</f>
        <v>178137959.15000001</v>
      </c>
      <c r="O365" s="367">
        <f t="shared" ref="O365:O372" si="59">N365-K365</f>
        <v>92396359.150000006</v>
      </c>
      <c r="P365" s="347">
        <f t="shared" ref="P365:P372" si="60">N365/K365*100</f>
        <v>207.76141237159092</v>
      </c>
      <c r="Q365" s="454"/>
      <c r="R365" s="422"/>
    </row>
    <row r="366" spans="1:18" s="189" customFormat="1">
      <c r="A366" s="293"/>
      <c r="B366" s="290"/>
      <c r="C366" s="290"/>
      <c r="D366" s="290"/>
      <c r="E366" s="290"/>
      <c r="F366" s="290"/>
      <c r="G366" s="291"/>
      <c r="H366" s="291"/>
      <c r="I366" s="291"/>
      <c r="J366" s="387"/>
      <c r="K366" s="367"/>
      <c r="L366" s="367"/>
      <c r="M366" s="367"/>
      <c r="N366" s="367"/>
      <c r="O366" s="367"/>
      <c r="P366" s="347"/>
      <c r="Q366" s="454"/>
      <c r="R366" s="422"/>
    </row>
    <row r="367" spans="1:18" s="189" customFormat="1">
      <c r="A367" s="293"/>
      <c r="B367" s="290">
        <v>4</v>
      </c>
      <c r="C367" s="290">
        <v>1</v>
      </c>
      <c r="D367" s="290">
        <v>2</v>
      </c>
      <c r="E367" s="290"/>
      <c r="F367" s="290"/>
      <c r="G367" s="291" t="s">
        <v>106</v>
      </c>
      <c r="H367" s="291"/>
      <c r="I367" s="291"/>
      <c r="J367" s="387">
        <f>+J369</f>
        <v>7000000</v>
      </c>
      <c r="K367" s="367">
        <f>+K369</f>
        <v>60000000</v>
      </c>
      <c r="L367" s="1066">
        <f>+L369</f>
        <v>37040000</v>
      </c>
      <c r="M367" s="367">
        <f>+M369</f>
        <v>5492000</v>
      </c>
      <c r="N367" s="367">
        <f>+M367+L367</f>
        <v>42532000</v>
      </c>
      <c r="O367" s="367">
        <f t="shared" si="59"/>
        <v>-17468000</v>
      </c>
      <c r="P367" s="347">
        <f t="shared" si="60"/>
        <v>70.88666666666667</v>
      </c>
      <c r="Q367" s="454"/>
      <c r="R367" s="422"/>
    </row>
    <row r="368" spans="1:18" s="189" customFormat="1">
      <c r="A368" s="293"/>
      <c r="B368" s="292"/>
      <c r="C368" s="292"/>
      <c r="D368" s="292"/>
      <c r="E368" s="292"/>
      <c r="F368" s="292"/>
      <c r="G368" s="253"/>
      <c r="H368" s="253"/>
      <c r="I368" s="253"/>
      <c r="J368" s="374"/>
      <c r="K368" s="375"/>
      <c r="L368" s="377"/>
      <c r="M368" s="375"/>
      <c r="N368" s="375"/>
      <c r="O368" s="375"/>
      <c r="P368" s="600"/>
      <c r="Q368" s="448"/>
      <c r="R368" s="422"/>
    </row>
    <row r="369" spans="1:19" s="189" customFormat="1" ht="15.05">
      <c r="A369" s="293"/>
      <c r="B369" s="292">
        <v>4</v>
      </c>
      <c r="C369" s="292">
        <v>1</v>
      </c>
      <c r="D369" s="292">
        <v>2</v>
      </c>
      <c r="E369" s="292" t="s">
        <v>438</v>
      </c>
      <c r="F369" s="292"/>
      <c r="G369" s="253" t="s">
        <v>374</v>
      </c>
      <c r="H369" s="253"/>
      <c r="I369" s="253"/>
      <c r="J369" s="374">
        <f>+J374+J370</f>
        <v>7000000</v>
      </c>
      <c r="K369" s="1435">
        <f>K370+K374</f>
        <v>60000000</v>
      </c>
      <c r="L369" s="1436">
        <f>L370+L374</f>
        <v>37040000</v>
      </c>
      <c r="M369" s="1435">
        <f>M370+M374</f>
        <v>5492000</v>
      </c>
      <c r="N369" s="1036">
        <f>+M369+L369</f>
        <v>42532000</v>
      </c>
      <c r="O369" s="1036">
        <f t="shared" si="59"/>
        <v>-17468000</v>
      </c>
      <c r="P369" s="832">
        <f t="shared" si="60"/>
        <v>70.88666666666667</v>
      </c>
      <c r="Q369" s="1438"/>
      <c r="R369" s="422"/>
    </row>
    <row r="370" spans="1:19" s="190" customFormat="1" ht="15.05">
      <c r="A370" s="293"/>
      <c r="B370" s="290">
        <v>4</v>
      </c>
      <c r="C370" s="290">
        <v>1</v>
      </c>
      <c r="D370" s="290">
        <v>2</v>
      </c>
      <c r="E370" s="290" t="s">
        <v>438</v>
      </c>
      <c r="F370" s="290" t="s">
        <v>437</v>
      </c>
      <c r="G370" s="291" t="s">
        <v>64</v>
      </c>
      <c r="H370" s="291"/>
      <c r="I370" s="291"/>
      <c r="J370" s="397">
        <f>SUM(J371:J372)</f>
        <v>0</v>
      </c>
      <c r="K370" s="398">
        <f>SUM(K371:K372)</f>
        <v>56500000</v>
      </c>
      <c r="L370" s="684">
        <f>SUM(L371:L372)</f>
        <v>37040000</v>
      </c>
      <c r="M370" s="398">
        <f>SUM(M371:M372)</f>
        <v>5492000</v>
      </c>
      <c r="N370" s="777">
        <f>M370+L370</f>
        <v>42532000</v>
      </c>
      <c r="O370" s="367">
        <f t="shared" si="59"/>
        <v>-13968000</v>
      </c>
      <c r="P370" s="399">
        <f t="shared" si="60"/>
        <v>75.277876106194682</v>
      </c>
      <c r="Q370" s="1439"/>
      <c r="R370" s="554"/>
      <c r="S370" s="786"/>
    </row>
    <row r="371" spans="1:19" s="189" customFormat="1">
      <c r="A371" s="293"/>
      <c r="B371" s="292"/>
      <c r="C371" s="292"/>
      <c r="D371" s="292"/>
      <c r="E371" s="292"/>
      <c r="F371" s="292"/>
      <c r="G371" s="253" t="s">
        <v>50</v>
      </c>
      <c r="H371" s="253"/>
      <c r="I371" s="253" t="s">
        <v>498</v>
      </c>
      <c r="J371" s="374"/>
      <c r="K371" s="376">
        <f>'[55]TARGET VERSI LAMA'!$E$183</f>
        <v>16500000</v>
      </c>
      <c r="L371" s="377">
        <f>[56]PerDinas!$N$371</f>
        <v>1000000</v>
      </c>
      <c r="M371" s="376">
        <f>[55]Perdinas!$P$230</f>
        <v>1500000</v>
      </c>
      <c r="N371" s="346">
        <f>M371+L371</f>
        <v>2500000</v>
      </c>
      <c r="O371" s="346">
        <f t="shared" si="59"/>
        <v>-14000000</v>
      </c>
      <c r="P371" s="347">
        <f t="shared" si="60"/>
        <v>15.151515151515152</v>
      </c>
      <c r="Q371" s="1440"/>
      <c r="R371" s="431"/>
    </row>
    <row r="372" spans="1:19" s="189" customFormat="1">
      <c r="A372" s="293"/>
      <c r="B372" s="292"/>
      <c r="C372" s="292"/>
      <c r="D372" s="292"/>
      <c r="E372" s="292"/>
      <c r="F372" s="292"/>
      <c r="G372" s="253" t="s">
        <v>50</v>
      </c>
      <c r="H372" s="253"/>
      <c r="I372" s="253" t="s">
        <v>754</v>
      </c>
      <c r="J372" s="374"/>
      <c r="K372" s="376">
        <f>'[55]TARGET VERSI LAMA'!$E$184</f>
        <v>40000000</v>
      </c>
      <c r="L372" s="377">
        <f>[56]PerDinas!$N$372</f>
        <v>36040000</v>
      </c>
      <c r="M372" s="376">
        <f>[55]Perdinas!$P$231</f>
        <v>3992000</v>
      </c>
      <c r="N372" s="346">
        <f>M372+L372</f>
        <v>40032000</v>
      </c>
      <c r="O372" s="346">
        <f t="shared" si="59"/>
        <v>32000</v>
      </c>
      <c r="P372" s="347">
        <f t="shared" si="60"/>
        <v>100.07999999999998</v>
      </c>
      <c r="Q372" s="728"/>
      <c r="R372" s="422"/>
    </row>
    <row r="373" spans="1:19" s="189" customFormat="1">
      <c r="A373" s="293"/>
      <c r="B373" s="292"/>
      <c r="C373" s="292"/>
      <c r="D373" s="292"/>
      <c r="E373" s="292"/>
      <c r="F373" s="292"/>
      <c r="G373" s="253"/>
      <c r="H373" s="253"/>
      <c r="I373" s="253"/>
      <c r="J373" s="374"/>
      <c r="K373" s="375"/>
      <c r="L373" s="377"/>
      <c r="M373" s="375"/>
      <c r="N373" s="346"/>
      <c r="O373" s="346"/>
      <c r="P373" s="347"/>
      <c r="Q373" s="728"/>
      <c r="R373" s="422"/>
    </row>
    <row r="374" spans="1:19" s="190" customFormat="1">
      <c r="A374" s="293"/>
      <c r="B374" s="290">
        <v>4</v>
      </c>
      <c r="C374" s="290">
        <v>1</v>
      </c>
      <c r="D374" s="290">
        <v>2</v>
      </c>
      <c r="E374" s="290" t="s">
        <v>438</v>
      </c>
      <c r="F374" s="290" t="s">
        <v>440</v>
      </c>
      <c r="G374" s="291" t="s">
        <v>304</v>
      </c>
      <c r="H374" s="291"/>
      <c r="I374" s="291"/>
      <c r="J374" s="397">
        <f>+J375</f>
        <v>7000000</v>
      </c>
      <c r="K374" s="398">
        <f>+K375</f>
        <v>3500000</v>
      </c>
      <c r="L374" s="684">
        <f>+L375</f>
        <v>0</v>
      </c>
      <c r="M374" s="398">
        <f>+M375</f>
        <v>0</v>
      </c>
      <c r="N374" s="371">
        <f>M374+L374</f>
        <v>0</v>
      </c>
      <c r="O374" s="371">
        <f>N374-K374</f>
        <v>-3500000</v>
      </c>
      <c r="P374" s="778">
        <f>N374/K374*100</f>
        <v>0</v>
      </c>
      <c r="Q374" s="793"/>
      <c r="R374" s="446"/>
    </row>
    <row r="375" spans="1:19" s="189" customFormat="1">
      <c r="A375" s="293"/>
      <c r="B375" s="292"/>
      <c r="C375" s="292"/>
      <c r="D375" s="292"/>
      <c r="E375" s="292"/>
      <c r="F375" s="292"/>
      <c r="G375" s="253" t="s">
        <v>50</v>
      </c>
      <c r="H375" s="253"/>
      <c r="I375" s="253" t="s">
        <v>500</v>
      </c>
      <c r="J375" s="374">
        <v>7000000</v>
      </c>
      <c r="K375" s="376">
        <f>'[55]TARGET VERSI LAMA'!$E$187</f>
        <v>3500000</v>
      </c>
      <c r="L375" s="377">
        <f>[56]PerDinas!$N$375</f>
        <v>0</v>
      </c>
      <c r="M375" s="376">
        <f>[55]Perdinas!$P$234</f>
        <v>0</v>
      </c>
      <c r="N375" s="369">
        <f>M375+L375</f>
        <v>0</v>
      </c>
      <c r="O375" s="355">
        <f>N375-K375</f>
        <v>-3500000</v>
      </c>
      <c r="P375" s="388">
        <f>N375/K375*100</f>
        <v>0</v>
      </c>
      <c r="Q375" s="728"/>
      <c r="R375" s="422"/>
    </row>
    <row r="376" spans="1:19" s="189" customFormat="1">
      <c r="A376" s="293"/>
      <c r="B376" s="292"/>
      <c r="C376" s="292"/>
      <c r="D376" s="292"/>
      <c r="E376" s="292"/>
      <c r="F376" s="292"/>
      <c r="G376" s="253"/>
      <c r="H376" s="253"/>
      <c r="I376" s="253"/>
      <c r="J376" s="374"/>
      <c r="K376" s="375"/>
      <c r="L376" s="377"/>
      <c r="M376" s="375"/>
      <c r="N376" s="375"/>
      <c r="O376" s="375"/>
      <c r="P376" s="600"/>
      <c r="Q376" s="728"/>
      <c r="R376" s="422"/>
    </row>
    <row r="377" spans="1:19" s="189" customFormat="1">
      <c r="A377" s="293"/>
      <c r="B377" s="290">
        <v>4</v>
      </c>
      <c r="C377" s="290">
        <v>1</v>
      </c>
      <c r="D377" s="290">
        <v>4</v>
      </c>
      <c r="E377" s="290"/>
      <c r="F377" s="290"/>
      <c r="G377" s="291" t="s">
        <v>71</v>
      </c>
      <c r="H377" s="291"/>
      <c r="I377" s="291"/>
      <c r="J377" s="397">
        <f>J378+J386</f>
        <v>63850000</v>
      </c>
      <c r="K377" s="398">
        <f>K378+K386+K387</f>
        <v>25741600</v>
      </c>
      <c r="L377" s="398">
        <f>L378+L386+L387</f>
        <v>2410507</v>
      </c>
      <c r="M377" s="398">
        <f>M378+M386+M387</f>
        <v>133195452.15000001</v>
      </c>
      <c r="N377" s="398">
        <f>M377+L377</f>
        <v>135605959.15000001</v>
      </c>
      <c r="O377" s="398">
        <f t="shared" ref="O377:O382" si="61">N377-K377</f>
        <v>109864359.15000001</v>
      </c>
      <c r="P377" s="600">
        <f>P378+P386</f>
        <v>14.025961867172205</v>
      </c>
      <c r="Q377" s="793"/>
      <c r="R377" s="422"/>
    </row>
    <row r="378" spans="1:19" s="189" customFormat="1">
      <c r="A378" s="293"/>
      <c r="B378" s="292">
        <v>4</v>
      </c>
      <c r="C378" s="292">
        <v>1</v>
      </c>
      <c r="D378" s="292">
        <v>4</v>
      </c>
      <c r="E378" s="292" t="s">
        <v>444</v>
      </c>
      <c r="F378" s="292"/>
      <c r="G378" s="253" t="s">
        <v>222</v>
      </c>
      <c r="H378" s="253"/>
      <c r="I378" s="253"/>
      <c r="J378" s="374">
        <f>J379+J380+J381</f>
        <v>60000000</v>
      </c>
      <c r="K378" s="375">
        <f>K379+K380+K381</f>
        <v>0</v>
      </c>
      <c r="L378" s="377">
        <f>SUM(L379:L381)</f>
        <v>0</v>
      </c>
      <c r="M378" s="375">
        <f>SUM(M379:M381)</f>
        <v>131995452.15000001</v>
      </c>
      <c r="N378" s="375">
        <f>SUM(N379:N381)</f>
        <v>131995452.15000001</v>
      </c>
      <c r="O378" s="346">
        <f t="shared" si="61"/>
        <v>131995452.15000001</v>
      </c>
      <c r="P378" s="347">
        <v>0</v>
      </c>
      <c r="Q378" s="728"/>
      <c r="R378" s="422"/>
    </row>
    <row r="379" spans="1:19" s="189" customFormat="1">
      <c r="A379" s="289"/>
      <c r="B379" s="292">
        <v>4</v>
      </c>
      <c r="C379" s="292">
        <v>1</v>
      </c>
      <c r="D379" s="292">
        <v>4</v>
      </c>
      <c r="E379" s="292" t="s">
        <v>443</v>
      </c>
      <c r="F379" s="292" t="s">
        <v>441</v>
      </c>
      <c r="G379" s="253" t="s">
        <v>73</v>
      </c>
      <c r="H379" s="253"/>
      <c r="I379" s="253"/>
      <c r="J379" s="354">
        <v>0</v>
      </c>
      <c r="K379" s="355">
        <v>0</v>
      </c>
      <c r="L379" s="360"/>
      <c r="M379" s="355">
        <f>[55]Perdinas!$P$238</f>
        <v>0</v>
      </c>
      <c r="N379" s="355">
        <f t="shared" ref="N379:N384" si="62">M379+L379</f>
        <v>0</v>
      </c>
      <c r="O379" s="346">
        <f t="shared" si="61"/>
        <v>0</v>
      </c>
      <c r="P379" s="388"/>
      <c r="Q379" s="795"/>
      <c r="R379" s="422"/>
    </row>
    <row r="380" spans="1:19" s="189" customFormat="1">
      <c r="A380" s="289"/>
      <c r="B380" s="292">
        <v>4</v>
      </c>
      <c r="C380" s="292">
        <v>1</v>
      </c>
      <c r="D380" s="292">
        <v>4</v>
      </c>
      <c r="E380" s="292" t="s">
        <v>444</v>
      </c>
      <c r="F380" s="292" t="s">
        <v>445</v>
      </c>
      <c r="G380" s="253" t="s">
        <v>74</v>
      </c>
      <c r="H380" s="253"/>
      <c r="I380" s="253"/>
      <c r="J380" s="354">
        <v>0</v>
      </c>
      <c r="K380" s="355">
        <v>0</v>
      </c>
      <c r="L380" s="360">
        <v>0</v>
      </c>
      <c r="M380" s="355">
        <f>[55]Perdinas!$P$239</f>
        <v>0</v>
      </c>
      <c r="N380" s="355">
        <f t="shared" si="62"/>
        <v>0</v>
      </c>
      <c r="O380" s="346">
        <f t="shared" si="61"/>
        <v>0</v>
      </c>
      <c r="P380" s="388"/>
      <c r="Q380" s="795"/>
      <c r="R380" s="422"/>
    </row>
    <row r="381" spans="1:19" s="189" customFormat="1">
      <c r="A381" s="293"/>
      <c r="B381" s="292">
        <v>4</v>
      </c>
      <c r="C381" s="292">
        <v>1</v>
      </c>
      <c r="D381" s="292">
        <v>4</v>
      </c>
      <c r="E381" s="292" t="s">
        <v>444</v>
      </c>
      <c r="F381" s="292" t="s">
        <v>441</v>
      </c>
      <c r="G381" s="253" t="s">
        <v>75</v>
      </c>
      <c r="H381" s="253"/>
      <c r="I381" s="253"/>
      <c r="J381" s="374">
        <v>60000000</v>
      </c>
      <c r="K381" s="779"/>
      <c r="L381" s="360">
        <f>SUM(L382:L384)</f>
        <v>0</v>
      </c>
      <c r="M381" s="375">
        <f>[55]Perdinas!$P$240</f>
        <v>131995452.15000001</v>
      </c>
      <c r="N381" s="375">
        <f t="shared" si="62"/>
        <v>131995452.15000001</v>
      </c>
      <c r="O381" s="346">
        <f t="shared" si="61"/>
        <v>131995452.15000001</v>
      </c>
      <c r="P381" s="600">
        <f>SUM(P382:P384)</f>
        <v>0</v>
      </c>
      <c r="Q381" s="728"/>
      <c r="R381" s="554"/>
      <c r="S381" s="542"/>
    </row>
    <row r="382" spans="1:19" s="189" customFormat="1">
      <c r="A382" s="293"/>
      <c r="B382" s="292"/>
      <c r="C382" s="292"/>
      <c r="D382" s="292"/>
      <c r="E382" s="292"/>
      <c r="F382" s="292"/>
      <c r="G382" s="253" t="s">
        <v>50</v>
      </c>
      <c r="H382" s="253"/>
      <c r="I382" s="253" t="s">
        <v>979</v>
      </c>
      <c r="J382" s="374">
        <v>0</v>
      </c>
      <c r="K382" s="376">
        <f>'[55]TARGET VERSI LAMA'!$E$191</f>
        <v>0</v>
      </c>
      <c r="L382" s="377">
        <f>[56]PerDinas!$N$381</f>
        <v>0</v>
      </c>
      <c r="M382" s="375">
        <f>[55]Perdinas!$P$240</f>
        <v>131995452.15000001</v>
      </c>
      <c r="N382" s="369">
        <f t="shared" si="62"/>
        <v>131995452.15000001</v>
      </c>
      <c r="O382" s="346">
        <f t="shared" si="61"/>
        <v>131995452.15000001</v>
      </c>
      <c r="P382" s="388"/>
      <c r="Q382" s="728"/>
      <c r="R382" s="422"/>
    </row>
    <row r="383" spans="1:19" s="189" customFormat="1">
      <c r="A383" s="293"/>
      <c r="B383" s="292"/>
      <c r="C383" s="292"/>
      <c r="D383" s="292"/>
      <c r="E383" s="292"/>
      <c r="F383" s="292"/>
      <c r="G383" s="253" t="s">
        <v>50</v>
      </c>
      <c r="H383" s="253"/>
      <c r="I383" s="253" t="s">
        <v>980</v>
      </c>
      <c r="J383" s="374">
        <v>0</v>
      </c>
      <c r="K383" s="375">
        <v>0</v>
      </c>
      <c r="L383" s="377">
        <f>[56]PerDinas!$N$383</f>
        <v>0</v>
      </c>
      <c r="M383" s="376">
        <f>[60]Perdinas!$E$192</f>
        <v>0</v>
      </c>
      <c r="N383" s="355">
        <f t="shared" si="62"/>
        <v>0</v>
      </c>
      <c r="O383" s="355"/>
      <c r="P383" s="388"/>
      <c r="Q383" s="728"/>
      <c r="R383" s="422"/>
    </row>
    <row r="384" spans="1:19" s="189" customFormat="1">
      <c r="A384" s="293"/>
      <c r="B384" s="292"/>
      <c r="C384" s="292"/>
      <c r="D384" s="292"/>
      <c r="E384" s="292"/>
      <c r="F384" s="292"/>
      <c r="G384" s="253" t="s">
        <v>50</v>
      </c>
      <c r="H384" s="253"/>
      <c r="I384" s="253" t="s">
        <v>754</v>
      </c>
      <c r="J384" s="374">
        <v>0</v>
      </c>
      <c r="K384" s="375">
        <v>0</v>
      </c>
      <c r="L384" s="377">
        <f>[56]PerDinas!$N$384</f>
        <v>0</v>
      </c>
      <c r="M384" s="376">
        <f>[60]Perdinas!$E$193</f>
        <v>0</v>
      </c>
      <c r="N384" s="355">
        <f t="shared" si="62"/>
        <v>0</v>
      </c>
      <c r="O384" s="355"/>
      <c r="P384" s="388"/>
      <c r="Q384" s="728"/>
      <c r="R384" s="422"/>
    </row>
    <row r="385" spans="1:19" s="189" customFormat="1">
      <c r="A385" s="293"/>
      <c r="B385" s="292"/>
      <c r="C385" s="292"/>
      <c r="D385" s="292"/>
      <c r="E385" s="292"/>
      <c r="F385" s="292"/>
      <c r="G385" s="253"/>
      <c r="H385" s="253"/>
      <c r="I385" s="253"/>
      <c r="J385" s="374"/>
      <c r="K385" s="375"/>
      <c r="L385" s="377"/>
      <c r="M385" s="375"/>
      <c r="N385" s="355"/>
      <c r="O385" s="355"/>
      <c r="P385" s="388"/>
      <c r="Q385" s="728"/>
      <c r="R385" s="422"/>
    </row>
    <row r="386" spans="1:19" s="189" customFormat="1" ht="15.05">
      <c r="A386" s="293"/>
      <c r="B386" s="290" t="s">
        <v>443</v>
      </c>
      <c r="C386" s="290" t="s">
        <v>58</v>
      </c>
      <c r="D386" s="290" t="s">
        <v>443</v>
      </c>
      <c r="E386" s="290" t="s">
        <v>948</v>
      </c>
      <c r="F386" s="290"/>
      <c r="G386" s="291" t="s">
        <v>981</v>
      </c>
      <c r="H386" s="291"/>
      <c r="I386" s="291"/>
      <c r="J386" s="370">
        <f>J387+J388</f>
        <v>3850000</v>
      </c>
      <c r="K386" s="371">
        <f t="shared" ref="K386:P386" si="63">K388</f>
        <v>25741600</v>
      </c>
      <c r="L386" s="371">
        <f t="shared" si="63"/>
        <v>2410507</v>
      </c>
      <c r="M386" s="371">
        <f t="shared" si="63"/>
        <v>1200000</v>
      </c>
      <c r="N386" s="371">
        <f t="shared" si="63"/>
        <v>3610507</v>
      </c>
      <c r="O386" s="371">
        <f t="shared" si="63"/>
        <v>-22131093</v>
      </c>
      <c r="P386" s="371">
        <f t="shared" si="63"/>
        <v>14.025961867172205</v>
      </c>
      <c r="Q386" s="1439"/>
      <c r="R386" s="422"/>
    </row>
    <row r="387" spans="1:19" s="189" customFormat="1">
      <c r="A387" s="293"/>
      <c r="B387" s="292"/>
      <c r="C387" s="292"/>
      <c r="D387" s="292"/>
      <c r="E387" s="292"/>
      <c r="F387" s="292"/>
      <c r="G387" s="253" t="s">
        <v>50</v>
      </c>
      <c r="H387" s="253"/>
      <c r="I387" s="253" t="s">
        <v>710</v>
      </c>
      <c r="J387" s="354">
        <v>650000</v>
      </c>
      <c r="K387" s="806"/>
      <c r="L387" s="360">
        <f>[56]PerDinas!$N$387</f>
        <v>0</v>
      </c>
      <c r="M387" s="355">
        <f>[61]Desember!$G$35</f>
        <v>0</v>
      </c>
      <c r="N387" s="355">
        <f>M387+L387</f>
        <v>0</v>
      </c>
      <c r="O387" s="355">
        <f t="shared" ref="O387:O392" si="64">N387-K387</f>
        <v>0</v>
      </c>
      <c r="P387" s="388" t="e">
        <f>N387/K387*100</f>
        <v>#DIV/0!</v>
      </c>
      <c r="Q387" s="728"/>
      <c r="R387" s="552"/>
      <c r="S387" s="819"/>
    </row>
    <row r="388" spans="1:19" s="189" customFormat="1">
      <c r="A388" s="293"/>
      <c r="B388" s="292"/>
      <c r="C388" s="292"/>
      <c r="D388" s="292"/>
      <c r="E388" s="292"/>
      <c r="F388" s="292"/>
      <c r="G388" s="253" t="s">
        <v>50</v>
      </c>
      <c r="H388" s="253"/>
      <c r="I388" s="253" t="s">
        <v>982</v>
      </c>
      <c r="J388" s="374">
        <v>3200000</v>
      </c>
      <c r="K388" s="376">
        <f>'[55]TARGET VERSI LAMA'!$E$197</f>
        <v>25741600</v>
      </c>
      <c r="L388" s="377">
        <f>[56]PerDinas!$N$600</f>
        <v>2410507</v>
      </c>
      <c r="M388" s="375">
        <f>[55]Perdinas!$P$376</f>
        <v>1200000</v>
      </c>
      <c r="N388" s="369">
        <f>M388+L388</f>
        <v>3610507</v>
      </c>
      <c r="O388" s="355">
        <f t="shared" si="64"/>
        <v>-22131093</v>
      </c>
      <c r="P388" s="388">
        <f>N388/K388*100</f>
        <v>14.025961867172205</v>
      </c>
      <c r="Q388" s="448"/>
      <c r="R388" s="422"/>
    </row>
    <row r="389" spans="1:19" s="245" customFormat="1">
      <c r="A389" s="654"/>
      <c r="B389" s="655"/>
      <c r="C389" s="655"/>
      <c r="D389" s="655"/>
      <c r="E389" s="655"/>
      <c r="F389" s="655"/>
      <c r="G389" s="656"/>
      <c r="H389" s="656"/>
      <c r="I389" s="656"/>
      <c r="J389" s="526"/>
      <c r="K389" s="527"/>
      <c r="L389" s="670"/>
      <c r="M389" s="527"/>
      <c r="N389" s="527"/>
      <c r="O389" s="527"/>
      <c r="P389" s="671"/>
      <c r="Q389" s="644"/>
      <c r="R389" s="450"/>
    </row>
    <row r="390" spans="1:19" s="244" customFormat="1">
      <c r="A390" s="1383" t="s">
        <v>152</v>
      </c>
      <c r="B390" s="1378" t="s">
        <v>58</v>
      </c>
      <c r="C390" s="1378" t="s">
        <v>846</v>
      </c>
      <c r="D390" s="1378" t="s">
        <v>440</v>
      </c>
      <c r="E390" s="1441"/>
      <c r="F390" s="1441"/>
      <c r="G390" s="1379" t="s">
        <v>301</v>
      </c>
      <c r="H390" s="1379"/>
      <c r="I390" s="1379"/>
      <c r="J390" s="1396">
        <f>+J392</f>
        <v>2000000</v>
      </c>
      <c r="K390" s="1397">
        <f>+K392</f>
        <v>0</v>
      </c>
      <c r="L390" s="1397">
        <f>+L392</f>
        <v>3240000</v>
      </c>
      <c r="M390" s="1397">
        <f>+M392</f>
        <v>1600000</v>
      </c>
      <c r="N390" s="1397">
        <f>+M390+L390</f>
        <v>4840000</v>
      </c>
      <c r="O390" s="1397">
        <f>+N390-K390</f>
        <v>4840000</v>
      </c>
      <c r="P390" s="1398" t="e">
        <f>N390/K390*100</f>
        <v>#DIV/0!</v>
      </c>
      <c r="Q390" s="1406"/>
      <c r="R390" s="639"/>
    </row>
    <row r="391" spans="1:19" s="189" customFormat="1">
      <c r="A391" s="1409"/>
      <c r="B391" s="1324"/>
      <c r="C391" s="1324"/>
      <c r="D391" s="1324"/>
      <c r="E391" s="1324"/>
      <c r="F391" s="1324"/>
      <c r="G391" s="1365"/>
      <c r="H391" s="1365"/>
      <c r="I391" s="1365"/>
      <c r="J391" s="757"/>
      <c r="K391" s="758"/>
      <c r="L391" s="758"/>
      <c r="M391" s="758"/>
      <c r="N391" s="758"/>
      <c r="O391" s="758"/>
      <c r="P391" s="690"/>
      <c r="Q391" s="782"/>
      <c r="R391" s="422"/>
    </row>
    <row r="392" spans="1:19" s="189" customFormat="1">
      <c r="A392" s="303"/>
      <c r="B392" s="290">
        <v>4</v>
      </c>
      <c r="C392" s="290">
        <v>1</v>
      </c>
      <c r="D392" s="290"/>
      <c r="E392" s="290"/>
      <c r="F392" s="290"/>
      <c r="G392" s="291" t="s">
        <v>180</v>
      </c>
      <c r="H392" s="291"/>
      <c r="I392" s="291"/>
      <c r="J392" s="387">
        <f>+J394</f>
        <v>2000000</v>
      </c>
      <c r="K392" s="367">
        <f>+K394</f>
        <v>0</v>
      </c>
      <c r="L392" s="367">
        <f>+L394</f>
        <v>3240000</v>
      </c>
      <c r="M392" s="367">
        <f>+M394</f>
        <v>1600000</v>
      </c>
      <c r="N392" s="367">
        <f>+M392+L392</f>
        <v>4840000</v>
      </c>
      <c r="O392" s="367">
        <f t="shared" si="64"/>
        <v>4840000</v>
      </c>
      <c r="P392" s="347" t="e">
        <f>N392/K392*100</f>
        <v>#DIV/0!</v>
      </c>
      <c r="Q392" s="454"/>
      <c r="R392" s="422"/>
    </row>
    <row r="393" spans="1:19" s="189" customFormat="1">
      <c r="A393" s="293"/>
      <c r="B393" s="292"/>
      <c r="C393" s="292"/>
      <c r="D393" s="292"/>
      <c r="E393" s="292"/>
      <c r="F393" s="292"/>
      <c r="G393" s="253"/>
      <c r="H393" s="253"/>
      <c r="I393" s="253"/>
      <c r="J393" s="387"/>
      <c r="K393" s="367"/>
      <c r="L393" s="367"/>
      <c r="M393" s="367"/>
      <c r="N393" s="367"/>
      <c r="O393" s="367"/>
      <c r="P393" s="347"/>
      <c r="Q393" s="454"/>
      <c r="R393" s="422"/>
    </row>
    <row r="394" spans="1:19" s="189" customFormat="1">
      <c r="A394" s="303"/>
      <c r="B394" s="290">
        <v>4</v>
      </c>
      <c r="C394" s="290">
        <v>1</v>
      </c>
      <c r="D394" s="290">
        <v>4</v>
      </c>
      <c r="E394" s="290"/>
      <c r="F394" s="290"/>
      <c r="G394" s="291" t="s">
        <v>71</v>
      </c>
      <c r="H394" s="291"/>
      <c r="I394" s="291"/>
      <c r="J394" s="397">
        <f>J395+J400</f>
        <v>2000000</v>
      </c>
      <c r="K394" s="398">
        <f>K395+K400</f>
        <v>0</v>
      </c>
      <c r="L394" s="684">
        <f>L395+L400</f>
        <v>3240000</v>
      </c>
      <c r="M394" s="398">
        <f>M395+M400</f>
        <v>1600000</v>
      </c>
      <c r="N394" s="398">
        <f>N395+N400</f>
        <v>4840000</v>
      </c>
      <c r="O394" s="367">
        <f>N394-K394</f>
        <v>4840000</v>
      </c>
      <c r="P394" s="347" t="e">
        <f>N394/K394*100</f>
        <v>#DIV/0!</v>
      </c>
      <c r="Q394" s="699"/>
      <c r="R394" s="422"/>
    </row>
    <row r="395" spans="1:19" s="189" customFormat="1">
      <c r="A395" s="293"/>
      <c r="B395" s="292">
        <v>4</v>
      </c>
      <c r="C395" s="292">
        <v>1</v>
      </c>
      <c r="D395" s="292">
        <v>4</v>
      </c>
      <c r="E395" s="292" t="s">
        <v>444</v>
      </c>
      <c r="F395" s="292"/>
      <c r="G395" s="253" t="s">
        <v>222</v>
      </c>
      <c r="H395" s="253"/>
      <c r="I395" s="253"/>
      <c r="J395" s="354">
        <v>0</v>
      </c>
      <c r="K395" s="355">
        <v>0</v>
      </c>
      <c r="L395" s="360">
        <f>SUM(L396:L398)</f>
        <v>3240000</v>
      </c>
      <c r="M395" s="355">
        <f>SUM(M396:M398)</f>
        <v>1600000</v>
      </c>
      <c r="N395" s="355">
        <f>SUM(N396:N398)</f>
        <v>4840000</v>
      </c>
      <c r="O395" s="355"/>
      <c r="P395" s="388"/>
      <c r="Q395" s="441"/>
      <c r="R395" s="422"/>
    </row>
    <row r="396" spans="1:19" s="189" customFormat="1">
      <c r="A396" s="289"/>
      <c r="B396" s="292">
        <v>4</v>
      </c>
      <c r="C396" s="292">
        <v>1</v>
      </c>
      <c r="D396" s="292">
        <v>4</v>
      </c>
      <c r="E396" s="292" t="s">
        <v>444</v>
      </c>
      <c r="F396" s="292" t="s">
        <v>440</v>
      </c>
      <c r="G396" s="253" t="s">
        <v>73</v>
      </c>
      <c r="H396" s="253"/>
      <c r="I396" s="253"/>
      <c r="J396" s="354">
        <v>0</v>
      </c>
      <c r="K396" s="355">
        <v>0</v>
      </c>
      <c r="L396" s="360">
        <v>0</v>
      </c>
      <c r="M396" s="355">
        <f>[55]Perdinas!$P$246</f>
        <v>0</v>
      </c>
      <c r="N396" s="355">
        <f>M396+L396</f>
        <v>0</v>
      </c>
      <c r="O396" s="355">
        <f>N396-K396</f>
        <v>0</v>
      </c>
      <c r="P396" s="388"/>
      <c r="Q396" s="441"/>
      <c r="R396" s="422"/>
    </row>
    <row r="397" spans="1:19" s="189" customFormat="1">
      <c r="A397" s="289"/>
      <c r="B397" s="292">
        <v>4</v>
      </c>
      <c r="C397" s="292">
        <v>1</v>
      </c>
      <c r="D397" s="292">
        <v>4</v>
      </c>
      <c r="E397" s="292" t="s">
        <v>444</v>
      </c>
      <c r="F397" s="292" t="s">
        <v>445</v>
      </c>
      <c r="G397" s="253" t="s">
        <v>74</v>
      </c>
      <c r="H397" s="253"/>
      <c r="I397" s="253"/>
      <c r="J397" s="354">
        <v>0</v>
      </c>
      <c r="K397" s="355">
        <v>0</v>
      </c>
      <c r="L397" s="360">
        <v>0</v>
      </c>
      <c r="M397" s="355">
        <f>[55]Perdinas!$P$247</f>
        <v>0</v>
      </c>
      <c r="N397" s="355">
        <f>M397+L397</f>
        <v>0</v>
      </c>
      <c r="O397" s="355">
        <f>N397-K397</f>
        <v>0</v>
      </c>
      <c r="P397" s="388"/>
      <c r="Q397" s="441"/>
      <c r="R397" s="422"/>
    </row>
    <row r="398" spans="1:19" s="189" customFormat="1">
      <c r="A398" s="293"/>
      <c r="B398" s="292">
        <v>4</v>
      </c>
      <c r="C398" s="292">
        <v>1</v>
      </c>
      <c r="D398" s="292">
        <v>4</v>
      </c>
      <c r="E398" s="292" t="s">
        <v>444</v>
      </c>
      <c r="F398" s="292" t="s">
        <v>441</v>
      </c>
      <c r="G398" s="253" t="s">
        <v>75</v>
      </c>
      <c r="H398" s="253"/>
      <c r="I398" s="253"/>
      <c r="J398" s="374">
        <v>0</v>
      </c>
      <c r="K398" s="376">
        <f>'[55]TARGET VERSI LAMA'!$E$201</f>
        <v>0</v>
      </c>
      <c r="L398" s="377">
        <f>[56]PerDinas!$N$398</f>
        <v>3240000</v>
      </c>
      <c r="M398" s="376">
        <f>[55]Perdinas!$P$248</f>
        <v>1600000</v>
      </c>
      <c r="N398" s="369">
        <f>M398+L398</f>
        <v>4840000</v>
      </c>
      <c r="O398" s="355">
        <f>N398-K398</f>
        <v>4840000</v>
      </c>
      <c r="P398" s="388"/>
      <c r="Q398" s="448"/>
      <c r="R398" s="422"/>
    </row>
    <row r="399" spans="1:19" s="189" customFormat="1">
      <c r="A399" s="293"/>
      <c r="B399" s="292"/>
      <c r="C399" s="292"/>
      <c r="D399" s="292"/>
      <c r="E399" s="292"/>
      <c r="F399" s="292"/>
      <c r="G399" s="253"/>
      <c r="H399" s="253"/>
      <c r="I399" s="253"/>
      <c r="J399" s="374"/>
      <c r="K399" s="375"/>
      <c r="L399" s="377"/>
      <c r="M399" s="375"/>
      <c r="N399" s="355"/>
      <c r="O399" s="355"/>
      <c r="P399" s="388"/>
      <c r="Q399" s="448"/>
      <c r="R399" s="422"/>
    </row>
    <row r="400" spans="1:19" s="189" customFormat="1">
      <c r="A400" s="293"/>
      <c r="B400" s="292" t="s">
        <v>443</v>
      </c>
      <c r="C400" s="292" t="s">
        <v>58</v>
      </c>
      <c r="D400" s="292" t="s">
        <v>443</v>
      </c>
      <c r="E400" s="292" t="s">
        <v>948</v>
      </c>
      <c r="F400" s="292"/>
      <c r="G400" s="253" t="s">
        <v>981</v>
      </c>
      <c r="H400" s="253"/>
      <c r="I400" s="253"/>
      <c r="J400" s="354">
        <f>J401</f>
        <v>2000000</v>
      </c>
      <c r="K400" s="355">
        <f>K401</f>
        <v>0</v>
      </c>
      <c r="L400" s="360">
        <f>SUM(L401:L401)</f>
        <v>0</v>
      </c>
      <c r="M400" s="355">
        <f>SUM(M401:M401)</f>
        <v>0</v>
      </c>
      <c r="N400" s="355">
        <f>M400+L400</f>
        <v>0</v>
      </c>
      <c r="O400" s="355">
        <f t="shared" ref="O400:O405" si="65">N400-K400</f>
        <v>0</v>
      </c>
      <c r="P400" s="388">
        <v>0</v>
      </c>
      <c r="Q400" s="448"/>
      <c r="R400" s="422"/>
    </row>
    <row r="401" spans="1:19" s="189" customFormat="1">
      <c r="A401" s="293"/>
      <c r="B401" s="292" t="s">
        <v>443</v>
      </c>
      <c r="C401" s="292" t="s">
        <v>58</v>
      </c>
      <c r="D401" s="292" t="s">
        <v>443</v>
      </c>
      <c r="E401" s="292" t="s">
        <v>948</v>
      </c>
      <c r="F401" s="292" t="s">
        <v>437</v>
      </c>
      <c r="G401" s="253" t="s">
        <v>50</v>
      </c>
      <c r="H401" s="253"/>
      <c r="I401" s="253" t="s">
        <v>85</v>
      </c>
      <c r="J401" s="354">
        <v>2000000</v>
      </c>
      <c r="K401" s="355">
        <f>'[55]TARGET VERSI LAMA'!$E$202</f>
        <v>0</v>
      </c>
      <c r="L401" s="360">
        <f>[56]PerDinas!$N$401</f>
        <v>0</v>
      </c>
      <c r="M401" s="355">
        <f>[55]Perdinas!$P$249</f>
        <v>0</v>
      </c>
      <c r="N401" s="355">
        <f>M401+L401</f>
        <v>0</v>
      </c>
      <c r="O401" s="355">
        <f t="shared" si="65"/>
        <v>0</v>
      </c>
      <c r="P401" s="388">
        <v>0</v>
      </c>
      <c r="Q401" s="448"/>
      <c r="R401" s="422"/>
    </row>
    <row r="402" spans="1:19" s="245" customFormat="1">
      <c r="A402" s="654"/>
      <c r="B402" s="655"/>
      <c r="C402" s="655"/>
      <c r="D402" s="655"/>
      <c r="E402" s="655"/>
      <c r="F402" s="655"/>
      <c r="G402" s="656"/>
      <c r="H402" s="656"/>
      <c r="I402" s="656"/>
      <c r="J402" s="526"/>
      <c r="K402" s="527"/>
      <c r="L402" s="527"/>
      <c r="M402" s="527"/>
      <c r="N402" s="527"/>
      <c r="O402" s="527"/>
      <c r="P402" s="671"/>
      <c r="Q402" s="644"/>
      <c r="R402" s="450"/>
    </row>
    <row r="403" spans="1:19" s="244" customFormat="1">
      <c r="A403" s="1186" t="s">
        <v>154</v>
      </c>
      <c r="B403" s="1187" t="s">
        <v>58</v>
      </c>
      <c r="C403" s="1187" t="s">
        <v>849</v>
      </c>
      <c r="D403" s="1187" t="s">
        <v>440</v>
      </c>
      <c r="E403" s="1187"/>
      <c r="F403" s="1187"/>
      <c r="G403" s="1188" t="s">
        <v>155</v>
      </c>
      <c r="H403" s="1188"/>
      <c r="I403" s="1226"/>
      <c r="J403" s="1195" t="e">
        <f>J405+#REF!+#REF!+#REF!+#REF!</f>
        <v>#REF!</v>
      </c>
      <c r="K403" s="1196">
        <f>K405</f>
        <v>131250000</v>
      </c>
      <c r="L403" s="1196">
        <f>L405</f>
        <v>175225797</v>
      </c>
      <c r="M403" s="1196">
        <f>M405</f>
        <v>27892097</v>
      </c>
      <c r="N403" s="1196">
        <f>M403+L403</f>
        <v>203117894</v>
      </c>
      <c r="O403" s="1196">
        <f>+N403-K403</f>
        <v>71867894</v>
      </c>
      <c r="P403" s="1197">
        <f>+N403/K403*100</f>
        <v>154.75649066666665</v>
      </c>
      <c r="Q403" s="1208"/>
      <c r="R403" s="639"/>
    </row>
    <row r="404" spans="1:19" s="189" customFormat="1">
      <c r="A404" s="657"/>
      <c r="B404" s="578"/>
      <c r="C404" s="578"/>
      <c r="D404" s="578"/>
      <c r="E404" s="578"/>
      <c r="F404" s="578"/>
      <c r="J404" s="333"/>
      <c r="K404" s="334"/>
      <c r="L404" s="334"/>
      <c r="M404" s="334"/>
      <c r="N404" s="334"/>
      <c r="O404" s="334"/>
      <c r="P404" s="335"/>
      <c r="Q404" s="430"/>
      <c r="R404" s="422"/>
    </row>
    <row r="405" spans="1:19" s="189" customFormat="1" ht="15.65">
      <c r="A405" s="1442"/>
      <c r="B405" s="1443" t="s">
        <v>58</v>
      </c>
      <c r="C405" s="1443" t="s">
        <v>849</v>
      </c>
      <c r="D405" s="1443" t="s">
        <v>440</v>
      </c>
      <c r="E405" s="1443" t="s">
        <v>438</v>
      </c>
      <c r="F405" s="1444"/>
      <c r="G405" s="1445" t="s">
        <v>157</v>
      </c>
      <c r="H405" s="1446"/>
      <c r="I405" s="1446"/>
      <c r="J405" s="1448" t="e">
        <f>+J407</f>
        <v>#REF!</v>
      </c>
      <c r="K405" s="1449">
        <f>+K407</f>
        <v>131250000</v>
      </c>
      <c r="L405" s="1449">
        <f>+L407</f>
        <v>175225797</v>
      </c>
      <c r="M405" s="1449">
        <f>+M407</f>
        <v>27892097</v>
      </c>
      <c r="N405" s="1449">
        <f>+M405+L405</f>
        <v>203117894</v>
      </c>
      <c r="O405" s="1449">
        <f t="shared" si="65"/>
        <v>71867894</v>
      </c>
      <c r="P405" s="1450">
        <f>N405/K405*100</f>
        <v>154.75649066666665</v>
      </c>
      <c r="Q405" s="1457"/>
      <c r="R405" s="422"/>
    </row>
    <row r="406" spans="1:19" s="189" customFormat="1">
      <c r="A406" s="1409"/>
      <c r="B406" s="1324"/>
      <c r="C406" s="1324"/>
      <c r="D406" s="1324"/>
      <c r="E406" s="1324"/>
      <c r="F406" s="1324"/>
      <c r="G406" s="1365"/>
      <c r="H406" s="1365"/>
      <c r="I406" s="1365"/>
      <c r="J406" s="757"/>
      <c r="K406" s="758"/>
      <c r="L406" s="758"/>
      <c r="M406" s="758"/>
      <c r="N406" s="758"/>
      <c r="O406" s="758"/>
      <c r="P406" s="690"/>
      <c r="Q406" s="782"/>
      <c r="R406" s="422"/>
    </row>
    <row r="407" spans="1:19" s="189" customFormat="1">
      <c r="A407" s="303"/>
      <c r="B407" s="290">
        <v>4</v>
      </c>
      <c r="C407" s="290">
        <v>1</v>
      </c>
      <c r="D407" s="290"/>
      <c r="E407" s="290"/>
      <c r="F407" s="290"/>
      <c r="G407" s="291" t="s">
        <v>180</v>
      </c>
      <c r="H407" s="291"/>
      <c r="I407" s="291"/>
      <c r="J407" s="387" t="e">
        <f>J409+#REF!</f>
        <v>#REF!</v>
      </c>
      <c r="K407" s="367">
        <f>K409+K417</f>
        <v>131250000</v>
      </c>
      <c r="L407" s="367">
        <f>L409+L417</f>
        <v>175225797</v>
      </c>
      <c r="M407" s="367">
        <f>M409+M417</f>
        <v>27892097</v>
      </c>
      <c r="N407" s="367">
        <f>M407+L407</f>
        <v>203117894</v>
      </c>
      <c r="O407" s="367">
        <f>N407-K407</f>
        <v>71867894</v>
      </c>
      <c r="P407" s="347">
        <f>N407/K407*100</f>
        <v>154.75649066666665</v>
      </c>
      <c r="Q407" s="454"/>
      <c r="R407" s="422"/>
    </row>
    <row r="408" spans="1:19" s="189" customFormat="1">
      <c r="A408" s="293"/>
      <c r="B408" s="292"/>
      <c r="C408" s="292"/>
      <c r="D408" s="292"/>
      <c r="E408" s="292"/>
      <c r="F408" s="292"/>
      <c r="G408" s="253"/>
      <c r="H408" s="253"/>
      <c r="I408" s="253"/>
      <c r="J408" s="387"/>
      <c r="K408" s="367"/>
      <c r="L408" s="367"/>
      <c r="M408" s="367"/>
      <c r="N408" s="367"/>
      <c r="O408" s="367"/>
      <c r="P408" s="347"/>
      <c r="Q408" s="454"/>
      <c r="R408" s="422"/>
    </row>
    <row r="409" spans="1:19" s="189" customFormat="1">
      <c r="A409" s="303"/>
      <c r="B409" s="290">
        <v>4</v>
      </c>
      <c r="C409" s="290">
        <v>1</v>
      </c>
      <c r="D409" s="290">
        <v>2</v>
      </c>
      <c r="E409" s="290"/>
      <c r="F409" s="290"/>
      <c r="G409" s="291" t="s">
        <v>106</v>
      </c>
      <c r="H409" s="291"/>
      <c r="I409" s="253"/>
      <c r="J409" s="387" t="e">
        <f>+J411</f>
        <v>#REF!</v>
      </c>
      <c r="K409" s="367">
        <f>+K411</f>
        <v>131250000</v>
      </c>
      <c r="L409" s="1066">
        <f>+L411</f>
        <v>43225000</v>
      </c>
      <c r="M409" s="367">
        <f>+M411</f>
        <v>1950000</v>
      </c>
      <c r="N409" s="367">
        <f>+N411</f>
        <v>45175000</v>
      </c>
      <c r="O409" s="367">
        <f>N409-K409</f>
        <v>-86075000</v>
      </c>
      <c r="P409" s="347">
        <f>N409/K409*100</f>
        <v>34.419047619047625</v>
      </c>
      <c r="Q409" s="454"/>
      <c r="R409" s="422"/>
    </row>
    <row r="410" spans="1:19" s="189" customFormat="1">
      <c r="A410" s="303"/>
      <c r="B410" s="292"/>
      <c r="C410" s="292"/>
      <c r="D410" s="292"/>
      <c r="E410" s="292"/>
      <c r="F410" s="292"/>
      <c r="G410" s="253"/>
      <c r="H410" s="253"/>
      <c r="I410" s="253"/>
      <c r="J410" s="354"/>
      <c r="K410" s="355"/>
      <c r="L410" s="360"/>
      <c r="M410" s="355"/>
      <c r="N410" s="355"/>
      <c r="O410" s="355"/>
      <c r="P410" s="388"/>
      <c r="Q410" s="441"/>
      <c r="R410" s="422"/>
    </row>
    <row r="411" spans="1:19" s="189" customFormat="1">
      <c r="A411" s="303"/>
      <c r="B411" s="292">
        <v>4</v>
      </c>
      <c r="C411" s="292">
        <v>1</v>
      </c>
      <c r="D411" s="292">
        <v>2</v>
      </c>
      <c r="E411" s="292" t="s">
        <v>438</v>
      </c>
      <c r="F411" s="292"/>
      <c r="G411" s="253" t="s">
        <v>109</v>
      </c>
      <c r="H411" s="253"/>
      <c r="I411" s="253"/>
      <c r="J411" s="370" t="e">
        <f>J412</f>
        <v>#REF!</v>
      </c>
      <c r="K411" s="371">
        <f>K412</f>
        <v>131250000</v>
      </c>
      <c r="L411" s="372">
        <f>L412</f>
        <v>43225000</v>
      </c>
      <c r="M411" s="371">
        <f>M412</f>
        <v>1950000</v>
      </c>
      <c r="N411" s="371">
        <f>N412</f>
        <v>45175000</v>
      </c>
      <c r="O411" s="367">
        <f>N411-K411</f>
        <v>-86075000</v>
      </c>
      <c r="P411" s="399">
        <f>N411/K411*100</f>
        <v>34.419047619047625</v>
      </c>
      <c r="Q411" s="441"/>
      <c r="R411" s="422"/>
    </row>
    <row r="412" spans="1:19" s="252" customFormat="1" ht="15.05">
      <c r="A412" s="294"/>
      <c r="B412" s="292">
        <v>4</v>
      </c>
      <c r="C412" s="292">
        <v>1</v>
      </c>
      <c r="D412" s="292">
        <v>2</v>
      </c>
      <c r="E412" s="292" t="s">
        <v>437</v>
      </c>
      <c r="F412" s="292" t="s">
        <v>437</v>
      </c>
      <c r="G412" s="253" t="s">
        <v>64</v>
      </c>
      <c r="H412" s="253"/>
      <c r="I412" s="253"/>
      <c r="J412" s="1451" t="e">
        <f>SUM(J413,J414,J415,J416,J420,J426,J427,#REF!,#REF!)</f>
        <v>#REF!</v>
      </c>
      <c r="K412" s="831">
        <f>SUM(K413:K415)</f>
        <v>131250000</v>
      </c>
      <c r="L412" s="831">
        <f>SUM(L413:L415)</f>
        <v>43225000</v>
      </c>
      <c r="M412" s="831">
        <f>SUM(M413:M415)</f>
        <v>1950000</v>
      </c>
      <c r="N412" s="1452">
        <f>M412+L412</f>
        <v>45175000</v>
      </c>
      <c r="O412" s="830">
        <f>N412-K412</f>
        <v>-86075000</v>
      </c>
      <c r="P412" s="1393">
        <f>N412/K412*100</f>
        <v>34.419047619047625</v>
      </c>
      <c r="Q412" s="438"/>
      <c r="R412" s="821"/>
      <c r="S412" s="822"/>
    </row>
    <row r="413" spans="1:19" s="252" customFormat="1">
      <c r="A413" s="293"/>
      <c r="B413" s="292"/>
      <c r="C413" s="292"/>
      <c r="D413" s="292"/>
      <c r="E413" s="292"/>
      <c r="F413" s="292"/>
      <c r="G413" s="253" t="s">
        <v>50</v>
      </c>
      <c r="H413" s="253" t="s">
        <v>503</v>
      </c>
      <c r="I413" s="1027"/>
      <c r="J413" s="354">
        <v>30000000</v>
      </c>
      <c r="K413" s="373">
        <f>'[55]TARGET VERSI LAMA'!$E$214</f>
        <v>30000000</v>
      </c>
      <c r="L413" s="360">
        <f>[56]PerDinas!$N$413</f>
        <v>22100000</v>
      </c>
      <c r="M413" s="373">
        <f>[55]Perdinas!$P$261</f>
        <v>1300000</v>
      </c>
      <c r="N413" s="355">
        <f>M413+L413</f>
        <v>23400000</v>
      </c>
      <c r="O413" s="355">
        <f>N413-K413</f>
        <v>-6600000</v>
      </c>
      <c r="P413" s="388">
        <f>N413/K413*100</f>
        <v>78</v>
      </c>
      <c r="Q413" s="441"/>
      <c r="R413" s="738"/>
    </row>
    <row r="414" spans="1:19" s="252" customFormat="1">
      <c r="A414" s="293"/>
      <c r="B414" s="292"/>
      <c r="C414" s="292"/>
      <c r="D414" s="292"/>
      <c r="E414" s="292"/>
      <c r="F414" s="292"/>
      <c r="G414" s="253" t="s">
        <v>50</v>
      </c>
      <c r="H414" s="253" t="s">
        <v>504</v>
      </c>
      <c r="I414" s="1027"/>
      <c r="J414" s="374">
        <v>20000000</v>
      </c>
      <c r="K414" s="376">
        <f>'[55]TARGET VERSI LAMA'!$E$215</f>
        <v>26250000</v>
      </c>
      <c r="L414" s="360">
        <f>[56]PerDinas!$N$414</f>
        <v>13650000</v>
      </c>
      <c r="M414" s="376">
        <f>[55]Perdinas!$P$262</f>
        <v>650000</v>
      </c>
      <c r="N414" s="355">
        <f>M414+L414</f>
        <v>14300000</v>
      </c>
      <c r="O414" s="355">
        <f>N414-K414</f>
        <v>-11950000</v>
      </c>
      <c r="P414" s="388">
        <f>N414/K414*100</f>
        <v>54.476190476190482</v>
      </c>
      <c r="Q414" s="448"/>
      <c r="R414" s="738"/>
    </row>
    <row r="415" spans="1:19" s="252" customFormat="1">
      <c r="A415" s="293"/>
      <c r="B415" s="292"/>
      <c r="C415" s="292"/>
      <c r="D415" s="292"/>
      <c r="E415" s="292"/>
      <c r="F415" s="292"/>
      <c r="G415" s="253" t="s">
        <v>50</v>
      </c>
      <c r="H415" s="253" t="s">
        <v>505</v>
      </c>
      <c r="I415" s="1027"/>
      <c r="J415" s="374">
        <v>75000000</v>
      </c>
      <c r="K415" s="375">
        <f>'[55]TARGET VERSI LAMA'!$E$216</f>
        <v>75000000</v>
      </c>
      <c r="L415" s="360">
        <f>[56]PerDinas!$N$415</f>
        <v>7475000</v>
      </c>
      <c r="M415" s="375">
        <f>[55]Perdinas!$P$263</f>
        <v>0</v>
      </c>
      <c r="N415" s="355">
        <f>M415+L415</f>
        <v>7475000</v>
      </c>
      <c r="O415" s="355">
        <f>N415-K415</f>
        <v>-67525000</v>
      </c>
      <c r="P415" s="388">
        <f>N415/K415*100</f>
        <v>9.9666666666666668</v>
      </c>
      <c r="Q415" s="448"/>
      <c r="R415" s="738"/>
    </row>
    <row r="416" spans="1:19" s="252" customFormat="1">
      <c r="A416" s="293"/>
      <c r="B416" s="292"/>
      <c r="C416" s="292"/>
      <c r="D416" s="292"/>
      <c r="E416" s="292"/>
      <c r="F416" s="292"/>
      <c r="G416" s="253"/>
      <c r="H416" s="253"/>
      <c r="I416" s="291"/>
      <c r="J416" s="397"/>
      <c r="K416" s="398"/>
      <c r="L416" s="398"/>
      <c r="M416" s="398"/>
      <c r="N416" s="371"/>
      <c r="O416" s="371"/>
      <c r="P416" s="388"/>
      <c r="Q416" s="448"/>
      <c r="R416" s="1458"/>
    </row>
    <row r="417" spans="1:18" s="252" customFormat="1">
      <c r="A417" s="293"/>
      <c r="B417" s="290">
        <v>4</v>
      </c>
      <c r="C417" s="290">
        <v>1</v>
      </c>
      <c r="D417" s="290">
        <v>4</v>
      </c>
      <c r="E417" s="290"/>
      <c r="F417" s="290"/>
      <c r="G417" s="291" t="s">
        <v>71</v>
      </c>
      <c r="H417" s="291"/>
      <c r="I417" s="291"/>
      <c r="J417" s="370">
        <f>J418+J423</f>
        <v>258360800</v>
      </c>
      <c r="K417" s="371">
        <f>K418+K423</f>
        <v>0</v>
      </c>
      <c r="L417" s="371">
        <f>L418+L423</f>
        <v>132000797</v>
      </c>
      <c r="M417" s="371">
        <f>M418+M423</f>
        <v>25942097</v>
      </c>
      <c r="N417" s="371">
        <f>M417+L417</f>
        <v>157942894</v>
      </c>
      <c r="O417" s="367">
        <f>N417-K417</f>
        <v>157942894</v>
      </c>
      <c r="P417" s="347" t="e">
        <f>N417/K417*100</f>
        <v>#DIV/0!</v>
      </c>
      <c r="Q417" s="651"/>
      <c r="R417" s="1458"/>
    </row>
    <row r="418" spans="1:18" s="252" customFormat="1">
      <c r="A418" s="293"/>
      <c r="B418" s="292">
        <v>4</v>
      </c>
      <c r="C418" s="292">
        <v>1</v>
      </c>
      <c r="D418" s="292">
        <v>4</v>
      </c>
      <c r="E418" s="292" t="s">
        <v>444</v>
      </c>
      <c r="F418" s="292"/>
      <c r="G418" s="253" t="s">
        <v>222</v>
      </c>
      <c r="H418" s="253"/>
      <c r="I418" s="253"/>
      <c r="J418" s="374">
        <f>SUM(J419:J421)</f>
        <v>0</v>
      </c>
      <c r="K418" s="375">
        <f>SUM(K419:K421)</f>
        <v>0</v>
      </c>
      <c r="L418" s="377">
        <f>SUM(L419:L421)</f>
        <v>42508197</v>
      </c>
      <c r="M418" s="375">
        <f>SUM(M419:M421)</f>
        <v>24487097</v>
      </c>
      <c r="N418" s="375">
        <f>SUM(N419:N421)</f>
        <v>66995294</v>
      </c>
      <c r="O418" s="346">
        <f>N418-K418</f>
        <v>66995294</v>
      </c>
      <c r="P418" s="347">
        <v>0</v>
      </c>
      <c r="Q418" s="448"/>
      <c r="R418" s="1458"/>
    </row>
    <row r="419" spans="1:18" s="252" customFormat="1">
      <c r="A419" s="293"/>
      <c r="B419" s="292">
        <v>4</v>
      </c>
      <c r="C419" s="292">
        <v>1</v>
      </c>
      <c r="D419" s="292">
        <v>4</v>
      </c>
      <c r="E419" s="292" t="s">
        <v>441</v>
      </c>
      <c r="F419" s="292" t="s">
        <v>437</v>
      </c>
      <c r="G419" s="253" t="s">
        <v>72</v>
      </c>
      <c r="H419" s="253"/>
      <c r="I419" s="253"/>
      <c r="J419" s="354">
        <v>0</v>
      </c>
      <c r="K419" s="355">
        <v>0</v>
      </c>
      <c r="L419" s="360">
        <f>[56]PerDinas!$N$418</f>
        <v>0</v>
      </c>
      <c r="M419" s="355">
        <f>[55]Perdinas!$P$201</f>
        <v>0</v>
      </c>
      <c r="N419" s="355">
        <f>M419+L419</f>
        <v>0</v>
      </c>
      <c r="O419" s="355">
        <f>N419-K419</f>
        <v>0</v>
      </c>
      <c r="P419" s="388"/>
      <c r="Q419" s="441"/>
      <c r="R419" s="1458"/>
    </row>
    <row r="420" spans="1:18" s="252" customFormat="1">
      <c r="A420" s="293"/>
      <c r="B420" s="292">
        <v>4</v>
      </c>
      <c r="C420" s="292">
        <v>1</v>
      </c>
      <c r="D420" s="292">
        <v>4</v>
      </c>
      <c r="E420" s="292" t="s">
        <v>444</v>
      </c>
      <c r="F420" s="292" t="s">
        <v>445</v>
      </c>
      <c r="G420" s="253" t="s">
        <v>74</v>
      </c>
      <c r="H420" s="253"/>
      <c r="I420" s="253"/>
      <c r="J420" s="354">
        <v>0</v>
      </c>
      <c r="K420" s="355">
        <v>0</v>
      </c>
      <c r="L420" s="360">
        <f>[56]PerDinas!$N$328</f>
        <v>0</v>
      </c>
      <c r="M420" s="355">
        <f>[55]Perdinas!$P$203</f>
        <v>0</v>
      </c>
      <c r="N420" s="355">
        <f>M420+L420</f>
        <v>0</v>
      </c>
      <c r="O420" s="355">
        <f>N420-K420</f>
        <v>0</v>
      </c>
      <c r="P420" s="388"/>
      <c r="Q420" s="441"/>
      <c r="R420" s="1459"/>
    </row>
    <row r="421" spans="1:18" s="252" customFormat="1">
      <c r="A421" s="293"/>
      <c r="B421" s="292">
        <v>4</v>
      </c>
      <c r="C421" s="292">
        <v>1</v>
      </c>
      <c r="D421" s="292">
        <v>4</v>
      </c>
      <c r="E421" s="292" t="s">
        <v>444</v>
      </c>
      <c r="F421" s="292" t="s">
        <v>441</v>
      </c>
      <c r="G421" s="253" t="s">
        <v>75</v>
      </c>
      <c r="H421" s="253"/>
      <c r="I421" s="253"/>
      <c r="J421" s="374">
        <v>0</v>
      </c>
      <c r="K421" s="376">
        <f>'[55]TARGET VERSI LAMA'!$E$158</f>
        <v>0</v>
      </c>
      <c r="L421" s="377">
        <f>[56]PerDinas!$N$421</f>
        <v>42508197</v>
      </c>
      <c r="M421" s="376">
        <f>[55]Perdinas!$P$269</f>
        <v>24487097</v>
      </c>
      <c r="N421" s="369">
        <f>M421+L421</f>
        <v>66995294</v>
      </c>
      <c r="O421" s="355">
        <f>N421-K421</f>
        <v>66995294</v>
      </c>
      <c r="P421" s="388"/>
      <c r="Q421" s="448"/>
      <c r="R421" s="1459"/>
    </row>
    <row r="422" spans="1:18" s="252" customFormat="1">
      <c r="A422" s="293"/>
      <c r="B422" s="292"/>
      <c r="C422" s="292"/>
      <c r="D422" s="292"/>
      <c r="E422" s="292"/>
      <c r="F422" s="292"/>
      <c r="G422" s="253"/>
      <c r="H422" s="253"/>
      <c r="I422" s="253"/>
      <c r="J422" s="374"/>
      <c r="K422" s="375"/>
      <c r="L422" s="377"/>
      <c r="M422" s="375"/>
      <c r="N422" s="355"/>
      <c r="O422" s="355"/>
      <c r="P422" s="388"/>
      <c r="Q422" s="448"/>
      <c r="R422" s="1459"/>
    </row>
    <row r="423" spans="1:18" s="252" customFormat="1">
      <c r="A423" s="293"/>
      <c r="B423" s="292">
        <v>4</v>
      </c>
      <c r="C423" s="292">
        <v>1</v>
      </c>
      <c r="D423" s="292">
        <v>4</v>
      </c>
      <c r="E423" s="292" t="s">
        <v>948</v>
      </c>
      <c r="F423" s="292"/>
      <c r="G423" s="253" t="s">
        <v>321</v>
      </c>
      <c r="H423" s="253"/>
      <c r="I423" s="253"/>
      <c r="J423" s="370">
        <f>+J424</f>
        <v>258360800</v>
      </c>
      <c r="K423" s="371">
        <f>SUM(K424:K426)</f>
        <v>0</v>
      </c>
      <c r="L423" s="371">
        <f>SUM(L424:L426)</f>
        <v>89492600</v>
      </c>
      <c r="M423" s="371">
        <f>SUM(M424:M426)</f>
        <v>1455000</v>
      </c>
      <c r="N423" s="367">
        <f>M423+L423</f>
        <v>90947600</v>
      </c>
      <c r="O423" s="367">
        <f>N423-K423</f>
        <v>90947600</v>
      </c>
      <c r="P423" s="347" t="e">
        <f>N423/K423*100</f>
        <v>#DIV/0!</v>
      </c>
      <c r="Q423" s="441"/>
      <c r="R423" s="1459"/>
    </row>
    <row r="424" spans="1:18" s="189" customFormat="1">
      <c r="A424" s="293"/>
      <c r="B424" s="292">
        <v>4</v>
      </c>
      <c r="C424" s="292">
        <v>1</v>
      </c>
      <c r="D424" s="292">
        <v>4</v>
      </c>
      <c r="E424" s="292" t="s">
        <v>948</v>
      </c>
      <c r="F424" s="292" t="s">
        <v>437</v>
      </c>
      <c r="G424" s="2760" t="s">
        <v>50</v>
      </c>
      <c r="H424" s="253" t="s">
        <v>85</v>
      </c>
      <c r="I424" s="253"/>
      <c r="J424" s="354">
        <f>SUM(J425:J427)</f>
        <v>258360800</v>
      </c>
      <c r="K424" s="373"/>
      <c r="L424" s="360"/>
      <c r="M424" s="373"/>
      <c r="N424" s="369"/>
      <c r="O424" s="355"/>
      <c r="P424" s="388"/>
      <c r="Q424" s="441"/>
      <c r="R424" s="1459"/>
    </row>
    <row r="425" spans="1:18" s="189" customFormat="1">
      <c r="A425" s="293"/>
      <c r="B425" s="292"/>
      <c r="C425" s="292"/>
      <c r="D425" s="292"/>
      <c r="E425" s="292"/>
      <c r="F425" s="292"/>
      <c r="G425" s="253" t="s">
        <v>50</v>
      </c>
      <c r="H425" s="1447" t="s">
        <v>145</v>
      </c>
      <c r="I425" s="747"/>
      <c r="J425" s="354">
        <v>15780000</v>
      </c>
      <c r="K425" s="373">
        <f>'[55]TARGET VERSI LAMA'!$E$288</f>
        <v>0</v>
      </c>
      <c r="L425" s="1194">
        <f>[56]PerDinas!$N$633</f>
        <v>89492600</v>
      </c>
      <c r="M425" s="375">
        <f>[55]Perdinas!$P$409</f>
        <v>1455000</v>
      </c>
      <c r="N425" s="355">
        <f>M425+L425</f>
        <v>90947600</v>
      </c>
      <c r="O425" s="355">
        <f>N425-K425</f>
        <v>90947600</v>
      </c>
      <c r="P425" s="388" t="e">
        <f>N425/K425*100</f>
        <v>#DIV/0!</v>
      </c>
      <c r="Q425" s="441"/>
      <c r="R425" s="1459"/>
    </row>
    <row r="426" spans="1:18" s="189" customFormat="1">
      <c r="A426" s="293"/>
      <c r="B426" s="292"/>
      <c r="C426" s="292"/>
      <c r="D426" s="292"/>
      <c r="E426" s="292"/>
      <c r="F426" s="292"/>
      <c r="G426" s="253" t="s">
        <v>50</v>
      </c>
      <c r="H426" s="253"/>
      <c r="I426" s="747"/>
      <c r="J426" s="748">
        <v>242580800</v>
      </c>
      <c r="K426" s="373"/>
      <c r="L426" s="360"/>
      <c r="M426" s="373"/>
      <c r="N426" s="355"/>
      <c r="O426" s="355"/>
      <c r="P426" s="388"/>
      <c r="Q426" s="441"/>
      <c r="R426" s="1459"/>
    </row>
    <row r="427" spans="1:18" s="189" customFormat="1">
      <c r="A427" s="654"/>
      <c r="B427" s="655"/>
      <c r="C427" s="655"/>
      <c r="D427" s="655"/>
      <c r="E427" s="655"/>
      <c r="F427" s="655"/>
      <c r="G427" s="656"/>
      <c r="H427" s="659"/>
      <c r="I427" s="656"/>
      <c r="J427" s="1453"/>
      <c r="K427" s="681"/>
      <c r="L427" s="681"/>
      <c r="M427" s="477"/>
      <c r="N427" s="529"/>
      <c r="O427" s="527"/>
      <c r="P427" s="671"/>
      <c r="Q427" s="1096"/>
      <c r="R427" s="1459"/>
    </row>
    <row r="428" spans="1:18" s="244" customFormat="1">
      <c r="A428" s="1383" t="s">
        <v>174</v>
      </c>
      <c r="B428" s="1378" t="s">
        <v>58</v>
      </c>
      <c r="C428" s="1378" t="s">
        <v>849</v>
      </c>
      <c r="D428" s="1378" t="s">
        <v>445</v>
      </c>
      <c r="E428" s="1378" t="s">
        <v>437</v>
      </c>
      <c r="F428" s="1378"/>
      <c r="G428" s="1379" t="s">
        <v>175</v>
      </c>
      <c r="H428" s="1379"/>
      <c r="I428" s="1379"/>
      <c r="J428" s="1396">
        <f>+J430</f>
        <v>1347785700</v>
      </c>
      <c r="K428" s="1397">
        <f>+K430</f>
        <v>0</v>
      </c>
      <c r="L428" s="1397">
        <f>+L430</f>
        <v>183498297</v>
      </c>
      <c r="M428" s="1397">
        <f>+M430</f>
        <v>41968368</v>
      </c>
      <c r="N428" s="1397">
        <f>+N430</f>
        <v>225466665</v>
      </c>
      <c r="O428" s="1397">
        <f>+N428-K428</f>
        <v>225466665</v>
      </c>
      <c r="P428" s="1398" t="e">
        <f>+N428/K428*100</f>
        <v>#DIV/0!</v>
      </c>
      <c r="Q428" s="1406"/>
      <c r="R428" s="639"/>
    </row>
    <row r="429" spans="1:18" s="189" customFormat="1">
      <c r="A429" s="1409"/>
      <c r="B429" s="1324"/>
      <c r="C429" s="1324"/>
      <c r="D429" s="1324"/>
      <c r="E429" s="1324"/>
      <c r="F429" s="1324"/>
      <c r="G429" s="1325"/>
      <c r="H429" s="1325"/>
      <c r="I429" s="1325"/>
      <c r="J429" s="1333"/>
      <c r="K429" s="677"/>
      <c r="L429" s="677"/>
      <c r="M429" s="677"/>
      <c r="N429" s="677"/>
      <c r="O429" s="677"/>
      <c r="P429" s="690"/>
      <c r="Q429" s="1460"/>
      <c r="R429" s="422"/>
    </row>
    <row r="430" spans="1:18" s="189" customFormat="1">
      <c r="A430" s="293"/>
      <c r="B430" s="290">
        <v>4</v>
      </c>
      <c r="C430" s="290">
        <v>1</v>
      </c>
      <c r="D430" s="290"/>
      <c r="E430" s="290"/>
      <c r="F430" s="290"/>
      <c r="G430" s="291" t="s">
        <v>180</v>
      </c>
      <c r="H430" s="291"/>
      <c r="I430" s="291"/>
      <c r="J430" s="387">
        <f>+J432+J436</f>
        <v>1347785700</v>
      </c>
      <c r="K430" s="367">
        <f>+K432+K436</f>
        <v>0</v>
      </c>
      <c r="L430" s="367">
        <f>L432+L436</f>
        <v>183498297</v>
      </c>
      <c r="M430" s="367">
        <f>+M432+M436</f>
        <v>41968368</v>
      </c>
      <c r="N430" s="367">
        <f>+M430+L430</f>
        <v>225466665</v>
      </c>
      <c r="O430" s="367">
        <f>N430-K430</f>
        <v>225466665</v>
      </c>
      <c r="P430" s="347" t="e">
        <f>N430/K430*100</f>
        <v>#DIV/0!</v>
      </c>
      <c r="Q430" s="824"/>
      <c r="R430" s="422"/>
    </row>
    <row r="431" spans="1:18" s="189" customFormat="1">
      <c r="A431" s="293"/>
      <c r="B431" s="292"/>
      <c r="C431" s="292"/>
      <c r="D431" s="292"/>
      <c r="E431" s="292"/>
      <c r="F431" s="292"/>
      <c r="G431" s="253"/>
      <c r="H431" s="253"/>
      <c r="I431" s="291"/>
      <c r="J431" s="345"/>
      <c r="K431" s="346"/>
      <c r="L431" s="346"/>
      <c r="M431" s="346"/>
      <c r="N431" s="346"/>
      <c r="O431" s="346"/>
      <c r="P431" s="347"/>
      <c r="Q431" s="824"/>
      <c r="R431" s="422"/>
    </row>
    <row r="432" spans="1:18" s="189" customFormat="1">
      <c r="A432" s="293"/>
      <c r="B432" s="290">
        <v>4</v>
      </c>
      <c r="C432" s="290">
        <v>1</v>
      </c>
      <c r="D432" s="290">
        <v>2</v>
      </c>
      <c r="E432" s="290"/>
      <c r="F432" s="290"/>
      <c r="G432" s="291" t="s">
        <v>106</v>
      </c>
      <c r="H432" s="291"/>
      <c r="I432" s="291"/>
      <c r="J432" s="387">
        <f t="shared" ref="J432:M433" si="66">+J433</f>
        <v>0</v>
      </c>
      <c r="K432" s="367">
        <f t="shared" si="66"/>
        <v>0</v>
      </c>
      <c r="L432" s="367">
        <f t="shared" si="66"/>
        <v>0</v>
      </c>
      <c r="M432" s="367">
        <f t="shared" si="66"/>
        <v>0</v>
      </c>
      <c r="N432" s="367">
        <f>+M432+L432</f>
        <v>0</v>
      </c>
      <c r="O432" s="367">
        <f>N432-K432</f>
        <v>0</v>
      </c>
      <c r="P432" s="347" t="e">
        <f>N432/K432*100</f>
        <v>#DIV/0!</v>
      </c>
      <c r="Q432" s="824"/>
      <c r="R432" s="422"/>
    </row>
    <row r="433" spans="1:19" s="189" customFormat="1">
      <c r="A433" s="293"/>
      <c r="B433" s="292">
        <v>4</v>
      </c>
      <c r="C433" s="292">
        <v>1</v>
      </c>
      <c r="D433" s="292">
        <v>2</v>
      </c>
      <c r="E433" s="292" t="s">
        <v>438</v>
      </c>
      <c r="F433" s="292"/>
      <c r="G433" s="253" t="s">
        <v>109</v>
      </c>
      <c r="H433" s="253"/>
      <c r="I433" s="291"/>
      <c r="J433" s="345">
        <f t="shared" si="66"/>
        <v>0</v>
      </c>
      <c r="K433" s="346">
        <f t="shared" si="66"/>
        <v>0</v>
      </c>
      <c r="L433" s="346">
        <f t="shared" si="66"/>
        <v>0</v>
      </c>
      <c r="M433" s="346">
        <f>+M434</f>
        <v>0</v>
      </c>
      <c r="N433" s="346">
        <f>+N434</f>
        <v>0</v>
      </c>
      <c r="O433" s="346">
        <f>N433-K433</f>
        <v>0</v>
      </c>
      <c r="P433" s="347" t="e">
        <f>N433/K433*100</f>
        <v>#DIV/0!</v>
      </c>
      <c r="Q433" s="824"/>
      <c r="R433" s="422"/>
    </row>
    <row r="434" spans="1:19" s="253" customFormat="1">
      <c r="A434" s="289"/>
      <c r="B434" s="292">
        <v>4</v>
      </c>
      <c r="C434" s="292">
        <v>1</v>
      </c>
      <c r="D434" s="292">
        <v>2</v>
      </c>
      <c r="E434" s="292" t="s">
        <v>438</v>
      </c>
      <c r="F434" s="292" t="s">
        <v>441</v>
      </c>
      <c r="G434" s="253" t="s">
        <v>64</v>
      </c>
      <c r="J434" s="354"/>
      <c r="K434" s="355"/>
      <c r="L434" s="355"/>
      <c r="M434" s="355">
        <v>0</v>
      </c>
      <c r="N434" s="355">
        <f>M434+L434</f>
        <v>0</v>
      </c>
      <c r="O434" s="355">
        <f>N434-K434</f>
        <v>0</v>
      </c>
      <c r="P434" s="388" t="e">
        <f>N434/K434*100</f>
        <v>#DIV/0!</v>
      </c>
      <c r="Q434" s="824"/>
      <c r="R434" s="842"/>
    </row>
    <row r="435" spans="1:19" s="253" customFormat="1">
      <c r="A435" s="293"/>
      <c r="B435" s="292"/>
      <c r="C435" s="292"/>
      <c r="D435" s="292"/>
      <c r="E435" s="292"/>
      <c r="F435" s="292"/>
      <c r="J435" s="354"/>
      <c r="K435" s="355"/>
      <c r="L435" s="355"/>
      <c r="M435" s="355"/>
      <c r="N435" s="355"/>
      <c r="O435" s="355"/>
      <c r="P435" s="388"/>
      <c r="Q435" s="824"/>
      <c r="R435" s="842"/>
    </row>
    <row r="436" spans="1:19" s="253" customFormat="1">
      <c r="A436" s="293"/>
      <c r="B436" s="290">
        <v>4</v>
      </c>
      <c r="C436" s="290">
        <v>1</v>
      </c>
      <c r="D436" s="290">
        <v>4</v>
      </c>
      <c r="E436" s="290"/>
      <c r="F436" s="290"/>
      <c r="G436" s="291" t="s">
        <v>71</v>
      </c>
      <c r="H436" s="291"/>
      <c r="I436" s="291"/>
      <c r="J436" s="370">
        <f>J437+J443</f>
        <v>1347785700</v>
      </c>
      <c r="K436" s="371">
        <f>K437+K443</f>
        <v>0</v>
      </c>
      <c r="L436" s="371">
        <f>L437+L443</f>
        <v>183498297</v>
      </c>
      <c r="M436" s="371">
        <f>M437+M443</f>
        <v>41968368</v>
      </c>
      <c r="N436" s="371">
        <f>N437+N443</f>
        <v>225466665</v>
      </c>
      <c r="O436" s="367">
        <f t="shared" ref="O436:O441" si="67">N436-K436</f>
        <v>225466665</v>
      </c>
      <c r="P436" s="347" t="e">
        <f>N436/K436*100</f>
        <v>#DIV/0!</v>
      </c>
      <c r="Q436" s="824"/>
      <c r="R436" s="842"/>
    </row>
    <row r="437" spans="1:19" s="253" customFormat="1" ht="15.05">
      <c r="A437" s="293"/>
      <c r="B437" s="292">
        <v>4</v>
      </c>
      <c r="C437" s="292">
        <v>1</v>
      </c>
      <c r="D437" s="292">
        <v>4</v>
      </c>
      <c r="E437" s="292" t="s">
        <v>444</v>
      </c>
      <c r="F437" s="292"/>
      <c r="G437" s="253" t="s">
        <v>222</v>
      </c>
      <c r="J437" s="370">
        <f>SUM(J438:J441)</f>
        <v>1340585700</v>
      </c>
      <c r="K437" s="830">
        <f>SUM(K438:K441)</f>
        <v>0</v>
      </c>
      <c r="L437" s="830">
        <f>SUM(L438:L441)</f>
        <v>180658397</v>
      </c>
      <c r="M437" s="830">
        <f>SUM(M438:M441)</f>
        <v>41968368</v>
      </c>
      <c r="N437" s="831">
        <f>+M437+L437</f>
        <v>222626765</v>
      </c>
      <c r="O437" s="831">
        <f t="shared" si="67"/>
        <v>222626765</v>
      </c>
      <c r="P437" s="832" t="e">
        <f>N437/K437*100</f>
        <v>#DIV/0!</v>
      </c>
      <c r="Q437" s="824"/>
      <c r="R437" s="842"/>
    </row>
    <row r="438" spans="1:19" s="253" customFormat="1">
      <c r="A438" s="293"/>
      <c r="B438" s="292">
        <v>4</v>
      </c>
      <c r="C438" s="292">
        <v>1</v>
      </c>
      <c r="D438" s="292">
        <v>4</v>
      </c>
      <c r="E438" s="292" t="s">
        <v>444</v>
      </c>
      <c r="F438" s="292" t="s">
        <v>438</v>
      </c>
      <c r="G438" s="253" t="s">
        <v>983</v>
      </c>
      <c r="J438" s="354">
        <v>0</v>
      </c>
      <c r="K438" s="355">
        <v>0</v>
      </c>
      <c r="L438" s="360"/>
      <c r="M438" s="355">
        <v>0</v>
      </c>
      <c r="N438" s="346">
        <f>+M438+L438</f>
        <v>0</v>
      </c>
      <c r="O438" s="346">
        <f t="shared" si="67"/>
        <v>0</v>
      </c>
      <c r="P438" s="347" t="e">
        <f>N438/K438*100</f>
        <v>#DIV/0!</v>
      </c>
      <c r="Q438" s="1461"/>
      <c r="R438" s="842"/>
    </row>
    <row r="439" spans="1:19" s="253" customFormat="1">
      <c r="A439" s="293"/>
      <c r="B439" s="292">
        <v>4</v>
      </c>
      <c r="C439" s="292">
        <v>1</v>
      </c>
      <c r="D439" s="292">
        <v>4</v>
      </c>
      <c r="E439" s="292" t="s">
        <v>444</v>
      </c>
      <c r="F439" s="292" t="s">
        <v>440</v>
      </c>
      <c r="G439" s="253" t="s">
        <v>73</v>
      </c>
      <c r="J439" s="354">
        <v>40585700</v>
      </c>
      <c r="K439" s="355"/>
      <c r="L439" s="360"/>
      <c r="M439" s="355">
        <v>0</v>
      </c>
      <c r="N439" s="355">
        <f>M439+L439</f>
        <v>0</v>
      </c>
      <c r="O439" s="355">
        <f t="shared" si="67"/>
        <v>0</v>
      </c>
      <c r="P439" s="388"/>
      <c r="Q439" s="824"/>
      <c r="R439" s="842"/>
    </row>
    <row r="440" spans="1:19" s="253" customFormat="1">
      <c r="A440" s="293"/>
      <c r="B440" s="292">
        <v>4</v>
      </c>
      <c r="C440" s="292">
        <v>1</v>
      </c>
      <c r="D440" s="292">
        <v>4</v>
      </c>
      <c r="E440" s="292" t="s">
        <v>444</v>
      </c>
      <c r="F440" s="292" t="s">
        <v>445</v>
      </c>
      <c r="G440" s="253" t="s">
        <v>74</v>
      </c>
      <c r="J440" s="354">
        <v>0</v>
      </c>
      <c r="K440" s="355">
        <v>0</v>
      </c>
      <c r="L440" s="360"/>
      <c r="M440" s="355">
        <v>0</v>
      </c>
      <c r="N440" s="355">
        <f>M440+L440</f>
        <v>0</v>
      </c>
      <c r="O440" s="355">
        <f t="shared" si="67"/>
        <v>0</v>
      </c>
      <c r="P440" s="388"/>
      <c r="Q440" s="824"/>
      <c r="R440" s="842"/>
    </row>
    <row r="441" spans="1:19" s="253" customFormat="1">
      <c r="A441" s="293"/>
      <c r="B441" s="292">
        <v>4</v>
      </c>
      <c r="C441" s="292">
        <v>1</v>
      </c>
      <c r="D441" s="292">
        <v>4</v>
      </c>
      <c r="E441" s="292" t="s">
        <v>444</v>
      </c>
      <c r="F441" s="292" t="s">
        <v>441</v>
      </c>
      <c r="G441" s="253" t="s">
        <v>75</v>
      </c>
      <c r="J441" s="354">
        <v>1300000000</v>
      </c>
      <c r="K441" s="355">
        <f>'[55]TARGET VERSI LAMA'!$E$289</f>
        <v>0</v>
      </c>
      <c r="L441" s="360">
        <f>[56]PerDinas!$N$494</f>
        <v>180658397</v>
      </c>
      <c r="M441" s="355">
        <f>[55]Perdinas!$P$425</f>
        <v>41968368</v>
      </c>
      <c r="N441" s="369">
        <f>M441+L441</f>
        <v>222626765</v>
      </c>
      <c r="O441" s="355">
        <f t="shared" si="67"/>
        <v>222626765</v>
      </c>
      <c r="P441" s="347" t="e">
        <f>N441/K441*100</f>
        <v>#DIV/0!</v>
      </c>
      <c r="Q441" s="824"/>
      <c r="R441" s="842"/>
    </row>
    <row r="442" spans="1:19" s="253" customFormat="1">
      <c r="A442" s="293"/>
      <c r="B442" s="292"/>
      <c r="C442" s="292"/>
      <c r="D442" s="292"/>
      <c r="E442" s="292"/>
      <c r="F442" s="292"/>
      <c r="J442" s="354"/>
      <c r="K442" s="355"/>
      <c r="L442" s="360"/>
      <c r="M442" s="355"/>
      <c r="N442" s="355"/>
      <c r="O442" s="355"/>
      <c r="P442" s="388"/>
      <c r="Q442" s="824"/>
      <c r="R442" s="842"/>
    </row>
    <row r="443" spans="1:19" s="253" customFormat="1">
      <c r="A443" s="303"/>
      <c r="B443" s="292">
        <v>4</v>
      </c>
      <c r="C443" s="292">
        <v>1</v>
      </c>
      <c r="D443" s="292">
        <v>4</v>
      </c>
      <c r="E443" s="292" t="s">
        <v>948</v>
      </c>
      <c r="F443" s="292"/>
      <c r="G443" s="253" t="s">
        <v>321</v>
      </c>
      <c r="J443" s="397">
        <f>+J444+J445</f>
        <v>7200000</v>
      </c>
      <c r="K443" s="398">
        <f>+K444+K445</f>
        <v>0</v>
      </c>
      <c r="L443" s="684">
        <f>+L444+L445</f>
        <v>2839900</v>
      </c>
      <c r="M443" s="398">
        <f>+M444+M445</f>
        <v>0</v>
      </c>
      <c r="N443" s="398">
        <f>+N444+N445</f>
        <v>2839900</v>
      </c>
      <c r="O443" s="398">
        <f>N443-K443</f>
        <v>2839900</v>
      </c>
      <c r="P443" s="347" t="e">
        <f>N443/K443*100</f>
        <v>#DIV/0!</v>
      </c>
      <c r="Q443" s="824"/>
      <c r="R443" s="842"/>
    </row>
    <row r="444" spans="1:19" s="253" customFormat="1">
      <c r="A444" s="303"/>
      <c r="B444" s="292">
        <v>4</v>
      </c>
      <c r="C444" s="292">
        <v>1</v>
      </c>
      <c r="D444" s="292">
        <v>4</v>
      </c>
      <c r="E444" s="292" t="s">
        <v>948</v>
      </c>
      <c r="F444" s="292" t="s">
        <v>437</v>
      </c>
      <c r="G444" s="253" t="s">
        <v>50</v>
      </c>
      <c r="I444" s="253" t="s">
        <v>76</v>
      </c>
      <c r="J444" s="374">
        <v>2200000</v>
      </c>
      <c r="K444" s="375"/>
      <c r="L444" s="377">
        <v>0</v>
      </c>
      <c r="M444" s="375">
        <v>0</v>
      </c>
      <c r="N444" s="355">
        <f>M444+L444</f>
        <v>0</v>
      </c>
      <c r="O444" s="355">
        <f>N444-K444</f>
        <v>0</v>
      </c>
      <c r="P444" s="347"/>
      <c r="Q444" s="824"/>
      <c r="R444" s="842"/>
    </row>
    <row r="445" spans="1:19" s="253" customFormat="1">
      <c r="A445" s="303"/>
      <c r="B445" s="292" t="s">
        <v>984</v>
      </c>
      <c r="C445" s="292" t="s">
        <v>984</v>
      </c>
      <c r="D445" s="292" t="s">
        <v>984</v>
      </c>
      <c r="E445" s="292" t="s">
        <v>984</v>
      </c>
      <c r="F445" s="292" t="s">
        <v>984</v>
      </c>
      <c r="G445" s="253" t="s">
        <v>50</v>
      </c>
      <c r="I445" s="253" t="s">
        <v>632</v>
      </c>
      <c r="J445" s="374">
        <v>5000000</v>
      </c>
      <c r="K445" s="375">
        <f>'[55]TARGET VERSI LAMA'!$E$290</f>
        <v>0</v>
      </c>
      <c r="L445" s="1231">
        <f>[56]PerDinas!$N$608</f>
        <v>2839900</v>
      </c>
      <c r="M445" s="375">
        <f>[55]Perdinas!$P$384</f>
        <v>0</v>
      </c>
      <c r="N445" s="369">
        <f>M445+L445</f>
        <v>2839900</v>
      </c>
      <c r="O445" s="355">
        <f>N445-K445</f>
        <v>2839900</v>
      </c>
      <c r="P445" s="347" t="e">
        <f>N445/K445*100</f>
        <v>#DIV/0!</v>
      </c>
      <c r="Q445" s="824"/>
      <c r="R445" s="842"/>
    </row>
    <row r="446" spans="1:19" s="245" customFormat="1">
      <c r="A446" s="654"/>
      <c r="B446" s="655"/>
      <c r="C446" s="655"/>
      <c r="D446" s="655"/>
      <c r="E446" s="655"/>
      <c r="F446" s="655"/>
      <c r="G446" s="656"/>
      <c r="H446" s="656"/>
      <c r="I446" s="656"/>
      <c r="J446" s="526"/>
      <c r="K446" s="527"/>
      <c r="L446" s="670"/>
      <c r="M446" s="527"/>
      <c r="N446" s="527">
        <f>M446+L446</f>
        <v>0</v>
      </c>
      <c r="O446" s="527"/>
      <c r="P446" s="671"/>
      <c r="Q446" s="1462"/>
      <c r="R446" s="450"/>
    </row>
    <row r="447" spans="1:19" s="244" customFormat="1">
      <c r="A447" s="1383" t="s">
        <v>176</v>
      </c>
      <c r="B447" s="1378" t="s">
        <v>58</v>
      </c>
      <c r="C447" s="1378" t="s">
        <v>849</v>
      </c>
      <c r="D447" s="1378" t="s">
        <v>451</v>
      </c>
      <c r="E447" s="1378" t="s">
        <v>437</v>
      </c>
      <c r="F447" s="1441"/>
      <c r="G447" s="1379" t="s">
        <v>985</v>
      </c>
      <c r="H447" s="1379"/>
      <c r="I447" s="1379"/>
      <c r="J447" s="1379"/>
      <c r="K447" s="1454">
        <f>K449</f>
        <v>249251169969</v>
      </c>
      <c r="L447" s="1455">
        <f>L449</f>
        <v>97189859052.399994</v>
      </c>
      <c r="M447" s="1456">
        <f>M449</f>
        <v>61694627030</v>
      </c>
      <c r="N447" s="1397">
        <f>+M447+L447</f>
        <v>158884486082.39999</v>
      </c>
      <c r="O447" s="1397">
        <f t="shared" ref="O447:O454" si="68">N447-K447</f>
        <v>-90366683886.600006</v>
      </c>
      <c r="P447" s="1398">
        <f t="shared" ref="P447:P454" si="69">N447/K447*100</f>
        <v>63.744730306445852</v>
      </c>
      <c r="Q447" s="1406"/>
      <c r="R447" s="788">
        <v>10639163552</v>
      </c>
      <c r="S447" s="1463">
        <f>R447-N447</f>
        <v>-148245322530.39999</v>
      </c>
    </row>
    <row r="448" spans="1:19" s="189" customFormat="1">
      <c r="A448" s="1409"/>
      <c r="B448" s="1324"/>
      <c r="C448" s="1324"/>
      <c r="D448" s="1324"/>
      <c r="E448" s="1324"/>
      <c r="F448" s="1324"/>
      <c r="G448" s="1365"/>
      <c r="H448" s="1365"/>
      <c r="I448" s="1365"/>
      <c r="J448" s="628"/>
      <c r="K448" s="497"/>
      <c r="L448" s="497"/>
      <c r="M448" s="497"/>
      <c r="N448" s="497"/>
      <c r="O448" s="497"/>
      <c r="P448" s="498"/>
      <c r="Q448" s="787"/>
      <c r="R448" s="422"/>
    </row>
    <row r="449" spans="1:18" s="189" customFormat="1">
      <c r="A449" s="303"/>
      <c r="B449" s="290">
        <v>4</v>
      </c>
      <c r="C449" s="290">
        <v>1</v>
      </c>
      <c r="D449" s="290"/>
      <c r="E449" s="290"/>
      <c r="F449" s="290"/>
      <c r="G449" s="291" t="s">
        <v>180</v>
      </c>
      <c r="H449" s="291"/>
      <c r="I449" s="291"/>
      <c r="J449" s="370">
        <f>J451+J469+J481</f>
        <v>77891339800</v>
      </c>
      <c r="K449" s="371">
        <f>K451+K469+K480</f>
        <v>249251169969</v>
      </c>
      <c r="L449" s="371">
        <f>L451+L469+L480</f>
        <v>97189859052.399994</v>
      </c>
      <c r="M449" s="371">
        <f>M451+M469+M480</f>
        <v>61694627030</v>
      </c>
      <c r="N449" s="371">
        <f>M449+L449</f>
        <v>158884486082.39999</v>
      </c>
      <c r="O449" s="367">
        <f t="shared" si="68"/>
        <v>-90366683886.600006</v>
      </c>
      <c r="P449" s="347">
        <f t="shared" si="69"/>
        <v>63.744730306445852</v>
      </c>
      <c r="Q449" s="651"/>
      <c r="R449" s="422"/>
    </row>
    <row r="450" spans="1:18" s="189" customFormat="1">
      <c r="A450" s="303"/>
      <c r="B450" s="290"/>
      <c r="C450" s="290"/>
      <c r="D450" s="290"/>
      <c r="E450" s="290"/>
      <c r="F450" s="290"/>
      <c r="G450" s="291"/>
      <c r="H450" s="291"/>
      <c r="I450" s="291"/>
      <c r="J450" s="370"/>
      <c r="K450" s="371"/>
      <c r="L450" s="371"/>
      <c r="M450" s="371"/>
      <c r="N450" s="367"/>
      <c r="O450" s="367"/>
      <c r="P450" s="347"/>
      <c r="Q450" s="651"/>
      <c r="R450" s="422"/>
    </row>
    <row r="451" spans="1:18" s="189" customFormat="1">
      <c r="A451" s="293"/>
      <c r="B451" s="290">
        <v>4</v>
      </c>
      <c r="C451" s="290">
        <v>1</v>
      </c>
      <c r="D451" s="290">
        <v>2</v>
      </c>
      <c r="E451" s="290"/>
      <c r="F451" s="290"/>
      <c r="G451" s="291" t="s">
        <v>106</v>
      </c>
      <c r="H451" s="291"/>
      <c r="I451" s="291"/>
      <c r="J451" s="387">
        <f t="shared" ref="J451:M452" si="70">+J452</f>
        <v>0</v>
      </c>
      <c r="K451" s="367">
        <f t="shared" si="70"/>
        <v>2235631500</v>
      </c>
      <c r="L451" s="367">
        <f t="shared" si="70"/>
        <v>1780362282</v>
      </c>
      <c r="M451" s="367">
        <f t="shared" si="70"/>
        <v>193839041</v>
      </c>
      <c r="N451" s="367">
        <f>+M451+L451</f>
        <v>1974201323</v>
      </c>
      <c r="O451" s="367">
        <f t="shared" si="68"/>
        <v>-261430177</v>
      </c>
      <c r="P451" s="347">
        <f t="shared" si="69"/>
        <v>88.306204443800326</v>
      </c>
      <c r="Q451" s="454"/>
      <c r="R451" s="422"/>
    </row>
    <row r="452" spans="1:18" s="190" customFormat="1">
      <c r="A452" s="293"/>
      <c r="B452" s="290">
        <v>4</v>
      </c>
      <c r="C452" s="290">
        <v>1</v>
      </c>
      <c r="D452" s="290">
        <v>2</v>
      </c>
      <c r="E452" s="290" t="s">
        <v>438</v>
      </c>
      <c r="F452" s="290"/>
      <c r="G452" s="291" t="s">
        <v>109</v>
      </c>
      <c r="H452" s="291"/>
      <c r="I452" s="291"/>
      <c r="J452" s="387">
        <f t="shared" si="70"/>
        <v>0</v>
      </c>
      <c r="K452" s="367">
        <f t="shared" si="70"/>
        <v>2235631500</v>
      </c>
      <c r="L452" s="367">
        <f t="shared" si="70"/>
        <v>1780362282</v>
      </c>
      <c r="M452" s="367">
        <f t="shared" si="70"/>
        <v>193839041</v>
      </c>
      <c r="N452" s="367">
        <f>+N453</f>
        <v>1974201323</v>
      </c>
      <c r="O452" s="367">
        <f t="shared" si="68"/>
        <v>-261430177</v>
      </c>
      <c r="P452" s="399">
        <f t="shared" si="69"/>
        <v>88.306204443800326</v>
      </c>
      <c r="Q452" s="454"/>
      <c r="R452" s="446"/>
    </row>
    <row r="453" spans="1:18" s="1318" customFormat="1" ht="18.8" customHeight="1">
      <c r="A453" s="1464"/>
      <c r="B453" s="1465">
        <v>4</v>
      </c>
      <c r="C453" s="1465">
        <v>1</v>
      </c>
      <c r="D453" s="1465">
        <v>2</v>
      </c>
      <c r="E453" s="1465" t="s">
        <v>437</v>
      </c>
      <c r="F453" s="1465" t="s">
        <v>441</v>
      </c>
      <c r="G453" s="1466" t="s">
        <v>986</v>
      </c>
      <c r="H453" s="1466"/>
      <c r="I453" s="1466"/>
      <c r="J453" s="1468">
        <v>0</v>
      </c>
      <c r="K453" s="1469">
        <f>SUM(K454:K467)-K458-K454</f>
        <v>2235631500</v>
      </c>
      <c r="L453" s="1469">
        <f>SUM(L454:L467)-L458-L454</f>
        <v>1780362282</v>
      </c>
      <c r="M453" s="1469">
        <f>SUM(M454:M467)-M458-M454</f>
        <v>193839041</v>
      </c>
      <c r="N453" s="1470">
        <f t="shared" ref="N453:N467" si="71">M453+L453</f>
        <v>1974201323</v>
      </c>
      <c r="O453" s="1469">
        <f t="shared" si="68"/>
        <v>-261430177</v>
      </c>
      <c r="P453" s="1471">
        <f t="shared" si="69"/>
        <v>88.306204443800326</v>
      </c>
      <c r="Q453" s="1474"/>
      <c r="R453" s="1475"/>
    </row>
    <row r="454" spans="1:18" s="190" customFormat="1" ht="15.05">
      <c r="A454" s="293"/>
      <c r="B454" s="707"/>
      <c r="C454" s="707"/>
      <c r="D454" s="707"/>
      <c r="E454" s="707"/>
      <c r="F454" s="707"/>
      <c r="G454" s="288" t="s">
        <v>50</v>
      </c>
      <c r="H454" s="288" t="s">
        <v>518</v>
      </c>
      <c r="I454" s="288"/>
      <c r="J454" s="1472" t="e">
        <f>SUM(J455:J457)</f>
        <v>#REF!</v>
      </c>
      <c r="K454" s="1269">
        <f>SUM(K455:K457)</f>
        <v>2075381500</v>
      </c>
      <c r="L454" s="1269">
        <f>SUM(L455:L457)</f>
        <v>1752626937</v>
      </c>
      <c r="M454" s="1269">
        <f>SUM(M455:M457)</f>
        <v>193839041</v>
      </c>
      <c r="N454" s="1270">
        <f t="shared" si="71"/>
        <v>1946465978</v>
      </c>
      <c r="O454" s="1271">
        <f t="shared" si="68"/>
        <v>-128915522</v>
      </c>
      <c r="P454" s="455">
        <f t="shared" si="69"/>
        <v>93.788345805337485</v>
      </c>
      <c r="Q454" s="651"/>
      <c r="R454" s="446"/>
    </row>
    <row r="455" spans="1:18" s="189" customFormat="1">
      <c r="A455" s="293"/>
      <c r="B455" s="292"/>
      <c r="C455" s="292"/>
      <c r="D455" s="292"/>
      <c r="E455" s="292"/>
      <c r="F455" s="292"/>
      <c r="G455" s="253"/>
      <c r="H455" s="2771" t="s">
        <v>519</v>
      </c>
      <c r="I455" s="826"/>
      <c r="J455" s="1272" t="e">
        <f>'[55]TARGET MURNI DAN PERUBAHAN'!#REF!</f>
        <v>#REF!</v>
      </c>
      <c r="K455" s="1273">
        <f>'[55]TARGET VERSI LAMA'!$E$301</f>
        <v>1043101100</v>
      </c>
      <c r="L455" s="355">
        <f>[56]PerDinas!$N$508</f>
        <v>702699711</v>
      </c>
      <c r="M455" s="355">
        <f>[55]Perdinas!$P$278</f>
        <v>77184905</v>
      </c>
      <c r="N455" s="359">
        <f t="shared" si="71"/>
        <v>779884616</v>
      </c>
      <c r="O455" s="355">
        <f t="shared" ref="O455:O467" si="72">N455-K455</f>
        <v>-263216484</v>
      </c>
      <c r="P455" s="441"/>
      <c r="Q455" s="441"/>
      <c r="R455" s="555"/>
    </row>
    <row r="456" spans="1:18" s="189" customFormat="1">
      <c r="A456" s="293"/>
      <c r="B456" s="292"/>
      <c r="C456" s="292"/>
      <c r="D456" s="292"/>
      <c r="E456" s="290"/>
      <c r="F456" s="292"/>
      <c r="G456" s="253"/>
      <c r="H456" s="2771" t="s">
        <v>520</v>
      </c>
      <c r="I456" s="826"/>
      <c r="J456" s="1272" t="e">
        <f>'[55]TARGET MURNI DAN PERUBAHAN'!#REF!</f>
        <v>#REF!</v>
      </c>
      <c r="K456" s="1273">
        <f>'[55]TARGET VERSI LAMA'!$E$302</f>
        <v>532280400</v>
      </c>
      <c r="L456" s="355">
        <f>[56]PerDinas!$N$509</f>
        <v>107541073</v>
      </c>
      <c r="M456" s="355">
        <f>[55]Perdinas!$P$279</f>
        <v>23278601</v>
      </c>
      <c r="N456" s="359">
        <f t="shared" si="71"/>
        <v>130819674</v>
      </c>
      <c r="O456" s="355">
        <f t="shared" si="72"/>
        <v>-401460726</v>
      </c>
      <c r="P456" s="441"/>
      <c r="Q456" s="441"/>
      <c r="R456" s="422"/>
    </row>
    <row r="457" spans="1:18" s="189" customFormat="1">
      <c r="A457" s="293"/>
      <c r="B457" s="292"/>
      <c r="C457" s="292"/>
      <c r="D457" s="292"/>
      <c r="E457" s="292"/>
      <c r="F457" s="292"/>
      <c r="G457" s="253"/>
      <c r="H457" s="2771" t="s">
        <v>521</v>
      </c>
      <c r="I457" s="826"/>
      <c r="J457" s="1272" t="e">
        <f>'[55]TARGET MURNI DAN PERUBAHAN'!#REF!</f>
        <v>#REF!</v>
      </c>
      <c r="K457" s="1273">
        <f>'[55]TARGET VERSI LAMA'!$E$303</f>
        <v>500000000</v>
      </c>
      <c r="L457" s="355">
        <f>[56]PerDinas!$N$510</f>
        <v>942386153</v>
      </c>
      <c r="M457" s="355">
        <f>[55]Perdinas!$P$280</f>
        <v>93375535</v>
      </c>
      <c r="N457" s="359">
        <f t="shared" si="71"/>
        <v>1035761688</v>
      </c>
      <c r="O457" s="355">
        <f t="shared" si="72"/>
        <v>535761688</v>
      </c>
      <c r="P457" s="441"/>
      <c r="Q457" s="441"/>
      <c r="R457" s="422"/>
    </row>
    <row r="458" spans="1:18" s="189" customFormat="1">
      <c r="A458" s="293"/>
      <c r="B458" s="292"/>
      <c r="C458" s="292"/>
      <c r="D458" s="292"/>
      <c r="E458" s="290"/>
      <c r="F458" s="292"/>
      <c r="G458" s="253" t="s">
        <v>50</v>
      </c>
      <c r="H458" s="202" t="s">
        <v>522</v>
      </c>
      <c r="I458" s="200"/>
      <c r="J458" s="355" t="e">
        <f>SUM(J459:J466)</f>
        <v>#REF!</v>
      </c>
      <c r="K458" s="1274">
        <f>SUM(K459:K467)</f>
        <v>160250000</v>
      </c>
      <c r="L458" s="1274">
        <f>SUM(L459:L467)</f>
        <v>27735345</v>
      </c>
      <c r="M458" s="1274">
        <f>SUM(M459:M467)</f>
        <v>0</v>
      </c>
      <c r="N458" s="369">
        <f t="shared" si="71"/>
        <v>27735345</v>
      </c>
      <c r="O458" s="355">
        <f t="shared" si="72"/>
        <v>-132514655</v>
      </c>
      <c r="P458" s="651"/>
      <c r="Q458" s="441"/>
      <c r="R458" s="422"/>
    </row>
    <row r="459" spans="1:18" s="189" customFormat="1">
      <c r="A459" s="293"/>
      <c r="B459" s="292"/>
      <c r="C459" s="292"/>
      <c r="D459" s="292"/>
      <c r="E459" s="292"/>
      <c r="F459" s="292"/>
      <c r="G459" s="253"/>
      <c r="H459" s="2771" t="s">
        <v>758</v>
      </c>
      <c r="I459" s="826"/>
      <c r="J459" s="1272" t="e">
        <f>'[55]TARGET MURNI DAN PERUBAHAN'!#REF!</f>
        <v>#REF!</v>
      </c>
      <c r="K459" s="1273">
        <f>'[55]TARGET VERSI LAMA'!$E$305</f>
        <v>35000000</v>
      </c>
      <c r="L459" s="355">
        <f>[56]PerDinas!$N$512</f>
        <v>0</v>
      </c>
      <c r="M459" s="355">
        <f>[55]Perdinas!$P$282</f>
        <v>0</v>
      </c>
      <c r="N459" s="369">
        <f t="shared" si="71"/>
        <v>0</v>
      </c>
      <c r="O459" s="355">
        <f t="shared" si="72"/>
        <v>-35000000</v>
      </c>
      <c r="P459" s="441"/>
      <c r="Q459" s="441"/>
      <c r="R459" s="422"/>
    </row>
    <row r="460" spans="1:18" s="189" customFormat="1">
      <c r="A460" s="293"/>
      <c r="B460" s="292"/>
      <c r="C460" s="292"/>
      <c r="D460" s="292"/>
      <c r="E460" s="290"/>
      <c r="F460" s="292"/>
      <c r="G460" s="253"/>
      <c r="H460" s="2771" t="s">
        <v>759</v>
      </c>
      <c r="I460" s="826"/>
      <c r="J460" s="1272" t="e">
        <f>'[55]TARGET MURNI DAN PERUBAHAN'!#REF!</f>
        <v>#REF!</v>
      </c>
      <c r="K460" s="1273">
        <f>'[55]TARGET VERSI LAMA'!$E$306</f>
        <v>28000000</v>
      </c>
      <c r="L460" s="355">
        <f>[56]PerDinas!$N$513</f>
        <v>0</v>
      </c>
      <c r="M460" s="355">
        <f>[55]Perdinas!$P$283</f>
        <v>0</v>
      </c>
      <c r="N460" s="369">
        <f t="shared" si="71"/>
        <v>0</v>
      </c>
      <c r="O460" s="355">
        <f t="shared" si="72"/>
        <v>-28000000</v>
      </c>
      <c r="P460" s="441"/>
      <c r="Q460" s="441"/>
      <c r="R460" s="422"/>
    </row>
    <row r="461" spans="1:18" s="189" customFormat="1">
      <c r="A461" s="293"/>
      <c r="B461" s="292"/>
      <c r="C461" s="292"/>
      <c r="D461" s="292"/>
      <c r="E461" s="292"/>
      <c r="F461" s="292"/>
      <c r="G461" s="253"/>
      <c r="H461" s="2771" t="s">
        <v>760</v>
      </c>
      <c r="I461" s="826"/>
      <c r="J461" s="1272" t="e">
        <f>'[55]TARGET MURNI DAN PERUBAHAN'!#REF!</f>
        <v>#REF!</v>
      </c>
      <c r="K461" s="1273">
        <f>'[55]TARGET VERSI LAMA'!$E$307</f>
        <v>17250000</v>
      </c>
      <c r="L461" s="355">
        <f>[56]PerDinas!$N$514</f>
        <v>0</v>
      </c>
      <c r="M461" s="355">
        <f>[55]Perdinas!$P$284</f>
        <v>0</v>
      </c>
      <c r="N461" s="369">
        <f t="shared" si="71"/>
        <v>0</v>
      </c>
      <c r="O461" s="355">
        <f t="shared" si="72"/>
        <v>-17250000</v>
      </c>
      <c r="P461" s="441"/>
      <c r="Q461" s="441"/>
      <c r="R461" s="422"/>
    </row>
    <row r="462" spans="1:18" s="189" customFormat="1">
      <c r="A462" s="293"/>
      <c r="B462" s="292"/>
      <c r="C462" s="292"/>
      <c r="D462" s="292"/>
      <c r="E462" s="290"/>
      <c r="F462" s="292"/>
      <c r="G462" s="291"/>
      <c r="H462" s="2771" t="s">
        <v>761</v>
      </c>
      <c r="I462" s="826"/>
      <c r="J462" s="1272" t="e">
        <f>'[55]TARGET MURNI DAN PERUBAHAN'!#REF!</f>
        <v>#REF!</v>
      </c>
      <c r="K462" s="1273">
        <f>'[55]TARGET VERSI LAMA'!$E$308</f>
        <v>30000000</v>
      </c>
      <c r="L462" s="355">
        <f>[56]PerDinas!$N$515</f>
        <v>0</v>
      </c>
      <c r="M462" s="355">
        <f>[55]Perdinas!$P$285</f>
        <v>0</v>
      </c>
      <c r="N462" s="369">
        <f t="shared" si="71"/>
        <v>0</v>
      </c>
      <c r="O462" s="355">
        <f t="shared" si="72"/>
        <v>-30000000</v>
      </c>
      <c r="P462" s="441"/>
      <c r="Q462" s="441"/>
      <c r="R462" s="422"/>
    </row>
    <row r="463" spans="1:18" s="189" customFormat="1">
      <c r="A463" s="293"/>
      <c r="B463" s="292"/>
      <c r="C463" s="292"/>
      <c r="D463" s="292"/>
      <c r="E463" s="292"/>
      <c r="F463" s="292"/>
      <c r="G463" s="291"/>
      <c r="H463" s="2771" t="s">
        <v>762</v>
      </c>
      <c r="I463" s="826"/>
      <c r="J463" s="1272" t="e">
        <f>'[55]TARGET MURNI DAN PERUBAHAN'!#REF!</f>
        <v>#REF!</v>
      </c>
      <c r="K463" s="1273">
        <f>'[55]TARGET VERSI LAMA'!$E$309</f>
        <v>50000000</v>
      </c>
      <c r="L463" s="355">
        <f>[56]PerDinas!$N$516</f>
        <v>0</v>
      </c>
      <c r="M463" s="355">
        <f>[55]Perdinas!$P$286</f>
        <v>0</v>
      </c>
      <c r="N463" s="369">
        <f t="shared" si="71"/>
        <v>0</v>
      </c>
      <c r="O463" s="355">
        <f t="shared" si="72"/>
        <v>-50000000</v>
      </c>
      <c r="P463" s="441"/>
      <c r="Q463" s="441"/>
      <c r="R463" s="555"/>
    </row>
    <row r="464" spans="1:18" s="189" customFormat="1">
      <c r="A464" s="293"/>
      <c r="B464" s="292"/>
      <c r="C464" s="292"/>
      <c r="D464" s="292"/>
      <c r="E464" s="290"/>
      <c r="F464" s="292"/>
      <c r="G464" s="253"/>
      <c r="H464" s="2772" t="s">
        <v>763</v>
      </c>
      <c r="I464" s="847"/>
      <c r="J464" s="1272" t="e">
        <f>'[55]TARGET MURNI DAN PERUBAHAN'!#REF!</f>
        <v>#REF!</v>
      </c>
      <c r="K464" s="1273">
        <f>'[55]TARGET VERSI LAMA'!$E$310</f>
        <v>0</v>
      </c>
      <c r="L464" s="355">
        <f>[56]PerDinas!$N$517</f>
        <v>27735345</v>
      </c>
      <c r="M464" s="355">
        <f>[55]Perdinas!$P$287</f>
        <v>0</v>
      </c>
      <c r="N464" s="369">
        <f t="shared" si="71"/>
        <v>27735345</v>
      </c>
      <c r="O464" s="355">
        <f t="shared" si="72"/>
        <v>27735345</v>
      </c>
      <c r="P464" s="441"/>
      <c r="Q464" s="441"/>
      <c r="R464" s="431"/>
    </row>
    <row r="465" spans="1:18" s="189" customFormat="1">
      <c r="A465" s="293"/>
      <c r="B465" s="292"/>
      <c r="C465" s="292"/>
      <c r="D465" s="292"/>
      <c r="E465" s="292"/>
      <c r="F465" s="292"/>
      <c r="G465" s="253"/>
      <c r="H465" s="2772" t="s">
        <v>764</v>
      </c>
      <c r="I465" s="847"/>
      <c r="J465" s="1272" t="e">
        <f>'[55]TARGET MURNI DAN PERUBAHAN'!#REF!</f>
        <v>#REF!</v>
      </c>
      <c r="K465" s="1273">
        <f>'[55]TARGET VERSI LAMA'!$E$311</f>
        <v>0</v>
      </c>
      <c r="L465" s="355">
        <f>[56]PerDinas!$N$518</f>
        <v>0</v>
      </c>
      <c r="M465" s="355">
        <f>[55]Perdinas!$P$288</f>
        <v>0</v>
      </c>
      <c r="N465" s="369">
        <f t="shared" si="71"/>
        <v>0</v>
      </c>
      <c r="O465" s="355">
        <f t="shared" si="72"/>
        <v>0</v>
      </c>
      <c r="P465" s="441"/>
      <c r="Q465" s="441"/>
      <c r="R465" s="431"/>
    </row>
    <row r="466" spans="1:18" s="189" customFormat="1">
      <c r="A466" s="293"/>
      <c r="B466" s="292"/>
      <c r="C466" s="292"/>
      <c r="D466" s="292"/>
      <c r="E466" s="290"/>
      <c r="F466" s="292"/>
      <c r="G466" s="253"/>
      <c r="H466" s="2772" t="s">
        <v>765</v>
      </c>
      <c r="I466" s="847"/>
      <c r="J466" s="1272" t="e">
        <f>'[55]TARGET MURNI DAN PERUBAHAN'!#REF!</f>
        <v>#REF!</v>
      </c>
      <c r="K466" s="1273">
        <f>'[55]TARGET VERSI LAMA'!$E$312</f>
        <v>0</v>
      </c>
      <c r="L466" s="355">
        <f>[56]PerDinas!$N$519</f>
        <v>0</v>
      </c>
      <c r="M466" s="355">
        <f>[55]Perdinas!$P$289</f>
        <v>0</v>
      </c>
      <c r="N466" s="369">
        <f t="shared" si="71"/>
        <v>0</v>
      </c>
      <c r="O466" s="355">
        <f t="shared" si="72"/>
        <v>0</v>
      </c>
      <c r="P466" s="441"/>
      <c r="Q466" s="441"/>
      <c r="R466" s="422"/>
    </row>
    <row r="467" spans="1:18" s="189" customFormat="1">
      <c r="A467" s="293"/>
      <c r="B467" s="292"/>
      <c r="C467" s="292"/>
      <c r="D467" s="292"/>
      <c r="E467" s="292"/>
      <c r="F467" s="292"/>
      <c r="G467" s="2761" t="s">
        <v>50</v>
      </c>
      <c r="H467" s="202" t="s">
        <v>766</v>
      </c>
      <c r="I467" s="202"/>
      <c r="J467" s="1272" t="e">
        <f>'[55]TARGET MURNI DAN PERUBAHAN'!#REF!</f>
        <v>#REF!</v>
      </c>
      <c r="K467" s="1273">
        <f>'[55]TARGET VERSI LAMA'!$E$313</f>
        <v>0</v>
      </c>
      <c r="L467" s="355">
        <f>[56]PerDinas!$N$520</f>
        <v>0</v>
      </c>
      <c r="M467" s="355">
        <f>[55]Perdinas!$P$290</f>
        <v>0</v>
      </c>
      <c r="N467" s="369">
        <f t="shared" si="71"/>
        <v>0</v>
      </c>
      <c r="O467" s="355">
        <f t="shared" si="72"/>
        <v>0</v>
      </c>
      <c r="P467" s="441"/>
      <c r="Q467" s="441"/>
      <c r="R467" s="422"/>
    </row>
    <row r="468" spans="1:18" s="189" customFormat="1">
      <c r="A468" s="293"/>
      <c r="B468" s="292"/>
      <c r="C468" s="292"/>
      <c r="D468" s="292"/>
      <c r="E468" s="292"/>
      <c r="F468" s="292"/>
      <c r="G468" s="253"/>
      <c r="H468" s="253"/>
      <c r="I468" s="253"/>
      <c r="J468" s="354"/>
      <c r="K468" s="355"/>
      <c r="L468" s="360"/>
      <c r="M468" s="355"/>
      <c r="N468" s="355"/>
      <c r="O468" s="355"/>
      <c r="P468" s="388"/>
      <c r="Q468" s="441"/>
      <c r="R468" s="422"/>
    </row>
    <row r="469" spans="1:18" s="189" customFormat="1">
      <c r="A469" s="293"/>
      <c r="B469" s="290">
        <v>4</v>
      </c>
      <c r="C469" s="290">
        <v>1</v>
      </c>
      <c r="D469" s="290">
        <v>3</v>
      </c>
      <c r="E469" s="290"/>
      <c r="F469" s="290"/>
      <c r="G469" s="848" t="s">
        <v>987</v>
      </c>
      <c r="H469" s="848"/>
      <c r="I469" s="291"/>
      <c r="J469" s="397">
        <f t="shared" ref="J469:M470" si="73">+J470</f>
        <v>77891339800</v>
      </c>
      <c r="K469" s="398">
        <f t="shared" si="73"/>
        <v>157964885190</v>
      </c>
      <c r="L469" s="398">
        <f t="shared" si="73"/>
        <v>72827611744</v>
      </c>
      <c r="M469" s="398">
        <f t="shared" si="73"/>
        <v>0</v>
      </c>
      <c r="N469" s="367">
        <f>+M469+L469</f>
        <v>72827611744</v>
      </c>
      <c r="O469" s="367">
        <f>N469-K469</f>
        <v>-85137273446</v>
      </c>
      <c r="P469" s="347">
        <f>N469/K469*100</f>
        <v>46.103671494081119</v>
      </c>
      <c r="Q469" s="699"/>
      <c r="R469" s="422"/>
    </row>
    <row r="470" spans="1:18" s="189" customFormat="1">
      <c r="A470" s="293"/>
      <c r="B470" s="292">
        <v>4</v>
      </c>
      <c r="C470" s="292">
        <v>1</v>
      </c>
      <c r="D470" s="292">
        <v>3</v>
      </c>
      <c r="E470" s="292" t="s">
        <v>437</v>
      </c>
      <c r="F470" s="292"/>
      <c r="G470" s="253" t="s">
        <v>767</v>
      </c>
      <c r="H470" s="253"/>
      <c r="I470" s="253"/>
      <c r="J470" s="374">
        <f t="shared" si="73"/>
        <v>77891339800</v>
      </c>
      <c r="K470" s="375">
        <f t="shared" si="73"/>
        <v>157964885190</v>
      </c>
      <c r="L470" s="377">
        <f t="shared" si="73"/>
        <v>72827611744</v>
      </c>
      <c r="M470" s="375">
        <f t="shared" si="73"/>
        <v>0</v>
      </c>
      <c r="N470" s="346">
        <f>+M470+L470</f>
        <v>72827611744</v>
      </c>
      <c r="O470" s="346">
        <f t="shared" ref="O470:O478" si="74">N470-K470</f>
        <v>-85137273446</v>
      </c>
      <c r="P470" s="347">
        <f t="shared" ref="P470:P478" si="75">N470/K470*100</f>
        <v>46.103671494081119</v>
      </c>
      <c r="Q470" s="448"/>
      <c r="R470" s="422"/>
    </row>
    <row r="471" spans="1:18" s="189" customFormat="1">
      <c r="A471" s="293"/>
      <c r="B471" s="292">
        <v>4</v>
      </c>
      <c r="C471" s="292">
        <v>1</v>
      </c>
      <c r="D471" s="292">
        <v>3</v>
      </c>
      <c r="E471" s="292" t="s">
        <v>437</v>
      </c>
      <c r="F471" s="292" t="s">
        <v>437</v>
      </c>
      <c r="G471" s="253" t="s">
        <v>195</v>
      </c>
      <c r="H471" s="253"/>
      <c r="I471" s="253"/>
      <c r="J471" s="374">
        <f>SUM(J472:J477)</f>
        <v>77891339800</v>
      </c>
      <c r="K471" s="375">
        <f>SUM(K472:K478)</f>
        <v>157964885190</v>
      </c>
      <c r="L471" s="375">
        <f>SUM(L472:L478)</f>
        <v>72827611744</v>
      </c>
      <c r="M471" s="375">
        <f>SUM(M472:M478)</f>
        <v>0</v>
      </c>
      <c r="N471" s="375">
        <f t="shared" ref="N471:N478" si="76">M471+L471</f>
        <v>72827611744</v>
      </c>
      <c r="O471" s="355">
        <f t="shared" si="74"/>
        <v>-85137273446</v>
      </c>
      <c r="P471" s="388">
        <f t="shared" si="75"/>
        <v>46.103671494081119</v>
      </c>
      <c r="Q471" s="448"/>
      <c r="R471" s="422"/>
    </row>
    <row r="472" spans="1:18" s="189" customFormat="1">
      <c r="A472" s="293"/>
      <c r="B472" s="292"/>
      <c r="C472" s="292"/>
      <c r="D472" s="292"/>
      <c r="E472" s="292"/>
      <c r="F472" s="292"/>
      <c r="G472" s="253" t="s">
        <v>50</v>
      </c>
      <c r="H472" s="253" t="s">
        <v>197</v>
      </c>
      <c r="I472" s="253"/>
      <c r="J472" s="374">
        <v>46024029800</v>
      </c>
      <c r="K472" s="1231">
        <f>'[55]TARGET VERSI LAMA'!$E$318</f>
        <v>59958450102</v>
      </c>
      <c r="L472" s="375">
        <f>[56]PerDinas!$N$525</f>
        <v>59958510102</v>
      </c>
      <c r="M472" s="375">
        <f>[55]Perdinas!$P$295</f>
        <v>0</v>
      </c>
      <c r="N472" s="369">
        <f t="shared" si="76"/>
        <v>59958510102</v>
      </c>
      <c r="O472" s="355">
        <f t="shared" si="74"/>
        <v>60000</v>
      </c>
      <c r="P472" s="388">
        <f t="shared" si="75"/>
        <v>100.00010006929783</v>
      </c>
      <c r="Q472" s="448"/>
      <c r="R472" s="422"/>
    </row>
    <row r="473" spans="1:18" s="189" customFormat="1">
      <c r="A473" s="293"/>
      <c r="B473" s="705"/>
      <c r="C473" s="705"/>
      <c r="D473" s="705"/>
      <c r="E473" s="705"/>
      <c r="F473" s="292"/>
      <c r="G473" s="253" t="s">
        <v>50</v>
      </c>
      <c r="H473" s="253" t="s">
        <v>988</v>
      </c>
      <c r="I473" s="253"/>
      <c r="J473" s="374">
        <v>3250000000</v>
      </c>
      <c r="K473" s="1231">
        <f>'[55]TARGET VERSI LAMA'!$E$319</f>
        <v>11374571865</v>
      </c>
      <c r="L473" s="375">
        <f>[56]PerDinas!$N$526</f>
        <v>11631764969</v>
      </c>
      <c r="M473" s="375">
        <f>[55]Perdinas!$P$296</f>
        <v>0</v>
      </c>
      <c r="N473" s="369">
        <f t="shared" si="76"/>
        <v>11631764969</v>
      </c>
      <c r="O473" s="355">
        <f t="shared" si="74"/>
        <v>257193104</v>
      </c>
      <c r="P473" s="388">
        <f t="shared" si="75"/>
        <v>102.26112338163156</v>
      </c>
      <c r="Q473" s="448"/>
      <c r="R473" s="422"/>
    </row>
    <row r="474" spans="1:18" s="189" customFormat="1">
      <c r="A474" s="293"/>
      <c r="B474" s="705"/>
      <c r="C474" s="705"/>
      <c r="D474" s="705"/>
      <c r="E474" s="705"/>
      <c r="F474" s="292"/>
      <c r="G474" s="253" t="s">
        <v>50</v>
      </c>
      <c r="H474" s="253" t="s">
        <v>769</v>
      </c>
      <c r="I474" s="253"/>
      <c r="J474" s="374">
        <v>300000000</v>
      </c>
      <c r="K474" s="1231">
        <f>'[55]TARGET VERSI LAMA'!$E$320</f>
        <v>1000000000</v>
      </c>
      <c r="L474" s="375">
        <f>[56]PerDinas!$N$527</f>
        <v>1000000000</v>
      </c>
      <c r="M474" s="375">
        <f>[55]Perdinas!$P$297</f>
        <v>0</v>
      </c>
      <c r="N474" s="369">
        <f t="shared" si="76"/>
        <v>1000000000</v>
      </c>
      <c r="O474" s="355">
        <f t="shared" si="74"/>
        <v>0</v>
      </c>
      <c r="P474" s="388">
        <f t="shared" si="75"/>
        <v>100</v>
      </c>
      <c r="Q474" s="448"/>
      <c r="R474" s="422"/>
    </row>
    <row r="475" spans="1:18" s="189" customFormat="1">
      <c r="A475" s="293"/>
      <c r="B475" s="292"/>
      <c r="C475" s="292"/>
      <c r="D475" s="292"/>
      <c r="E475" s="292"/>
      <c r="F475" s="292"/>
      <c r="G475" s="253" t="s">
        <v>50</v>
      </c>
      <c r="H475" s="253" t="s">
        <v>199</v>
      </c>
      <c r="I475" s="253"/>
      <c r="J475" s="374">
        <v>28000000000</v>
      </c>
      <c r="K475" s="1231">
        <f>'[55]TARGET VERSI LAMA'!$E$321</f>
        <v>85406400000</v>
      </c>
      <c r="L475" s="375">
        <f>[56]PerDinas!$N$528</f>
        <v>0</v>
      </c>
      <c r="M475" s="375">
        <f>[55]Perdinas!$P$298</f>
        <v>0</v>
      </c>
      <c r="N475" s="355">
        <f t="shared" si="76"/>
        <v>0</v>
      </c>
      <c r="O475" s="355">
        <f t="shared" si="74"/>
        <v>-85406400000</v>
      </c>
      <c r="P475" s="388">
        <f t="shared" si="75"/>
        <v>0</v>
      </c>
      <c r="Q475" s="448"/>
      <c r="R475" s="422"/>
    </row>
    <row r="476" spans="1:18" s="189" customFormat="1">
      <c r="A476" s="293"/>
      <c r="B476" s="292"/>
      <c r="C476" s="292"/>
      <c r="D476" s="292"/>
      <c r="E476" s="292"/>
      <c r="F476" s="292"/>
      <c r="G476" s="253" t="s">
        <v>50</v>
      </c>
      <c r="H476" s="253" t="s">
        <v>200</v>
      </c>
      <c r="I476" s="253"/>
      <c r="J476" s="374">
        <v>317310000</v>
      </c>
      <c r="K476" s="1231">
        <f>'[55]TARGET VERSI LAMA'!$E$322</f>
        <v>0</v>
      </c>
      <c r="L476" s="375">
        <f>[56]PerDinas!$N$529</f>
        <v>0</v>
      </c>
      <c r="M476" s="375">
        <f>[55]Perdinas!$P$299</f>
        <v>0</v>
      </c>
      <c r="N476" s="355">
        <f t="shared" si="76"/>
        <v>0</v>
      </c>
      <c r="O476" s="355">
        <f t="shared" si="74"/>
        <v>0</v>
      </c>
      <c r="P476" s="388" t="e">
        <f t="shared" si="75"/>
        <v>#DIV/0!</v>
      </c>
      <c r="Q476" s="448"/>
      <c r="R476" s="422"/>
    </row>
    <row r="477" spans="1:18" s="189" customFormat="1">
      <c r="A477" s="293"/>
      <c r="B477" s="292"/>
      <c r="C477" s="292"/>
      <c r="D477" s="292"/>
      <c r="E477" s="292"/>
      <c r="F477" s="292"/>
      <c r="G477" s="253" t="s">
        <v>50</v>
      </c>
      <c r="H477" s="253" t="s">
        <v>201</v>
      </c>
      <c r="I477" s="253"/>
      <c r="J477" s="374"/>
      <c r="K477" s="1231">
        <f>'[55]TARGET VERSI LAMA'!$E$323</f>
        <v>136702012</v>
      </c>
      <c r="L477" s="375">
        <f>[56]PerDinas!$N$530</f>
        <v>136702012</v>
      </c>
      <c r="M477" s="375">
        <f>[55]Perdinas!$P$300</f>
        <v>0</v>
      </c>
      <c r="N477" s="369">
        <f t="shared" si="76"/>
        <v>136702012</v>
      </c>
      <c r="O477" s="355">
        <f t="shared" si="74"/>
        <v>0</v>
      </c>
      <c r="P477" s="388">
        <f t="shared" si="75"/>
        <v>100</v>
      </c>
      <c r="Q477" s="448"/>
      <c r="R477" s="422"/>
    </row>
    <row r="478" spans="1:18" s="189" customFormat="1">
      <c r="A478" s="293"/>
      <c r="B478" s="292"/>
      <c r="C478" s="292"/>
      <c r="D478" s="292"/>
      <c r="E478" s="292"/>
      <c r="F478" s="292"/>
      <c r="G478" s="253" t="s">
        <v>50</v>
      </c>
      <c r="H478" s="253" t="s">
        <v>770</v>
      </c>
      <c r="I478" s="253"/>
      <c r="J478" s="374"/>
      <c r="K478" s="1231">
        <f>'[55]TARGET VERSI LAMA'!$E$324</f>
        <v>88761211</v>
      </c>
      <c r="L478" s="375">
        <f>[56]PerDinas!$N$531</f>
        <v>100634661</v>
      </c>
      <c r="M478" s="375">
        <f>[55]Perdinas!$P$301</f>
        <v>0</v>
      </c>
      <c r="N478" s="369">
        <f t="shared" si="76"/>
        <v>100634661</v>
      </c>
      <c r="O478" s="355">
        <f t="shared" si="74"/>
        <v>11873450</v>
      </c>
      <c r="P478" s="388">
        <f t="shared" si="75"/>
        <v>113.37684543307999</v>
      </c>
      <c r="Q478" s="448"/>
      <c r="R478" s="422"/>
    </row>
    <row r="479" spans="1:18" s="189" customFormat="1" ht="15.05">
      <c r="A479" s="293"/>
      <c r="B479" s="292"/>
      <c r="C479" s="292"/>
      <c r="D479" s="292"/>
      <c r="E479" s="292"/>
      <c r="F479" s="292"/>
      <c r="G479" s="253"/>
      <c r="H479" s="253"/>
      <c r="I479" s="868"/>
      <c r="J479" s="374"/>
      <c r="K479" s="375"/>
      <c r="L479" s="375"/>
      <c r="M479" s="375"/>
      <c r="N479" s="355"/>
      <c r="O479" s="355"/>
      <c r="P479" s="388"/>
      <c r="Q479" s="448"/>
      <c r="R479" s="422"/>
    </row>
    <row r="480" spans="1:18" s="189" customFormat="1">
      <c r="A480" s="293"/>
      <c r="B480" s="290">
        <v>4</v>
      </c>
      <c r="C480" s="290">
        <v>1</v>
      </c>
      <c r="D480" s="290">
        <v>4</v>
      </c>
      <c r="E480" s="290"/>
      <c r="F480" s="290"/>
      <c r="G480" s="291" t="s">
        <v>71</v>
      </c>
      <c r="H480" s="291"/>
      <c r="I480" s="291"/>
      <c r="J480" s="370">
        <f>+J481+J492+J495+J510</f>
        <v>9205581100</v>
      </c>
      <c r="K480" s="371">
        <f>K481+K488+K492+K495+K499+K510+K516+K519+K525</f>
        <v>89050653279</v>
      </c>
      <c r="L480" s="371">
        <f>L481+L488+L492+L495+L499+L510+L516+L519+L525</f>
        <v>22581885026.400002</v>
      </c>
      <c r="M480" s="371">
        <f>M481+M488+M492+M495+M499+M510+M516+M519+M525</f>
        <v>61500787989</v>
      </c>
      <c r="N480" s="371">
        <f t="shared" ref="N480:N486" si="77">M480+L480</f>
        <v>84082673015.399994</v>
      </c>
      <c r="O480" s="367">
        <f>N480-K480</f>
        <v>-4967980263.6000061</v>
      </c>
      <c r="P480" s="347">
        <f t="shared" ref="P480:P486" si="78">N480/K480*100</f>
        <v>94.421174825034598</v>
      </c>
      <c r="Q480" s="651"/>
      <c r="R480" s="422"/>
    </row>
    <row r="481" spans="1:19" s="189" customFormat="1">
      <c r="A481" s="293"/>
      <c r="B481" s="292">
        <v>4</v>
      </c>
      <c r="C481" s="292">
        <v>1</v>
      </c>
      <c r="D481" s="292">
        <v>4</v>
      </c>
      <c r="E481" s="292" t="s">
        <v>437</v>
      </c>
      <c r="F481" s="292" t="s">
        <v>438</v>
      </c>
      <c r="G481" s="291" t="s">
        <v>989</v>
      </c>
      <c r="H481" s="253"/>
      <c r="I481" s="253"/>
      <c r="J481" s="354">
        <f>+J487+J488</f>
        <v>0</v>
      </c>
      <c r="K481" s="371">
        <f>SUM(K482:K486)</f>
        <v>250000000</v>
      </c>
      <c r="L481" s="371">
        <f>SUM(L482:L486)</f>
        <v>25364000</v>
      </c>
      <c r="M481" s="371">
        <f>SUM(M482:M486)</f>
        <v>0</v>
      </c>
      <c r="N481" s="1067">
        <f t="shared" si="77"/>
        <v>25364000</v>
      </c>
      <c r="O481" s="371">
        <f t="shared" ref="O481:O490" si="79">N481-K481</f>
        <v>-224636000</v>
      </c>
      <c r="P481" s="1473">
        <f t="shared" si="78"/>
        <v>10.1456</v>
      </c>
      <c r="Q481" s="441"/>
      <c r="R481" s="422"/>
    </row>
    <row r="482" spans="1:19" s="189" customFormat="1">
      <c r="A482" s="293"/>
      <c r="B482" s="292"/>
      <c r="C482" s="292"/>
      <c r="D482" s="292"/>
      <c r="E482" s="292"/>
      <c r="F482" s="292"/>
      <c r="G482" s="2773" t="s">
        <v>50</v>
      </c>
      <c r="H482" s="850" t="s">
        <v>207</v>
      </c>
      <c r="I482" s="253"/>
      <c r="J482" s="354"/>
      <c r="K482" s="355">
        <f>'[55]TARGET VERSI LAMA'!$E$328</f>
        <v>0</v>
      </c>
      <c r="L482" s="360">
        <f>[56]PerDinas!$N$535</f>
        <v>0</v>
      </c>
      <c r="M482" s="355">
        <f>[55]Perdinas!$P$305</f>
        <v>0</v>
      </c>
      <c r="N482" s="369">
        <f t="shared" si="77"/>
        <v>0</v>
      </c>
      <c r="O482" s="355">
        <f t="shared" si="79"/>
        <v>0</v>
      </c>
      <c r="P482" s="388" t="e">
        <f t="shared" si="78"/>
        <v>#DIV/0!</v>
      </c>
      <c r="Q482" s="441"/>
      <c r="R482" s="422"/>
    </row>
    <row r="483" spans="1:19" s="189" customFormat="1">
      <c r="A483" s="293"/>
      <c r="B483" s="292"/>
      <c r="C483" s="292"/>
      <c r="D483" s="292"/>
      <c r="E483" s="292"/>
      <c r="F483" s="292"/>
      <c r="G483" s="2773" t="s">
        <v>50</v>
      </c>
      <c r="H483" s="850" t="s">
        <v>208</v>
      </c>
      <c r="I483" s="253"/>
      <c r="J483" s="354"/>
      <c r="K483" s="355">
        <f>'[55]TARGET VERSI LAMA'!$E$329</f>
        <v>50000000</v>
      </c>
      <c r="L483" s="360">
        <f>[56]PerDinas!$N$536</f>
        <v>0</v>
      </c>
      <c r="M483" s="355">
        <f>[55]Perdinas!$P$306</f>
        <v>0</v>
      </c>
      <c r="N483" s="369">
        <f t="shared" si="77"/>
        <v>0</v>
      </c>
      <c r="O483" s="355">
        <f t="shared" si="79"/>
        <v>-50000000</v>
      </c>
      <c r="P483" s="388">
        <f t="shared" si="78"/>
        <v>0</v>
      </c>
      <c r="Q483" s="441"/>
      <c r="R483" s="422"/>
    </row>
    <row r="484" spans="1:19" s="189" customFormat="1">
      <c r="A484" s="293"/>
      <c r="B484" s="292"/>
      <c r="C484" s="292"/>
      <c r="D484" s="292"/>
      <c r="E484" s="292"/>
      <c r="F484" s="292"/>
      <c r="G484" s="2773" t="s">
        <v>50</v>
      </c>
      <c r="H484" s="850" t="s">
        <v>209</v>
      </c>
      <c r="I484" s="253"/>
      <c r="J484" s="354"/>
      <c r="K484" s="355">
        <f>'[55]TARGET VERSI LAMA'!$E$330</f>
        <v>0</v>
      </c>
      <c r="L484" s="360">
        <f>[56]PerDinas!$N$537</f>
        <v>0</v>
      </c>
      <c r="M484" s="355">
        <f>[55]Perdinas!$P$307</f>
        <v>0</v>
      </c>
      <c r="N484" s="369">
        <f t="shared" si="77"/>
        <v>0</v>
      </c>
      <c r="O484" s="355">
        <f t="shared" si="79"/>
        <v>0</v>
      </c>
      <c r="P484" s="388" t="e">
        <f t="shared" si="78"/>
        <v>#DIV/0!</v>
      </c>
      <c r="Q484" s="441"/>
      <c r="R484" s="422"/>
    </row>
    <row r="485" spans="1:19" s="189" customFormat="1">
      <c r="A485" s="293"/>
      <c r="B485" s="292"/>
      <c r="C485" s="292"/>
      <c r="D485" s="292"/>
      <c r="E485" s="292"/>
      <c r="F485" s="292"/>
      <c r="G485" s="2773" t="s">
        <v>50</v>
      </c>
      <c r="H485" s="850" t="s">
        <v>210</v>
      </c>
      <c r="I485" s="253"/>
      <c r="J485" s="354"/>
      <c r="K485" s="355">
        <f>'[55]TARGET VERSI LAMA'!$E$331</f>
        <v>0</v>
      </c>
      <c r="L485" s="360">
        <f>[56]PerDinas!$N$538</f>
        <v>0</v>
      </c>
      <c r="M485" s="355">
        <f>[55]Perdinas!$P$308</f>
        <v>0</v>
      </c>
      <c r="N485" s="369">
        <f t="shared" si="77"/>
        <v>0</v>
      </c>
      <c r="O485" s="355">
        <f t="shared" si="79"/>
        <v>0</v>
      </c>
      <c r="P485" s="388" t="e">
        <f t="shared" si="78"/>
        <v>#DIV/0!</v>
      </c>
      <c r="Q485" s="441"/>
      <c r="R485" s="422"/>
    </row>
    <row r="486" spans="1:19" s="189" customFormat="1">
      <c r="A486" s="293"/>
      <c r="B486" s="292"/>
      <c r="C486" s="292"/>
      <c r="D486" s="292"/>
      <c r="E486" s="292"/>
      <c r="F486" s="292"/>
      <c r="G486" s="2773" t="s">
        <v>50</v>
      </c>
      <c r="H486" s="850" t="s">
        <v>211</v>
      </c>
      <c r="I486" s="253"/>
      <c r="J486" s="354"/>
      <c r="K486" s="355">
        <f>'[55]TARGET VERSI LAMA'!$E$332</f>
        <v>200000000</v>
      </c>
      <c r="L486" s="360">
        <f>[56]PerDinas!$N$539</f>
        <v>25364000</v>
      </c>
      <c r="M486" s="355">
        <f>[55]Perdinas!$P$309</f>
        <v>0</v>
      </c>
      <c r="N486" s="369">
        <f t="shared" si="77"/>
        <v>25364000</v>
      </c>
      <c r="O486" s="355">
        <f t="shared" si="79"/>
        <v>-174636000</v>
      </c>
      <c r="P486" s="388">
        <f t="shared" si="78"/>
        <v>12.681999999999999</v>
      </c>
      <c r="Q486" s="441"/>
      <c r="R486" s="422"/>
    </row>
    <row r="487" spans="1:19" s="189" customFormat="1">
      <c r="A487" s="293"/>
      <c r="B487" s="292"/>
      <c r="C487" s="292"/>
      <c r="D487" s="292"/>
      <c r="E487" s="292"/>
      <c r="F487" s="292"/>
      <c r="G487" s="199"/>
      <c r="H487" s="253"/>
      <c r="I487" s="253"/>
      <c r="J487" s="374"/>
      <c r="K487" s="375"/>
      <c r="L487" s="375"/>
      <c r="M487" s="375"/>
      <c r="N487" s="355"/>
      <c r="O487" s="355"/>
      <c r="P487" s="388"/>
      <c r="Q487" s="448"/>
      <c r="R487" s="422"/>
    </row>
    <row r="488" spans="1:19" s="189" customFormat="1">
      <c r="A488" s="293"/>
      <c r="B488" s="292">
        <v>4</v>
      </c>
      <c r="C488" s="292">
        <v>1</v>
      </c>
      <c r="D488" s="292">
        <v>4</v>
      </c>
      <c r="E488" s="292" t="s">
        <v>438</v>
      </c>
      <c r="F488" s="292" t="s">
        <v>438</v>
      </c>
      <c r="G488" s="1277" t="s">
        <v>212</v>
      </c>
      <c r="H488" s="253"/>
      <c r="I488" s="253"/>
      <c r="J488" s="354">
        <v>0</v>
      </c>
      <c r="K488" s="371">
        <f>SUM(K489:K490)</f>
        <v>4500000000</v>
      </c>
      <c r="L488" s="371">
        <f>SUM(L489:L490)</f>
        <v>12024128414.33</v>
      </c>
      <c r="M488" s="371">
        <f>SUM(M489:M490)</f>
        <v>511033861</v>
      </c>
      <c r="N488" s="1067">
        <f>M488+L488</f>
        <v>12535162275.33</v>
      </c>
      <c r="O488" s="371">
        <f t="shared" si="79"/>
        <v>8035162275.3299999</v>
      </c>
      <c r="P488" s="778">
        <f>N488/K488*100</f>
        <v>278.55916167399999</v>
      </c>
      <c r="Q488" s="651"/>
      <c r="R488" s="422"/>
    </row>
    <row r="489" spans="1:19" s="189" customFormat="1">
      <c r="A489" s="293"/>
      <c r="B489" s="292"/>
      <c r="C489" s="292"/>
      <c r="D489" s="292"/>
      <c r="E489" s="292"/>
      <c r="F489" s="292"/>
      <c r="G489" s="842" t="s">
        <v>50</v>
      </c>
      <c r="H489" s="253" t="s">
        <v>213</v>
      </c>
      <c r="I489" s="253"/>
      <c r="J489" s="354"/>
      <c r="K489" s="1194">
        <f>'[55]TARGET VERSI LAMA'!$E$335</f>
        <v>4500000000</v>
      </c>
      <c r="L489" s="375">
        <f>[56]PerDinas!$N$542</f>
        <v>11808261926.33</v>
      </c>
      <c r="M489" s="355">
        <f>[55]Perdinas!$P$312</f>
        <v>440193434</v>
      </c>
      <c r="N489" s="369">
        <f>M489+L489</f>
        <v>12248455360.33</v>
      </c>
      <c r="O489" s="355">
        <f t="shared" si="79"/>
        <v>7748455360.3299999</v>
      </c>
      <c r="P489" s="388">
        <f>N489/K489*100</f>
        <v>272.18789689622224</v>
      </c>
      <c r="Q489" s="441"/>
      <c r="R489" s="422"/>
    </row>
    <row r="490" spans="1:19" s="189" customFormat="1">
      <c r="A490" s="293"/>
      <c r="B490" s="292"/>
      <c r="C490" s="292"/>
      <c r="D490" s="292"/>
      <c r="E490" s="292"/>
      <c r="F490" s="292"/>
      <c r="G490" s="842" t="s">
        <v>50</v>
      </c>
      <c r="H490" s="253" t="s">
        <v>214</v>
      </c>
      <c r="I490" s="253"/>
      <c r="J490" s="354"/>
      <c r="K490" s="1194">
        <f>'[55]TARGET VERSI LAMA'!$E$336</f>
        <v>0</v>
      </c>
      <c r="L490" s="375">
        <f>[56]PerDinas!$N$543</f>
        <v>215866488</v>
      </c>
      <c r="M490" s="355">
        <f>PerDinas!M543</f>
        <v>70840427</v>
      </c>
      <c r="N490" s="369">
        <f>M490+L490</f>
        <v>286706915</v>
      </c>
      <c r="O490" s="355">
        <f t="shared" si="79"/>
        <v>286706915</v>
      </c>
      <c r="P490" s="388" t="e">
        <f>N490/K490*100</f>
        <v>#DIV/0!</v>
      </c>
      <c r="Q490" s="441"/>
      <c r="R490" s="422"/>
    </row>
    <row r="491" spans="1:19" s="189" customFormat="1">
      <c r="A491" s="293"/>
      <c r="B491" s="292"/>
      <c r="C491" s="292"/>
      <c r="D491" s="292"/>
      <c r="E491" s="292"/>
      <c r="F491" s="292"/>
      <c r="G491" s="253"/>
      <c r="H491" s="253"/>
      <c r="I491" s="253"/>
      <c r="J491" s="354"/>
      <c r="K491" s="355"/>
      <c r="L491" s="355"/>
      <c r="M491" s="355"/>
      <c r="N491" s="355"/>
      <c r="O491" s="355"/>
      <c r="P491" s="388"/>
      <c r="Q491" s="441"/>
      <c r="R491" s="422"/>
    </row>
    <row r="492" spans="1:19" s="189" customFormat="1">
      <c r="A492" s="293"/>
      <c r="B492" s="292">
        <v>4</v>
      </c>
      <c r="C492" s="292">
        <v>1</v>
      </c>
      <c r="D492" s="292">
        <v>4</v>
      </c>
      <c r="E492" s="292" t="s">
        <v>440</v>
      </c>
      <c r="F492" s="292"/>
      <c r="G492" s="291" t="s">
        <v>215</v>
      </c>
      <c r="H492" s="253"/>
      <c r="I492" s="253"/>
      <c r="J492" s="354">
        <f>+J493</f>
        <v>9165581100</v>
      </c>
      <c r="K492" s="371">
        <f>+K493</f>
        <v>6875000000</v>
      </c>
      <c r="L492" s="371">
        <f>+L493</f>
        <v>8125000000</v>
      </c>
      <c r="M492" s="371">
        <f>+M493</f>
        <v>1250000000</v>
      </c>
      <c r="N492" s="367">
        <f>+M492+L492</f>
        <v>9375000000</v>
      </c>
      <c r="O492" s="367">
        <f t="shared" ref="O492:O497" si="80">N492-K492</f>
        <v>2500000000</v>
      </c>
      <c r="P492" s="399">
        <f>N492/K492*100</f>
        <v>136.36363636363635</v>
      </c>
      <c r="Q492" s="651"/>
      <c r="R492" s="422"/>
    </row>
    <row r="493" spans="1:19" s="189" customFormat="1">
      <c r="A493" s="293"/>
      <c r="B493" s="292">
        <v>4</v>
      </c>
      <c r="C493" s="292">
        <v>1</v>
      </c>
      <c r="D493" s="292">
        <v>4</v>
      </c>
      <c r="E493" s="292" t="s">
        <v>440</v>
      </c>
      <c r="F493" s="292" t="s">
        <v>437</v>
      </c>
      <c r="G493" s="253" t="s">
        <v>216</v>
      </c>
      <c r="H493" s="253"/>
      <c r="I493" s="253"/>
      <c r="J493" s="374">
        <v>9165581100</v>
      </c>
      <c r="K493" s="1231">
        <f>'[55]TARGET VERSI LAMA'!$E$339</f>
        <v>6875000000</v>
      </c>
      <c r="L493" s="375">
        <f>[56]PerDinas!$N$546</f>
        <v>8125000000</v>
      </c>
      <c r="M493" s="375">
        <f>[55]Perdinas!$P$316</f>
        <v>1250000000</v>
      </c>
      <c r="N493" s="369">
        <f>M493+L493</f>
        <v>9375000000</v>
      </c>
      <c r="O493" s="355">
        <f t="shared" si="80"/>
        <v>2500000000</v>
      </c>
      <c r="P493" s="388">
        <f>N493/K493*100</f>
        <v>136.36363636363635</v>
      </c>
      <c r="Q493" s="448"/>
      <c r="R493" s="422"/>
    </row>
    <row r="494" spans="1:19" s="189" customFormat="1">
      <c r="A494" s="293"/>
      <c r="B494" s="292"/>
      <c r="C494" s="292"/>
      <c r="D494" s="292"/>
      <c r="E494" s="292"/>
      <c r="F494" s="292"/>
      <c r="G494" s="253"/>
      <c r="H494" s="253"/>
      <c r="I494" s="253"/>
      <c r="J494" s="354"/>
      <c r="K494" s="355"/>
      <c r="L494" s="355"/>
      <c r="M494" s="355"/>
      <c r="N494" s="355"/>
      <c r="O494" s="355"/>
      <c r="P494" s="388"/>
      <c r="Q494" s="448"/>
      <c r="R494" s="422"/>
      <c r="S494" s="542"/>
    </row>
    <row r="495" spans="1:19" s="189" customFormat="1">
      <c r="A495" s="293"/>
      <c r="B495" s="292">
        <v>4</v>
      </c>
      <c r="C495" s="292">
        <v>1</v>
      </c>
      <c r="D495" s="292">
        <v>4</v>
      </c>
      <c r="E495" s="292" t="s">
        <v>445</v>
      </c>
      <c r="F495" s="292"/>
      <c r="G495" s="291" t="s">
        <v>217</v>
      </c>
      <c r="H495" s="253"/>
      <c r="I495" s="253"/>
      <c r="J495" s="345">
        <f>SUM(J496:J497)</f>
        <v>10000000</v>
      </c>
      <c r="K495" s="367">
        <f>SUM(K496:K497)</f>
        <v>1205211975</v>
      </c>
      <c r="L495" s="367">
        <f>SUM(L496:L497)</f>
        <v>348019064.23000002</v>
      </c>
      <c r="M495" s="367">
        <f>SUM(M496:M497)</f>
        <v>825000</v>
      </c>
      <c r="N495" s="777">
        <f>+M495+L495</f>
        <v>348844064.23000002</v>
      </c>
      <c r="O495" s="367">
        <f t="shared" si="80"/>
        <v>-856367910.76999998</v>
      </c>
      <c r="P495" s="399">
        <f>N495/K495*100</f>
        <v>28.944623142331455</v>
      </c>
      <c r="Q495" s="454"/>
      <c r="R495" s="422"/>
    </row>
    <row r="496" spans="1:19" s="189" customFormat="1">
      <c r="A496" s="293"/>
      <c r="B496" s="292">
        <v>4</v>
      </c>
      <c r="C496" s="292">
        <v>1</v>
      </c>
      <c r="D496" s="292">
        <v>4</v>
      </c>
      <c r="E496" s="292" t="s">
        <v>445</v>
      </c>
      <c r="F496" s="292" t="s">
        <v>437</v>
      </c>
      <c r="G496" s="253" t="s">
        <v>218</v>
      </c>
      <c r="H496" s="253"/>
      <c r="I496" s="253"/>
      <c r="J496" s="374">
        <v>0</v>
      </c>
      <c r="K496" s="1231">
        <f>'[55]TARGET VERSI LAMA'!$E$342</f>
        <v>1190211975</v>
      </c>
      <c r="L496" s="375">
        <f>[56]PerDinas!$N$549</f>
        <v>335768064.23000002</v>
      </c>
      <c r="M496" s="375">
        <f>[55]Perdinas!$P$319</f>
        <v>0</v>
      </c>
      <c r="N496" s="369">
        <f>M496+L496</f>
        <v>335768064.23000002</v>
      </c>
      <c r="O496" s="355">
        <f t="shared" si="80"/>
        <v>-854443910.76999998</v>
      </c>
      <c r="P496" s="388">
        <v>0</v>
      </c>
      <c r="Q496" s="448"/>
      <c r="R496" s="422"/>
    </row>
    <row r="497" spans="1:19" s="189" customFormat="1">
      <c r="A497" s="293"/>
      <c r="B497" s="292">
        <v>4</v>
      </c>
      <c r="C497" s="292">
        <v>1</v>
      </c>
      <c r="D497" s="292">
        <v>4</v>
      </c>
      <c r="E497" s="292" t="s">
        <v>445</v>
      </c>
      <c r="F497" s="292" t="s">
        <v>438</v>
      </c>
      <c r="G497" s="253" t="s">
        <v>219</v>
      </c>
      <c r="H497" s="253"/>
      <c r="I497" s="253"/>
      <c r="J497" s="374">
        <v>10000000</v>
      </c>
      <c r="K497" s="1231">
        <f>'[55]TARGET VERSI LAMA'!$E$343</f>
        <v>15000000</v>
      </c>
      <c r="L497" s="375">
        <f>[56]PerDinas!$N$550</f>
        <v>12251000</v>
      </c>
      <c r="M497" s="375">
        <f>[55]Perdinas!$P$320</f>
        <v>825000</v>
      </c>
      <c r="N497" s="375">
        <f>M497+L497</f>
        <v>13076000</v>
      </c>
      <c r="O497" s="355">
        <f t="shared" si="80"/>
        <v>-1924000</v>
      </c>
      <c r="P497" s="388">
        <f>N497/K497*100</f>
        <v>87.173333333333332</v>
      </c>
      <c r="Q497" s="448"/>
      <c r="R497" s="422"/>
      <c r="S497" s="542"/>
    </row>
    <row r="498" spans="1:19" s="189" customFormat="1">
      <c r="A498" s="293"/>
      <c r="B498" s="292"/>
      <c r="C498" s="292"/>
      <c r="D498" s="292"/>
      <c r="E498" s="292"/>
      <c r="F498" s="292"/>
      <c r="G498" s="253"/>
      <c r="H498" s="253"/>
      <c r="I498" s="253"/>
      <c r="J498" s="354"/>
      <c r="K498" s="355"/>
      <c r="L498" s="355"/>
      <c r="M498" s="355"/>
      <c r="N498" s="355"/>
      <c r="O498" s="355"/>
      <c r="P498" s="388"/>
      <c r="Q498" s="441"/>
      <c r="R498" s="422"/>
    </row>
    <row r="499" spans="1:19" s="189" customFormat="1">
      <c r="A499" s="293"/>
      <c r="B499" s="292">
        <v>4</v>
      </c>
      <c r="C499" s="292">
        <v>1</v>
      </c>
      <c r="D499" s="292">
        <v>4</v>
      </c>
      <c r="E499" s="292" t="s">
        <v>448</v>
      </c>
      <c r="F499" s="292"/>
      <c r="G499" s="1467" t="s">
        <v>220</v>
      </c>
      <c r="H499" s="253"/>
      <c r="I499" s="253"/>
      <c r="J499" s="354"/>
      <c r="K499" s="371">
        <f>SUM(K500:K508)</f>
        <v>217536159</v>
      </c>
      <c r="L499" s="371">
        <f>SUM(L500:L508)</f>
        <v>9850310</v>
      </c>
      <c r="M499" s="371">
        <f>SUM(M500:M508)</f>
        <v>2915289</v>
      </c>
      <c r="N499" s="398">
        <f>M499+L499</f>
        <v>12765599</v>
      </c>
      <c r="O499" s="371">
        <f>N499-K499</f>
        <v>-204770560</v>
      </c>
      <c r="P499" s="778">
        <f>N499/K499*100</f>
        <v>5.8682653305467252</v>
      </c>
      <c r="Q499" s="651"/>
      <c r="R499" s="422"/>
    </row>
    <row r="500" spans="1:19" s="189" customFormat="1">
      <c r="A500" s="293"/>
      <c r="B500" s="292"/>
      <c r="C500" s="292"/>
      <c r="D500" s="292"/>
      <c r="E500" s="292"/>
      <c r="F500" s="292"/>
      <c r="G500" s="855" t="s">
        <v>50</v>
      </c>
      <c r="H500" s="850" t="s">
        <v>221</v>
      </c>
      <c r="I500" s="253"/>
      <c r="J500" s="354"/>
      <c r="K500" s="355">
        <f>'[55]TARGET VERSI LAMA'!$E$346</f>
        <v>217536159</v>
      </c>
      <c r="L500" s="360">
        <f>[56]PerDinas!$N$553</f>
        <v>9850310</v>
      </c>
      <c r="M500" s="355">
        <f>[55]Perdinas!$P$323</f>
        <v>2915289</v>
      </c>
      <c r="N500" s="375">
        <f t="shared" ref="N500:N508" si="81">M500+L500</f>
        <v>12765599</v>
      </c>
      <c r="O500" s="355">
        <f t="shared" ref="O500:O508" si="82">N500-K500</f>
        <v>-204770560</v>
      </c>
      <c r="P500" s="388">
        <f t="shared" ref="P500:P508" si="83">N500/K500*100</f>
        <v>5.8682653305467252</v>
      </c>
      <c r="Q500" s="441"/>
      <c r="R500" s="422"/>
    </row>
    <row r="501" spans="1:19" s="189" customFormat="1">
      <c r="A501" s="293"/>
      <c r="B501" s="292"/>
      <c r="C501" s="292"/>
      <c r="D501" s="292"/>
      <c r="E501" s="292"/>
      <c r="F501" s="292"/>
      <c r="G501" s="855" t="s">
        <v>50</v>
      </c>
      <c r="H501" s="850" t="s">
        <v>771</v>
      </c>
      <c r="I501" s="253"/>
      <c r="J501" s="354"/>
      <c r="K501" s="355">
        <f>'[55]TARGET VERSI LAMA'!$E$347</f>
        <v>0</v>
      </c>
      <c r="L501" s="360">
        <f>[56]PerDinas!$N$554</f>
        <v>0</v>
      </c>
      <c r="M501" s="355">
        <f>[55]Perdinas!$P$324</f>
        <v>0</v>
      </c>
      <c r="N501" s="375">
        <f t="shared" si="81"/>
        <v>0</v>
      </c>
      <c r="O501" s="355">
        <f t="shared" si="82"/>
        <v>0</v>
      </c>
      <c r="P501" s="388" t="e">
        <f t="shared" si="83"/>
        <v>#DIV/0!</v>
      </c>
      <c r="Q501" s="441"/>
      <c r="R501" s="422"/>
    </row>
    <row r="502" spans="1:19" s="189" customFormat="1">
      <c r="A502" s="293"/>
      <c r="B502" s="292"/>
      <c r="C502" s="292"/>
      <c r="D502" s="292"/>
      <c r="E502" s="292"/>
      <c r="F502" s="292"/>
      <c r="G502" s="855" t="s">
        <v>50</v>
      </c>
      <c r="H502" s="850" t="s">
        <v>772</v>
      </c>
      <c r="I502" s="253"/>
      <c r="J502" s="354"/>
      <c r="K502" s="355">
        <f>'[55]TARGET VERSI LAMA'!$E$348</f>
        <v>0</v>
      </c>
      <c r="L502" s="360">
        <v>0</v>
      </c>
      <c r="M502" s="355">
        <f>[55]Perdinas!$P$325</f>
        <v>0</v>
      </c>
      <c r="N502" s="375">
        <f t="shared" si="81"/>
        <v>0</v>
      </c>
      <c r="O502" s="355">
        <f t="shared" si="82"/>
        <v>0</v>
      </c>
      <c r="P502" s="388" t="e">
        <f t="shared" si="83"/>
        <v>#DIV/0!</v>
      </c>
      <c r="Q502" s="441"/>
      <c r="R502" s="422"/>
    </row>
    <row r="503" spans="1:19" s="189" customFormat="1">
      <c r="A503" s="293"/>
      <c r="B503" s="292"/>
      <c r="C503" s="292"/>
      <c r="D503" s="292"/>
      <c r="E503" s="292"/>
      <c r="F503" s="292"/>
      <c r="G503" s="855" t="s">
        <v>50</v>
      </c>
      <c r="H503" s="850" t="s">
        <v>773</v>
      </c>
      <c r="I503" s="253"/>
      <c r="J503" s="354"/>
      <c r="K503" s="355">
        <f>'[55]TARGET VERSI LAMA'!$E$349</f>
        <v>0</v>
      </c>
      <c r="L503" s="360">
        <f>[56]PerDinas!$N$556</f>
        <v>0</v>
      </c>
      <c r="M503" s="355">
        <f>[55]Perdinas!$P$325</f>
        <v>0</v>
      </c>
      <c r="N503" s="375">
        <f t="shared" si="81"/>
        <v>0</v>
      </c>
      <c r="O503" s="355">
        <f t="shared" si="82"/>
        <v>0</v>
      </c>
      <c r="P503" s="388" t="e">
        <f t="shared" si="83"/>
        <v>#DIV/0!</v>
      </c>
      <c r="Q503" s="441"/>
      <c r="R503" s="422"/>
    </row>
    <row r="504" spans="1:19" s="189" customFormat="1">
      <c r="A504" s="293"/>
      <c r="B504" s="292"/>
      <c r="C504" s="292"/>
      <c r="D504" s="292"/>
      <c r="E504" s="292"/>
      <c r="F504" s="292"/>
      <c r="G504" s="855" t="s">
        <v>50</v>
      </c>
      <c r="H504" s="850" t="s">
        <v>774</v>
      </c>
      <c r="I504" s="253"/>
      <c r="J504" s="354"/>
      <c r="K504" s="355">
        <f>'[55]TARGET VERSI LAMA'!$E$350</f>
        <v>0</v>
      </c>
      <c r="L504" s="360">
        <f>[56]PerDinas!$N$557</f>
        <v>0</v>
      </c>
      <c r="M504" s="355">
        <f>[55]Perdinas!$P$326</f>
        <v>0</v>
      </c>
      <c r="N504" s="375">
        <f t="shared" si="81"/>
        <v>0</v>
      </c>
      <c r="O504" s="355">
        <f t="shared" si="82"/>
        <v>0</v>
      </c>
      <c r="P504" s="388" t="e">
        <f t="shared" si="83"/>
        <v>#DIV/0!</v>
      </c>
      <c r="Q504" s="441"/>
      <c r="R504" s="422"/>
    </row>
    <row r="505" spans="1:19" s="859" customFormat="1">
      <c r="A505" s="293"/>
      <c r="B505" s="292"/>
      <c r="C505" s="292"/>
      <c r="D505" s="292"/>
      <c r="E505" s="292"/>
      <c r="F505" s="292"/>
      <c r="G505" s="855" t="s">
        <v>50</v>
      </c>
      <c r="H505" s="850" t="s">
        <v>775</v>
      </c>
      <c r="I505" s="253"/>
      <c r="J505" s="354"/>
      <c r="K505" s="355">
        <f>'[55]TARGET VERSI LAMA'!$E$351</f>
        <v>0</v>
      </c>
      <c r="L505" s="360">
        <f>[56]PerDinas!$N$558</f>
        <v>0</v>
      </c>
      <c r="M505" s="355">
        <f>[55]Perdinas!$P$327</f>
        <v>0</v>
      </c>
      <c r="N505" s="375">
        <f t="shared" si="81"/>
        <v>0</v>
      </c>
      <c r="O505" s="355">
        <f t="shared" si="82"/>
        <v>0</v>
      </c>
      <c r="P505" s="388" t="e">
        <f t="shared" si="83"/>
        <v>#DIV/0!</v>
      </c>
      <c r="Q505" s="441"/>
      <c r="R505" s="1170"/>
    </row>
    <row r="506" spans="1:19" s="859" customFormat="1">
      <c r="A506" s="293"/>
      <c r="B506" s="292"/>
      <c r="C506" s="292"/>
      <c r="D506" s="292"/>
      <c r="E506" s="292"/>
      <c r="F506" s="292"/>
      <c r="G506" s="855" t="s">
        <v>50</v>
      </c>
      <c r="H506" s="850" t="s">
        <v>776</v>
      </c>
      <c r="I506" s="253"/>
      <c r="J506" s="354"/>
      <c r="K506" s="355">
        <f>'[55]TARGET VERSI LAMA'!$E$352</f>
        <v>0</v>
      </c>
      <c r="L506" s="360">
        <f>[56]PerDinas!$N$559</f>
        <v>0</v>
      </c>
      <c r="M506" s="355">
        <f>[55]Perdinas!$P$328</f>
        <v>0</v>
      </c>
      <c r="N506" s="375">
        <f t="shared" si="81"/>
        <v>0</v>
      </c>
      <c r="O506" s="355">
        <f t="shared" si="82"/>
        <v>0</v>
      </c>
      <c r="P506" s="388" t="e">
        <f t="shared" si="83"/>
        <v>#DIV/0!</v>
      </c>
      <c r="Q506" s="441"/>
      <c r="R506" s="1170"/>
    </row>
    <row r="507" spans="1:19" s="859" customFormat="1">
      <c r="A507" s="293"/>
      <c r="B507" s="292"/>
      <c r="C507" s="292"/>
      <c r="D507" s="292"/>
      <c r="E507" s="292"/>
      <c r="F507" s="292"/>
      <c r="G507" s="855" t="s">
        <v>50</v>
      </c>
      <c r="H507" s="850" t="s">
        <v>777</v>
      </c>
      <c r="I507" s="253"/>
      <c r="J507" s="354"/>
      <c r="K507" s="355">
        <f>'[55]TARGET VERSI LAMA'!$E$353</f>
        <v>0</v>
      </c>
      <c r="L507" s="360">
        <f>[56]PerDinas!$N$560</f>
        <v>0</v>
      </c>
      <c r="M507" s="355">
        <f>[55]Perdinas!$P$329</f>
        <v>0</v>
      </c>
      <c r="N507" s="375">
        <f t="shared" si="81"/>
        <v>0</v>
      </c>
      <c r="O507" s="355">
        <f t="shared" si="82"/>
        <v>0</v>
      </c>
      <c r="P507" s="388" t="e">
        <f t="shared" si="83"/>
        <v>#DIV/0!</v>
      </c>
      <c r="Q507" s="441"/>
      <c r="R507" s="1170"/>
    </row>
    <row r="508" spans="1:19" s="859" customFormat="1">
      <c r="A508" s="293"/>
      <c r="B508" s="292"/>
      <c r="C508" s="292"/>
      <c r="D508" s="292"/>
      <c r="E508" s="292"/>
      <c r="F508" s="292"/>
      <c r="G508" s="855" t="s">
        <v>50</v>
      </c>
      <c r="H508" s="850" t="s">
        <v>778</v>
      </c>
      <c r="I508" s="253"/>
      <c r="J508" s="354"/>
      <c r="K508" s="355">
        <f>'[55]TARGET MURNI DAN PERUBAHAN'!$D$254</f>
        <v>0</v>
      </c>
      <c r="L508" s="360">
        <f>[56]PerDinas!$N$561</f>
        <v>0</v>
      </c>
      <c r="M508" s="355">
        <f>[55]Perdinas!$P$330</f>
        <v>0</v>
      </c>
      <c r="N508" s="375">
        <f t="shared" si="81"/>
        <v>0</v>
      </c>
      <c r="O508" s="355">
        <f t="shared" si="82"/>
        <v>0</v>
      </c>
      <c r="P508" s="388" t="e">
        <f t="shared" si="83"/>
        <v>#DIV/0!</v>
      </c>
      <c r="Q508" s="441"/>
      <c r="R508" s="1170"/>
    </row>
    <row r="509" spans="1:19" s="859" customFormat="1">
      <c r="A509" s="293"/>
      <c r="B509" s="292"/>
      <c r="C509" s="292"/>
      <c r="D509" s="292"/>
      <c r="E509" s="292"/>
      <c r="F509" s="292"/>
      <c r="G509" s="253"/>
      <c r="H509" s="253"/>
      <c r="I509" s="253"/>
      <c r="J509" s="354"/>
      <c r="K509" s="355"/>
      <c r="L509" s="360"/>
      <c r="M509" s="355"/>
      <c r="N509" s="355"/>
      <c r="O509" s="355"/>
      <c r="P509" s="388"/>
      <c r="Q509" s="441"/>
      <c r="R509" s="1170"/>
    </row>
    <row r="510" spans="1:19" s="859" customFormat="1">
      <c r="A510" s="293"/>
      <c r="B510" s="292">
        <v>4</v>
      </c>
      <c r="C510" s="292">
        <v>1</v>
      </c>
      <c r="D510" s="292">
        <v>4</v>
      </c>
      <c r="E510" s="292"/>
      <c r="F510" s="292"/>
      <c r="G510" s="291" t="s">
        <v>990</v>
      </c>
      <c r="H510" s="253"/>
      <c r="I510" s="253"/>
      <c r="J510" s="354">
        <f>+J513</f>
        <v>30000000</v>
      </c>
      <c r="K510" s="371">
        <f>SUM(K511:K514)</f>
        <v>68944925050</v>
      </c>
      <c r="L510" s="372">
        <f>SUM(L511:L514)</f>
        <v>1287242752.8399999</v>
      </c>
      <c r="M510" s="371">
        <f>SUM(M511:M514)</f>
        <v>59386377870</v>
      </c>
      <c r="N510" s="367">
        <f>+M510+L510</f>
        <v>60673620622.839996</v>
      </c>
      <c r="O510" s="367">
        <f>N510-K510</f>
        <v>-8271304427.1600037</v>
      </c>
      <c r="P510" s="399">
        <v>0</v>
      </c>
      <c r="Q510" s="651"/>
      <c r="R510" s="1170"/>
    </row>
    <row r="511" spans="1:19" s="859" customFormat="1">
      <c r="A511" s="293"/>
      <c r="B511" s="292">
        <v>4</v>
      </c>
      <c r="C511" s="292">
        <v>1</v>
      </c>
      <c r="D511" s="292">
        <v>4</v>
      </c>
      <c r="E511" s="292" t="s">
        <v>444</v>
      </c>
      <c r="F511" s="292" t="s">
        <v>445</v>
      </c>
      <c r="G511" s="253" t="s">
        <v>73</v>
      </c>
      <c r="H511" s="253"/>
      <c r="I511" s="253"/>
      <c r="J511" s="354">
        <v>0</v>
      </c>
      <c r="K511" s="355">
        <f>'[55]TARGET VERSI LAMA'!$E$357</f>
        <v>0</v>
      </c>
      <c r="L511" s="360">
        <f>[56]PerDinas!$N$564</f>
        <v>0</v>
      </c>
      <c r="M511" s="355">
        <f>[55]Perdinas!$P$334</f>
        <v>0</v>
      </c>
      <c r="N511" s="369">
        <f>M511+L511</f>
        <v>0</v>
      </c>
      <c r="O511" s="355">
        <f>N511-K511</f>
        <v>0</v>
      </c>
      <c r="P511" s="388"/>
      <c r="Q511" s="441"/>
      <c r="R511" s="1170"/>
    </row>
    <row r="512" spans="1:19" s="859" customFormat="1">
      <c r="A512" s="293"/>
      <c r="B512" s="292">
        <v>4</v>
      </c>
      <c r="C512" s="292">
        <v>1</v>
      </c>
      <c r="D512" s="292">
        <v>4</v>
      </c>
      <c r="E512" s="292" t="s">
        <v>444</v>
      </c>
      <c r="F512" s="292" t="s">
        <v>451</v>
      </c>
      <c r="G512" s="253" t="s">
        <v>74</v>
      </c>
      <c r="H512" s="253"/>
      <c r="I512" s="253"/>
      <c r="J512" s="354">
        <v>0</v>
      </c>
      <c r="K512" s="355">
        <f>'[55]TARGET VERSI LAMA'!$E$358</f>
        <v>0</v>
      </c>
      <c r="L512" s="360">
        <f>[56]PerDinas!$N$565</f>
        <v>0</v>
      </c>
      <c r="M512" s="355">
        <f>[55]Perdinas!$P$335</f>
        <v>0</v>
      </c>
      <c r="N512" s="369">
        <f>M512+L512</f>
        <v>0</v>
      </c>
      <c r="O512" s="355">
        <f>N512-K512</f>
        <v>0</v>
      </c>
      <c r="P512" s="388"/>
      <c r="Q512" s="441"/>
      <c r="R512" s="1170"/>
    </row>
    <row r="513" spans="1:18" s="859" customFormat="1">
      <c r="A513" s="293"/>
      <c r="B513" s="292">
        <v>4</v>
      </c>
      <c r="C513" s="292">
        <v>1</v>
      </c>
      <c r="D513" s="292">
        <v>4</v>
      </c>
      <c r="E513" s="292" t="s">
        <v>444</v>
      </c>
      <c r="F513" s="292" t="s">
        <v>441</v>
      </c>
      <c r="G513" s="253" t="s">
        <v>779</v>
      </c>
      <c r="H513" s="253"/>
      <c r="I513" s="253"/>
      <c r="J513" s="354">
        <v>30000000</v>
      </c>
      <c r="K513" s="369">
        <f>'[55]TARGET VERSI LAMA'!$E$359</f>
        <v>3000000000</v>
      </c>
      <c r="L513" s="360">
        <f>[56]PerDinas!$N$566</f>
        <v>115306402.84</v>
      </c>
      <c r="M513" s="355">
        <f>[55]Perdinas!$P$336</f>
        <v>1000000</v>
      </c>
      <c r="N513" s="369">
        <f>M513+L513</f>
        <v>116306402.84</v>
      </c>
      <c r="O513" s="355">
        <f>N513-K513</f>
        <v>-2883693597.1599998</v>
      </c>
      <c r="P513" s="388">
        <f>N513/K513*100</f>
        <v>3.8768800946666668</v>
      </c>
      <c r="Q513" s="448"/>
      <c r="R513" s="1170"/>
    </row>
    <row r="514" spans="1:18" s="859" customFormat="1">
      <c r="A514" s="293"/>
      <c r="B514" s="292">
        <v>4</v>
      </c>
      <c r="C514" s="292">
        <v>1</v>
      </c>
      <c r="D514" s="292">
        <v>4</v>
      </c>
      <c r="E514" s="292" t="s">
        <v>444</v>
      </c>
      <c r="F514" s="292" t="s">
        <v>456</v>
      </c>
      <c r="G514" s="200" t="s">
        <v>226</v>
      </c>
      <c r="H514" s="253"/>
      <c r="I514" s="253"/>
      <c r="J514" s="354"/>
      <c r="K514" s="369">
        <f>'[55]TARGET VERSI LAMA'!$E$360</f>
        <v>65944925050</v>
      </c>
      <c r="L514" s="360">
        <f>[56]PerDinas!$N$567</f>
        <v>1171936350</v>
      </c>
      <c r="M514" s="355">
        <f>[55]Perdinas!$P$337</f>
        <v>59385377870</v>
      </c>
      <c r="N514" s="369">
        <f>M514+L514</f>
        <v>60557314220</v>
      </c>
      <c r="O514" s="355">
        <f>N514-K514</f>
        <v>-5387610830</v>
      </c>
      <c r="P514" s="388">
        <f>N514/K514*100</f>
        <v>91.830135789956429</v>
      </c>
      <c r="Q514" s="448"/>
      <c r="R514" s="1170"/>
    </row>
    <row r="515" spans="1:18" s="859" customFormat="1">
      <c r="A515" s="293"/>
      <c r="B515" s="292"/>
      <c r="C515" s="292"/>
      <c r="D515" s="292"/>
      <c r="E515" s="292"/>
      <c r="F515" s="292"/>
      <c r="G515" s="253"/>
      <c r="H515" s="253"/>
      <c r="I515" s="253"/>
      <c r="J515" s="374"/>
      <c r="K515" s="375"/>
      <c r="L515" s="375"/>
      <c r="M515" s="375"/>
      <c r="N515" s="355"/>
      <c r="O515" s="355"/>
      <c r="P515" s="388"/>
      <c r="Q515" s="1494"/>
      <c r="R515" s="1170"/>
    </row>
    <row r="516" spans="1:18" s="859" customFormat="1">
      <c r="A516" s="293"/>
      <c r="B516" s="292">
        <v>4</v>
      </c>
      <c r="C516" s="292">
        <v>1</v>
      </c>
      <c r="D516" s="292">
        <v>4</v>
      </c>
      <c r="E516" s="292" t="s">
        <v>441</v>
      </c>
      <c r="F516" s="292"/>
      <c r="G516" s="291" t="s">
        <v>557</v>
      </c>
      <c r="H516" s="253"/>
      <c r="I516" s="253"/>
      <c r="J516" s="374"/>
      <c r="K516" s="398">
        <f>SUM(K517)</f>
        <v>0</v>
      </c>
      <c r="L516" s="398">
        <f>SUM(L517)</f>
        <v>0</v>
      </c>
      <c r="M516" s="398">
        <f>SUM(M517)</f>
        <v>0</v>
      </c>
      <c r="N516" s="398">
        <f t="shared" ref="N516:N523" si="84">M516+L516</f>
        <v>0</v>
      </c>
      <c r="O516" s="371">
        <f>N516-K516</f>
        <v>0</v>
      </c>
      <c r="P516" s="778" t="e">
        <f>N516/K516*100</f>
        <v>#DIV/0!</v>
      </c>
      <c r="Q516" s="1495"/>
      <c r="R516" s="1170"/>
    </row>
    <row r="517" spans="1:18" s="859" customFormat="1">
      <c r="A517" s="293"/>
      <c r="B517" s="292">
        <v>4</v>
      </c>
      <c r="C517" s="292">
        <v>1</v>
      </c>
      <c r="D517" s="292">
        <v>4</v>
      </c>
      <c r="E517" s="292" t="s">
        <v>441</v>
      </c>
      <c r="F517" s="292" t="s">
        <v>437</v>
      </c>
      <c r="G517" s="2760" t="s">
        <v>50</v>
      </c>
      <c r="H517" s="253" t="s">
        <v>710</v>
      </c>
      <c r="I517" s="253"/>
      <c r="J517" s="374"/>
      <c r="K517" s="355">
        <f>'[55]TARGET VERSI LAMA'!$E$366</f>
        <v>0</v>
      </c>
      <c r="L517" s="355">
        <f>[56]PerDinas!$N$570</f>
        <v>0</v>
      </c>
      <c r="M517" s="355">
        <f>[55]Perdinas!$P$343</f>
        <v>0</v>
      </c>
      <c r="N517" s="375">
        <f t="shared" si="84"/>
        <v>0</v>
      </c>
      <c r="O517" s="355">
        <f>N517-K517</f>
        <v>0</v>
      </c>
      <c r="P517" s="388" t="e">
        <f>N517/K517*100</f>
        <v>#DIV/0!</v>
      </c>
      <c r="Q517" s="1494"/>
      <c r="R517" s="1170"/>
    </row>
    <row r="518" spans="1:18" s="859" customFormat="1">
      <c r="A518" s="293"/>
      <c r="B518" s="292"/>
      <c r="C518" s="292"/>
      <c r="D518" s="292"/>
      <c r="E518" s="292"/>
      <c r="F518" s="292"/>
      <c r="G518" s="253"/>
      <c r="H518" s="253"/>
      <c r="I518" s="253"/>
      <c r="J518" s="374"/>
      <c r="K518" s="375"/>
      <c r="L518" s="375"/>
      <c r="M518" s="375"/>
      <c r="N518" s="355"/>
      <c r="O518" s="355"/>
      <c r="P518" s="388"/>
      <c r="Q518" s="1494"/>
      <c r="R518" s="1170"/>
    </row>
    <row r="519" spans="1:18" s="859" customFormat="1">
      <c r="A519" s="293"/>
      <c r="B519" s="1476">
        <v>4</v>
      </c>
      <c r="C519" s="1476">
        <v>1</v>
      </c>
      <c r="D519" s="1476">
        <v>4</v>
      </c>
      <c r="E519" s="1476" t="s">
        <v>459</v>
      </c>
      <c r="F519" s="292"/>
      <c r="G519" s="291" t="s">
        <v>230</v>
      </c>
      <c r="H519" s="253"/>
      <c r="I519" s="253"/>
      <c r="J519" s="374"/>
      <c r="K519" s="398">
        <f>SUM(K520:K521)</f>
        <v>77234295</v>
      </c>
      <c r="L519" s="398">
        <f>SUM(L520:L521)</f>
        <v>0</v>
      </c>
      <c r="M519" s="398">
        <f>SUM(M520:M521)</f>
        <v>0</v>
      </c>
      <c r="N519" s="398">
        <f t="shared" si="84"/>
        <v>0</v>
      </c>
      <c r="O519" s="371">
        <f>N519-K519</f>
        <v>-77234295</v>
      </c>
      <c r="P519" s="778">
        <f>N519/K519*100</f>
        <v>0</v>
      </c>
      <c r="Q519" s="1495"/>
      <c r="R519" s="1170"/>
    </row>
    <row r="520" spans="1:18" s="859" customFormat="1">
      <c r="A520" s="293"/>
      <c r="B520" s="1476">
        <v>4</v>
      </c>
      <c r="C520" s="1476">
        <v>1</v>
      </c>
      <c r="D520" s="1476">
        <v>4</v>
      </c>
      <c r="E520" s="1476" t="s">
        <v>459</v>
      </c>
      <c r="F520" s="292" t="s">
        <v>437</v>
      </c>
      <c r="G520" s="2760" t="s">
        <v>50</v>
      </c>
      <c r="H520" s="253" t="s">
        <v>780</v>
      </c>
      <c r="I520" s="253"/>
      <c r="J520" s="374"/>
      <c r="K520" s="1194">
        <f>'[55]TARGET VERSI LAMA'!$E$369</f>
        <v>0</v>
      </c>
      <c r="L520" s="360">
        <f>[56]PerDinas!$N$573</f>
        <v>0</v>
      </c>
      <c r="M520" s="355">
        <f>[55]Perdinas!$P$346</f>
        <v>0</v>
      </c>
      <c r="N520" s="375">
        <f t="shared" si="84"/>
        <v>0</v>
      </c>
      <c r="O520" s="355">
        <f>N520-K520</f>
        <v>0</v>
      </c>
      <c r="P520" s="388" t="e">
        <f>N520/K520*100</f>
        <v>#DIV/0!</v>
      </c>
      <c r="Q520" s="1494"/>
      <c r="R520" s="1170"/>
    </row>
    <row r="521" spans="1:18" s="859" customFormat="1">
      <c r="A521" s="293"/>
      <c r="B521" s="1476">
        <v>4</v>
      </c>
      <c r="C521" s="1476">
        <v>1</v>
      </c>
      <c r="D521" s="1476">
        <v>4</v>
      </c>
      <c r="E521" s="1476" t="s">
        <v>459</v>
      </c>
      <c r="F521" s="292" t="s">
        <v>438</v>
      </c>
      <c r="G521" s="2760" t="s">
        <v>50</v>
      </c>
      <c r="H521" s="253" t="s">
        <v>781</v>
      </c>
      <c r="I521" s="253"/>
      <c r="J521" s="374"/>
      <c r="K521" s="1231">
        <f>SUM(K522:K523)</f>
        <v>77234295</v>
      </c>
      <c r="L521" s="375">
        <f>SUM(L522:L523)</f>
        <v>0</v>
      </c>
      <c r="M521" s="375">
        <f>SUM(M522:M523)</f>
        <v>0</v>
      </c>
      <c r="N521" s="375">
        <f t="shared" si="84"/>
        <v>0</v>
      </c>
      <c r="O521" s="355">
        <f>N521-K521</f>
        <v>-77234295</v>
      </c>
      <c r="P521" s="388">
        <f>N521/K521*100</f>
        <v>0</v>
      </c>
      <c r="Q521" s="1494"/>
      <c r="R521" s="1170"/>
    </row>
    <row r="522" spans="1:18" s="859" customFormat="1">
      <c r="A522" s="293"/>
      <c r="B522" s="292"/>
      <c r="C522" s="292"/>
      <c r="D522" s="292"/>
      <c r="E522" s="292"/>
      <c r="F522" s="292"/>
      <c r="G522" s="253"/>
      <c r="H522" s="2774" t="s">
        <v>782</v>
      </c>
      <c r="I522" s="253"/>
      <c r="J522" s="374"/>
      <c r="K522" s="355">
        <f>'[55]TARGET VERSI LAMA'!$E$371</f>
        <v>13170000</v>
      </c>
      <c r="L522" s="360">
        <f>[56]PerDinas!$N$575</f>
        <v>0</v>
      </c>
      <c r="M522" s="355">
        <f>[55]Perdinas!$P$348</f>
        <v>0</v>
      </c>
      <c r="N522" s="375">
        <f t="shared" si="84"/>
        <v>0</v>
      </c>
      <c r="O522" s="355">
        <f>N522-K522</f>
        <v>-13170000</v>
      </c>
      <c r="P522" s="388">
        <f>N522/K522*100</f>
        <v>0</v>
      </c>
      <c r="Q522" s="1494"/>
      <c r="R522" s="1170"/>
    </row>
    <row r="523" spans="1:18" s="859" customFormat="1">
      <c r="A523" s="293"/>
      <c r="B523" s="292"/>
      <c r="C523" s="292"/>
      <c r="D523" s="292"/>
      <c r="E523" s="292"/>
      <c r="F523" s="292"/>
      <c r="G523" s="253"/>
      <c r="H523" s="2774" t="s">
        <v>783</v>
      </c>
      <c r="I523" s="253"/>
      <c r="J523" s="374"/>
      <c r="K523" s="355">
        <f>'[55]TARGET VERSI LAMA'!$E$372</f>
        <v>64064295</v>
      </c>
      <c r="L523" s="360">
        <f>[56]PerDinas!$N$576</f>
        <v>0</v>
      </c>
      <c r="M523" s="355">
        <f>[55]Perdinas!$P$349</f>
        <v>0</v>
      </c>
      <c r="N523" s="375">
        <f t="shared" si="84"/>
        <v>0</v>
      </c>
      <c r="O523" s="355">
        <f>N523-K523</f>
        <v>-64064295</v>
      </c>
      <c r="P523" s="388">
        <f>N523/K523*100</f>
        <v>0</v>
      </c>
      <c r="Q523" s="1494"/>
      <c r="R523" s="1170"/>
    </row>
    <row r="524" spans="1:18" s="859" customFormat="1">
      <c r="A524" s="293"/>
      <c r="B524" s="292"/>
      <c r="C524" s="292"/>
      <c r="D524" s="292"/>
      <c r="E524" s="292"/>
      <c r="F524" s="292"/>
      <c r="G524" s="253"/>
      <c r="H524" s="253"/>
      <c r="I524" s="253"/>
      <c r="J524" s="374"/>
      <c r="K524" s="375"/>
      <c r="L524" s="377"/>
      <c r="M524" s="375"/>
      <c r="N524" s="355"/>
      <c r="O524" s="355"/>
      <c r="P524" s="388"/>
      <c r="Q524" s="1494"/>
      <c r="R524" s="1170"/>
    </row>
    <row r="525" spans="1:18" s="859" customFormat="1">
      <c r="A525" s="293"/>
      <c r="B525" s="292">
        <v>4</v>
      </c>
      <c r="C525" s="292">
        <v>1</v>
      </c>
      <c r="D525" s="292">
        <v>4</v>
      </c>
      <c r="E525" s="292" t="s">
        <v>948</v>
      </c>
      <c r="F525" s="292"/>
      <c r="G525" s="291" t="s">
        <v>991</v>
      </c>
      <c r="H525" s="253"/>
      <c r="I525" s="253"/>
      <c r="J525" s="374">
        <v>0</v>
      </c>
      <c r="K525" s="398">
        <f>SUM(K526:K528)</f>
        <v>6980745800</v>
      </c>
      <c r="L525" s="398">
        <f>SUM(L526:L528)</f>
        <v>762280485</v>
      </c>
      <c r="M525" s="398">
        <f>SUM(M526:M528)</f>
        <v>349635969</v>
      </c>
      <c r="N525" s="371">
        <f>M525+L525</f>
        <v>1111916454</v>
      </c>
      <c r="O525" s="371">
        <f>N525-K525</f>
        <v>-5868829346</v>
      </c>
      <c r="P525" s="778">
        <f>N525/K525*100</f>
        <v>15.928333244851862</v>
      </c>
      <c r="Q525" s="699"/>
      <c r="R525" s="1170"/>
    </row>
    <row r="526" spans="1:18" s="859" customFormat="1">
      <c r="A526" s="293"/>
      <c r="B526" s="292">
        <v>4</v>
      </c>
      <c r="C526" s="292">
        <v>1</v>
      </c>
      <c r="D526" s="292">
        <v>4</v>
      </c>
      <c r="E526" s="292" t="s">
        <v>948</v>
      </c>
      <c r="F526" s="292" t="s">
        <v>437</v>
      </c>
      <c r="G526" s="253" t="s">
        <v>50</v>
      </c>
      <c r="H526" s="253" t="s">
        <v>744</v>
      </c>
      <c r="I526" s="253"/>
      <c r="J526" s="374">
        <v>0</v>
      </c>
      <c r="K526" s="375">
        <f>'[55]TARGET VERSI LAMA'!$E$375</f>
        <v>0</v>
      </c>
      <c r="L526" s="375">
        <f>PerDinas!L587</f>
        <v>762280485</v>
      </c>
      <c r="M526" s="375">
        <f>PerDinas!M587</f>
        <v>349635969</v>
      </c>
      <c r="N526" s="375">
        <f>M526+L526</f>
        <v>1111916454</v>
      </c>
      <c r="O526" s="355">
        <f>N526-K526</f>
        <v>1111916454</v>
      </c>
      <c r="P526" s="388" t="e">
        <f>N526/K526*100</f>
        <v>#DIV/0!</v>
      </c>
      <c r="Q526" s="448"/>
      <c r="R526" s="1170"/>
    </row>
    <row r="527" spans="1:18" s="859" customFormat="1">
      <c r="A527" s="293"/>
      <c r="B527" s="292"/>
      <c r="C527" s="292"/>
      <c r="D527" s="292"/>
      <c r="E527" s="292"/>
      <c r="F527" s="292"/>
      <c r="G527" s="253" t="s">
        <v>50</v>
      </c>
      <c r="H527" s="253" t="s">
        <v>992</v>
      </c>
      <c r="I527" s="253"/>
      <c r="J527" s="374"/>
      <c r="K527" s="618">
        <f>'[55]TARGET VERSI LAMA'!$E$376</f>
        <v>3688800000</v>
      </c>
      <c r="L527" s="377">
        <f>[56]PerDinas!$N$640</f>
        <v>0</v>
      </c>
      <c r="M527" s="375">
        <f>[55]Perdinas!$P$416</f>
        <v>0</v>
      </c>
      <c r="N527" s="618">
        <f>M527+L527</f>
        <v>0</v>
      </c>
      <c r="O527" s="355">
        <f>N527-K527</f>
        <v>-3688800000</v>
      </c>
      <c r="P527" s="388">
        <f>N527/K527*100</f>
        <v>0</v>
      </c>
      <c r="Q527" s="448"/>
      <c r="R527" s="1170"/>
    </row>
    <row r="528" spans="1:18" s="859" customFormat="1">
      <c r="A528" s="293"/>
      <c r="B528" s="292"/>
      <c r="C528" s="292"/>
      <c r="D528" s="292"/>
      <c r="E528" s="292"/>
      <c r="F528" s="292"/>
      <c r="G528" s="253" t="s">
        <v>50</v>
      </c>
      <c r="H528" s="253" t="s">
        <v>993</v>
      </c>
      <c r="I528" s="253"/>
      <c r="J528" s="374"/>
      <c r="K528" s="618">
        <f>'[55]TARGET VERSI LAMA'!$E$377</f>
        <v>3291945800</v>
      </c>
      <c r="L528" s="377">
        <v>0</v>
      </c>
      <c r="M528" s="375">
        <f>[55]Perdinas!$P$363</f>
        <v>0</v>
      </c>
      <c r="N528" s="375">
        <f>M528+L528</f>
        <v>0</v>
      </c>
      <c r="O528" s="355">
        <f>N528-K528</f>
        <v>-3291945800</v>
      </c>
      <c r="P528" s="388">
        <f>N528/K528*100</f>
        <v>0</v>
      </c>
      <c r="Q528" s="448"/>
      <c r="R528" s="1170"/>
    </row>
    <row r="529" spans="1:18" s="859" customFormat="1">
      <c r="A529" s="654"/>
      <c r="B529" s="655"/>
      <c r="C529" s="655"/>
      <c r="D529" s="655"/>
      <c r="E529" s="655"/>
      <c r="F529" s="655"/>
      <c r="G529" s="1477"/>
      <c r="H529" s="1478"/>
      <c r="I529" s="656"/>
      <c r="J529" s="680"/>
      <c r="K529" s="681"/>
      <c r="L529" s="682"/>
      <c r="M529" s="681"/>
      <c r="N529" s="681"/>
      <c r="O529" s="527"/>
      <c r="P529" s="671"/>
      <c r="Q529" s="698"/>
      <c r="R529" s="1170"/>
    </row>
    <row r="530" spans="1:18" s="189" customFormat="1">
      <c r="A530" s="1479"/>
      <c r="B530" s="1480" t="s">
        <v>58</v>
      </c>
      <c r="C530" s="1480" t="s">
        <v>849</v>
      </c>
      <c r="D530" s="1480" t="s">
        <v>451</v>
      </c>
      <c r="E530" s="1480" t="s">
        <v>437</v>
      </c>
      <c r="F530" s="1481"/>
      <c r="G530" s="1482" t="s">
        <v>994</v>
      </c>
      <c r="H530" s="1483"/>
      <c r="I530" s="1483"/>
      <c r="J530" s="1484"/>
      <c r="K530" s="1485">
        <f>K531</f>
        <v>0</v>
      </c>
      <c r="L530" s="1485">
        <f>L531</f>
        <v>0</v>
      </c>
      <c r="M530" s="1485">
        <f>M531</f>
        <v>0</v>
      </c>
      <c r="N530" s="1485">
        <f>M530+L530</f>
        <v>0</v>
      </c>
      <c r="O530" s="1485">
        <f>N530-K530</f>
        <v>0</v>
      </c>
      <c r="P530" s="1486"/>
      <c r="Q530" s="1496"/>
      <c r="R530" s="422"/>
    </row>
    <row r="531" spans="1:18" s="189" customFormat="1">
      <c r="A531" s="906"/>
      <c r="B531" s="287"/>
      <c r="C531" s="287"/>
      <c r="D531" s="287"/>
      <c r="E531" s="287"/>
      <c r="F531" s="287"/>
      <c r="G531" s="851" t="s">
        <v>50</v>
      </c>
      <c r="H531" s="410"/>
      <c r="I531" s="410" t="s">
        <v>995</v>
      </c>
      <c r="J531" s="389"/>
      <c r="K531" s="357">
        <f>'[55]TARGET VERSI LAMA'!$E$379</f>
        <v>0</v>
      </c>
      <c r="L531" s="391">
        <f>[56]PerDinas!$N$643</f>
        <v>0</v>
      </c>
      <c r="M531" s="357">
        <f>[55]Perdinas!$P$419</f>
        <v>0</v>
      </c>
      <c r="N531" s="357">
        <f>M531+L531</f>
        <v>0</v>
      </c>
      <c r="O531" s="357">
        <f>N531-K531</f>
        <v>0</v>
      </c>
      <c r="P531" s="358" t="e">
        <f>N531/K531*100</f>
        <v>#DIV/0!</v>
      </c>
      <c r="Q531" s="442"/>
      <c r="R531" s="422"/>
    </row>
    <row r="532" spans="1:18" s="189" customFormat="1">
      <c r="A532" s="907"/>
      <c r="B532" s="469"/>
      <c r="C532" s="469"/>
      <c r="D532" s="469"/>
      <c r="E532" s="469"/>
      <c r="F532" s="469"/>
      <c r="G532" s="450"/>
      <c r="H532" s="245"/>
      <c r="I532" s="245"/>
      <c r="J532" s="482"/>
      <c r="K532" s="404"/>
      <c r="L532" s="404"/>
      <c r="M532" s="404"/>
      <c r="N532" s="404"/>
      <c r="O532" s="404"/>
      <c r="P532" s="483"/>
      <c r="Q532" s="456"/>
      <c r="R532" s="422"/>
    </row>
    <row r="533" spans="1:18" s="244" customFormat="1">
      <c r="A533" s="1319" t="s">
        <v>300</v>
      </c>
      <c r="B533" s="1320" t="s">
        <v>58</v>
      </c>
      <c r="C533" s="1320" t="s">
        <v>849</v>
      </c>
      <c r="D533" s="1320" t="s">
        <v>448</v>
      </c>
      <c r="E533" s="1320"/>
      <c r="F533" s="1320"/>
      <c r="G533" s="1321" t="s">
        <v>828</v>
      </c>
      <c r="H533" s="1321"/>
      <c r="I533" s="1321"/>
      <c r="J533" s="1330">
        <f>+J535</f>
        <v>750000000</v>
      </c>
      <c r="K533" s="1331">
        <f>+K535</f>
        <v>1500000000</v>
      </c>
      <c r="L533" s="1331">
        <f>+L535</f>
        <v>937009750</v>
      </c>
      <c r="M533" s="1331">
        <f>+M535</f>
        <v>160629447</v>
      </c>
      <c r="N533" s="1331">
        <f>M533+L533</f>
        <v>1097639197</v>
      </c>
      <c r="O533" s="1331">
        <f>+N533-K533</f>
        <v>-402360803</v>
      </c>
      <c r="P533" s="1487">
        <f>+N533/K533*100</f>
        <v>73.175946466666659</v>
      </c>
      <c r="Q533" s="1340"/>
      <c r="R533" s="422"/>
    </row>
    <row r="534" spans="1:18" s="189" customFormat="1">
      <c r="A534" s="1409"/>
      <c r="B534" s="1324"/>
      <c r="C534" s="1324"/>
      <c r="D534" s="1324"/>
      <c r="E534" s="1324"/>
      <c r="F534" s="1324"/>
      <c r="G534" s="1325"/>
      <c r="H534" s="1325"/>
      <c r="I534" s="1325"/>
      <c r="J534" s="757"/>
      <c r="K534" s="758"/>
      <c r="L534" s="758"/>
      <c r="M534" s="758"/>
      <c r="N534" s="758"/>
      <c r="O534" s="758"/>
      <c r="P534" s="690"/>
      <c r="Q534" s="782"/>
      <c r="R534" s="422"/>
    </row>
    <row r="535" spans="1:18" s="189" customFormat="1">
      <c r="A535" s="293"/>
      <c r="B535" s="290">
        <v>4</v>
      </c>
      <c r="C535" s="290">
        <v>1</v>
      </c>
      <c r="D535" s="290"/>
      <c r="E535" s="290"/>
      <c r="F535" s="290"/>
      <c r="G535" s="291" t="s">
        <v>180</v>
      </c>
      <c r="H535" s="291"/>
      <c r="I535" s="291"/>
      <c r="J535" s="387">
        <f>+J537+J541</f>
        <v>750000000</v>
      </c>
      <c r="K535" s="367">
        <f>+K537+K541</f>
        <v>1500000000</v>
      </c>
      <c r="L535" s="367">
        <f>+L537+L541</f>
        <v>937009750</v>
      </c>
      <c r="M535" s="367">
        <f>+M537+M541</f>
        <v>160629447</v>
      </c>
      <c r="N535" s="367">
        <f>+M535+L535</f>
        <v>1097639197</v>
      </c>
      <c r="O535" s="367">
        <f>N535-K535</f>
        <v>-402360803</v>
      </c>
      <c r="P535" s="347">
        <f>N535/K535*100</f>
        <v>73.175946466666659</v>
      </c>
      <c r="Q535" s="454"/>
      <c r="R535" s="422"/>
    </row>
    <row r="536" spans="1:18" s="189" customFormat="1">
      <c r="A536" s="293"/>
      <c r="B536" s="292"/>
      <c r="C536" s="292"/>
      <c r="D536" s="292"/>
      <c r="E536" s="292"/>
      <c r="F536" s="292"/>
      <c r="G536" s="253"/>
      <c r="H536" s="253"/>
      <c r="I536" s="291"/>
      <c r="J536" s="387"/>
      <c r="K536" s="367"/>
      <c r="L536" s="367"/>
      <c r="M536" s="367"/>
      <c r="N536" s="367"/>
      <c r="O536" s="367"/>
      <c r="P536" s="347"/>
      <c r="Q536" s="454"/>
      <c r="R536" s="422"/>
    </row>
    <row r="537" spans="1:18" s="189" customFormat="1">
      <c r="A537" s="293"/>
      <c r="B537" s="290">
        <v>4</v>
      </c>
      <c r="C537" s="290">
        <v>1</v>
      </c>
      <c r="D537" s="290">
        <v>2</v>
      </c>
      <c r="E537" s="290"/>
      <c r="F537" s="290"/>
      <c r="G537" s="291" t="s">
        <v>106</v>
      </c>
      <c r="H537" s="291"/>
      <c r="I537" s="291"/>
      <c r="J537" s="387">
        <f t="shared" ref="J537:M538" si="85">+J538</f>
        <v>750000000</v>
      </c>
      <c r="K537" s="367">
        <f t="shared" si="85"/>
        <v>1500000000</v>
      </c>
      <c r="L537" s="367">
        <f t="shared" si="85"/>
        <v>925050000</v>
      </c>
      <c r="M537" s="367">
        <f t="shared" si="85"/>
        <v>148850000</v>
      </c>
      <c r="N537" s="367">
        <f>+M537+L537</f>
        <v>1073900000</v>
      </c>
      <c r="O537" s="367">
        <f>N537-K537</f>
        <v>-426100000</v>
      </c>
      <c r="P537" s="347">
        <f>N537/K537*100</f>
        <v>71.593333333333334</v>
      </c>
      <c r="Q537" s="454"/>
      <c r="R537" s="422"/>
    </row>
    <row r="538" spans="1:18" s="189" customFormat="1">
      <c r="A538" s="293"/>
      <c r="B538" s="292">
        <v>4</v>
      </c>
      <c r="C538" s="292">
        <v>1</v>
      </c>
      <c r="D538" s="292">
        <v>2</v>
      </c>
      <c r="E538" s="292" t="s">
        <v>438</v>
      </c>
      <c r="F538" s="292"/>
      <c r="G538" s="253" t="s">
        <v>374</v>
      </c>
      <c r="H538" s="253"/>
      <c r="I538" s="253"/>
      <c r="J538" s="354">
        <f t="shared" si="85"/>
        <v>750000000</v>
      </c>
      <c r="K538" s="355">
        <f t="shared" si="85"/>
        <v>1500000000</v>
      </c>
      <c r="L538" s="355">
        <f t="shared" si="85"/>
        <v>925050000</v>
      </c>
      <c r="M538" s="355">
        <f t="shared" si="85"/>
        <v>148850000</v>
      </c>
      <c r="N538" s="346">
        <f>+M538+L538</f>
        <v>1073900000</v>
      </c>
      <c r="O538" s="346">
        <f>N538-K538</f>
        <v>-426100000</v>
      </c>
      <c r="P538" s="347">
        <f>N538/K538*100</f>
        <v>71.593333333333334</v>
      </c>
      <c r="Q538" s="1497"/>
      <c r="R538" s="422"/>
    </row>
    <row r="539" spans="1:18" s="189" customFormat="1">
      <c r="A539" s="293"/>
      <c r="B539" s="292">
        <v>4</v>
      </c>
      <c r="C539" s="292">
        <v>1</v>
      </c>
      <c r="D539" s="292">
        <v>2</v>
      </c>
      <c r="E539" s="292" t="s">
        <v>438</v>
      </c>
      <c r="F539" s="292" t="s">
        <v>440</v>
      </c>
      <c r="G539" s="253" t="s">
        <v>304</v>
      </c>
      <c r="H539" s="253"/>
      <c r="I539" s="253"/>
      <c r="J539" s="374">
        <v>750000000</v>
      </c>
      <c r="K539" s="376">
        <f>'[55]TARGET VERSI LAMA'!$E$383</f>
        <v>1500000000</v>
      </c>
      <c r="L539" s="377">
        <f>[56]PerDinas!$N$651</f>
        <v>925050000</v>
      </c>
      <c r="M539" s="375">
        <f>[55]Perdinas!$P$431</f>
        <v>148850000</v>
      </c>
      <c r="N539" s="369">
        <f t="shared" ref="N539:N544" si="86">M539+L539</f>
        <v>1073900000</v>
      </c>
      <c r="O539" s="355">
        <f>N539-K539</f>
        <v>-426100000</v>
      </c>
      <c r="P539" s="388">
        <f>N539/K539*100</f>
        <v>71.593333333333334</v>
      </c>
      <c r="Q539" s="1497"/>
      <c r="R539" s="422"/>
    </row>
    <row r="540" spans="1:18" s="189" customFormat="1">
      <c r="A540" s="293"/>
      <c r="B540" s="292"/>
      <c r="C540" s="292"/>
      <c r="D540" s="292"/>
      <c r="E540" s="292"/>
      <c r="F540" s="292"/>
      <c r="G540" s="253"/>
      <c r="H540" s="253"/>
      <c r="I540" s="253"/>
      <c r="J540" s="374"/>
      <c r="K540" s="375"/>
      <c r="L540" s="377"/>
      <c r="M540" s="375"/>
      <c r="N540" s="355"/>
      <c r="O540" s="355"/>
      <c r="P540" s="388"/>
      <c r="Q540" s="1497"/>
      <c r="R540" s="422"/>
    </row>
    <row r="541" spans="1:18" s="189" customFormat="1">
      <c r="A541" s="293"/>
      <c r="B541" s="290">
        <v>4</v>
      </c>
      <c r="C541" s="290">
        <v>1</v>
      </c>
      <c r="D541" s="290">
        <v>4</v>
      </c>
      <c r="E541" s="290"/>
      <c r="F541" s="290"/>
      <c r="G541" s="291" t="s">
        <v>71</v>
      </c>
      <c r="H541" s="291"/>
      <c r="I541" s="291"/>
      <c r="J541" s="397">
        <f>+J542</f>
        <v>0</v>
      </c>
      <c r="K541" s="398">
        <f>+K542</f>
        <v>0</v>
      </c>
      <c r="L541" s="398">
        <f>+L542</f>
        <v>11959750</v>
      </c>
      <c r="M541" s="398">
        <f>+M542</f>
        <v>11779447</v>
      </c>
      <c r="N541" s="398">
        <f>+N542</f>
        <v>23739197</v>
      </c>
      <c r="O541" s="367">
        <f>N541-K541</f>
        <v>23739197</v>
      </c>
      <c r="P541" s="347"/>
      <c r="Q541" s="699"/>
      <c r="R541" s="422"/>
    </row>
    <row r="542" spans="1:18" s="189" customFormat="1">
      <c r="A542" s="293"/>
      <c r="B542" s="292">
        <v>4</v>
      </c>
      <c r="C542" s="292">
        <v>1</v>
      </c>
      <c r="D542" s="292">
        <v>4</v>
      </c>
      <c r="E542" s="292" t="s">
        <v>948</v>
      </c>
      <c r="F542" s="292"/>
      <c r="G542" s="253" t="s">
        <v>321</v>
      </c>
      <c r="H542" s="253"/>
      <c r="I542" s="253"/>
      <c r="J542" s="374">
        <f>+J543</f>
        <v>0</v>
      </c>
      <c r="K542" s="375">
        <f>+K543</f>
        <v>0</v>
      </c>
      <c r="L542" s="375">
        <f>+L543+L544</f>
        <v>11959750</v>
      </c>
      <c r="M542" s="375">
        <f>+M543+M544</f>
        <v>11779447</v>
      </c>
      <c r="N542" s="346">
        <f>+M542+L542</f>
        <v>23739197</v>
      </c>
      <c r="O542" s="346">
        <f>N542-K542</f>
        <v>23739197</v>
      </c>
      <c r="P542" s="347"/>
      <c r="Q542" s="448"/>
      <c r="R542" s="422"/>
    </row>
    <row r="543" spans="1:18" s="189" customFormat="1">
      <c r="A543" s="293"/>
      <c r="B543" s="292">
        <v>4</v>
      </c>
      <c r="C543" s="292">
        <v>1</v>
      </c>
      <c r="D543" s="292">
        <v>4</v>
      </c>
      <c r="E543" s="292" t="s">
        <v>948</v>
      </c>
      <c r="F543" s="292" t="s">
        <v>437</v>
      </c>
      <c r="G543" s="253" t="s">
        <v>50</v>
      </c>
      <c r="H543" s="253"/>
      <c r="I543" s="253" t="s">
        <v>471</v>
      </c>
      <c r="J543" s="374">
        <v>0</v>
      </c>
      <c r="K543" s="375">
        <f>'[55]TARGET VERSI LAMA'!$E$386</f>
        <v>0</v>
      </c>
      <c r="L543" s="375">
        <f>'[58]PERDINAS VERSI LAMA'!$N$543</f>
        <v>11959750</v>
      </c>
      <c r="M543" s="375">
        <f>[55]Perdinas!$P$437</f>
        <v>11779447</v>
      </c>
      <c r="N543" s="355">
        <f t="shared" si="86"/>
        <v>23739197</v>
      </c>
      <c r="O543" s="355">
        <f>N543-K543</f>
        <v>23739197</v>
      </c>
      <c r="P543" s="388"/>
      <c r="Q543" s="448"/>
      <c r="R543" s="422"/>
    </row>
    <row r="544" spans="1:18" s="189" customFormat="1">
      <c r="A544" s="293"/>
      <c r="B544" s="292" t="s">
        <v>443</v>
      </c>
      <c r="C544" s="292" t="s">
        <v>58</v>
      </c>
      <c r="D544" s="292" t="s">
        <v>443</v>
      </c>
      <c r="E544" s="292" t="s">
        <v>948</v>
      </c>
      <c r="F544" s="292" t="s">
        <v>441</v>
      </c>
      <c r="G544" s="253" t="s">
        <v>50</v>
      </c>
      <c r="H544" s="253"/>
      <c r="I544" s="253" t="s">
        <v>76</v>
      </c>
      <c r="J544" s="374"/>
      <c r="K544" s="375">
        <f>'[55]TARGET VERSI LAMA'!$E$387</f>
        <v>0</v>
      </c>
      <c r="L544" s="375">
        <f>[56]PerDinas!$N$656</f>
        <v>0</v>
      </c>
      <c r="M544" s="375">
        <f>[55]Perdinas!$P$398</f>
        <v>0</v>
      </c>
      <c r="N544" s="355">
        <f t="shared" si="86"/>
        <v>0</v>
      </c>
      <c r="O544" s="355">
        <f>N544-K544</f>
        <v>0</v>
      </c>
      <c r="P544" s="388"/>
      <c r="Q544" s="5880"/>
      <c r="R544" s="422"/>
    </row>
    <row r="545" spans="1:19" s="245" customFormat="1">
      <c r="A545" s="654"/>
      <c r="B545" s="655"/>
      <c r="C545" s="655"/>
      <c r="D545" s="655"/>
      <c r="E545" s="655"/>
      <c r="F545" s="655"/>
      <c r="G545" s="656"/>
      <c r="H545" s="656"/>
      <c r="I545" s="656"/>
      <c r="J545" s="680"/>
      <c r="K545" s="681"/>
      <c r="L545" s="681"/>
      <c r="M545" s="681"/>
      <c r="N545" s="527"/>
      <c r="O545" s="527"/>
      <c r="P545" s="671"/>
      <c r="Q545" s="5881"/>
      <c r="R545" s="422"/>
    </row>
    <row r="546" spans="1:19" s="244" customFormat="1" ht="15.05">
      <c r="A546" s="1383" t="s">
        <v>302</v>
      </c>
      <c r="B546" s="1378" t="s">
        <v>58</v>
      </c>
      <c r="C546" s="1378" t="s">
        <v>849</v>
      </c>
      <c r="D546" s="1378" t="s">
        <v>969</v>
      </c>
      <c r="E546" s="1378"/>
      <c r="F546" s="1378"/>
      <c r="G546" s="5864" t="s">
        <v>830</v>
      </c>
      <c r="H546" s="5865"/>
      <c r="I546" s="5866"/>
      <c r="J546" s="1396" t="e">
        <f>+J547</f>
        <v>#REF!</v>
      </c>
      <c r="K546" s="1397">
        <f>+K547</f>
        <v>23110942400</v>
      </c>
      <c r="L546" s="1488">
        <f>+L547</f>
        <v>22165206149.34</v>
      </c>
      <c r="M546" s="1488">
        <f>+M547</f>
        <v>2229447620.02</v>
      </c>
      <c r="N546" s="1488">
        <f t="shared" ref="N546:N551" si="87">M546+L546</f>
        <v>24394653769.360001</v>
      </c>
      <c r="O546" s="1488">
        <f>+N546-K546</f>
        <v>1283711369.3600006</v>
      </c>
      <c r="P546" s="1489">
        <f>+N546/K546*100</f>
        <v>105.55456089648685</v>
      </c>
      <c r="Q546" s="1498"/>
      <c r="R546" s="422"/>
    </row>
    <row r="547" spans="1:19" s="189" customFormat="1" ht="15.05">
      <c r="A547" s="1417"/>
      <c r="B547" s="1418">
        <v>4</v>
      </c>
      <c r="C547" s="1418">
        <v>1</v>
      </c>
      <c r="D547" s="1418"/>
      <c r="E547" s="1418"/>
      <c r="F547" s="1418"/>
      <c r="G547" s="1325" t="s">
        <v>180</v>
      </c>
      <c r="H547" s="1325"/>
      <c r="I547" s="1325"/>
      <c r="J547" s="757" t="e">
        <f>J553</f>
        <v>#REF!</v>
      </c>
      <c r="K547" s="758">
        <f>K553+K549</f>
        <v>23110942400</v>
      </c>
      <c r="L547" s="1490">
        <f>L553+L549</f>
        <v>22165206149.34</v>
      </c>
      <c r="M547" s="1490">
        <f>M553+M549</f>
        <v>2229447620.02</v>
      </c>
      <c r="N547" s="1490">
        <f>+M547+L547</f>
        <v>24394653769.360001</v>
      </c>
      <c r="O547" s="1490">
        <f>N547-K547</f>
        <v>1283711369.3600006</v>
      </c>
      <c r="P547" s="1491">
        <f>N547/K547*100</f>
        <v>105.55456089648685</v>
      </c>
      <c r="Q547" s="782"/>
      <c r="R547" s="422"/>
    </row>
    <row r="548" spans="1:19" s="189" customFormat="1" ht="15.05">
      <c r="A548" s="303"/>
      <c r="B548" s="290"/>
      <c r="C548" s="290"/>
      <c r="D548" s="290"/>
      <c r="E548" s="290"/>
      <c r="F548" s="290"/>
      <c r="G548" s="291"/>
      <c r="H548" s="291"/>
      <c r="I548" s="291"/>
      <c r="J548" s="387"/>
      <c r="K548" s="367"/>
      <c r="L548" s="964"/>
      <c r="M548" s="964"/>
      <c r="N548" s="964"/>
      <c r="O548" s="964"/>
      <c r="P548" s="931"/>
      <c r="Q548" s="454"/>
      <c r="R548" s="422"/>
    </row>
    <row r="549" spans="1:19" s="189" customFormat="1" ht="15.05">
      <c r="A549" s="303"/>
      <c r="B549" s="292">
        <v>4</v>
      </c>
      <c r="C549" s="292">
        <v>1</v>
      </c>
      <c r="D549" s="292">
        <v>4</v>
      </c>
      <c r="E549" s="292" t="s">
        <v>948</v>
      </c>
      <c r="F549" s="292"/>
      <c r="G549" s="291" t="s">
        <v>71</v>
      </c>
      <c r="H549" s="291"/>
      <c r="I549" s="291"/>
      <c r="J549" s="387"/>
      <c r="K549" s="367">
        <f t="shared" ref="K549:M550" si="88">K550</f>
        <v>1439364000</v>
      </c>
      <c r="L549" s="964">
        <f t="shared" si="88"/>
        <v>1442100000</v>
      </c>
      <c r="M549" s="964">
        <f t="shared" si="88"/>
        <v>131100000</v>
      </c>
      <c r="N549" s="929">
        <f t="shared" si="87"/>
        <v>1573200000</v>
      </c>
      <c r="O549" s="930">
        <f>N549-K549</f>
        <v>133836000</v>
      </c>
      <c r="P549" s="931">
        <f>N549/K549*100</f>
        <v>109.2982734040868</v>
      </c>
      <c r="Q549" s="454"/>
      <c r="R549" s="422"/>
    </row>
    <row r="550" spans="1:19" s="189" customFormat="1" ht="15.05">
      <c r="A550" s="303"/>
      <c r="B550" s="292">
        <v>4</v>
      </c>
      <c r="C550" s="292">
        <v>1</v>
      </c>
      <c r="D550" s="292">
        <v>4</v>
      </c>
      <c r="E550" s="292" t="s">
        <v>948</v>
      </c>
      <c r="F550" s="292"/>
      <c r="G550" s="291" t="s">
        <v>996</v>
      </c>
      <c r="H550" s="291"/>
      <c r="I550" s="291"/>
      <c r="J550" s="387"/>
      <c r="K550" s="367">
        <f t="shared" si="88"/>
        <v>1439364000</v>
      </c>
      <c r="L550" s="964">
        <f t="shared" si="88"/>
        <v>1442100000</v>
      </c>
      <c r="M550" s="964">
        <f t="shared" si="88"/>
        <v>131100000</v>
      </c>
      <c r="N550" s="929">
        <f t="shared" si="87"/>
        <v>1573200000</v>
      </c>
      <c r="O550" s="930">
        <f>N550-K550</f>
        <v>133836000</v>
      </c>
      <c r="P550" s="931">
        <f>N550/K550*100</f>
        <v>109.2982734040868</v>
      </c>
      <c r="Q550" s="454"/>
      <c r="R550" s="422"/>
    </row>
    <row r="551" spans="1:19" s="254" customFormat="1" ht="15.05">
      <c r="A551" s="303"/>
      <c r="B551" s="292">
        <v>4</v>
      </c>
      <c r="C551" s="292">
        <v>1</v>
      </c>
      <c r="D551" s="292">
        <v>4</v>
      </c>
      <c r="E551" s="292" t="s">
        <v>948</v>
      </c>
      <c r="F551" s="292"/>
      <c r="G551" s="2761" t="s">
        <v>50</v>
      </c>
      <c r="H551" s="5867" t="s">
        <v>997</v>
      </c>
      <c r="I551" s="5868"/>
      <c r="J551" s="397">
        <v>0</v>
      </c>
      <c r="K551" s="932">
        <f>'[55]TARGET VERSI LAMA'!$E$431</f>
        <v>1439364000</v>
      </c>
      <c r="L551" s="1492">
        <f>[56]PerDinas!$N$610</f>
        <v>1442100000</v>
      </c>
      <c r="M551" s="375">
        <f>[55]Perdinas!$P$386</f>
        <v>131100000</v>
      </c>
      <c r="N551" s="933">
        <f t="shared" si="87"/>
        <v>1573200000</v>
      </c>
      <c r="O551" s="934">
        <f>N551-K551</f>
        <v>133836000</v>
      </c>
      <c r="P551" s="931">
        <f>N551/K551*100</f>
        <v>109.2982734040868</v>
      </c>
      <c r="Q551" s="989"/>
      <c r="R551" s="422"/>
    </row>
    <row r="552" spans="1:19" s="189" customFormat="1" ht="15.05">
      <c r="A552" s="293"/>
      <c r="B552" s="292"/>
      <c r="C552" s="292"/>
      <c r="D552" s="292"/>
      <c r="E552" s="292"/>
      <c r="F552" s="292"/>
      <c r="G552" s="253"/>
      <c r="H552" s="253"/>
      <c r="I552" s="253"/>
      <c r="J552" s="374"/>
      <c r="K552" s="375"/>
      <c r="L552" s="932"/>
      <c r="M552" s="932"/>
      <c r="N552" s="932"/>
      <c r="O552" s="932"/>
      <c r="P552" s="978"/>
      <c r="Q552" s="448"/>
      <c r="R552" s="422"/>
    </row>
    <row r="553" spans="1:19" s="254" customFormat="1" ht="15.05">
      <c r="A553" s="303"/>
      <c r="B553" s="290">
        <v>4</v>
      </c>
      <c r="C553" s="290">
        <v>1</v>
      </c>
      <c r="D553" s="290">
        <v>4</v>
      </c>
      <c r="E553" s="290"/>
      <c r="F553" s="290"/>
      <c r="G553" s="291" t="s">
        <v>71</v>
      </c>
      <c r="H553" s="291"/>
      <c r="I553" s="291"/>
      <c r="J553" s="397" t="e">
        <f>+J557+J578+J592</f>
        <v>#REF!</v>
      </c>
      <c r="K553" s="398">
        <f>+K557+K578+K592+K554</f>
        <v>21671578400</v>
      </c>
      <c r="L553" s="929">
        <f>+L557+L578+L592+L554</f>
        <v>20723106149.34</v>
      </c>
      <c r="M553" s="929">
        <f>+M557+M578+M592+M554</f>
        <v>2098347620.02</v>
      </c>
      <c r="N553" s="929">
        <f>+N557+N578+N592+N554</f>
        <v>22821453769.360001</v>
      </c>
      <c r="O553" s="964">
        <f t="shared" ref="O553:O589" si="89">N553-K553</f>
        <v>1149875369.3600006</v>
      </c>
      <c r="P553" s="931">
        <f t="shared" ref="P553:P577" si="90">N553/K553*100</f>
        <v>105.30591426307925</v>
      </c>
      <c r="Q553" s="699"/>
      <c r="R553" s="422"/>
    </row>
    <row r="554" spans="1:19" s="254" customFormat="1" ht="15.05">
      <c r="A554" s="303"/>
      <c r="B554" s="292">
        <v>4</v>
      </c>
      <c r="C554" s="292">
        <v>1</v>
      </c>
      <c r="D554" s="292">
        <v>4</v>
      </c>
      <c r="E554" s="292" t="s">
        <v>441</v>
      </c>
      <c r="F554" s="292"/>
      <c r="G554" s="253" t="s">
        <v>557</v>
      </c>
      <c r="H554" s="291"/>
      <c r="I554" s="291"/>
      <c r="J554" s="397"/>
      <c r="K554" s="398">
        <f t="shared" ref="K554:P554" si="91">K555</f>
        <v>0</v>
      </c>
      <c r="L554" s="981">
        <f t="shared" si="91"/>
        <v>127500</v>
      </c>
      <c r="M554" s="929">
        <f t="shared" si="91"/>
        <v>0</v>
      </c>
      <c r="N554" s="929">
        <f t="shared" si="91"/>
        <v>127500</v>
      </c>
      <c r="O554" s="929">
        <f t="shared" si="91"/>
        <v>127500</v>
      </c>
      <c r="P554" s="1493">
        <f t="shared" si="91"/>
        <v>0</v>
      </c>
      <c r="Q554" s="699"/>
      <c r="R554" s="422"/>
    </row>
    <row r="555" spans="1:19" s="254" customFormat="1" ht="15.05">
      <c r="A555" s="303"/>
      <c r="B555" s="292">
        <v>4</v>
      </c>
      <c r="C555" s="292">
        <v>1</v>
      </c>
      <c r="D555" s="292">
        <v>4</v>
      </c>
      <c r="E555" s="292" t="s">
        <v>441</v>
      </c>
      <c r="F555" s="292" t="s">
        <v>437</v>
      </c>
      <c r="G555" s="253" t="s">
        <v>72</v>
      </c>
      <c r="H555" s="291"/>
      <c r="I555" s="291"/>
      <c r="J555" s="397"/>
      <c r="K555" s="375">
        <f>'[55]TARGET VERSI LAMA'!$E$444</f>
        <v>0</v>
      </c>
      <c r="L555" s="1009">
        <f>[56]PerDinas!$N$667</f>
        <v>127500</v>
      </c>
      <c r="M555" s="932">
        <f>[55]Perdinas!$P$426</f>
        <v>0</v>
      </c>
      <c r="N555" s="932">
        <f>M555+L555</f>
        <v>127500</v>
      </c>
      <c r="O555" s="1303">
        <f>N555-K555</f>
        <v>127500</v>
      </c>
      <c r="P555" s="931"/>
      <c r="Q555" s="448"/>
      <c r="R555" s="990"/>
    </row>
    <row r="556" spans="1:19" s="254" customFormat="1" ht="15.05">
      <c r="A556" s="303"/>
      <c r="B556" s="290"/>
      <c r="C556" s="290"/>
      <c r="D556" s="290"/>
      <c r="E556" s="290"/>
      <c r="F556" s="290"/>
      <c r="G556" s="291"/>
      <c r="H556" s="291"/>
      <c r="I556" s="291"/>
      <c r="J556" s="397"/>
      <c r="K556" s="398"/>
      <c r="L556" s="981"/>
      <c r="M556" s="929"/>
      <c r="N556" s="929"/>
      <c r="O556" s="964"/>
      <c r="P556" s="931"/>
      <c r="Q556" s="699"/>
      <c r="R556" s="990"/>
    </row>
    <row r="557" spans="1:19" s="254" customFormat="1" ht="15.05">
      <c r="A557" s="303"/>
      <c r="B557" s="292">
        <v>4</v>
      </c>
      <c r="C557" s="292">
        <v>1</v>
      </c>
      <c r="D557" s="292">
        <v>4</v>
      </c>
      <c r="E557" s="292" t="s">
        <v>456</v>
      </c>
      <c r="F557" s="292"/>
      <c r="G557" s="253" t="s">
        <v>307</v>
      </c>
      <c r="H557" s="253"/>
      <c r="I557" s="253"/>
      <c r="J557" s="397">
        <f>+J558+J568</f>
        <v>10708903900</v>
      </c>
      <c r="K557" s="398">
        <f>+K558+K568</f>
        <v>18548560000</v>
      </c>
      <c r="L557" s="981">
        <f>+L558+L568</f>
        <v>17767341479</v>
      </c>
      <c r="M557" s="929">
        <f>+M558+M568</f>
        <v>1834690054</v>
      </c>
      <c r="N557" s="929">
        <f>+N558+N568</f>
        <v>19602031533</v>
      </c>
      <c r="O557" s="964">
        <f t="shared" si="89"/>
        <v>1053471533</v>
      </c>
      <c r="P557" s="931">
        <f t="shared" si="90"/>
        <v>105.67953271305157</v>
      </c>
      <c r="Q557" s="448"/>
      <c r="R557" s="990"/>
    </row>
    <row r="558" spans="1:19" s="255" customFormat="1" ht="15.05">
      <c r="A558" s="303"/>
      <c r="B558" s="908">
        <v>4</v>
      </c>
      <c r="C558" s="908">
        <v>1</v>
      </c>
      <c r="D558" s="908">
        <v>4</v>
      </c>
      <c r="E558" s="908" t="s">
        <v>456</v>
      </c>
      <c r="F558" s="908" t="s">
        <v>437</v>
      </c>
      <c r="G558" s="909" t="s">
        <v>309</v>
      </c>
      <c r="H558" s="909"/>
      <c r="I558" s="909"/>
      <c r="J558" s="1004">
        <f>SUM(J559:J567)</f>
        <v>10552554700</v>
      </c>
      <c r="K558" s="1005">
        <f>SUM(K559:K567)</f>
        <v>18448560000</v>
      </c>
      <c r="L558" s="1006">
        <f>SUM(L559:L567)</f>
        <v>17429376605</v>
      </c>
      <c r="M558" s="1007">
        <f>SUM(M559:M567)</f>
        <v>1807930115</v>
      </c>
      <c r="N558" s="975">
        <f>M558+L558</f>
        <v>19237306720</v>
      </c>
      <c r="O558" s="975">
        <f t="shared" si="89"/>
        <v>788746720</v>
      </c>
      <c r="P558" s="1008">
        <f t="shared" si="90"/>
        <v>104.27538366138063</v>
      </c>
      <c r="Q558" s="699"/>
      <c r="R558" s="992"/>
      <c r="S558" s="993"/>
    </row>
    <row r="559" spans="1:19" s="254" customFormat="1" ht="15.05">
      <c r="A559" s="303"/>
      <c r="B559" s="292"/>
      <c r="C559" s="292"/>
      <c r="D559" s="292"/>
      <c r="E559" s="292"/>
      <c r="F559" s="292"/>
      <c r="G559" s="253">
        <v>1</v>
      </c>
      <c r="H559" s="842"/>
      <c r="I559" s="253" t="s">
        <v>310</v>
      </c>
      <c r="J559" s="354">
        <v>3667244553</v>
      </c>
      <c r="K559" s="932">
        <f>'[55]TARGET VERSI LAMA'!$E$395</f>
        <v>18448560000</v>
      </c>
      <c r="L559" s="953">
        <f>[56]PerDinas!$N$671</f>
        <v>5344077678</v>
      </c>
      <c r="M559" s="932">
        <f>[55]Perdinas!$P$446</f>
        <v>556916803</v>
      </c>
      <c r="N559" s="954">
        <f t="shared" ref="N559:N567" si="92">M559+L559</f>
        <v>5900994481</v>
      </c>
      <c r="O559" s="934">
        <f t="shared" si="89"/>
        <v>-12547565519</v>
      </c>
      <c r="P559" s="955">
        <f t="shared" si="90"/>
        <v>31.986206408521856</v>
      </c>
      <c r="Q559" s="994"/>
      <c r="R559" s="995"/>
    </row>
    <row r="560" spans="1:19" s="254" customFormat="1" ht="15.05">
      <c r="A560" s="303"/>
      <c r="B560" s="292"/>
      <c r="C560" s="292"/>
      <c r="D560" s="292"/>
      <c r="E560" s="292"/>
      <c r="F560" s="292"/>
      <c r="G560" s="253">
        <v>2</v>
      </c>
      <c r="H560" s="842"/>
      <c r="I560" s="253" t="s">
        <v>311</v>
      </c>
      <c r="J560" s="354">
        <v>1312341769</v>
      </c>
      <c r="K560" s="932">
        <f>'[55]TARGET VERSI LAMA'!$E$396</f>
        <v>0</v>
      </c>
      <c r="L560" s="953">
        <f>[56]PerDinas!$N$672</f>
        <v>2526277646</v>
      </c>
      <c r="M560" s="932">
        <f>[55]Perdinas!$P$447</f>
        <v>254642520</v>
      </c>
      <c r="N560" s="954">
        <f t="shared" si="92"/>
        <v>2780920166</v>
      </c>
      <c r="O560" s="934">
        <f t="shared" si="89"/>
        <v>2780920166</v>
      </c>
      <c r="P560" s="955" t="e">
        <f t="shared" si="90"/>
        <v>#DIV/0!</v>
      </c>
      <c r="Q560" s="448"/>
      <c r="R560" s="990"/>
    </row>
    <row r="561" spans="1:19" s="254" customFormat="1" ht="15.05">
      <c r="A561" s="303"/>
      <c r="B561" s="292"/>
      <c r="C561" s="292"/>
      <c r="D561" s="292"/>
      <c r="E561" s="292"/>
      <c r="F561" s="292"/>
      <c r="G561" s="253">
        <v>3</v>
      </c>
      <c r="H561" s="842"/>
      <c r="I561" s="253" t="s">
        <v>312</v>
      </c>
      <c r="J561" s="354">
        <v>1709560379</v>
      </c>
      <c r="K561" s="932">
        <f>'[55]TARGET VERSI LAMA'!$E$397</f>
        <v>0</v>
      </c>
      <c r="L561" s="953">
        <f>[56]PerDinas!$N$673</f>
        <v>2755288569</v>
      </c>
      <c r="M561" s="932">
        <f>[55]Perdinas!$P$448</f>
        <v>334374917</v>
      </c>
      <c r="N561" s="954">
        <f t="shared" si="92"/>
        <v>3089663486</v>
      </c>
      <c r="O561" s="934">
        <f t="shared" si="89"/>
        <v>3089663486</v>
      </c>
      <c r="P561" s="955" t="e">
        <f t="shared" si="90"/>
        <v>#DIV/0!</v>
      </c>
      <c r="Q561" s="448"/>
      <c r="R561" s="990"/>
    </row>
    <row r="562" spans="1:19" s="254" customFormat="1" ht="15.05">
      <c r="A562" s="303"/>
      <c r="B562" s="292"/>
      <c r="C562" s="292"/>
      <c r="D562" s="292"/>
      <c r="E562" s="292"/>
      <c r="F562" s="292"/>
      <c r="G562" s="253">
        <v>4</v>
      </c>
      <c r="H562" s="842"/>
      <c r="I562" s="253" t="s">
        <v>313</v>
      </c>
      <c r="J562" s="354">
        <v>839251662</v>
      </c>
      <c r="K562" s="932">
        <f>'[55]TARGET VERSI LAMA'!$E$398</f>
        <v>0</v>
      </c>
      <c r="L562" s="953">
        <f>[56]PerDinas!$N$674</f>
        <v>1447485527</v>
      </c>
      <c r="M562" s="932">
        <f>[55]Perdinas!$P$449</f>
        <v>168640967</v>
      </c>
      <c r="N562" s="954">
        <f t="shared" si="92"/>
        <v>1616126494</v>
      </c>
      <c r="O562" s="934">
        <f t="shared" si="89"/>
        <v>1616126494</v>
      </c>
      <c r="P562" s="955" t="e">
        <f t="shared" si="90"/>
        <v>#DIV/0!</v>
      </c>
      <c r="Q562" s="448"/>
      <c r="R562" s="990"/>
    </row>
    <row r="563" spans="1:19" s="254" customFormat="1" ht="15.05">
      <c r="A563" s="303"/>
      <c r="B563" s="292"/>
      <c r="C563" s="292"/>
      <c r="D563" s="292"/>
      <c r="E563" s="292"/>
      <c r="F563" s="292"/>
      <c r="G563" s="253">
        <v>5</v>
      </c>
      <c r="H563" s="842"/>
      <c r="I563" s="253" t="s">
        <v>314</v>
      </c>
      <c r="J563" s="354">
        <v>956450612</v>
      </c>
      <c r="K563" s="932">
        <f>'[55]TARGET VERSI LAMA'!$E$399</f>
        <v>0</v>
      </c>
      <c r="L563" s="953">
        <f>[56]PerDinas!$N$675</f>
        <v>1537430967</v>
      </c>
      <c r="M563" s="932">
        <f>[55]Perdinas!$P$450</f>
        <v>154003162</v>
      </c>
      <c r="N563" s="954">
        <f t="shared" si="92"/>
        <v>1691434129</v>
      </c>
      <c r="O563" s="934">
        <f t="shared" si="89"/>
        <v>1691434129</v>
      </c>
      <c r="P563" s="955" t="e">
        <f t="shared" si="90"/>
        <v>#DIV/0!</v>
      </c>
      <c r="Q563" s="448"/>
      <c r="R563" s="990"/>
    </row>
    <row r="564" spans="1:19" s="254" customFormat="1" ht="15.05">
      <c r="A564" s="303"/>
      <c r="B564" s="292"/>
      <c r="C564" s="292"/>
      <c r="D564" s="292"/>
      <c r="E564" s="292"/>
      <c r="F564" s="292"/>
      <c r="G564" s="253">
        <v>6</v>
      </c>
      <c r="H564" s="842"/>
      <c r="I564" s="253" t="s">
        <v>315</v>
      </c>
      <c r="J564" s="354">
        <v>400997431</v>
      </c>
      <c r="K564" s="932">
        <f>'[55]TARGET VERSI LAMA'!$E$400</f>
        <v>0</v>
      </c>
      <c r="L564" s="953">
        <f>[56]PerDinas!$N$676</f>
        <v>547560358</v>
      </c>
      <c r="M564" s="932">
        <f>[55]Perdinas!$P$451</f>
        <v>54492878</v>
      </c>
      <c r="N564" s="954">
        <f t="shared" si="92"/>
        <v>602053236</v>
      </c>
      <c r="O564" s="934">
        <f t="shared" si="89"/>
        <v>602053236</v>
      </c>
      <c r="P564" s="955" t="e">
        <f t="shared" si="90"/>
        <v>#DIV/0!</v>
      </c>
      <c r="Q564" s="448"/>
      <c r="R564" s="990"/>
      <c r="S564" s="1311"/>
    </row>
    <row r="565" spans="1:19" s="254" customFormat="1" ht="15.05">
      <c r="A565" s="303"/>
      <c r="B565" s="292"/>
      <c r="C565" s="292"/>
      <c r="D565" s="292"/>
      <c r="E565" s="292"/>
      <c r="F565" s="292"/>
      <c r="G565" s="253">
        <v>7</v>
      </c>
      <c r="H565" s="842"/>
      <c r="I565" s="253" t="s">
        <v>316</v>
      </c>
      <c r="J565" s="354">
        <v>790415493</v>
      </c>
      <c r="K565" s="932">
        <f>'[55]TARGET VERSI LAMA'!$E$401</f>
        <v>0</v>
      </c>
      <c r="L565" s="953">
        <f>[56]PerDinas!$N$677</f>
        <v>1732379269</v>
      </c>
      <c r="M565" s="932">
        <f>[55]Perdinas!$P$452</f>
        <v>192544268</v>
      </c>
      <c r="N565" s="954">
        <f t="shared" si="92"/>
        <v>1924923537</v>
      </c>
      <c r="O565" s="934">
        <f t="shared" si="89"/>
        <v>1924923537</v>
      </c>
      <c r="P565" s="955" t="e">
        <f t="shared" si="90"/>
        <v>#DIV/0!</v>
      </c>
      <c r="Q565" s="448"/>
      <c r="R565" s="990"/>
    </row>
    <row r="566" spans="1:19" s="254" customFormat="1" ht="15.05">
      <c r="A566" s="303"/>
      <c r="B566" s="292"/>
      <c r="C566" s="292"/>
      <c r="D566" s="292"/>
      <c r="E566" s="292"/>
      <c r="F566" s="292"/>
      <c r="G566" s="253">
        <v>8</v>
      </c>
      <c r="H566" s="842"/>
      <c r="I566" s="253" t="s">
        <v>317</v>
      </c>
      <c r="J566" s="354">
        <v>528455525</v>
      </c>
      <c r="K566" s="932">
        <f>'[55]TARGET VERSI LAMA'!$E$402</f>
        <v>0</v>
      </c>
      <c r="L566" s="953">
        <f>[56]PerDinas!$N$678</f>
        <v>946540968</v>
      </c>
      <c r="M566" s="932">
        <f>[55]Perdinas!$P$453</f>
        <v>27298375</v>
      </c>
      <c r="N566" s="954">
        <f t="shared" si="92"/>
        <v>973839343</v>
      </c>
      <c r="O566" s="934">
        <f t="shared" si="89"/>
        <v>973839343</v>
      </c>
      <c r="P566" s="955" t="e">
        <f t="shared" si="90"/>
        <v>#DIV/0!</v>
      </c>
      <c r="Q566" s="448"/>
      <c r="R566" s="990"/>
    </row>
    <row r="567" spans="1:19" s="254" customFormat="1" ht="15.05">
      <c r="A567" s="303"/>
      <c r="B567" s="292"/>
      <c r="C567" s="292"/>
      <c r="D567" s="292"/>
      <c r="E567" s="292"/>
      <c r="F567" s="292"/>
      <c r="G567" s="910">
        <v>9</v>
      </c>
      <c r="H567" s="910"/>
      <c r="I567" s="910" t="s">
        <v>318</v>
      </c>
      <c r="J567" s="956">
        <v>347837276</v>
      </c>
      <c r="K567" s="932">
        <f>'[55]TARGET VERSI LAMA'!$E$403</f>
        <v>0</v>
      </c>
      <c r="L567" s="953">
        <f>[56]PerDinas!$N$679</f>
        <v>592335623</v>
      </c>
      <c r="M567" s="932">
        <f>[55]Perdinas!$P$454</f>
        <v>65016225</v>
      </c>
      <c r="N567" s="954">
        <f t="shared" si="92"/>
        <v>657351848</v>
      </c>
      <c r="O567" s="957">
        <f t="shared" si="89"/>
        <v>657351848</v>
      </c>
      <c r="P567" s="958" t="e">
        <f t="shared" si="90"/>
        <v>#DIV/0!</v>
      </c>
      <c r="Q567" s="448"/>
      <c r="R567" s="990"/>
    </row>
    <row r="568" spans="1:19" s="255" customFormat="1" ht="15.05">
      <c r="A568" s="303"/>
      <c r="B568" s="290">
        <v>4</v>
      </c>
      <c r="C568" s="290">
        <v>1</v>
      </c>
      <c r="D568" s="290">
        <v>4</v>
      </c>
      <c r="E568" s="290" t="s">
        <v>456</v>
      </c>
      <c r="F568" s="290" t="s">
        <v>438</v>
      </c>
      <c r="G568" s="291" t="s">
        <v>319</v>
      </c>
      <c r="H568" s="291"/>
      <c r="I568" s="291"/>
      <c r="J568" s="397">
        <f>SUM(J569:J577)</f>
        <v>156349200</v>
      </c>
      <c r="K568" s="398">
        <f>SUM(K569:K577)</f>
        <v>100000000</v>
      </c>
      <c r="L568" s="981">
        <f>SUM(L569:L577)</f>
        <v>337964874</v>
      </c>
      <c r="M568" s="929">
        <f>SUM(M569:M577)</f>
        <v>26759939</v>
      </c>
      <c r="N568" s="929">
        <f>SUM(N569:N577)</f>
        <v>364724813</v>
      </c>
      <c r="O568" s="964">
        <f t="shared" si="89"/>
        <v>264724813</v>
      </c>
      <c r="P568" s="931">
        <f t="shared" si="90"/>
        <v>364.72481299999998</v>
      </c>
      <c r="Q568" s="699"/>
      <c r="R568" s="996"/>
    </row>
    <row r="569" spans="1:19" s="254" customFormat="1" ht="15.05">
      <c r="A569" s="303"/>
      <c r="B569" s="292"/>
      <c r="C569" s="292"/>
      <c r="D569" s="292"/>
      <c r="E569" s="292"/>
      <c r="F569" s="292"/>
      <c r="G569" s="253">
        <v>1</v>
      </c>
      <c r="H569" s="842"/>
      <c r="I569" s="253" t="s">
        <v>310</v>
      </c>
      <c r="J569" s="354">
        <v>54731264</v>
      </c>
      <c r="K569" s="932">
        <f>'[55]TARGET VERSI LAMA'!$E$405</f>
        <v>100000000</v>
      </c>
      <c r="L569" s="953">
        <f>[56]PerDinas!$N$681</f>
        <v>117922719</v>
      </c>
      <c r="M569" s="932">
        <f>[55]Perdinas!$P$456</f>
        <v>8385077</v>
      </c>
      <c r="N569" s="954">
        <f t="shared" ref="N569:N577" si="93">M569+L569</f>
        <v>126307796</v>
      </c>
      <c r="O569" s="934">
        <f t="shared" si="89"/>
        <v>26307796</v>
      </c>
      <c r="P569" s="955">
        <f t="shared" si="90"/>
        <v>126.307796</v>
      </c>
      <c r="Q569" s="448"/>
      <c r="R569" s="995"/>
    </row>
    <row r="570" spans="1:19" s="254" customFormat="1" ht="15.05">
      <c r="A570" s="303"/>
      <c r="B570" s="292"/>
      <c r="C570" s="292"/>
      <c r="D570" s="292"/>
      <c r="E570" s="292"/>
      <c r="F570" s="292"/>
      <c r="G570" s="253">
        <v>2</v>
      </c>
      <c r="H570" s="842"/>
      <c r="I570" s="253" t="s">
        <v>311</v>
      </c>
      <c r="J570" s="354">
        <v>40152038</v>
      </c>
      <c r="K570" s="932">
        <f>'[55]TARGET VERSI LAMA'!$E$406</f>
        <v>0</v>
      </c>
      <c r="L570" s="953">
        <f>[56]PerDinas!$N$682</f>
        <v>46755127</v>
      </c>
      <c r="M570" s="932">
        <f>[55]Perdinas!$P$457</f>
        <v>2202050</v>
      </c>
      <c r="N570" s="954">
        <f t="shared" si="93"/>
        <v>48957177</v>
      </c>
      <c r="O570" s="934">
        <f t="shared" si="89"/>
        <v>48957177</v>
      </c>
      <c r="P570" s="955" t="e">
        <f t="shared" si="90"/>
        <v>#DIV/0!</v>
      </c>
      <c r="Q570" s="448"/>
      <c r="R570" s="990"/>
    </row>
    <row r="571" spans="1:19" s="254" customFormat="1" ht="15.05">
      <c r="A571" s="303"/>
      <c r="B571" s="292"/>
      <c r="C571" s="292"/>
      <c r="D571" s="292"/>
      <c r="E571" s="292"/>
      <c r="F571" s="292"/>
      <c r="G571" s="253">
        <v>3</v>
      </c>
      <c r="H571" s="842"/>
      <c r="I571" s="253" t="s">
        <v>312</v>
      </c>
      <c r="J571" s="354">
        <v>20587022</v>
      </c>
      <c r="K571" s="932">
        <f>'[55]TARGET VERSI LAMA'!$E$407</f>
        <v>0</v>
      </c>
      <c r="L571" s="953">
        <f>[56]PerDinas!$N$683</f>
        <v>36795738</v>
      </c>
      <c r="M571" s="932">
        <f>[55]Perdinas!$P$458</f>
        <v>5148225</v>
      </c>
      <c r="N571" s="954">
        <f t="shared" si="93"/>
        <v>41943963</v>
      </c>
      <c r="O571" s="934">
        <f t="shared" si="89"/>
        <v>41943963</v>
      </c>
      <c r="P571" s="955" t="e">
        <f t="shared" si="90"/>
        <v>#DIV/0!</v>
      </c>
      <c r="Q571" s="448"/>
      <c r="R571" s="990"/>
    </row>
    <row r="572" spans="1:19" s="254" customFormat="1" ht="15.05">
      <c r="A572" s="303"/>
      <c r="B572" s="292"/>
      <c r="C572" s="292"/>
      <c r="D572" s="292"/>
      <c r="E572" s="292"/>
      <c r="F572" s="292"/>
      <c r="G572" s="253">
        <v>4</v>
      </c>
      <c r="H572" s="842"/>
      <c r="I572" s="253" t="s">
        <v>313</v>
      </c>
      <c r="J572" s="354">
        <v>11483003</v>
      </c>
      <c r="K572" s="932">
        <f>'[55]TARGET VERSI LAMA'!$E$408</f>
        <v>0</v>
      </c>
      <c r="L572" s="953">
        <f>[56]PerDinas!$N$684</f>
        <v>18019015</v>
      </c>
      <c r="M572" s="932">
        <f>[55]Perdinas!$P$459</f>
        <v>2464175</v>
      </c>
      <c r="N572" s="954">
        <f t="shared" si="93"/>
        <v>20483190</v>
      </c>
      <c r="O572" s="934">
        <f t="shared" si="89"/>
        <v>20483190</v>
      </c>
      <c r="P572" s="955" t="e">
        <f t="shared" si="90"/>
        <v>#DIV/0!</v>
      </c>
      <c r="Q572" s="448"/>
      <c r="R572" s="990"/>
    </row>
    <row r="573" spans="1:19" s="254" customFormat="1" ht="15.05">
      <c r="A573" s="303"/>
      <c r="B573" s="292"/>
      <c r="C573" s="292"/>
      <c r="D573" s="292"/>
      <c r="E573" s="292"/>
      <c r="F573" s="292"/>
      <c r="G573" s="253">
        <v>5</v>
      </c>
      <c r="H573" s="842"/>
      <c r="I573" s="253" t="s">
        <v>314</v>
      </c>
      <c r="J573" s="354">
        <v>17764328</v>
      </c>
      <c r="K573" s="932">
        <f>'[55]TARGET VERSI LAMA'!$E$409</f>
        <v>0</v>
      </c>
      <c r="L573" s="953">
        <f>[56]PerDinas!$N$685</f>
        <v>41468269</v>
      </c>
      <c r="M573" s="932">
        <f>[55]Perdinas!$P$460</f>
        <v>3225904</v>
      </c>
      <c r="N573" s="954">
        <f t="shared" si="93"/>
        <v>44694173</v>
      </c>
      <c r="O573" s="934">
        <f t="shared" si="89"/>
        <v>44694173</v>
      </c>
      <c r="P573" s="955" t="e">
        <f t="shared" si="90"/>
        <v>#DIV/0!</v>
      </c>
      <c r="Q573" s="448"/>
      <c r="R573" s="990"/>
    </row>
    <row r="574" spans="1:19" s="254" customFormat="1" ht="15.05">
      <c r="A574" s="303"/>
      <c r="B574" s="292"/>
      <c r="C574" s="292"/>
      <c r="D574" s="292"/>
      <c r="E574" s="292"/>
      <c r="F574" s="292"/>
      <c r="G574" s="253">
        <v>6</v>
      </c>
      <c r="H574" s="842"/>
      <c r="I574" s="253" t="s">
        <v>315</v>
      </c>
      <c r="J574" s="354">
        <v>2326181</v>
      </c>
      <c r="K574" s="932">
        <f>'[55]TARGET VERSI LAMA'!$E$410</f>
        <v>0</v>
      </c>
      <c r="L574" s="953">
        <f>[56]PerDinas!$N$686</f>
        <v>4102336</v>
      </c>
      <c r="M574" s="932">
        <f>[55]Perdinas!$P$461</f>
        <v>2209635</v>
      </c>
      <c r="N574" s="954">
        <f t="shared" si="93"/>
        <v>6311971</v>
      </c>
      <c r="O574" s="934">
        <f t="shared" si="89"/>
        <v>6311971</v>
      </c>
      <c r="P574" s="955" t="e">
        <f t="shared" si="90"/>
        <v>#DIV/0!</v>
      </c>
      <c r="Q574" s="448"/>
      <c r="R574" s="990"/>
    </row>
    <row r="575" spans="1:19" s="254" customFormat="1" ht="15.05">
      <c r="A575" s="303"/>
      <c r="B575" s="292"/>
      <c r="C575" s="292"/>
      <c r="D575" s="292"/>
      <c r="E575" s="292"/>
      <c r="F575" s="292"/>
      <c r="G575" s="253">
        <v>7</v>
      </c>
      <c r="H575" s="842"/>
      <c r="I575" s="253" t="s">
        <v>316</v>
      </c>
      <c r="J575" s="354">
        <v>8119057</v>
      </c>
      <c r="K575" s="932">
        <f>'[55]TARGET VERSI LAMA'!$E$411</f>
        <v>0</v>
      </c>
      <c r="L575" s="953">
        <f>[56]PerDinas!$N$687</f>
        <v>32130299</v>
      </c>
      <c r="M575" s="932">
        <f>[55]Perdinas!$P$462</f>
        <v>3085373</v>
      </c>
      <c r="N575" s="954">
        <f t="shared" si="93"/>
        <v>35215672</v>
      </c>
      <c r="O575" s="934">
        <f t="shared" si="89"/>
        <v>35215672</v>
      </c>
      <c r="P575" s="955" t="e">
        <f t="shared" si="90"/>
        <v>#DIV/0!</v>
      </c>
      <c r="Q575" s="448"/>
      <c r="R575" s="990"/>
    </row>
    <row r="576" spans="1:19" s="254" customFormat="1" ht="15.05">
      <c r="A576" s="303"/>
      <c r="B576" s="292"/>
      <c r="C576" s="292"/>
      <c r="D576" s="292"/>
      <c r="E576" s="292"/>
      <c r="F576" s="292"/>
      <c r="G576" s="253">
        <v>8</v>
      </c>
      <c r="H576" s="842"/>
      <c r="I576" s="253" t="s">
        <v>317</v>
      </c>
      <c r="J576" s="354">
        <v>1186307</v>
      </c>
      <c r="K576" s="932">
        <f>'[55]TARGET VERSI LAMA'!$E$412</f>
        <v>0</v>
      </c>
      <c r="L576" s="953">
        <f>[56]PerDinas!$N$688</f>
        <v>40771371</v>
      </c>
      <c r="M576" s="932">
        <f>[55]Perdinas!$P$463</f>
        <v>39500</v>
      </c>
      <c r="N576" s="954">
        <f t="shared" si="93"/>
        <v>40810871</v>
      </c>
      <c r="O576" s="934">
        <f t="shared" si="89"/>
        <v>40810871</v>
      </c>
      <c r="P576" s="955" t="e">
        <f t="shared" si="90"/>
        <v>#DIV/0!</v>
      </c>
      <c r="Q576" s="448"/>
      <c r="R576" s="990"/>
    </row>
    <row r="577" spans="1:18" s="254" customFormat="1" ht="15.05">
      <c r="A577" s="303"/>
      <c r="B577" s="292"/>
      <c r="C577" s="292"/>
      <c r="D577" s="292"/>
      <c r="E577" s="292"/>
      <c r="F577" s="292"/>
      <c r="G577" s="253">
        <v>9</v>
      </c>
      <c r="H577" s="253"/>
      <c r="I577" s="253" t="s">
        <v>318</v>
      </c>
      <c r="J577" s="374">
        <v>0</v>
      </c>
      <c r="K577" s="932">
        <f>'[55]TARGET VERSI LAMA'!$E$413</f>
        <v>0</v>
      </c>
      <c r="L577" s="953">
        <f>[56]PerDinas!$N$689</f>
        <v>0</v>
      </c>
      <c r="M577" s="932">
        <f>[55]Perdinas!$P$464</f>
        <v>0</v>
      </c>
      <c r="N577" s="934">
        <f t="shared" si="93"/>
        <v>0</v>
      </c>
      <c r="O577" s="934">
        <f t="shared" si="89"/>
        <v>0</v>
      </c>
      <c r="P577" s="955" t="e">
        <f t="shared" si="90"/>
        <v>#DIV/0!</v>
      </c>
      <c r="Q577" s="448"/>
      <c r="R577" s="990"/>
    </row>
    <row r="578" spans="1:18" s="255" customFormat="1" ht="15.05">
      <c r="A578" s="293"/>
      <c r="B578" s="290">
        <v>4</v>
      </c>
      <c r="C578" s="290">
        <v>1</v>
      </c>
      <c r="D578" s="290">
        <v>4</v>
      </c>
      <c r="E578" s="290" t="s">
        <v>444</v>
      </c>
      <c r="F578" s="290"/>
      <c r="G578" s="291" t="s">
        <v>222</v>
      </c>
      <c r="H578" s="291"/>
      <c r="I578" s="291"/>
      <c r="J578" s="370">
        <f>+J581</f>
        <v>0</v>
      </c>
      <c r="K578" s="371">
        <f>+K581</f>
        <v>0</v>
      </c>
      <c r="L578" s="963">
        <f>SUM(L579:L581)</f>
        <v>118892170.34</v>
      </c>
      <c r="M578" s="930">
        <f>SUM(M579:M581)</f>
        <v>4632566.0199999996</v>
      </c>
      <c r="N578" s="930">
        <f>SUM(N579:N581)</f>
        <v>123524736.36</v>
      </c>
      <c r="O578" s="964">
        <f t="shared" si="89"/>
        <v>123524736.36</v>
      </c>
      <c r="P578" s="965">
        <v>0</v>
      </c>
      <c r="Q578" s="651"/>
      <c r="R578" s="996"/>
    </row>
    <row r="579" spans="1:18" s="254" customFormat="1" ht="15.05">
      <c r="A579" s="289"/>
      <c r="B579" s="292">
        <v>4</v>
      </c>
      <c r="C579" s="292">
        <v>1</v>
      </c>
      <c r="D579" s="292">
        <v>4</v>
      </c>
      <c r="E579" s="292" t="s">
        <v>444</v>
      </c>
      <c r="F579" s="292" t="s">
        <v>440</v>
      </c>
      <c r="G579" s="253" t="s">
        <v>73</v>
      </c>
      <c r="H579" s="253"/>
      <c r="I579" s="253"/>
      <c r="J579" s="354">
        <v>0</v>
      </c>
      <c r="K579" s="355">
        <v>0</v>
      </c>
      <c r="L579" s="969">
        <v>0</v>
      </c>
      <c r="M579" s="934">
        <f>[55]Perdinas!$P$427</f>
        <v>0</v>
      </c>
      <c r="N579" s="934">
        <f>M579+L579</f>
        <v>0</v>
      </c>
      <c r="O579" s="934">
        <f t="shared" si="89"/>
        <v>0</v>
      </c>
      <c r="P579" s="955"/>
      <c r="Q579" s="441"/>
      <c r="R579" s="990"/>
    </row>
    <row r="580" spans="1:18" s="254" customFormat="1" ht="15.05">
      <c r="A580" s="289"/>
      <c r="B580" s="292">
        <v>4</v>
      </c>
      <c r="C580" s="292">
        <v>1</v>
      </c>
      <c r="D580" s="292">
        <v>4</v>
      </c>
      <c r="E580" s="292" t="s">
        <v>444</v>
      </c>
      <c r="F580" s="292" t="s">
        <v>445</v>
      </c>
      <c r="G580" s="253" t="s">
        <v>74</v>
      </c>
      <c r="H580" s="253"/>
      <c r="I580" s="253"/>
      <c r="J580" s="354">
        <v>0</v>
      </c>
      <c r="K580" s="355">
        <v>0</v>
      </c>
      <c r="L580" s="969">
        <v>0</v>
      </c>
      <c r="M580" s="934">
        <f>[55]Perdinas!$P$428</f>
        <v>0</v>
      </c>
      <c r="N580" s="934">
        <f>M580+L580</f>
        <v>0</v>
      </c>
      <c r="O580" s="934">
        <f t="shared" si="89"/>
        <v>0</v>
      </c>
      <c r="P580" s="955"/>
      <c r="Q580" s="441"/>
      <c r="R580" s="990"/>
    </row>
    <row r="581" spans="1:18" s="255" customFormat="1" ht="15.05">
      <c r="A581" s="293"/>
      <c r="B581" s="908">
        <v>4</v>
      </c>
      <c r="C581" s="908">
        <v>1</v>
      </c>
      <c r="D581" s="908">
        <v>4</v>
      </c>
      <c r="E581" s="908" t="s">
        <v>444</v>
      </c>
      <c r="F581" s="908" t="s">
        <v>441</v>
      </c>
      <c r="G581" s="909" t="s">
        <v>75</v>
      </c>
      <c r="H581" s="909"/>
      <c r="I581" s="909"/>
      <c r="J581" s="972">
        <f>SUM(J582:J591)</f>
        <v>0</v>
      </c>
      <c r="K581" s="973">
        <f>SUM(K582:K591)</f>
        <v>0</v>
      </c>
      <c r="L581" s="1500">
        <f>SUM(L582:L591)</f>
        <v>118892170.34</v>
      </c>
      <c r="M581" s="975">
        <f>SUM(M582:M591)</f>
        <v>4632566.0199999996</v>
      </c>
      <c r="N581" s="976">
        <f>SUM(N582:N591)</f>
        <v>123524736.36</v>
      </c>
      <c r="O581" s="975">
        <f t="shared" si="89"/>
        <v>123524736.36</v>
      </c>
      <c r="P581" s="977"/>
      <c r="Q581" s="997"/>
      <c r="R581" s="996"/>
    </row>
    <row r="582" spans="1:18" s="254" customFormat="1" ht="15.05">
      <c r="A582" s="289"/>
      <c r="B582" s="292"/>
      <c r="C582" s="292"/>
      <c r="D582" s="292"/>
      <c r="E582" s="292"/>
      <c r="F582" s="292"/>
      <c r="G582" s="253">
        <v>1</v>
      </c>
      <c r="H582" s="253"/>
      <c r="I582" s="253" t="s">
        <v>320</v>
      </c>
      <c r="J582" s="354"/>
      <c r="K582" s="934">
        <f>'[55]TARGET VERSI LAMA'!$E$418</f>
        <v>0</v>
      </c>
      <c r="L582" s="969">
        <f>[56]PerDinas!$N$694</f>
        <v>85416740.340000004</v>
      </c>
      <c r="M582" s="934">
        <f>[55]Perdinas!$P$470</f>
        <v>2523163.02</v>
      </c>
      <c r="N582" s="1501">
        <f t="shared" ref="N582:N591" si="94">M582+L582</f>
        <v>87939903.359999999</v>
      </c>
      <c r="O582" s="934">
        <f t="shared" si="89"/>
        <v>87939903.359999999</v>
      </c>
      <c r="P582" s="955"/>
      <c r="Q582" s="441"/>
      <c r="R582" s="990"/>
    </row>
    <row r="583" spans="1:18" s="254" customFormat="1" ht="15.05">
      <c r="A583" s="289"/>
      <c r="B583" s="292"/>
      <c r="C583" s="292"/>
      <c r="D583" s="292"/>
      <c r="E583" s="292"/>
      <c r="F583" s="292"/>
      <c r="G583" s="253">
        <v>2</v>
      </c>
      <c r="H583" s="253"/>
      <c r="I583" s="253" t="s">
        <v>310</v>
      </c>
      <c r="J583" s="354"/>
      <c r="K583" s="934">
        <f>'[55]TARGET VERSI LAMA'!$E$419</f>
        <v>0</v>
      </c>
      <c r="L583" s="969">
        <f>[56]PerDinas!$N$695</f>
        <v>0</v>
      </c>
      <c r="M583" s="934">
        <f>[55]Perdinas!$P$471</f>
        <v>2109403</v>
      </c>
      <c r="N583" s="1501">
        <f t="shared" si="94"/>
        <v>2109403</v>
      </c>
      <c r="O583" s="934">
        <f t="shared" si="89"/>
        <v>2109403</v>
      </c>
      <c r="P583" s="955"/>
      <c r="Q583" s="441"/>
      <c r="R583" s="995"/>
    </row>
    <row r="584" spans="1:18" s="254" customFormat="1" ht="15.05">
      <c r="A584" s="289"/>
      <c r="B584" s="292"/>
      <c r="C584" s="292"/>
      <c r="D584" s="292"/>
      <c r="E584" s="292"/>
      <c r="F584" s="292"/>
      <c r="G584" s="253">
        <v>3</v>
      </c>
      <c r="H584" s="253"/>
      <c r="I584" s="253" t="s">
        <v>311</v>
      </c>
      <c r="J584" s="354"/>
      <c r="K584" s="934">
        <f>'[55]TARGET VERSI LAMA'!$E$420</f>
        <v>0</v>
      </c>
      <c r="L584" s="969">
        <f>[56]PerDinas!$N$696</f>
        <v>0</v>
      </c>
      <c r="M584" s="934">
        <f>[55]Perdinas!$P$472</f>
        <v>0</v>
      </c>
      <c r="N584" s="1501">
        <f t="shared" si="94"/>
        <v>0</v>
      </c>
      <c r="O584" s="934">
        <f t="shared" si="89"/>
        <v>0</v>
      </c>
      <c r="P584" s="955"/>
      <c r="Q584" s="441"/>
      <c r="R584" s="990"/>
    </row>
    <row r="585" spans="1:18" s="254" customFormat="1" ht="15.05">
      <c r="A585" s="289"/>
      <c r="B585" s="292"/>
      <c r="C585" s="292"/>
      <c r="D585" s="292"/>
      <c r="E585" s="292"/>
      <c r="F585" s="292"/>
      <c r="G585" s="253">
        <v>4</v>
      </c>
      <c r="H585" s="253"/>
      <c r="I585" s="253" t="s">
        <v>312</v>
      </c>
      <c r="J585" s="354"/>
      <c r="K585" s="934">
        <f>'[55]TARGET VERSI LAMA'!$E$421</f>
        <v>0</v>
      </c>
      <c r="L585" s="969">
        <f>[56]PerDinas!$N$697</f>
        <v>0</v>
      </c>
      <c r="M585" s="934">
        <f>[55]Perdinas!$P$473</f>
        <v>0</v>
      </c>
      <c r="N585" s="1501">
        <f t="shared" si="94"/>
        <v>0</v>
      </c>
      <c r="O585" s="934">
        <f t="shared" si="89"/>
        <v>0</v>
      </c>
      <c r="P585" s="955"/>
      <c r="Q585" s="441"/>
      <c r="R585" s="990"/>
    </row>
    <row r="586" spans="1:18" s="254" customFormat="1" ht="15.05">
      <c r="A586" s="289"/>
      <c r="B586" s="292"/>
      <c r="C586" s="292"/>
      <c r="D586" s="292"/>
      <c r="E586" s="292"/>
      <c r="F586" s="292"/>
      <c r="G586" s="253">
        <v>5</v>
      </c>
      <c r="H586" s="253"/>
      <c r="I586" s="253" t="s">
        <v>313</v>
      </c>
      <c r="J586" s="354"/>
      <c r="K586" s="934">
        <f>'[55]TARGET VERSI LAMA'!$E$422</f>
        <v>0</v>
      </c>
      <c r="L586" s="969">
        <f>[56]PerDinas!$N$698</f>
        <v>0</v>
      </c>
      <c r="M586" s="934">
        <f>[55]Perdinas!$P$474</f>
        <v>0</v>
      </c>
      <c r="N586" s="1501">
        <f t="shared" si="94"/>
        <v>0</v>
      </c>
      <c r="O586" s="934">
        <f t="shared" si="89"/>
        <v>0</v>
      </c>
      <c r="P586" s="955"/>
      <c r="Q586" s="441"/>
      <c r="R586" s="990"/>
    </row>
    <row r="587" spans="1:18" s="254" customFormat="1" ht="15.05">
      <c r="A587" s="289"/>
      <c r="B587" s="292"/>
      <c r="C587" s="292"/>
      <c r="D587" s="292"/>
      <c r="E587" s="292"/>
      <c r="F587" s="292"/>
      <c r="G587" s="253">
        <v>6</v>
      </c>
      <c r="H587" s="253"/>
      <c r="I587" s="253" t="s">
        <v>314</v>
      </c>
      <c r="J587" s="354"/>
      <c r="K587" s="934">
        <f>'[55]TARGET VERSI LAMA'!$E$423</f>
        <v>0</v>
      </c>
      <c r="L587" s="969">
        <f>[56]PerDinas!$N$699</f>
        <v>10972500</v>
      </c>
      <c r="M587" s="934">
        <f>[55]Perdinas!$P$475</f>
        <v>0</v>
      </c>
      <c r="N587" s="1501">
        <f t="shared" si="94"/>
        <v>10972500</v>
      </c>
      <c r="O587" s="934">
        <f t="shared" si="89"/>
        <v>10972500</v>
      </c>
      <c r="P587" s="955"/>
      <c r="Q587" s="441"/>
      <c r="R587" s="990"/>
    </row>
    <row r="588" spans="1:18" s="254" customFormat="1" ht="15.05">
      <c r="A588" s="293"/>
      <c r="B588" s="292"/>
      <c r="C588" s="292"/>
      <c r="D588" s="292"/>
      <c r="E588" s="292"/>
      <c r="F588" s="292"/>
      <c r="G588" s="253">
        <v>7</v>
      </c>
      <c r="H588" s="253"/>
      <c r="I588" s="253" t="s">
        <v>315</v>
      </c>
      <c r="J588" s="374"/>
      <c r="K588" s="934">
        <f>'[55]TARGET VERSI LAMA'!$E$424</f>
        <v>0</v>
      </c>
      <c r="L588" s="969">
        <f>[56]PerDinas!$N$700</f>
        <v>2664500</v>
      </c>
      <c r="M588" s="934">
        <f>[55]Perdinas!$P$476</f>
        <v>0</v>
      </c>
      <c r="N588" s="934">
        <f t="shared" si="94"/>
        <v>2664500</v>
      </c>
      <c r="O588" s="934">
        <f t="shared" si="89"/>
        <v>2664500</v>
      </c>
      <c r="P588" s="978"/>
      <c r="Q588" s="448"/>
      <c r="R588" s="990"/>
    </row>
    <row r="589" spans="1:18" s="254" customFormat="1" ht="15.05">
      <c r="A589" s="293"/>
      <c r="B589" s="292"/>
      <c r="C589" s="292"/>
      <c r="D589" s="292"/>
      <c r="E589" s="292"/>
      <c r="F589" s="292"/>
      <c r="G589" s="253">
        <v>8</v>
      </c>
      <c r="H589" s="253"/>
      <c r="I589" s="253" t="s">
        <v>316</v>
      </c>
      <c r="J589" s="374"/>
      <c r="K589" s="934">
        <f>'[55]TARGET VERSI LAMA'!$E$425</f>
        <v>0</v>
      </c>
      <c r="L589" s="969">
        <f>[56]PerDinas!$N$701</f>
        <v>2605000</v>
      </c>
      <c r="M589" s="934">
        <f>[55]Perdinas!$P$477</f>
        <v>0</v>
      </c>
      <c r="N589" s="934">
        <f t="shared" si="94"/>
        <v>2605000</v>
      </c>
      <c r="O589" s="934">
        <f t="shared" si="89"/>
        <v>2605000</v>
      </c>
      <c r="P589" s="978"/>
      <c r="Q589" s="448"/>
      <c r="R589" s="990"/>
    </row>
    <row r="590" spans="1:18" s="254" customFormat="1" ht="15.05">
      <c r="A590" s="293"/>
      <c r="B590" s="292"/>
      <c r="C590" s="292"/>
      <c r="D590" s="292"/>
      <c r="E590" s="292"/>
      <c r="F590" s="292"/>
      <c r="G590" s="253">
        <v>9</v>
      </c>
      <c r="H590" s="253"/>
      <c r="I590" s="253" t="s">
        <v>317</v>
      </c>
      <c r="J590" s="374"/>
      <c r="K590" s="934">
        <f>'[55]TARGET VERSI LAMA'!$E$426</f>
        <v>0</v>
      </c>
      <c r="L590" s="969">
        <f>[56]PerDinas!$N$702</f>
        <v>3670000</v>
      </c>
      <c r="M590" s="934">
        <f>[55]Perdinas!$P$478</f>
        <v>0</v>
      </c>
      <c r="N590" s="934">
        <f t="shared" si="94"/>
        <v>3670000</v>
      </c>
      <c r="O590" s="934"/>
      <c r="P590" s="978"/>
      <c r="Q590" s="448"/>
      <c r="R590" s="990"/>
    </row>
    <row r="591" spans="1:18" s="254" customFormat="1" ht="15.05">
      <c r="A591" s="293"/>
      <c r="B591" s="292"/>
      <c r="C591" s="292"/>
      <c r="D591" s="292"/>
      <c r="E591" s="292"/>
      <c r="F591" s="292"/>
      <c r="G591" s="253">
        <v>10</v>
      </c>
      <c r="H591" s="253"/>
      <c r="I591" s="253" t="s">
        <v>318</v>
      </c>
      <c r="J591" s="374"/>
      <c r="K591" s="934">
        <f>'[55]TARGET VERSI LAMA'!$E$427</f>
        <v>0</v>
      </c>
      <c r="L591" s="969">
        <f>[56]PerDinas!$N$703</f>
        <v>13563430</v>
      </c>
      <c r="M591" s="934">
        <f>[55]Perdinas!$P$479</f>
        <v>0</v>
      </c>
      <c r="N591" s="934">
        <f t="shared" si="94"/>
        <v>13563430</v>
      </c>
      <c r="O591" s="934"/>
      <c r="P591" s="978"/>
      <c r="Q591" s="448"/>
      <c r="R591" s="990"/>
    </row>
    <row r="592" spans="1:18" s="254" customFormat="1" ht="15.05">
      <c r="A592" s="303"/>
      <c r="B592" s="292">
        <v>4</v>
      </c>
      <c r="C592" s="292">
        <v>1</v>
      </c>
      <c r="D592" s="292">
        <v>4</v>
      </c>
      <c r="E592" s="292" t="s">
        <v>948</v>
      </c>
      <c r="F592" s="292"/>
      <c r="G592" s="291" t="s">
        <v>321</v>
      </c>
      <c r="H592" s="253"/>
      <c r="I592" s="253"/>
      <c r="J592" s="397" t="e">
        <f>J551+J594+#REF!+J604</f>
        <v>#REF!</v>
      </c>
      <c r="K592" s="398">
        <f>K594</f>
        <v>3123018400</v>
      </c>
      <c r="L592" s="398">
        <f>L594</f>
        <v>2836745000</v>
      </c>
      <c r="M592" s="398">
        <f>M594</f>
        <v>259025000</v>
      </c>
      <c r="N592" s="929">
        <f>L592+M592</f>
        <v>3095770000</v>
      </c>
      <c r="O592" s="964">
        <f>N592-K592</f>
        <v>-27248400</v>
      </c>
      <c r="P592" s="931">
        <f t="shared" ref="P592:P603" si="95">N592/K592*100</f>
        <v>99.127497935971178</v>
      </c>
      <c r="Q592" s="448"/>
      <c r="R592" s="990"/>
    </row>
    <row r="593" spans="1:18" s="254" customFormat="1" ht="15.05">
      <c r="A593" s="303"/>
      <c r="B593" s="292"/>
      <c r="C593" s="292"/>
      <c r="D593" s="292"/>
      <c r="E593" s="292"/>
      <c r="F593" s="292"/>
      <c r="G593" s="291"/>
      <c r="H593" s="253"/>
      <c r="I593" s="253"/>
      <c r="J593" s="397"/>
      <c r="K593" s="398"/>
      <c r="L593" s="981"/>
      <c r="M593" s="929"/>
      <c r="N593" s="929"/>
      <c r="O593" s="964"/>
      <c r="P593" s="931"/>
      <c r="Q593" s="448"/>
      <c r="R593" s="990"/>
    </row>
    <row r="594" spans="1:18" s="254" customFormat="1" ht="15.05">
      <c r="A594" s="303"/>
      <c r="B594" s="292"/>
      <c r="C594" s="292"/>
      <c r="D594" s="292"/>
      <c r="E594" s="292"/>
      <c r="F594" s="292"/>
      <c r="G594" s="5843" t="s">
        <v>323</v>
      </c>
      <c r="H594" s="5869"/>
      <c r="I594" s="5869"/>
      <c r="J594" s="1004">
        <f>SUM(J595:J603)</f>
        <v>23926877800</v>
      </c>
      <c r="K594" s="1005">
        <f>SUM(K595:K603)</f>
        <v>3123018400</v>
      </c>
      <c r="L594" s="1502">
        <f>SUM(L595:L603)</f>
        <v>2836745000</v>
      </c>
      <c r="M594" s="1007">
        <f>SUM(M595:M603)</f>
        <v>259025000</v>
      </c>
      <c r="N594" s="1007">
        <f>SUM(N595:N603)</f>
        <v>3095770000</v>
      </c>
      <c r="O594" s="975">
        <f t="shared" ref="O594:O604" si="96">N594-K594</f>
        <v>-27248400</v>
      </c>
      <c r="P594" s="1008">
        <f t="shared" si="95"/>
        <v>99.127497935971178</v>
      </c>
      <c r="Q594" s="448"/>
      <c r="R594" s="990"/>
    </row>
    <row r="595" spans="1:18" s="254" customFormat="1" ht="15.05">
      <c r="A595" s="303"/>
      <c r="B595" s="292"/>
      <c r="C595" s="292"/>
      <c r="D595" s="292"/>
      <c r="E595" s="292"/>
      <c r="F595" s="292"/>
      <c r="G595" s="842"/>
      <c r="H595" s="998" t="s">
        <v>50</v>
      </c>
      <c r="I595" s="253" t="s">
        <v>310</v>
      </c>
      <c r="J595" s="374">
        <v>3262174200</v>
      </c>
      <c r="K595" s="932">
        <f>'[55]TARGET VERSI LAMA'!$E$434</f>
        <v>722763972</v>
      </c>
      <c r="L595" s="1009">
        <f>[56]PerDinas!$N$612</f>
        <v>626200000</v>
      </c>
      <c r="M595" s="375">
        <f>[55]Perdinas!$P$388</f>
        <v>56275000</v>
      </c>
      <c r="N595" s="954">
        <f>M595+L595</f>
        <v>682475000</v>
      </c>
      <c r="O595" s="934">
        <f t="shared" si="96"/>
        <v>-40288972</v>
      </c>
      <c r="P595" s="955">
        <f t="shared" si="95"/>
        <v>94.425708314082925</v>
      </c>
      <c r="Q595" s="448"/>
      <c r="R595" s="995"/>
    </row>
    <row r="596" spans="1:18" s="254" customFormat="1" ht="15.05">
      <c r="A596" s="303"/>
      <c r="B596" s="292"/>
      <c r="C596" s="292"/>
      <c r="D596" s="292"/>
      <c r="E596" s="292"/>
      <c r="F596" s="292"/>
      <c r="G596" s="842" t="s">
        <v>700</v>
      </c>
      <c r="H596" s="998" t="s">
        <v>50</v>
      </c>
      <c r="I596" s="253" t="s">
        <v>311</v>
      </c>
      <c r="J596" s="374">
        <v>3744139500</v>
      </c>
      <c r="K596" s="932">
        <f>'[55]TARGET VERSI LAMA'!$E$435</f>
        <v>503240012</v>
      </c>
      <c r="L596" s="1009">
        <f>[56]PerDinas!$N$613</f>
        <v>449525000</v>
      </c>
      <c r="M596" s="375">
        <f>[55]Perdinas!$P$389</f>
        <v>42675000</v>
      </c>
      <c r="N596" s="954">
        <f t="shared" ref="N596:N604" si="97">M596+L596</f>
        <v>492200000</v>
      </c>
      <c r="O596" s="934">
        <f t="shared" si="96"/>
        <v>-11040012</v>
      </c>
      <c r="P596" s="955">
        <f t="shared" si="95"/>
        <v>97.806213389884419</v>
      </c>
      <c r="Q596" s="1020"/>
      <c r="R596" s="990"/>
    </row>
    <row r="597" spans="1:18" s="254" customFormat="1" ht="15.05">
      <c r="A597" s="303"/>
      <c r="B597" s="292"/>
      <c r="C597" s="292"/>
      <c r="D597" s="292"/>
      <c r="E597" s="292"/>
      <c r="F597" s="292"/>
      <c r="G597" s="842"/>
      <c r="H597" s="998" t="s">
        <v>50</v>
      </c>
      <c r="I597" s="253" t="s">
        <v>312</v>
      </c>
      <c r="J597" s="374">
        <v>4579282945</v>
      </c>
      <c r="K597" s="932">
        <f>'[55]TARGET VERSI LAMA'!$E$436</f>
        <v>610938973</v>
      </c>
      <c r="L597" s="1009">
        <f>[56]PerDinas!$N$614</f>
        <v>572925000</v>
      </c>
      <c r="M597" s="375">
        <f>[55]Perdinas!$P$390</f>
        <v>63550000</v>
      </c>
      <c r="N597" s="954">
        <f t="shared" si="97"/>
        <v>636475000</v>
      </c>
      <c r="O597" s="934">
        <f t="shared" si="96"/>
        <v>25536027</v>
      </c>
      <c r="P597" s="955">
        <f t="shared" si="95"/>
        <v>104.17979996833498</v>
      </c>
      <c r="Q597" s="1020"/>
      <c r="R597" s="990"/>
    </row>
    <row r="598" spans="1:18" s="254" customFormat="1" ht="15.05">
      <c r="A598" s="303"/>
      <c r="B598" s="292"/>
      <c r="C598" s="292"/>
      <c r="D598" s="292"/>
      <c r="E598" s="292"/>
      <c r="F598" s="292"/>
      <c r="G598" s="842"/>
      <c r="H598" s="998" t="s">
        <v>50</v>
      </c>
      <c r="I598" s="253" t="s">
        <v>313</v>
      </c>
      <c r="J598" s="374">
        <v>2681813070</v>
      </c>
      <c r="K598" s="932">
        <f>'[55]TARGET VERSI LAMA'!$E$437</f>
        <v>308961000</v>
      </c>
      <c r="L598" s="1009">
        <f>[56]PerDinas!$N$615</f>
        <v>240800000</v>
      </c>
      <c r="M598" s="375">
        <f>[55]Perdinas!$P$391</f>
        <v>21400000</v>
      </c>
      <c r="N598" s="954">
        <f t="shared" si="97"/>
        <v>262200000</v>
      </c>
      <c r="O598" s="934">
        <f t="shared" si="96"/>
        <v>-46761000</v>
      </c>
      <c r="P598" s="955">
        <f t="shared" si="95"/>
        <v>84.865080058648175</v>
      </c>
      <c r="Q598" s="1020"/>
      <c r="R598" s="990"/>
    </row>
    <row r="599" spans="1:18" s="254" customFormat="1" ht="15.05">
      <c r="A599" s="303"/>
      <c r="B599" s="292"/>
      <c r="C599" s="292"/>
      <c r="D599" s="292"/>
      <c r="E599" s="292"/>
      <c r="F599" s="292"/>
      <c r="G599" s="842"/>
      <c r="H599" s="998" t="s">
        <v>50</v>
      </c>
      <c r="I599" s="253" t="s">
        <v>314</v>
      </c>
      <c r="J599" s="374">
        <v>3172873200</v>
      </c>
      <c r="K599" s="932">
        <f>'[55]TARGET VERSI LAMA'!$E$438</f>
        <v>221200000</v>
      </c>
      <c r="L599" s="1009">
        <f>[56]PerDinas!$N$616</f>
        <v>208150000</v>
      </c>
      <c r="M599" s="375">
        <f>[55]Perdinas!$P$392</f>
        <v>15175000</v>
      </c>
      <c r="N599" s="954">
        <f t="shared" si="97"/>
        <v>223325000</v>
      </c>
      <c r="O599" s="934">
        <f t="shared" si="96"/>
        <v>2125000</v>
      </c>
      <c r="P599" s="955">
        <f t="shared" si="95"/>
        <v>100.96066907775769</v>
      </c>
      <c r="Q599" s="1020"/>
      <c r="R599" s="990"/>
    </row>
    <row r="600" spans="1:18" s="254" customFormat="1" ht="15.05">
      <c r="A600" s="303"/>
      <c r="B600" s="292"/>
      <c r="C600" s="292"/>
      <c r="D600" s="292"/>
      <c r="E600" s="292"/>
      <c r="F600" s="292"/>
      <c r="G600" s="842"/>
      <c r="H600" s="998" t="s">
        <v>50</v>
      </c>
      <c r="I600" s="253" t="s">
        <v>315</v>
      </c>
      <c r="J600" s="374">
        <v>934279200</v>
      </c>
      <c r="K600" s="932">
        <f>'[55]TARGET VERSI LAMA'!$E$439</f>
        <v>91660431</v>
      </c>
      <c r="L600" s="1009">
        <f>[56]PerDinas!$N$617</f>
        <v>87100000</v>
      </c>
      <c r="M600" s="375">
        <f>[55]Perdinas!$P$393</f>
        <v>6525000</v>
      </c>
      <c r="N600" s="954">
        <f t="shared" si="97"/>
        <v>93625000</v>
      </c>
      <c r="O600" s="934">
        <f t="shared" si="96"/>
        <v>1964569</v>
      </c>
      <c r="P600" s="955">
        <f t="shared" si="95"/>
        <v>102.14331198158997</v>
      </c>
      <c r="Q600" s="1020"/>
      <c r="R600" s="990"/>
    </row>
    <row r="601" spans="1:18" s="254" customFormat="1" ht="15.05">
      <c r="A601" s="303"/>
      <c r="B601" s="292"/>
      <c r="C601" s="292"/>
      <c r="D601" s="292"/>
      <c r="E601" s="292"/>
      <c r="F601" s="292"/>
      <c r="G601" s="842"/>
      <c r="H601" s="998" t="s">
        <v>50</v>
      </c>
      <c r="I601" s="253" t="s">
        <v>316</v>
      </c>
      <c r="J601" s="374">
        <v>4033153950</v>
      </c>
      <c r="K601" s="932">
        <f>'[55]TARGET VERSI LAMA'!$E$440</f>
        <v>588729012</v>
      </c>
      <c r="L601" s="1009">
        <f>[56]PerDinas!$N$618</f>
        <v>558150000</v>
      </c>
      <c r="M601" s="375">
        <f>[55]Perdinas!$P$394</f>
        <v>51250000</v>
      </c>
      <c r="N601" s="954">
        <f t="shared" si="97"/>
        <v>609400000</v>
      </c>
      <c r="O601" s="934">
        <f t="shared" si="96"/>
        <v>20670988</v>
      </c>
      <c r="P601" s="955">
        <f t="shared" si="95"/>
        <v>103.51112100451405</v>
      </c>
      <c r="Q601" s="1020"/>
      <c r="R601" s="990"/>
    </row>
    <row r="602" spans="1:18" s="254" customFormat="1" ht="15.05">
      <c r="A602" s="303"/>
      <c r="B602" s="292"/>
      <c r="C602" s="292"/>
      <c r="D602" s="292"/>
      <c r="E602" s="292"/>
      <c r="F602" s="292"/>
      <c r="G602" s="842"/>
      <c r="H602" s="998" t="s">
        <v>50</v>
      </c>
      <c r="I602" s="253" t="s">
        <v>317</v>
      </c>
      <c r="J602" s="374">
        <v>1080108600</v>
      </c>
      <c r="K602" s="932">
        <f>'[55]TARGET VERSI LAMA'!$E$441</f>
        <v>75525000</v>
      </c>
      <c r="L602" s="1009">
        <f>[56]PerDinas!$N$619</f>
        <v>93895000</v>
      </c>
      <c r="M602" s="375">
        <f>[55]Perdinas!$P$395</f>
        <v>2175000</v>
      </c>
      <c r="N602" s="954">
        <f t="shared" si="97"/>
        <v>96070000</v>
      </c>
      <c r="O602" s="934">
        <f t="shared" si="96"/>
        <v>20545000</v>
      </c>
      <c r="P602" s="955">
        <f t="shared" si="95"/>
        <v>127.2029129427342</v>
      </c>
      <c r="Q602" s="1020"/>
      <c r="R602" s="990"/>
    </row>
    <row r="603" spans="1:18" s="254" customFormat="1" ht="15.05">
      <c r="A603" s="303"/>
      <c r="B603" s="292"/>
      <c r="C603" s="292"/>
      <c r="D603" s="292"/>
      <c r="E603" s="292"/>
      <c r="F603" s="292"/>
      <c r="G603" s="842"/>
      <c r="H603" s="998" t="s">
        <v>50</v>
      </c>
      <c r="I603" s="253" t="s">
        <v>318</v>
      </c>
      <c r="J603" s="374">
        <v>439053135</v>
      </c>
      <c r="K603" s="932">
        <f>'[55]TARGET VERSI LAMA'!$E$442</f>
        <v>0</v>
      </c>
      <c r="L603" s="1009">
        <f>[56]PerDinas!$N$620</f>
        <v>0</v>
      </c>
      <c r="M603" s="375">
        <f>[55]Perdinas!$P$396</f>
        <v>0</v>
      </c>
      <c r="N603" s="934">
        <f t="shared" si="97"/>
        <v>0</v>
      </c>
      <c r="O603" s="934">
        <f t="shared" si="96"/>
        <v>0</v>
      </c>
      <c r="P603" s="955" t="e">
        <f t="shared" si="95"/>
        <v>#DIV/0!</v>
      </c>
      <c r="Q603" s="1020"/>
      <c r="R603" s="990"/>
    </row>
    <row r="604" spans="1:18" s="254" customFormat="1" ht="15.05">
      <c r="A604" s="303"/>
      <c r="B604" s="292"/>
      <c r="C604" s="292"/>
      <c r="D604" s="292"/>
      <c r="E604" s="292"/>
      <c r="F604" s="292"/>
      <c r="G604" s="5870" t="s">
        <v>76</v>
      </c>
      <c r="H604" s="5842"/>
      <c r="I604" s="5842"/>
      <c r="J604" s="397">
        <v>0</v>
      </c>
      <c r="K604" s="398">
        <v>0</v>
      </c>
      <c r="L604" s="981">
        <f>SUM(L605:L605)</f>
        <v>0</v>
      </c>
      <c r="M604" s="929">
        <f>SUM(M605:M605)</f>
        <v>0</v>
      </c>
      <c r="N604" s="929">
        <f t="shared" si="97"/>
        <v>0</v>
      </c>
      <c r="O604" s="930">
        <f t="shared" si="96"/>
        <v>0</v>
      </c>
      <c r="P604" s="955">
        <v>0</v>
      </c>
      <c r="Q604" s="448"/>
      <c r="R604" s="990"/>
    </row>
    <row r="605" spans="1:18" s="254" customFormat="1" ht="15.05">
      <c r="A605" s="303"/>
      <c r="B605" s="292"/>
      <c r="C605" s="292"/>
      <c r="D605" s="292"/>
      <c r="E605" s="292"/>
      <c r="F605" s="292"/>
      <c r="G605" s="842"/>
      <c r="H605" s="998" t="s">
        <v>50</v>
      </c>
      <c r="I605" s="253" t="s">
        <v>632</v>
      </c>
      <c r="J605" s="374">
        <v>0</v>
      </c>
      <c r="K605" s="375">
        <v>0</v>
      </c>
      <c r="L605" s="1009">
        <v>0</v>
      </c>
      <c r="M605" s="932">
        <v>0</v>
      </c>
      <c r="N605" s="934">
        <v>0</v>
      </c>
      <c r="O605" s="934">
        <v>0</v>
      </c>
      <c r="P605" s="978">
        <v>0</v>
      </c>
      <c r="Q605" s="448"/>
      <c r="R605" s="990"/>
    </row>
    <row r="606" spans="1:18" s="245" customFormat="1">
      <c r="A606" s="1499"/>
      <c r="B606" s="655"/>
      <c r="C606" s="655"/>
      <c r="D606" s="655"/>
      <c r="E606" s="655"/>
      <c r="F606" s="655"/>
      <c r="G606" s="656"/>
      <c r="H606" s="656"/>
      <c r="I606" s="656"/>
      <c r="J606" s="680"/>
      <c r="K606" s="681"/>
      <c r="L606" s="681"/>
      <c r="M606" s="681"/>
      <c r="N606" s="681"/>
      <c r="O606" s="681"/>
      <c r="P606" s="683"/>
      <c r="Q606" s="698"/>
      <c r="R606" s="450"/>
    </row>
    <row r="607" spans="1:18" s="244" customFormat="1">
      <c r="A607" s="1383" t="s">
        <v>305</v>
      </c>
      <c r="B607" s="1378" t="s">
        <v>58</v>
      </c>
      <c r="C607" s="1378" t="s">
        <v>852</v>
      </c>
      <c r="D607" s="1378" t="s">
        <v>437</v>
      </c>
      <c r="E607" s="1378"/>
      <c r="F607" s="1378"/>
      <c r="G607" s="1379" t="s">
        <v>405</v>
      </c>
      <c r="H607" s="1379"/>
      <c r="I607" s="1379"/>
      <c r="J607" s="1396">
        <f>+J609</f>
        <v>300000000</v>
      </c>
      <c r="K607" s="1397">
        <f>+K609</f>
        <v>8055834000</v>
      </c>
      <c r="L607" s="1397">
        <f>+L609</f>
        <v>7335435196.1999998</v>
      </c>
      <c r="M607" s="1397">
        <f>+M609</f>
        <v>551425000</v>
      </c>
      <c r="N607" s="1397">
        <f>M607+L607</f>
        <v>7886860196.1999998</v>
      </c>
      <c r="O607" s="1397">
        <f>+N607-K607</f>
        <v>-168973803.80000019</v>
      </c>
      <c r="P607" s="1398">
        <f>+N607/K607*100</f>
        <v>97.902466662048894</v>
      </c>
      <c r="Q607" s="1406"/>
      <c r="R607" s="433"/>
    </row>
    <row r="608" spans="1:18" s="189" customFormat="1">
      <c r="A608" s="1409"/>
      <c r="B608" s="1324"/>
      <c r="C608" s="1324"/>
      <c r="D608" s="1324"/>
      <c r="E608" s="1324"/>
      <c r="F608" s="1324"/>
      <c r="G608" s="1325"/>
      <c r="H608" s="1325"/>
      <c r="I608" s="1325"/>
      <c r="J608" s="757"/>
      <c r="K608" s="758"/>
      <c r="L608" s="758"/>
      <c r="M608" s="758"/>
      <c r="N608" s="758"/>
      <c r="O608" s="758"/>
      <c r="P608" s="690"/>
      <c r="Q608" s="1504"/>
      <c r="R608" s="422"/>
    </row>
    <row r="609" spans="1:18" s="189" customFormat="1">
      <c r="A609" s="293"/>
      <c r="B609" s="290">
        <v>4</v>
      </c>
      <c r="C609" s="290">
        <v>1</v>
      </c>
      <c r="D609" s="290"/>
      <c r="E609" s="290"/>
      <c r="F609" s="290"/>
      <c r="G609" s="291" t="s">
        <v>180</v>
      </c>
      <c r="H609" s="291"/>
      <c r="I609" s="291"/>
      <c r="J609" s="387">
        <f>+J611+J617</f>
        <v>300000000</v>
      </c>
      <c r="K609" s="367">
        <f>+K611+K617</f>
        <v>8055834000</v>
      </c>
      <c r="L609" s="367">
        <f>+L611+L617</f>
        <v>7335435196.1999998</v>
      </c>
      <c r="M609" s="367">
        <f>+M611+M617</f>
        <v>551425000</v>
      </c>
      <c r="N609" s="367">
        <f>+M609+L609</f>
        <v>7886860196.1999998</v>
      </c>
      <c r="O609" s="367">
        <f t="shared" ref="O609:O615" si="98">N609-K609</f>
        <v>-168973803.80000019</v>
      </c>
      <c r="P609" s="347">
        <f t="shared" ref="P609:P615" si="99">N609/K609*100</f>
        <v>97.902466662048894</v>
      </c>
      <c r="Q609" s="1505"/>
      <c r="R609" s="422"/>
    </row>
    <row r="610" spans="1:18" s="189" customFormat="1">
      <c r="A610" s="293"/>
      <c r="B610" s="292"/>
      <c r="C610" s="292"/>
      <c r="D610" s="292"/>
      <c r="E610" s="292"/>
      <c r="F610" s="292"/>
      <c r="G610" s="253"/>
      <c r="H610" s="253"/>
      <c r="I610" s="291"/>
      <c r="J610" s="345"/>
      <c r="K610" s="346"/>
      <c r="L610" s="660"/>
      <c r="M610" s="346"/>
      <c r="N610" s="346"/>
      <c r="O610" s="346"/>
      <c r="P610" s="347"/>
      <c r="Q610" s="1505"/>
      <c r="R610" s="422"/>
    </row>
    <row r="611" spans="1:18" s="189" customFormat="1">
      <c r="A611" s="293"/>
      <c r="B611" s="290">
        <v>4</v>
      </c>
      <c r="C611" s="290">
        <v>1</v>
      </c>
      <c r="D611" s="290">
        <v>2</v>
      </c>
      <c r="E611" s="290"/>
      <c r="F611" s="290"/>
      <c r="G611" s="291" t="s">
        <v>106</v>
      </c>
      <c r="H611" s="291"/>
      <c r="I611" s="291"/>
      <c r="J611" s="387">
        <f>+J613</f>
        <v>300000000</v>
      </c>
      <c r="K611" s="367">
        <f>+K613</f>
        <v>250000000</v>
      </c>
      <c r="L611" s="1066">
        <f>+L613</f>
        <v>458405000</v>
      </c>
      <c r="M611" s="367">
        <f>+M613</f>
        <v>345335000</v>
      </c>
      <c r="N611" s="367">
        <f>+M611+L611</f>
        <v>803740000</v>
      </c>
      <c r="O611" s="367">
        <f t="shared" si="98"/>
        <v>553740000</v>
      </c>
      <c r="P611" s="347">
        <f t="shared" si="99"/>
        <v>321.49599999999998</v>
      </c>
      <c r="Q611" s="1505"/>
      <c r="R611" s="422"/>
    </row>
    <row r="612" spans="1:18" s="189" customFormat="1">
      <c r="A612" s="293"/>
      <c r="B612" s="292"/>
      <c r="C612" s="292"/>
      <c r="D612" s="292"/>
      <c r="E612" s="292"/>
      <c r="F612" s="292"/>
      <c r="G612" s="253"/>
      <c r="H612" s="253"/>
      <c r="I612" s="253"/>
      <c r="J612" s="354"/>
      <c r="K612" s="355"/>
      <c r="L612" s="360"/>
      <c r="M612" s="355"/>
      <c r="N612" s="355"/>
      <c r="O612" s="355"/>
      <c r="P612" s="388"/>
      <c r="Q612" s="1505"/>
      <c r="R612" s="422"/>
    </row>
    <row r="613" spans="1:18" s="189" customFormat="1">
      <c r="A613" s="293"/>
      <c r="B613" s="292">
        <v>4</v>
      </c>
      <c r="C613" s="292">
        <v>1</v>
      </c>
      <c r="D613" s="292">
        <v>2</v>
      </c>
      <c r="E613" s="292" t="s">
        <v>438</v>
      </c>
      <c r="F613" s="292"/>
      <c r="G613" s="253" t="s">
        <v>374</v>
      </c>
      <c r="H613" s="253"/>
      <c r="I613" s="253"/>
      <c r="J613" s="354">
        <f>+J614+J615</f>
        <v>300000000</v>
      </c>
      <c r="K613" s="355">
        <f>+K614+K615</f>
        <v>250000000</v>
      </c>
      <c r="L613" s="360">
        <f>+L614+L615</f>
        <v>458405000</v>
      </c>
      <c r="M613" s="355">
        <f>+M614+M615</f>
        <v>345335000</v>
      </c>
      <c r="N613" s="346">
        <f>+M613+L613</f>
        <v>803740000</v>
      </c>
      <c r="O613" s="346">
        <f t="shared" si="98"/>
        <v>553740000</v>
      </c>
      <c r="P613" s="347">
        <f t="shared" si="99"/>
        <v>321.49599999999998</v>
      </c>
      <c r="Q613" s="1505"/>
      <c r="R613" s="422"/>
    </row>
    <row r="614" spans="1:18" s="189" customFormat="1">
      <c r="A614" s="293"/>
      <c r="B614" s="292">
        <v>4</v>
      </c>
      <c r="C614" s="292">
        <v>1</v>
      </c>
      <c r="D614" s="292">
        <v>2</v>
      </c>
      <c r="E614" s="292" t="s">
        <v>438</v>
      </c>
      <c r="F614" s="292" t="s">
        <v>440</v>
      </c>
      <c r="G614" s="253" t="s">
        <v>304</v>
      </c>
      <c r="H614" s="253"/>
      <c r="I614" s="253"/>
      <c r="J614" s="354">
        <v>300000000</v>
      </c>
      <c r="K614" s="373">
        <f>'[55]TARGET VERSI LAMA'!$E$448</f>
        <v>150000000</v>
      </c>
      <c r="L614" s="360">
        <f>[56]PerDinas!$N$739</f>
        <v>274975000</v>
      </c>
      <c r="M614" s="373">
        <f>[55]Perdinas!$P$500</f>
        <v>259500000</v>
      </c>
      <c r="N614" s="369">
        <f>M614+L614</f>
        <v>534475000</v>
      </c>
      <c r="O614" s="355">
        <f t="shared" si="98"/>
        <v>384475000</v>
      </c>
      <c r="P614" s="388">
        <f t="shared" si="99"/>
        <v>356.31666666666666</v>
      </c>
      <c r="Q614" s="1505"/>
      <c r="R614" s="422"/>
    </row>
    <row r="615" spans="1:18" s="189" customFormat="1">
      <c r="A615" s="289"/>
      <c r="B615" s="292">
        <v>4</v>
      </c>
      <c r="C615" s="292">
        <v>1</v>
      </c>
      <c r="D615" s="292">
        <v>2</v>
      </c>
      <c r="E615" s="292" t="s">
        <v>438</v>
      </c>
      <c r="F615" s="292" t="s">
        <v>437</v>
      </c>
      <c r="G615" s="1003" t="s">
        <v>64</v>
      </c>
      <c r="H615" s="253"/>
      <c r="I615" s="253"/>
      <c r="J615" s="354">
        <v>0</v>
      </c>
      <c r="K615" s="373">
        <f>'[55]TARGET VERSI LAMA'!$E$449</f>
        <v>100000000</v>
      </c>
      <c r="L615" s="360">
        <f>[56]PerDinas!$N$740</f>
        <v>183430000</v>
      </c>
      <c r="M615" s="355">
        <f>[55]Perdinas!$P$501</f>
        <v>85835000</v>
      </c>
      <c r="N615" s="369">
        <f>M615+L615</f>
        <v>269265000</v>
      </c>
      <c r="O615" s="355">
        <f t="shared" si="98"/>
        <v>169265000</v>
      </c>
      <c r="P615" s="388">
        <f t="shared" si="99"/>
        <v>269.26499999999999</v>
      </c>
      <c r="Q615" s="1505"/>
      <c r="R615" s="422"/>
    </row>
    <row r="616" spans="1:18" s="189" customFormat="1">
      <c r="A616" s="293"/>
      <c r="B616" s="292"/>
      <c r="C616" s="292"/>
      <c r="D616" s="292"/>
      <c r="E616" s="292"/>
      <c r="F616" s="292"/>
      <c r="G616" s="253"/>
      <c r="H616" s="253"/>
      <c r="I616" s="253"/>
      <c r="J616" s="354"/>
      <c r="K616" s="355"/>
      <c r="L616" s="360"/>
      <c r="M616" s="355"/>
      <c r="N616" s="355"/>
      <c r="O616" s="355"/>
      <c r="P616" s="388"/>
      <c r="Q616" s="1505"/>
      <c r="R616" s="422"/>
    </row>
    <row r="617" spans="1:18" s="189" customFormat="1">
      <c r="A617" s="293"/>
      <c r="B617" s="290">
        <v>4</v>
      </c>
      <c r="C617" s="290">
        <v>1</v>
      </c>
      <c r="D617" s="290">
        <v>4</v>
      </c>
      <c r="E617" s="290"/>
      <c r="F617" s="290"/>
      <c r="G617" s="291" t="s">
        <v>71</v>
      </c>
      <c r="H617" s="291"/>
      <c r="I617" s="291"/>
      <c r="J617" s="370">
        <f>J618</f>
        <v>0</v>
      </c>
      <c r="K617" s="371">
        <f>K618+K623+K625+K619</f>
        <v>7805834000</v>
      </c>
      <c r="L617" s="371">
        <f>L618+L623+L625+L619</f>
        <v>6877030196.1999998</v>
      </c>
      <c r="M617" s="371">
        <f>M618+M623+M625+M619</f>
        <v>206090000</v>
      </c>
      <c r="N617" s="371">
        <f>M617+L617</f>
        <v>7083120196.1999998</v>
      </c>
      <c r="O617" s="367">
        <f>N617-K617</f>
        <v>-722713803.80000019</v>
      </c>
      <c r="P617" s="347">
        <f>N617/K617*100</f>
        <v>90.741363398196782</v>
      </c>
      <c r="Q617" s="1505"/>
      <c r="R617" s="422"/>
    </row>
    <row r="618" spans="1:18" s="189" customFormat="1">
      <c r="A618" s="289"/>
      <c r="B618" s="292">
        <v>4</v>
      </c>
      <c r="C618" s="292">
        <v>1</v>
      </c>
      <c r="D618" s="292">
        <v>4</v>
      </c>
      <c r="E618" s="292" t="s">
        <v>444</v>
      </c>
      <c r="F618" s="292"/>
      <c r="G618" s="253" t="s">
        <v>222</v>
      </c>
      <c r="H618" s="253"/>
      <c r="I618" s="253"/>
      <c r="J618" s="354">
        <f>+J621</f>
        <v>0</v>
      </c>
      <c r="K618" s="355">
        <f>+K621</f>
        <v>0</v>
      </c>
      <c r="L618" s="355">
        <f>+L621</f>
        <v>6724929</v>
      </c>
      <c r="M618" s="355">
        <f>+M621</f>
        <v>0</v>
      </c>
      <c r="N618" s="355">
        <f>SUM(N619:N621)</f>
        <v>8560614</v>
      </c>
      <c r="O618" s="346">
        <f>N618-K618</f>
        <v>8560614</v>
      </c>
      <c r="P618" s="347">
        <v>0</v>
      </c>
      <c r="Q618" s="1505"/>
      <c r="R618" s="555"/>
    </row>
    <row r="619" spans="1:18" s="189" customFormat="1">
      <c r="A619" s="289"/>
      <c r="B619" s="292">
        <v>4</v>
      </c>
      <c r="C619" s="292">
        <v>1</v>
      </c>
      <c r="D619" s="292">
        <v>4</v>
      </c>
      <c r="E619" s="292" t="s">
        <v>441</v>
      </c>
      <c r="F619" s="292" t="s">
        <v>437</v>
      </c>
      <c r="G619" s="253" t="s">
        <v>710</v>
      </c>
      <c r="H619" s="253"/>
      <c r="I619" s="253"/>
      <c r="J619" s="354"/>
      <c r="K619" s="355"/>
      <c r="L619" s="360">
        <f>[56]PerDinas!$N$744</f>
        <v>1835685</v>
      </c>
      <c r="M619" s="355">
        <f>[55]Perdinas!$P$505</f>
        <v>0</v>
      </c>
      <c r="N619" s="369">
        <f>M619+L619</f>
        <v>1835685</v>
      </c>
      <c r="O619" s="355">
        <f>N619-K619</f>
        <v>1835685</v>
      </c>
      <c r="P619" s="388"/>
      <c r="Q619" s="1505"/>
      <c r="R619" s="422"/>
    </row>
    <row r="620" spans="1:18" s="189" customFormat="1">
      <c r="A620" s="289"/>
      <c r="B620" s="292">
        <v>4</v>
      </c>
      <c r="C620" s="292">
        <v>1</v>
      </c>
      <c r="D620" s="292">
        <v>4</v>
      </c>
      <c r="E620" s="292" t="s">
        <v>444</v>
      </c>
      <c r="F620" s="292" t="s">
        <v>445</v>
      </c>
      <c r="G620" s="253" t="s">
        <v>74</v>
      </c>
      <c r="H620" s="253"/>
      <c r="I620" s="253"/>
      <c r="J620" s="354">
        <v>0</v>
      </c>
      <c r="K620" s="355">
        <v>0</v>
      </c>
      <c r="L620" s="360">
        <v>0</v>
      </c>
      <c r="M620" s="355">
        <f>[55]Perdinas!$P$506</f>
        <v>0</v>
      </c>
      <c r="N620" s="355">
        <f>M620+L620</f>
        <v>0</v>
      </c>
      <c r="O620" s="355">
        <f>N620-K620</f>
        <v>0</v>
      </c>
      <c r="P620" s="388"/>
      <c r="Q620" s="1505"/>
      <c r="R620" s="422"/>
    </row>
    <row r="621" spans="1:18" s="189" customFormat="1">
      <c r="A621" s="289"/>
      <c r="B621" s="292">
        <v>4</v>
      </c>
      <c r="C621" s="292">
        <v>1</v>
      </c>
      <c r="D621" s="292">
        <v>4</v>
      </c>
      <c r="E621" s="292" t="s">
        <v>444</v>
      </c>
      <c r="F621" s="292" t="s">
        <v>441</v>
      </c>
      <c r="G621" s="253" t="s">
        <v>75</v>
      </c>
      <c r="H621" s="253"/>
      <c r="I621" s="253"/>
      <c r="J621" s="354">
        <v>0</v>
      </c>
      <c r="K621" s="373">
        <f>'[55]TARGET VERSI LAMA'!$E$454</f>
        <v>0</v>
      </c>
      <c r="L621" s="360">
        <f>[56]PerDinas!$N$746</f>
        <v>6724929</v>
      </c>
      <c r="M621" s="373">
        <f>[55]Perdinas!$P$507</f>
        <v>0</v>
      </c>
      <c r="N621" s="369">
        <f>M621+L621</f>
        <v>6724929</v>
      </c>
      <c r="O621" s="355">
        <f>N621-K621</f>
        <v>6724929</v>
      </c>
      <c r="P621" s="388"/>
      <c r="Q621" s="1505"/>
      <c r="R621" s="422"/>
    </row>
    <row r="622" spans="1:18" s="189" customFormat="1">
      <c r="A622" s="289"/>
      <c r="B622" s="292"/>
      <c r="C622" s="292"/>
      <c r="D622" s="292"/>
      <c r="E622" s="292"/>
      <c r="F622" s="292"/>
      <c r="G622" s="253"/>
      <c r="H622" s="253"/>
      <c r="I622" s="253"/>
      <c r="J622" s="354"/>
      <c r="K622" s="355"/>
      <c r="L622" s="360"/>
      <c r="M622" s="355"/>
      <c r="N622" s="355"/>
      <c r="O622" s="355"/>
      <c r="P622" s="388"/>
      <c r="Q622" s="1505"/>
      <c r="R622" s="422"/>
    </row>
    <row r="623" spans="1:18" s="189" customFormat="1">
      <c r="A623" s="293"/>
      <c r="B623" s="292">
        <v>4</v>
      </c>
      <c r="C623" s="292">
        <v>1</v>
      </c>
      <c r="D623" s="292">
        <v>4</v>
      </c>
      <c r="E623" s="292" t="s">
        <v>948</v>
      </c>
      <c r="F623" s="292"/>
      <c r="G623" s="253" t="s">
        <v>321</v>
      </c>
      <c r="H623" s="253"/>
      <c r="I623" s="253"/>
      <c r="J623" s="374">
        <f>+J624</f>
        <v>0</v>
      </c>
      <c r="K623" s="375">
        <f>K624</f>
        <v>0</v>
      </c>
      <c r="L623" s="375">
        <f>L624</f>
        <v>26080582.199999999</v>
      </c>
      <c r="M623" s="375">
        <f>M624</f>
        <v>0</v>
      </c>
      <c r="N623" s="1503">
        <f>+M623+L623</f>
        <v>26080582.199999999</v>
      </c>
      <c r="O623" s="346">
        <f>N623-K623</f>
        <v>26080582.199999999</v>
      </c>
      <c r="P623" s="347">
        <v>0</v>
      </c>
      <c r="Q623" s="1505"/>
      <c r="R623" s="422"/>
    </row>
    <row r="624" spans="1:18" s="189" customFormat="1">
      <c r="A624" s="293"/>
      <c r="B624" s="292">
        <v>4</v>
      </c>
      <c r="C624" s="292">
        <v>1</v>
      </c>
      <c r="D624" s="292">
        <v>4</v>
      </c>
      <c r="E624" s="292" t="s">
        <v>948</v>
      </c>
      <c r="F624" s="292" t="s">
        <v>437</v>
      </c>
      <c r="G624" s="2760" t="s">
        <v>50</v>
      </c>
      <c r="H624" s="253" t="s">
        <v>631</v>
      </c>
      <c r="I624" s="253"/>
      <c r="J624" s="374">
        <f>+J625</f>
        <v>0</v>
      </c>
      <c r="K624" s="375">
        <v>0</v>
      </c>
      <c r="L624" s="377">
        <f>[56]PerDinas!$N$749</f>
        <v>26080582.199999999</v>
      </c>
      <c r="M624" s="375">
        <v>0</v>
      </c>
      <c r="N624" s="369">
        <f>M624+L624</f>
        <v>26080582.199999999</v>
      </c>
      <c r="O624" s="355">
        <f>N624-K624</f>
        <v>26080582.199999999</v>
      </c>
      <c r="P624" s="388">
        <v>0</v>
      </c>
      <c r="Q624" s="1505"/>
      <c r="R624" s="422"/>
    </row>
    <row r="625" spans="1:19" s="189" customFormat="1">
      <c r="A625" s="293"/>
      <c r="B625" s="292"/>
      <c r="C625" s="292"/>
      <c r="D625" s="292"/>
      <c r="E625" s="292"/>
      <c r="F625" s="292"/>
      <c r="G625" s="253" t="s">
        <v>50</v>
      </c>
      <c r="H625" s="253" t="s">
        <v>998</v>
      </c>
      <c r="I625" s="253"/>
      <c r="J625" s="374">
        <v>0</v>
      </c>
      <c r="K625" s="1019">
        <f>'[55]TARGET VERSI LAMA'!$E$455</f>
        <v>7805834000</v>
      </c>
      <c r="L625" s="377">
        <f>[56]PerDinas!$N$750</f>
        <v>6842389000</v>
      </c>
      <c r="M625" s="1019">
        <f>[55]Perdinas!$P$509</f>
        <v>206090000</v>
      </c>
      <c r="N625" s="369">
        <f>M625+L625</f>
        <v>7048479000</v>
      </c>
      <c r="O625" s="355">
        <f>N625-K625</f>
        <v>-757355000</v>
      </c>
      <c r="P625" s="388">
        <v>0</v>
      </c>
      <c r="Q625" s="1505"/>
      <c r="R625" s="422"/>
    </row>
    <row r="626" spans="1:19" s="245" customFormat="1">
      <c r="A626" s="654"/>
      <c r="B626" s="655"/>
      <c r="C626" s="655"/>
      <c r="D626" s="655"/>
      <c r="E626" s="655"/>
      <c r="F626" s="655"/>
      <c r="G626" s="656"/>
      <c r="H626" s="656"/>
      <c r="I626" s="656"/>
      <c r="J626" s="680"/>
      <c r="K626" s="681"/>
      <c r="L626" s="681"/>
      <c r="M626" s="681"/>
      <c r="N626" s="527"/>
      <c r="O626" s="527"/>
      <c r="P626" s="671"/>
      <c r="Q626" s="1506"/>
      <c r="R626" s="450"/>
    </row>
    <row r="627" spans="1:19" s="244" customFormat="1">
      <c r="A627" s="1383" t="s">
        <v>325</v>
      </c>
      <c r="B627" s="1378" t="s">
        <v>460</v>
      </c>
      <c r="C627" s="1378" t="s">
        <v>437</v>
      </c>
      <c r="D627" s="1378" t="s">
        <v>445</v>
      </c>
      <c r="E627" s="1378"/>
      <c r="F627" s="1378"/>
      <c r="G627" s="1379" t="s">
        <v>850</v>
      </c>
      <c r="H627" s="1379"/>
      <c r="I627" s="1379"/>
      <c r="J627" s="1396">
        <f>+J629</f>
        <v>33900000</v>
      </c>
      <c r="K627" s="1397">
        <f>+K629</f>
        <v>0</v>
      </c>
      <c r="L627" s="1397">
        <f>+L629</f>
        <v>24920850</v>
      </c>
      <c r="M627" s="1397">
        <f>+M629</f>
        <v>5050000</v>
      </c>
      <c r="N627" s="1397">
        <f>M627+L627</f>
        <v>29970850</v>
      </c>
      <c r="O627" s="1397">
        <f>+N627-K627</f>
        <v>29970850</v>
      </c>
      <c r="P627" s="1398" t="e">
        <f>+N627/K627*100</f>
        <v>#DIV/0!</v>
      </c>
      <c r="Q627" s="1406"/>
      <c r="R627" s="639"/>
      <c r="S627" s="434"/>
    </row>
    <row r="628" spans="1:19" s="189" customFormat="1">
      <c r="A628" s="1409"/>
      <c r="B628" s="1324"/>
      <c r="C628" s="1324"/>
      <c r="D628" s="1324"/>
      <c r="E628" s="1324"/>
      <c r="F628" s="1324"/>
      <c r="G628" s="1325"/>
      <c r="H628" s="1325"/>
      <c r="I628" s="1325"/>
      <c r="J628" s="757"/>
      <c r="K628" s="758"/>
      <c r="L628" s="758"/>
      <c r="M628" s="758"/>
      <c r="N628" s="758"/>
      <c r="O628" s="758"/>
      <c r="P628" s="690"/>
      <c r="Q628" s="1507"/>
      <c r="R628" s="422"/>
      <c r="S628" s="786"/>
    </row>
    <row r="629" spans="1:19" s="189" customFormat="1">
      <c r="A629" s="293"/>
      <c r="B629" s="290">
        <v>4</v>
      </c>
      <c r="C629" s="290">
        <v>1</v>
      </c>
      <c r="D629" s="290"/>
      <c r="E629" s="290"/>
      <c r="F629" s="290"/>
      <c r="G629" s="291" t="s">
        <v>180</v>
      </c>
      <c r="H629" s="291"/>
      <c r="I629" s="291"/>
      <c r="J629" s="387">
        <f>+J632</f>
        <v>33900000</v>
      </c>
      <c r="K629" s="367">
        <f>+K632</f>
        <v>0</v>
      </c>
      <c r="L629" s="367">
        <f>+L632</f>
        <v>24920850</v>
      </c>
      <c r="M629" s="367">
        <f>+M632</f>
        <v>5050000</v>
      </c>
      <c r="N629" s="367">
        <f>+M629+L629</f>
        <v>29970850</v>
      </c>
      <c r="O629" s="367">
        <f t="shared" ref="O629:O636" si="100">N629-K629</f>
        <v>29970850</v>
      </c>
      <c r="P629" s="347" t="e">
        <f>N629/K629*100</f>
        <v>#DIV/0!</v>
      </c>
      <c r="Q629" s="454"/>
      <c r="R629" s="422"/>
      <c r="S629" s="786"/>
    </row>
    <row r="630" spans="1:19" s="189" customFormat="1">
      <c r="A630" s="293"/>
      <c r="B630" s="292"/>
      <c r="C630" s="292"/>
      <c r="D630" s="292"/>
      <c r="E630" s="292"/>
      <c r="F630" s="292"/>
      <c r="G630" s="253"/>
      <c r="H630" s="253"/>
      <c r="I630" s="291"/>
      <c r="J630" s="387"/>
      <c r="K630" s="367"/>
      <c r="L630" s="367"/>
      <c r="M630" s="367"/>
      <c r="N630" s="367"/>
      <c r="O630" s="367"/>
      <c r="P630" s="347"/>
      <c r="Q630" s="454"/>
      <c r="R630" s="422"/>
      <c r="S630" s="786"/>
    </row>
    <row r="631" spans="1:19" s="189" customFormat="1">
      <c r="A631" s="293"/>
      <c r="B631" s="292"/>
      <c r="C631" s="292"/>
      <c r="D631" s="292"/>
      <c r="E631" s="292"/>
      <c r="F631" s="292"/>
      <c r="G631" s="253"/>
      <c r="H631" s="253"/>
      <c r="I631" s="253"/>
      <c r="J631" s="354"/>
      <c r="K631" s="355"/>
      <c r="L631" s="355"/>
      <c r="M631" s="355"/>
      <c r="N631" s="355"/>
      <c r="O631" s="355"/>
      <c r="P631" s="388"/>
      <c r="Q631" s="441"/>
      <c r="R631" s="422"/>
    </row>
    <row r="632" spans="1:19" s="189" customFormat="1">
      <c r="A632" s="293"/>
      <c r="B632" s="290">
        <v>4</v>
      </c>
      <c r="C632" s="290">
        <v>1</v>
      </c>
      <c r="D632" s="290">
        <v>4</v>
      </c>
      <c r="E632" s="290"/>
      <c r="F632" s="290"/>
      <c r="G632" s="291" t="s">
        <v>71</v>
      </c>
      <c r="H632" s="291"/>
      <c r="I632" s="291"/>
      <c r="J632" s="370">
        <f>+J633+J638</f>
        <v>33900000</v>
      </c>
      <c r="K632" s="371">
        <f>+K633+K638</f>
        <v>0</v>
      </c>
      <c r="L632" s="371">
        <f>L633+L638</f>
        <v>24920850</v>
      </c>
      <c r="M632" s="371">
        <f>M633+M638</f>
        <v>5050000</v>
      </c>
      <c r="N632" s="371">
        <f>N633+N638</f>
        <v>29970850</v>
      </c>
      <c r="O632" s="367">
        <f t="shared" si="100"/>
        <v>29970850</v>
      </c>
      <c r="P632" s="347" t="e">
        <f>N632/K632*100</f>
        <v>#DIV/0!</v>
      </c>
      <c r="Q632" s="651"/>
      <c r="R632" s="422"/>
    </row>
    <row r="633" spans="1:19" s="189" customFormat="1">
      <c r="A633" s="289"/>
      <c r="B633" s="292">
        <v>4</v>
      </c>
      <c r="C633" s="292">
        <v>1</v>
      </c>
      <c r="D633" s="292">
        <v>4</v>
      </c>
      <c r="E633" s="292" t="s">
        <v>444</v>
      </c>
      <c r="F633" s="292"/>
      <c r="G633" s="253" t="s">
        <v>222</v>
      </c>
      <c r="H633" s="253"/>
      <c r="I633" s="253"/>
      <c r="J633" s="354">
        <f>+J636</f>
        <v>0</v>
      </c>
      <c r="K633" s="355">
        <f>+K636</f>
        <v>0</v>
      </c>
      <c r="L633" s="355">
        <f>SUM(L634:L636)</f>
        <v>23670850</v>
      </c>
      <c r="M633" s="355">
        <f>SUM(M634:M636)</f>
        <v>0</v>
      </c>
      <c r="N633" s="355">
        <f>SUM(N634:N636)</f>
        <v>23670850</v>
      </c>
      <c r="O633" s="346">
        <f t="shared" si="100"/>
        <v>23670850</v>
      </c>
      <c r="P633" s="347">
        <v>0</v>
      </c>
      <c r="Q633" s="441"/>
      <c r="R633" s="422"/>
    </row>
    <row r="634" spans="1:19" s="189" customFormat="1">
      <c r="A634" s="289"/>
      <c r="B634" s="292">
        <v>4</v>
      </c>
      <c r="C634" s="292">
        <v>1</v>
      </c>
      <c r="D634" s="292">
        <v>4</v>
      </c>
      <c r="E634" s="292" t="s">
        <v>444</v>
      </c>
      <c r="F634" s="292" t="s">
        <v>440</v>
      </c>
      <c r="G634" s="253" t="s">
        <v>73</v>
      </c>
      <c r="H634" s="253"/>
      <c r="I634" s="253"/>
      <c r="J634" s="354">
        <v>0</v>
      </c>
      <c r="K634" s="355">
        <v>0</v>
      </c>
      <c r="L634" s="355">
        <v>0</v>
      </c>
      <c r="M634" s="355">
        <f>[55]Perdinas!$P$474</f>
        <v>0</v>
      </c>
      <c r="N634" s="355">
        <f>M634+L634</f>
        <v>0</v>
      </c>
      <c r="O634" s="355">
        <f t="shared" si="100"/>
        <v>0</v>
      </c>
      <c r="P634" s="388"/>
      <c r="Q634" s="441"/>
      <c r="R634" s="422"/>
    </row>
    <row r="635" spans="1:19" s="189" customFormat="1">
      <c r="A635" s="289"/>
      <c r="B635" s="292">
        <v>4</v>
      </c>
      <c r="C635" s="292">
        <v>1</v>
      </c>
      <c r="D635" s="292">
        <v>4</v>
      </c>
      <c r="E635" s="292" t="s">
        <v>444</v>
      </c>
      <c r="F635" s="292" t="s">
        <v>445</v>
      </c>
      <c r="G635" s="253" t="s">
        <v>74</v>
      </c>
      <c r="H635" s="253"/>
      <c r="I635" s="253"/>
      <c r="J635" s="354">
        <v>0</v>
      </c>
      <c r="K635" s="355">
        <v>0</v>
      </c>
      <c r="L635" s="355">
        <v>0</v>
      </c>
      <c r="M635" s="355">
        <v>0</v>
      </c>
      <c r="N635" s="355">
        <f>M635+L635</f>
        <v>0</v>
      </c>
      <c r="O635" s="355">
        <f t="shared" si="100"/>
        <v>0</v>
      </c>
      <c r="P635" s="388"/>
      <c r="Q635" s="441"/>
      <c r="R635" s="422"/>
    </row>
    <row r="636" spans="1:19" s="189" customFormat="1">
      <c r="A636" s="289"/>
      <c r="B636" s="292">
        <v>4</v>
      </c>
      <c r="C636" s="292">
        <v>1</v>
      </c>
      <c r="D636" s="292">
        <v>4</v>
      </c>
      <c r="E636" s="292" t="s">
        <v>444</v>
      </c>
      <c r="F636" s="292" t="s">
        <v>441</v>
      </c>
      <c r="G636" s="253" t="s">
        <v>75</v>
      </c>
      <c r="H636" s="253"/>
      <c r="I636" s="253"/>
      <c r="J636" s="354">
        <v>0</v>
      </c>
      <c r="K636" s="355">
        <f>'[55]TARGET VERSI LAMA'!$E$461</f>
        <v>0</v>
      </c>
      <c r="L636" s="355">
        <f>[56]PerDinas!$N$761</f>
        <v>23670850</v>
      </c>
      <c r="M636" s="355">
        <f>[55]Perdinas!$P$516</f>
        <v>0</v>
      </c>
      <c r="N636" s="369">
        <f>M636+L636</f>
        <v>23670850</v>
      </c>
      <c r="O636" s="355">
        <f t="shared" si="100"/>
        <v>23670850</v>
      </c>
      <c r="P636" s="388"/>
      <c r="Q636" s="441"/>
      <c r="R636" s="431">
        <f>N636-23920850</f>
        <v>-250000</v>
      </c>
    </row>
    <row r="637" spans="1:19" s="189" customFormat="1">
      <c r="A637" s="289"/>
      <c r="B637" s="292"/>
      <c r="C637" s="292"/>
      <c r="D637" s="292"/>
      <c r="E637" s="292"/>
      <c r="F637" s="292"/>
      <c r="G637" s="253"/>
      <c r="H637" s="253"/>
      <c r="I637" s="253"/>
      <c r="J637" s="354"/>
      <c r="K637" s="355"/>
      <c r="L637" s="355"/>
      <c r="M637" s="355"/>
      <c r="N637" s="355"/>
      <c r="O637" s="355"/>
      <c r="P637" s="388"/>
      <c r="Q637" s="441"/>
      <c r="R637" s="422"/>
    </row>
    <row r="638" spans="1:19" s="189" customFormat="1">
      <c r="A638" s="293"/>
      <c r="B638" s="292">
        <v>4</v>
      </c>
      <c r="C638" s="292">
        <v>1</v>
      </c>
      <c r="D638" s="292">
        <v>4</v>
      </c>
      <c r="E638" s="292" t="s">
        <v>948</v>
      </c>
      <c r="F638" s="292"/>
      <c r="G638" s="253" t="s">
        <v>321</v>
      </c>
      <c r="H638" s="253"/>
      <c r="I638" s="253"/>
      <c r="J638" s="374">
        <f>+J639</f>
        <v>33900000</v>
      </c>
      <c r="K638" s="375">
        <f>+K639</f>
        <v>0</v>
      </c>
      <c r="L638" s="375">
        <f>+L639</f>
        <v>1250000</v>
      </c>
      <c r="M638" s="375">
        <f>+M639</f>
        <v>5050000</v>
      </c>
      <c r="N638" s="346">
        <f>+M638+L638</f>
        <v>6300000</v>
      </c>
      <c r="O638" s="346">
        <f>N638-K638</f>
        <v>6300000</v>
      </c>
      <c r="P638" s="347" t="e">
        <f>N638/K638*100</f>
        <v>#DIV/0!</v>
      </c>
      <c r="Q638" s="448"/>
      <c r="R638" s="422"/>
    </row>
    <row r="639" spans="1:19" s="189" customFormat="1">
      <c r="A639" s="293"/>
      <c r="B639" s="292">
        <v>4</v>
      </c>
      <c r="C639" s="292">
        <v>1</v>
      </c>
      <c r="D639" s="292">
        <v>4</v>
      </c>
      <c r="E639" s="292" t="s">
        <v>948</v>
      </c>
      <c r="F639" s="292" t="s">
        <v>437</v>
      </c>
      <c r="G639" s="253" t="s">
        <v>85</v>
      </c>
      <c r="H639" s="253"/>
      <c r="I639" s="253"/>
      <c r="J639" s="374">
        <f>J640+J641</f>
        <v>33900000</v>
      </c>
      <c r="K639" s="375">
        <f>K640+K641</f>
        <v>0</v>
      </c>
      <c r="L639" s="377">
        <f>L640+L641</f>
        <v>1250000</v>
      </c>
      <c r="M639" s="375">
        <f>M640+M641</f>
        <v>5050000</v>
      </c>
      <c r="N639" s="375">
        <f>M639+L639</f>
        <v>6300000</v>
      </c>
      <c r="O639" s="355">
        <f>N639-K639</f>
        <v>6300000</v>
      </c>
      <c r="P639" s="347" t="e">
        <f>N639/K639*100</f>
        <v>#DIV/0!</v>
      </c>
      <c r="Q639" s="448"/>
      <c r="R639" s="422"/>
    </row>
    <row r="640" spans="1:19" s="189" customFormat="1">
      <c r="A640" s="293"/>
      <c r="B640" s="292"/>
      <c r="C640" s="292"/>
      <c r="D640" s="292"/>
      <c r="E640" s="292"/>
      <c r="F640" s="292"/>
      <c r="G640" s="253" t="s">
        <v>50</v>
      </c>
      <c r="H640" s="253"/>
      <c r="I640" s="253" t="s">
        <v>999</v>
      </c>
      <c r="J640" s="374">
        <v>14000000</v>
      </c>
      <c r="K640" s="376">
        <f>'[55]TARGET VERSI LAMA'!$E$462</f>
        <v>0</v>
      </c>
      <c r="L640" s="377">
        <f>[56]PerDinas!$N$765</f>
        <v>0</v>
      </c>
      <c r="M640" s="376">
        <f>[55]Perdinas!$P$477</f>
        <v>0</v>
      </c>
      <c r="N640" s="355">
        <f>M640+L640</f>
        <v>0</v>
      </c>
      <c r="O640" s="355">
        <f>N640-K640</f>
        <v>0</v>
      </c>
      <c r="P640" s="347" t="e">
        <f>N640/K640*100</f>
        <v>#DIV/0!</v>
      </c>
      <c r="Q640" s="448"/>
      <c r="R640" s="422"/>
    </row>
    <row r="641" spans="1:18" s="189" customFormat="1">
      <c r="A641" s="293"/>
      <c r="B641" s="292"/>
      <c r="C641" s="292"/>
      <c r="D641" s="292"/>
      <c r="E641" s="292"/>
      <c r="F641" s="292"/>
      <c r="G641" s="253" t="s">
        <v>50</v>
      </c>
      <c r="H641" s="253"/>
      <c r="I641" s="253" t="s">
        <v>85</v>
      </c>
      <c r="J641" s="374">
        <v>19900000</v>
      </c>
      <c r="K641" s="375">
        <f>'[55]TARGET VERSI LAMA'!$E$463</f>
        <v>0</v>
      </c>
      <c r="L641" s="1231">
        <f>PerDinas!L626</f>
        <v>1250000</v>
      </c>
      <c r="M641" s="375">
        <f>[55]Perdinas!$P$402</f>
        <v>5050000</v>
      </c>
      <c r="N641" s="369">
        <f>M641+L641</f>
        <v>6300000</v>
      </c>
      <c r="O641" s="355">
        <f>N641-K641</f>
        <v>6300000</v>
      </c>
      <c r="P641" s="347" t="e">
        <f>N641/K641*100</f>
        <v>#DIV/0!</v>
      </c>
      <c r="Q641" s="448"/>
      <c r="R641" s="554"/>
    </row>
    <row r="642" spans="1:18" s="245" customFormat="1">
      <c r="A642" s="654"/>
      <c r="B642" s="655"/>
      <c r="C642" s="655"/>
      <c r="D642" s="655"/>
      <c r="E642" s="655"/>
      <c r="F642" s="655"/>
      <c r="G642" s="656"/>
      <c r="H642" s="656"/>
      <c r="I642" s="656"/>
      <c r="J642" s="526"/>
      <c r="K642" s="527"/>
      <c r="L642" s="527"/>
      <c r="M642" s="527"/>
      <c r="N642" s="527"/>
      <c r="O642" s="527"/>
      <c r="P642" s="671"/>
      <c r="Q642" s="644"/>
      <c r="R642" s="450"/>
    </row>
    <row r="643" spans="1:18" s="244" customFormat="1">
      <c r="A643" s="1383" t="s">
        <v>333</v>
      </c>
      <c r="B643" s="1378" t="s">
        <v>58</v>
      </c>
      <c r="C643" s="1378" t="s">
        <v>437</v>
      </c>
      <c r="D643" s="1378" t="s">
        <v>438</v>
      </c>
      <c r="E643" s="1378"/>
      <c r="F643" s="1378"/>
      <c r="G643" s="1379" t="s">
        <v>853</v>
      </c>
      <c r="H643" s="1379"/>
      <c r="I643" s="1379"/>
      <c r="J643" s="1396">
        <f>+J645</f>
        <v>100000000</v>
      </c>
      <c r="K643" s="1397">
        <f>+K645</f>
        <v>4625000</v>
      </c>
      <c r="L643" s="1397">
        <f>+L645</f>
        <v>8336500</v>
      </c>
      <c r="M643" s="1397">
        <f>+M645</f>
        <v>3063000</v>
      </c>
      <c r="N643" s="1397">
        <f>M643+L643</f>
        <v>11399500</v>
      </c>
      <c r="O643" s="1397">
        <f>+N643-K643</f>
        <v>6774500</v>
      </c>
      <c r="P643" s="1398">
        <f>+N643/K643*100</f>
        <v>246.47567567567569</v>
      </c>
      <c r="Q643" s="1406"/>
      <c r="R643" s="639"/>
    </row>
    <row r="644" spans="1:18" s="189" customFormat="1">
      <c r="A644" s="1323"/>
      <c r="B644" s="1324"/>
      <c r="C644" s="1324"/>
      <c r="D644" s="1324"/>
      <c r="E644" s="1324"/>
      <c r="F644" s="1324"/>
      <c r="G644" s="1325"/>
      <c r="H644" s="1325"/>
      <c r="I644" s="1325"/>
      <c r="J644" s="1333"/>
      <c r="K644" s="677"/>
      <c r="L644" s="677"/>
      <c r="M644" s="677"/>
      <c r="N644" s="677"/>
      <c r="O644" s="677"/>
      <c r="P644" s="690"/>
      <c r="Q644" s="531"/>
      <c r="R644" s="422"/>
    </row>
    <row r="645" spans="1:18" s="189" customFormat="1">
      <c r="A645" s="289"/>
      <c r="B645" s="290">
        <v>4</v>
      </c>
      <c r="C645" s="290">
        <v>1</v>
      </c>
      <c r="D645" s="290"/>
      <c r="E645" s="290"/>
      <c r="F645" s="290"/>
      <c r="G645" s="291" t="s">
        <v>180</v>
      </c>
      <c r="H645" s="291"/>
      <c r="I645" s="291"/>
      <c r="J645" s="387">
        <f>+J648</f>
        <v>100000000</v>
      </c>
      <c r="K645" s="367">
        <f>+K648</f>
        <v>4625000</v>
      </c>
      <c r="L645" s="367">
        <f>+L648</f>
        <v>8336500</v>
      </c>
      <c r="M645" s="367">
        <f>+M648</f>
        <v>3063000</v>
      </c>
      <c r="N645" s="367">
        <f>+M645+L645</f>
        <v>11399500</v>
      </c>
      <c r="O645" s="367">
        <f t="shared" ref="O645:O652" si="101">N645-K645</f>
        <v>6774500</v>
      </c>
      <c r="P645" s="347">
        <f>N645/K645*100</f>
        <v>246.47567567567569</v>
      </c>
      <c r="Q645" s="454"/>
      <c r="R645" s="422"/>
    </row>
    <row r="646" spans="1:18" s="189" customFormat="1">
      <c r="A646" s="289"/>
      <c r="B646" s="292"/>
      <c r="C646" s="292"/>
      <c r="D646" s="292"/>
      <c r="E646" s="292"/>
      <c r="F646" s="292"/>
      <c r="G646" s="253"/>
      <c r="H646" s="253"/>
      <c r="I646" s="291"/>
      <c r="J646" s="345"/>
      <c r="K646" s="346"/>
      <c r="L646" s="346"/>
      <c r="M646" s="346"/>
      <c r="N646" s="346"/>
      <c r="O646" s="346"/>
      <c r="P646" s="347"/>
      <c r="Q646" s="438"/>
      <c r="R646" s="422"/>
    </row>
    <row r="647" spans="1:18" s="189" customFormat="1">
      <c r="A647" s="289"/>
      <c r="B647" s="292"/>
      <c r="C647" s="292"/>
      <c r="D647" s="292"/>
      <c r="E647" s="292"/>
      <c r="F647" s="292"/>
      <c r="G647" s="253"/>
      <c r="H647" s="253"/>
      <c r="I647" s="253"/>
      <c r="J647" s="354"/>
      <c r="K647" s="355"/>
      <c r="L647" s="355"/>
      <c r="M647" s="355"/>
      <c r="N647" s="355"/>
      <c r="O647" s="355"/>
      <c r="P647" s="388"/>
      <c r="Q647" s="441"/>
      <c r="R647" s="422"/>
    </row>
    <row r="648" spans="1:18" s="189" customFormat="1">
      <c r="A648" s="289"/>
      <c r="B648" s="290">
        <v>4</v>
      </c>
      <c r="C648" s="290">
        <v>1</v>
      </c>
      <c r="D648" s="290">
        <v>4</v>
      </c>
      <c r="E648" s="290"/>
      <c r="F648" s="290"/>
      <c r="G648" s="291" t="s">
        <v>71</v>
      </c>
      <c r="H648" s="291"/>
      <c r="I648" s="291"/>
      <c r="J648" s="370">
        <f>J649+J654</f>
        <v>100000000</v>
      </c>
      <c r="K648" s="371">
        <f>K649+K654</f>
        <v>4625000</v>
      </c>
      <c r="L648" s="371">
        <f>L649+L654</f>
        <v>8336500</v>
      </c>
      <c r="M648" s="371">
        <f>M649+M654</f>
        <v>3063000</v>
      </c>
      <c r="N648" s="371">
        <f>N649+N654</f>
        <v>11399500</v>
      </c>
      <c r="O648" s="367">
        <f t="shared" si="101"/>
        <v>6774500</v>
      </c>
      <c r="P648" s="347">
        <f>N648/K648*100</f>
        <v>246.47567567567569</v>
      </c>
      <c r="Q648" s="651"/>
      <c r="R648" s="422"/>
    </row>
    <row r="649" spans="1:18" s="189" customFormat="1">
      <c r="A649" s="289"/>
      <c r="B649" s="292">
        <v>4</v>
      </c>
      <c r="C649" s="292">
        <v>1</v>
      </c>
      <c r="D649" s="292">
        <v>4</v>
      </c>
      <c r="E649" s="292" t="s">
        <v>444</v>
      </c>
      <c r="F649" s="292"/>
      <c r="G649" s="253" t="s">
        <v>222</v>
      </c>
      <c r="H649" s="253"/>
      <c r="I649" s="253"/>
      <c r="J649" s="354">
        <f>+J652</f>
        <v>0</v>
      </c>
      <c r="K649" s="355">
        <f>+K652</f>
        <v>0</v>
      </c>
      <c r="L649" s="355">
        <f>SUM(L650:L652)</f>
        <v>8336500</v>
      </c>
      <c r="M649" s="355">
        <f>SUM(M650:M652)</f>
        <v>3063000</v>
      </c>
      <c r="N649" s="355">
        <f>SUM(N650:N652)</f>
        <v>11399500</v>
      </c>
      <c r="O649" s="346">
        <f t="shared" si="101"/>
        <v>11399500</v>
      </c>
      <c r="P649" s="347">
        <v>0</v>
      </c>
      <c r="Q649" s="441"/>
      <c r="R649" s="422"/>
    </row>
    <row r="650" spans="1:18" s="189" customFormat="1">
      <c r="A650" s="289"/>
      <c r="B650" s="292">
        <v>4</v>
      </c>
      <c r="C650" s="292">
        <v>1</v>
      </c>
      <c r="D650" s="292">
        <v>4</v>
      </c>
      <c r="E650" s="292" t="s">
        <v>444</v>
      </c>
      <c r="F650" s="292" t="s">
        <v>440</v>
      </c>
      <c r="G650" s="253" t="s">
        <v>73</v>
      </c>
      <c r="H650" s="253"/>
      <c r="I650" s="253"/>
      <c r="J650" s="354">
        <f>+J653</f>
        <v>0</v>
      </c>
      <c r="K650" s="355">
        <f>+K653</f>
        <v>0</v>
      </c>
      <c r="L650" s="360">
        <v>0</v>
      </c>
      <c r="M650" s="355">
        <f>[55]Perdinas!$P$483</f>
        <v>0</v>
      </c>
      <c r="N650" s="355">
        <f>M650+L650</f>
        <v>0</v>
      </c>
      <c r="O650" s="355">
        <f t="shared" si="101"/>
        <v>0</v>
      </c>
      <c r="P650" s="388"/>
      <c r="Q650" s="441"/>
      <c r="R650" s="422"/>
    </row>
    <row r="651" spans="1:18" s="189" customFormat="1">
      <c r="A651" s="289"/>
      <c r="B651" s="292">
        <v>4</v>
      </c>
      <c r="C651" s="292">
        <v>1</v>
      </c>
      <c r="D651" s="292">
        <v>4</v>
      </c>
      <c r="E651" s="292" t="s">
        <v>444</v>
      </c>
      <c r="F651" s="292" t="s">
        <v>445</v>
      </c>
      <c r="G651" s="253" t="s">
        <v>74</v>
      </c>
      <c r="H651" s="253"/>
      <c r="I651" s="253"/>
      <c r="J651" s="354"/>
      <c r="K651" s="355"/>
      <c r="L651" s="360">
        <v>0</v>
      </c>
      <c r="M651" s="355">
        <f>[55]Perdinas!$P$484</f>
        <v>0</v>
      </c>
      <c r="N651" s="355">
        <f>M651+L651</f>
        <v>0</v>
      </c>
      <c r="O651" s="355">
        <f t="shared" si="101"/>
        <v>0</v>
      </c>
      <c r="P651" s="388"/>
      <c r="Q651" s="441"/>
      <c r="R651" s="422"/>
    </row>
    <row r="652" spans="1:18" s="189" customFormat="1">
      <c r="A652" s="289"/>
      <c r="B652" s="292">
        <v>4</v>
      </c>
      <c r="C652" s="292">
        <v>1</v>
      </c>
      <c r="D652" s="292">
        <v>4</v>
      </c>
      <c r="E652" s="292" t="s">
        <v>444</v>
      </c>
      <c r="F652" s="292" t="s">
        <v>441</v>
      </c>
      <c r="G652" s="253" t="s">
        <v>75</v>
      </c>
      <c r="H652" s="253"/>
      <c r="I652" s="253"/>
      <c r="J652" s="354"/>
      <c r="K652" s="355">
        <f>'[55]TARGET VERSI LAMA'!$E$469</f>
        <v>0</v>
      </c>
      <c r="L652" s="360">
        <f>[56]PerDinas!$N$777</f>
        <v>8336500</v>
      </c>
      <c r="M652" s="355">
        <f>[55]Perdinas!$P$525</f>
        <v>3063000</v>
      </c>
      <c r="N652" s="369">
        <f>M652+L652</f>
        <v>11399500</v>
      </c>
      <c r="O652" s="355">
        <f t="shared" si="101"/>
        <v>11399500</v>
      </c>
      <c r="P652" s="388"/>
      <c r="Q652" s="441"/>
      <c r="R652" s="422"/>
    </row>
    <row r="653" spans="1:18" s="189" customFormat="1">
      <c r="A653" s="289"/>
      <c r="B653" s="292"/>
      <c r="C653" s="292"/>
      <c r="D653" s="292"/>
      <c r="E653" s="292"/>
      <c r="F653" s="292"/>
      <c r="G653" s="253"/>
      <c r="H653" s="253"/>
      <c r="I653" s="253"/>
      <c r="J653" s="354"/>
      <c r="K653" s="355"/>
      <c r="L653" s="360"/>
      <c r="M653" s="355"/>
      <c r="N653" s="355"/>
      <c r="O653" s="355"/>
      <c r="P653" s="388"/>
      <c r="Q653" s="441"/>
      <c r="R653" s="422"/>
    </row>
    <row r="654" spans="1:18" s="189" customFormat="1">
      <c r="A654" s="289"/>
      <c r="B654" s="292">
        <v>4</v>
      </c>
      <c r="C654" s="292">
        <v>1</v>
      </c>
      <c r="D654" s="292">
        <v>4</v>
      </c>
      <c r="E654" s="292" t="s">
        <v>948</v>
      </c>
      <c r="F654" s="292"/>
      <c r="G654" s="253" t="s">
        <v>321</v>
      </c>
      <c r="H654" s="253"/>
      <c r="I654" s="253"/>
      <c r="J654" s="354">
        <f>+J655</f>
        <v>100000000</v>
      </c>
      <c r="K654" s="355">
        <f>+K655</f>
        <v>4625000</v>
      </c>
      <c r="L654" s="360">
        <f>+L655</f>
        <v>0</v>
      </c>
      <c r="M654" s="355">
        <f>+M655</f>
        <v>0</v>
      </c>
      <c r="N654" s="346">
        <f>+M654+L654</f>
        <v>0</v>
      </c>
      <c r="O654" s="346">
        <f>N654-K654</f>
        <v>-4625000</v>
      </c>
      <c r="P654" s="347">
        <f>N654/K654*100</f>
        <v>0</v>
      </c>
      <c r="Q654" s="441"/>
      <c r="R654" s="422"/>
    </row>
    <row r="655" spans="1:18" s="189" customFormat="1">
      <c r="A655" s="289"/>
      <c r="B655" s="292">
        <v>4</v>
      </c>
      <c r="C655" s="292">
        <v>1</v>
      </c>
      <c r="D655" s="292">
        <v>4</v>
      </c>
      <c r="E655" s="292" t="s">
        <v>948</v>
      </c>
      <c r="F655" s="292" t="s">
        <v>437</v>
      </c>
      <c r="G655" s="253" t="s">
        <v>85</v>
      </c>
      <c r="H655" s="253"/>
      <c r="I655" s="253"/>
      <c r="J655" s="354">
        <f>SUM(J656:J657)</f>
        <v>100000000</v>
      </c>
      <c r="K655" s="355">
        <f>SUM(K656:K657)</f>
        <v>4625000</v>
      </c>
      <c r="L655" s="360">
        <f>SUM(L656:L657)</f>
        <v>0</v>
      </c>
      <c r="M655" s="355">
        <f>SUM(M656:M657)</f>
        <v>0</v>
      </c>
      <c r="N655" s="355">
        <f>SUM(N656:N657)</f>
        <v>0</v>
      </c>
      <c r="O655" s="355">
        <f>N655-K655</f>
        <v>-4625000</v>
      </c>
      <c r="P655" s="388">
        <f>N655/K655*100</f>
        <v>0</v>
      </c>
      <c r="Q655" s="441"/>
      <c r="R655" s="422"/>
    </row>
    <row r="656" spans="1:18" s="189" customFormat="1">
      <c r="A656" s="289"/>
      <c r="B656" s="292"/>
      <c r="C656" s="292"/>
      <c r="D656" s="292"/>
      <c r="E656" s="292"/>
      <c r="F656" s="292"/>
      <c r="G656" s="253" t="s">
        <v>50</v>
      </c>
      <c r="H656" s="253"/>
      <c r="I656" s="253" t="s">
        <v>615</v>
      </c>
      <c r="J656" s="354">
        <v>85000000</v>
      </c>
      <c r="K656" s="373">
        <f>'[55]TARGET VERSI LAMA'!$E$470</f>
        <v>4625000</v>
      </c>
      <c r="L656" s="360">
        <f>[56]PerDinas!$N$637</f>
        <v>0</v>
      </c>
      <c r="M656" s="373">
        <v>0</v>
      </c>
      <c r="N656" s="369">
        <f>M656+L656</f>
        <v>0</v>
      </c>
      <c r="O656" s="355">
        <f>N656-K656</f>
        <v>-4625000</v>
      </c>
      <c r="P656" s="388">
        <f>N656/K656*100</f>
        <v>0</v>
      </c>
      <c r="Q656" s="1405"/>
      <c r="R656" s="422"/>
    </row>
    <row r="657" spans="1:18" s="189" customFormat="1">
      <c r="A657" s="289"/>
      <c r="B657" s="292"/>
      <c r="C657" s="292"/>
      <c r="D657" s="292"/>
      <c r="E657" s="292"/>
      <c r="F657" s="292"/>
      <c r="G657" s="253" t="s">
        <v>50</v>
      </c>
      <c r="H657" s="253"/>
      <c r="I657" s="253" t="s">
        <v>85</v>
      </c>
      <c r="J657" s="354">
        <v>15000000</v>
      </c>
      <c r="K657" s="355">
        <f>'[55]TARGET VERSI LAMA'!$E$471</f>
        <v>0</v>
      </c>
      <c r="L657" s="360">
        <f>[56]PerDinas!$N$638</f>
        <v>0</v>
      </c>
      <c r="M657" s="355">
        <v>0</v>
      </c>
      <c r="N657" s="355">
        <f>M657+L657</f>
        <v>0</v>
      </c>
      <c r="O657" s="355">
        <f>N657-K657</f>
        <v>0</v>
      </c>
      <c r="P657" s="388" t="e">
        <f>N657/K657*100</f>
        <v>#DIV/0!</v>
      </c>
      <c r="Q657" s="1405"/>
      <c r="R657" s="422"/>
    </row>
    <row r="658" spans="1:18" s="245" customFormat="1">
      <c r="A658" s="1326"/>
      <c r="B658" s="655"/>
      <c r="C658" s="655"/>
      <c r="D658" s="655"/>
      <c r="E658" s="655"/>
      <c r="F658" s="655"/>
      <c r="G658" s="656"/>
      <c r="H658" s="656"/>
      <c r="I658" s="656"/>
      <c r="J658" s="526"/>
      <c r="K658" s="527"/>
      <c r="L658" s="670"/>
      <c r="M658" s="527"/>
      <c r="N658" s="527"/>
      <c r="O658" s="527"/>
      <c r="P658" s="671"/>
      <c r="Q658" s="1509"/>
      <c r="R658" s="450"/>
    </row>
    <row r="659" spans="1:18" s="244" customFormat="1">
      <c r="A659" s="1383" t="s">
        <v>335</v>
      </c>
      <c r="B659" s="1378" t="s">
        <v>460</v>
      </c>
      <c r="C659" s="1378" t="s">
        <v>437</v>
      </c>
      <c r="D659" s="1378" t="s">
        <v>437</v>
      </c>
      <c r="E659" s="1378"/>
      <c r="F659" s="1378"/>
      <c r="G659" s="1379" t="s">
        <v>857</v>
      </c>
      <c r="H659" s="1379"/>
      <c r="I659" s="1379"/>
      <c r="J659" s="1396" t="e">
        <f>+J661</f>
        <v>#REF!</v>
      </c>
      <c r="K659" s="1397">
        <f>+K661</f>
        <v>1064387000</v>
      </c>
      <c r="L659" s="1397">
        <f>+L661</f>
        <v>878698648</v>
      </c>
      <c r="M659" s="1397">
        <f>+M661</f>
        <v>163252750</v>
      </c>
      <c r="N659" s="1397">
        <f>M659+L659</f>
        <v>1041951398</v>
      </c>
      <c r="O659" s="1397">
        <f>+N659-K659</f>
        <v>-22435602</v>
      </c>
      <c r="P659" s="1398">
        <f>+N659/K659*100</f>
        <v>97.892157457766771</v>
      </c>
      <c r="Q659" s="1406"/>
      <c r="R659" s="788"/>
    </row>
    <row r="660" spans="1:18" s="189" customFormat="1">
      <c r="A660" s="1409"/>
      <c r="B660" s="1324"/>
      <c r="C660" s="1324"/>
      <c r="D660" s="1324"/>
      <c r="E660" s="1324"/>
      <c r="F660" s="1324"/>
      <c r="G660" s="1325"/>
      <c r="H660" s="1325"/>
      <c r="I660" s="1325"/>
      <c r="J660" s="1333"/>
      <c r="K660" s="677"/>
      <c r="L660" s="677"/>
      <c r="M660" s="677"/>
      <c r="N660" s="677"/>
      <c r="O660" s="677"/>
      <c r="P660" s="690"/>
      <c r="Q660" s="531"/>
      <c r="R660" s="422"/>
    </row>
    <row r="661" spans="1:18" s="189" customFormat="1">
      <c r="A661" s="293"/>
      <c r="B661" s="290">
        <v>4</v>
      </c>
      <c r="C661" s="290">
        <v>1</v>
      </c>
      <c r="D661" s="290"/>
      <c r="E661" s="290"/>
      <c r="F661" s="290"/>
      <c r="G661" s="291" t="s">
        <v>180</v>
      </c>
      <c r="H661" s="291"/>
      <c r="I661" s="291"/>
      <c r="J661" s="387" t="e">
        <f>+J663+J681</f>
        <v>#REF!</v>
      </c>
      <c r="K661" s="367">
        <f>+K663+K681</f>
        <v>1064387000</v>
      </c>
      <c r="L661" s="1066">
        <f>+L663+L681</f>
        <v>878698648</v>
      </c>
      <c r="M661" s="367">
        <f>+M663+M681</f>
        <v>163252750</v>
      </c>
      <c r="N661" s="367">
        <f>+M661+L661</f>
        <v>1041951398</v>
      </c>
      <c r="O661" s="367">
        <f t="shared" ref="O661:O666" si="102">N661-K661</f>
        <v>-22435602</v>
      </c>
      <c r="P661" s="347">
        <f t="shared" ref="P661:P666" si="103">N661/K661*100</f>
        <v>97.892157457766771</v>
      </c>
      <c r="Q661" s="454"/>
      <c r="R661" s="422"/>
    </row>
    <row r="662" spans="1:18" s="189" customFormat="1">
      <c r="A662" s="293"/>
      <c r="B662" s="292"/>
      <c r="C662" s="292"/>
      <c r="D662" s="292"/>
      <c r="E662" s="292"/>
      <c r="F662" s="292"/>
      <c r="G662" s="253"/>
      <c r="H662" s="253"/>
      <c r="I662" s="291"/>
      <c r="J662" s="345"/>
      <c r="K662" s="346"/>
      <c r="L662" s="660"/>
      <c r="M662" s="346"/>
      <c r="N662" s="346"/>
      <c r="O662" s="346"/>
      <c r="P662" s="347"/>
      <c r="Q662" s="438"/>
      <c r="R662" s="422"/>
    </row>
    <row r="663" spans="1:18" s="189" customFormat="1">
      <c r="A663" s="293"/>
      <c r="B663" s="290">
        <v>4</v>
      </c>
      <c r="C663" s="290">
        <v>1</v>
      </c>
      <c r="D663" s="290">
        <v>2</v>
      </c>
      <c r="E663" s="290"/>
      <c r="F663" s="290"/>
      <c r="G663" s="291" t="s">
        <v>106</v>
      </c>
      <c r="H663" s="291"/>
      <c r="I663" s="291"/>
      <c r="J663" s="387">
        <f>+J665</f>
        <v>2165500000</v>
      </c>
      <c r="K663" s="367">
        <f>+K665</f>
        <v>1064387000</v>
      </c>
      <c r="L663" s="1066">
        <f>+L665</f>
        <v>829019000</v>
      </c>
      <c r="M663" s="367">
        <f>+M665</f>
        <v>145675000</v>
      </c>
      <c r="N663" s="367">
        <f>+M663+L663</f>
        <v>974694000</v>
      </c>
      <c r="O663" s="367">
        <f t="shared" si="102"/>
        <v>-89693000</v>
      </c>
      <c r="P663" s="347">
        <f t="shared" si="103"/>
        <v>91.57327175172189</v>
      </c>
      <c r="Q663" s="454"/>
      <c r="R663" s="422"/>
    </row>
    <row r="664" spans="1:18" s="189" customFormat="1">
      <c r="A664" s="293"/>
      <c r="B664" s="292"/>
      <c r="C664" s="292"/>
      <c r="D664" s="292"/>
      <c r="E664" s="292"/>
      <c r="F664" s="292"/>
      <c r="G664" s="253"/>
      <c r="H664" s="253"/>
      <c r="I664" s="253"/>
      <c r="J664" s="354"/>
      <c r="K664" s="355"/>
      <c r="L664" s="360"/>
      <c r="M664" s="355"/>
      <c r="N664" s="355"/>
      <c r="O664" s="355"/>
      <c r="P664" s="388"/>
      <c r="Q664" s="441"/>
      <c r="R664" s="422"/>
    </row>
    <row r="665" spans="1:18" s="189" customFormat="1">
      <c r="A665" s="293"/>
      <c r="B665" s="292">
        <v>4</v>
      </c>
      <c r="C665" s="292">
        <v>1</v>
      </c>
      <c r="D665" s="292">
        <v>2</v>
      </c>
      <c r="E665" s="292" t="s">
        <v>438</v>
      </c>
      <c r="F665" s="292"/>
      <c r="G665" s="253" t="s">
        <v>374</v>
      </c>
      <c r="H665" s="253"/>
      <c r="I665" s="253"/>
      <c r="J665" s="370">
        <f>+J666+J669</f>
        <v>2165500000</v>
      </c>
      <c r="K665" s="371">
        <f>+K666+K669</f>
        <v>1064387000</v>
      </c>
      <c r="L665" s="372">
        <f>+L666+L669</f>
        <v>829019000</v>
      </c>
      <c r="M665" s="371">
        <f>+M666+M669</f>
        <v>145675000</v>
      </c>
      <c r="N665" s="371">
        <f>+N666+N669</f>
        <v>974694000</v>
      </c>
      <c r="O665" s="367">
        <f t="shared" si="102"/>
        <v>-89693000</v>
      </c>
      <c r="P665" s="399">
        <f t="shared" si="103"/>
        <v>91.57327175172189</v>
      </c>
      <c r="Q665" s="441"/>
      <c r="R665" s="422"/>
    </row>
    <row r="666" spans="1:18" s="189" customFormat="1">
      <c r="A666" s="293"/>
      <c r="B666" s="292">
        <v>4</v>
      </c>
      <c r="C666" s="292">
        <v>1</v>
      </c>
      <c r="D666" s="292">
        <v>2</v>
      </c>
      <c r="E666" s="292" t="s">
        <v>438</v>
      </c>
      <c r="F666" s="292" t="s">
        <v>440</v>
      </c>
      <c r="G666" s="253" t="s">
        <v>304</v>
      </c>
      <c r="H666" s="253"/>
      <c r="I666" s="291"/>
      <c r="J666" s="345">
        <f>+J667</f>
        <v>0</v>
      </c>
      <c r="K666" s="346">
        <f>+K667</f>
        <v>0</v>
      </c>
      <c r="L666" s="660">
        <f>+L667</f>
        <v>0</v>
      </c>
      <c r="M666" s="346">
        <f>+M667</f>
        <v>0</v>
      </c>
      <c r="N666" s="355">
        <f>M666+L666</f>
        <v>0</v>
      </c>
      <c r="O666" s="355">
        <f t="shared" si="102"/>
        <v>0</v>
      </c>
      <c r="P666" s="388" t="e">
        <f t="shared" si="103"/>
        <v>#DIV/0!</v>
      </c>
      <c r="Q666" s="438"/>
      <c r="R666" s="422"/>
    </row>
    <row r="667" spans="1:18" s="189" customFormat="1" ht="3" customHeight="1">
      <c r="A667" s="293"/>
      <c r="B667" s="292"/>
      <c r="C667" s="292"/>
      <c r="D667" s="292"/>
      <c r="E667" s="292"/>
      <c r="F667" s="292"/>
      <c r="G667" s="1027"/>
      <c r="H667" s="1027"/>
      <c r="I667" s="1027"/>
      <c r="J667" s="1030"/>
      <c r="K667" s="1031"/>
      <c r="L667" s="1032"/>
      <c r="M667" s="1031"/>
      <c r="N667" s="1033"/>
      <c r="O667" s="1033"/>
      <c r="P667" s="1034"/>
      <c r="Q667" s="1055"/>
      <c r="R667" s="422"/>
    </row>
    <row r="668" spans="1:18" s="189" customFormat="1" ht="3" customHeight="1">
      <c r="A668" s="293"/>
      <c r="B668" s="292"/>
      <c r="C668" s="292"/>
      <c r="D668" s="292"/>
      <c r="E668" s="292"/>
      <c r="F668" s="292"/>
      <c r="G668" s="253"/>
      <c r="H668" s="253"/>
      <c r="I668" s="253"/>
      <c r="J668" s="345"/>
      <c r="K668" s="346"/>
      <c r="L668" s="660"/>
      <c r="M668" s="346"/>
      <c r="N668" s="355"/>
      <c r="O668" s="355"/>
      <c r="P668" s="388"/>
      <c r="Q668" s="438"/>
      <c r="R668" s="422"/>
    </row>
    <row r="669" spans="1:18" s="189" customFormat="1" ht="15.05">
      <c r="A669" s="293"/>
      <c r="B669" s="292">
        <v>4</v>
      </c>
      <c r="C669" s="292">
        <v>1</v>
      </c>
      <c r="D669" s="292">
        <v>2</v>
      </c>
      <c r="E669" s="292" t="s">
        <v>438</v>
      </c>
      <c r="F669" s="292" t="s">
        <v>448</v>
      </c>
      <c r="G669" s="253" t="s">
        <v>361</v>
      </c>
      <c r="H669" s="253"/>
      <c r="I669" s="253"/>
      <c r="J669" s="1035">
        <f>SUM(J670:J679)</f>
        <v>2165500000</v>
      </c>
      <c r="K669" s="1036">
        <f>SUM(K670:K679)</f>
        <v>1064387000</v>
      </c>
      <c r="L669" s="1037">
        <f>SUM(L670:L679)</f>
        <v>829019000</v>
      </c>
      <c r="M669" s="1036">
        <f>SUM(M670:M679)</f>
        <v>145675000</v>
      </c>
      <c r="N669" s="1038">
        <f>SUM(N670:N679)</f>
        <v>974694000</v>
      </c>
      <c r="O669" s="1039">
        <f t="shared" ref="O669:O678" si="104">N669-K669</f>
        <v>-89693000</v>
      </c>
      <c r="P669" s="1040">
        <f t="shared" ref="P669:P678" si="105">N669/K669*100</f>
        <v>91.57327175172189</v>
      </c>
      <c r="Q669" s="438"/>
      <c r="R669" s="422"/>
    </row>
    <row r="670" spans="1:18" s="189" customFormat="1">
      <c r="A670" s="293"/>
      <c r="B670" s="292"/>
      <c r="C670" s="292"/>
      <c r="D670" s="292"/>
      <c r="E670" s="292"/>
      <c r="F670" s="292"/>
      <c r="G670" s="253" t="s">
        <v>50</v>
      </c>
      <c r="H670" s="253"/>
      <c r="I670" s="253" t="s">
        <v>343</v>
      </c>
      <c r="J670" s="354">
        <v>178410000</v>
      </c>
      <c r="K670" s="376">
        <f>'[55]TARGET VERSI LAMA'!$E$475</f>
        <v>259229500</v>
      </c>
      <c r="L670" s="377">
        <f>[56]PerDinas!$N$795</f>
        <v>286740000</v>
      </c>
      <c r="M670" s="376">
        <f>[55]Perdinas!$P$531</f>
        <v>128575000</v>
      </c>
      <c r="N670" s="771">
        <f t="shared" ref="N670:N678" si="106">M670+L670</f>
        <v>415315000</v>
      </c>
      <c r="O670" s="355">
        <f t="shared" si="104"/>
        <v>156085500</v>
      </c>
      <c r="P670" s="388">
        <f t="shared" si="105"/>
        <v>160.21131854206408</v>
      </c>
      <c r="Q670" s="1510"/>
      <c r="R670" s="555"/>
    </row>
    <row r="671" spans="1:18" s="189" customFormat="1">
      <c r="A671" s="293"/>
      <c r="B671" s="292"/>
      <c r="C671" s="292"/>
      <c r="D671" s="292"/>
      <c r="E671" s="292"/>
      <c r="F671" s="292"/>
      <c r="G671" s="253" t="s">
        <v>50</v>
      </c>
      <c r="H671" s="253"/>
      <c r="I671" s="253" t="s">
        <v>344</v>
      </c>
      <c r="J671" s="354">
        <v>267400000</v>
      </c>
      <c r="K671" s="376">
        <f>'[55]TARGET VERSI LAMA'!$E$476</f>
        <v>374739500</v>
      </c>
      <c r="L671" s="377">
        <f>[56]PerDinas!$N$796</f>
        <v>210010000</v>
      </c>
      <c r="M671" s="376">
        <f>[55]Perdinas!$P$532</f>
        <v>0</v>
      </c>
      <c r="N671" s="355">
        <f t="shared" si="106"/>
        <v>210010000</v>
      </c>
      <c r="O671" s="355">
        <f t="shared" si="104"/>
        <v>-164729500</v>
      </c>
      <c r="P671" s="388">
        <f t="shared" si="105"/>
        <v>56.041596895977072</v>
      </c>
      <c r="Q671" s="1510"/>
      <c r="R671" s="431"/>
    </row>
    <row r="672" spans="1:18" s="189" customFormat="1">
      <c r="A672" s="293"/>
      <c r="B672" s="292"/>
      <c r="C672" s="292"/>
      <c r="D672" s="292"/>
      <c r="E672" s="292"/>
      <c r="F672" s="292"/>
      <c r="G672" s="253" t="s">
        <v>50</v>
      </c>
      <c r="H672" s="253"/>
      <c r="I672" s="253" t="s">
        <v>345</v>
      </c>
      <c r="J672" s="354">
        <v>212500000</v>
      </c>
      <c r="K672" s="376">
        <f>'[55]TARGET VERSI LAMA'!$E$477</f>
        <v>271618000</v>
      </c>
      <c r="L672" s="377">
        <f>[56]PerDinas!$N$797</f>
        <v>176240000</v>
      </c>
      <c r="M672" s="376">
        <f>[55]Perdinas!$P$533</f>
        <v>17100000</v>
      </c>
      <c r="N672" s="355">
        <f t="shared" si="106"/>
        <v>193340000</v>
      </c>
      <c r="O672" s="355">
        <f t="shared" si="104"/>
        <v>-78278000</v>
      </c>
      <c r="P672" s="388">
        <f t="shared" si="105"/>
        <v>71.180849575506784</v>
      </c>
      <c r="Q672" s="441"/>
      <c r="R672" s="422"/>
    </row>
    <row r="673" spans="1:18" s="189" customFormat="1">
      <c r="A673" s="293"/>
      <c r="B673" s="292"/>
      <c r="C673" s="292"/>
      <c r="D673" s="292"/>
      <c r="E673" s="292"/>
      <c r="F673" s="292"/>
      <c r="G673" s="253" t="s">
        <v>50</v>
      </c>
      <c r="H673" s="253"/>
      <c r="I673" s="253" t="s">
        <v>346</v>
      </c>
      <c r="J673" s="354">
        <v>0</v>
      </c>
      <c r="K673" s="376">
        <f>'[55]TARGET VERSI LAMA'!$E$478</f>
        <v>0</v>
      </c>
      <c r="L673" s="377">
        <f>[56]PerDinas!$N$798</f>
        <v>0</v>
      </c>
      <c r="M673" s="376">
        <f>[55]Perdinas!$P$534</f>
        <v>0</v>
      </c>
      <c r="N673" s="355">
        <f t="shared" si="106"/>
        <v>0</v>
      </c>
      <c r="O673" s="355">
        <f t="shared" si="104"/>
        <v>0</v>
      </c>
      <c r="P673" s="388" t="e">
        <f t="shared" si="105"/>
        <v>#DIV/0!</v>
      </c>
      <c r="Q673" s="441"/>
      <c r="R673" s="422"/>
    </row>
    <row r="674" spans="1:18" s="189" customFormat="1">
      <c r="A674" s="293"/>
      <c r="B674" s="292"/>
      <c r="C674" s="292"/>
      <c r="D674" s="292"/>
      <c r="E674" s="292"/>
      <c r="F674" s="292"/>
      <c r="G674" s="253" t="s">
        <v>50</v>
      </c>
      <c r="H674" s="253"/>
      <c r="I674" s="253" t="s">
        <v>347</v>
      </c>
      <c r="J674" s="354">
        <v>0</v>
      </c>
      <c r="K674" s="376">
        <f>'[55]TARGET VERSI LAMA'!$E$479</f>
        <v>0</v>
      </c>
      <c r="L674" s="377">
        <f>[56]PerDinas!$N$799</f>
        <v>0</v>
      </c>
      <c r="M674" s="376">
        <f>[55]Perdinas!$P$535</f>
        <v>0</v>
      </c>
      <c r="N674" s="355">
        <f t="shared" si="106"/>
        <v>0</v>
      </c>
      <c r="O674" s="355">
        <f t="shared" si="104"/>
        <v>0</v>
      </c>
      <c r="P674" s="388" t="e">
        <f t="shared" si="105"/>
        <v>#DIV/0!</v>
      </c>
      <c r="Q674" s="441"/>
      <c r="R674" s="422"/>
    </row>
    <row r="675" spans="1:18" s="189" customFormat="1">
      <c r="A675" s="293"/>
      <c r="B675" s="292"/>
      <c r="C675" s="292"/>
      <c r="D675" s="292"/>
      <c r="E675" s="292"/>
      <c r="F675" s="292"/>
      <c r="G675" s="253" t="s">
        <v>50</v>
      </c>
      <c r="H675" s="253"/>
      <c r="I675" s="253" t="s">
        <v>348</v>
      </c>
      <c r="J675" s="354">
        <v>52400000</v>
      </c>
      <c r="K675" s="376">
        <f>'[55]TARGET VERSI LAMA'!$E$480</f>
        <v>46200000</v>
      </c>
      <c r="L675" s="377">
        <f>[56]PerDinas!$N$800</f>
        <v>46600000</v>
      </c>
      <c r="M675" s="376">
        <f>[55]Perdinas!$P$536</f>
        <v>0</v>
      </c>
      <c r="N675" s="355">
        <f t="shared" si="106"/>
        <v>46600000</v>
      </c>
      <c r="O675" s="355">
        <f t="shared" si="104"/>
        <v>400000</v>
      </c>
      <c r="P675" s="388">
        <f t="shared" si="105"/>
        <v>100.86580086580086</v>
      </c>
      <c r="Q675" s="441"/>
      <c r="R675" s="422"/>
    </row>
    <row r="676" spans="1:18" s="189" customFormat="1">
      <c r="A676" s="293"/>
      <c r="B676" s="292"/>
      <c r="C676" s="292"/>
      <c r="D676" s="292"/>
      <c r="E676" s="292"/>
      <c r="F676" s="292"/>
      <c r="G676" s="253" t="s">
        <v>50</v>
      </c>
      <c r="H676" s="253"/>
      <c r="I676" s="253" t="s">
        <v>349</v>
      </c>
      <c r="J676" s="354">
        <v>63990000</v>
      </c>
      <c r="K676" s="376">
        <f>'[55]TARGET VERSI LAMA'!$E$481</f>
        <v>88200000</v>
      </c>
      <c r="L676" s="377">
        <f>[56]PerDinas!$N$801</f>
        <v>74940000</v>
      </c>
      <c r="M676" s="376">
        <f>[55]Perdinas!$P$537</f>
        <v>0</v>
      </c>
      <c r="N676" s="355">
        <f t="shared" si="106"/>
        <v>74940000</v>
      </c>
      <c r="O676" s="355">
        <f t="shared" si="104"/>
        <v>-13260000</v>
      </c>
      <c r="P676" s="388">
        <f t="shared" si="105"/>
        <v>84.965986394557831</v>
      </c>
      <c r="Q676" s="441"/>
      <c r="R676" s="422"/>
    </row>
    <row r="677" spans="1:18" s="189" customFormat="1">
      <c r="A677" s="293"/>
      <c r="B677" s="292"/>
      <c r="C677" s="292"/>
      <c r="D677" s="292"/>
      <c r="E677" s="292"/>
      <c r="F677" s="292"/>
      <c r="G677" s="253" t="s">
        <v>50</v>
      </c>
      <c r="H677" s="253"/>
      <c r="I677" s="253" t="s">
        <v>350</v>
      </c>
      <c r="J677" s="354">
        <v>16000000</v>
      </c>
      <c r="K677" s="376">
        <f>'[55]TARGET VERSI LAMA'!$E$482</f>
        <v>24400000</v>
      </c>
      <c r="L677" s="377">
        <f>[56]PerDinas!$N$802</f>
        <v>24453000</v>
      </c>
      <c r="M677" s="376">
        <f>[55]Perdinas!$P$538</f>
        <v>0</v>
      </c>
      <c r="N677" s="355">
        <f t="shared" si="106"/>
        <v>24453000</v>
      </c>
      <c r="O677" s="355">
        <f t="shared" si="104"/>
        <v>53000</v>
      </c>
      <c r="P677" s="388">
        <f t="shared" si="105"/>
        <v>100.21721311475409</v>
      </c>
      <c r="Q677" s="441"/>
      <c r="R677" s="422"/>
    </row>
    <row r="678" spans="1:18" s="189" customFormat="1">
      <c r="A678" s="293"/>
      <c r="B678" s="292"/>
      <c r="C678" s="292"/>
      <c r="D678" s="292"/>
      <c r="E678" s="292"/>
      <c r="F678" s="292"/>
      <c r="G678" s="1003" t="s">
        <v>50</v>
      </c>
      <c r="H678" s="1003"/>
      <c r="I678" s="1003" t="s">
        <v>351</v>
      </c>
      <c r="J678" s="1041">
        <v>1374800000</v>
      </c>
      <c r="K678" s="376">
        <f>'[55]TARGET VERSI LAMA'!$E$483</f>
        <v>0</v>
      </c>
      <c r="L678" s="377">
        <f>[56]PerDinas!$N$803</f>
        <v>10036000</v>
      </c>
      <c r="M678" s="376">
        <f>[55]Perdinas!$P$539</f>
        <v>0</v>
      </c>
      <c r="N678" s="360">
        <f t="shared" si="106"/>
        <v>10036000</v>
      </c>
      <c r="O678" s="360">
        <f t="shared" si="104"/>
        <v>10036000</v>
      </c>
      <c r="P678" s="1042" t="e">
        <f t="shared" si="105"/>
        <v>#DIV/0!</v>
      </c>
      <c r="Q678" s="795"/>
      <c r="R678" s="422"/>
    </row>
    <row r="679" spans="1:18" s="189" customFormat="1">
      <c r="A679" s="293"/>
      <c r="B679" s="292"/>
      <c r="C679" s="292"/>
      <c r="D679" s="292"/>
      <c r="E679" s="292"/>
      <c r="F679" s="292"/>
      <c r="G679" s="1027"/>
      <c r="H679" s="1027"/>
      <c r="I679" s="1027"/>
      <c r="J679" s="1508"/>
      <c r="K679" s="1033"/>
      <c r="L679" s="1045"/>
      <c r="M679" s="375"/>
      <c r="N679" s="1033"/>
      <c r="O679" s="1033"/>
      <c r="P679" s="1034"/>
      <c r="Q679" s="784"/>
      <c r="R679" s="555"/>
    </row>
    <row r="680" spans="1:18" s="189" customFormat="1">
      <c r="A680" s="293"/>
      <c r="B680" s="292"/>
      <c r="C680" s="292"/>
      <c r="D680" s="292"/>
      <c r="E680" s="292"/>
      <c r="F680" s="292"/>
      <c r="G680" s="253"/>
      <c r="H680" s="253"/>
      <c r="I680" s="253"/>
      <c r="J680" s="354"/>
      <c r="K680" s="355"/>
      <c r="L680" s="360"/>
      <c r="M680" s="355"/>
      <c r="N680" s="355"/>
      <c r="O680" s="355"/>
      <c r="P680" s="388"/>
      <c r="Q680" s="441"/>
      <c r="R680" s="422"/>
    </row>
    <row r="681" spans="1:18" s="189" customFormat="1">
      <c r="A681" s="293"/>
      <c r="B681" s="290">
        <v>4</v>
      </c>
      <c r="C681" s="290">
        <v>1</v>
      </c>
      <c r="D681" s="290">
        <v>4</v>
      </c>
      <c r="E681" s="290"/>
      <c r="F681" s="290"/>
      <c r="G681" s="291" t="s">
        <v>71</v>
      </c>
      <c r="H681" s="291"/>
      <c r="I681" s="291"/>
      <c r="J681" s="370" t="e">
        <f>J682+J687</f>
        <v>#REF!</v>
      </c>
      <c r="K681" s="371">
        <f>K682+K687+K683</f>
        <v>0</v>
      </c>
      <c r="L681" s="371">
        <f>L682+L687+L683</f>
        <v>49679648</v>
      </c>
      <c r="M681" s="371">
        <f>M682+M687+M683</f>
        <v>17577750</v>
      </c>
      <c r="N681" s="371">
        <f>M681+L681</f>
        <v>67257398</v>
      </c>
      <c r="O681" s="367">
        <f>N681-K681</f>
        <v>67257398</v>
      </c>
      <c r="P681" s="347" t="e">
        <f>N681/K681*100</f>
        <v>#DIV/0!</v>
      </c>
      <c r="Q681" s="651"/>
      <c r="R681" s="422"/>
    </row>
    <row r="682" spans="1:18" s="189" customFormat="1">
      <c r="A682" s="289"/>
      <c r="B682" s="292">
        <v>4</v>
      </c>
      <c r="C682" s="292">
        <v>1</v>
      </c>
      <c r="D682" s="292">
        <v>4</v>
      </c>
      <c r="E682" s="292" t="s">
        <v>444</v>
      </c>
      <c r="F682" s="292"/>
      <c r="G682" s="253" t="s">
        <v>222</v>
      </c>
      <c r="H682" s="253"/>
      <c r="I682" s="253"/>
      <c r="J682" s="354">
        <f>+J685</f>
        <v>27000000</v>
      </c>
      <c r="K682" s="355">
        <f>+K685</f>
        <v>0</v>
      </c>
      <c r="L682" s="355">
        <f>+L685</f>
        <v>46757068</v>
      </c>
      <c r="M682" s="355">
        <f>+M685</f>
        <v>17577750</v>
      </c>
      <c r="N682" s="355">
        <f>M682+L682</f>
        <v>64334818</v>
      </c>
      <c r="O682" s="346">
        <f>N682-K682</f>
        <v>64334818</v>
      </c>
      <c r="P682" s="388" t="e">
        <f>N682/K682*100</f>
        <v>#DIV/0!</v>
      </c>
      <c r="Q682" s="441"/>
      <c r="R682" s="422"/>
    </row>
    <row r="683" spans="1:18" s="189" customFormat="1">
      <c r="A683" s="289"/>
      <c r="B683" s="292">
        <v>4</v>
      </c>
      <c r="C683" s="292">
        <v>1</v>
      </c>
      <c r="D683" s="292">
        <v>4</v>
      </c>
      <c r="E683" s="292" t="s">
        <v>444</v>
      </c>
      <c r="F683" s="292" t="s">
        <v>440</v>
      </c>
      <c r="G683" s="253" t="s">
        <v>710</v>
      </c>
      <c r="H683" s="253"/>
      <c r="I683" s="253"/>
      <c r="J683" s="354">
        <v>0</v>
      </c>
      <c r="K683" s="355">
        <f>'[55]TARGET VERSI LAMA'!$E$491</f>
        <v>0</v>
      </c>
      <c r="L683" s="360">
        <f>[56]PerDinas!$N$808</f>
        <v>415440</v>
      </c>
      <c r="M683" s="355">
        <f>PerDinas!M808</f>
        <v>0</v>
      </c>
      <c r="N683" s="369">
        <f>M683+L683</f>
        <v>415440</v>
      </c>
      <c r="O683" s="355">
        <f>N683-K683</f>
        <v>415440</v>
      </c>
      <c r="P683" s="388"/>
      <c r="Q683" s="441"/>
      <c r="R683" s="422"/>
    </row>
    <row r="684" spans="1:18" s="189" customFormat="1">
      <c r="A684" s="289"/>
      <c r="B684" s="292">
        <v>4</v>
      </c>
      <c r="C684" s="292">
        <v>1</v>
      </c>
      <c r="D684" s="292">
        <v>4</v>
      </c>
      <c r="E684" s="292" t="s">
        <v>444</v>
      </c>
      <c r="F684" s="292" t="s">
        <v>445</v>
      </c>
      <c r="G684" s="253" t="s">
        <v>74</v>
      </c>
      <c r="H684" s="253"/>
      <c r="I684" s="253"/>
      <c r="J684" s="354">
        <v>0</v>
      </c>
      <c r="K684" s="355">
        <v>0</v>
      </c>
      <c r="L684" s="360"/>
      <c r="M684" s="355">
        <f>[55]Perdinas!$P$545</f>
        <v>0</v>
      </c>
      <c r="N684" s="355">
        <f>M684+L684</f>
        <v>0</v>
      </c>
      <c r="O684" s="355">
        <f>N684-K684</f>
        <v>0</v>
      </c>
      <c r="P684" s="388"/>
      <c r="Q684" s="441"/>
      <c r="R684" s="422"/>
    </row>
    <row r="685" spans="1:18" s="189" customFormat="1">
      <c r="A685" s="289"/>
      <c r="B685" s="292">
        <v>4</v>
      </c>
      <c r="C685" s="292">
        <v>1</v>
      </c>
      <c r="D685" s="292">
        <v>4</v>
      </c>
      <c r="E685" s="292" t="s">
        <v>444</v>
      </c>
      <c r="F685" s="292" t="s">
        <v>441</v>
      </c>
      <c r="G685" s="253" t="s">
        <v>75</v>
      </c>
      <c r="H685" s="253"/>
      <c r="I685" s="253"/>
      <c r="J685" s="354">
        <v>27000000</v>
      </c>
      <c r="K685" s="373">
        <f>'[55]TARGET VERSI LAMA'!$E$489</f>
        <v>0</v>
      </c>
      <c r="L685" s="360">
        <f>[56]PerDinas!$N$810</f>
        <v>46757068</v>
      </c>
      <c r="M685" s="373">
        <f>[55]Perdinas!$P$546</f>
        <v>17577750</v>
      </c>
      <c r="N685" s="369">
        <f>M685+L685</f>
        <v>64334818</v>
      </c>
      <c r="O685" s="355">
        <f>N685-K685</f>
        <v>64334818</v>
      </c>
      <c r="P685" s="388" t="e">
        <f>N685/K685*100</f>
        <v>#DIV/0!</v>
      </c>
      <c r="Q685" s="441"/>
      <c r="R685" s="545"/>
    </row>
    <row r="686" spans="1:18" s="189" customFormat="1">
      <c r="A686" s="293"/>
      <c r="B686" s="292"/>
      <c r="C686" s="292"/>
      <c r="D686" s="292"/>
      <c r="E686" s="292"/>
      <c r="F686" s="292"/>
      <c r="G686" s="253"/>
      <c r="H686" s="253"/>
      <c r="I686" s="253"/>
      <c r="J686" s="354"/>
      <c r="K686" s="355"/>
      <c r="L686" s="360"/>
      <c r="M686" s="355"/>
      <c r="N686" s="355"/>
      <c r="O686" s="355"/>
      <c r="P686" s="388"/>
      <c r="Q686" s="441"/>
      <c r="R686" s="422"/>
    </row>
    <row r="687" spans="1:18" s="189" customFormat="1">
      <c r="A687" s="293"/>
      <c r="B687" s="292">
        <v>4</v>
      </c>
      <c r="C687" s="292">
        <v>1</v>
      </c>
      <c r="D687" s="292">
        <v>4</v>
      </c>
      <c r="E687" s="292" t="s">
        <v>948</v>
      </c>
      <c r="F687" s="292"/>
      <c r="G687" s="253" t="s">
        <v>321</v>
      </c>
      <c r="H687" s="253"/>
      <c r="I687" s="253"/>
      <c r="J687" s="354" t="e">
        <f>+J688</f>
        <v>#REF!</v>
      </c>
      <c r="K687" s="355">
        <f>+K688</f>
        <v>0</v>
      </c>
      <c r="L687" s="360">
        <f>+L688</f>
        <v>2507140</v>
      </c>
      <c r="M687" s="355">
        <f>+M688</f>
        <v>0</v>
      </c>
      <c r="N687" s="346">
        <f>+M687+L687</f>
        <v>2507140</v>
      </c>
      <c r="O687" s="346">
        <f>N687-K687</f>
        <v>2507140</v>
      </c>
      <c r="P687" s="347" t="e">
        <f>N687/K687*100</f>
        <v>#DIV/0!</v>
      </c>
      <c r="Q687" s="441"/>
      <c r="R687" s="422"/>
    </row>
    <row r="688" spans="1:18" s="189" customFormat="1">
      <c r="A688" s="293"/>
      <c r="B688" s="292">
        <v>4</v>
      </c>
      <c r="C688" s="292">
        <v>1</v>
      </c>
      <c r="D688" s="292">
        <v>4</v>
      </c>
      <c r="E688" s="292" t="s">
        <v>948</v>
      </c>
      <c r="F688" s="292" t="s">
        <v>437</v>
      </c>
      <c r="G688" s="253" t="s">
        <v>85</v>
      </c>
      <c r="H688" s="253"/>
      <c r="I688" s="253"/>
      <c r="J688" s="354" t="e">
        <f>+J689+#REF!</f>
        <v>#REF!</v>
      </c>
      <c r="K688" s="355">
        <f>SUM(K689)</f>
        <v>0</v>
      </c>
      <c r="L688" s="360">
        <f>SUM(L689)</f>
        <v>2507140</v>
      </c>
      <c r="M688" s="355">
        <f>SUM(M689)</f>
        <v>0</v>
      </c>
      <c r="N688" s="355">
        <f>M688+L688</f>
        <v>2507140</v>
      </c>
      <c r="O688" s="355">
        <f>N688-K688</f>
        <v>2507140</v>
      </c>
      <c r="P688" s="388" t="e">
        <f>N688/K688*100</f>
        <v>#DIV/0!</v>
      </c>
      <c r="Q688" s="441"/>
      <c r="R688" s="422"/>
    </row>
    <row r="689" spans="1:18" s="189" customFormat="1">
      <c r="A689" s="293"/>
      <c r="B689" s="292"/>
      <c r="C689" s="292"/>
      <c r="D689" s="292"/>
      <c r="E689" s="292"/>
      <c r="F689" s="292"/>
      <c r="G689" s="253" t="s">
        <v>50</v>
      </c>
      <c r="H689" s="253"/>
      <c r="I689" s="253" t="s">
        <v>85</v>
      </c>
      <c r="J689" s="354">
        <v>5000000</v>
      </c>
      <c r="K689" s="373">
        <f>'[55]TARGET VERSI LAMA'!$E$490</f>
        <v>0</v>
      </c>
      <c r="L689" s="360">
        <f>[56]PerDinas!$N$814</f>
        <v>2507140</v>
      </c>
      <c r="M689" s="373">
        <f>PerDinas!M814</f>
        <v>0</v>
      </c>
      <c r="N689" s="369">
        <f>M689+L689</f>
        <v>2507140</v>
      </c>
      <c r="O689" s="355">
        <f>N689-K689</f>
        <v>2507140</v>
      </c>
      <c r="P689" s="388" t="e">
        <f>N689/K689*100</f>
        <v>#DIV/0!</v>
      </c>
      <c r="Q689" s="438"/>
      <c r="R689" s="422"/>
    </row>
    <row r="690" spans="1:18" s="245" customFormat="1">
      <c r="A690" s="654"/>
      <c r="B690" s="655"/>
      <c r="C690" s="655"/>
      <c r="D690" s="655"/>
      <c r="E690" s="655"/>
      <c r="F690" s="655"/>
      <c r="G690" s="656"/>
      <c r="H690" s="656"/>
      <c r="I690" s="656"/>
      <c r="J690" s="526"/>
      <c r="K690" s="527"/>
      <c r="L690" s="670"/>
      <c r="M690" s="527"/>
      <c r="N690" s="527"/>
      <c r="O690" s="527"/>
      <c r="P690" s="671"/>
      <c r="Q690" s="1511"/>
      <c r="R690" s="450"/>
    </row>
    <row r="691" spans="1:18" s="244" customFormat="1">
      <c r="A691" s="1186" t="s">
        <v>339</v>
      </c>
      <c r="B691" s="1187" t="s">
        <v>460</v>
      </c>
      <c r="C691" s="1187" t="s">
        <v>437</v>
      </c>
      <c r="D691" s="1187" t="s">
        <v>438</v>
      </c>
      <c r="E691" s="1187"/>
      <c r="F691" s="1187"/>
      <c r="G691" s="1188" t="s">
        <v>523</v>
      </c>
      <c r="H691" s="1188"/>
      <c r="I691" s="1188"/>
      <c r="J691" s="1195">
        <f>+J693</f>
        <v>1417000000</v>
      </c>
      <c r="K691" s="1196">
        <f>+K693</f>
        <v>1518491400</v>
      </c>
      <c r="L691" s="1196">
        <f>+L693</f>
        <v>186225844</v>
      </c>
      <c r="M691" s="1196">
        <f>+M693</f>
        <v>55122700</v>
      </c>
      <c r="N691" s="1196">
        <f>M691+L691</f>
        <v>241348544</v>
      </c>
      <c r="O691" s="1196">
        <f>+N691-K691</f>
        <v>-1277142856</v>
      </c>
      <c r="P691" s="1197">
        <f>+N691/K691*100</f>
        <v>15.893968447895062</v>
      </c>
      <c r="Q691" s="1208"/>
      <c r="R691" s="639"/>
    </row>
    <row r="692" spans="1:18" s="189" customFormat="1">
      <c r="A692" s="471"/>
      <c r="B692" s="287"/>
      <c r="C692" s="287"/>
      <c r="D692" s="287"/>
      <c r="E692" s="287"/>
      <c r="F692" s="287"/>
      <c r="G692" s="288"/>
      <c r="H692" s="288"/>
      <c r="I692" s="1050"/>
      <c r="J692" s="339"/>
      <c r="K692" s="340"/>
      <c r="L692" s="340"/>
      <c r="M692" s="340"/>
      <c r="N692" s="340"/>
      <c r="O692" s="340"/>
      <c r="P692" s="341"/>
      <c r="Q692" s="435"/>
      <c r="R692" s="422"/>
    </row>
    <row r="693" spans="1:18" s="189" customFormat="1">
      <c r="A693" s="293"/>
      <c r="B693" s="290">
        <v>4</v>
      </c>
      <c r="C693" s="290">
        <v>1</v>
      </c>
      <c r="D693" s="290"/>
      <c r="E693" s="290"/>
      <c r="F693" s="290"/>
      <c r="G693" s="291" t="s">
        <v>180</v>
      </c>
      <c r="H693" s="291"/>
      <c r="I693" s="291"/>
      <c r="J693" s="342">
        <f>+J695+J708</f>
        <v>1417000000</v>
      </c>
      <c r="K693" s="343">
        <f>+K695+K708</f>
        <v>1518491400</v>
      </c>
      <c r="L693" s="343">
        <f>+L695+L708</f>
        <v>186225844</v>
      </c>
      <c r="M693" s="343">
        <f>+M695+M708</f>
        <v>55122700</v>
      </c>
      <c r="N693" s="343">
        <f>+M693+L693</f>
        <v>241348544</v>
      </c>
      <c r="O693" s="343">
        <f t="shared" ref="O693:O700" si="107">N693-K693</f>
        <v>-1277142856</v>
      </c>
      <c r="P693" s="344">
        <f t="shared" ref="P693:P700" si="108">N693/K693*100</f>
        <v>15.893968447895062</v>
      </c>
      <c r="Q693" s="437"/>
      <c r="R693" s="422"/>
    </row>
    <row r="694" spans="1:18" s="189" customFormat="1">
      <c r="A694" s="293"/>
      <c r="B694" s="292"/>
      <c r="C694" s="292"/>
      <c r="D694" s="292"/>
      <c r="E694" s="292"/>
      <c r="F694" s="292"/>
      <c r="G694" s="253"/>
      <c r="H694" s="253"/>
      <c r="I694" s="291"/>
      <c r="J694" s="345"/>
      <c r="K694" s="346"/>
      <c r="L694" s="346"/>
      <c r="M694" s="346"/>
      <c r="N694" s="346"/>
      <c r="O694" s="346"/>
      <c r="P694" s="347"/>
      <c r="Q694" s="438"/>
      <c r="R694" s="422"/>
    </row>
    <row r="695" spans="1:18" s="189" customFormat="1">
      <c r="A695" s="293"/>
      <c r="B695" s="290">
        <v>4</v>
      </c>
      <c r="C695" s="290">
        <v>1</v>
      </c>
      <c r="D695" s="290">
        <v>2</v>
      </c>
      <c r="E695" s="290"/>
      <c r="F695" s="290"/>
      <c r="G695" s="291" t="s">
        <v>106</v>
      </c>
      <c r="H695" s="291"/>
      <c r="I695" s="291"/>
      <c r="J695" s="348">
        <f>+J697</f>
        <v>555000000</v>
      </c>
      <c r="K695" s="349">
        <f>+K697</f>
        <v>10000000</v>
      </c>
      <c r="L695" s="395">
        <f>+L697</f>
        <v>19983750</v>
      </c>
      <c r="M695" s="395">
        <f>+M697</f>
        <v>32369500</v>
      </c>
      <c r="N695" s="395">
        <f>+M695+L695</f>
        <v>52353250</v>
      </c>
      <c r="O695" s="395">
        <f t="shared" si="107"/>
        <v>42353250</v>
      </c>
      <c r="P695" s="590">
        <f t="shared" si="108"/>
        <v>523.53249999999991</v>
      </c>
      <c r="Q695" s="439"/>
      <c r="R695" s="422"/>
    </row>
    <row r="696" spans="1:18" s="189" customFormat="1">
      <c r="A696" s="293"/>
      <c r="B696" s="292"/>
      <c r="C696" s="292"/>
      <c r="D696" s="292"/>
      <c r="E696" s="292"/>
      <c r="F696" s="292"/>
      <c r="G696" s="253"/>
      <c r="H696" s="253"/>
      <c r="I696" s="253"/>
      <c r="J696" s="354"/>
      <c r="K696" s="355"/>
      <c r="L696" s="360"/>
      <c r="M696" s="355"/>
      <c r="N696" s="355"/>
      <c r="O696" s="355"/>
      <c r="P696" s="388"/>
      <c r="Q696" s="441"/>
      <c r="R696" s="422"/>
    </row>
    <row r="697" spans="1:18" s="189" customFormat="1">
      <c r="A697" s="293"/>
      <c r="B697" s="292">
        <v>4</v>
      </c>
      <c r="C697" s="292">
        <v>1</v>
      </c>
      <c r="D697" s="292">
        <v>2</v>
      </c>
      <c r="E697" s="292" t="s">
        <v>438</v>
      </c>
      <c r="F697" s="292"/>
      <c r="G697" s="253" t="s">
        <v>374</v>
      </c>
      <c r="H697" s="253"/>
      <c r="I697" s="253"/>
      <c r="J697" s="484">
        <f>+J698+J702</f>
        <v>555000000</v>
      </c>
      <c r="K697" s="485">
        <f>+K698+K702</f>
        <v>10000000</v>
      </c>
      <c r="L697" s="486">
        <f>+L698+L702</f>
        <v>19983750</v>
      </c>
      <c r="M697" s="485">
        <f>+M698+M702</f>
        <v>32369500</v>
      </c>
      <c r="N697" s="485">
        <f>+N698+N702</f>
        <v>52353250</v>
      </c>
      <c r="O697" s="412">
        <f t="shared" si="107"/>
        <v>42353250</v>
      </c>
      <c r="P697" s="487">
        <f t="shared" si="108"/>
        <v>523.53249999999991</v>
      </c>
      <c r="Q697" s="541"/>
      <c r="R697" s="422"/>
    </row>
    <row r="698" spans="1:18" s="189" customFormat="1">
      <c r="A698" s="289"/>
      <c r="B698" s="292">
        <v>4</v>
      </c>
      <c r="C698" s="292">
        <v>1</v>
      </c>
      <c r="D698" s="292">
        <v>2</v>
      </c>
      <c r="E698" s="292" t="s">
        <v>438</v>
      </c>
      <c r="F698" s="292" t="s">
        <v>437</v>
      </c>
      <c r="G698" s="253" t="s">
        <v>64</v>
      </c>
      <c r="H698" s="253"/>
      <c r="I698" s="253"/>
      <c r="J698" s="333">
        <f>+J699+J700</f>
        <v>535900000</v>
      </c>
      <c r="K698" s="334">
        <f>+K699+K700</f>
        <v>0</v>
      </c>
      <c r="L698" s="356">
        <f>+L699+L700</f>
        <v>10063750</v>
      </c>
      <c r="M698" s="334">
        <f>+M699+M700</f>
        <v>0</v>
      </c>
      <c r="N698" s="361">
        <f>M698+L698</f>
        <v>10063750</v>
      </c>
      <c r="O698" s="334">
        <f t="shared" si="107"/>
        <v>10063750</v>
      </c>
      <c r="P698" s="335" t="e">
        <f t="shared" si="108"/>
        <v>#DIV/0!</v>
      </c>
      <c r="Q698" s="430"/>
      <c r="R698" s="422"/>
    </row>
    <row r="699" spans="1:18" s="189" customFormat="1">
      <c r="A699" s="293"/>
      <c r="B699" s="292"/>
      <c r="C699" s="292"/>
      <c r="D699" s="292"/>
      <c r="E699" s="292"/>
      <c r="F699" s="292"/>
      <c r="G699" s="253" t="s">
        <v>50</v>
      </c>
      <c r="H699" s="253"/>
      <c r="I699" s="253" t="s">
        <v>524</v>
      </c>
      <c r="J699" s="354">
        <v>15000000</v>
      </c>
      <c r="K699" s="355">
        <f>'[55]TARGET VERSI LAMA'!$E$496</f>
        <v>0</v>
      </c>
      <c r="L699" s="360">
        <f>[56]PerDinas!$N$824</f>
        <v>0</v>
      </c>
      <c r="M699" s="355">
        <f>[55]Perdinas!$P$552</f>
        <v>0</v>
      </c>
      <c r="N699" s="771">
        <f>M699+L699</f>
        <v>0</v>
      </c>
      <c r="O699" s="355">
        <f t="shared" si="107"/>
        <v>0</v>
      </c>
      <c r="P699" s="388" t="e">
        <f t="shared" si="108"/>
        <v>#DIV/0!</v>
      </c>
      <c r="Q699" s="441"/>
      <c r="R699" s="422"/>
    </row>
    <row r="700" spans="1:18" s="189" customFormat="1">
      <c r="A700" s="293"/>
      <c r="B700" s="292"/>
      <c r="C700" s="292"/>
      <c r="D700" s="292"/>
      <c r="E700" s="292"/>
      <c r="F700" s="292"/>
      <c r="G700" s="253" t="s">
        <v>50</v>
      </c>
      <c r="H700" s="253"/>
      <c r="I700" s="253" t="s">
        <v>525</v>
      </c>
      <c r="J700" s="354">
        <v>520900000</v>
      </c>
      <c r="K700" s="355">
        <f>'[55]TARGET VERSI LAMA'!$E$497</f>
        <v>0</v>
      </c>
      <c r="L700" s="360">
        <f>[56]PerDinas!$N$825</f>
        <v>10063750</v>
      </c>
      <c r="M700" s="373">
        <f>[55]Perdinas!$P$553</f>
        <v>0</v>
      </c>
      <c r="N700" s="355">
        <f>M700+L700</f>
        <v>10063750</v>
      </c>
      <c r="O700" s="355">
        <f t="shared" si="107"/>
        <v>10063750</v>
      </c>
      <c r="P700" s="388" t="e">
        <f t="shared" si="108"/>
        <v>#DIV/0!</v>
      </c>
      <c r="Q700" s="441"/>
      <c r="R700" s="422"/>
    </row>
    <row r="701" spans="1:18" s="189" customFormat="1">
      <c r="A701" s="293"/>
      <c r="B701" s="292"/>
      <c r="C701" s="292"/>
      <c r="D701" s="292"/>
      <c r="E701" s="292"/>
      <c r="F701" s="292"/>
      <c r="G701" s="253"/>
      <c r="H701" s="253"/>
      <c r="I701" s="253"/>
      <c r="J701" s="354"/>
      <c r="K701" s="355"/>
      <c r="L701" s="360"/>
      <c r="M701" s="355"/>
      <c r="N701" s="355"/>
      <c r="O701" s="355"/>
      <c r="P701" s="388"/>
      <c r="Q701" s="441"/>
      <c r="R701" s="422"/>
    </row>
    <row r="702" spans="1:18" s="189" customFormat="1">
      <c r="A702" s="293"/>
      <c r="B702" s="292">
        <v>4</v>
      </c>
      <c r="C702" s="292">
        <v>1</v>
      </c>
      <c r="D702" s="292">
        <v>2</v>
      </c>
      <c r="E702" s="292" t="s">
        <v>438</v>
      </c>
      <c r="F702" s="292" t="s">
        <v>448</v>
      </c>
      <c r="G702" s="253" t="s">
        <v>361</v>
      </c>
      <c r="H702" s="253"/>
      <c r="I702" s="253"/>
      <c r="J702" s="763">
        <f>SUM(J703:J706)</f>
        <v>19100000</v>
      </c>
      <c r="K702" s="529">
        <f>SUM(K703:K706)</f>
        <v>10000000</v>
      </c>
      <c r="L702" s="764">
        <f>SUM(L703:L706)</f>
        <v>9920000</v>
      </c>
      <c r="M702" s="529">
        <f>SUM(M703:M706)</f>
        <v>32369500</v>
      </c>
      <c r="N702" s="1051">
        <f>M702+L702</f>
        <v>42289500</v>
      </c>
      <c r="O702" s="527">
        <f>N702-K702</f>
        <v>32289500</v>
      </c>
      <c r="P702" s="671">
        <f>N702/K702*100</f>
        <v>422.89500000000004</v>
      </c>
      <c r="Q702" s="785"/>
      <c r="R702" s="422"/>
    </row>
    <row r="703" spans="1:18" s="189" customFormat="1">
      <c r="A703" s="293"/>
      <c r="B703" s="292"/>
      <c r="C703" s="292"/>
      <c r="D703" s="292"/>
      <c r="E703" s="292"/>
      <c r="F703" s="292"/>
      <c r="G703" s="253" t="s">
        <v>50</v>
      </c>
      <c r="H703" s="253"/>
      <c r="I703" s="253" t="s">
        <v>540</v>
      </c>
      <c r="J703" s="389">
        <v>1800000</v>
      </c>
      <c r="K703" s="357"/>
      <c r="L703" s="391"/>
      <c r="M703" s="357">
        <v>0</v>
      </c>
      <c r="N703" s="357"/>
      <c r="O703" s="357"/>
      <c r="P703" s="358"/>
      <c r="Q703" s="442"/>
      <c r="R703" s="422"/>
    </row>
    <row r="704" spans="1:18" s="189" customFormat="1">
      <c r="A704" s="293"/>
      <c r="B704" s="292"/>
      <c r="C704" s="292"/>
      <c r="D704" s="292"/>
      <c r="E704" s="292"/>
      <c r="F704" s="292"/>
      <c r="G704" s="1003" t="s">
        <v>50</v>
      </c>
      <c r="H704" s="1003"/>
      <c r="I704" s="1003" t="s">
        <v>1000</v>
      </c>
      <c r="J704" s="1041">
        <v>3300000</v>
      </c>
      <c r="K704" s="360"/>
      <c r="L704" s="391"/>
      <c r="M704" s="360"/>
      <c r="N704" s="360"/>
      <c r="O704" s="360"/>
      <c r="P704" s="1042"/>
      <c r="Q704" s="795"/>
      <c r="R704" s="422"/>
    </row>
    <row r="705" spans="1:19" s="189" customFormat="1">
      <c r="A705" s="293"/>
      <c r="B705" s="292"/>
      <c r="C705" s="292"/>
      <c r="D705" s="292"/>
      <c r="E705" s="292"/>
      <c r="F705" s="292"/>
      <c r="G705" s="1003" t="s">
        <v>50</v>
      </c>
      <c r="H705" s="1003"/>
      <c r="I705" s="1003" t="s">
        <v>1001</v>
      </c>
      <c r="J705" s="1041">
        <v>4000000</v>
      </c>
      <c r="K705" s="360"/>
      <c r="L705" s="391"/>
      <c r="M705" s="360"/>
      <c r="N705" s="360"/>
      <c r="O705" s="360"/>
      <c r="P705" s="1042"/>
      <c r="Q705" s="795"/>
      <c r="R705" s="422"/>
    </row>
    <row r="706" spans="1:19" s="189" customFormat="1" ht="15.05">
      <c r="A706" s="293"/>
      <c r="B706" s="292"/>
      <c r="C706" s="292"/>
      <c r="D706" s="292"/>
      <c r="E706" s="292"/>
      <c r="F706" s="292"/>
      <c r="G706" s="253" t="s">
        <v>50</v>
      </c>
      <c r="H706" s="253"/>
      <c r="I706" s="568" t="s">
        <v>1002</v>
      </c>
      <c r="J706" s="354">
        <v>10000000</v>
      </c>
      <c r="K706" s="1052">
        <f>'[55]TARGET VERSI LAMA'!$E$503</f>
        <v>10000000</v>
      </c>
      <c r="L706" s="391">
        <f>[56]PerDinas!$N$831</f>
        <v>9920000</v>
      </c>
      <c r="M706" s="1052">
        <f>[55]Perdinas!$P$557</f>
        <v>32369500</v>
      </c>
      <c r="N706" s="1053">
        <f t="shared" ref="N706:N712" si="109">M706+L706</f>
        <v>42289500</v>
      </c>
      <c r="O706" s="334">
        <f t="shared" ref="O706:O712" si="110">N706-K706</f>
        <v>32289500</v>
      </c>
      <c r="P706" s="335">
        <f>N706/K706*100</f>
        <v>422.89500000000004</v>
      </c>
      <c r="Q706" s="442"/>
      <c r="R706" s="422"/>
    </row>
    <row r="707" spans="1:19" s="189" customFormat="1">
      <c r="A707" s="293"/>
      <c r="B707" s="292"/>
      <c r="C707" s="292"/>
      <c r="D707" s="292"/>
      <c r="E707" s="292"/>
      <c r="F707" s="292"/>
      <c r="G707" s="253"/>
      <c r="H707" s="253"/>
      <c r="I707" s="253"/>
      <c r="J707" s="354"/>
      <c r="K707" s="355"/>
      <c r="L707" s="360"/>
      <c r="M707" s="355"/>
      <c r="N707" s="355"/>
      <c r="O707" s="355"/>
      <c r="P707" s="388"/>
      <c r="Q707" s="441"/>
      <c r="R707" s="422"/>
    </row>
    <row r="708" spans="1:19" s="189" customFormat="1">
      <c r="A708" s="293"/>
      <c r="B708" s="290">
        <v>4</v>
      </c>
      <c r="C708" s="290">
        <v>1</v>
      </c>
      <c r="D708" s="290">
        <v>4</v>
      </c>
      <c r="E708" s="290"/>
      <c r="F708" s="290"/>
      <c r="G708" s="291" t="s">
        <v>71</v>
      </c>
      <c r="H708" s="291"/>
      <c r="I708" s="291"/>
      <c r="J708" s="392">
        <f>J709+J714</f>
        <v>862000000</v>
      </c>
      <c r="K708" s="393">
        <f>K709+K714+K716</f>
        <v>1508491400</v>
      </c>
      <c r="L708" s="393">
        <f>L709+L714+L716</f>
        <v>166242094</v>
      </c>
      <c r="M708" s="393">
        <f>M709+M714+M716</f>
        <v>22753200</v>
      </c>
      <c r="N708" s="393">
        <f t="shared" si="109"/>
        <v>188995294</v>
      </c>
      <c r="O708" s="349">
        <f t="shared" si="110"/>
        <v>-1319496106</v>
      </c>
      <c r="P708" s="350">
        <f>N708/K708*100</f>
        <v>12.528761781472536</v>
      </c>
      <c r="Q708" s="444"/>
      <c r="R708" s="422"/>
    </row>
    <row r="709" spans="1:19" s="189" customFormat="1">
      <c r="A709" s="289"/>
      <c r="B709" s="292">
        <v>4</v>
      </c>
      <c r="C709" s="292">
        <v>1</v>
      </c>
      <c r="D709" s="292">
        <v>4</v>
      </c>
      <c r="E709" s="292" t="s">
        <v>444</v>
      </c>
      <c r="F709" s="292"/>
      <c r="G709" s="253" t="s">
        <v>222</v>
      </c>
      <c r="H709" s="253"/>
      <c r="I709" s="253"/>
      <c r="J709" s="484">
        <f>+J712</f>
        <v>17000000</v>
      </c>
      <c r="K709" s="485">
        <f>+K712</f>
        <v>0</v>
      </c>
      <c r="L709" s="486">
        <f>SUM(L710:L712)</f>
        <v>15432269</v>
      </c>
      <c r="M709" s="485">
        <f>SUM(M710:M712)</f>
        <v>10212000</v>
      </c>
      <c r="N709" s="485">
        <f>SUM(N710:N712)</f>
        <v>25644269</v>
      </c>
      <c r="O709" s="412">
        <f t="shared" si="110"/>
        <v>25644269</v>
      </c>
      <c r="P709" s="487">
        <v>0</v>
      </c>
      <c r="Q709" s="644"/>
      <c r="R709" s="422"/>
    </row>
    <row r="710" spans="1:19" s="189" customFormat="1">
      <c r="A710" s="289"/>
      <c r="B710" s="292">
        <v>4</v>
      </c>
      <c r="C710" s="292">
        <v>1</v>
      </c>
      <c r="D710" s="292">
        <v>4</v>
      </c>
      <c r="E710" s="292" t="s">
        <v>444</v>
      </c>
      <c r="F710" s="292" t="s">
        <v>440</v>
      </c>
      <c r="G710" s="253" t="s">
        <v>73</v>
      </c>
      <c r="H710" s="253"/>
      <c r="I710" s="253"/>
      <c r="J710" s="354">
        <v>0</v>
      </c>
      <c r="K710" s="355">
        <v>0</v>
      </c>
      <c r="L710" s="360">
        <v>0</v>
      </c>
      <c r="M710" s="355">
        <v>0</v>
      </c>
      <c r="N710" s="355">
        <f t="shared" si="109"/>
        <v>0</v>
      </c>
      <c r="O710" s="355">
        <f t="shared" si="110"/>
        <v>0</v>
      </c>
      <c r="P710" s="388"/>
      <c r="Q710" s="442"/>
      <c r="R710" s="422"/>
    </row>
    <row r="711" spans="1:19" s="189" customFormat="1">
      <c r="A711" s="289"/>
      <c r="B711" s="292">
        <v>4</v>
      </c>
      <c r="C711" s="292">
        <v>1</v>
      </c>
      <c r="D711" s="292">
        <v>4</v>
      </c>
      <c r="E711" s="292" t="s">
        <v>444</v>
      </c>
      <c r="F711" s="292" t="s">
        <v>445</v>
      </c>
      <c r="G711" s="253" t="s">
        <v>74</v>
      </c>
      <c r="H711" s="253"/>
      <c r="I711" s="253"/>
      <c r="J711" s="354">
        <v>0</v>
      </c>
      <c r="K711" s="355">
        <v>0</v>
      </c>
      <c r="L711" s="360">
        <v>0</v>
      </c>
      <c r="M711" s="355">
        <f>[55]Perdinas!$P$522</f>
        <v>0</v>
      </c>
      <c r="N711" s="355">
        <f t="shared" si="109"/>
        <v>0</v>
      </c>
      <c r="O711" s="355">
        <f t="shared" si="110"/>
        <v>0</v>
      </c>
      <c r="P711" s="388"/>
      <c r="Q711" s="441"/>
      <c r="R711" s="422"/>
    </row>
    <row r="712" spans="1:19" s="189" customFormat="1">
      <c r="A712" s="289"/>
      <c r="B712" s="292">
        <v>4</v>
      </c>
      <c r="C712" s="292">
        <v>1</v>
      </c>
      <c r="D712" s="292">
        <v>4</v>
      </c>
      <c r="E712" s="292" t="s">
        <v>444</v>
      </c>
      <c r="F712" s="292" t="s">
        <v>441</v>
      </c>
      <c r="G712" s="253" t="s">
        <v>75</v>
      </c>
      <c r="H712" s="253"/>
      <c r="I712" s="253"/>
      <c r="J712" s="354">
        <v>17000000</v>
      </c>
      <c r="K712" s="373">
        <f>'[55]TARGET VERSI LAMA'!$E$508</f>
        <v>0</v>
      </c>
      <c r="L712" s="360">
        <f>[56]PerDinas!$N$837</f>
        <v>15432269</v>
      </c>
      <c r="M712" s="373">
        <f>[55]Perdinas!$P$563</f>
        <v>10212000</v>
      </c>
      <c r="N712" s="369">
        <f t="shared" si="109"/>
        <v>25644269</v>
      </c>
      <c r="O712" s="355">
        <f t="shared" si="110"/>
        <v>25644269</v>
      </c>
      <c r="P712" s="388" t="e">
        <f t="shared" ref="P712:P717" si="111">N712/K712*100</f>
        <v>#DIV/0!</v>
      </c>
      <c r="Q712" s="441"/>
      <c r="R712" s="545">
        <v>15332269</v>
      </c>
      <c r="S712" s="436">
        <f>N712-R712</f>
        <v>10312000</v>
      </c>
    </row>
    <row r="713" spans="1:19" s="189" customFormat="1">
      <c r="A713" s="293"/>
      <c r="B713" s="292"/>
      <c r="C713" s="292"/>
      <c r="D713" s="292"/>
      <c r="E713" s="292"/>
      <c r="F713" s="292"/>
      <c r="G713" s="253"/>
      <c r="H713" s="253"/>
      <c r="I713" s="253"/>
      <c r="J713" s="354"/>
      <c r="K713" s="355"/>
      <c r="L713" s="360"/>
      <c r="M713" s="355"/>
      <c r="N713" s="355"/>
      <c r="O713" s="355"/>
      <c r="P713" s="388"/>
      <c r="Q713" s="441"/>
      <c r="R713" s="422"/>
    </row>
    <row r="714" spans="1:19" s="189" customFormat="1">
      <c r="A714" s="293"/>
      <c r="B714" s="292">
        <v>4</v>
      </c>
      <c r="C714" s="292">
        <v>1</v>
      </c>
      <c r="D714" s="292">
        <v>4</v>
      </c>
      <c r="E714" s="292" t="s">
        <v>948</v>
      </c>
      <c r="F714" s="292"/>
      <c r="G714" s="253" t="s">
        <v>321</v>
      </c>
      <c r="H714" s="253"/>
      <c r="I714" s="253"/>
      <c r="J714" s="484">
        <f t="shared" ref="J714:P714" si="112">+J715</f>
        <v>845000000</v>
      </c>
      <c r="K714" s="485">
        <f t="shared" si="112"/>
        <v>1508491400</v>
      </c>
      <c r="L714" s="486">
        <f t="shared" si="112"/>
        <v>37289625</v>
      </c>
      <c r="M714" s="485">
        <f t="shared" si="112"/>
        <v>0</v>
      </c>
      <c r="N714" s="485">
        <f t="shared" si="112"/>
        <v>37289625</v>
      </c>
      <c r="O714" s="485">
        <f t="shared" si="112"/>
        <v>-1471201775</v>
      </c>
      <c r="P714" s="871">
        <f t="shared" si="112"/>
        <v>2.4719812787795807</v>
      </c>
      <c r="Q714" s="541"/>
      <c r="R714" s="422"/>
    </row>
    <row r="715" spans="1:19" s="189" customFormat="1">
      <c r="A715" s="293"/>
      <c r="B715" s="292">
        <v>4</v>
      </c>
      <c r="C715" s="292">
        <v>1</v>
      </c>
      <c r="D715" s="292">
        <v>4</v>
      </c>
      <c r="E715" s="292" t="s">
        <v>948</v>
      </c>
      <c r="F715" s="292" t="s">
        <v>437</v>
      </c>
      <c r="G715" s="253" t="s">
        <v>85</v>
      </c>
      <c r="H715" s="253"/>
      <c r="I715" s="253"/>
      <c r="J715" s="333">
        <f>SUM(J716:J717)</f>
        <v>845000000</v>
      </c>
      <c r="K715" s="334">
        <f>K717</f>
        <v>1508491400</v>
      </c>
      <c r="L715" s="334">
        <f>L717</f>
        <v>37289625</v>
      </c>
      <c r="M715" s="334">
        <f>M717</f>
        <v>0</v>
      </c>
      <c r="N715" s="334">
        <f>M715+L715</f>
        <v>37289625</v>
      </c>
      <c r="O715" s="334">
        <f>N715-K715</f>
        <v>-1471201775</v>
      </c>
      <c r="P715" s="1060">
        <f t="shared" si="111"/>
        <v>2.4719812787795807</v>
      </c>
      <c r="Q715" s="430"/>
      <c r="R715" s="422"/>
    </row>
    <row r="716" spans="1:19" s="189" customFormat="1">
      <c r="A716" s="293"/>
      <c r="B716" s="292"/>
      <c r="C716" s="292"/>
      <c r="D716" s="292"/>
      <c r="E716" s="292"/>
      <c r="F716" s="292"/>
      <c r="G716" s="2760" t="s">
        <v>50</v>
      </c>
      <c r="H716" s="253"/>
      <c r="I716" s="1061" t="s">
        <v>1003</v>
      </c>
      <c r="J716" s="354">
        <v>0</v>
      </c>
      <c r="K716" s="1062">
        <f>'[55]TARGET VERSI LAMA'!$E$509</f>
        <v>0</v>
      </c>
      <c r="L716" s="1063">
        <f>[56]PerDinas!$N$841</f>
        <v>113520200</v>
      </c>
      <c r="M716" s="1062">
        <f>[55]Perdinas!$P$560</f>
        <v>12541200</v>
      </c>
      <c r="N716" s="1064">
        <f>M716+L716</f>
        <v>126061400</v>
      </c>
      <c r="O716" s="1062">
        <f>N716-K716</f>
        <v>126061400</v>
      </c>
      <c r="P716" s="1065"/>
      <c r="Q716" s="1074"/>
      <c r="R716" s="422"/>
    </row>
    <row r="717" spans="1:19" s="189" customFormat="1">
      <c r="A717" s="293"/>
      <c r="B717" s="292"/>
      <c r="C717" s="292"/>
      <c r="D717" s="292"/>
      <c r="E717" s="292"/>
      <c r="F717" s="292"/>
      <c r="G717" s="2760" t="s">
        <v>50</v>
      </c>
      <c r="H717" s="253"/>
      <c r="I717" s="253" t="s">
        <v>1004</v>
      </c>
      <c r="J717" s="389">
        <v>845000000</v>
      </c>
      <c r="K717" s="373">
        <f>'[55]TARGET VERSI LAMA'!$E$510</f>
        <v>1508491400</v>
      </c>
      <c r="L717" s="1194">
        <f>[56]PerDinas!$N$623</f>
        <v>37289625</v>
      </c>
      <c r="M717" s="876">
        <f>[55]Perdinas!$P$399</f>
        <v>0</v>
      </c>
      <c r="N717" s="369">
        <f>M717+L717</f>
        <v>37289625</v>
      </c>
      <c r="O717" s="355">
        <f>N717-K717</f>
        <v>-1471201775</v>
      </c>
      <c r="P717" s="388">
        <f t="shared" si="111"/>
        <v>2.4719812787795807</v>
      </c>
      <c r="Q717" s="441"/>
      <c r="R717" s="422"/>
    </row>
    <row r="718" spans="1:19" s="189" customFormat="1">
      <c r="A718" s="293"/>
      <c r="B718" s="292"/>
      <c r="C718" s="292"/>
      <c r="D718" s="292"/>
      <c r="E718" s="292"/>
      <c r="F718" s="292"/>
      <c r="G718" s="253"/>
      <c r="H718" s="253"/>
      <c r="I718" s="253"/>
      <c r="J718" s="389"/>
      <c r="K718" s="357"/>
      <c r="L718" s="391"/>
      <c r="M718" s="357"/>
      <c r="N718" s="355"/>
      <c r="O718" s="355"/>
      <c r="P718" s="388"/>
      <c r="Q718" s="441"/>
      <c r="R718" s="422"/>
    </row>
    <row r="719" spans="1:19" s="189" customFormat="1">
      <c r="A719" s="1059"/>
      <c r="B719" s="578"/>
      <c r="C719" s="578"/>
      <c r="D719" s="578"/>
      <c r="E719" s="578"/>
      <c r="F719" s="578"/>
      <c r="J719" s="333"/>
      <c r="K719" s="334"/>
      <c r="L719" s="334"/>
      <c r="M719" s="334"/>
      <c r="N719" s="334"/>
      <c r="O719" s="334"/>
      <c r="P719" s="335"/>
      <c r="Q719" s="430"/>
      <c r="R719" s="422"/>
    </row>
    <row r="720" spans="1:19" s="244" customFormat="1">
      <c r="A720" s="1319" t="s">
        <v>355</v>
      </c>
      <c r="B720" s="1320" t="s">
        <v>460</v>
      </c>
      <c r="C720" s="1320" t="s">
        <v>437</v>
      </c>
      <c r="D720" s="1320" t="s">
        <v>440</v>
      </c>
      <c r="E720" s="1320"/>
      <c r="F720" s="1320"/>
      <c r="G720" s="1321" t="s">
        <v>356</v>
      </c>
      <c r="H720" s="1321"/>
      <c r="I720" s="1321"/>
      <c r="J720" s="1330">
        <f>+J722</f>
        <v>1922500000</v>
      </c>
      <c r="K720" s="1331">
        <f>+K722</f>
        <v>1004500000</v>
      </c>
      <c r="L720" s="1331">
        <f>+L722</f>
        <v>621675075</v>
      </c>
      <c r="M720" s="1331">
        <f>+M722</f>
        <v>81927200</v>
      </c>
      <c r="N720" s="1331">
        <f>M720+L720</f>
        <v>703602275</v>
      </c>
      <c r="O720" s="1331">
        <f>+N720-K720</f>
        <v>-300897725</v>
      </c>
      <c r="P720" s="1332">
        <f>+N720/K720*100</f>
        <v>70.045024888003979</v>
      </c>
      <c r="Q720" s="1340"/>
      <c r="R720" s="639"/>
    </row>
    <row r="721" spans="1:19" s="189" customFormat="1">
      <c r="A721" s="1409"/>
      <c r="B721" s="1324"/>
      <c r="C721" s="1324"/>
      <c r="D721" s="1324"/>
      <c r="E721" s="1324"/>
      <c r="F721" s="1324"/>
      <c r="G721" s="1325"/>
      <c r="H721" s="1325"/>
      <c r="I721" s="1325"/>
      <c r="J721" s="757"/>
      <c r="K721" s="758"/>
      <c r="L721" s="758"/>
      <c r="M721" s="758"/>
      <c r="N721" s="758"/>
      <c r="O721" s="758"/>
      <c r="P721" s="690"/>
      <c r="Q721" s="782"/>
      <c r="R721" s="422"/>
    </row>
    <row r="722" spans="1:19" s="189" customFormat="1">
      <c r="A722" s="293"/>
      <c r="B722" s="290">
        <v>4</v>
      </c>
      <c r="C722" s="290">
        <v>1</v>
      </c>
      <c r="D722" s="290"/>
      <c r="E722" s="290"/>
      <c r="F722" s="290"/>
      <c r="G722" s="291" t="s">
        <v>180</v>
      </c>
      <c r="H722" s="291"/>
      <c r="I722" s="291"/>
      <c r="J722" s="387">
        <f>+J724+J742</f>
        <v>1922500000</v>
      </c>
      <c r="K722" s="367">
        <f>+K724+K742</f>
        <v>1004500000</v>
      </c>
      <c r="L722" s="367">
        <f>+L724+L742</f>
        <v>621675075</v>
      </c>
      <c r="M722" s="367">
        <f>+M724+M742</f>
        <v>81927200</v>
      </c>
      <c r="N722" s="367">
        <f>+M722+L722</f>
        <v>703602275</v>
      </c>
      <c r="O722" s="367">
        <f>N722-K722</f>
        <v>-300897725</v>
      </c>
      <c r="P722" s="347">
        <f>N722/K722*100</f>
        <v>70.045024888003979</v>
      </c>
      <c r="Q722" s="454"/>
      <c r="R722" s="422"/>
    </row>
    <row r="723" spans="1:19" s="189" customFormat="1">
      <c r="A723" s="293"/>
      <c r="B723" s="292"/>
      <c r="C723" s="292"/>
      <c r="D723" s="292"/>
      <c r="E723" s="292"/>
      <c r="F723" s="292"/>
      <c r="G723" s="253"/>
      <c r="H723" s="253"/>
      <c r="I723" s="291"/>
      <c r="J723" s="345"/>
      <c r="K723" s="346"/>
      <c r="L723" s="346"/>
      <c r="M723" s="346"/>
      <c r="N723" s="346"/>
      <c r="O723" s="346"/>
      <c r="P723" s="347"/>
      <c r="Q723" s="438"/>
      <c r="R723" s="422"/>
    </row>
    <row r="724" spans="1:19" s="189" customFormat="1">
      <c r="A724" s="293"/>
      <c r="B724" s="290">
        <v>4</v>
      </c>
      <c r="C724" s="290">
        <v>1</v>
      </c>
      <c r="D724" s="290">
        <v>2</v>
      </c>
      <c r="E724" s="290"/>
      <c r="F724" s="290"/>
      <c r="G724" s="291" t="s">
        <v>106</v>
      </c>
      <c r="H724" s="291"/>
      <c r="I724" s="291"/>
      <c r="J724" s="387">
        <f>+J726</f>
        <v>617500000</v>
      </c>
      <c r="K724" s="367">
        <f>+K726</f>
        <v>1004500000</v>
      </c>
      <c r="L724" s="1066">
        <f>+L726</f>
        <v>523952790</v>
      </c>
      <c r="M724" s="367">
        <f>+M726</f>
        <v>55535200</v>
      </c>
      <c r="N724" s="367">
        <f>+M724+L724</f>
        <v>579487990</v>
      </c>
      <c r="O724" s="367">
        <f>N724-K724</f>
        <v>-425012010</v>
      </c>
      <c r="P724" s="347">
        <f>N724/K724*100</f>
        <v>57.68919761075162</v>
      </c>
      <c r="Q724" s="448"/>
      <c r="R724" s="422"/>
    </row>
    <row r="725" spans="1:19" s="189" customFormat="1">
      <c r="A725" s="293"/>
      <c r="B725" s="292"/>
      <c r="C725" s="292"/>
      <c r="D725" s="292"/>
      <c r="E725" s="292"/>
      <c r="F725" s="292"/>
      <c r="G725" s="253"/>
      <c r="H725" s="253"/>
      <c r="I725" s="253"/>
      <c r="J725" s="354"/>
      <c r="K725" s="355"/>
      <c r="L725" s="360"/>
      <c r="M725" s="355"/>
      <c r="N725" s="355"/>
      <c r="O725" s="355"/>
      <c r="P725" s="388"/>
      <c r="Q725" s="441"/>
      <c r="R725" s="422"/>
    </row>
    <row r="726" spans="1:19" s="189" customFormat="1">
      <c r="A726" s="293"/>
      <c r="B726" s="292">
        <v>4</v>
      </c>
      <c r="C726" s="292">
        <v>1</v>
      </c>
      <c r="D726" s="292">
        <v>2</v>
      </c>
      <c r="E726" s="292" t="s">
        <v>438</v>
      </c>
      <c r="F726" s="292"/>
      <c r="G726" s="253" t="s">
        <v>374</v>
      </c>
      <c r="H726" s="253"/>
      <c r="I726" s="253"/>
      <c r="J726" s="387">
        <f>+J727+J733</f>
        <v>617500000</v>
      </c>
      <c r="K726" s="367">
        <f>+K727+K733</f>
        <v>1004500000</v>
      </c>
      <c r="L726" s="1066">
        <f>+L727+L733</f>
        <v>523952790</v>
      </c>
      <c r="M726" s="367">
        <f>+M727+M733</f>
        <v>55535200</v>
      </c>
      <c r="N726" s="367">
        <f>+M726+L726</f>
        <v>579487990</v>
      </c>
      <c r="O726" s="367">
        <f t="shared" ref="O726:O731" si="113">N726-K726</f>
        <v>-425012010</v>
      </c>
      <c r="P726" s="347">
        <f t="shared" ref="P726:P731" si="114">N726/K726*100</f>
        <v>57.68919761075162</v>
      </c>
      <c r="Q726" s="438"/>
      <c r="R726" s="554"/>
    </row>
    <row r="727" spans="1:19" s="189" customFormat="1">
      <c r="A727" s="289"/>
      <c r="B727" s="292">
        <v>4</v>
      </c>
      <c r="C727" s="292">
        <v>1</v>
      </c>
      <c r="D727" s="292">
        <v>2</v>
      </c>
      <c r="E727" s="292" t="s">
        <v>438</v>
      </c>
      <c r="F727" s="292" t="s">
        <v>437</v>
      </c>
      <c r="G727" s="253" t="s">
        <v>64</v>
      </c>
      <c r="H727" s="253"/>
      <c r="I727" s="253"/>
      <c r="J727" s="387">
        <f>SUM(J728:J731)</f>
        <v>262500000</v>
      </c>
      <c r="K727" s="367">
        <f>SUM(K728:K731)</f>
        <v>785500000</v>
      </c>
      <c r="L727" s="1066">
        <f>SUM(L728:L731)</f>
        <v>63760660</v>
      </c>
      <c r="M727" s="367">
        <f>SUM(M728:M731)</f>
        <v>11512000</v>
      </c>
      <c r="N727" s="1067">
        <f>M727+L727</f>
        <v>75272660</v>
      </c>
      <c r="O727" s="371">
        <f t="shared" si="113"/>
        <v>-710227340</v>
      </c>
      <c r="P727" s="388">
        <f t="shared" si="114"/>
        <v>9.5827702100572889</v>
      </c>
      <c r="Q727" s="438"/>
      <c r="R727" s="554"/>
      <c r="S727" s="240"/>
    </row>
    <row r="728" spans="1:19" s="189" customFormat="1">
      <c r="A728" s="293"/>
      <c r="B728" s="292"/>
      <c r="C728" s="292"/>
      <c r="D728" s="292"/>
      <c r="E728" s="292"/>
      <c r="F728" s="292"/>
      <c r="G728" s="253" t="s">
        <v>50</v>
      </c>
      <c r="H728" s="253"/>
      <c r="I728" s="253" t="s">
        <v>357</v>
      </c>
      <c r="J728" s="354">
        <v>20000000</v>
      </c>
      <c r="K728" s="373">
        <f>'[55]TARGET VERSI LAMA'!$E$515</f>
        <v>40000000</v>
      </c>
      <c r="L728" s="360">
        <f>[56]PerDinas!$N$853</f>
        <v>36353160</v>
      </c>
      <c r="M728" s="373">
        <f>[55]Perdinas!$P$569</f>
        <v>1156000</v>
      </c>
      <c r="N728" s="771">
        <f>M728+L728</f>
        <v>37509160</v>
      </c>
      <c r="O728" s="355">
        <f t="shared" si="113"/>
        <v>-2490840</v>
      </c>
      <c r="P728" s="388">
        <f t="shared" si="114"/>
        <v>93.772900000000007</v>
      </c>
      <c r="Q728" s="441"/>
      <c r="R728" s="554"/>
      <c r="S728" s="240"/>
    </row>
    <row r="729" spans="1:19" s="189" customFormat="1">
      <c r="A729" s="293"/>
      <c r="B729" s="292"/>
      <c r="C729" s="292"/>
      <c r="D729" s="292"/>
      <c r="E729" s="292"/>
      <c r="F729" s="292"/>
      <c r="G729" s="253" t="s">
        <v>50</v>
      </c>
      <c r="H729" s="253"/>
      <c r="I729" s="253" t="s">
        <v>1005</v>
      </c>
      <c r="J729" s="354">
        <v>10000000</v>
      </c>
      <c r="K729" s="373">
        <f>'[55]TARGET VERSI LAMA'!$E$516</f>
        <v>23000000</v>
      </c>
      <c r="L729" s="360">
        <f>[56]PerDinas!$N$854</f>
        <v>16213500</v>
      </c>
      <c r="M729" s="373">
        <f>[55]Perdinas!$P$570</f>
        <v>1536000</v>
      </c>
      <c r="N729" s="771">
        <f>M729+L729</f>
        <v>17749500</v>
      </c>
      <c r="O729" s="355">
        <f t="shared" si="113"/>
        <v>-5250500</v>
      </c>
      <c r="P729" s="388">
        <f t="shared" si="114"/>
        <v>77.171739130434787</v>
      </c>
      <c r="Q729" s="441"/>
      <c r="R729" s="554"/>
      <c r="S729" s="240"/>
    </row>
    <row r="730" spans="1:19" s="189" customFormat="1">
      <c r="A730" s="293"/>
      <c r="B730" s="292"/>
      <c r="C730" s="292"/>
      <c r="D730" s="292"/>
      <c r="E730" s="292"/>
      <c r="F730" s="292"/>
      <c r="G730" s="253" t="s">
        <v>50</v>
      </c>
      <c r="H730" s="253"/>
      <c r="I730" s="253" t="s">
        <v>359</v>
      </c>
      <c r="J730" s="354">
        <v>232500000</v>
      </c>
      <c r="K730" s="373">
        <f>'[55]TARGET VERSI LAMA'!$E$517</f>
        <v>722500000</v>
      </c>
      <c r="L730" s="360">
        <f>[56]PerDinas!$N$855</f>
        <v>10677000</v>
      </c>
      <c r="M730" s="373">
        <f>[55]Perdinas!$P$571</f>
        <v>8820000</v>
      </c>
      <c r="N730" s="771">
        <f>M730+L730</f>
        <v>19497000</v>
      </c>
      <c r="O730" s="355">
        <f t="shared" si="113"/>
        <v>-703003000</v>
      </c>
      <c r="P730" s="388">
        <f t="shared" si="114"/>
        <v>2.6985467128027683</v>
      </c>
      <c r="Q730" s="441"/>
      <c r="R730" s="554"/>
      <c r="S730" s="240"/>
    </row>
    <row r="731" spans="1:19" s="189" customFormat="1">
      <c r="A731" s="293"/>
      <c r="B731" s="292"/>
      <c r="C731" s="292"/>
      <c r="D731" s="292"/>
      <c r="E731" s="292"/>
      <c r="F731" s="292"/>
      <c r="G731" s="253" t="s">
        <v>50</v>
      </c>
      <c r="H731" s="253"/>
      <c r="I731" s="253" t="s">
        <v>360</v>
      </c>
      <c r="J731" s="354">
        <v>0</v>
      </c>
      <c r="K731" s="373">
        <f>'[55]TARGET VERSI LAMA'!$E$518</f>
        <v>0</v>
      </c>
      <c r="L731" s="360">
        <f>[56]PerDinas!$N$856</f>
        <v>517000</v>
      </c>
      <c r="M731" s="373">
        <f>[55]Perdinas!$P$572</f>
        <v>0</v>
      </c>
      <c r="N731" s="355">
        <f>M731+L731</f>
        <v>517000</v>
      </c>
      <c r="O731" s="355">
        <f t="shared" si="113"/>
        <v>517000</v>
      </c>
      <c r="P731" s="388" t="e">
        <f t="shared" si="114"/>
        <v>#DIV/0!</v>
      </c>
      <c r="Q731" s="441"/>
      <c r="R731" s="554"/>
      <c r="S731" s="240"/>
    </row>
    <row r="732" spans="1:19" s="189" customFormat="1">
      <c r="A732" s="293"/>
      <c r="B732" s="292"/>
      <c r="C732" s="292"/>
      <c r="D732" s="292"/>
      <c r="E732" s="292"/>
      <c r="F732" s="292"/>
      <c r="G732" s="253"/>
      <c r="H732" s="253"/>
      <c r="I732" s="253"/>
      <c r="J732" s="374"/>
      <c r="K732" s="375"/>
      <c r="L732" s="377"/>
      <c r="M732" s="375"/>
      <c r="N732" s="355"/>
      <c r="O732" s="355"/>
      <c r="P732" s="388"/>
      <c r="Q732" s="448"/>
      <c r="R732" s="554"/>
      <c r="S732" s="240"/>
    </row>
    <row r="733" spans="1:19" s="189" customFormat="1">
      <c r="A733" s="293"/>
      <c r="B733" s="292">
        <v>4</v>
      </c>
      <c r="C733" s="292">
        <v>1</v>
      </c>
      <c r="D733" s="292">
        <v>2</v>
      </c>
      <c r="E733" s="292" t="s">
        <v>438</v>
      </c>
      <c r="F733" s="292" t="s">
        <v>448</v>
      </c>
      <c r="G733" s="253" t="s">
        <v>361</v>
      </c>
      <c r="H733" s="253"/>
      <c r="I733" s="253"/>
      <c r="J733" s="397">
        <f>SUM(J734:J740)</f>
        <v>355000000</v>
      </c>
      <c r="K733" s="398">
        <f>SUM(K734:K740)</f>
        <v>219000000</v>
      </c>
      <c r="L733" s="684">
        <f>SUM(L734:L740)</f>
        <v>460192130</v>
      </c>
      <c r="M733" s="398">
        <f>SUM(M734:M740)</f>
        <v>44023200</v>
      </c>
      <c r="N733" s="1512">
        <f>SUM(N734:N740)</f>
        <v>504215330</v>
      </c>
      <c r="O733" s="371">
        <f t="shared" ref="O733:O740" si="115">N733-K733</f>
        <v>285215330</v>
      </c>
      <c r="P733" s="388">
        <f t="shared" ref="P733:P739" si="116">N733/K733*100</f>
        <v>230.23531050228308</v>
      </c>
      <c r="Q733" s="448"/>
      <c r="R733" s="554"/>
      <c r="S733" s="240"/>
    </row>
    <row r="734" spans="1:19" s="189" customFormat="1">
      <c r="A734" s="293"/>
      <c r="B734" s="292"/>
      <c r="C734" s="292"/>
      <c r="D734" s="292"/>
      <c r="E734" s="292"/>
      <c r="F734" s="292"/>
      <c r="G734" s="253" t="s">
        <v>50</v>
      </c>
      <c r="H734" s="253"/>
      <c r="I734" s="253" t="s">
        <v>1006</v>
      </c>
      <c r="J734" s="354">
        <v>0</v>
      </c>
      <c r="K734" s="355">
        <f>'[55]TARGET VERSI LAMA'!$E$521</f>
        <v>0</v>
      </c>
      <c r="L734" s="360">
        <f>[56]PerDinas!$N$859</f>
        <v>0</v>
      </c>
      <c r="M734" s="355">
        <f>[55]Perdinas!$P$575</f>
        <v>777000</v>
      </c>
      <c r="N734" s="355">
        <f t="shared" ref="N734:N740" si="117">M734+L734</f>
        <v>777000</v>
      </c>
      <c r="O734" s="355">
        <f t="shared" si="115"/>
        <v>777000</v>
      </c>
      <c r="P734" s="388" t="e">
        <f t="shared" si="116"/>
        <v>#DIV/0!</v>
      </c>
      <c r="Q734" s="441"/>
      <c r="R734" s="554"/>
      <c r="S734" s="240"/>
    </row>
    <row r="735" spans="1:19" s="189" customFormat="1">
      <c r="A735" s="293"/>
      <c r="B735" s="292"/>
      <c r="C735" s="292"/>
      <c r="D735" s="292"/>
      <c r="E735" s="292"/>
      <c r="F735" s="292"/>
      <c r="G735" s="253" t="s">
        <v>50</v>
      </c>
      <c r="H735" s="253"/>
      <c r="I735" s="253" t="s">
        <v>1007</v>
      </c>
      <c r="J735" s="354">
        <v>75000000</v>
      </c>
      <c r="K735" s="355">
        <f>'[55]TARGET VERSI LAMA'!$E$522</f>
        <v>75000000</v>
      </c>
      <c r="L735" s="360">
        <f>[56]PerDinas!$N$860</f>
        <v>66698650</v>
      </c>
      <c r="M735" s="359">
        <f>[55]Perdinas!$P$576</f>
        <v>9825000</v>
      </c>
      <c r="N735" s="771">
        <f t="shared" si="117"/>
        <v>76523650</v>
      </c>
      <c r="O735" s="355">
        <f t="shared" si="115"/>
        <v>1523650</v>
      </c>
      <c r="P735" s="388">
        <f t="shared" si="116"/>
        <v>102.03153333333333</v>
      </c>
      <c r="Q735" s="441"/>
      <c r="R735" s="554"/>
      <c r="S735" s="240"/>
    </row>
    <row r="736" spans="1:19" s="189" customFormat="1">
      <c r="A736" s="293"/>
      <c r="B736" s="292"/>
      <c r="C736" s="292"/>
      <c r="D736" s="292"/>
      <c r="E736" s="292"/>
      <c r="F736" s="292"/>
      <c r="G736" s="253" t="s">
        <v>50</v>
      </c>
      <c r="H736" s="253"/>
      <c r="I736" s="253" t="s">
        <v>364</v>
      </c>
      <c r="J736" s="354">
        <v>19000000</v>
      </c>
      <c r="K736" s="355">
        <f>'[55]TARGET VERSI LAMA'!$E$523</f>
        <v>19000000</v>
      </c>
      <c r="L736" s="360">
        <f>[56]PerDinas!$N$861</f>
        <v>26153480</v>
      </c>
      <c r="M736" s="359">
        <f>[55]Perdinas!$P$577</f>
        <v>33421200</v>
      </c>
      <c r="N736" s="771">
        <f t="shared" si="117"/>
        <v>59574680</v>
      </c>
      <c r="O736" s="355">
        <f t="shared" si="115"/>
        <v>40574680</v>
      </c>
      <c r="P736" s="388">
        <f t="shared" si="116"/>
        <v>313.55094736842102</v>
      </c>
      <c r="Q736" s="441"/>
      <c r="R736" s="554"/>
      <c r="S736" s="240"/>
    </row>
    <row r="737" spans="1:19" s="189" customFormat="1">
      <c r="A737" s="293"/>
      <c r="B737" s="292"/>
      <c r="C737" s="292"/>
      <c r="D737" s="292"/>
      <c r="E737" s="292"/>
      <c r="F737" s="292"/>
      <c r="G737" s="253" t="s">
        <v>50</v>
      </c>
      <c r="H737" s="253"/>
      <c r="I737" s="253" t="s">
        <v>365</v>
      </c>
      <c r="J737" s="354">
        <v>125000000</v>
      </c>
      <c r="K737" s="355">
        <f>'[55]TARGET VERSI LAMA'!$E$524</f>
        <v>125000000</v>
      </c>
      <c r="L737" s="360">
        <f>[56]PerDinas!$N$862</f>
        <v>367340000</v>
      </c>
      <c r="M737" s="359">
        <f>[55]Perdinas!$P$578</f>
        <v>0</v>
      </c>
      <c r="N737" s="771">
        <f t="shared" si="117"/>
        <v>367340000</v>
      </c>
      <c r="O737" s="355">
        <f t="shared" si="115"/>
        <v>242340000</v>
      </c>
      <c r="P737" s="388">
        <f t="shared" si="116"/>
        <v>293.87200000000001</v>
      </c>
      <c r="Q737" s="441"/>
      <c r="R737" s="554"/>
      <c r="S737" s="240"/>
    </row>
    <row r="738" spans="1:19" s="189" customFormat="1">
      <c r="A738" s="293"/>
      <c r="B738" s="292"/>
      <c r="C738" s="292"/>
      <c r="D738" s="292"/>
      <c r="E738" s="292"/>
      <c r="F738" s="292"/>
      <c r="G738" s="253" t="s">
        <v>50</v>
      </c>
      <c r="H738" s="253"/>
      <c r="I738" s="253" t="s">
        <v>366</v>
      </c>
      <c r="J738" s="354">
        <v>26000000</v>
      </c>
      <c r="K738" s="355">
        <f>'[55]TARGET VERSI LAMA'!$E$525</f>
        <v>0</v>
      </c>
      <c r="L738" s="360">
        <f>[56]PerDinas!$N$863</f>
        <v>0</v>
      </c>
      <c r="M738" s="359">
        <f>[55]Perdinas!$P$579</f>
        <v>0</v>
      </c>
      <c r="N738" s="771">
        <f t="shared" si="117"/>
        <v>0</v>
      </c>
      <c r="O738" s="355">
        <f t="shared" si="115"/>
        <v>0</v>
      </c>
      <c r="P738" s="388" t="e">
        <f t="shared" si="116"/>
        <v>#DIV/0!</v>
      </c>
      <c r="Q738" s="441"/>
      <c r="R738" s="554"/>
      <c r="S738" s="240"/>
    </row>
    <row r="739" spans="1:19" s="189" customFormat="1">
      <c r="A739" s="293"/>
      <c r="B739" s="292"/>
      <c r="C739" s="292"/>
      <c r="D739" s="292"/>
      <c r="E739" s="292"/>
      <c r="F739" s="292"/>
      <c r="G739" s="1003" t="s">
        <v>50</v>
      </c>
      <c r="H739" s="1003"/>
      <c r="I739" s="1003" t="s">
        <v>367</v>
      </c>
      <c r="J739" s="1041">
        <v>110000000</v>
      </c>
      <c r="K739" s="355">
        <f>'[55]TARGET VERSI LAMA'!$E$526</f>
        <v>0</v>
      </c>
      <c r="L739" s="360">
        <f>[56]PerDinas!$N$864</f>
        <v>0</v>
      </c>
      <c r="M739" s="359">
        <f>[55]Perdinas!$P$580</f>
        <v>0</v>
      </c>
      <c r="N739" s="360">
        <f t="shared" si="117"/>
        <v>0</v>
      </c>
      <c r="O739" s="360">
        <f t="shared" si="115"/>
        <v>0</v>
      </c>
      <c r="P739" s="1042" t="e">
        <f t="shared" si="116"/>
        <v>#DIV/0!</v>
      </c>
      <c r="Q739" s="795"/>
      <c r="R739" s="554"/>
      <c r="S739" s="240"/>
    </row>
    <row r="740" spans="1:19" s="189" customFormat="1">
      <c r="A740" s="293"/>
      <c r="B740" s="292"/>
      <c r="C740" s="292"/>
      <c r="D740" s="292"/>
      <c r="E740" s="292"/>
      <c r="F740" s="292"/>
      <c r="G740" s="253" t="s">
        <v>50</v>
      </c>
      <c r="H740" s="253"/>
      <c r="I740" s="253" t="s">
        <v>368</v>
      </c>
      <c r="J740" s="354">
        <v>0</v>
      </c>
      <c r="K740" s="355">
        <f>'[55]TARGET VERSI LAMA'!$E$527</f>
        <v>0</v>
      </c>
      <c r="L740" s="360">
        <f>[56]PerDinas!$N$865</f>
        <v>0</v>
      </c>
      <c r="M740" s="359">
        <f>[55]Perdinas!$P$581</f>
        <v>0</v>
      </c>
      <c r="N740" s="355">
        <f t="shared" si="117"/>
        <v>0</v>
      </c>
      <c r="O740" s="355">
        <f t="shared" si="115"/>
        <v>0</v>
      </c>
      <c r="P740" s="388"/>
      <c r="Q740" s="441"/>
      <c r="R740" s="554"/>
      <c r="S740" s="240"/>
    </row>
    <row r="741" spans="1:19" s="189" customFormat="1">
      <c r="A741" s="293"/>
      <c r="B741" s="292"/>
      <c r="C741" s="292"/>
      <c r="D741" s="292"/>
      <c r="E741" s="292"/>
      <c r="F741" s="292"/>
      <c r="G741" s="253"/>
      <c r="H741" s="253"/>
      <c r="I741" s="253"/>
      <c r="J741" s="374"/>
      <c r="K741" s="375"/>
      <c r="L741" s="377"/>
      <c r="M741" s="375"/>
      <c r="N741" s="375"/>
      <c r="O741" s="375"/>
      <c r="P741" s="600"/>
      <c r="Q741" s="448"/>
      <c r="R741" s="554"/>
      <c r="S741" s="240"/>
    </row>
    <row r="742" spans="1:19" s="189" customFormat="1">
      <c r="A742" s="293"/>
      <c r="B742" s="290">
        <v>4</v>
      </c>
      <c r="C742" s="290">
        <v>1</v>
      </c>
      <c r="D742" s="290">
        <v>4</v>
      </c>
      <c r="E742" s="290"/>
      <c r="F742" s="290"/>
      <c r="G742" s="291" t="s">
        <v>71</v>
      </c>
      <c r="H742" s="291"/>
      <c r="I742" s="291"/>
      <c r="J742" s="397">
        <f>J743+J748</f>
        <v>1305000000</v>
      </c>
      <c r="K742" s="398">
        <f>K743+K748+K744+K745</f>
        <v>0</v>
      </c>
      <c r="L742" s="398">
        <f>L743+L748+L744+L745</f>
        <v>97722285</v>
      </c>
      <c r="M742" s="398">
        <f>M743+M748+M744+M745</f>
        <v>26392000</v>
      </c>
      <c r="N742" s="398">
        <f>M742+L742</f>
        <v>124114285</v>
      </c>
      <c r="O742" s="367">
        <f>N742-K742</f>
        <v>124114285</v>
      </c>
      <c r="P742" s="347" t="e">
        <f>N742/K742*100</f>
        <v>#DIV/0!</v>
      </c>
      <c r="Q742" s="651"/>
      <c r="R742" s="554"/>
      <c r="S742" s="240"/>
    </row>
    <row r="743" spans="1:19" s="189" customFormat="1">
      <c r="A743" s="289"/>
      <c r="B743" s="292">
        <v>4</v>
      </c>
      <c r="C743" s="292">
        <v>1</v>
      </c>
      <c r="D743" s="292">
        <v>4</v>
      </c>
      <c r="E743" s="292" t="s">
        <v>444</v>
      </c>
      <c r="F743" s="292"/>
      <c r="G743" s="253" t="s">
        <v>222</v>
      </c>
      <c r="H743" s="253"/>
      <c r="I743" s="253"/>
      <c r="J743" s="354">
        <f>+J746</f>
        <v>0</v>
      </c>
      <c r="K743" s="355">
        <f>+K746</f>
        <v>0</v>
      </c>
      <c r="L743" s="355">
        <f>+L746</f>
        <v>56514025</v>
      </c>
      <c r="M743" s="355">
        <f>+M746</f>
        <v>1251500</v>
      </c>
      <c r="N743" s="355">
        <f>M743+L743</f>
        <v>57765525</v>
      </c>
      <c r="O743" s="346">
        <f>N743-K743</f>
        <v>57765525</v>
      </c>
      <c r="P743" s="347">
        <v>0</v>
      </c>
      <c r="Q743" s="441"/>
      <c r="R743" s="554"/>
      <c r="S743" s="240"/>
    </row>
    <row r="744" spans="1:19" s="189" customFormat="1">
      <c r="A744" s="289"/>
      <c r="B744" s="290">
        <v>4</v>
      </c>
      <c r="C744" s="290">
        <v>1</v>
      </c>
      <c r="D744" s="290">
        <v>4</v>
      </c>
      <c r="E744" s="290" t="s">
        <v>441</v>
      </c>
      <c r="F744" s="290"/>
      <c r="G744" s="291" t="s">
        <v>1008</v>
      </c>
      <c r="H744" s="291"/>
      <c r="I744" s="291"/>
      <c r="J744" s="370">
        <v>0</v>
      </c>
      <c r="K744" s="355">
        <v>0</v>
      </c>
      <c r="L744" s="360">
        <f>[56]PerDinas!$N$869</f>
        <v>6569410</v>
      </c>
      <c r="M744" s="355">
        <f>[55]Perdinas!$P$584</f>
        <v>5221000</v>
      </c>
      <c r="N744" s="369">
        <f>M744+L744</f>
        <v>11790410</v>
      </c>
      <c r="O744" s="355">
        <f>N744-K744</f>
        <v>11790410</v>
      </c>
      <c r="P744" s="388"/>
      <c r="Q744" s="441"/>
      <c r="R744" s="554">
        <f>N733-50799800</f>
        <v>453415530</v>
      </c>
      <c r="S744" s="240"/>
    </row>
    <row r="745" spans="1:19" s="189" customFormat="1">
      <c r="A745" s="289"/>
      <c r="B745" s="292">
        <v>4</v>
      </c>
      <c r="C745" s="292">
        <v>1</v>
      </c>
      <c r="D745" s="292">
        <v>4</v>
      </c>
      <c r="E745" s="292" t="s">
        <v>444</v>
      </c>
      <c r="F745" s="292" t="s">
        <v>445</v>
      </c>
      <c r="G745" s="909" t="s">
        <v>1009</v>
      </c>
      <c r="H745" s="253"/>
      <c r="I745" s="253"/>
      <c r="J745" s="354">
        <v>0</v>
      </c>
      <c r="K745" s="355">
        <f>'[55]TARGET VERSI LAMA'!$E$527</f>
        <v>0</v>
      </c>
      <c r="L745" s="360">
        <f>[56]PerDinas!$N$870</f>
        <v>0</v>
      </c>
      <c r="M745" s="355">
        <f>[55]Perdinas!$P$586</f>
        <v>0</v>
      </c>
      <c r="N745" s="355">
        <f>M745+L745</f>
        <v>0</v>
      </c>
      <c r="O745" s="355">
        <f>N745-K745</f>
        <v>0</v>
      </c>
      <c r="P745" s="388"/>
      <c r="Q745" s="441"/>
      <c r="R745" s="554"/>
      <c r="S745" s="240"/>
    </row>
    <row r="746" spans="1:19" s="189" customFormat="1">
      <c r="A746" s="289"/>
      <c r="B746" s="292">
        <v>4</v>
      </c>
      <c r="C746" s="292">
        <v>1</v>
      </c>
      <c r="D746" s="292">
        <v>4</v>
      </c>
      <c r="E746" s="292" t="s">
        <v>444</v>
      </c>
      <c r="F746" s="292" t="s">
        <v>441</v>
      </c>
      <c r="G746" s="253" t="s">
        <v>75</v>
      </c>
      <c r="H746" s="253"/>
      <c r="I746" s="253"/>
      <c r="J746" s="354">
        <v>0</v>
      </c>
      <c r="K746" s="373">
        <f>'[55]TARGET VERSI LAMA'!$E$532</f>
        <v>0</v>
      </c>
      <c r="L746" s="360">
        <f>[56]PerDinas!$N$871</f>
        <v>56514025</v>
      </c>
      <c r="M746" s="373">
        <f>[55]Perdinas!$P$587</f>
        <v>1251500</v>
      </c>
      <c r="N746" s="369">
        <f>M746+L746</f>
        <v>57765525</v>
      </c>
      <c r="O746" s="355">
        <f>N746-K746</f>
        <v>57765525</v>
      </c>
      <c r="P746" s="388"/>
      <c r="Q746" s="1076"/>
      <c r="R746" s="554"/>
      <c r="S746" s="240"/>
    </row>
    <row r="747" spans="1:19" s="189" customFormat="1">
      <c r="A747" s="289"/>
      <c r="B747" s="292"/>
      <c r="C747" s="292"/>
      <c r="D747" s="292"/>
      <c r="E747" s="292"/>
      <c r="F747" s="292"/>
      <c r="G747" s="253"/>
      <c r="H747" s="253"/>
      <c r="I747" s="253"/>
      <c r="J747" s="354"/>
      <c r="K747" s="355"/>
      <c r="L747" s="360"/>
      <c r="M747" s="355"/>
      <c r="N747" s="355"/>
      <c r="O747" s="355"/>
      <c r="P747" s="388"/>
      <c r="Q747" s="441"/>
      <c r="R747" s="554"/>
      <c r="S747" s="240"/>
    </row>
    <row r="748" spans="1:19" s="189" customFormat="1">
      <c r="A748" s="293"/>
      <c r="B748" s="292">
        <v>4</v>
      </c>
      <c r="C748" s="292">
        <v>1</v>
      </c>
      <c r="D748" s="292">
        <v>4</v>
      </c>
      <c r="E748" s="292" t="s">
        <v>948</v>
      </c>
      <c r="F748" s="292"/>
      <c r="G748" s="253" t="s">
        <v>321</v>
      </c>
      <c r="H748" s="253"/>
      <c r="I748" s="253"/>
      <c r="J748" s="374">
        <f>+J749</f>
        <v>1305000000</v>
      </c>
      <c r="K748" s="375">
        <f>+K749</f>
        <v>0</v>
      </c>
      <c r="L748" s="377">
        <f>+L749</f>
        <v>34638850</v>
      </c>
      <c r="M748" s="375">
        <f>+M749</f>
        <v>19919500</v>
      </c>
      <c r="N748" s="346">
        <f>+M748+L748</f>
        <v>54558350</v>
      </c>
      <c r="O748" s="346">
        <f>N748-K748</f>
        <v>54558350</v>
      </c>
      <c r="P748" s="347">
        <v>0</v>
      </c>
      <c r="Q748" s="448"/>
      <c r="R748" s="554"/>
      <c r="S748" s="240"/>
    </row>
    <row r="749" spans="1:19" s="189" customFormat="1">
      <c r="A749" s="293"/>
      <c r="B749" s="292">
        <v>4</v>
      </c>
      <c r="C749" s="292">
        <v>1</v>
      </c>
      <c r="D749" s="292">
        <v>4</v>
      </c>
      <c r="E749" s="292" t="s">
        <v>948</v>
      </c>
      <c r="F749" s="292" t="s">
        <v>437</v>
      </c>
      <c r="G749" s="253" t="s">
        <v>85</v>
      </c>
      <c r="H749" s="253"/>
      <c r="I749" s="253"/>
      <c r="J749" s="374">
        <f>+J750</f>
        <v>1305000000</v>
      </c>
      <c r="K749" s="375">
        <f>+K750</f>
        <v>0</v>
      </c>
      <c r="L749" s="377">
        <f>+L750</f>
        <v>34638850</v>
      </c>
      <c r="M749" s="375">
        <f>+M750+M751</f>
        <v>19919500</v>
      </c>
      <c r="N749" s="355">
        <f>M749+L749</f>
        <v>54558350</v>
      </c>
      <c r="O749" s="355">
        <f>N749-K749</f>
        <v>54558350</v>
      </c>
      <c r="P749" s="388">
        <v>0</v>
      </c>
      <c r="Q749" s="448"/>
      <c r="R749" s="554"/>
      <c r="S749" s="240"/>
    </row>
    <row r="750" spans="1:19" s="189" customFormat="1">
      <c r="A750" s="293"/>
      <c r="B750" s="292"/>
      <c r="C750" s="292"/>
      <c r="D750" s="292"/>
      <c r="E750" s="292"/>
      <c r="F750" s="292"/>
      <c r="G750" s="1003" t="s">
        <v>50</v>
      </c>
      <c r="H750" s="1003"/>
      <c r="I750" s="1070" t="s">
        <v>85</v>
      </c>
      <c r="J750" s="1071">
        <v>1305000000</v>
      </c>
      <c r="K750" s="1019">
        <f>'[55]TARGET VERSI LAMA'!$E$533</f>
        <v>0</v>
      </c>
      <c r="L750" s="377">
        <f>[56]PerDinas!$N$624</f>
        <v>34638850</v>
      </c>
      <c r="M750" s="375">
        <f>[55]Perdinas!$P$400</f>
        <v>19919500</v>
      </c>
      <c r="N750" s="369">
        <f>M750+L750</f>
        <v>54558350</v>
      </c>
      <c r="O750" s="360">
        <f>N750-K750</f>
        <v>54558350</v>
      </c>
      <c r="P750" s="1513" t="e">
        <f>N750/K750*100</f>
        <v>#DIV/0!</v>
      </c>
      <c r="Q750" s="728"/>
      <c r="R750" s="554"/>
      <c r="S750" s="240"/>
    </row>
    <row r="751" spans="1:19" s="245" customFormat="1">
      <c r="A751" s="654"/>
      <c r="B751" s="655"/>
      <c r="C751" s="655"/>
      <c r="D751" s="655"/>
      <c r="E751" s="655"/>
      <c r="F751" s="655"/>
      <c r="G751" s="2770" t="s">
        <v>50</v>
      </c>
      <c r="H751" s="656"/>
      <c r="I751" s="656"/>
      <c r="J751" s="526"/>
      <c r="K751" s="527"/>
      <c r="L751" s="670"/>
      <c r="M751" s="527"/>
      <c r="N751" s="527"/>
      <c r="O751" s="527"/>
      <c r="P751" s="671"/>
      <c r="Q751" s="644"/>
      <c r="R751" s="1077"/>
    </row>
    <row r="752" spans="1:19" s="244" customFormat="1">
      <c r="A752" s="1383" t="s">
        <v>370</v>
      </c>
      <c r="B752" s="1378" t="s">
        <v>460</v>
      </c>
      <c r="C752" s="1378" t="s">
        <v>438</v>
      </c>
      <c r="D752" s="1378" t="s">
        <v>437</v>
      </c>
      <c r="E752" s="1378"/>
      <c r="F752" s="1378"/>
      <c r="G752" s="1379" t="s">
        <v>887</v>
      </c>
      <c r="H752" s="1379"/>
      <c r="I752" s="1379"/>
      <c r="J752" s="1396">
        <f>+J754</f>
        <v>23000000</v>
      </c>
      <c r="K752" s="1397">
        <f>+K754</f>
        <v>0</v>
      </c>
      <c r="L752" s="1397">
        <f>+L754</f>
        <v>139206618</v>
      </c>
      <c r="M752" s="1397">
        <f>+M754</f>
        <v>12978140</v>
      </c>
      <c r="N752" s="1397">
        <f>M752+L752</f>
        <v>152184758</v>
      </c>
      <c r="O752" s="1397">
        <f>+N752-K752</f>
        <v>152184758</v>
      </c>
      <c r="P752" s="1398" t="e">
        <f>+N752/K752*100</f>
        <v>#DIV/0!</v>
      </c>
      <c r="Q752" s="1406"/>
      <c r="R752" s="1078"/>
    </row>
    <row r="753" spans="1:18" s="189" customFormat="1">
      <c r="A753" s="1409"/>
      <c r="B753" s="1324"/>
      <c r="C753" s="1324"/>
      <c r="D753" s="1324"/>
      <c r="E753" s="1324"/>
      <c r="F753" s="1324"/>
      <c r="G753" s="1325"/>
      <c r="H753" s="1325"/>
      <c r="I753" s="1325"/>
      <c r="J753" s="757"/>
      <c r="K753" s="758"/>
      <c r="L753" s="758"/>
      <c r="M753" s="758"/>
      <c r="N753" s="758"/>
      <c r="O753" s="758"/>
      <c r="P753" s="690"/>
      <c r="Q753" s="782"/>
      <c r="R753" s="554"/>
    </row>
    <row r="754" spans="1:18" s="189" customFormat="1">
      <c r="A754" s="293"/>
      <c r="B754" s="290">
        <v>4</v>
      </c>
      <c r="C754" s="290">
        <v>1</v>
      </c>
      <c r="D754" s="290"/>
      <c r="E754" s="290"/>
      <c r="F754" s="290"/>
      <c r="G754" s="291" t="s">
        <v>180</v>
      </c>
      <c r="H754" s="291"/>
      <c r="I754" s="291"/>
      <c r="J754" s="387">
        <f>+J756+J760</f>
        <v>23000000</v>
      </c>
      <c r="K754" s="367">
        <f>+K756+K760</f>
        <v>0</v>
      </c>
      <c r="L754" s="367">
        <f>+L756+L760</f>
        <v>139206618</v>
      </c>
      <c r="M754" s="367">
        <f>+M756+M760</f>
        <v>12978140</v>
      </c>
      <c r="N754" s="367">
        <f>+M754+L754</f>
        <v>152184758</v>
      </c>
      <c r="O754" s="367">
        <f>N754-K754</f>
        <v>152184758</v>
      </c>
      <c r="P754" s="347" t="e">
        <f>N754/K754*100</f>
        <v>#DIV/0!</v>
      </c>
      <c r="Q754" s="454"/>
      <c r="R754" s="554"/>
    </row>
    <row r="755" spans="1:18" s="189" customFormat="1">
      <c r="A755" s="293"/>
      <c r="B755" s="292"/>
      <c r="C755" s="292"/>
      <c r="D755" s="292"/>
      <c r="E755" s="292"/>
      <c r="F755" s="292"/>
      <c r="G755" s="253"/>
      <c r="H755" s="253"/>
      <c r="I755" s="291"/>
      <c r="J755" s="345"/>
      <c r="K755" s="346"/>
      <c r="L755" s="660"/>
      <c r="M755" s="346"/>
      <c r="N755" s="346"/>
      <c r="O755" s="346"/>
      <c r="P755" s="347"/>
      <c r="Q755" s="438"/>
      <c r="R755" s="554"/>
    </row>
    <row r="756" spans="1:18" s="189" customFormat="1">
      <c r="A756" s="293"/>
      <c r="B756" s="290">
        <v>4</v>
      </c>
      <c r="C756" s="290">
        <v>1</v>
      </c>
      <c r="D756" s="290">
        <v>2</v>
      </c>
      <c r="E756" s="290"/>
      <c r="F756" s="290"/>
      <c r="G756" s="291" t="s">
        <v>106</v>
      </c>
      <c r="H756" s="291"/>
      <c r="I756" s="291"/>
      <c r="J756" s="387">
        <f>+J757</f>
        <v>0</v>
      </c>
      <c r="K756" s="367">
        <f>+K757</f>
        <v>0</v>
      </c>
      <c r="L756" s="1066">
        <f>+L757</f>
        <v>0</v>
      </c>
      <c r="M756" s="367">
        <f>+M757</f>
        <v>0</v>
      </c>
      <c r="N756" s="367">
        <f>+N757</f>
        <v>0</v>
      </c>
      <c r="O756" s="367">
        <f>N756-K756</f>
        <v>0</v>
      </c>
      <c r="P756" s="347" t="e">
        <f>N756/K756*100</f>
        <v>#DIV/0!</v>
      </c>
      <c r="Q756" s="454"/>
      <c r="R756" s="554"/>
    </row>
    <row r="757" spans="1:18" s="189" customFormat="1">
      <c r="A757" s="293"/>
      <c r="B757" s="292">
        <v>4</v>
      </c>
      <c r="C757" s="292">
        <v>1</v>
      </c>
      <c r="D757" s="292">
        <v>2</v>
      </c>
      <c r="E757" s="292" t="s">
        <v>437</v>
      </c>
      <c r="F757" s="292"/>
      <c r="G757" s="253" t="s">
        <v>107</v>
      </c>
      <c r="H757" s="253"/>
      <c r="I757" s="291"/>
      <c r="J757" s="345">
        <f>+J758</f>
        <v>0</v>
      </c>
      <c r="K757" s="346">
        <f>+K758</f>
        <v>0</v>
      </c>
      <c r="L757" s="660">
        <f>+L758</f>
        <v>0</v>
      </c>
      <c r="M757" s="346">
        <f>+M758</f>
        <v>0</v>
      </c>
      <c r="N757" s="346">
        <f>+M757+L757</f>
        <v>0</v>
      </c>
      <c r="O757" s="346">
        <f>N757-K757</f>
        <v>0</v>
      </c>
      <c r="P757" s="347" t="e">
        <f>N757/K757*100</f>
        <v>#DIV/0!</v>
      </c>
      <c r="Q757" s="438"/>
      <c r="R757" s="554"/>
    </row>
    <row r="758" spans="1:18" s="189" customFormat="1">
      <c r="A758" s="293"/>
      <c r="B758" s="292">
        <v>4</v>
      </c>
      <c r="C758" s="292">
        <v>1</v>
      </c>
      <c r="D758" s="292">
        <v>2</v>
      </c>
      <c r="E758" s="292" t="s">
        <v>437</v>
      </c>
      <c r="F758" s="292" t="s">
        <v>441</v>
      </c>
      <c r="G758" s="253" t="s">
        <v>1010</v>
      </c>
      <c r="H758" s="253"/>
      <c r="I758" s="253"/>
      <c r="J758" s="374"/>
      <c r="K758" s="375"/>
      <c r="L758" s="377"/>
      <c r="M758" s="375">
        <v>0</v>
      </c>
      <c r="N758" s="355">
        <f>M758+L758</f>
        <v>0</v>
      </c>
      <c r="O758" s="355">
        <f>N758-K758</f>
        <v>0</v>
      </c>
      <c r="P758" s="388" t="e">
        <f>N758/K758*100</f>
        <v>#DIV/0!</v>
      </c>
      <c r="Q758" s="448"/>
      <c r="R758" s="422"/>
    </row>
    <row r="759" spans="1:18" s="189" customFormat="1">
      <c r="A759" s="293"/>
      <c r="B759" s="292"/>
      <c r="C759" s="292"/>
      <c r="D759" s="292"/>
      <c r="E759" s="292"/>
      <c r="F759" s="292"/>
      <c r="G759" s="253"/>
      <c r="H759" s="253"/>
      <c r="I759" s="253"/>
      <c r="J759" s="374"/>
      <c r="K759" s="375"/>
      <c r="L759" s="377"/>
      <c r="M759" s="375"/>
      <c r="N759" s="375"/>
      <c r="O759" s="375"/>
      <c r="P759" s="600"/>
      <c r="Q759" s="448"/>
      <c r="R759" s="422"/>
    </row>
    <row r="760" spans="1:18" s="189" customFormat="1">
      <c r="A760" s="293"/>
      <c r="B760" s="290">
        <v>4</v>
      </c>
      <c r="C760" s="290">
        <v>1</v>
      </c>
      <c r="D760" s="290">
        <v>4</v>
      </c>
      <c r="E760" s="290"/>
      <c r="F760" s="290"/>
      <c r="G760" s="291" t="s">
        <v>71</v>
      </c>
      <c r="H760" s="291"/>
      <c r="I760" s="291"/>
      <c r="J760" s="397">
        <f>J761+J764+J769</f>
        <v>23000000</v>
      </c>
      <c r="K760" s="398">
        <f>K761+K764+K769</f>
        <v>0</v>
      </c>
      <c r="L760" s="684">
        <f>L761+L764+L769</f>
        <v>139206618</v>
      </c>
      <c r="M760" s="398">
        <f>M761+M764+M769</f>
        <v>12978140</v>
      </c>
      <c r="N760" s="398">
        <f>N761+N764+N769</f>
        <v>152184758</v>
      </c>
      <c r="O760" s="367">
        <f>N760-K760</f>
        <v>152184758</v>
      </c>
      <c r="P760" s="347" t="e">
        <f>N760/K760*100</f>
        <v>#DIV/0!</v>
      </c>
      <c r="Q760" s="699"/>
      <c r="R760" s="422"/>
    </row>
    <row r="761" spans="1:18" s="189" customFormat="1">
      <c r="A761" s="303"/>
      <c r="B761" s="292">
        <v>4</v>
      </c>
      <c r="C761" s="292">
        <v>1</v>
      </c>
      <c r="D761" s="292">
        <v>4</v>
      </c>
      <c r="E761" s="292" t="s">
        <v>441</v>
      </c>
      <c r="F761" s="292"/>
      <c r="G761" s="253" t="s">
        <v>557</v>
      </c>
      <c r="H761" s="253"/>
      <c r="I761" s="253"/>
      <c r="J761" s="354"/>
      <c r="K761" s="355"/>
      <c r="L761" s="360">
        <f>L762</f>
        <v>0</v>
      </c>
      <c r="M761" s="355">
        <f>M762</f>
        <v>0</v>
      </c>
      <c r="N761" s="375">
        <f>N762</f>
        <v>0</v>
      </c>
      <c r="O761" s="346">
        <f>N761-K761</f>
        <v>0</v>
      </c>
      <c r="P761" s="347" t="e">
        <f>N761/K761*100</f>
        <v>#DIV/0!</v>
      </c>
      <c r="Q761" s="441"/>
      <c r="R761" s="422"/>
    </row>
    <row r="762" spans="1:18" s="189" customFormat="1">
      <c r="A762" s="303"/>
      <c r="B762" s="292">
        <v>4</v>
      </c>
      <c r="C762" s="292">
        <v>1</v>
      </c>
      <c r="D762" s="292">
        <v>4</v>
      </c>
      <c r="E762" s="292" t="s">
        <v>441</v>
      </c>
      <c r="F762" s="292" t="s">
        <v>437</v>
      </c>
      <c r="G762" s="253" t="s">
        <v>72</v>
      </c>
      <c r="H762" s="253"/>
      <c r="I762" s="253"/>
      <c r="J762" s="354"/>
      <c r="K762" s="355">
        <f>'[55]TARGET VERSI LAMA'!$E$537</f>
        <v>0</v>
      </c>
      <c r="L762" s="360">
        <f>[56]PerDinas!$N$887</f>
        <v>0</v>
      </c>
      <c r="M762" s="355">
        <v>0</v>
      </c>
      <c r="N762" s="355">
        <f t="shared" ref="N762:N767" si="118">M762+L762</f>
        <v>0</v>
      </c>
      <c r="O762" s="355">
        <f>N762-K762</f>
        <v>0</v>
      </c>
      <c r="P762" s="388" t="e">
        <f>N762/K762*100</f>
        <v>#DIV/0!</v>
      </c>
      <c r="Q762" s="441"/>
      <c r="R762" s="422"/>
    </row>
    <row r="763" spans="1:18" s="189" customFormat="1">
      <c r="A763" s="303"/>
      <c r="B763" s="292"/>
      <c r="C763" s="292"/>
      <c r="D763" s="292"/>
      <c r="E763" s="292"/>
      <c r="F763" s="292"/>
      <c r="G763" s="253"/>
      <c r="H763" s="253"/>
      <c r="I763" s="253"/>
      <c r="J763" s="354"/>
      <c r="K763" s="355"/>
      <c r="L763" s="360"/>
      <c r="M763" s="355"/>
      <c r="N763" s="355"/>
      <c r="O763" s="355"/>
      <c r="P763" s="388"/>
      <c r="Q763" s="441"/>
      <c r="R763" s="422"/>
    </row>
    <row r="764" spans="1:18" s="189" customFormat="1">
      <c r="A764" s="289"/>
      <c r="B764" s="292">
        <v>4</v>
      </c>
      <c r="C764" s="292">
        <v>1</v>
      </c>
      <c r="D764" s="292">
        <v>4</v>
      </c>
      <c r="E764" s="292" t="s">
        <v>444</v>
      </c>
      <c r="F764" s="292"/>
      <c r="G764" s="253" t="s">
        <v>222</v>
      </c>
      <c r="H764" s="253"/>
      <c r="I764" s="253"/>
      <c r="J764" s="354">
        <f>+J767</f>
        <v>0</v>
      </c>
      <c r="K764" s="355">
        <f>+K767</f>
        <v>0</v>
      </c>
      <c r="L764" s="360">
        <f>SUM(L765:L767)</f>
        <v>136368650</v>
      </c>
      <c r="M764" s="355">
        <f>SUM(M765:M767)</f>
        <v>5276940</v>
      </c>
      <c r="N764" s="355">
        <f>SUM(N765:N767)</f>
        <v>141645590</v>
      </c>
      <c r="O764" s="346">
        <f>N764-K764</f>
        <v>141645590</v>
      </c>
      <c r="P764" s="347">
        <v>0</v>
      </c>
      <c r="Q764" s="441"/>
      <c r="R764" s="422"/>
    </row>
    <row r="765" spans="1:18" s="189" customFormat="1">
      <c r="A765" s="289"/>
      <c r="B765" s="292">
        <v>4</v>
      </c>
      <c r="C765" s="292">
        <v>1</v>
      </c>
      <c r="D765" s="292">
        <v>4</v>
      </c>
      <c r="E765" s="292" t="s">
        <v>444</v>
      </c>
      <c r="F765" s="292" t="s">
        <v>440</v>
      </c>
      <c r="G765" s="253" t="s">
        <v>73</v>
      </c>
      <c r="H765" s="253"/>
      <c r="I765" s="253"/>
      <c r="J765" s="354">
        <v>0</v>
      </c>
      <c r="K765" s="355">
        <v>0</v>
      </c>
      <c r="L765" s="360"/>
      <c r="M765" s="355">
        <f>[55]Perdinas!$P$553</f>
        <v>0</v>
      </c>
      <c r="N765" s="355">
        <f t="shared" si="118"/>
        <v>0</v>
      </c>
      <c r="O765" s="355">
        <f>N765-K765</f>
        <v>0</v>
      </c>
      <c r="P765" s="388"/>
      <c r="Q765" s="441"/>
      <c r="R765" s="422"/>
    </row>
    <row r="766" spans="1:18" s="189" customFormat="1">
      <c r="A766" s="289"/>
      <c r="B766" s="292">
        <v>4</v>
      </c>
      <c r="C766" s="292">
        <v>1</v>
      </c>
      <c r="D766" s="292">
        <v>4</v>
      </c>
      <c r="E766" s="292" t="s">
        <v>444</v>
      </c>
      <c r="F766" s="292" t="s">
        <v>445</v>
      </c>
      <c r="G766" s="253" t="s">
        <v>74</v>
      </c>
      <c r="H766" s="253"/>
      <c r="I766" s="253"/>
      <c r="J766" s="354">
        <v>0</v>
      </c>
      <c r="K766" s="355">
        <v>0</v>
      </c>
      <c r="L766" s="360"/>
      <c r="M766" s="355">
        <f>[55]Perdinas!$P$554</f>
        <v>0</v>
      </c>
      <c r="N766" s="355">
        <f t="shared" si="118"/>
        <v>0</v>
      </c>
      <c r="O766" s="355">
        <f>N766-K766</f>
        <v>0</v>
      </c>
      <c r="P766" s="388"/>
      <c r="Q766" s="441"/>
      <c r="R766" s="422"/>
    </row>
    <row r="767" spans="1:18" s="189" customFormat="1">
      <c r="A767" s="289"/>
      <c r="B767" s="292">
        <v>4</v>
      </c>
      <c r="C767" s="292">
        <v>1</v>
      </c>
      <c r="D767" s="292">
        <v>4</v>
      </c>
      <c r="E767" s="292" t="s">
        <v>444</v>
      </c>
      <c r="F767" s="292" t="s">
        <v>441</v>
      </c>
      <c r="G767" s="253" t="s">
        <v>75</v>
      </c>
      <c r="H767" s="253"/>
      <c r="I767" s="253"/>
      <c r="J767" s="354">
        <v>0</v>
      </c>
      <c r="K767" s="373">
        <f>'[55]TARGET VERSI LAMA'!$E$540</f>
        <v>0</v>
      </c>
      <c r="L767" s="360">
        <f>[56]PerDinas!$N$892</f>
        <v>136368650</v>
      </c>
      <c r="M767" s="373">
        <f>[55]Perdinas!$P$595</f>
        <v>5276940</v>
      </c>
      <c r="N767" s="369">
        <f t="shared" si="118"/>
        <v>141645590</v>
      </c>
      <c r="O767" s="355">
        <f>N767-K767</f>
        <v>141645590</v>
      </c>
      <c r="P767" s="388">
        <v>0</v>
      </c>
      <c r="Q767" s="441"/>
      <c r="R767" s="431"/>
    </row>
    <row r="768" spans="1:18" s="189" customFormat="1">
      <c r="A768" s="293"/>
      <c r="B768" s="292"/>
      <c r="C768" s="292"/>
      <c r="D768" s="292"/>
      <c r="E768" s="292"/>
      <c r="F768" s="292"/>
      <c r="G768" s="253"/>
      <c r="H768" s="253"/>
      <c r="I768" s="253"/>
      <c r="J768" s="374"/>
      <c r="K768" s="375"/>
      <c r="L768" s="377"/>
      <c r="M768" s="375"/>
      <c r="N768" s="355"/>
      <c r="O768" s="355"/>
      <c r="P768" s="388"/>
      <c r="Q768" s="448"/>
      <c r="R768" s="422"/>
    </row>
    <row r="769" spans="1:18" s="189" customFormat="1">
      <c r="A769" s="293"/>
      <c r="B769" s="292">
        <v>4</v>
      </c>
      <c r="C769" s="292">
        <v>1</v>
      </c>
      <c r="D769" s="292">
        <v>4</v>
      </c>
      <c r="E769" s="292" t="s">
        <v>948</v>
      </c>
      <c r="F769" s="292"/>
      <c r="G769" s="253" t="s">
        <v>321</v>
      </c>
      <c r="H769" s="253"/>
      <c r="I769" s="253"/>
      <c r="J769" s="397">
        <f>+J770</f>
        <v>23000000</v>
      </c>
      <c r="K769" s="398">
        <f>+K770</f>
        <v>0</v>
      </c>
      <c r="L769" s="377">
        <f>+L770</f>
        <v>2837968</v>
      </c>
      <c r="M769" s="375">
        <f>+M770</f>
        <v>7701200</v>
      </c>
      <c r="N769" s="346">
        <f>+M769+L769</f>
        <v>10539168</v>
      </c>
      <c r="O769" s="346">
        <f>N769-K769</f>
        <v>10539168</v>
      </c>
      <c r="P769" s="347">
        <v>0</v>
      </c>
      <c r="Q769" s="448"/>
      <c r="R769" s="422"/>
    </row>
    <row r="770" spans="1:18" s="189" customFormat="1">
      <c r="A770" s="293"/>
      <c r="B770" s="292">
        <v>4</v>
      </c>
      <c r="C770" s="292">
        <v>1</v>
      </c>
      <c r="D770" s="292">
        <v>4</v>
      </c>
      <c r="E770" s="292" t="s">
        <v>948</v>
      </c>
      <c r="F770" s="292" t="s">
        <v>437</v>
      </c>
      <c r="G770" s="253" t="s">
        <v>85</v>
      </c>
      <c r="H770" s="253"/>
      <c r="I770" s="253"/>
      <c r="J770" s="374">
        <f>+J771+J772</f>
        <v>23000000</v>
      </c>
      <c r="K770" s="375">
        <f>+K771+K772</f>
        <v>0</v>
      </c>
      <c r="L770" s="377">
        <f>+L771+L772</f>
        <v>2837968</v>
      </c>
      <c r="M770" s="375">
        <f>+M771</f>
        <v>7701200</v>
      </c>
      <c r="N770" s="355">
        <f>M770+L770</f>
        <v>10539168</v>
      </c>
      <c r="O770" s="355">
        <f>N770-K770</f>
        <v>10539168</v>
      </c>
      <c r="P770" s="388">
        <v>0</v>
      </c>
      <c r="Q770" s="448"/>
      <c r="R770" s="422"/>
    </row>
    <row r="771" spans="1:18" s="189" customFormat="1">
      <c r="A771" s="293"/>
      <c r="B771" s="292"/>
      <c r="C771" s="292"/>
      <c r="D771" s="292"/>
      <c r="E771" s="292"/>
      <c r="F771" s="292"/>
      <c r="G771" s="253" t="s">
        <v>50</v>
      </c>
      <c r="H771" s="253"/>
      <c r="I771" s="253" t="s">
        <v>632</v>
      </c>
      <c r="J771" s="374">
        <v>8000000</v>
      </c>
      <c r="K771" s="376">
        <f>'[55]TARGET VERSI LAMA'!$E$541</f>
        <v>0</v>
      </c>
      <c r="L771" s="377">
        <f>[56]PerDinas!$N$628</f>
        <v>2837968</v>
      </c>
      <c r="M771" s="375">
        <f>[55]Perdinas!$P$404</f>
        <v>7701200</v>
      </c>
      <c r="N771" s="369">
        <f>M771+L771</f>
        <v>10539168</v>
      </c>
      <c r="O771" s="355">
        <f>N771-K771</f>
        <v>10539168</v>
      </c>
      <c r="P771" s="388">
        <v>0</v>
      </c>
      <c r="Q771" s="448"/>
      <c r="R771" s="431"/>
    </row>
    <row r="772" spans="1:18" s="245" customFormat="1">
      <c r="A772" s="654"/>
      <c r="B772" s="655"/>
      <c r="C772" s="655"/>
      <c r="D772" s="655"/>
      <c r="E772" s="655"/>
      <c r="F772" s="655"/>
      <c r="G772" s="656"/>
      <c r="H772" s="656"/>
      <c r="I772" s="656"/>
      <c r="J772" s="526">
        <v>15000000</v>
      </c>
      <c r="K772" s="681">
        <f>'[55]TARGET VERSI LAMA'!$E$538</f>
        <v>0</v>
      </c>
      <c r="L772" s="682"/>
      <c r="M772" s="681">
        <f>[60]Perdinas!$G$500</f>
        <v>0</v>
      </c>
      <c r="N772" s="527">
        <f>M772+L772</f>
        <v>0</v>
      </c>
      <c r="O772" s="527"/>
      <c r="P772" s="671"/>
      <c r="Q772" s="644"/>
      <c r="R772" s="422"/>
    </row>
    <row r="773" spans="1:18" s="244" customFormat="1">
      <c r="A773" s="1383" t="s">
        <v>372</v>
      </c>
      <c r="B773" s="1378" t="s">
        <v>460</v>
      </c>
      <c r="C773" s="1378" t="s">
        <v>440</v>
      </c>
      <c r="D773" s="1378" t="s">
        <v>437</v>
      </c>
      <c r="E773" s="1378"/>
      <c r="F773" s="1378"/>
      <c r="G773" s="1379" t="s">
        <v>889</v>
      </c>
      <c r="H773" s="1379"/>
      <c r="I773" s="1379"/>
      <c r="J773" s="1396">
        <f>+J774</f>
        <v>1500000</v>
      </c>
      <c r="K773" s="1397">
        <f>+K774</f>
        <v>0</v>
      </c>
      <c r="L773" s="1397">
        <f>+L774</f>
        <v>97812947</v>
      </c>
      <c r="M773" s="1397">
        <f>+M774</f>
        <v>126723466</v>
      </c>
      <c r="N773" s="1397">
        <f>M773+L773</f>
        <v>224536413</v>
      </c>
      <c r="O773" s="1397">
        <f>+N773-K773</f>
        <v>224536413</v>
      </c>
      <c r="P773" s="1398" t="e">
        <f>+N773/K773*100</f>
        <v>#DIV/0!</v>
      </c>
      <c r="Q773" s="1406"/>
      <c r="R773" s="639"/>
    </row>
    <row r="774" spans="1:18" s="189" customFormat="1">
      <c r="A774" s="1409"/>
      <c r="B774" s="1418">
        <v>4</v>
      </c>
      <c r="C774" s="1418">
        <v>1</v>
      </c>
      <c r="D774" s="1418"/>
      <c r="E774" s="1418"/>
      <c r="F774" s="1418"/>
      <c r="G774" s="1325" t="s">
        <v>180</v>
      </c>
      <c r="H774" s="1325"/>
      <c r="I774" s="1325"/>
      <c r="J774" s="757">
        <f>J776+J784</f>
        <v>1500000</v>
      </c>
      <c r="K774" s="758">
        <f>K776+K784</f>
        <v>0</v>
      </c>
      <c r="L774" s="758">
        <f>L776+L784</f>
        <v>97812947</v>
      </c>
      <c r="M774" s="758">
        <f>M776+M784</f>
        <v>126723466</v>
      </c>
      <c r="N774" s="758">
        <f>+M774+L774</f>
        <v>224536413</v>
      </c>
      <c r="O774" s="758">
        <f>N774-K774</f>
        <v>224536413</v>
      </c>
      <c r="P774" s="690" t="e">
        <f>N774/K774*100</f>
        <v>#DIV/0!</v>
      </c>
      <c r="Q774" s="782"/>
      <c r="R774" s="422"/>
    </row>
    <row r="775" spans="1:18" s="189" customFormat="1">
      <c r="A775" s="293"/>
      <c r="B775" s="292"/>
      <c r="C775" s="292"/>
      <c r="D775" s="292"/>
      <c r="E775" s="292"/>
      <c r="F775" s="292"/>
      <c r="G775" s="253"/>
      <c r="H775" s="253"/>
      <c r="I775" s="253"/>
      <c r="J775" s="345"/>
      <c r="K775" s="346"/>
      <c r="L775" s="367"/>
      <c r="M775" s="367"/>
      <c r="N775" s="367"/>
      <c r="O775" s="367"/>
      <c r="P775" s="347"/>
      <c r="Q775" s="454"/>
      <c r="R775" s="422"/>
    </row>
    <row r="776" spans="1:18" s="189" customFormat="1">
      <c r="A776" s="293"/>
      <c r="B776" s="290">
        <v>4</v>
      </c>
      <c r="C776" s="290">
        <v>1</v>
      </c>
      <c r="D776" s="290" t="s">
        <v>58</v>
      </c>
      <c r="E776" s="290"/>
      <c r="F776" s="290"/>
      <c r="G776" s="291" t="s">
        <v>106</v>
      </c>
      <c r="H776" s="291"/>
      <c r="I776" s="253"/>
      <c r="J776" s="370">
        <f>+J777+J780</f>
        <v>0</v>
      </c>
      <c r="K776" s="371">
        <f>+K777+K780</f>
        <v>0</v>
      </c>
      <c r="L776" s="371">
        <f>+L777</f>
        <v>0</v>
      </c>
      <c r="M776" s="371">
        <f t="shared" ref="J776:M777" si="119">+M777</f>
        <v>0</v>
      </c>
      <c r="N776" s="367">
        <f>+M776+L776</f>
        <v>0</v>
      </c>
      <c r="O776" s="367">
        <f>N776-K776</f>
        <v>0</v>
      </c>
      <c r="P776" s="347" t="e">
        <f>N776/K776*100</f>
        <v>#DIV/0!</v>
      </c>
      <c r="Q776" s="651"/>
      <c r="R776" s="422"/>
    </row>
    <row r="777" spans="1:18" s="189" customFormat="1">
      <c r="A777" s="293"/>
      <c r="B777" s="292">
        <v>4</v>
      </c>
      <c r="C777" s="292">
        <v>1</v>
      </c>
      <c r="D777" s="292" t="s">
        <v>460</v>
      </c>
      <c r="E777" s="292" t="s">
        <v>437</v>
      </c>
      <c r="F777" s="292"/>
      <c r="G777" s="253" t="s">
        <v>107</v>
      </c>
      <c r="H777" s="253"/>
      <c r="I777" s="253"/>
      <c r="J777" s="354">
        <f t="shared" si="119"/>
        <v>0</v>
      </c>
      <c r="K777" s="355">
        <f t="shared" si="119"/>
        <v>0</v>
      </c>
      <c r="L777" s="355">
        <f>+L778</f>
        <v>0</v>
      </c>
      <c r="M777" s="355">
        <f t="shared" si="119"/>
        <v>0</v>
      </c>
      <c r="N777" s="346">
        <f>+M777+L777</f>
        <v>0</v>
      </c>
      <c r="O777" s="346">
        <f>N777-K777</f>
        <v>0</v>
      </c>
      <c r="P777" s="347" t="e">
        <f>N777/K777*100</f>
        <v>#DIV/0!</v>
      </c>
      <c r="Q777" s="441"/>
      <c r="R777" s="422"/>
    </row>
    <row r="778" spans="1:18" s="189" customFormat="1">
      <c r="A778" s="293"/>
      <c r="B778" s="292">
        <v>4</v>
      </c>
      <c r="C778" s="292">
        <v>1</v>
      </c>
      <c r="D778" s="292" t="s">
        <v>58</v>
      </c>
      <c r="E778" s="292" t="s">
        <v>437</v>
      </c>
      <c r="F778" s="292" t="s">
        <v>440</v>
      </c>
      <c r="G778" s="253" t="s">
        <v>1011</v>
      </c>
      <c r="H778" s="253"/>
      <c r="I778" s="253"/>
      <c r="J778" s="354">
        <v>0</v>
      </c>
      <c r="K778" s="355">
        <v>0</v>
      </c>
      <c r="L778" s="355">
        <v>0</v>
      </c>
      <c r="M778" s="355">
        <v>0</v>
      </c>
      <c r="N778" s="355">
        <f>M778+L778</f>
        <v>0</v>
      </c>
      <c r="O778" s="355">
        <f>N778-K778</f>
        <v>0</v>
      </c>
      <c r="P778" s="388" t="e">
        <f>N778/K778*100</f>
        <v>#DIV/0!</v>
      </c>
      <c r="Q778" s="441"/>
      <c r="R778" s="422"/>
    </row>
    <row r="779" spans="1:18" s="189" customFormat="1">
      <c r="A779" s="293"/>
      <c r="B779" s="292"/>
      <c r="C779" s="292"/>
      <c r="D779" s="292"/>
      <c r="E779" s="292"/>
      <c r="F779" s="292"/>
      <c r="G779" s="253"/>
      <c r="H779" s="253"/>
      <c r="I779" s="253"/>
      <c r="J779" s="354"/>
      <c r="K779" s="355"/>
      <c r="L779" s="355"/>
      <c r="M779" s="355"/>
      <c r="N779" s="355"/>
      <c r="O779" s="355"/>
      <c r="P779" s="388"/>
      <c r="Q779" s="441"/>
      <c r="R779" s="422"/>
    </row>
    <row r="780" spans="1:18" s="189" customFormat="1">
      <c r="A780" s="293"/>
      <c r="B780" s="292">
        <v>4</v>
      </c>
      <c r="C780" s="292">
        <v>1</v>
      </c>
      <c r="D780" s="292" t="s">
        <v>58</v>
      </c>
      <c r="E780" s="292" t="s">
        <v>438</v>
      </c>
      <c r="F780" s="292"/>
      <c r="G780" s="253" t="s">
        <v>109</v>
      </c>
      <c r="H780" s="253"/>
      <c r="I780" s="253"/>
      <c r="J780" s="354">
        <f>J781</f>
        <v>0</v>
      </c>
      <c r="K780" s="355">
        <f>K781</f>
        <v>0</v>
      </c>
      <c r="L780" s="355">
        <f>L781</f>
        <v>0</v>
      </c>
      <c r="M780" s="355">
        <f>M781</f>
        <v>0</v>
      </c>
      <c r="N780" s="355">
        <f>M780+L780</f>
        <v>0</v>
      </c>
      <c r="O780" s="355">
        <f>N780-K780</f>
        <v>0</v>
      </c>
      <c r="P780" s="388" t="e">
        <f t="shared" ref="P780:P786" si="120">N780/K780*100</f>
        <v>#DIV/0!</v>
      </c>
      <c r="Q780" s="441"/>
      <c r="R780" s="422"/>
    </row>
    <row r="781" spans="1:18" s="189" customFormat="1">
      <c r="A781" s="289"/>
      <c r="B781" s="292" t="s">
        <v>443</v>
      </c>
      <c r="C781" s="292" t="s">
        <v>58</v>
      </c>
      <c r="D781" s="292" t="s">
        <v>58</v>
      </c>
      <c r="E781" s="292" t="s">
        <v>438</v>
      </c>
      <c r="F781" s="292" t="s">
        <v>437</v>
      </c>
      <c r="G781" s="253" t="s">
        <v>64</v>
      </c>
      <c r="H781" s="253"/>
      <c r="I781" s="253"/>
      <c r="J781" s="354"/>
      <c r="K781" s="355"/>
      <c r="L781" s="355">
        <v>0</v>
      </c>
      <c r="M781" s="355"/>
      <c r="N781" s="355">
        <f>M781+L781</f>
        <v>0</v>
      </c>
      <c r="O781" s="355">
        <f>N781-K781</f>
        <v>0</v>
      </c>
      <c r="P781" s="388" t="e">
        <f t="shared" si="120"/>
        <v>#DIV/0!</v>
      </c>
      <c r="Q781" s="441"/>
      <c r="R781" s="422"/>
    </row>
    <row r="782" spans="1:18" s="189" customFormat="1">
      <c r="A782" s="293"/>
      <c r="B782" s="292"/>
      <c r="C782" s="292"/>
      <c r="D782" s="292"/>
      <c r="E782" s="292"/>
      <c r="F782" s="292"/>
      <c r="G782" s="253"/>
      <c r="H782" s="253"/>
      <c r="I782" s="253"/>
      <c r="J782" s="354"/>
      <c r="K782" s="355"/>
      <c r="L782" s="360"/>
      <c r="M782" s="355"/>
      <c r="N782" s="355"/>
      <c r="O782" s="355"/>
      <c r="P782" s="388"/>
      <c r="Q782" s="441"/>
      <c r="R782" s="422"/>
    </row>
    <row r="783" spans="1:18" s="189" customFormat="1">
      <c r="A783" s="293"/>
      <c r="B783" s="292"/>
      <c r="C783" s="292"/>
      <c r="D783" s="292"/>
      <c r="E783" s="292"/>
      <c r="F783" s="292"/>
      <c r="G783" s="253"/>
      <c r="H783" s="253"/>
      <c r="I783" s="253"/>
      <c r="J783" s="354"/>
      <c r="K783" s="355"/>
      <c r="L783" s="360"/>
      <c r="M783" s="355"/>
      <c r="N783" s="355"/>
      <c r="O783" s="355"/>
      <c r="P783" s="388"/>
      <c r="Q783" s="441"/>
      <c r="R783" s="422"/>
    </row>
    <row r="784" spans="1:18" s="189" customFormat="1">
      <c r="A784" s="293"/>
      <c r="B784" s="290">
        <v>4</v>
      </c>
      <c r="C784" s="290">
        <v>1</v>
      </c>
      <c r="D784" s="290">
        <v>4</v>
      </c>
      <c r="E784" s="290"/>
      <c r="F784" s="290"/>
      <c r="G784" s="291" t="s">
        <v>71</v>
      </c>
      <c r="H784" s="291"/>
      <c r="I784" s="291"/>
      <c r="J784" s="370">
        <f>J787+J792</f>
        <v>1500000</v>
      </c>
      <c r="K784" s="371">
        <f>K787+K792</f>
        <v>0</v>
      </c>
      <c r="L784" s="372">
        <f>+L785+L787+L792</f>
        <v>97812947</v>
      </c>
      <c r="M784" s="371">
        <f>+M785+M787+M792</f>
        <v>126723466</v>
      </c>
      <c r="N784" s="371">
        <f>+N785+N787+N792</f>
        <v>224536413</v>
      </c>
      <c r="O784" s="367">
        <f t="shared" ref="O784:O790" si="121">N784-K784</f>
        <v>224536413</v>
      </c>
      <c r="P784" s="347" t="e">
        <f t="shared" si="120"/>
        <v>#DIV/0!</v>
      </c>
      <c r="Q784" s="651"/>
      <c r="R784" s="422"/>
    </row>
    <row r="785" spans="1:18" s="189" customFormat="1">
      <c r="A785" s="293"/>
      <c r="B785" s="292">
        <v>4</v>
      </c>
      <c r="C785" s="292">
        <v>1</v>
      </c>
      <c r="D785" s="292">
        <v>4</v>
      </c>
      <c r="E785" s="292" t="s">
        <v>441</v>
      </c>
      <c r="F785" s="292"/>
      <c r="G785" s="253" t="s">
        <v>557</v>
      </c>
      <c r="H785" s="253"/>
      <c r="I785" s="253"/>
      <c r="J785" s="354"/>
      <c r="K785" s="355"/>
      <c r="L785" s="360">
        <f>L786</f>
        <v>49160523</v>
      </c>
      <c r="M785" s="355">
        <f>M786</f>
        <v>115338466</v>
      </c>
      <c r="N785" s="618">
        <f>N786</f>
        <v>164498989</v>
      </c>
      <c r="O785" s="346">
        <f t="shared" si="121"/>
        <v>164498989</v>
      </c>
      <c r="P785" s="347" t="e">
        <f t="shared" si="120"/>
        <v>#DIV/0!</v>
      </c>
      <c r="Q785" s="651"/>
      <c r="R785" s="422"/>
    </row>
    <row r="786" spans="1:18" s="189" customFormat="1">
      <c r="A786" s="293"/>
      <c r="B786" s="292">
        <v>4</v>
      </c>
      <c r="C786" s="292">
        <v>1</v>
      </c>
      <c r="D786" s="292">
        <v>4</v>
      </c>
      <c r="E786" s="292" t="s">
        <v>441</v>
      </c>
      <c r="F786" s="292" t="s">
        <v>437</v>
      </c>
      <c r="G786" s="253" t="s">
        <v>72</v>
      </c>
      <c r="H786" s="253"/>
      <c r="I786" s="253"/>
      <c r="J786" s="354"/>
      <c r="K786" s="373">
        <f>'[55]TARGET VERSI LAMA'!$E$547</f>
        <v>0</v>
      </c>
      <c r="L786" s="360">
        <f>[56]PerDinas!$N$911</f>
        <v>49160523</v>
      </c>
      <c r="M786" s="373">
        <f>[55]Perdinas!$P$602</f>
        <v>115338466</v>
      </c>
      <c r="N786" s="355">
        <f>M786+L786</f>
        <v>164498989</v>
      </c>
      <c r="O786" s="355">
        <f t="shared" si="121"/>
        <v>164498989</v>
      </c>
      <c r="P786" s="388" t="e">
        <f t="shared" si="120"/>
        <v>#DIV/0!</v>
      </c>
      <c r="Q786" s="441"/>
      <c r="R786" s="422"/>
    </row>
    <row r="787" spans="1:18" s="189" customFormat="1">
      <c r="A787" s="289"/>
      <c r="B787" s="292">
        <v>4</v>
      </c>
      <c r="C787" s="292">
        <v>1</v>
      </c>
      <c r="D787" s="292">
        <v>4</v>
      </c>
      <c r="E787" s="292" t="s">
        <v>444</v>
      </c>
      <c r="F787" s="292"/>
      <c r="G787" s="253" t="s">
        <v>222</v>
      </c>
      <c r="H787" s="253"/>
      <c r="I787" s="253"/>
      <c r="J787" s="354">
        <f>+J790</f>
        <v>0</v>
      </c>
      <c r="K787" s="355">
        <f>+K790</f>
        <v>0</v>
      </c>
      <c r="L787" s="360">
        <f>SUM(L788:L790)</f>
        <v>15952424</v>
      </c>
      <c r="M787" s="355">
        <f>SUM(M788:M790)</f>
        <v>0</v>
      </c>
      <c r="N787" s="355">
        <f>SUM(N788:N790)</f>
        <v>15952424</v>
      </c>
      <c r="O787" s="346">
        <f t="shared" si="121"/>
        <v>15952424</v>
      </c>
      <c r="P787" s="347">
        <v>0</v>
      </c>
      <c r="Q787" s="441"/>
      <c r="R787" s="422"/>
    </row>
    <row r="788" spans="1:18" s="189" customFormat="1">
      <c r="A788" s="289"/>
      <c r="B788" s="292">
        <v>4</v>
      </c>
      <c r="C788" s="292">
        <v>1</v>
      </c>
      <c r="D788" s="292">
        <v>4</v>
      </c>
      <c r="E788" s="292" t="s">
        <v>444</v>
      </c>
      <c r="F788" s="292" t="s">
        <v>440</v>
      </c>
      <c r="G788" s="253" t="s">
        <v>73</v>
      </c>
      <c r="H788" s="253"/>
      <c r="I788" s="253"/>
      <c r="J788" s="354">
        <v>0</v>
      </c>
      <c r="K788" s="355">
        <v>0</v>
      </c>
      <c r="L788" s="360">
        <v>0</v>
      </c>
      <c r="M788" s="355">
        <v>0</v>
      </c>
      <c r="N788" s="355">
        <f>M788+L788</f>
        <v>0</v>
      </c>
      <c r="O788" s="355">
        <f t="shared" si="121"/>
        <v>0</v>
      </c>
      <c r="P788" s="388"/>
      <c r="Q788" s="441"/>
      <c r="R788" s="422"/>
    </row>
    <row r="789" spans="1:18" s="189" customFormat="1">
      <c r="A789" s="289"/>
      <c r="B789" s="292">
        <v>4</v>
      </c>
      <c r="C789" s="292">
        <v>1</v>
      </c>
      <c r="D789" s="292">
        <v>4</v>
      </c>
      <c r="E789" s="292" t="s">
        <v>444</v>
      </c>
      <c r="F789" s="292" t="s">
        <v>445</v>
      </c>
      <c r="G789" s="253" t="s">
        <v>74</v>
      </c>
      <c r="H789" s="253"/>
      <c r="I789" s="253"/>
      <c r="J789" s="354">
        <v>0</v>
      </c>
      <c r="K789" s="355">
        <v>0</v>
      </c>
      <c r="L789" s="360">
        <v>0</v>
      </c>
      <c r="M789" s="355">
        <f>[55]Perdinas!$P$564</f>
        <v>0</v>
      </c>
      <c r="N789" s="355">
        <f>M789+L789</f>
        <v>0</v>
      </c>
      <c r="O789" s="355">
        <f t="shared" si="121"/>
        <v>0</v>
      </c>
      <c r="P789" s="388"/>
      <c r="Q789" s="441"/>
      <c r="R789" s="422"/>
    </row>
    <row r="790" spans="1:18" s="189" customFormat="1">
      <c r="A790" s="289"/>
      <c r="B790" s="292">
        <v>4</v>
      </c>
      <c r="C790" s="292">
        <v>1</v>
      </c>
      <c r="D790" s="292">
        <v>4</v>
      </c>
      <c r="E790" s="292" t="s">
        <v>444</v>
      </c>
      <c r="F790" s="292" t="s">
        <v>441</v>
      </c>
      <c r="G790" s="253" t="s">
        <v>75</v>
      </c>
      <c r="H790" s="253"/>
      <c r="I790" s="253"/>
      <c r="J790" s="354">
        <v>0</v>
      </c>
      <c r="K790" s="355">
        <f>'[55]TARGET VERSI LAMA'!$E$550</f>
        <v>0</v>
      </c>
      <c r="L790" s="360">
        <f>[56]PerDinas!$N$915</f>
        <v>15952424</v>
      </c>
      <c r="M790" s="355">
        <f>[55]Perdinas!$P$565</f>
        <v>0</v>
      </c>
      <c r="N790" s="369">
        <f>M790+L790</f>
        <v>15952424</v>
      </c>
      <c r="O790" s="355">
        <f t="shared" si="121"/>
        <v>15952424</v>
      </c>
      <c r="P790" s="388"/>
      <c r="Q790" s="441"/>
      <c r="R790" s="422"/>
    </row>
    <row r="791" spans="1:18" s="189" customFormat="1">
      <c r="A791" s="289"/>
      <c r="B791" s="292"/>
      <c r="C791" s="292"/>
      <c r="D791" s="292"/>
      <c r="E791" s="292"/>
      <c r="F791" s="292"/>
      <c r="G791" s="253"/>
      <c r="H791" s="253"/>
      <c r="I791" s="253"/>
      <c r="J791" s="354"/>
      <c r="K791" s="355"/>
      <c r="L791" s="360"/>
      <c r="M791" s="355"/>
      <c r="N791" s="355"/>
      <c r="O791" s="355"/>
      <c r="P791" s="388"/>
      <c r="Q791" s="441"/>
      <c r="R791" s="422"/>
    </row>
    <row r="792" spans="1:18" s="189" customFormat="1">
      <c r="A792" s="293"/>
      <c r="B792" s="292">
        <v>4</v>
      </c>
      <c r="C792" s="292">
        <v>1</v>
      </c>
      <c r="D792" s="292">
        <v>4</v>
      </c>
      <c r="E792" s="292" t="s">
        <v>451</v>
      </c>
      <c r="F792" s="292"/>
      <c r="G792" s="253" t="s">
        <v>321</v>
      </c>
      <c r="H792" s="253"/>
      <c r="I792" s="253"/>
      <c r="J792" s="374">
        <f>J793</f>
        <v>1500000</v>
      </c>
      <c r="K792" s="375">
        <f>K793</f>
        <v>0</v>
      </c>
      <c r="L792" s="377">
        <f>+L793</f>
        <v>32700000</v>
      </c>
      <c r="M792" s="375">
        <f>+M793</f>
        <v>11385000</v>
      </c>
      <c r="N792" s="346">
        <f>+M792+L792</f>
        <v>44085000</v>
      </c>
      <c r="O792" s="346">
        <f>N792-K792</f>
        <v>44085000</v>
      </c>
      <c r="P792" s="347">
        <v>0</v>
      </c>
      <c r="Q792" s="448"/>
      <c r="R792" s="422"/>
    </row>
    <row r="793" spans="1:18" s="189" customFormat="1">
      <c r="A793" s="293"/>
      <c r="B793" s="292">
        <v>4</v>
      </c>
      <c r="C793" s="292">
        <v>1</v>
      </c>
      <c r="D793" s="292">
        <v>4</v>
      </c>
      <c r="E793" s="292" t="s">
        <v>451</v>
      </c>
      <c r="F793" s="292" t="s">
        <v>437</v>
      </c>
      <c r="G793" s="253" t="s">
        <v>85</v>
      </c>
      <c r="H793" s="253"/>
      <c r="I793" s="253"/>
      <c r="J793" s="374">
        <f t="shared" ref="J793:P793" si="122">SUM(J794:J796)</f>
        <v>1500000</v>
      </c>
      <c r="K793" s="375">
        <f t="shared" si="122"/>
        <v>0</v>
      </c>
      <c r="L793" s="377">
        <f t="shared" si="122"/>
        <v>32700000</v>
      </c>
      <c r="M793" s="375">
        <f t="shared" si="122"/>
        <v>11385000</v>
      </c>
      <c r="N793" s="375">
        <f t="shared" si="122"/>
        <v>44085000</v>
      </c>
      <c r="O793" s="375">
        <f t="shared" si="122"/>
        <v>44085000</v>
      </c>
      <c r="P793" s="1081" t="e">
        <f t="shared" si="122"/>
        <v>#DIV/0!</v>
      </c>
      <c r="Q793" s="448"/>
      <c r="R793" s="422"/>
    </row>
    <row r="794" spans="1:18" s="189" customFormat="1">
      <c r="A794" s="293"/>
      <c r="B794" s="292"/>
      <c r="C794" s="292"/>
      <c r="D794" s="292"/>
      <c r="E794" s="292"/>
      <c r="F794" s="292"/>
      <c r="G794" s="253" t="s">
        <v>50</v>
      </c>
      <c r="H794" s="253"/>
      <c r="I794" s="253" t="s">
        <v>85</v>
      </c>
      <c r="J794" s="374">
        <v>1500000</v>
      </c>
      <c r="K794" s="376">
        <f>'[55]TARGET VERSI LAMA'!$E$553</f>
        <v>0</v>
      </c>
      <c r="L794" s="1231">
        <f>[56]PerDinas!$N$629</f>
        <v>32700000</v>
      </c>
      <c r="M794" s="375">
        <f>[55]Perdinas!$P$405</f>
        <v>11385000</v>
      </c>
      <c r="N794" s="369">
        <f>M794+L794</f>
        <v>44085000</v>
      </c>
      <c r="O794" s="355">
        <f>N794-K794</f>
        <v>44085000</v>
      </c>
      <c r="P794" s="388" t="e">
        <f>N794/K794*100</f>
        <v>#DIV/0!</v>
      </c>
      <c r="Q794" s="448"/>
      <c r="R794" s="422"/>
    </row>
    <row r="795" spans="1:18" s="189" customFormat="1">
      <c r="A795" s="293"/>
      <c r="B795" s="292"/>
      <c r="C795" s="292"/>
      <c r="D795" s="292"/>
      <c r="E795" s="292"/>
      <c r="F795" s="292"/>
      <c r="G795" s="253" t="s">
        <v>50</v>
      </c>
      <c r="H795" s="253"/>
      <c r="I795" s="253" t="s">
        <v>1012</v>
      </c>
      <c r="J795" s="374">
        <v>0</v>
      </c>
      <c r="K795" s="375">
        <f>'[55]TARGET VERSI LAMA'!$E$548</f>
        <v>0</v>
      </c>
      <c r="L795" s="377">
        <f>[56]PerDinas!$N$920</f>
        <v>0</v>
      </c>
      <c r="M795" s="375">
        <f>[55]Perdinas!$P$606</f>
        <v>0</v>
      </c>
      <c r="N795" s="355">
        <f>M795+L795</f>
        <v>0</v>
      </c>
      <c r="O795" s="355">
        <f>N795-K795</f>
        <v>0</v>
      </c>
      <c r="P795" s="388">
        <v>1</v>
      </c>
      <c r="Q795" s="448"/>
      <c r="R795" s="422"/>
    </row>
    <row r="796" spans="1:18" s="245" customFormat="1">
      <c r="A796" s="654"/>
      <c r="B796" s="655"/>
      <c r="C796" s="655"/>
      <c r="D796" s="655"/>
      <c r="E796" s="655"/>
      <c r="F796" s="655"/>
      <c r="G796" s="656" t="s">
        <v>50</v>
      </c>
      <c r="H796" s="656"/>
      <c r="I796" s="656" t="s">
        <v>1013</v>
      </c>
      <c r="J796" s="680">
        <v>0</v>
      </c>
      <c r="K796" s="681">
        <f>'[55]TARGET VERSI LAMA'!$E$549</f>
        <v>0</v>
      </c>
      <c r="L796" s="682">
        <f>[56]PerDinas!$N$921</f>
        <v>0</v>
      </c>
      <c r="M796" s="681">
        <f>[55]Perdinas!$P$607</f>
        <v>0</v>
      </c>
      <c r="N796" s="527">
        <f>M796+L796</f>
        <v>0</v>
      </c>
      <c r="O796" s="527">
        <f>N796-K796</f>
        <v>0</v>
      </c>
      <c r="P796" s="671">
        <v>1</v>
      </c>
      <c r="Q796" s="698"/>
      <c r="R796" s="450"/>
    </row>
    <row r="797" spans="1:18" s="244" customFormat="1">
      <c r="A797" s="1383" t="s">
        <v>392</v>
      </c>
      <c r="B797" s="1378" t="s">
        <v>460</v>
      </c>
      <c r="C797" s="1378" t="s">
        <v>451</v>
      </c>
      <c r="D797" s="1378" t="s">
        <v>437</v>
      </c>
      <c r="E797" s="1378"/>
      <c r="F797" s="1378"/>
      <c r="G797" s="1379" t="s">
        <v>373</v>
      </c>
      <c r="H797" s="1379"/>
      <c r="I797" s="1379"/>
      <c r="J797" s="1396">
        <f>+J799</f>
        <v>1213190000</v>
      </c>
      <c r="K797" s="1397">
        <f>+K799</f>
        <v>1338680000</v>
      </c>
      <c r="L797" s="1397">
        <f>+L799</f>
        <v>1060464701.59</v>
      </c>
      <c r="M797" s="1397">
        <f>+M799</f>
        <v>278161214</v>
      </c>
      <c r="N797" s="1397">
        <f>M797+L797</f>
        <v>1338625915.5900002</v>
      </c>
      <c r="O797" s="1397">
        <f>+N797-K797</f>
        <v>-54084.409999847412</v>
      </c>
      <c r="P797" s="1398">
        <f>+N797/K797*100</f>
        <v>99.995959870170623</v>
      </c>
      <c r="Q797" s="1406"/>
      <c r="R797" s="788"/>
    </row>
    <row r="798" spans="1:18" s="189" customFormat="1">
      <c r="A798" s="1409"/>
      <c r="B798" s="1324"/>
      <c r="C798" s="1324"/>
      <c r="D798" s="1324"/>
      <c r="E798" s="1324"/>
      <c r="F798" s="1324"/>
      <c r="G798" s="1325"/>
      <c r="H798" s="1325"/>
      <c r="I798" s="1325"/>
      <c r="J798" s="757"/>
      <c r="K798" s="758"/>
      <c r="L798" s="758"/>
      <c r="M798" s="758"/>
      <c r="N798" s="758"/>
      <c r="O798" s="758"/>
      <c r="P798" s="690"/>
      <c r="Q798" s="1515"/>
      <c r="R798" s="422"/>
    </row>
    <row r="799" spans="1:18" s="189" customFormat="1">
      <c r="A799" s="293"/>
      <c r="B799" s="290">
        <v>4</v>
      </c>
      <c r="C799" s="290">
        <v>1</v>
      </c>
      <c r="D799" s="290"/>
      <c r="E799" s="290"/>
      <c r="F799" s="290"/>
      <c r="G799" s="291" t="s">
        <v>180</v>
      </c>
      <c r="H799" s="291"/>
      <c r="I799" s="291"/>
      <c r="J799" s="387">
        <f>+J801+J826</f>
        <v>1213190000</v>
      </c>
      <c r="K799" s="367">
        <f>+K801+K826</f>
        <v>1338680000</v>
      </c>
      <c r="L799" s="367">
        <f>+L801+L826</f>
        <v>1060464701.59</v>
      </c>
      <c r="M799" s="367">
        <f>+M801+M826</f>
        <v>278161214</v>
      </c>
      <c r="N799" s="367">
        <f>+M799+L799</f>
        <v>1338625915.5900002</v>
      </c>
      <c r="O799" s="367">
        <f>N799-K799</f>
        <v>-54084.409999847412</v>
      </c>
      <c r="P799" s="347">
        <f>N799/K799*100</f>
        <v>99.995959870170623</v>
      </c>
      <c r="Q799" s="1516"/>
      <c r="R799" s="422"/>
    </row>
    <row r="800" spans="1:18" s="189" customFormat="1">
      <c r="A800" s="293"/>
      <c r="B800" s="292"/>
      <c r="C800" s="292"/>
      <c r="D800" s="292"/>
      <c r="E800" s="292"/>
      <c r="F800" s="292"/>
      <c r="G800" s="253"/>
      <c r="H800" s="253"/>
      <c r="I800" s="291"/>
      <c r="J800" s="345"/>
      <c r="K800" s="346"/>
      <c r="L800" s="660"/>
      <c r="M800" s="346"/>
      <c r="N800" s="346"/>
      <c r="O800" s="346"/>
      <c r="P800" s="347"/>
      <c r="Q800" s="438"/>
      <c r="R800" s="554"/>
    </row>
    <row r="801" spans="1:18" s="189" customFormat="1">
      <c r="A801" s="293"/>
      <c r="B801" s="290">
        <v>4</v>
      </c>
      <c r="C801" s="290">
        <v>1</v>
      </c>
      <c r="D801" s="290">
        <v>2</v>
      </c>
      <c r="E801" s="290"/>
      <c r="F801" s="290"/>
      <c r="G801" s="291" t="s">
        <v>106</v>
      </c>
      <c r="H801" s="291"/>
      <c r="I801" s="291"/>
      <c r="J801" s="387">
        <f>+J803+J824</f>
        <v>1169190000</v>
      </c>
      <c r="K801" s="367">
        <f>+K803</f>
        <v>1338680000</v>
      </c>
      <c r="L801" s="1066">
        <f>+L803</f>
        <v>1014943200</v>
      </c>
      <c r="M801" s="367">
        <f>+M803</f>
        <v>224219000</v>
      </c>
      <c r="N801" s="367">
        <f>+M801+L801</f>
        <v>1239162200</v>
      </c>
      <c r="O801" s="367">
        <f>N801-K801</f>
        <v>-99517800</v>
      </c>
      <c r="P801" s="347">
        <f>N801/K801*100</f>
        <v>92.565975438491648</v>
      </c>
      <c r="Q801" s="454"/>
      <c r="R801" s="422"/>
    </row>
    <row r="802" spans="1:18" s="189" customFormat="1">
      <c r="A802" s="293"/>
      <c r="B802" s="292"/>
      <c r="C802" s="292"/>
      <c r="D802" s="292"/>
      <c r="E802" s="292"/>
      <c r="F802" s="292"/>
      <c r="G802" s="253"/>
      <c r="H802" s="253"/>
      <c r="I802" s="253"/>
      <c r="J802" s="354"/>
      <c r="K802" s="355"/>
      <c r="L802" s="360"/>
      <c r="M802" s="355"/>
      <c r="N802" s="355"/>
      <c r="O802" s="355"/>
      <c r="P802" s="388"/>
      <c r="Q802" s="441"/>
      <c r="R802" s="1517"/>
    </row>
    <row r="803" spans="1:18" s="190" customFormat="1">
      <c r="A803" s="293"/>
      <c r="B803" s="290">
        <v>4</v>
      </c>
      <c r="C803" s="290">
        <v>1</v>
      </c>
      <c r="D803" s="290">
        <v>2</v>
      </c>
      <c r="E803" s="290" t="s">
        <v>438</v>
      </c>
      <c r="F803" s="290"/>
      <c r="G803" s="291" t="s">
        <v>374</v>
      </c>
      <c r="H803" s="291"/>
      <c r="I803" s="291"/>
      <c r="J803" s="370">
        <f>+J804+J815</f>
        <v>1169190000</v>
      </c>
      <c r="K803" s="371">
        <f>+K804+K815+K824</f>
        <v>1338680000</v>
      </c>
      <c r="L803" s="372">
        <f>+L804+L815+L823</f>
        <v>1014943200</v>
      </c>
      <c r="M803" s="371">
        <f>+M804+M815+M824</f>
        <v>224219000</v>
      </c>
      <c r="N803" s="367">
        <f>+M803+L803</f>
        <v>1239162200</v>
      </c>
      <c r="O803" s="367">
        <f t="shared" ref="O803:O813" si="123">N803-K803</f>
        <v>-99517800</v>
      </c>
      <c r="P803" s="347">
        <f t="shared" ref="P803:P813" si="124">N803/K803*100</f>
        <v>92.565975438491648</v>
      </c>
      <c r="Q803" s="1076"/>
      <c r="R803" s="446"/>
    </row>
    <row r="804" spans="1:18" s="190" customFormat="1">
      <c r="A804" s="289"/>
      <c r="B804" s="290">
        <v>4</v>
      </c>
      <c r="C804" s="290">
        <v>1</v>
      </c>
      <c r="D804" s="290">
        <v>2</v>
      </c>
      <c r="E804" s="290" t="s">
        <v>438</v>
      </c>
      <c r="F804" s="290" t="s">
        <v>437</v>
      </c>
      <c r="G804" s="1079" t="s">
        <v>64</v>
      </c>
      <c r="H804" s="291"/>
      <c r="I804" s="291"/>
      <c r="J804" s="387">
        <f>SUM(J805:J812)</f>
        <v>708190000</v>
      </c>
      <c r="K804" s="367">
        <f>SUM(K805:K812)</f>
        <v>518680000</v>
      </c>
      <c r="L804" s="1066">
        <f>SUM(L805:L813)</f>
        <v>311871200</v>
      </c>
      <c r="M804" s="367">
        <f>SUM(M805:M813)</f>
        <v>36550000</v>
      </c>
      <c r="N804" s="777">
        <f>M804+L804</f>
        <v>348421200</v>
      </c>
      <c r="O804" s="371">
        <f t="shared" si="123"/>
        <v>-170258800</v>
      </c>
      <c r="P804" s="388">
        <f t="shared" si="124"/>
        <v>67.1745970540603</v>
      </c>
      <c r="Q804" s="1516"/>
      <c r="R804" s="1095"/>
    </row>
    <row r="805" spans="1:18" s="189" customFormat="1">
      <c r="A805" s="293"/>
      <c r="B805" s="292"/>
      <c r="C805" s="292"/>
      <c r="D805" s="292"/>
      <c r="E805" s="292"/>
      <c r="F805" s="292"/>
      <c r="G805" s="291" t="s">
        <v>50</v>
      </c>
      <c r="H805" s="291"/>
      <c r="I805" s="1083" t="s">
        <v>375</v>
      </c>
      <c r="J805" s="354">
        <v>475000000</v>
      </c>
      <c r="K805" s="373">
        <f>'[55]TARGET VERSI LAMA'!$E$561</f>
        <v>328430000</v>
      </c>
      <c r="L805" s="360">
        <f>[56]PerDinas!$N$930</f>
        <v>142291200</v>
      </c>
      <c r="M805" s="373">
        <f>[55]Perdinas!$P$616</f>
        <v>24550000</v>
      </c>
      <c r="N805" s="771">
        <f t="shared" ref="N805:N813" si="125">M805+L805</f>
        <v>166841200</v>
      </c>
      <c r="O805" s="355">
        <f t="shared" si="123"/>
        <v>-161588800</v>
      </c>
      <c r="P805" s="388">
        <f t="shared" si="124"/>
        <v>50.799622446183356</v>
      </c>
      <c r="Q805" s="441"/>
      <c r="R805" s="431"/>
    </row>
    <row r="806" spans="1:18" s="189" customFormat="1">
      <c r="A806" s="293"/>
      <c r="B806" s="292"/>
      <c r="C806" s="292"/>
      <c r="D806" s="292"/>
      <c r="E806" s="292"/>
      <c r="F806" s="292"/>
      <c r="G806" s="253" t="s">
        <v>50</v>
      </c>
      <c r="H806" s="253"/>
      <c r="I806" s="1083" t="s">
        <v>376</v>
      </c>
      <c r="J806" s="354">
        <v>26190000</v>
      </c>
      <c r="K806" s="373">
        <f>'[55]TARGET VERSI LAMA'!$E$562</f>
        <v>15000000</v>
      </c>
      <c r="L806" s="360">
        <f>[56]PerDinas!$N$931</f>
        <v>13000000</v>
      </c>
      <c r="M806" s="373">
        <f>[55]Perdinas!$P$617</f>
        <v>3000000</v>
      </c>
      <c r="N806" s="355">
        <f t="shared" si="125"/>
        <v>16000000</v>
      </c>
      <c r="O806" s="355">
        <f t="shared" si="123"/>
        <v>1000000</v>
      </c>
      <c r="P806" s="388">
        <f t="shared" si="124"/>
        <v>106.66666666666667</v>
      </c>
      <c r="Q806" s="441"/>
      <c r="R806" s="422"/>
    </row>
    <row r="807" spans="1:18" s="189" customFormat="1">
      <c r="A807" s="293"/>
      <c r="B807" s="292"/>
      <c r="C807" s="292"/>
      <c r="D807" s="292"/>
      <c r="E807" s="292"/>
      <c r="F807" s="292"/>
      <c r="G807" s="253" t="s">
        <v>50</v>
      </c>
      <c r="H807" s="253"/>
      <c r="I807" s="1083" t="s">
        <v>377</v>
      </c>
      <c r="J807" s="354">
        <v>23000000</v>
      </c>
      <c r="K807" s="373">
        <f>'[55]TARGET VERSI LAMA'!$E$563</f>
        <v>50000000</v>
      </c>
      <c r="L807" s="360">
        <f>[56]PerDinas!$N$932</f>
        <v>47930000</v>
      </c>
      <c r="M807" s="373">
        <f>[55]Perdinas!$P$618</f>
        <v>7000000</v>
      </c>
      <c r="N807" s="355">
        <f t="shared" si="125"/>
        <v>54930000</v>
      </c>
      <c r="O807" s="355">
        <f t="shared" si="123"/>
        <v>4930000</v>
      </c>
      <c r="P807" s="388">
        <f t="shared" si="124"/>
        <v>109.86</v>
      </c>
      <c r="Q807" s="441"/>
      <c r="R807" s="422"/>
    </row>
    <row r="808" spans="1:18" s="189" customFormat="1">
      <c r="A808" s="293"/>
      <c r="B808" s="292"/>
      <c r="C808" s="292"/>
      <c r="D808" s="292"/>
      <c r="E808" s="292"/>
      <c r="F808" s="292"/>
      <c r="G808" s="291" t="s">
        <v>50</v>
      </c>
      <c r="H808" s="291"/>
      <c r="I808" s="1083" t="s">
        <v>378</v>
      </c>
      <c r="J808" s="354">
        <v>35000000</v>
      </c>
      <c r="K808" s="373">
        <f>'[55]TARGET VERSI LAMA'!$E$564</f>
        <v>40250000</v>
      </c>
      <c r="L808" s="360">
        <f>[56]PerDinas!$N$933</f>
        <v>33200000</v>
      </c>
      <c r="M808" s="373">
        <f>[55]Perdinas!$P$619</f>
        <v>0</v>
      </c>
      <c r="N808" s="355">
        <f t="shared" si="125"/>
        <v>33200000</v>
      </c>
      <c r="O808" s="355">
        <f t="shared" si="123"/>
        <v>-7050000</v>
      </c>
      <c r="P808" s="388">
        <f t="shared" si="124"/>
        <v>82.484472049689444</v>
      </c>
      <c r="Q808" s="441"/>
      <c r="R808" s="422"/>
    </row>
    <row r="809" spans="1:18" s="189" customFormat="1">
      <c r="A809" s="293"/>
      <c r="B809" s="292"/>
      <c r="C809" s="292"/>
      <c r="D809" s="292"/>
      <c r="E809" s="292"/>
      <c r="F809" s="292"/>
      <c r="G809" s="253" t="s">
        <v>50</v>
      </c>
      <c r="H809" s="253"/>
      <c r="I809" s="1083" t="s">
        <v>379</v>
      </c>
      <c r="J809" s="354">
        <v>34000000</v>
      </c>
      <c r="K809" s="373">
        <f>'[55]TARGET VERSI LAMA'!$E$565</f>
        <v>25000000</v>
      </c>
      <c r="L809" s="360">
        <f>[56]PerDinas!$N$934</f>
        <v>49450000</v>
      </c>
      <c r="M809" s="373">
        <f>[55]Perdinas!$P$620</f>
        <v>1000000</v>
      </c>
      <c r="N809" s="355">
        <f t="shared" si="125"/>
        <v>50450000</v>
      </c>
      <c r="O809" s="355">
        <f t="shared" si="123"/>
        <v>25450000</v>
      </c>
      <c r="P809" s="388">
        <f t="shared" si="124"/>
        <v>201.79999999999998</v>
      </c>
      <c r="Q809" s="441"/>
      <c r="R809" s="422"/>
    </row>
    <row r="810" spans="1:18" s="189" customFormat="1">
      <c r="A810" s="293"/>
      <c r="B810" s="292"/>
      <c r="C810" s="292"/>
      <c r="D810" s="292"/>
      <c r="E810" s="292"/>
      <c r="F810" s="292"/>
      <c r="G810" s="253" t="s">
        <v>50</v>
      </c>
      <c r="H810" s="253"/>
      <c r="I810" s="1083" t="s">
        <v>381</v>
      </c>
      <c r="J810" s="354">
        <v>85000000</v>
      </c>
      <c r="K810" s="373">
        <f>'[55]TARGET VERSI LAMA'!$E$566</f>
        <v>0</v>
      </c>
      <c r="L810" s="360">
        <f>[56]PerDinas!$N$935</f>
        <v>26000000</v>
      </c>
      <c r="M810" s="373">
        <f>[55]Perdinas!$P$622</f>
        <v>1000000</v>
      </c>
      <c r="N810" s="771">
        <f t="shared" si="125"/>
        <v>27000000</v>
      </c>
      <c r="O810" s="355">
        <f t="shared" si="123"/>
        <v>27000000</v>
      </c>
      <c r="P810" s="388" t="e">
        <f t="shared" si="124"/>
        <v>#DIV/0!</v>
      </c>
      <c r="Q810" s="441"/>
      <c r="R810" s="422"/>
    </row>
    <row r="811" spans="1:18" s="189" customFormat="1">
      <c r="A811" s="293"/>
      <c r="B811" s="292"/>
      <c r="C811" s="292"/>
      <c r="D811" s="292"/>
      <c r="E811" s="292"/>
      <c r="F811" s="292"/>
      <c r="G811" s="253" t="s">
        <v>50</v>
      </c>
      <c r="H811" s="253"/>
      <c r="I811" s="253" t="s">
        <v>382</v>
      </c>
      <c r="J811" s="354">
        <v>30000000</v>
      </c>
      <c r="K811" s="373">
        <f>'[55]TARGET VERSI LAMA'!$E$567</f>
        <v>60000000</v>
      </c>
      <c r="L811" s="360">
        <f>[56]PerDinas!$N$936</f>
        <v>0</v>
      </c>
      <c r="M811" s="373">
        <f>[55]Perdinas!$P$623</f>
        <v>0</v>
      </c>
      <c r="N811" s="355">
        <f t="shared" si="125"/>
        <v>0</v>
      </c>
      <c r="O811" s="355">
        <f t="shared" si="123"/>
        <v>-60000000</v>
      </c>
      <c r="P811" s="388">
        <f t="shared" si="124"/>
        <v>0</v>
      </c>
      <c r="Q811" s="441"/>
      <c r="R811" s="422"/>
    </row>
    <row r="812" spans="1:18" s="189" customFormat="1">
      <c r="A812" s="293"/>
      <c r="B812" s="292"/>
      <c r="C812" s="292"/>
      <c r="D812" s="292"/>
      <c r="E812" s="292"/>
      <c r="F812" s="292"/>
      <c r="G812" s="253" t="s">
        <v>50</v>
      </c>
      <c r="H812" s="253"/>
      <c r="I812" s="1083" t="s">
        <v>383</v>
      </c>
      <c r="J812" s="354">
        <v>0</v>
      </c>
      <c r="K812" s="373">
        <f>'[55]TARGET VERSI LAMA'!$E$568</f>
        <v>0</v>
      </c>
      <c r="L812" s="360">
        <f>[56]PerDinas!$N$937</f>
        <v>0</v>
      </c>
      <c r="M812" s="373">
        <f>[55]Perdinas!$P$624</f>
        <v>0</v>
      </c>
      <c r="N812" s="355">
        <f t="shared" si="125"/>
        <v>0</v>
      </c>
      <c r="O812" s="355">
        <f t="shared" si="123"/>
        <v>0</v>
      </c>
      <c r="P812" s="388" t="e">
        <f t="shared" si="124"/>
        <v>#DIV/0!</v>
      </c>
      <c r="Q812" s="441"/>
      <c r="R812" s="422"/>
    </row>
    <row r="813" spans="1:18" s="189" customFormat="1">
      <c r="A813" s="293"/>
      <c r="B813" s="292"/>
      <c r="C813" s="292"/>
      <c r="D813" s="292"/>
      <c r="E813" s="292"/>
      <c r="F813" s="292"/>
      <c r="G813" s="253" t="s">
        <v>50</v>
      </c>
      <c r="H813" s="291"/>
      <c r="I813" s="253" t="s">
        <v>1014</v>
      </c>
      <c r="J813" s="354"/>
      <c r="K813" s="373">
        <f>'[55]TARGET VERSI LAMA'!$E$569</f>
        <v>0</v>
      </c>
      <c r="L813" s="360">
        <f>[56]PerDinas!$N$938</f>
        <v>0</v>
      </c>
      <c r="M813" s="373">
        <f>[55]Perdinas!$P$625</f>
        <v>0</v>
      </c>
      <c r="N813" s="355">
        <f t="shared" si="125"/>
        <v>0</v>
      </c>
      <c r="O813" s="355">
        <f t="shared" si="123"/>
        <v>0</v>
      </c>
      <c r="P813" s="388" t="e">
        <f t="shared" si="124"/>
        <v>#DIV/0!</v>
      </c>
      <c r="Q813" s="441"/>
      <c r="R813" s="422"/>
    </row>
    <row r="814" spans="1:18" s="189" customFormat="1">
      <c r="A814" s="293"/>
      <c r="B814" s="292"/>
      <c r="C814" s="292"/>
      <c r="D814" s="292"/>
      <c r="E814" s="292"/>
      <c r="F814" s="292"/>
      <c r="G814" s="291"/>
      <c r="H814" s="291"/>
      <c r="I814" s="253"/>
      <c r="J814" s="354"/>
      <c r="K814" s="355"/>
      <c r="L814" s="355"/>
      <c r="M814" s="355"/>
      <c r="N814" s="355"/>
      <c r="O814" s="355"/>
      <c r="P814" s="388"/>
      <c r="Q814" s="441"/>
      <c r="R814" s="422"/>
    </row>
    <row r="815" spans="1:18" s="190" customFormat="1">
      <c r="A815" s="293"/>
      <c r="B815" s="290">
        <v>4</v>
      </c>
      <c r="C815" s="290">
        <v>1</v>
      </c>
      <c r="D815" s="290">
        <v>2</v>
      </c>
      <c r="E815" s="290" t="s">
        <v>438</v>
      </c>
      <c r="F815" s="290" t="s">
        <v>448</v>
      </c>
      <c r="G815" s="291" t="s">
        <v>361</v>
      </c>
      <c r="H815" s="291"/>
      <c r="I815" s="291"/>
      <c r="J815" s="387">
        <f>SUM(J816:J821)</f>
        <v>461000000</v>
      </c>
      <c r="K815" s="367">
        <f>SUM(K816:K822)</f>
        <v>820000000</v>
      </c>
      <c r="L815" s="372">
        <f>SUM(L816:L822)</f>
        <v>703072000</v>
      </c>
      <c r="M815" s="367">
        <f>SUM(M816:M822)</f>
        <v>187669000</v>
      </c>
      <c r="N815" s="777">
        <f>M815+L815</f>
        <v>890741000</v>
      </c>
      <c r="O815" s="371">
        <f t="shared" ref="O815:O824" si="126">N815-K815</f>
        <v>70741000</v>
      </c>
      <c r="P815" s="388">
        <f t="shared" ref="P815:P824" si="127">N815/K815*100</f>
        <v>108.62695121951221</v>
      </c>
      <c r="Q815" s="454"/>
      <c r="R815" s="1095"/>
    </row>
    <row r="816" spans="1:18" s="189" customFormat="1">
      <c r="A816" s="293"/>
      <c r="B816" s="292"/>
      <c r="C816" s="292"/>
      <c r="D816" s="292"/>
      <c r="E816" s="292"/>
      <c r="F816" s="292"/>
      <c r="G816" s="253" t="s">
        <v>50</v>
      </c>
      <c r="H816" s="253"/>
      <c r="I816" s="1083" t="s">
        <v>384</v>
      </c>
      <c r="J816" s="354">
        <f>56500000+88500000</f>
        <v>145000000</v>
      </c>
      <c r="K816" s="373">
        <f>'[55]TARGET VERSI LAMA'!$E$572</f>
        <v>190000000</v>
      </c>
      <c r="L816" s="360">
        <f>[56]PerDinas!$N$941</f>
        <v>152000000</v>
      </c>
      <c r="M816" s="373">
        <f>[55]Perdinas!$P$627</f>
        <v>33000000</v>
      </c>
      <c r="N816" s="355">
        <f t="shared" ref="N816:N824" si="128">M816+L816</f>
        <v>185000000</v>
      </c>
      <c r="O816" s="355">
        <f t="shared" si="126"/>
        <v>-5000000</v>
      </c>
      <c r="P816" s="388">
        <f t="shared" si="127"/>
        <v>97.368421052631575</v>
      </c>
      <c r="Q816" s="441"/>
      <c r="R816" s="422"/>
    </row>
    <row r="817" spans="1:18" s="189" customFormat="1">
      <c r="A817" s="293"/>
      <c r="B817" s="292"/>
      <c r="C817" s="292"/>
      <c r="D817" s="292"/>
      <c r="E817" s="292"/>
      <c r="F817" s="292"/>
      <c r="G817" s="253" t="s">
        <v>50</v>
      </c>
      <c r="H817" s="253"/>
      <c r="I817" s="1083" t="s">
        <v>385</v>
      </c>
      <c r="J817" s="354">
        <v>175000000</v>
      </c>
      <c r="K817" s="373">
        <f>'[55]TARGET VERSI LAMA'!$E$573</f>
        <v>160000000</v>
      </c>
      <c r="L817" s="360">
        <f>[56]PerDinas!$N$942</f>
        <v>140334500</v>
      </c>
      <c r="M817" s="373">
        <f>[55]Perdinas!$P$628</f>
        <v>19819000</v>
      </c>
      <c r="N817" s="771">
        <f t="shared" si="128"/>
        <v>160153500</v>
      </c>
      <c r="O817" s="355">
        <f t="shared" si="126"/>
        <v>153500</v>
      </c>
      <c r="P817" s="388">
        <f t="shared" si="127"/>
        <v>100.09593750000001</v>
      </c>
      <c r="Q817" s="441"/>
      <c r="R817" s="422"/>
    </row>
    <row r="818" spans="1:18" s="189" customFormat="1">
      <c r="A818" s="293"/>
      <c r="B818" s="292"/>
      <c r="C818" s="292"/>
      <c r="D818" s="292"/>
      <c r="E818" s="292"/>
      <c r="F818" s="292"/>
      <c r="G818" s="253" t="s">
        <v>50</v>
      </c>
      <c r="H818" s="253"/>
      <c r="I818" s="1083" t="s">
        <v>386</v>
      </c>
      <c r="J818" s="354">
        <v>76000000</v>
      </c>
      <c r="K818" s="373">
        <f>'[55]TARGET VERSI LAMA'!$E$574</f>
        <v>90000000</v>
      </c>
      <c r="L818" s="360">
        <f>[56]PerDinas!$N$943</f>
        <v>74272500</v>
      </c>
      <c r="M818" s="373">
        <f>[55]Perdinas!$P$629</f>
        <v>16500000</v>
      </c>
      <c r="N818" s="355">
        <f t="shared" si="128"/>
        <v>90772500</v>
      </c>
      <c r="O818" s="355">
        <f t="shared" si="126"/>
        <v>772500</v>
      </c>
      <c r="P818" s="388">
        <f t="shared" si="127"/>
        <v>100.85833333333333</v>
      </c>
      <c r="Q818" s="441"/>
      <c r="R818" s="422"/>
    </row>
    <row r="819" spans="1:18" s="189" customFormat="1">
      <c r="A819" s="293"/>
      <c r="B819" s="292"/>
      <c r="C819" s="292"/>
      <c r="D819" s="292"/>
      <c r="E819" s="292"/>
      <c r="F819" s="292"/>
      <c r="G819" s="253" t="s">
        <v>50</v>
      </c>
      <c r="H819" s="253"/>
      <c r="I819" s="253" t="s">
        <v>1015</v>
      </c>
      <c r="J819" s="354">
        <v>20000000</v>
      </c>
      <c r="K819" s="373">
        <f>'[55]TARGET VERSI LAMA'!$E$575</f>
        <v>0</v>
      </c>
      <c r="L819" s="360">
        <f>[56]PerDinas!$N$944</f>
        <v>0</v>
      </c>
      <c r="M819" s="373">
        <f>[55]Perdinas!$P$630</f>
        <v>0</v>
      </c>
      <c r="N819" s="355">
        <f t="shared" si="128"/>
        <v>0</v>
      </c>
      <c r="O819" s="355">
        <f t="shared" si="126"/>
        <v>0</v>
      </c>
      <c r="P819" s="388" t="e">
        <f t="shared" si="127"/>
        <v>#DIV/0!</v>
      </c>
      <c r="Q819" s="441"/>
      <c r="R819" s="422"/>
    </row>
    <row r="820" spans="1:18" s="189" customFormat="1">
      <c r="A820" s="293"/>
      <c r="B820" s="292"/>
      <c r="C820" s="292"/>
      <c r="D820" s="292"/>
      <c r="E820" s="292"/>
      <c r="F820" s="292"/>
      <c r="G820" s="253" t="s">
        <v>50</v>
      </c>
      <c r="H820" s="253"/>
      <c r="I820" s="1083" t="s">
        <v>388</v>
      </c>
      <c r="J820" s="354">
        <v>15000000</v>
      </c>
      <c r="K820" s="373">
        <f>'[55]TARGET VERSI LAMA'!$E$576</f>
        <v>15000000</v>
      </c>
      <c r="L820" s="360">
        <f>[56]PerDinas!$N$945</f>
        <v>10850000</v>
      </c>
      <c r="M820" s="373">
        <f>[55]Perdinas!$P$631</f>
        <v>4150000</v>
      </c>
      <c r="N820" s="355">
        <f t="shared" si="128"/>
        <v>15000000</v>
      </c>
      <c r="O820" s="355">
        <f t="shared" si="126"/>
        <v>0</v>
      </c>
      <c r="P820" s="388">
        <f t="shared" si="127"/>
        <v>100</v>
      </c>
      <c r="Q820" s="441"/>
      <c r="R820" s="422"/>
    </row>
    <row r="821" spans="1:18" s="189" customFormat="1">
      <c r="A821" s="293"/>
      <c r="B821" s="292"/>
      <c r="C821" s="292"/>
      <c r="D821" s="292"/>
      <c r="E821" s="292"/>
      <c r="F821" s="292"/>
      <c r="G821" s="253" t="s">
        <v>50</v>
      </c>
      <c r="H821" s="253"/>
      <c r="I821" s="1083" t="s">
        <v>389</v>
      </c>
      <c r="J821" s="354">
        <v>30000000</v>
      </c>
      <c r="K821" s="373">
        <f>'[55]TARGET VERSI LAMA'!$E$577</f>
        <v>30000000</v>
      </c>
      <c r="L821" s="360">
        <f>[56]PerDinas!$N$946</f>
        <v>4000000</v>
      </c>
      <c r="M821" s="373">
        <f>[55]Perdinas!$P$632</f>
        <v>0</v>
      </c>
      <c r="N821" s="355">
        <f t="shared" si="128"/>
        <v>4000000</v>
      </c>
      <c r="O821" s="355">
        <f t="shared" si="126"/>
        <v>-26000000</v>
      </c>
      <c r="P821" s="388">
        <f t="shared" si="127"/>
        <v>13.333333333333334</v>
      </c>
      <c r="Q821" s="441"/>
      <c r="R821" s="422"/>
    </row>
    <row r="822" spans="1:18" s="189" customFormat="1">
      <c r="A822" s="293"/>
      <c r="B822" s="292"/>
      <c r="C822" s="292"/>
      <c r="D822" s="292"/>
      <c r="E822" s="292"/>
      <c r="F822" s="292"/>
      <c r="G822" s="253" t="s">
        <v>50</v>
      </c>
      <c r="H822" s="253"/>
      <c r="I822" s="253" t="s">
        <v>898</v>
      </c>
      <c r="J822" s="354"/>
      <c r="K822" s="373">
        <f>'[55]TARGET VERSI LAMA'!$E$578</f>
        <v>335000000</v>
      </c>
      <c r="L822" s="360">
        <f>[56]PerDinas!$N$947</f>
        <v>321615000</v>
      </c>
      <c r="M822" s="355">
        <f>[55]Perdinas!$P$633</f>
        <v>114200000</v>
      </c>
      <c r="N822" s="355">
        <f t="shared" si="128"/>
        <v>435815000</v>
      </c>
      <c r="O822" s="355">
        <f t="shared" si="126"/>
        <v>100815000</v>
      </c>
      <c r="P822" s="388">
        <f t="shared" si="127"/>
        <v>130.09402985074627</v>
      </c>
      <c r="Q822" s="1518"/>
      <c r="R822" s="422"/>
    </row>
    <row r="823" spans="1:18" s="189" customFormat="1">
      <c r="A823" s="293"/>
      <c r="B823" s="292"/>
      <c r="C823" s="292"/>
      <c r="D823" s="292"/>
      <c r="E823" s="292"/>
      <c r="F823" s="292"/>
      <c r="G823" s="253"/>
      <c r="H823" s="253"/>
      <c r="I823" s="253"/>
      <c r="J823" s="354"/>
      <c r="K823" s="355"/>
      <c r="L823" s="355"/>
      <c r="M823" s="355"/>
      <c r="N823" s="355"/>
      <c r="O823" s="355"/>
      <c r="P823" s="388"/>
      <c r="Q823" s="1518"/>
      <c r="R823" s="422"/>
    </row>
    <row r="824" spans="1:18" s="189" customFormat="1">
      <c r="A824" s="293"/>
      <c r="B824" s="290" t="s">
        <v>443</v>
      </c>
      <c r="C824" s="290" t="s">
        <v>58</v>
      </c>
      <c r="D824" s="290" t="s">
        <v>460</v>
      </c>
      <c r="E824" s="290" t="s">
        <v>440</v>
      </c>
      <c r="F824" s="290" t="s">
        <v>438</v>
      </c>
      <c r="G824" s="291" t="s">
        <v>391</v>
      </c>
      <c r="H824" s="253"/>
      <c r="I824" s="253"/>
      <c r="J824" s="370"/>
      <c r="K824" s="1514">
        <f>'[55]TARGET VERSI LAMA'!$E$579</f>
        <v>0</v>
      </c>
      <c r="L824" s="372">
        <f>[56]PerDinas!$N$890</f>
        <v>0</v>
      </c>
      <c r="M824" s="1514">
        <v>0</v>
      </c>
      <c r="N824" s="371">
        <f t="shared" si="128"/>
        <v>0</v>
      </c>
      <c r="O824" s="371">
        <f t="shared" si="126"/>
        <v>0</v>
      </c>
      <c r="P824" s="778" t="e">
        <f t="shared" si="127"/>
        <v>#DIV/0!</v>
      </c>
      <c r="Q824" s="441"/>
      <c r="R824" s="422"/>
    </row>
    <row r="825" spans="1:18" s="189" customFormat="1">
      <c r="A825" s="293"/>
      <c r="B825" s="292"/>
      <c r="C825" s="292"/>
      <c r="D825" s="292"/>
      <c r="E825" s="292"/>
      <c r="F825" s="292"/>
      <c r="G825" s="253"/>
      <c r="H825" s="253"/>
      <c r="I825" s="253"/>
      <c r="J825" s="354"/>
      <c r="K825" s="355"/>
      <c r="L825" s="360"/>
      <c r="M825" s="355"/>
      <c r="N825" s="355"/>
      <c r="O825" s="355"/>
      <c r="P825" s="388"/>
      <c r="Q825" s="441"/>
      <c r="R825" s="422"/>
    </row>
    <row r="826" spans="1:18" s="189" customFormat="1">
      <c r="A826" s="293"/>
      <c r="B826" s="290">
        <v>4</v>
      </c>
      <c r="C826" s="290">
        <v>1</v>
      </c>
      <c r="D826" s="290">
        <v>4</v>
      </c>
      <c r="E826" s="290"/>
      <c r="F826" s="290"/>
      <c r="G826" s="291" t="s">
        <v>71</v>
      </c>
      <c r="H826" s="291"/>
      <c r="I826" s="291"/>
      <c r="J826" s="370">
        <f>J827+J832</f>
        <v>44000000</v>
      </c>
      <c r="K826" s="371">
        <f>K827+K832+K828</f>
        <v>0</v>
      </c>
      <c r="L826" s="371">
        <f>L827+L832+L828</f>
        <v>45521501.590000004</v>
      </c>
      <c r="M826" s="371">
        <f>M827+M832+M828</f>
        <v>53942214</v>
      </c>
      <c r="N826" s="371">
        <f>M826+L826</f>
        <v>99463715.590000004</v>
      </c>
      <c r="O826" s="367">
        <f>N826-K826</f>
        <v>99463715.590000004</v>
      </c>
      <c r="P826" s="347" t="e">
        <f>N826/K826*100</f>
        <v>#DIV/0!</v>
      </c>
      <c r="Q826" s="651"/>
      <c r="R826" s="422"/>
    </row>
    <row r="827" spans="1:18" s="189" customFormat="1">
      <c r="A827" s="289"/>
      <c r="B827" s="292">
        <v>4</v>
      </c>
      <c r="C827" s="292">
        <v>1</v>
      </c>
      <c r="D827" s="292">
        <v>4</v>
      </c>
      <c r="E827" s="292" t="s">
        <v>444</v>
      </c>
      <c r="F827" s="292"/>
      <c r="G827" s="253" t="s">
        <v>222</v>
      </c>
      <c r="H827" s="253"/>
      <c r="I827" s="253"/>
      <c r="J827" s="354">
        <f>+J830</f>
        <v>23000000</v>
      </c>
      <c r="K827" s="355">
        <f>+K830</f>
        <v>0</v>
      </c>
      <c r="L827" s="360">
        <f>SUM(L828:L830)</f>
        <v>45521271.590000004</v>
      </c>
      <c r="M827" s="355">
        <f>SUM(M828:M830)</f>
        <v>46749550</v>
      </c>
      <c r="N827" s="355">
        <f>SUM(N828:N830)</f>
        <v>92270821.590000004</v>
      </c>
      <c r="O827" s="346">
        <f>N827-K827</f>
        <v>92270821.590000004</v>
      </c>
      <c r="P827" s="347">
        <v>0</v>
      </c>
      <c r="Q827" s="441"/>
      <c r="R827" s="422"/>
    </row>
    <row r="828" spans="1:18" s="189" customFormat="1">
      <c r="A828" s="289"/>
      <c r="B828" s="292">
        <v>4</v>
      </c>
      <c r="C828" s="292">
        <v>1</v>
      </c>
      <c r="D828" s="292">
        <v>4</v>
      </c>
      <c r="E828" s="292" t="s">
        <v>441</v>
      </c>
      <c r="F828" s="292" t="s">
        <v>437</v>
      </c>
      <c r="G828" s="909" t="s">
        <v>1016</v>
      </c>
      <c r="H828" s="253"/>
      <c r="I828" s="253"/>
      <c r="J828" s="354">
        <v>0</v>
      </c>
      <c r="K828" s="355">
        <f>'[55]TARGET VERSI LAMA'!$E$579</f>
        <v>0</v>
      </c>
      <c r="L828" s="360">
        <f>L829</f>
        <v>0</v>
      </c>
      <c r="M828" s="355">
        <v>0</v>
      </c>
      <c r="N828" s="355">
        <f>M828+L828</f>
        <v>0</v>
      </c>
      <c r="O828" s="355">
        <f>N828-K828</f>
        <v>0</v>
      </c>
      <c r="P828" s="388"/>
      <c r="Q828" s="441"/>
      <c r="R828" s="422"/>
    </row>
    <row r="829" spans="1:18" s="189" customFormat="1">
      <c r="A829" s="289"/>
      <c r="B829" s="292">
        <v>4</v>
      </c>
      <c r="C829" s="292">
        <v>1</v>
      </c>
      <c r="D829" s="292">
        <v>4</v>
      </c>
      <c r="E829" s="292" t="s">
        <v>441</v>
      </c>
      <c r="F829" s="292" t="s">
        <v>1017</v>
      </c>
      <c r="G829" s="291" t="s">
        <v>1018</v>
      </c>
      <c r="H829" s="253"/>
      <c r="I829" s="253"/>
      <c r="J829" s="354">
        <v>0</v>
      </c>
      <c r="K829" s="355">
        <f>'[55]TARGET VERSI LAMA'!$E$583</f>
        <v>0</v>
      </c>
      <c r="L829" s="372">
        <f>[56]PerDinas!$N$895</f>
        <v>0</v>
      </c>
      <c r="M829" s="371">
        <f>[55]Perdinas!$P$598</f>
        <v>0</v>
      </c>
      <c r="N829" s="371">
        <f>M829+L829</f>
        <v>0</v>
      </c>
      <c r="O829" s="371">
        <f>N829-K829</f>
        <v>0</v>
      </c>
      <c r="P829" s="388" t="e">
        <f>N829/K829*100</f>
        <v>#DIV/0!</v>
      </c>
      <c r="Q829" s="651"/>
      <c r="R829" s="422"/>
    </row>
    <row r="830" spans="1:18" s="189" customFormat="1">
      <c r="A830" s="289"/>
      <c r="B830" s="292">
        <v>4</v>
      </c>
      <c r="C830" s="292">
        <v>1</v>
      </c>
      <c r="D830" s="292">
        <v>4</v>
      </c>
      <c r="E830" s="292" t="s">
        <v>444</v>
      </c>
      <c r="F830" s="292" t="s">
        <v>441</v>
      </c>
      <c r="G830" s="253" t="s">
        <v>75</v>
      </c>
      <c r="H830" s="253"/>
      <c r="I830" s="253"/>
      <c r="J830" s="354">
        <v>23000000</v>
      </c>
      <c r="K830" s="373">
        <f>'[55]TARGET VERSI LAMA'!$E$584</f>
        <v>0</v>
      </c>
      <c r="L830" s="360">
        <f>[56]PerDinas!$N$955</f>
        <v>45521271.590000004</v>
      </c>
      <c r="M830" s="373">
        <f>[55]Perdinas!$P$641</f>
        <v>46749550</v>
      </c>
      <c r="N830" s="369">
        <f>M830+L830</f>
        <v>92270821.590000004</v>
      </c>
      <c r="O830" s="355">
        <f>N830-K830</f>
        <v>92270821.590000004</v>
      </c>
      <c r="P830" s="388" t="e">
        <f>N830/K830*100</f>
        <v>#DIV/0!</v>
      </c>
      <c r="Q830" s="441"/>
      <c r="R830" s="422"/>
    </row>
    <row r="831" spans="1:18" s="189" customFormat="1">
      <c r="A831" s="293"/>
      <c r="B831" s="292"/>
      <c r="C831" s="292"/>
      <c r="D831" s="292"/>
      <c r="E831" s="292"/>
      <c r="F831" s="292"/>
      <c r="G831" s="253"/>
      <c r="H831" s="253"/>
      <c r="I831" s="253"/>
      <c r="J831" s="354"/>
      <c r="K831" s="355"/>
      <c r="L831" s="360">
        <v>0</v>
      </c>
      <c r="M831" s="355"/>
      <c r="N831" s="355"/>
      <c r="O831" s="355"/>
      <c r="P831" s="388"/>
      <c r="Q831" s="441"/>
      <c r="R831" s="555"/>
    </row>
    <row r="832" spans="1:18" s="189" customFormat="1">
      <c r="A832" s="293"/>
      <c r="B832" s="292">
        <v>4</v>
      </c>
      <c r="C832" s="292">
        <v>1</v>
      </c>
      <c r="D832" s="292">
        <v>4</v>
      </c>
      <c r="E832" s="292" t="s">
        <v>948</v>
      </c>
      <c r="F832" s="292"/>
      <c r="G832" s="253" t="s">
        <v>321</v>
      </c>
      <c r="H832" s="253"/>
      <c r="I832" s="253"/>
      <c r="J832" s="354">
        <f>+J833</f>
        <v>21000000</v>
      </c>
      <c r="K832" s="355">
        <f>+K833</f>
        <v>0</v>
      </c>
      <c r="L832" s="360">
        <f>+L833</f>
        <v>230</v>
      </c>
      <c r="M832" s="355">
        <f>+M833</f>
        <v>7192664</v>
      </c>
      <c r="N832" s="346">
        <f>+M832+L832</f>
        <v>7192894</v>
      </c>
      <c r="O832" s="346">
        <f>N832-K832</f>
        <v>7192894</v>
      </c>
      <c r="P832" s="388" t="e">
        <f>N832/K832*100</f>
        <v>#DIV/0!</v>
      </c>
      <c r="Q832" s="441"/>
      <c r="R832" s="422"/>
    </row>
    <row r="833" spans="1:18" s="189" customFormat="1">
      <c r="A833" s="293"/>
      <c r="B833" s="292">
        <v>4</v>
      </c>
      <c r="C833" s="292">
        <v>1</v>
      </c>
      <c r="D833" s="292">
        <v>4</v>
      </c>
      <c r="E833" s="292" t="s">
        <v>948</v>
      </c>
      <c r="F833" s="292" t="s">
        <v>437</v>
      </c>
      <c r="G833" s="253" t="s">
        <v>85</v>
      </c>
      <c r="H833" s="253"/>
      <c r="I833" s="253"/>
      <c r="J833" s="354">
        <f>+J834+J835</f>
        <v>21000000</v>
      </c>
      <c r="K833" s="355">
        <f>+K834+K835</f>
        <v>0</v>
      </c>
      <c r="L833" s="360">
        <f>L834+L835</f>
        <v>230</v>
      </c>
      <c r="M833" s="355">
        <f>+M834+M835</f>
        <v>7192664</v>
      </c>
      <c r="N833" s="355">
        <f>+N834</f>
        <v>7192894</v>
      </c>
      <c r="O833" s="355">
        <f>N833-K833</f>
        <v>7192894</v>
      </c>
      <c r="P833" s="388" t="e">
        <f>N833/K833*100</f>
        <v>#DIV/0!</v>
      </c>
      <c r="Q833" s="441"/>
      <c r="R833" s="464"/>
    </row>
    <row r="834" spans="1:18" s="189" customFormat="1">
      <c r="A834" s="293"/>
      <c r="B834" s="292"/>
      <c r="C834" s="292"/>
      <c r="D834" s="292"/>
      <c r="E834" s="292"/>
      <c r="F834" s="292"/>
      <c r="G834" s="253" t="s">
        <v>50</v>
      </c>
      <c r="H834" s="253"/>
      <c r="I834" s="253" t="s">
        <v>85</v>
      </c>
      <c r="J834" s="354">
        <v>15000000</v>
      </c>
      <c r="K834" s="373">
        <f>'[55]TARGET VERSI LAMA'!$E$585</f>
        <v>0</v>
      </c>
      <c r="L834" s="360">
        <f>[56]PerDinas!$N$630</f>
        <v>230</v>
      </c>
      <c r="M834" s="373">
        <f>[55]Perdinas!$P$406</f>
        <v>7192664</v>
      </c>
      <c r="N834" s="369">
        <f>M834+L834</f>
        <v>7192894</v>
      </c>
      <c r="O834" s="355">
        <f>N834-K834</f>
        <v>7192894</v>
      </c>
      <c r="P834" s="388" t="e">
        <f>N834/K834*100</f>
        <v>#DIV/0!</v>
      </c>
      <c r="Q834" s="441"/>
      <c r="R834" s="555"/>
    </row>
    <row r="835" spans="1:18" s="245" customFormat="1">
      <c r="A835" s="654"/>
      <c r="B835" s="655"/>
      <c r="C835" s="655"/>
      <c r="D835" s="655"/>
      <c r="E835" s="655"/>
      <c r="F835" s="655"/>
      <c r="G835" s="656" t="s">
        <v>50</v>
      </c>
      <c r="H835" s="656"/>
      <c r="I835" s="656"/>
      <c r="J835" s="526">
        <v>6000000</v>
      </c>
      <c r="K835" s="527">
        <v>0</v>
      </c>
      <c r="L835" s="527"/>
      <c r="M835" s="1520">
        <v>0</v>
      </c>
      <c r="N835" s="527">
        <f>M835+L835</f>
        <v>0</v>
      </c>
      <c r="O835" s="527">
        <f>N835-K835</f>
        <v>0</v>
      </c>
      <c r="P835" s="671"/>
      <c r="Q835" s="644"/>
      <c r="R835" s="450"/>
    </row>
    <row r="836" spans="1:18" s="244" customFormat="1">
      <c r="A836" s="1383" t="s">
        <v>396</v>
      </c>
      <c r="B836" s="1378" t="s">
        <v>460</v>
      </c>
      <c r="C836" s="1378" t="s">
        <v>456</v>
      </c>
      <c r="D836" s="1378" t="s">
        <v>437</v>
      </c>
      <c r="E836" s="1378"/>
      <c r="F836" s="1378"/>
      <c r="G836" s="1379" t="s">
        <v>911</v>
      </c>
      <c r="H836" s="1379"/>
      <c r="I836" s="1379"/>
      <c r="J836" s="1396">
        <f>+J838</f>
        <v>241500000</v>
      </c>
      <c r="K836" s="1397">
        <f>+K838</f>
        <v>240000000</v>
      </c>
      <c r="L836" s="1397">
        <f>+L838</f>
        <v>296916300</v>
      </c>
      <c r="M836" s="1397">
        <f>+M838</f>
        <v>18634700</v>
      </c>
      <c r="N836" s="1397">
        <f>M836+L836</f>
        <v>315551000</v>
      </c>
      <c r="O836" s="1397">
        <f>+N836-K836</f>
        <v>75551000</v>
      </c>
      <c r="P836" s="1398">
        <f>+N836/K836*100</f>
        <v>131.47958333333335</v>
      </c>
      <c r="Q836" s="1406"/>
      <c r="R836" s="639"/>
    </row>
    <row r="837" spans="1:18" s="189" customFormat="1">
      <c r="A837" s="1409"/>
      <c r="B837" s="1324"/>
      <c r="C837" s="1324"/>
      <c r="D837" s="1324"/>
      <c r="E837" s="1324"/>
      <c r="F837" s="1324"/>
      <c r="G837" s="1325"/>
      <c r="H837" s="1325"/>
      <c r="I837" s="1325"/>
      <c r="J837" s="757"/>
      <c r="K837" s="758"/>
      <c r="L837" s="1521"/>
      <c r="M837" s="758"/>
      <c r="N837" s="758"/>
      <c r="O837" s="758"/>
      <c r="P837" s="690"/>
      <c r="Q837" s="782"/>
      <c r="R837" s="422"/>
    </row>
    <row r="838" spans="1:18" s="189" customFormat="1">
      <c r="A838" s="293"/>
      <c r="B838" s="290">
        <v>4</v>
      </c>
      <c r="C838" s="290">
        <v>1</v>
      </c>
      <c r="D838" s="290"/>
      <c r="E838" s="290"/>
      <c r="F838" s="290"/>
      <c r="G838" s="291" t="s">
        <v>180</v>
      </c>
      <c r="H838" s="291"/>
      <c r="I838" s="291"/>
      <c r="J838" s="387">
        <f>+J840+J849</f>
        <v>241500000</v>
      </c>
      <c r="K838" s="367">
        <f>+K840+K849</f>
        <v>240000000</v>
      </c>
      <c r="L838" s="1066">
        <f>+L840+L849</f>
        <v>296916300</v>
      </c>
      <c r="M838" s="367">
        <f>+M840+M849</f>
        <v>18634700</v>
      </c>
      <c r="N838" s="367">
        <f>+M838+L838</f>
        <v>315551000</v>
      </c>
      <c r="O838" s="367">
        <f t="shared" ref="O838:O843" si="129">N838-K838</f>
        <v>75551000</v>
      </c>
      <c r="P838" s="347">
        <f>N838/K838*100</f>
        <v>131.47958333333335</v>
      </c>
      <c r="Q838" s="454"/>
      <c r="R838" s="422"/>
    </row>
    <row r="839" spans="1:18" s="189" customFormat="1">
      <c r="A839" s="293"/>
      <c r="B839" s="292"/>
      <c r="C839" s="292"/>
      <c r="D839" s="292"/>
      <c r="E839" s="292"/>
      <c r="F839" s="292"/>
      <c r="G839" s="253"/>
      <c r="H839" s="253"/>
      <c r="I839" s="291"/>
      <c r="J839" s="345"/>
      <c r="K839" s="346"/>
      <c r="L839" s="660"/>
      <c r="M839" s="346"/>
      <c r="N839" s="346"/>
      <c r="O839" s="346"/>
      <c r="P839" s="347"/>
      <c r="Q839" s="438"/>
      <c r="R839" s="422"/>
    </row>
    <row r="840" spans="1:18" s="189" customFormat="1">
      <c r="A840" s="293"/>
      <c r="B840" s="290">
        <v>4</v>
      </c>
      <c r="C840" s="290">
        <v>1</v>
      </c>
      <c r="D840" s="290">
        <v>2</v>
      </c>
      <c r="E840" s="290"/>
      <c r="F840" s="290"/>
      <c r="G840" s="291" t="s">
        <v>106</v>
      </c>
      <c r="H840" s="291"/>
      <c r="I840" s="291"/>
      <c r="J840" s="387">
        <f>+J841+J845</f>
        <v>226500000</v>
      </c>
      <c r="K840" s="367">
        <f>+K841+K845</f>
        <v>240000000</v>
      </c>
      <c r="L840" s="1066">
        <f>+L841+L845</f>
        <v>286866750</v>
      </c>
      <c r="M840" s="367">
        <f>+M841+M845</f>
        <v>0</v>
      </c>
      <c r="N840" s="367">
        <f>+M840+L840</f>
        <v>286866750</v>
      </c>
      <c r="O840" s="367">
        <f t="shared" si="129"/>
        <v>46866750</v>
      </c>
      <c r="P840" s="347">
        <f>N840/K840*100</f>
        <v>119.5278125</v>
      </c>
      <c r="Q840" s="454"/>
      <c r="R840" s="422"/>
    </row>
    <row r="841" spans="1:18" s="189" customFormat="1">
      <c r="A841" s="293"/>
      <c r="B841" s="292">
        <v>4</v>
      </c>
      <c r="C841" s="292">
        <v>1</v>
      </c>
      <c r="D841" s="292">
        <v>2</v>
      </c>
      <c r="E841" s="292" t="s">
        <v>437</v>
      </c>
      <c r="F841" s="292"/>
      <c r="G841" s="253" t="s">
        <v>107</v>
      </c>
      <c r="H841" s="253"/>
      <c r="I841" s="291"/>
      <c r="J841" s="345">
        <f>SUM(J842:J843)</f>
        <v>226500000</v>
      </c>
      <c r="K841" s="346">
        <f>SUM(K842:K843)</f>
        <v>240000000</v>
      </c>
      <c r="L841" s="660">
        <f>SUM(L842:L843)</f>
        <v>286866750</v>
      </c>
      <c r="M841" s="346">
        <f>SUM(M842:M843)</f>
        <v>0</v>
      </c>
      <c r="N841" s="346">
        <f>+M841+L841</f>
        <v>286866750</v>
      </c>
      <c r="O841" s="346">
        <f t="shared" si="129"/>
        <v>46866750</v>
      </c>
      <c r="P841" s="347">
        <f>N841/K841*100</f>
        <v>119.5278125</v>
      </c>
      <c r="Q841" s="438"/>
      <c r="R841" s="422"/>
    </row>
    <row r="842" spans="1:18" s="189" customFormat="1">
      <c r="A842" s="293"/>
      <c r="B842" s="292">
        <v>4</v>
      </c>
      <c r="C842" s="292">
        <v>1</v>
      </c>
      <c r="D842" s="292">
        <v>2</v>
      </c>
      <c r="E842" s="292" t="s">
        <v>437</v>
      </c>
      <c r="F842" s="292" t="s">
        <v>445</v>
      </c>
      <c r="G842" s="253" t="s">
        <v>394</v>
      </c>
      <c r="H842" s="253"/>
      <c r="I842" s="253"/>
      <c r="J842" s="374">
        <v>226500000</v>
      </c>
      <c r="K842" s="373">
        <f>'[55]TARGET VERSI LAMA'!$E$592</f>
        <v>240000000</v>
      </c>
      <c r="L842" s="377">
        <f>[56]PerDinas!$N$967</f>
        <v>286866750</v>
      </c>
      <c r="M842" s="373">
        <f>[55]Perdinas!$P$648</f>
        <v>0</v>
      </c>
      <c r="N842" s="369">
        <f t="shared" ref="N842:N847" si="130">M842+L842</f>
        <v>286866750</v>
      </c>
      <c r="O842" s="355">
        <f t="shared" si="129"/>
        <v>46866750</v>
      </c>
      <c r="P842" s="388">
        <f>N842/K842*100</f>
        <v>119.5278125</v>
      </c>
      <c r="Q842" s="448"/>
      <c r="R842" s="422"/>
    </row>
    <row r="843" spans="1:18" s="189" customFormat="1">
      <c r="A843" s="293"/>
      <c r="B843" s="292"/>
      <c r="C843" s="292"/>
      <c r="D843" s="292"/>
      <c r="E843" s="292"/>
      <c r="F843" s="292"/>
      <c r="G843" s="253"/>
      <c r="H843" s="253"/>
      <c r="I843" s="253"/>
      <c r="J843" s="374"/>
      <c r="K843" s="375"/>
      <c r="L843" s="377"/>
      <c r="M843" s="375"/>
      <c r="N843" s="355">
        <f t="shared" si="130"/>
        <v>0</v>
      </c>
      <c r="O843" s="355">
        <f t="shared" si="129"/>
        <v>0</v>
      </c>
      <c r="P843" s="388"/>
      <c r="Q843" s="448"/>
      <c r="R843" s="422"/>
    </row>
    <row r="844" spans="1:18" s="189" customFormat="1">
      <c r="A844" s="293"/>
      <c r="B844" s="292"/>
      <c r="C844" s="292"/>
      <c r="D844" s="292"/>
      <c r="E844" s="292"/>
      <c r="F844" s="292"/>
      <c r="G844" s="253"/>
      <c r="H844" s="253"/>
      <c r="I844" s="253"/>
      <c r="J844" s="374"/>
      <c r="K844" s="375"/>
      <c r="L844" s="377"/>
      <c r="M844" s="375"/>
      <c r="N844" s="375"/>
      <c r="O844" s="375"/>
      <c r="P844" s="600"/>
      <c r="Q844" s="448"/>
      <c r="R844" s="422"/>
    </row>
    <row r="845" spans="1:18" s="189" customFormat="1">
      <c r="A845" s="293"/>
      <c r="B845" s="292">
        <v>4</v>
      </c>
      <c r="C845" s="292">
        <v>1</v>
      </c>
      <c r="D845" s="292">
        <v>2</v>
      </c>
      <c r="E845" s="292" t="s">
        <v>438</v>
      </c>
      <c r="F845" s="292"/>
      <c r="G845" s="253" t="s">
        <v>374</v>
      </c>
      <c r="H845" s="253"/>
      <c r="I845" s="253"/>
      <c r="J845" s="374">
        <f t="shared" ref="J845:M846" si="131">+J846</f>
        <v>0</v>
      </c>
      <c r="K845" s="375">
        <f t="shared" si="131"/>
        <v>0</v>
      </c>
      <c r="L845" s="377">
        <f t="shared" si="131"/>
        <v>0</v>
      </c>
      <c r="M845" s="375">
        <f t="shared" si="131"/>
        <v>0</v>
      </c>
      <c r="N845" s="346">
        <f>+M845+L845</f>
        <v>0</v>
      </c>
      <c r="O845" s="346">
        <f>N845-K845</f>
        <v>0</v>
      </c>
      <c r="P845" s="347" t="e">
        <f>N845/K845*100</f>
        <v>#DIV/0!</v>
      </c>
      <c r="Q845" s="448"/>
      <c r="R845" s="422"/>
    </row>
    <row r="846" spans="1:18" s="189" customFormat="1">
      <c r="A846" s="289"/>
      <c r="B846" s="292">
        <v>4</v>
      </c>
      <c r="C846" s="292">
        <v>1</v>
      </c>
      <c r="D846" s="292">
        <v>2</v>
      </c>
      <c r="E846" s="292" t="s">
        <v>438</v>
      </c>
      <c r="F846" s="292" t="s">
        <v>437</v>
      </c>
      <c r="G846" s="253" t="s">
        <v>64</v>
      </c>
      <c r="H846" s="253"/>
      <c r="I846" s="253"/>
      <c r="J846" s="374">
        <f t="shared" si="131"/>
        <v>0</v>
      </c>
      <c r="K846" s="375">
        <f t="shared" si="131"/>
        <v>0</v>
      </c>
      <c r="L846" s="377">
        <f t="shared" si="131"/>
        <v>0</v>
      </c>
      <c r="M846" s="375">
        <f t="shared" si="131"/>
        <v>0</v>
      </c>
      <c r="N846" s="355">
        <f t="shared" si="130"/>
        <v>0</v>
      </c>
      <c r="O846" s="355">
        <f>N846-K846</f>
        <v>0</v>
      </c>
      <c r="P846" s="388" t="e">
        <f>N846/K846*100</f>
        <v>#DIV/0!</v>
      </c>
      <c r="Q846" s="448"/>
      <c r="R846" s="422"/>
    </row>
    <row r="847" spans="1:18" s="189" customFormat="1">
      <c r="A847" s="293"/>
      <c r="B847" s="292"/>
      <c r="C847" s="292"/>
      <c r="D847" s="292"/>
      <c r="E847" s="292"/>
      <c r="F847" s="292"/>
      <c r="G847" s="253" t="s">
        <v>50</v>
      </c>
      <c r="H847" s="253"/>
      <c r="I847" s="253" t="s">
        <v>1019</v>
      </c>
      <c r="J847" s="374">
        <v>0</v>
      </c>
      <c r="K847" s="375">
        <v>0</v>
      </c>
      <c r="L847" s="377"/>
      <c r="M847" s="1522">
        <v>0</v>
      </c>
      <c r="N847" s="355">
        <f t="shared" si="130"/>
        <v>0</v>
      </c>
      <c r="O847" s="355">
        <f>N847-K847</f>
        <v>0</v>
      </c>
      <c r="P847" s="388" t="e">
        <f>N847/K847*100</f>
        <v>#DIV/0!</v>
      </c>
      <c r="Q847" s="448"/>
      <c r="R847" s="422"/>
    </row>
    <row r="848" spans="1:18" s="189" customFormat="1">
      <c r="A848" s="293"/>
      <c r="B848" s="292"/>
      <c r="C848" s="292"/>
      <c r="D848" s="292"/>
      <c r="E848" s="292"/>
      <c r="F848" s="292"/>
      <c r="G848" s="253"/>
      <c r="H848" s="253"/>
      <c r="I848" s="253"/>
      <c r="J848" s="374"/>
      <c r="K848" s="375"/>
      <c r="L848" s="377"/>
      <c r="M848" s="375"/>
      <c r="N848" s="375"/>
      <c r="O848" s="375"/>
      <c r="P848" s="600"/>
      <c r="Q848" s="448"/>
      <c r="R848" s="422"/>
    </row>
    <row r="849" spans="1:18" s="189" customFormat="1">
      <c r="A849" s="293"/>
      <c r="B849" s="290">
        <v>4</v>
      </c>
      <c r="C849" s="290">
        <v>1</v>
      </c>
      <c r="D849" s="290">
        <v>4</v>
      </c>
      <c r="E849" s="290"/>
      <c r="F849" s="290"/>
      <c r="G849" s="291" t="s">
        <v>71</v>
      </c>
      <c r="H849" s="291"/>
      <c r="I849" s="291"/>
      <c r="J849" s="397">
        <f>J850+J855</f>
        <v>15000000</v>
      </c>
      <c r="K849" s="398">
        <f>K850+K855</f>
        <v>0</v>
      </c>
      <c r="L849" s="684">
        <f>L850+L855+L851</f>
        <v>10049550</v>
      </c>
      <c r="M849" s="684">
        <f>M850+M855+M851</f>
        <v>18634700</v>
      </c>
      <c r="N849" s="398">
        <f>M849+L849</f>
        <v>28684250</v>
      </c>
      <c r="O849" s="367">
        <f>N849-K849</f>
        <v>28684250</v>
      </c>
      <c r="P849" s="347" t="e">
        <f>N849/K849*100</f>
        <v>#DIV/0!</v>
      </c>
      <c r="Q849" s="699"/>
      <c r="R849" s="422"/>
    </row>
    <row r="850" spans="1:18" s="189" customFormat="1">
      <c r="A850" s="289"/>
      <c r="B850" s="292">
        <v>4</v>
      </c>
      <c r="C850" s="292">
        <v>1</v>
      </c>
      <c r="D850" s="292">
        <v>4</v>
      </c>
      <c r="E850" s="292" t="s">
        <v>444</v>
      </c>
      <c r="F850" s="292"/>
      <c r="G850" s="253" t="s">
        <v>222</v>
      </c>
      <c r="H850" s="253"/>
      <c r="I850" s="253"/>
      <c r="J850" s="354">
        <f>+J853</f>
        <v>0</v>
      </c>
      <c r="K850" s="355">
        <f>+K853</f>
        <v>0</v>
      </c>
      <c r="L850" s="355">
        <f>+L853</f>
        <v>10049550</v>
      </c>
      <c r="M850" s="355">
        <f>+M853</f>
        <v>18634700</v>
      </c>
      <c r="N850" s="355">
        <f>M850+L850</f>
        <v>28684250</v>
      </c>
      <c r="O850" s="346">
        <f>N850-K850</f>
        <v>28684250</v>
      </c>
      <c r="P850" s="347">
        <v>0</v>
      </c>
      <c r="Q850" s="441"/>
      <c r="R850" s="422"/>
    </row>
    <row r="851" spans="1:18" s="189" customFormat="1">
      <c r="A851" s="289"/>
      <c r="B851" s="292">
        <v>4</v>
      </c>
      <c r="C851" s="292">
        <v>1</v>
      </c>
      <c r="D851" s="292">
        <v>4</v>
      </c>
      <c r="E851" s="292" t="s">
        <v>444</v>
      </c>
      <c r="F851" s="292" t="s">
        <v>440</v>
      </c>
      <c r="G851" s="253" t="s">
        <v>710</v>
      </c>
      <c r="H851" s="253"/>
      <c r="I851" s="253"/>
      <c r="J851" s="354">
        <v>0</v>
      </c>
      <c r="K851" s="355">
        <v>0</v>
      </c>
      <c r="L851" s="360">
        <v>0</v>
      </c>
      <c r="M851" s="355">
        <f>[55]Perdinas!$P$651</f>
        <v>0</v>
      </c>
      <c r="N851" s="355">
        <f>M851+L851</f>
        <v>0</v>
      </c>
      <c r="O851" s="355">
        <f>N851-K851</f>
        <v>0</v>
      </c>
      <c r="P851" s="388"/>
      <c r="Q851" s="441"/>
      <c r="R851" s="422"/>
    </row>
    <row r="852" spans="1:18" s="189" customFormat="1">
      <c r="A852" s="289"/>
      <c r="B852" s="292">
        <v>4</v>
      </c>
      <c r="C852" s="292">
        <v>1</v>
      </c>
      <c r="D852" s="292">
        <v>4</v>
      </c>
      <c r="E852" s="292" t="s">
        <v>444</v>
      </c>
      <c r="F852" s="292" t="s">
        <v>445</v>
      </c>
      <c r="G852" s="253" t="s">
        <v>74</v>
      </c>
      <c r="H852" s="253"/>
      <c r="I852" s="253"/>
      <c r="J852" s="354">
        <v>0</v>
      </c>
      <c r="K852" s="355">
        <v>0</v>
      </c>
      <c r="L852" s="360">
        <v>0</v>
      </c>
      <c r="M852" s="355">
        <f>[55]Perdinas!$P$613</f>
        <v>0</v>
      </c>
      <c r="N852" s="355">
        <f>M852+L852</f>
        <v>0</v>
      </c>
      <c r="O852" s="355">
        <f>N852-K852</f>
        <v>0</v>
      </c>
      <c r="P852" s="388"/>
      <c r="Q852" s="441"/>
      <c r="R852" s="422"/>
    </row>
    <row r="853" spans="1:18" s="189" customFormat="1">
      <c r="A853" s="289"/>
      <c r="B853" s="292">
        <v>4</v>
      </c>
      <c r="C853" s="292">
        <v>1</v>
      </c>
      <c r="D853" s="292">
        <v>4</v>
      </c>
      <c r="E853" s="292" t="s">
        <v>444</v>
      </c>
      <c r="F853" s="292" t="s">
        <v>441</v>
      </c>
      <c r="G853" s="253" t="s">
        <v>75</v>
      </c>
      <c r="H853" s="253"/>
      <c r="I853" s="253"/>
      <c r="J853" s="354">
        <v>0</v>
      </c>
      <c r="K853" s="373">
        <f>'[55]TARGET VERSI LAMA'!$E$597</f>
        <v>0</v>
      </c>
      <c r="L853" s="360">
        <f>[56]PerDinas!$N$978</f>
        <v>10049550</v>
      </c>
      <c r="M853" s="373">
        <f>[55]Perdinas!$P$654</f>
        <v>18634700</v>
      </c>
      <c r="N853" s="369">
        <f>M853+L853</f>
        <v>28684250</v>
      </c>
      <c r="O853" s="355">
        <f>N853-K853</f>
        <v>28684250</v>
      </c>
      <c r="P853" s="388"/>
      <c r="Q853" s="441"/>
      <c r="R853" s="422"/>
    </row>
    <row r="854" spans="1:18" s="189" customFormat="1">
      <c r="A854" s="293"/>
      <c r="B854" s="292"/>
      <c r="C854" s="292"/>
      <c r="D854" s="292"/>
      <c r="E854" s="292"/>
      <c r="F854" s="292"/>
      <c r="G854" s="253"/>
      <c r="H854" s="253"/>
      <c r="I854" s="253"/>
      <c r="J854" s="374"/>
      <c r="K854" s="375"/>
      <c r="L854" s="377"/>
      <c r="M854" s="375"/>
      <c r="N854" s="355"/>
      <c r="O854" s="355"/>
      <c r="P854" s="388"/>
      <c r="Q854" s="448"/>
      <c r="R854" s="422"/>
    </row>
    <row r="855" spans="1:18" s="189" customFormat="1">
      <c r="A855" s="293"/>
      <c r="B855" s="292">
        <v>4</v>
      </c>
      <c r="C855" s="292">
        <v>1</v>
      </c>
      <c r="D855" s="292">
        <v>4</v>
      </c>
      <c r="E855" s="292" t="s">
        <v>948</v>
      </c>
      <c r="F855" s="292"/>
      <c r="G855" s="253" t="s">
        <v>321</v>
      </c>
      <c r="H855" s="253"/>
      <c r="I855" s="253"/>
      <c r="J855" s="374">
        <f>+J856</f>
        <v>15000000</v>
      </c>
      <c r="K855" s="375">
        <f>+K856</f>
        <v>0</v>
      </c>
      <c r="L855" s="377">
        <f>+L856+L858</f>
        <v>0</v>
      </c>
      <c r="M855" s="375">
        <f>+M856+M858</f>
        <v>0</v>
      </c>
      <c r="N855" s="375">
        <f>M855+L855</f>
        <v>0</v>
      </c>
      <c r="O855" s="346">
        <f>N855-K855</f>
        <v>0</v>
      </c>
      <c r="P855" s="347" t="e">
        <f>N855/K855*100</f>
        <v>#DIV/0!</v>
      </c>
      <c r="Q855" s="448"/>
      <c r="R855" s="422"/>
    </row>
    <row r="856" spans="1:18" s="189" customFormat="1">
      <c r="A856" s="293"/>
      <c r="B856" s="292">
        <v>4</v>
      </c>
      <c r="C856" s="292">
        <v>1</v>
      </c>
      <c r="D856" s="292">
        <v>4</v>
      </c>
      <c r="E856" s="292" t="s">
        <v>948</v>
      </c>
      <c r="F856" s="292" t="s">
        <v>437</v>
      </c>
      <c r="G856" s="253" t="s">
        <v>85</v>
      </c>
      <c r="H856" s="253"/>
      <c r="I856" s="253"/>
      <c r="J856" s="374">
        <f>SUM(J857+J858)</f>
        <v>15000000</v>
      </c>
      <c r="K856" s="375">
        <f>SUM(K857+K858)</f>
        <v>0</v>
      </c>
      <c r="L856" s="377">
        <f>L857</f>
        <v>0</v>
      </c>
      <c r="M856" s="375">
        <f>M857</f>
        <v>0</v>
      </c>
      <c r="N856" s="375">
        <f>N857</f>
        <v>0</v>
      </c>
      <c r="O856" s="355">
        <f>N856-K856</f>
        <v>0</v>
      </c>
      <c r="P856" s="388" t="e">
        <f>N856/K856*100</f>
        <v>#DIV/0!</v>
      </c>
      <c r="Q856" s="448"/>
      <c r="R856" s="422"/>
    </row>
    <row r="857" spans="1:18" s="189" customFormat="1">
      <c r="A857" s="293"/>
      <c r="B857" s="292"/>
      <c r="C857" s="292"/>
      <c r="D857" s="292"/>
      <c r="E857" s="292"/>
      <c r="F857" s="292"/>
      <c r="G857" s="253" t="s">
        <v>50</v>
      </c>
      <c r="H857" s="253"/>
      <c r="I857" s="253" t="s">
        <v>76</v>
      </c>
      <c r="J857" s="374">
        <v>15000000</v>
      </c>
      <c r="K857" s="376">
        <f>'[55]TARGET VERSI LAMA'!$E$598</f>
        <v>0</v>
      </c>
      <c r="L857" s="377">
        <f>PerDinas!L631</f>
        <v>0</v>
      </c>
      <c r="M857" s="375">
        <f>[55]Perdinas!$P$407</f>
        <v>0</v>
      </c>
      <c r="N857" s="369">
        <f>M857+L857</f>
        <v>0</v>
      </c>
      <c r="O857" s="355">
        <f>N857-K857</f>
        <v>0</v>
      </c>
      <c r="P857" s="388" t="e">
        <f>N857/K857*100</f>
        <v>#DIV/0!</v>
      </c>
      <c r="Q857" s="448"/>
      <c r="R857" s="422"/>
    </row>
    <row r="858" spans="1:18" s="189" customFormat="1">
      <c r="A858" s="654"/>
      <c r="B858" s="655"/>
      <c r="C858" s="655"/>
      <c r="D858" s="655"/>
      <c r="E858" s="655"/>
      <c r="F858" s="655"/>
      <c r="G858" s="656"/>
      <c r="H858" s="656"/>
      <c r="I858" s="656"/>
      <c r="J858" s="680"/>
      <c r="K858" s="681"/>
      <c r="L858" s="682"/>
      <c r="M858" s="681"/>
      <c r="N858" s="527"/>
      <c r="O858" s="527"/>
      <c r="P858" s="671"/>
      <c r="Q858" s="698"/>
      <c r="R858" s="422"/>
    </row>
    <row r="859" spans="1:18" s="244" customFormat="1">
      <c r="A859" s="1383" t="s">
        <v>915</v>
      </c>
      <c r="B859" s="1378"/>
      <c r="C859" s="1378"/>
      <c r="D859" s="1378"/>
      <c r="E859" s="1378"/>
      <c r="F859" s="1378"/>
      <c r="G859" s="1379" t="s">
        <v>914</v>
      </c>
      <c r="H859" s="1379"/>
      <c r="I859" s="1379"/>
      <c r="J859" s="1396">
        <f>+J861</f>
        <v>0</v>
      </c>
      <c r="K859" s="1397">
        <f>+K861</f>
        <v>0</v>
      </c>
      <c r="L859" s="1397">
        <f>+L861</f>
        <v>0</v>
      </c>
      <c r="M859" s="1397">
        <f>+M861</f>
        <v>17314100</v>
      </c>
      <c r="N859" s="1397">
        <f>M859+L859</f>
        <v>17314100</v>
      </c>
      <c r="O859" s="1397">
        <f>+N859-K859</f>
        <v>17314100</v>
      </c>
      <c r="P859" s="1398" t="e">
        <f>+N859/K859*100</f>
        <v>#DIV/0!</v>
      </c>
      <c r="Q859" s="1406"/>
      <c r="R859" s="639"/>
    </row>
    <row r="860" spans="1:18" s="189" customFormat="1">
      <c r="A860" s="1409"/>
      <c r="B860" s="1324"/>
      <c r="C860" s="1324"/>
      <c r="D860" s="1324"/>
      <c r="E860" s="1324"/>
      <c r="F860" s="1324"/>
      <c r="G860" s="1325"/>
      <c r="H860" s="1325"/>
      <c r="I860" s="1325"/>
      <c r="J860" s="757"/>
      <c r="K860" s="758"/>
      <c r="L860" s="758"/>
      <c r="M860" s="758"/>
      <c r="N860" s="758"/>
      <c r="O860" s="758"/>
      <c r="P860" s="690"/>
      <c r="Q860" s="1523"/>
      <c r="R860" s="422"/>
    </row>
    <row r="861" spans="1:18" s="189" customFormat="1">
      <c r="A861" s="293"/>
      <c r="B861" s="290">
        <v>4</v>
      </c>
      <c r="C861" s="290">
        <v>1</v>
      </c>
      <c r="D861" s="290"/>
      <c r="E861" s="290"/>
      <c r="F861" s="290"/>
      <c r="G861" s="291" t="s">
        <v>180</v>
      </c>
      <c r="H861" s="291"/>
      <c r="I861" s="291"/>
      <c r="J861" s="387">
        <f>+J863</f>
        <v>0</v>
      </c>
      <c r="K861" s="367">
        <f>+K863</f>
        <v>0</v>
      </c>
      <c r="L861" s="367">
        <f>+L863</f>
        <v>0</v>
      </c>
      <c r="M861" s="367">
        <f>+M863</f>
        <v>17314100</v>
      </c>
      <c r="N861" s="367">
        <f>+M861+L861</f>
        <v>17314100</v>
      </c>
      <c r="O861" s="367">
        <f t="shared" ref="O861:O867" si="132">N861-K861</f>
        <v>17314100</v>
      </c>
      <c r="P861" s="347" t="e">
        <f>N861/K861*100</f>
        <v>#DIV/0!</v>
      </c>
      <c r="Q861" s="1461"/>
      <c r="R861" s="422"/>
    </row>
    <row r="862" spans="1:18" s="189" customFormat="1">
      <c r="A862" s="293"/>
      <c r="B862" s="292"/>
      <c r="C862" s="292"/>
      <c r="D862" s="292"/>
      <c r="E862" s="292"/>
      <c r="F862" s="292"/>
      <c r="G862" s="253"/>
      <c r="H862" s="253"/>
      <c r="I862" s="253"/>
      <c r="J862" s="345"/>
      <c r="K862" s="346"/>
      <c r="L862" s="367"/>
      <c r="M862" s="367"/>
      <c r="N862" s="367"/>
      <c r="O862" s="367"/>
      <c r="P862" s="347"/>
      <c r="Q862" s="1461"/>
      <c r="R862" s="422"/>
    </row>
    <row r="863" spans="1:18" s="189" customFormat="1">
      <c r="A863" s="293"/>
      <c r="B863" s="290">
        <v>4</v>
      </c>
      <c r="C863" s="290">
        <v>1</v>
      </c>
      <c r="D863" s="290">
        <v>4</v>
      </c>
      <c r="E863" s="290"/>
      <c r="F863" s="290"/>
      <c r="G863" s="291" t="s">
        <v>71</v>
      </c>
      <c r="H863" s="291"/>
      <c r="I863" s="291"/>
      <c r="J863" s="370">
        <f>J864+J869</f>
        <v>0</v>
      </c>
      <c r="K863" s="371">
        <f>K864+K869</f>
        <v>0</v>
      </c>
      <c r="L863" s="371">
        <f>L864+L869</f>
        <v>0</v>
      </c>
      <c r="M863" s="371">
        <f>M864+M869</f>
        <v>17314100</v>
      </c>
      <c r="N863" s="371">
        <f>N864+N869</f>
        <v>17314100</v>
      </c>
      <c r="O863" s="367">
        <f t="shared" si="132"/>
        <v>17314100</v>
      </c>
      <c r="P863" s="347" t="e">
        <f>N863/K863*100</f>
        <v>#DIV/0!</v>
      </c>
      <c r="Q863" s="1461"/>
      <c r="R863" s="422"/>
    </row>
    <row r="864" spans="1:18" s="189" customFormat="1">
      <c r="A864" s="289"/>
      <c r="B864" s="292">
        <v>4</v>
      </c>
      <c r="C864" s="292">
        <v>1</v>
      </c>
      <c r="D864" s="292">
        <v>4</v>
      </c>
      <c r="E864" s="292" t="s">
        <v>444</v>
      </c>
      <c r="F864" s="292"/>
      <c r="G864" s="253" t="s">
        <v>222</v>
      </c>
      <c r="H864" s="253"/>
      <c r="I864" s="253"/>
      <c r="J864" s="354">
        <f>+J867</f>
        <v>0</v>
      </c>
      <c r="K864" s="355">
        <f>+K867</f>
        <v>0</v>
      </c>
      <c r="L864" s="355">
        <f>SUM(L865:L867)</f>
        <v>0</v>
      </c>
      <c r="M864" s="355">
        <f>SUM(M865:M867)</f>
        <v>17314100</v>
      </c>
      <c r="N864" s="355">
        <f>SUM(N865:N867)</f>
        <v>17314100</v>
      </c>
      <c r="O864" s="346">
        <f t="shared" si="132"/>
        <v>17314100</v>
      </c>
      <c r="P864" s="347">
        <v>0</v>
      </c>
      <c r="Q864" s="1461"/>
      <c r="R864" s="422"/>
    </row>
    <row r="865" spans="1:18" s="189" customFormat="1">
      <c r="A865" s="289"/>
      <c r="B865" s="292">
        <v>4</v>
      </c>
      <c r="C865" s="292">
        <v>1</v>
      </c>
      <c r="D865" s="292">
        <v>4</v>
      </c>
      <c r="E865" s="292" t="s">
        <v>444</v>
      </c>
      <c r="F865" s="292" t="s">
        <v>440</v>
      </c>
      <c r="G865" s="253" t="s">
        <v>73</v>
      </c>
      <c r="H865" s="253"/>
      <c r="I865" s="253"/>
      <c r="J865" s="354">
        <v>0</v>
      </c>
      <c r="K865" s="355">
        <v>0</v>
      </c>
      <c r="L865" s="355">
        <v>0</v>
      </c>
      <c r="M865" s="355">
        <f>[55]Perdinas!$P$621</f>
        <v>0</v>
      </c>
      <c r="N865" s="355">
        <f>M865+L865</f>
        <v>0</v>
      </c>
      <c r="O865" s="355">
        <f t="shared" si="132"/>
        <v>0</v>
      </c>
      <c r="P865" s="388"/>
      <c r="Q865" s="1461"/>
      <c r="R865" s="422"/>
    </row>
    <row r="866" spans="1:18" s="189" customFormat="1">
      <c r="A866" s="289"/>
      <c r="B866" s="292">
        <v>4</v>
      </c>
      <c r="C866" s="292">
        <v>1</v>
      </c>
      <c r="D866" s="292">
        <v>4</v>
      </c>
      <c r="E866" s="292" t="s">
        <v>444</v>
      </c>
      <c r="F866" s="292" t="s">
        <v>445</v>
      </c>
      <c r="G866" s="253" t="s">
        <v>74</v>
      </c>
      <c r="H866" s="253"/>
      <c r="I866" s="253"/>
      <c r="J866" s="354">
        <v>0</v>
      </c>
      <c r="K866" s="355">
        <v>0</v>
      </c>
      <c r="L866" s="360">
        <v>0</v>
      </c>
      <c r="M866" s="355">
        <v>0</v>
      </c>
      <c r="N866" s="355">
        <f>M866+L866</f>
        <v>0</v>
      </c>
      <c r="O866" s="355">
        <f t="shared" si="132"/>
        <v>0</v>
      </c>
      <c r="P866" s="388"/>
      <c r="Q866" s="1461"/>
      <c r="R866" s="422"/>
    </row>
    <row r="867" spans="1:18" s="189" customFormat="1">
      <c r="A867" s="289"/>
      <c r="B867" s="292">
        <v>4</v>
      </c>
      <c r="C867" s="292">
        <v>1</v>
      </c>
      <c r="D867" s="292">
        <v>4</v>
      </c>
      <c r="E867" s="292" t="s">
        <v>444</v>
      </c>
      <c r="F867" s="292" t="s">
        <v>441</v>
      </c>
      <c r="G867" s="253" t="s">
        <v>75</v>
      </c>
      <c r="H867" s="253"/>
      <c r="I867" s="253"/>
      <c r="J867" s="354">
        <v>0</v>
      </c>
      <c r="K867" s="373">
        <f>'[55]TARGET VERSI LAMA'!$E$606</f>
        <v>0</v>
      </c>
      <c r="L867" s="360">
        <f>[56]PerDinas!$N$992</f>
        <v>0</v>
      </c>
      <c r="M867" s="373">
        <f>[55]Perdinas!$P$663</f>
        <v>17314100</v>
      </c>
      <c r="N867" s="369">
        <f>M867+L867</f>
        <v>17314100</v>
      </c>
      <c r="O867" s="355">
        <f t="shared" si="132"/>
        <v>17314100</v>
      </c>
      <c r="P867" s="347" t="e">
        <f>N867/K867*100</f>
        <v>#DIV/0!</v>
      </c>
      <c r="Q867" s="1461"/>
      <c r="R867" s="422"/>
    </row>
    <row r="868" spans="1:18" s="189" customFormat="1">
      <c r="A868" s="289"/>
      <c r="B868" s="292"/>
      <c r="C868" s="292"/>
      <c r="D868" s="292"/>
      <c r="E868" s="292"/>
      <c r="F868" s="292"/>
      <c r="G868" s="253"/>
      <c r="H868" s="253"/>
      <c r="I868" s="253"/>
      <c r="J868" s="354"/>
      <c r="K868" s="355"/>
      <c r="L868" s="360"/>
      <c r="M868" s="355"/>
      <c r="N868" s="355"/>
      <c r="O868" s="355"/>
      <c r="P868" s="388"/>
      <c r="Q868" s="1461"/>
      <c r="R868" s="422"/>
    </row>
    <row r="869" spans="1:18" s="189" customFormat="1">
      <c r="A869" s="293"/>
      <c r="B869" s="292">
        <v>4</v>
      </c>
      <c r="C869" s="292">
        <v>1</v>
      </c>
      <c r="D869" s="292">
        <v>4</v>
      </c>
      <c r="E869" s="292" t="s">
        <v>948</v>
      </c>
      <c r="F869" s="292"/>
      <c r="G869" s="253" t="s">
        <v>321</v>
      </c>
      <c r="H869" s="253"/>
      <c r="I869" s="253"/>
      <c r="J869" s="374">
        <f t="shared" ref="J869:M870" si="133">+J870</f>
        <v>0</v>
      </c>
      <c r="K869" s="375">
        <f t="shared" si="133"/>
        <v>0</v>
      </c>
      <c r="L869" s="377">
        <f t="shared" si="133"/>
        <v>0</v>
      </c>
      <c r="M869" s="375">
        <f t="shared" si="133"/>
        <v>0</v>
      </c>
      <c r="N869" s="346">
        <f>+M869+L869</f>
        <v>0</v>
      </c>
      <c r="O869" s="346">
        <f>N869-K869</f>
        <v>0</v>
      </c>
      <c r="P869" s="347">
        <v>0</v>
      </c>
      <c r="Q869" s="1461"/>
      <c r="R869" s="422"/>
    </row>
    <row r="870" spans="1:18" s="189" customFormat="1">
      <c r="A870" s="293"/>
      <c r="B870" s="292">
        <v>4</v>
      </c>
      <c r="C870" s="292">
        <v>1</v>
      </c>
      <c r="D870" s="292">
        <v>4</v>
      </c>
      <c r="E870" s="292" t="s">
        <v>948</v>
      </c>
      <c r="F870" s="292" t="s">
        <v>437</v>
      </c>
      <c r="G870" s="253" t="s">
        <v>85</v>
      </c>
      <c r="H870" s="253"/>
      <c r="I870" s="253"/>
      <c r="J870" s="374">
        <f t="shared" si="133"/>
        <v>0</v>
      </c>
      <c r="K870" s="375">
        <f t="shared" si="133"/>
        <v>0</v>
      </c>
      <c r="L870" s="377">
        <f>L871</f>
        <v>0</v>
      </c>
      <c r="M870" s="375">
        <f t="shared" si="133"/>
        <v>0</v>
      </c>
      <c r="N870" s="355">
        <f>M870+L870</f>
        <v>0</v>
      </c>
      <c r="O870" s="355">
        <f>N870-K870</f>
        <v>0</v>
      </c>
      <c r="P870" s="388">
        <v>0</v>
      </c>
      <c r="Q870" s="1461"/>
      <c r="R870" s="422"/>
    </row>
    <row r="871" spans="1:18" s="189" customFormat="1">
      <c r="A871" s="293"/>
      <c r="B871" s="292"/>
      <c r="C871" s="292"/>
      <c r="D871" s="292"/>
      <c r="E871" s="292"/>
      <c r="F871" s="292"/>
      <c r="G871" s="253" t="s">
        <v>50</v>
      </c>
      <c r="H871" s="253"/>
      <c r="I871" s="253" t="s">
        <v>76</v>
      </c>
      <c r="J871" s="374"/>
      <c r="K871" s="375">
        <f>'[55]TARGET VERSI LAMA'!$E$607</f>
        <v>0</v>
      </c>
      <c r="L871" s="377">
        <f>[56]PerDinas!$N$996</f>
        <v>0</v>
      </c>
      <c r="M871" s="375">
        <v>0</v>
      </c>
      <c r="N871" s="369">
        <f>M871+L871</f>
        <v>0</v>
      </c>
      <c r="O871" s="355">
        <f>N871-K871</f>
        <v>0</v>
      </c>
      <c r="P871" s="388">
        <v>0</v>
      </c>
      <c r="Q871" s="448"/>
      <c r="R871" s="422"/>
    </row>
    <row r="872" spans="1:18" s="245" customFormat="1">
      <c r="A872" s="654"/>
      <c r="B872" s="655"/>
      <c r="C872" s="655"/>
      <c r="D872" s="655"/>
      <c r="E872" s="655"/>
      <c r="F872" s="655"/>
      <c r="G872" s="656"/>
      <c r="H872" s="656"/>
      <c r="I872" s="656"/>
      <c r="J872" s="680"/>
      <c r="K872" s="681"/>
      <c r="L872" s="681"/>
      <c r="M872" s="681"/>
      <c r="N872" s="527"/>
      <c r="O872" s="527"/>
      <c r="P872" s="671"/>
      <c r="Q872" s="698"/>
      <c r="R872" s="450"/>
    </row>
    <row r="873" spans="1:18" s="244" customFormat="1">
      <c r="A873" s="1383" t="s">
        <v>919</v>
      </c>
      <c r="B873" s="1378"/>
      <c r="C873" s="1378"/>
      <c r="D873" s="1378"/>
      <c r="E873" s="1378"/>
      <c r="F873" s="1378"/>
      <c r="G873" s="1379" t="s">
        <v>916</v>
      </c>
      <c r="H873" s="1379"/>
      <c r="I873" s="1379"/>
      <c r="J873" s="1396">
        <f>+J874</f>
        <v>0</v>
      </c>
      <c r="K873" s="1397">
        <f>+K874</f>
        <v>0</v>
      </c>
      <c r="L873" s="1397">
        <f>+L874</f>
        <v>88404089</v>
      </c>
      <c r="M873" s="1397">
        <f>+M874</f>
        <v>5392200</v>
      </c>
      <c r="N873" s="1397">
        <f>M873+L873</f>
        <v>93796289</v>
      </c>
      <c r="O873" s="1397">
        <f>+N873-K873</f>
        <v>93796289</v>
      </c>
      <c r="P873" s="1398" t="e">
        <f>+N873/K873*100</f>
        <v>#DIV/0!</v>
      </c>
      <c r="Q873" s="1406"/>
      <c r="R873" s="788">
        <f>N873-[55]Perdinas!$Q$666</f>
        <v>0</v>
      </c>
    </row>
    <row r="874" spans="1:18" s="189" customFormat="1">
      <c r="A874" s="1409"/>
      <c r="B874" s="1418">
        <v>4</v>
      </c>
      <c r="C874" s="1418">
        <v>1</v>
      </c>
      <c r="D874" s="1418"/>
      <c r="E874" s="1418"/>
      <c r="F874" s="1418"/>
      <c r="G874" s="1325" t="s">
        <v>180</v>
      </c>
      <c r="H874" s="1325"/>
      <c r="I874" s="1325"/>
      <c r="J874" s="757">
        <f>+J876</f>
        <v>0</v>
      </c>
      <c r="K874" s="758">
        <f>K876+K882</f>
        <v>0</v>
      </c>
      <c r="L874" s="758">
        <f>L876+L882</f>
        <v>88404089</v>
      </c>
      <c r="M874" s="758">
        <f>M876+M882</f>
        <v>5392200</v>
      </c>
      <c r="N874" s="758">
        <f>+M874+L874</f>
        <v>93796289</v>
      </c>
      <c r="O874" s="758">
        <f t="shared" ref="O874:O880" si="134">N874-K874</f>
        <v>93796289</v>
      </c>
      <c r="P874" s="690" t="e">
        <f>N874/K874*100</f>
        <v>#DIV/0!</v>
      </c>
      <c r="Q874" s="782"/>
      <c r="R874" s="422"/>
    </row>
    <row r="875" spans="1:18" s="189" customFormat="1">
      <c r="A875" s="293"/>
      <c r="B875" s="292"/>
      <c r="C875" s="292"/>
      <c r="D875" s="292"/>
      <c r="E875" s="292"/>
      <c r="F875" s="292"/>
      <c r="G875" s="253"/>
      <c r="H875" s="253"/>
      <c r="I875" s="253"/>
      <c r="J875" s="354"/>
      <c r="K875" s="355"/>
      <c r="L875" s="355"/>
      <c r="M875" s="355"/>
      <c r="N875" s="355"/>
      <c r="O875" s="355"/>
      <c r="P875" s="388"/>
      <c r="Q875" s="441"/>
      <c r="R875" s="422"/>
    </row>
    <row r="876" spans="1:18" s="189" customFormat="1">
      <c r="A876" s="293"/>
      <c r="B876" s="290">
        <v>4</v>
      </c>
      <c r="C876" s="290">
        <v>1</v>
      </c>
      <c r="D876" s="290">
        <v>4</v>
      </c>
      <c r="E876" s="290"/>
      <c r="F876" s="290"/>
      <c r="G876" s="291" t="s">
        <v>71</v>
      </c>
      <c r="H876" s="291"/>
      <c r="I876" s="291"/>
      <c r="J876" s="370">
        <f>J877+J882</f>
        <v>0</v>
      </c>
      <c r="K876" s="371">
        <f>K877+K878</f>
        <v>0</v>
      </c>
      <c r="L876" s="371">
        <f>L877+L878</f>
        <v>25090089</v>
      </c>
      <c r="M876" s="371">
        <f>M877+M878</f>
        <v>5392200</v>
      </c>
      <c r="N876" s="371">
        <f>M876+L876</f>
        <v>30482289</v>
      </c>
      <c r="O876" s="367">
        <f t="shared" si="134"/>
        <v>30482289</v>
      </c>
      <c r="P876" s="347" t="e">
        <f>N876/K876*100</f>
        <v>#DIV/0!</v>
      </c>
      <c r="Q876" s="651"/>
      <c r="R876" s="422"/>
    </row>
    <row r="877" spans="1:18" s="189" customFormat="1">
      <c r="A877" s="289"/>
      <c r="B877" s="292">
        <v>4</v>
      </c>
      <c r="C877" s="292">
        <v>1</v>
      </c>
      <c r="D877" s="292">
        <v>4</v>
      </c>
      <c r="E877" s="292" t="s">
        <v>444</v>
      </c>
      <c r="F877" s="292"/>
      <c r="G877" s="253" t="s">
        <v>222</v>
      </c>
      <c r="H877" s="253"/>
      <c r="I877" s="253"/>
      <c r="J877" s="354">
        <f>+J880</f>
        <v>0</v>
      </c>
      <c r="K877" s="355">
        <f>+K880</f>
        <v>0</v>
      </c>
      <c r="L877" s="360">
        <f>SUM(L878:L880)</f>
        <v>25090089</v>
      </c>
      <c r="M877" s="355">
        <f>SUM(M878:M880)</f>
        <v>5392200</v>
      </c>
      <c r="N877" s="355">
        <f>SUM(N878:N880)</f>
        <v>30482289</v>
      </c>
      <c r="O877" s="346">
        <f t="shared" si="134"/>
        <v>30482289</v>
      </c>
      <c r="P877" s="347">
        <v>0</v>
      </c>
      <c r="Q877" s="441"/>
      <c r="R877" s="422"/>
    </row>
    <row r="878" spans="1:18" s="189" customFormat="1" ht="15.05">
      <c r="A878" s="289"/>
      <c r="B878" s="292">
        <v>4</v>
      </c>
      <c r="C878" s="292">
        <v>1</v>
      </c>
      <c r="D878" s="292">
        <v>4</v>
      </c>
      <c r="E878" s="292" t="s">
        <v>948</v>
      </c>
      <c r="F878" s="292" t="s">
        <v>437</v>
      </c>
      <c r="G878" s="1100" t="s">
        <v>1020</v>
      </c>
      <c r="H878" s="909"/>
      <c r="I878" s="253"/>
      <c r="J878" s="354">
        <v>0</v>
      </c>
      <c r="K878" s="355">
        <v>0</v>
      </c>
      <c r="L878" s="360">
        <v>0</v>
      </c>
      <c r="M878" s="355">
        <v>0</v>
      </c>
      <c r="N878" s="355">
        <f>M878+L878</f>
        <v>0</v>
      </c>
      <c r="O878" s="355">
        <f t="shared" si="134"/>
        <v>0</v>
      </c>
      <c r="P878" s="388"/>
      <c r="Q878" s="441"/>
      <c r="R878" s="422"/>
    </row>
    <row r="879" spans="1:18" s="189" customFormat="1">
      <c r="A879" s="289"/>
      <c r="B879" s="292">
        <v>4</v>
      </c>
      <c r="C879" s="292">
        <v>1</v>
      </c>
      <c r="D879" s="292">
        <v>4</v>
      </c>
      <c r="E879" s="292" t="s">
        <v>447</v>
      </c>
      <c r="F879" s="292" t="s">
        <v>437</v>
      </c>
      <c r="G879" s="253" t="s">
        <v>1021</v>
      </c>
      <c r="H879" s="253"/>
      <c r="I879" s="253"/>
      <c r="J879" s="354">
        <v>0</v>
      </c>
      <c r="K879" s="355">
        <v>0</v>
      </c>
      <c r="L879" s="360">
        <f>'[58]PERDINAS VERSI LAMA'!$N$879</f>
        <v>1754662</v>
      </c>
      <c r="M879" s="355">
        <f>[55]Perdinas!$P$677</f>
        <v>0</v>
      </c>
      <c r="N879" s="355">
        <f>M879+L879</f>
        <v>1754662</v>
      </c>
      <c r="O879" s="355">
        <f t="shared" si="134"/>
        <v>1754662</v>
      </c>
      <c r="P879" s="388"/>
      <c r="Q879" s="441"/>
      <c r="R879" s="422"/>
    </row>
    <row r="880" spans="1:18" s="189" customFormat="1">
      <c r="A880" s="289"/>
      <c r="B880" s="292">
        <v>4</v>
      </c>
      <c r="C880" s="292">
        <v>1</v>
      </c>
      <c r="D880" s="292">
        <v>4</v>
      </c>
      <c r="E880" s="292" t="s">
        <v>444</v>
      </c>
      <c r="F880" s="292" t="s">
        <v>441</v>
      </c>
      <c r="G880" s="253" t="s">
        <v>75</v>
      </c>
      <c r="H880" s="253"/>
      <c r="I880" s="253"/>
      <c r="J880" s="354">
        <v>0</v>
      </c>
      <c r="K880" s="373">
        <f>'[55]TARGET VERSI LAMA'!$E$614</f>
        <v>0</v>
      </c>
      <c r="L880" s="360">
        <f>[56]PerDinas!$N$1005</f>
        <v>23335427</v>
      </c>
      <c r="M880" s="373">
        <f>[55]Perdinas!$P$676</f>
        <v>5392200</v>
      </c>
      <c r="N880" s="369">
        <f>M880+L880</f>
        <v>28727627</v>
      </c>
      <c r="O880" s="355">
        <f t="shared" si="134"/>
        <v>28727627</v>
      </c>
      <c r="P880" s="388"/>
      <c r="Q880" s="441"/>
      <c r="R880" s="545"/>
    </row>
    <row r="881" spans="1:18" s="189" customFormat="1">
      <c r="A881" s="289"/>
      <c r="B881" s="292"/>
      <c r="C881" s="292"/>
      <c r="D881" s="292"/>
      <c r="E881" s="292"/>
      <c r="F881" s="292"/>
      <c r="G881" s="253"/>
      <c r="H881" s="253"/>
      <c r="I881" s="253"/>
      <c r="J881" s="354"/>
      <c r="K881" s="355"/>
      <c r="L881" s="360"/>
      <c r="M881" s="355"/>
      <c r="N881" s="355"/>
      <c r="O881" s="355"/>
      <c r="P881" s="388"/>
      <c r="Q881" s="441"/>
      <c r="R881" s="422"/>
    </row>
    <row r="882" spans="1:18" s="189" customFormat="1">
      <c r="A882" s="293"/>
      <c r="B882" s="292">
        <v>4</v>
      </c>
      <c r="C882" s="292">
        <v>1</v>
      </c>
      <c r="D882" s="292" t="s">
        <v>460</v>
      </c>
      <c r="E882" s="292" t="s">
        <v>438</v>
      </c>
      <c r="F882" s="292"/>
      <c r="G882" s="253" t="s">
        <v>116</v>
      </c>
      <c r="H882" s="253"/>
      <c r="I882" s="253"/>
      <c r="J882" s="374">
        <f t="shared" ref="J882:M883" si="135">+J883</f>
        <v>0</v>
      </c>
      <c r="K882" s="375">
        <f t="shared" si="135"/>
        <v>0</v>
      </c>
      <c r="L882" s="377">
        <f t="shared" si="135"/>
        <v>63314000</v>
      </c>
      <c r="M882" s="375">
        <f t="shared" si="135"/>
        <v>0</v>
      </c>
      <c r="N882" s="346">
        <f>+M882+L882</f>
        <v>63314000</v>
      </c>
      <c r="O882" s="346">
        <f>N882-K882</f>
        <v>63314000</v>
      </c>
      <c r="P882" s="347">
        <v>0</v>
      </c>
      <c r="Q882" s="448"/>
      <c r="R882" s="422"/>
    </row>
    <row r="883" spans="1:18" s="189" customFormat="1">
      <c r="A883" s="293"/>
      <c r="B883" s="292">
        <v>4</v>
      </c>
      <c r="C883" s="292">
        <v>1</v>
      </c>
      <c r="D883" s="292" t="s">
        <v>460</v>
      </c>
      <c r="E883" s="292" t="s">
        <v>438</v>
      </c>
      <c r="F883" s="292" t="s">
        <v>440</v>
      </c>
      <c r="G883" s="253" t="s">
        <v>454</v>
      </c>
      <c r="H883" s="253"/>
      <c r="I883" s="253"/>
      <c r="J883" s="374">
        <f t="shared" si="135"/>
        <v>0</v>
      </c>
      <c r="K883" s="375">
        <f>SUM(K884:K885)</f>
        <v>0</v>
      </c>
      <c r="L883" s="375">
        <f>SUM(L884:L885)</f>
        <v>63314000</v>
      </c>
      <c r="M883" s="375">
        <f>SUM(M884:M885)</f>
        <v>0</v>
      </c>
      <c r="N883" s="355">
        <f>M883+L883</f>
        <v>63314000</v>
      </c>
      <c r="O883" s="355">
        <f>N883-K883</f>
        <v>63314000</v>
      </c>
      <c r="P883" s="388">
        <v>0</v>
      </c>
      <c r="Q883" s="448"/>
      <c r="R883" s="422"/>
    </row>
    <row r="884" spans="1:18" s="245" customFormat="1">
      <c r="A884" s="293"/>
      <c r="B884" s="292"/>
      <c r="C884" s="292"/>
      <c r="D884" s="292"/>
      <c r="E884" s="292"/>
      <c r="F884" s="292"/>
      <c r="G884" s="842" t="s">
        <v>50</v>
      </c>
      <c r="H884" s="253" t="s">
        <v>1022</v>
      </c>
      <c r="I884" s="253"/>
      <c r="J884" s="374"/>
      <c r="K884" s="375">
        <f>'[55]TARGET VERSI LAMA'!$E$615</f>
        <v>0</v>
      </c>
      <c r="L884" s="375">
        <f>[56]PerDinas!$N$1009</f>
        <v>30964000</v>
      </c>
      <c r="M884" s="375">
        <f>[55]Perdinas!$P$669</f>
        <v>0</v>
      </c>
      <c r="N884" s="369">
        <f>M884+L884</f>
        <v>30964000</v>
      </c>
      <c r="O884" s="355">
        <f>N884-K884</f>
        <v>30964000</v>
      </c>
      <c r="P884" s="388">
        <v>0</v>
      </c>
      <c r="Q884" s="448"/>
      <c r="R884" s="450"/>
    </row>
    <row r="885" spans="1:18" s="189" customFormat="1">
      <c r="A885" s="293"/>
      <c r="B885" s="292"/>
      <c r="C885" s="292"/>
      <c r="D885" s="292"/>
      <c r="E885" s="292"/>
      <c r="F885" s="292"/>
      <c r="G885" s="842" t="s">
        <v>50</v>
      </c>
      <c r="H885" s="253" t="s">
        <v>1023</v>
      </c>
      <c r="I885" s="253"/>
      <c r="J885" s="374"/>
      <c r="K885" s="375"/>
      <c r="L885" s="375">
        <f>'[56]PERDINAS VERSI LAMA'!$N$885</f>
        <v>32350000</v>
      </c>
      <c r="M885" s="375">
        <f>[55]Perdinas!$P$670</f>
        <v>0</v>
      </c>
      <c r="N885" s="369">
        <f>M885+L885</f>
        <v>32350000</v>
      </c>
      <c r="O885" s="355">
        <f>N885-K885</f>
        <v>32350000</v>
      </c>
      <c r="P885" s="388">
        <v>0</v>
      </c>
      <c r="Q885" s="448"/>
      <c r="R885" s="422"/>
    </row>
    <row r="886" spans="1:18" s="189" customFormat="1">
      <c r="A886" s="654"/>
      <c r="B886" s="655"/>
      <c r="C886" s="655"/>
      <c r="D886" s="655"/>
      <c r="E886" s="655"/>
      <c r="F886" s="655"/>
      <c r="G886" s="1519"/>
      <c r="H886" s="656"/>
      <c r="I886" s="656"/>
      <c r="J886" s="680"/>
      <c r="K886" s="681"/>
      <c r="L886" s="681"/>
      <c r="M886" s="681"/>
      <c r="N886" s="1395"/>
      <c r="O886" s="527"/>
      <c r="P886" s="671"/>
      <c r="Q886" s="698"/>
      <c r="R886" s="422"/>
    </row>
    <row r="887" spans="1:18" s="189" customFormat="1">
      <c r="A887" s="1383" t="s">
        <v>922</v>
      </c>
      <c r="B887" s="1378"/>
      <c r="C887" s="1378"/>
      <c r="D887" s="1378"/>
      <c r="E887" s="1378"/>
      <c r="F887" s="1378"/>
      <c r="G887" s="1379" t="s">
        <v>920</v>
      </c>
      <c r="H887" s="1379"/>
      <c r="I887" s="1379"/>
      <c r="J887" s="1396">
        <f>+J888</f>
        <v>70000000</v>
      </c>
      <c r="K887" s="1397">
        <f>+K888</f>
        <v>200000000</v>
      </c>
      <c r="L887" s="1397">
        <f>+L888</f>
        <v>349679198</v>
      </c>
      <c r="M887" s="1397">
        <f>+M888</f>
        <v>57240500</v>
      </c>
      <c r="N887" s="1397">
        <f t="shared" ref="N887:N893" si="136">M887+L887</f>
        <v>406919698</v>
      </c>
      <c r="O887" s="1397">
        <f>+N887-K887</f>
        <v>206919698</v>
      </c>
      <c r="P887" s="1398">
        <f>+N887/K887*100</f>
        <v>203.45984899999999</v>
      </c>
      <c r="Q887" s="1406"/>
      <c r="R887" s="555"/>
    </row>
    <row r="888" spans="1:18" s="189" customFormat="1">
      <c r="A888" s="1409"/>
      <c r="B888" s="1418">
        <v>4</v>
      </c>
      <c r="C888" s="1418">
        <v>1</v>
      </c>
      <c r="D888" s="1418"/>
      <c r="E888" s="1418"/>
      <c r="F888" s="1418"/>
      <c r="G888" s="1325" t="s">
        <v>180</v>
      </c>
      <c r="H888" s="1325"/>
      <c r="I888" s="1325"/>
      <c r="J888" s="757">
        <f>J891+J892</f>
        <v>70000000</v>
      </c>
      <c r="K888" s="758">
        <f>K890+K893</f>
        <v>200000000</v>
      </c>
      <c r="L888" s="758">
        <f>L890+L893</f>
        <v>349679198</v>
      </c>
      <c r="M888" s="758">
        <f>M890+M893</f>
        <v>57240500</v>
      </c>
      <c r="N888" s="758">
        <f>+M888+L888</f>
        <v>406919698</v>
      </c>
      <c r="O888" s="758">
        <f t="shared" ref="O888:O893" si="137">N888-K888</f>
        <v>206919698</v>
      </c>
      <c r="P888" s="690">
        <f>N888/K888*100</f>
        <v>203.45984899999999</v>
      </c>
      <c r="Q888" s="1523"/>
      <c r="R888" s="422"/>
    </row>
    <row r="889" spans="1:18" s="189" customFormat="1">
      <c r="A889" s="293"/>
      <c r="B889" s="292"/>
      <c r="C889" s="292"/>
      <c r="D889" s="292"/>
      <c r="E889" s="292"/>
      <c r="F889" s="292"/>
      <c r="G889" s="253"/>
      <c r="H889" s="253"/>
      <c r="I889" s="253"/>
      <c r="J889" s="354"/>
      <c r="K889" s="355"/>
      <c r="L889" s="355"/>
      <c r="M889" s="355"/>
      <c r="N889" s="355"/>
      <c r="O889" s="355"/>
      <c r="P889" s="388"/>
      <c r="Q889" s="1461"/>
      <c r="R889" s="422"/>
    </row>
    <row r="890" spans="1:18" s="189" customFormat="1">
      <c r="A890" s="293"/>
      <c r="B890" s="292">
        <v>4</v>
      </c>
      <c r="C890" s="292">
        <v>1</v>
      </c>
      <c r="D890" s="292">
        <v>2</v>
      </c>
      <c r="E890" s="292" t="s">
        <v>438</v>
      </c>
      <c r="F890" s="292"/>
      <c r="G890" s="291" t="s">
        <v>109</v>
      </c>
      <c r="H890" s="253"/>
      <c r="I890" s="253"/>
      <c r="J890" s="354"/>
      <c r="K890" s="371">
        <f>SUM(K891:K892)</f>
        <v>200000000</v>
      </c>
      <c r="L890" s="371">
        <f>SUM(L891:L892)</f>
        <v>324650000</v>
      </c>
      <c r="M890" s="371">
        <f>SUM(M891:M892)</f>
        <v>20650000</v>
      </c>
      <c r="N890" s="372">
        <f t="shared" si="136"/>
        <v>345300000</v>
      </c>
      <c r="O890" s="372">
        <f t="shared" si="137"/>
        <v>145300000</v>
      </c>
      <c r="P890" s="1106">
        <f>N890/K890*100</f>
        <v>172.65</v>
      </c>
      <c r="Q890" s="1461"/>
      <c r="R890" s="422"/>
    </row>
    <row r="891" spans="1:18" s="189" customFormat="1">
      <c r="A891" s="293"/>
      <c r="B891" s="1101">
        <v>4</v>
      </c>
      <c r="C891" s="1101">
        <v>1</v>
      </c>
      <c r="D891" s="1101">
        <v>2</v>
      </c>
      <c r="E891" s="1101" t="s">
        <v>438</v>
      </c>
      <c r="F891" s="1101" t="s">
        <v>440</v>
      </c>
      <c r="G891" s="1003" t="s">
        <v>50</v>
      </c>
      <c r="H891" s="1003" t="s">
        <v>1024</v>
      </c>
      <c r="I891" s="1003"/>
      <c r="J891" s="1107">
        <v>40000000</v>
      </c>
      <c r="K891" s="660">
        <f>'[55]TARGET VERSI LAMA'!$E$620</f>
        <v>200000000</v>
      </c>
      <c r="L891" s="660">
        <f>[56]PerDinas!$N$1017</f>
        <v>312200000</v>
      </c>
      <c r="M891" s="660">
        <f>[55]Perdinas!$P$682</f>
        <v>20650000</v>
      </c>
      <c r="N891" s="369">
        <f t="shared" si="136"/>
        <v>332850000</v>
      </c>
      <c r="O891" s="360">
        <f t="shared" si="137"/>
        <v>132850000</v>
      </c>
      <c r="P891" s="1042">
        <f>N891/K891*100</f>
        <v>166.42500000000001</v>
      </c>
      <c r="Q891" s="1110"/>
      <c r="R891" s="422"/>
    </row>
    <row r="892" spans="1:18" s="189" customFormat="1">
      <c r="A892" s="293"/>
      <c r="B892" s="292">
        <v>4</v>
      </c>
      <c r="C892" s="292">
        <v>1</v>
      </c>
      <c r="D892" s="292">
        <v>2</v>
      </c>
      <c r="E892" s="292" t="s">
        <v>438</v>
      </c>
      <c r="F892" s="292" t="s">
        <v>448</v>
      </c>
      <c r="G892" s="253" t="s">
        <v>50</v>
      </c>
      <c r="H892" s="253" t="s">
        <v>517</v>
      </c>
      <c r="I892" s="253"/>
      <c r="J892" s="1508">
        <v>30000000</v>
      </c>
      <c r="K892" s="355">
        <v>0</v>
      </c>
      <c r="L892" s="377">
        <f>PerDinas!L1018</f>
        <v>12450000</v>
      </c>
      <c r="M892" s="355">
        <f>[55]Perdinas!$P$683</f>
        <v>0</v>
      </c>
      <c r="N892" s="369">
        <f t="shared" si="136"/>
        <v>12450000</v>
      </c>
      <c r="O892" s="355">
        <f t="shared" si="137"/>
        <v>12450000</v>
      </c>
      <c r="P892" s="388"/>
      <c r="Q892" s="784"/>
      <c r="R892" s="422"/>
    </row>
    <row r="893" spans="1:18" s="189" customFormat="1">
      <c r="A893" s="293"/>
      <c r="B893" s="290">
        <v>4</v>
      </c>
      <c r="C893" s="290">
        <v>1</v>
      </c>
      <c r="D893" s="290">
        <v>4</v>
      </c>
      <c r="E893" s="290"/>
      <c r="F893" s="290"/>
      <c r="G893" s="291" t="s">
        <v>71</v>
      </c>
      <c r="H893" s="291"/>
      <c r="I893" s="291"/>
      <c r="J893" s="370">
        <f>J896+J901</f>
        <v>0</v>
      </c>
      <c r="K893" s="371">
        <f>K896+K901</f>
        <v>0</v>
      </c>
      <c r="L893" s="372">
        <f>L896+L901+L894</f>
        <v>25029198</v>
      </c>
      <c r="M893" s="371">
        <f>M896+M901+M894</f>
        <v>36590500</v>
      </c>
      <c r="N893" s="371">
        <f t="shared" si="136"/>
        <v>61619698</v>
      </c>
      <c r="O893" s="367">
        <f t="shared" si="137"/>
        <v>61619698</v>
      </c>
      <c r="P893" s="347"/>
      <c r="Q893" s="1461"/>
      <c r="R893" s="422"/>
    </row>
    <row r="894" spans="1:18" s="189" customFormat="1">
      <c r="A894" s="293"/>
      <c r="B894" s="290">
        <v>4</v>
      </c>
      <c r="C894" s="290">
        <v>1</v>
      </c>
      <c r="D894" s="290">
        <v>4</v>
      </c>
      <c r="E894" s="290" t="s">
        <v>441</v>
      </c>
      <c r="F894" s="290"/>
      <c r="G894" s="291" t="s">
        <v>324</v>
      </c>
      <c r="H894" s="291"/>
      <c r="I894" s="291"/>
      <c r="J894" s="370">
        <f t="shared" ref="J894:O894" si="138">J895</f>
        <v>0</v>
      </c>
      <c r="K894" s="371">
        <f t="shared" si="138"/>
        <v>0</v>
      </c>
      <c r="L894" s="372">
        <f t="shared" si="138"/>
        <v>0</v>
      </c>
      <c r="M894" s="371">
        <f t="shared" si="138"/>
        <v>0</v>
      </c>
      <c r="N894" s="371">
        <f t="shared" si="138"/>
        <v>0</v>
      </c>
      <c r="O894" s="371">
        <f t="shared" si="138"/>
        <v>0</v>
      </c>
      <c r="P894" s="347"/>
      <c r="Q894" s="1461"/>
      <c r="R894" s="422"/>
    </row>
    <row r="895" spans="1:18" s="189" customFormat="1">
      <c r="A895" s="293"/>
      <c r="B895" s="292">
        <v>4</v>
      </c>
      <c r="C895" s="292">
        <v>1</v>
      </c>
      <c r="D895" s="292">
        <v>4</v>
      </c>
      <c r="E895" s="292" t="s">
        <v>441</v>
      </c>
      <c r="F895" s="292" t="s">
        <v>440</v>
      </c>
      <c r="G895" s="253" t="s">
        <v>1025</v>
      </c>
      <c r="H895" s="291"/>
      <c r="I895" s="291"/>
      <c r="J895" s="370">
        <v>0</v>
      </c>
      <c r="K895" s="371">
        <v>0</v>
      </c>
      <c r="L895" s="360">
        <v>0</v>
      </c>
      <c r="M895" s="355">
        <f>[55]Perdinas!$P$685</f>
        <v>0</v>
      </c>
      <c r="N895" s="369">
        <f>M895+L895</f>
        <v>0</v>
      </c>
      <c r="O895" s="346">
        <f>N895-K895</f>
        <v>0</v>
      </c>
      <c r="P895" s="347"/>
      <c r="Q895" s="1461"/>
      <c r="R895" s="422"/>
    </row>
    <row r="896" spans="1:18" s="189" customFormat="1">
      <c r="A896" s="289"/>
      <c r="B896" s="290">
        <v>4</v>
      </c>
      <c r="C896" s="290">
        <v>1</v>
      </c>
      <c r="D896" s="290">
        <v>4</v>
      </c>
      <c r="E896" s="290" t="s">
        <v>444</v>
      </c>
      <c r="F896" s="290"/>
      <c r="G896" s="291" t="s">
        <v>222</v>
      </c>
      <c r="H896" s="291"/>
      <c r="I896" s="291"/>
      <c r="J896" s="370">
        <f>+J899</f>
        <v>0</v>
      </c>
      <c r="K896" s="371">
        <f>+K899</f>
        <v>0</v>
      </c>
      <c r="L896" s="372">
        <f>SUM(L897:L899)</f>
        <v>25029198</v>
      </c>
      <c r="M896" s="371">
        <f>SUM(M897:M899)</f>
        <v>36590500</v>
      </c>
      <c r="N896" s="371">
        <f>SUM(N897:N899)</f>
        <v>61619698</v>
      </c>
      <c r="O896" s="367">
        <f>N896-K896</f>
        <v>61619698</v>
      </c>
      <c r="P896" s="399">
        <v>0</v>
      </c>
      <c r="Q896" s="1461"/>
      <c r="R896" s="422"/>
    </row>
    <row r="897" spans="1:18" s="189" customFormat="1">
      <c r="A897" s="289"/>
      <c r="B897" s="292">
        <v>4</v>
      </c>
      <c r="C897" s="292">
        <v>1</v>
      </c>
      <c r="D897" s="292">
        <v>4</v>
      </c>
      <c r="E897" s="292" t="s">
        <v>444</v>
      </c>
      <c r="F897" s="292" t="s">
        <v>440</v>
      </c>
      <c r="G897" s="253" t="s">
        <v>73</v>
      </c>
      <c r="H897" s="253"/>
      <c r="I897" s="253"/>
      <c r="J897" s="354">
        <v>0</v>
      </c>
      <c r="K897" s="355">
        <v>0</v>
      </c>
      <c r="L897" s="360">
        <v>0</v>
      </c>
      <c r="M897" s="355">
        <f>[55]Perdinas!$P$645</f>
        <v>0</v>
      </c>
      <c r="N897" s="355">
        <f>M897+L897</f>
        <v>0</v>
      </c>
      <c r="O897" s="355">
        <f>N897-K897</f>
        <v>0</v>
      </c>
      <c r="P897" s="388"/>
      <c r="Q897" s="1461"/>
      <c r="R897" s="422"/>
    </row>
    <row r="898" spans="1:18" s="189" customFormat="1">
      <c r="A898" s="289"/>
      <c r="B898" s="292">
        <v>4</v>
      </c>
      <c r="C898" s="292">
        <v>1</v>
      </c>
      <c r="D898" s="292">
        <v>4</v>
      </c>
      <c r="E898" s="292" t="s">
        <v>444</v>
      </c>
      <c r="F898" s="292" t="s">
        <v>445</v>
      </c>
      <c r="G898" s="253" t="s">
        <v>74</v>
      </c>
      <c r="H898" s="253"/>
      <c r="I898" s="253"/>
      <c r="J898" s="354">
        <v>0</v>
      </c>
      <c r="K898" s="355">
        <v>0</v>
      </c>
      <c r="L898" s="360">
        <v>0</v>
      </c>
      <c r="M898" s="355">
        <v>0</v>
      </c>
      <c r="N898" s="355">
        <f>M898+L898</f>
        <v>0</v>
      </c>
      <c r="O898" s="355">
        <f>N898-K898</f>
        <v>0</v>
      </c>
      <c r="P898" s="388"/>
      <c r="Q898" s="5882"/>
      <c r="R898" s="422"/>
    </row>
    <row r="899" spans="1:18" s="189" customFormat="1">
      <c r="A899" s="289"/>
      <c r="B899" s="292">
        <v>4</v>
      </c>
      <c r="C899" s="292">
        <v>1</v>
      </c>
      <c r="D899" s="292">
        <v>4</v>
      </c>
      <c r="E899" s="292" t="s">
        <v>444</v>
      </c>
      <c r="F899" s="292" t="s">
        <v>441</v>
      </c>
      <c r="G899" s="253" t="s">
        <v>75</v>
      </c>
      <c r="H899" s="253"/>
      <c r="I899" s="253"/>
      <c r="J899" s="354">
        <v>0</v>
      </c>
      <c r="K899" s="373">
        <f>'[55]TARGET VERSI LAMA'!$E$625</f>
        <v>0</v>
      </c>
      <c r="L899" s="360">
        <f>'[56]PERDINAS VERSI LAMA'!$N$899</f>
        <v>25029198</v>
      </c>
      <c r="M899" s="373">
        <f>[55]Perdinas!$P$688</f>
        <v>36590500</v>
      </c>
      <c r="N899" s="369">
        <f>M899+L899</f>
        <v>61619698</v>
      </c>
      <c r="O899" s="355">
        <f>N899-K899</f>
        <v>61619698</v>
      </c>
      <c r="P899" s="388"/>
      <c r="Q899" s="5882"/>
      <c r="R899" s="422"/>
    </row>
    <row r="900" spans="1:18" s="189" customFormat="1">
      <c r="A900" s="289"/>
      <c r="B900" s="292"/>
      <c r="C900" s="292"/>
      <c r="D900" s="292"/>
      <c r="E900" s="292"/>
      <c r="F900" s="292"/>
      <c r="G900" s="253"/>
      <c r="H900" s="253"/>
      <c r="I900" s="253"/>
      <c r="J900" s="354"/>
      <c r="K900" s="355"/>
      <c r="L900" s="360"/>
      <c r="M900" s="355"/>
      <c r="N900" s="355"/>
      <c r="O900" s="355"/>
      <c r="P900" s="388"/>
      <c r="Q900" s="441"/>
      <c r="R900" s="422"/>
    </row>
    <row r="901" spans="1:18" s="189" customFormat="1">
      <c r="A901" s="293"/>
      <c r="B901" s="292">
        <v>4</v>
      </c>
      <c r="C901" s="292">
        <v>1</v>
      </c>
      <c r="D901" s="292">
        <v>4</v>
      </c>
      <c r="E901" s="292" t="s">
        <v>948</v>
      </c>
      <c r="F901" s="292"/>
      <c r="G901" s="253" t="s">
        <v>321</v>
      </c>
      <c r="H901" s="253"/>
      <c r="I901" s="253"/>
      <c r="J901" s="374">
        <f t="shared" ref="J901:M902" si="139">+J902</f>
        <v>0</v>
      </c>
      <c r="K901" s="375">
        <f t="shared" si="139"/>
        <v>0</v>
      </c>
      <c r="L901" s="377">
        <f t="shared" si="139"/>
        <v>0</v>
      </c>
      <c r="M901" s="375">
        <f t="shared" si="139"/>
        <v>0</v>
      </c>
      <c r="N901" s="346">
        <f>+M901+L901</f>
        <v>0</v>
      </c>
      <c r="O901" s="346">
        <f>N901-K901</f>
        <v>0</v>
      </c>
      <c r="P901" s="347">
        <v>0</v>
      </c>
      <c r="Q901" s="448"/>
      <c r="R901" s="422"/>
    </row>
    <row r="902" spans="1:18" s="189" customFormat="1">
      <c r="A902" s="293"/>
      <c r="B902" s="292">
        <v>4</v>
      </c>
      <c r="C902" s="292">
        <v>1</v>
      </c>
      <c r="D902" s="292">
        <v>4</v>
      </c>
      <c r="E902" s="292" t="s">
        <v>948</v>
      </c>
      <c r="F902" s="292" t="s">
        <v>437</v>
      </c>
      <c r="G902" s="253" t="s">
        <v>85</v>
      </c>
      <c r="H902" s="253"/>
      <c r="I902" s="253"/>
      <c r="J902" s="374">
        <f t="shared" si="139"/>
        <v>0</v>
      </c>
      <c r="K902" s="375">
        <f t="shared" si="139"/>
        <v>0</v>
      </c>
      <c r="L902" s="375">
        <f t="shared" si="139"/>
        <v>0</v>
      </c>
      <c r="M902" s="375">
        <f t="shared" si="139"/>
        <v>0</v>
      </c>
      <c r="N902" s="355">
        <f>M902+L902</f>
        <v>0</v>
      </c>
      <c r="O902" s="355">
        <f>N902-K902</f>
        <v>0</v>
      </c>
      <c r="P902" s="388">
        <v>0</v>
      </c>
      <c r="Q902" s="448"/>
      <c r="R902" s="422"/>
    </row>
    <row r="903" spans="1:18" s="189" customFormat="1">
      <c r="A903" s="654"/>
      <c r="B903" s="655"/>
      <c r="C903" s="655"/>
      <c r="D903" s="655"/>
      <c r="E903" s="655"/>
      <c r="F903" s="655"/>
      <c r="G903" s="656" t="s">
        <v>50</v>
      </c>
      <c r="H903" s="656"/>
      <c r="I903" s="656" t="s">
        <v>76</v>
      </c>
      <c r="J903" s="680"/>
      <c r="K903" s="681">
        <f>'[55]TARGET VERSI LAMA'!$E$626</f>
        <v>0</v>
      </c>
      <c r="L903" s="681">
        <f>[56]PerDinas!$N$1026</f>
        <v>0</v>
      </c>
      <c r="M903" s="681">
        <v>0</v>
      </c>
      <c r="N903" s="527">
        <f>M903+L903</f>
        <v>0</v>
      </c>
      <c r="O903" s="527">
        <f>N903-K903</f>
        <v>0</v>
      </c>
      <c r="P903" s="671">
        <v>0</v>
      </c>
      <c r="Q903" s="698"/>
      <c r="R903" s="422"/>
    </row>
    <row r="904" spans="1:18" s="189" customFormat="1">
      <c r="A904" s="1383" t="s">
        <v>404</v>
      </c>
      <c r="B904" s="1378"/>
      <c r="C904" s="1378"/>
      <c r="D904" s="1378"/>
      <c r="E904" s="1378"/>
      <c r="F904" s="1378"/>
      <c r="G904" s="1379" t="s">
        <v>399</v>
      </c>
      <c r="H904" s="1379"/>
      <c r="I904" s="1379"/>
      <c r="J904" s="1396">
        <f>+J905</f>
        <v>0</v>
      </c>
      <c r="K904" s="1397">
        <f>+K905</f>
        <v>0</v>
      </c>
      <c r="L904" s="1397">
        <f>+L905</f>
        <v>20265000</v>
      </c>
      <c r="M904" s="1397">
        <f>+M905</f>
        <v>0</v>
      </c>
      <c r="N904" s="1397">
        <f>M904+L904</f>
        <v>20265000</v>
      </c>
      <c r="O904" s="1397">
        <f>+N904-K904</f>
        <v>20265000</v>
      </c>
      <c r="P904" s="1398" t="e">
        <f>+N904/K904*100</f>
        <v>#DIV/0!</v>
      </c>
      <c r="Q904" s="1406"/>
      <c r="R904" s="422"/>
    </row>
    <row r="905" spans="1:18" s="189" customFormat="1">
      <c r="A905" s="1409"/>
      <c r="B905" s="1418">
        <v>4</v>
      </c>
      <c r="C905" s="1418">
        <v>1</v>
      </c>
      <c r="D905" s="1418"/>
      <c r="E905" s="1418"/>
      <c r="F905" s="1418"/>
      <c r="G905" s="1325" t="s">
        <v>180</v>
      </c>
      <c r="H905" s="1325"/>
      <c r="I905" s="1325"/>
      <c r="J905" s="757">
        <f>+J907</f>
        <v>0</v>
      </c>
      <c r="K905" s="758">
        <f>+K907</f>
        <v>0</v>
      </c>
      <c r="L905" s="758">
        <f>+L907</f>
        <v>20265000</v>
      </c>
      <c r="M905" s="758">
        <f>+M907</f>
        <v>0</v>
      </c>
      <c r="N905" s="758">
        <f>+M905+L905</f>
        <v>20265000</v>
      </c>
      <c r="O905" s="758">
        <f t="shared" ref="O905:O911" si="140">N905-K905</f>
        <v>20265000</v>
      </c>
      <c r="P905" s="690" t="e">
        <f>N905/K905*100</f>
        <v>#DIV/0!</v>
      </c>
      <c r="Q905" s="701"/>
      <c r="R905" s="422"/>
    </row>
    <row r="906" spans="1:18" s="189" customFormat="1">
      <c r="A906" s="293"/>
      <c r="B906" s="292"/>
      <c r="C906" s="292"/>
      <c r="D906" s="292"/>
      <c r="E906" s="292"/>
      <c r="F906" s="292"/>
      <c r="G906" s="253"/>
      <c r="H906" s="253"/>
      <c r="I906" s="253"/>
      <c r="J906" s="354"/>
      <c r="K906" s="355"/>
      <c r="L906" s="355"/>
      <c r="M906" s="355"/>
      <c r="N906" s="355"/>
      <c r="O906" s="355"/>
      <c r="P906" s="388"/>
      <c r="Q906" s="448"/>
      <c r="R906" s="422"/>
    </row>
    <row r="907" spans="1:18" s="189" customFormat="1">
      <c r="A907" s="293"/>
      <c r="B907" s="290">
        <v>4</v>
      </c>
      <c r="C907" s="290">
        <v>1</v>
      </c>
      <c r="D907" s="290">
        <v>4</v>
      </c>
      <c r="E907" s="290"/>
      <c r="F907" s="290"/>
      <c r="G907" s="291" t="s">
        <v>71</v>
      </c>
      <c r="H907" s="291"/>
      <c r="I907" s="291"/>
      <c r="J907" s="370">
        <f>J908+J913</f>
        <v>0</v>
      </c>
      <c r="K907" s="371">
        <f>K908+K913+K909</f>
        <v>0</v>
      </c>
      <c r="L907" s="371">
        <f>L908+L913+L909</f>
        <v>20265000</v>
      </c>
      <c r="M907" s="371">
        <f>M908+M913+M909</f>
        <v>0</v>
      </c>
      <c r="N907" s="371">
        <f>M907+L907</f>
        <v>20265000</v>
      </c>
      <c r="O907" s="367">
        <f t="shared" si="140"/>
        <v>20265000</v>
      </c>
      <c r="P907" s="347" t="e">
        <f>N907/K907*100</f>
        <v>#DIV/0!</v>
      </c>
      <c r="Q907" s="448"/>
      <c r="R907" s="422"/>
    </row>
    <row r="908" spans="1:18" s="189" customFormat="1">
      <c r="A908" s="289"/>
      <c r="B908" s="292">
        <v>4</v>
      </c>
      <c r="C908" s="292">
        <v>1</v>
      </c>
      <c r="D908" s="292">
        <v>4</v>
      </c>
      <c r="E908" s="292" t="s">
        <v>444</v>
      </c>
      <c r="F908" s="292"/>
      <c r="G908" s="253" t="s">
        <v>222</v>
      </c>
      <c r="H908" s="253"/>
      <c r="I908" s="253"/>
      <c r="J908" s="354">
        <f>+J911</f>
        <v>0</v>
      </c>
      <c r="K908" s="355">
        <f>+K911</f>
        <v>0</v>
      </c>
      <c r="L908" s="355">
        <f>SUM(L909:L911)</f>
        <v>0</v>
      </c>
      <c r="M908" s="355">
        <f>SUM(M909:M911)</f>
        <v>0</v>
      </c>
      <c r="N908" s="355">
        <f>SUM(N909:N911)</f>
        <v>0</v>
      </c>
      <c r="O908" s="346">
        <f t="shared" si="140"/>
        <v>0</v>
      </c>
      <c r="P908" s="347">
        <v>0</v>
      </c>
      <c r="Q908" s="448"/>
      <c r="R908" s="422"/>
    </row>
    <row r="909" spans="1:18" s="189" customFormat="1">
      <c r="A909" s="289"/>
      <c r="B909" s="292">
        <v>4</v>
      </c>
      <c r="C909" s="292">
        <v>1</v>
      </c>
      <c r="D909" s="292">
        <v>4</v>
      </c>
      <c r="E909" s="292" t="s">
        <v>444</v>
      </c>
      <c r="F909" s="292" t="s">
        <v>440</v>
      </c>
      <c r="G909" s="909" t="s">
        <v>1018</v>
      </c>
      <c r="H909" s="253"/>
      <c r="I909" s="253"/>
      <c r="J909" s="354">
        <v>0</v>
      </c>
      <c r="K909" s="355">
        <f>'[55]TARGET VERSI LAMA'!$E$631</f>
        <v>0</v>
      </c>
      <c r="L909" s="355">
        <f>[56]PerDinas!$N$1032</f>
        <v>0</v>
      </c>
      <c r="M909" s="355">
        <f>[55]Perdinas!$P$695</f>
        <v>0</v>
      </c>
      <c r="N909" s="355">
        <f>M909+L909</f>
        <v>0</v>
      </c>
      <c r="O909" s="355">
        <f t="shared" si="140"/>
        <v>0</v>
      </c>
      <c r="P909" s="388"/>
      <c r="Q909" s="448"/>
      <c r="R909" s="422"/>
    </row>
    <row r="910" spans="1:18" s="189" customFormat="1">
      <c r="A910" s="289"/>
      <c r="B910" s="292">
        <v>4</v>
      </c>
      <c r="C910" s="292">
        <v>1</v>
      </c>
      <c r="D910" s="292">
        <v>4</v>
      </c>
      <c r="E910" s="292" t="s">
        <v>444</v>
      </c>
      <c r="F910" s="292" t="s">
        <v>445</v>
      </c>
      <c r="G910" s="253" t="s">
        <v>74</v>
      </c>
      <c r="H910" s="253"/>
      <c r="I910" s="253"/>
      <c r="J910" s="354">
        <v>0</v>
      </c>
      <c r="K910" s="355">
        <v>0</v>
      </c>
      <c r="L910" s="355">
        <f>[56]PerDinas!$N$1033</f>
        <v>0</v>
      </c>
      <c r="M910" s="355">
        <f>[55]Perdinas!$P$696</f>
        <v>0</v>
      </c>
      <c r="N910" s="355">
        <f>M910+L910</f>
        <v>0</v>
      </c>
      <c r="O910" s="355">
        <f t="shared" si="140"/>
        <v>0</v>
      </c>
      <c r="P910" s="388"/>
      <c r="Q910" s="448"/>
      <c r="R910" s="422"/>
    </row>
    <row r="911" spans="1:18" s="189" customFormat="1">
      <c r="A911" s="289"/>
      <c r="B911" s="292">
        <v>4</v>
      </c>
      <c r="C911" s="292">
        <v>1</v>
      </c>
      <c r="D911" s="292">
        <v>4</v>
      </c>
      <c r="E911" s="292" t="s">
        <v>444</v>
      </c>
      <c r="F911" s="292" t="s">
        <v>441</v>
      </c>
      <c r="G911" s="253" t="s">
        <v>75</v>
      </c>
      <c r="H911" s="253"/>
      <c r="I911" s="253"/>
      <c r="J911" s="354">
        <v>0</v>
      </c>
      <c r="K911" s="355">
        <f>'[55]TARGET VERSI LAMA'!$E$633</f>
        <v>0</v>
      </c>
      <c r="L911" s="355">
        <f>[56]PerDinas!$N$1034</f>
        <v>0</v>
      </c>
      <c r="M911" s="355">
        <f>[55]Perdinas!$P$697</f>
        <v>0</v>
      </c>
      <c r="N911" s="369">
        <f>M911+L911</f>
        <v>0</v>
      </c>
      <c r="O911" s="355">
        <f t="shared" si="140"/>
        <v>0</v>
      </c>
      <c r="P911" s="388"/>
      <c r="Q911" s="448"/>
      <c r="R911" s="422"/>
    </row>
    <row r="912" spans="1:18" s="189" customFormat="1">
      <c r="A912" s="289"/>
      <c r="B912" s="292"/>
      <c r="C912" s="292"/>
      <c r="D912" s="292"/>
      <c r="E912" s="292"/>
      <c r="F912" s="292"/>
      <c r="G912" s="253"/>
      <c r="H912" s="253"/>
      <c r="I912" s="253"/>
      <c r="J912" s="354"/>
      <c r="K912" s="355"/>
      <c r="L912" s="355"/>
      <c r="M912" s="355"/>
      <c r="N912" s="355"/>
      <c r="O912" s="355"/>
      <c r="P912" s="388"/>
      <c r="Q912" s="448"/>
      <c r="R912" s="422"/>
    </row>
    <row r="913" spans="1:18" s="189" customFormat="1">
      <c r="A913" s="293"/>
      <c r="B913" s="292">
        <v>4</v>
      </c>
      <c r="C913" s="292">
        <v>1</v>
      </c>
      <c r="D913" s="292">
        <v>4</v>
      </c>
      <c r="E913" s="292" t="s">
        <v>948</v>
      </c>
      <c r="F913" s="292"/>
      <c r="G913" s="253" t="s">
        <v>321</v>
      </c>
      <c r="H913" s="253"/>
      <c r="I913" s="253"/>
      <c r="J913" s="374">
        <f t="shared" ref="J913:M914" si="141">+J914</f>
        <v>0</v>
      </c>
      <c r="K913" s="375">
        <f t="shared" si="141"/>
        <v>0</v>
      </c>
      <c r="L913" s="375">
        <f t="shared" si="141"/>
        <v>20265000</v>
      </c>
      <c r="M913" s="375">
        <f t="shared" si="141"/>
        <v>0</v>
      </c>
      <c r="N913" s="346">
        <f>+M913+L913</f>
        <v>20265000</v>
      </c>
      <c r="O913" s="346">
        <f>N913-K913</f>
        <v>20265000</v>
      </c>
      <c r="P913" s="347">
        <v>0</v>
      </c>
      <c r="Q913" s="448"/>
      <c r="R913" s="422"/>
    </row>
    <row r="914" spans="1:18" s="189" customFormat="1">
      <c r="A914" s="293"/>
      <c r="B914" s="292">
        <v>4</v>
      </c>
      <c r="C914" s="292">
        <v>1</v>
      </c>
      <c r="D914" s="292">
        <v>4</v>
      </c>
      <c r="E914" s="292" t="s">
        <v>948</v>
      </c>
      <c r="F914" s="292" t="s">
        <v>437</v>
      </c>
      <c r="G914" s="253" t="s">
        <v>85</v>
      </c>
      <c r="H914" s="253"/>
      <c r="I914" s="253"/>
      <c r="J914" s="374">
        <f t="shared" si="141"/>
        <v>0</v>
      </c>
      <c r="K914" s="375">
        <f t="shared" si="141"/>
        <v>0</v>
      </c>
      <c r="L914" s="375">
        <f t="shared" si="141"/>
        <v>20265000</v>
      </c>
      <c r="M914" s="375">
        <f t="shared" si="141"/>
        <v>0</v>
      </c>
      <c r="N914" s="355">
        <f>M914+L914</f>
        <v>20265000</v>
      </c>
      <c r="O914" s="355">
        <f>N914-K914</f>
        <v>20265000</v>
      </c>
      <c r="P914" s="388">
        <v>0</v>
      </c>
      <c r="Q914" s="448"/>
      <c r="R914" s="422"/>
    </row>
    <row r="915" spans="1:18" s="189" customFormat="1">
      <c r="A915" s="654"/>
      <c r="B915" s="655"/>
      <c r="C915" s="655"/>
      <c r="D915" s="655"/>
      <c r="E915" s="655"/>
      <c r="F915" s="655"/>
      <c r="G915" s="656" t="s">
        <v>50</v>
      </c>
      <c r="H915" s="656"/>
      <c r="I915" s="656" t="s">
        <v>76</v>
      </c>
      <c r="J915" s="680"/>
      <c r="K915" s="681">
        <f>'[55]TARGET VERSI LAMA'!$E$634</f>
        <v>0</v>
      </c>
      <c r="L915" s="681">
        <f>PerDinas!L632</f>
        <v>20265000</v>
      </c>
      <c r="M915" s="681">
        <f>PerDinas!M632</f>
        <v>0</v>
      </c>
      <c r="N915" s="1395">
        <f>M915+L915</f>
        <v>20265000</v>
      </c>
      <c r="O915" s="527">
        <f>N915-K915</f>
        <v>20265000</v>
      </c>
      <c r="P915" s="671">
        <v>0</v>
      </c>
      <c r="Q915" s="698"/>
      <c r="R915" s="422"/>
    </row>
    <row r="916" spans="1:18" s="189" customFormat="1" ht="12.7" customHeight="1">
      <c r="A916" s="1383" t="s">
        <v>406</v>
      </c>
      <c r="B916" s="1378"/>
      <c r="C916" s="1378"/>
      <c r="D916" s="1378"/>
      <c r="E916" s="1378"/>
      <c r="F916" s="1378"/>
      <c r="G916" s="1379" t="s">
        <v>923</v>
      </c>
      <c r="H916" s="1379"/>
      <c r="I916" s="1379"/>
      <c r="J916" s="1396">
        <f>+J917</f>
        <v>0</v>
      </c>
      <c r="K916" s="1397">
        <f>+K917</f>
        <v>0</v>
      </c>
      <c r="L916" s="1397">
        <f>+L917</f>
        <v>1500000</v>
      </c>
      <c r="M916" s="1397">
        <f>+M917</f>
        <v>0</v>
      </c>
      <c r="N916" s="1397">
        <f>M916+L916</f>
        <v>1500000</v>
      </c>
      <c r="O916" s="1397">
        <f>+N916-K916</f>
        <v>1500000</v>
      </c>
      <c r="P916" s="1398" t="e">
        <f>+N916/K916*100</f>
        <v>#DIV/0!</v>
      </c>
      <c r="Q916" s="1406"/>
      <c r="R916" s="422"/>
    </row>
    <row r="917" spans="1:18" s="189" customFormat="1" ht="12.7" customHeight="1">
      <c r="A917" s="1409"/>
      <c r="B917" s="1418">
        <v>4</v>
      </c>
      <c r="C917" s="1418">
        <v>1</v>
      </c>
      <c r="D917" s="1418"/>
      <c r="E917" s="1418"/>
      <c r="F917" s="1418"/>
      <c r="G917" s="1325" t="s">
        <v>180</v>
      </c>
      <c r="H917" s="1325"/>
      <c r="I917" s="1325"/>
      <c r="J917" s="757">
        <f>+J919</f>
        <v>0</v>
      </c>
      <c r="K917" s="758">
        <f>+K919</f>
        <v>0</v>
      </c>
      <c r="L917" s="758">
        <f>+L919</f>
        <v>1500000</v>
      </c>
      <c r="M917" s="758">
        <f>+M919</f>
        <v>0</v>
      </c>
      <c r="N917" s="758">
        <f>+M917+L917</f>
        <v>1500000</v>
      </c>
      <c r="O917" s="758">
        <f t="shared" ref="O917:O923" si="142">N917-K917</f>
        <v>1500000</v>
      </c>
      <c r="P917" s="690" t="e">
        <f>N917/K917*100</f>
        <v>#DIV/0!</v>
      </c>
      <c r="Q917" s="701"/>
      <c r="R917" s="422"/>
    </row>
    <row r="918" spans="1:18" s="189" customFormat="1" ht="12.7" customHeight="1">
      <c r="A918" s="293"/>
      <c r="B918" s="292"/>
      <c r="C918" s="292"/>
      <c r="D918" s="292"/>
      <c r="E918" s="292"/>
      <c r="F918" s="292"/>
      <c r="G918" s="253"/>
      <c r="H918" s="253"/>
      <c r="I918" s="253"/>
      <c r="J918" s="354"/>
      <c r="K918" s="355"/>
      <c r="L918" s="355"/>
      <c r="M918" s="355"/>
      <c r="N918" s="355"/>
      <c r="O918" s="355"/>
      <c r="P918" s="388"/>
      <c r="Q918" s="448"/>
      <c r="R918" s="422"/>
    </row>
    <row r="919" spans="1:18" s="189" customFormat="1" ht="13.5" customHeight="1">
      <c r="A919" s="293"/>
      <c r="B919" s="290">
        <v>4</v>
      </c>
      <c r="C919" s="290">
        <v>1</v>
      </c>
      <c r="D919" s="290">
        <v>4</v>
      </c>
      <c r="E919" s="290"/>
      <c r="F919" s="290"/>
      <c r="G919" s="291" t="s">
        <v>71</v>
      </c>
      <c r="H919" s="291"/>
      <c r="I919" s="291"/>
      <c r="J919" s="370">
        <f>J920+J925</f>
        <v>0</v>
      </c>
      <c r="K919" s="371">
        <f>K920+K925</f>
        <v>0</v>
      </c>
      <c r="L919" s="371">
        <f>L920+L925</f>
        <v>1500000</v>
      </c>
      <c r="M919" s="371">
        <f>M920+M925</f>
        <v>0</v>
      </c>
      <c r="N919" s="371">
        <f>N920+N925</f>
        <v>1500000</v>
      </c>
      <c r="O919" s="367">
        <f t="shared" si="142"/>
        <v>1500000</v>
      </c>
      <c r="P919" s="347" t="e">
        <f>N919/K919*100</f>
        <v>#DIV/0!</v>
      </c>
      <c r="Q919" s="448"/>
      <c r="R919" s="422"/>
    </row>
    <row r="920" spans="1:18" s="189" customFormat="1" ht="13.5" customHeight="1">
      <c r="A920" s="289"/>
      <c r="B920" s="292">
        <v>4</v>
      </c>
      <c r="C920" s="292">
        <v>1</v>
      </c>
      <c r="D920" s="292">
        <v>4</v>
      </c>
      <c r="E920" s="292" t="s">
        <v>444</v>
      </c>
      <c r="F920" s="292"/>
      <c r="G920" s="253" t="s">
        <v>222</v>
      </c>
      <c r="H920" s="253"/>
      <c r="I920" s="253"/>
      <c r="J920" s="354">
        <f>+J923</f>
        <v>0</v>
      </c>
      <c r="K920" s="355">
        <f>+K923</f>
        <v>0</v>
      </c>
      <c r="L920" s="355">
        <f>SUM(L921:L923)</f>
        <v>1500000</v>
      </c>
      <c r="M920" s="355">
        <f>SUM(M921:M923)</f>
        <v>0</v>
      </c>
      <c r="N920" s="355">
        <f>SUM(N921:N923)</f>
        <v>1500000</v>
      </c>
      <c r="O920" s="346">
        <f t="shared" si="142"/>
        <v>1500000</v>
      </c>
      <c r="P920" s="347">
        <v>0</v>
      </c>
      <c r="Q920" s="448"/>
      <c r="R920" s="422"/>
    </row>
    <row r="921" spans="1:18" s="189" customFormat="1" ht="12.7" customHeight="1">
      <c r="A921" s="289"/>
      <c r="B921" s="292">
        <v>4</v>
      </c>
      <c r="C921" s="292">
        <v>1</v>
      </c>
      <c r="D921" s="292">
        <v>4</v>
      </c>
      <c r="E921" s="292" t="s">
        <v>444</v>
      </c>
      <c r="F921" s="292" t="s">
        <v>440</v>
      </c>
      <c r="G921" s="253" t="s">
        <v>73</v>
      </c>
      <c r="H921" s="253"/>
      <c r="I921" s="253"/>
      <c r="J921" s="354">
        <v>0</v>
      </c>
      <c r="K921" s="355">
        <v>0</v>
      </c>
      <c r="L921" s="360">
        <v>0</v>
      </c>
      <c r="M921" s="355">
        <v>0</v>
      </c>
      <c r="N921" s="355">
        <f>M921+L921</f>
        <v>0</v>
      </c>
      <c r="O921" s="355">
        <f t="shared" si="142"/>
        <v>0</v>
      </c>
      <c r="P921" s="388"/>
      <c r="Q921" s="448"/>
      <c r="R921" s="422"/>
    </row>
    <row r="922" spans="1:18" s="189" customFormat="1" ht="12.7" customHeight="1">
      <c r="A922" s="289"/>
      <c r="B922" s="292">
        <v>4</v>
      </c>
      <c r="C922" s="292">
        <v>1</v>
      </c>
      <c r="D922" s="292">
        <v>4</v>
      </c>
      <c r="E922" s="292" t="s">
        <v>444</v>
      </c>
      <c r="F922" s="292" t="s">
        <v>445</v>
      </c>
      <c r="G922" s="253" t="s">
        <v>74</v>
      </c>
      <c r="H922" s="253"/>
      <c r="I922" s="253"/>
      <c r="J922" s="354">
        <v>0</v>
      </c>
      <c r="K922" s="355">
        <v>0</v>
      </c>
      <c r="L922" s="360">
        <v>0</v>
      </c>
      <c r="M922" s="355">
        <f>[55]Perdinas!$P$664</f>
        <v>0</v>
      </c>
      <c r="N922" s="355">
        <f>M922+L922</f>
        <v>0</v>
      </c>
      <c r="O922" s="355">
        <f t="shared" si="142"/>
        <v>0</v>
      </c>
      <c r="P922" s="388"/>
      <c r="Q922" s="448"/>
      <c r="R922" s="422"/>
    </row>
    <row r="923" spans="1:18" s="189" customFormat="1" ht="12.7" customHeight="1">
      <c r="A923" s="289"/>
      <c r="B923" s="292">
        <v>4</v>
      </c>
      <c r="C923" s="292">
        <v>1</v>
      </c>
      <c r="D923" s="292">
        <v>4</v>
      </c>
      <c r="E923" s="292" t="s">
        <v>444</v>
      </c>
      <c r="F923" s="292" t="s">
        <v>441</v>
      </c>
      <c r="G923" s="253" t="s">
        <v>75</v>
      </c>
      <c r="H923" s="253"/>
      <c r="I923" s="253"/>
      <c r="J923" s="354">
        <v>0</v>
      </c>
      <c r="K923" s="373">
        <f>'[55]TARGET VERSI LAMA'!$E$641</f>
        <v>0</v>
      </c>
      <c r="L923" s="360">
        <f>PerDinas!L1049</f>
        <v>1500000</v>
      </c>
      <c r="M923" s="373">
        <f>[55]Perdinas!$P$706</f>
        <v>0</v>
      </c>
      <c r="N923" s="369">
        <f>M923+L923</f>
        <v>1500000</v>
      </c>
      <c r="O923" s="355">
        <f t="shared" si="142"/>
        <v>1500000</v>
      </c>
      <c r="P923" s="388"/>
      <c r="Q923" s="448"/>
      <c r="R923" s="422"/>
    </row>
    <row r="924" spans="1:18" s="189" customFormat="1" ht="12.7" customHeight="1">
      <c r="A924" s="289"/>
      <c r="B924" s="292"/>
      <c r="C924" s="292"/>
      <c r="D924" s="292"/>
      <c r="E924" s="292"/>
      <c r="F924" s="292"/>
      <c r="G924" s="253"/>
      <c r="H924" s="253"/>
      <c r="I924" s="253"/>
      <c r="J924" s="354"/>
      <c r="K924" s="355"/>
      <c r="L924" s="360"/>
      <c r="M924" s="355"/>
      <c r="N924" s="355"/>
      <c r="O924" s="355"/>
      <c r="P924" s="388"/>
      <c r="Q924" s="448"/>
      <c r="R924" s="422"/>
    </row>
    <row r="925" spans="1:18" s="189" customFormat="1" ht="12.7" customHeight="1">
      <c r="A925" s="293"/>
      <c r="B925" s="292">
        <v>4</v>
      </c>
      <c r="C925" s="292">
        <v>1</v>
      </c>
      <c r="D925" s="292">
        <v>4</v>
      </c>
      <c r="E925" s="292" t="s">
        <v>948</v>
      </c>
      <c r="F925" s="292"/>
      <c r="G925" s="253" t="s">
        <v>321</v>
      </c>
      <c r="H925" s="253"/>
      <c r="I925" s="253"/>
      <c r="J925" s="374">
        <f t="shared" ref="J925:M926" si="143">+J926</f>
        <v>0</v>
      </c>
      <c r="K925" s="375">
        <f t="shared" si="143"/>
        <v>0</v>
      </c>
      <c r="L925" s="377">
        <f t="shared" si="143"/>
        <v>0</v>
      </c>
      <c r="M925" s="375">
        <f t="shared" si="143"/>
        <v>0</v>
      </c>
      <c r="N925" s="346">
        <f>+M925+L925</f>
        <v>0</v>
      </c>
      <c r="O925" s="346">
        <f>N925-K925</f>
        <v>0</v>
      </c>
      <c r="P925" s="347">
        <v>0</v>
      </c>
      <c r="Q925" s="448"/>
      <c r="R925" s="422"/>
    </row>
    <row r="926" spans="1:18" s="189" customFormat="1" ht="12.7" customHeight="1">
      <c r="A926" s="293"/>
      <c r="B926" s="292">
        <v>4</v>
      </c>
      <c r="C926" s="292">
        <v>1</v>
      </c>
      <c r="D926" s="292">
        <v>4</v>
      </c>
      <c r="E926" s="292" t="s">
        <v>948</v>
      </c>
      <c r="F926" s="292" t="s">
        <v>437</v>
      </c>
      <c r="G926" s="253" t="s">
        <v>85</v>
      </c>
      <c r="H926" s="253"/>
      <c r="I926" s="253"/>
      <c r="J926" s="374">
        <f t="shared" si="143"/>
        <v>0</v>
      </c>
      <c r="K926" s="375">
        <f t="shared" si="143"/>
        <v>0</v>
      </c>
      <c r="L926" s="377">
        <f t="shared" si="143"/>
        <v>0</v>
      </c>
      <c r="M926" s="375">
        <f t="shared" si="143"/>
        <v>0</v>
      </c>
      <c r="N926" s="355">
        <f>M926+L926</f>
        <v>0</v>
      </c>
      <c r="O926" s="355">
        <f>N926-K926</f>
        <v>0</v>
      </c>
      <c r="P926" s="388">
        <v>0</v>
      </c>
      <c r="Q926" s="448"/>
      <c r="R926" s="422"/>
    </row>
    <row r="927" spans="1:18" s="189" customFormat="1" ht="12.7" customHeight="1">
      <c r="A927" s="293"/>
      <c r="B927" s="292"/>
      <c r="C927" s="292"/>
      <c r="D927" s="292"/>
      <c r="E927" s="292"/>
      <c r="F927" s="292"/>
      <c r="G927" s="253" t="s">
        <v>50</v>
      </c>
      <c r="H927" s="253"/>
      <c r="I927" s="253" t="s">
        <v>76</v>
      </c>
      <c r="J927" s="374"/>
      <c r="K927" s="375">
        <f>'[55]TARGET VERSI LAMA'!$E$642</f>
        <v>0</v>
      </c>
      <c r="L927" s="377">
        <f>[56]PerDinas!$N$991</f>
        <v>0</v>
      </c>
      <c r="M927" s="375">
        <v>0</v>
      </c>
      <c r="N927" s="355">
        <f>M927+L927</f>
        <v>0</v>
      </c>
      <c r="O927" s="355">
        <f>N927-K927</f>
        <v>0</v>
      </c>
      <c r="P927" s="388">
        <v>0</v>
      </c>
      <c r="Q927" s="448"/>
      <c r="R927" s="422"/>
    </row>
    <row r="928" spans="1:18" s="189" customFormat="1" ht="12.7" customHeight="1">
      <c r="A928" s="1524"/>
      <c r="B928" s="1525"/>
      <c r="C928" s="1525"/>
      <c r="D928" s="1525"/>
      <c r="E928" s="1525"/>
      <c r="F928" s="1525"/>
      <c r="G928" s="1526"/>
      <c r="H928" s="656"/>
      <c r="I928" s="656"/>
      <c r="J928" s="1527"/>
      <c r="K928" s="1528"/>
      <c r="L928" s="1528"/>
      <c r="M928" s="1528"/>
      <c r="N928" s="1529"/>
      <c r="O928" s="1529"/>
      <c r="P928" s="1530"/>
      <c r="Q928" s="698"/>
      <c r="R928" s="422"/>
    </row>
    <row r="929" spans="1:18" s="189" customFormat="1" ht="12.7" customHeight="1">
      <c r="A929" s="1383" t="s">
        <v>408</v>
      </c>
      <c r="B929" s="1378"/>
      <c r="C929" s="1378"/>
      <c r="D929" s="1378"/>
      <c r="E929" s="1378"/>
      <c r="F929" s="1378"/>
      <c r="G929" s="1379" t="s">
        <v>924</v>
      </c>
      <c r="H929" s="1379"/>
      <c r="I929" s="1379"/>
      <c r="J929" s="1396">
        <f>+J930</f>
        <v>0</v>
      </c>
      <c r="K929" s="1397">
        <f>+K930</f>
        <v>0</v>
      </c>
      <c r="L929" s="1397">
        <f>+L930</f>
        <v>15104597</v>
      </c>
      <c r="M929" s="1397">
        <f>+M930</f>
        <v>0</v>
      </c>
      <c r="N929" s="1397">
        <f>M929+L929</f>
        <v>15104597</v>
      </c>
      <c r="O929" s="1397">
        <f>+N929-K929</f>
        <v>15104597</v>
      </c>
      <c r="P929" s="1398" t="e">
        <f>+N929/K929*100</f>
        <v>#DIV/0!</v>
      </c>
      <c r="Q929" s="1406"/>
      <c r="R929" s="422"/>
    </row>
    <row r="930" spans="1:18" s="189" customFormat="1" ht="12.7" customHeight="1">
      <c r="A930" s="1409"/>
      <c r="B930" s="1418">
        <v>4</v>
      </c>
      <c r="C930" s="1418">
        <v>1</v>
      </c>
      <c r="D930" s="1418"/>
      <c r="E930" s="1418"/>
      <c r="F930" s="1418"/>
      <c r="G930" s="1325" t="s">
        <v>180</v>
      </c>
      <c r="H930" s="1325"/>
      <c r="I930" s="1325"/>
      <c r="J930" s="757">
        <f>+J932</f>
        <v>0</v>
      </c>
      <c r="K930" s="758">
        <f>+K932</f>
        <v>0</v>
      </c>
      <c r="L930" s="758">
        <f>+L932</f>
        <v>15104597</v>
      </c>
      <c r="M930" s="758">
        <f>+M932</f>
        <v>0</v>
      </c>
      <c r="N930" s="758">
        <f>+M930+L930</f>
        <v>15104597</v>
      </c>
      <c r="O930" s="758">
        <f t="shared" ref="O930:O936" si="144">N930-K930</f>
        <v>15104597</v>
      </c>
      <c r="P930" s="690" t="e">
        <f>N930/K930*100</f>
        <v>#DIV/0!</v>
      </c>
      <c r="Q930" s="701"/>
      <c r="R930" s="422"/>
    </row>
    <row r="931" spans="1:18" s="189" customFormat="1" ht="12.7" customHeight="1">
      <c r="A931" s="293"/>
      <c r="B931" s="292"/>
      <c r="C931" s="292"/>
      <c r="D931" s="292"/>
      <c r="E931" s="292"/>
      <c r="F931" s="292"/>
      <c r="G931" s="253"/>
      <c r="H931" s="253"/>
      <c r="I931" s="253"/>
      <c r="J931" s="354"/>
      <c r="K931" s="355"/>
      <c r="L931" s="355"/>
      <c r="M931" s="355"/>
      <c r="N931" s="355"/>
      <c r="O931" s="355"/>
      <c r="P931" s="388"/>
      <c r="Q931" s="448"/>
      <c r="R931" s="422"/>
    </row>
    <row r="932" spans="1:18" s="189" customFormat="1" ht="13.5" customHeight="1">
      <c r="A932" s="293"/>
      <c r="B932" s="290">
        <v>4</v>
      </c>
      <c r="C932" s="290">
        <v>1</v>
      </c>
      <c r="D932" s="290">
        <v>4</v>
      </c>
      <c r="E932" s="290"/>
      <c r="F932" s="290"/>
      <c r="G932" s="291" t="s">
        <v>71</v>
      </c>
      <c r="H932" s="291"/>
      <c r="I932" s="291"/>
      <c r="J932" s="370">
        <f>J933+J938</f>
        <v>0</v>
      </c>
      <c r="K932" s="371">
        <f>K933+K938+K934</f>
        <v>0</v>
      </c>
      <c r="L932" s="371">
        <f>L933+L938+L934</f>
        <v>15104597</v>
      </c>
      <c r="M932" s="371">
        <f>M933+M938+M934</f>
        <v>0</v>
      </c>
      <c r="N932" s="371">
        <f>M932+L932</f>
        <v>15104597</v>
      </c>
      <c r="O932" s="367">
        <f t="shared" si="144"/>
        <v>15104597</v>
      </c>
      <c r="P932" s="347" t="e">
        <f>N932/K932*100</f>
        <v>#DIV/0!</v>
      </c>
      <c r="Q932" s="448"/>
      <c r="R932" s="422"/>
    </row>
    <row r="933" spans="1:18" s="189" customFormat="1" ht="13.5" customHeight="1">
      <c r="A933" s="289"/>
      <c r="B933" s="292">
        <v>4</v>
      </c>
      <c r="C933" s="292">
        <v>1</v>
      </c>
      <c r="D933" s="292">
        <v>4</v>
      </c>
      <c r="E933" s="292" t="s">
        <v>444</v>
      </c>
      <c r="F933" s="292"/>
      <c r="G933" s="253" t="s">
        <v>222</v>
      </c>
      <c r="H933" s="253"/>
      <c r="I933" s="253"/>
      <c r="J933" s="354">
        <f>+J936</f>
        <v>0</v>
      </c>
      <c r="K933" s="355">
        <f>+K936</f>
        <v>0</v>
      </c>
      <c r="L933" s="355">
        <f>+L936</f>
        <v>15104597</v>
      </c>
      <c r="M933" s="355">
        <f>+M936</f>
        <v>0</v>
      </c>
      <c r="N933" s="355">
        <f>M933+L933</f>
        <v>15104597</v>
      </c>
      <c r="O933" s="346">
        <f t="shared" si="144"/>
        <v>15104597</v>
      </c>
      <c r="P933" s="347">
        <v>0</v>
      </c>
      <c r="Q933" s="448"/>
      <c r="R933" s="422"/>
    </row>
    <row r="934" spans="1:18" s="189" customFormat="1" ht="12.7" customHeight="1">
      <c r="A934" s="289"/>
      <c r="B934" s="292">
        <v>4</v>
      </c>
      <c r="C934" s="292">
        <v>1</v>
      </c>
      <c r="D934" s="292">
        <v>4</v>
      </c>
      <c r="E934" s="292" t="s">
        <v>444</v>
      </c>
      <c r="F934" s="292" t="s">
        <v>440</v>
      </c>
      <c r="G934" s="253" t="s">
        <v>710</v>
      </c>
      <c r="H934" s="253"/>
      <c r="I934" s="253"/>
      <c r="J934" s="354">
        <v>0</v>
      </c>
      <c r="K934" s="355">
        <v>0</v>
      </c>
      <c r="L934" s="360">
        <v>0</v>
      </c>
      <c r="M934" s="355">
        <f>[55]Perdinas!$P$713</f>
        <v>0</v>
      </c>
      <c r="N934" s="369">
        <f>M934+L934</f>
        <v>0</v>
      </c>
      <c r="O934" s="355">
        <f t="shared" si="144"/>
        <v>0</v>
      </c>
      <c r="P934" s="388"/>
      <c r="Q934" s="448"/>
      <c r="R934" s="422"/>
    </row>
    <row r="935" spans="1:18" s="189" customFormat="1" ht="12.7" customHeight="1">
      <c r="A935" s="289"/>
      <c r="B935" s="292">
        <v>4</v>
      </c>
      <c r="C935" s="292">
        <v>1</v>
      </c>
      <c r="D935" s="292">
        <v>4</v>
      </c>
      <c r="E935" s="292" t="s">
        <v>444</v>
      </c>
      <c r="F935" s="292" t="s">
        <v>445</v>
      </c>
      <c r="G935" s="253" t="s">
        <v>74</v>
      </c>
      <c r="H935" s="253"/>
      <c r="I935" s="253"/>
      <c r="J935" s="354">
        <v>0</v>
      </c>
      <c r="K935" s="355">
        <v>0</v>
      </c>
      <c r="L935" s="360">
        <v>0</v>
      </c>
      <c r="M935" s="355">
        <v>0</v>
      </c>
      <c r="N935" s="355">
        <f>M935+L935</f>
        <v>0</v>
      </c>
      <c r="O935" s="355">
        <f t="shared" si="144"/>
        <v>0</v>
      </c>
      <c r="P935" s="388"/>
      <c r="Q935" s="1531"/>
      <c r="R935" s="422"/>
    </row>
    <row r="936" spans="1:18" s="189" customFormat="1" ht="12.7" customHeight="1">
      <c r="A936" s="289"/>
      <c r="B936" s="292">
        <v>4</v>
      </c>
      <c r="C936" s="292">
        <v>1</v>
      </c>
      <c r="D936" s="292">
        <v>4</v>
      </c>
      <c r="E936" s="292" t="s">
        <v>444</v>
      </c>
      <c r="F936" s="292" t="s">
        <v>441</v>
      </c>
      <c r="G936" s="253" t="s">
        <v>75</v>
      </c>
      <c r="H936" s="253"/>
      <c r="I936" s="253"/>
      <c r="J936" s="354">
        <v>0</v>
      </c>
      <c r="K936" s="373">
        <f>'[55]TARGET VERSI LAMA'!$E$649</f>
        <v>0</v>
      </c>
      <c r="L936" s="360">
        <f>'[56]PERDINAS VERSI LAMA'!$N$936</f>
        <v>15104597</v>
      </c>
      <c r="M936" s="373">
        <f>[55]Perdinas!$P$715</f>
        <v>0</v>
      </c>
      <c r="N936" s="369">
        <f>M936+L936</f>
        <v>15104597</v>
      </c>
      <c r="O936" s="355">
        <f t="shared" si="144"/>
        <v>15104597</v>
      </c>
      <c r="P936" s="388"/>
      <c r="Q936" s="448"/>
      <c r="R936" s="545"/>
    </row>
    <row r="937" spans="1:18" s="189" customFormat="1" ht="12.7" customHeight="1">
      <c r="A937" s="289"/>
      <c r="B937" s="292"/>
      <c r="C937" s="292"/>
      <c r="D937" s="292"/>
      <c r="E937" s="292"/>
      <c r="F937" s="292"/>
      <c r="G937" s="253"/>
      <c r="H937" s="253"/>
      <c r="I937" s="253"/>
      <c r="J937" s="354"/>
      <c r="K937" s="355"/>
      <c r="L937" s="360"/>
      <c r="M937" s="355"/>
      <c r="N937" s="355"/>
      <c r="O937" s="355"/>
      <c r="P937" s="388"/>
      <c r="Q937" s="448"/>
      <c r="R937" s="422"/>
    </row>
    <row r="938" spans="1:18" s="189" customFormat="1" ht="12.7" customHeight="1">
      <c r="A938" s="293"/>
      <c r="B938" s="292">
        <v>4</v>
      </c>
      <c r="C938" s="292">
        <v>1</v>
      </c>
      <c r="D938" s="292">
        <v>4</v>
      </c>
      <c r="E938" s="292" t="s">
        <v>948</v>
      </c>
      <c r="F938" s="292"/>
      <c r="G938" s="253" t="s">
        <v>321</v>
      </c>
      <c r="H938" s="253"/>
      <c r="I938" s="253"/>
      <c r="J938" s="374">
        <f t="shared" ref="J938:M939" si="145">+J939</f>
        <v>0</v>
      </c>
      <c r="K938" s="375">
        <f t="shared" si="145"/>
        <v>0</v>
      </c>
      <c r="L938" s="377">
        <f t="shared" si="145"/>
        <v>0</v>
      </c>
      <c r="M938" s="375">
        <f t="shared" si="145"/>
        <v>0</v>
      </c>
      <c r="N938" s="346">
        <f>+M938+L938</f>
        <v>0</v>
      </c>
      <c r="O938" s="346">
        <f>N938-K938</f>
        <v>0</v>
      </c>
      <c r="P938" s="347">
        <v>0</v>
      </c>
      <c r="Q938" s="448"/>
      <c r="R938" s="422"/>
    </row>
    <row r="939" spans="1:18" s="189" customFormat="1" ht="12.7" customHeight="1">
      <c r="A939" s="293"/>
      <c r="B939" s="292">
        <v>4</v>
      </c>
      <c r="C939" s="292">
        <v>1</v>
      </c>
      <c r="D939" s="292">
        <v>4</v>
      </c>
      <c r="E939" s="292" t="s">
        <v>948</v>
      </c>
      <c r="F939" s="292" t="s">
        <v>437</v>
      </c>
      <c r="G939" s="253" t="s">
        <v>85</v>
      </c>
      <c r="H939" s="253"/>
      <c r="I939" s="253"/>
      <c r="J939" s="374">
        <f t="shared" si="145"/>
        <v>0</v>
      </c>
      <c r="K939" s="375">
        <f t="shared" si="145"/>
        <v>0</v>
      </c>
      <c r="L939" s="377">
        <f t="shared" si="145"/>
        <v>0</v>
      </c>
      <c r="M939" s="375">
        <f t="shared" si="145"/>
        <v>0</v>
      </c>
      <c r="N939" s="355">
        <f>M939+L939</f>
        <v>0</v>
      </c>
      <c r="O939" s="355">
        <f>N939-K939</f>
        <v>0</v>
      </c>
      <c r="P939" s="388">
        <v>0</v>
      </c>
      <c r="Q939" s="448"/>
      <c r="R939" s="422"/>
    </row>
    <row r="940" spans="1:18" s="189" customFormat="1" ht="12.7" customHeight="1">
      <c r="A940" s="654"/>
      <c r="B940" s="655"/>
      <c r="C940" s="655"/>
      <c r="D940" s="655"/>
      <c r="E940" s="655"/>
      <c r="F940" s="655"/>
      <c r="G940" s="656" t="s">
        <v>50</v>
      </c>
      <c r="H940" s="656"/>
      <c r="I940" s="656" t="s">
        <v>76</v>
      </c>
      <c r="J940" s="680"/>
      <c r="K940" s="681">
        <f>'[55]TARGET VERSI LAMA'!$E$650</f>
        <v>0</v>
      </c>
      <c r="L940" s="681">
        <v>0</v>
      </c>
      <c r="M940" s="681">
        <v>0</v>
      </c>
      <c r="N940" s="527">
        <f>M940+L940</f>
        <v>0</v>
      </c>
      <c r="O940" s="527">
        <f>N940-K940</f>
        <v>0</v>
      </c>
      <c r="P940" s="671">
        <v>0</v>
      </c>
      <c r="Q940" s="698"/>
      <c r="R940" s="422"/>
    </row>
    <row r="941" spans="1:18" s="189" customFormat="1" ht="12.7" customHeight="1">
      <c r="A941" s="1383" t="s">
        <v>410</v>
      </c>
      <c r="B941" s="1378"/>
      <c r="C941" s="1378"/>
      <c r="D941" s="1378"/>
      <c r="E941" s="1378"/>
      <c r="F941" s="1378"/>
      <c r="G941" s="1379" t="s">
        <v>1026</v>
      </c>
      <c r="H941" s="1379"/>
      <c r="I941" s="1379"/>
      <c r="J941" s="1396">
        <f>+J942</f>
        <v>0</v>
      </c>
      <c r="K941" s="1397">
        <f>+K942</f>
        <v>0</v>
      </c>
      <c r="L941" s="1397">
        <f>+L942</f>
        <v>1424100</v>
      </c>
      <c r="M941" s="1397">
        <f>+M942</f>
        <v>1663975</v>
      </c>
      <c r="N941" s="1397">
        <f>M941+L941</f>
        <v>3088075</v>
      </c>
      <c r="O941" s="1397">
        <f>+N941-K941</f>
        <v>3088075</v>
      </c>
      <c r="P941" s="1398" t="e">
        <f>+N941/K941*100</f>
        <v>#DIV/0!</v>
      </c>
      <c r="Q941" s="1406"/>
      <c r="R941" s="422"/>
    </row>
    <row r="942" spans="1:18" s="189" customFormat="1" ht="12.7" customHeight="1">
      <c r="A942" s="1409"/>
      <c r="B942" s="1418">
        <v>4</v>
      </c>
      <c r="C942" s="1418">
        <v>1</v>
      </c>
      <c r="D942" s="1418"/>
      <c r="E942" s="1418"/>
      <c r="F942" s="1418"/>
      <c r="G942" s="1325" t="s">
        <v>180</v>
      </c>
      <c r="H942" s="1325"/>
      <c r="I942" s="1325"/>
      <c r="J942" s="757">
        <f>+J944</f>
        <v>0</v>
      </c>
      <c r="K942" s="758">
        <f>+K944</f>
        <v>0</v>
      </c>
      <c r="L942" s="758">
        <f>+L944</f>
        <v>1424100</v>
      </c>
      <c r="M942" s="758">
        <f>+M944</f>
        <v>1663975</v>
      </c>
      <c r="N942" s="758">
        <f>+M942+L942</f>
        <v>3088075</v>
      </c>
      <c r="O942" s="758">
        <f t="shared" ref="O942:O948" si="146">N942-K942</f>
        <v>3088075</v>
      </c>
      <c r="P942" s="690" t="e">
        <f>N942/K942*100</f>
        <v>#DIV/0!</v>
      </c>
      <c r="Q942" s="701"/>
      <c r="R942" s="422"/>
    </row>
    <row r="943" spans="1:18" s="189" customFormat="1" ht="12.7" customHeight="1">
      <c r="A943" s="293"/>
      <c r="B943" s="292"/>
      <c r="C943" s="292"/>
      <c r="D943" s="292"/>
      <c r="E943" s="292"/>
      <c r="F943" s="292"/>
      <c r="G943" s="253"/>
      <c r="H943" s="253"/>
      <c r="I943" s="253"/>
      <c r="J943" s="354"/>
      <c r="K943" s="355"/>
      <c r="L943" s="355"/>
      <c r="M943" s="355"/>
      <c r="N943" s="355"/>
      <c r="O943" s="355"/>
      <c r="P943" s="388"/>
      <c r="Q943" s="448"/>
      <c r="R943" s="422"/>
    </row>
    <row r="944" spans="1:18" s="189" customFormat="1" ht="13.5" customHeight="1">
      <c r="A944" s="293"/>
      <c r="B944" s="290">
        <v>4</v>
      </c>
      <c r="C944" s="290">
        <v>1</v>
      </c>
      <c r="D944" s="290">
        <v>4</v>
      </c>
      <c r="E944" s="290"/>
      <c r="F944" s="290"/>
      <c r="G944" s="291" t="s">
        <v>71</v>
      </c>
      <c r="H944" s="291"/>
      <c r="I944" s="291"/>
      <c r="J944" s="370">
        <f>J945+J950</f>
        <v>0</v>
      </c>
      <c r="K944" s="371">
        <f>K945+K950</f>
        <v>0</v>
      </c>
      <c r="L944" s="372">
        <f>L945+L950</f>
        <v>1424100</v>
      </c>
      <c r="M944" s="371">
        <f>M945+M950</f>
        <v>1663975</v>
      </c>
      <c r="N944" s="371">
        <f>N945+N950</f>
        <v>3088075</v>
      </c>
      <c r="O944" s="367">
        <f t="shared" si="146"/>
        <v>3088075</v>
      </c>
      <c r="P944" s="347" t="e">
        <f>N944/K944*100</f>
        <v>#DIV/0!</v>
      </c>
      <c r="Q944" s="448"/>
      <c r="R944" s="422"/>
    </row>
    <row r="945" spans="1:22" s="189" customFormat="1" ht="12.05" customHeight="1">
      <c r="A945" s="289"/>
      <c r="B945" s="292">
        <v>4</v>
      </c>
      <c r="C945" s="292">
        <v>1</v>
      </c>
      <c r="D945" s="292">
        <v>4</v>
      </c>
      <c r="E945" s="292" t="s">
        <v>444</v>
      </c>
      <c r="F945" s="292"/>
      <c r="G945" s="253" t="s">
        <v>222</v>
      </c>
      <c r="H945" s="253"/>
      <c r="I945" s="253"/>
      <c r="J945" s="354">
        <f>+J948</f>
        <v>0</v>
      </c>
      <c r="K945" s="355">
        <f>+K948</f>
        <v>0</v>
      </c>
      <c r="L945" s="360">
        <f>SUM(L946:L948)</f>
        <v>1424100</v>
      </c>
      <c r="M945" s="355">
        <f>SUM(M946:M948)</f>
        <v>1663975</v>
      </c>
      <c r="N945" s="355">
        <f>SUM(N946:N948)</f>
        <v>3088075</v>
      </c>
      <c r="O945" s="346">
        <f t="shared" si="146"/>
        <v>3088075</v>
      </c>
      <c r="P945" s="347">
        <v>0</v>
      </c>
      <c r="Q945" s="699"/>
      <c r="R945" s="422"/>
    </row>
    <row r="946" spans="1:22" s="189" customFormat="1" ht="12.05" customHeight="1">
      <c r="A946" s="289"/>
      <c r="B946" s="292">
        <v>4</v>
      </c>
      <c r="C946" s="292">
        <v>1</v>
      </c>
      <c r="D946" s="292">
        <v>4</v>
      </c>
      <c r="E946" s="292" t="s">
        <v>444</v>
      </c>
      <c r="F946" s="292" t="s">
        <v>440</v>
      </c>
      <c r="G946" s="253" t="s">
        <v>73</v>
      </c>
      <c r="H946" s="253"/>
      <c r="I946" s="253"/>
      <c r="J946" s="354">
        <v>0</v>
      </c>
      <c r="K946" s="355">
        <v>0</v>
      </c>
      <c r="L946" s="360">
        <v>0</v>
      </c>
      <c r="M946" s="355">
        <v>0</v>
      </c>
      <c r="N946" s="355">
        <f>M946+L946</f>
        <v>0</v>
      </c>
      <c r="O946" s="355">
        <f t="shared" si="146"/>
        <v>0</v>
      </c>
      <c r="P946" s="388"/>
      <c r="Q946" s="448"/>
      <c r="R946" s="422"/>
    </row>
    <row r="947" spans="1:22" s="189" customFormat="1" ht="12.05" customHeight="1">
      <c r="A947" s="289"/>
      <c r="B947" s="292">
        <v>4</v>
      </c>
      <c r="C947" s="292">
        <v>1</v>
      </c>
      <c r="D947" s="292">
        <v>4</v>
      </c>
      <c r="E947" s="292" t="s">
        <v>444</v>
      </c>
      <c r="F947" s="292" t="s">
        <v>445</v>
      </c>
      <c r="G947" s="253" t="s">
        <v>74</v>
      </c>
      <c r="H947" s="253"/>
      <c r="I947" s="253"/>
      <c r="J947" s="354">
        <v>0</v>
      </c>
      <c r="K947" s="355">
        <v>0</v>
      </c>
      <c r="L947" s="360">
        <v>0</v>
      </c>
      <c r="M947" s="355">
        <v>0</v>
      </c>
      <c r="N947" s="355">
        <f>M947+L947</f>
        <v>0</v>
      </c>
      <c r="O947" s="355">
        <f t="shared" si="146"/>
        <v>0</v>
      </c>
      <c r="P947" s="388"/>
      <c r="Q947" s="448"/>
      <c r="R947" s="422"/>
    </row>
    <row r="948" spans="1:22" s="256" customFormat="1" ht="12.05" customHeight="1">
      <c r="A948" s="289"/>
      <c r="B948" s="292">
        <v>4</v>
      </c>
      <c r="C948" s="292">
        <v>1</v>
      </c>
      <c r="D948" s="292">
        <v>4</v>
      </c>
      <c r="E948" s="292" t="s">
        <v>444</v>
      </c>
      <c r="F948" s="292" t="s">
        <v>441</v>
      </c>
      <c r="G948" s="253" t="s">
        <v>75</v>
      </c>
      <c r="H948" s="253"/>
      <c r="I948" s="253"/>
      <c r="J948" s="354">
        <v>0</v>
      </c>
      <c r="K948" s="355">
        <v>0</v>
      </c>
      <c r="L948" s="360">
        <v>1424100</v>
      </c>
      <c r="M948" s="355">
        <v>1663975</v>
      </c>
      <c r="N948" s="369">
        <f>M948+L948</f>
        <v>3088075</v>
      </c>
      <c r="O948" s="355">
        <f t="shared" si="146"/>
        <v>3088075</v>
      </c>
      <c r="P948" s="388"/>
      <c r="Q948" s="448"/>
      <c r="R948" s="1135"/>
    </row>
    <row r="949" spans="1:22" s="189" customFormat="1" ht="12.05" customHeight="1">
      <c r="A949" s="289"/>
      <c r="B949" s="292"/>
      <c r="C949" s="292"/>
      <c r="D949" s="292"/>
      <c r="E949" s="292"/>
      <c r="F949" s="292"/>
      <c r="G949" s="253"/>
      <c r="H949" s="253"/>
      <c r="I949" s="253"/>
      <c r="J949" s="354"/>
      <c r="K949" s="355"/>
      <c r="L949" s="360"/>
      <c r="M949" s="355"/>
      <c r="N949" s="355"/>
      <c r="O949" s="355"/>
      <c r="P949" s="388"/>
      <c r="Q949" s="448"/>
      <c r="R949" s="422"/>
    </row>
    <row r="950" spans="1:22" s="189" customFormat="1" ht="12.05" customHeight="1">
      <c r="A950" s="293"/>
      <c r="B950" s="292">
        <v>4</v>
      </c>
      <c r="C950" s="292">
        <v>1</v>
      </c>
      <c r="D950" s="292">
        <v>4</v>
      </c>
      <c r="E950" s="292" t="s">
        <v>948</v>
      </c>
      <c r="F950" s="292"/>
      <c r="G950" s="253" t="s">
        <v>321</v>
      </c>
      <c r="H950" s="253"/>
      <c r="I950" s="253"/>
      <c r="J950" s="374">
        <f t="shared" ref="J950:M951" si="147">+J951</f>
        <v>0</v>
      </c>
      <c r="K950" s="375">
        <f t="shared" si="147"/>
        <v>0</v>
      </c>
      <c r="L950" s="377">
        <f t="shared" si="147"/>
        <v>0</v>
      </c>
      <c r="M950" s="375">
        <f t="shared" si="147"/>
        <v>0</v>
      </c>
      <c r="N950" s="346">
        <f>+M950+L950</f>
        <v>0</v>
      </c>
      <c r="O950" s="346">
        <f>N950-K950</f>
        <v>0</v>
      </c>
      <c r="P950" s="347">
        <v>0</v>
      </c>
      <c r="Q950" s="448"/>
      <c r="R950" s="422"/>
    </row>
    <row r="951" spans="1:22" s="189" customFormat="1" ht="12.05" customHeight="1">
      <c r="A951" s="293"/>
      <c r="B951" s="292">
        <v>4</v>
      </c>
      <c r="C951" s="292">
        <v>1</v>
      </c>
      <c r="D951" s="292">
        <v>4</v>
      </c>
      <c r="E951" s="292" t="s">
        <v>948</v>
      </c>
      <c r="F951" s="292" t="s">
        <v>437</v>
      </c>
      <c r="G951" s="253" t="s">
        <v>85</v>
      </c>
      <c r="H951" s="253"/>
      <c r="I951" s="253"/>
      <c r="J951" s="374">
        <f t="shared" si="147"/>
        <v>0</v>
      </c>
      <c r="K951" s="375">
        <f t="shared" si="147"/>
        <v>0</v>
      </c>
      <c r="L951" s="377">
        <f t="shared" si="147"/>
        <v>0</v>
      </c>
      <c r="M951" s="375">
        <f t="shared" si="147"/>
        <v>0</v>
      </c>
      <c r="N951" s="355">
        <f>M951+L951</f>
        <v>0</v>
      </c>
      <c r="O951" s="355">
        <f>N951-K951</f>
        <v>0</v>
      </c>
      <c r="P951" s="388">
        <v>0</v>
      </c>
      <c r="Q951" s="448"/>
      <c r="R951" s="422"/>
    </row>
    <row r="952" spans="1:22" s="189" customFormat="1" ht="12.05" customHeight="1">
      <c r="A952" s="654"/>
      <c r="B952" s="655"/>
      <c r="C952" s="655"/>
      <c r="D952" s="655"/>
      <c r="E952" s="655"/>
      <c r="F952" s="655"/>
      <c r="G952" s="656" t="s">
        <v>50</v>
      </c>
      <c r="H952" s="656"/>
      <c r="I952" s="656" t="s">
        <v>76</v>
      </c>
      <c r="J952" s="680"/>
      <c r="K952" s="681"/>
      <c r="L952" s="682">
        <f>[56]PerDinas!$N$1075</f>
        <v>0</v>
      </c>
      <c r="M952" s="681">
        <f>[55]Perdinas!$P$308</f>
        <v>0</v>
      </c>
      <c r="N952" s="527">
        <f>M952+L952</f>
        <v>0</v>
      </c>
      <c r="O952" s="527">
        <f>N952-K952</f>
        <v>0</v>
      </c>
      <c r="P952" s="671">
        <v>0</v>
      </c>
      <c r="Q952" s="698"/>
      <c r="R952" s="422"/>
    </row>
    <row r="953" spans="1:22" s="189" customFormat="1" ht="12.05" customHeight="1">
      <c r="A953" s="1383" t="s">
        <v>1027</v>
      </c>
      <c r="B953" s="1378"/>
      <c r="C953" s="1378"/>
      <c r="D953" s="1378"/>
      <c r="E953" s="1378"/>
      <c r="F953" s="1378"/>
      <c r="G953" s="1379" t="s">
        <v>1028</v>
      </c>
      <c r="H953" s="1379"/>
      <c r="I953" s="1379"/>
      <c r="J953" s="1396">
        <f>+J954</f>
        <v>0</v>
      </c>
      <c r="K953" s="1397">
        <f>+K954</f>
        <v>0</v>
      </c>
      <c r="L953" s="1397">
        <f>+L954</f>
        <v>1000000</v>
      </c>
      <c r="M953" s="1397">
        <f>+M954</f>
        <v>3836250</v>
      </c>
      <c r="N953" s="1397">
        <f>M953+L953</f>
        <v>4836250</v>
      </c>
      <c r="O953" s="1397">
        <f>+N953-K953</f>
        <v>4836250</v>
      </c>
      <c r="P953" s="1398" t="e">
        <f>+N953/K953*100</f>
        <v>#DIV/0!</v>
      </c>
      <c r="Q953" s="1406"/>
      <c r="R953" s="422"/>
    </row>
    <row r="954" spans="1:22" s="189" customFormat="1" ht="12.05" customHeight="1">
      <c r="A954" s="1409"/>
      <c r="B954" s="1418">
        <v>4</v>
      </c>
      <c r="C954" s="1418">
        <v>1</v>
      </c>
      <c r="D954" s="1418"/>
      <c r="E954" s="1418"/>
      <c r="F954" s="1418"/>
      <c r="G954" s="1325" t="s">
        <v>180</v>
      </c>
      <c r="H954" s="1325"/>
      <c r="I954" s="1325"/>
      <c r="J954" s="757">
        <f>+J956</f>
        <v>0</v>
      </c>
      <c r="K954" s="758">
        <f>+K956</f>
        <v>0</v>
      </c>
      <c r="L954" s="758">
        <f>+L956</f>
        <v>1000000</v>
      </c>
      <c r="M954" s="758">
        <f>+M956</f>
        <v>3836250</v>
      </c>
      <c r="N954" s="758">
        <f>+M954+L954</f>
        <v>4836250</v>
      </c>
      <c r="O954" s="758">
        <f t="shared" ref="O954:O960" si="148">N954-K954</f>
        <v>4836250</v>
      </c>
      <c r="P954" s="690" t="e">
        <f>N954/K954*100</f>
        <v>#DIV/0!</v>
      </c>
      <c r="Q954" s="701"/>
      <c r="R954" s="422"/>
    </row>
    <row r="955" spans="1:22" s="189" customFormat="1" ht="15.65">
      <c r="A955" s="293"/>
      <c r="B955" s="292"/>
      <c r="C955" s="292"/>
      <c r="D955" s="292"/>
      <c r="E955" s="292"/>
      <c r="F955" s="292"/>
      <c r="G955" s="253"/>
      <c r="H955" s="253"/>
      <c r="I955" s="253"/>
      <c r="J955" s="354"/>
      <c r="K955" s="355"/>
      <c r="L955" s="360"/>
      <c r="M955" s="355"/>
      <c r="N955" s="355"/>
      <c r="O955" s="355"/>
      <c r="P955" s="388"/>
      <c r="Q955" s="448"/>
      <c r="R955" s="1136"/>
    </row>
    <row r="956" spans="1:22" s="189" customFormat="1" ht="12.05" customHeight="1">
      <c r="A956" s="293"/>
      <c r="B956" s="290">
        <v>4</v>
      </c>
      <c r="C956" s="290">
        <v>1</v>
      </c>
      <c r="D956" s="290">
        <v>4</v>
      </c>
      <c r="E956" s="290"/>
      <c r="F956" s="290"/>
      <c r="G956" s="291" t="s">
        <v>71</v>
      </c>
      <c r="H956" s="291"/>
      <c r="I956" s="291"/>
      <c r="J956" s="370">
        <f>J957+J962</f>
        <v>0</v>
      </c>
      <c r="K956" s="371">
        <f>K957+K962</f>
        <v>0</v>
      </c>
      <c r="L956" s="372">
        <f>L957+L962</f>
        <v>1000000</v>
      </c>
      <c r="M956" s="371">
        <f>M957+M962</f>
        <v>3836250</v>
      </c>
      <c r="N956" s="371">
        <f>N957+N962</f>
        <v>4836250</v>
      </c>
      <c r="O956" s="367">
        <f t="shared" si="148"/>
        <v>4836250</v>
      </c>
      <c r="P956" s="347" t="e">
        <f>N956/K956*100</f>
        <v>#DIV/0!</v>
      </c>
      <c r="Q956" s="448"/>
      <c r="R956" s="422"/>
      <c r="S956" s="1137"/>
      <c r="T956" s="1137"/>
      <c r="U956" s="1137"/>
    </row>
    <row r="957" spans="1:22" s="189" customFormat="1" ht="12.05" customHeight="1">
      <c r="A957" s="289"/>
      <c r="B957" s="292">
        <v>4</v>
      </c>
      <c r="C957" s="292">
        <v>1</v>
      </c>
      <c r="D957" s="292">
        <v>4</v>
      </c>
      <c r="E957" s="292" t="s">
        <v>444</v>
      </c>
      <c r="F957" s="292"/>
      <c r="G957" s="253" t="s">
        <v>222</v>
      </c>
      <c r="H957" s="253"/>
      <c r="I957" s="253"/>
      <c r="J957" s="354">
        <f>+J960</f>
        <v>0</v>
      </c>
      <c r="K957" s="355">
        <f>+K960</f>
        <v>0</v>
      </c>
      <c r="L957" s="360">
        <f>SUM(L958:L960)</f>
        <v>1000000</v>
      </c>
      <c r="M957" s="355">
        <f>SUM(M958:M960)</f>
        <v>3836250</v>
      </c>
      <c r="N957" s="355">
        <f>SUM(N958:N960)</f>
        <v>4836250</v>
      </c>
      <c r="O957" s="346">
        <f t="shared" si="148"/>
        <v>4836250</v>
      </c>
      <c r="P957" s="347">
        <v>0</v>
      </c>
      <c r="Q957" s="448"/>
      <c r="R957" s="1138"/>
      <c r="S957" s="1139"/>
      <c r="T957" s="1139"/>
      <c r="U957" s="1139"/>
      <c r="V957" s="1140"/>
    </row>
    <row r="958" spans="1:22" s="189" customFormat="1" ht="12.05" customHeight="1">
      <c r="A958" s="289"/>
      <c r="B958" s="292">
        <v>4</v>
      </c>
      <c r="C958" s="292">
        <v>1</v>
      </c>
      <c r="D958" s="292">
        <v>4</v>
      </c>
      <c r="E958" s="292" t="s">
        <v>444</v>
      </c>
      <c r="F958" s="292" t="s">
        <v>440</v>
      </c>
      <c r="G958" s="253" t="s">
        <v>73</v>
      </c>
      <c r="H958" s="253"/>
      <c r="I958" s="253"/>
      <c r="J958" s="354">
        <v>0</v>
      </c>
      <c r="K958" s="355">
        <v>0</v>
      </c>
      <c r="L958" s="360">
        <v>0</v>
      </c>
      <c r="M958" s="355">
        <v>0</v>
      </c>
      <c r="N958" s="355">
        <f>M958+L958</f>
        <v>0</v>
      </c>
      <c r="O958" s="355">
        <f t="shared" si="148"/>
        <v>0</v>
      </c>
      <c r="P958" s="388"/>
      <c r="Q958" s="448"/>
      <c r="R958" s="422"/>
      <c r="S958" s="1137"/>
      <c r="T958" s="1137"/>
      <c r="U958" s="1137"/>
    </row>
    <row r="959" spans="1:22" s="189" customFormat="1" ht="12.05" customHeight="1">
      <c r="A959" s="289"/>
      <c r="B959" s="292">
        <v>4</v>
      </c>
      <c r="C959" s="292">
        <v>1</v>
      </c>
      <c r="D959" s="292">
        <v>4</v>
      </c>
      <c r="E959" s="292" t="s">
        <v>444</v>
      </c>
      <c r="F959" s="292" t="s">
        <v>445</v>
      </c>
      <c r="G959" s="253" t="s">
        <v>74</v>
      </c>
      <c r="H959" s="253"/>
      <c r="I959" s="253"/>
      <c r="J959" s="354">
        <v>0</v>
      </c>
      <c r="K959" s="355">
        <v>0</v>
      </c>
      <c r="L959" s="360">
        <v>0</v>
      </c>
      <c r="M959" s="355">
        <v>0</v>
      </c>
      <c r="N959" s="355">
        <f>M959+L959</f>
        <v>0</v>
      </c>
      <c r="O959" s="355">
        <f t="shared" si="148"/>
        <v>0</v>
      </c>
      <c r="P959" s="388"/>
      <c r="Q959" s="448"/>
      <c r="R959" s="431"/>
      <c r="S959" s="1141"/>
      <c r="T959" s="1141"/>
      <c r="U959" s="1141"/>
      <c r="V959" s="1142"/>
    </row>
    <row r="960" spans="1:22" s="189" customFormat="1" ht="12.05" customHeight="1">
      <c r="A960" s="289"/>
      <c r="B960" s="292">
        <v>4</v>
      </c>
      <c r="C960" s="292">
        <v>1</v>
      </c>
      <c r="D960" s="292">
        <v>4</v>
      </c>
      <c r="E960" s="292" t="s">
        <v>444</v>
      </c>
      <c r="F960" s="292" t="s">
        <v>441</v>
      </c>
      <c r="G960" s="253" t="s">
        <v>75</v>
      </c>
      <c r="H960" s="253"/>
      <c r="I960" s="253"/>
      <c r="J960" s="354">
        <v>0</v>
      </c>
      <c r="K960" s="355">
        <v>0</v>
      </c>
      <c r="L960" s="360">
        <v>1000000</v>
      </c>
      <c r="M960" s="355">
        <v>3836250</v>
      </c>
      <c r="N960" s="369">
        <f>M960+L960</f>
        <v>4836250</v>
      </c>
      <c r="O960" s="355">
        <f t="shared" si="148"/>
        <v>4836250</v>
      </c>
      <c r="P960" s="388"/>
      <c r="Q960" s="448"/>
      <c r="R960" s="422"/>
      <c r="V960" s="422"/>
    </row>
    <row r="961" spans="1:18" s="189" customFormat="1">
      <c r="A961" s="289"/>
      <c r="B961" s="292"/>
      <c r="C961" s="292"/>
      <c r="D961" s="292"/>
      <c r="E961" s="292"/>
      <c r="F961" s="292"/>
      <c r="G961" s="253"/>
      <c r="H961" s="253"/>
      <c r="I961" s="253"/>
      <c r="J961" s="354"/>
      <c r="K961" s="355"/>
      <c r="L961" s="360"/>
      <c r="M961" s="355"/>
      <c r="N961" s="355"/>
      <c r="O961" s="355"/>
      <c r="P961" s="388"/>
      <c r="Q961" s="448"/>
      <c r="R961" s="422"/>
    </row>
    <row r="962" spans="1:18" s="189" customFormat="1">
      <c r="A962" s="293"/>
      <c r="B962" s="292">
        <v>4</v>
      </c>
      <c r="C962" s="292">
        <v>1</v>
      </c>
      <c r="D962" s="292">
        <v>4</v>
      </c>
      <c r="E962" s="292" t="s">
        <v>948</v>
      </c>
      <c r="F962" s="292"/>
      <c r="G962" s="253" t="s">
        <v>321</v>
      </c>
      <c r="H962" s="253"/>
      <c r="I962" s="253"/>
      <c r="J962" s="374">
        <f t="shared" ref="J962:M963" si="149">+J963</f>
        <v>0</v>
      </c>
      <c r="K962" s="375">
        <f t="shared" si="149"/>
        <v>0</v>
      </c>
      <c r="L962" s="377">
        <f t="shared" si="149"/>
        <v>0</v>
      </c>
      <c r="M962" s="375">
        <f t="shared" si="149"/>
        <v>0</v>
      </c>
      <c r="N962" s="346">
        <f>+M962+L962</f>
        <v>0</v>
      </c>
      <c r="O962" s="346">
        <f>N962-K962</f>
        <v>0</v>
      </c>
      <c r="P962" s="347">
        <v>0</v>
      </c>
      <c r="Q962" s="448"/>
      <c r="R962" s="422"/>
    </row>
    <row r="963" spans="1:18" s="189" customFormat="1">
      <c r="A963" s="293"/>
      <c r="B963" s="292">
        <v>4</v>
      </c>
      <c r="C963" s="292">
        <v>1</v>
      </c>
      <c r="D963" s="292">
        <v>4</v>
      </c>
      <c r="E963" s="292" t="s">
        <v>948</v>
      </c>
      <c r="F963" s="292" t="s">
        <v>437</v>
      </c>
      <c r="G963" s="253" t="s">
        <v>85</v>
      </c>
      <c r="H963" s="253"/>
      <c r="I963" s="253"/>
      <c r="J963" s="374">
        <f t="shared" si="149"/>
        <v>0</v>
      </c>
      <c r="K963" s="375">
        <f t="shared" si="149"/>
        <v>0</v>
      </c>
      <c r="L963" s="377">
        <f t="shared" si="149"/>
        <v>0</v>
      </c>
      <c r="M963" s="375">
        <f t="shared" si="149"/>
        <v>0</v>
      </c>
      <c r="N963" s="355">
        <f>M963+L963</f>
        <v>0</v>
      </c>
      <c r="O963" s="355">
        <f>N963-K963</f>
        <v>0</v>
      </c>
      <c r="P963" s="388">
        <v>0</v>
      </c>
      <c r="Q963" s="448"/>
      <c r="R963" s="422"/>
    </row>
    <row r="964" spans="1:18" s="189" customFormat="1">
      <c r="A964" s="654"/>
      <c r="B964" s="655"/>
      <c r="C964" s="655"/>
      <c r="D964" s="655"/>
      <c r="E964" s="655"/>
      <c r="F964" s="655"/>
      <c r="G964" s="656" t="s">
        <v>50</v>
      </c>
      <c r="H964" s="656"/>
      <c r="I964" s="656" t="s">
        <v>85</v>
      </c>
      <c r="J964" s="680"/>
      <c r="K964" s="681"/>
      <c r="L964" s="682">
        <f>[56]PerDinas!$N$1028</f>
        <v>0</v>
      </c>
      <c r="M964" s="681">
        <v>0</v>
      </c>
      <c r="N964" s="527">
        <f>M964+L964</f>
        <v>0</v>
      </c>
      <c r="O964" s="527">
        <f>N964-K964</f>
        <v>0</v>
      </c>
      <c r="P964" s="671">
        <v>0</v>
      </c>
      <c r="Q964" s="698"/>
      <c r="R964" s="422"/>
    </row>
    <row r="965" spans="1:18" s="257" customFormat="1">
      <c r="A965" s="5873" t="s">
        <v>925</v>
      </c>
      <c r="B965" s="5874"/>
      <c r="C965" s="5874"/>
      <c r="D965" s="5874"/>
      <c r="E965" s="5874"/>
      <c r="F965" s="5874"/>
      <c r="G965" s="5874"/>
      <c r="H965" s="5874"/>
      <c r="I965" s="5875"/>
      <c r="J965" s="1532" t="e">
        <f>J11</f>
        <v>#REF!</v>
      </c>
      <c r="K965" s="1533">
        <f>K11</f>
        <v>426330842219</v>
      </c>
      <c r="L965" s="1533">
        <f>L11</f>
        <v>273837434016.85999</v>
      </c>
      <c r="M965" s="1533">
        <f>M11</f>
        <v>77926026727.480011</v>
      </c>
      <c r="N965" s="1533">
        <f>N11</f>
        <v>351763460744.33997</v>
      </c>
      <c r="O965" s="1533">
        <f>N965-K965</f>
        <v>-74567381474.660034</v>
      </c>
      <c r="P965" s="1534">
        <f>N965/K965*100</f>
        <v>82.509503397280398</v>
      </c>
      <c r="Q965" s="1535"/>
      <c r="R965" s="1144"/>
    </row>
    <row r="966" spans="1:18" s="189" customFormat="1">
      <c r="A966" s="1145"/>
      <c r="B966" s="1145"/>
      <c r="C966" s="1145"/>
      <c r="D966" s="1145"/>
      <c r="E966" s="1145"/>
      <c r="F966" s="1145"/>
      <c r="G966" s="194"/>
      <c r="H966" s="194"/>
      <c r="I966" s="194"/>
      <c r="J966" s="312"/>
      <c r="K966" s="315"/>
      <c r="L966" s="315"/>
      <c r="M966" s="315"/>
      <c r="N966" s="315"/>
      <c r="O966" s="315"/>
      <c r="P966" s="194"/>
      <c r="Q966" s="194"/>
      <c r="R966" s="422"/>
    </row>
    <row r="967" spans="1:18" s="189" customFormat="1">
      <c r="A967" s="1146" t="s">
        <v>658</v>
      </c>
      <c r="B967" s="194"/>
      <c r="C967" s="194"/>
      <c r="D967" s="226"/>
      <c r="E967" s="226"/>
      <c r="F967" s="226"/>
      <c r="G967" s="226"/>
      <c r="H967" s="226"/>
      <c r="I967" s="226"/>
      <c r="J967" s="1148"/>
      <c r="K967" s="1316" t="s">
        <v>660</v>
      </c>
      <c r="L967" s="1149" t="e">
        <f>NA()</f>
        <v>#N/A</v>
      </c>
      <c r="M967" s="315"/>
      <c r="N967" s="1150"/>
      <c r="O967" s="316" t="s">
        <v>1029</v>
      </c>
      <c r="P967" s="194"/>
      <c r="Q967" s="194"/>
      <c r="R967" s="422"/>
    </row>
    <row r="968" spans="1:18" s="189" customFormat="1">
      <c r="A968" s="194"/>
      <c r="B968" s="194" t="s">
        <v>659</v>
      </c>
      <c r="C968" s="194"/>
      <c r="D968" s="226"/>
      <c r="E968" s="226"/>
      <c r="F968" s="226"/>
      <c r="G968" s="226"/>
      <c r="H968" s="226"/>
      <c r="I968" s="226"/>
      <c r="J968" s="1148"/>
      <c r="K968" s="1316" t="s">
        <v>927</v>
      </c>
      <c r="L968" s="315"/>
      <c r="M968" s="315"/>
      <c r="N968" s="315"/>
      <c r="O968" s="313" t="s">
        <v>928</v>
      </c>
      <c r="P968" s="194"/>
      <c r="Q968" s="194"/>
      <c r="R968" s="422"/>
    </row>
    <row r="969" spans="1:18" s="189" customFormat="1">
      <c r="A969" s="194"/>
      <c r="B969" s="194" t="s">
        <v>662</v>
      </c>
      <c r="C969" s="194"/>
      <c r="D969" s="226"/>
      <c r="E969" s="226"/>
      <c r="F969" s="226"/>
      <c r="G969" s="226"/>
      <c r="H969" s="226"/>
      <c r="I969" s="226"/>
      <c r="J969" s="1148"/>
      <c r="K969" s="1316" t="s">
        <v>929</v>
      </c>
      <c r="L969" s="315"/>
      <c r="M969" s="1151"/>
      <c r="N969" s="315"/>
      <c r="O969" s="313"/>
      <c r="P969" s="194"/>
      <c r="Q969" s="194"/>
      <c r="R969" s="422"/>
    </row>
    <row r="970" spans="1:18" s="189" customFormat="1">
      <c r="A970" s="194"/>
      <c r="B970" s="194" t="s">
        <v>664</v>
      </c>
      <c r="C970" s="194"/>
      <c r="D970" s="226"/>
      <c r="E970" s="226"/>
      <c r="F970" s="226"/>
      <c r="G970" s="226"/>
      <c r="H970" s="226"/>
      <c r="I970" s="226"/>
      <c r="J970" s="1148"/>
      <c r="K970" s="1316"/>
      <c r="L970" s="315"/>
      <c r="M970" s="1151"/>
      <c r="N970" s="315"/>
      <c r="O970" s="313"/>
      <c r="P970" s="194"/>
      <c r="Q970" s="194"/>
      <c r="R970" s="422"/>
    </row>
    <row r="971" spans="1:18" s="189" customFormat="1">
      <c r="A971" s="194"/>
      <c r="B971" s="194"/>
      <c r="C971" s="194"/>
      <c r="D971" s="226"/>
      <c r="E971" s="226"/>
      <c r="F971" s="226"/>
      <c r="G971" s="226"/>
      <c r="H971" s="226"/>
      <c r="I971" s="226"/>
      <c r="J971" s="1148"/>
      <c r="K971" s="1316"/>
      <c r="L971" s="315"/>
      <c r="M971" s="1151"/>
      <c r="N971" s="315"/>
      <c r="O971" s="313"/>
      <c r="P971" s="194"/>
      <c r="Q971" s="194"/>
      <c r="R971" s="422"/>
    </row>
    <row r="972" spans="1:18" s="189" customFormat="1" ht="15.65">
      <c r="A972" s="194"/>
      <c r="B972" s="194"/>
      <c r="C972" s="194"/>
      <c r="D972" s="226"/>
      <c r="E972" s="226"/>
      <c r="F972" s="226"/>
      <c r="G972" s="226"/>
      <c r="H972" s="226"/>
      <c r="I972" s="226"/>
      <c r="J972" s="1148"/>
      <c r="K972" s="1316"/>
      <c r="L972" s="315"/>
      <c r="M972" s="1152"/>
      <c r="N972" s="315"/>
      <c r="O972" s="313"/>
      <c r="P972" s="194"/>
      <c r="Q972" s="194"/>
      <c r="R972" s="422"/>
    </row>
    <row r="973" spans="1:18" s="189" customFormat="1" ht="15.65">
      <c r="A973" s="194"/>
      <c r="B973" s="194"/>
      <c r="C973" s="194"/>
      <c r="D973" s="226"/>
      <c r="E973" s="226"/>
      <c r="F973" s="226"/>
      <c r="G973" s="226"/>
      <c r="H973" s="226"/>
      <c r="I973" s="226"/>
      <c r="J973" s="1148"/>
      <c r="K973" s="1317" t="s">
        <v>930</v>
      </c>
      <c r="L973" s="315"/>
      <c r="M973" s="1152"/>
      <c r="N973" s="315"/>
      <c r="O973" s="1154" t="s">
        <v>1030</v>
      </c>
      <c r="P973" s="194"/>
      <c r="Q973" s="194"/>
      <c r="R973" s="422"/>
    </row>
    <row r="974" spans="1:18" s="189" customFormat="1" ht="15.05">
      <c r="A974" s="194"/>
      <c r="B974" s="194"/>
      <c r="C974" s="194"/>
      <c r="D974" s="194"/>
      <c r="E974" s="194"/>
      <c r="F974" s="194"/>
      <c r="G974" s="194"/>
      <c r="H974" s="194"/>
      <c r="I974" s="1155"/>
      <c r="J974" s="312"/>
      <c r="K974" s="1316" t="s">
        <v>1031</v>
      </c>
      <c r="L974" s="315"/>
      <c r="M974" s="315"/>
      <c r="N974" s="315"/>
      <c r="O974" s="226" t="s">
        <v>1032</v>
      </c>
      <c r="P974" s="194"/>
      <c r="Q974" s="194"/>
      <c r="R974" s="422"/>
    </row>
    <row r="975" spans="1:18" s="189" customFormat="1">
      <c r="A975" s="1147"/>
      <c r="B975" s="1147"/>
      <c r="C975" s="1147"/>
      <c r="D975" s="1147"/>
      <c r="E975" s="1147"/>
      <c r="F975" s="1147"/>
      <c r="J975" s="260"/>
      <c r="R975" s="422"/>
    </row>
    <row r="976" spans="1:18" s="189" customFormat="1">
      <c r="A976" s="1147"/>
      <c r="B976" s="1147"/>
      <c r="C976" s="1147"/>
      <c r="D976" s="1147"/>
      <c r="E976" s="1147"/>
      <c r="F976" s="1147"/>
      <c r="J976" s="260"/>
      <c r="R976" s="422"/>
    </row>
    <row r="977" spans="1:17">
      <c r="A977" s="1147"/>
      <c r="B977" s="1147"/>
      <c r="C977" s="1147"/>
      <c r="D977" s="1147"/>
      <c r="E977" s="1147"/>
      <c r="F977" s="1147"/>
      <c r="G977" s="189"/>
      <c r="H977" s="189"/>
      <c r="I977" s="189"/>
      <c r="L977" s="189"/>
      <c r="M977" s="189"/>
      <c r="N977" s="189"/>
      <c r="O977" s="189"/>
      <c r="P977" s="189"/>
      <c r="Q977" s="189"/>
    </row>
    <row r="978" spans="1:17">
      <c r="A978" s="1147"/>
      <c r="B978" s="1147"/>
      <c r="C978" s="1147"/>
      <c r="D978" s="1147"/>
      <c r="E978" s="1147"/>
      <c r="F978" s="1147"/>
      <c r="G978" s="189"/>
      <c r="H978" s="189"/>
      <c r="I978" s="189"/>
      <c r="L978" s="189"/>
      <c r="M978" s="189"/>
      <c r="N978" s="189"/>
      <c r="O978" s="189"/>
      <c r="P978" s="189"/>
      <c r="Q978" s="189"/>
    </row>
    <row r="979" spans="1:17" ht="18.2">
      <c r="A979" s="1147"/>
      <c r="B979" s="1147"/>
      <c r="C979" s="1147"/>
      <c r="D979" s="1147"/>
      <c r="E979" s="1147"/>
      <c r="F979" s="1147"/>
      <c r="G979" s="189"/>
      <c r="H979" s="189"/>
      <c r="I979" s="189"/>
      <c r="K979" s="190"/>
      <c r="L979" s="1156"/>
      <c r="M979" s="189"/>
      <c r="N979" s="189"/>
      <c r="O979" s="189"/>
      <c r="P979" s="189"/>
      <c r="Q979" s="189"/>
    </row>
    <row r="980" spans="1:17">
      <c r="A980" s="1147"/>
      <c r="B980" s="1147"/>
      <c r="C980" s="1147"/>
      <c r="D980" s="1147"/>
      <c r="E980" s="1147"/>
      <c r="F980" s="1147"/>
      <c r="G980" s="189"/>
      <c r="H980" s="189"/>
      <c r="I980" s="189"/>
      <c r="L980" s="189"/>
      <c r="M980" s="189"/>
      <c r="N980" s="189"/>
      <c r="O980" s="189"/>
      <c r="P980" s="189"/>
      <c r="Q980" s="189"/>
    </row>
    <row r="981" spans="1:17">
      <c r="A981" s="1147"/>
      <c r="B981" s="1147"/>
      <c r="C981" s="1147"/>
      <c r="D981" s="1147"/>
      <c r="E981" s="1147"/>
      <c r="F981" s="1147"/>
      <c r="G981" s="189"/>
      <c r="H981" s="189"/>
      <c r="I981" s="189"/>
      <c r="L981" s="189"/>
      <c r="M981" s="189"/>
      <c r="N981" s="189"/>
      <c r="O981" s="189"/>
      <c r="P981" s="189"/>
      <c r="Q981" s="189"/>
    </row>
    <row r="982" spans="1:17">
      <c r="A982" s="1147"/>
      <c r="B982" s="1147"/>
      <c r="C982" s="1147"/>
      <c r="D982" s="1147"/>
      <c r="E982" s="1147"/>
      <c r="F982" s="1147"/>
      <c r="G982" s="189"/>
      <c r="H982" s="189"/>
      <c r="I982" s="189"/>
      <c r="L982" s="189"/>
      <c r="M982" s="189"/>
      <c r="N982" s="189"/>
      <c r="O982" s="189"/>
      <c r="P982" s="189"/>
      <c r="Q982" s="189"/>
    </row>
    <row r="983" spans="1:17">
      <c r="A983" s="1147"/>
      <c r="B983" s="1147"/>
      <c r="C983" s="1147"/>
      <c r="D983" s="1147"/>
      <c r="E983" s="1147"/>
      <c r="F983" s="1147"/>
      <c r="G983" s="189"/>
      <c r="H983" s="189"/>
      <c r="I983" s="189"/>
      <c r="L983" s="189"/>
      <c r="M983" s="189"/>
      <c r="N983" s="189"/>
      <c r="O983" s="189"/>
      <c r="P983" s="189"/>
      <c r="Q983" s="189"/>
    </row>
    <row r="984" spans="1:17">
      <c r="A984" s="1147"/>
      <c r="B984" s="1147"/>
      <c r="C984" s="1147"/>
      <c r="D984" s="1147"/>
      <c r="E984" s="1147"/>
      <c r="F984" s="1147"/>
      <c r="G984" s="189"/>
      <c r="H984" s="189"/>
      <c r="I984" s="189"/>
      <c r="L984" s="189"/>
      <c r="M984" s="189"/>
      <c r="N984" s="189"/>
      <c r="O984" s="189"/>
      <c r="P984" s="189"/>
      <c r="Q984" s="189"/>
    </row>
    <row r="985" spans="1:17">
      <c r="A985" s="1147"/>
      <c r="B985" s="1147"/>
      <c r="C985" s="1147"/>
      <c r="D985" s="1147"/>
      <c r="E985" s="1147"/>
      <c r="F985" s="1147"/>
      <c r="G985" s="189"/>
      <c r="H985" s="189"/>
      <c r="I985" s="189"/>
      <c r="L985" s="189"/>
      <c r="M985" s="189"/>
      <c r="N985" s="189"/>
      <c r="O985" s="189"/>
      <c r="P985" s="189"/>
      <c r="Q985" s="189"/>
    </row>
    <row r="986" spans="1:17">
      <c r="A986" s="1147"/>
      <c r="B986" s="1147"/>
      <c r="C986" s="1147"/>
      <c r="D986" s="1147"/>
      <c r="E986" s="1147"/>
      <c r="F986" s="1147"/>
      <c r="G986" s="189"/>
      <c r="H986" s="189"/>
      <c r="I986" s="189"/>
      <c r="L986" s="189"/>
      <c r="M986" s="189"/>
      <c r="N986" s="189"/>
      <c r="O986" s="189"/>
      <c r="P986" s="189"/>
      <c r="Q986" s="189"/>
    </row>
    <row r="987" spans="1:17">
      <c r="A987" s="1147"/>
      <c r="B987" s="1147"/>
      <c r="C987" s="1147"/>
      <c r="D987" s="1147"/>
      <c r="E987" s="1147"/>
      <c r="F987" s="1147"/>
      <c r="G987" s="189"/>
      <c r="H987" s="189"/>
      <c r="I987" s="189"/>
      <c r="L987" s="189"/>
      <c r="M987" s="189"/>
      <c r="N987" s="189"/>
      <c r="O987" s="189"/>
      <c r="P987" s="189"/>
      <c r="Q987" s="189"/>
    </row>
    <row r="988" spans="1:17">
      <c r="A988" s="1147"/>
      <c r="B988" s="1147"/>
      <c r="C988" s="1147"/>
      <c r="D988" s="1147"/>
      <c r="E988" s="1147"/>
      <c r="F988" s="1147"/>
      <c r="G988" s="189"/>
      <c r="H988" s="189"/>
      <c r="I988" s="189"/>
      <c r="L988" s="189"/>
      <c r="M988" s="189"/>
      <c r="N988" s="189"/>
      <c r="O988" s="189"/>
      <c r="P988" s="189"/>
      <c r="Q988" s="189"/>
    </row>
    <row r="989" spans="1:17">
      <c r="A989" s="1147"/>
      <c r="B989" s="1147"/>
      <c r="C989" s="1147"/>
      <c r="D989" s="1147"/>
      <c r="E989" s="1147"/>
      <c r="F989" s="1147"/>
      <c r="G989" s="189"/>
      <c r="H989" s="189"/>
      <c r="I989" s="189"/>
      <c r="L989" s="189"/>
      <c r="M989" s="189"/>
      <c r="N989" s="189"/>
      <c r="O989" s="189"/>
      <c r="P989" s="189"/>
      <c r="Q989" s="189"/>
    </row>
    <row r="990" spans="1:17">
      <c r="A990" s="1147"/>
      <c r="B990" s="1147"/>
      <c r="C990" s="1147"/>
      <c r="D990" s="1147"/>
      <c r="E990" s="1147"/>
      <c r="F990" s="1147"/>
      <c r="G990" s="189"/>
      <c r="H990" s="189"/>
      <c r="I990" s="189"/>
      <c r="L990" s="189"/>
      <c r="M990" s="189"/>
      <c r="N990" s="189"/>
      <c r="O990" s="189"/>
      <c r="P990" s="189"/>
      <c r="Q990" s="189"/>
    </row>
    <row r="991" spans="1:17">
      <c r="A991" s="1147"/>
      <c r="B991" s="1147"/>
      <c r="C991" s="1147"/>
      <c r="D991" s="1147"/>
      <c r="E991" s="1147"/>
      <c r="F991" s="1147"/>
      <c r="G991" s="189"/>
      <c r="H991" s="189"/>
      <c r="I991" s="189"/>
      <c r="L991" s="189"/>
      <c r="M991" s="189"/>
      <c r="N991" s="189"/>
      <c r="O991" s="189"/>
      <c r="P991" s="189"/>
      <c r="Q991" s="189"/>
    </row>
    <row r="992" spans="1:17">
      <c r="A992" s="1147"/>
      <c r="B992" s="1147"/>
      <c r="C992" s="1147"/>
      <c r="D992" s="1147"/>
      <c r="E992" s="1147"/>
      <c r="F992" s="1147"/>
      <c r="G992" s="189"/>
      <c r="H992" s="189"/>
      <c r="I992" s="189"/>
      <c r="L992" s="189"/>
      <c r="M992" s="189"/>
      <c r="N992" s="189"/>
      <c r="O992" s="189"/>
      <c r="P992" s="189"/>
      <c r="Q992" s="189"/>
    </row>
    <row r="993" spans="1:17">
      <c r="A993" s="1147"/>
      <c r="B993" s="1147"/>
      <c r="C993" s="1147"/>
      <c r="D993" s="1147"/>
      <c r="E993" s="1147"/>
      <c r="F993" s="1147"/>
      <c r="G993" s="189"/>
      <c r="H993" s="189"/>
      <c r="I993" s="189"/>
      <c r="L993" s="189"/>
      <c r="M993" s="189"/>
      <c r="N993" s="189"/>
      <c r="O993" s="189"/>
      <c r="P993" s="189"/>
      <c r="Q993" s="189"/>
    </row>
    <row r="994" spans="1:17">
      <c r="A994" s="1147"/>
      <c r="B994" s="1147"/>
      <c r="C994" s="1147"/>
      <c r="D994" s="1147"/>
      <c r="E994" s="1147"/>
      <c r="F994" s="1147"/>
      <c r="G994" s="189"/>
      <c r="H994" s="189"/>
      <c r="I994" s="189"/>
      <c r="L994" s="189"/>
      <c r="M994" s="189"/>
      <c r="N994" s="189"/>
      <c r="O994" s="189"/>
      <c r="P994" s="189"/>
      <c r="Q994" s="189"/>
    </row>
    <row r="995" spans="1:17">
      <c r="A995" s="1147"/>
      <c r="B995" s="1147"/>
      <c r="C995" s="1147"/>
      <c r="D995" s="1147"/>
      <c r="E995" s="1147"/>
      <c r="F995" s="1147"/>
      <c r="G995" s="189"/>
      <c r="H995" s="189"/>
      <c r="I995" s="189"/>
      <c r="L995" s="189"/>
      <c r="M995" s="189"/>
      <c r="N995" s="189"/>
      <c r="O995" s="189"/>
      <c r="P995" s="189"/>
      <c r="Q995" s="189"/>
    </row>
    <row r="996" spans="1:17">
      <c r="A996" s="1147"/>
      <c r="B996" s="1147"/>
      <c r="C996" s="1147"/>
      <c r="D996" s="1147"/>
      <c r="E996" s="1147"/>
      <c r="F996" s="1147"/>
      <c r="G996" s="189"/>
      <c r="H996" s="189"/>
      <c r="I996" s="189"/>
      <c r="L996" s="189"/>
      <c r="M996" s="189"/>
      <c r="N996" s="189"/>
      <c r="O996" s="189"/>
      <c r="P996" s="189"/>
      <c r="Q996" s="189"/>
    </row>
    <row r="997" spans="1:17">
      <c r="A997" s="1147"/>
      <c r="B997" s="1147"/>
      <c r="C997" s="1147"/>
      <c r="D997" s="1147"/>
      <c r="E997" s="1147"/>
      <c r="F997" s="1147"/>
      <c r="G997" s="189"/>
      <c r="H997" s="189"/>
      <c r="I997" s="189"/>
      <c r="L997" s="189"/>
      <c r="M997" s="189"/>
      <c r="N997" s="189"/>
      <c r="O997" s="189"/>
      <c r="P997" s="189"/>
      <c r="Q997" s="189"/>
    </row>
    <row r="998" spans="1:17">
      <c r="A998" s="1147"/>
      <c r="B998" s="1147"/>
      <c r="C998" s="1147"/>
      <c r="D998" s="1147"/>
      <c r="E998" s="1147"/>
      <c r="F998" s="1147"/>
      <c r="G998" s="189"/>
      <c r="H998" s="189"/>
      <c r="I998" s="189"/>
      <c r="L998" s="189"/>
      <c r="M998" s="189"/>
      <c r="N998" s="189"/>
      <c r="O998" s="189"/>
      <c r="P998" s="189"/>
      <c r="Q998" s="189"/>
    </row>
    <row r="999" spans="1:17">
      <c r="A999" s="1147"/>
      <c r="B999" s="1147"/>
      <c r="C999" s="1147"/>
      <c r="D999" s="1147"/>
      <c r="E999" s="1147"/>
      <c r="F999" s="1147"/>
      <c r="G999" s="189"/>
      <c r="H999" s="189"/>
      <c r="I999" s="189"/>
      <c r="L999" s="189"/>
      <c r="M999" s="189"/>
      <c r="N999" s="189"/>
      <c r="O999" s="189"/>
      <c r="P999" s="189"/>
      <c r="Q999" s="189"/>
    </row>
    <row r="1000" spans="1:17">
      <c r="A1000" s="1147"/>
      <c r="B1000" s="1147"/>
      <c r="C1000" s="1147"/>
      <c r="D1000" s="1147"/>
      <c r="E1000" s="1147"/>
      <c r="F1000" s="1147"/>
      <c r="G1000" s="189"/>
      <c r="H1000" s="189"/>
      <c r="I1000" s="189"/>
      <c r="L1000" s="189"/>
      <c r="M1000" s="189"/>
      <c r="N1000" s="189"/>
      <c r="O1000" s="189"/>
      <c r="P1000" s="189"/>
      <c r="Q1000" s="189"/>
    </row>
    <row r="1001" spans="1:17">
      <c r="A1001" s="1147"/>
      <c r="B1001" s="1147"/>
      <c r="C1001" s="1147"/>
      <c r="D1001" s="1147"/>
      <c r="E1001" s="1147"/>
      <c r="F1001" s="1147"/>
      <c r="G1001" s="189"/>
      <c r="H1001" s="189"/>
      <c r="I1001" s="189"/>
      <c r="L1001" s="189"/>
      <c r="M1001" s="189"/>
      <c r="N1001" s="189"/>
      <c r="O1001" s="189"/>
      <c r="P1001" s="189"/>
      <c r="Q1001" s="189"/>
    </row>
    <row r="1002" spans="1:17">
      <c r="A1002" s="1147"/>
      <c r="B1002" s="1147"/>
      <c r="C1002" s="1147"/>
      <c r="D1002" s="1147"/>
      <c r="E1002" s="1147"/>
      <c r="F1002" s="1147"/>
      <c r="G1002" s="189"/>
      <c r="H1002" s="189"/>
      <c r="I1002" s="189"/>
      <c r="L1002" s="189"/>
      <c r="M1002" s="189"/>
      <c r="N1002" s="189"/>
      <c r="O1002" s="189"/>
      <c r="P1002" s="189"/>
      <c r="Q1002" s="189"/>
    </row>
    <row r="1003" spans="1:17">
      <c r="A1003" s="1147"/>
      <c r="B1003" s="1147"/>
      <c r="C1003" s="1147"/>
      <c r="D1003" s="1147"/>
      <c r="E1003" s="1147"/>
      <c r="F1003" s="1147"/>
      <c r="G1003" s="189"/>
      <c r="H1003" s="189"/>
      <c r="I1003" s="189"/>
      <c r="L1003" s="189"/>
      <c r="M1003" s="189"/>
      <c r="N1003" s="189"/>
      <c r="O1003" s="189"/>
      <c r="P1003" s="189"/>
      <c r="Q1003" s="189"/>
    </row>
    <row r="1004" spans="1:17">
      <c r="A1004" s="1147"/>
      <c r="B1004" s="1147"/>
      <c r="C1004" s="1147"/>
      <c r="D1004" s="1147"/>
      <c r="E1004" s="1147"/>
      <c r="F1004" s="1147"/>
      <c r="G1004" s="189"/>
      <c r="H1004" s="189"/>
      <c r="I1004" s="189"/>
      <c r="L1004" s="189"/>
      <c r="M1004" s="189"/>
      <c r="N1004" s="189"/>
      <c r="O1004" s="189"/>
      <c r="P1004" s="189"/>
      <c r="Q1004" s="189"/>
    </row>
    <row r="1005" spans="1:17">
      <c r="A1005" s="1147"/>
      <c r="B1005" s="1147"/>
      <c r="C1005" s="1147"/>
      <c r="D1005" s="1147"/>
      <c r="E1005" s="1147"/>
      <c r="F1005" s="1147"/>
      <c r="G1005" s="189"/>
      <c r="H1005" s="189"/>
      <c r="I1005" s="189"/>
      <c r="L1005" s="189"/>
      <c r="M1005" s="189"/>
      <c r="N1005" s="189"/>
      <c r="O1005" s="189"/>
      <c r="P1005" s="189"/>
      <c r="Q1005" s="189"/>
    </row>
    <row r="1006" spans="1:17">
      <c r="A1006" s="1147"/>
      <c r="B1006" s="1147"/>
      <c r="C1006" s="1147"/>
      <c r="D1006" s="1147"/>
      <c r="E1006" s="1147"/>
      <c r="F1006" s="1147"/>
      <c r="G1006" s="189"/>
      <c r="H1006" s="189"/>
      <c r="I1006" s="189"/>
      <c r="L1006" s="189"/>
      <c r="M1006" s="189"/>
      <c r="N1006" s="189"/>
      <c r="O1006" s="189"/>
      <c r="P1006" s="189"/>
      <c r="Q1006" s="189"/>
    </row>
    <row r="1007" spans="1:17">
      <c r="A1007" s="1147"/>
      <c r="B1007" s="1147"/>
      <c r="C1007" s="1147"/>
      <c r="D1007" s="1147"/>
      <c r="E1007" s="1147"/>
      <c r="F1007" s="1147"/>
      <c r="G1007" s="189"/>
      <c r="H1007" s="189"/>
      <c r="I1007" s="189"/>
      <c r="L1007" s="189"/>
      <c r="M1007" s="189"/>
      <c r="N1007" s="189"/>
      <c r="O1007" s="189"/>
      <c r="P1007" s="189"/>
      <c r="Q1007" s="189"/>
    </row>
    <row r="1008" spans="1:17">
      <c r="A1008" s="1147"/>
      <c r="B1008" s="1147"/>
      <c r="C1008" s="1147"/>
      <c r="D1008" s="1147"/>
      <c r="E1008" s="1147"/>
      <c r="F1008" s="1147"/>
      <c r="G1008" s="189"/>
      <c r="H1008" s="189"/>
      <c r="I1008" s="189"/>
      <c r="L1008" s="189"/>
      <c r="M1008" s="189"/>
      <c r="N1008" s="189"/>
      <c r="O1008" s="189"/>
      <c r="P1008" s="189"/>
      <c r="Q1008" s="189"/>
    </row>
    <row r="1009" spans="1:17">
      <c r="A1009" s="1147"/>
      <c r="B1009" s="1147"/>
      <c r="C1009" s="1147"/>
      <c r="D1009" s="1147"/>
      <c r="E1009" s="1147"/>
      <c r="F1009" s="1147"/>
      <c r="G1009" s="189"/>
      <c r="H1009" s="189"/>
      <c r="I1009" s="189"/>
      <c r="L1009" s="189"/>
      <c r="M1009" s="189"/>
      <c r="N1009" s="189"/>
      <c r="O1009" s="189"/>
      <c r="P1009" s="189"/>
      <c r="Q1009" s="189"/>
    </row>
    <row r="1010" spans="1:17">
      <c r="A1010" s="1147"/>
      <c r="B1010" s="1147"/>
      <c r="C1010" s="1147"/>
      <c r="D1010" s="1147"/>
      <c r="E1010" s="1147"/>
      <c r="F1010" s="1147"/>
      <c r="G1010" s="189"/>
      <c r="H1010" s="189"/>
      <c r="I1010" s="189"/>
      <c r="L1010" s="189"/>
      <c r="M1010" s="189"/>
      <c r="N1010" s="189"/>
      <c r="O1010" s="189"/>
      <c r="P1010" s="189"/>
      <c r="Q1010" s="189"/>
    </row>
    <row r="1011" spans="1:17">
      <c r="A1011" s="1147"/>
      <c r="B1011" s="1147"/>
      <c r="C1011" s="1147"/>
      <c r="D1011" s="1147"/>
      <c r="E1011" s="1147"/>
      <c r="F1011" s="1147"/>
      <c r="G1011" s="189"/>
      <c r="H1011" s="189"/>
      <c r="I1011" s="189"/>
      <c r="L1011" s="189"/>
      <c r="M1011" s="189"/>
      <c r="N1011" s="189"/>
      <c r="O1011" s="189"/>
      <c r="P1011" s="189"/>
      <c r="Q1011" s="189"/>
    </row>
    <row r="1012" spans="1:17">
      <c r="A1012" s="1147"/>
      <c r="B1012" s="1147"/>
      <c r="C1012" s="1147"/>
      <c r="D1012" s="1147"/>
      <c r="E1012" s="1147"/>
      <c r="F1012" s="1147"/>
      <c r="G1012" s="189"/>
      <c r="H1012" s="189"/>
      <c r="I1012" s="189"/>
      <c r="L1012" s="189"/>
      <c r="M1012" s="189"/>
      <c r="N1012" s="189"/>
      <c r="O1012" s="189"/>
      <c r="P1012" s="189"/>
      <c r="Q1012" s="189"/>
    </row>
    <row r="1013" spans="1:17">
      <c r="A1013" s="1147"/>
      <c r="B1013" s="1147"/>
      <c r="C1013" s="1147"/>
      <c r="D1013" s="1147"/>
      <c r="E1013" s="1147"/>
      <c r="F1013" s="1147"/>
      <c r="G1013" s="189"/>
      <c r="H1013" s="189"/>
      <c r="I1013" s="189"/>
      <c r="L1013" s="189"/>
      <c r="M1013" s="189"/>
      <c r="N1013" s="189"/>
      <c r="O1013" s="189"/>
      <c r="P1013" s="189"/>
      <c r="Q1013" s="189"/>
    </row>
    <row r="1014" spans="1:17">
      <c r="A1014" s="1147"/>
      <c r="B1014" s="1147"/>
      <c r="C1014" s="1147"/>
      <c r="D1014" s="1147"/>
      <c r="E1014" s="1147"/>
      <c r="F1014" s="1147"/>
      <c r="G1014" s="189"/>
      <c r="H1014" s="189"/>
      <c r="I1014" s="189"/>
      <c r="L1014" s="189"/>
      <c r="M1014" s="189"/>
      <c r="N1014" s="189"/>
      <c r="O1014" s="189"/>
      <c r="P1014" s="189"/>
      <c r="Q1014" s="189"/>
    </row>
    <row r="1015" spans="1:17">
      <c r="A1015" s="1147"/>
      <c r="B1015" s="1147"/>
      <c r="C1015" s="1147"/>
      <c r="D1015" s="1147"/>
      <c r="E1015" s="1147"/>
      <c r="F1015" s="1147"/>
      <c r="G1015" s="189"/>
      <c r="H1015" s="189"/>
      <c r="I1015" s="189"/>
      <c r="L1015" s="189"/>
      <c r="M1015" s="189"/>
      <c r="N1015" s="189"/>
      <c r="O1015" s="189"/>
      <c r="P1015" s="189"/>
      <c r="Q1015" s="189"/>
    </row>
    <row r="1016" spans="1:17">
      <c r="A1016" s="1147"/>
      <c r="B1016" s="1147"/>
      <c r="C1016" s="1147"/>
      <c r="D1016" s="1147"/>
      <c r="E1016" s="1147"/>
      <c r="F1016" s="1147"/>
      <c r="G1016" s="189"/>
      <c r="H1016" s="189"/>
      <c r="I1016" s="189"/>
      <c r="L1016" s="189"/>
      <c r="M1016" s="189"/>
      <c r="N1016" s="189"/>
      <c r="O1016" s="189"/>
      <c r="P1016" s="189"/>
      <c r="Q1016" s="189"/>
    </row>
    <row r="1017" spans="1:17">
      <c r="A1017" s="1147"/>
      <c r="B1017" s="1147"/>
      <c r="C1017" s="1147"/>
      <c r="D1017" s="1147"/>
      <c r="E1017" s="1147"/>
      <c r="F1017" s="1147"/>
      <c r="G1017" s="189"/>
      <c r="H1017" s="189"/>
      <c r="I1017" s="189"/>
      <c r="L1017" s="189"/>
      <c r="M1017" s="189"/>
      <c r="N1017" s="189"/>
      <c r="O1017" s="189"/>
      <c r="P1017" s="189"/>
      <c r="Q1017" s="189"/>
    </row>
    <row r="1018" spans="1:17">
      <c r="A1018" s="1147"/>
      <c r="B1018" s="1147"/>
      <c r="C1018" s="1147"/>
      <c r="D1018" s="1147"/>
      <c r="E1018" s="1147"/>
      <c r="F1018" s="1147"/>
      <c r="G1018" s="189"/>
      <c r="H1018" s="189"/>
      <c r="I1018" s="189"/>
      <c r="L1018" s="189"/>
      <c r="M1018" s="189"/>
      <c r="N1018" s="189"/>
      <c r="O1018" s="189"/>
      <c r="P1018" s="189"/>
      <c r="Q1018" s="189"/>
    </row>
    <row r="1019" spans="1:17">
      <c r="A1019" s="1147"/>
      <c r="B1019" s="1147"/>
      <c r="C1019" s="1147"/>
      <c r="D1019" s="1147"/>
      <c r="E1019" s="1147"/>
      <c r="F1019" s="1147"/>
      <c r="G1019" s="189"/>
      <c r="H1019" s="189"/>
      <c r="I1019" s="189"/>
      <c r="L1019" s="189"/>
      <c r="M1019" s="189"/>
      <c r="N1019" s="189"/>
      <c r="O1019" s="189"/>
      <c r="P1019" s="189"/>
      <c r="Q1019" s="189"/>
    </row>
    <row r="1020" spans="1:17">
      <c r="A1020" s="1147"/>
      <c r="B1020" s="1147"/>
      <c r="C1020" s="1147"/>
      <c r="D1020" s="1147"/>
      <c r="E1020" s="1147"/>
      <c r="F1020" s="1147"/>
      <c r="G1020" s="189"/>
      <c r="H1020" s="189"/>
      <c r="I1020" s="189"/>
      <c r="L1020" s="189"/>
      <c r="M1020" s="189"/>
      <c r="N1020" s="189"/>
      <c r="O1020" s="189"/>
      <c r="P1020" s="189"/>
      <c r="Q1020" s="189"/>
    </row>
    <row r="1021" spans="1:17">
      <c r="A1021" s="1147"/>
      <c r="B1021" s="1147"/>
      <c r="C1021" s="1147"/>
      <c r="D1021" s="1147"/>
      <c r="E1021" s="1147"/>
      <c r="F1021" s="1147"/>
      <c r="G1021" s="189"/>
      <c r="H1021" s="189"/>
      <c r="I1021" s="189"/>
      <c r="L1021" s="189"/>
      <c r="M1021" s="189"/>
      <c r="N1021" s="189"/>
      <c r="O1021" s="189"/>
      <c r="P1021" s="189"/>
      <c r="Q1021" s="189"/>
    </row>
    <row r="1022" spans="1:17">
      <c r="A1022" s="1147"/>
      <c r="B1022" s="1147"/>
      <c r="C1022" s="1147"/>
      <c r="D1022" s="1147"/>
      <c r="E1022" s="1147"/>
      <c r="F1022" s="1147"/>
      <c r="G1022" s="189"/>
      <c r="H1022" s="189"/>
      <c r="I1022" s="189"/>
      <c r="L1022" s="189"/>
      <c r="M1022" s="189"/>
      <c r="N1022" s="189"/>
      <c r="O1022" s="189"/>
      <c r="P1022" s="189"/>
      <c r="Q1022" s="189"/>
    </row>
    <row r="1023" spans="1:17">
      <c r="A1023" s="1147"/>
      <c r="B1023" s="1147"/>
      <c r="C1023" s="1147"/>
      <c r="D1023" s="1147"/>
      <c r="E1023" s="1147"/>
      <c r="F1023" s="1147"/>
      <c r="G1023" s="189"/>
      <c r="H1023" s="189"/>
      <c r="I1023" s="189"/>
      <c r="L1023" s="189"/>
      <c r="M1023" s="189"/>
      <c r="N1023" s="189"/>
      <c r="O1023" s="189"/>
      <c r="P1023" s="189"/>
      <c r="Q1023" s="189"/>
    </row>
    <row r="1024" spans="1:17">
      <c r="A1024" s="1147"/>
      <c r="B1024" s="1147"/>
      <c r="C1024" s="1147"/>
      <c r="D1024" s="1147"/>
      <c r="E1024" s="1147"/>
      <c r="F1024" s="1147"/>
      <c r="G1024" s="189"/>
      <c r="H1024" s="189"/>
      <c r="I1024" s="189"/>
      <c r="L1024" s="189"/>
      <c r="M1024" s="189"/>
      <c r="N1024" s="189"/>
      <c r="O1024" s="189"/>
      <c r="P1024" s="189"/>
      <c r="Q1024" s="189"/>
    </row>
    <row r="1025" spans="1:17">
      <c r="A1025" s="1147"/>
      <c r="B1025" s="1147"/>
      <c r="C1025" s="1147"/>
      <c r="D1025" s="1147"/>
      <c r="E1025" s="1147"/>
      <c r="F1025" s="1147"/>
      <c r="G1025" s="189"/>
      <c r="H1025" s="189"/>
      <c r="I1025" s="189"/>
      <c r="L1025" s="189"/>
      <c r="M1025" s="189"/>
      <c r="N1025" s="189"/>
      <c r="O1025" s="189"/>
      <c r="P1025" s="189"/>
      <c r="Q1025" s="189"/>
    </row>
    <row r="1026" spans="1:17">
      <c r="A1026" s="1147"/>
      <c r="B1026" s="1147"/>
      <c r="C1026" s="1147"/>
      <c r="D1026" s="1147"/>
      <c r="E1026" s="1147"/>
      <c r="F1026" s="1147"/>
      <c r="G1026" s="189"/>
      <c r="H1026" s="189"/>
      <c r="I1026" s="189"/>
      <c r="L1026" s="189"/>
      <c r="M1026" s="189"/>
      <c r="N1026" s="189"/>
      <c r="O1026" s="189"/>
      <c r="P1026" s="189"/>
      <c r="Q1026" s="189"/>
    </row>
    <row r="1027" spans="1:17">
      <c r="A1027" s="1147"/>
      <c r="B1027" s="1147"/>
      <c r="C1027" s="1147"/>
      <c r="D1027" s="1147"/>
      <c r="E1027" s="1147"/>
      <c r="F1027" s="1147"/>
      <c r="G1027" s="189"/>
      <c r="H1027" s="189"/>
      <c r="I1027" s="189"/>
      <c r="L1027" s="189"/>
      <c r="M1027" s="189"/>
      <c r="N1027" s="189"/>
      <c r="O1027" s="189"/>
      <c r="P1027" s="189"/>
      <c r="Q1027" s="189"/>
    </row>
    <row r="1028" spans="1:17">
      <c r="A1028" s="1147"/>
      <c r="B1028" s="1147"/>
      <c r="C1028" s="1147"/>
      <c r="D1028" s="1147"/>
      <c r="E1028" s="1147"/>
      <c r="F1028" s="1147"/>
      <c r="G1028" s="189"/>
      <c r="H1028" s="189"/>
      <c r="I1028" s="189"/>
      <c r="L1028" s="189"/>
      <c r="M1028" s="189"/>
      <c r="N1028" s="189"/>
      <c r="O1028" s="189"/>
      <c r="P1028" s="189"/>
      <c r="Q1028" s="189"/>
    </row>
    <row r="1029" spans="1:17">
      <c r="A1029" s="1147"/>
      <c r="B1029" s="1147"/>
      <c r="C1029" s="1147"/>
      <c r="D1029" s="1147"/>
      <c r="E1029" s="1147"/>
      <c r="F1029" s="1147"/>
      <c r="G1029" s="189"/>
      <c r="H1029" s="189"/>
      <c r="I1029" s="189"/>
      <c r="L1029" s="189"/>
      <c r="M1029" s="189"/>
      <c r="N1029" s="189"/>
      <c r="O1029" s="189"/>
      <c r="P1029" s="189"/>
      <c r="Q1029" s="189"/>
    </row>
    <row r="1030" spans="1:17">
      <c r="A1030" s="1147"/>
      <c r="B1030" s="1147"/>
      <c r="C1030" s="1147"/>
      <c r="D1030" s="1147"/>
      <c r="E1030" s="1147"/>
      <c r="F1030" s="1147"/>
      <c r="G1030" s="189"/>
      <c r="H1030" s="189"/>
      <c r="I1030" s="189"/>
      <c r="L1030" s="189"/>
      <c r="M1030" s="189"/>
      <c r="N1030" s="189"/>
      <c r="O1030" s="189"/>
      <c r="P1030" s="189"/>
      <c r="Q1030" s="189"/>
    </row>
    <row r="1031" spans="1:17">
      <c r="A1031" s="1147"/>
      <c r="B1031" s="1147"/>
      <c r="C1031" s="1147"/>
      <c r="D1031" s="1147"/>
      <c r="E1031" s="1147"/>
      <c r="F1031" s="1147"/>
      <c r="G1031" s="189"/>
      <c r="H1031" s="189"/>
      <c r="I1031" s="189"/>
      <c r="L1031" s="189"/>
      <c r="M1031" s="189"/>
      <c r="N1031" s="189"/>
      <c r="O1031" s="189"/>
      <c r="P1031" s="189"/>
      <c r="Q1031" s="189"/>
    </row>
    <row r="1032" spans="1:17">
      <c r="A1032" s="1147"/>
      <c r="B1032" s="1147"/>
      <c r="C1032" s="1147"/>
      <c r="D1032" s="1147"/>
      <c r="E1032" s="1147"/>
      <c r="F1032" s="1147"/>
      <c r="G1032" s="189"/>
      <c r="H1032" s="189"/>
      <c r="I1032" s="189"/>
      <c r="L1032" s="189"/>
      <c r="M1032" s="189"/>
      <c r="N1032" s="189"/>
      <c r="O1032" s="189"/>
      <c r="P1032" s="189"/>
      <c r="Q1032" s="189"/>
    </row>
    <row r="1033" spans="1:17">
      <c r="A1033" s="1147"/>
      <c r="B1033" s="1147"/>
      <c r="C1033" s="1147"/>
      <c r="D1033" s="1147"/>
      <c r="E1033" s="1147"/>
      <c r="F1033" s="1147"/>
      <c r="G1033" s="189"/>
      <c r="H1033" s="189"/>
      <c r="I1033" s="189"/>
      <c r="L1033" s="189"/>
      <c r="M1033" s="189"/>
      <c r="N1033" s="189"/>
      <c r="O1033" s="189"/>
      <c r="P1033" s="189"/>
      <c r="Q1033" s="189"/>
    </row>
    <row r="1034" spans="1:17">
      <c r="A1034" s="1147"/>
      <c r="B1034" s="1147"/>
      <c r="C1034" s="1147"/>
      <c r="D1034" s="1147"/>
      <c r="E1034" s="1147"/>
      <c r="F1034" s="1147"/>
      <c r="G1034" s="189"/>
      <c r="H1034" s="189"/>
      <c r="I1034" s="189"/>
      <c r="L1034" s="189"/>
      <c r="M1034" s="189"/>
      <c r="N1034" s="189"/>
      <c r="O1034" s="189"/>
      <c r="P1034" s="189"/>
      <c r="Q1034" s="189"/>
    </row>
    <row r="1035" spans="1:17">
      <c r="A1035" s="1147"/>
      <c r="B1035" s="1147"/>
      <c r="C1035" s="1147"/>
      <c r="D1035" s="1147"/>
      <c r="E1035" s="1147"/>
      <c r="F1035" s="1147"/>
      <c r="G1035" s="189"/>
      <c r="H1035" s="189"/>
      <c r="I1035" s="189"/>
      <c r="L1035" s="189"/>
      <c r="M1035" s="189"/>
      <c r="N1035" s="189"/>
      <c r="O1035" s="189"/>
      <c r="P1035" s="189"/>
      <c r="Q1035" s="189"/>
    </row>
    <row r="1036" spans="1:17">
      <c r="A1036" s="1147"/>
      <c r="B1036" s="1147"/>
      <c r="C1036" s="1147"/>
      <c r="D1036" s="1147"/>
      <c r="E1036" s="1147"/>
      <c r="F1036" s="1147"/>
      <c r="G1036" s="189"/>
      <c r="H1036" s="189"/>
      <c r="I1036" s="189"/>
      <c r="L1036" s="189"/>
      <c r="M1036" s="189"/>
      <c r="N1036" s="189"/>
      <c r="O1036" s="189"/>
      <c r="P1036" s="189"/>
      <c r="Q1036" s="189"/>
    </row>
    <row r="1037" spans="1:17">
      <c r="A1037" s="1147"/>
      <c r="B1037" s="1147"/>
      <c r="C1037" s="1147"/>
      <c r="D1037" s="1147"/>
      <c r="E1037" s="1147"/>
      <c r="F1037" s="1147"/>
      <c r="G1037" s="189"/>
      <c r="H1037" s="189"/>
      <c r="I1037" s="189"/>
      <c r="L1037" s="189"/>
      <c r="M1037" s="189"/>
      <c r="N1037" s="189"/>
      <c r="O1037" s="189"/>
      <c r="P1037" s="189"/>
      <c r="Q1037" s="189"/>
    </row>
    <row r="1038" spans="1:17">
      <c r="A1038" s="1147"/>
      <c r="B1038" s="1147"/>
      <c r="C1038" s="1147"/>
      <c r="D1038" s="1147"/>
      <c r="E1038" s="1147"/>
      <c r="F1038" s="1147"/>
      <c r="G1038" s="189"/>
      <c r="H1038" s="189"/>
      <c r="I1038" s="189"/>
      <c r="L1038" s="189"/>
      <c r="M1038" s="189"/>
      <c r="N1038" s="189"/>
      <c r="O1038" s="189"/>
      <c r="P1038" s="189"/>
      <c r="Q1038" s="189"/>
    </row>
    <row r="1039" spans="1:17">
      <c r="A1039" s="1147"/>
      <c r="B1039" s="1147"/>
      <c r="C1039" s="1147"/>
      <c r="D1039" s="1147"/>
      <c r="E1039" s="1147"/>
      <c r="F1039" s="1147"/>
      <c r="G1039" s="189"/>
      <c r="H1039" s="189"/>
      <c r="I1039" s="189"/>
      <c r="L1039" s="189"/>
      <c r="M1039" s="189"/>
      <c r="N1039" s="189"/>
      <c r="O1039" s="189"/>
      <c r="P1039" s="189"/>
      <c r="Q1039" s="189"/>
    </row>
    <row r="1040" spans="1:17">
      <c r="A1040" s="1147"/>
      <c r="B1040" s="1147"/>
      <c r="C1040" s="1147"/>
      <c r="D1040" s="1147"/>
      <c r="E1040" s="1147"/>
      <c r="F1040" s="1147"/>
      <c r="G1040" s="189"/>
      <c r="H1040" s="189"/>
      <c r="I1040" s="189"/>
      <c r="L1040" s="189"/>
      <c r="M1040" s="189"/>
      <c r="N1040" s="189"/>
      <c r="O1040" s="189"/>
      <c r="P1040" s="189"/>
      <c r="Q1040" s="189"/>
    </row>
    <row r="1041" spans="1:17">
      <c r="A1041" s="1147"/>
      <c r="B1041" s="1147"/>
      <c r="C1041" s="1147"/>
      <c r="D1041" s="1147"/>
      <c r="E1041" s="1147"/>
      <c r="F1041" s="1147"/>
      <c r="G1041" s="189"/>
      <c r="H1041" s="189"/>
      <c r="I1041" s="189"/>
      <c r="L1041" s="189"/>
      <c r="M1041" s="189"/>
      <c r="N1041" s="189"/>
      <c r="O1041" s="189"/>
      <c r="P1041" s="189"/>
      <c r="Q1041" s="189"/>
    </row>
    <row r="1042" spans="1:17">
      <c r="A1042" s="1147"/>
      <c r="B1042" s="1147"/>
      <c r="C1042" s="1147"/>
      <c r="D1042" s="1147"/>
      <c r="E1042" s="1147"/>
      <c r="F1042" s="1147"/>
      <c r="G1042" s="189"/>
      <c r="H1042" s="189"/>
      <c r="I1042" s="189"/>
      <c r="L1042" s="189"/>
      <c r="M1042" s="189"/>
      <c r="N1042" s="189"/>
      <c r="O1042" s="189"/>
      <c r="P1042" s="189"/>
      <c r="Q1042" s="189"/>
    </row>
    <row r="1043" spans="1:17">
      <c r="A1043" s="1147"/>
      <c r="B1043" s="1147"/>
      <c r="C1043" s="1147"/>
      <c r="D1043" s="1147"/>
      <c r="E1043" s="1147"/>
      <c r="F1043" s="1147"/>
      <c r="G1043" s="189"/>
      <c r="H1043" s="189"/>
      <c r="I1043" s="189"/>
      <c r="L1043" s="189"/>
      <c r="M1043" s="189"/>
      <c r="N1043" s="189"/>
      <c r="O1043" s="189"/>
      <c r="P1043" s="189"/>
      <c r="Q1043" s="189"/>
    </row>
    <row r="1044" spans="1:17">
      <c r="A1044" s="1147"/>
      <c r="B1044" s="1147"/>
      <c r="C1044" s="1147"/>
      <c r="D1044" s="1147"/>
      <c r="E1044" s="1147"/>
      <c r="F1044" s="1147"/>
      <c r="G1044" s="189"/>
      <c r="H1044" s="189"/>
      <c r="I1044" s="189"/>
      <c r="L1044" s="189"/>
      <c r="M1044" s="189"/>
      <c r="N1044" s="189"/>
      <c r="O1044" s="189"/>
      <c r="P1044" s="189"/>
      <c r="Q1044" s="189"/>
    </row>
    <row r="1045" spans="1:17">
      <c r="A1045" s="1147"/>
      <c r="B1045" s="1147"/>
      <c r="C1045" s="1147"/>
      <c r="D1045" s="1147"/>
      <c r="E1045" s="1147"/>
      <c r="F1045" s="1147"/>
      <c r="G1045" s="189"/>
      <c r="H1045" s="189"/>
      <c r="I1045" s="189"/>
      <c r="L1045" s="189"/>
      <c r="M1045" s="189"/>
      <c r="N1045" s="189"/>
      <c r="O1045" s="189"/>
      <c r="P1045" s="189"/>
      <c r="Q1045" s="189"/>
    </row>
    <row r="1046" spans="1:17">
      <c r="A1046" s="1147"/>
      <c r="B1046" s="1147"/>
      <c r="C1046" s="1147"/>
      <c r="D1046" s="1147"/>
      <c r="E1046" s="1147"/>
      <c r="F1046" s="1147"/>
      <c r="G1046" s="189"/>
      <c r="H1046" s="189"/>
      <c r="I1046" s="189"/>
      <c r="L1046" s="189"/>
      <c r="M1046" s="189"/>
      <c r="N1046" s="189"/>
      <c r="O1046" s="189"/>
      <c r="P1046" s="189"/>
      <c r="Q1046" s="189"/>
    </row>
    <row r="1047" spans="1:17">
      <c r="A1047" s="1147"/>
      <c r="B1047" s="1147"/>
      <c r="C1047" s="1147"/>
      <c r="D1047" s="1147"/>
      <c r="E1047" s="1147"/>
      <c r="F1047" s="1147"/>
      <c r="G1047" s="189"/>
      <c r="H1047" s="189"/>
      <c r="I1047" s="189"/>
      <c r="L1047" s="189"/>
      <c r="M1047" s="189"/>
      <c r="N1047" s="189"/>
      <c r="O1047" s="189"/>
      <c r="P1047" s="189"/>
      <c r="Q1047" s="189"/>
    </row>
    <row r="1048" spans="1:17">
      <c r="A1048" s="1147"/>
      <c r="B1048" s="1147"/>
      <c r="C1048" s="1147"/>
      <c r="D1048" s="1147"/>
      <c r="E1048" s="1147"/>
      <c r="F1048" s="1147"/>
      <c r="G1048" s="189"/>
      <c r="H1048" s="189"/>
      <c r="I1048" s="189"/>
      <c r="L1048" s="189"/>
      <c r="M1048" s="189"/>
      <c r="N1048" s="189"/>
      <c r="O1048" s="189"/>
      <c r="P1048" s="189"/>
      <c r="Q1048" s="189"/>
    </row>
    <row r="1049" spans="1:17">
      <c r="A1049" s="1147"/>
      <c r="B1049" s="1147"/>
      <c r="C1049" s="1147"/>
      <c r="D1049" s="1147"/>
      <c r="E1049" s="1147"/>
      <c r="F1049" s="1147"/>
      <c r="G1049" s="189"/>
      <c r="H1049" s="189"/>
      <c r="I1049" s="189"/>
      <c r="L1049" s="189"/>
      <c r="M1049" s="189"/>
      <c r="N1049" s="189"/>
      <c r="O1049" s="189"/>
      <c r="P1049" s="189"/>
      <c r="Q1049" s="189"/>
    </row>
    <row r="1050" spans="1:17">
      <c r="A1050" s="1147"/>
      <c r="B1050" s="1147"/>
      <c r="C1050" s="1147"/>
      <c r="D1050" s="1147"/>
      <c r="E1050" s="1147"/>
      <c r="F1050" s="1147"/>
      <c r="G1050" s="189"/>
      <c r="H1050" s="189"/>
      <c r="I1050" s="189"/>
      <c r="L1050" s="189"/>
      <c r="M1050" s="189"/>
      <c r="N1050" s="189"/>
      <c r="O1050" s="189"/>
      <c r="P1050" s="189"/>
      <c r="Q1050" s="189"/>
    </row>
    <row r="1051" spans="1:17">
      <c r="A1051" s="1147"/>
      <c r="B1051" s="1147"/>
      <c r="C1051" s="1147"/>
      <c r="D1051" s="1147"/>
      <c r="E1051" s="1147"/>
      <c r="F1051" s="1147"/>
      <c r="G1051" s="189"/>
      <c r="H1051" s="189"/>
      <c r="I1051" s="189"/>
      <c r="L1051" s="189"/>
      <c r="M1051" s="189"/>
      <c r="N1051" s="189"/>
      <c r="O1051" s="189"/>
      <c r="P1051" s="189"/>
      <c r="Q1051" s="189"/>
    </row>
    <row r="1052" spans="1:17">
      <c r="A1052" s="1147"/>
      <c r="B1052" s="1147"/>
      <c r="C1052" s="1147"/>
      <c r="D1052" s="1147"/>
      <c r="E1052" s="1147"/>
      <c r="F1052" s="1147"/>
      <c r="G1052" s="189"/>
      <c r="H1052" s="189"/>
      <c r="I1052" s="189"/>
      <c r="L1052" s="189"/>
      <c r="M1052" s="189"/>
      <c r="N1052" s="189"/>
      <c r="O1052" s="189"/>
      <c r="P1052" s="189"/>
      <c r="Q1052" s="189"/>
    </row>
    <row r="1053" spans="1:17">
      <c r="A1053" s="1147"/>
      <c r="B1053" s="1147"/>
      <c r="C1053" s="1147"/>
      <c r="D1053" s="1147"/>
      <c r="E1053" s="1147"/>
      <c r="F1053" s="1147"/>
      <c r="G1053" s="189"/>
      <c r="H1053" s="189"/>
      <c r="I1053" s="189"/>
      <c r="L1053" s="189"/>
      <c r="M1053" s="189"/>
      <c r="N1053" s="189"/>
      <c r="O1053" s="189"/>
      <c r="P1053" s="189"/>
      <c r="Q1053" s="189"/>
    </row>
    <row r="1054" spans="1:17">
      <c r="A1054" s="1147"/>
      <c r="B1054" s="1147"/>
      <c r="C1054" s="1147"/>
      <c r="D1054" s="1147"/>
      <c r="E1054" s="1147"/>
      <c r="F1054" s="1147"/>
      <c r="G1054" s="189"/>
      <c r="H1054" s="189"/>
      <c r="I1054" s="189"/>
      <c r="L1054" s="189"/>
      <c r="M1054" s="189"/>
      <c r="N1054" s="189"/>
      <c r="O1054" s="189"/>
      <c r="P1054" s="189"/>
      <c r="Q1054" s="189"/>
    </row>
    <row r="1055" spans="1:17">
      <c r="A1055" s="1147"/>
      <c r="B1055" s="1147"/>
      <c r="C1055" s="1147"/>
      <c r="D1055" s="1147"/>
      <c r="E1055" s="1147"/>
      <c r="F1055" s="1147"/>
      <c r="G1055" s="189"/>
      <c r="H1055" s="189"/>
      <c r="I1055" s="189"/>
      <c r="L1055" s="189"/>
      <c r="M1055" s="189"/>
      <c r="N1055" s="189"/>
      <c r="O1055" s="189"/>
      <c r="P1055" s="189"/>
      <c r="Q1055" s="189"/>
    </row>
    <row r="1056" spans="1:17">
      <c r="A1056" s="1147"/>
      <c r="B1056" s="1147"/>
      <c r="C1056" s="1147"/>
      <c r="D1056" s="1147"/>
      <c r="E1056" s="1147"/>
      <c r="F1056" s="1147"/>
      <c r="G1056" s="189"/>
      <c r="H1056" s="189"/>
      <c r="I1056" s="189"/>
      <c r="L1056" s="189"/>
      <c r="M1056" s="189"/>
      <c r="N1056" s="189"/>
      <c r="O1056" s="189"/>
      <c r="P1056" s="189"/>
      <c r="Q1056" s="189"/>
    </row>
    <row r="1057" spans="1:17">
      <c r="A1057" s="1147"/>
      <c r="B1057" s="1147"/>
      <c r="C1057" s="1147"/>
      <c r="D1057" s="1147"/>
      <c r="E1057" s="1147"/>
      <c r="F1057" s="1147"/>
      <c r="G1057" s="189"/>
      <c r="H1057" s="189"/>
      <c r="I1057" s="189"/>
      <c r="L1057" s="189"/>
      <c r="M1057" s="189"/>
      <c r="N1057" s="189"/>
      <c r="O1057" s="189"/>
      <c r="P1057" s="189"/>
      <c r="Q1057" s="189"/>
    </row>
    <row r="1058" spans="1:17">
      <c r="A1058" s="1147"/>
      <c r="B1058" s="1147"/>
      <c r="C1058" s="1147"/>
      <c r="D1058" s="1147"/>
      <c r="E1058" s="1147"/>
      <c r="F1058" s="1147"/>
      <c r="G1058" s="189"/>
      <c r="H1058" s="189"/>
      <c r="I1058" s="189"/>
      <c r="L1058" s="189"/>
      <c r="M1058" s="189"/>
      <c r="N1058" s="189"/>
      <c r="O1058" s="189"/>
      <c r="P1058" s="189"/>
      <c r="Q1058" s="189"/>
    </row>
    <row r="1059" spans="1:17">
      <c r="A1059" s="1147"/>
      <c r="B1059" s="1147"/>
      <c r="C1059" s="1147"/>
      <c r="D1059" s="1147"/>
      <c r="E1059" s="1147"/>
      <c r="F1059" s="1147"/>
      <c r="G1059" s="189"/>
      <c r="H1059" s="189"/>
      <c r="I1059" s="189"/>
      <c r="L1059" s="189"/>
      <c r="M1059" s="189"/>
      <c r="N1059" s="189"/>
      <c r="O1059" s="189"/>
      <c r="P1059" s="189"/>
      <c r="Q1059" s="189"/>
    </row>
    <row r="1060" spans="1:17">
      <c r="A1060" s="1147"/>
      <c r="B1060" s="1147"/>
      <c r="C1060" s="1147"/>
      <c r="D1060" s="1147"/>
      <c r="E1060" s="1147"/>
      <c r="F1060" s="1147"/>
      <c r="G1060" s="189"/>
      <c r="H1060" s="189"/>
      <c r="I1060" s="189"/>
      <c r="L1060" s="189"/>
      <c r="M1060" s="189"/>
      <c r="N1060" s="189"/>
      <c r="O1060" s="189"/>
      <c r="P1060" s="189"/>
      <c r="Q1060" s="189"/>
    </row>
    <row r="1061" spans="1:17">
      <c r="A1061" s="1147"/>
      <c r="B1061" s="1147"/>
      <c r="C1061" s="1147"/>
      <c r="D1061" s="1147"/>
      <c r="E1061" s="1147"/>
      <c r="F1061" s="1147"/>
      <c r="G1061" s="189"/>
      <c r="H1061" s="189"/>
      <c r="I1061" s="189"/>
      <c r="L1061" s="189"/>
      <c r="M1061" s="189"/>
      <c r="N1061" s="189"/>
      <c r="O1061" s="189"/>
      <c r="P1061" s="189"/>
      <c r="Q1061" s="189"/>
    </row>
    <row r="1062" spans="1:17">
      <c r="A1062" s="1147"/>
      <c r="B1062" s="1147"/>
      <c r="C1062" s="1147"/>
      <c r="D1062" s="1147"/>
      <c r="E1062" s="1147"/>
      <c r="F1062" s="1147"/>
      <c r="G1062" s="189"/>
      <c r="H1062" s="189"/>
      <c r="I1062" s="189"/>
      <c r="L1062" s="189"/>
      <c r="M1062" s="189"/>
      <c r="N1062" s="189"/>
      <c r="O1062" s="189"/>
      <c r="P1062" s="189"/>
      <c r="Q1062" s="189"/>
    </row>
    <row r="1063" spans="1:17">
      <c r="A1063" s="1147"/>
      <c r="B1063" s="1147"/>
      <c r="C1063" s="1147"/>
      <c r="D1063" s="1147"/>
      <c r="E1063" s="1147"/>
      <c r="F1063" s="1147"/>
      <c r="G1063" s="189"/>
      <c r="H1063" s="189"/>
      <c r="I1063" s="189"/>
      <c r="L1063" s="189"/>
      <c r="M1063" s="189"/>
      <c r="N1063" s="189"/>
      <c r="O1063" s="189"/>
      <c r="P1063" s="189"/>
      <c r="Q1063" s="189"/>
    </row>
    <row r="1064" spans="1:17">
      <c r="A1064" s="1147"/>
      <c r="B1064" s="1147"/>
      <c r="C1064" s="1147"/>
      <c r="D1064" s="1147"/>
      <c r="E1064" s="1147"/>
      <c r="F1064" s="1147"/>
      <c r="G1064" s="189"/>
      <c r="H1064" s="189"/>
      <c r="I1064" s="189"/>
      <c r="L1064" s="189"/>
      <c r="M1064" s="189"/>
      <c r="N1064" s="189"/>
      <c r="O1064" s="189"/>
      <c r="P1064" s="189"/>
      <c r="Q1064" s="189"/>
    </row>
    <row r="1065" spans="1:17">
      <c r="A1065" s="1147"/>
      <c r="B1065" s="1147"/>
      <c r="C1065" s="1147"/>
      <c r="D1065" s="1147"/>
      <c r="E1065" s="1147"/>
      <c r="F1065" s="1147"/>
      <c r="G1065" s="189"/>
      <c r="H1065" s="189"/>
      <c r="I1065" s="189"/>
      <c r="L1065" s="189"/>
      <c r="M1065" s="189"/>
      <c r="N1065" s="189"/>
      <c r="O1065" s="189"/>
      <c r="P1065" s="189"/>
      <c r="Q1065" s="189"/>
    </row>
    <row r="1066" spans="1:17">
      <c r="A1066" s="1147"/>
      <c r="B1066" s="1147"/>
      <c r="C1066" s="1147"/>
      <c r="D1066" s="1147"/>
      <c r="E1066" s="1147"/>
      <c r="F1066" s="1147"/>
      <c r="G1066" s="189"/>
      <c r="H1066" s="189"/>
      <c r="I1066" s="189"/>
      <c r="L1066" s="189"/>
      <c r="M1066" s="189"/>
      <c r="N1066" s="189"/>
      <c r="O1066" s="189"/>
      <c r="P1066" s="189"/>
      <c r="Q1066" s="189"/>
    </row>
    <row r="1067" spans="1:17">
      <c r="A1067" s="1147"/>
      <c r="B1067" s="1147"/>
      <c r="C1067" s="1147"/>
      <c r="D1067" s="1147"/>
      <c r="E1067" s="1147"/>
      <c r="F1067" s="1147"/>
      <c r="G1067" s="189"/>
      <c r="H1067" s="189"/>
      <c r="I1067" s="189"/>
      <c r="L1067" s="189"/>
      <c r="M1067" s="189"/>
      <c r="N1067" s="189"/>
      <c r="O1067" s="189"/>
      <c r="P1067" s="189"/>
      <c r="Q1067" s="189"/>
    </row>
    <row r="1068" spans="1:17">
      <c r="A1068" s="1147"/>
      <c r="B1068" s="1147"/>
      <c r="C1068" s="1147"/>
      <c r="D1068" s="1147"/>
      <c r="E1068" s="1147"/>
      <c r="F1068" s="1147"/>
      <c r="G1068" s="189"/>
      <c r="H1068" s="189"/>
      <c r="I1068" s="189"/>
      <c r="L1068" s="189"/>
      <c r="M1068" s="189"/>
      <c r="N1068" s="189"/>
      <c r="O1068" s="189"/>
      <c r="P1068" s="189"/>
      <c r="Q1068" s="189"/>
    </row>
    <row r="1069" spans="1:17">
      <c r="A1069" s="1147"/>
      <c r="B1069" s="1147"/>
      <c r="C1069" s="1147"/>
      <c r="D1069" s="1147"/>
      <c r="E1069" s="1147"/>
      <c r="F1069" s="1147"/>
      <c r="G1069" s="189"/>
      <c r="H1069" s="189"/>
      <c r="I1069" s="189"/>
      <c r="L1069" s="189"/>
      <c r="M1069" s="189"/>
      <c r="N1069" s="189"/>
      <c r="O1069" s="189"/>
      <c r="P1069" s="189"/>
      <c r="Q1069" s="189"/>
    </row>
    <row r="1070" spans="1:17">
      <c r="A1070" s="1147"/>
      <c r="B1070" s="1147"/>
      <c r="C1070" s="1147"/>
      <c r="D1070" s="1147"/>
      <c r="E1070" s="1147"/>
      <c r="F1070" s="1147"/>
      <c r="G1070" s="189"/>
      <c r="H1070" s="189"/>
      <c r="I1070" s="189"/>
      <c r="L1070" s="189"/>
      <c r="M1070" s="189"/>
      <c r="N1070" s="189"/>
      <c r="O1070" s="189"/>
      <c r="P1070" s="189"/>
      <c r="Q1070" s="189"/>
    </row>
    <row r="1071" spans="1:17">
      <c r="A1071" s="1147"/>
      <c r="B1071" s="1147"/>
      <c r="C1071" s="1147"/>
      <c r="D1071" s="1147"/>
      <c r="E1071" s="1147"/>
      <c r="F1071" s="1147"/>
      <c r="G1071" s="189"/>
      <c r="H1071" s="189"/>
      <c r="I1071" s="189"/>
      <c r="L1071" s="189"/>
      <c r="M1071" s="189"/>
      <c r="N1071" s="189"/>
      <c r="O1071" s="189"/>
      <c r="P1071" s="189"/>
      <c r="Q1071" s="189"/>
    </row>
    <row r="1072" spans="1:17">
      <c r="A1072" s="1147"/>
      <c r="B1072" s="1147"/>
      <c r="C1072" s="1147"/>
      <c r="D1072" s="1147"/>
      <c r="E1072" s="1147"/>
      <c r="F1072" s="1147"/>
      <c r="G1072" s="189"/>
      <c r="H1072" s="189"/>
      <c r="I1072" s="189"/>
      <c r="L1072" s="189"/>
      <c r="M1072" s="189"/>
      <c r="N1072" s="189"/>
      <c r="O1072" s="189"/>
      <c r="P1072" s="189"/>
      <c r="Q1072" s="189"/>
    </row>
    <row r="1073" spans="1:17">
      <c r="A1073" s="1147"/>
      <c r="B1073" s="1147"/>
      <c r="C1073" s="1147"/>
      <c r="D1073" s="1147"/>
      <c r="E1073" s="1147"/>
      <c r="F1073" s="1147"/>
      <c r="G1073" s="189"/>
      <c r="H1073" s="189"/>
      <c r="I1073" s="189"/>
      <c r="L1073" s="189"/>
      <c r="M1073" s="189"/>
      <c r="N1073" s="189"/>
      <c r="O1073" s="189"/>
      <c r="P1073" s="189"/>
      <c r="Q1073" s="189"/>
    </row>
    <row r="1074" spans="1:17">
      <c r="A1074" s="1147"/>
      <c r="B1074" s="1147"/>
      <c r="C1074" s="1147"/>
      <c r="D1074" s="1147"/>
      <c r="E1074" s="1147"/>
      <c r="F1074" s="1147"/>
      <c r="G1074" s="189"/>
      <c r="H1074" s="189"/>
      <c r="I1074" s="189"/>
      <c r="L1074" s="189"/>
      <c r="M1074" s="189"/>
      <c r="N1074" s="189"/>
      <c r="O1074" s="189"/>
      <c r="P1074" s="189"/>
      <c r="Q1074" s="189"/>
    </row>
    <row r="1075" spans="1:17">
      <c r="A1075" s="1147"/>
      <c r="B1075" s="1147"/>
      <c r="C1075" s="1147"/>
      <c r="D1075" s="1147"/>
      <c r="E1075" s="1147"/>
      <c r="F1075" s="1147"/>
      <c r="G1075" s="189"/>
      <c r="H1075" s="189"/>
      <c r="I1075" s="189"/>
      <c r="L1075" s="189"/>
      <c r="M1075" s="189"/>
      <c r="N1075" s="189"/>
      <c r="O1075" s="189"/>
      <c r="P1075" s="189"/>
      <c r="Q1075" s="189"/>
    </row>
    <row r="1076" spans="1:17">
      <c r="A1076" s="1147"/>
      <c r="B1076" s="1147"/>
      <c r="C1076" s="1147"/>
      <c r="D1076" s="1147"/>
      <c r="E1076" s="1147"/>
      <c r="F1076" s="1147"/>
      <c r="G1076" s="189"/>
      <c r="H1076" s="189"/>
      <c r="I1076" s="189"/>
      <c r="L1076" s="189"/>
      <c r="M1076" s="189"/>
      <c r="N1076" s="189"/>
      <c r="O1076" s="189"/>
      <c r="P1076" s="189"/>
      <c r="Q1076" s="189"/>
    </row>
    <row r="1077" spans="1:17">
      <c r="A1077" s="1147"/>
      <c r="B1077" s="1147"/>
      <c r="C1077" s="1147"/>
      <c r="D1077" s="1147"/>
      <c r="E1077" s="1147"/>
      <c r="F1077" s="1147"/>
      <c r="G1077" s="189"/>
      <c r="H1077" s="189"/>
      <c r="I1077" s="189"/>
      <c r="L1077" s="189"/>
      <c r="M1077" s="189"/>
      <c r="N1077" s="189"/>
      <c r="O1077" s="189"/>
      <c r="P1077" s="189"/>
      <c r="Q1077" s="189"/>
    </row>
    <row r="1078" spans="1:17">
      <c r="A1078" s="1147"/>
      <c r="B1078" s="1147"/>
      <c r="C1078" s="1147"/>
      <c r="D1078" s="1147"/>
      <c r="E1078" s="1147"/>
      <c r="F1078" s="1147"/>
      <c r="G1078" s="189"/>
      <c r="H1078" s="189"/>
      <c r="I1078" s="189"/>
      <c r="L1078" s="189"/>
      <c r="M1078" s="189"/>
      <c r="N1078" s="189"/>
      <c r="O1078" s="189"/>
      <c r="P1078" s="189"/>
      <c r="Q1078" s="189"/>
    </row>
    <row r="1079" spans="1:17">
      <c r="A1079" s="1147"/>
      <c r="B1079" s="1147"/>
      <c r="C1079" s="1147"/>
      <c r="D1079" s="1147"/>
      <c r="E1079" s="1147"/>
      <c r="F1079" s="1147"/>
      <c r="G1079" s="189"/>
      <c r="H1079" s="189"/>
      <c r="I1079" s="189"/>
      <c r="L1079" s="189"/>
      <c r="M1079" s="189"/>
      <c r="N1079" s="189"/>
      <c r="O1079" s="189"/>
      <c r="P1079" s="189"/>
      <c r="Q1079" s="189"/>
    </row>
    <row r="1080" spans="1:17">
      <c r="A1080" s="1147"/>
      <c r="B1080" s="1147"/>
      <c r="C1080" s="1147"/>
      <c r="D1080" s="1147"/>
      <c r="E1080" s="1147"/>
      <c r="F1080" s="1147"/>
      <c r="G1080" s="189"/>
      <c r="H1080" s="189"/>
      <c r="I1080" s="189"/>
      <c r="L1080" s="189"/>
      <c r="M1080" s="189"/>
      <c r="N1080" s="189"/>
      <c r="O1080" s="189"/>
      <c r="P1080" s="189"/>
      <c r="Q1080" s="189"/>
    </row>
    <row r="1081" spans="1:17">
      <c r="A1081" s="1147"/>
      <c r="B1081" s="1147"/>
      <c r="C1081" s="1147"/>
      <c r="D1081" s="1147"/>
      <c r="E1081" s="1147"/>
      <c r="F1081" s="1147"/>
      <c r="G1081" s="189"/>
      <c r="H1081" s="189"/>
      <c r="I1081" s="189"/>
      <c r="L1081" s="189"/>
      <c r="M1081" s="189"/>
      <c r="N1081" s="189"/>
      <c r="O1081" s="189"/>
      <c r="P1081" s="189"/>
      <c r="Q1081" s="189"/>
    </row>
    <row r="1082" spans="1:17">
      <c r="A1082" s="1147"/>
      <c r="B1082" s="1147"/>
      <c r="C1082" s="1147"/>
      <c r="D1082" s="1147"/>
      <c r="E1082" s="1147"/>
      <c r="F1082" s="1147"/>
      <c r="G1082" s="189"/>
      <c r="H1082" s="189"/>
      <c r="I1082" s="189"/>
      <c r="L1082" s="189"/>
      <c r="M1082" s="189"/>
      <c r="N1082" s="189"/>
      <c r="O1082" s="189"/>
      <c r="P1082" s="189"/>
      <c r="Q1082" s="189"/>
    </row>
    <row r="1083" spans="1:17">
      <c r="A1083" s="1147"/>
      <c r="B1083" s="1147"/>
      <c r="C1083" s="1147"/>
      <c r="D1083" s="1147"/>
      <c r="E1083" s="1147"/>
      <c r="F1083" s="1147"/>
      <c r="G1083" s="189"/>
      <c r="H1083" s="189"/>
      <c r="I1083" s="189"/>
      <c r="L1083" s="189"/>
      <c r="M1083" s="189"/>
      <c r="N1083" s="189"/>
      <c r="O1083" s="189"/>
      <c r="P1083" s="189"/>
      <c r="Q1083" s="189"/>
    </row>
    <row r="1084" spans="1:17">
      <c r="A1084" s="1147"/>
      <c r="B1084" s="1147"/>
      <c r="C1084" s="1147"/>
      <c r="D1084" s="1147"/>
      <c r="E1084" s="1147"/>
      <c r="F1084" s="1147"/>
      <c r="G1084" s="189"/>
      <c r="H1084" s="189"/>
      <c r="I1084" s="189"/>
      <c r="L1084" s="189"/>
      <c r="M1084" s="189"/>
      <c r="N1084" s="189"/>
      <c r="O1084" s="189"/>
      <c r="P1084" s="189"/>
      <c r="Q1084" s="189"/>
    </row>
    <row r="1085" spans="1:17">
      <c r="A1085" s="1147"/>
      <c r="B1085" s="1147"/>
      <c r="C1085" s="1147"/>
      <c r="D1085" s="1147"/>
      <c r="E1085" s="1147"/>
      <c r="F1085" s="1147"/>
      <c r="G1085" s="189"/>
      <c r="H1085" s="189"/>
      <c r="I1085" s="189"/>
      <c r="L1085" s="189"/>
      <c r="M1085" s="189"/>
      <c r="N1085" s="189"/>
      <c r="O1085" s="189"/>
      <c r="P1085" s="189"/>
      <c r="Q1085" s="189"/>
    </row>
    <row r="1086" spans="1:17">
      <c r="A1086" s="1147"/>
      <c r="B1086" s="1147"/>
      <c r="C1086" s="1147"/>
      <c r="D1086" s="1147"/>
      <c r="E1086" s="1147"/>
      <c r="F1086" s="1147"/>
      <c r="G1086" s="189"/>
      <c r="H1086" s="189"/>
      <c r="I1086" s="189"/>
      <c r="L1086" s="189"/>
      <c r="M1086" s="189"/>
      <c r="N1086" s="189"/>
      <c r="O1086" s="189"/>
      <c r="P1086" s="189"/>
      <c r="Q1086" s="189"/>
    </row>
    <row r="1087" spans="1:17">
      <c r="A1087" s="1147"/>
      <c r="B1087" s="1147"/>
      <c r="C1087" s="1147"/>
      <c r="D1087" s="1147"/>
      <c r="E1087" s="1147"/>
      <c r="F1087" s="1147"/>
      <c r="G1087" s="189"/>
      <c r="H1087" s="189"/>
      <c r="I1087" s="189"/>
      <c r="L1087" s="189"/>
      <c r="M1087" s="189"/>
      <c r="N1087" s="189"/>
      <c r="O1087" s="189"/>
      <c r="P1087" s="189"/>
      <c r="Q1087" s="189"/>
    </row>
    <row r="1088" spans="1:17">
      <c r="A1088" s="1147"/>
      <c r="B1088" s="1147"/>
      <c r="C1088" s="1147"/>
      <c r="D1088" s="1147"/>
      <c r="E1088" s="1147"/>
      <c r="F1088" s="1147"/>
      <c r="G1088" s="189"/>
      <c r="H1088" s="189"/>
      <c r="I1088" s="189"/>
      <c r="L1088" s="189"/>
      <c r="M1088" s="189"/>
      <c r="N1088" s="189"/>
      <c r="O1088" s="189"/>
      <c r="P1088" s="189"/>
      <c r="Q1088" s="189"/>
    </row>
    <row r="1089" spans="1:17">
      <c r="A1089" s="1147"/>
      <c r="B1089" s="1147"/>
      <c r="C1089" s="1147"/>
      <c r="D1089" s="1147"/>
      <c r="E1089" s="1147"/>
      <c r="F1089" s="1147"/>
      <c r="G1089" s="189"/>
      <c r="H1089" s="189"/>
      <c r="I1089" s="189"/>
      <c r="L1089" s="189"/>
      <c r="M1089" s="189"/>
      <c r="N1089" s="189"/>
      <c r="O1089" s="189"/>
      <c r="Q1089" s="189"/>
    </row>
    <row r="1090" spans="1:17">
      <c r="A1090" s="1147"/>
      <c r="B1090" s="1147"/>
      <c r="C1090" s="1147"/>
      <c r="D1090" s="1147"/>
      <c r="E1090" s="1147"/>
      <c r="F1090" s="1147"/>
      <c r="G1090" s="189"/>
      <c r="H1090" s="189"/>
      <c r="I1090" s="189"/>
      <c r="L1090" s="189"/>
      <c r="M1090" s="189"/>
      <c r="N1090" s="189"/>
      <c r="O1090" s="189"/>
      <c r="Q1090" s="189"/>
    </row>
    <row r="1091" spans="1:17">
      <c r="A1091" s="1147"/>
      <c r="B1091" s="1147"/>
      <c r="C1091" s="1147"/>
      <c r="D1091" s="1147"/>
      <c r="E1091" s="1147"/>
      <c r="F1091" s="1147"/>
      <c r="G1091" s="189"/>
      <c r="H1091" s="189"/>
      <c r="I1091" s="189"/>
      <c r="L1091" s="189"/>
      <c r="M1091" s="189"/>
      <c r="N1091" s="189"/>
      <c r="O1091" s="189"/>
      <c r="Q1091" s="189"/>
    </row>
    <row r="1092" spans="1:17">
      <c r="A1092" s="1147"/>
      <c r="B1092" s="1147"/>
      <c r="C1092" s="1147"/>
      <c r="D1092" s="1147"/>
      <c r="E1092" s="1147"/>
      <c r="F1092" s="1147"/>
      <c r="G1092" s="189"/>
      <c r="H1092" s="189"/>
      <c r="I1092" s="189"/>
      <c r="L1092" s="189"/>
      <c r="M1092" s="189"/>
      <c r="N1092" s="189"/>
      <c r="O1092" s="189"/>
      <c r="Q1092" s="189"/>
    </row>
    <row r="1093" spans="1:17">
      <c r="A1093" s="1147"/>
      <c r="B1093" s="1147"/>
      <c r="C1093" s="1147"/>
      <c r="D1093" s="1147"/>
      <c r="E1093" s="1147"/>
      <c r="F1093" s="1147"/>
      <c r="G1093" s="189"/>
      <c r="H1093" s="189"/>
      <c r="I1093" s="189"/>
      <c r="L1093" s="189"/>
      <c r="M1093" s="189"/>
      <c r="N1093" s="189"/>
      <c r="O1093" s="189"/>
      <c r="Q1093" s="189"/>
    </row>
    <row r="1094" spans="1:17">
      <c r="A1094" s="1147"/>
      <c r="B1094" s="1147"/>
      <c r="C1094" s="1147"/>
      <c r="D1094" s="1147"/>
      <c r="E1094" s="1147"/>
      <c r="F1094" s="1147"/>
      <c r="G1094" s="189"/>
      <c r="H1094" s="189"/>
      <c r="I1094" s="189"/>
      <c r="L1094" s="189"/>
      <c r="M1094" s="189"/>
      <c r="N1094" s="189"/>
      <c r="O1094" s="189"/>
      <c r="Q1094" s="189"/>
    </row>
    <row r="1095" spans="1:17">
      <c r="A1095" s="1147"/>
      <c r="B1095" s="1147"/>
      <c r="C1095" s="1147"/>
      <c r="D1095" s="1147"/>
      <c r="E1095" s="1147"/>
      <c r="F1095" s="1147"/>
      <c r="G1095" s="189"/>
      <c r="H1095" s="189"/>
      <c r="I1095" s="189"/>
      <c r="L1095" s="189"/>
      <c r="M1095" s="189"/>
      <c r="N1095" s="189"/>
      <c r="O1095" s="189"/>
      <c r="Q1095" s="189"/>
    </row>
    <row r="1096" spans="1:17">
      <c r="A1096" s="1147"/>
      <c r="B1096" s="1147"/>
      <c r="C1096" s="1147"/>
      <c r="D1096" s="1147"/>
      <c r="E1096" s="1147"/>
      <c r="F1096" s="1147"/>
      <c r="G1096" s="189"/>
      <c r="H1096" s="189"/>
      <c r="I1096" s="189"/>
      <c r="L1096" s="189"/>
      <c r="M1096" s="189"/>
      <c r="N1096" s="189"/>
      <c r="O1096" s="189"/>
      <c r="Q1096" s="189"/>
    </row>
    <row r="1291" spans="11:11">
      <c r="K1291" s="786"/>
    </row>
  </sheetData>
  <autoFilter ref="K1:P1291"/>
  <mergeCells count="21">
    <mergeCell ref="A965:I965"/>
    <mergeCell ref="J5:J6"/>
    <mergeCell ref="K5:K6"/>
    <mergeCell ref="P5:P6"/>
    <mergeCell ref="Q5:Q6"/>
    <mergeCell ref="Q544:Q545"/>
    <mergeCell ref="Q898:Q899"/>
    <mergeCell ref="B5:F6"/>
    <mergeCell ref="G5:I6"/>
    <mergeCell ref="R139:S139"/>
    <mergeCell ref="G546:I546"/>
    <mergeCell ref="H551:I551"/>
    <mergeCell ref="G594:I594"/>
    <mergeCell ref="G604:I604"/>
    <mergeCell ref="R321:S325"/>
    <mergeCell ref="E2:M2"/>
    <mergeCell ref="E3:L3"/>
    <mergeCell ref="A4:H4"/>
    <mergeCell ref="L5:N5"/>
    <mergeCell ref="B7:F7"/>
    <mergeCell ref="G7:I7"/>
  </mergeCells>
  <pageMargins left="0.25" right="0.196527777777778" top="0.156944444444444" bottom="0.23611111111111099" header="0.31458333333333299" footer="0.31458333333333299"/>
  <pageSetup paperSize="128" scale="76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rgb="FFFFC000"/>
  </sheetPr>
  <dimension ref="A1:Q788"/>
  <sheetViews>
    <sheetView view="pageBreakPreview" zoomScale="130" zoomScaleSheetLayoutView="130" workbookViewId="0">
      <selection activeCell="F17" sqref="F17"/>
    </sheetView>
  </sheetViews>
  <sheetFormatPr defaultColWidth="9" defaultRowHeight="12.55"/>
  <cols>
    <col min="1" max="1" width="6.33203125" customWidth="1"/>
    <col min="2" max="2" width="2.88671875" customWidth="1"/>
    <col min="3" max="3" width="47.109375" customWidth="1"/>
    <col min="4" max="5" width="25.109375" customWidth="1"/>
    <col min="6" max="6" width="23.5546875" customWidth="1"/>
    <col min="7" max="7" width="3.109375" customWidth="1"/>
    <col min="8" max="8" width="20.88671875" customWidth="1"/>
    <col min="9" max="11" width="3.109375" customWidth="1"/>
  </cols>
  <sheetData>
    <row r="1" spans="1:8" ht="13.15">
      <c r="A1" s="2650"/>
      <c r="B1" s="2651"/>
      <c r="C1" s="2651"/>
      <c r="D1" s="2652"/>
      <c r="E1" s="2652"/>
    </row>
    <row r="2" spans="1:8" ht="30.05" customHeight="1">
      <c r="A2" s="5732" t="s">
        <v>54</v>
      </c>
      <c r="B2" s="5732"/>
      <c r="C2" s="5732"/>
      <c r="D2" s="5732"/>
      <c r="E2" s="2781"/>
    </row>
    <row r="3" spans="1:8" ht="7.55" customHeight="1">
      <c r="A3" s="2653"/>
      <c r="B3" s="2654"/>
      <c r="C3" s="2654"/>
      <c r="D3" s="2654"/>
      <c r="E3" s="2654"/>
    </row>
    <row r="4" spans="1:8" ht="7.55" customHeight="1">
      <c r="A4" s="2655"/>
      <c r="B4" s="186"/>
      <c r="C4" s="186"/>
      <c r="D4" s="2652"/>
      <c r="E4" s="2652"/>
    </row>
    <row r="5" spans="1:8" s="2070" customFormat="1" ht="23.95" customHeight="1">
      <c r="A5" s="2656" t="s">
        <v>55</v>
      </c>
      <c r="B5" s="5733" t="s">
        <v>56</v>
      </c>
      <c r="C5" s="5734"/>
      <c r="D5" s="2657" t="s">
        <v>57</v>
      </c>
      <c r="E5" s="2782"/>
    </row>
    <row r="6" spans="1:8" s="2070" customFormat="1" ht="13.15">
      <c r="A6" s="2658" t="s">
        <v>58</v>
      </c>
      <c r="B6" s="5735">
        <v>2</v>
      </c>
      <c r="C6" s="5736"/>
      <c r="D6" s="2659">
        <v>3</v>
      </c>
      <c r="E6" s="2783"/>
    </row>
    <row r="7" spans="1:8" s="2070" customFormat="1" ht="7.55" customHeight="1">
      <c r="A7" s="2520"/>
      <c r="B7" s="216"/>
      <c r="C7" s="216"/>
      <c r="D7" s="2523"/>
      <c r="E7" s="2131"/>
    </row>
    <row r="8" spans="1:8" s="2070" customFormat="1" ht="13.15">
      <c r="A8" s="2660"/>
      <c r="B8" s="2661" t="s">
        <v>59</v>
      </c>
      <c r="C8" s="2661"/>
      <c r="D8" s="2527">
        <f>D10</f>
        <v>3669258351634</v>
      </c>
      <c r="E8" s="2784"/>
      <c r="F8" s="2662"/>
      <c r="H8" s="2663"/>
    </row>
    <row r="9" spans="1:8" s="2070" customFormat="1" ht="5.95" customHeight="1">
      <c r="A9" s="1919"/>
      <c r="B9" s="1318"/>
      <c r="C9" s="1318"/>
      <c r="D9" s="1727"/>
      <c r="E9" s="2785"/>
      <c r="H9" s="2663"/>
    </row>
    <row r="10" spans="1:8" s="2070" customFormat="1" ht="13.15">
      <c r="A10" s="2664"/>
      <c r="B10" s="2661" t="s">
        <v>60</v>
      </c>
      <c r="C10" s="2661"/>
      <c r="D10" s="2527">
        <f>D12+D33+D45+D56+D68+D80+D93+D106+D118+D131+D148+D156+D171+D184+D192+D210+D232+D252+D260+D268+D278+D293+D301+D309+D317+D325+D333+D341+D349+D494+D502+D513+D572+D590+D598+D606+D632+D655+D663+D696+D709+D718+D727+D736+D745+D754+D763+D772</f>
        <v>3669258351634</v>
      </c>
      <c r="E10" s="2784"/>
      <c r="F10" s="2665"/>
      <c r="H10" s="2666"/>
    </row>
    <row r="11" spans="1:8" s="2070" customFormat="1" ht="4.55" customHeight="1">
      <c r="A11" s="1919"/>
      <c r="B11" s="1318"/>
      <c r="C11" s="1318"/>
      <c r="D11" s="2143"/>
      <c r="E11" s="2786"/>
      <c r="H11" s="2663"/>
    </row>
    <row r="12" spans="1:8" s="2073" customFormat="1" ht="15.65">
      <c r="A12" s="2528" t="s">
        <v>61</v>
      </c>
      <c r="B12" s="2093" t="s">
        <v>62</v>
      </c>
      <c r="C12" s="2146"/>
      <c r="D12" s="2147">
        <f>D13+D23</f>
        <v>161895000</v>
      </c>
      <c r="E12" s="2787"/>
      <c r="H12" s="2667"/>
    </row>
    <row r="13" spans="1:8" s="2070" customFormat="1" ht="13.15">
      <c r="A13" s="2529"/>
      <c r="B13" s="2099" t="s">
        <v>63</v>
      </c>
      <c r="C13" s="2099"/>
      <c r="D13" s="2151">
        <f>D14+D19</f>
        <v>161895000</v>
      </c>
      <c r="E13" s="2785"/>
    </row>
    <row r="14" spans="1:8" s="2070" customFormat="1" ht="15.05">
      <c r="A14" s="1905"/>
      <c r="B14" s="212" t="s">
        <v>64</v>
      </c>
      <c r="C14" s="212"/>
      <c r="D14" s="2154">
        <f>SUM(D15:D17)</f>
        <v>98395000</v>
      </c>
      <c r="E14" s="2788"/>
    </row>
    <row r="15" spans="1:8" s="2070" customFormat="1" ht="13.15">
      <c r="A15" s="1855"/>
      <c r="B15" s="200" t="s">
        <v>50</v>
      </c>
      <c r="C15" s="200" t="s">
        <v>65</v>
      </c>
      <c r="D15" s="1964">
        <v>33395000</v>
      </c>
      <c r="E15" s="2129"/>
    </row>
    <row r="16" spans="1:8" s="2070" customFormat="1" ht="13.15">
      <c r="A16" s="1855"/>
      <c r="B16" s="200" t="s">
        <v>50</v>
      </c>
      <c r="C16" s="200" t="s">
        <v>66</v>
      </c>
      <c r="D16" s="1964">
        <v>25000000</v>
      </c>
      <c r="E16" s="2129"/>
    </row>
    <row r="17" spans="1:5" s="2070" customFormat="1" ht="13.15">
      <c r="A17" s="1855"/>
      <c r="B17" s="2727" t="s">
        <v>50</v>
      </c>
      <c r="C17" s="200" t="s">
        <v>67</v>
      </c>
      <c r="D17" s="2164">
        <v>40000000</v>
      </c>
      <c r="E17" s="2786"/>
    </row>
    <row r="18" spans="1:5" s="2070" customFormat="1" ht="6.75" customHeight="1">
      <c r="A18" s="1855"/>
      <c r="B18" s="200"/>
      <c r="C18" s="200"/>
      <c r="D18" s="2164"/>
      <c r="E18" s="2786"/>
    </row>
    <row r="19" spans="1:5" s="2070" customFormat="1" ht="15.05">
      <c r="A19" s="1855"/>
      <c r="B19" s="2728" t="s">
        <v>68</v>
      </c>
      <c r="C19" s="200"/>
      <c r="D19" s="1749">
        <f>SUM(D20:D21)</f>
        <v>63500000</v>
      </c>
      <c r="E19" s="2788"/>
    </row>
    <row r="20" spans="1:5" s="2070" customFormat="1" ht="13.15">
      <c r="A20" s="1855"/>
      <c r="B20" s="2727" t="s">
        <v>50</v>
      </c>
      <c r="C20" s="200" t="s">
        <v>69</v>
      </c>
      <c r="D20" s="2164">
        <v>60000000</v>
      </c>
      <c r="E20" s="2786"/>
    </row>
    <row r="21" spans="1:5" s="2070" customFormat="1" ht="13.15">
      <c r="A21" s="1855"/>
      <c r="B21" s="2727" t="s">
        <v>50</v>
      </c>
      <c r="C21" s="200" t="s">
        <v>70</v>
      </c>
      <c r="D21" s="2164">
        <v>3500000</v>
      </c>
      <c r="E21" s="2786"/>
    </row>
    <row r="22" spans="1:5" s="2070" customFormat="1" ht="7.55" customHeight="1">
      <c r="A22" s="1855"/>
      <c r="B22" s="200"/>
      <c r="C22" s="200"/>
      <c r="D22" s="2164"/>
      <c r="E22" s="2786"/>
    </row>
    <row r="23" spans="1:5" s="2070" customFormat="1" ht="13.15">
      <c r="A23" s="1854"/>
      <c r="B23" s="202" t="s">
        <v>71</v>
      </c>
      <c r="C23" s="202"/>
      <c r="D23" s="1891">
        <f>SUM(D24:D29)</f>
        <v>0</v>
      </c>
      <c r="E23" s="2785"/>
    </row>
    <row r="24" spans="1:5" s="2070" customFormat="1" ht="13.15">
      <c r="A24" s="1854"/>
      <c r="B24" s="2728" t="s">
        <v>50</v>
      </c>
      <c r="C24" s="200" t="s">
        <v>72</v>
      </c>
      <c r="D24" s="1891"/>
      <c r="E24" s="2785"/>
    </row>
    <row r="25" spans="1:5" s="2070" customFormat="1" ht="13.15">
      <c r="A25" s="1854"/>
      <c r="B25" s="2728" t="s">
        <v>50</v>
      </c>
      <c r="C25" s="200" t="s">
        <v>73</v>
      </c>
      <c r="D25" s="1891"/>
      <c r="E25" s="2785"/>
    </row>
    <row r="26" spans="1:5" s="2070" customFormat="1" ht="13.15">
      <c r="A26" s="1854"/>
      <c r="B26" s="2728" t="s">
        <v>50</v>
      </c>
      <c r="C26" s="200" t="s">
        <v>74</v>
      </c>
      <c r="D26" s="1891"/>
      <c r="E26" s="2785"/>
    </row>
    <row r="27" spans="1:5" s="2070" customFormat="1" ht="13.15">
      <c r="A27" s="1855"/>
      <c r="B27" s="200" t="s">
        <v>50</v>
      </c>
      <c r="C27" s="200" t="s">
        <v>75</v>
      </c>
      <c r="D27" s="2164">
        <v>0</v>
      </c>
      <c r="E27" s="2786"/>
    </row>
    <row r="28" spans="1:5" s="2070" customFormat="1" ht="13.15">
      <c r="A28" s="1855"/>
      <c r="B28" s="200" t="s">
        <v>50</v>
      </c>
      <c r="C28" s="200" t="s">
        <v>76</v>
      </c>
      <c r="D28" s="2164">
        <v>0</v>
      </c>
      <c r="E28" s="2786"/>
    </row>
    <row r="29" spans="1:5" s="2070" customFormat="1" ht="13.15">
      <c r="A29" s="1855"/>
      <c r="B29" s="200" t="s">
        <v>50</v>
      </c>
      <c r="C29" s="200" t="s">
        <v>77</v>
      </c>
      <c r="D29" s="1964">
        <v>0</v>
      </c>
      <c r="E29" s="2129"/>
    </row>
    <row r="30" spans="1:5" s="2070" customFormat="1" ht="5.95" customHeight="1">
      <c r="A30" s="1913"/>
      <c r="B30" s="238"/>
      <c r="C30" s="238"/>
      <c r="D30" s="2166"/>
      <c r="E30" s="2786"/>
    </row>
    <row r="31" spans="1:5" s="2070" customFormat="1" ht="18.8" customHeight="1">
      <c r="A31" s="2532" t="s">
        <v>78</v>
      </c>
      <c r="B31" s="2108" t="s">
        <v>79</v>
      </c>
      <c r="C31" s="2170"/>
      <c r="D31" s="2171">
        <f>D33+D45+D56+D68+D80</f>
        <v>9997286650</v>
      </c>
      <c r="E31" s="2789"/>
    </row>
    <row r="32" spans="1:5" s="2070" customFormat="1" ht="6.75" customHeight="1">
      <c r="A32" s="1905"/>
      <c r="B32" s="212"/>
      <c r="C32" s="212"/>
      <c r="D32" s="1727"/>
      <c r="E32" s="2785"/>
    </row>
    <row r="33" spans="1:5" s="2073" customFormat="1" ht="15.65">
      <c r="A33" s="1935"/>
      <c r="B33" s="2110" t="s">
        <v>79</v>
      </c>
      <c r="C33" s="2174"/>
      <c r="D33" s="2175">
        <f>D34+D37</f>
        <v>0</v>
      </c>
      <c r="E33" s="2787"/>
    </row>
    <row r="34" spans="1:5" s="2070" customFormat="1" ht="13.15">
      <c r="A34" s="2533"/>
      <c r="B34" s="2113" t="s">
        <v>63</v>
      </c>
      <c r="C34" s="2176"/>
      <c r="D34" s="2177">
        <f>D35</f>
        <v>0</v>
      </c>
      <c r="E34" s="2786"/>
    </row>
    <row r="35" spans="1:5" s="2070" customFormat="1" ht="13.15">
      <c r="A35" s="1855"/>
      <c r="B35" s="200" t="s">
        <v>50</v>
      </c>
      <c r="C35" s="200" t="s">
        <v>80</v>
      </c>
      <c r="D35" s="1964">
        <v>0</v>
      </c>
      <c r="E35" s="2129"/>
    </row>
    <row r="36" spans="1:5" s="2070" customFormat="1" ht="8.3000000000000007" customHeight="1">
      <c r="A36" s="1855"/>
      <c r="B36" s="200"/>
      <c r="C36" s="200"/>
      <c r="D36" s="2164"/>
      <c r="E36" s="2786"/>
    </row>
    <row r="37" spans="1:5" s="2070" customFormat="1" ht="13.15">
      <c r="A37" s="1855"/>
      <c r="B37" s="202" t="s">
        <v>71</v>
      </c>
      <c r="C37" s="202"/>
      <c r="D37" s="1891">
        <f>SUM(D38:D43)</f>
        <v>0</v>
      </c>
      <c r="E37" s="2785"/>
    </row>
    <row r="38" spans="1:5" s="2070" customFormat="1" ht="13.15">
      <c r="A38" s="1855"/>
      <c r="B38" s="2727" t="s">
        <v>50</v>
      </c>
      <c r="C38" s="200" t="s">
        <v>72</v>
      </c>
      <c r="D38" s="2164">
        <v>0</v>
      </c>
      <c r="E38" s="2786"/>
    </row>
    <row r="39" spans="1:5" s="2070" customFormat="1" ht="13.15">
      <c r="A39" s="1855"/>
      <c r="B39" s="2727" t="s">
        <v>50</v>
      </c>
      <c r="C39" s="200" t="s">
        <v>73</v>
      </c>
      <c r="D39" s="2164"/>
      <c r="E39" s="2786"/>
    </row>
    <row r="40" spans="1:5" s="2070" customFormat="1" ht="13.15">
      <c r="A40" s="1855"/>
      <c r="B40" s="2727" t="s">
        <v>50</v>
      </c>
      <c r="C40" s="200" t="s">
        <v>74</v>
      </c>
      <c r="D40" s="2164"/>
      <c r="E40" s="2786"/>
    </row>
    <row r="41" spans="1:5" s="2070" customFormat="1" ht="13.15">
      <c r="A41" s="1855"/>
      <c r="B41" s="2727" t="s">
        <v>50</v>
      </c>
      <c r="C41" s="200" t="s">
        <v>75</v>
      </c>
      <c r="D41" s="2164">
        <v>0</v>
      </c>
      <c r="E41" s="2786"/>
    </row>
    <row r="42" spans="1:5" s="2070" customFormat="1" ht="13.15">
      <c r="A42" s="1855"/>
      <c r="B42" s="200" t="s">
        <v>50</v>
      </c>
      <c r="C42" s="200" t="s">
        <v>76</v>
      </c>
      <c r="D42" s="2164">
        <v>0</v>
      </c>
      <c r="E42" s="2786"/>
    </row>
    <row r="43" spans="1:5" s="2070" customFormat="1" ht="13.15">
      <c r="A43" s="1886"/>
      <c r="B43" s="2729" t="s">
        <v>50</v>
      </c>
      <c r="C43" s="200" t="s">
        <v>81</v>
      </c>
      <c r="D43" s="2275"/>
      <c r="E43" s="2786"/>
    </row>
    <row r="44" spans="1:5" s="2070" customFormat="1" ht="5.95" customHeight="1">
      <c r="A44" s="2535"/>
      <c r="B44" s="2117"/>
      <c r="C44" s="2117"/>
      <c r="D44" s="2182"/>
      <c r="E44" s="2786"/>
    </row>
    <row r="45" spans="1:5" s="2073" customFormat="1" ht="15.65">
      <c r="A45" s="2536"/>
      <c r="B45" s="2119" t="s">
        <v>82</v>
      </c>
      <c r="C45" s="2185"/>
      <c r="D45" s="2186">
        <f>D46+D49</f>
        <v>4500000000</v>
      </c>
      <c r="E45" s="2787"/>
    </row>
    <row r="46" spans="1:5" s="2070" customFormat="1" ht="13.15">
      <c r="A46" s="2537"/>
      <c r="B46" s="2121" t="s">
        <v>83</v>
      </c>
      <c r="C46" s="2121"/>
      <c r="D46" s="2187">
        <f>SUM(D47)</f>
        <v>4500000000</v>
      </c>
      <c r="E46" s="2785"/>
    </row>
    <row r="47" spans="1:5" s="2070" customFormat="1" ht="13.15">
      <c r="A47" s="2538"/>
      <c r="B47" s="2730" t="s">
        <v>50</v>
      </c>
      <c r="C47" s="206" t="s">
        <v>84</v>
      </c>
      <c r="D47" s="1964">
        <v>4500000000</v>
      </c>
      <c r="E47" s="2129"/>
    </row>
    <row r="48" spans="1:5" s="2070" customFormat="1" ht="5.95" customHeight="1">
      <c r="A48" s="2538"/>
      <c r="B48" s="206"/>
      <c r="C48" s="206"/>
      <c r="D48" s="2188"/>
      <c r="E48" s="2786"/>
    </row>
    <row r="49" spans="1:5" s="2070" customFormat="1" ht="13.15">
      <c r="A49" s="2539"/>
      <c r="B49" s="2124" t="s">
        <v>71</v>
      </c>
      <c r="C49" s="2124"/>
      <c r="D49" s="2190">
        <f>SUM(D50:D54)</f>
        <v>0</v>
      </c>
      <c r="E49" s="2785"/>
    </row>
    <row r="50" spans="1:5" s="2070" customFormat="1" ht="13.15">
      <c r="A50" s="2539"/>
      <c r="B50" s="2730" t="s">
        <v>50</v>
      </c>
      <c r="C50" s="200" t="s">
        <v>72</v>
      </c>
      <c r="D50" s="2190">
        <v>0</v>
      </c>
      <c r="E50" s="2785"/>
    </row>
    <row r="51" spans="1:5" s="2070" customFormat="1" ht="13.15">
      <c r="A51" s="2539"/>
      <c r="B51" s="2730" t="s">
        <v>50</v>
      </c>
      <c r="C51" s="200" t="s">
        <v>73</v>
      </c>
      <c r="D51" s="2190">
        <v>0</v>
      </c>
      <c r="E51" s="2785"/>
    </row>
    <row r="52" spans="1:5" s="2070" customFormat="1" ht="13.15">
      <c r="A52" s="2539"/>
      <c r="B52" s="2730" t="s">
        <v>50</v>
      </c>
      <c r="C52" s="200" t="s">
        <v>74</v>
      </c>
      <c r="D52" s="2190">
        <v>0</v>
      </c>
      <c r="E52" s="2785"/>
    </row>
    <row r="53" spans="1:5" s="2070" customFormat="1" ht="13.15">
      <c r="A53" s="2538"/>
      <c r="B53" s="2730" t="s">
        <v>50</v>
      </c>
      <c r="C53" s="206" t="s">
        <v>75</v>
      </c>
      <c r="D53" s="2188">
        <v>0</v>
      </c>
      <c r="E53" s="2786"/>
    </row>
    <row r="54" spans="1:5" s="2070" customFormat="1" ht="13.15">
      <c r="A54" s="2541"/>
      <c r="B54" s="2730" t="s">
        <v>50</v>
      </c>
      <c r="C54" s="206" t="s">
        <v>85</v>
      </c>
      <c r="D54" s="2188">
        <v>0</v>
      </c>
      <c r="E54" s="2786"/>
    </row>
    <row r="55" spans="1:5" s="2070" customFormat="1" ht="5.35" customHeight="1">
      <c r="A55" s="2535"/>
      <c r="B55" s="2127"/>
      <c r="C55" s="2127"/>
      <c r="D55" s="2191"/>
      <c r="E55" s="2786"/>
    </row>
    <row r="56" spans="1:5" s="2073" customFormat="1" ht="15.65">
      <c r="A56" s="2542"/>
      <c r="B56" s="2093" t="s">
        <v>86</v>
      </c>
      <c r="C56" s="2195"/>
      <c r="D56" s="2147">
        <f>D57+D61</f>
        <v>3000000000</v>
      </c>
      <c r="E56" s="2787"/>
    </row>
    <row r="57" spans="1:5" s="2074" customFormat="1" ht="13.15">
      <c r="A57" s="2537"/>
      <c r="B57" s="2121" t="s">
        <v>83</v>
      </c>
      <c r="C57" s="2121"/>
      <c r="D57" s="2151">
        <f>SUM(D58)</f>
        <v>3000000000</v>
      </c>
      <c r="E57" s="2785"/>
    </row>
    <row r="58" spans="1:5" s="2070" customFormat="1" ht="13.15">
      <c r="A58" s="2538"/>
      <c r="B58" s="2730" t="s">
        <v>50</v>
      </c>
      <c r="C58" s="206" t="s">
        <v>84</v>
      </c>
      <c r="D58" s="2196">
        <f>SUM(D59)</f>
        <v>3000000000</v>
      </c>
      <c r="E58" s="2786"/>
    </row>
    <row r="59" spans="1:5" s="2070" customFormat="1" ht="13.15">
      <c r="A59" s="2538"/>
      <c r="B59" s="206"/>
      <c r="C59" s="2730" t="s">
        <v>87</v>
      </c>
      <c r="D59" s="1964">
        <v>3000000000</v>
      </c>
      <c r="E59" s="2129"/>
    </row>
    <row r="60" spans="1:5" s="2070" customFormat="1" ht="5.95" customHeight="1">
      <c r="A60" s="2538"/>
      <c r="B60" s="206"/>
      <c r="C60" s="206"/>
      <c r="D60" s="2188"/>
      <c r="E60" s="2786"/>
    </row>
    <row r="61" spans="1:5" s="2070" customFormat="1" ht="13.15">
      <c r="A61" s="2538"/>
      <c r="B61" s="2124" t="s">
        <v>71</v>
      </c>
      <c r="C61" s="2124"/>
      <c r="D61" s="2190">
        <f>SUM(D62:D66)</f>
        <v>0</v>
      </c>
      <c r="E61" s="2785"/>
    </row>
    <row r="62" spans="1:5" s="2070" customFormat="1" ht="13.15">
      <c r="A62" s="2538"/>
      <c r="B62" s="2731" t="s">
        <v>50</v>
      </c>
      <c r="C62" s="200" t="s">
        <v>72</v>
      </c>
      <c r="D62" s="2190">
        <v>0</v>
      </c>
      <c r="E62" s="2785"/>
    </row>
    <row r="63" spans="1:5" s="2070" customFormat="1" ht="13.15">
      <c r="A63" s="2538"/>
      <c r="B63" s="2731" t="s">
        <v>50</v>
      </c>
      <c r="C63" s="200" t="s">
        <v>73</v>
      </c>
      <c r="D63" s="2190">
        <v>0</v>
      </c>
      <c r="E63" s="2785"/>
    </row>
    <row r="64" spans="1:5" s="2070" customFormat="1" ht="13.15">
      <c r="A64" s="2538"/>
      <c r="B64" s="2731" t="s">
        <v>50</v>
      </c>
      <c r="C64" s="200" t="s">
        <v>74</v>
      </c>
      <c r="D64" s="2190">
        <v>0</v>
      </c>
      <c r="E64" s="2785"/>
    </row>
    <row r="65" spans="1:5" s="2070" customFormat="1" ht="13.15">
      <c r="A65" s="2538"/>
      <c r="B65" s="2730" t="s">
        <v>50</v>
      </c>
      <c r="C65" s="206" t="s">
        <v>75</v>
      </c>
      <c r="D65" s="2188">
        <v>0</v>
      </c>
      <c r="E65" s="2786"/>
    </row>
    <row r="66" spans="1:5" s="2070" customFormat="1" ht="13.15">
      <c r="A66" s="2541"/>
      <c r="B66" s="2730" t="s">
        <v>50</v>
      </c>
      <c r="C66" s="206" t="s">
        <v>85</v>
      </c>
      <c r="D66" s="2188">
        <v>0</v>
      </c>
      <c r="E66" s="2786"/>
    </row>
    <row r="67" spans="1:5" s="2070" customFormat="1" ht="5.35" customHeight="1">
      <c r="A67" s="1465"/>
      <c r="B67" s="2117"/>
      <c r="C67" s="2117"/>
      <c r="D67" s="2182"/>
      <c r="E67" s="2786"/>
    </row>
    <row r="68" spans="1:5" s="2073" customFormat="1" ht="15.65">
      <c r="A68" s="2542"/>
      <c r="B68" s="2093" t="s">
        <v>88</v>
      </c>
      <c r="C68" s="2195"/>
      <c r="D68" s="2147">
        <f>SUM(D69)</f>
        <v>2197286650</v>
      </c>
      <c r="E68" s="2787"/>
    </row>
    <row r="69" spans="1:5" s="2070" customFormat="1" ht="13.15">
      <c r="A69" s="2553"/>
      <c r="B69" s="2124" t="s">
        <v>71</v>
      </c>
      <c r="C69" s="2124"/>
      <c r="D69" s="2216">
        <f>SUM(D70)</f>
        <v>2197286650</v>
      </c>
      <c r="E69" s="2786"/>
    </row>
    <row r="70" spans="1:5" s="2070" customFormat="1" ht="13.15">
      <c r="A70" s="2554"/>
      <c r="B70" s="2731" t="s">
        <v>89</v>
      </c>
      <c r="C70" s="1318"/>
      <c r="D70" s="2196">
        <f>SUM(D71)</f>
        <v>2197286650</v>
      </c>
      <c r="E70" s="2786"/>
    </row>
    <row r="71" spans="1:5" s="2074" customFormat="1" ht="13.15">
      <c r="A71" s="2555"/>
      <c r="B71" s="2731" t="s">
        <v>90</v>
      </c>
      <c r="C71" s="218"/>
      <c r="D71" s="2217">
        <f>SUM(D72:D78)</f>
        <v>2197286650</v>
      </c>
      <c r="E71" s="2785"/>
    </row>
    <row r="72" spans="1:5" s="2070" customFormat="1" ht="13.15">
      <c r="A72" s="2554"/>
      <c r="B72" s="2731" t="s">
        <v>50</v>
      </c>
      <c r="C72" s="217" t="s">
        <v>89</v>
      </c>
      <c r="D72" s="2196">
        <v>2197286650</v>
      </c>
      <c r="E72" s="2786"/>
    </row>
    <row r="73" spans="1:5" s="2070" customFormat="1" ht="13.15">
      <c r="A73" s="2554"/>
      <c r="B73" s="2731" t="s">
        <v>50</v>
      </c>
      <c r="C73" s="217" t="s">
        <v>91</v>
      </c>
      <c r="D73" s="2196">
        <v>0</v>
      </c>
      <c r="E73" s="2786"/>
    </row>
    <row r="74" spans="1:5" s="2070" customFormat="1" ht="13.15">
      <c r="A74" s="2538"/>
      <c r="B74" s="2731" t="s">
        <v>50</v>
      </c>
      <c r="C74" s="200" t="s">
        <v>72</v>
      </c>
      <c r="D74" s="1964">
        <v>0</v>
      </c>
      <c r="E74" s="2129"/>
    </row>
    <row r="75" spans="1:5" s="2070" customFormat="1" ht="13.15">
      <c r="A75" s="2538"/>
      <c r="B75" s="2731" t="s">
        <v>50</v>
      </c>
      <c r="C75" s="200" t="s">
        <v>73</v>
      </c>
      <c r="D75" s="1964">
        <v>0</v>
      </c>
      <c r="E75" s="2129"/>
    </row>
    <row r="76" spans="1:5" s="2070" customFormat="1" ht="13.15">
      <c r="A76" s="2538"/>
      <c r="B76" s="2731" t="s">
        <v>50</v>
      </c>
      <c r="C76" s="200" t="s">
        <v>74</v>
      </c>
      <c r="D76" s="1964">
        <v>0</v>
      </c>
      <c r="E76" s="2129"/>
    </row>
    <row r="77" spans="1:5" s="2070" customFormat="1" ht="13.15">
      <c r="A77" s="2538"/>
      <c r="B77" s="2730" t="s">
        <v>50</v>
      </c>
      <c r="C77" s="206" t="s">
        <v>75</v>
      </c>
      <c r="D77" s="1964">
        <v>0</v>
      </c>
      <c r="E77" s="2129"/>
    </row>
    <row r="78" spans="1:5" s="2070" customFormat="1" ht="13.15">
      <c r="A78" s="2538"/>
      <c r="B78" s="2730" t="s">
        <v>50</v>
      </c>
      <c r="C78" s="206" t="s">
        <v>85</v>
      </c>
      <c r="D78" s="1964">
        <v>0</v>
      </c>
      <c r="E78" s="2129"/>
    </row>
    <row r="79" spans="1:5" s="2070" customFormat="1" ht="4.55" customHeight="1">
      <c r="A79" s="2535"/>
      <c r="B79" s="2117"/>
      <c r="C79" s="2117"/>
      <c r="D79" s="2219"/>
      <c r="E79" s="2786"/>
    </row>
    <row r="80" spans="1:5" s="2073" customFormat="1" ht="15.65">
      <c r="A80" s="2557"/>
      <c r="B80" s="2093" t="s">
        <v>92</v>
      </c>
      <c r="C80" s="2222"/>
      <c r="D80" s="2147">
        <f>D81+D86</f>
        <v>300000000</v>
      </c>
      <c r="E80" s="2787"/>
    </row>
    <row r="81" spans="1:5" s="2074" customFormat="1" ht="13.15">
      <c r="A81" s="2537"/>
      <c r="B81" s="2121" t="s">
        <v>63</v>
      </c>
      <c r="C81" s="2121"/>
      <c r="D81" s="2187">
        <f>SUM(D82:D84)</f>
        <v>300000000</v>
      </c>
      <c r="E81" s="2785"/>
    </row>
    <row r="82" spans="1:5" s="2070" customFormat="1" ht="13.15">
      <c r="A82" s="2538"/>
      <c r="B82" s="2730" t="s">
        <v>50</v>
      </c>
      <c r="C82" s="206" t="s">
        <v>93</v>
      </c>
      <c r="D82" s="1964">
        <v>90000000</v>
      </c>
      <c r="E82" s="2129"/>
    </row>
    <row r="83" spans="1:5" s="2070" customFormat="1" ht="4.55" customHeight="1">
      <c r="A83" s="2538"/>
      <c r="B83" s="206"/>
      <c r="C83" s="206"/>
      <c r="D83" s="1964"/>
      <c r="E83" s="2129"/>
    </row>
    <row r="84" spans="1:5" s="2070" customFormat="1" ht="13.15">
      <c r="A84" s="2538"/>
      <c r="B84" s="2730" t="s">
        <v>50</v>
      </c>
      <c r="C84" s="206" t="s">
        <v>94</v>
      </c>
      <c r="D84" s="2188">
        <v>210000000</v>
      </c>
      <c r="E84" s="2786"/>
    </row>
    <row r="85" spans="1:5" s="2070" customFormat="1" ht="5.35" customHeight="1">
      <c r="A85" s="2538"/>
      <c r="B85" s="206"/>
      <c r="C85" s="206"/>
      <c r="D85" s="2188"/>
      <c r="E85" s="2786"/>
    </row>
    <row r="86" spans="1:5" s="2070" customFormat="1" ht="13.15">
      <c r="A86" s="2538"/>
      <c r="B86" s="2124" t="s">
        <v>71</v>
      </c>
      <c r="C86" s="2124"/>
      <c r="D86" s="2190">
        <f>SUM(D87:D91)</f>
        <v>0</v>
      </c>
      <c r="E86" s="2785"/>
    </row>
    <row r="87" spans="1:5" s="2070" customFormat="1" ht="13.15">
      <c r="A87" s="2538"/>
      <c r="B87" s="2730" t="s">
        <v>50</v>
      </c>
      <c r="C87" s="200" t="s">
        <v>72</v>
      </c>
      <c r="D87" s="2190">
        <v>0</v>
      </c>
      <c r="E87" s="2785"/>
    </row>
    <row r="88" spans="1:5" s="2070" customFormat="1" ht="13.15">
      <c r="A88" s="2538"/>
      <c r="B88" s="2730" t="s">
        <v>50</v>
      </c>
      <c r="C88" s="200" t="s">
        <v>73</v>
      </c>
      <c r="D88" s="2190">
        <v>0</v>
      </c>
      <c r="E88" s="2785"/>
    </row>
    <row r="89" spans="1:5" s="2070" customFormat="1" ht="13.15">
      <c r="A89" s="2538"/>
      <c r="B89" s="2730" t="s">
        <v>50</v>
      </c>
      <c r="C89" s="200" t="s">
        <v>74</v>
      </c>
      <c r="D89" s="2190">
        <v>0</v>
      </c>
      <c r="E89" s="2785"/>
    </row>
    <row r="90" spans="1:5" s="2070" customFormat="1" ht="13.15">
      <c r="A90" s="2538"/>
      <c r="B90" s="2730" t="s">
        <v>50</v>
      </c>
      <c r="C90" s="206" t="s">
        <v>75</v>
      </c>
      <c r="D90" s="2188">
        <v>0</v>
      </c>
      <c r="E90" s="2786"/>
    </row>
    <row r="91" spans="1:5" s="2070" customFormat="1" ht="13.15">
      <c r="A91" s="2538"/>
      <c r="B91" s="2730" t="s">
        <v>50</v>
      </c>
      <c r="C91" s="206" t="s">
        <v>85</v>
      </c>
      <c r="D91" s="1964">
        <v>0</v>
      </c>
      <c r="E91" s="2129"/>
    </row>
    <row r="92" spans="1:5" s="2070" customFormat="1" ht="5.35" customHeight="1">
      <c r="A92" s="2535"/>
      <c r="B92" s="2117"/>
      <c r="C92" s="2117"/>
      <c r="D92" s="2182"/>
      <c r="E92" s="2786"/>
    </row>
    <row r="93" spans="1:5" s="2073" customFormat="1" ht="15.65">
      <c r="A93" s="2528"/>
      <c r="B93" s="2093" t="s">
        <v>95</v>
      </c>
      <c r="C93" s="2195"/>
      <c r="D93" s="2147">
        <f>D95+D99</f>
        <v>16250000000</v>
      </c>
      <c r="E93" s="2787"/>
    </row>
    <row r="94" spans="1:5" s="2070" customFormat="1" ht="5.95" customHeight="1">
      <c r="A94" s="1889"/>
      <c r="B94" s="1856"/>
      <c r="C94" s="212"/>
      <c r="D94" s="2143"/>
      <c r="E94" s="2786"/>
    </row>
    <row r="95" spans="1:5" s="2074" customFormat="1" ht="13.15">
      <c r="A95" s="1905"/>
      <c r="B95" s="212" t="s">
        <v>96</v>
      </c>
      <c r="D95" s="1891">
        <f>SUM(D96:D97)</f>
        <v>16250000000</v>
      </c>
      <c r="E95" s="2785"/>
    </row>
    <row r="96" spans="1:5" s="2070" customFormat="1" ht="13.15">
      <c r="A96" s="1889"/>
      <c r="B96" s="2732" t="s">
        <v>50</v>
      </c>
      <c r="C96" s="217" t="s">
        <v>97</v>
      </c>
      <c r="D96" s="2164">
        <v>16000000000</v>
      </c>
      <c r="E96" s="2786"/>
    </row>
    <row r="97" spans="1:5" s="2070" customFormat="1" ht="13.15">
      <c r="A97" s="1889"/>
      <c r="B97" s="2727" t="s">
        <v>50</v>
      </c>
      <c r="C97" s="224" t="s">
        <v>98</v>
      </c>
      <c r="D97" s="2164">
        <v>250000000</v>
      </c>
      <c r="E97" s="2786"/>
    </row>
    <row r="98" spans="1:5" s="2070" customFormat="1" ht="6.75" customHeight="1">
      <c r="A98" s="1889"/>
      <c r="B98" s="224"/>
      <c r="C98" s="224"/>
      <c r="D98" s="2164"/>
      <c r="E98" s="2786"/>
    </row>
    <row r="99" spans="1:5" s="2070" customFormat="1" ht="13.15">
      <c r="A99" s="1889"/>
      <c r="B99" s="212" t="s">
        <v>71</v>
      </c>
      <c r="C99" s="212"/>
      <c r="D99" s="1891">
        <f>SUM(D100:D104)</f>
        <v>0</v>
      </c>
      <c r="E99" s="2785"/>
    </row>
    <row r="100" spans="1:5" s="2070" customFormat="1" ht="13.15">
      <c r="A100" s="1889"/>
      <c r="B100" s="2727" t="s">
        <v>50</v>
      </c>
      <c r="C100" s="200" t="s">
        <v>72</v>
      </c>
      <c r="D100" s="2164">
        <v>0</v>
      </c>
      <c r="E100" s="2786"/>
    </row>
    <row r="101" spans="1:5" s="2070" customFormat="1" ht="13.15">
      <c r="A101" s="1889"/>
      <c r="B101" s="2727" t="s">
        <v>50</v>
      </c>
      <c r="C101" s="200" t="s">
        <v>73</v>
      </c>
      <c r="D101" s="2164">
        <v>0</v>
      </c>
      <c r="E101" s="2786"/>
    </row>
    <row r="102" spans="1:5" s="2070" customFormat="1" ht="13.15">
      <c r="A102" s="1889"/>
      <c r="B102" s="2727" t="s">
        <v>50</v>
      </c>
      <c r="C102" s="200" t="s">
        <v>74</v>
      </c>
      <c r="D102" s="2143">
        <v>0</v>
      </c>
      <c r="E102" s="2786"/>
    </row>
    <row r="103" spans="1:5" s="2070" customFormat="1" ht="13.15">
      <c r="A103" s="1855"/>
      <c r="B103" s="2727" t="s">
        <v>50</v>
      </c>
      <c r="C103" s="206" t="s">
        <v>75</v>
      </c>
      <c r="D103" s="1964">
        <v>0</v>
      </c>
      <c r="E103" s="2129"/>
    </row>
    <row r="104" spans="1:5" s="2070" customFormat="1" ht="13.15">
      <c r="A104" s="1855"/>
      <c r="B104" s="200" t="s">
        <v>50</v>
      </c>
      <c r="C104" s="206" t="s">
        <v>85</v>
      </c>
      <c r="D104" s="2164">
        <v>0</v>
      </c>
      <c r="E104" s="2786"/>
    </row>
    <row r="105" spans="1:5" s="2070" customFormat="1" ht="5.35" customHeight="1">
      <c r="A105" s="2535"/>
      <c r="B105" s="2117"/>
      <c r="C105" s="2117"/>
      <c r="D105" s="2182"/>
      <c r="E105" s="2786"/>
    </row>
    <row r="106" spans="1:5" s="2073" customFormat="1" ht="15.65">
      <c r="A106" s="2528"/>
      <c r="B106" s="2093" t="s">
        <v>99</v>
      </c>
      <c r="C106" s="2195"/>
      <c r="D106" s="2147">
        <f>D108+D111</f>
        <v>125000000000</v>
      </c>
      <c r="E106" s="2787"/>
    </row>
    <row r="107" spans="1:5" s="2070" customFormat="1" ht="9.1" customHeight="1">
      <c r="A107" s="2553"/>
      <c r="C107" s="2124"/>
      <c r="D107" s="2216"/>
      <c r="E107" s="2786"/>
    </row>
    <row r="108" spans="1:5" s="2074" customFormat="1" ht="13.15">
      <c r="A108" s="2539"/>
      <c r="B108" s="212" t="s">
        <v>96</v>
      </c>
      <c r="C108" s="2124"/>
      <c r="D108" s="2181">
        <f>D109</f>
        <v>125000000000</v>
      </c>
      <c r="E108" s="2790"/>
    </row>
    <row r="109" spans="1:5" s="2070" customFormat="1" ht="13.15">
      <c r="A109" s="2538"/>
      <c r="B109" s="2730" t="s">
        <v>50</v>
      </c>
      <c r="C109" s="217" t="s">
        <v>97</v>
      </c>
      <c r="D109" s="2188">
        <v>125000000000</v>
      </c>
      <c r="E109" s="2786"/>
    </row>
    <row r="110" spans="1:5" s="2070" customFormat="1" ht="6.75" customHeight="1">
      <c r="A110" s="2538"/>
      <c r="B110" s="206"/>
      <c r="C110" s="200"/>
      <c r="D110" s="2188"/>
      <c r="E110" s="2786"/>
    </row>
    <row r="111" spans="1:5" s="2074" customFormat="1" ht="13.15">
      <c r="A111" s="2539"/>
      <c r="B111" s="2124" t="s">
        <v>71</v>
      </c>
      <c r="C111" s="202"/>
      <c r="D111" s="2190">
        <f>SUM(D112:D116)</f>
        <v>0</v>
      </c>
      <c r="E111" s="2785"/>
    </row>
    <row r="112" spans="1:5" s="2070" customFormat="1" ht="13.15">
      <c r="A112" s="2538"/>
      <c r="B112" s="2730" t="s">
        <v>50</v>
      </c>
      <c r="C112" s="200" t="s">
        <v>72</v>
      </c>
      <c r="D112" s="2188">
        <v>0</v>
      </c>
      <c r="E112" s="2786"/>
    </row>
    <row r="113" spans="1:5" s="2070" customFormat="1" ht="13.15">
      <c r="A113" s="2538"/>
      <c r="B113" s="2730" t="s">
        <v>50</v>
      </c>
      <c r="C113" s="200" t="s">
        <v>73</v>
      </c>
      <c r="D113" s="2190">
        <v>0</v>
      </c>
      <c r="E113" s="2785"/>
    </row>
    <row r="114" spans="1:5" s="2070" customFormat="1" ht="13.15">
      <c r="A114" s="2538"/>
      <c r="B114" s="2730" t="s">
        <v>50</v>
      </c>
      <c r="C114" s="200" t="s">
        <v>74</v>
      </c>
      <c r="D114" s="1964">
        <v>0</v>
      </c>
      <c r="E114" s="2129"/>
    </row>
    <row r="115" spans="1:5" s="2070" customFormat="1" ht="13.15">
      <c r="A115" s="2538"/>
      <c r="B115" s="2730" t="s">
        <v>50</v>
      </c>
      <c r="C115" s="206" t="s">
        <v>75</v>
      </c>
      <c r="D115" s="1964">
        <v>0</v>
      </c>
      <c r="E115" s="2129"/>
    </row>
    <row r="116" spans="1:5" s="2070" customFormat="1" ht="13.15">
      <c r="A116" s="1855"/>
      <c r="B116" s="2730" t="s">
        <v>50</v>
      </c>
      <c r="C116" s="206" t="s">
        <v>85</v>
      </c>
      <c r="D116" s="2164">
        <v>0</v>
      </c>
      <c r="E116" s="2786"/>
    </row>
    <row r="117" spans="1:5" s="2070" customFormat="1" ht="5.95" customHeight="1">
      <c r="A117" s="2559"/>
      <c r="B117" s="257"/>
      <c r="C117" s="257"/>
      <c r="D117" s="2143"/>
      <c r="E117" s="2786"/>
    </row>
    <row r="118" spans="1:5" s="2073" customFormat="1" ht="15.65">
      <c r="A118" s="2528" t="s">
        <v>100</v>
      </c>
      <c r="B118" s="2093" t="s">
        <v>101</v>
      </c>
      <c r="C118" s="2195"/>
      <c r="D118" s="2147">
        <f>D120+D123</f>
        <v>15000000000</v>
      </c>
      <c r="E118" s="2787"/>
    </row>
    <row r="119" spans="1:5" s="2070" customFormat="1" ht="7.55" customHeight="1">
      <c r="A119" s="1855"/>
      <c r="C119" s="2121"/>
      <c r="D119" s="2187"/>
      <c r="E119" s="2785"/>
    </row>
    <row r="120" spans="1:5" s="2074" customFormat="1" ht="13.15">
      <c r="A120" s="1854"/>
      <c r="B120" s="212" t="s">
        <v>96</v>
      </c>
      <c r="C120" s="2124"/>
      <c r="D120" s="2181">
        <f>SUM(D121)</f>
        <v>15000000000</v>
      </c>
      <c r="E120" s="2790"/>
    </row>
    <row r="121" spans="1:5" s="2070" customFormat="1" ht="13.15">
      <c r="A121" s="1854"/>
      <c r="B121" s="217" t="s">
        <v>102</v>
      </c>
      <c r="D121" s="2188">
        <v>15000000000</v>
      </c>
      <c r="E121" s="2786"/>
    </row>
    <row r="122" spans="1:5" s="2070" customFormat="1" ht="13.15">
      <c r="A122" s="1855"/>
      <c r="B122" s="202"/>
      <c r="C122" s="206"/>
      <c r="D122" s="2188"/>
      <c r="E122" s="2786"/>
    </row>
    <row r="123" spans="1:5" s="2074" customFormat="1" ht="13.15">
      <c r="A123" s="1902"/>
      <c r="B123" s="202" t="s">
        <v>71</v>
      </c>
      <c r="C123" s="2416"/>
      <c r="D123" s="2560">
        <f>SUM(D124:D129)</f>
        <v>0</v>
      </c>
      <c r="E123" s="2785"/>
    </row>
    <row r="124" spans="1:5" s="2070" customFormat="1" ht="13.15">
      <c r="A124" s="1886"/>
      <c r="B124" s="2728" t="s">
        <v>50</v>
      </c>
      <c r="C124" s="203" t="s">
        <v>103</v>
      </c>
      <c r="D124" s="2668">
        <v>0</v>
      </c>
      <c r="E124" s="2786"/>
    </row>
    <row r="125" spans="1:5" s="2070" customFormat="1" ht="13.15">
      <c r="A125" s="1886"/>
      <c r="B125" s="2728" t="s">
        <v>50</v>
      </c>
      <c r="C125" s="200" t="s">
        <v>72</v>
      </c>
      <c r="D125" s="2668">
        <v>0</v>
      </c>
      <c r="E125" s="2786"/>
    </row>
    <row r="126" spans="1:5" s="2070" customFormat="1" ht="13.15">
      <c r="A126" s="1886"/>
      <c r="B126" s="2728" t="s">
        <v>50</v>
      </c>
      <c r="C126" s="200" t="s">
        <v>73</v>
      </c>
      <c r="D126" s="2668">
        <v>0</v>
      </c>
      <c r="E126" s="2786"/>
    </row>
    <row r="127" spans="1:5" s="2070" customFormat="1" ht="13.15">
      <c r="A127" s="1886"/>
      <c r="B127" s="2728" t="s">
        <v>50</v>
      </c>
      <c r="C127" s="200" t="s">
        <v>74</v>
      </c>
      <c r="D127" s="2668">
        <v>0</v>
      </c>
      <c r="E127" s="2786"/>
    </row>
    <row r="128" spans="1:5" s="2070" customFormat="1" ht="13.15">
      <c r="A128" s="1886"/>
      <c r="B128" s="2728" t="s">
        <v>50</v>
      </c>
      <c r="C128" s="206" t="s">
        <v>75</v>
      </c>
      <c r="D128" s="2668">
        <v>0</v>
      </c>
      <c r="E128" s="2786"/>
    </row>
    <row r="129" spans="1:5" s="2070" customFormat="1" ht="13.15">
      <c r="A129" s="1886"/>
      <c r="B129" s="2728" t="s">
        <v>50</v>
      </c>
      <c r="C129" s="206" t="s">
        <v>85</v>
      </c>
      <c r="D129" s="2668">
        <v>0</v>
      </c>
      <c r="E129" s="2786"/>
    </row>
    <row r="130" spans="1:5" s="2070" customFormat="1" ht="5.35" customHeight="1">
      <c r="A130" s="2535"/>
      <c r="B130" s="2117"/>
      <c r="C130" s="2127"/>
      <c r="D130" s="2191"/>
      <c r="E130" s="2786"/>
    </row>
    <row r="131" spans="1:5" s="2073" customFormat="1" ht="15.65">
      <c r="A131" s="2528" t="s">
        <v>104</v>
      </c>
      <c r="B131" s="2093" t="s">
        <v>105</v>
      </c>
      <c r="C131" s="2253"/>
      <c r="D131" s="2147">
        <f>D132+D141</f>
        <v>486000000</v>
      </c>
      <c r="E131" s="2787"/>
    </row>
    <row r="132" spans="1:5" s="2074" customFormat="1" ht="13.15">
      <c r="A132" s="1854"/>
      <c r="B132" s="1856" t="s">
        <v>106</v>
      </c>
      <c r="C132" s="2121"/>
      <c r="D132" s="2187">
        <f>D133+D136</f>
        <v>486000000</v>
      </c>
      <c r="E132" s="2785"/>
    </row>
    <row r="133" spans="1:5" s="2074" customFormat="1" ht="15.05">
      <c r="A133" s="1854"/>
      <c r="B133" s="202" t="s">
        <v>107</v>
      </c>
      <c r="C133" s="2239"/>
      <c r="D133" s="2254">
        <f>SUM(D134)</f>
        <v>19250000</v>
      </c>
      <c r="E133" s="2788"/>
    </row>
    <row r="134" spans="1:5" s="2070" customFormat="1" ht="13.15">
      <c r="A134" s="1855"/>
      <c r="B134" s="2727" t="s">
        <v>50</v>
      </c>
      <c r="C134" s="205" t="s">
        <v>108</v>
      </c>
      <c r="D134" s="2196">
        <v>19250000</v>
      </c>
      <c r="E134" s="2786"/>
    </row>
    <row r="135" spans="1:5" s="2070" customFormat="1" ht="5.95" customHeight="1">
      <c r="A135" s="1855"/>
      <c r="B135" s="200"/>
      <c r="C135" s="205"/>
      <c r="D135" s="2217"/>
      <c r="E135" s="2785"/>
    </row>
    <row r="136" spans="1:5" s="2074" customFormat="1" ht="15.05">
      <c r="A136" s="1854"/>
      <c r="B136" s="202" t="s">
        <v>109</v>
      </c>
      <c r="C136" s="2239"/>
      <c r="D136" s="2254">
        <f>SUM(D137)</f>
        <v>466750000</v>
      </c>
      <c r="E136" s="2788"/>
    </row>
    <row r="137" spans="1:5" s="2070" customFormat="1" ht="13.15">
      <c r="A137" s="1855"/>
      <c r="B137" s="200" t="s">
        <v>64</v>
      </c>
      <c r="C137" s="2239"/>
      <c r="D137" s="2196">
        <f>SUM(D138:D139)</f>
        <v>466750000</v>
      </c>
      <c r="E137" s="2786"/>
    </row>
    <row r="138" spans="1:5" s="2070" customFormat="1" ht="13.15">
      <c r="A138" s="1855"/>
      <c r="B138" s="2728" t="s">
        <v>50</v>
      </c>
      <c r="C138" s="205" t="s">
        <v>110</v>
      </c>
      <c r="D138" s="2196">
        <v>216750000</v>
      </c>
      <c r="E138" s="2786"/>
    </row>
    <row r="139" spans="1:5" s="2070" customFormat="1" ht="13.15">
      <c r="A139" s="1855"/>
      <c r="B139" s="2728" t="s">
        <v>50</v>
      </c>
      <c r="C139" s="205" t="s">
        <v>111</v>
      </c>
      <c r="D139" s="2196">
        <v>250000000</v>
      </c>
      <c r="E139" s="2786"/>
    </row>
    <row r="140" spans="1:5" s="2070" customFormat="1" ht="5.95" customHeight="1">
      <c r="A140" s="1855"/>
      <c r="B140" s="202"/>
      <c r="C140" s="205"/>
      <c r="D140" s="2196"/>
      <c r="E140" s="2786"/>
    </row>
    <row r="141" spans="1:5" s="2070" customFormat="1" ht="13.15">
      <c r="A141" s="1855"/>
      <c r="B141" s="202" t="s">
        <v>71</v>
      </c>
      <c r="C141" s="2239"/>
      <c r="D141" s="2217">
        <f>SUM(D142:D146)</f>
        <v>0</v>
      </c>
      <c r="E141" s="2785"/>
    </row>
    <row r="142" spans="1:5" s="2070" customFormat="1" ht="13.15">
      <c r="A142" s="1854"/>
      <c r="B142" s="2728" t="s">
        <v>50</v>
      </c>
      <c r="C142" s="200" t="s">
        <v>72</v>
      </c>
      <c r="D142" s="1964">
        <v>0</v>
      </c>
      <c r="E142" s="2129"/>
    </row>
    <row r="143" spans="1:5" s="2070" customFormat="1" ht="13.15">
      <c r="A143" s="1854"/>
      <c r="B143" s="2728" t="s">
        <v>50</v>
      </c>
      <c r="C143" s="200" t="s">
        <v>73</v>
      </c>
      <c r="D143" s="1964">
        <v>0</v>
      </c>
      <c r="E143" s="2129"/>
    </row>
    <row r="144" spans="1:5" s="2070" customFormat="1" ht="13.15">
      <c r="A144" s="1854"/>
      <c r="B144" s="2728" t="s">
        <v>50</v>
      </c>
      <c r="C144" s="200" t="s">
        <v>74</v>
      </c>
      <c r="D144" s="1964">
        <v>0</v>
      </c>
      <c r="E144" s="2129"/>
    </row>
    <row r="145" spans="1:5" s="2070" customFormat="1" ht="13.15">
      <c r="A145" s="1854"/>
      <c r="B145" s="2728" t="s">
        <v>50</v>
      </c>
      <c r="C145" s="206" t="s">
        <v>75</v>
      </c>
      <c r="D145" s="1964">
        <v>0</v>
      </c>
      <c r="E145" s="2129"/>
    </row>
    <row r="146" spans="1:5" s="2070" customFormat="1" ht="13.15">
      <c r="A146" s="1854"/>
      <c r="B146" s="2728" t="s">
        <v>50</v>
      </c>
      <c r="C146" s="206" t="s">
        <v>85</v>
      </c>
      <c r="D146" s="2188">
        <v>0</v>
      </c>
      <c r="E146" s="2786"/>
    </row>
    <row r="147" spans="1:5" s="2070" customFormat="1" ht="5.95" customHeight="1">
      <c r="A147" s="2535"/>
      <c r="B147" s="1466"/>
      <c r="C147" s="2117"/>
      <c r="D147" s="2182"/>
      <c r="E147" s="2786"/>
    </row>
    <row r="148" spans="1:5" s="2073" customFormat="1" ht="15.65">
      <c r="A148" s="2528" t="s">
        <v>112</v>
      </c>
      <c r="B148" s="2093" t="s">
        <v>113</v>
      </c>
      <c r="C148" s="2195"/>
      <c r="D148" s="2147">
        <f>SUM(D149)</f>
        <v>0</v>
      </c>
      <c r="E148" s="2787"/>
    </row>
    <row r="149" spans="1:5" s="2074" customFormat="1" ht="13.15">
      <c r="A149" s="2529"/>
      <c r="B149" s="202" t="s">
        <v>71</v>
      </c>
      <c r="C149" s="202"/>
      <c r="D149" s="2151">
        <f>SUM(D152:D153)</f>
        <v>0</v>
      </c>
      <c r="E149" s="2785"/>
    </row>
    <row r="150" spans="1:5" s="2070" customFormat="1" ht="13.15">
      <c r="A150" s="1854"/>
      <c r="B150" s="200" t="s">
        <v>50</v>
      </c>
      <c r="C150" s="200" t="s">
        <v>72</v>
      </c>
      <c r="D150" s="1964">
        <v>0</v>
      </c>
      <c r="E150" s="2129"/>
    </row>
    <row r="151" spans="1:5" s="2070" customFormat="1" ht="13.15">
      <c r="A151" s="1854"/>
      <c r="B151" s="200" t="s">
        <v>50</v>
      </c>
      <c r="C151" s="200" t="s">
        <v>73</v>
      </c>
      <c r="D151" s="2218">
        <v>0</v>
      </c>
      <c r="E151" s="2791"/>
    </row>
    <row r="152" spans="1:5" s="2070" customFormat="1" ht="13.15">
      <c r="A152" s="1854"/>
      <c r="B152" s="200" t="s">
        <v>50</v>
      </c>
      <c r="C152" s="200" t="s">
        <v>74</v>
      </c>
      <c r="D152" s="2161">
        <v>0</v>
      </c>
      <c r="E152" s="2792"/>
    </row>
    <row r="153" spans="1:5" s="2070" customFormat="1" ht="13.15">
      <c r="A153" s="1854"/>
      <c r="B153" s="200" t="s">
        <v>50</v>
      </c>
      <c r="C153" s="206" t="s">
        <v>75</v>
      </c>
      <c r="D153" s="1964">
        <v>0</v>
      </c>
      <c r="E153" s="2129"/>
    </row>
    <row r="154" spans="1:5" s="2070" customFormat="1" ht="13.15">
      <c r="A154" s="1854"/>
      <c r="B154" s="200" t="s">
        <v>50</v>
      </c>
      <c r="C154" s="206" t="s">
        <v>85</v>
      </c>
      <c r="D154" s="1964">
        <v>0</v>
      </c>
      <c r="E154" s="2129"/>
    </row>
    <row r="155" spans="1:5" s="2070" customFormat="1" ht="4.55" customHeight="1">
      <c r="A155" s="1854"/>
      <c r="B155" s="200"/>
      <c r="C155" s="200"/>
      <c r="D155" s="2164">
        <v>0</v>
      </c>
      <c r="E155" s="2786"/>
    </row>
    <row r="156" spans="1:5" s="2073" customFormat="1" ht="15.65">
      <c r="A156" s="2528" t="s">
        <v>114</v>
      </c>
      <c r="B156" s="2093" t="s">
        <v>115</v>
      </c>
      <c r="C156" s="2195"/>
      <c r="D156" s="2147">
        <f>D159+D163</f>
        <v>211889500</v>
      </c>
      <c r="E156" s="2787"/>
    </row>
    <row r="157" spans="1:5" s="2070" customFormat="1" ht="13.15">
      <c r="A157" s="2529"/>
      <c r="B157" s="2099" t="s">
        <v>106</v>
      </c>
      <c r="C157" s="2099"/>
      <c r="D157" s="2151">
        <f>SUM(D158)</f>
        <v>193889500</v>
      </c>
      <c r="E157" s="2785"/>
    </row>
    <row r="158" spans="1:5" s="2074" customFormat="1" ht="13.15">
      <c r="A158" s="1854"/>
      <c r="B158" s="2728" t="s">
        <v>116</v>
      </c>
      <c r="C158" s="202"/>
      <c r="D158" s="2181">
        <f>SUM(D159)</f>
        <v>193889500</v>
      </c>
      <c r="E158" s="2790"/>
    </row>
    <row r="159" spans="1:5" s="2070" customFormat="1" ht="15.05">
      <c r="A159" s="1854"/>
      <c r="B159" s="200" t="s">
        <v>117</v>
      </c>
      <c r="C159" s="200"/>
      <c r="D159" s="2256">
        <f>SUM(D160:D161)</f>
        <v>193889500</v>
      </c>
      <c r="E159" s="2793"/>
    </row>
    <row r="160" spans="1:5" s="2070" customFormat="1" ht="13.15">
      <c r="A160" s="1854"/>
      <c r="B160" s="2727" t="s">
        <v>50</v>
      </c>
      <c r="C160" s="200" t="s">
        <v>118</v>
      </c>
      <c r="D160" s="2164">
        <v>103889500</v>
      </c>
      <c r="E160" s="2786"/>
    </row>
    <row r="161" spans="1:12" s="2070" customFormat="1" ht="13.15">
      <c r="A161" s="1854"/>
      <c r="B161" s="2727" t="s">
        <v>50</v>
      </c>
      <c r="C161" s="200" t="s">
        <v>119</v>
      </c>
      <c r="D161" s="2164">
        <v>90000000</v>
      </c>
      <c r="E161" s="2786"/>
    </row>
    <row r="162" spans="1:12" s="2070" customFormat="1" ht="5.35" customHeight="1">
      <c r="A162" s="1854"/>
      <c r="B162" s="200"/>
      <c r="C162" s="200"/>
      <c r="D162" s="2164"/>
      <c r="E162" s="2786"/>
    </row>
    <row r="163" spans="1:12" s="2070" customFormat="1" ht="15.05">
      <c r="A163" s="1854"/>
      <c r="B163" s="202" t="s">
        <v>71</v>
      </c>
      <c r="C163" s="202"/>
      <c r="D163" s="2165">
        <f>SUM(D164:D169)</f>
        <v>18000000</v>
      </c>
      <c r="E163" s="2794"/>
    </row>
    <row r="164" spans="1:12" s="2070" customFormat="1" ht="13.15">
      <c r="A164" s="1854"/>
      <c r="B164" s="200" t="s">
        <v>50</v>
      </c>
      <c r="C164" s="200" t="s">
        <v>120</v>
      </c>
      <c r="D164" s="2164">
        <v>18000000</v>
      </c>
      <c r="E164" s="2786"/>
    </row>
    <row r="165" spans="1:12" s="2070" customFormat="1" ht="13.15">
      <c r="A165" s="1854"/>
      <c r="B165" s="200" t="s">
        <v>50</v>
      </c>
      <c r="C165" s="200" t="s">
        <v>72</v>
      </c>
      <c r="D165" s="2164">
        <v>0</v>
      </c>
      <c r="E165" s="2786"/>
    </row>
    <row r="166" spans="1:12" s="2070" customFormat="1" ht="13.15">
      <c r="A166" s="1854"/>
      <c r="B166" s="200" t="s">
        <v>50</v>
      </c>
      <c r="C166" s="200" t="s">
        <v>73</v>
      </c>
      <c r="D166" s="2164">
        <v>0</v>
      </c>
      <c r="E166" s="2786"/>
    </row>
    <row r="167" spans="1:12" s="2070" customFormat="1" ht="13.15">
      <c r="A167" s="1854"/>
      <c r="B167" s="200" t="s">
        <v>50</v>
      </c>
      <c r="C167" s="200" t="s">
        <v>74</v>
      </c>
      <c r="D167" s="2164">
        <v>0</v>
      </c>
      <c r="E167" s="2786"/>
    </row>
    <row r="168" spans="1:12" s="2070" customFormat="1" ht="13.15">
      <c r="A168" s="1854"/>
      <c r="B168" s="200" t="s">
        <v>50</v>
      </c>
      <c r="C168" s="206" t="s">
        <v>75</v>
      </c>
      <c r="D168" s="2164">
        <v>0</v>
      </c>
      <c r="E168" s="2786"/>
    </row>
    <row r="169" spans="1:12" s="2070" customFormat="1" ht="13.15">
      <c r="A169" s="1854"/>
      <c r="B169" s="200" t="s">
        <v>50</v>
      </c>
      <c r="C169" s="206" t="s">
        <v>85</v>
      </c>
      <c r="D169" s="2164">
        <v>0</v>
      </c>
      <c r="E169" s="2786"/>
    </row>
    <row r="170" spans="1:12" s="2070" customFormat="1" ht="4.55" customHeight="1">
      <c r="A170" s="1465"/>
      <c r="B170" s="2117"/>
      <c r="C170" s="2117"/>
      <c r="D170" s="2182"/>
      <c r="E170" s="2786"/>
    </row>
    <row r="171" spans="1:12" s="2073" customFormat="1" ht="15.65">
      <c r="A171" s="2528" t="s">
        <v>121</v>
      </c>
      <c r="B171" s="2093" t="s">
        <v>122</v>
      </c>
      <c r="C171" s="2146"/>
      <c r="D171" s="2147">
        <f>D172+D177</f>
        <v>0</v>
      </c>
      <c r="E171" s="2787"/>
      <c r="G171" s="2070"/>
      <c r="H171" s="2070"/>
      <c r="I171" s="2070"/>
      <c r="J171" s="2070"/>
      <c r="K171" s="2070"/>
      <c r="L171" s="2070"/>
    </row>
    <row r="172" spans="1:12" s="2073" customFormat="1" ht="13.15">
      <c r="A172" s="2562"/>
      <c r="B172" s="2248" t="s">
        <v>106</v>
      </c>
      <c r="C172" s="2099"/>
      <c r="D172" s="2151">
        <f>D173</f>
        <v>0</v>
      </c>
      <c r="E172" s="2785"/>
      <c r="G172" s="2070"/>
      <c r="H172" s="2070"/>
      <c r="I172" s="2070"/>
      <c r="J172" s="2070"/>
      <c r="K172" s="2070"/>
      <c r="L172" s="2070"/>
    </row>
    <row r="173" spans="1:12" s="2073" customFormat="1" ht="15.05">
      <c r="A173" s="2563"/>
      <c r="B173" s="212" t="s">
        <v>109</v>
      </c>
      <c r="C173" s="212"/>
      <c r="D173" s="2261">
        <f>D174</f>
        <v>0</v>
      </c>
      <c r="E173" s="2788"/>
      <c r="G173" s="2070"/>
      <c r="H173" s="2070"/>
      <c r="I173" s="2070"/>
      <c r="J173" s="2070"/>
      <c r="K173" s="2070"/>
      <c r="L173" s="2070"/>
    </row>
    <row r="174" spans="1:12" s="2073" customFormat="1" ht="13.15">
      <c r="A174" s="2563"/>
      <c r="B174" s="212" t="s">
        <v>64</v>
      </c>
      <c r="C174" s="212"/>
      <c r="D174" s="2260">
        <f>SUM(D175)</f>
        <v>0</v>
      </c>
      <c r="E174" s="2785"/>
      <c r="G174" s="2070"/>
      <c r="H174" s="2070"/>
      <c r="I174" s="2070"/>
      <c r="J174" s="2070"/>
      <c r="K174" s="2070"/>
      <c r="L174" s="2070"/>
    </row>
    <row r="175" spans="1:12" s="2073" customFormat="1" ht="13.15">
      <c r="A175" s="2563"/>
      <c r="B175" s="224"/>
      <c r="C175" s="2733" t="s">
        <v>123</v>
      </c>
      <c r="D175" s="2263">
        <v>0</v>
      </c>
      <c r="E175" s="2786"/>
      <c r="G175" s="2070"/>
      <c r="H175" s="2070"/>
      <c r="I175" s="2070"/>
      <c r="J175" s="2070"/>
      <c r="K175" s="2070"/>
      <c r="L175" s="2070"/>
    </row>
    <row r="176" spans="1:12" s="2073" customFormat="1" ht="5.95" customHeight="1">
      <c r="A176" s="2563"/>
      <c r="B176" s="2250"/>
      <c r="C176" s="2568"/>
      <c r="D176" s="2265"/>
      <c r="E176" s="2792"/>
      <c r="G176" s="2070"/>
      <c r="H176" s="2070"/>
      <c r="I176" s="2070"/>
      <c r="J176" s="2070"/>
      <c r="K176" s="2070"/>
      <c r="L176" s="2070"/>
    </row>
    <row r="177" spans="1:5" s="2070" customFormat="1" ht="13.15">
      <c r="A177" s="1905"/>
      <c r="B177" s="212" t="s">
        <v>71</v>
      </c>
      <c r="C177" s="212"/>
      <c r="D177" s="2270">
        <f>SUM(D178:D182)</f>
        <v>0</v>
      </c>
      <c r="E177" s="2795"/>
    </row>
    <row r="178" spans="1:5" s="2070" customFormat="1" ht="13.15">
      <c r="A178" s="1854"/>
      <c r="B178" s="2727" t="s">
        <v>50</v>
      </c>
      <c r="C178" s="200" t="s">
        <v>72</v>
      </c>
      <c r="D178" s="2164">
        <v>0</v>
      </c>
      <c r="E178" s="2786"/>
    </row>
    <row r="179" spans="1:5" s="2070" customFormat="1" ht="13.15">
      <c r="A179" s="1854"/>
      <c r="B179" s="2727" t="s">
        <v>50</v>
      </c>
      <c r="C179" s="200" t="s">
        <v>73</v>
      </c>
      <c r="D179" s="1964">
        <v>0</v>
      </c>
      <c r="E179" s="2129"/>
    </row>
    <row r="180" spans="1:5" s="2070" customFormat="1" ht="13.15">
      <c r="A180" s="1854"/>
      <c r="B180" s="2727" t="s">
        <v>50</v>
      </c>
      <c r="C180" s="200" t="s">
        <v>74</v>
      </c>
      <c r="D180" s="1964">
        <v>0</v>
      </c>
      <c r="E180" s="2129"/>
    </row>
    <row r="181" spans="1:5" s="2070" customFormat="1" ht="13.15">
      <c r="A181" s="1854"/>
      <c r="B181" s="2727" t="s">
        <v>50</v>
      </c>
      <c r="C181" s="206" t="s">
        <v>75</v>
      </c>
      <c r="D181" s="2218">
        <v>0</v>
      </c>
      <c r="E181" s="2791"/>
    </row>
    <row r="182" spans="1:5" s="2070" customFormat="1" ht="13.15">
      <c r="A182" s="1854"/>
      <c r="B182" s="2727" t="s">
        <v>50</v>
      </c>
      <c r="C182" s="206" t="s">
        <v>85</v>
      </c>
      <c r="D182" s="2161">
        <v>0</v>
      </c>
      <c r="E182" s="2792"/>
    </row>
    <row r="183" spans="1:5" s="2070" customFormat="1" ht="4.55" customHeight="1">
      <c r="A183" s="1465"/>
      <c r="B183" s="2117"/>
      <c r="C183" s="2117"/>
      <c r="D183" s="2182"/>
      <c r="E183" s="2786"/>
    </row>
    <row r="184" spans="1:5" s="2073" customFormat="1" ht="15.65">
      <c r="A184" s="2528" t="s">
        <v>124</v>
      </c>
      <c r="B184" s="2093" t="s">
        <v>125</v>
      </c>
      <c r="C184" s="2146"/>
      <c r="D184" s="2147">
        <f>D185</f>
        <v>0</v>
      </c>
      <c r="E184" s="2787"/>
    </row>
    <row r="185" spans="1:5" s="2070" customFormat="1" ht="13.15">
      <c r="A185" s="2529"/>
      <c r="B185" s="2099" t="s">
        <v>71</v>
      </c>
      <c r="C185" s="2099"/>
      <c r="D185" s="2151">
        <f>SUM(D186:D190)</f>
        <v>0</v>
      </c>
      <c r="E185" s="2785"/>
    </row>
    <row r="186" spans="1:5" s="2070" customFormat="1" ht="13.15">
      <c r="A186" s="1855"/>
      <c r="B186" s="2727" t="s">
        <v>50</v>
      </c>
      <c r="C186" s="200" t="s">
        <v>72</v>
      </c>
      <c r="D186" s="2164">
        <v>0</v>
      </c>
      <c r="E186" s="2786"/>
    </row>
    <row r="187" spans="1:5" s="2070" customFormat="1" ht="13.15">
      <c r="A187" s="1855"/>
      <c r="B187" s="2727" t="s">
        <v>50</v>
      </c>
      <c r="C187" s="200" t="s">
        <v>73</v>
      </c>
      <c r="D187" s="2164">
        <v>0</v>
      </c>
      <c r="E187" s="2786"/>
    </row>
    <row r="188" spans="1:5" s="2070" customFormat="1" ht="13.15">
      <c r="A188" s="1855"/>
      <c r="B188" s="2727" t="s">
        <v>50</v>
      </c>
      <c r="C188" s="200" t="s">
        <v>74</v>
      </c>
      <c r="D188" s="2143">
        <v>0</v>
      </c>
      <c r="E188" s="2786"/>
    </row>
    <row r="189" spans="1:5" s="2070" customFormat="1" ht="13.15">
      <c r="A189" s="1855"/>
      <c r="B189" s="2727" t="s">
        <v>50</v>
      </c>
      <c r="C189" s="206" t="s">
        <v>75</v>
      </c>
      <c r="D189" s="2669">
        <v>0</v>
      </c>
      <c r="E189" s="2786"/>
    </row>
    <row r="190" spans="1:5" s="2070" customFormat="1" ht="13.15">
      <c r="A190" s="1855"/>
      <c r="B190" s="2727" t="s">
        <v>50</v>
      </c>
      <c r="C190" s="206" t="s">
        <v>85</v>
      </c>
      <c r="D190" s="1964">
        <v>0</v>
      </c>
      <c r="E190" s="2129"/>
    </row>
    <row r="191" spans="1:5" s="2070" customFormat="1" ht="5.35" customHeight="1">
      <c r="A191" s="2535"/>
      <c r="B191" s="2117"/>
      <c r="C191" s="2117"/>
      <c r="D191" s="2182"/>
      <c r="E191" s="2786"/>
    </row>
    <row r="192" spans="1:5" s="2073" customFormat="1" ht="15.65">
      <c r="A192" s="2528" t="s">
        <v>126</v>
      </c>
      <c r="B192" s="2093" t="s">
        <v>127</v>
      </c>
      <c r="C192" s="2146"/>
      <c r="D192" s="2147">
        <f>D193+D207</f>
        <v>2000000</v>
      </c>
      <c r="E192" s="2787"/>
    </row>
    <row r="193" spans="1:5" s="2070" customFormat="1" ht="13.15">
      <c r="A193" s="2529"/>
      <c r="B193" s="2248" t="s">
        <v>106</v>
      </c>
      <c r="C193" s="2099"/>
      <c r="D193" s="2151">
        <f>D194</f>
        <v>2000000</v>
      </c>
      <c r="E193" s="2785"/>
    </row>
    <row r="194" spans="1:5" s="2074" customFormat="1" ht="15.05">
      <c r="A194" s="1905"/>
      <c r="B194" s="212" t="s">
        <v>109</v>
      </c>
      <c r="C194" s="212"/>
      <c r="D194" s="2261">
        <f>D195+D197</f>
        <v>2000000</v>
      </c>
      <c r="E194" s="2788"/>
    </row>
    <row r="195" spans="1:5" s="2074" customFormat="1" ht="13.15">
      <c r="A195" s="1905"/>
      <c r="B195" s="212" t="s">
        <v>64</v>
      </c>
      <c r="C195" s="212"/>
      <c r="D195" s="2260">
        <f>SUM(D196)</f>
        <v>2000000</v>
      </c>
      <c r="E195" s="2785"/>
    </row>
    <row r="196" spans="1:5" s="2070" customFormat="1" ht="13.15">
      <c r="A196" s="1905"/>
      <c r="B196" s="224"/>
      <c r="C196" s="2733" t="s">
        <v>128</v>
      </c>
      <c r="D196" s="2263">
        <v>2000000</v>
      </c>
      <c r="E196" s="2786"/>
    </row>
    <row r="197" spans="1:5" s="2074" customFormat="1" ht="13.15">
      <c r="A197" s="1905"/>
      <c r="B197" s="2124" t="s">
        <v>94</v>
      </c>
      <c r="D197" s="2260">
        <f>SUM(D198)</f>
        <v>0</v>
      </c>
      <c r="E197" s="2785"/>
    </row>
    <row r="198" spans="1:5" s="2070" customFormat="1" ht="13.15">
      <c r="A198" s="1905"/>
      <c r="B198" s="224"/>
      <c r="C198" s="2734" t="s">
        <v>129</v>
      </c>
      <c r="D198" s="2260"/>
      <c r="E198" s="2785"/>
    </row>
    <row r="199" spans="1:5" s="2070" customFormat="1" ht="5.35" customHeight="1">
      <c r="A199" s="1905"/>
      <c r="B199" s="224"/>
      <c r="C199" s="2281"/>
      <c r="D199" s="2260"/>
      <c r="E199" s="2785"/>
    </row>
    <row r="200" spans="1:5" s="2070" customFormat="1" ht="13.15">
      <c r="A200" s="1905"/>
      <c r="B200" s="1856" t="s">
        <v>71</v>
      </c>
      <c r="C200" s="218"/>
      <c r="D200" s="2260">
        <f>SUM(D201:D205)</f>
        <v>0</v>
      </c>
      <c r="E200" s="2785"/>
    </row>
    <row r="201" spans="1:5" s="2070" customFormat="1" ht="13.15">
      <c r="A201" s="1905"/>
      <c r="B201" s="2727" t="s">
        <v>50</v>
      </c>
      <c r="C201" s="200" t="s">
        <v>72</v>
      </c>
      <c r="D201" s="2260">
        <v>0</v>
      </c>
      <c r="E201" s="2785"/>
    </row>
    <row r="202" spans="1:5" s="2070" customFormat="1" ht="13.15">
      <c r="A202" s="1905"/>
      <c r="B202" s="2727" t="s">
        <v>50</v>
      </c>
      <c r="C202" s="200" t="s">
        <v>73</v>
      </c>
      <c r="D202" s="2260">
        <v>0</v>
      </c>
      <c r="E202" s="2785"/>
    </row>
    <row r="203" spans="1:5" s="2070" customFormat="1" ht="13.15">
      <c r="A203" s="1905"/>
      <c r="B203" s="2727" t="s">
        <v>50</v>
      </c>
      <c r="C203" s="200" t="s">
        <v>74</v>
      </c>
      <c r="D203" s="2260">
        <v>0</v>
      </c>
      <c r="E203" s="2785"/>
    </row>
    <row r="204" spans="1:5" s="2070" customFormat="1" ht="13.15">
      <c r="A204" s="1854"/>
      <c r="B204" s="2727" t="s">
        <v>50</v>
      </c>
      <c r="C204" s="206" t="s">
        <v>75</v>
      </c>
      <c r="D204" s="2164">
        <v>0</v>
      </c>
      <c r="E204" s="2786"/>
    </row>
    <row r="205" spans="1:5" s="2070" customFormat="1" ht="13.15">
      <c r="A205" s="1854"/>
      <c r="B205" s="2727" t="s">
        <v>50</v>
      </c>
      <c r="C205" s="206" t="s">
        <v>85</v>
      </c>
      <c r="D205" s="2670">
        <v>0</v>
      </c>
      <c r="E205" s="2129"/>
    </row>
    <row r="206" spans="1:5" s="2070" customFormat="1" ht="5.35" customHeight="1">
      <c r="A206" s="1902"/>
      <c r="B206" s="856"/>
      <c r="C206" s="257"/>
      <c r="D206" s="2282"/>
      <c r="E206" s="2129"/>
    </row>
    <row r="207" spans="1:5" s="2070" customFormat="1" ht="13.15">
      <c r="A207" s="1902"/>
      <c r="B207" s="1856" t="s">
        <v>130</v>
      </c>
      <c r="C207" s="217"/>
      <c r="D207" s="2283">
        <f>SUM(D208)</f>
        <v>0</v>
      </c>
      <c r="E207" s="2790"/>
    </row>
    <row r="208" spans="1:5" s="2070" customFormat="1" ht="13.15">
      <c r="A208" s="1902"/>
      <c r="B208" s="2735" t="s">
        <v>50</v>
      </c>
      <c r="C208" s="217" t="s">
        <v>131</v>
      </c>
      <c r="D208" s="2282">
        <v>0</v>
      </c>
      <c r="E208" s="2129"/>
    </row>
    <row r="209" spans="1:5" s="2070" customFormat="1" ht="5.95" customHeight="1">
      <c r="A209" s="2582"/>
      <c r="B209" s="2278"/>
      <c r="C209" s="2278"/>
      <c r="D209" s="2284"/>
      <c r="E209" s="2796"/>
    </row>
    <row r="210" spans="1:5" s="2073" customFormat="1" ht="15.65">
      <c r="A210" s="2528" t="s">
        <v>132</v>
      </c>
      <c r="B210" s="2093" t="s">
        <v>133</v>
      </c>
      <c r="C210" s="2195"/>
      <c r="D210" s="2147">
        <f>D211+D226</f>
        <v>1530000000</v>
      </c>
      <c r="E210" s="2787"/>
    </row>
    <row r="211" spans="1:5" s="2075" customFormat="1" ht="13.15">
      <c r="A211" s="2562"/>
      <c r="B211" s="2248" t="s">
        <v>106</v>
      </c>
      <c r="C211" s="2206"/>
      <c r="D211" s="2223">
        <f>D212+D216</f>
        <v>1530000000</v>
      </c>
      <c r="E211" s="2792"/>
    </row>
    <row r="212" spans="1:5" s="2074" customFormat="1" ht="13.15">
      <c r="A212" s="1905"/>
      <c r="B212" s="212" t="s">
        <v>109</v>
      </c>
      <c r="C212" s="212"/>
      <c r="D212" s="2260">
        <f>SUM(D213:D214)</f>
        <v>75000000</v>
      </c>
      <c r="E212" s="2785"/>
    </row>
    <row r="213" spans="1:5" s="2070" customFormat="1" ht="13.15">
      <c r="A213" s="1855"/>
      <c r="B213" s="2727" t="s">
        <v>50</v>
      </c>
      <c r="C213" s="2070" t="s">
        <v>134</v>
      </c>
      <c r="D213" s="1964">
        <v>0</v>
      </c>
      <c r="E213" s="2129"/>
    </row>
    <row r="214" spans="1:5" s="2070" customFormat="1" ht="13.15">
      <c r="A214" s="1854"/>
      <c r="B214" s="2727" t="s">
        <v>50</v>
      </c>
      <c r="C214" s="200" t="s">
        <v>135</v>
      </c>
      <c r="D214" s="2164">
        <v>75000000</v>
      </c>
      <c r="E214" s="2786"/>
    </row>
    <row r="215" spans="1:5" s="2070" customFormat="1" ht="15.05" customHeight="1">
      <c r="A215" s="1854"/>
      <c r="B215" s="200"/>
      <c r="C215" s="200"/>
      <c r="D215" s="2164"/>
      <c r="E215" s="2786"/>
    </row>
    <row r="216" spans="1:5" s="2074" customFormat="1" ht="13.15">
      <c r="A216" s="1854"/>
      <c r="B216" s="2728" t="s">
        <v>116</v>
      </c>
      <c r="C216" s="202"/>
      <c r="D216" s="1891">
        <f>D217</f>
        <v>1455000000</v>
      </c>
      <c r="E216" s="2785"/>
    </row>
    <row r="217" spans="1:5" s="2070" customFormat="1" ht="13.15">
      <c r="A217" s="1854"/>
      <c r="B217" s="2727" t="s">
        <v>50</v>
      </c>
      <c r="C217" s="200" t="s">
        <v>136</v>
      </c>
      <c r="D217" s="2164">
        <v>1455000000</v>
      </c>
      <c r="E217" s="2786"/>
    </row>
    <row r="218" spans="1:5" s="2070" customFormat="1" ht="5.95" customHeight="1">
      <c r="A218" s="1854"/>
      <c r="B218" s="200"/>
      <c r="C218" s="200"/>
      <c r="D218" s="2164"/>
      <c r="E218" s="2786"/>
    </row>
    <row r="219" spans="1:5" s="2070" customFormat="1" ht="13.15">
      <c r="A219" s="1854"/>
      <c r="B219" s="202" t="s">
        <v>71</v>
      </c>
      <c r="C219" s="202"/>
      <c r="D219" s="2143">
        <f>SUM(D220:D224)</f>
        <v>0</v>
      </c>
      <c r="E219" s="2786"/>
    </row>
    <row r="220" spans="1:5" s="2070" customFormat="1" ht="13.15">
      <c r="A220" s="1854"/>
      <c r="B220" s="2727" t="s">
        <v>50</v>
      </c>
      <c r="C220" s="200" t="s">
        <v>72</v>
      </c>
      <c r="D220" s="2164">
        <v>0</v>
      </c>
      <c r="E220" s="2786"/>
    </row>
    <row r="221" spans="1:5" s="2070" customFormat="1" ht="13.15">
      <c r="A221" s="1854"/>
      <c r="B221" s="2727" t="s">
        <v>50</v>
      </c>
      <c r="C221" s="200" t="s">
        <v>73</v>
      </c>
      <c r="D221" s="2164">
        <v>0</v>
      </c>
      <c r="E221" s="2786"/>
    </row>
    <row r="222" spans="1:5" s="2070" customFormat="1" ht="13.15">
      <c r="A222" s="1854"/>
      <c r="B222" s="2727" t="s">
        <v>50</v>
      </c>
      <c r="C222" s="200" t="s">
        <v>74</v>
      </c>
      <c r="D222" s="2164">
        <v>0</v>
      </c>
      <c r="E222" s="2786"/>
    </row>
    <row r="223" spans="1:5" s="2070" customFormat="1" ht="13.15">
      <c r="A223" s="1854"/>
      <c r="B223" s="2727" t="s">
        <v>50</v>
      </c>
      <c r="C223" s="206" t="s">
        <v>75</v>
      </c>
      <c r="D223" s="2143">
        <v>0</v>
      </c>
      <c r="E223" s="2786"/>
    </row>
    <row r="224" spans="1:5" s="2070" customFormat="1" ht="13.15">
      <c r="A224" s="1854"/>
      <c r="B224" s="2727" t="s">
        <v>50</v>
      </c>
      <c r="C224" s="206" t="s">
        <v>85</v>
      </c>
      <c r="D224" s="1891">
        <v>0</v>
      </c>
      <c r="E224" s="2785"/>
    </row>
    <row r="225" spans="1:5" s="2070" customFormat="1" ht="5.35" customHeight="1">
      <c r="A225" s="1854"/>
      <c r="D225" s="1891"/>
      <c r="E225" s="2785"/>
    </row>
    <row r="226" spans="1:5" s="2070" customFormat="1" ht="13.15">
      <c r="A226" s="1854"/>
      <c r="B226" s="1318" t="s">
        <v>130</v>
      </c>
      <c r="C226" s="202"/>
      <c r="D226" s="1891">
        <f>SUM(D227:D230)</f>
        <v>0</v>
      </c>
      <c r="E226" s="2785"/>
    </row>
    <row r="227" spans="1:5" s="2070" customFormat="1" ht="13.15">
      <c r="A227" s="1854"/>
      <c r="B227" s="2727" t="s">
        <v>50</v>
      </c>
      <c r="C227" s="200" t="s">
        <v>137</v>
      </c>
      <c r="D227" s="2143">
        <v>0</v>
      </c>
      <c r="E227" s="2786"/>
    </row>
    <row r="228" spans="1:5" s="2070" customFormat="1" ht="13.15">
      <c r="A228" s="1854"/>
      <c r="B228" s="2727" t="s">
        <v>50</v>
      </c>
      <c r="C228" s="200" t="s">
        <v>138</v>
      </c>
      <c r="D228" s="2164">
        <v>0</v>
      </c>
      <c r="E228" s="2786"/>
    </row>
    <row r="229" spans="1:5" s="2070" customFormat="1" ht="13.15">
      <c r="A229" s="1854"/>
      <c r="B229" s="2727" t="s">
        <v>50</v>
      </c>
      <c r="C229" s="200" t="s">
        <v>139</v>
      </c>
      <c r="D229" s="2164">
        <v>0</v>
      </c>
      <c r="E229" s="2786"/>
    </row>
    <row r="230" spans="1:5" s="2070" customFormat="1" ht="13.15">
      <c r="A230" s="1854"/>
      <c r="B230" s="2727" t="s">
        <v>50</v>
      </c>
      <c r="C230" s="200" t="s">
        <v>140</v>
      </c>
      <c r="D230" s="2164">
        <v>0</v>
      </c>
      <c r="E230" s="2786"/>
    </row>
    <row r="231" spans="1:5" s="2070" customFormat="1" ht="6.75" customHeight="1">
      <c r="A231" s="1465"/>
      <c r="B231" s="2117"/>
      <c r="C231" s="2117"/>
      <c r="D231" s="2182"/>
      <c r="E231" s="2786"/>
    </row>
    <row r="232" spans="1:5" s="2073" customFormat="1" ht="15.65">
      <c r="A232" s="2528" t="s">
        <v>141</v>
      </c>
      <c r="B232" s="2093" t="s">
        <v>142</v>
      </c>
      <c r="C232" s="2195"/>
      <c r="D232" s="2147">
        <f>D233+D241+D247</f>
        <v>501125000</v>
      </c>
      <c r="E232" s="2787"/>
    </row>
    <row r="233" spans="1:5" s="2070" customFormat="1" ht="13.15">
      <c r="A233" s="2562"/>
      <c r="B233" s="2248" t="s">
        <v>106</v>
      </c>
      <c r="C233" s="2206"/>
      <c r="D233" s="2223">
        <f t="shared" ref="D233:D238" si="0">D234</f>
        <v>501125000</v>
      </c>
      <c r="E233" s="2792"/>
    </row>
    <row r="234" spans="1:5" s="2070" customFormat="1" ht="13.15">
      <c r="A234" s="2563"/>
      <c r="B234" s="224" t="s">
        <v>109</v>
      </c>
      <c r="C234" s="1903"/>
      <c r="D234" s="2181">
        <f>D235+D238</f>
        <v>501125000</v>
      </c>
      <c r="E234" s="2790"/>
    </row>
    <row r="235" spans="1:5" s="2074" customFormat="1" ht="13.15">
      <c r="A235" s="2563"/>
      <c r="B235" s="212" t="s">
        <v>64</v>
      </c>
      <c r="C235" s="2208"/>
      <c r="D235" s="2189">
        <f t="shared" si="0"/>
        <v>152500000</v>
      </c>
      <c r="E235" s="2792"/>
    </row>
    <row r="236" spans="1:5" s="2070" customFormat="1" ht="13.15">
      <c r="A236" s="2584"/>
      <c r="B236" s="2727" t="s">
        <v>50</v>
      </c>
      <c r="C236" s="2289" t="s">
        <v>143</v>
      </c>
      <c r="D236" s="2671">
        <v>152500000</v>
      </c>
      <c r="E236" s="2791"/>
    </row>
    <row r="237" spans="1:5" s="2070" customFormat="1" ht="6.75" customHeight="1">
      <c r="A237" s="2584"/>
      <c r="B237" s="257"/>
      <c r="C237" s="2290"/>
      <c r="D237" s="2291"/>
      <c r="E237" s="2792"/>
    </row>
    <row r="238" spans="1:5" s="2074" customFormat="1" ht="13.15">
      <c r="A238" s="2584"/>
      <c r="B238" s="202" t="s">
        <v>68</v>
      </c>
      <c r="C238" s="2290"/>
      <c r="D238" s="2291">
        <f t="shared" si="0"/>
        <v>348625000</v>
      </c>
      <c r="E238" s="2792"/>
    </row>
    <row r="239" spans="1:5" s="2070" customFormat="1" ht="13.15">
      <c r="A239" s="2584"/>
      <c r="B239" s="2732" t="s">
        <v>50</v>
      </c>
      <c r="C239" s="2289" t="s">
        <v>144</v>
      </c>
      <c r="D239" s="2671">
        <v>348625000</v>
      </c>
      <c r="E239" s="2791"/>
    </row>
    <row r="240" spans="1:5" s="2070" customFormat="1" ht="5.95" customHeight="1">
      <c r="A240" s="2584"/>
      <c r="B240" s="257"/>
      <c r="C240" s="2290"/>
      <c r="D240" s="2291"/>
      <c r="E240" s="2792"/>
    </row>
    <row r="241" spans="1:5" s="2070" customFormat="1" ht="13.15">
      <c r="A241" s="2585"/>
      <c r="B241" s="2124" t="s">
        <v>71</v>
      </c>
      <c r="C241" s="2124"/>
      <c r="D241" s="2292">
        <f>SUM(D242:D245)</f>
        <v>0</v>
      </c>
      <c r="E241" s="2797"/>
    </row>
    <row r="242" spans="1:5" s="2070" customFormat="1" ht="13.15">
      <c r="A242" s="2539"/>
      <c r="B242" s="2727" t="s">
        <v>50</v>
      </c>
      <c r="C242" s="200" t="s">
        <v>72</v>
      </c>
      <c r="D242" s="2292">
        <v>0</v>
      </c>
      <c r="E242" s="2797"/>
    </row>
    <row r="243" spans="1:5" s="2070" customFormat="1" ht="13.15">
      <c r="A243" s="2539"/>
      <c r="B243" s="2727" t="s">
        <v>50</v>
      </c>
      <c r="C243" s="200" t="s">
        <v>73</v>
      </c>
      <c r="D243" s="2292">
        <v>0</v>
      </c>
      <c r="E243" s="2797"/>
    </row>
    <row r="244" spans="1:5" s="2070" customFormat="1" ht="13.15">
      <c r="A244" s="2539"/>
      <c r="B244" s="2727" t="s">
        <v>50</v>
      </c>
      <c r="C244" s="200" t="s">
        <v>74</v>
      </c>
      <c r="D244" s="2292">
        <v>0</v>
      </c>
      <c r="E244" s="2797"/>
    </row>
    <row r="245" spans="1:5" s="2070" customFormat="1" ht="13.15">
      <c r="A245" s="2538"/>
      <c r="B245" s="2730" t="s">
        <v>50</v>
      </c>
      <c r="C245" s="206" t="s">
        <v>75</v>
      </c>
      <c r="D245" s="1964">
        <v>0</v>
      </c>
      <c r="E245" s="2129"/>
    </row>
    <row r="246" spans="1:5" s="2070" customFormat="1" ht="12.7" customHeight="1">
      <c r="A246" s="2538"/>
      <c r="B246" s="2730" t="s">
        <v>50</v>
      </c>
      <c r="C246" s="206" t="s">
        <v>85</v>
      </c>
      <c r="D246" s="1964">
        <v>0</v>
      </c>
      <c r="E246" s="2129"/>
    </row>
    <row r="247" spans="1:5" s="2070" customFormat="1" ht="13.15">
      <c r="A247" s="2538"/>
      <c r="B247" s="1318" t="s">
        <v>130</v>
      </c>
      <c r="C247" s="206"/>
      <c r="D247" s="2181">
        <f>SUM(D248:D250)</f>
        <v>0</v>
      </c>
      <c r="E247" s="2790"/>
    </row>
    <row r="248" spans="1:5" s="2070" customFormat="1" ht="13.15">
      <c r="A248" s="2538"/>
      <c r="B248" s="206" t="s">
        <v>50</v>
      </c>
      <c r="C248" s="206" t="s">
        <v>145</v>
      </c>
      <c r="D248" s="1964">
        <v>0</v>
      </c>
      <c r="E248" s="2129"/>
    </row>
    <row r="249" spans="1:5" s="2070" customFormat="1" ht="13.15">
      <c r="A249" s="2538"/>
      <c r="B249" s="206" t="s">
        <v>50</v>
      </c>
      <c r="C249" s="206" t="s">
        <v>146</v>
      </c>
      <c r="D249" s="1964">
        <v>0</v>
      </c>
      <c r="E249" s="2129"/>
    </row>
    <row r="250" spans="1:5" s="2070" customFormat="1" ht="13.15">
      <c r="A250" s="2538"/>
      <c r="B250" s="206" t="s">
        <v>50</v>
      </c>
      <c r="C250" s="206" t="s">
        <v>147</v>
      </c>
      <c r="D250" s="1964">
        <v>0</v>
      </c>
      <c r="E250" s="2129"/>
    </row>
    <row r="251" spans="1:5" s="2070" customFormat="1" ht="5.35" customHeight="1">
      <c r="A251" s="2586"/>
      <c r="B251" s="206"/>
      <c r="C251" s="2293"/>
      <c r="D251" s="1964"/>
      <c r="E251" s="2129"/>
    </row>
    <row r="252" spans="1:5" s="2073" customFormat="1" ht="15.65">
      <c r="A252" s="2528" t="s">
        <v>148</v>
      </c>
      <c r="B252" s="2093" t="s">
        <v>149</v>
      </c>
      <c r="C252" s="2195"/>
      <c r="D252" s="2147">
        <f>D253</f>
        <v>0</v>
      </c>
      <c r="E252" s="2787"/>
    </row>
    <row r="253" spans="1:5" s="2070" customFormat="1" ht="13.15">
      <c r="A253" s="2529"/>
      <c r="B253" s="202" t="s">
        <v>71</v>
      </c>
      <c r="C253" s="202"/>
      <c r="D253" s="2151">
        <f>SUM(D254:D258)</f>
        <v>0</v>
      </c>
      <c r="E253" s="2785"/>
    </row>
    <row r="254" spans="1:5" s="2070" customFormat="1" ht="13.15">
      <c r="A254" s="1855"/>
      <c r="B254" s="2727" t="s">
        <v>50</v>
      </c>
      <c r="C254" s="200" t="s">
        <v>72</v>
      </c>
      <c r="D254" s="2164">
        <v>0</v>
      </c>
      <c r="E254" s="2786"/>
    </row>
    <row r="255" spans="1:5" s="2070" customFormat="1" ht="13.15">
      <c r="A255" s="1854"/>
      <c r="B255" s="2727" t="s">
        <v>50</v>
      </c>
      <c r="C255" s="200" t="s">
        <v>73</v>
      </c>
      <c r="D255" s="1964">
        <v>0</v>
      </c>
      <c r="E255" s="2129"/>
    </row>
    <row r="256" spans="1:5" s="2070" customFormat="1" ht="13.15">
      <c r="A256" s="1854"/>
      <c r="B256" s="2727" t="s">
        <v>50</v>
      </c>
      <c r="C256" s="200" t="s">
        <v>74</v>
      </c>
      <c r="D256" s="2164">
        <v>0</v>
      </c>
      <c r="E256" s="2786"/>
    </row>
    <row r="257" spans="1:5" s="2070" customFormat="1" ht="13.15">
      <c r="A257" s="1854"/>
      <c r="B257" s="2727" t="s">
        <v>50</v>
      </c>
      <c r="C257" s="206" t="s">
        <v>75</v>
      </c>
      <c r="D257" s="2164">
        <v>0</v>
      </c>
      <c r="E257" s="2786"/>
    </row>
    <row r="258" spans="1:5" s="2070" customFormat="1" ht="13.15">
      <c r="A258" s="1854"/>
      <c r="B258" s="2727" t="s">
        <v>50</v>
      </c>
      <c r="C258" s="206" t="s">
        <v>85</v>
      </c>
      <c r="D258" s="1964">
        <v>0</v>
      </c>
      <c r="E258" s="2129"/>
    </row>
    <row r="259" spans="1:5" s="2070" customFormat="1" ht="4.55" customHeight="1">
      <c r="A259" s="1465"/>
      <c r="B259" s="2117"/>
      <c r="C259" s="2117"/>
      <c r="D259" s="2182"/>
      <c r="E259" s="2786"/>
    </row>
    <row r="260" spans="1:5" s="2073" customFormat="1" ht="15.65">
      <c r="A260" s="2528" t="s">
        <v>150</v>
      </c>
      <c r="B260" s="2093" t="s">
        <v>151</v>
      </c>
      <c r="C260" s="2195"/>
      <c r="D260" s="2147">
        <f>D261</f>
        <v>0</v>
      </c>
      <c r="E260" s="2787"/>
    </row>
    <row r="261" spans="1:5" s="2070" customFormat="1" ht="13.15">
      <c r="A261" s="2529"/>
      <c r="B261" s="1856" t="s">
        <v>71</v>
      </c>
      <c r="C261" s="218"/>
      <c r="D261" s="2151">
        <f>SUM(D262:D266)</f>
        <v>0</v>
      </c>
      <c r="E261" s="2785"/>
    </row>
    <row r="262" spans="1:5" s="2070" customFormat="1" ht="13.15">
      <c r="A262" s="1854"/>
      <c r="B262" s="2727" t="s">
        <v>50</v>
      </c>
      <c r="C262" s="200" t="s">
        <v>72</v>
      </c>
      <c r="D262" s="2164">
        <v>0</v>
      </c>
      <c r="E262" s="2786"/>
    </row>
    <row r="263" spans="1:5" s="2070" customFormat="1" ht="13.15">
      <c r="A263" s="1854"/>
      <c r="B263" s="2727" t="s">
        <v>50</v>
      </c>
      <c r="C263" s="200" t="s">
        <v>73</v>
      </c>
      <c r="D263" s="1964">
        <v>0</v>
      </c>
      <c r="E263" s="2129"/>
    </row>
    <row r="264" spans="1:5" s="2070" customFormat="1" ht="13.15">
      <c r="A264" s="1854"/>
      <c r="B264" s="2727" t="s">
        <v>50</v>
      </c>
      <c r="C264" s="200" t="s">
        <v>74</v>
      </c>
      <c r="D264" s="1964">
        <v>0</v>
      </c>
      <c r="E264" s="2129"/>
    </row>
    <row r="265" spans="1:5" s="2070" customFormat="1" ht="13.15">
      <c r="A265" s="1854"/>
      <c r="B265" s="2727" t="s">
        <v>50</v>
      </c>
      <c r="C265" s="206" t="s">
        <v>75</v>
      </c>
      <c r="D265" s="1891">
        <v>0</v>
      </c>
      <c r="E265" s="2785"/>
    </row>
    <row r="266" spans="1:5" s="2070" customFormat="1" ht="13.15">
      <c r="A266" s="1854"/>
      <c r="B266" s="2727" t="s">
        <v>50</v>
      </c>
      <c r="C266" s="206" t="s">
        <v>85</v>
      </c>
      <c r="D266" s="2164">
        <v>0</v>
      </c>
      <c r="E266" s="2786"/>
    </row>
    <row r="267" spans="1:5" s="2070" customFormat="1" ht="3.8" customHeight="1">
      <c r="A267" s="1465"/>
      <c r="B267" s="2117"/>
      <c r="C267" s="2117"/>
      <c r="D267" s="2182"/>
      <c r="E267" s="2786"/>
    </row>
    <row r="268" spans="1:5" s="2073" customFormat="1" ht="15.65">
      <c r="A268" s="2528" t="s">
        <v>152</v>
      </c>
      <c r="B268" s="2093" t="s">
        <v>153</v>
      </c>
      <c r="C268" s="2195"/>
      <c r="D268" s="2147">
        <f>D269</f>
        <v>0</v>
      </c>
      <c r="E268" s="2787"/>
    </row>
    <row r="269" spans="1:5" s="2070" customFormat="1" ht="13.15">
      <c r="A269" s="1854"/>
      <c r="B269" s="202" t="s">
        <v>71</v>
      </c>
      <c r="C269" s="202"/>
      <c r="D269" s="1891">
        <f>SUM(D270:D274)</f>
        <v>0</v>
      </c>
      <c r="E269" s="2785"/>
    </row>
    <row r="270" spans="1:5" s="2070" customFormat="1" ht="13.15">
      <c r="A270" s="1854"/>
      <c r="B270" s="2727" t="s">
        <v>50</v>
      </c>
      <c r="C270" s="200" t="s">
        <v>72</v>
      </c>
      <c r="D270" s="2164">
        <v>0</v>
      </c>
      <c r="E270" s="2786"/>
    </row>
    <row r="271" spans="1:5" s="2070" customFormat="1" ht="13.15">
      <c r="A271" s="1854"/>
      <c r="B271" s="2727" t="s">
        <v>50</v>
      </c>
      <c r="C271" s="200" t="s">
        <v>73</v>
      </c>
      <c r="D271" s="1964">
        <v>0</v>
      </c>
      <c r="E271" s="2129"/>
    </row>
    <row r="272" spans="1:5" s="2070" customFormat="1" ht="13.15">
      <c r="A272" s="1902"/>
      <c r="B272" s="2727" t="s">
        <v>50</v>
      </c>
      <c r="C272" s="200" t="s">
        <v>74</v>
      </c>
      <c r="D272" s="2309"/>
      <c r="E272" s="2129"/>
    </row>
    <row r="273" spans="1:5" s="2070" customFormat="1" ht="13.15">
      <c r="A273" s="1902"/>
      <c r="B273" s="2727" t="s">
        <v>50</v>
      </c>
      <c r="C273" s="206" t="s">
        <v>75</v>
      </c>
      <c r="D273" s="2282"/>
      <c r="E273" s="2129"/>
    </row>
    <row r="274" spans="1:5" s="2070" customFormat="1" ht="13.15">
      <c r="A274" s="1902"/>
      <c r="B274" s="2727" t="s">
        <v>50</v>
      </c>
      <c r="C274" s="206" t="s">
        <v>85</v>
      </c>
      <c r="D274" s="2282"/>
      <c r="E274" s="2129"/>
    </row>
    <row r="275" spans="1:5" s="2070" customFormat="1" ht="5.35" customHeight="1">
      <c r="A275" s="1902"/>
      <c r="B275" s="856"/>
      <c r="C275" s="856"/>
      <c r="D275" s="2143"/>
      <c r="E275" s="2786"/>
    </row>
    <row r="276" spans="1:5" s="2070" customFormat="1" ht="15.65">
      <c r="A276" s="2588" t="s">
        <v>154</v>
      </c>
      <c r="B276" s="2296" t="s">
        <v>155</v>
      </c>
      <c r="C276" s="2299"/>
      <c r="D276" s="2300">
        <f>D278+D293+D301+D309+D317+D325+D333</f>
        <v>131250000</v>
      </c>
      <c r="E276" s="2798"/>
    </row>
    <row r="277" spans="1:5" s="2070" customFormat="1" ht="4.55" customHeight="1">
      <c r="A277" s="1725"/>
      <c r="B277" s="257"/>
      <c r="C277" s="257"/>
      <c r="D277" s="2303"/>
      <c r="E277" s="2799"/>
    </row>
    <row r="278" spans="1:5" s="2073" customFormat="1" ht="15.65">
      <c r="A278" s="2528"/>
      <c r="B278" s="2093" t="s">
        <v>156</v>
      </c>
      <c r="C278" s="2195" t="s">
        <v>157</v>
      </c>
      <c r="D278" s="2306">
        <f>D279</f>
        <v>131250000</v>
      </c>
      <c r="E278" s="2800"/>
    </row>
    <row r="279" spans="1:5" s="2070" customFormat="1" ht="13.15">
      <c r="A279" s="1854"/>
      <c r="B279" s="202" t="s">
        <v>106</v>
      </c>
      <c r="C279" s="200"/>
      <c r="D279" s="2307">
        <f>+D280</f>
        <v>131250000</v>
      </c>
      <c r="E279" s="2797"/>
    </row>
    <row r="280" spans="1:5" s="2070" customFormat="1" ht="13.15">
      <c r="A280" s="1854"/>
      <c r="B280" s="202" t="s">
        <v>63</v>
      </c>
      <c r="C280" s="200"/>
      <c r="D280" s="2307">
        <f>D281</f>
        <v>131250000</v>
      </c>
      <c r="E280" s="2797"/>
    </row>
    <row r="281" spans="1:5" s="2070" customFormat="1" ht="13.15">
      <c r="A281" s="1855"/>
      <c r="B281" s="202" t="s">
        <v>64</v>
      </c>
      <c r="C281" s="200"/>
      <c r="D281" s="2308">
        <f>SUM(D282:D284)</f>
        <v>131250000</v>
      </c>
      <c r="E281" s="2785"/>
    </row>
    <row r="282" spans="1:5" s="2070" customFormat="1" ht="13.15">
      <c r="A282" s="1854"/>
      <c r="B282" s="200" t="s">
        <v>50</v>
      </c>
      <c r="C282" s="200" t="s">
        <v>158</v>
      </c>
      <c r="D282" s="1964">
        <v>30000000</v>
      </c>
      <c r="E282" s="2129"/>
    </row>
    <row r="283" spans="1:5" s="2070" customFormat="1" ht="13.15">
      <c r="A283" s="1854"/>
      <c r="B283" s="200" t="s">
        <v>50</v>
      </c>
      <c r="C283" s="200" t="s">
        <v>159</v>
      </c>
      <c r="D283" s="1964">
        <v>26250000</v>
      </c>
      <c r="E283" s="2129"/>
    </row>
    <row r="284" spans="1:5" s="2070" customFormat="1" ht="13.15">
      <c r="A284" s="1854"/>
      <c r="B284" s="200" t="s">
        <v>50</v>
      </c>
      <c r="C284" s="200" t="s">
        <v>160</v>
      </c>
      <c r="D284" s="1964">
        <v>75000000</v>
      </c>
      <c r="E284" s="2129"/>
    </row>
    <row r="285" spans="1:5" s="2070" customFormat="1" ht="5.95" customHeight="1">
      <c r="A285" s="1854"/>
      <c r="B285" s="200"/>
      <c r="C285" s="200"/>
      <c r="D285" s="2309"/>
      <c r="E285" s="2129"/>
    </row>
    <row r="286" spans="1:5" s="2070" customFormat="1" ht="13.15">
      <c r="A286" s="1854"/>
      <c r="B286" s="202" t="s">
        <v>71</v>
      </c>
      <c r="C286" s="202"/>
      <c r="D286" s="2282">
        <f>SUM(D287:D291)</f>
        <v>0</v>
      </c>
      <c r="E286" s="2129"/>
    </row>
    <row r="287" spans="1:5" s="2070" customFormat="1" ht="13.15">
      <c r="A287" s="1854"/>
      <c r="B287" s="2727" t="s">
        <v>50</v>
      </c>
      <c r="C287" s="200" t="s">
        <v>72</v>
      </c>
      <c r="D287" s="2282">
        <v>0</v>
      </c>
      <c r="E287" s="2129"/>
    </row>
    <row r="288" spans="1:5" s="2070" customFormat="1" ht="13.15">
      <c r="A288" s="1854"/>
      <c r="B288" s="2727" t="s">
        <v>50</v>
      </c>
      <c r="C288" s="200" t="s">
        <v>73</v>
      </c>
      <c r="D288" s="2282">
        <v>0</v>
      </c>
      <c r="E288" s="2129"/>
    </row>
    <row r="289" spans="1:5" s="2070" customFormat="1" ht="13.15">
      <c r="A289" s="1854"/>
      <c r="B289" s="2727" t="s">
        <v>50</v>
      </c>
      <c r="C289" s="200" t="s">
        <v>74</v>
      </c>
      <c r="D289" s="2282">
        <v>0</v>
      </c>
      <c r="E289" s="2129"/>
    </row>
    <row r="290" spans="1:5" s="2070" customFormat="1" ht="13.15">
      <c r="A290" s="1854"/>
      <c r="B290" s="2727" t="s">
        <v>50</v>
      </c>
      <c r="C290" s="206" t="s">
        <v>75</v>
      </c>
      <c r="D290" s="2282">
        <v>0</v>
      </c>
      <c r="E290" s="2129"/>
    </row>
    <row r="291" spans="1:5" s="2070" customFormat="1" ht="13.15">
      <c r="A291" s="1854"/>
      <c r="B291" s="2727" t="s">
        <v>50</v>
      </c>
      <c r="C291" s="206" t="s">
        <v>85</v>
      </c>
      <c r="D291" s="2282">
        <v>0</v>
      </c>
      <c r="E291" s="2129"/>
    </row>
    <row r="292" spans="1:5" s="2070" customFormat="1" ht="5.35" customHeight="1">
      <c r="A292" s="1465"/>
      <c r="B292" s="2298"/>
      <c r="C292" s="2298"/>
      <c r="D292" s="2310">
        <v>0</v>
      </c>
      <c r="E292" s="2799"/>
    </row>
    <row r="293" spans="1:5" s="2073" customFormat="1" ht="15.05">
      <c r="A293" s="2528"/>
      <c r="B293" s="2195" t="s">
        <v>161</v>
      </c>
      <c r="C293" s="2313" t="s">
        <v>162</v>
      </c>
      <c r="D293" s="2306">
        <f>SUM(D294)</f>
        <v>0</v>
      </c>
      <c r="E293" s="2800"/>
    </row>
    <row r="294" spans="1:5" s="2070" customFormat="1" ht="13.15">
      <c r="A294" s="1854"/>
      <c r="B294" s="202" t="s">
        <v>71</v>
      </c>
      <c r="C294" s="202"/>
      <c r="D294" s="2307">
        <f>SUM(D295:D299)</f>
        <v>0</v>
      </c>
      <c r="E294" s="2797"/>
    </row>
    <row r="295" spans="1:5" s="2070" customFormat="1" ht="13.15">
      <c r="A295" s="1854"/>
      <c r="B295" s="2727" t="s">
        <v>50</v>
      </c>
      <c r="C295" s="200" t="s">
        <v>72</v>
      </c>
      <c r="D295" s="2307">
        <v>0</v>
      </c>
      <c r="E295" s="2797"/>
    </row>
    <row r="296" spans="1:5" s="2070" customFormat="1" ht="13.15">
      <c r="A296" s="1854"/>
      <c r="B296" s="2727" t="s">
        <v>50</v>
      </c>
      <c r="C296" s="200" t="s">
        <v>73</v>
      </c>
      <c r="D296" s="2307">
        <v>0</v>
      </c>
      <c r="E296" s="2797"/>
    </row>
    <row r="297" spans="1:5" s="2070" customFormat="1" ht="13.15">
      <c r="A297" s="1854"/>
      <c r="B297" s="2727" t="s">
        <v>50</v>
      </c>
      <c r="C297" s="200" t="s">
        <v>74</v>
      </c>
      <c r="D297" s="2307">
        <v>0</v>
      </c>
      <c r="E297" s="2797"/>
    </row>
    <row r="298" spans="1:5" s="2070" customFormat="1" ht="13.15">
      <c r="A298" s="1854"/>
      <c r="B298" s="2727" t="s">
        <v>50</v>
      </c>
      <c r="C298" s="206" t="s">
        <v>75</v>
      </c>
      <c r="D298" s="2455">
        <v>0</v>
      </c>
      <c r="E298" s="2799"/>
    </row>
    <row r="299" spans="1:5" s="2070" customFormat="1" ht="13.15">
      <c r="A299" s="1854"/>
      <c r="B299" s="2727" t="s">
        <v>50</v>
      </c>
      <c r="C299" s="206" t="s">
        <v>85</v>
      </c>
      <c r="D299" s="2282">
        <v>0</v>
      </c>
      <c r="E299" s="2129"/>
    </row>
    <row r="300" spans="1:5" s="2070" customFormat="1" ht="5.35" customHeight="1">
      <c r="A300" s="1465"/>
      <c r="B300" s="2117"/>
      <c r="C300" s="2117"/>
      <c r="D300" s="2314"/>
      <c r="E300" s="2799"/>
    </row>
    <row r="301" spans="1:5" s="2073" customFormat="1" ht="15.05">
      <c r="A301" s="2528"/>
      <c r="B301" s="2195" t="s">
        <v>163</v>
      </c>
      <c r="C301" s="2313" t="s">
        <v>164</v>
      </c>
      <c r="D301" s="2306">
        <f>SUM(D302)</f>
        <v>0</v>
      </c>
      <c r="E301" s="2800"/>
    </row>
    <row r="302" spans="1:5" s="2070" customFormat="1" ht="13.15">
      <c r="A302" s="1854"/>
      <c r="B302" s="202" t="s">
        <v>71</v>
      </c>
      <c r="C302" s="202"/>
      <c r="D302" s="2307">
        <f>SUM(D303:D307)</f>
        <v>0</v>
      </c>
      <c r="E302" s="2797"/>
    </row>
    <row r="303" spans="1:5" s="2070" customFormat="1" ht="13.15">
      <c r="A303" s="1854"/>
      <c r="B303" s="2727" t="s">
        <v>50</v>
      </c>
      <c r="C303" s="200" t="s">
        <v>72</v>
      </c>
      <c r="D303" s="2307">
        <v>0</v>
      </c>
      <c r="E303" s="2797"/>
    </row>
    <row r="304" spans="1:5" s="2070" customFormat="1" ht="13.15">
      <c r="A304" s="1854"/>
      <c r="B304" s="2727" t="s">
        <v>50</v>
      </c>
      <c r="C304" s="200" t="s">
        <v>73</v>
      </c>
      <c r="D304" s="2307">
        <v>0</v>
      </c>
      <c r="E304" s="2797"/>
    </row>
    <row r="305" spans="1:5" s="2070" customFormat="1" ht="13.15">
      <c r="A305" s="1854"/>
      <c r="B305" s="2727" t="s">
        <v>50</v>
      </c>
      <c r="C305" s="200" t="s">
        <v>74</v>
      </c>
      <c r="D305" s="2307">
        <v>0</v>
      </c>
      <c r="E305" s="2797"/>
    </row>
    <row r="306" spans="1:5" s="2070" customFormat="1" ht="13.15">
      <c r="A306" s="1854"/>
      <c r="B306" s="2727" t="s">
        <v>50</v>
      </c>
      <c r="C306" s="206" t="s">
        <v>75</v>
      </c>
      <c r="D306" s="2455">
        <v>0</v>
      </c>
      <c r="E306" s="2799"/>
    </row>
    <row r="307" spans="1:5" s="2070" customFormat="1" ht="13.15">
      <c r="A307" s="1854"/>
      <c r="B307" s="2727" t="s">
        <v>50</v>
      </c>
      <c r="C307" s="206" t="s">
        <v>85</v>
      </c>
      <c r="D307" s="2282">
        <v>0</v>
      </c>
      <c r="E307" s="2129"/>
    </row>
    <row r="308" spans="1:5" s="2070" customFormat="1" ht="5.35" customHeight="1">
      <c r="A308" s="1854"/>
      <c r="B308" s="200"/>
      <c r="C308" s="200"/>
      <c r="D308" s="2303"/>
      <c r="E308" s="2799"/>
    </row>
    <row r="309" spans="1:5" s="2073" customFormat="1" ht="15.05">
      <c r="A309" s="2528"/>
      <c r="B309" s="2195" t="s">
        <v>165</v>
      </c>
      <c r="C309" s="2313" t="s">
        <v>166</v>
      </c>
      <c r="D309" s="2306">
        <f>SUM(D310)</f>
        <v>0</v>
      </c>
      <c r="E309" s="2800"/>
    </row>
    <row r="310" spans="1:5" s="2070" customFormat="1" ht="13.15">
      <c r="A310" s="1854"/>
      <c r="B310" s="202" t="s">
        <v>71</v>
      </c>
      <c r="C310" s="202"/>
      <c r="D310" s="2307">
        <f>SUM(D311:D315)</f>
        <v>0</v>
      </c>
      <c r="E310" s="2797"/>
    </row>
    <row r="311" spans="1:5" s="2070" customFormat="1" ht="13.15">
      <c r="A311" s="1854"/>
      <c r="B311" s="2727" t="s">
        <v>50</v>
      </c>
      <c r="C311" s="200" t="s">
        <v>72</v>
      </c>
      <c r="D311" s="2307">
        <v>0</v>
      </c>
      <c r="E311" s="2797"/>
    </row>
    <row r="312" spans="1:5" s="2070" customFormat="1" ht="13.15">
      <c r="A312" s="1854"/>
      <c r="B312" s="2727" t="s">
        <v>50</v>
      </c>
      <c r="C312" s="200" t="s">
        <v>73</v>
      </c>
      <c r="D312" s="2307">
        <v>0</v>
      </c>
      <c r="E312" s="2797"/>
    </row>
    <row r="313" spans="1:5" s="2070" customFormat="1" ht="13.15">
      <c r="A313" s="1854"/>
      <c r="B313" s="2727" t="s">
        <v>50</v>
      </c>
      <c r="C313" s="200" t="s">
        <v>74</v>
      </c>
      <c r="D313" s="2307">
        <v>0</v>
      </c>
      <c r="E313" s="2797"/>
    </row>
    <row r="314" spans="1:5" s="2070" customFormat="1" ht="13.15">
      <c r="A314" s="1854"/>
      <c r="B314" s="2727" t="s">
        <v>50</v>
      </c>
      <c r="C314" s="206" t="s">
        <v>75</v>
      </c>
      <c r="D314" s="2455">
        <v>0</v>
      </c>
      <c r="E314" s="2799"/>
    </row>
    <row r="315" spans="1:5" s="2070" customFormat="1" ht="13.15">
      <c r="A315" s="1854"/>
      <c r="B315" s="2727" t="s">
        <v>50</v>
      </c>
      <c r="C315" s="206" t="s">
        <v>85</v>
      </c>
      <c r="D315" s="2282">
        <v>0</v>
      </c>
      <c r="E315" s="2129"/>
    </row>
    <row r="316" spans="1:5" s="2070" customFormat="1" ht="4.55" customHeight="1">
      <c r="A316" s="1854"/>
      <c r="B316" s="200"/>
      <c r="C316" s="257"/>
      <c r="D316" s="2309"/>
      <c r="E316" s="2129"/>
    </row>
    <row r="317" spans="1:5" s="2070" customFormat="1" ht="15.05">
      <c r="A317" s="2590"/>
      <c r="B317" s="2736" t="s">
        <v>167</v>
      </c>
      <c r="C317" s="2313" t="s">
        <v>168</v>
      </c>
      <c r="D317" s="2332">
        <f>SUM(D318)</f>
        <v>0</v>
      </c>
      <c r="E317" s="2801"/>
    </row>
    <row r="318" spans="1:5" s="2070" customFormat="1" ht="13.15">
      <c r="A318" s="2591"/>
      <c r="B318" s="2322" t="s">
        <v>71</v>
      </c>
      <c r="C318" s="2322"/>
      <c r="D318" s="2333">
        <f>SUM(D319:D323)</f>
        <v>0</v>
      </c>
      <c r="E318" s="2802"/>
    </row>
    <row r="319" spans="1:5" s="2070" customFormat="1" ht="13.15">
      <c r="A319" s="2591"/>
      <c r="B319" s="200" t="s">
        <v>50</v>
      </c>
      <c r="C319" s="224" t="s">
        <v>73</v>
      </c>
      <c r="D319" s="2421">
        <v>0</v>
      </c>
      <c r="E319" s="2802"/>
    </row>
    <row r="320" spans="1:5" s="2070" customFormat="1" ht="13.15">
      <c r="A320" s="2591"/>
      <c r="B320" s="200" t="s">
        <v>50</v>
      </c>
      <c r="C320" s="200" t="s">
        <v>74</v>
      </c>
      <c r="D320" s="2421">
        <v>0</v>
      </c>
      <c r="E320" s="2802"/>
    </row>
    <row r="321" spans="1:5" s="2070" customFormat="1" ht="13.15">
      <c r="A321" s="2591"/>
      <c r="B321" s="200" t="s">
        <v>50</v>
      </c>
      <c r="C321" s="200" t="s">
        <v>75</v>
      </c>
      <c r="D321" s="2421">
        <v>0</v>
      </c>
      <c r="E321" s="2802"/>
    </row>
    <row r="322" spans="1:5" s="2070" customFormat="1" ht="13.15">
      <c r="A322" s="2591"/>
      <c r="B322" s="200" t="s">
        <v>50</v>
      </c>
      <c r="C322" s="200" t="s">
        <v>169</v>
      </c>
      <c r="D322" s="2421">
        <v>0</v>
      </c>
      <c r="E322" s="2802"/>
    </row>
    <row r="323" spans="1:5" s="2070" customFormat="1" ht="13.15">
      <c r="A323" s="2591"/>
      <c r="B323" s="200" t="s">
        <v>50</v>
      </c>
      <c r="C323" s="200" t="s">
        <v>85</v>
      </c>
      <c r="D323" s="2421">
        <v>0</v>
      </c>
      <c r="E323" s="2802"/>
    </row>
    <row r="324" spans="1:5" s="2070" customFormat="1" ht="4.55" customHeight="1">
      <c r="A324" s="1854"/>
      <c r="B324" s="200"/>
      <c r="C324" s="200"/>
      <c r="D324" s="2303"/>
      <c r="E324" s="2799"/>
    </row>
    <row r="325" spans="1:5" s="2073" customFormat="1" ht="15.05">
      <c r="A325" s="2528"/>
      <c r="B325" s="2195" t="s">
        <v>170</v>
      </c>
      <c r="C325" s="2313" t="s">
        <v>171</v>
      </c>
      <c r="D325" s="2306">
        <f>SUM(D326)</f>
        <v>0</v>
      </c>
      <c r="E325" s="2800"/>
    </row>
    <row r="326" spans="1:5" s="2070" customFormat="1" ht="13.15">
      <c r="A326" s="1854"/>
      <c r="B326" s="202" t="s">
        <v>71</v>
      </c>
      <c r="C326" s="202"/>
      <c r="D326" s="2307">
        <f>SUM(D327:D331)</f>
        <v>0</v>
      </c>
      <c r="E326" s="2797"/>
    </row>
    <row r="327" spans="1:5" s="2070" customFormat="1" ht="13.15">
      <c r="A327" s="1854"/>
      <c r="B327" s="2727" t="s">
        <v>50</v>
      </c>
      <c r="C327" s="200" t="s">
        <v>72</v>
      </c>
      <c r="D327" s="2307">
        <v>0</v>
      </c>
      <c r="E327" s="2797"/>
    </row>
    <row r="328" spans="1:5" s="2070" customFormat="1" ht="13.15">
      <c r="A328" s="1854"/>
      <c r="B328" s="2727" t="s">
        <v>50</v>
      </c>
      <c r="C328" s="200" t="s">
        <v>73</v>
      </c>
      <c r="D328" s="2307">
        <v>0</v>
      </c>
      <c r="E328" s="2797"/>
    </row>
    <row r="329" spans="1:5" s="2070" customFormat="1" ht="13.15">
      <c r="A329" s="1854"/>
      <c r="B329" s="2727" t="s">
        <v>50</v>
      </c>
      <c r="C329" s="200" t="s">
        <v>74</v>
      </c>
      <c r="D329" s="2307">
        <v>0</v>
      </c>
      <c r="E329" s="2797"/>
    </row>
    <row r="330" spans="1:5" s="2070" customFormat="1" ht="13.15">
      <c r="A330" s="1854"/>
      <c r="B330" s="2727" t="s">
        <v>50</v>
      </c>
      <c r="C330" s="206" t="s">
        <v>75</v>
      </c>
      <c r="D330" s="2455">
        <v>0</v>
      </c>
      <c r="E330" s="2799"/>
    </row>
    <row r="331" spans="1:5" s="2070" customFormat="1" ht="13.15">
      <c r="A331" s="1854"/>
      <c r="B331" s="2727" t="s">
        <v>50</v>
      </c>
      <c r="C331" s="206" t="s">
        <v>85</v>
      </c>
      <c r="D331" s="2282">
        <v>0</v>
      </c>
      <c r="E331" s="2129"/>
    </row>
    <row r="332" spans="1:5" s="2070" customFormat="1" ht="7.55" customHeight="1">
      <c r="A332" s="1902"/>
      <c r="B332" s="856"/>
      <c r="C332" s="203"/>
      <c r="D332" s="2309"/>
      <c r="E332" s="2129"/>
    </row>
    <row r="333" spans="1:5" s="2070" customFormat="1" ht="15.05">
      <c r="A333" s="2528"/>
      <c r="B333" s="2323" t="s">
        <v>172</v>
      </c>
      <c r="C333" s="2313" t="s">
        <v>173</v>
      </c>
      <c r="D333" s="2306">
        <f>SUM(D334)</f>
        <v>0</v>
      </c>
      <c r="E333" s="2800"/>
    </row>
    <row r="334" spans="1:5" s="2070" customFormat="1" ht="13.15">
      <c r="A334" s="2593"/>
      <c r="B334" s="202" t="s">
        <v>71</v>
      </c>
      <c r="C334" s="202"/>
      <c r="D334" s="2307">
        <f>SUM(D335:D339)</f>
        <v>0</v>
      </c>
      <c r="E334" s="2797"/>
    </row>
    <row r="335" spans="1:5" s="2070" customFormat="1" ht="13.15">
      <c r="A335" s="2594"/>
      <c r="B335" s="257" t="s">
        <v>50</v>
      </c>
      <c r="C335" s="200" t="s">
        <v>72</v>
      </c>
      <c r="D335" s="2466">
        <v>0</v>
      </c>
      <c r="E335" s="2129"/>
    </row>
    <row r="336" spans="1:5" s="2070" customFormat="1" ht="13.15">
      <c r="A336" s="2594"/>
      <c r="B336" s="257" t="s">
        <v>50</v>
      </c>
      <c r="C336" s="200" t="s">
        <v>73</v>
      </c>
      <c r="D336" s="2466">
        <v>0</v>
      </c>
      <c r="E336" s="2129"/>
    </row>
    <row r="337" spans="1:17" s="2070" customFormat="1" ht="13.15">
      <c r="A337" s="2594"/>
      <c r="B337" s="257" t="s">
        <v>50</v>
      </c>
      <c r="C337" s="200" t="s">
        <v>74</v>
      </c>
      <c r="D337" s="2466">
        <v>0</v>
      </c>
      <c r="E337" s="2129"/>
    </row>
    <row r="338" spans="1:17" s="2070" customFormat="1" ht="13.15">
      <c r="A338" s="2594"/>
      <c r="B338" s="257" t="s">
        <v>50</v>
      </c>
      <c r="C338" s="200" t="s">
        <v>75</v>
      </c>
      <c r="D338" s="2466">
        <v>0</v>
      </c>
      <c r="E338" s="2129"/>
    </row>
    <row r="339" spans="1:17" s="2070" customFormat="1" ht="13.15">
      <c r="A339" s="2594"/>
      <c r="B339" s="2214" t="s">
        <v>50</v>
      </c>
      <c r="C339" s="200" t="s">
        <v>85</v>
      </c>
      <c r="D339" s="2466">
        <v>0</v>
      </c>
      <c r="E339" s="2129"/>
    </row>
    <row r="340" spans="1:17" s="2070" customFormat="1" ht="5.95" customHeight="1">
      <c r="A340" s="1902"/>
      <c r="B340" s="856"/>
      <c r="C340" s="203"/>
      <c r="D340" s="2334"/>
      <c r="E340" s="2799"/>
    </row>
    <row r="341" spans="1:17" s="2073" customFormat="1" ht="15.05">
      <c r="A341" s="2595" t="s">
        <v>174</v>
      </c>
      <c r="B341" s="2313" t="s">
        <v>175</v>
      </c>
      <c r="C341" s="2313"/>
      <c r="D341" s="2338">
        <f>SUM(D342)</f>
        <v>0</v>
      </c>
      <c r="E341" s="2803"/>
    </row>
    <row r="342" spans="1:17" s="2070" customFormat="1" ht="13.15">
      <c r="A342" s="1854"/>
      <c r="B342" s="202" t="s">
        <v>71</v>
      </c>
      <c r="C342" s="202"/>
      <c r="D342" s="2307">
        <f>SUM(D343:D347)</f>
        <v>0</v>
      </c>
      <c r="E342" s="2797"/>
    </row>
    <row r="343" spans="1:17" s="2070" customFormat="1" ht="13.15">
      <c r="A343" s="1854"/>
      <c r="B343" s="2727" t="s">
        <v>50</v>
      </c>
      <c r="C343" s="200" t="s">
        <v>72</v>
      </c>
      <c r="D343" s="2455">
        <v>0</v>
      </c>
      <c r="E343" s="2799"/>
    </row>
    <row r="344" spans="1:17" s="2070" customFormat="1" ht="13.15">
      <c r="A344" s="1854"/>
      <c r="B344" s="2727" t="s">
        <v>50</v>
      </c>
      <c r="C344" s="200" t="s">
        <v>73</v>
      </c>
      <c r="D344" s="2466">
        <v>0</v>
      </c>
      <c r="E344" s="2129"/>
    </row>
    <row r="345" spans="1:17" s="2070" customFormat="1" ht="13.15">
      <c r="A345" s="1854"/>
      <c r="B345" s="2727" t="s">
        <v>50</v>
      </c>
      <c r="C345" s="200" t="s">
        <v>74</v>
      </c>
      <c r="D345" s="2466">
        <v>0</v>
      </c>
      <c r="E345" s="2129"/>
    </row>
    <row r="346" spans="1:17" s="2070" customFormat="1" ht="13.15">
      <c r="A346" s="1854"/>
      <c r="B346" s="2727" t="s">
        <v>50</v>
      </c>
      <c r="C346" s="206" t="s">
        <v>75</v>
      </c>
      <c r="D346" s="2466">
        <v>0</v>
      </c>
      <c r="E346" s="2129"/>
    </row>
    <row r="347" spans="1:17" s="2070" customFormat="1" ht="13.15">
      <c r="A347" s="1854"/>
      <c r="B347" s="2727" t="s">
        <v>50</v>
      </c>
      <c r="C347" s="206" t="s">
        <v>85</v>
      </c>
      <c r="D347" s="2466">
        <v>0</v>
      </c>
      <c r="E347" s="2129"/>
    </row>
    <row r="348" spans="1:17" s="2070" customFormat="1" ht="6.75" customHeight="1">
      <c r="A348" s="2596"/>
      <c r="B348" s="2326"/>
      <c r="C348" s="2326"/>
      <c r="D348" s="2314"/>
      <c r="E348" s="2799"/>
    </row>
    <row r="349" spans="1:17" s="2070" customFormat="1" ht="15.05">
      <c r="A349" s="2528" t="s">
        <v>176</v>
      </c>
      <c r="B349" s="2313" t="s">
        <v>177</v>
      </c>
      <c r="C349" s="2195"/>
      <c r="D349" s="2147">
        <f>D350+D422</f>
        <v>3471628553484</v>
      </c>
      <c r="E349" s="2787"/>
      <c r="F349" s="2672">
        <f>D349-[1]Perdinas!$W$457</f>
        <v>0</v>
      </c>
      <c r="G349" s="2198"/>
      <c r="H349" s="2198" t="s">
        <v>178</v>
      </c>
    </row>
    <row r="350" spans="1:17" s="2070" customFormat="1" ht="13.15">
      <c r="A350" s="2597" t="s">
        <v>179</v>
      </c>
      <c r="B350" s="202" t="s">
        <v>180</v>
      </c>
      <c r="C350" s="202"/>
      <c r="D350" s="1891">
        <f>D351+D366+D380</f>
        <v>181842529274</v>
      </c>
      <c r="E350" s="2785"/>
    </row>
    <row r="351" spans="1:17" s="2076" customFormat="1" ht="13.15">
      <c r="A351" s="1854"/>
      <c r="B351" s="202" t="s">
        <v>106</v>
      </c>
      <c r="C351" s="202"/>
      <c r="D351" s="1891">
        <f>D353</f>
        <v>2235631500</v>
      </c>
      <c r="E351" s="2785"/>
      <c r="F351" s="2070"/>
      <c r="G351" s="2070"/>
      <c r="H351" s="2070"/>
      <c r="I351" s="2070"/>
      <c r="J351" s="2070"/>
      <c r="K351" s="2070"/>
      <c r="L351" s="2070"/>
      <c r="M351" s="2070"/>
      <c r="N351" s="2070"/>
      <c r="O351" s="2070"/>
      <c r="P351" s="2070"/>
      <c r="Q351" s="2070"/>
    </row>
    <row r="352" spans="1:17" s="2076" customFormat="1" ht="13.15">
      <c r="A352" s="1854"/>
      <c r="B352" s="202" t="s">
        <v>109</v>
      </c>
      <c r="C352" s="202"/>
      <c r="D352" s="1891">
        <f>D354</f>
        <v>2235631500</v>
      </c>
      <c r="E352" s="2785"/>
      <c r="F352" s="2070"/>
      <c r="G352" s="2070"/>
      <c r="H352" s="2070"/>
      <c r="I352" s="2070"/>
      <c r="J352" s="2070"/>
      <c r="K352" s="2070"/>
      <c r="L352" s="2070"/>
      <c r="M352" s="2070"/>
      <c r="N352" s="2070"/>
      <c r="O352" s="2070"/>
      <c r="P352" s="2070"/>
      <c r="Q352" s="2070"/>
    </row>
    <row r="353" spans="1:17" s="2076" customFormat="1" ht="15.05">
      <c r="A353" s="1859"/>
      <c r="B353" s="2329" t="s">
        <v>181</v>
      </c>
      <c r="C353" s="2340"/>
      <c r="D353" s="1749">
        <f>D354</f>
        <v>2235631500</v>
      </c>
      <c r="E353" s="2788"/>
      <c r="F353" s="2070"/>
      <c r="G353" s="2070"/>
      <c r="H353" s="2070"/>
      <c r="I353" s="2070"/>
      <c r="J353" s="2070"/>
      <c r="K353" s="2070"/>
      <c r="L353" s="2070"/>
      <c r="M353" s="2070"/>
      <c r="N353" s="2070"/>
      <c r="O353" s="2070"/>
      <c r="P353" s="2070"/>
      <c r="Q353" s="2070"/>
    </row>
    <row r="354" spans="1:17" s="2076" customFormat="1" ht="15.05">
      <c r="A354" s="1854"/>
      <c r="B354" s="2727" t="s">
        <v>156</v>
      </c>
      <c r="C354" s="200" t="s">
        <v>182</v>
      </c>
      <c r="D354" s="1749">
        <f>SUM(D355:D358)</f>
        <v>2235631500</v>
      </c>
      <c r="E354" s="2788"/>
      <c r="F354" s="2070"/>
      <c r="G354" s="2070"/>
      <c r="H354" s="2070"/>
      <c r="I354" s="2070"/>
      <c r="J354" s="2070"/>
      <c r="K354" s="2070"/>
      <c r="L354" s="2070"/>
      <c r="M354" s="2070"/>
      <c r="N354" s="2070"/>
      <c r="O354" s="2070"/>
      <c r="P354" s="2070"/>
      <c r="Q354" s="2070"/>
    </row>
    <row r="355" spans="1:17" s="2076" customFormat="1" ht="13.15">
      <c r="A355" s="1854"/>
      <c r="B355" s="200"/>
      <c r="C355" s="2727" t="s">
        <v>183</v>
      </c>
      <c r="D355" s="2224">
        <v>1043101100</v>
      </c>
      <c r="E355" s="2791"/>
      <c r="F355" s="2070"/>
      <c r="G355" s="2070"/>
      <c r="H355" s="2070"/>
      <c r="I355" s="2070"/>
      <c r="J355" s="2070"/>
      <c r="K355" s="2070"/>
      <c r="L355" s="2070"/>
      <c r="M355" s="2070"/>
      <c r="N355" s="2070"/>
      <c r="O355" s="2070"/>
      <c r="P355" s="2070"/>
      <c r="Q355" s="2070"/>
    </row>
    <row r="356" spans="1:17" s="2076" customFormat="1" ht="13.15">
      <c r="A356" s="1854"/>
      <c r="B356" s="200"/>
      <c r="C356" s="2727" t="s">
        <v>184</v>
      </c>
      <c r="D356" s="2224">
        <v>532280400</v>
      </c>
      <c r="E356" s="2791"/>
      <c r="F356" s="2070"/>
      <c r="G356" s="2070"/>
      <c r="H356" s="2070"/>
      <c r="I356" s="2070"/>
      <c r="J356" s="2070"/>
      <c r="K356" s="2070"/>
      <c r="L356" s="2070"/>
      <c r="M356" s="2070"/>
      <c r="N356" s="2070"/>
      <c r="O356" s="2070"/>
      <c r="P356" s="2070"/>
      <c r="Q356" s="2070"/>
    </row>
    <row r="357" spans="1:17" s="2076" customFormat="1" ht="13.15">
      <c r="A357" s="1854"/>
      <c r="B357" s="2727" t="s">
        <v>161</v>
      </c>
      <c r="C357" s="2727" t="s">
        <v>185</v>
      </c>
      <c r="D357" s="2224">
        <v>500000000</v>
      </c>
      <c r="E357" s="2791"/>
      <c r="F357" s="2070"/>
      <c r="G357" s="2070"/>
      <c r="H357" s="2070"/>
      <c r="I357" s="2070"/>
      <c r="J357" s="2070"/>
      <c r="K357" s="2070"/>
      <c r="L357" s="2070"/>
      <c r="M357" s="2070"/>
      <c r="N357" s="2070"/>
      <c r="O357" s="2070"/>
      <c r="P357" s="2070"/>
      <c r="Q357" s="2070"/>
    </row>
    <row r="358" spans="1:17" s="2076" customFormat="1" ht="15.05">
      <c r="A358" s="1854"/>
      <c r="B358" s="2727" t="s">
        <v>163</v>
      </c>
      <c r="C358" s="200" t="s">
        <v>186</v>
      </c>
      <c r="D358" s="1749">
        <f>SUM(D359:D364)</f>
        <v>160250000</v>
      </c>
      <c r="E358" s="2788"/>
      <c r="F358" s="2070"/>
      <c r="G358" s="2070"/>
      <c r="H358" s="2070"/>
      <c r="I358" s="2070"/>
      <c r="J358" s="2070"/>
      <c r="K358" s="2070"/>
      <c r="L358" s="2070"/>
      <c r="M358" s="2070"/>
      <c r="N358" s="2070"/>
      <c r="O358" s="2070"/>
      <c r="P358" s="2070"/>
      <c r="Q358" s="2070"/>
    </row>
    <row r="359" spans="1:17" s="2076" customFormat="1" ht="13.15">
      <c r="A359" s="1854"/>
      <c r="B359" s="200"/>
      <c r="C359" s="2727" t="s">
        <v>187</v>
      </c>
      <c r="D359" s="2224">
        <v>35000000</v>
      </c>
      <c r="E359" s="2791"/>
      <c r="F359" s="2070"/>
      <c r="G359" s="2070"/>
      <c r="H359" s="2070"/>
      <c r="I359" s="2070"/>
      <c r="J359" s="2070"/>
      <c r="K359" s="2070"/>
      <c r="L359" s="2070"/>
      <c r="M359" s="2070"/>
      <c r="N359" s="2070"/>
      <c r="O359" s="2070"/>
      <c r="P359" s="2070"/>
      <c r="Q359" s="2070"/>
    </row>
    <row r="360" spans="1:17" s="2076" customFormat="1" ht="13.15">
      <c r="A360" s="1854"/>
      <c r="B360" s="200"/>
      <c r="C360" s="2727" t="s">
        <v>188</v>
      </c>
      <c r="D360" s="2224">
        <v>28000000</v>
      </c>
      <c r="E360" s="2791"/>
      <c r="F360" s="2070"/>
      <c r="G360" s="2070"/>
      <c r="H360" s="2070"/>
      <c r="I360" s="2070"/>
      <c r="J360" s="2070"/>
      <c r="K360" s="2070"/>
      <c r="L360" s="2070"/>
      <c r="M360" s="2070"/>
      <c r="N360" s="2070"/>
      <c r="O360" s="2070"/>
      <c r="P360" s="2070"/>
      <c r="Q360" s="2070"/>
    </row>
    <row r="361" spans="1:17" s="2076" customFormat="1" ht="13.15">
      <c r="A361" s="1854"/>
      <c r="B361" s="200"/>
      <c r="C361" s="2727" t="s">
        <v>189</v>
      </c>
      <c r="D361" s="2224">
        <v>17250000</v>
      </c>
      <c r="E361" s="2791"/>
      <c r="F361" s="2070"/>
      <c r="G361" s="2070"/>
      <c r="H361" s="2070"/>
      <c r="I361" s="2070"/>
      <c r="J361" s="2070"/>
      <c r="K361" s="2070"/>
      <c r="L361" s="2070"/>
      <c r="M361" s="2070"/>
      <c r="N361" s="2070"/>
      <c r="O361" s="2070"/>
      <c r="P361" s="2070"/>
      <c r="Q361" s="2070"/>
    </row>
    <row r="362" spans="1:17" s="2076" customFormat="1" ht="13.15">
      <c r="A362" s="1854"/>
      <c r="B362" s="202"/>
      <c r="C362" s="2727" t="s">
        <v>190</v>
      </c>
      <c r="D362" s="2224">
        <v>30000000</v>
      </c>
      <c r="E362" s="2791"/>
      <c r="F362" s="2070"/>
      <c r="G362" s="2070"/>
      <c r="H362" s="2070"/>
      <c r="I362" s="2070"/>
      <c r="J362" s="2070"/>
      <c r="K362" s="2070"/>
      <c r="L362" s="2070"/>
      <c r="M362" s="2070"/>
      <c r="N362" s="2070"/>
      <c r="O362" s="2070"/>
      <c r="P362" s="2070"/>
      <c r="Q362" s="2070"/>
    </row>
    <row r="363" spans="1:17" s="2076" customFormat="1" ht="13.15">
      <c r="A363" s="1854"/>
      <c r="B363" s="202"/>
      <c r="C363" s="2727" t="s">
        <v>191</v>
      </c>
      <c r="D363" s="2224">
        <v>50000000</v>
      </c>
      <c r="E363" s="2791"/>
      <c r="F363" s="2070"/>
      <c r="G363" s="2070"/>
      <c r="H363" s="2070"/>
      <c r="I363" s="2070"/>
      <c r="J363" s="2070"/>
      <c r="K363" s="2070"/>
      <c r="L363" s="2070"/>
      <c r="M363" s="2070"/>
      <c r="N363" s="2070"/>
      <c r="O363" s="2070"/>
      <c r="P363" s="2070"/>
      <c r="Q363" s="2070"/>
    </row>
    <row r="364" spans="1:17" s="2076" customFormat="1" ht="13.15">
      <c r="A364" s="1854"/>
      <c r="B364" s="2727" t="s">
        <v>165</v>
      </c>
      <c r="C364" s="200" t="s">
        <v>192</v>
      </c>
      <c r="D364" s="2189">
        <v>0</v>
      </c>
      <c r="E364" s="2792"/>
      <c r="F364" s="2070"/>
      <c r="G364" s="2070"/>
      <c r="H364" s="2070"/>
      <c r="I364" s="2070"/>
      <c r="J364" s="2070"/>
      <c r="K364" s="2070"/>
      <c r="L364" s="2070"/>
      <c r="M364" s="2070"/>
      <c r="N364" s="2070"/>
      <c r="O364" s="2070"/>
      <c r="P364" s="2070"/>
      <c r="Q364" s="2070"/>
    </row>
    <row r="365" spans="1:17" s="2076" customFormat="1" ht="6.75" customHeight="1">
      <c r="A365" s="1854"/>
      <c r="B365" s="202"/>
      <c r="C365" s="200"/>
      <c r="D365" s="2161"/>
      <c r="E365" s="2792"/>
      <c r="F365" s="2070"/>
      <c r="G365" s="2070"/>
      <c r="H365" s="2070"/>
      <c r="I365" s="2070"/>
      <c r="J365" s="2070"/>
      <c r="K365" s="2070"/>
      <c r="L365" s="2070"/>
      <c r="M365" s="2070"/>
      <c r="N365" s="2070"/>
      <c r="O365" s="2070"/>
      <c r="P365" s="2070"/>
      <c r="Q365" s="2070"/>
    </row>
    <row r="366" spans="1:17" s="2076" customFormat="1" ht="15.05">
      <c r="A366" s="2597" t="s">
        <v>179</v>
      </c>
      <c r="B366" s="2330" t="s">
        <v>193</v>
      </c>
      <c r="C366" s="1466"/>
      <c r="D366" s="1469">
        <f>+D367+D377</f>
        <v>92558485190</v>
      </c>
      <c r="E366" s="2785"/>
      <c r="F366" s="2070"/>
      <c r="G366" s="2070"/>
      <c r="H366" s="2070"/>
      <c r="I366" s="2070"/>
      <c r="J366" s="2070"/>
      <c r="K366" s="2070"/>
      <c r="L366" s="2070"/>
      <c r="M366" s="2070"/>
      <c r="N366" s="2070"/>
      <c r="O366" s="2070"/>
      <c r="P366" s="2070"/>
      <c r="Q366" s="2070"/>
    </row>
    <row r="367" spans="1:17" s="2076" customFormat="1" ht="13.15">
      <c r="A367" s="1854"/>
      <c r="B367" s="200" t="s">
        <v>194</v>
      </c>
      <c r="C367" s="200"/>
      <c r="D367" s="1891">
        <f>+D368</f>
        <v>90558485190</v>
      </c>
      <c r="E367" s="2785"/>
      <c r="F367" s="2070"/>
      <c r="G367" s="2070"/>
      <c r="H367" s="2070"/>
      <c r="I367" s="2070"/>
      <c r="J367" s="2070"/>
      <c r="K367" s="2070"/>
      <c r="L367" s="2070"/>
      <c r="M367" s="2070"/>
      <c r="N367" s="2070"/>
      <c r="O367" s="2070"/>
      <c r="P367" s="2070"/>
      <c r="Q367" s="2070"/>
    </row>
    <row r="368" spans="1:17" s="2076" customFormat="1" ht="13.15">
      <c r="A368" s="1854"/>
      <c r="B368" s="200" t="s">
        <v>195</v>
      </c>
      <c r="C368" s="200"/>
      <c r="D368" s="2345">
        <f>SUM(D369:D375)</f>
        <v>90558485190</v>
      </c>
      <c r="E368" s="2804"/>
      <c r="F368" s="2070"/>
      <c r="G368" s="2070"/>
      <c r="H368" s="2070"/>
      <c r="I368" s="2070"/>
      <c r="J368" s="2070"/>
      <c r="K368" s="2070"/>
      <c r="L368" s="2070"/>
      <c r="M368" s="2070"/>
      <c r="N368" s="2070"/>
      <c r="O368" s="2070"/>
      <c r="P368" s="2070"/>
      <c r="Q368" s="2070"/>
    </row>
    <row r="369" spans="1:17" s="2076" customFormat="1" ht="13.15">
      <c r="A369" s="1854"/>
      <c r="B369" s="200" t="s">
        <v>50</v>
      </c>
      <c r="C369" s="200" t="s">
        <v>196</v>
      </c>
      <c r="D369" s="2224">
        <v>13374571865</v>
      </c>
      <c r="E369" s="2791"/>
      <c r="F369" s="2665">
        <f>D369-[1]Perdinas!$W$483</f>
        <v>0</v>
      </c>
      <c r="G369" s="2070"/>
      <c r="H369" s="2070"/>
      <c r="I369" s="2070"/>
      <c r="J369" s="2070"/>
      <c r="K369" s="2070"/>
      <c r="L369" s="2070"/>
      <c r="M369" s="2070"/>
      <c r="N369" s="2070"/>
      <c r="O369" s="2070"/>
      <c r="P369" s="2070"/>
      <c r="Q369" s="2070"/>
    </row>
    <row r="370" spans="1:17" s="2076" customFormat="1" ht="13.15">
      <c r="A370" s="1854"/>
      <c r="B370" s="200" t="s">
        <v>50</v>
      </c>
      <c r="C370" s="200" t="s">
        <v>197</v>
      </c>
      <c r="D370" s="2224">
        <v>59958450102</v>
      </c>
      <c r="E370" s="2791"/>
      <c r="F370" s="2665">
        <f>D370-[1]Perdinas!$W$484</f>
        <v>0</v>
      </c>
      <c r="G370" s="2070"/>
      <c r="H370" s="2070"/>
      <c r="I370" s="2070"/>
      <c r="J370" s="2070"/>
      <c r="K370" s="2070"/>
      <c r="L370" s="2070"/>
      <c r="M370" s="2070"/>
      <c r="N370" s="2070"/>
      <c r="O370" s="2070"/>
      <c r="P370" s="2070"/>
      <c r="Q370" s="2070"/>
    </row>
    <row r="371" spans="1:17" s="2076" customFormat="1" ht="13.15">
      <c r="A371" s="1854"/>
      <c r="B371" s="200" t="s">
        <v>50</v>
      </c>
      <c r="C371" s="200" t="s">
        <v>198</v>
      </c>
      <c r="D371" s="2224">
        <v>1000000000</v>
      </c>
      <c r="E371" s="2791"/>
      <c r="F371" s="2665">
        <f>D371-[1]Perdinas!$W$485</f>
        <v>0</v>
      </c>
      <c r="G371" s="2070"/>
      <c r="H371" s="2070"/>
      <c r="I371" s="2070"/>
      <c r="J371" s="2070"/>
      <c r="K371" s="2070"/>
      <c r="L371" s="2070"/>
      <c r="M371" s="2070"/>
      <c r="N371" s="2070"/>
      <c r="O371" s="2070"/>
      <c r="P371" s="2070"/>
      <c r="Q371" s="2070"/>
    </row>
    <row r="372" spans="1:17" s="2076" customFormat="1" ht="13.15">
      <c r="A372" s="1854"/>
      <c r="B372" s="200" t="s">
        <v>50</v>
      </c>
      <c r="C372" s="200" t="s">
        <v>199</v>
      </c>
      <c r="D372" s="2224">
        <v>16000000000</v>
      </c>
      <c r="E372" s="2791"/>
      <c r="F372" s="2665">
        <f>D372-[1]Perdinas!$W$486</f>
        <v>0</v>
      </c>
      <c r="G372" s="2070"/>
      <c r="H372" s="2070"/>
      <c r="I372" s="2070"/>
      <c r="J372" s="2070"/>
      <c r="K372" s="2070"/>
      <c r="L372" s="2070"/>
      <c r="M372" s="2070"/>
      <c r="N372" s="2070"/>
      <c r="O372" s="2070"/>
      <c r="P372" s="2070"/>
      <c r="Q372" s="2070"/>
    </row>
    <row r="373" spans="1:17" s="2076" customFormat="1" ht="13.15">
      <c r="A373" s="1854"/>
      <c r="B373" s="200" t="s">
        <v>50</v>
      </c>
      <c r="C373" s="200" t="s">
        <v>200</v>
      </c>
      <c r="D373" s="2224">
        <v>0</v>
      </c>
      <c r="E373" s="2791"/>
      <c r="F373" s="2665">
        <f>D373-[1]Perdinas!$W$487</f>
        <v>0</v>
      </c>
      <c r="G373" s="2070"/>
      <c r="H373" s="2070"/>
      <c r="I373" s="2070"/>
      <c r="J373" s="2070"/>
      <c r="K373" s="2070"/>
      <c r="L373" s="2070"/>
      <c r="M373" s="2070"/>
      <c r="N373" s="2070"/>
      <c r="O373" s="2070"/>
      <c r="P373" s="2070"/>
      <c r="Q373" s="2070"/>
    </row>
    <row r="374" spans="1:17" s="2076" customFormat="1" ht="13.15">
      <c r="A374" s="1854"/>
      <c r="B374" s="200" t="s">
        <v>50</v>
      </c>
      <c r="C374" s="200" t="s">
        <v>201</v>
      </c>
      <c r="D374" s="2224">
        <v>136702012</v>
      </c>
      <c r="E374" s="2791"/>
      <c r="F374" s="2665">
        <f>D374-[1]Perdinas!$W$488</f>
        <v>0</v>
      </c>
      <c r="G374" s="2070"/>
      <c r="H374" s="2070"/>
      <c r="I374" s="2070"/>
      <c r="J374" s="2070"/>
      <c r="K374" s="2070"/>
      <c r="L374" s="2070"/>
      <c r="M374" s="2070"/>
      <c r="N374" s="2070"/>
      <c r="O374" s="2070"/>
      <c r="P374" s="2070"/>
      <c r="Q374" s="2070"/>
    </row>
    <row r="375" spans="1:17" s="2076" customFormat="1" ht="13.15">
      <c r="A375" s="1854"/>
      <c r="B375" s="200" t="s">
        <v>50</v>
      </c>
      <c r="C375" s="200" t="s">
        <v>202</v>
      </c>
      <c r="D375" s="2224">
        <v>88761211</v>
      </c>
      <c r="E375" s="2791"/>
      <c r="F375" s="2665">
        <f>D375-[1]Perdinas!$W$489</f>
        <v>0</v>
      </c>
      <c r="G375" s="2070"/>
      <c r="H375" s="2070"/>
      <c r="I375" s="2070"/>
      <c r="J375" s="2070"/>
      <c r="K375" s="2070"/>
      <c r="L375" s="2070"/>
      <c r="M375" s="2070"/>
      <c r="N375" s="2070"/>
      <c r="O375" s="2070"/>
      <c r="P375" s="2070"/>
      <c r="Q375" s="2070"/>
    </row>
    <row r="376" spans="1:17" s="2076" customFormat="1" ht="6.75" customHeight="1">
      <c r="A376" s="1854"/>
      <c r="B376" s="200"/>
      <c r="C376" s="2340"/>
      <c r="D376" s="2346"/>
      <c r="E376" s="2791"/>
      <c r="F376" s="2070"/>
      <c r="G376" s="2070"/>
      <c r="H376" s="2070"/>
      <c r="I376" s="2070"/>
      <c r="J376" s="2070"/>
      <c r="K376" s="2070"/>
      <c r="L376" s="2070"/>
      <c r="M376" s="2070"/>
      <c r="N376" s="2070"/>
      <c r="O376" s="2070"/>
      <c r="P376" s="2070"/>
      <c r="Q376" s="2070"/>
    </row>
    <row r="377" spans="1:17" s="2076" customFormat="1" ht="15.05">
      <c r="A377" s="1854"/>
      <c r="B377" s="200" t="s">
        <v>203</v>
      </c>
      <c r="C377" s="2340"/>
      <c r="D377" s="2161">
        <v>2000000000</v>
      </c>
      <c r="E377" s="2792"/>
      <c r="F377" s="2070"/>
      <c r="G377" s="2070"/>
      <c r="H377" s="2070"/>
      <c r="I377" s="2070"/>
      <c r="J377" s="2070"/>
      <c r="K377" s="2070"/>
      <c r="L377" s="2070"/>
      <c r="M377" s="2070"/>
      <c r="N377" s="2070"/>
      <c r="O377" s="2070"/>
      <c r="P377" s="2070"/>
      <c r="Q377" s="2070"/>
    </row>
    <row r="378" spans="1:17" s="2076" customFormat="1" ht="13.15">
      <c r="A378" s="1854"/>
      <c r="B378" s="2728" t="s">
        <v>50</v>
      </c>
      <c r="C378" s="200" t="s">
        <v>204</v>
      </c>
      <c r="D378" s="2218">
        <v>2000000000</v>
      </c>
      <c r="E378" s="2791"/>
      <c r="F378" s="2070"/>
      <c r="G378" s="2070"/>
      <c r="H378" s="2070"/>
      <c r="I378" s="2070"/>
      <c r="J378" s="2070"/>
      <c r="K378" s="2070"/>
      <c r="L378" s="2070"/>
      <c r="M378" s="2070"/>
      <c r="N378" s="2070"/>
      <c r="O378" s="2070"/>
      <c r="P378" s="2070"/>
      <c r="Q378" s="2070"/>
    </row>
    <row r="379" spans="1:17" s="2076" customFormat="1" ht="5.95" customHeight="1">
      <c r="A379" s="1854"/>
      <c r="B379" s="202"/>
      <c r="C379" s="200"/>
      <c r="D379" s="2218"/>
      <c r="E379" s="2791"/>
      <c r="F379" s="2070"/>
      <c r="G379" s="2070"/>
      <c r="H379" s="2070"/>
      <c r="I379" s="2070"/>
      <c r="J379" s="2070"/>
      <c r="K379" s="2070"/>
      <c r="L379" s="2070"/>
      <c r="M379" s="2070"/>
      <c r="N379" s="2070"/>
      <c r="O379" s="2070"/>
      <c r="P379" s="2070"/>
      <c r="Q379" s="2070"/>
    </row>
    <row r="380" spans="1:17" s="2076" customFormat="1" ht="15.05">
      <c r="A380" s="2597" t="s">
        <v>179</v>
      </c>
      <c r="B380" s="2331" t="s">
        <v>71</v>
      </c>
      <c r="C380" s="2347"/>
      <c r="D380" s="2348">
        <f>D381+D388+D392+D395+D399+D402+D415</f>
        <v>87048412584</v>
      </c>
      <c r="E380" s="2805"/>
      <c r="F380" s="2665">
        <f>D380-[1]Perdinas!$W$493</f>
        <v>0</v>
      </c>
      <c r="G380" s="2070"/>
      <c r="H380" s="2665"/>
      <c r="I380" s="2070"/>
      <c r="J380" s="2070"/>
      <c r="K380" s="2070"/>
      <c r="L380" s="2070"/>
      <c r="M380" s="2070"/>
      <c r="N380" s="2070"/>
      <c r="O380" s="2070"/>
      <c r="P380" s="2070"/>
      <c r="Q380" s="2070"/>
    </row>
    <row r="381" spans="1:17" s="2076" customFormat="1" ht="15.05">
      <c r="A381" s="2600" t="s">
        <v>205</v>
      </c>
      <c r="B381" s="212" t="s">
        <v>206</v>
      </c>
      <c r="C381" s="1318"/>
      <c r="D381" s="2376">
        <f>SUM(D382:D386)</f>
        <v>250000000</v>
      </c>
      <c r="E381" s="2805"/>
      <c r="F381" s="2070"/>
      <c r="G381" s="2070"/>
      <c r="H381" s="2070"/>
      <c r="I381" s="2070"/>
      <c r="J381" s="2070"/>
      <c r="K381" s="2070"/>
      <c r="L381" s="2070"/>
      <c r="M381" s="2070"/>
      <c r="N381" s="2070"/>
      <c r="O381" s="2070"/>
      <c r="P381" s="2070"/>
      <c r="Q381" s="2070"/>
    </row>
    <row r="382" spans="1:17" s="2076" customFormat="1" ht="13.15">
      <c r="A382" s="1854"/>
      <c r="B382" s="2727" t="s">
        <v>50</v>
      </c>
      <c r="C382" s="2380" t="s">
        <v>207</v>
      </c>
      <c r="D382" s="2224">
        <v>0</v>
      </c>
      <c r="E382" s="2791"/>
      <c r="F382" s="2070"/>
      <c r="G382" s="2070"/>
      <c r="H382" s="2070"/>
      <c r="I382" s="2070"/>
      <c r="J382" s="2070"/>
      <c r="K382" s="2070"/>
      <c r="L382" s="2070"/>
      <c r="M382" s="2070"/>
      <c r="N382" s="2070"/>
      <c r="O382" s="2070"/>
      <c r="P382" s="2070"/>
      <c r="Q382" s="2070"/>
    </row>
    <row r="383" spans="1:17" s="2076" customFormat="1" ht="13.15">
      <c r="A383" s="1854"/>
      <c r="B383" s="2727" t="s">
        <v>50</v>
      </c>
      <c r="C383" s="2380" t="s">
        <v>208</v>
      </c>
      <c r="D383" s="2224">
        <v>50000000</v>
      </c>
      <c r="E383" s="2791"/>
      <c r="F383" s="2070"/>
      <c r="G383" s="2070"/>
      <c r="H383" s="2070"/>
      <c r="I383" s="2070"/>
      <c r="J383" s="2070"/>
      <c r="K383" s="2070"/>
      <c r="L383" s="2070"/>
      <c r="M383" s="2070"/>
      <c r="N383" s="2070"/>
      <c r="O383" s="2070"/>
      <c r="P383" s="2070"/>
      <c r="Q383" s="2070"/>
    </row>
    <row r="384" spans="1:17" s="2076" customFormat="1" ht="13.15">
      <c r="A384" s="1854"/>
      <c r="B384" s="2727" t="s">
        <v>50</v>
      </c>
      <c r="C384" s="2380" t="s">
        <v>209</v>
      </c>
      <c r="D384" s="2224">
        <v>0</v>
      </c>
      <c r="E384" s="2791"/>
      <c r="F384" s="2070"/>
      <c r="G384" s="2070"/>
      <c r="H384" s="2070"/>
      <c r="I384" s="2070"/>
      <c r="J384" s="2070"/>
      <c r="K384" s="2070"/>
      <c r="L384" s="2070"/>
      <c r="M384" s="2070"/>
      <c r="N384" s="2070"/>
      <c r="O384" s="2070"/>
      <c r="P384" s="2070"/>
      <c r="Q384" s="2070"/>
    </row>
    <row r="385" spans="1:17" s="2076" customFormat="1" ht="13.15">
      <c r="A385" s="1854"/>
      <c r="B385" s="2727" t="s">
        <v>50</v>
      </c>
      <c r="C385" s="2380" t="s">
        <v>210</v>
      </c>
      <c r="D385" s="2224">
        <v>0</v>
      </c>
      <c r="E385" s="2791"/>
      <c r="F385" s="2070"/>
      <c r="G385" s="2070"/>
      <c r="H385" s="2070"/>
      <c r="I385" s="2070"/>
      <c r="J385" s="2070"/>
      <c r="K385" s="2070"/>
      <c r="L385" s="2070"/>
      <c r="M385" s="2070"/>
      <c r="N385" s="2070"/>
      <c r="O385" s="2070"/>
      <c r="P385" s="2070"/>
      <c r="Q385" s="2070"/>
    </row>
    <row r="386" spans="1:17" s="2076" customFormat="1" ht="13.15">
      <c r="A386" s="1854"/>
      <c r="B386" s="2727" t="s">
        <v>50</v>
      </c>
      <c r="C386" s="2380" t="s">
        <v>211</v>
      </c>
      <c r="D386" s="2224">
        <v>200000000</v>
      </c>
      <c r="E386" s="2791"/>
      <c r="F386" s="2070"/>
      <c r="G386" s="2070"/>
      <c r="H386" s="2070"/>
      <c r="I386" s="2070"/>
      <c r="J386" s="2070"/>
      <c r="K386" s="2070"/>
      <c r="L386" s="2070"/>
      <c r="M386" s="2070"/>
      <c r="N386" s="2070"/>
      <c r="O386" s="2070"/>
      <c r="P386" s="2070"/>
      <c r="Q386" s="2070"/>
    </row>
    <row r="387" spans="1:17" s="2076" customFormat="1" ht="5.95" customHeight="1">
      <c r="A387" s="1854"/>
      <c r="B387" s="200"/>
      <c r="C387" s="224"/>
      <c r="D387" s="2218"/>
      <c r="E387" s="2791"/>
      <c r="F387" s="2070"/>
      <c r="G387" s="2070"/>
      <c r="H387" s="2070"/>
      <c r="I387" s="2070"/>
      <c r="J387" s="2070"/>
      <c r="K387" s="2070"/>
      <c r="L387" s="2070"/>
      <c r="M387" s="2070"/>
      <c r="N387" s="2070"/>
      <c r="O387" s="2070"/>
      <c r="P387" s="2070"/>
      <c r="Q387" s="2070"/>
    </row>
    <row r="388" spans="1:17" s="2076" customFormat="1" ht="13.15">
      <c r="A388" s="2600" t="s">
        <v>205</v>
      </c>
      <c r="B388" s="2353" t="s">
        <v>212</v>
      </c>
      <c r="C388" s="238"/>
      <c r="D388" s="2381">
        <f>SUM(D389:D390)</f>
        <v>4500000000</v>
      </c>
      <c r="E388" s="2806"/>
      <c r="F388" s="2070"/>
      <c r="G388" s="2070"/>
      <c r="H388" s="2070"/>
      <c r="I388" s="2070"/>
      <c r="J388" s="2070"/>
      <c r="K388" s="2070"/>
      <c r="L388" s="2070"/>
      <c r="M388" s="2070"/>
      <c r="N388" s="2070"/>
      <c r="O388" s="2070"/>
      <c r="P388" s="2070"/>
      <c r="Q388" s="2070"/>
    </row>
    <row r="389" spans="1:17" s="2076" customFormat="1" ht="13.15">
      <c r="A389" s="1854"/>
      <c r="B389" s="2354" t="s">
        <v>50</v>
      </c>
      <c r="C389" s="224" t="s">
        <v>213</v>
      </c>
      <c r="D389" s="2671">
        <v>4500000000</v>
      </c>
      <c r="E389" s="2791"/>
      <c r="F389" s="2070"/>
      <c r="G389" s="2070"/>
      <c r="H389" s="2070"/>
      <c r="I389" s="2070"/>
      <c r="J389" s="2070"/>
      <c r="K389" s="2070"/>
      <c r="L389" s="2070"/>
      <c r="M389" s="2070"/>
      <c r="N389" s="2070"/>
      <c r="O389" s="2070"/>
      <c r="P389" s="2070"/>
      <c r="Q389" s="2070"/>
    </row>
    <row r="390" spans="1:17" s="2076" customFormat="1" ht="13.15">
      <c r="A390" s="1854"/>
      <c r="B390" s="213" t="s">
        <v>50</v>
      </c>
      <c r="C390" s="200" t="s">
        <v>214</v>
      </c>
      <c r="D390" s="2224">
        <v>0</v>
      </c>
      <c r="E390" s="2791"/>
      <c r="F390" s="2070"/>
      <c r="G390" s="2070"/>
      <c r="H390" s="2070"/>
      <c r="I390" s="2070"/>
      <c r="J390" s="2070"/>
      <c r="K390" s="2070"/>
      <c r="L390" s="2070"/>
      <c r="M390" s="2070"/>
      <c r="N390" s="2070"/>
      <c r="O390" s="2070"/>
      <c r="P390" s="2070"/>
      <c r="Q390" s="2070"/>
    </row>
    <row r="391" spans="1:17" s="2076" customFormat="1" ht="3.8" customHeight="1">
      <c r="A391" s="1854"/>
      <c r="B391" s="200"/>
      <c r="C391" s="200"/>
      <c r="D391" s="2218"/>
      <c r="E391" s="2791"/>
      <c r="F391" s="2070"/>
      <c r="G391" s="2070"/>
      <c r="H391" s="2070"/>
      <c r="I391" s="2070"/>
      <c r="J391" s="2070"/>
      <c r="K391" s="2070"/>
      <c r="L391" s="2070"/>
      <c r="M391" s="2070"/>
      <c r="N391" s="2070"/>
      <c r="O391" s="2070"/>
      <c r="P391" s="2070"/>
      <c r="Q391" s="2070"/>
    </row>
    <row r="392" spans="1:17" s="2076" customFormat="1" ht="13.15">
      <c r="A392" s="2600" t="s">
        <v>205</v>
      </c>
      <c r="B392" s="2353" t="s">
        <v>215</v>
      </c>
      <c r="C392" s="2347"/>
      <c r="D392" s="2381">
        <f>D393</f>
        <v>6875000000</v>
      </c>
      <c r="E392" s="2806"/>
      <c r="F392" s="2070"/>
      <c r="G392" s="2070"/>
      <c r="H392" s="2070"/>
      <c r="I392" s="2070"/>
      <c r="J392" s="2070"/>
      <c r="K392" s="2070"/>
      <c r="L392" s="2070"/>
      <c r="M392" s="2070"/>
      <c r="N392" s="2070"/>
      <c r="O392" s="2070"/>
      <c r="P392" s="2070"/>
      <c r="Q392" s="2070"/>
    </row>
    <row r="393" spans="1:17" s="2076" customFormat="1" ht="13.15">
      <c r="A393" s="1854"/>
      <c r="B393" s="2354" t="s">
        <v>50</v>
      </c>
      <c r="C393" s="224" t="s">
        <v>216</v>
      </c>
      <c r="D393" s="2671">
        <v>6875000000</v>
      </c>
      <c r="E393" s="2791"/>
      <c r="F393" s="2070"/>
      <c r="G393" s="2070"/>
      <c r="H393" s="2070"/>
      <c r="I393" s="2070"/>
      <c r="J393" s="2070"/>
      <c r="K393" s="2070"/>
      <c r="L393" s="2070"/>
      <c r="M393" s="2070"/>
      <c r="N393" s="2070"/>
      <c r="O393" s="2070"/>
      <c r="P393" s="2070"/>
      <c r="Q393" s="2070"/>
    </row>
    <row r="394" spans="1:17" s="2076" customFormat="1" ht="3.8" customHeight="1">
      <c r="A394" s="1854"/>
      <c r="B394" s="200"/>
      <c r="C394" s="200"/>
      <c r="D394" s="2218"/>
      <c r="E394" s="2791"/>
      <c r="F394" s="2070"/>
      <c r="G394" s="2070"/>
      <c r="H394" s="2070"/>
      <c r="I394" s="2070"/>
      <c r="J394" s="2070"/>
      <c r="K394" s="2070"/>
      <c r="L394" s="2070"/>
      <c r="M394" s="2070"/>
      <c r="N394" s="2070"/>
      <c r="O394" s="2070"/>
      <c r="P394" s="2070"/>
      <c r="Q394" s="2070"/>
    </row>
    <row r="395" spans="1:17" s="2076" customFormat="1" ht="13.15">
      <c r="A395" s="2600" t="s">
        <v>205</v>
      </c>
      <c r="B395" s="2353" t="s">
        <v>217</v>
      </c>
      <c r="C395" s="238"/>
      <c r="D395" s="2381">
        <f>SUM(D396:D397)</f>
        <v>1205211975</v>
      </c>
      <c r="E395" s="2806"/>
      <c r="F395" s="2070"/>
      <c r="G395" s="2070"/>
      <c r="H395" s="2070"/>
      <c r="I395" s="2070"/>
      <c r="J395" s="2070"/>
      <c r="K395" s="2070"/>
      <c r="L395" s="2070"/>
      <c r="M395" s="2070"/>
      <c r="N395" s="2070"/>
      <c r="O395" s="2070"/>
      <c r="P395" s="2070"/>
      <c r="Q395" s="2070"/>
    </row>
    <row r="396" spans="1:17" s="2070" customFormat="1" ht="13.15">
      <c r="A396" s="1854"/>
      <c r="B396" s="2354" t="s">
        <v>50</v>
      </c>
      <c r="C396" s="224" t="s">
        <v>218</v>
      </c>
      <c r="D396" s="2671">
        <v>1190211975</v>
      </c>
      <c r="E396" s="2791"/>
    </row>
    <row r="397" spans="1:17" s="2070" customFormat="1" ht="13.15">
      <c r="A397" s="1854"/>
      <c r="B397" s="213" t="s">
        <v>50</v>
      </c>
      <c r="C397" s="200" t="s">
        <v>219</v>
      </c>
      <c r="D397" s="2224">
        <v>15000000</v>
      </c>
      <c r="E397" s="2791"/>
    </row>
    <row r="398" spans="1:17" s="2070" customFormat="1" ht="5.35" customHeight="1">
      <c r="A398" s="2605"/>
      <c r="B398" s="2356"/>
      <c r="C398" s="856"/>
      <c r="D398" s="2382"/>
      <c r="E398" s="2791"/>
    </row>
    <row r="399" spans="1:17" s="2070" customFormat="1" ht="15.05">
      <c r="A399" s="2600" t="s">
        <v>205</v>
      </c>
      <c r="B399" s="2357" t="s">
        <v>220</v>
      </c>
      <c r="C399" s="238"/>
      <c r="D399" s="2348">
        <f>SUM(D400:D400)</f>
        <v>217536159</v>
      </c>
      <c r="E399" s="2805"/>
    </row>
    <row r="400" spans="1:17" s="2070" customFormat="1" ht="13.15">
      <c r="A400" s="2605"/>
      <c r="B400" s="2358" t="s">
        <v>50</v>
      </c>
      <c r="C400" s="2383" t="s">
        <v>221</v>
      </c>
      <c r="D400" s="2671">
        <v>217536159</v>
      </c>
      <c r="E400" s="2791"/>
    </row>
    <row r="401" spans="1:6" s="2070" customFormat="1" ht="4.55" customHeight="1">
      <c r="A401" s="2605"/>
      <c r="B401" s="2214"/>
      <c r="C401" s="200"/>
      <c r="D401" s="2218"/>
      <c r="E401" s="2791"/>
    </row>
    <row r="402" spans="1:6" s="2070" customFormat="1" ht="13.15">
      <c r="A402" s="2600" t="s">
        <v>205</v>
      </c>
      <c r="B402" s="2353" t="s">
        <v>222</v>
      </c>
      <c r="C402" s="238"/>
      <c r="D402" s="2381">
        <f>SUM(D403:D410)-D405</f>
        <v>73939763650</v>
      </c>
      <c r="E402" s="2806"/>
      <c r="F402" s="2665">
        <f>D402-[1]Perdinas!$W$525</f>
        <v>0</v>
      </c>
    </row>
    <row r="403" spans="1:6" s="2070" customFormat="1" ht="13.15">
      <c r="A403" s="2605"/>
      <c r="B403" s="2358" t="s">
        <v>50</v>
      </c>
      <c r="C403" s="224" t="s">
        <v>73</v>
      </c>
      <c r="D403" s="2671">
        <v>0</v>
      </c>
      <c r="E403" s="2791"/>
    </row>
    <row r="404" spans="1:6" s="2070" customFormat="1" ht="13.15">
      <c r="A404" s="2605"/>
      <c r="B404" s="2359" t="s">
        <v>50</v>
      </c>
      <c r="C404" s="200" t="s">
        <v>74</v>
      </c>
      <c r="D404" s="2224">
        <v>0</v>
      </c>
      <c r="E404" s="2791"/>
    </row>
    <row r="405" spans="1:6" s="2070" customFormat="1" ht="13.15">
      <c r="A405" s="2605"/>
      <c r="B405" s="2359" t="s">
        <v>50</v>
      </c>
      <c r="C405" s="200" t="s">
        <v>75</v>
      </c>
      <c r="D405" s="2224">
        <f>D406</f>
        <v>3000000000</v>
      </c>
      <c r="E405" s="2791"/>
    </row>
    <row r="406" spans="1:6" s="2070" customFormat="1" ht="13.15">
      <c r="A406" s="2605"/>
      <c r="B406" s="2359"/>
      <c r="C406" s="200" t="s">
        <v>223</v>
      </c>
      <c r="D406" s="2346">
        <v>3000000000</v>
      </c>
      <c r="E406" s="2791"/>
    </row>
    <row r="407" spans="1:6" s="2070" customFormat="1" ht="13.15">
      <c r="A407" s="2605"/>
      <c r="B407" s="2359"/>
      <c r="C407" s="200" t="s">
        <v>224</v>
      </c>
      <c r="D407" s="2218">
        <v>0</v>
      </c>
      <c r="E407" s="2791"/>
    </row>
    <row r="408" spans="1:6" s="2070" customFormat="1" ht="13.15">
      <c r="A408" s="2605"/>
      <c r="B408" s="2359"/>
      <c r="C408" s="200" t="s">
        <v>225</v>
      </c>
      <c r="D408" s="2346">
        <v>0</v>
      </c>
      <c r="E408" s="2791"/>
    </row>
    <row r="409" spans="1:6" s="2070" customFormat="1" ht="3.8" customHeight="1">
      <c r="A409" s="2605"/>
      <c r="B409" s="2359"/>
      <c r="C409" s="200"/>
      <c r="D409" s="2218"/>
      <c r="E409" s="2791"/>
    </row>
    <row r="410" spans="1:6" s="2070" customFormat="1" ht="15.05">
      <c r="A410" s="1854"/>
      <c r="B410" s="2360" t="s">
        <v>50</v>
      </c>
      <c r="C410" s="2384" t="s">
        <v>226</v>
      </c>
      <c r="D410" s="2385">
        <f>SUM(D411:D413)</f>
        <v>70939763650</v>
      </c>
      <c r="E410" s="2807"/>
    </row>
    <row r="411" spans="1:6" s="2070" customFormat="1" ht="13.15">
      <c r="A411" s="1854"/>
      <c r="B411" s="224"/>
      <c r="C411" s="2737" t="s">
        <v>227</v>
      </c>
      <c r="D411" s="2671">
        <v>70939763650</v>
      </c>
      <c r="E411" s="2791"/>
    </row>
    <row r="412" spans="1:6" s="2070" customFormat="1" ht="13.15">
      <c r="A412" s="1854"/>
      <c r="B412" s="200"/>
      <c r="C412" s="2738" t="s">
        <v>228</v>
      </c>
      <c r="D412" s="2224"/>
      <c r="E412" s="2791"/>
    </row>
    <row r="413" spans="1:6" s="2070" customFormat="1" ht="13.15">
      <c r="A413" s="1854"/>
      <c r="B413" s="200"/>
      <c r="C413" s="2738" t="s">
        <v>229</v>
      </c>
      <c r="D413" s="2224"/>
      <c r="E413" s="2791"/>
    </row>
    <row r="414" spans="1:6" s="2070" customFormat="1" ht="5.35" customHeight="1">
      <c r="A414" s="1854"/>
      <c r="B414" s="200"/>
      <c r="C414" s="224"/>
      <c r="D414" s="2218"/>
      <c r="E414" s="2791"/>
    </row>
    <row r="415" spans="1:6" s="2070" customFormat="1" ht="15.05">
      <c r="A415" s="2600" t="s">
        <v>205</v>
      </c>
      <c r="B415" s="2361" t="s">
        <v>230</v>
      </c>
      <c r="C415" s="2386"/>
      <c r="D415" s="2387">
        <f>D416+D418</f>
        <v>60900800</v>
      </c>
      <c r="E415" s="2808"/>
    </row>
    <row r="416" spans="1:6" s="2074" customFormat="1" ht="13.15">
      <c r="A416" s="1854"/>
      <c r="B416" s="2362" t="s">
        <v>231</v>
      </c>
      <c r="D416" s="2291">
        <f>D417</f>
        <v>12035600</v>
      </c>
      <c r="E416" s="2792"/>
    </row>
    <row r="417" spans="1:6" s="2070" customFormat="1" ht="13.15">
      <c r="A417" s="1854"/>
      <c r="B417" s="213" t="s">
        <v>50</v>
      </c>
      <c r="C417" s="2388" t="s">
        <v>232</v>
      </c>
      <c r="D417" s="2224">
        <v>12035600</v>
      </c>
      <c r="E417" s="2791"/>
    </row>
    <row r="418" spans="1:6" s="2074" customFormat="1" ht="13.15">
      <c r="A418" s="1854"/>
      <c r="B418" s="2363" t="s">
        <v>233</v>
      </c>
      <c r="D418" s="2283">
        <f>SUM(D419:D420)</f>
        <v>48865200</v>
      </c>
      <c r="E418" s="2790"/>
    </row>
    <row r="419" spans="1:6" s="2070" customFormat="1" ht="13.15">
      <c r="A419" s="1854"/>
      <c r="B419" s="213" t="s">
        <v>50</v>
      </c>
      <c r="C419" s="2738" t="s">
        <v>234</v>
      </c>
      <c r="D419" s="2224">
        <v>4492800</v>
      </c>
      <c r="E419" s="2791"/>
    </row>
    <row r="420" spans="1:6" s="2070" customFormat="1" ht="13.15">
      <c r="A420" s="1854"/>
      <c r="B420" s="213" t="s">
        <v>50</v>
      </c>
      <c r="C420" s="2738" t="s">
        <v>235</v>
      </c>
      <c r="D420" s="2224">
        <v>44372400</v>
      </c>
      <c r="E420" s="2791"/>
    </row>
    <row r="421" spans="1:6" s="2070" customFormat="1" ht="5.35" customHeight="1">
      <c r="A421" s="1902"/>
      <c r="B421" s="2364"/>
      <c r="C421" s="2364"/>
      <c r="D421" s="2389"/>
      <c r="E421" s="2129"/>
    </row>
    <row r="422" spans="1:6" s="2077" customFormat="1" ht="15.05">
      <c r="A422" s="2613"/>
      <c r="B422" s="2313" t="s">
        <v>236</v>
      </c>
      <c r="C422" s="2393"/>
      <c r="D422" s="2394">
        <f>+D423+D436+D441+D451+D485</f>
        <v>3289786024210</v>
      </c>
      <c r="E422" s="2809"/>
      <c r="F422" s="2673"/>
    </row>
    <row r="423" spans="1:6" s="2078" customFormat="1" ht="14.25" customHeight="1">
      <c r="A423" s="2614" t="s">
        <v>237</v>
      </c>
      <c r="B423" s="2370" t="s">
        <v>238</v>
      </c>
      <c r="C423" s="2370"/>
      <c r="D423" s="2396">
        <f>+D424+D431</f>
        <v>353125684600</v>
      </c>
      <c r="E423" s="2810"/>
      <c r="F423" s="2132"/>
    </row>
    <row r="424" spans="1:6" s="2070" customFormat="1" ht="15.05">
      <c r="A424" s="1905"/>
      <c r="B424" s="212" t="s">
        <v>239</v>
      </c>
      <c r="C424" s="224"/>
      <c r="D424" s="2399">
        <f>SUM(D425:D429)</f>
        <v>185190481600</v>
      </c>
      <c r="E424" s="2811"/>
      <c r="F424" s="2132"/>
    </row>
    <row r="425" spans="1:6" s="2070" customFormat="1" ht="13.15">
      <c r="A425" s="1902"/>
      <c r="B425" s="2729" t="s">
        <v>50</v>
      </c>
      <c r="C425" s="856" t="s">
        <v>240</v>
      </c>
      <c r="D425" s="2408">
        <v>10416269000</v>
      </c>
      <c r="E425" s="2802"/>
      <c r="F425" s="2665"/>
    </row>
    <row r="426" spans="1:6" s="2070" customFormat="1" ht="13.15">
      <c r="A426" s="2616"/>
      <c r="B426" s="2729" t="s">
        <v>50</v>
      </c>
      <c r="C426" s="206" t="s">
        <v>241</v>
      </c>
      <c r="D426" s="2421">
        <v>0</v>
      </c>
      <c r="E426" s="2802"/>
    </row>
    <row r="427" spans="1:6" s="2070" customFormat="1" ht="13.15">
      <c r="A427" s="2616"/>
      <c r="B427" s="2729" t="s">
        <v>50</v>
      </c>
      <c r="C427" s="206" t="s">
        <v>242</v>
      </c>
      <c r="D427" s="2421">
        <v>104034902000</v>
      </c>
      <c r="E427" s="2802"/>
    </row>
    <row r="428" spans="1:6" s="2070" customFormat="1" ht="13.15">
      <c r="A428" s="2616"/>
      <c r="B428" s="856"/>
      <c r="C428" s="206" t="s">
        <v>243</v>
      </c>
      <c r="D428" s="2421">
        <v>0</v>
      </c>
      <c r="E428" s="2802"/>
    </row>
    <row r="429" spans="1:6" s="2070" customFormat="1" ht="13.15">
      <c r="A429" s="2616"/>
      <c r="B429" s="2729" t="s">
        <v>50</v>
      </c>
      <c r="C429" s="206" t="s">
        <v>244</v>
      </c>
      <c r="D429" s="2421">
        <v>70739310600</v>
      </c>
      <c r="E429" s="2802"/>
    </row>
    <row r="430" spans="1:6" s="2070" customFormat="1" ht="5.95" customHeight="1">
      <c r="A430" s="2616"/>
      <c r="B430" s="856"/>
      <c r="C430" s="206"/>
      <c r="D430" s="2402"/>
      <c r="E430" s="2812"/>
    </row>
    <row r="431" spans="1:6" s="2070" customFormat="1" ht="15.05">
      <c r="A431" s="2616"/>
      <c r="B431" s="2731" t="s">
        <v>245</v>
      </c>
      <c r="C431" s="206"/>
      <c r="D431" s="1962">
        <f>SUM(D432:D434)</f>
        <v>167935203000</v>
      </c>
      <c r="E431" s="2811"/>
    </row>
    <row r="432" spans="1:6" s="2070" customFormat="1" ht="13.15">
      <c r="A432" s="2616"/>
      <c r="B432" s="2730" t="s">
        <v>50</v>
      </c>
      <c r="C432" s="206" t="s">
        <v>246</v>
      </c>
      <c r="D432" s="2421">
        <v>511170000</v>
      </c>
      <c r="E432" s="2802"/>
    </row>
    <row r="433" spans="1:6" s="2070" customFormat="1" ht="13.15">
      <c r="A433" s="2616"/>
      <c r="B433" s="2730" t="s">
        <v>50</v>
      </c>
      <c r="C433" s="206" t="s">
        <v>247</v>
      </c>
      <c r="D433" s="2421">
        <v>4168131000</v>
      </c>
      <c r="E433" s="2802"/>
    </row>
    <row r="434" spans="1:6" s="2070" customFormat="1" ht="13.15">
      <c r="A434" s="2616"/>
      <c r="B434" s="2730" t="s">
        <v>50</v>
      </c>
      <c r="C434" s="206" t="s">
        <v>248</v>
      </c>
      <c r="D434" s="2421">
        <v>163255902000</v>
      </c>
      <c r="E434" s="2802"/>
    </row>
    <row r="435" spans="1:6" s="2070" customFormat="1" ht="5.35" customHeight="1">
      <c r="A435" s="2617"/>
      <c r="B435" s="203"/>
      <c r="C435" s="203"/>
      <c r="D435" s="2619"/>
      <c r="E435" s="2812"/>
    </row>
    <row r="436" spans="1:6" s="2077" customFormat="1" ht="15.05">
      <c r="A436" s="2620" t="s">
        <v>249</v>
      </c>
      <c r="B436" s="2739" t="s">
        <v>250</v>
      </c>
      <c r="C436" s="2405"/>
      <c r="D436" s="2406">
        <f>D437</f>
        <v>1496972549710</v>
      </c>
      <c r="E436" s="2813"/>
      <c r="F436" s="2673">
        <f>D436-[1]Perdinas!$W$615</f>
        <v>0</v>
      </c>
    </row>
    <row r="437" spans="1:6" s="2070" customFormat="1" ht="13.15">
      <c r="A437" s="2621"/>
      <c r="B437" s="2740" t="s">
        <v>251</v>
      </c>
      <c r="C437" s="205"/>
      <c r="D437" s="2407">
        <f>SUM(D438:D439)</f>
        <v>1496972549710</v>
      </c>
      <c r="E437" s="2802"/>
    </row>
    <row r="438" spans="1:6" s="2070" customFormat="1" ht="13.15">
      <c r="A438" s="2616"/>
      <c r="B438" s="2730" t="s">
        <v>50</v>
      </c>
      <c r="C438" s="206" t="s">
        <v>252</v>
      </c>
      <c r="D438" s="2421">
        <v>1416022952000</v>
      </c>
      <c r="E438" s="2802"/>
    </row>
    <row r="439" spans="1:6" s="2070" customFormat="1" ht="13.15">
      <c r="A439" s="2616"/>
      <c r="B439" s="2730" t="s">
        <v>50</v>
      </c>
      <c r="C439" s="206" t="s">
        <v>253</v>
      </c>
      <c r="D439" s="2421">
        <v>80949597710</v>
      </c>
      <c r="E439" s="2802"/>
    </row>
    <row r="440" spans="1:6" s="2070" customFormat="1" ht="5.95" customHeight="1">
      <c r="A440" s="2617"/>
      <c r="B440" s="203"/>
      <c r="C440" s="203"/>
      <c r="D440" s="2408"/>
      <c r="E440" s="2802"/>
    </row>
    <row r="441" spans="1:6" s="2078" customFormat="1" ht="15.05">
      <c r="A441" s="2620" t="s">
        <v>254</v>
      </c>
      <c r="B441" s="2739" t="s">
        <v>255</v>
      </c>
      <c r="C441" s="2405"/>
      <c r="D441" s="2406">
        <f>D442</f>
        <v>1372422968000</v>
      </c>
      <c r="E441" s="2813"/>
      <c r="F441" s="2674">
        <f>D441-[1]Perdinas!$W$621</f>
        <v>0</v>
      </c>
    </row>
    <row r="442" spans="1:6" s="2070" customFormat="1" ht="13.15">
      <c r="A442" s="2622"/>
      <c r="B442" s="2740" t="s">
        <v>256</v>
      </c>
      <c r="C442" s="205"/>
      <c r="D442" s="2407">
        <f>D443+D449</f>
        <v>1372422968000</v>
      </c>
      <c r="E442" s="2802"/>
    </row>
    <row r="443" spans="1:6" s="2070" customFormat="1" ht="15.05">
      <c r="A443" s="2623"/>
      <c r="B443" s="2730" t="s">
        <v>50</v>
      </c>
      <c r="C443" s="206" t="s">
        <v>257</v>
      </c>
      <c r="D443" s="1962">
        <f>SUM(D444:D448)</f>
        <v>1074923968000</v>
      </c>
      <c r="E443" s="2811"/>
    </row>
    <row r="444" spans="1:6" s="2070" customFormat="1" ht="13.15">
      <c r="A444" s="2623"/>
      <c r="B444" s="206"/>
      <c r="C444" s="2730" t="s">
        <v>258</v>
      </c>
      <c r="D444" s="2421">
        <v>858778000000</v>
      </c>
      <c r="E444" s="2802"/>
    </row>
    <row r="445" spans="1:6" s="2070" customFormat="1" ht="13.15">
      <c r="A445" s="2623"/>
      <c r="B445" s="206"/>
      <c r="C445" s="2730" t="s">
        <v>259</v>
      </c>
      <c r="D445" s="2421">
        <v>207376785000</v>
      </c>
      <c r="E445" s="2802"/>
    </row>
    <row r="446" spans="1:6" s="2070" customFormat="1" ht="13.15">
      <c r="A446" s="2623"/>
      <c r="B446" s="206"/>
      <c r="C446" s="2730" t="s">
        <v>260</v>
      </c>
      <c r="D446" s="2421">
        <v>4737000000</v>
      </c>
      <c r="E446" s="2802"/>
    </row>
    <row r="447" spans="1:6" s="2070" customFormat="1" ht="13.15">
      <c r="A447" s="2623"/>
      <c r="B447" s="206"/>
      <c r="C447" s="2730" t="s">
        <v>261</v>
      </c>
      <c r="D447" s="2421">
        <v>2500000000</v>
      </c>
      <c r="E447" s="2802"/>
    </row>
    <row r="448" spans="1:6" s="2070" customFormat="1" ht="13.15">
      <c r="A448" s="2623"/>
      <c r="B448" s="206"/>
      <c r="C448" s="2730" t="s">
        <v>262</v>
      </c>
      <c r="D448" s="2421">
        <v>1532183000</v>
      </c>
      <c r="E448" s="2802"/>
    </row>
    <row r="449" spans="1:6" s="2070" customFormat="1" ht="15.05">
      <c r="A449" s="2623"/>
      <c r="B449" s="2730" t="s">
        <v>50</v>
      </c>
      <c r="C449" s="206" t="s">
        <v>263</v>
      </c>
      <c r="D449" s="1962">
        <v>297499000000</v>
      </c>
      <c r="E449" s="2811"/>
    </row>
    <row r="450" spans="1:6" s="2070" customFormat="1" ht="6.75" customHeight="1">
      <c r="A450" s="2627"/>
      <c r="B450" s="203"/>
      <c r="C450" s="203"/>
      <c r="D450" s="2408"/>
      <c r="E450" s="2802"/>
    </row>
    <row r="451" spans="1:6" s="2079" customFormat="1" ht="15.05">
      <c r="A451" s="2614" t="s">
        <v>264</v>
      </c>
      <c r="B451" s="2741" t="s">
        <v>265</v>
      </c>
      <c r="C451" s="2370"/>
      <c r="D451" s="2406">
        <f>D452</f>
        <v>13870510900</v>
      </c>
      <c r="E451" s="2813"/>
      <c r="F451" s="2675"/>
    </row>
    <row r="452" spans="1:6" s="2074" customFormat="1" ht="13.15">
      <c r="A452" s="2628" t="s">
        <v>264</v>
      </c>
      <c r="B452" s="2742" t="s">
        <v>266</v>
      </c>
      <c r="C452" s="2239"/>
      <c r="D452" s="1961">
        <f>D453+D456+D477</f>
        <v>13870510900</v>
      </c>
      <c r="E452" s="2814"/>
    </row>
    <row r="453" spans="1:6" s="2074" customFormat="1" ht="13.15">
      <c r="A453" s="2623" t="s">
        <v>205</v>
      </c>
      <c r="B453" s="2731" t="s">
        <v>267</v>
      </c>
      <c r="C453" s="2124"/>
      <c r="D453" s="2420">
        <f>SUM(D454)</f>
        <v>0</v>
      </c>
      <c r="E453" s="2814"/>
    </row>
    <row r="454" spans="1:6" s="2070" customFormat="1" ht="13.15">
      <c r="A454" s="2623"/>
      <c r="B454" s="2731" t="s">
        <v>50</v>
      </c>
      <c r="C454" s="206" t="s">
        <v>268</v>
      </c>
      <c r="D454" s="2421">
        <v>0</v>
      </c>
      <c r="E454" s="2802"/>
    </row>
    <row r="455" spans="1:6" s="2070" customFormat="1" ht="6.75" customHeight="1">
      <c r="A455" s="2623"/>
      <c r="B455" s="2124"/>
      <c r="C455" s="206"/>
      <c r="D455" s="2421"/>
      <c r="E455" s="2802"/>
    </row>
    <row r="456" spans="1:6" s="2074" customFormat="1" ht="15.05">
      <c r="A456" s="2623" t="s">
        <v>205</v>
      </c>
      <c r="B456" s="2731" t="s">
        <v>269</v>
      </c>
      <c r="C456" s="2124"/>
      <c r="D456" s="2423">
        <f>SUM(D457)</f>
        <v>10177085900</v>
      </c>
      <c r="E456" s="2815"/>
    </row>
    <row r="457" spans="1:6" s="2070" customFormat="1" ht="13.15">
      <c r="A457" s="2623"/>
      <c r="B457" s="2730" t="s">
        <v>270</v>
      </c>
      <c r="C457" s="206"/>
      <c r="D457" s="2421">
        <f>D458+D459+D461+D466+D470+D471+D472+D475</f>
        <v>10177085900</v>
      </c>
      <c r="E457" s="2802"/>
    </row>
    <row r="458" spans="1:6" s="2070" customFormat="1" ht="13.15">
      <c r="A458" s="2623"/>
      <c r="B458" s="2730" t="s">
        <v>50</v>
      </c>
      <c r="C458" s="2124" t="s">
        <v>223</v>
      </c>
      <c r="D458" s="2421">
        <v>3291945800</v>
      </c>
      <c r="E458" s="2802"/>
    </row>
    <row r="459" spans="1:6" s="2070" customFormat="1" ht="15.05">
      <c r="A459" s="2623"/>
      <c r="B459" s="2731" t="s">
        <v>50</v>
      </c>
      <c r="C459" s="2124" t="s">
        <v>271</v>
      </c>
      <c r="D459" s="1962">
        <f>D460</f>
        <v>51419400</v>
      </c>
      <c r="E459" s="2811"/>
    </row>
    <row r="460" spans="1:6" s="2070" customFormat="1" ht="13.15">
      <c r="A460" s="2623"/>
      <c r="B460" s="2124"/>
      <c r="C460" s="206" t="s">
        <v>272</v>
      </c>
      <c r="D460" s="2421">
        <v>51419400</v>
      </c>
      <c r="E460" s="2802"/>
    </row>
    <row r="461" spans="1:6" s="2070" customFormat="1" ht="15.05">
      <c r="A461" s="2623"/>
      <c r="B461" s="2731" t="s">
        <v>50</v>
      </c>
      <c r="C461" s="2124" t="s">
        <v>273</v>
      </c>
      <c r="D461" s="1962">
        <f>SUM(D462:D465)</f>
        <v>335291000</v>
      </c>
      <c r="E461" s="2811"/>
    </row>
    <row r="462" spans="1:6" s="2070" customFormat="1" ht="13.15">
      <c r="A462" s="2623"/>
      <c r="B462" s="2124"/>
      <c r="C462" s="206" t="s">
        <v>274</v>
      </c>
      <c r="D462" s="2421">
        <v>55355000</v>
      </c>
      <c r="E462" s="2802"/>
    </row>
    <row r="463" spans="1:6" s="2070" customFormat="1" ht="13.15">
      <c r="A463" s="2623"/>
      <c r="B463" s="2124"/>
      <c r="C463" s="206" t="s">
        <v>138</v>
      </c>
      <c r="D463" s="2421">
        <v>57136000</v>
      </c>
      <c r="E463" s="2802"/>
    </row>
    <row r="464" spans="1:6" s="2070" customFormat="1" ht="13.15">
      <c r="A464" s="2623"/>
      <c r="B464" s="2124"/>
      <c r="C464" s="206" t="s">
        <v>275</v>
      </c>
      <c r="D464" s="2421">
        <v>24760000</v>
      </c>
      <c r="E464" s="2802"/>
    </row>
    <row r="465" spans="1:5" s="2070" customFormat="1" ht="13.15">
      <c r="A465" s="2623"/>
      <c r="B465" s="2124"/>
      <c r="C465" s="206" t="s">
        <v>140</v>
      </c>
      <c r="D465" s="2421">
        <v>198040000</v>
      </c>
      <c r="E465" s="2802"/>
    </row>
    <row r="466" spans="1:5" s="2070" customFormat="1" ht="15.05">
      <c r="A466" s="2623"/>
      <c r="B466" s="2730" t="s">
        <v>50</v>
      </c>
      <c r="C466" s="2124" t="s">
        <v>224</v>
      </c>
      <c r="D466" s="1962">
        <f>SUM(D467:D469)</f>
        <v>400714300</v>
      </c>
      <c r="E466" s="2811"/>
    </row>
    <row r="467" spans="1:5" s="2070" customFormat="1" ht="13.15">
      <c r="A467" s="2623"/>
      <c r="B467" s="2124"/>
      <c r="C467" s="2730" t="s">
        <v>276</v>
      </c>
      <c r="D467" s="2421">
        <v>63698000</v>
      </c>
      <c r="E467" s="2802"/>
    </row>
    <row r="468" spans="1:5" s="2070" customFormat="1" ht="13.15">
      <c r="A468" s="2623"/>
      <c r="B468" s="2124"/>
      <c r="C468" s="2730" t="s">
        <v>277</v>
      </c>
      <c r="D468" s="2421">
        <v>285233000</v>
      </c>
      <c r="E468" s="2802"/>
    </row>
    <row r="469" spans="1:5" s="2070" customFormat="1" ht="13.15">
      <c r="A469" s="2623"/>
      <c r="B469" s="2124"/>
      <c r="C469" s="2730" t="s">
        <v>278</v>
      </c>
      <c r="D469" s="2421">
        <v>51783300</v>
      </c>
      <c r="E469" s="2802"/>
    </row>
    <row r="470" spans="1:5" s="2070" customFormat="1" ht="13.15">
      <c r="A470" s="2623"/>
      <c r="B470" s="2731" t="s">
        <v>50</v>
      </c>
      <c r="C470" s="2124" t="s">
        <v>279</v>
      </c>
      <c r="D470" s="2421">
        <v>25741600</v>
      </c>
      <c r="E470" s="2802"/>
    </row>
    <row r="471" spans="1:5" s="2070" customFormat="1" ht="13.15">
      <c r="A471" s="2623"/>
      <c r="B471" s="2731" t="s">
        <v>50</v>
      </c>
      <c r="C471" s="2124" t="s">
        <v>280</v>
      </c>
      <c r="D471" s="2421">
        <v>1100000</v>
      </c>
      <c r="E471" s="2802"/>
    </row>
    <row r="472" spans="1:5" s="2070" customFormat="1" ht="15.05">
      <c r="A472" s="2623"/>
      <c r="B472" s="2731" t="s">
        <v>50</v>
      </c>
      <c r="C472" s="2124" t="s">
        <v>281</v>
      </c>
      <c r="D472" s="1962">
        <f>SUM(D473:D474)</f>
        <v>4562382400</v>
      </c>
      <c r="E472" s="2811"/>
    </row>
    <row r="473" spans="1:5" s="2070" customFormat="1" ht="13.15">
      <c r="A473" s="2623"/>
      <c r="B473" s="2124"/>
      <c r="C473" s="2730" t="s">
        <v>282</v>
      </c>
      <c r="D473" s="2421">
        <v>1439364000</v>
      </c>
      <c r="E473" s="2802"/>
    </row>
    <row r="474" spans="1:5" s="2070" customFormat="1" ht="13.15">
      <c r="A474" s="2623"/>
      <c r="B474" s="2124"/>
      <c r="C474" s="2730" t="s">
        <v>283</v>
      </c>
      <c r="D474" s="2421">
        <v>3123018400</v>
      </c>
      <c r="E474" s="2802"/>
    </row>
    <row r="475" spans="1:5" s="2070" customFormat="1" ht="13.15">
      <c r="A475" s="2623"/>
      <c r="B475" s="2731" t="s">
        <v>50</v>
      </c>
      <c r="C475" s="2124" t="s">
        <v>284</v>
      </c>
      <c r="D475" s="2421">
        <v>1508491400</v>
      </c>
      <c r="E475" s="2802"/>
    </row>
    <row r="476" spans="1:5" s="2070" customFormat="1" ht="5.95" customHeight="1">
      <c r="A476" s="2623"/>
      <c r="B476" s="2124"/>
      <c r="C476" s="206"/>
      <c r="D476" s="2421"/>
      <c r="E476" s="2802"/>
    </row>
    <row r="477" spans="1:5" s="2070" customFormat="1" ht="15.05">
      <c r="A477" s="2623" t="s">
        <v>205</v>
      </c>
      <c r="B477" s="2731" t="s">
        <v>285</v>
      </c>
      <c r="C477" s="206"/>
      <c r="D477" s="1962">
        <f>D478</f>
        <v>3693425000</v>
      </c>
      <c r="E477" s="2811"/>
    </row>
    <row r="478" spans="1:5" s="2070" customFormat="1" ht="13.15">
      <c r="A478" s="2623"/>
      <c r="B478" s="2730" t="s">
        <v>286</v>
      </c>
      <c r="C478" s="206"/>
      <c r="D478" s="2421">
        <f>D479+D482</f>
        <v>3693425000</v>
      </c>
      <c r="E478" s="2802"/>
    </row>
    <row r="479" spans="1:5" s="2070" customFormat="1" ht="13.15">
      <c r="A479" s="2623"/>
      <c r="B479" s="2731" t="s">
        <v>50</v>
      </c>
      <c r="C479" s="206" t="s">
        <v>287</v>
      </c>
      <c r="D479" s="2421">
        <f>D480+D481</f>
        <v>4625000</v>
      </c>
      <c r="E479" s="2802"/>
    </row>
    <row r="480" spans="1:5" s="2070" customFormat="1" ht="13.15">
      <c r="A480" s="2623"/>
      <c r="B480" s="2124"/>
      <c r="C480" s="2730" t="s">
        <v>288</v>
      </c>
      <c r="D480" s="2421">
        <v>4625000</v>
      </c>
      <c r="E480" s="2802"/>
    </row>
    <row r="481" spans="1:5" s="2070" customFormat="1" ht="13.15">
      <c r="A481" s="2623"/>
      <c r="B481" s="2124"/>
      <c r="C481" s="2730" t="s">
        <v>289</v>
      </c>
      <c r="D481" s="2421">
        <v>0</v>
      </c>
      <c r="E481" s="2802"/>
    </row>
    <row r="482" spans="1:5" s="2070" customFormat="1" ht="13.15">
      <c r="A482" s="2623"/>
      <c r="B482" s="2731" t="s">
        <v>50</v>
      </c>
      <c r="C482" s="206" t="s">
        <v>223</v>
      </c>
      <c r="D482" s="2421">
        <f t="shared" ref="D482:D487" si="1">D483</f>
        <v>3688800000</v>
      </c>
      <c r="E482" s="2802"/>
    </row>
    <row r="483" spans="1:5" s="2070" customFormat="1" ht="13.15">
      <c r="A483" s="2623"/>
      <c r="B483" s="2124"/>
      <c r="C483" s="2731" t="s">
        <v>290</v>
      </c>
      <c r="D483" s="2676">
        <v>3688800000</v>
      </c>
      <c r="E483" s="2816"/>
    </row>
    <row r="484" spans="1:5" s="2070" customFormat="1" ht="5.95" customHeight="1">
      <c r="A484" s="2627"/>
      <c r="B484" s="2416"/>
      <c r="C484" s="203"/>
      <c r="D484" s="2408"/>
      <c r="E484" s="2802"/>
    </row>
    <row r="485" spans="1:5" s="2079" customFormat="1" ht="15.05">
      <c r="A485" s="2614" t="s">
        <v>291</v>
      </c>
      <c r="B485" s="2741" t="s">
        <v>292</v>
      </c>
      <c r="C485" s="2370"/>
      <c r="D485" s="2406">
        <f t="shared" si="1"/>
        <v>53394311000</v>
      </c>
      <c r="E485" s="2813"/>
    </row>
    <row r="486" spans="1:5" s="2074" customFormat="1" ht="13.15">
      <c r="A486" s="2628"/>
      <c r="B486" s="2742" t="s">
        <v>293</v>
      </c>
      <c r="C486" s="2239"/>
      <c r="D486" s="1961">
        <f t="shared" si="1"/>
        <v>53394311000</v>
      </c>
      <c r="E486" s="2814"/>
    </row>
    <row r="487" spans="1:5" s="2074" customFormat="1" ht="13.15">
      <c r="A487" s="2623"/>
      <c r="B487" s="2731" t="s">
        <v>294</v>
      </c>
      <c r="C487" s="2124"/>
      <c r="D487" s="2420">
        <f t="shared" si="1"/>
        <v>53394311000</v>
      </c>
      <c r="E487" s="2814"/>
    </row>
    <row r="488" spans="1:5" s="2070" customFormat="1" ht="15.05">
      <c r="A488" s="2623"/>
      <c r="B488" s="2731" t="s">
        <v>50</v>
      </c>
      <c r="C488" s="2429" t="s">
        <v>295</v>
      </c>
      <c r="D488" s="1962">
        <f>SUM(D489:D490)</f>
        <v>53394311000</v>
      </c>
      <c r="E488" s="2811"/>
    </row>
    <row r="489" spans="1:5" s="2070" customFormat="1" ht="13.15">
      <c r="A489" s="2623"/>
      <c r="B489" s="2124"/>
      <c r="C489" s="2730" t="s">
        <v>296</v>
      </c>
      <c r="D489" s="2421">
        <v>0</v>
      </c>
      <c r="E489" s="2802"/>
    </row>
    <row r="490" spans="1:5" s="2070" customFormat="1" ht="13.15">
      <c r="A490" s="2623"/>
      <c r="B490" s="2124"/>
      <c r="C490" s="2730" t="s">
        <v>297</v>
      </c>
      <c r="D490" s="2421">
        <v>53394311000</v>
      </c>
      <c r="E490" s="2802"/>
    </row>
    <row r="491" spans="1:5" s="2070" customFormat="1" ht="15.05">
      <c r="A491" s="2623"/>
      <c r="B491" s="2731" t="s">
        <v>50</v>
      </c>
      <c r="C491" s="2429" t="s">
        <v>298</v>
      </c>
      <c r="D491" s="1962">
        <f>SUM(D492)</f>
        <v>0</v>
      </c>
      <c r="E491" s="2811"/>
    </row>
    <row r="492" spans="1:5" s="2070" customFormat="1" ht="13.15">
      <c r="A492" s="2623"/>
      <c r="B492" s="2124"/>
      <c r="C492" s="2730" t="s">
        <v>299</v>
      </c>
      <c r="D492" s="2421">
        <v>0</v>
      </c>
      <c r="E492" s="2802"/>
    </row>
    <row r="493" spans="1:5" s="2070" customFormat="1" ht="4.55" customHeight="1">
      <c r="A493" s="2591"/>
      <c r="B493" s="1318"/>
      <c r="C493" s="257"/>
      <c r="D493" s="2408"/>
      <c r="E493" s="2802"/>
    </row>
    <row r="494" spans="1:5" s="2070" customFormat="1" ht="15.05">
      <c r="A494" s="2590" t="s">
        <v>300</v>
      </c>
      <c r="B494" s="2736" t="s">
        <v>50</v>
      </c>
      <c r="C494" s="2313" t="s">
        <v>301</v>
      </c>
      <c r="D494" s="2332">
        <f>SUM(D495)</f>
        <v>0</v>
      </c>
      <c r="E494" s="2801"/>
    </row>
    <row r="495" spans="1:5" s="2070" customFormat="1" ht="13.15">
      <c r="A495" s="2628"/>
      <c r="B495" s="2322" t="s">
        <v>71</v>
      </c>
      <c r="C495" s="2322"/>
      <c r="D495" s="2407">
        <f>SUM(D496:D500)</f>
        <v>0</v>
      </c>
      <c r="E495" s="2802"/>
    </row>
    <row r="496" spans="1:5" s="2070" customFormat="1" ht="13.15">
      <c r="A496" s="2627"/>
      <c r="B496" s="200" t="s">
        <v>50</v>
      </c>
      <c r="C496" s="224" t="s">
        <v>73</v>
      </c>
      <c r="D496" s="2677">
        <v>0</v>
      </c>
      <c r="E496" s="2802"/>
    </row>
    <row r="497" spans="1:5" s="2070" customFormat="1" ht="13.15">
      <c r="A497" s="2591"/>
      <c r="B497" s="200" t="s">
        <v>50</v>
      </c>
      <c r="C497" s="200" t="s">
        <v>74</v>
      </c>
      <c r="D497" s="2677">
        <v>0</v>
      </c>
      <c r="E497" s="2802"/>
    </row>
    <row r="498" spans="1:5" s="2070" customFormat="1" ht="13.15">
      <c r="A498" s="2591"/>
      <c r="B498" s="200" t="s">
        <v>50</v>
      </c>
      <c r="C498" s="200" t="s">
        <v>75</v>
      </c>
      <c r="D498" s="2677">
        <v>0</v>
      </c>
      <c r="E498" s="2802"/>
    </row>
    <row r="499" spans="1:5" s="2070" customFormat="1" ht="13.15">
      <c r="A499" s="2591"/>
      <c r="B499" s="200" t="s">
        <v>50</v>
      </c>
      <c r="C499" s="200" t="s">
        <v>169</v>
      </c>
      <c r="D499" s="2677">
        <v>0</v>
      </c>
      <c r="E499" s="2802"/>
    </row>
    <row r="500" spans="1:5" s="2070" customFormat="1" ht="13.15">
      <c r="A500" s="2591"/>
      <c r="B500" s="200" t="s">
        <v>50</v>
      </c>
      <c r="C500" s="200" t="s">
        <v>85</v>
      </c>
      <c r="D500" s="2677">
        <v>0</v>
      </c>
      <c r="E500" s="2802"/>
    </row>
    <row r="501" spans="1:5" s="2070" customFormat="1" ht="5.35" customHeight="1">
      <c r="A501" s="2633"/>
      <c r="B501" s="2131"/>
      <c r="C501" s="224"/>
      <c r="D501" s="2432"/>
      <c r="E501" s="2796"/>
    </row>
    <row r="502" spans="1:5" s="2073" customFormat="1" ht="15.05">
      <c r="A502" s="2528" t="s">
        <v>302</v>
      </c>
      <c r="B502" s="2417" t="s">
        <v>303</v>
      </c>
      <c r="C502" s="2436"/>
      <c r="D502" s="2437">
        <f>D503+D506</f>
        <v>1500000000</v>
      </c>
      <c r="E502" s="2800"/>
    </row>
    <row r="503" spans="1:5" s="2070" customFormat="1" ht="13.15">
      <c r="A503" s="2529"/>
      <c r="B503" s="2099" t="s">
        <v>63</v>
      </c>
      <c r="C503" s="2438"/>
      <c r="D503" s="2439">
        <f>D504</f>
        <v>1500000000</v>
      </c>
      <c r="E503" s="2799"/>
    </row>
    <row r="504" spans="1:5" s="2070" customFormat="1" ht="13.15">
      <c r="A504" s="1854"/>
      <c r="B504" s="2727" t="s">
        <v>50</v>
      </c>
      <c r="C504" s="200" t="s">
        <v>304</v>
      </c>
      <c r="D504" s="2282">
        <v>1500000000</v>
      </c>
      <c r="E504" s="2129"/>
    </row>
    <row r="505" spans="1:5" s="2070" customFormat="1" ht="4.55" customHeight="1">
      <c r="A505" s="1854"/>
      <c r="B505" s="200"/>
      <c r="C505" s="200"/>
      <c r="D505" s="2282"/>
      <c r="E505" s="2129"/>
    </row>
    <row r="506" spans="1:5" s="2070" customFormat="1" ht="13.15">
      <c r="A506" s="1854"/>
      <c r="B506" s="202" t="s">
        <v>71</v>
      </c>
      <c r="C506" s="202"/>
      <c r="D506" s="2283">
        <f>SUM(D507:D511)</f>
        <v>0</v>
      </c>
      <c r="E506" s="2790"/>
    </row>
    <row r="507" spans="1:5" s="2070" customFormat="1" ht="13.15">
      <c r="A507" s="1854"/>
      <c r="B507" s="2727" t="s">
        <v>50</v>
      </c>
      <c r="C507" s="200" t="s">
        <v>72</v>
      </c>
      <c r="D507" s="2282">
        <v>0</v>
      </c>
      <c r="E507" s="2129"/>
    </row>
    <row r="508" spans="1:5" s="2070" customFormat="1" ht="13.15">
      <c r="A508" s="1854"/>
      <c r="B508" s="2727" t="s">
        <v>50</v>
      </c>
      <c r="C508" s="200" t="s">
        <v>73</v>
      </c>
      <c r="D508" s="2282">
        <v>0</v>
      </c>
      <c r="E508" s="2129"/>
    </row>
    <row r="509" spans="1:5" s="2070" customFormat="1" ht="13.15">
      <c r="A509" s="1902"/>
      <c r="B509" s="2727" t="s">
        <v>50</v>
      </c>
      <c r="C509" s="200" t="s">
        <v>74</v>
      </c>
      <c r="D509" s="2282">
        <v>0</v>
      </c>
      <c r="E509" s="2129"/>
    </row>
    <row r="510" spans="1:5" s="2070" customFormat="1" ht="13.15">
      <c r="A510" s="1902"/>
      <c r="B510" s="2727" t="s">
        <v>50</v>
      </c>
      <c r="C510" s="206" t="s">
        <v>75</v>
      </c>
      <c r="D510" s="2282">
        <v>0</v>
      </c>
      <c r="E510" s="2129"/>
    </row>
    <row r="511" spans="1:5" s="2070" customFormat="1" ht="13.15">
      <c r="A511" s="1902"/>
      <c r="B511" s="2727" t="s">
        <v>50</v>
      </c>
      <c r="C511" s="206" t="s">
        <v>85</v>
      </c>
      <c r="D511" s="2282">
        <v>0</v>
      </c>
      <c r="E511" s="2129"/>
    </row>
    <row r="512" spans="1:5" s="2070" customFormat="1" ht="5.35" customHeight="1">
      <c r="A512" s="1465"/>
      <c r="B512" s="2117"/>
      <c r="C512" s="2117"/>
      <c r="D512" s="2310"/>
      <c r="E512" s="2799"/>
    </row>
    <row r="513" spans="1:6" s="2070" customFormat="1" ht="15.65">
      <c r="A513" s="2528" t="s">
        <v>305</v>
      </c>
      <c r="B513" s="2093" t="s">
        <v>306</v>
      </c>
      <c r="C513" s="2195"/>
      <c r="D513" s="2306">
        <f>D515</f>
        <v>18548560000</v>
      </c>
      <c r="E513" s="2800"/>
    </row>
    <row r="514" spans="1:6" s="2070" customFormat="1" ht="5.35" customHeight="1">
      <c r="A514" s="2529"/>
      <c r="B514" s="2438"/>
      <c r="C514" s="2438"/>
      <c r="D514" s="2439"/>
      <c r="E514" s="2799"/>
    </row>
    <row r="515" spans="1:6" s="2070" customFormat="1" ht="13.15">
      <c r="A515" s="1854"/>
      <c r="B515" s="202" t="s">
        <v>71</v>
      </c>
      <c r="C515" s="202"/>
      <c r="D515" s="2307">
        <f>D518+D529+D540+D555+D557+D559+D569</f>
        <v>18548560000</v>
      </c>
      <c r="E515" s="2797"/>
    </row>
    <row r="516" spans="1:6" s="2070" customFormat="1" ht="4.55" customHeight="1">
      <c r="A516" s="1854"/>
      <c r="B516" s="202"/>
      <c r="C516" s="202"/>
      <c r="D516" s="2307"/>
      <c r="E516" s="2797"/>
    </row>
    <row r="517" spans="1:6" s="2070" customFormat="1" ht="13.15">
      <c r="A517" s="1854"/>
      <c r="B517" s="202" t="s">
        <v>307</v>
      </c>
      <c r="C517" s="200"/>
      <c r="D517" s="2307">
        <f>D518+D529</f>
        <v>18548560000</v>
      </c>
      <c r="E517" s="2797"/>
    </row>
    <row r="518" spans="1:6" s="2070" customFormat="1" ht="13.15">
      <c r="A518" s="1854" t="s">
        <v>308</v>
      </c>
      <c r="B518" s="202" t="s">
        <v>309</v>
      </c>
      <c r="C518" s="202"/>
      <c r="D518" s="2449">
        <f>SUM(D519:D527)</f>
        <v>18448560000</v>
      </c>
      <c r="E518" s="2817"/>
    </row>
    <row r="519" spans="1:6" s="2070" customFormat="1" ht="13.15">
      <c r="A519" s="1854"/>
      <c r="B519" s="213">
        <v>1</v>
      </c>
      <c r="C519" s="200" t="s">
        <v>310</v>
      </c>
      <c r="D519" s="2282">
        <v>18448560000</v>
      </c>
      <c r="E519" s="2129"/>
      <c r="F519" s="2132"/>
    </row>
    <row r="520" spans="1:6" s="2070" customFormat="1" ht="13.15">
      <c r="A520" s="1854"/>
      <c r="B520" s="213">
        <v>2</v>
      </c>
      <c r="C520" s="200" t="s">
        <v>311</v>
      </c>
      <c r="D520" s="2282">
        <v>0</v>
      </c>
      <c r="E520" s="2129"/>
    </row>
    <row r="521" spans="1:6" s="2070" customFormat="1" ht="13.15">
      <c r="A521" s="1854"/>
      <c r="B521" s="213">
        <v>3</v>
      </c>
      <c r="C521" s="200" t="s">
        <v>312</v>
      </c>
      <c r="D521" s="2282">
        <v>0</v>
      </c>
      <c r="E521" s="2129"/>
    </row>
    <row r="522" spans="1:6" s="2070" customFormat="1" ht="13.15">
      <c r="A522" s="1854"/>
      <c r="B522" s="213">
        <v>4</v>
      </c>
      <c r="C522" s="200" t="s">
        <v>313</v>
      </c>
      <c r="D522" s="2282">
        <v>0</v>
      </c>
      <c r="E522" s="2129"/>
    </row>
    <row r="523" spans="1:6" s="2070" customFormat="1" ht="13.15">
      <c r="A523" s="1854"/>
      <c r="B523" s="213">
        <v>5</v>
      </c>
      <c r="C523" s="200" t="s">
        <v>314</v>
      </c>
      <c r="D523" s="2282">
        <v>0</v>
      </c>
      <c r="E523" s="2129"/>
    </row>
    <row r="524" spans="1:6" s="2070" customFormat="1" ht="13.15">
      <c r="A524" s="1854"/>
      <c r="B524" s="213">
        <v>6</v>
      </c>
      <c r="C524" s="200" t="s">
        <v>315</v>
      </c>
      <c r="D524" s="2282">
        <v>0</v>
      </c>
      <c r="E524" s="2129"/>
    </row>
    <row r="525" spans="1:6" s="2070" customFormat="1" ht="13.15">
      <c r="A525" s="1854"/>
      <c r="B525" s="213">
        <v>7</v>
      </c>
      <c r="C525" s="200" t="s">
        <v>316</v>
      </c>
      <c r="D525" s="2282">
        <v>0</v>
      </c>
      <c r="E525" s="2129"/>
    </row>
    <row r="526" spans="1:6" s="2070" customFormat="1" ht="13.15">
      <c r="A526" s="1854"/>
      <c r="B526" s="213">
        <v>8</v>
      </c>
      <c r="C526" s="200" t="s">
        <v>317</v>
      </c>
      <c r="D526" s="2282">
        <v>0</v>
      </c>
      <c r="E526" s="2129"/>
    </row>
    <row r="527" spans="1:6" s="2070" customFormat="1" ht="13.15">
      <c r="A527" s="1854"/>
      <c r="B527" s="213">
        <v>9</v>
      </c>
      <c r="C527" s="200" t="s">
        <v>318</v>
      </c>
      <c r="D527" s="2282">
        <v>0</v>
      </c>
      <c r="E527" s="2129"/>
    </row>
    <row r="528" spans="1:6" s="2070" customFormat="1" ht="7.55" customHeight="1">
      <c r="A528" s="1854"/>
      <c r="B528" s="213"/>
      <c r="C528" s="200"/>
      <c r="D528" s="2282"/>
      <c r="E528" s="2129"/>
    </row>
    <row r="529" spans="1:6" s="2070" customFormat="1" ht="13.15">
      <c r="A529" s="1854" t="s">
        <v>308</v>
      </c>
      <c r="B529" s="202" t="s">
        <v>319</v>
      </c>
      <c r="C529" s="202"/>
      <c r="D529" s="2452">
        <f>SUM(D530:D538)</f>
        <v>100000000</v>
      </c>
      <c r="E529" s="2818"/>
    </row>
    <row r="530" spans="1:6" s="2070" customFormat="1" ht="13.15">
      <c r="A530" s="1854"/>
      <c r="B530" s="213">
        <v>1</v>
      </c>
      <c r="C530" s="200" t="s">
        <v>310</v>
      </c>
      <c r="D530" s="2282">
        <v>100000000</v>
      </c>
      <c r="E530" s="2129"/>
      <c r="F530" s="2132"/>
    </row>
    <row r="531" spans="1:6" s="2070" customFormat="1" ht="13.15">
      <c r="A531" s="1854"/>
      <c r="B531" s="213">
        <v>2</v>
      </c>
      <c r="C531" s="200" t="s">
        <v>311</v>
      </c>
      <c r="D531" s="2282">
        <v>0</v>
      </c>
      <c r="E531" s="2129"/>
    </row>
    <row r="532" spans="1:6" s="2070" customFormat="1" ht="13.15">
      <c r="A532" s="1854"/>
      <c r="B532" s="213">
        <v>3</v>
      </c>
      <c r="C532" s="200" t="s">
        <v>312</v>
      </c>
      <c r="D532" s="2282">
        <v>0</v>
      </c>
      <c r="E532" s="2129"/>
    </row>
    <row r="533" spans="1:6" s="2070" customFormat="1" ht="13.15">
      <c r="A533" s="1854"/>
      <c r="B533" s="213">
        <v>4</v>
      </c>
      <c r="C533" s="200" t="s">
        <v>313</v>
      </c>
      <c r="D533" s="2282">
        <v>0</v>
      </c>
      <c r="E533" s="2129"/>
    </row>
    <row r="534" spans="1:6" s="2070" customFormat="1" ht="13.15">
      <c r="A534" s="1854"/>
      <c r="B534" s="213">
        <v>5</v>
      </c>
      <c r="C534" s="200" t="s">
        <v>314</v>
      </c>
      <c r="D534" s="2282">
        <v>0</v>
      </c>
      <c r="E534" s="2129"/>
    </row>
    <row r="535" spans="1:6" s="2070" customFormat="1" ht="13.15">
      <c r="A535" s="1854"/>
      <c r="B535" s="213">
        <v>6</v>
      </c>
      <c r="C535" s="200" t="s">
        <v>315</v>
      </c>
      <c r="D535" s="2282">
        <v>0</v>
      </c>
      <c r="E535" s="2129"/>
    </row>
    <row r="536" spans="1:6" s="2070" customFormat="1" ht="13.15">
      <c r="A536" s="1854"/>
      <c r="B536" s="213">
        <v>7</v>
      </c>
      <c r="C536" s="200" t="s">
        <v>316</v>
      </c>
      <c r="D536" s="2282">
        <v>0</v>
      </c>
      <c r="E536" s="2129"/>
    </row>
    <row r="537" spans="1:6" s="2070" customFormat="1" ht="13.15">
      <c r="A537" s="1854"/>
      <c r="B537" s="213">
        <v>8</v>
      </c>
      <c r="C537" s="200" t="s">
        <v>317</v>
      </c>
      <c r="D537" s="2282">
        <v>0</v>
      </c>
      <c r="E537" s="2129"/>
    </row>
    <row r="538" spans="1:6" s="2070" customFormat="1" ht="13.15">
      <c r="A538" s="1854"/>
      <c r="B538" s="213">
        <v>9</v>
      </c>
      <c r="C538" s="200" t="s">
        <v>318</v>
      </c>
      <c r="D538" s="2282">
        <v>0</v>
      </c>
      <c r="E538" s="2129"/>
    </row>
    <row r="539" spans="1:6" s="2070" customFormat="1" ht="4.55" customHeight="1">
      <c r="A539" s="1854"/>
      <c r="B539" s="213"/>
      <c r="C539" s="2453"/>
      <c r="D539" s="2282"/>
      <c r="E539" s="2129"/>
    </row>
    <row r="540" spans="1:6" s="2070" customFormat="1" ht="13.15">
      <c r="A540" s="1854" t="s">
        <v>308</v>
      </c>
      <c r="B540" s="202" t="s">
        <v>222</v>
      </c>
      <c r="C540" s="202"/>
      <c r="D540" s="2452">
        <f>SUM(D541:D543)</f>
        <v>0</v>
      </c>
      <c r="E540" s="2818"/>
    </row>
    <row r="541" spans="1:6" s="2070" customFormat="1" ht="13.15">
      <c r="A541" s="1855"/>
      <c r="B541" s="2743" t="s">
        <v>50</v>
      </c>
      <c r="C541" s="200" t="s">
        <v>73</v>
      </c>
      <c r="D541" s="2282">
        <v>0</v>
      </c>
      <c r="E541" s="2129"/>
    </row>
    <row r="542" spans="1:6" s="2070" customFormat="1" ht="13.15">
      <c r="A542" s="1855"/>
      <c r="B542" s="2743" t="s">
        <v>50</v>
      </c>
      <c r="C542" s="200" t="s">
        <v>74</v>
      </c>
      <c r="D542" s="2282">
        <v>0</v>
      </c>
      <c r="E542" s="2129"/>
    </row>
    <row r="543" spans="1:6" s="2070" customFormat="1" ht="13.15">
      <c r="A543" s="1855"/>
      <c r="B543" s="2743" t="s">
        <v>50</v>
      </c>
      <c r="C543" s="200" t="s">
        <v>75</v>
      </c>
      <c r="D543" s="2454">
        <f>SUM(D544:D553)</f>
        <v>0</v>
      </c>
      <c r="E543" s="2819"/>
    </row>
    <row r="544" spans="1:6" s="2070" customFormat="1" ht="13.15">
      <c r="A544" s="1855"/>
      <c r="B544" s="213">
        <v>1</v>
      </c>
      <c r="C544" s="200" t="s">
        <v>320</v>
      </c>
      <c r="D544" s="2282">
        <v>0</v>
      </c>
      <c r="E544" s="2129"/>
    </row>
    <row r="545" spans="1:5" s="2070" customFormat="1" ht="13.15">
      <c r="A545" s="1855"/>
      <c r="B545" s="213">
        <v>2</v>
      </c>
      <c r="C545" s="200" t="s">
        <v>310</v>
      </c>
      <c r="D545" s="2282">
        <v>0</v>
      </c>
      <c r="E545" s="2129"/>
    </row>
    <row r="546" spans="1:5" s="2070" customFormat="1" ht="13.15">
      <c r="A546" s="1855"/>
      <c r="B546" s="213">
        <v>3</v>
      </c>
      <c r="C546" s="200" t="s">
        <v>311</v>
      </c>
      <c r="D546" s="2282">
        <v>0</v>
      </c>
      <c r="E546" s="2129"/>
    </row>
    <row r="547" spans="1:5" s="2070" customFormat="1" ht="13.15">
      <c r="A547" s="1855"/>
      <c r="B547" s="213">
        <v>4</v>
      </c>
      <c r="C547" s="200" t="s">
        <v>312</v>
      </c>
      <c r="D547" s="2282">
        <v>0</v>
      </c>
      <c r="E547" s="2129"/>
    </row>
    <row r="548" spans="1:5" s="2070" customFormat="1" ht="13.15">
      <c r="A548" s="1855"/>
      <c r="B548" s="213">
        <v>5</v>
      </c>
      <c r="C548" s="200" t="s">
        <v>313</v>
      </c>
      <c r="D548" s="2282">
        <v>0</v>
      </c>
      <c r="E548" s="2129"/>
    </row>
    <row r="549" spans="1:5" s="2070" customFormat="1" ht="13.15">
      <c r="A549" s="1855"/>
      <c r="B549" s="213">
        <v>6</v>
      </c>
      <c r="C549" s="200" t="s">
        <v>314</v>
      </c>
      <c r="D549" s="2282">
        <v>0</v>
      </c>
      <c r="E549" s="2129"/>
    </row>
    <row r="550" spans="1:5" s="2070" customFormat="1" ht="13.15">
      <c r="A550" s="1854"/>
      <c r="B550" s="213">
        <v>7</v>
      </c>
      <c r="C550" s="200" t="s">
        <v>315</v>
      </c>
      <c r="D550" s="2282">
        <v>0</v>
      </c>
      <c r="E550" s="2129"/>
    </row>
    <row r="551" spans="1:5" s="2070" customFormat="1" ht="13.15">
      <c r="A551" s="1854"/>
      <c r="B551" s="213">
        <v>8</v>
      </c>
      <c r="C551" s="200" t="s">
        <v>316</v>
      </c>
      <c r="D551" s="2282">
        <v>0</v>
      </c>
      <c r="E551" s="2129"/>
    </row>
    <row r="552" spans="1:5" s="2070" customFormat="1" ht="13.15">
      <c r="A552" s="1854"/>
      <c r="B552" s="213">
        <v>9</v>
      </c>
      <c r="C552" s="200" t="s">
        <v>317</v>
      </c>
      <c r="D552" s="2282">
        <v>0</v>
      </c>
      <c r="E552" s="2129"/>
    </row>
    <row r="553" spans="1:5" s="2070" customFormat="1" ht="13.15">
      <c r="A553" s="1854"/>
      <c r="B553" s="213">
        <v>10</v>
      </c>
      <c r="C553" s="200" t="s">
        <v>318</v>
      </c>
      <c r="D553" s="2282">
        <v>0</v>
      </c>
      <c r="E553" s="2129"/>
    </row>
    <row r="554" spans="1:5" s="2070" customFormat="1" ht="5.35" customHeight="1">
      <c r="A554" s="1854"/>
      <c r="B554" s="213"/>
      <c r="C554" s="200"/>
      <c r="D554" s="2455"/>
      <c r="E554" s="2799"/>
    </row>
    <row r="555" spans="1:5" s="2070" customFormat="1" ht="13.15">
      <c r="A555" s="1854" t="s">
        <v>308</v>
      </c>
      <c r="B555" s="202" t="s">
        <v>321</v>
      </c>
      <c r="C555" s="200"/>
      <c r="D555" s="2449">
        <v>0</v>
      </c>
      <c r="E555" s="2817"/>
    </row>
    <row r="556" spans="1:5" s="2070" customFormat="1" ht="4.55" customHeight="1">
      <c r="A556" s="1854"/>
      <c r="B556" s="202"/>
      <c r="C556" s="200"/>
      <c r="D556" s="2307"/>
      <c r="E556" s="2797"/>
    </row>
    <row r="557" spans="1:5" s="2070" customFormat="1" ht="13.15">
      <c r="A557" s="1854" t="s">
        <v>308</v>
      </c>
      <c r="B557" s="202" t="s">
        <v>322</v>
      </c>
      <c r="C557" s="200"/>
      <c r="D557" s="2282">
        <v>0</v>
      </c>
      <c r="E557" s="2129"/>
    </row>
    <row r="558" spans="1:5" s="2070" customFormat="1" ht="5.35" customHeight="1">
      <c r="A558" s="1854"/>
      <c r="B558" s="202"/>
      <c r="C558" s="200"/>
      <c r="D558" s="2283"/>
      <c r="E558" s="2790"/>
    </row>
    <row r="559" spans="1:5" s="2070" customFormat="1" ht="13.15">
      <c r="A559" s="1854" t="s">
        <v>308</v>
      </c>
      <c r="B559" s="5737" t="s">
        <v>323</v>
      </c>
      <c r="C559" s="5737"/>
      <c r="D559" s="2452">
        <f>SUM(D560:D568)</f>
        <v>0</v>
      </c>
      <c r="E559" s="2818"/>
    </row>
    <row r="560" spans="1:5" s="2070" customFormat="1" ht="13.15">
      <c r="A560" s="1854"/>
      <c r="B560" s="213"/>
      <c r="C560" s="200" t="s">
        <v>310</v>
      </c>
      <c r="D560" s="2282">
        <v>0</v>
      </c>
      <c r="E560" s="2129"/>
    </row>
    <row r="561" spans="1:5" s="2070" customFormat="1" ht="13.15">
      <c r="A561" s="1854"/>
      <c r="B561" s="213"/>
      <c r="C561" s="200" t="s">
        <v>311</v>
      </c>
      <c r="D561" s="2282">
        <v>0</v>
      </c>
      <c r="E561" s="2129"/>
    </row>
    <row r="562" spans="1:5" s="2070" customFormat="1" ht="13.15">
      <c r="A562" s="1854"/>
      <c r="B562" s="213"/>
      <c r="C562" s="200" t="s">
        <v>312</v>
      </c>
      <c r="D562" s="2282">
        <v>0</v>
      </c>
      <c r="E562" s="2129"/>
    </row>
    <row r="563" spans="1:5" s="2070" customFormat="1" ht="13.15">
      <c r="A563" s="1854"/>
      <c r="B563" s="213"/>
      <c r="C563" s="200" t="s">
        <v>313</v>
      </c>
      <c r="D563" s="2282">
        <v>0</v>
      </c>
      <c r="E563" s="2129"/>
    </row>
    <row r="564" spans="1:5" s="2070" customFormat="1" ht="13.15">
      <c r="A564" s="1854"/>
      <c r="B564" s="213"/>
      <c r="C564" s="200" t="s">
        <v>314</v>
      </c>
      <c r="D564" s="2282">
        <v>0</v>
      </c>
      <c r="E564" s="2129"/>
    </row>
    <row r="565" spans="1:5" s="2070" customFormat="1" ht="13.15">
      <c r="A565" s="1854"/>
      <c r="B565" s="213"/>
      <c r="C565" s="200" t="s">
        <v>315</v>
      </c>
      <c r="D565" s="2282">
        <v>0</v>
      </c>
      <c r="E565" s="2129"/>
    </row>
    <row r="566" spans="1:5" s="2070" customFormat="1" ht="13.15">
      <c r="A566" s="1854"/>
      <c r="B566" s="213"/>
      <c r="C566" s="200" t="s">
        <v>316</v>
      </c>
      <c r="D566" s="2282">
        <v>0</v>
      </c>
      <c r="E566" s="2129"/>
    </row>
    <row r="567" spans="1:5" s="2070" customFormat="1" ht="13.15">
      <c r="A567" s="1854"/>
      <c r="B567" s="213"/>
      <c r="C567" s="200" t="s">
        <v>317</v>
      </c>
      <c r="D567" s="2282">
        <v>0</v>
      </c>
      <c r="E567" s="2129"/>
    </row>
    <row r="568" spans="1:5" s="2070" customFormat="1" ht="13.15">
      <c r="A568" s="1854"/>
      <c r="B568" s="213"/>
      <c r="C568" s="200" t="s">
        <v>318</v>
      </c>
      <c r="D568" s="2282">
        <v>0</v>
      </c>
      <c r="E568" s="2129"/>
    </row>
    <row r="569" spans="1:5" s="2070" customFormat="1" ht="13.15">
      <c r="A569" s="1854" t="s">
        <v>308</v>
      </c>
      <c r="B569" s="5738" t="s">
        <v>85</v>
      </c>
      <c r="C569" s="5738"/>
      <c r="D569" s="2283">
        <f>SUM(D570)</f>
        <v>0</v>
      </c>
      <c r="E569" s="2790"/>
    </row>
    <row r="570" spans="1:5" s="2070" customFormat="1" ht="13.15">
      <c r="A570" s="1854"/>
      <c r="B570" s="213"/>
      <c r="C570" s="202" t="s">
        <v>324</v>
      </c>
      <c r="D570" s="2282">
        <v>0</v>
      </c>
      <c r="E570" s="2129"/>
    </row>
    <row r="571" spans="1:5" s="2070" customFormat="1" ht="6.75" customHeight="1">
      <c r="A571" s="1465"/>
      <c r="B571" s="2117"/>
      <c r="C571" s="2117"/>
      <c r="D571" s="2310"/>
      <c r="E571" s="2799"/>
    </row>
    <row r="572" spans="1:5" s="2073" customFormat="1" ht="15.65">
      <c r="A572" s="2528" t="s">
        <v>325</v>
      </c>
      <c r="B572" s="2093" t="s">
        <v>326</v>
      </c>
      <c r="C572" s="2195"/>
      <c r="D572" s="2306">
        <f>D573+D581</f>
        <v>4692225000</v>
      </c>
      <c r="E572" s="2800"/>
    </row>
    <row r="573" spans="1:5" s="2074" customFormat="1" ht="13.15">
      <c r="A573" s="2529"/>
      <c r="B573" s="2248" t="s">
        <v>106</v>
      </c>
      <c r="C573" s="2099"/>
      <c r="D573" s="2447">
        <f>D574</f>
        <v>300000000</v>
      </c>
      <c r="E573" s="2797"/>
    </row>
    <row r="574" spans="1:5" s="2074" customFormat="1" ht="15.05">
      <c r="A574" s="1905"/>
      <c r="B574" s="212" t="s">
        <v>63</v>
      </c>
      <c r="C574" s="212"/>
      <c r="D574" s="2463">
        <f>D575+D577</f>
        <v>300000000</v>
      </c>
      <c r="E574" s="2820"/>
    </row>
    <row r="575" spans="1:5" s="2074" customFormat="1" ht="13.15">
      <c r="A575" s="1854"/>
      <c r="B575" s="2728" t="s">
        <v>50</v>
      </c>
      <c r="C575" s="202" t="s">
        <v>304</v>
      </c>
      <c r="D575" s="2465">
        <v>150000000</v>
      </c>
      <c r="E575" s="2790"/>
    </row>
    <row r="576" spans="1:5" s="2070" customFormat="1" ht="3.8" customHeight="1">
      <c r="A576" s="1854"/>
      <c r="B576" s="200"/>
      <c r="C576" s="200"/>
      <c r="D576" s="2466"/>
      <c r="E576" s="2129"/>
    </row>
    <row r="577" spans="1:5" s="2074" customFormat="1" ht="13.15">
      <c r="A577" s="1854"/>
      <c r="B577" s="2728" t="s">
        <v>50</v>
      </c>
      <c r="C577" s="202" t="s">
        <v>64</v>
      </c>
      <c r="D577" s="2465">
        <f>SUM(D578:D579)</f>
        <v>150000000</v>
      </c>
      <c r="E577" s="2790"/>
    </row>
    <row r="578" spans="1:5" s="2070" customFormat="1" ht="13.15">
      <c r="A578" s="1855"/>
      <c r="B578" s="200"/>
      <c r="C578" s="2727" t="s">
        <v>327</v>
      </c>
      <c r="D578" s="2678">
        <v>100000000</v>
      </c>
      <c r="E578" s="2129"/>
    </row>
    <row r="579" spans="1:5" s="2070" customFormat="1" ht="13.15">
      <c r="A579" s="1855"/>
      <c r="B579" s="200"/>
      <c r="C579" s="2727" t="s">
        <v>328</v>
      </c>
      <c r="D579" s="2678">
        <v>50000000</v>
      </c>
      <c r="E579" s="2129"/>
    </row>
    <row r="580" spans="1:5" s="2070" customFormat="1" ht="5.35" customHeight="1">
      <c r="A580" s="1854"/>
      <c r="B580" s="200"/>
      <c r="C580" s="200"/>
      <c r="D580" s="2468"/>
      <c r="E580" s="2129"/>
    </row>
    <row r="581" spans="1:5" s="2070" customFormat="1" ht="15.05">
      <c r="A581" s="1854"/>
      <c r="B581" s="202" t="s">
        <v>71</v>
      </c>
      <c r="C581" s="202"/>
      <c r="D581" s="2469">
        <f>SUM(D582:D585)</f>
        <v>4392225000</v>
      </c>
      <c r="E581" s="2808"/>
    </row>
    <row r="582" spans="1:5" s="2070" customFormat="1" ht="13.15">
      <c r="A582" s="1855"/>
      <c r="B582" s="2727" t="s">
        <v>50</v>
      </c>
      <c r="C582" s="200" t="s">
        <v>73</v>
      </c>
      <c r="D582" s="2466">
        <v>0</v>
      </c>
      <c r="E582" s="2129"/>
    </row>
    <row r="583" spans="1:5" s="2070" customFormat="1" ht="13.15">
      <c r="A583" s="1855"/>
      <c r="B583" s="2727" t="s">
        <v>50</v>
      </c>
      <c r="C583" s="200" t="s">
        <v>74</v>
      </c>
      <c r="D583" s="2466">
        <v>0</v>
      </c>
      <c r="E583" s="2129"/>
    </row>
    <row r="584" spans="1:5" s="2070" customFormat="1" ht="13.15">
      <c r="A584" s="1855"/>
      <c r="B584" s="2727" t="s">
        <v>50</v>
      </c>
      <c r="C584" s="200" t="s">
        <v>75</v>
      </c>
      <c r="D584" s="2466">
        <v>0</v>
      </c>
      <c r="E584" s="2129"/>
    </row>
    <row r="585" spans="1:5" s="2070" customFormat="1" ht="13.15">
      <c r="A585" s="1855"/>
      <c r="B585" s="2728" t="s">
        <v>50</v>
      </c>
      <c r="C585" s="202" t="s">
        <v>329</v>
      </c>
      <c r="D585" s="2465">
        <f>SUM(D586:D588)</f>
        <v>4392225000</v>
      </c>
      <c r="E585" s="2790"/>
    </row>
    <row r="586" spans="1:5" s="2070" customFormat="1" ht="13.15">
      <c r="A586" s="1886"/>
      <c r="B586" s="856"/>
      <c r="C586" s="2729" t="s">
        <v>330</v>
      </c>
      <c r="D586" s="2678">
        <v>4392225000</v>
      </c>
      <c r="E586" s="2129"/>
    </row>
    <row r="587" spans="1:5" s="2070" customFormat="1" ht="13.15">
      <c r="A587" s="1886"/>
      <c r="B587" s="856"/>
      <c r="C587" s="2729" t="s">
        <v>331</v>
      </c>
      <c r="D587" s="2678">
        <v>0</v>
      </c>
      <c r="E587" s="2129"/>
    </row>
    <row r="588" spans="1:5" s="2070" customFormat="1" ht="13.15">
      <c r="A588" s="1886"/>
      <c r="B588" s="856"/>
      <c r="C588" s="2729" t="s">
        <v>332</v>
      </c>
      <c r="D588" s="2679">
        <v>0</v>
      </c>
      <c r="E588" s="2129"/>
    </row>
    <row r="589" spans="1:5" s="2070" customFormat="1" ht="4.55" customHeight="1">
      <c r="A589" s="1465"/>
      <c r="B589" s="2117"/>
      <c r="C589" s="2117"/>
      <c r="D589" s="2310"/>
      <c r="E589" s="2799"/>
    </row>
    <row r="590" spans="1:5" s="2070" customFormat="1" ht="15.65">
      <c r="A590" s="2528" t="s">
        <v>333</v>
      </c>
      <c r="B590" s="2093" t="s">
        <v>334</v>
      </c>
      <c r="C590" s="2195"/>
      <c r="D590" s="2306">
        <f>D591</f>
        <v>0</v>
      </c>
      <c r="E590" s="2800"/>
    </row>
    <row r="591" spans="1:5" s="2070" customFormat="1" ht="13.15">
      <c r="A591" s="1902"/>
      <c r="B591" s="2322" t="s">
        <v>71</v>
      </c>
      <c r="C591" s="2322"/>
      <c r="D591" s="2304">
        <f>SUM(D592:D596)</f>
        <v>0</v>
      </c>
      <c r="E591" s="2797"/>
    </row>
    <row r="592" spans="1:5" s="2070" customFormat="1" ht="13.15">
      <c r="A592" s="1889"/>
      <c r="B592" s="200" t="s">
        <v>50</v>
      </c>
      <c r="C592" s="224" t="s">
        <v>73</v>
      </c>
      <c r="D592" s="2466">
        <v>0</v>
      </c>
      <c r="E592" s="2129"/>
    </row>
    <row r="593" spans="1:5" s="2070" customFormat="1" ht="13.15">
      <c r="A593" s="1855"/>
      <c r="B593" s="200" t="s">
        <v>50</v>
      </c>
      <c r="C593" s="200" t="s">
        <v>74</v>
      </c>
      <c r="D593" s="2466">
        <v>0</v>
      </c>
      <c r="E593" s="2129"/>
    </row>
    <row r="594" spans="1:5" s="2070" customFormat="1" ht="13.15">
      <c r="A594" s="1855"/>
      <c r="B594" s="200" t="s">
        <v>50</v>
      </c>
      <c r="C594" s="200" t="s">
        <v>75</v>
      </c>
      <c r="D594" s="2466">
        <v>0</v>
      </c>
      <c r="E594" s="2129"/>
    </row>
    <row r="595" spans="1:5" s="2070" customFormat="1" ht="13.15">
      <c r="A595" s="1855"/>
      <c r="B595" s="200" t="s">
        <v>50</v>
      </c>
      <c r="C595" s="200" t="s">
        <v>169</v>
      </c>
      <c r="D595" s="2466">
        <v>0</v>
      </c>
      <c r="E595" s="2129"/>
    </row>
    <row r="596" spans="1:5" s="2070" customFormat="1" ht="13.15">
      <c r="A596" s="1854"/>
      <c r="B596" s="200" t="s">
        <v>50</v>
      </c>
      <c r="C596" s="200" t="s">
        <v>85</v>
      </c>
      <c r="D596" s="2466">
        <v>0</v>
      </c>
      <c r="E596" s="2129"/>
    </row>
    <row r="597" spans="1:5" s="2070" customFormat="1" ht="5.35" customHeight="1">
      <c r="A597" s="1854"/>
      <c r="B597" s="200"/>
      <c r="C597" s="200"/>
      <c r="D597" s="2470"/>
      <c r="E597" s="2799"/>
    </row>
    <row r="598" spans="1:5" s="2070" customFormat="1" ht="15.65">
      <c r="A598" s="2637" t="s">
        <v>335</v>
      </c>
      <c r="B598" s="2119" t="s">
        <v>336</v>
      </c>
      <c r="C598" s="2436"/>
      <c r="D598" s="2437">
        <f>D599</f>
        <v>0</v>
      </c>
      <c r="E598" s="2800"/>
    </row>
    <row r="599" spans="1:5" s="2070" customFormat="1" ht="13.15">
      <c r="A599" s="2533"/>
      <c r="B599" s="2113" t="s">
        <v>71</v>
      </c>
      <c r="C599" s="2113"/>
      <c r="D599" s="2474">
        <f>SUM(D600:D604)</f>
        <v>0</v>
      </c>
      <c r="E599" s="2790"/>
    </row>
    <row r="600" spans="1:5" s="2070" customFormat="1" ht="13.15">
      <c r="A600" s="1855"/>
      <c r="B600" s="200" t="s">
        <v>50</v>
      </c>
      <c r="C600" s="200" t="s">
        <v>73</v>
      </c>
      <c r="D600" s="2466">
        <v>0</v>
      </c>
      <c r="E600" s="2129"/>
    </row>
    <row r="601" spans="1:5" s="2070" customFormat="1" ht="13.15">
      <c r="A601" s="1855"/>
      <c r="B601" s="200" t="s">
        <v>50</v>
      </c>
      <c r="C601" s="200" t="s">
        <v>74</v>
      </c>
      <c r="D601" s="2466">
        <v>0</v>
      </c>
      <c r="E601" s="2129"/>
    </row>
    <row r="602" spans="1:5" s="2070" customFormat="1" ht="13.15">
      <c r="A602" s="1855"/>
      <c r="B602" s="200" t="s">
        <v>50</v>
      </c>
      <c r="C602" s="200" t="s">
        <v>75</v>
      </c>
      <c r="D602" s="2466">
        <v>0</v>
      </c>
      <c r="E602" s="2129"/>
    </row>
    <row r="603" spans="1:5" s="2070" customFormat="1" ht="13.15">
      <c r="A603" s="1855"/>
      <c r="B603" s="200" t="s">
        <v>50</v>
      </c>
      <c r="C603" s="200" t="s">
        <v>337</v>
      </c>
      <c r="D603" s="2466">
        <v>0</v>
      </c>
      <c r="E603" s="2129"/>
    </row>
    <row r="604" spans="1:5" s="2070" customFormat="1" ht="13.15">
      <c r="A604" s="1855"/>
      <c r="B604" s="200" t="s">
        <v>50</v>
      </c>
      <c r="C604" s="200" t="s">
        <v>338</v>
      </c>
      <c r="D604" s="2466">
        <v>0</v>
      </c>
      <c r="E604" s="2129"/>
    </row>
    <row r="605" spans="1:5" s="2070" customFormat="1" ht="5.95" customHeight="1">
      <c r="A605" s="1913"/>
      <c r="B605" s="238"/>
      <c r="C605" s="238"/>
      <c r="D605" s="2470"/>
      <c r="E605" s="2799"/>
    </row>
    <row r="606" spans="1:5" s="2070" customFormat="1" ht="15.65">
      <c r="A606" s="2638" t="s">
        <v>339</v>
      </c>
      <c r="B606" s="2459" t="s">
        <v>340</v>
      </c>
      <c r="C606" s="2477"/>
      <c r="D606" s="2478">
        <f>D607+D625</f>
        <v>1274387000</v>
      </c>
      <c r="E606" s="2800"/>
    </row>
    <row r="607" spans="1:5" s="2070" customFormat="1" ht="15.05">
      <c r="A607" s="2529"/>
      <c r="B607" s="1318" t="s">
        <v>106</v>
      </c>
      <c r="C607" s="2099"/>
      <c r="D607" s="2479">
        <f>D608+D612</f>
        <v>1274387000</v>
      </c>
      <c r="E607" s="2820"/>
    </row>
    <row r="608" spans="1:5" s="2070" customFormat="1" ht="13.15">
      <c r="A608" s="1905"/>
      <c r="B608" s="212" t="s">
        <v>63</v>
      </c>
      <c r="C608" s="212"/>
      <c r="D608" s="2480">
        <f>D609</f>
        <v>200000000</v>
      </c>
      <c r="E608" s="2797"/>
    </row>
    <row r="609" spans="1:5" s="2070" customFormat="1" ht="15.05">
      <c r="A609" s="1905"/>
      <c r="B609" s="2744" t="s">
        <v>50</v>
      </c>
      <c r="C609" s="224" t="s">
        <v>304</v>
      </c>
      <c r="D609" s="2481">
        <f>SUM(D610)</f>
        <v>200000000</v>
      </c>
      <c r="E609" s="2820"/>
    </row>
    <row r="610" spans="1:5" s="2070" customFormat="1" ht="13.15">
      <c r="A610" s="1905"/>
      <c r="B610" s="212"/>
      <c r="C610" s="2733" t="s">
        <v>341</v>
      </c>
      <c r="D610" s="2480">
        <v>200000000</v>
      </c>
      <c r="E610" s="2797"/>
    </row>
    <row r="611" spans="1:5" s="2070" customFormat="1" ht="5.35" customHeight="1">
      <c r="A611" s="1905"/>
      <c r="B611" s="212"/>
      <c r="C611" s="212"/>
      <c r="D611" s="2480"/>
      <c r="E611" s="2797"/>
    </row>
    <row r="612" spans="1:5" s="2070" customFormat="1" ht="13.15">
      <c r="A612" s="1905"/>
      <c r="B612" s="2099" t="s">
        <v>342</v>
      </c>
      <c r="C612" s="212"/>
      <c r="D612" s="2482">
        <f>SUM(D613:D623)</f>
        <v>1074387000</v>
      </c>
      <c r="E612" s="2797"/>
    </row>
    <row r="613" spans="1:5" s="2070" customFormat="1" ht="13.15">
      <c r="A613" s="1854"/>
      <c r="B613" s="200" t="s">
        <v>50</v>
      </c>
      <c r="C613" s="200" t="s">
        <v>343</v>
      </c>
      <c r="D613" s="2466">
        <v>259229500</v>
      </c>
      <c r="E613" s="2129"/>
    </row>
    <row r="614" spans="1:5" s="2070" customFormat="1" ht="13.15">
      <c r="A614" s="1854"/>
      <c r="B614" s="200" t="s">
        <v>50</v>
      </c>
      <c r="C614" s="200" t="s">
        <v>344</v>
      </c>
      <c r="D614" s="2466">
        <v>374739500</v>
      </c>
      <c r="E614" s="2129"/>
    </row>
    <row r="615" spans="1:5" s="2070" customFormat="1" ht="13.15">
      <c r="A615" s="1854"/>
      <c r="B615" s="200" t="s">
        <v>50</v>
      </c>
      <c r="C615" s="200" t="s">
        <v>345</v>
      </c>
      <c r="D615" s="2466">
        <v>271618000</v>
      </c>
      <c r="E615" s="2129"/>
    </row>
    <row r="616" spans="1:5" s="2070" customFormat="1" ht="13.15">
      <c r="A616" s="1854"/>
      <c r="B616" s="200" t="s">
        <v>50</v>
      </c>
      <c r="C616" s="200" t="s">
        <v>346</v>
      </c>
      <c r="D616" s="2466">
        <v>0</v>
      </c>
      <c r="E616" s="2129"/>
    </row>
    <row r="617" spans="1:5" s="2070" customFormat="1" ht="13.15">
      <c r="A617" s="1854"/>
      <c r="B617" s="200" t="s">
        <v>50</v>
      </c>
      <c r="C617" s="200" t="s">
        <v>347</v>
      </c>
      <c r="D617" s="2466">
        <v>0</v>
      </c>
      <c r="E617" s="2129"/>
    </row>
    <row r="618" spans="1:5" s="2070" customFormat="1" ht="13.15">
      <c r="A618" s="1854"/>
      <c r="B618" s="200" t="s">
        <v>50</v>
      </c>
      <c r="C618" s="200" t="s">
        <v>348</v>
      </c>
      <c r="D618" s="2466">
        <v>46200000</v>
      </c>
      <c r="E618" s="2129"/>
    </row>
    <row r="619" spans="1:5" s="2070" customFormat="1" ht="13.15">
      <c r="A619" s="1854"/>
      <c r="B619" s="200" t="s">
        <v>50</v>
      </c>
      <c r="C619" s="200" t="s">
        <v>349</v>
      </c>
      <c r="D619" s="2466">
        <v>88200000</v>
      </c>
      <c r="E619" s="2129"/>
    </row>
    <row r="620" spans="1:5" s="2070" customFormat="1" ht="13.15">
      <c r="A620" s="1854"/>
      <c r="B620" s="200" t="s">
        <v>50</v>
      </c>
      <c r="C620" s="200" t="s">
        <v>350</v>
      </c>
      <c r="D620" s="2466">
        <v>24400000</v>
      </c>
      <c r="E620" s="2129"/>
    </row>
    <row r="621" spans="1:5" s="2070" customFormat="1" ht="13.15">
      <c r="A621" s="1854"/>
      <c r="B621" s="200" t="s">
        <v>50</v>
      </c>
      <c r="C621" s="200" t="s">
        <v>351</v>
      </c>
      <c r="D621" s="2466">
        <v>0</v>
      </c>
      <c r="E621" s="2129"/>
    </row>
    <row r="622" spans="1:5" s="2070" customFormat="1" ht="13.15">
      <c r="A622" s="1854"/>
      <c r="B622" s="2460" t="s">
        <v>50</v>
      </c>
      <c r="C622" s="2483" t="s">
        <v>352</v>
      </c>
      <c r="D622" s="2680">
        <v>0</v>
      </c>
      <c r="E622" s="2821"/>
    </row>
    <row r="623" spans="1:5" s="2070" customFormat="1" ht="13.15">
      <c r="A623" s="1854"/>
      <c r="B623" s="2745" t="s">
        <v>50</v>
      </c>
      <c r="C623" s="2483" t="s">
        <v>353</v>
      </c>
      <c r="D623" s="2680">
        <v>10000000</v>
      </c>
      <c r="E623" s="2821"/>
    </row>
    <row r="624" spans="1:5" s="2070" customFormat="1" ht="5.35" customHeight="1">
      <c r="A624" s="1854"/>
      <c r="B624" s="200"/>
      <c r="C624" s="200"/>
      <c r="D624" s="2282"/>
      <c r="E624" s="2129"/>
    </row>
    <row r="625" spans="1:5" s="2070" customFormat="1" ht="13.15">
      <c r="A625" s="1854"/>
      <c r="B625" s="202" t="s">
        <v>71</v>
      </c>
      <c r="C625" s="202"/>
      <c r="D625" s="2283">
        <f>SUM(D626:D630)</f>
        <v>0</v>
      </c>
      <c r="E625" s="2790"/>
    </row>
    <row r="626" spans="1:5" s="2070" customFormat="1" ht="13.15">
      <c r="A626" s="1855"/>
      <c r="B626" s="200" t="s">
        <v>50</v>
      </c>
      <c r="C626" s="200" t="s">
        <v>73</v>
      </c>
      <c r="D626" s="2466">
        <v>0</v>
      </c>
      <c r="E626" s="2129"/>
    </row>
    <row r="627" spans="1:5" s="2070" customFormat="1" ht="13.15">
      <c r="A627" s="1855"/>
      <c r="B627" s="200" t="s">
        <v>50</v>
      </c>
      <c r="C627" s="200" t="s">
        <v>74</v>
      </c>
      <c r="D627" s="2466">
        <v>0</v>
      </c>
      <c r="E627" s="2129"/>
    </row>
    <row r="628" spans="1:5" s="2070" customFormat="1" ht="13.15">
      <c r="A628" s="1855"/>
      <c r="B628" s="200" t="s">
        <v>50</v>
      </c>
      <c r="C628" s="200" t="s">
        <v>75</v>
      </c>
      <c r="D628" s="2466">
        <v>0</v>
      </c>
      <c r="E628" s="2129"/>
    </row>
    <row r="629" spans="1:5" s="2070" customFormat="1" ht="13.15">
      <c r="A629" s="1854"/>
      <c r="B629" s="200" t="s">
        <v>50</v>
      </c>
      <c r="C629" s="200" t="s">
        <v>354</v>
      </c>
      <c r="D629" s="2466">
        <v>0</v>
      </c>
      <c r="E629" s="2129"/>
    </row>
    <row r="630" spans="1:5" s="2070" customFormat="1" ht="13.15">
      <c r="A630" s="1854"/>
      <c r="B630" s="2461" t="s">
        <v>50</v>
      </c>
      <c r="C630" s="2461" t="s">
        <v>324</v>
      </c>
      <c r="D630" s="2466">
        <v>0</v>
      </c>
      <c r="E630" s="2129"/>
    </row>
    <row r="631" spans="1:5" s="2070" customFormat="1" ht="5.35" customHeight="1">
      <c r="A631" s="1465"/>
      <c r="B631" s="2117"/>
      <c r="C631" s="2117"/>
      <c r="D631" s="2484"/>
      <c r="E631" s="2129"/>
    </row>
    <row r="632" spans="1:5" s="2070" customFormat="1" ht="15.65">
      <c r="A632" s="2528" t="s">
        <v>355</v>
      </c>
      <c r="B632" s="2093" t="s">
        <v>356</v>
      </c>
      <c r="C632" s="2195"/>
      <c r="D632" s="2306">
        <f>D633+D649</f>
        <v>1004500000</v>
      </c>
      <c r="E632" s="2800"/>
    </row>
    <row r="633" spans="1:5" s="2070" customFormat="1" ht="15.05">
      <c r="A633" s="2529"/>
      <c r="B633" s="2099" t="s">
        <v>63</v>
      </c>
      <c r="C633" s="2438"/>
      <c r="D633" s="2487">
        <f>+D634+D640</f>
        <v>1004500000</v>
      </c>
      <c r="E633" s="2808"/>
    </row>
    <row r="634" spans="1:5" s="2070" customFormat="1" ht="13.15">
      <c r="A634" s="1855"/>
      <c r="B634" s="202" t="s">
        <v>64</v>
      </c>
      <c r="C634" s="200"/>
      <c r="D634" s="2452">
        <f>SUM(D635:D638)</f>
        <v>785500000</v>
      </c>
      <c r="E634" s="2818"/>
    </row>
    <row r="635" spans="1:5" s="2070" customFormat="1" ht="13.15">
      <c r="A635" s="1854"/>
      <c r="B635" s="200" t="s">
        <v>50</v>
      </c>
      <c r="C635" s="200" t="s">
        <v>357</v>
      </c>
      <c r="D635" s="2466">
        <v>40000000</v>
      </c>
      <c r="E635" s="2129"/>
    </row>
    <row r="636" spans="1:5" s="2070" customFormat="1" ht="13.15">
      <c r="A636" s="1854"/>
      <c r="B636" s="200" t="s">
        <v>50</v>
      </c>
      <c r="C636" s="200" t="s">
        <v>358</v>
      </c>
      <c r="D636" s="2466">
        <v>23000000</v>
      </c>
      <c r="E636" s="2129"/>
    </row>
    <row r="637" spans="1:5" s="2070" customFormat="1" ht="13.15">
      <c r="A637" s="1854"/>
      <c r="B637" s="200" t="s">
        <v>50</v>
      </c>
      <c r="C637" s="200" t="s">
        <v>359</v>
      </c>
      <c r="D637" s="2466">
        <v>722500000</v>
      </c>
      <c r="E637" s="2129"/>
    </row>
    <row r="638" spans="1:5" s="2070" customFormat="1" ht="13.15">
      <c r="A638" s="1854"/>
      <c r="B638" s="200" t="s">
        <v>50</v>
      </c>
      <c r="C638" s="200" t="s">
        <v>360</v>
      </c>
      <c r="D638" s="2466">
        <v>0</v>
      </c>
      <c r="E638" s="2129"/>
    </row>
    <row r="639" spans="1:5" s="2070" customFormat="1" ht="3.8" customHeight="1">
      <c r="A639" s="1854"/>
      <c r="B639" s="200"/>
      <c r="C639" s="200"/>
      <c r="D639" s="2282"/>
      <c r="E639" s="2129"/>
    </row>
    <row r="640" spans="1:5" s="2070" customFormat="1" ht="13.15">
      <c r="A640" s="1854"/>
      <c r="B640" s="202" t="s">
        <v>361</v>
      </c>
      <c r="C640" s="200"/>
      <c r="D640" s="2452">
        <f>SUM(D641:D647)</f>
        <v>219000000</v>
      </c>
      <c r="E640" s="2818"/>
    </row>
    <row r="641" spans="1:5" s="2070" customFormat="1" ht="13.15">
      <c r="A641" s="1854"/>
      <c r="B641" s="200" t="s">
        <v>50</v>
      </c>
      <c r="C641" s="200" t="s">
        <v>362</v>
      </c>
      <c r="D641" s="2466">
        <v>0</v>
      </c>
      <c r="E641" s="2129"/>
    </row>
    <row r="642" spans="1:5" s="2070" customFormat="1" ht="13.15">
      <c r="A642" s="1854"/>
      <c r="B642" s="200" t="s">
        <v>50</v>
      </c>
      <c r="C642" s="200" t="s">
        <v>363</v>
      </c>
      <c r="D642" s="2466">
        <v>75000000</v>
      </c>
      <c r="E642" s="2129"/>
    </row>
    <row r="643" spans="1:5" s="2070" customFormat="1" ht="13.15">
      <c r="A643" s="1854"/>
      <c r="B643" s="200" t="s">
        <v>50</v>
      </c>
      <c r="C643" s="200" t="s">
        <v>364</v>
      </c>
      <c r="D643" s="2466">
        <v>19000000</v>
      </c>
      <c r="E643" s="2129"/>
    </row>
    <row r="644" spans="1:5" s="2070" customFormat="1" ht="13.15">
      <c r="A644" s="1854"/>
      <c r="B644" s="200" t="s">
        <v>50</v>
      </c>
      <c r="C644" s="200" t="s">
        <v>365</v>
      </c>
      <c r="D644" s="2466">
        <v>125000000</v>
      </c>
      <c r="E644" s="2129"/>
    </row>
    <row r="645" spans="1:5" s="2070" customFormat="1" ht="13.15">
      <c r="A645" s="1854"/>
      <c r="B645" s="200" t="s">
        <v>50</v>
      </c>
      <c r="C645" s="200" t="s">
        <v>366</v>
      </c>
      <c r="D645" s="2466">
        <v>0</v>
      </c>
      <c r="E645" s="2129"/>
    </row>
    <row r="646" spans="1:5" s="2070" customFormat="1" ht="13.15">
      <c r="A646" s="1854"/>
      <c r="B646" s="200" t="s">
        <v>50</v>
      </c>
      <c r="C646" s="200" t="s">
        <v>367</v>
      </c>
      <c r="D646" s="2466">
        <v>0</v>
      </c>
      <c r="E646" s="2129"/>
    </row>
    <row r="647" spans="1:5" s="2070" customFormat="1" ht="13.15">
      <c r="A647" s="1854"/>
      <c r="B647" s="200" t="s">
        <v>50</v>
      </c>
      <c r="C647" s="200" t="s">
        <v>368</v>
      </c>
      <c r="D647" s="2466">
        <v>0</v>
      </c>
      <c r="E647" s="2129"/>
    </row>
    <row r="648" spans="1:5" s="2070" customFormat="1" ht="4.55" customHeight="1">
      <c r="A648" s="1854"/>
      <c r="B648" s="200"/>
      <c r="C648" s="200"/>
      <c r="D648" s="2282"/>
      <c r="E648" s="2129"/>
    </row>
    <row r="649" spans="1:5" s="2070" customFormat="1" ht="13.15">
      <c r="A649" s="1854"/>
      <c r="B649" s="202" t="s">
        <v>71</v>
      </c>
      <c r="C649" s="202"/>
      <c r="D649" s="2283">
        <f>SUM(D650:D653)</f>
        <v>0</v>
      </c>
      <c r="E649" s="2790"/>
    </row>
    <row r="650" spans="1:5" s="2070" customFormat="1" ht="13.15">
      <c r="A650" s="1855"/>
      <c r="B650" s="200" t="s">
        <v>50</v>
      </c>
      <c r="C650" s="2329" t="s">
        <v>369</v>
      </c>
      <c r="D650" s="2466">
        <v>0</v>
      </c>
      <c r="E650" s="2129"/>
    </row>
    <row r="651" spans="1:5" s="2070" customFormat="1" ht="13.15">
      <c r="A651" s="1855"/>
      <c r="B651" s="200" t="s">
        <v>50</v>
      </c>
      <c r="C651" s="200" t="s">
        <v>74</v>
      </c>
      <c r="D651" s="2466">
        <v>0</v>
      </c>
      <c r="E651" s="2129"/>
    </row>
    <row r="652" spans="1:5" s="2070" customFormat="1" ht="13.15">
      <c r="A652" s="1855"/>
      <c r="B652" s="200" t="s">
        <v>50</v>
      </c>
      <c r="C652" s="200" t="s">
        <v>75</v>
      </c>
      <c r="D652" s="2466">
        <v>0</v>
      </c>
      <c r="E652" s="2129"/>
    </row>
    <row r="653" spans="1:5" s="2070" customFormat="1" ht="13.15">
      <c r="A653" s="1855"/>
      <c r="B653" s="200" t="s">
        <v>50</v>
      </c>
      <c r="C653" s="200" t="s">
        <v>85</v>
      </c>
      <c r="D653" s="2466">
        <v>0</v>
      </c>
      <c r="E653" s="2129"/>
    </row>
    <row r="654" spans="1:5" s="2070" customFormat="1" ht="5.35" customHeight="1">
      <c r="A654" s="1465"/>
      <c r="B654" s="2117"/>
      <c r="C654" s="2117"/>
      <c r="D654" s="2310"/>
      <c r="E654" s="2799"/>
    </row>
    <row r="655" spans="1:5" s="2070" customFormat="1" ht="15.65">
      <c r="A655" s="2528" t="s">
        <v>370</v>
      </c>
      <c r="B655" s="2093" t="s">
        <v>371</v>
      </c>
      <c r="C655" s="2195"/>
      <c r="D655" s="2306">
        <f>D656</f>
        <v>0</v>
      </c>
      <c r="E655" s="2800"/>
    </row>
    <row r="656" spans="1:5" s="2070" customFormat="1" ht="13.15">
      <c r="A656" s="1902"/>
      <c r="B656" s="2322" t="s">
        <v>71</v>
      </c>
      <c r="C656" s="2322"/>
      <c r="D656" s="2304">
        <f>SUM(D657:D661)</f>
        <v>0</v>
      </c>
      <c r="E656" s="2797"/>
    </row>
    <row r="657" spans="1:5" s="2070" customFormat="1" ht="13.15">
      <c r="A657" s="1854"/>
      <c r="B657" s="257" t="s">
        <v>50</v>
      </c>
      <c r="C657" s="200" t="s">
        <v>72</v>
      </c>
      <c r="D657" s="2466">
        <v>0</v>
      </c>
      <c r="E657" s="2129"/>
    </row>
    <row r="658" spans="1:5" s="2070" customFormat="1" ht="13.15">
      <c r="A658" s="1855"/>
      <c r="B658" s="257" t="s">
        <v>50</v>
      </c>
      <c r="C658" s="200" t="s">
        <v>73</v>
      </c>
      <c r="D658" s="2466">
        <v>0</v>
      </c>
      <c r="E658" s="2129"/>
    </row>
    <row r="659" spans="1:5" s="2070" customFormat="1" ht="13.15">
      <c r="A659" s="1855"/>
      <c r="B659" s="257" t="s">
        <v>50</v>
      </c>
      <c r="C659" s="200" t="s">
        <v>74</v>
      </c>
      <c r="D659" s="2466">
        <v>0</v>
      </c>
      <c r="E659" s="2129"/>
    </row>
    <row r="660" spans="1:5" s="2070" customFormat="1" ht="13.15">
      <c r="A660" s="1855"/>
      <c r="B660" s="257" t="s">
        <v>50</v>
      </c>
      <c r="C660" s="200" t="s">
        <v>75</v>
      </c>
      <c r="D660" s="2466">
        <v>0</v>
      </c>
      <c r="E660" s="2129"/>
    </row>
    <row r="661" spans="1:5" s="2070" customFormat="1" ht="13.15">
      <c r="A661" s="1854"/>
      <c r="B661" s="2214" t="s">
        <v>50</v>
      </c>
      <c r="C661" s="200" t="s">
        <v>85</v>
      </c>
      <c r="D661" s="2466">
        <v>0</v>
      </c>
      <c r="E661" s="2129"/>
    </row>
    <row r="662" spans="1:5" s="2070" customFormat="1" ht="5.35" customHeight="1">
      <c r="A662" s="1465"/>
      <c r="B662" s="2326"/>
      <c r="C662" s="2326"/>
      <c r="D662" s="2314"/>
      <c r="E662" s="2799"/>
    </row>
    <row r="663" spans="1:5" s="2070" customFormat="1" ht="15.65">
      <c r="A663" s="2528" t="s">
        <v>372</v>
      </c>
      <c r="B663" s="2093" t="s">
        <v>373</v>
      </c>
      <c r="C663" s="2195"/>
      <c r="D663" s="2306">
        <f>D665+D689</f>
        <v>1338680000</v>
      </c>
      <c r="E663" s="2800"/>
    </row>
    <row r="664" spans="1:5" s="2070" customFormat="1" ht="3.8" customHeight="1">
      <c r="A664" s="2529"/>
      <c r="B664" s="2438"/>
      <c r="C664" s="2099"/>
      <c r="D664" s="2439"/>
      <c r="E664" s="2799"/>
    </row>
    <row r="665" spans="1:5" s="2070" customFormat="1" ht="15.05">
      <c r="A665" s="1854"/>
      <c r="B665" s="202" t="s">
        <v>106</v>
      </c>
      <c r="C665" s="202"/>
      <c r="D665" s="2490">
        <f>+D667+D687+D679</f>
        <v>1338680000</v>
      </c>
      <c r="E665" s="2820"/>
    </row>
    <row r="666" spans="1:5" s="2070" customFormat="1" ht="3.8" customHeight="1">
      <c r="A666" s="1854"/>
      <c r="B666" s="200"/>
      <c r="C666" s="200"/>
      <c r="D666" s="2455"/>
      <c r="E666" s="2799"/>
    </row>
    <row r="667" spans="1:5" s="2070" customFormat="1" ht="13.15">
      <c r="A667" s="1854"/>
      <c r="B667" s="202" t="s">
        <v>374</v>
      </c>
      <c r="C667" s="202"/>
      <c r="D667" s="2307">
        <f>+D668</f>
        <v>518680000</v>
      </c>
      <c r="E667" s="2797"/>
    </row>
    <row r="668" spans="1:5" s="2070" customFormat="1" ht="15.05">
      <c r="A668" s="1855"/>
      <c r="B668" s="202" t="s">
        <v>64</v>
      </c>
      <c r="C668" s="202"/>
      <c r="D668" s="2490">
        <f>SUM(D669:D677)</f>
        <v>518680000</v>
      </c>
      <c r="E668" s="2820"/>
    </row>
    <row r="669" spans="1:5" s="2070" customFormat="1" ht="13.15">
      <c r="A669" s="1854"/>
      <c r="B669" s="202" t="s">
        <v>50</v>
      </c>
      <c r="C669" s="200" t="s">
        <v>375</v>
      </c>
      <c r="D669" s="2466">
        <v>328430000</v>
      </c>
      <c r="E669" s="2129"/>
    </row>
    <row r="670" spans="1:5" s="2070" customFormat="1" ht="13.15">
      <c r="A670" s="1854"/>
      <c r="B670" s="200" t="s">
        <v>50</v>
      </c>
      <c r="C670" s="200" t="s">
        <v>376</v>
      </c>
      <c r="D670" s="2466">
        <v>15000000</v>
      </c>
      <c r="E670" s="2129"/>
    </row>
    <row r="671" spans="1:5" s="2070" customFormat="1" ht="13.15">
      <c r="A671" s="1854"/>
      <c r="B671" s="200" t="s">
        <v>50</v>
      </c>
      <c r="C671" s="200" t="s">
        <v>377</v>
      </c>
      <c r="D671" s="2466">
        <v>50000000</v>
      </c>
      <c r="E671" s="2129"/>
    </row>
    <row r="672" spans="1:5" s="2070" customFormat="1" ht="13.15">
      <c r="A672" s="1854"/>
      <c r="B672" s="202" t="s">
        <v>50</v>
      </c>
      <c r="C672" s="200" t="s">
        <v>378</v>
      </c>
      <c r="D672" s="2466">
        <v>40250000</v>
      </c>
      <c r="E672" s="2129"/>
    </row>
    <row r="673" spans="1:5" s="2070" customFormat="1" ht="13.15">
      <c r="A673" s="1854"/>
      <c r="B673" s="200" t="s">
        <v>50</v>
      </c>
      <c r="C673" s="200" t="s">
        <v>379</v>
      </c>
      <c r="D673" s="2466">
        <v>25000000</v>
      </c>
      <c r="E673" s="2129"/>
    </row>
    <row r="674" spans="1:5" s="2070" customFormat="1" ht="13.15">
      <c r="A674" s="1854"/>
      <c r="B674" s="200" t="s">
        <v>50</v>
      </c>
      <c r="C674" s="200" t="s">
        <v>380</v>
      </c>
      <c r="D674" s="2466">
        <v>0</v>
      </c>
      <c r="E674" s="2129"/>
    </row>
    <row r="675" spans="1:5" s="2070" customFormat="1" ht="13.15">
      <c r="A675" s="1854"/>
      <c r="B675" s="200" t="s">
        <v>50</v>
      </c>
      <c r="C675" s="200" t="s">
        <v>381</v>
      </c>
      <c r="D675" s="2466">
        <v>60000000</v>
      </c>
      <c r="E675" s="2129"/>
    </row>
    <row r="676" spans="1:5" s="2070" customFormat="1" ht="13.15">
      <c r="A676" s="1854"/>
      <c r="B676" s="200" t="s">
        <v>50</v>
      </c>
      <c r="C676" s="200" t="s">
        <v>382</v>
      </c>
      <c r="D676" s="2466">
        <v>0</v>
      </c>
      <c r="E676" s="2129"/>
    </row>
    <row r="677" spans="1:5" s="2070" customFormat="1" ht="13.15">
      <c r="A677" s="1854"/>
      <c r="B677" s="200" t="s">
        <v>50</v>
      </c>
      <c r="C677" s="200" t="s">
        <v>383</v>
      </c>
      <c r="D677" s="2466">
        <v>0</v>
      </c>
      <c r="E677" s="2129"/>
    </row>
    <row r="678" spans="1:5" s="2070" customFormat="1" ht="7.55" customHeight="1">
      <c r="A678" s="1854"/>
      <c r="B678" s="202"/>
      <c r="C678" s="200"/>
      <c r="D678" s="2282"/>
      <c r="E678" s="2129"/>
    </row>
    <row r="679" spans="1:5" s="2070" customFormat="1" ht="15.05">
      <c r="A679" s="1854"/>
      <c r="B679" s="202" t="s">
        <v>361</v>
      </c>
      <c r="C679" s="202"/>
      <c r="D679" s="2490">
        <f>SUM(D680:D686)</f>
        <v>820000000</v>
      </c>
      <c r="E679" s="2820"/>
    </row>
    <row r="680" spans="1:5" s="2070" customFormat="1" ht="13.15">
      <c r="A680" s="1854"/>
      <c r="B680" s="200" t="s">
        <v>50</v>
      </c>
      <c r="C680" s="200" t="s">
        <v>384</v>
      </c>
      <c r="D680" s="2466">
        <v>190000000</v>
      </c>
      <c r="E680" s="2129"/>
    </row>
    <row r="681" spans="1:5" s="2070" customFormat="1" ht="13.15">
      <c r="A681" s="1854"/>
      <c r="B681" s="200" t="s">
        <v>50</v>
      </c>
      <c r="C681" s="200" t="s">
        <v>385</v>
      </c>
      <c r="D681" s="2466">
        <v>160000000</v>
      </c>
      <c r="E681" s="2129"/>
    </row>
    <row r="682" spans="1:5" s="2070" customFormat="1" ht="13.15">
      <c r="A682" s="1854"/>
      <c r="B682" s="200" t="s">
        <v>50</v>
      </c>
      <c r="C682" s="200" t="s">
        <v>386</v>
      </c>
      <c r="D682" s="2466">
        <v>90000000</v>
      </c>
      <c r="E682" s="2129"/>
    </row>
    <row r="683" spans="1:5" s="2070" customFormat="1" ht="13.15">
      <c r="A683" s="1854"/>
      <c r="B683" s="200" t="s">
        <v>50</v>
      </c>
      <c r="C683" s="200" t="s">
        <v>387</v>
      </c>
      <c r="D683" s="2466"/>
      <c r="E683" s="2129"/>
    </row>
    <row r="684" spans="1:5" s="2070" customFormat="1" ht="13.15">
      <c r="A684" s="1854"/>
      <c r="B684" s="200" t="s">
        <v>50</v>
      </c>
      <c r="C684" s="200" t="s">
        <v>388</v>
      </c>
      <c r="D684" s="2466">
        <v>15000000</v>
      </c>
      <c r="E684" s="2129"/>
    </row>
    <row r="685" spans="1:5" s="2070" customFormat="1" ht="13.15">
      <c r="A685" s="1854"/>
      <c r="B685" s="200" t="s">
        <v>50</v>
      </c>
      <c r="C685" s="200" t="s">
        <v>389</v>
      </c>
      <c r="D685" s="2466">
        <v>30000000</v>
      </c>
      <c r="E685" s="2129"/>
    </row>
    <row r="686" spans="1:5" s="2070" customFormat="1" ht="13.15">
      <c r="A686" s="1854"/>
      <c r="B686" s="200" t="s">
        <v>50</v>
      </c>
      <c r="C686" s="200" t="s">
        <v>390</v>
      </c>
      <c r="D686" s="2466">
        <v>335000000</v>
      </c>
      <c r="E686" s="2129"/>
    </row>
    <row r="687" spans="1:5" s="2070" customFormat="1" ht="13.15">
      <c r="A687" s="1854"/>
      <c r="B687" s="202" t="s">
        <v>391</v>
      </c>
      <c r="C687" s="200"/>
      <c r="D687" s="2466">
        <v>0</v>
      </c>
      <c r="E687" s="2129"/>
    </row>
    <row r="688" spans="1:5" s="2070" customFormat="1" ht="5.95" customHeight="1">
      <c r="A688" s="1854"/>
      <c r="B688" s="200"/>
      <c r="C688" s="200"/>
      <c r="D688" s="2282"/>
      <c r="E688" s="2129"/>
    </row>
    <row r="689" spans="1:6" s="2070" customFormat="1" ht="13.15">
      <c r="A689" s="1854"/>
      <c r="B689" s="202" t="s">
        <v>71</v>
      </c>
      <c r="C689" s="202"/>
      <c r="D689" s="2283">
        <f>SUM(D690:D694)</f>
        <v>0</v>
      </c>
      <c r="E689" s="2790"/>
    </row>
    <row r="690" spans="1:6" s="2070" customFormat="1" ht="13.15">
      <c r="A690" s="1855"/>
      <c r="B690" s="257" t="s">
        <v>50</v>
      </c>
      <c r="C690" s="200" t="s">
        <v>72</v>
      </c>
      <c r="D690" s="2466">
        <v>0</v>
      </c>
      <c r="E690" s="2129"/>
    </row>
    <row r="691" spans="1:6" s="2070" customFormat="1" ht="13.15">
      <c r="A691" s="1855"/>
      <c r="B691" s="257" t="s">
        <v>50</v>
      </c>
      <c r="C691" s="200" t="s">
        <v>73</v>
      </c>
      <c r="D691" s="2466">
        <v>0</v>
      </c>
      <c r="E691" s="2129"/>
    </row>
    <row r="692" spans="1:6" s="2070" customFormat="1" ht="13.15">
      <c r="A692" s="1855"/>
      <c r="B692" s="257" t="s">
        <v>50</v>
      </c>
      <c r="C692" s="200" t="s">
        <v>74</v>
      </c>
      <c r="D692" s="2466">
        <v>0</v>
      </c>
      <c r="E692" s="2129"/>
    </row>
    <row r="693" spans="1:6" s="2070" customFormat="1" ht="13.15">
      <c r="A693" s="1854"/>
      <c r="B693" s="257" t="s">
        <v>50</v>
      </c>
      <c r="C693" s="200" t="s">
        <v>75</v>
      </c>
      <c r="D693" s="2466">
        <v>0</v>
      </c>
      <c r="E693" s="2129"/>
    </row>
    <row r="694" spans="1:6" s="2070" customFormat="1" ht="13.15">
      <c r="A694" s="1854"/>
      <c r="B694" s="2214" t="s">
        <v>50</v>
      </c>
      <c r="C694" s="200" t="s">
        <v>85</v>
      </c>
      <c r="D694" s="2466">
        <v>0</v>
      </c>
      <c r="E694" s="2129"/>
    </row>
    <row r="695" spans="1:6" s="2070" customFormat="1" ht="5.35" customHeight="1">
      <c r="A695" s="1465"/>
      <c r="B695" s="2117"/>
      <c r="C695" s="2117"/>
      <c r="D695" s="2310"/>
      <c r="E695" s="2799"/>
    </row>
    <row r="696" spans="1:6" s="2073" customFormat="1" ht="15.65">
      <c r="A696" s="2528" t="s">
        <v>392</v>
      </c>
      <c r="B696" s="2093" t="s">
        <v>393</v>
      </c>
      <c r="C696" s="2195"/>
      <c r="D696" s="2306">
        <f>D698+D702</f>
        <v>0</v>
      </c>
      <c r="E696" s="2800"/>
    </row>
    <row r="697" spans="1:6" s="2070" customFormat="1" ht="3.8" customHeight="1">
      <c r="A697" s="2640"/>
      <c r="B697" s="2438"/>
      <c r="C697" s="2099"/>
      <c r="D697" s="2439"/>
      <c r="E697" s="2799"/>
    </row>
    <row r="698" spans="1:6" s="2070" customFormat="1" ht="13.15">
      <c r="A698" s="2593"/>
      <c r="B698" s="202" t="s">
        <v>106</v>
      </c>
      <c r="C698" s="202"/>
      <c r="D698" s="2283">
        <f>D699</f>
        <v>0</v>
      </c>
      <c r="E698" s="2790"/>
    </row>
    <row r="699" spans="1:6" s="2070" customFormat="1" ht="13.15">
      <c r="A699" s="2593"/>
      <c r="B699" s="200" t="s">
        <v>107</v>
      </c>
      <c r="C699" s="202"/>
      <c r="D699" s="2282">
        <f>D700</f>
        <v>0</v>
      </c>
      <c r="E699" s="2129"/>
    </row>
    <row r="700" spans="1:6" s="2070" customFormat="1" ht="13.15">
      <c r="A700" s="2593"/>
      <c r="B700" s="200" t="s">
        <v>50</v>
      </c>
      <c r="C700" s="200" t="s">
        <v>394</v>
      </c>
      <c r="D700" s="2466"/>
      <c r="E700" s="2129"/>
      <c r="F700" s="2070" t="s">
        <v>395</v>
      </c>
    </row>
    <row r="701" spans="1:6" s="2070" customFormat="1" ht="5.95" customHeight="1">
      <c r="A701" s="2593"/>
      <c r="B701" s="200"/>
      <c r="C701" s="200"/>
      <c r="D701" s="2282"/>
      <c r="E701" s="2129"/>
    </row>
    <row r="702" spans="1:6" s="2070" customFormat="1" ht="13.15">
      <c r="A702" s="2593"/>
      <c r="B702" s="202" t="s">
        <v>71</v>
      </c>
      <c r="C702" s="202"/>
      <c r="D702" s="2283">
        <f>SUM(D703:D707)</f>
        <v>0</v>
      </c>
      <c r="E702" s="2790"/>
      <c r="F702" s="2132">
        <v>315000000</v>
      </c>
    </row>
    <row r="703" spans="1:6" s="2070" customFormat="1" ht="13.15">
      <c r="A703" s="2594"/>
      <c r="B703" s="257" t="s">
        <v>50</v>
      </c>
      <c r="C703" s="200" t="s">
        <v>72</v>
      </c>
      <c r="D703" s="2466">
        <v>0</v>
      </c>
      <c r="E703" s="2129"/>
    </row>
    <row r="704" spans="1:6" s="2070" customFormat="1" ht="13.15">
      <c r="A704" s="2594"/>
      <c r="B704" s="257" t="s">
        <v>50</v>
      </c>
      <c r="C704" s="200" t="s">
        <v>73</v>
      </c>
      <c r="D704" s="2466">
        <v>0</v>
      </c>
      <c r="E704" s="2129"/>
    </row>
    <row r="705" spans="1:5" s="2070" customFormat="1" ht="13.15">
      <c r="A705" s="2594"/>
      <c r="B705" s="257" t="s">
        <v>50</v>
      </c>
      <c r="C705" s="200" t="s">
        <v>74</v>
      </c>
      <c r="D705" s="2466">
        <v>0</v>
      </c>
      <c r="E705" s="2129"/>
    </row>
    <row r="706" spans="1:5" s="2070" customFormat="1" ht="13.15">
      <c r="A706" s="2593"/>
      <c r="B706" s="257" t="s">
        <v>50</v>
      </c>
      <c r="C706" s="200" t="s">
        <v>75</v>
      </c>
      <c r="D706" s="2466">
        <v>0</v>
      </c>
      <c r="E706" s="2129"/>
    </row>
    <row r="707" spans="1:5" s="2070" customFormat="1" ht="13.15">
      <c r="A707" s="2593"/>
      <c r="B707" s="2214" t="s">
        <v>50</v>
      </c>
      <c r="C707" s="200" t="s">
        <v>85</v>
      </c>
      <c r="D707" s="2466">
        <v>0</v>
      </c>
      <c r="E707" s="2129"/>
    </row>
    <row r="708" spans="1:5" s="2070" customFormat="1" ht="5.35" customHeight="1">
      <c r="A708" s="2641"/>
      <c r="B708" s="2117"/>
      <c r="C708" s="2117"/>
      <c r="D708" s="2310"/>
      <c r="E708" s="2799"/>
    </row>
    <row r="709" spans="1:5" s="2070" customFormat="1" ht="15.65">
      <c r="A709" s="2528" t="s">
        <v>396</v>
      </c>
      <c r="B709" s="2492" t="s">
        <v>397</v>
      </c>
      <c r="C709" s="2195"/>
      <c r="D709" s="2306">
        <f>SUM(D711)</f>
        <v>0</v>
      </c>
      <c r="E709" s="2800"/>
    </row>
    <row r="710" spans="1:5" s="2070" customFormat="1" ht="4.55" customHeight="1">
      <c r="A710" s="2640"/>
      <c r="B710" s="2438"/>
      <c r="C710" s="2438"/>
      <c r="D710" s="2439"/>
      <c r="E710" s="2799"/>
    </row>
    <row r="711" spans="1:5" s="2070" customFormat="1" ht="13.15">
      <c r="A711" s="2593"/>
      <c r="B711" s="202" t="s">
        <v>71</v>
      </c>
      <c r="C711" s="202"/>
      <c r="D711" s="2307">
        <f>SUM(D712:D716)</f>
        <v>0</v>
      </c>
      <c r="E711" s="2797"/>
    </row>
    <row r="712" spans="1:5" s="2070" customFormat="1" ht="13.15">
      <c r="A712" s="2594"/>
      <c r="B712" s="257" t="s">
        <v>50</v>
      </c>
      <c r="C712" s="200" t="s">
        <v>72</v>
      </c>
      <c r="D712" s="2466">
        <v>0</v>
      </c>
      <c r="E712" s="2129"/>
    </row>
    <row r="713" spans="1:5" s="2070" customFormat="1" ht="13.15">
      <c r="A713" s="2594"/>
      <c r="B713" s="257" t="s">
        <v>50</v>
      </c>
      <c r="C713" s="200" t="s">
        <v>73</v>
      </c>
      <c r="D713" s="2466">
        <v>0</v>
      </c>
      <c r="E713" s="2129"/>
    </row>
    <row r="714" spans="1:5" s="2070" customFormat="1" ht="13.15">
      <c r="A714" s="2594"/>
      <c r="B714" s="257" t="s">
        <v>50</v>
      </c>
      <c r="C714" s="200" t="s">
        <v>74</v>
      </c>
      <c r="D714" s="2466">
        <v>0</v>
      </c>
      <c r="E714" s="2129"/>
    </row>
    <row r="715" spans="1:5" s="2070" customFormat="1" ht="13.15">
      <c r="A715" s="2594"/>
      <c r="B715" s="257" t="s">
        <v>50</v>
      </c>
      <c r="C715" s="200" t="s">
        <v>75</v>
      </c>
      <c r="D715" s="2466">
        <v>0</v>
      </c>
      <c r="E715" s="2129"/>
    </row>
    <row r="716" spans="1:5" s="2070" customFormat="1" ht="13.15">
      <c r="A716" s="2642"/>
      <c r="B716" s="2214" t="s">
        <v>50</v>
      </c>
      <c r="C716" s="200" t="s">
        <v>85</v>
      </c>
      <c r="D716" s="2681"/>
      <c r="E716" s="2799"/>
    </row>
    <row r="717" spans="1:5" s="2070" customFormat="1" ht="5.95" customHeight="1">
      <c r="A717" s="2644"/>
      <c r="B717" s="257"/>
      <c r="C717" s="257"/>
      <c r="D717" s="2494"/>
      <c r="E717" s="2799"/>
    </row>
    <row r="718" spans="1:5" s="2073" customFormat="1" ht="15.65">
      <c r="A718" s="2528" t="s">
        <v>398</v>
      </c>
      <c r="B718" s="2093" t="s">
        <v>399</v>
      </c>
      <c r="C718" s="2195"/>
      <c r="D718" s="2306">
        <f>SUM(D720)</f>
        <v>0</v>
      </c>
      <c r="E718" s="2800"/>
    </row>
    <row r="719" spans="1:5" s="2070" customFormat="1" ht="5.95" customHeight="1">
      <c r="A719" s="2640"/>
      <c r="B719" s="2438"/>
      <c r="C719" s="2438"/>
      <c r="D719" s="2439"/>
      <c r="E719" s="2799"/>
    </row>
    <row r="720" spans="1:5" s="2070" customFormat="1" ht="13.15">
      <c r="A720" s="2593"/>
      <c r="B720" s="202" t="s">
        <v>71</v>
      </c>
      <c r="C720" s="202"/>
      <c r="D720" s="2307">
        <f>SUM(D721:D725)</f>
        <v>0</v>
      </c>
      <c r="E720" s="2797"/>
    </row>
    <row r="721" spans="1:5" s="2070" customFormat="1" ht="13.15">
      <c r="A721" s="2594"/>
      <c r="B721" s="257" t="s">
        <v>50</v>
      </c>
      <c r="C721" s="200" t="s">
        <v>72</v>
      </c>
      <c r="D721" s="2466">
        <v>0</v>
      </c>
      <c r="E721" s="2129"/>
    </row>
    <row r="722" spans="1:5" s="2070" customFormat="1" ht="13.15">
      <c r="A722" s="2594"/>
      <c r="B722" s="257" t="s">
        <v>50</v>
      </c>
      <c r="C722" s="200" t="s">
        <v>73</v>
      </c>
      <c r="D722" s="2466">
        <v>0</v>
      </c>
      <c r="E722" s="2129"/>
    </row>
    <row r="723" spans="1:5" s="2070" customFormat="1" ht="13.15">
      <c r="A723" s="2594"/>
      <c r="B723" s="257" t="s">
        <v>50</v>
      </c>
      <c r="C723" s="200" t="s">
        <v>74</v>
      </c>
      <c r="D723" s="2466">
        <v>0</v>
      </c>
      <c r="E723" s="2129"/>
    </row>
    <row r="724" spans="1:5" s="2070" customFormat="1" ht="13.15">
      <c r="A724" s="2594"/>
      <c r="B724" s="257" t="s">
        <v>50</v>
      </c>
      <c r="C724" s="200" t="s">
        <v>75</v>
      </c>
      <c r="D724" s="2466">
        <v>0</v>
      </c>
      <c r="E724" s="2129"/>
    </row>
    <row r="725" spans="1:5" s="2070" customFormat="1" ht="13.15">
      <c r="A725" s="2642"/>
      <c r="B725" s="2214" t="s">
        <v>50</v>
      </c>
      <c r="C725" s="200" t="s">
        <v>85</v>
      </c>
      <c r="D725" s="2682">
        <v>0</v>
      </c>
      <c r="E725" s="2799"/>
    </row>
    <row r="726" spans="1:5" s="2070" customFormat="1" ht="5.35" customHeight="1">
      <c r="A726" s="2644"/>
      <c r="B726" s="257"/>
      <c r="C726" s="257"/>
      <c r="D726" s="2314"/>
      <c r="E726" s="2799"/>
    </row>
    <row r="727" spans="1:5" s="2073" customFormat="1" ht="15.65">
      <c r="A727" s="2528" t="s">
        <v>400</v>
      </c>
      <c r="B727" s="2493" t="s">
        <v>401</v>
      </c>
      <c r="C727" s="2195"/>
      <c r="D727" s="2306">
        <f>SUM(D729)</f>
        <v>0</v>
      </c>
      <c r="E727" s="2800"/>
    </row>
    <row r="728" spans="1:5" s="2070" customFormat="1" ht="3.8" customHeight="1">
      <c r="A728" s="2593"/>
      <c r="B728" s="224"/>
      <c r="C728" s="200"/>
      <c r="D728" s="2455"/>
      <c r="E728" s="2799"/>
    </row>
    <row r="729" spans="1:5" s="2070" customFormat="1" ht="13.15">
      <c r="A729" s="2593"/>
      <c r="B729" s="202" t="s">
        <v>71</v>
      </c>
      <c r="C729" s="202"/>
      <c r="D729" s="2307">
        <f>SUM(D730:D734)</f>
        <v>0</v>
      </c>
      <c r="E729" s="2797"/>
    </row>
    <row r="730" spans="1:5" s="2070" customFormat="1" ht="13.15">
      <c r="A730" s="2594"/>
      <c r="B730" s="257" t="s">
        <v>50</v>
      </c>
      <c r="C730" s="200" t="s">
        <v>72</v>
      </c>
      <c r="D730" s="2466">
        <v>0</v>
      </c>
      <c r="E730" s="2129"/>
    </row>
    <row r="731" spans="1:5" s="2070" customFormat="1" ht="13.15">
      <c r="A731" s="2594"/>
      <c r="B731" s="257" t="s">
        <v>50</v>
      </c>
      <c r="C731" s="200" t="s">
        <v>73</v>
      </c>
      <c r="D731" s="2466">
        <v>0</v>
      </c>
      <c r="E731" s="2129"/>
    </row>
    <row r="732" spans="1:5" s="2070" customFormat="1" ht="13.15">
      <c r="A732" s="2594"/>
      <c r="B732" s="257" t="s">
        <v>50</v>
      </c>
      <c r="C732" s="200" t="s">
        <v>74</v>
      </c>
      <c r="D732" s="2466">
        <v>0</v>
      </c>
      <c r="E732" s="2129"/>
    </row>
    <row r="733" spans="1:5" s="2070" customFormat="1" ht="13.15">
      <c r="A733" s="2594"/>
      <c r="B733" s="257" t="s">
        <v>50</v>
      </c>
      <c r="C733" s="200" t="s">
        <v>75</v>
      </c>
      <c r="D733" s="2466">
        <v>0</v>
      </c>
      <c r="E733" s="2129"/>
    </row>
    <row r="734" spans="1:5" s="2070" customFormat="1" ht="13.15">
      <c r="A734" s="2645"/>
      <c r="B734" s="2214" t="s">
        <v>50</v>
      </c>
      <c r="C734" s="200" t="s">
        <v>85</v>
      </c>
      <c r="D734" s="2679">
        <v>0</v>
      </c>
      <c r="E734" s="2129"/>
    </row>
    <row r="735" spans="1:5" s="2070" customFormat="1" ht="5.95" customHeight="1">
      <c r="A735" s="2641"/>
      <c r="B735" s="2117"/>
      <c r="C735" s="2117"/>
      <c r="D735" s="2310"/>
      <c r="E735" s="2799"/>
    </row>
    <row r="736" spans="1:5" s="2073" customFormat="1" ht="15.65">
      <c r="A736" s="2528" t="s">
        <v>402</v>
      </c>
      <c r="B736" s="2093" t="s">
        <v>403</v>
      </c>
      <c r="C736" s="2195"/>
      <c r="D736" s="2306">
        <f>SUM(D738)</f>
        <v>0</v>
      </c>
      <c r="E736" s="2800"/>
    </row>
    <row r="737" spans="1:5" s="2070" customFormat="1" ht="5.35" customHeight="1">
      <c r="A737" s="2640"/>
      <c r="B737" s="2438"/>
      <c r="C737" s="2438"/>
      <c r="D737" s="2439"/>
      <c r="E737" s="2799"/>
    </row>
    <row r="738" spans="1:5" s="2070" customFormat="1" ht="13.15">
      <c r="A738" s="2593"/>
      <c r="B738" s="202" t="s">
        <v>71</v>
      </c>
      <c r="C738" s="202"/>
      <c r="D738" s="2307">
        <f>SUM(D739:D743)</f>
        <v>0</v>
      </c>
      <c r="E738" s="2797"/>
    </row>
    <row r="739" spans="1:5" s="2070" customFormat="1" ht="13.15">
      <c r="A739" s="2594"/>
      <c r="B739" s="257" t="s">
        <v>50</v>
      </c>
      <c r="C739" s="200" t="s">
        <v>72</v>
      </c>
      <c r="D739" s="2466">
        <v>0</v>
      </c>
      <c r="E739" s="2129"/>
    </row>
    <row r="740" spans="1:5" s="2070" customFormat="1" ht="13.15">
      <c r="A740" s="2594"/>
      <c r="B740" s="257" t="s">
        <v>50</v>
      </c>
      <c r="C740" s="200" t="s">
        <v>73</v>
      </c>
      <c r="D740" s="2466">
        <v>0</v>
      </c>
      <c r="E740" s="2129"/>
    </row>
    <row r="741" spans="1:5" s="2070" customFormat="1" ht="13.15">
      <c r="A741" s="2594"/>
      <c r="B741" s="257" t="s">
        <v>50</v>
      </c>
      <c r="C741" s="200" t="s">
        <v>74</v>
      </c>
      <c r="D741" s="2466">
        <v>0</v>
      </c>
      <c r="E741" s="2129"/>
    </row>
    <row r="742" spans="1:5" s="2070" customFormat="1" ht="13.15">
      <c r="A742" s="2594"/>
      <c r="B742" s="257" t="s">
        <v>50</v>
      </c>
      <c r="C742" s="200" t="s">
        <v>75</v>
      </c>
      <c r="D742" s="2466">
        <v>0</v>
      </c>
      <c r="E742" s="2129"/>
    </row>
    <row r="743" spans="1:5" s="2070" customFormat="1" ht="13.15">
      <c r="A743" s="2645"/>
      <c r="B743" s="2214" t="s">
        <v>50</v>
      </c>
      <c r="C743" s="200" t="s">
        <v>85</v>
      </c>
      <c r="D743" s="2679">
        <v>0</v>
      </c>
      <c r="E743" s="2129"/>
    </row>
    <row r="744" spans="1:5" s="2070" customFormat="1" ht="5.95" customHeight="1">
      <c r="A744" s="2641"/>
      <c r="B744" s="2117"/>
      <c r="C744" s="2117"/>
      <c r="D744" s="2310"/>
      <c r="E744" s="2799"/>
    </row>
    <row r="745" spans="1:5" s="2070" customFormat="1" ht="15.05">
      <c r="A745" s="2595" t="s">
        <v>404</v>
      </c>
      <c r="B745" s="2313" t="s">
        <v>405</v>
      </c>
      <c r="C745" s="2313"/>
      <c r="D745" s="2489">
        <f>SUM(D747)</f>
        <v>0</v>
      </c>
      <c r="E745" s="2803"/>
    </row>
    <row r="746" spans="1:5" s="2070" customFormat="1" ht="5.35" customHeight="1">
      <c r="A746" s="2646"/>
      <c r="B746" s="257"/>
      <c r="C746" s="257"/>
      <c r="D746" s="2499"/>
      <c r="E746" s="2129"/>
    </row>
    <row r="747" spans="1:5" s="2070" customFormat="1" ht="13.15">
      <c r="A747" s="2645"/>
      <c r="B747" s="202" t="s">
        <v>71</v>
      </c>
      <c r="C747" s="202"/>
      <c r="D747" s="2466">
        <f>SUM(D748:D752)</f>
        <v>0</v>
      </c>
      <c r="E747" s="2129"/>
    </row>
    <row r="748" spans="1:5" s="2070" customFormat="1" ht="13.15">
      <c r="A748" s="2645"/>
      <c r="B748" s="257" t="s">
        <v>50</v>
      </c>
      <c r="C748" s="200" t="s">
        <v>72</v>
      </c>
      <c r="D748" s="2466">
        <v>0</v>
      </c>
      <c r="E748" s="2129"/>
    </row>
    <row r="749" spans="1:5" s="2070" customFormat="1" ht="13.15">
      <c r="A749" s="2645"/>
      <c r="B749" s="257" t="s">
        <v>50</v>
      </c>
      <c r="C749" s="200" t="s">
        <v>73</v>
      </c>
      <c r="D749" s="2466">
        <v>0</v>
      </c>
      <c r="E749" s="2129"/>
    </row>
    <row r="750" spans="1:5" s="2070" customFormat="1" ht="13.15">
      <c r="A750" s="2645"/>
      <c r="B750" s="257" t="s">
        <v>50</v>
      </c>
      <c r="C750" s="200" t="s">
        <v>74</v>
      </c>
      <c r="D750" s="2466">
        <v>0</v>
      </c>
      <c r="E750" s="2129"/>
    </row>
    <row r="751" spans="1:5" s="2070" customFormat="1" ht="13.15">
      <c r="A751" s="2645"/>
      <c r="B751" s="257" t="s">
        <v>50</v>
      </c>
      <c r="C751" s="200" t="s">
        <v>75</v>
      </c>
      <c r="D751" s="2466">
        <v>0</v>
      </c>
      <c r="E751" s="2129"/>
    </row>
    <row r="752" spans="1:5" s="2070" customFormat="1" ht="13.15">
      <c r="A752" s="2645"/>
      <c r="B752" s="2214" t="s">
        <v>50</v>
      </c>
      <c r="C752" s="200" t="s">
        <v>85</v>
      </c>
      <c r="D752" s="2466">
        <v>0</v>
      </c>
      <c r="E752" s="2129"/>
    </row>
    <row r="753" spans="1:5" s="2070" customFormat="1" ht="6.75" customHeight="1">
      <c r="A753" s="2645"/>
      <c r="B753" s="856"/>
      <c r="C753" s="856"/>
      <c r="D753" s="2503"/>
      <c r="E753" s="2129"/>
    </row>
    <row r="754" spans="1:5" s="2070" customFormat="1" ht="15.05">
      <c r="A754" s="2595" t="s">
        <v>406</v>
      </c>
      <c r="B754" s="2313" t="s">
        <v>407</v>
      </c>
      <c r="C754" s="2313"/>
      <c r="D754" s="2489">
        <f>SUM(D756)</f>
        <v>0</v>
      </c>
      <c r="E754" s="2803"/>
    </row>
    <row r="755" spans="1:5" s="2070" customFormat="1" ht="6.75" customHeight="1">
      <c r="A755" s="2646"/>
      <c r="B755" s="257"/>
      <c r="C755" s="257"/>
      <c r="D755" s="2499"/>
      <c r="E755" s="2129"/>
    </row>
    <row r="756" spans="1:5" s="2070" customFormat="1" ht="13.15">
      <c r="A756" s="2645"/>
      <c r="B756" s="202" t="s">
        <v>71</v>
      </c>
      <c r="C756" s="202"/>
      <c r="D756" s="2466">
        <f>SUM(D757:D761)</f>
        <v>0</v>
      </c>
      <c r="E756" s="2129"/>
    </row>
    <row r="757" spans="1:5" s="2070" customFormat="1" ht="13.15">
      <c r="A757" s="2645"/>
      <c r="B757" s="257" t="s">
        <v>50</v>
      </c>
      <c r="C757" s="200" t="s">
        <v>72</v>
      </c>
      <c r="D757" s="2466">
        <v>0</v>
      </c>
      <c r="E757" s="2129"/>
    </row>
    <row r="758" spans="1:5" s="2070" customFormat="1" ht="13.15">
      <c r="A758" s="2645"/>
      <c r="B758" s="257" t="s">
        <v>50</v>
      </c>
      <c r="C758" s="200" t="s">
        <v>73</v>
      </c>
      <c r="D758" s="2466">
        <v>0</v>
      </c>
      <c r="E758" s="2129"/>
    </row>
    <row r="759" spans="1:5" s="2070" customFormat="1" ht="13.15">
      <c r="A759" s="2645"/>
      <c r="B759" s="257" t="s">
        <v>50</v>
      </c>
      <c r="C759" s="200" t="s">
        <v>74</v>
      </c>
      <c r="D759" s="2466">
        <v>0</v>
      </c>
      <c r="E759" s="2129"/>
    </row>
    <row r="760" spans="1:5" s="2070" customFormat="1" ht="13.15">
      <c r="A760" s="2645"/>
      <c r="B760" s="257" t="s">
        <v>50</v>
      </c>
      <c r="C760" s="200" t="s">
        <v>75</v>
      </c>
      <c r="D760" s="2466">
        <v>0</v>
      </c>
      <c r="E760" s="2129"/>
    </row>
    <row r="761" spans="1:5" s="2070" customFormat="1" ht="13.15">
      <c r="A761" s="2645"/>
      <c r="B761" s="2214" t="s">
        <v>50</v>
      </c>
      <c r="C761" s="200" t="s">
        <v>85</v>
      </c>
      <c r="D761" s="2466">
        <v>0</v>
      </c>
      <c r="E761" s="2129"/>
    </row>
    <row r="762" spans="1:5" s="2070" customFormat="1" ht="6.75" customHeight="1">
      <c r="A762" s="2645"/>
      <c r="B762" s="856"/>
      <c r="C762" s="856"/>
      <c r="D762" s="2503"/>
      <c r="E762" s="2129"/>
    </row>
    <row r="763" spans="1:5" s="2070" customFormat="1" ht="15.05">
      <c r="A763" s="2595" t="s">
        <v>408</v>
      </c>
      <c r="B763" s="2313" t="s">
        <v>409</v>
      </c>
      <c r="C763" s="2313"/>
      <c r="D763" s="2489">
        <f>D765</f>
        <v>0</v>
      </c>
      <c r="E763" s="2803"/>
    </row>
    <row r="764" spans="1:5" s="2070" customFormat="1" ht="5.95" customHeight="1">
      <c r="A764" s="2646"/>
      <c r="B764" s="257"/>
      <c r="C764" s="257"/>
      <c r="D764" s="2499"/>
      <c r="E764" s="2129"/>
    </row>
    <row r="765" spans="1:5" s="2070" customFormat="1" ht="13.15">
      <c r="A765" s="2645"/>
      <c r="B765" s="202" t="s">
        <v>71</v>
      </c>
      <c r="C765" s="202"/>
      <c r="D765" s="2466">
        <f>SUM(D766:D770)</f>
        <v>0</v>
      </c>
      <c r="E765" s="2129"/>
    </row>
    <row r="766" spans="1:5" s="2070" customFormat="1" ht="13.15">
      <c r="A766" s="2645"/>
      <c r="B766" s="257" t="s">
        <v>50</v>
      </c>
      <c r="C766" s="200" t="s">
        <v>72</v>
      </c>
      <c r="D766" s="2466">
        <v>0</v>
      </c>
      <c r="E766" s="2129"/>
    </row>
    <row r="767" spans="1:5" s="2070" customFormat="1" ht="13.15">
      <c r="A767" s="2645"/>
      <c r="B767" s="257" t="s">
        <v>50</v>
      </c>
      <c r="C767" s="200" t="s">
        <v>73</v>
      </c>
      <c r="D767" s="2466">
        <v>0</v>
      </c>
      <c r="E767" s="2129"/>
    </row>
    <row r="768" spans="1:5" s="2070" customFormat="1" ht="13.15">
      <c r="A768" s="2645"/>
      <c r="B768" s="257" t="s">
        <v>50</v>
      </c>
      <c r="C768" s="200" t="s">
        <v>74</v>
      </c>
      <c r="D768" s="2466">
        <v>0</v>
      </c>
      <c r="E768" s="2129"/>
    </row>
    <row r="769" spans="1:5" s="2070" customFormat="1" ht="13.15">
      <c r="A769" s="2645"/>
      <c r="B769" s="257" t="s">
        <v>50</v>
      </c>
      <c r="C769" s="200" t="s">
        <v>75</v>
      </c>
      <c r="D769" s="2466">
        <v>0</v>
      </c>
      <c r="E769" s="2129"/>
    </row>
    <row r="770" spans="1:5" s="2070" customFormat="1" ht="13.15">
      <c r="A770" s="2645"/>
      <c r="B770" s="2214" t="s">
        <v>50</v>
      </c>
      <c r="C770" s="200" t="s">
        <v>85</v>
      </c>
      <c r="D770" s="2466">
        <v>0</v>
      </c>
      <c r="E770" s="2129"/>
    </row>
    <row r="771" spans="1:5" s="2070" customFormat="1" ht="6.75" customHeight="1">
      <c r="A771" s="2645"/>
      <c r="B771" s="856"/>
      <c r="C771" s="856"/>
      <c r="D771" s="2503"/>
      <c r="E771" s="2129"/>
    </row>
    <row r="772" spans="1:5" s="2070" customFormat="1" ht="15.05">
      <c r="A772" s="2595" t="s">
        <v>410</v>
      </c>
      <c r="B772" s="2313" t="s">
        <v>411</v>
      </c>
      <c r="C772" s="2313"/>
      <c r="D772" s="2489">
        <f>D773+D777</f>
        <v>0</v>
      </c>
      <c r="E772" s="2803"/>
    </row>
    <row r="773" spans="1:5" s="2070" customFormat="1" ht="13.15">
      <c r="A773" s="2646"/>
      <c r="B773" s="1318" t="s">
        <v>412</v>
      </c>
      <c r="C773" s="212"/>
      <c r="D773" s="2499">
        <f>D774</f>
        <v>0</v>
      </c>
      <c r="E773" s="2129"/>
    </row>
    <row r="774" spans="1:5" s="2070" customFormat="1" ht="13.15">
      <c r="A774" s="2645"/>
      <c r="B774" s="212" t="s">
        <v>109</v>
      </c>
      <c r="C774" s="212"/>
      <c r="D774" s="2466">
        <f>D775</f>
        <v>0</v>
      </c>
      <c r="E774" s="2129"/>
    </row>
    <row r="775" spans="1:5" s="2070" customFormat="1" ht="13.15">
      <c r="A775" s="2645"/>
      <c r="B775" s="2744" t="s">
        <v>50</v>
      </c>
      <c r="C775" s="224" t="s">
        <v>413</v>
      </c>
      <c r="D775" s="2466">
        <v>0</v>
      </c>
      <c r="E775" s="2129"/>
    </row>
    <row r="776" spans="1:5" s="2070" customFormat="1" ht="5.95" customHeight="1">
      <c r="A776" s="2645"/>
      <c r="B776" s="856"/>
      <c r="C776" s="856"/>
      <c r="D776" s="2466"/>
      <c r="E776" s="2129"/>
    </row>
    <row r="777" spans="1:5" s="2070" customFormat="1" ht="13.15">
      <c r="A777" s="2645"/>
      <c r="B777" s="202" t="s">
        <v>71</v>
      </c>
      <c r="C777" s="202"/>
      <c r="D777" s="2466">
        <f>SUM(D778:D782)</f>
        <v>0</v>
      </c>
      <c r="E777" s="2129"/>
    </row>
    <row r="778" spans="1:5" s="2070" customFormat="1" ht="13.15">
      <c r="A778" s="2645"/>
      <c r="B778" s="257" t="s">
        <v>50</v>
      </c>
      <c r="C778" s="200" t="s">
        <v>72</v>
      </c>
      <c r="D778" s="2466">
        <v>0</v>
      </c>
      <c r="E778" s="2129"/>
    </row>
    <row r="779" spans="1:5" s="2070" customFormat="1" ht="13.15">
      <c r="A779" s="2645"/>
      <c r="B779" s="257" t="s">
        <v>50</v>
      </c>
      <c r="C779" s="200" t="s">
        <v>73</v>
      </c>
      <c r="D779" s="2466">
        <v>0</v>
      </c>
      <c r="E779" s="2129"/>
    </row>
    <row r="780" spans="1:5" s="2070" customFormat="1" ht="13.15">
      <c r="A780" s="2645"/>
      <c r="B780" s="257" t="s">
        <v>50</v>
      </c>
      <c r="C780" s="200" t="s">
        <v>74</v>
      </c>
      <c r="D780" s="2466">
        <v>0</v>
      </c>
      <c r="E780" s="2129"/>
    </row>
    <row r="781" spans="1:5" s="2070" customFormat="1" ht="13.15">
      <c r="A781" s="2645"/>
      <c r="B781" s="257" t="s">
        <v>50</v>
      </c>
      <c r="C781" s="200" t="s">
        <v>75</v>
      </c>
      <c r="D781" s="2466">
        <v>0</v>
      </c>
      <c r="E781" s="2129"/>
    </row>
    <row r="782" spans="1:5" s="2070" customFormat="1" ht="13.15">
      <c r="A782" s="2645"/>
      <c r="B782" s="2214" t="s">
        <v>50</v>
      </c>
      <c r="C782" s="200" t="s">
        <v>85</v>
      </c>
      <c r="D782" s="2683">
        <v>0</v>
      </c>
      <c r="E782" s="2129"/>
    </row>
    <row r="783" spans="1:5" s="2070" customFormat="1" ht="7.55" customHeight="1">
      <c r="A783" s="2641"/>
      <c r="D783" s="2310"/>
      <c r="E783" s="2799"/>
    </row>
    <row r="784" spans="1:5" s="2649" customFormat="1" ht="21.8" customHeight="1">
      <c r="A784" s="5729" t="s">
        <v>414</v>
      </c>
      <c r="B784" s="5730"/>
      <c r="C784" s="5731"/>
      <c r="D784" s="2684">
        <f>D772+D763+D754+D745+D736+D727+D718+D709+D696+D663+D655+D632+D606+D598+D590+D572+D513+D502+D494+D422+D349+D341+D333+D325+D317+D309+D301+D293+D278+D268+D260+D252+D232+D210+D192+D184+D171+D156+D148+D131+D118+D106+D93+D80+D68+D56+D45+D33+D12</f>
        <v>6959044375844</v>
      </c>
      <c r="E784" s="2822"/>
    </row>
    <row r="785" spans="4:5" s="2070" customFormat="1">
      <c r="D785" s="2665"/>
      <c r="E785" s="2665"/>
    </row>
    <row r="786" spans="4:5" s="2070" customFormat="1">
      <c r="D786" s="2132"/>
      <c r="E786" s="2132"/>
    </row>
    <row r="787" spans="4:5" s="2070" customFormat="1"/>
    <row r="788" spans="4:5">
      <c r="D788" s="2510"/>
      <c r="E788" s="2510"/>
    </row>
  </sheetData>
  <autoFilter ref="D1:D786"/>
  <mergeCells count="6">
    <mergeCell ref="A784:C784"/>
    <mergeCell ref="A2:D2"/>
    <mergeCell ref="B5:C5"/>
    <mergeCell ref="B6:C6"/>
    <mergeCell ref="B559:C559"/>
    <mergeCell ref="B569:C569"/>
  </mergeCells>
  <pageMargins left="0.69930555555555596" right="0.69930555555555596" top="0.75" bottom="0.69930555555555596" header="0.3" footer="0.3"/>
  <pageSetup paperSize="119" scale="72" orientation="portrait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>
    <tabColor indexed="12"/>
  </sheetPr>
  <dimension ref="A1:V1100"/>
  <sheetViews>
    <sheetView view="pageBreakPreview" topLeftCell="A4" zoomScale="80" zoomScaleNormal="90" zoomScaleSheetLayoutView="80" workbookViewId="0">
      <pane ySplit="1315" topLeftCell="A1076" activePane="bottomLeft"/>
      <selection pane="bottomLeft" activeCell="M1079" sqref="M1079"/>
    </sheetView>
  </sheetViews>
  <sheetFormatPr defaultColWidth="9.109375" defaultRowHeight="13.15"/>
  <cols>
    <col min="1" max="1" width="4.109375" style="258" customWidth="1"/>
    <col min="2" max="4" width="2.6640625" style="258" customWidth="1"/>
    <col min="5" max="6" width="2.88671875" style="258" customWidth="1"/>
    <col min="7" max="7" width="3.5546875" style="259" customWidth="1"/>
    <col min="8" max="8" width="2.88671875" style="259" customWidth="1"/>
    <col min="9" max="9" width="42.33203125" style="259" customWidth="1"/>
    <col min="10" max="10" width="16.6640625" style="260" hidden="1" customWidth="1"/>
    <col min="11" max="11" width="24.6640625" style="189" customWidth="1"/>
    <col min="12" max="12" width="20.109375" style="259" customWidth="1"/>
    <col min="13" max="13" width="19.109375" style="259" customWidth="1"/>
    <col min="14" max="14" width="20.109375" style="259" customWidth="1"/>
    <col min="15" max="15" width="25.109375" style="259" customWidth="1"/>
    <col min="16" max="16" width="12.44140625" style="260" customWidth="1"/>
    <col min="17" max="17" width="26" style="259" customWidth="1"/>
    <col min="18" max="18" width="19.109375" style="261" customWidth="1"/>
    <col min="19" max="19" width="20.33203125" style="259" customWidth="1"/>
    <col min="20" max="20" width="19.109375" style="259" customWidth="1"/>
    <col min="21" max="83" width="5" style="259" customWidth="1"/>
    <col min="84" max="16384" width="9.109375" style="259"/>
  </cols>
  <sheetData>
    <row r="1" spans="1:20" ht="12.7" customHeight="1">
      <c r="A1" s="262"/>
      <c r="B1" s="262"/>
      <c r="C1" s="262"/>
      <c r="D1" s="262"/>
      <c r="E1" s="262"/>
      <c r="F1" s="262"/>
      <c r="G1" s="263"/>
      <c r="H1" s="263"/>
      <c r="I1" s="263"/>
      <c r="J1" s="312"/>
      <c r="K1" s="194"/>
      <c r="L1" s="263"/>
      <c r="M1" s="263"/>
      <c r="N1" s="263"/>
      <c r="O1" s="263"/>
      <c r="P1" s="263"/>
      <c r="Q1" s="416"/>
    </row>
    <row r="2" spans="1:20" ht="15.05" customHeight="1">
      <c r="A2" s="264" t="s">
        <v>934</v>
      </c>
      <c r="B2" s="265"/>
      <c r="C2" s="264"/>
      <c r="D2" s="265"/>
      <c r="E2" s="5857" t="s">
        <v>1033</v>
      </c>
      <c r="F2" s="5857"/>
      <c r="G2" s="5857"/>
      <c r="H2" s="5857"/>
      <c r="I2" s="5857"/>
      <c r="J2" s="5857"/>
      <c r="K2" s="5857"/>
      <c r="L2" s="5857"/>
      <c r="M2" s="5857"/>
      <c r="N2" s="313"/>
      <c r="O2" s="313"/>
      <c r="P2" s="226"/>
      <c r="Q2" s="226"/>
    </row>
    <row r="3" spans="1:20" ht="14.25" customHeight="1">
      <c r="A3" s="264"/>
      <c r="B3" s="265"/>
      <c r="C3" s="265"/>
      <c r="D3" s="265"/>
      <c r="E3" s="5857" t="str">
        <f>'JAN1'!E3:L3</f>
        <v>BAGIAN BULAN JANUARI 2017</v>
      </c>
      <c r="F3" s="5857"/>
      <c r="G3" s="5857"/>
      <c r="H3" s="5857"/>
      <c r="I3" s="5857"/>
      <c r="J3" s="5857"/>
      <c r="K3" s="5857"/>
      <c r="L3" s="5857"/>
      <c r="M3" s="313"/>
      <c r="N3" s="313"/>
      <c r="O3" s="313"/>
      <c r="P3" s="226"/>
      <c r="Q3" s="226"/>
    </row>
    <row r="4" spans="1:20" ht="15.85" customHeight="1">
      <c r="A4" s="5858"/>
      <c r="B4" s="5858"/>
      <c r="C4" s="5858"/>
      <c r="D4" s="5858"/>
      <c r="E4" s="5858"/>
      <c r="F4" s="5858"/>
      <c r="G4" s="5858"/>
      <c r="H4" s="5858"/>
      <c r="I4" s="194"/>
      <c r="J4" s="314"/>
      <c r="K4" s="315">
        <f>K9-'JAN1'!K9</f>
        <v>35000000</v>
      </c>
      <c r="L4" s="316"/>
      <c r="M4" s="315"/>
      <c r="N4" s="315"/>
      <c r="O4" s="315"/>
      <c r="P4" s="194"/>
      <c r="Q4" s="194"/>
    </row>
    <row r="5" spans="1:20" s="241" customFormat="1">
      <c r="A5" s="266" t="s">
        <v>937</v>
      </c>
      <c r="B5" s="5883" t="s">
        <v>938</v>
      </c>
      <c r="C5" s="5883"/>
      <c r="D5" s="5883"/>
      <c r="E5" s="5883"/>
      <c r="F5" s="5883"/>
      <c r="G5" s="5855" t="s">
        <v>56</v>
      </c>
      <c r="H5" s="5884"/>
      <c r="I5" s="5884"/>
      <c r="J5" s="5876" t="s">
        <v>939</v>
      </c>
      <c r="K5" s="5878" t="str">
        <f>'JAN1'!K5:K6</f>
        <v>TARGET 2017</v>
      </c>
      <c r="L5" s="5859" t="s">
        <v>5</v>
      </c>
      <c r="M5" s="5859"/>
      <c r="N5" s="5859"/>
      <c r="O5" s="318" t="s">
        <v>941</v>
      </c>
      <c r="P5" s="5854" t="s">
        <v>6</v>
      </c>
      <c r="Q5" s="5851" t="s">
        <v>7</v>
      </c>
      <c r="R5" s="417"/>
      <c r="S5" s="1203"/>
    </row>
    <row r="6" spans="1:20" s="241" customFormat="1" ht="21" customHeight="1">
      <c r="A6" s="267" t="s">
        <v>942</v>
      </c>
      <c r="B6" s="5883"/>
      <c r="C6" s="5883"/>
      <c r="D6" s="5883"/>
      <c r="E6" s="5883"/>
      <c r="F6" s="5883"/>
      <c r="G6" s="5885"/>
      <c r="H6" s="5886"/>
      <c r="I6" s="5886"/>
      <c r="J6" s="5877"/>
      <c r="K6" s="5879"/>
      <c r="L6" s="317" t="s">
        <v>479</v>
      </c>
      <c r="M6" s="317" t="s">
        <v>433</v>
      </c>
      <c r="N6" s="317" t="s">
        <v>434</v>
      </c>
      <c r="O6" s="319" t="s">
        <v>430</v>
      </c>
      <c r="P6" s="5854"/>
      <c r="Q6" s="5851"/>
      <c r="R6" s="1204" t="s">
        <v>1034</v>
      </c>
      <c r="S6" s="1205"/>
    </row>
    <row r="7" spans="1:20" s="242" customFormat="1">
      <c r="A7" s="268" t="s">
        <v>58</v>
      </c>
      <c r="B7" s="5860" t="s">
        <v>460</v>
      </c>
      <c r="C7" s="5860"/>
      <c r="D7" s="5860"/>
      <c r="E7" s="5860"/>
      <c r="F7" s="5860"/>
      <c r="G7" s="5861" t="s">
        <v>457</v>
      </c>
      <c r="H7" s="5862"/>
      <c r="I7" s="5862"/>
      <c r="J7" s="320"/>
      <c r="K7" s="320" t="s">
        <v>443</v>
      </c>
      <c r="L7" s="321" t="s">
        <v>482</v>
      </c>
      <c r="M7" s="321" t="s">
        <v>483</v>
      </c>
      <c r="N7" s="321" t="s">
        <v>484</v>
      </c>
      <c r="O7" s="322" t="s">
        <v>485</v>
      </c>
      <c r="P7" s="269" t="s">
        <v>486</v>
      </c>
      <c r="Q7" s="419" t="s">
        <v>444</v>
      </c>
      <c r="R7" s="1206">
        <f>N9-[55]Perdinas!$Q$9</f>
        <v>3446690932.999939</v>
      </c>
      <c r="S7" s="1206"/>
    </row>
    <row r="8" spans="1:20" s="189" customFormat="1" ht="12.05" customHeight="1">
      <c r="A8" s="270"/>
      <c r="B8" s="271"/>
      <c r="C8" s="272"/>
      <c r="D8" s="272"/>
      <c r="E8" s="272"/>
      <c r="F8" s="273"/>
      <c r="G8" s="274"/>
      <c r="H8" s="275"/>
      <c r="I8" s="275"/>
      <c r="J8" s="323"/>
      <c r="K8" s="324"/>
      <c r="L8" s="324"/>
      <c r="M8" s="324"/>
      <c r="N8" s="324"/>
      <c r="O8" s="324"/>
      <c r="P8" s="325"/>
      <c r="Q8" s="421"/>
      <c r="R8" s="431"/>
      <c r="S8" s="436"/>
    </row>
    <row r="9" spans="1:20" s="243" customFormat="1" ht="12.05" customHeight="1">
      <c r="A9" s="276"/>
      <c r="B9" s="277" t="s">
        <v>483</v>
      </c>
      <c r="C9" s="277" t="s">
        <v>58</v>
      </c>
      <c r="D9" s="277" t="s">
        <v>58</v>
      </c>
      <c r="E9" s="277" t="s">
        <v>445</v>
      </c>
      <c r="F9" s="277" t="s">
        <v>440</v>
      </c>
      <c r="G9" s="278" t="s">
        <v>59</v>
      </c>
      <c r="H9" s="278"/>
      <c r="I9" s="278"/>
      <c r="J9" s="326" t="e">
        <f>J11</f>
        <v>#REF!</v>
      </c>
      <c r="K9" s="327">
        <f>K11</f>
        <v>426365842219</v>
      </c>
      <c r="L9" s="327">
        <f>L11</f>
        <v>273837434016.85999</v>
      </c>
      <c r="M9" s="327">
        <f>M11</f>
        <v>80687369920.480011</v>
      </c>
      <c r="N9" s="327">
        <f>M9+L9</f>
        <v>354524803937.33997</v>
      </c>
      <c r="O9" s="327">
        <f>+N9-K9</f>
        <v>-71841038281.660034</v>
      </c>
      <c r="P9" s="328">
        <f>+N9/K9*100</f>
        <v>83.150376702841172</v>
      </c>
      <c r="Q9" s="423"/>
      <c r="R9" s="424"/>
    </row>
    <row r="10" spans="1:20" s="189" customFormat="1" ht="12.05" customHeight="1">
      <c r="A10" s="279"/>
      <c r="B10" s="280"/>
      <c r="C10" s="280"/>
      <c r="D10" s="280"/>
      <c r="E10" s="280"/>
      <c r="F10" s="280"/>
      <c r="G10" s="190"/>
      <c r="H10" s="190"/>
      <c r="I10" s="190"/>
      <c r="J10" s="329"/>
      <c r="K10" s="330"/>
      <c r="L10" s="330"/>
      <c r="M10" s="330"/>
      <c r="N10" s="330"/>
      <c r="O10" s="330"/>
      <c r="P10" s="331"/>
      <c r="Q10" s="425"/>
      <c r="R10" s="426" t="s">
        <v>945</v>
      </c>
      <c r="S10" s="427" t="s">
        <v>946</v>
      </c>
      <c r="T10" s="189" t="s">
        <v>947</v>
      </c>
    </row>
    <row r="11" spans="1:20" s="243" customFormat="1" ht="12.05" customHeight="1">
      <c r="A11" s="281"/>
      <c r="B11" s="282"/>
      <c r="C11" s="282"/>
      <c r="D11" s="282"/>
      <c r="E11" s="282"/>
      <c r="F11" s="282"/>
      <c r="G11" s="278" t="s">
        <v>60</v>
      </c>
      <c r="H11" s="278"/>
      <c r="I11" s="278"/>
      <c r="J11" s="326" t="e">
        <f>SUM(J13+J36+J157+J174+J190+J214+J232+J260+J273+J288+J310+J338+J363+J390+J403+J481+J500+J645+J658+J732+J752+J768+J784+J816+J845+J877+J898+J922+J961+J984+J998+J1013+J1030+J1042+J1055)</f>
        <v>#REF!</v>
      </c>
      <c r="K11" s="327">
        <f>SUM(K13+K36+K157+K174+K190+K214+K232+K260+K273+K288+K310+K338+K363+K390+K481+K500+K645+K658+K732+K752+K768+K784+K816+K845+K877+K898+K922+K961+K984+K998+K1013+K1030+K1042+K1055+K1067+K1079+K642+K405+K424+K436+K447+K457+K470)</f>
        <v>426365842219</v>
      </c>
      <c r="L11" s="327">
        <f>SUM(L13+L36+L157+L174+L190+L214+L232+L260+L273+L288+L310+L338+L363+L390+L481+L500+L645+L658+L732+L752+L768+L784+L816+L845+L877+L898+L922+L961+L984+L998+L1013+L1030+L1042+L1055+L1067+L1079+L642+L405+L424+L436+L447+L457+L470)</f>
        <v>273837434016.85999</v>
      </c>
      <c r="M11" s="327">
        <f>SUM(M13+M36+M157+M174+M190+M214+M232+M260+M273+M288+M310+M338+M363+M390+M481+M500+M645+M658+M732+M752+M768+M784+M816+M845+M877+M898+M922+M961+M984+M998+M1013+M1030+M1042+M1055+M1067+M1079+M642+M405+M424+M436+M447+M457+M470)</f>
        <v>80687369920.480011</v>
      </c>
      <c r="N11" s="327">
        <f>SUM(N13+N36+N157+N174+N190+N214+N232+N260+N273+N288+N310+N338+N363+N390+N481+N500+N645+N658+N732+N752+N768+N784+N816+N845+N877+N898+N922+N961+N984+N998+N1013+N1030+N1042+N1055+N1067+N1079+N642+N405+N424+N436+N447+N457+N470)</f>
        <v>354524803937.33997</v>
      </c>
      <c r="O11" s="327">
        <f>+N11-K11</f>
        <v>-71841038281.660034</v>
      </c>
      <c r="P11" s="332">
        <f>+N11/K11*100</f>
        <v>83.150376702841172</v>
      </c>
      <c r="Q11" s="423"/>
      <c r="R11" s="428">
        <f>L11-'JAN1'!L11</f>
        <v>0</v>
      </c>
      <c r="S11" s="429">
        <f>M11-'JAN1'!M11</f>
        <v>2761343193</v>
      </c>
      <c r="T11" s="1207">
        <f>N11-'JAN1'!N11</f>
        <v>2761343193</v>
      </c>
    </row>
    <row r="12" spans="1:20" s="189" customFormat="1" ht="12.05" customHeight="1">
      <c r="A12" s="279"/>
      <c r="B12" s="280"/>
      <c r="C12" s="280"/>
      <c r="D12" s="280"/>
      <c r="E12" s="280"/>
      <c r="F12" s="280"/>
      <c r="G12" s="190"/>
      <c r="H12" s="190"/>
      <c r="I12" s="190"/>
      <c r="J12" s="333"/>
      <c r="K12" s="334"/>
      <c r="L12" s="334"/>
      <c r="M12" s="334"/>
      <c r="N12" s="334"/>
      <c r="O12" s="334"/>
      <c r="P12" s="335"/>
      <c r="Q12" s="430"/>
      <c r="R12" s="431"/>
    </row>
    <row r="13" spans="1:20" s="244" customFormat="1" ht="12.05" customHeight="1">
      <c r="A13" s="283" t="s">
        <v>61</v>
      </c>
      <c r="B13" s="284" t="s">
        <v>58</v>
      </c>
      <c r="C13" s="284" t="s">
        <v>437</v>
      </c>
      <c r="D13" s="284" t="s">
        <v>437</v>
      </c>
      <c r="E13" s="284"/>
      <c r="F13" s="284"/>
      <c r="G13" s="285" t="s">
        <v>707</v>
      </c>
      <c r="H13" s="285"/>
      <c r="I13" s="285"/>
      <c r="J13" s="336">
        <f>+J15</f>
        <v>83320000</v>
      </c>
      <c r="K13" s="337">
        <f>+K15</f>
        <v>93395000</v>
      </c>
      <c r="L13" s="337">
        <f>+L15</f>
        <v>164584867</v>
      </c>
      <c r="M13" s="337">
        <f>+M15</f>
        <v>78245021</v>
      </c>
      <c r="N13" s="337">
        <f>+N15</f>
        <v>242829888</v>
      </c>
      <c r="O13" s="337">
        <f>+N13-K13</f>
        <v>149434888</v>
      </c>
      <c r="P13" s="338">
        <f>+N13/K13*100</f>
        <v>260.00309224262537</v>
      </c>
      <c r="Q13" s="432"/>
      <c r="R13" s="433"/>
      <c r="S13" s="434"/>
    </row>
    <row r="14" spans="1:20" s="189" customFormat="1" ht="12.05" customHeight="1">
      <c r="A14" s="286"/>
      <c r="B14" s="287"/>
      <c r="C14" s="287"/>
      <c r="D14" s="287"/>
      <c r="E14" s="287"/>
      <c r="F14" s="287"/>
      <c r="G14" s="288"/>
      <c r="H14" s="288"/>
      <c r="I14" s="288"/>
      <c r="J14" s="339"/>
      <c r="K14" s="340"/>
      <c r="L14" s="340"/>
      <c r="M14" s="340"/>
      <c r="N14" s="340"/>
      <c r="O14" s="340"/>
      <c r="P14" s="341"/>
      <c r="Q14" s="435"/>
      <c r="R14" s="431"/>
      <c r="S14" s="436"/>
    </row>
    <row r="15" spans="1:20" s="189" customFormat="1" ht="12.05" customHeight="1">
      <c r="A15" s="289"/>
      <c r="B15" s="290">
        <v>4</v>
      </c>
      <c r="C15" s="290">
        <v>1</v>
      </c>
      <c r="D15" s="290"/>
      <c r="E15" s="290"/>
      <c r="F15" s="290"/>
      <c r="G15" s="291" t="s">
        <v>180</v>
      </c>
      <c r="H15" s="291"/>
      <c r="I15" s="291"/>
      <c r="J15" s="342">
        <f>+J17+J24</f>
        <v>83320000</v>
      </c>
      <c r="K15" s="343">
        <f>+K17+K24</f>
        <v>93395000</v>
      </c>
      <c r="L15" s="343">
        <f>+L17+L24</f>
        <v>164584867</v>
      </c>
      <c r="M15" s="343">
        <f>+M17+M24</f>
        <v>78245021</v>
      </c>
      <c r="N15" s="343">
        <f>+N17+N24</f>
        <v>242829888</v>
      </c>
      <c r="O15" s="343">
        <f t="shared" ref="O15:O22" si="0">N15-K15</f>
        <v>149434888</v>
      </c>
      <c r="P15" s="344">
        <f t="shared" ref="P15:P22" si="1">N15/K15*100</f>
        <v>260.00309224262537</v>
      </c>
      <c r="Q15" s="437"/>
      <c r="R15" s="431"/>
    </row>
    <row r="16" spans="1:20" s="189" customFormat="1" ht="12.05" customHeight="1">
      <c r="A16" s="289"/>
      <c r="B16" s="292"/>
      <c r="C16" s="292"/>
      <c r="D16" s="292"/>
      <c r="E16" s="292"/>
      <c r="F16" s="292"/>
      <c r="G16" s="253"/>
      <c r="H16" s="253"/>
      <c r="I16" s="291"/>
      <c r="J16" s="345"/>
      <c r="K16" s="346"/>
      <c r="L16" s="346"/>
      <c r="M16" s="346"/>
      <c r="N16" s="346"/>
      <c r="O16" s="346"/>
      <c r="P16" s="347"/>
      <c r="Q16" s="438"/>
      <c r="R16" s="431"/>
    </row>
    <row r="17" spans="1:18" s="189" customFormat="1" ht="12.05" customHeight="1">
      <c r="A17" s="289"/>
      <c r="B17" s="290">
        <v>4</v>
      </c>
      <c r="C17" s="290">
        <v>1</v>
      </c>
      <c r="D17" s="290">
        <v>2</v>
      </c>
      <c r="E17" s="290"/>
      <c r="F17" s="290"/>
      <c r="G17" s="291" t="s">
        <v>106</v>
      </c>
      <c r="H17" s="291"/>
      <c r="I17" s="291"/>
      <c r="J17" s="348">
        <f>J19</f>
        <v>50000000</v>
      </c>
      <c r="K17" s="349">
        <f>K19</f>
        <v>93395000</v>
      </c>
      <c r="L17" s="349">
        <f>L19</f>
        <v>100496592</v>
      </c>
      <c r="M17" s="349">
        <f>M19</f>
        <v>0</v>
      </c>
      <c r="N17" s="349">
        <f>N19</f>
        <v>100496592</v>
      </c>
      <c r="O17" s="349">
        <f t="shared" si="0"/>
        <v>7101592</v>
      </c>
      <c r="P17" s="350">
        <f t="shared" si="1"/>
        <v>107.60382461587878</v>
      </c>
      <c r="Q17" s="439"/>
      <c r="R17" s="555"/>
    </row>
    <row r="18" spans="1:18" s="189" customFormat="1" ht="12.05" customHeight="1">
      <c r="A18" s="289"/>
      <c r="B18" s="292"/>
      <c r="C18" s="292"/>
      <c r="D18" s="292"/>
      <c r="E18" s="292"/>
      <c r="F18" s="292"/>
      <c r="G18" s="253"/>
      <c r="H18" s="253"/>
      <c r="I18" s="253"/>
      <c r="J18" s="351"/>
      <c r="K18" s="352"/>
      <c r="L18" s="352"/>
      <c r="M18" s="352"/>
      <c r="N18" s="352"/>
      <c r="O18" s="352"/>
      <c r="P18" s="353"/>
      <c r="Q18" s="440"/>
      <c r="R18" s="422"/>
    </row>
    <row r="19" spans="1:18" s="189" customFormat="1" ht="12.05" customHeight="1">
      <c r="A19" s="289"/>
      <c r="B19" s="292">
        <v>4</v>
      </c>
      <c r="C19" s="292">
        <v>1</v>
      </c>
      <c r="D19" s="292">
        <v>2</v>
      </c>
      <c r="E19" s="292" t="s">
        <v>438</v>
      </c>
      <c r="F19" s="292"/>
      <c r="G19" s="253" t="s">
        <v>374</v>
      </c>
      <c r="H19" s="253"/>
      <c r="I19" s="253"/>
      <c r="J19" s="354">
        <f t="shared" ref="J19:M20" si="2">+J20</f>
        <v>50000000</v>
      </c>
      <c r="K19" s="355">
        <f t="shared" si="2"/>
        <v>93395000</v>
      </c>
      <c r="L19" s="355">
        <f t="shared" si="2"/>
        <v>100496592</v>
      </c>
      <c r="M19" s="355">
        <f t="shared" si="2"/>
        <v>0</v>
      </c>
      <c r="N19" s="346">
        <f>+M19+L19</f>
        <v>100496592</v>
      </c>
      <c r="O19" s="346">
        <f t="shared" si="0"/>
        <v>7101592</v>
      </c>
      <c r="P19" s="347">
        <f t="shared" si="1"/>
        <v>107.60382461587878</v>
      </c>
      <c r="Q19" s="441"/>
      <c r="R19" s="422"/>
    </row>
    <row r="20" spans="1:18" s="189" customFormat="1" ht="12.05" customHeight="1">
      <c r="A20" s="289"/>
      <c r="B20" s="292">
        <v>4</v>
      </c>
      <c r="C20" s="292">
        <v>1</v>
      </c>
      <c r="D20" s="292">
        <v>2</v>
      </c>
      <c r="E20" s="292" t="s">
        <v>438</v>
      </c>
      <c r="F20" s="292" t="s">
        <v>440</v>
      </c>
      <c r="G20" s="253" t="s">
        <v>304</v>
      </c>
      <c r="H20" s="253"/>
      <c r="I20" s="253"/>
      <c r="J20" s="333">
        <f t="shared" si="2"/>
        <v>50000000</v>
      </c>
      <c r="K20" s="334">
        <f>SUM(K21:K22)</f>
        <v>93395000</v>
      </c>
      <c r="L20" s="356">
        <f>SUM(L21:L22)</f>
        <v>100496592</v>
      </c>
      <c r="M20" s="334">
        <f>SUM(M21:M22)</f>
        <v>0</v>
      </c>
      <c r="N20" s="357">
        <f>M20+L20</f>
        <v>100496592</v>
      </c>
      <c r="O20" s="357">
        <f t="shared" si="0"/>
        <v>7101592</v>
      </c>
      <c r="P20" s="358">
        <f t="shared" si="1"/>
        <v>107.60382461587878</v>
      </c>
      <c r="Q20" s="442"/>
      <c r="R20" s="422"/>
    </row>
    <row r="21" spans="1:18" s="189" customFormat="1" ht="12.05" customHeight="1">
      <c r="A21" s="289"/>
      <c r="B21" s="292"/>
      <c r="C21" s="292"/>
      <c r="D21" s="292"/>
      <c r="E21" s="292"/>
      <c r="F21" s="292"/>
      <c r="G21" s="253" t="s">
        <v>50</v>
      </c>
      <c r="H21" s="253"/>
      <c r="I21" s="253" t="s">
        <v>69</v>
      </c>
      <c r="J21" s="354">
        <v>50000000</v>
      </c>
      <c r="K21" s="1194">
        <f>'[55]TARGET MURNI DAN PERUBAHAN'!$E$15</f>
        <v>60000000</v>
      </c>
      <c r="L21" s="355">
        <f>[56]PerDinas!$N$21</f>
        <v>66678400</v>
      </c>
      <c r="M21" s="355">
        <f>[55]Perdinas!$P$15</f>
        <v>0</v>
      </c>
      <c r="N21" s="361">
        <f>M21+L21</f>
        <v>66678400</v>
      </c>
      <c r="O21" s="334">
        <f t="shared" si="0"/>
        <v>6678400</v>
      </c>
      <c r="P21" s="335">
        <f t="shared" si="1"/>
        <v>111.13066666666667</v>
      </c>
      <c r="Q21" s="442"/>
      <c r="R21" s="422"/>
    </row>
    <row r="22" spans="1:18" s="189" customFormat="1" ht="12.05" customHeight="1">
      <c r="A22" s="289"/>
      <c r="B22" s="292"/>
      <c r="C22" s="292"/>
      <c r="D22" s="292"/>
      <c r="E22" s="292"/>
      <c r="F22" s="292"/>
      <c r="G22" s="253" t="s">
        <v>50</v>
      </c>
      <c r="H22" s="253"/>
      <c r="I22" s="253" t="s">
        <v>709</v>
      </c>
      <c r="J22" s="354"/>
      <c r="K22" s="1194">
        <f>'[55]TARGET MURNI DAN PERUBAHAN'!$E$16</f>
        <v>33395000</v>
      </c>
      <c r="L22" s="355">
        <f>[56]PerDinas!$N$22</f>
        <v>33818192</v>
      </c>
      <c r="M22" s="355">
        <f>[55]Perdinas!$P$16</f>
        <v>0</v>
      </c>
      <c r="N22" s="361">
        <f>M22+L22</f>
        <v>33818192</v>
      </c>
      <c r="O22" s="334">
        <f t="shared" si="0"/>
        <v>423192</v>
      </c>
      <c r="P22" s="335">
        <f t="shared" si="1"/>
        <v>101.26723162150022</v>
      </c>
      <c r="Q22" s="443"/>
      <c r="R22" s="422"/>
    </row>
    <row r="23" spans="1:18" s="189" customFormat="1" ht="12.05" customHeight="1">
      <c r="A23" s="289"/>
      <c r="B23" s="292"/>
      <c r="C23" s="292"/>
      <c r="D23" s="292"/>
      <c r="E23" s="292"/>
      <c r="F23" s="292"/>
      <c r="G23" s="253"/>
      <c r="H23" s="253"/>
      <c r="I23" s="253"/>
      <c r="J23" s="351"/>
      <c r="K23" s="352"/>
      <c r="L23" s="362"/>
      <c r="M23" s="352"/>
      <c r="N23" s="352"/>
      <c r="O23" s="334"/>
      <c r="P23" s="335"/>
      <c r="Q23" s="430"/>
      <c r="R23" s="422"/>
    </row>
    <row r="24" spans="1:18" s="189" customFormat="1" ht="12.05" customHeight="1">
      <c r="A24" s="289"/>
      <c r="B24" s="290">
        <v>4</v>
      </c>
      <c r="C24" s="290">
        <v>1</v>
      </c>
      <c r="D24" s="290">
        <v>4</v>
      </c>
      <c r="E24" s="290"/>
      <c r="F24" s="290"/>
      <c r="G24" s="291" t="s">
        <v>71</v>
      </c>
      <c r="H24" s="291"/>
      <c r="I24" s="291"/>
      <c r="J24" s="363">
        <f>J25+J27+J32</f>
        <v>33320000</v>
      </c>
      <c r="K24" s="364">
        <f>K25+K27+K32</f>
        <v>0</v>
      </c>
      <c r="L24" s="365">
        <f>L25+L27+L32</f>
        <v>64088275</v>
      </c>
      <c r="M24" s="364">
        <f>M25+M27+M32</f>
        <v>78245021</v>
      </c>
      <c r="N24" s="364">
        <f>N25+N27+N32</f>
        <v>142333296</v>
      </c>
      <c r="O24" s="349">
        <f t="shared" ref="O24:O30" si="3">N24-K24</f>
        <v>142333296</v>
      </c>
      <c r="P24" s="350" t="e">
        <f>N24/K24*100</f>
        <v>#DIV/0!</v>
      </c>
      <c r="Q24" s="444"/>
      <c r="R24" s="422"/>
    </row>
    <row r="25" spans="1:18" s="190" customFormat="1" ht="12.05" customHeight="1">
      <c r="A25" s="293"/>
      <c r="B25" s="290">
        <v>4</v>
      </c>
      <c r="C25" s="290">
        <v>1</v>
      </c>
      <c r="D25" s="290">
        <v>4</v>
      </c>
      <c r="E25" s="290" t="s">
        <v>441</v>
      </c>
      <c r="F25" s="290"/>
      <c r="G25" s="291" t="s">
        <v>557</v>
      </c>
      <c r="H25" s="291"/>
      <c r="I25" s="291"/>
      <c r="J25" s="329">
        <f>J26</f>
        <v>0</v>
      </c>
      <c r="K25" s="330">
        <f>K26</f>
        <v>0</v>
      </c>
      <c r="L25" s="366">
        <f>L26</f>
        <v>18748800</v>
      </c>
      <c r="M25" s="330">
        <f>M26</f>
        <v>71943321</v>
      </c>
      <c r="N25" s="330">
        <f>N26</f>
        <v>90692121</v>
      </c>
      <c r="O25" s="367">
        <f t="shared" si="3"/>
        <v>90692121</v>
      </c>
      <c r="P25" s="368"/>
      <c r="Q25" s="445"/>
      <c r="R25" s="446"/>
    </row>
    <row r="26" spans="1:18" s="189" customFormat="1" ht="12.05" customHeight="1">
      <c r="A26" s="289"/>
      <c r="B26" s="292">
        <v>4</v>
      </c>
      <c r="C26" s="292">
        <v>1</v>
      </c>
      <c r="D26" s="292">
        <v>4</v>
      </c>
      <c r="E26" s="292" t="s">
        <v>441</v>
      </c>
      <c r="F26" s="292" t="s">
        <v>440</v>
      </c>
      <c r="G26" s="253" t="s">
        <v>72</v>
      </c>
      <c r="H26" s="253"/>
      <c r="I26" s="253"/>
      <c r="J26" s="354"/>
      <c r="K26" s="355"/>
      <c r="L26" s="360">
        <f>[56]PerDinas!$N$26</f>
        <v>18748800</v>
      </c>
      <c r="M26" s="355">
        <f>[55]Perdinas!$P$19</f>
        <v>71943321</v>
      </c>
      <c r="N26" s="369">
        <f>M26+L26</f>
        <v>90692121</v>
      </c>
      <c r="O26" s="346">
        <f t="shared" si="3"/>
        <v>90692121</v>
      </c>
      <c r="P26" s="347"/>
      <c r="Q26" s="445"/>
      <c r="R26" s="422"/>
    </row>
    <row r="27" spans="1:18" s="190" customFormat="1" ht="12.05" customHeight="1">
      <c r="A27" s="293"/>
      <c r="B27" s="290">
        <v>4</v>
      </c>
      <c r="C27" s="290">
        <v>1</v>
      </c>
      <c r="D27" s="290">
        <v>4</v>
      </c>
      <c r="E27" s="290" t="s">
        <v>444</v>
      </c>
      <c r="F27" s="290"/>
      <c r="G27" s="291" t="s">
        <v>222</v>
      </c>
      <c r="H27" s="291"/>
      <c r="I27" s="291"/>
      <c r="J27" s="370">
        <f>+J30</f>
        <v>30000000</v>
      </c>
      <c r="K27" s="371">
        <f>SUM(K28:K30)</f>
        <v>0</v>
      </c>
      <c r="L27" s="372">
        <f>SUM(L28:L30)</f>
        <v>45339475</v>
      </c>
      <c r="M27" s="371">
        <f>SUM(M28:M30)</f>
        <v>6301700</v>
      </c>
      <c r="N27" s="371">
        <f>SUM(N28:N30)</f>
        <v>51641175</v>
      </c>
      <c r="O27" s="367">
        <f t="shared" si="3"/>
        <v>51641175</v>
      </c>
      <c r="P27" s="335" t="e">
        <f t="shared" ref="P27:P33" si="4">N27/K27*100</f>
        <v>#DIV/0!</v>
      </c>
      <c r="Q27" s="447"/>
      <c r="R27" s="446"/>
    </row>
    <row r="28" spans="1:18" s="189" customFormat="1" ht="12.05" customHeight="1">
      <c r="A28" s="289"/>
      <c r="B28" s="292">
        <v>4</v>
      </c>
      <c r="C28" s="292">
        <v>1</v>
      </c>
      <c r="D28" s="292">
        <v>4</v>
      </c>
      <c r="E28" s="292" t="s">
        <v>444</v>
      </c>
      <c r="F28" s="292" t="s">
        <v>440</v>
      </c>
      <c r="G28" s="253" t="s">
        <v>73</v>
      </c>
      <c r="H28" s="253"/>
      <c r="I28" s="253"/>
      <c r="J28" s="354">
        <v>0</v>
      </c>
      <c r="K28" s="355">
        <v>0</v>
      </c>
      <c r="L28" s="360">
        <v>0</v>
      </c>
      <c r="M28" s="355">
        <f>[55]Perdinas!$D$20</f>
        <v>0</v>
      </c>
      <c r="N28" s="355">
        <f t="shared" ref="N28:N36" si="5">M28+L28</f>
        <v>0</v>
      </c>
      <c r="O28" s="355">
        <f t="shared" si="3"/>
        <v>0</v>
      </c>
      <c r="P28" s="335"/>
      <c r="Q28" s="441"/>
      <c r="R28" s="422"/>
    </row>
    <row r="29" spans="1:18" s="189" customFormat="1" ht="12.05" customHeight="1">
      <c r="A29" s="289"/>
      <c r="B29" s="292">
        <v>4</v>
      </c>
      <c r="C29" s="292">
        <v>1</v>
      </c>
      <c r="D29" s="292">
        <v>4</v>
      </c>
      <c r="E29" s="292" t="s">
        <v>444</v>
      </c>
      <c r="F29" s="292" t="s">
        <v>445</v>
      </c>
      <c r="G29" s="253" t="s">
        <v>74</v>
      </c>
      <c r="H29" s="253"/>
      <c r="I29" s="253"/>
      <c r="J29" s="354">
        <v>0</v>
      </c>
      <c r="K29" s="355">
        <v>0</v>
      </c>
      <c r="L29" s="360">
        <v>0</v>
      </c>
      <c r="M29" s="355">
        <f>[55]Perdinas!$P$21</f>
        <v>0</v>
      </c>
      <c r="N29" s="355">
        <f t="shared" si="5"/>
        <v>0</v>
      </c>
      <c r="O29" s="355">
        <f t="shared" si="3"/>
        <v>0</v>
      </c>
      <c r="P29" s="335"/>
      <c r="Q29" s="442"/>
      <c r="R29" s="422"/>
    </row>
    <row r="30" spans="1:18" s="189" customFormat="1" ht="12.05" customHeight="1">
      <c r="A30" s="289"/>
      <c r="B30" s="292">
        <v>4</v>
      </c>
      <c r="C30" s="292">
        <v>1</v>
      </c>
      <c r="D30" s="292">
        <v>4</v>
      </c>
      <c r="E30" s="292" t="s">
        <v>444</v>
      </c>
      <c r="F30" s="292" t="s">
        <v>441</v>
      </c>
      <c r="G30" s="253" t="s">
        <v>75</v>
      </c>
      <c r="H30" s="253"/>
      <c r="I30" s="253"/>
      <c r="J30" s="354">
        <v>30000000</v>
      </c>
      <c r="K30" s="373">
        <f>'[55]TARGET MURNI DAN PERUBAHAN'!$E$19</f>
        <v>0</v>
      </c>
      <c r="L30" s="360">
        <f>[56]PerDinas!$N$30</f>
        <v>45339475</v>
      </c>
      <c r="M30" s="373">
        <f>[55]Perdinas!$P$22</f>
        <v>6301700</v>
      </c>
      <c r="N30" s="369">
        <f t="shared" si="5"/>
        <v>51641175</v>
      </c>
      <c r="O30" s="355">
        <f t="shared" si="3"/>
        <v>51641175</v>
      </c>
      <c r="P30" s="335" t="e">
        <f t="shared" si="4"/>
        <v>#DIV/0!</v>
      </c>
      <c r="Q30" s="441"/>
      <c r="R30" s="422"/>
    </row>
    <row r="31" spans="1:18" s="189" customFormat="1" ht="12.05" customHeight="1">
      <c r="A31" s="289"/>
      <c r="B31" s="292"/>
      <c r="C31" s="292"/>
      <c r="D31" s="292"/>
      <c r="E31" s="292"/>
      <c r="F31" s="292"/>
      <c r="G31" s="253"/>
      <c r="H31" s="253"/>
      <c r="I31" s="253"/>
      <c r="J31" s="354"/>
      <c r="K31" s="355"/>
      <c r="L31" s="360"/>
      <c r="M31" s="355"/>
      <c r="N31" s="355">
        <f t="shared" si="5"/>
        <v>0</v>
      </c>
      <c r="O31" s="355"/>
      <c r="P31" s="335"/>
      <c r="Q31" s="440"/>
      <c r="R31" s="422"/>
    </row>
    <row r="32" spans="1:18" s="189" customFormat="1" ht="12.05" customHeight="1">
      <c r="A32" s="294"/>
      <c r="B32" s="292">
        <v>4</v>
      </c>
      <c r="C32" s="292">
        <v>1</v>
      </c>
      <c r="D32" s="292">
        <v>4</v>
      </c>
      <c r="E32" s="292" t="s">
        <v>948</v>
      </c>
      <c r="F32" s="292"/>
      <c r="G32" s="253" t="s">
        <v>321</v>
      </c>
      <c r="H32" s="253"/>
      <c r="I32" s="253"/>
      <c r="J32" s="374">
        <f>J33</f>
        <v>3320000</v>
      </c>
      <c r="K32" s="375">
        <f>K33</f>
        <v>0</v>
      </c>
      <c r="L32" s="360">
        <f>L33</f>
        <v>0</v>
      </c>
      <c r="M32" s="355">
        <f>M33</f>
        <v>0</v>
      </c>
      <c r="N32" s="355">
        <f t="shared" si="5"/>
        <v>0</v>
      </c>
      <c r="O32" s="355">
        <f>N32-K32</f>
        <v>0</v>
      </c>
      <c r="P32" s="335" t="e">
        <f t="shared" si="4"/>
        <v>#DIV/0!</v>
      </c>
      <c r="Q32" s="448"/>
      <c r="R32" s="422"/>
    </row>
    <row r="33" spans="1:18" s="189" customFormat="1" ht="12.05" customHeight="1">
      <c r="A33" s="294"/>
      <c r="B33" s="292"/>
      <c r="C33" s="292"/>
      <c r="D33" s="292"/>
      <c r="E33" s="292"/>
      <c r="F33" s="292"/>
      <c r="G33" s="253" t="s">
        <v>50</v>
      </c>
      <c r="H33" s="253"/>
      <c r="I33" s="253" t="s">
        <v>145</v>
      </c>
      <c r="J33" s="374">
        <v>3320000</v>
      </c>
      <c r="K33" s="376">
        <f>'[55]TARGET MURNI DAN PERUBAHAN'!$E$21</f>
        <v>0</v>
      </c>
      <c r="L33" s="377">
        <v>0</v>
      </c>
      <c r="M33" s="376">
        <v>0</v>
      </c>
      <c r="N33" s="355">
        <f t="shared" si="5"/>
        <v>0</v>
      </c>
      <c r="O33" s="355">
        <f>N33-K33</f>
        <v>0</v>
      </c>
      <c r="P33" s="335" t="e">
        <f t="shared" si="4"/>
        <v>#DIV/0!</v>
      </c>
      <c r="Q33" s="449"/>
      <c r="R33" s="422"/>
    </row>
    <row r="34" spans="1:18" s="189" customFormat="1" ht="12.05" customHeight="1">
      <c r="A34" s="289"/>
      <c r="B34" s="292"/>
      <c r="C34" s="292"/>
      <c r="D34" s="292"/>
      <c r="E34" s="292"/>
      <c r="F34" s="292"/>
      <c r="G34" s="253"/>
      <c r="H34" s="253"/>
      <c r="I34" s="253"/>
      <c r="J34" s="374">
        <v>0</v>
      </c>
      <c r="K34" s="375">
        <v>0</v>
      </c>
      <c r="L34" s="375">
        <v>0</v>
      </c>
      <c r="M34" s="375"/>
      <c r="N34" s="355">
        <f t="shared" si="5"/>
        <v>0</v>
      </c>
      <c r="O34" s="355">
        <f>N34-K34</f>
        <v>0</v>
      </c>
      <c r="P34" s="347"/>
      <c r="Q34" s="440"/>
      <c r="R34" s="422"/>
    </row>
    <row r="35" spans="1:18" s="189" customFormat="1" ht="12.05" customHeight="1">
      <c r="A35" s="295"/>
      <c r="B35" s="296"/>
      <c r="C35" s="296"/>
      <c r="D35" s="296"/>
      <c r="E35" s="296"/>
      <c r="F35" s="296"/>
      <c r="G35" s="297"/>
      <c r="H35" s="297"/>
      <c r="I35" s="297"/>
      <c r="J35" s="378"/>
      <c r="K35" s="691">
        <v>0</v>
      </c>
      <c r="L35" s="691">
        <v>0</v>
      </c>
      <c r="M35" s="691"/>
      <c r="N35" s="352">
        <f t="shared" si="5"/>
        <v>0</v>
      </c>
      <c r="O35" s="352">
        <f>N35-K35</f>
        <v>0</v>
      </c>
      <c r="P35" s="596"/>
      <c r="Q35" s="440"/>
      <c r="R35" s="422"/>
    </row>
    <row r="36" spans="1:18" s="244" customFormat="1" ht="12.05" customHeight="1">
      <c r="A36" s="1186" t="s">
        <v>78</v>
      </c>
      <c r="B36" s="1187" t="s">
        <v>58</v>
      </c>
      <c r="C36" s="1187" t="s">
        <v>438</v>
      </c>
      <c r="D36" s="1187" t="s">
        <v>437</v>
      </c>
      <c r="E36" s="1187"/>
      <c r="F36" s="1187"/>
      <c r="G36" s="1188" t="s">
        <v>79</v>
      </c>
      <c r="H36" s="1188"/>
      <c r="I36" s="1188"/>
      <c r="J36" s="1195" t="e">
        <f>J38+J57+J108+J125+J139+J75+J91</f>
        <v>#REF!</v>
      </c>
      <c r="K36" s="1196">
        <f>K38+K57+K108+K125+K139+K75+K91</f>
        <v>21247286650</v>
      </c>
      <c r="L36" s="1196">
        <f>SUM(L38+L75+L91+L139+L125+L57+L108)</f>
        <v>19274653332</v>
      </c>
      <c r="M36" s="1196">
        <f>SUM(M38+M75+M91+M139+M125+M57+M108)</f>
        <v>979390022.25999999</v>
      </c>
      <c r="N36" s="1196">
        <f t="shared" si="5"/>
        <v>20254043354.259998</v>
      </c>
      <c r="O36" s="1196">
        <f>+N36-K36</f>
        <v>-993243295.74000168</v>
      </c>
      <c r="P36" s="1197">
        <f>+N36/K36*100</f>
        <v>95.325317005877537</v>
      </c>
      <c r="Q36" s="1208"/>
      <c r="R36" s="433">
        <f>N36-[55]Perdinas!$Q$25</f>
        <v>0</v>
      </c>
    </row>
    <row r="37" spans="1:18" s="189" customFormat="1" ht="12.05" customHeight="1">
      <c r="A37" s="299"/>
      <c r="B37" s="280"/>
      <c r="C37" s="280"/>
      <c r="D37" s="280"/>
      <c r="E37" s="280"/>
      <c r="F37" s="280"/>
      <c r="G37" s="190"/>
      <c r="H37" s="190"/>
      <c r="I37" s="190"/>
      <c r="J37" s="342"/>
      <c r="K37" s="343"/>
      <c r="L37" s="343"/>
      <c r="M37" s="343"/>
      <c r="N37" s="343"/>
      <c r="O37" s="343"/>
      <c r="P37" s="344"/>
      <c r="Q37" s="437"/>
      <c r="R37" s="422"/>
    </row>
    <row r="38" spans="1:18" s="246" customFormat="1" ht="19.600000000000001" customHeight="1">
      <c r="A38" s="300"/>
      <c r="B38" s="301" t="s">
        <v>58</v>
      </c>
      <c r="C38" s="301" t="s">
        <v>438</v>
      </c>
      <c r="D38" s="301" t="s">
        <v>437</v>
      </c>
      <c r="E38" s="301" t="s">
        <v>437</v>
      </c>
      <c r="F38" s="301"/>
      <c r="G38" s="302" t="s">
        <v>79</v>
      </c>
      <c r="H38" s="302"/>
      <c r="I38" s="302"/>
      <c r="J38" s="382">
        <f>+J40</f>
        <v>4000000</v>
      </c>
      <c r="K38" s="383">
        <f>+K40</f>
        <v>0</v>
      </c>
      <c r="L38" s="383">
        <f>+L40</f>
        <v>5629000</v>
      </c>
      <c r="M38" s="383">
        <f>+M40</f>
        <v>7074356.2599999998</v>
      </c>
      <c r="N38" s="383">
        <f>+M38+L38</f>
        <v>12703356.26</v>
      </c>
      <c r="O38" s="383">
        <f>N38-K38</f>
        <v>12703356.26</v>
      </c>
      <c r="P38" s="384" t="e">
        <f>N38/K38*100</f>
        <v>#DIV/0!</v>
      </c>
      <c r="Q38" s="451"/>
      <c r="R38" s="452"/>
    </row>
    <row r="39" spans="1:18" s="189" customFormat="1" ht="12.05" customHeight="1">
      <c r="A39" s="286"/>
      <c r="B39" s="287"/>
      <c r="C39" s="287"/>
      <c r="D39" s="287"/>
      <c r="E39" s="287"/>
      <c r="F39" s="287"/>
      <c r="G39" s="288"/>
      <c r="H39" s="288"/>
      <c r="I39" s="288"/>
      <c r="J39" s="385"/>
      <c r="K39" s="386"/>
      <c r="L39" s="386"/>
      <c r="M39" s="386"/>
      <c r="N39" s="386"/>
      <c r="O39" s="386"/>
      <c r="P39" s="341"/>
      <c r="Q39" s="453"/>
      <c r="R39" s="422"/>
    </row>
    <row r="40" spans="1:18" s="189" customFormat="1" ht="12.05" customHeight="1">
      <c r="A40" s="294"/>
      <c r="B40" s="290">
        <v>4</v>
      </c>
      <c r="C40" s="290">
        <v>1</v>
      </c>
      <c r="D40" s="290"/>
      <c r="E40" s="290"/>
      <c r="F40" s="290"/>
      <c r="G40" s="291" t="s">
        <v>180</v>
      </c>
      <c r="H40" s="291"/>
      <c r="I40" s="291"/>
      <c r="J40" s="342">
        <f>+J42+J48</f>
        <v>4000000</v>
      </c>
      <c r="K40" s="343">
        <f>+K42+K48</f>
        <v>0</v>
      </c>
      <c r="L40" s="343">
        <f>+L42+L48</f>
        <v>5629000</v>
      </c>
      <c r="M40" s="343">
        <f>+M42+M48</f>
        <v>7074356.2599999998</v>
      </c>
      <c r="N40" s="343">
        <f>+M40+L40</f>
        <v>12703356.26</v>
      </c>
      <c r="O40" s="343">
        <f>N40-K40</f>
        <v>12703356.26</v>
      </c>
      <c r="P40" s="344" t="e">
        <f>N40/K40*100</f>
        <v>#DIV/0!</v>
      </c>
      <c r="Q40" s="437"/>
      <c r="R40" s="422"/>
    </row>
    <row r="41" spans="1:18" s="189" customFormat="1" ht="12.05" customHeight="1">
      <c r="A41" s="289"/>
      <c r="B41" s="292"/>
      <c r="C41" s="292"/>
      <c r="D41" s="292"/>
      <c r="E41" s="292"/>
      <c r="F41" s="292"/>
      <c r="G41" s="253"/>
      <c r="H41" s="253"/>
      <c r="I41" s="291"/>
      <c r="J41" s="387"/>
      <c r="K41" s="367"/>
      <c r="L41" s="367"/>
      <c r="M41" s="367"/>
      <c r="N41" s="367"/>
      <c r="O41" s="367"/>
      <c r="P41" s="347"/>
      <c r="Q41" s="454"/>
      <c r="R41" s="422"/>
    </row>
    <row r="42" spans="1:18" s="189" customFormat="1" ht="12.05" customHeight="1">
      <c r="A42" s="294"/>
      <c r="B42" s="290">
        <v>4</v>
      </c>
      <c r="C42" s="290">
        <v>1</v>
      </c>
      <c r="D42" s="290">
        <v>2</v>
      </c>
      <c r="E42" s="290"/>
      <c r="F42" s="290"/>
      <c r="G42" s="291" t="s">
        <v>106</v>
      </c>
      <c r="H42" s="291"/>
      <c r="I42" s="291"/>
      <c r="J42" s="348">
        <f>+J44</f>
        <v>4000000</v>
      </c>
      <c r="K42" s="349">
        <f>+K44</f>
        <v>0</v>
      </c>
      <c r="L42" s="349">
        <f>+L44</f>
        <v>0</v>
      </c>
      <c r="M42" s="349">
        <f>+M44</f>
        <v>0</v>
      </c>
      <c r="N42" s="349">
        <f>+M42+L42</f>
        <v>0</v>
      </c>
      <c r="O42" s="349">
        <f>N42-K42</f>
        <v>0</v>
      </c>
      <c r="P42" s="350" t="e">
        <f>N42/K42*100</f>
        <v>#DIV/0!</v>
      </c>
      <c r="Q42" s="439"/>
      <c r="R42" s="422"/>
    </row>
    <row r="43" spans="1:18" s="189" customFormat="1" ht="12.05" customHeight="1">
      <c r="A43" s="289"/>
      <c r="B43" s="292"/>
      <c r="C43" s="292"/>
      <c r="D43" s="292"/>
      <c r="E43" s="292"/>
      <c r="F43" s="292"/>
      <c r="G43" s="253"/>
      <c r="H43" s="253"/>
      <c r="I43" s="253"/>
      <c r="J43" s="351"/>
      <c r="K43" s="352"/>
      <c r="L43" s="352"/>
      <c r="M43" s="352"/>
      <c r="N43" s="352"/>
      <c r="O43" s="352"/>
      <c r="P43" s="353"/>
      <c r="Q43" s="440"/>
      <c r="R43" s="422"/>
    </row>
    <row r="44" spans="1:18" s="189" customFormat="1" ht="12.05" customHeight="1">
      <c r="A44" s="294"/>
      <c r="B44" s="292">
        <v>4</v>
      </c>
      <c r="C44" s="292">
        <v>1</v>
      </c>
      <c r="D44" s="292">
        <v>2</v>
      </c>
      <c r="E44" s="292" t="s">
        <v>438</v>
      </c>
      <c r="F44" s="292"/>
      <c r="G44" s="253" t="s">
        <v>374</v>
      </c>
      <c r="H44" s="253"/>
      <c r="I44" s="253"/>
      <c r="J44" s="354">
        <f>J45</f>
        <v>4000000</v>
      </c>
      <c r="K44" s="355">
        <f>K45</f>
        <v>0</v>
      </c>
      <c r="L44" s="355">
        <f>L45</f>
        <v>0</v>
      </c>
      <c r="M44" s="355">
        <f>M45</f>
        <v>0</v>
      </c>
      <c r="N44" s="346">
        <f>+M44+L44</f>
        <v>0</v>
      </c>
      <c r="O44" s="346">
        <f>N44-K44</f>
        <v>0</v>
      </c>
      <c r="P44" s="347" t="e">
        <f>N44/K44*100</f>
        <v>#DIV/0!</v>
      </c>
      <c r="Q44" s="441"/>
      <c r="R44" s="422"/>
    </row>
    <row r="45" spans="1:18" s="189" customFormat="1" ht="12.05" customHeight="1">
      <c r="A45" s="294"/>
      <c r="B45" s="292">
        <v>4</v>
      </c>
      <c r="C45" s="292">
        <v>1</v>
      </c>
      <c r="D45" s="292">
        <v>2</v>
      </c>
      <c r="E45" s="292" t="s">
        <v>438</v>
      </c>
      <c r="F45" s="292" t="s">
        <v>448</v>
      </c>
      <c r="G45" s="253" t="s">
        <v>361</v>
      </c>
      <c r="H45" s="253"/>
      <c r="I45" s="253"/>
      <c r="J45" s="354">
        <f>+J46</f>
        <v>4000000</v>
      </c>
      <c r="K45" s="355">
        <f>+K46</f>
        <v>0</v>
      </c>
      <c r="L45" s="360">
        <f>+L46</f>
        <v>0</v>
      </c>
      <c r="M45" s="355">
        <f>+M46</f>
        <v>0</v>
      </c>
      <c r="N45" s="355">
        <f>M45+L45</f>
        <v>0</v>
      </c>
      <c r="O45" s="355">
        <f>N45-K45</f>
        <v>0</v>
      </c>
      <c r="P45" s="388" t="e">
        <f>N45/K45*100</f>
        <v>#DIV/0!</v>
      </c>
      <c r="Q45" s="441"/>
      <c r="R45" s="422"/>
    </row>
    <row r="46" spans="1:18" s="189" customFormat="1" ht="12.05" customHeight="1">
      <c r="A46" s="289"/>
      <c r="B46" s="292"/>
      <c r="C46" s="292"/>
      <c r="D46" s="292"/>
      <c r="E46" s="292"/>
      <c r="F46" s="292"/>
      <c r="G46" s="253" t="s">
        <v>50</v>
      </c>
      <c r="H46" s="253"/>
      <c r="I46" s="253" t="s">
        <v>949</v>
      </c>
      <c r="J46" s="389">
        <v>4000000</v>
      </c>
      <c r="K46" s="390">
        <f>'[55]TARGET MURNI DAN PERUBAHAN'!$E$27</f>
        <v>0</v>
      </c>
      <c r="L46" s="391">
        <v>0</v>
      </c>
      <c r="M46" s="390">
        <f>[55]Perdinas!$P$29</f>
        <v>0</v>
      </c>
      <c r="N46" s="357">
        <f>M46+L46</f>
        <v>0</v>
      </c>
      <c r="O46" s="357">
        <f>N46-K46</f>
        <v>0</v>
      </c>
      <c r="P46" s="358" t="e">
        <f>N46/K46*100</f>
        <v>#DIV/0!</v>
      </c>
      <c r="Q46" s="442"/>
      <c r="R46" s="422"/>
    </row>
    <row r="47" spans="1:18" s="189" customFormat="1" ht="12.05" customHeight="1">
      <c r="A47" s="289"/>
      <c r="B47" s="292"/>
      <c r="C47" s="292"/>
      <c r="D47" s="292"/>
      <c r="E47" s="292"/>
      <c r="F47" s="292"/>
      <c r="G47" s="253"/>
      <c r="H47" s="253"/>
      <c r="I47" s="253"/>
      <c r="J47" s="354"/>
      <c r="K47" s="355"/>
      <c r="L47" s="360"/>
      <c r="M47" s="355"/>
      <c r="N47" s="355"/>
      <c r="O47" s="355"/>
      <c r="P47" s="388"/>
      <c r="Q47" s="441"/>
      <c r="R47" s="422"/>
    </row>
    <row r="48" spans="1:18" s="189" customFormat="1" ht="12.05" customHeight="1">
      <c r="A48" s="294"/>
      <c r="B48" s="290">
        <v>4</v>
      </c>
      <c r="C48" s="290">
        <v>1</v>
      </c>
      <c r="D48" s="290">
        <v>4</v>
      </c>
      <c r="E48" s="290"/>
      <c r="F48" s="290"/>
      <c r="G48" s="291" t="s">
        <v>71</v>
      </c>
      <c r="H48" s="291"/>
      <c r="I48" s="291"/>
      <c r="J48" s="392"/>
      <c r="K48" s="393"/>
      <c r="L48" s="394">
        <f>L51+L55+L49</f>
        <v>5629000</v>
      </c>
      <c r="M48" s="393">
        <f>M51+M55+M49</f>
        <v>7074356.2599999998</v>
      </c>
      <c r="N48" s="364">
        <f>M48+L48</f>
        <v>12703356.26</v>
      </c>
      <c r="O48" s="395">
        <f>N48-K48</f>
        <v>12703356.26</v>
      </c>
      <c r="P48" s="350"/>
      <c r="Q48" s="444"/>
      <c r="R48" s="422"/>
    </row>
    <row r="49" spans="1:19" s="189" customFormat="1" ht="12.05" customHeight="1">
      <c r="A49" s="294"/>
      <c r="B49" s="292">
        <v>4</v>
      </c>
      <c r="C49" s="292">
        <v>1</v>
      </c>
      <c r="D49" s="292">
        <v>4</v>
      </c>
      <c r="E49" s="292" t="s">
        <v>441</v>
      </c>
      <c r="F49" s="292"/>
      <c r="G49" s="253" t="s">
        <v>557</v>
      </c>
      <c r="H49" s="253"/>
      <c r="I49" s="253"/>
      <c r="J49" s="333">
        <f>+J50</f>
        <v>0</v>
      </c>
      <c r="K49" s="334">
        <f>+K50</f>
        <v>0</v>
      </c>
      <c r="L49" s="356">
        <f>+L50</f>
        <v>0</v>
      </c>
      <c r="M49" s="334">
        <f>+M50</f>
        <v>0</v>
      </c>
      <c r="N49" s="396">
        <f>+M49+L49</f>
        <v>0</v>
      </c>
      <c r="O49" s="396">
        <f>N49-K49</f>
        <v>0</v>
      </c>
      <c r="P49" s="344"/>
      <c r="Q49" s="445"/>
      <c r="R49" s="422"/>
    </row>
    <row r="50" spans="1:19" s="189" customFormat="1" ht="12.05" customHeight="1">
      <c r="A50" s="294"/>
      <c r="B50" s="292">
        <v>4</v>
      </c>
      <c r="C50" s="292">
        <v>1</v>
      </c>
      <c r="D50" s="292">
        <v>4</v>
      </c>
      <c r="E50" s="292" t="s">
        <v>441</v>
      </c>
      <c r="F50" s="292" t="s">
        <v>437</v>
      </c>
      <c r="G50" s="253" t="s">
        <v>72</v>
      </c>
      <c r="H50" s="253"/>
      <c r="I50" s="253"/>
      <c r="J50" s="354">
        <v>0</v>
      </c>
      <c r="K50" s="373">
        <f>'[55]TARGET MURNI DAN PERUBAHAN'!$E$30</f>
        <v>0</v>
      </c>
      <c r="L50" s="360">
        <v>0</v>
      </c>
      <c r="M50" s="373">
        <f>[55]Perdinas!$P$32</f>
        <v>0</v>
      </c>
      <c r="N50" s="355">
        <f t="shared" ref="N50:N56" si="6">M50+L50</f>
        <v>0</v>
      </c>
      <c r="O50" s="355">
        <f>N50-K50</f>
        <v>0</v>
      </c>
      <c r="P50" s="388"/>
      <c r="Q50" s="445"/>
      <c r="R50" s="422"/>
    </row>
    <row r="51" spans="1:19" s="189" customFormat="1" ht="12.05" customHeight="1">
      <c r="A51" s="289"/>
      <c r="B51" s="292">
        <v>4</v>
      </c>
      <c r="C51" s="292">
        <v>1</v>
      </c>
      <c r="D51" s="292">
        <v>4</v>
      </c>
      <c r="E51" s="292" t="s">
        <v>444</v>
      </c>
      <c r="F51" s="292"/>
      <c r="G51" s="253" t="s">
        <v>222</v>
      </c>
      <c r="H51" s="253"/>
      <c r="I51" s="253"/>
      <c r="J51" s="333">
        <f>+J54</f>
        <v>0</v>
      </c>
      <c r="K51" s="334">
        <f>SUM(K52:K54)</f>
        <v>0</v>
      </c>
      <c r="L51" s="356">
        <f>SUM(L52:L54)</f>
        <v>5629000</v>
      </c>
      <c r="M51" s="334">
        <f>SUM(M52:M54)</f>
        <v>5798056.2599999998</v>
      </c>
      <c r="N51" s="355">
        <f t="shared" si="6"/>
        <v>11427056.26</v>
      </c>
      <c r="O51" s="334">
        <f>SUM(O52:O55)</f>
        <v>12703356.26</v>
      </c>
      <c r="P51" s="335">
        <f>SUM(P52:P55)</f>
        <v>0</v>
      </c>
      <c r="Q51" s="430"/>
      <c r="R51" s="422"/>
    </row>
    <row r="52" spans="1:19" s="189" customFormat="1" ht="12.05" customHeight="1">
      <c r="A52" s="289"/>
      <c r="B52" s="292">
        <v>4</v>
      </c>
      <c r="C52" s="292">
        <v>1</v>
      </c>
      <c r="D52" s="292">
        <v>4</v>
      </c>
      <c r="E52" s="292" t="s">
        <v>444</v>
      </c>
      <c r="F52" s="292" t="s">
        <v>440</v>
      </c>
      <c r="G52" s="253" t="s">
        <v>73</v>
      </c>
      <c r="H52" s="253"/>
      <c r="I52" s="253"/>
      <c r="J52" s="354">
        <v>0</v>
      </c>
      <c r="K52" s="355">
        <v>0</v>
      </c>
      <c r="L52" s="355">
        <f>[56]PerDinas!$N$52</f>
        <v>3000000</v>
      </c>
      <c r="M52" s="355">
        <f>[55]Perdinas!$P$33</f>
        <v>0</v>
      </c>
      <c r="N52" s="355">
        <f t="shared" si="6"/>
        <v>3000000</v>
      </c>
      <c r="O52" s="355">
        <f t="shared" ref="O52:O57" si="7">N52-K52</f>
        <v>3000000</v>
      </c>
      <c r="P52" s="388"/>
      <c r="Q52" s="441"/>
      <c r="R52" s="422"/>
    </row>
    <row r="53" spans="1:19" s="189" customFormat="1" ht="12.05" customHeight="1">
      <c r="A53" s="289"/>
      <c r="B53" s="292">
        <v>4</v>
      </c>
      <c r="C53" s="292">
        <v>1</v>
      </c>
      <c r="D53" s="292">
        <v>4</v>
      </c>
      <c r="E53" s="292" t="s">
        <v>444</v>
      </c>
      <c r="F53" s="292" t="s">
        <v>445</v>
      </c>
      <c r="G53" s="253" t="s">
        <v>74</v>
      </c>
      <c r="H53" s="253"/>
      <c r="I53" s="253"/>
      <c r="J53" s="389">
        <v>0</v>
      </c>
      <c r="K53" s="357">
        <v>0</v>
      </c>
      <c r="L53" s="355">
        <f>[56]PerDinas!$N$53</f>
        <v>0</v>
      </c>
      <c r="M53" s="357">
        <f>[55]Perdinas!$P$34</f>
        <v>0</v>
      </c>
      <c r="N53" s="357">
        <f t="shared" si="6"/>
        <v>0</v>
      </c>
      <c r="O53" s="357">
        <f t="shared" si="7"/>
        <v>0</v>
      </c>
      <c r="P53" s="358"/>
      <c r="Q53" s="442"/>
      <c r="R53" s="422"/>
    </row>
    <row r="54" spans="1:19" s="189" customFormat="1" ht="12.05" customHeight="1">
      <c r="A54" s="289"/>
      <c r="B54" s="292">
        <v>4</v>
      </c>
      <c r="C54" s="292">
        <v>1</v>
      </c>
      <c r="D54" s="292">
        <v>4</v>
      </c>
      <c r="E54" s="292" t="s">
        <v>444</v>
      </c>
      <c r="F54" s="292" t="s">
        <v>441</v>
      </c>
      <c r="G54" s="253" t="s">
        <v>75</v>
      </c>
      <c r="H54" s="253"/>
      <c r="I54" s="253"/>
      <c r="J54" s="351">
        <v>0</v>
      </c>
      <c r="K54" s="352">
        <f>'[55]TARGET MURNI DAN PERUBAHAN'!$E$31</f>
        <v>0</v>
      </c>
      <c r="L54" s="352">
        <f>'JAN1'!L54</f>
        <v>2629000</v>
      </c>
      <c r="M54" s="352">
        <f>[55]Perdinas!$P$35</f>
        <v>5798056.2599999998</v>
      </c>
      <c r="N54" s="352">
        <f t="shared" si="6"/>
        <v>8427056.2599999998</v>
      </c>
      <c r="O54" s="352">
        <f t="shared" si="7"/>
        <v>8427056.2599999998</v>
      </c>
      <c r="P54" s="353"/>
      <c r="Q54" s="441"/>
      <c r="R54" s="422"/>
    </row>
    <row r="55" spans="1:19" s="190" customFormat="1" ht="12.05" customHeight="1">
      <c r="A55" s="303"/>
      <c r="B55" s="290">
        <v>4</v>
      </c>
      <c r="C55" s="290">
        <v>1</v>
      </c>
      <c r="D55" s="290">
        <v>4</v>
      </c>
      <c r="E55" s="290" t="s">
        <v>948</v>
      </c>
      <c r="F55" s="290" t="s">
        <v>437</v>
      </c>
      <c r="G55" s="291" t="s">
        <v>321</v>
      </c>
      <c r="H55" s="291"/>
      <c r="I55" s="291"/>
      <c r="J55" s="397">
        <v>0</v>
      </c>
      <c r="K55" s="398">
        <v>0</v>
      </c>
      <c r="L55" s="371">
        <f>L56</f>
        <v>0</v>
      </c>
      <c r="M55" s="371">
        <f>M56</f>
        <v>1276300</v>
      </c>
      <c r="N55" s="371">
        <f t="shared" si="6"/>
        <v>1276300</v>
      </c>
      <c r="O55" s="371">
        <f t="shared" si="7"/>
        <v>1276300</v>
      </c>
      <c r="P55" s="399"/>
      <c r="Q55" s="455"/>
      <c r="R55" s="446"/>
    </row>
    <row r="56" spans="1:19" s="189" customFormat="1" ht="12.05" customHeight="1">
      <c r="A56" s="563"/>
      <c r="B56" s="296"/>
      <c r="C56" s="296"/>
      <c r="D56" s="296"/>
      <c r="E56" s="296"/>
      <c r="F56" s="296"/>
      <c r="G56" s="297" t="s">
        <v>50</v>
      </c>
      <c r="H56" s="297"/>
      <c r="I56" s="297" t="s">
        <v>76</v>
      </c>
      <c r="J56" s="494">
        <v>0</v>
      </c>
      <c r="K56" s="725">
        <f>'[55]TARGET MURNI DAN PERUBAHAN'!$E$32</f>
        <v>0</v>
      </c>
      <c r="L56" s="513">
        <f>[56]PerDinas!$N$56</f>
        <v>0</v>
      </c>
      <c r="M56" s="725">
        <f>[55]Perdinas!$P$36</f>
        <v>1276300</v>
      </c>
      <c r="N56" s="1198">
        <f t="shared" si="6"/>
        <v>1276300</v>
      </c>
      <c r="O56" s="334">
        <f t="shared" si="7"/>
        <v>1276300</v>
      </c>
      <c r="P56" s="344"/>
      <c r="Q56" s="430"/>
      <c r="R56" s="422"/>
    </row>
    <row r="57" spans="1:19" s="247" customFormat="1" ht="22.55" customHeight="1">
      <c r="A57" s="1189"/>
      <c r="B57" s="1190" t="s">
        <v>58</v>
      </c>
      <c r="C57" s="1190" t="s">
        <v>438</v>
      </c>
      <c r="D57" s="1190" t="s">
        <v>437</v>
      </c>
      <c r="E57" s="1190" t="s">
        <v>438</v>
      </c>
      <c r="F57" s="1191"/>
      <c r="G57" s="1192" t="s">
        <v>950</v>
      </c>
      <c r="H57" s="1193"/>
      <c r="I57" s="1199"/>
      <c r="J57" s="1200">
        <f>+J59</f>
        <v>650250000</v>
      </c>
      <c r="K57" s="1201">
        <f>+K59</f>
        <v>1100000000</v>
      </c>
      <c r="L57" s="1201">
        <f>+L59</f>
        <v>1193820500</v>
      </c>
      <c r="M57" s="1201">
        <f>+M59</f>
        <v>157662000</v>
      </c>
      <c r="N57" s="1201">
        <f t="shared" ref="N57:N62" si="8">+M57+L57</f>
        <v>1351482500</v>
      </c>
      <c r="O57" s="1201">
        <f t="shared" si="7"/>
        <v>251482500</v>
      </c>
      <c r="P57" s="1202">
        <f t="shared" ref="P57:P63" si="9">N57/K57*100</f>
        <v>122.86204545454547</v>
      </c>
      <c r="Q57" s="1209"/>
      <c r="R57" s="458"/>
    </row>
    <row r="58" spans="1:19" s="189" customFormat="1" ht="12.05" customHeight="1">
      <c r="A58" s="286"/>
      <c r="B58" s="287"/>
      <c r="C58" s="287"/>
      <c r="D58" s="287"/>
      <c r="E58" s="287"/>
      <c r="F58" s="287"/>
      <c r="G58" s="288"/>
      <c r="H58" s="288"/>
      <c r="I58" s="410"/>
      <c r="J58" s="385"/>
      <c r="K58" s="386"/>
      <c r="L58" s="386"/>
      <c r="M58" s="386"/>
      <c r="N58" s="386"/>
      <c r="O58" s="386"/>
      <c r="P58" s="341"/>
      <c r="Q58" s="453"/>
      <c r="R58" s="422"/>
    </row>
    <row r="59" spans="1:19" s="189" customFormat="1" ht="12.05" customHeight="1">
      <c r="A59" s="294"/>
      <c r="B59" s="290">
        <v>4</v>
      </c>
      <c r="C59" s="290">
        <v>1</v>
      </c>
      <c r="D59" s="290"/>
      <c r="E59" s="290"/>
      <c r="F59" s="290"/>
      <c r="G59" s="291" t="s">
        <v>180</v>
      </c>
      <c r="H59" s="291"/>
      <c r="I59" s="291"/>
      <c r="J59" s="387">
        <f>+J61+J66</f>
        <v>650250000</v>
      </c>
      <c r="K59" s="367">
        <f>+K61+K66</f>
        <v>1100000000</v>
      </c>
      <c r="L59" s="367">
        <f>+L61+L66</f>
        <v>1193820500</v>
      </c>
      <c r="M59" s="367">
        <f>+M61+M66</f>
        <v>157662000</v>
      </c>
      <c r="N59" s="367">
        <f t="shared" si="8"/>
        <v>1351482500</v>
      </c>
      <c r="O59" s="367">
        <f t="shared" ref="O59:O64" si="10">N59-K59</f>
        <v>251482500</v>
      </c>
      <c r="P59" s="347">
        <f t="shared" si="9"/>
        <v>122.86204545454547</v>
      </c>
      <c r="Q59" s="454"/>
      <c r="R59" s="422"/>
    </row>
    <row r="60" spans="1:19" s="189" customFormat="1" ht="12.05" customHeight="1">
      <c r="A60" s="289"/>
      <c r="B60" s="292"/>
      <c r="C60" s="292"/>
      <c r="D60" s="292"/>
      <c r="E60" s="292"/>
      <c r="F60" s="292"/>
      <c r="G60" s="253"/>
      <c r="H60" s="253"/>
      <c r="I60" s="253"/>
      <c r="J60" s="387"/>
      <c r="K60" s="367"/>
      <c r="L60" s="367"/>
      <c r="M60" s="367"/>
      <c r="N60" s="367"/>
      <c r="O60" s="367"/>
      <c r="P60" s="347"/>
      <c r="Q60" s="454"/>
      <c r="R60" s="422"/>
    </row>
    <row r="61" spans="1:19" s="189" customFormat="1" ht="12.05" customHeight="1">
      <c r="A61" s="294"/>
      <c r="B61" s="290">
        <v>4</v>
      </c>
      <c r="C61" s="290">
        <v>1</v>
      </c>
      <c r="D61" s="290">
        <v>2</v>
      </c>
      <c r="E61" s="290"/>
      <c r="F61" s="290"/>
      <c r="G61" s="291" t="s">
        <v>106</v>
      </c>
      <c r="H61" s="291"/>
      <c r="I61" s="253"/>
      <c r="J61" s="348">
        <f>+J62</f>
        <v>650000000</v>
      </c>
      <c r="K61" s="349">
        <f>+K62</f>
        <v>1100000000</v>
      </c>
      <c r="L61" s="349">
        <f>+L62</f>
        <v>1193820500</v>
      </c>
      <c r="M61" s="349">
        <f>+M62</f>
        <v>157662000</v>
      </c>
      <c r="N61" s="349">
        <f t="shared" si="8"/>
        <v>1351482500</v>
      </c>
      <c r="O61" s="349">
        <f t="shared" si="10"/>
        <v>251482500</v>
      </c>
      <c r="P61" s="350">
        <f t="shared" si="9"/>
        <v>122.86204545454547</v>
      </c>
      <c r="Q61" s="459"/>
      <c r="R61" s="460"/>
    </row>
    <row r="62" spans="1:19" s="189" customFormat="1" ht="12.05" customHeight="1">
      <c r="A62" s="294"/>
      <c r="B62" s="292">
        <v>4</v>
      </c>
      <c r="C62" s="292">
        <v>1</v>
      </c>
      <c r="D62" s="292">
        <v>2</v>
      </c>
      <c r="E62" s="292" t="s">
        <v>437</v>
      </c>
      <c r="F62" s="292"/>
      <c r="G62" s="253" t="s">
        <v>107</v>
      </c>
      <c r="H62" s="253"/>
      <c r="I62" s="253"/>
      <c r="J62" s="411">
        <f>+J63+J64</f>
        <v>650000000</v>
      </c>
      <c r="K62" s="412">
        <f>+K63+K64</f>
        <v>1100000000</v>
      </c>
      <c r="L62" s="412">
        <f>+L63+L64</f>
        <v>1193820500</v>
      </c>
      <c r="M62" s="412">
        <f>+M63+M64</f>
        <v>157662000</v>
      </c>
      <c r="N62" s="413">
        <f t="shared" si="8"/>
        <v>1351482500</v>
      </c>
      <c r="O62" s="413">
        <f t="shared" si="10"/>
        <v>251482500</v>
      </c>
      <c r="P62" s="414">
        <f t="shared" si="9"/>
        <v>122.86204545454547</v>
      </c>
      <c r="Q62" s="461"/>
      <c r="R62" s="422"/>
    </row>
    <row r="63" spans="1:19" s="189" customFormat="1" ht="12.05" customHeight="1">
      <c r="A63" s="294"/>
      <c r="B63" s="292">
        <v>4</v>
      </c>
      <c r="C63" s="292">
        <v>1</v>
      </c>
      <c r="D63" s="292">
        <v>2</v>
      </c>
      <c r="E63" s="292" t="s">
        <v>437</v>
      </c>
      <c r="F63" s="292" t="s">
        <v>437</v>
      </c>
      <c r="G63" s="253" t="s">
        <v>84</v>
      </c>
      <c r="H63" s="253"/>
      <c r="I63" s="253"/>
      <c r="J63" s="389">
        <v>650000000</v>
      </c>
      <c r="K63" s="390">
        <f>'[55]TARGET MURNI DAN PERUBAHAN'!$E$36</f>
        <v>1100000000</v>
      </c>
      <c r="L63" s="391">
        <f>[56]PerDinas!$N$63</f>
        <v>1193820500</v>
      </c>
      <c r="M63" s="390">
        <f>[55]Perdinas!$P$40</f>
        <v>157662000</v>
      </c>
      <c r="N63" s="415">
        <f>M63+L63</f>
        <v>1351482500</v>
      </c>
      <c r="O63" s="357">
        <f t="shared" si="10"/>
        <v>251482500</v>
      </c>
      <c r="P63" s="358">
        <f t="shared" si="9"/>
        <v>122.86204545454547</v>
      </c>
      <c r="Q63" s="462"/>
      <c r="R63" s="463"/>
      <c r="S63" s="436"/>
    </row>
    <row r="64" spans="1:19" s="189" customFormat="1" ht="12.05" customHeight="1">
      <c r="A64" s="294"/>
      <c r="B64" s="292">
        <v>4</v>
      </c>
      <c r="C64" s="292">
        <v>1</v>
      </c>
      <c r="D64" s="292">
        <v>2</v>
      </c>
      <c r="E64" s="292" t="s">
        <v>437</v>
      </c>
      <c r="F64" s="292" t="s">
        <v>441</v>
      </c>
      <c r="G64" s="253" t="s">
        <v>951</v>
      </c>
      <c r="H64" s="253"/>
      <c r="I64" s="253"/>
      <c r="J64" s="333"/>
      <c r="K64" s="334"/>
      <c r="L64" s="356">
        <v>0</v>
      </c>
      <c r="M64" s="334"/>
      <c r="N64" s="330">
        <f>M64+L64</f>
        <v>0</v>
      </c>
      <c r="O64" s="334">
        <f t="shared" si="10"/>
        <v>0</v>
      </c>
      <c r="P64" s="335"/>
      <c r="Q64" s="430"/>
      <c r="R64" s="464"/>
    </row>
    <row r="65" spans="1:20" s="189" customFormat="1" ht="12.05" customHeight="1">
      <c r="A65" s="289"/>
      <c r="B65" s="292"/>
      <c r="C65" s="292"/>
      <c r="D65" s="292"/>
      <c r="E65" s="292"/>
      <c r="F65" s="292"/>
      <c r="G65" s="253"/>
      <c r="H65" s="253"/>
      <c r="I65" s="253"/>
      <c r="J65" s="354"/>
      <c r="K65" s="355"/>
      <c r="L65" s="355"/>
      <c r="M65" s="355"/>
      <c r="N65" s="355"/>
      <c r="O65" s="355"/>
      <c r="P65" s="388"/>
      <c r="Q65" s="441"/>
      <c r="R65" s="539"/>
      <c r="S65" s="540"/>
    </row>
    <row r="66" spans="1:20" s="189" customFormat="1" ht="12.05" customHeight="1">
      <c r="A66" s="294"/>
      <c r="B66" s="290">
        <v>4</v>
      </c>
      <c r="C66" s="290">
        <v>1</v>
      </c>
      <c r="D66" s="290">
        <v>4</v>
      </c>
      <c r="E66" s="290"/>
      <c r="F66" s="290"/>
      <c r="G66" s="291" t="s">
        <v>71</v>
      </c>
      <c r="H66" s="291"/>
      <c r="I66" s="291"/>
      <c r="J66" s="392">
        <f>J67+J72</f>
        <v>250000</v>
      </c>
      <c r="K66" s="393">
        <f>K67+K72</f>
        <v>0</v>
      </c>
      <c r="L66" s="393">
        <f>L67+L72</f>
        <v>0</v>
      </c>
      <c r="M66" s="393">
        <f>M67+M72</f>
        <v>0</v>
      </c>
      <c r="N66" s="393">
        <f>N67+N72</f>
        <v>0</v>
      </c>
      <c r="O66" s="349">
        <f t="shared" ref="O66:O73" si="11">N66-K66</f>
        <v>0</v>
      </c>
      <c r="P66" s="350" t="e">
        <f>N66/K66*100</f>
        <v>#DIV/0!</v>
      </c>
      <c r="Q66" s="444"/>
      <c r="R66" s="422"/>
      <c r="T66" s="63"/>
    </row>
    <row r="67" spans="1:20" s="189" customFormat="1" ht="12.05" customHeight="1">
      <c r="A67" s="289"/>
      <c r="B67" s="292">
        <v>4</v>
      </c>
      <c r="C67" s="292">
        <v>1</v>
      </c>
      <c r="D67" s="292">
        <v>4</v>
      </c>
      <c r="E67" s="292" t="s">
        <v>444</v>
      </c>
      <c r="F67" s="292"/>
      <c r="G67" s="253" t="s">
        <v>222</v>
      </c>
      <c r="H67" s="253"/>
      <c r="I67" s="253"/>
      <c r="J67" s="475">
        <f>+J70</f>
        <v>0</v>
      </c>
      <c r="K67" s="476">
        <f>+K70</f>
        <v>0</v>
      </c>
      <c r="L67" s="476">
        <f>SUM(L68:L70)</f>
        <v>0</v>
      </c>
      <c r="M67" s="476">
        <f>SUM(M68:M70)</f>
        <v>0</v>
      </c>
      <c r="N67" s="476">
        <f>SUM(N68:N70)</f>
        <v>0</v>
      </c>
      <c r="O67" s="477">
        <f t="shared" si="11"/>
        <v>0</v>
      </c>
      <c r="P67" s="478">
        <v>0</v>
      </c>
      <c r="Q67" s="541"/>
      <c r="R67" s="422"/>
      <c r="T67" s="542"/>
    </row>
    <row r="68" spans="1:20" s="189" customFormat="1" ht="12.05" customHeight="1">
      <c r="A68" s="289"/>
      <c r="B68" s="292">
        <v>4</v>
      </c>
      <c r="C68" s="292">
        <v>1</v>
      </c>
      <c r="D68" s="292">
        <v>4</v>
      </c>
      <c r="E68" s="292" t="s">
        <v>444</v>
      </c>
      <c r="F68" s="292" t="s">
        <v>440</v>
      </c>
      <c r="G68" s="253" t="s">
        <v>73</v>
      </c>
      <c r="H68" s="253"/>
      <c r="I68" s="253"/>
      <c r="J68" s="354">
        <v>0</v>
      </c>
      <c r="K68" s="355">
        <v>0</v>
      </c>
      <c r="L68" s="360">
        <v>0</v>
      </c>
      <c r="M68" s="355">
        <f>[55]Perdinas!$P$44</f>
        <v>0</v>
      </c>
      <c r="N68" s="355">
        <f t="shared" ref="N68:N73" si="12">M68+L68</f>
        <v>0</v>
      </c>
      <c r="O68" s="355">
        <f t="shared" si="11"/>
        <v>0</v>
      </c>
      <c r="P68" s="388"/>
      <c r="Q68" s="441"/>
      <c r="R68" s="422"/>
    </row>
    <row r="69" spans="1:20" s="189" customFormat="1" ht="12.05" customHeight="1">
      <c r="A69" s="289"/>
      <c r="B69" s="292">
        <v>4</v>
      </c>
      <c r="C69" s="292">
        <v>1</v>
      </c>
      <c r="D69" s="292">
        <v>4</v>
      </c>
      <c r="E69" s="292" t="s">
        <v>444</v>
      </c>
      <c r="F69" s="292" t="s">
        <v>445</v>
      </c>
      <c r="G69" s="253" t="s">
        <v>74</v>
      </c>
      <c r="H69" s="253"/>
      <c r="I69" s="253"/>
      <c r="J69" s="354">
        <v>0</v>
      </c>
      <c r="K69" s="355">
        <v>0</v>
      </c>
      <c r="L69" s="360">
        <v>0</v>
      </c>
      <c r="M69" s="355">
        <f>[55]Perdinas!$P$45</f>
        <v>0</v>
      </c>
      <c r="N69" s="355">
        <f t="shared" si="12"/>
        <v>0</v>
      </c>
      <c r="O69" s="355">
        <f t="shared" si="11"/>
        <v>0</v>
      </c>
      <c r="P69" s="388"/>
      <c r="Q69" s="441"/>
      <c r="R69" s="422"/>
    </row>
    <row r="70" spans="1:20" s="189" customFormat="1" ht="12.05" customHeight="1">
      <c r="A70" s="289"/>
      <c r="B70" s="292">
        <v>4</v>
      </c>
      <c r="C70" s="292">
        <v>1</v>
      </c>
      <c r="D70" s="292">
        <v>4</v>
      </c>
      <c r="E70" s="292" t="s">
        <v>444</v>
      </c>
      <c r="F70" s="292" t="s">
        <v>441</v>
      </c>
      <c r="G70" s="253" t="s">
        <v>75</v>
      </c>
      <c r="H70" s="253"/>
      <c r="I70" s="253"/>
      <c r="J70" s="354">
        <v>0</v>
      </c>
      <c r="K70" s="390">
        <f>'[55]TARGET MURNI DAN PERUBAHAN'!$E$39</f>
        <v>0</v>
      </c>
      <c r="L70" s="360">
        <f>[56]PerDinas!$N$70</f>
        <v>0</v>
      </c>
      <c r="M70" s="390">
        <f>[55]Perdinas!$P$46</f>
        <v>0</v>
      </c>
      <c r="N70" s="369">
        <f t="shared" si="12"/>
        <v>0</v>
      </c>
      <c r="O70" s="355">
        <f t="shared" si="11"/>
        <v>0</v>
      </c>
      <c r="P70" s="388"/>
      <c r="Q70" s="441"/>
      <c r="R70" s="422"/>
    </row>
    <row r="71" spans="1:20" s="189" customFormat="1" ht="12.05" customHeight="1">
      <c r="A71" s="289"/>
      <c r="B71" s="292"/>
      <c r="C71" s="292"/>
      <c r="D71" s="292"/>
      <c r="E71" s="292"/>
      <c r="F71" s="292"/>
      <c r="G71" s="253"/>
      <c r="H71" s="253"/>
      <c r="I71" s="253"/>
      <c r="J71" s="354">
        <v>0</v>
      </c>
      <c r="K71" s="355">
        <v>0</v>
      </c>
      <c r="L71" s="360">
        <v>0</v>
      </c>
      <c r="M71" s="355">
        <v>0</v>
      </c>
      <c r="N71" s="355">
        <f t="shared" si="12"/>
        <v>0</v>
      </c>
      <c r="O71" s="355">
        <f t="shared" si="11"/>
        <v>0</v>
      </c>
      <c r="P71" s="388"/>
      <c r="Q71" s="461"/>
      <c r="R71" s="422"/>
    </row>
    <row r="72" spans="1:20" s="190" customFormat="1" ht="12.05" customHeight="1">
      <c r="A72" s="465"/>
      <c r="B72" s="466">
        <v>4</v>
      </c>
      <c r="C72" s="466">
        <v>1</v>
      </c>
      <c r="D72" s="466">
        <v>4</v>
      </c>
      <c r="E72" s="466" t="s">
        <v>948</v>
      </c>
      <c r="F72" s="466"/>
      <c r="G72" s="467" t="s">
        <v>321</v>
      </c>
      <c r="H72" s="467"/>
      <c r="I72" s="467"/>
      <c r="J72" s="479">
        <f>+J73</f>
        <v>250000</v>
      </c>
      <c r="K72" s="480">
        <f>+K73</f>
        <v>0</v>
      </c>
      <c r="L72" s="481">
        <f>+L73</f>
        <v>0</v>
      </c>
      <c r="M72" s="480">
        <f>+M73</f>
        <v>0</v>
      </c>
      <c r="N72" s="480">
        <f t="shared" si="12"/>
        <v>0</v>
      </c>
      <c r="O72" s="480">
        <f t="shared" si="11"/>
        <v>0</v>
      </c>
      <c r="P72" s="353"/>
      <c r="Q72" s="447"/>
      <c r="R72" s="543"/>
    </row>
    <row r="73" spans="1:20" s="189" customFormat="1" ht="12.05" customHeight="1">
      <c r="A73" s="295"/>
      <c r="B73" s="296">
        <v>4</v>
      </c>
      <c r="C73" s="296">
        <v>1</v>
      </c>
      <c r="D73" s="296">
        <v>4</v>
      </c>
      <c r="E73" s="296" t="s">
        <v>948</v>
      </c>
      <c r="F73" s="296" t="s">
        <v>437</v>
      </c>
      <c r="G73" s="297" t="s">
        <v>50</v>
      </c>
      <c r="H73" s="297"/>
      <c r="I73" s="297" t="s">
        <v>85</v>
      </c>
      <c r="J73" s="351">
        <v>250000</v>
      </c>
      <c r="K73" s="1017">
        <f>'[55]TARGET MURNI DAN PERUBAHAN'!$E$48</f>
        <v>0</v>
      </c>
      <c r="L73" s="362">
        <v>0</v>
      </c>
      <c r="M73" s="1017">
        <v>0</v>
      </c>
      <c r="N73" s="817">
        <f t="shared" si="12"/>
        <v>0</v>
      </c>
      <c r="O73" s="352">
        <f t="shared" si="11"/>
        <v>0</v>
      </c>
      <c r="P73" s="353"/>
      <c r="Q73" s="440"/>
      <c r="R73" s="545"/>
      <c r="S73" s="436"/>
    </row>
    <row r="74" spans="1:20" s="189" customFormat="1" ht="12.05" customHeight="1">
      <c r="A74" s="1210"/>
      <c r="B74" s="578"/>
      <c r="C74" s="578"/>
      <c r="D74" s="578"/>
      <c r="E74" s="578"/>
      <c r="F74" s="578"/>
      <c r="J74" s="333"/>
      <c r="K74" s="334"/>
      <c r="L74" s="334"/>
      <c r="M74" s="334"/>
      <c r="N74" s="334"/>
      <c r="O74" s="334"/>
      <c r="P74" s="335"/>
      <c r="Q74" s="430"/>
      <c r="R74" s="422"/>
    </row>
    <row r="75" spans="1:20" s="247" customFormat="1" ht="21.8" customHeight="1">
      <c r="A75" s="1211"/>
      <c r="B75" s="1190" t="s">
        <v>58</v>
      </c>
      <c r="C75" s="1190" t="s">
        <v>438</v>
      </c>
      <c r="D75" s="1190" t="s">
        <v>437</v>
      </c>
      <c r="E75" s="1190" t="s">
        <v>451</v>
      </c>
      <c r="F75" s="1190"/>
      <c r="G75" s="1192" t="s">
        <v>952</v>
      </c>
      <c r="H75" s="1192"/>
      <c r="I75" s="1192"/>
      <c r="J75" s="1200">
        <f>+J77</f>
        <v>150000000</v>
      </c>
      <c r="K75" s="1201">
        <f>+K77</f>
        <v>200000000</v>
      </c>
      <c r="L75" s="1201">
        <f>+L77</f>
        <v>270998300</v>
      </c>
      <c r="M75" s="1201">
        <f>+M77</f>
        <v>22679000</v>
      </c>
      <c r="N75" s="1201">
        <f>M75+L75</f>
        <v>293677300</v>
      </c>
      <c r="O75" s="1201">
        <f>+N75-K75</f>
        <v>93677300</v>
      </c>
      <c r="P75" s="1202">
        <f>+N75/K75*100</f>
        <v>146.83865</v>
      </c>
      <c r="Q75" s="1209"/>
      <c r="R75" s="458"/>
    </row>
    <row r="76" spans="1:20" s="189" customFormat="1" ht="12.05" customHeight="1">
      <c r="A76" s="471"/>
      <c r="B76" s="287"/>
      <c r="C76" s="287"/>
      <c r="D76" s="287"/>
      <c r="E76" s="287"/>
      <c r="F76" s="287"/>
      <c r="G76" s="288"/>
      <c r="H76" s="288"/>
      <c r="I76" s="288"/>
      <c r="J76" s="385"/>
      <c r="K76" s="386"/>
      <c r="L76" s="386"/>
      <c r="M76" s="386"/>
      <c r="N76" s="386"/>
      <c r="O76" s="386"/>
      <c r="P76" s="341"/>
      <c r="Q76" s="453"/>
      <c r="R76" s="422"/>
    </row>
    <row r="77" spans="1:20" s="189" customFormat="1" ht="12.05" customHeight="1">
      <c r="A77" s="293"/>
      <c r="B77" s="290">
        <v>4</v>
      </c>
      <c r="C77" s="290">
        <v>1</v>
      </c>
      <c r="D77" s="290"/>
      <c r="E77" s="290"/>
      <c r="F77" s="290"/>
      <c r="G77" s="291" t="s">
        <v>180</v>
      </c>
      <c r="H77" s="291"/>
      <c r="I77" s="291"/>
      <c r="J77" s="342">
        <f>J78+J82</f>
        <v>150000000</v>
      </c>
      <c r="K77" s="343">
        <f>K78+K82</f>
        <v>200000000</v>
      </c>
      <c r="L77" s="343">
        <f>L78+L82</f>
        <v>270998300</v>
      </c>
      <c r="M77" s="343">
        <f>M78+M82</f>
        <v>22679000</v>
      </c>
      <c r="N77" s="343">
        <f>+M77+L77</f>
        <v>293677300</v>
      </c>
      <c r="O77" s="343">
        <f>N77-K77</f>
        <v>93677300</v>
      </c>
      <c r="P77" s="344">
        <f>N77/K77*100</f>
        <v>146.83865</v>
      </c>
      <c r="Q77" s="437"/>
      <c r="R77" s="422"/>
    </row>
    <row r="78" spans="1:20" s="189" customFormat="1" ht="12.05" customHeight="1">
      <c r="A78" s="293"/>
      <c r="B78" s="290">
        <v>4</v>
      </c>
      <c r="C78" s="290">
        <v>1</v>
      </c>
      <c r="D78" s="290">
        <v>2</v>
      </c>
      <c r="E78" s="290"/>
      <c r="F78" s="290"/>
      <c r="G78" s="291" t="s">
        <v>106</v>
      </c>
      <c r="H78" s="291"/>
      <c r="I78" s="253"/>
      <c r="J78" s="392">
        <f>+J79</f>
        <v>150000000</v>
      </c>
      <c r="K78" s="393">
        <f>+K79</f>
        <v>200000000</v>
      </c>
      <c r="L78" s="393">
        <f>+L79</f>
        <v>268434500</v>
      </c>
      <c r="M78" s="393">
        <f>+M79</f>
        <v>22679000</v>
      </c>
      <c r="N78" s="349">
        <f>+M78+L78</f>
        <v>291113500</v>
      </c>
      <c r="O78" s="349">
        <f>N78-K78</f>
        <v>91113500</v>
      </c>
      <c r="P78" s="350">
        <f>N78/K78*100</f>
        <v>145.55674999999999</v>
      </c>
      <c r="Q78" s="444"/>
      <c r="R78" s="422"/>
    </row>
    <row r="79" spans="1:20" s="189" customFormat="1" ht="12.05" customHeight="1">
      <c r="A79" s="293"/>
      <c r="B79" s="292">
        <v>4</v>
      </c>
      <c r="C79" s="292">
        <v>1</v>
      </c>
      <c r="D79" s="292">
        <v>2</v>
      </c>
      <c r="E79" s="292" t="s">
        <v>437</v>
      </c>
      <c r="F79" s="292"/>
      <c r="G79" s="253" t="s">
        <v>107</v>
      </c>
      <c r="H79" s="253"/>
      <c r="I79" s="253"/>
      <c r="J79" s="484">
        <f>+J80</f>
        <v>150000000</v>
      </c>
      <c r="K79" s="485">
        <f>+K80</f>
        <v>200000000</v>
      </c>
      <c r="L79" s="486">
        <f>L80</f>
        <v>268434500</v>
      </c>
      <c r="M79" s="485">
        <f>M80</f>
        <v>22679000</v>
      </c>
      <c r="N79" s="485">
        <f>N80</f>
        <v>291113500</v>
      </c>
      <c r="O79" s="412">
        <f>N79-K79</f>
        <v>91113500</v>
      </c>
      <c r="P79" s="487">
        <f>N79/K79*100</f>
        <v>145.55674999999999</v>
      </c>
      <c r="Q79" s="461"/>
      <c r="R79" s="422"/>
    </row>
    <row r="80" spans="1:20" s="189" customFormat="1" ht="12.05" customHeight="1">
      <c r="A80" s="293"/>
      <c r="B80" s="292">
        <v>4</v>
      </c>
      <c r="C80" s="292">
        <v>1</v>
      </c>
      <c r="D80" s="292">
        <v>2</v>
      </c>
      <c r="E80" s="292" t="s">
        <v>438</v>
      </c>
      <c r="F80" s="292" t="s">
        <v>437</v>
      </c>
      <c r="G80" s="253" t="s">
        <v>84</v>
      </c>
      <c r="H80" s="253"/>
      <c r="I80" s="253"/>
      <c r="J80" s="354">
        <v>150000000</v>
      </c>
      <c r="K80" s="373">
        <f>'[55]TARGET MURNI DAN PERUBAHAN'!$E$44</f>
        <v>200000000</v>
      </c>
      <c r="L80" s="360">
        <f>[56]PerDinas!$N$80</f>
        <v>268434500</v>
      </c>
      <c r="M80" s="373">
        <f>[55]Perdinas!$P$51</f>
        <v>22679000</v>
      </c>
      <c r="N80" s="369">
        <f t="shared" ref="N80:N86" si="13">M80+L80</f>
        <v>291113500</v>
      </c>
      <c r="O80" s="355">
        <f>N80-K80</f>
        <v>91113500</v>
      </c>
      <c r="P80" s="388">
        <f>N80/K80*100</f>
        <v>145.55674999999999</v>
      </c>
      <c r="Q80" s="441"/>
      <c r="R80" s="545"/>
      <c r="S80" s="546"/>
    </row>
    <row r="81" spans="1:18" s="189" customFormat="1" ht="12.05" customHeight="1">
      <c r="A81" s="293"/>
      <c r="B81" s="292"/>
      <c r="C81" s="292"/>
      <c r="D81" s="292"/>
      <c r="E81" s="292"/>
      <c r="F81" s="292"/>
      <c r="G81" s="253"/>
      <c r="H81" s="253"/>
      <c r="I81" s="253"/>
      <c r="J81" s="354"/>
      <c r="K81" s="355"/>
      <c r="L81" s="355"/>
      <c r="M81" s="355"/>
      <c r="N81" s="355"/>
      <c r="O81" s="355"/>
      <c r="P81" s="388"/>
      <c r="Q81" s="441"/>
      <c r="R81" s="422"/>
    </row>
    <row r="82" spans="1:18" s="189" customFormat="1" ht="12.05" customHeight="1">
      <c r="A82" s="293"/>
      <c r="B82" s="290">
        <v>4</v>
      </c>
      <c r="C82" s="290">
        <v>1</v>
      </c>
      <c r="D82" s="290">
        <v>4</v>
      </c>
      <c r="E82" s="290"/>
      <c r="F82" s="290"/>
      <c r="G82" s="291" t="s">
        <v>71</v>
      </c>
      <c r="H82" s="291"/>
      <c r="I82" s="291"/>
      <c r="J82" s="392">
        <f>J83+J88</f>
        <v>0</v>
      </c>
      <c r="K82" s="393">
        <f>K83+K88</f>
        <v>0</v>
      </c>
      <c r="L82" s="393">
        <f>L83+L88</f>
        <v>2563800</v>
      </c>
      <c r="M82" s="393">
        <f>M83+M88</f>
        <v>0</v>
      </c>
      <c r="N82" s="393">
        <f>N83+N88</f>
        <v>2563800</v>
      </c>
      <c r="O82" s="349">
        <f>N82-K82</f>
        <v>2563800</v>
      </c>
      <c r="P82" s="350"/>
      <c r="Q82" s="444"/>
      <c r="R82" s="422"/>
    </row>
    <row r="83" spans="1:18" s="189" customFormat="1" ht="12.05" customHeight="1">
      <c r="A83" s="289"/>
      <c r="B83" s="292">
        <v>4</v>
      </c>
      <c r="C83" s="292">
        <v>1</v>
      </c>
      <c r="D83" s="292">
        <v>4</v>
      </c>
      <c r="E83" s="292" t="s">
        <v>444</v>
      </c>
      <c r="F83" s="292"/>
      <c r="G83" s="253" t="s">
        <v>222</v>
      </c>
      <c r="H83" s="253"/>
      <c r="I83" s="253"/>
      <c r="J83" s="484">
        <f>+J86</f>
        <v>0</v>
      </c>
      <c r="K83" s="485">
        <f>+K86</f>
        <v>0</v>
      </c>
      <c r="L83" s="485">
        <f>SUM(L84:L86)</f>
        <v>380300</v>
      </c>
      <c r="M83" s="485">
        <f>SUM(M84:M86)</f>
        <v>0</v>
      </c>
      <c r="N83" s="485">
        <f>SUM(N84:N86)</f>
        <v>380300</v>
      </c>
      <c r="O83" s="412">
        <f>N83-K83</f>
        <v>380300</v>
      </c>
      <c r="P83" s="488">
        <v>0</v>
      </c>
      <c r="Q83" s="541"/>
      <c r="R83" s="422"/>
    </row>
    <row r="84" spans="1:18" s="189" customFormat="1" ht="12.05" customHeight="1">
      <c r="A84" s="289"/>
      <c r="B84" s="292">
        <v>4</v>
      </c>
      <c r="C84" s="292" t="s">
        <v>700</v>
      </c>
      <c r="D84" s="292">
        <v>4</v>
      </c>
      <c r="E84" s="292" t="s">
        <v>444</v>
      </c>
      <c r="F84" s="292" t="s">
        <v>440</v>
      </c>
      <c r="G84" s="253" t="s">
        <v>73</v>
      </c>
      <c r="H84" s="253"/>
      <c r="I84" s="253"/>
      <c r="J84" s="354">
        <v>0</v>
      </c>
      <c r="K84" s="355">
        <v>0</v>
      </c>
      <c r="L84" s="355">
        <v>0</v>
      </c>
      <c r="M84" s="355">
        <f>[55]Perdinas!$P$55</f>
        <v>0</v>
      </c>
      <c r="N84" s="355">
        <f t="shared" si="13"/>
        <v>0</v>
      </c>
      <c r="O84" s="355">
        <f>N84-K84</f>
        <v>0</v>
      </c>
      <c r="P84" s="388"/>
      <c r="Q84" s="442"/>
      <c r="R84" s="422"/>
    </row>
    <row r="85" spans="1:18" s="189" customFormat="1" ht="12.05" customHeight="1">
      <c r="A85" s="289"/>
      <c r="B85" s="292">
        <v>4</v>
      </c>
      <c r="C85" s="292">
        <v>1</v>
      </c>
      <c r="D85" s="292">
        <v>4</v>
      </c>
      <c r="E85" s="292" t="s">
        <v>444</v>
      </c>
      <c r="F85" s="292" t="s">
        <v>445</v>
      </c>
      <c r="G85" s="253" t="s">
        <v>74</v>
      </c>
      <c r="H85" s="253"/>
      <c r="I85" s="253"/>
      <c r="J85" s="354">
        <v>0</v>
      </c>
      <c r="K85" s="355">
        <v>0</v>
      </c>
      <c r="L85" s="360">
        <v>0</v>
      </c>
      <c r="M85" s="355">
        <f>[55]Perdinas!$P$56</f>
        <v>0</v>
      </c>
      <c r="N85" s="355">
        <f t="shared" si="13"/>
        <v>0</v>
      </c>
      <c r="O85" s="355">
        <f>N85-K85</f>
        <v>0</v>
      </c>
      <c r="P85" s="388"/>
      <c r="Q85" s="441"/>
      <c r="R85" s="422"/>
    </row>
    <row r="86" spans="1:18" s="189" customFormat="1" ht="12.05" customHeight="1">
      <c r="A86" s="289"/>
      <c r="B86" s="292">
        <v>4</v>
      </c>
      <c r="C86" s="292">
        <v>1</v>
      </c>
      <c r="D86" s="292">
        <v>4</v>
      </c>
      <c r="E86" s="292" t="s">
        <v>444</v>
      </c>
      <c r="F86" s="292" t="s">
        <v>441</v>
      </c>
      <c r="G86" s="253" t="s">
        <v>75</v>
      </c>
      <c r="H86" s="253"/>
      <c r="I86" s="253"/>
      <c r="J86" s="354">
        <v>0</v>
      </c>
      <c r="K86" s="355">
        <f>'[55]TARGET MURNI DAN PERUBAHAN'!$E$47</f>
        <v>0</v>
      </c>
      <c r="L86" s="360">
        <f>[56]PerDinas!$N$86</f>
        <v>380300</v>
      </c>
      <c r="M86" s="359">
        <f>[55]Perdinas!$P$57</f>
        <v>0</v>
      </c>
      <c r="N86" s="369">
        <f t="shared" si="13"/>
        <v>380300</v>
      </c>
      <c r="O86" s="355">
        <f>N86-K86</f>
        <v>380300</v>
      </c>
      <c r="P86" s="2769" t="s">
        <v>50</v>
      </c>
      <c r="Q86" s="441"/>
      <c r="R86" s="422"/>
    </row>
    <row r="87" spans="1:18" s="189" customFormat="1" ht="12.05" customHeight="1">
      <c r="A87" s="289"/>
      <c r="B87" s="292"/>
      <c r="C87" s="292"/>
      <c r="D87" s="292"/>
      <c r="E87" s="292"/>
      <c r="F87" s="292"/>
      <c r="G87" s="253"/>
      <c r="H87" s="253"/>
      <c r="I87" s="253"/>
      <c r="J87" s="354"/>
      <c r="K87" s="355"/>
      <c r="L87" s="360"/>
      <c r="M87" s="355"/>
      <c r="N87" s="355"/>
      <c r="O87" s="355"/>
      <c r="P87" s="388"/>
      <c r="Q87" s="441"/>
      <c r="R87" s="422"/>
    </row>
    <row r="88" spans="1:18" s="189" customFormat="1" ht="12.05" customHeight="1">
      <c r="A88" s="293"/>
      <c r="B88" s="292">
        <v>4</v>
      </c>
      <c r="C88" s="292">
        <v>1</v>
      </c>
      <c r="D88" s="292">
        <v>4</v>
      </c>
      <c r="E88" s="292" t="s">
        <v>948</v>
      </c>
      <c r="F88" s="292"/>
      <c r="G88" s="410" t="s">
        <v>321</v>
      </c>
      <c r="H88" s="410"/>
      <c r="I88" s="410"/>
      <c r="J88" s="489">
        <f t="shared" ref="J88:M89" si="14">+J89</f>
        <v>0</v>
      </c>
      <c r="K88" s="490">
        <f t="shared" si="14"/>
        <v>0</v>
      </c>
      <c r="L88" s="491">
        <f t="shared" si="14"/>
        <v>2183500</v>
      </c>
      <c r="M88" s="490">
        <f t="shared" si="14"/>
        <v>0</v>
      </c>
      <c r="N88" s="492">
        <f>+M88+L88</f>
        <v>2183500</v>
      </c>
      <c r="O88" s="492">
        <f>N88-K88</f>
        <v>2183500</v>
      </c>
      <c r="P88" s="493">
        <v>0</v>
      </c>
      <c r="Q88" s="547"/>
      <c r="R88" s="422"/>
    </row>
    <row r="89" spans="1:18" s="189" customFormat="1" ht="12.05" customHeight="1">
      <c r="A89" s="293"/>
      <c r="B89" s="292">
        <v>4</v>
      </c>
      <c r="C89" s="292">
        <v>1</v>
      </c>
      <c r="D89" s="292">
        <v>4</v>
      </c>
      <c r="E89" s="292" t="s">
        <v>948</v>
      </c>
      <c r="F89" s="292" t="s">
        <v>437</v>
      </c>
      <c r="G89" s="253" t="s">
        <v>85</v>
      </c>
      <c r="H89" s="253"/>
      <c r="I89" s="253"/>
      <c r="J89" s="494">
        <f t="shared" si="14"/>
        <v>0</v>
      </c>
      <c r="K89" s="495">
        <f t="shared" si="14"/>
        <v>0</v>
      </c>
      <c r="L89" s="496">
        <f t="shared" si="14"/>
        <v>2183500</v>
      </c>
      <c r="M89" s="496">
        <f>M90</f>
        <v>0</v>
      </c>
      <c r="N89" s="497">
        <f>M89+L89</f>
        <v>2183500</v>
      </c>
      <c r="O89" s="497">
        <f>N89-K89</f>
        <v>2183500</v>
      </c>
      <c r="P89" s="498">
        <v>0</v>
      </c>
      <c r="Q89" s="548"/>
      <c r="R89" s="422"/>
    </row>
    <row r="90" spans="1:18" s="189" customFormat="1" ht="12.05" customHeight="1">
      <c r="A90" s="465"/>
      <c r="B90" s="296"/>
      <c r="C90" s="296"/>
      <c r="D90" s="296"/>
      <c r="E90" s="296"/>
      <c r="F90" s="296"/>
      <c r="G90" s="297" t="s">
        <v>50</v>
      </c>
      <c r="H90" s="297"/>
      <c r="I90" s="297" t="s">
        <v>76</v>
      </c>
      <c r="J90" s="679"/>
      <c r="K90" s="691">
        <f>'[55]TARGET MURNI DAN PERUBAHAN'!$E$48</f>
        <v>0</v>
      </c>
      <c r="L90" s="691">
        <f>[56]PerDinas!$N$90</f>
        <v>2183500</v>
      </c>
      <c r="M90" s="691">
        <f>[55]Perdinas!$P$58</f>
        <v>0</v>
      </c>
      <c r="N90" s="817">
        <f>M90+L90</f>
        <v>2183500</v>
      </c>
      <c r="O90" s="352">
        <f>N90-K90</f>
        <v>2183500</v>
      </c>
      <c r="P90" s="353">
        <v>0</v>
      </c>
      <c r="Q90" s="449"/>
      <c r="R90" s="422"/>
    </row>
    <row r="91" spans="1:18" s="247" customFormat="1" ht="22.55" customHeight="1">
      <c r="A91" s="1211"/>
      <c r="B91" s="1190" t="s">
        <v>58</v>
      </c>
      <c r="C91" s="1190" t="s">
        <v>438</v>
      </c>
      <c r="D91" s="1190" t="s">
        <v>437</v>
      </c>
      <c r="E91" s="1190" t="s">
        <v>441</v>
      </c>
      <c r="F91" s="1190"/>
      <c r="G91" s="1192" t="s">
        <v>953</v>
      </c>
      <c r="H91" s="1192"/>
      <c r="I91" s="1192"/>
      <c r="J91" s="1200">
        <f>+J93</f>
        <v>0</v>
      </c>
      <c r="K91" s="1201">
        <f>+K93</f>
        <v>13500000000</v>
      </c>
      <c r="L91" s="1201">
        <f>+L93</f>
        <v>11755480300</v>
      </c>
      <c r="M91" s="1201">
        <f>+M93</f>
        <v>269838166</v>
      </c>
      <c r="N91" s="1201">
        <f>M91+L91</f>
        <v>12025318466</v>
      </c>
      <c r="O91" s="1201">
        <f>+N91-K91</f>
        <v>-1474681534</v>
      </c>
      <c r="P91" s="1202">
        <f>+N91/K91*100</f>
        <v>89.076433081481483</v>
      </c>
      <c r="Q91" s="1216"/>
      <c r="R91" s="1217">
        <f>N91-[55]Perdinas!$Q$60</f>
        <v>0</v>
      </c>
    </row>
    <row r="92" spans="1:18" s="189" customFormat="1" ht="12.05" customHeight="1">
      <c r="A92" s="471"/>
      <c r="B92" s="287"/>
      <c r="C92" s="287"/>
      <c r="D92" s="287"/>
      <c r="E92" s="287"/>
      <c r="F92" s="287"/>
      <c r="G92" s="288"/>
      <c r="H92" s="288"/>
      <c r="I92" s="288"/>
      <c r="J92" s="385"/>
      <c r="K92" s="386"/>
      <c r="L92" s="386"/>
      <c r="M92" s="386"/>
      <c r="N92" s="386"/>
      <c r="O92" s="386"/>
      <c r="P92" s="502"/>
      <c r="Q92" s="551"/>
      <c r="R92" s="422"/>
    </row>
    <row r="93" spans="1:18" s="189" customFormat="1" ht="12.05" customHeight="1">
      <c r="A93" s="293"/>
      <c r="B93" s="290">
        <v>4</v>
      </c>
      <c r="C93" s="290">
        <v>1</v>
      </c>
      <c r="D93" s="290"/>
      <c r="E93" s="290"/>
      <c r="F93" s="290"/>
      <c r="G93" s="291" t="s">
        <v>180</v>
      </c>
      <c r="H93" s="291"/>
      <c r="I93" s="291"/>
      <c r="J93" s="342">
        <f>J94+J98</f>
        <v>0</v>
      </c>
      <c r="K93" s="343">
        <f>K94+K98</f>
        <v>13500000000</v>
      </c>
      <c r="L93" s="343">
        <f>L94+L98</f>
        <v>11755480300</v>
      </c>
      <c r="M93" s="343">
        <f>M94+M98</f>
        <v>269838166</v>
      </c>
      <c r="N93" s="343">
        <f>+M93+L93</f>
        <v>12025318466</v>
      </c>
      <c r="O93" s="343">
        <f>N93-K93</f>
        <v>-1474681534</v>
      </c>
      <c r="P93" s="503">
        <f>N93/K93*100</f>
        <v>89.076433081481483</v>
      </c>
      <c r="Q93" s="551"/>
      <c r="R93" s="422"/>
    </row>
    <row r="94" spans="1:18" s="189" customFormat="1" ht="12.05" customHeight="1">
      <c r="A94" s="293"/>
      <c r="B94" s="290">
        <v>4</v>
      </c>
      <c r="C94" s="290">
        <v>1</v>
      </c>
      <c r="D94" s="290">
        <v>2</v>
      </c>
      <c r="E94" s="290"/>
      <c r="F94" s="290"/>
      <c r="G94" s="291" t="s">
        <v>106</v>
      </c>
      <c r="H94" s="291"/>
      <c r="I94" s="253"/>
      <c r="J94" s="392">
        <f>+J95</f>
        <v>0</v>
      </c>
      <c r="K94" s="393">
        <f>+K95</f>
        <v>13500000000</v>
      </c>
      <c r="L94" s="393">
        <f>+L95</f>
        <v>9879544900</v>
      </c>
      <c r="M94" s="393">
        <f>+M95</f>
        <v>224522166</v>
      </c>
      <c r="N94" s="349">
        <f>+M94+L94</f>
        <v>10104067066</v>
      </c>
      <c r="O94" s="349">
        <f>N94-K94</f>
        <v>-3395932934</v>
      </c>
      <c r="P94" s="504">
        <f>N94/K94*100</f>
        <v>74.844941229629626</v>
      </c>
      <c r="Q94" s="551"/>
      <c r="R94" s="422"/>
    </row>
    <row r="95" spans="1:18" s="189" customFormat="1" ht="12.05" customHeight="1">
      <c r="A95" s="293"/>
      <c r="B95" s="292">
        <v>4</v>
      </c>
      <c r="C95" s="292">
        <v>1</v>
      </c>
      <c r="D95" s="292">
        <v>2</v>
      </c>
      <c r="E95" s="292" t="s">
        <v>437</v>
      </c>
      <c r="F95" s="292"/>
      <c r="G95" s="253" t="s">
        <v>107</v>
      </c>
      <c r="H95" s="253"/>
      <c r="I95" s="253"/>
      <c r="J95" s="484">
        <f>+J96</f>
        <v>0</v>
      </c>
      <c r="K95" s="485">
        <f>+K96</f>
        <v>13500000000</v>
      </c>
      <c r="L95" s="486">
        <f>L96</f>
        <v>9879544900</v>
      </c>
      <c r="M95" s="485">
        <f>M96</f>
        <v>224522166</v>
      </c>
      <c r="N95" s="485">
        <f>N96</f>
        <v>10104067066</v>
      </c>
      <c r="O95" s="412">
        <f>N95-K95</f>
        <v>-3395932934</v>
      </c>
      <c r="P95" s="505">
        <f>N95/K95*100</f>
        <v>74.844941229629626</v>
      </c>
      <c r="Q95" s="551"/>
      <c r="R95" s="422"/>
    </row>
    <row r="96" spans="1:18" s="189" customFormat="1" ht="12.05" customHeight="1">
      <c r="A96" s="293"/>
      <c r="B96" s="292">
        <v>4</v>
      </c>
      <c r="C96" s="292">
        <v>1</v>
      </c>
      <c r="D96" s="292">
        <v>2</v>
      </c>
      <c r="E96" s="292" t="s">
        <v>438</v>
      </c>
      <c r="F96" s="292" t="s">
        <v>437</v>
      </c>
      <c r="G96" s="253" t="s">
        <v>84</v>
      </c>
      <c r="H96" s="253"/>
      <c r="I96" s="253"/>
      <c r="J96" s="354"/>
      <c r="K96" s="373">
        <f>'[55]TARGET MURNI DAN PERUBAHAN'!$E$52</f>
        <v>13500000000</v>
      </c>
      <c r="L96" s="360">
        <f>[56]PerDinas!$N$96</f>
        <v>9879544900</v>
      </c>
      <c r="M96" s="373">
        <f>[55]Perdinas!$P$62</f>
        <v>224522166</v>
      </c>
      <c r="N96" s="369">
        <f t="shared" ref="N96:N102" si="15">M96+L96</f>
        <v>10104067066</v>
      </c>
      <c r="O96" s="355">
        <f>N96-K96</f>
        <v>-3395932934</v>
      </c>
      <c r="P96" s="506">
        <f>N96/K96*100</f>
        <v>74.844941229629626</v>
      </c>
      <c r="Q96" s="551"/>
      <c r="R96" s="552"/>
    </row>
    <row r="97" spans="1:19" s="189" customFormat="1" ht="12.05" customHeight="1">
      <c r="A97" s="293"/>
      <c r="B97" s="292"/>
      <c r="C97" s="292"/>
      <c r="D97" s="292"/>
      <c r="E97" s="292"/>
      <c r="F97" s="292"/>
      <c r="G97" s="253"/>
      <c r="H97" s="253"/>
      <c r="I97" s="253"/>
      <c r="J97" s="354"/>
      <c r="K97" s="355"/>
      <c r="L97" s="355"/>
      <c r="M97" s="355"/>
      <c r="N97" s="355"/>
      <c r="O97" s="355"/>
      <c r="P97" s="506"/>
      <c r="Q97" s="551"/>
      <c r="R97" s="553"/>
      <c r="S97" s="540"/>
    </row>
    <row r="98" spans="1:19" s="189" customFormat="1" ht="12.05" customHeight="1">
      <c r="A98" s="293"/>
      <c r="B98" s="290">
        <v>4</v>
      </c>
      <c r="C98" s="290">
        <v>1</v>
      </c>
      <c r="D98" s="290">
        <v>4</v>
      </c>
      <c r="E98" s="290"/>
      <c r="F98" s="290"/>
      <c r="G98" s="291" t="s">
        <v>71</v>
      </c>
      <c r="H98" s="291"/>
      <c r="I98" s="291"/>
      <c r="J98" s="392">
        <f>J99+J104</f>
        <v>0</v>
      </c>
      <c r="K98" s="393">
        <f>K99+K100+K101+K102+K104</f>
        <v>0</v>
      </c>
      <c r="L98" s="393">
        <f>L99+L100+L101+L102+L104</f>
        <v>1875935400</v>
      </c>
      <c r="M98" s="393">
        <f>M99+M100+M101+M102+M104</f>
        <v>45316000</v>
      </c>
      <c r="N98" s="393">
        <f t="shared" si="15"/>
        <v>1921251400</v>
      </c>
      <c r="O98" s="349">
        <f>N98-K98</f>
        <v>1921251400</v>
      </c>
      <c r="P98" s="504" t="e">
        <f>N98/K98*100</f>
        <v>#DIV/0!</v>
      </c>
      <c r="Q98" s="551"/>
      <c r="R98" s="422"/>
    </row>
    <row r="99" spans="1:19" s="189" customFormat="1" ht="12.05" customHeight="1">
      <c r="A99" s="289"/>
      <c r="B99" s="292">
        <v>4</v>
      </c>
      <c r="C99" s="292">
        <v>1</v>
      </c>
      <c r="D99" s="292">
        <v>4</v>
      </c>
      <c r="E99" s="292" t="s">
        <v>441</v>
      </c>
      <c r="F99" s="292"/>
      <c r="G99" s="253" t="s">
        <v>324</v>
      </c>
      <c r="H99" s="253"/>
      <c r="I99" s="253"/>
      <c r="J99" s="484">
        <f>+J102</f>
        <v>0</v>
      </c>
      <c r="K99" s="507">
        <v>0</v>
      </c>
      <c r="L99" s="507">
        <f>[56]PerDinas!$N$99</f>
        <v>19410100</v>
      </c>
      <c r="M99" s="507">
        <f>[55]Perdinas!$P$65</f>
        <v>0</v>
      </c>
      <c r="N99" s="508">
        <f t="shared" si="15"/>
        <v>19410100</v>
      </c>
      <c r="O99" s="509">
        <f>N99-K99</f>
        <v>19410100</v>
      </c>
      <c r="P99" s="510">
        <v>0</v>
      </c>
      <c r="Q99" s="551"/>
      <c r="R99" s="422"/>
    </row>
    <row r="100" spans="1:19" s="189" customFormat="1" ht="12.05" customHeight="1">
      <c r="A100" s="289"/>
      <c r="B100" s="292">
        <v>4</v>
      </c>
      <c r="C100" s="292">
        <v>1</v>
      </c>
      <c r="D100" s="292">
        <v>4</v>
      </c>
      <c r="E100" s="292" t="s">
        <v>444</v>
      </c>
      <c r="F100" s="292" t="s">
        <v>440</v>
      </c>
      <c r="G100" s="253" t="s">
        <v>73</v>
      </c>
      <c r="H100" s="253"/>
      <c r="I100" s="253"/>
      <c r="J100" s="354">
        <v>0</v>
      </c>
      <c r="K100" s="355">
        <v>0</v>
      </c>
      <c r="L100" s="355">
        <v>0</v>
      </c>
      <c r="M100" s="355">
        <f>[55]Perdinas!$P$66</f>
        <v>0</v>
      </c>
      <c r="N100" s="355">
        <f t="shared" si="15"/>
        <v>0</v>
      </c>
      <c r="O100" s="355">
        <f>N100-K100</f>
        <v>0</v>
      </c>
      <c r="P100" s="511"/>
      <c r="Q100" s="551"/>
      <c r="R100" s="554"/>
    </row>
    <row r="101" spans="1:19" s="189" customFormat="1" ht="12.05" customHeight="1">
      <c r="A101" s="289"/>
      <c r="B101" s="292">
        <v>4</v>
      </c>
      <c r="C101" s="292">
        <v>1</v>
      </c>
      <c r="D101" s="292">
        <v>4</v>
      </c>
      <c r="E101" s="292" t="s">
        <v>444</v>
      </c>
      <c r="F101" s="292" t="s">
        <v>445</v>
      </c>
      <c r="G101" s="253" t="s">
        <v>74</v>
      </c>
      <c r="H101" s="253"/>
      <c r="I101" s="253"/>
      <c r="J101" s="354">
        <v>0</v>
      </c>
      <c r="K101" s="355">
        <v>0</v>
      </c>
      <c r="L101" s="355">
        <v>0</v>
      </c>
      <c r="M101" s="355">
        <f>[55]Perdinas!$P$67</f>
        <v>0</v>
      </c>
      <c r="N101" s="355">
        <f t="shared" si="15"/>
        <v>0</v>
      </c>
      <c r="O101" s="355">
        <f>N101-K101</f>
        <v>0</v>
      </c>
      <c r="P101" s="506"/>
      <c r="Q101" s="551"/>
      <c r="R101" s="555"/>
    </row>
    <row r="102" spans="1:19" s="189" customFormat="1" ht="12.05" customHeight="1">
      <c r="A102" s="289"/>
      <c r="B102" s="292">
        <v>4</v>
      </c>
      <c r="C102" s="292">
        <v>1</v>
      </c>
      <c r="D102" s="292">
        <v>4</v>
      </c>
      <c r="E102" s="292" t="s">
        <v>444</v>
      </c>
      <c r="F102" s="292" t="s">
        <v>441</v>
      </c>
      <c r="G102" s="253" t="s">
        <v>75</v>
      </c>
      <c r="H102" s="253"/>
      <c r="I102" s="253"/>
      <c r="J102" s="354">
        <v>0</v>
      </c>
      <c r="K102" s="355">
        <f>'[55]TARGET MURNI DAN PERUBAHAN'!$E$55</f>
        <v>0</v>
      </c>
      <c r="L102" s="355">
        <f>[56]PerDinas!$N$102</f>
        <v>5682000</v>
      </c>
      <c r="M102" s="355">
        <f>[55]Perdinas!$P$68</f>
        <v>45316000</v>
      </c>
      <c r="N102" s="369">
        <f t="shared" si="15"/>
        <v>50998000</v>
      </c>
      <c r="O102" s="355">
        <f>N102-K102</f>
        <v>50998000</v>
      </c>
      <c r="P102" s="388"/>
      <c r="Q102" s="556"/>
      <c r="R102" s="422"/>
    </row>
    <row r="103" spans="1:19" s="189" customFormat="1">
      <c r="A103" s="289"/>
      <c r="B103" s="292"/>
      <c r="C103" s="292"/>
      <c r="D103" s="292"/>
      <c r="E103" s="292"/>
      <c r="F103" s="292"/>
      <c r="G103" s="253"/>
      <c r="H103" s="253"/>
      <c r="I103" s="253"/>
      <c r="J103" s="354"/>
      <c r="K103" s="355"/>
      <c r="L103" s="355"/>
      <c r="M103" s="355"/>
      <c r="N103" s="355"/>
      <c r="O103" s="355"/>
      <c r="P103" s="388"/>
      <c r="Q103" s="557"/>
      <c r="R103" s="422"/>
    </row>
    <row r="104" spans="1:19" s="189" customFormat="1" ht="12.05" customHeight="1">
      <c r="A104" s="293"/>
      <c r="B104" s="292">
        <v>4</v>
      </c>
      <c r="C104" s="292">
        <v>1</v>
      </c>
      <c r="D104" s="292">
        <v>4</v>
      </c>
      <c r="E104" s="292" t="s">
        <v>948</v>
      </c>
      <c r="F104" s="292"/>
      <c r="G104" s="410" t="s">
        <v>321</v>
      </c>
      <c r="H104" s="410"/>
      <c r="I104" s="410"/>
      <c r="J104" s="489">
        <f t="shared" ref="J104:M105" si="16">+J105</f>
        <v>0</v>
      </c>
      <c r="K104" s="512">
        <f t="shared" si="16"/>
        <v>0</v>
      </c>
      <c r="L104" s="512">
        <f t="shared" si="16"/>
        <v>1850843300</v>
      </c>
      <c r="M104" s="512">
        <f t="shared" si="16"/>
        <v>0</v>
      </c>
      <c r="N104" s="412">
        <f>+M104+L104</f>
        <v>1850843300</v>
      </c>
      <c r="O104" s="412">
        <f>N104-K104</f>
        <v>1850843300</v>
      </c>
      <c r="P104" s="487">
        <v>0</v>
      </c>
      <c r="Q104" s="551"/>
      <c r="R104" s="422"/>
    </row>
    <row r="105" spans="1:19" s="189" customFormat="1" ht="12.05" customHeight="1">
      <c r="A105" s="293"/>
      <c r="B105" s="292">
        <v>4</v>
      </c>
      <c r="C105" s="292">
        <v>1</v>
      </c>
      <c r="D105" s="292">
        <v>4</v>
      </c>
      <c r="E105" s="292" t="s">
        <v>948</v>
      </c>
      <c r="F105" s="292" t="s">
        <v>437</v>
      </c>
      <c r="G105" s="253" t="s">
        <v>85</v>
      </c>
      <c r="H105" s="253"/>
      <c r="I105" s="253"/>
      <c r="J105" s="494">
        <f t="shared" si="16"/>
        <v>0</v>
      </c>
      <c r="K105" s="495">
        <f t="shared" si="16"/>
        <v>0</v>
      </c>
      <c r="L105" s="513">
        <f>SUM(L106:L107)</f>
        <v>1850843300</v>
      </c>
      <c r="M105" s="495">
        <f>SUM(M106:M107)</f>
        <v>0</v>
      </c>
      <c r="N105" s="495">
        <f>SUM(N106:N107)</f>
        <v>1850843300</v>
      </c>
      <c r="O105" s="495">
        <f>SUM(O106:O107)</f>
        <v>1850843300</v>
      </c>
      <c r="P105" s="514">
        <f>SUM(P106:P107)</f>
        <v>0</v>
      </c>
      <c r="Q105" s="551"/>
      <c r="R105" s="422"/>
    </row>
    <row r="106" spans="1:19" s="189" customFormat="1" ht="12.05" customHeight="1">
      <c r="A106" s="293"/>
      <c r="B106" s="292"/>
      <c r="C106" s="292"/>
      <c r="D106" s="292"/>
      <c r="E106" s="292"/>
      <c r="F106" s="292"/>
      <c r="G106" s="253" t="s">
        <v>50</v>
      </c>
      <c r="H106" s="253"/>
      <c r="I106" s="253" t="s">
        <v>954</v>
      </c>
      <c r="J106" s="374"/>
      <c r="K106" s="375">
        <f>'[55]TARGET MURNI DAN PERUBAHAN'!$E$56</f>
        <v>0</v>
      </c>
      <c r="L106" s="377">
        <f>[56]PerDinas!$N$106</f>
        <v>1850843300</v>
      </c>
      <c r="M106" s="375">
        <f>[55]Perdinas!$P$69</f>
        <v>0</v>
      </c>
      <c r="N106" s="355">
        <f>M106+L106</f>
        <v>1850843300</v>
      </c>
      <c r="O106" s="355">
        <f>N106-K106</f>
        <v>1850843300</v>
      </c>
      <c r="P106" s="388">
        <v>0</v>
      </c>
      <c r="Q106" s="551"/>
      <c r="R106" s="422"/>
    </row>
    <row r="107" spans="1:19" s="189" customFormat="1" ht="12.05" customHeight="1">
      <c r="A107" s="295"/>
      <c r="B107" s="296"/>
      <c r="C107" s="296"/>
      <c r="D107" s="296"/>
      <c r="E107" s="296"/>
      <c r="F107" s="296"/>
      <c r="G107" s="297"/>
      <c r="H107" s="297"/>
      <c r="I107" s="1213"/>
      <c r="J107" s="333"/>
      <c r="K107" s="1214"/>
      <c r="L107" s="692">
        <v>0</v>
      </c>
      <c r="M107" s="1214"/>
      <c r="N107" s="1214"/>
      <c r="O107" s="1214"/>
      <c r="P107" s="1215"/>
      <c r="Q107" s="1218"/>
      <c r="R107" s="422"/>
    </row>
    <row r="108" spans="1:19" s="247" customFormat="1" ht="20.2" customHeight="1">
      <c r="A108" s="1189"/>
      <c r="B108" s="1190" t="s">
        <v>58</v>
      </c>
      <c r="C108" s="1190" t="s">
        <v>438</v>
      </c>
      <c r="D108" s="1190" t="s">
        <v>437</v>
      </c>
      <c r="E108" s="1190" t="s">
        <v>440</v>
      </c>
      <c r="F108" s="1191"/>
      <c r="G108" s="1192" t="s">
        <v>955</v>
      </c>
      <c r="H108" s="1193"/>
      <c r="I108" s="1199"/>
      <c r="J108" s="1200">
        <f>+J110</f>
        <v>275000000</v>
      </c>
      <c r="K108" s="1201">
        <f>+K110</f>
        <v>250000000</v>
      </c>
      <c r="L108" s="1201">
        <f>+L110</f>
        <v>144557500</v>
      </c>
      <c r="M108" s="1201">
        <f>+M110</f>
        <v>51727500</v>
      </c>
      <c r="N108" s="1201">
        <f>+M108+L108</f>
        <v>196285000</v>
      </c>
      <c r="O108" s="1201">
        <f>N108-K108</f>
        <v>-53715000</v>
      </c>
      <c r="P108" s="1202">
        <f>N108/K108*100</f>
        <v>78.513999999999996</v>
      </c>
      <c r="Q108" s="1209"/>
      <c r="R108" s="458"/>
    </row>
    <row r="109" spans="1:19" s="189" customFormat="1" ht="12.05" customHeight="1">
      <c r="A109" s="286"/>
      <c r="B109" s="287"/>
      <c r="C109" s="287"/>
      <c r="D109" s="287"/>
      <c r="E109" s="287"/>
      <c r="F109" s="287"/>
      <c r="G109" s="288"/>
      <c r="H109" s="288"/>
      <c r="I109" s="410"/>
      <c r="J109" s="342"/>
      <c r="K109" s="343"/>
      <c r="L109" s="343"/>
      <c r="M109" s="343"/>
      <c r="N109" s="492"/>
      <c r="O109" s="492"/>
      <c r="P109" s="487"/>
      <c r="Q109" s="437"/>
      <c r="R109" s="422"/>
    </row>
    <row r="110" spans="1:19" s="189" customFormat="1" ht="12.05" customHeight="1">
      <c r="A110" s="294"/>
      <c r="B110" s="290">
        <v>4</v>
      </c>
      <c r="C110" s="290">
        <v>1</v>
      </c>
      <c r="D110" s="290"/>
      <c r="E110" s="290"/>
      <c r="F110" s="290"/>
      <c r="G110" s="291" t="s">
        <v>180</v>
      </c>
      <c r="H110" s="291"/>
      <c r="I110" s="291"/>
      <c r="J110" s="518">
        <f>+J112+J117</f>
        <v>275000000</v>
      </c>
      <c r="K110" s="519">
        <f>+K112+K117</f>
        <v>250000000</v>
      </c>
      <c r="L110" s="519">
        <f>+L112+L117</f>
        <v>144557500</v>
      </c>
      <c r="M110" s="519">
        <f>+M112+M117</f>
        <v>51727500</v>
      </c>
      <c r="N110" s="343">
        <f>+M110+L110</f>
        <v>196285000</v>
      </c>
      <c r="O110" s="343">
        <f>N110-K110</f>
        <v>-53715000</v>
      </c>
      <c r="P110" s="344">
        <f>N110/K110*100</f>
        <v>78.513999999999996</v>
      </c>
      <c r="Q110" s="559"/>
      <c r="R110" s="422"/>
    </row>
    <row r="111" spans="1:19" s="189" customFormat="1" ht="12.05" customHeight="1">
      <c r="A111" s="289"/>
      <c r="B111" s="292"/>
      <c r="C111" s="292"/>
      <c r="D111" s="292"/>
      <c r="E111" s="292"/>
      <c r="F111" s="292"/>
      <c r="G111" s="253"/>
      <c r="H111" s="253"/>
      <c r="I111" s="253"/>
      <c r="J111" s="387"/>
      <c r="K111" s="367"/>
      <c r="L111" s="367"/>
      <c r="M111" s="367"/>
      <c r="N111" s="367"/>
      <c r="O111" s="367"/>
      <c r="P111" s="347"/>
      <c r="Q111" s="454"/>
      <c r="R111" s="422"/>
    </row>
    <row r="112" spans="1:19" s="189" customFormat="1" ht="12.05" customHeight="1">
      <c r="A112" s="294"/>
      <c r="B112" s="290">
        <v>4</v>
      </c>
      <c r="C112" s="290">
        <v>1</v>
      </c>
      <c r="D112" s="290">
        <v>2</v>
      </c>
      <c r="E112" s="290"/>
      <c r="F112" s="290"/>
      <c r="G112" s="291" t="s">
        <v>106</v>
      </c>
      <c r="H112" s="291"/>
      <c r="I112" s="253"/>
      <c r="J112" s="348">
        <f>+J114</f>
        <v>273500000</v>
      </c>
      <c r="K112" s="349">
        <f>+K114</f>
        <v>250000000</v>
      </c>
      <c r="L112" s="349">
        <f>+L114</f>
        <v>143275000</v>
      </c>
      <c r="M112" s="349">
        <f>+M114</f>
        <v>51300000</v>
      </c>
      <c r="N112" s="349">
        <f>+M112+L112</f>
        <v>194575000</v>
      </c>
      <c r="O112" s="349">
        <f>N112-K112</f>
        <v>-55425000</v>
      </c>
      <c r="P112" s="350">
        <f>N112/K112*100</f>
        <v>77.83</v>
      </c>
      <c r="Q112" s="439"/>
      <c r="R112" s="422"/>
    </row>
    <row r="113" spans="1:19" s="189" customFormat="1" ht="12.05" customHeight="1">
      <c r="A113" s="289"/>
      <c r="B113" s="292"/>
      <c r="C113" s="292"/>
      <c r="D113" s="292"/>
      <c r="E113" s="292"/>
      <c r="F113" s="292"/>
      <c r="G113" s="253"/>
      <c r="H113" s="253"/>
      <c r="I113" s="253"/>
      <c r="J113" s="354"/>
      <c r="K113" s="355"/>
      <c r="L113" s="355"/>
      <c r="M113" s="355"/>
      <c r="N113" s="355"/>
      <c r="O113" s="355"/>
      <c r="P113" s="388"/>
      <c r="Q113" s="441"/>
      <c r="R113" s="422"/>
    </row>
    <row r="114" spans="1:19" s="189" customFormat="1" ht="12.05" customHeight="1">
      <c r="A114" s="294"/>
      <c r="B114" s="292">
        <v>4</v>
      </c>
      <c r="C114" s="292">
        <v>1</v>
      </c>
      <c r="D114" s="292">
        <v>2</v>
      </c>
      <c r="E114" s="292" t="s">
        <v>438</v>
      </c>
      <c r="F114" s="292"/>
      <c r="G114" s="253" t="s">
        <v>374</v>
      </c>
      <c r="H114" s="253"/>
      <c r="I114" s="253"/>
      <c r="J114" s="484">
        <f>+J115</f>
        <v>273500000</v>
      </c>
      <c r="K114" s="485">
        <f>+K115+K119</f>
        <v>250000000</v>
      </c>
      <c r="L114" s="485">
        <f>+L115+L119</f>
        <v>143275000</v>
      </c>
      <c r="M114" s="485">
        <f>+M115+M119</f>
        <v>51300000</v>
      </c>
      <c r="N114" s="412">
        <f>+M114+L114</f>
        <v>194575000</v>
      </c>
      <c r="O114" s="412">
        <f t="shared" ref="O114:O125" si="17">N114-K114</f>
        <v>-55425000</v>
      </c>
      <c r="P114" s="487">
        <f>N114/K114*100</f>
        <v>77.83</v>
      </c>
      <c r="Q114" s="461"/>
      <c r="R114" s="422"/>
    </row>
    <row r="115" spans="1:19" s="189" customFormat="1" ht="12.05" customHeight="1">
      <c r="A115" s="294"/>
      <c r="B115" s="292">
        <v>4</v>
      </c>
      <c r="C115" s="292">
        <v>1</v>
      </c>
      <c r="D115" s="292">
        <v>2</v>
      </c>
      <c r="E115" s="292" t="s">
        <v>438</v>
      </c>
      <c r="F115" s="292" t="s">
        <v>440</v>
      </c>
      <c r="G115" s="253" t="s">
        <v>304</v>
      </c>
      <c r="H115" s="253"/>
      <c r="I115" s="253"/>
      <c r="J115" s="333">
        <v>273500000</v>
      </c>
      <c r="K115" s="521">
        <f>'[55]TARGET MURNI DAN PERUBAHAN'!$E$61</f>
        <v>175000000</v>
      </c>
      <c r="L115" s="522">
        <f>[56]PerDinas!$N$115</f>
        <v>112475000</v>
      </c>
      <c r="M115" s="521">
        <f>[55]Perdinas!$P$73</f>
        <v>36300000</v>
      </c>
      <c r="N115" s="523">
        <f t="shared" ref="N115:N122" si="18">M115+L115</f>
        <v>148775000</v>
      </c>
      <c r="O115" s="497">
        <f t="shared" si="17"/>
        <v>-26225000</v>
      </c>
      <c r="P115" s="498">
        <f>N115/K115*100</f>
        <v>85.014285714285705</v>
      </c>
      <c r="Q115" s="430"/>
      <c r="R115" s="545"/>
    </row>
    <row r="116" spans="1:19" s="189" customFormat="1" ht="12.05" customHeight="1">
      <c r="A116" s="289"/>
      <c r="B116" s="292"/>
      <c r="C116" s="292"/>
      <c r="D116" s="292"/>
      <c r="E116" s="292"/>
      <c r="F116" s="292"/>
      <c r="G116" s="253"/>
      <c r="H116" s="253"/>
      <c r="I116" s="253"/>
      <c r="J116" s="354"/>
      <c r="K116" s="355"/>
      <c r="L116" s="391"/>
      <c r="M116" s="524"/>
      <c r="N116" s="334">
        <f t="shared" si="18"/>
        <v>0</v>
      </c>
      <c r="O116" s="334">
        <f t="shared" si="17"/>
        <v>0</v>
      </c>
      <c r="P116" s="335"/>
      <c r="Q116" s="441"/>
      <c r="R116" s="422"/>
    </row>
    <row r="117" spans="1:19" s="189" customFormat="1" ht="12.05" customHeight="1">
      <c r="A117" s="294"/>
      <c r="B117" s="290">
        <v>4</v>
      </c>
      <c r="C117" s="290">
        <v>1</v>
      </c>
      <c r="D117" s="290">
        <v>4</v>
      </c>
      <c r="E117" s="290"/>
      <c r="F117" s="290"/>
      <c r="G117" s="291" t="s">
        <v>71</v>
      </c>
      <c r="H117" s="291"/>
      <c r="I117" s="291"/>
      <c r="J117" s="392">
        <f>J118+J123</f>
        <v>1500000</v>
      </c>
      <c r="K117" s="393">
        <f>K118+K123</f>
        <v>0</v>
      </c>
      <c r="L117" s="394">
        <f>+L123+L118</f>
        <v>1282500</v>
      </c>
      <c r="M117" s="525">
        <f>+M123+M118</f>
        <v>427500</v>
      </c>
      <c r="N117" s="349">
        <f>+M117+L117</f>
        <v>1710000</v>
      </c>
      <c r="O117" s="349">
        <f t="shared" si="17"/>
        <v>1710000</v>
      </c>
      <c r="P117" s="350">
        <v>0</v>
      </c>
      <c r="Q117" s="444"/>
      <c r="R117" s="422"/>
    </row>
    <row r="118" spans="1:19" s="189" customFormat="1" ht="12.05" customHeight="1">
      <c r="A118" s="289"/>
      <c r="B118" s="292">
        <v>4</v>
      </c>
      <c r="C118" s="292">
        <v>1</v>
      </c>
      <c r="D118" s="292">
        <v>4</v>
      </c>
      <c r="E118" s="292" t="s">
        <v>444</v>
      </c>
      <c r="F118" s="292"/>
      <c r="G118" s="253" t="s">
        <v>222</v>
      </c>
      <c r="H118" s="253"/>
      <c r="I118" s="253"/>
      <c r="J118" s="526">
        <f>+J121</f>
        <v>0</v>
      </c>
      <c r="K118" s="527">
        <f>+K121</f>
        <v>0</v>
      </c>
      <c r="L118" s="527">
        <f>+L121</f>
        <v>1282500</v>
      </c>
      <c r="M118" s="527">
        <f>+M121</f>
        <v>427500</v>
      </c>
      <c r="N118" s="527">
        <f t="shared" si="18"/>
        <v>1710000</v>
      </c>
      <c r="O118" s="529">
        <f t="shared" si="17"/>
        <v>1710000</v>
      </c>
      <c r="P118" s="478">
        <v>0</v>
      </c>
      <c r="Q118" s="541"/>
      <c r="R118" s="422"/>
    </row>
    <row r="119" spans="1:19" s="189" customFormat="1" ht="12.05" customHeight="1">
      <c r="A119" s="289"/>
      <c r="B119" s="292">
        <v>4</v>
      </c>
      <c r="C119" s="292">
        <v>1</v>
      </c>
      <c r="D119" s="292" t="s">
        <v>460</v>
      </c>
      <c r="E119" s="292" t="s">
        <v>438</v>
      </c>
      <c r="F119" s="292" t="s">
        <v>438</v>
      </c>
      <c r="G119" s="253" t="s">
        <v>517</v>
      </c>
      <c r="H119" s="253"/>
      <c r="I119" s="253"/>
      <c r="J119" s="354">
        <v>0</v>
      </c>
      <c r="K119" s="355">
        <f>'[55]TARGET MURNI DAN PERUBAHAN'!$E$60</f>
        <v>75000000</v>
      </c>
      <c r="L119" s="360">
        <f>'JAN1'!L119</f>
        <v>30800000</v>
      </c>
      <c r="M119" s="360">
        <f>'JAN1'!M119</f>
        <v>15000000</v>
      </c>
      <c r="N119" s="369">
        <f t="shared" si="18"/>
        <v>45800000</v>
      </c>
      <c r="O119" s="355">
        <f t="shared" si="17"/>
        <v>-29200000</v>
      </c>
      <c r="P119" s="531">
        <v>0</v>
      </c>
      <c r="Q119" s="441"/>
      <c r="R119" s="422"/>
      <c r="S119" s="786">
        <v>44000000</v>
      </c>
    </row>
    <row r="120" spans="1:19" s="189" customFormat="1" ht="12.05" customHeight="1">
      <c r="A120" s="289"/>
      <c r="B120" s="292">
        <v>4</v>
      </c>
      <c r="C120" s="292">
        <v>1</v>
      </c>
      <c r="D120" s="292">
        <v>4</v>
      </c>
      <c r="E120" s="292" t="s">
        <v>444</v>
      </c>
      <c r="F120" s="292" t="s">
        <v>445</v>
      </c>
      <c r="G120" s="253" t="s">
        <v>74</v>
      </c>
      <c r="H120" s="253"/>
      <c r="I120" s="253"/>
      <c r="J120" s="354">
        <v>0</v>
      </c>
      <c r="K120" s="355">
        <v>0</v>
      </c>
      <c r="L120" s="360">
        <v>0</v>
      </c>
      <c r="M120" s="530">
        <f>[55]Perdinas!$P$78</f>
        <v>0</v>
      </c>
      <c r="N120" s="355">
        <f t="shared" si="18"/>
        <v>0</v>
      </c>
      <c r="O120" s="355">
        <f t="shared" si="17"/>
        <v>0</v>
      </c>
      <c r="P120" s="358"/>
      <c r="Q120" s="441"/>
      <c r="R120" s="422"/>
      <c r="S120" s="786">
        <v>13800000</v>
      </c>
    </row>
    <row r="121" spans="1:19" s="189" customFormat="1" ht="12.05" customHeight="1">
      <c r="A121" s="289"/>
      <c r="B121" s="292">
        <v>4</v>
      </c>
      <c r="C121" s="292">
        <v>1</v>
      </c>
      <c r="D121" s="292">
        <v>4</v>
      </c>
      <c r="E121" s="292" t="s">
        <v>444</v>
      </c>
      <c r="F121" s="292" t="s">
        <v>441</v>
      </c>
      <c r="G121" s="253" t="s">
        <v>75</v>
      </c>
      <c r="H121" s="253"/>
      <c r="I121" s="253"/>
      <c r="J121" s="354">
        <v>0</v>
      </c>
      <c r="K121" s="360">
        <f>'[55]TARGET MURNI DAN PERUBAHAN'!$E$63</f>
        <v>0</v>
      </c>
      <c r="L121" s="360">
        <f>[56]PerDinas!$N$121</f>
        <v>1282500</v>
      </c>
      <c r="M121" s="530">
        <f>[55]Perdinas!$P$79</f>
        <v>427500</v>
      </c>
      <c r="N121" s="355">
        <f t="shared" si="18"/>
        <v>1710000</v>
      </c>
      <c r="O121" s="355">
        <f t="shared" si="17"/>
        <v>1710000</v>
      </c>
      <c r="P121" s="388"/>
      <c r="Q121" s="441"/>
      <c r="R121" s="422"/>
      <c r="S121" s="786"/>
    </row>
    <row r="122" spans="1:19" s="189" customFormat="1" ht="12.05" customHeight="1">
      <c r="A122" s="294"/>
      <c r="B122" s="290"/>
      <c r="C122" s="290"/>
      <c r="D122" s="290"/>
      <c r="E122" s="290"/>
      <c r="F122" s="290"/>
      <c r="G122" s="467"/>
      <c r="H122" s="467"/>
      <c r="I122" s="467"/>
      <c r="J122" s="354">
        <v>0</v>
      </c>
      <c r="K122" s="352">
        <v>0</v>
      </c>
      <c r="L122" s="362"/>
      <c r="M122" s="532">
        <v>0</v>
      </c>
      <c r="N122" s="355">
        <f t="shared" si="18"/>
        <v>0</v>
      </c>
      <c r="O122" s="355">
        <f t="shared" si="17"/>
        <v>0</v>
      </c>
      <c r="P122" s="388"/>
      <c r="Q122" s="445"/>
      <c r="R122" s="422"/>
      <c r="S122" s="643">
        <f>S120+S119</f>
        <v>57800000</v>
      </c>
    </row>
    <row r="123" spans="1:19" s="189" customFormat="1" ht="12.05" customHeight="1">
      <c r="A123" s="294"/>
      <c r="B123" s="292">
        <v>4</v>
      </c>
      <c r="C123" s="292">
        <v>1</v>
      </c>
      <c r="D123" s="292">
        <v>4</v>
      </c>
      <c r="E123" s="292" t="s">
        <v>948</v>
      </c>
      <c r="F123" s="292"/>
      <c r="G123" s="297" t="s">
        <v>321</v>
      </c>
      <c r="H123" s="297"/>
      <c r="I123" s="297"/>
      <c r="J123" s="333">
        <f>+J124</f>
        <v>1500000</v>
      </c>
      <c r="K123" s="507">
        <f>+K124</f>
        <v>0</v>
      </c>
      <c r="L123" s="507">
        <f>+L124</f>
        <v>0</v>
      </c>
      <c r="M123" s="533">
        <f>+M124</f>
        <v>0</v>
      </c>
      <c r="N123" s="534">
        <f>+M123+L123</f>
        <v>0</v>
      </c>
      <c r="O123" s="534">
        <f t="shared" si="17"/>
        <v>0</v>
      </c>
      <c r="P123" s="535">
        <v>0</v>
      </c>
      <c r="Q123" s="430"/>
      <c r="R123" s="422"/>
      <c r="S123" s="643">
        <f>S122-N115</f>
        <v>-90975000</v>
      </c>
    </row>
    <row r="124" spans="1:19" s="189" customFormat="1" ht="12.05" customHeight="1">
      <c r="A124" s="563"/>
      <c r="B124" s="296">
        <v>4</v>
      </c>
      <c r="C124" s="296">
        <v>1</v>
      </c>
      <c r="D124" s="296">
        <v>4</v>
      </c>
      <c r="E124" s="296" t="s">
        <v>948</v>
      </c>
      <c r="F124" s="296" t="s">
        <v>437</v>
      </c>
      <c r="G124" s="297" t="s">
        <v>50</v>
      </c>
      <c r="H124" s="297"/>
      <c r="I124" s="297" t="s">
        <v>85</v>
      </c>
      <c r="J124" s="351">
        <v>1500000</v>
      </c>
      <c r="K124" s="532">
        <f>'[55]TARGET MURNI DAN PERUBAHAN'!$E$64</f>
        <v>0</v>
      </c>
      <c r="L124" s="362">
        <v>0</v>
      </c>
      <c r="M124" s="532">
        <v>0</v>
      </c>
      <c r="N124" s="352">
        <f>M124+L124</f>
        <v>0</v>
      </c>
      <c r="O124" s="352">
        <f t="shared" si="17"/>
        <v>0</v>
      </c>
      <c r="P124" s="353">
        <v>0</v>
      </c>
      <c r="Q124" s="440"/>
      <c r="R124" s="422"/>
    </row>
    <row r="125" spans="1:19" s="248" customFormat="1" ht="20.2" customHeight="1">
      <c r="A125" s="1212"/>
      <c r="B125" s="1190" t="s">
        <v>58</v>
      </c>
      <c r="C125" s="1190" t="s">
        <v>438</v>
      </c>
      <c r="D125" s="1190" t="s">
        <v>437</v>
      </c>
      <c r="E125" s="1190" t="s">
        <v>445</v>
      </c>
      <c r="F125" s="1190"/>
      <c r="G125" s="1192" t="s">
        <v>722</v>
      </c>
      <c r="H125" s="1192"/>
      <c r="I125" s="1192"/>
      <c r="J125" s="1200" t="e">
        <f>+J127</f>
        <v>#REF!</v>
      </c>
      <c r="K125" s="1201">
        <f>+K127</f>
        <v>2197286650</v>
      </c>
      <c r="L125" s="1201">
        <f>L127</f>
        <v>1797517732</v>
      </c>
      <c r="M125" s="1201">
        <f>+M127</f>
        <v>5775000</v>
      </c>
      <c r="N125" s="1201">
        <f>+M125+L125</f>
        <v>1803292732</v>
      </c>
      <c r="O125" s="1201">
        <f t="shared" si="17"/>
        <v>-393993918</v>
      </c>
      <c r="P125" s="1202">
        <f>N129/K129*100</f>
        <v>80.599212305777229</v>
      </c>
      <c r="Q125" s="1209"/>
      <c r="R125" s="561"/>
    </row>
    <row r="126" spans="1:19" s="189" customFormat="1" ht="12.05" customHeight="1">
      <c r="A126" s="286"/>
      <c r="B126" s="287"/>
      <c r="C126" s="287"/>
      <c r="D126" s="287"/>
      <c r="E126" s="287"/>
      <c r="F126" s="287"/>
      <c r="G126" s="288"/>
      <c r="H126" s="288"/>
      <c r="I126" s="410"/>
      <c r="J126" s="342"/>
      <c r="K126" s="343"/>
      <c r="L126" s="343"/>
      <c r="M126" s="343"/>
      <c r="N126" s="492"/>
      <c r="O126" s="492"/>
      <c r="P126" s="487">
        <v>0</v>
      </c>
      <c r="Q126" s="437"/>
      <c r="R126" s="422"/>
    </row>
    <row r="127" spans="1:19" s="189" customFormat="1" ht="12.05" customHeight="1">
      <c r="A127" s="294"/>
      <c r="B127" s="290">
        <v>4</v>
      </c>
      <c r="C127" s="290">
        <v>1</v>
      </c>
      <c r="D127" s="290"/>
      <c r="E127" s="290"/>
      <c r="F127" s="290"/>
      <c r="G127" s="291" t="s">
        <v>180</v>
      </c>
      <c r="H127" s="291"/>
      <c r="I127" s="291"/>
      <c r="J127" s="518" t="e">
        <f>+J129+#REF!</f>
        <v>#REF!</v>
      </c>
      <c r="K127" s="519">
        <f>+K129</f>
        <v>2197286650</v>
      </c>
      <c r="L127" s="519">
        <f>+L129</f>
        <v>1797517732</v>
      </c>
      <c r="M127" s="519">
        <f>+M129</f>
        <v>5775000</v>
      </c>
      <c r="N127" s="519">
        <f>M127+L127</f>
        <v>1803292732</v>
      </c>
      <c r="O127" s="343">
        <f>N127-K127</f>
        <v>-393993918</v>
      </c>
      <c r="P127" s="344">
        <f>N129/K129*100</f>
        <v>80.599212305777229</v>
      </c>
      <c r="Q127" s="559"/>
      <c r="R127" s="422"/>
    </row>
    <row r="128" spans="1:19" s="189" customFormat="1" ht="12.05" customHeight="1">
      <c r="A128" s="289"/>
      <c r="B128" s="292"/>
      <c r="C128" s="292"/>
      <c r="D128" s="292"/>
      <c r="E128" s="292"/>
      <c r="F128" s="292"/>
      <c r="G128" s="253"/>
      <c r="H128" s="253"/>
      <c r="I128" s="253"/>
      <c r="J128" s="387"/>
      <c r="K128" s="367"/>
      <c r="L128" s="367"/>
      <c r="M128" s="367"/>
      <c r="N128" s="367"/>
      <c r="O128" s="367"/>
      <c r="P128" s="347"/>
      <c r="Q128" s="454"/>
      <c r="R128" s="422"/>
    </row>
    <row r="129" spans="1:19" s="190" customFormat="1" ht="12.05" customHeight="1">
      <c r="A129" s="303"/>
      <c r="B129" s="290">
        <v>4</v>
      </c>
      <c r="C129" s="290">
        <v>1</v>
      </c>
      <c r="D129" s="290" t="s">
        <v>443</v>
      </c>
      <c r="E129" s="290"/>
      <c r="F129" s="290"/>
      <c r="G129" s="291" t="s">
        <v>71</v>
      </c>
      <c r="H129" s="291"/>
      <c r="I129" s="291"/>
      <c r="J129" s="348">
        <f>+J130</f>
        <v>0</v>
      </c>
      <c r="K129" s="349">
        <f>K130+K132+K137</f>
        <v>2197286650</v>
      </c>
      <c r="L129" s="349">
        <f>L130+L132+L137</f>
        <v>1797517732</v>
      </c>
      <c r="M129" s="349">
        <f>M130+M132+M137</f>
        <v>5775000</v>
      </c>
      <c r="N129" s="349">
        <f>+N130</f>
        <v>1770995732</v>
      </c>
      <c r="O129" s="349">
        <f>N129-K129</f>
        <v>-426290918</v>
      </c>
      <c r="P129" s="584">
        <f>N129/K129*100</f>
        <v>80.599212305777229</v>
      </c>
      <c r="Q129" s="439"/>
      <c r="R129" s="446"/>
    </row>
    <row r="130" spans="1:19" s="189" customFormat="1" ht="12.05" customHeight="1">
      <c r="A130" s="294"/>
      <c r="B130" s="292">
        <v>4</v>
      </c>
      <c r="C130" s="292">
        <v>1</v>
      </c>
      <c r="D130" s="292" t="s">
        <v>443</v>
      </c>
      <c r="E130" s="292" t="s">
        <v>449</v>
      </c>
      <c r="F130" s="292" t="s">
        <v>437</v>
      </c>
      <c r="G130" s="253" t="s">
        <v>956</v>
      </c>
      <c r="H130" s="253"/>
      <c r="I130" s="253"/>
      <c r="J130" s="411">
        <f>+J131</f>
        <v>0</v>
      </c>
      <c r="K130" s="1221">
        <f>'[55]TARGET MURNI DAN PERUBAHAN'!$E$68</f>
        <v>2197286650</v>
      </c>
      <c r="L130" s="509">
        <f>[56]PerDinas!$N$130</f>
        <v>1770995732</v>
      </c>
      <c r="M130" s="509">
        <f>[55]Perdinas!$P$84</f>
        <v>0</v>
      </c>
      <c r="N130" s="509">
        <f>+M130+L130</f>
        <v>1770995732</v>
      </c>
      <c r="O130" s="509">
        <f>N130-K130</f>
        <v>-426290918</v>
      </c>
      <c r="P130" s="585">
        <v>0</v>
      </c>
      <c r="Q130" s="632"/>
      <c r="R130" s="554"/>
      <c r="S130" s="542"/>
    </row>
    <row r="131" spans="1:19" s="189" customFormat="1" ht="12.05" customHeight="1">
      <c r="A131" s="294"/>
      <c r="B131" s="292"/>
      <c r="C131" s="292"/>
      <c r="D131" s="292"/>
      <c r="E131" s="292"/>
      <c r="F131" s="292"/>
      <c r="G131" s="253"/>
      <c r="H131" s="253"/>
      <c r="I131" s="253"/>
      <c r="J131" s="333"/>
      <c r="K131" s="355"/>
      <c r="L131" s="355"/>
      <c r="M131" s="355"/>
      <c r="N131" s="355"/>
      <c r="O131" s="355"/>
      <c r="P131" s="388"/>
      <c r="Q131" s="441"/>
      <c r="R131" s="422"/>
    </row>
    <row r="132" spans="1:19" s="189" customFormat="1" ht="12.05" customHeight="1">
      <c r="A132" s="289"/>
      <c r="B132" s="292">
        <v>4</v>
      </c>
      <c r="C132" s="292">
        <v>1</v>
      </c>
      <c r="D132" s="292">
        <v>4</v>
      </c>
      <c r="E132" s="292" t="s">
        <v>444</v>
      </c>
      <c r="F132" s="292"/>
      <c r="G132" s="253" t="s">
        <v>222</v>
      </c>
      <c r="H132" s="253"/>
      <c r="I132" s="253"/>
      <c r="J132" s="526">
        <f>+J135</f>
        <v>0</v>
      </c>
      <c r="K132" s="355">
        <f>+K135</f>
        <v>0</v>
      </c>
      <c r="L132" s="355">
        <f>+L135</f>
        <v>26522000</v>
      </c>
      <c r="M132" s="355">
        <f>SUM(M133:M135)</f>
        <v>5775000</v>
      </c>
      <c r="N132" s="355">
        <f>SUM(N133:N135)</f>
        <v>32297000</v>
      </c>
      <c r="O132" s="346">
        <f>N132-K132</f>
        <v>32297000</v>
      </c>
      <c r="P132" s="347">
        <v>0</v>
      </c>
      <c r="Q132" s="441"/>
      <c r="R132" s="422"/>
    </row>
    <row r="133" spans="1:19" s="189" customFormat="1" ht="12.05" customHeight="1">
      <c r="A133" s="289"/>
      <c r="B133" s="292">
        <v>4</v>
      </c>
      <c r="C133" s="292">
        <v>1</v>
      </c>
      <c r="D133" s="292">
        <v>4</v>
      </c>
      <c r="E133" s="292" t="s">
        <v>444</v>
      </c>
      <c r="F133" s="292" t="s">
        <v>440</v>
      </c>
      <c r="G133" s="253" t="s">
        <v>73</v>
      </c>
      <c r="H133" s="253"/>
      <c r="I133" s="253"/>
      <c r="J133" s="354">
        <v>0</v>
      </c>
      <c r="K133" s="355">
        <v>0</v>
      </c>
      <c r="L133" s="355"/>
      <c r="M133" s="355">
        <f>[55]Perdinas!$P$86</f>
        <v>0</v>
      </c>
      <c r="N133" s="355">
        <f>M133+L133</f>
        <v>0</v>
      </c>
      <c r="O133" s="355">
        <f>N133-K133</f>
        <v>0</v>
      </c>
      <c r="P133" s="388"/>
      <c r="Q133" s="441"/>
      <c r="R133" s="422"/>
    </row>
    <row r="134" spans="1:19" s="189" customFormat="1" ht="12.05" customHeight="1">
      <c r="A134" s="289"/>
      <c r="B134" s="292">
        <v>4</v>
      </c>
      <c r="C134" s="292">
        <v>1</v>
      </c>
      <c r="D134" s="292">
        <v>4</v>
      </c>
      <c r="E134" s="292" t="s">
        <v>444</v>
      </c>
      <c r="F134" s="292" t="s">
        <v>445</v>
      </c>
      <c r="G134" s="253" t="s">
        <v>74</v>
      </c>
      <c r="H134" s="253"/>
      <c r="I134" s="253"/>
      <c r="J134" s="354">
        <v>0</v>
      </c>
      <c r="K134" s="355">
        <v>0</v>
      </c>
      <c r="L134" s="355"/>
      <c r="M134" s="355">
        <f>[55]Perdinas!$P$87</f>
        <v>0</v>
      </c>
      <c r="N134" s="355">
        <f>M134+L134</f>
        <v>0</v>
      </c>
      <c r="O134" s="355">
        <f>N134-K134</f>
        <v>0</v>
      </c>
      <c r="P134" s="388"/>
      <c r="Q134" s="441"/>
      <c r="R134" s="422"/>
    </row>
    <row r="135" spans="1:19" s="189" customFormat="1" ht="12.05" customHeight="1">
      <c r="A135" s="289"/>
      <c r="B135" s="292">
        <v>4</v>
      </c>
      <c r="C135" s="292">
        <v>1</v>
      </c>
      <c r="D135" s="292">
        <v>4</v>
      </c>
      <c r="E135" s="292" t="s">
        <v>444</v>
      </c>
      <c r="F135" s="292" t="s">
        <v>441</v>
      </c>
      <c r="G135" s="253" t="s">
        <v>75</v>
      </c>
      <c r="H135" s="253"/>
      <c r="I135" s="253"/>
      <c r="J135" s="354">
        <v>0</v>
      </c>
      <c r="K135" s="355">
        <v>0</v>
      </c>
      <c r="L135" s="355">
        <f>[56]PerDinas!$N$135</f>
        <v>26522000</v>
      </c>
      <c r="M135" s="373">
        <f>[55]Perdinas!$P$88</f>
        <v>5775000</v>
      </c>
      <c r="N135" s="369">
        <f>M135+L135</f>
        <v>32297000</v>
      </c>
      <c r="O135" s="355">
        <f>N135-K135</f>
        <v>32297000</v>
      </c>
      <c r="P135" s="388"/>
      <c r="Q135" s="633"/>
      <c r="R135" s="422"/>
    </row>
    <row r="136" spans="1:19" s="189" customFormat="1" ht="12.05" customHeight="1">
      <c r="A136" s="289"/>
      <c r="B136" s="292"/>
      <c r="C136" s="292"/>
      <c r="D136" s="292"/>
      <c r="E136" s="292"/>
      <c r="F136" s="292"/>
      <c r="G136" s="297"/>
      <c r="H136" s="297"/>
      <c r="I136" s="297"/>
      <c r="J136" s="333"/>
      <c r="K136" s="355"/>
      <c r="L136" s="355"/>
      <c r="M136" s="355"/>
      <c r="N136" s="355"/>
      <c r="O136" s="355"/>
      <c r="P136" s="388"/>
      <c r="Q136" s="441"/>
      <c r="R136" s="422"/>
    </row>
    <row r="137" spans="1:19" s="189" customFormat="1" ht="12.05" customHeight="1">
      <c r="A137" s="294"/>
      <c r="B137" s="292">
        <v>4</v>
      </c>
      <c r="C137" s="292">
        <v>1</v>
      </c>
      <c r="D137" s="292">
        <v>4</v>
      </c>
      <c r="E137" s="292" t="s">
        <v>948</v>
      </c>
      <c r="F137" s="292"/>
      <c r="G137" s="297" t="s">
        <v>321</v>
      </c>
      <c r="H137" s="297"/>
      <c r="I137" s="297"/>
      <c r="J137" s="333">
        <f>+J138</f>
        <v>0</v>
      </c>
      <c r="K137" s="355">
        <f>+K138</f>
        <v>0</v>
      </c>
      <c r="L137" s="355">
        <f>L138</f>
        <v>0</v>
      </c>
      <c r="M137" s="355">
        <f>M138</f>
        <v>0</v>
      </c>
      <c r="N137" s="355">
        <f>N138</f>
        <v>0</v>
      </c>
      <c r="O137" s="346">
        <f>N137-K137</f>
        <v>0</v>
      </c>
      <c r="P137" s="347">
        <v>0</v>
      </c>
      <c r="Q137" s="441"/>
      <c r="R137" s="422"/>
    </row>
    <row r="138" spans="1:19" s="189" customFormat="1" ht="12.05" customHeight="1">
      <c r="A138" s="563"/>
      <c r="B138" s="296">
        <v>4</v>
      </c>
      <c r="C138" s="296">
        <v>1</v>
      </c>
      <c r="D138" s="296">
        <v>4</v>
      </c>
      <c r="E138" s="296" t="s">
        <v>948</v>
      </c>
      <c r="F138" s="296" t="s">
        <v>437</v>
      </c>
      <c r="G138" s="297" t="s">
        <v>50</v>
      </c>
      <c r="H138" s="297"/>
      <c r="I138" s="297" t="s">
        <v>76</v>
      </c>
      <c r="J138" s="351"/>
      <c r="K138" s="352"/>
      <c r="L138" s="352">
        <v>0</v>
      </c>
      <c r="M138" s="352">
        <v>0</v>
      </c>
      <c r="N138" s="352">
        <f>M138+L138</f>
        <v>0</v>
      </c>
      <c r="O138" s="352">
        <f>N138-K138</f>
        <v>0</v>
      </c>
      <c r="P138" s="353">
        <v>0</v>
      </c>
      <c r="Q138" s="440"/>
      <c r="R138" s="422"/>
    </row>
    <row r="139" spans="1:19" s="249" customFormat="1" ht="20.2" customHeight="1">
      <c r="A139" s="1219"/>
      <c r="B139" s="1190" t="s">
        <v>58</v>
      </c>
      <c r="C139" s="1190" t="s">
        <v>438</v>
      </c>
      <c r="D139" s="1190" t="s">
        <v>437</v>
      </c>
      <c r="E139" s="1190" t="s">
        <v>451</v>
      </c>
      <c r="F139" s="1190"/>
      <c r="G139" s="5890" t="s">
        <v>724</v>
      </c>
      <c r="H139" s="5891"/>
      <c r="I139" s="5892"/>
      <c r="J139" s="1222">
        <f>+J141</f>
        <v>1660700000</v>
      </c>
      <c r="K139" s="1223">
        <f>+K141</f>
        <v>4000000000</v>
      </c>
      <c r="L139" s="1223">
        <f>+L141</f>
        <v>4106650000</v>
      </c>
      <c r="M139" s="1223">
        <f>+M141</f>
        <v>464634000</v>
      </c>
      <c r="N139" s="1223">
        <f t="shared" ref="N139:N144" si="19">+M139+L139</f>
        <v>4571284000</v>
      </c>
      <c r="O139" s="1223">
        <f>N139-K139</f>
        <v>571284000</v>
      </c>
      <c r="P139" s="1224">
        <f t="shared" ref="P139:P144" si="20">N139/K139*100</f>
        <v>114.28210000000001</v>
      </c>
      <c r="Q139" s="1227"/>
      <c r="R139" s="5901"/>
      <c r="S139" s="5901"/>
    </row>
    <row r="140" spans="1:19" s="189" customFormat="1" ht="12.05" customHeight="1">
      <c r="A140" s="286"/>
      <c r="B140" s="287"/>
      <c r="C140" s="287"/>
      <c r="D140" s="287"/>
      <c r="E140" s="287"/>
      <c r="F140" s="287"/>
      <c r="G140" s="410"/>
      <c r="H140" s="410"/>
      <c r="I140" s="410"/>
      <c r="J140" s="342"/>
      <c r="K140" s="343"/>
      <c r="L140" s="343"/>
      <c r="M140" s="343"/>
      <c r="N140" s="492"/>
      <c r="O140" s="492"/>
      <c r="P140" s="487"/>
      <c r="Q140" s="437"/>
      <c r="R140" s="422"/>
    </row>
    <row r="141" spans="1:19" s="189" customFormat="1" ht="12.05" customHeight="1">
      <c r="A141" s="294"/>
      <c r="B141" s="290">
        <v>4</v>
      </c>
      <c r="C141" s="290">
        <v>1</v>
      </c>
      <c r="D141" s="290"/>
      <c r="E141" s="290"/>
      <c r="F141" s="290"/>
      <c r="G141" s="291" t="s">
        <v>180</v>
      </c>
      <c r="H141" s="291"/>
      <c r="I141" s="291"/>
      <c r="J141" s="518">
        <f>+J143+J147</f>
        <v>1660700000</v>
      </c>
      <c r="K141" s="519">
        <f>+K143+K147</f>
        <v>4000000000</v>
      </c>
      <c r="L141" s="519">
        <f>+L143+L147</f>
        <v>4106650000</v>
      </c>
      <c r="M141" s="519">
        <f>+M143+M147</f>
        <v>464634000</v>
      </c>
      <c r="N141" s="343">
        <f t="shared" si="19"/>
        <v>4571284000</v>
      </c>
      <c r="O141" s="343">
        <f>N141-K141</f>
        <v>571284000</v>
      </c>
      <c r="P141" s="344">
        <f t="shared" si="20"/>
        <v>114.28210000000001</v>
      </c>
      <c r="Q141" s="559"/>
      <c r="R141" s="422"/>
    </row>
    <row r="142" spans="1:19" s="189" customFormat="1" ht="12.05" customHeight="1">
      <c r="A142" s="289"/>
      <c r="B142" s="292"/>
      <c r="C142" s="292"/>
      <c r="D142" s="292"/>
      <c r="E142" s="292"/>
      <c r="F142" s="292"/>
      <c r="G142" s="253"/>
      <c r="H142" s="253"/>
      <c r="I142" s="291"/>
      <c r="J142" s="387"/>
      <c r="K142" s="367"/>
      <c r="L142" s="367"/>
      <c r="M142" s="367"/>
      <c r="N142" s="367"/>
      <c r="O142" s="367"/>
      <c r="P142" s="347"/>
      <c r="Q142" s="454"/>
      <c r="R142" s="422"/>
    </row>
    <row r="143" spans="1:19" s="189" customFormat="1" ht="12.05" customHeight="1">
      <c r="A143" s="294"/>
      <c r="B143" s="290">
        <v>4</v>
      </c>
      <c r="C143" s="290">
        <v>1</v>
      </c>
      <c r="D143" s="290">
        <v>2</v>
      </c>
      <c r="E143" s="290"/>
      <c r="F143" s="290"/>
      <c r="G143" s="291" t="s">
        <v>106</v>
      </c>
      <c r="H143" s="291"/>
      <c r="I143" s="291"/>
      <c r="J143" s="348">
        <f t="shared" ref="J143:M144" si="21">+J144</f>
        <v>1660200000</v>
      </c>
      <c r="K143" s="349">
        <f t="shared" si="21"/>
        <v>4000000000</v>
      </c>
      <c r="L143" s="589">
        <f t="shared" si="21"/>
        <v>4106650000</v>
      </c>
      <c r="M143" s="349">
        <f t="shared" si="21"/>
        <v>464634000</v>
      </c>
      <c r="N143" s="349">
        <f t="shared" si="19"/>
        <v>4571284000</v>
      </c>
      <c r="O143" s="349">
        <f>N143-K143</f>
        <v>571284000</v>
      </c>
      <c r="P143" s="590">
        <f t="shared" si="20"/>
        <v>114.28210000000001</v>
      </c>
      <c r="Q143" s="439"/>
      <c r="R143" s="422"/>
    </row>
    <row r="144" spans="1:19" s="189" customFormat="1" ht="12.05" customHeight="1">
      <c r="A144" s="294"/>
      <c r="B144" s="292">
        <v>4</v>
      </c>
      <c r="C144" s="292">
        <v>1</v>
      </c>
      <c r="D144" s="292">
        <v>2</v>
      </c>
      <c r="E144" s="292" t="s">
        <v>437</v>
      </c>
      <c r="F144" s="292"/>
      <c r="G144" s="253" t="s">
        <v>107</v>
      </c>
      <c r="H144" s="253"/>
      <c r="I144" s="291"/>
      <c r="J144" s="411">
        <f t="shared" si="21"/>
        <v>1660200000</v>
      </c>
      <c r="K144" s="412">
        <f t="shared" si="21"/>
        <v>4000000000</v>
      </c>
      <c r="L144" s="591">
        <f t="shared" si="21"/>
        <v>4106650000</v>
      </c>
      <c r="M144" s="412">
        <f t="shared" si="21"/>
        <v>464634000</v>
      </c>
      <c r="N144" s="412">
        <f t="shared" si="19"/>
        <v>4571284000</v>
      </c>
      <c r="O144" s="412">
        <f>N144-K144</f>
        <v>571284000</v>
      </c>
      <c r="P144" s="487">
        <f t="shared" si="20"/>
        <v>114.28210000000001</v>
      </c>
      <c r="Q144" s="461"/>
      <c r="R144" s="422"/>
    </row>
    <row r="145" spans="1:18" s="189" customFormat="1" ht="12.05" customHeight="1">
      <c r="A145" s="294"/>
      <c r="B145" s="292">
        <v>4</v>
      </c>
      <c r="C145" s="292">
        <v>1</v>
      </c>
      <c r="D145" s="292">
        <v>2</v>
      </c>
      <c r="E145" s="292" t="s">
        <v>437</v>
      </c>
      <c r="F145" s="292" t="s">
        <v>437</v>
      </c>
      <c r="G145" s="253" t="s">
        <v>84</v>
      </c>
      <c r="H145" s="253"/>
      <c r="I145" s="253"/>
      <c r="J145" s="389">
        <v>1660200000</v>
      </c>
      <c r="K145" s="390">
        <f>'[55]TARGET MURNI DAN PERUBAHAN'!$E$73</f>
        <v>4000000000</v>
      </c>
      <c r="L145" s="391">
        <f>[56]PerDinas!$N$145</f>
        <v>4106650000</v>
      </c>
      <c r="M145" s="390">
        <f>[55]Perdinas!$P$93</f>
        <v>464634000</v>
      </c>
      <c r="N145" s="361">
        <f>M145+L145</f>
        <v>4571284000</v>
      </c>
      <c r="O145" s="334">
        <f>N145-K145</f>
        <v>571284000</v>
      </c>
      <c r="P145" s="335" t="s">
        <v>700</v>
      </c>
      <c r="Q145" s="442"/>
      <c r="R145" s="545"/>
    </row>
    <row r="146" spans="1:18" s="189" customFormat="1" ht="12.05" customHeight="1">
      <c r="A146" s="289"/>
      <c r="B146" s="292"/>
      <c r="C146" s="292"/>
      <c r="D146" s="292"/>
      <c r="E146" s="292"/>
      <c r="F146" s="292"/>
      <c r="G146" s="253"/>
      <c r="H146" s="253"/>
      <c r="I146" s="253"/>
      <c r="J146" s="354"/>
      <c r="K146" s="355"/>
      <c r="L146" s="360"/>
      <c r="M146" s="355"/>
      <c r="N146" s="355"/>
      <c r="O146" s="355"/>
      <c r="P146" s="388"/>
      <c r="Q146" s="635"/>
      <c r="R146" s="636"/>
    </row>
    <row r="147" spans="1:18" s="189" customFormat="1" ht="12.05" customHeight="1">
      <c r="A147" s="294"/>
      <c r="B147" s="290">
        <v>4</v>
      </c>
      <c r="C147" s="290">
        <v>1</v>
      </c>
      <c r="D147" s="290">
        <v>4</v>
      </c>
      <c r="E147" s="290"/>
      <c r="F147" s="290"/>
      <c r="G147" s="291" t="s">
        <v>71</v>
      </c>
      <c r="H147" s="291"/>
      <c r="I147" s="291"/>
      <c r="J147" s="392">
        <f>+J155</f>
        <v>500000</v>
      </c>
      <c r="K147" s="393">
        <f>+K155+K151+K148</f>
        <v>0</v>
      </c>
      <c r="L147" s="394">
        <f>+L155+L151+L148</f>
        <v>0</v>
      </c>
      <c r="M147" s="393">
        <f>+M155+M151+M148</f>
        <v>0</v>
      </c>
      <c r="N147" s="393">
        <f>M147+L147</f>
        <v>0</v>
      </c>
      <c r="O147" s="349">
        <f t="shared" ref="O147:O156" si="22">N147-K147</f>
        <v>0</v>
      </c>
      <c r="P147" s="584">
        <v>0</v>
      </c>
      <c r="Q147" s="637"/>
      <c r="R147" s="545"/>
    </row>
    <row r="148" spans="1:18" s="189" customFormat="1" ht="15.05">
      <c r="A148" s="563"/>
      <c r="B148" s="290">
        <v>4</v>
      </c>
      <c r="C148" s="290">
        <v>1</v>
      </c>
      <c r="D148" s="290">
        <v>4</v>
      </c>
      <c r="E148" s="290" t="s">
        <v>441</v>
      </c>
      <c r="F148" s="290"/>
      <c r="G148" s="291" t="s">
        <v>557</v>
      </c>
      <c r="H148" s="467"/>
      <c r="I148" s="467"/>
      <c r="J148" s="329"/>
      <c r="K148" s="592">
        <f>K149</f>
        <v>0</v>
      </c>
      <c r="L148" s="593">
        <f>L149</f>
        <v>0</v>
      </c>
      <c r="M148" s="592">
        <f>M149</f>
        <v>0</v>
      </c>
      <c r="N148" s="592">
        <f>M148+L148</f>
        <v>0</v>
      </c>
      <c r="O148" s="594">
        <f t="shared" si="22"/>
        <v>0</v>
      </c>
      <c r="P148" s="368"/>
      <c r="Q148" s="637"/>
      <c r="R148" s="422"/>
    </row>
    <row r="149" spans="1:18" s="189" customFormat="1" ht="12.05" customHeight="1">
      <c r="A149" s="563"/>
      <c r="B149" s="292">
        <v>4</v>
      </c>
      <c r="C149" s="292">
        <v>1</v>
      </c>
      <c r="D149" s="292">
        <v>4</v>
      </c>
      <c r="E149" s="292" t="s">
        <v>441</v>
      </c>
      <c r="F149" s="292" t="s">
        <v>437</v>
      </c>
      <c r="G149" s="253" t="s">
        <v>72</v>
      </c>
      <c r="H149" s="467"/>
      <c r="I149" s="467"/>
      <c r="J149" s="329"/>
      <c r="K149" s="334"/>
      <c r="L149" s="356">
        <v>0</v>
      </c>
      <c r="M149" s="334">
        <f>[55]Perdinas!$P$96</f>
        <v>0</v>
      </c>
      <c r="N149" s="334">
        <f>M149+L149</f>
        <v>0</v>
      </c>
      <c r="O149" s="396">
        <f t="shared" si="22"/>
        <v>0</v>
      </c>
      <c r="P149" s="344"/>
      <c r="Q149" s="637"/>
      <c r="R149" s="422"/>
    </row>
    <row r="150" spans="1:18" s="189" customFormat="1" ht="12.05" customHeight="1">
      <c r="A150" s="563"/>
      <c r="B150" s="466"/>
      <c r="C150" s="466"/>
      <c r="D150" s="466"/>
      <c r="E150" s="466"/>
      <c r="F150" s="466"/>
      <c r="G150" s="467"/>
      <c r="H150" s="467"/>
      <c r="I150" s="467"/>
      <c r="J150" s="329"/>
      <c r="K150" s="334"/>
      <c r="L150" s="356"/>
      <c r="M150" s="334"/>
      <c r="N150" s="334"/>
      <c r="O150" s="396"/>
      <c r="P150" s="344"/>
      <c r="Q150" s="637"/>
      <c r="R150" s="422"/>
    </row>
    <row r="151" spans="1:18" s="189" customFormat="1" ht="12.05" customHeight="1">
      <c r="A151" s="465"/>
      <c r="B151" s="296">
        <v>4</v>
      </c>
      <c r="C151" s="296">
        <v>1</v>
      </c>
      <c r="D151" s="296">
        <v>4</v>
      </c>
      <c r="E151" s="296" t="s">
        <v>444</v>
      </c>
      <c r="F151" s="296"/>
      <c r="G151" s="297" t="s">
        <v>222</v>
      </c>
      <c r="H151" s="297"/>
      <c r="I151" s="297"/>
      <c r="J151" s="351">
        <v>0</v>
      </c>
      <c r="K151" s="352">
        <f>+K154</f>
        <v>0</v>
      </c>
      <c r="L151" s="362">
        <f>SUM(L152:L154)</f>
        <v>0</v>
      </c>
      <c r="M151" s="352">
        <f>SUM(M152:M154)</f>
        <v>0</v>
      </c>
      <c r="N151" s="352">
        <f>SUM(N152:N154)</f>
        <v>0</v>
      </c>
      <c r="O151" s="595">
        <f t="shared" si="22"/>
        <v>0</v>
      </c>
      <c r="P151" s="596"/>
      <c r="Q151" s="637"/>
      <c r="R151" s="422"/>
    </row>
    <row r="152" spans="1:18" s="189" customFormat="1" ht="12.05" customHeight="1">
      <c r="A152" s="564"/>
      <c r="B152" s="565">
        <v>4</v>
      </c>
      <c r="C152" s="565">
        <v>1</v>
      </c>
      <c r="D152" s="565">
        <v>4</v>
      </c>
      <c r="E152" s="565" t="s">
        <v>444</v>
      </c>
      <c r="F152" s="565" t="s">
        <v>440</v>
      </c>
      <c r="G152" s="566" t="s">
        <v>73</v>
      </c>
      <c r="H152" s="566"/>
      <c r="I152" s="566"/>
      <c r="J152" s="484"/>
      <c r="K152" s="485"/>
      <c r="L152" s="486">
        <v>0</v>
      </c>
      <c r="M152" s="485">
        <f>[55]Perdinas!$P$97</f>
        <v>0</v>
      </c>
      <c r="N152" s="485">
        <f>M152+L152</f>
        <v>0</v>
      </c>
      <c r="O152" s="485">
        <f t="shared" si="22"/>
        <v>0</v>
      </c>
      <c r="P152" s="597"/>
      <c r="Q152" s="638"/>
      <c r="R152" s="422"/>
    </row>
    <row r="153" spans="1:18" s="189" customFormat="1" ht="12.05" customHeight="1">
      <c r="A153" s="286"/>
      <c r="B153" s="287">
        <v>4</v>
      </c>
      <c r="C153" s="287">
        <v>1</v>
      </c>
      <c r="D153" s="287">
        <v>4</v>
      </c>
      <c r="E153" s="287" t="s">
        <v>444</v>
      </c>
      <c r="F153" s="287" t="s">
        <v>445</v>
      </c>
      <c r="G153" s="410" t="s">
        <v>74</v>
      </c>
      <c r="H153" s="410"/>
      <c r="I153" s="410"/>
      <c r="J153" s="389"/>
      <c r="K153" s="357"/>
      <c r="L153" s="391">
        <v>0</v>
      </c>
      <c r="M153" s="357">
        <f>[55]Perdinas!$P$98</f>
        <v>0</v>
      </c>
      <c r="N153" s="357">
        <f>M153+L153</f>
        <v>0</v>
      </c>
      <c r="O153" s="357">
        <f t="shared" si="22"/>
        <v>0</v>
      </c>
      <c r="P153" s="358"/>
      <c r="Q153" s="442"/>
      <c r="R153" s="422"/>
    </row>
    <row r="154" spans="1:18" s="189" customFormat="1" ht="12.05" customHeight="1">
      <c r="A154" s="293"/>
      <c r="B154" s="292">
        <v>4</v>
      </c>
      <c r="C154" s="292">
        <v>1</v>
      </c>
      <c r="D154" s="292">
        <v>4</v>
      </c>
      <c r="E154" s="292" t="s">
        <v>444</v>
      </c>
      <c r="F154" s="292" t="s">
        <v>441</v>
      </c>
      <c r="G154" s="253" t="s">
        <v>75</v>
      </c>
      <c r="H154" s="253"/>
      <c r="I154" s="253"/>
      <c r="J154" s="354">
        <v>0</v>
      </c>
      <c r="K154" s="355">
        <f>'[55]TARGET MURNI DAN PERUBAHAN'!$E$76</f>
        <v>0</v>
      </c>
      <c r="L154" s="1194">
        <f>[56]PerDinas!$N$154</f>
        <v>0</v>
      </c>
      <c r="M154" s="355">
        <f>[55]Perdinas!$P$99</f>
        <v>0</v>
      </c>
      <c r="N154" s="369">
        <f>M154+L154</f>
        <v>0</v>
      </c>
      <c r="O154" s="355">
        <f t="shared" si="22"/>
        <v>0</v>
      </c>
      <c r="P154" s="388"/>
      <c r="Q154" s="441"/>
      <c r="R154" s="422"/>
    </row>
    <row r="155" spans="1:18" s="189" customFormat="1" ht="15.05">
      <c r="A155" s="294"/>
      <c r="B155" s="292">
        <v>4</v>
      </c>
      <c r="C155" s="292">
        <v>1</v>
      </c>
      <c r="D155" s="292">
        <v>4</v>
      </c>
      <c r="E155" s="292" t="s">
        <v>948</v>
      </c>
      <c r="F155" s="292"/>
      <c r="G155" s="297" t="s">
        <v>321</v>
      </c>
      <c r="H155" s="297"/>
      <c r="I155" s="297"/>
      <c r="J155" s="333">
        <f>+J156</f>
        <v>500000</v>
      </c>
      <c r="K155" s="334">
        <f>+K156</f>
        <v>0</v>
      </c>
      <c r="L155" s="592">
        <f>L156</f>
        <v>0</v>
      </c>
      <c r="M155" s="592">
        <f>M156</f>
        <v>0</v>
      </c>
      <c r="N155" s="592">
        <f>N156</f>
        <v>0</v>
      </c>
      <c r="O155" s="594">
        <f t="shared" si="22"/>
        <v>0</v>
      </c>
      <c r="P155" s="598" t="e">
        <f>N155/K155*100</f>
        <v>#DIV/0!</v>
      </c>
      <c r="Q155" s="430"/>
      <c r="R155" s="422"/>
    </row>
    <row r="156" spans="1:18" s="189" customFormat="1" ht="12.05" customHeight="1">
      <c r="A156" s="563"/>
      <c r="B156" s="296">
        <v>4</v>
      </c>
      <c r="C156" s="296">
        <v>1</v>
      </c>
      <c r="D156" s="296">
        <v>4</v>
      </c>
      <c r="E156" s="296" t="s">
        <v>948</v>
      </c>
      <c r="F156" s="296" t="s">
        <v>437</v>
      </c>
      <c r="G156" s="297" t="s">
        <v>50</v>
      </c>
      <c r="H156" s="297"/>
      <c r="I156" s="297" t="s">
        <v>85</v>
      </c>
      <c r="J156" s="351">
        <v>500000</v>
      </c>
      <c r="K156" s="352">
        <f>'[55]TARGET MURNI DAN PERUBAHAN'!$E$77</f>
        <v>0</v>
      </c>
      <c r="L156" s="362">
        <v>0</v>
      </c>
      <c r="M156" s="352">
        <v>0</v>
      </c>
      <c r="N156" s="817">
        <f t="shared" ref="N156:N161" si="23">M156+L156</f>
        <v>0</v>
      </c>
      <c r="O156" s="352">
        <f t="shared" si="22"/>
        <v>0</v>
      </c>
      <c r="P156" s="335" t="e">
        <f>N156/K156*100</f>
        <v>#DIV/0!</v>
      </c>
      <c r="Q156" s="440"/>
      <c r="R156" s="422"/>
    </row>
    <row r="157" spans="1:18" s="244" customFormat="1" ht="12.05" customHeight="1">
      <c r="A157" s="1220" t="s">
        <v>100</v>
      </c>
      <c r="B157" s="1187" t="s">
        <v>58</v>
      </c>
      <c r="C157" s="1187" t="s">
        <v>438</v>
      </c>
      <c r="D157" s="1187" t="s">
        <v>438</v>
      </c>
      <c r="E157" s="1187"/>
      <c r="F157" s="1187"/>
      <c r="G157" s="1188" t="s">
        <v>99</v>
      </c>
      <c r="H157" s="1188"/>
      <c r="I157" s="1188"/>
      <c r="J157" s="1195" t="e">
        <f>+J159</f>
        <v>#REF!</v>
      </c>
      <c r="K157" s="1196">
        <f>+K159</f>
        <v>100000000000</v>
      </c>
      <c r="L157" s="1196">
        <f>+L159</f>
        <v>106104632784.36</v>
      </c>
      <c r="M157" s="1196">
        <f>+M159</f>
        <v>9390531668.2000008</v>
      </c>
      <c r="N157" s="1196">
        <f t="shared" si="23"/>
        <v>115495164452.56</v>
      </c>
      <c r="O157" s="1196">
        <f>+N157-K157</f>
        <v>15495164452.559998</v>
      </c>
      <c r="P157" s="1197">
        <f>+N157/K157*100</f>
        <v>115.49516445256</v>
      </c>
      <c r="Q157" s="1208"/>
      <c r="R157" s="433">
        <f>N157-[55]Perdinas!$Q$102</f>
        <v>0</v>
      </c>
    </row>
    <row r="158" spans="1:18" s="189" customFormat="1" ht="7.55" customHeight="1">
      <c r="A158" s="286"/>
      <c r="B158" s="287"/>
      <c r="C158" s="287"/>
      <c r="D158" s="287"/>
      <c r="E158" s="287"/>
      <c r="F158" s="287"/>
      <c r="G158" s="288"/>
      <c r="H158" s="288"/>
      <c r="I158" s="288"/>
      <c r="J158" s="385"/>
      <c r="K158" s="386"/>
      <c r="L158" s="386"/>
      <c r="M158" s="386"/>
      <c r="N158" s="386"/>
      <c r="O158" s="386"/>
      <c r="P158" s="341"/>
      <c r="Q158" s="453"/>
      <c r="R158" s="422"/>
    </row>
    <row r="159" spans="1:18" s="189" customFormat="1" ht="12.05" customHeight="1">
      <c r="A159" s="294"/>
      <c r="B159" s="290">
        <v>4</v>
      </c>
      <c r="C159" s="290">
        <v>1</v>
      </c>
      <c r="D159" s="292"/>
      <c r="E159" s="292"/>
      <c r="F159" s="292"/>
      <c r="G159" s="291" t="s">
        <v>180</v>
      </c>
      <c r="H159" s="291"/>
      <c r="I159" s="291"/>
      <c r="J159" s="342" t="e">
        <f>+J161</f>
        <v>#REF!</v>
      </c>
      <c r="K159" s="599">
        <f>+K161</f>
        <v>100000000000</v>
      </c>
      <c r="L159" s="343">
        <f>+L161</f>
        <v>106104632784.36</v>
      </c>
      <c r="M159" s="343">
        <f>+M161</f>
        <v>9390531668.2000008</v>
      </c>
      <c r="N159" s="343">
        <f>+M159+L159</f>
        <v>115495164452.56</v>
      </c>
      <c r="O159" s="343">
        <f>N159-K159</f>
        <v>15495164452.559998</v>
      </c>
      <c r="P159" s="344">
        <f>N159/K159*100</f>
        <v>115.49516445256</v>
      </c>
      <c r="Q159" s="437"/>
      <c r="R159" s="422"/>
    </row>
    <row r="160" spans="1:18" s="189" customFormat="1" ht="7.55" customHeight="1">
      <c r="A160" s="289"/>
      <c r="B160" s="292"/>
      <c r="C160" s="292"/>
      <c r="D160" s="292"/>
      <c r="E160" s="292"/>
      <c r="F160" s="292"/>
      <c r="G160" s="253"/>
      <c r="H160" s="253"/>
      <c r="I160" s="253"/>
      <c r="J160" s="374"/>
      <c r="K160" s="375"/>
      <c r="L160" s="375"/>
      <c r="M160" s="375"/>
      <c r="N160" s="375"/>
      <c r="O160" s="375"/>
      <c r="P160" s="600"/>
      <c r="Q160" s="448"/>
      <c r="R160" s="422"/>
    </row>
    <row r="161" spans="1:19" s="189" customFormat="1" ht="12.05" customHeight="1">
      <c r="A161" s="294"/>
      <c r="B161" s="290">
        <v>4</v>
      </c>
      <c r="C161" s="290">
        <v>1</v>
      </c>
      <c r="D161" s="290">
        <v>4</v>
      </c>
      <c r="E161" s="290"/>
      <c r="F161" s="290"/>
      <c r="G161" s="291" t="s">
        <v>71</v>
      </c>
      <c r="H161" s="291"/>
      <c r="I161" s="291"/>
      <c r="J161" s="601" t="e">
        <f>J163+J165+J170</f>
        <v>#REF!</v>
      </c>
      <c r="K161" s="602">
        <f>K163+K165+K170+K166+K167</f>
        <v>100000000000</v>
      </c>
      <c r="L161" s="602">
        <f>L163+L165+L170+L166+L167</f>
        <v>106104632784.36</v>
      </c>
      <c r="M161" s="602">
        <f>M163+M165+M170</f>
        <v>9390531668.2000008</v>
      </c>
      <c r="N161" s="602">
        <f t="shared" si="23"/>
        <v>115495164452.56</v>
      </c>
      <c r="O161" s="349">
        <f>N161-K161</f>
        <v>15495164452.559998</v>
      </c>
      <c r="P161" s="350"/>
      <c r="Q161" s="640"/>
      <c r="R161" s="422"/>
    </row>
    <row r="162" spans="1:19" s="189" customFormat="1" ht="7.55" customHeight="1">
      <c r="A162" s="294"/>
      <c r="B162" s="290"/>
      <c r="C162" s="290"/>
      <c r="D162" s="290"/>
      <c r="E162" s="290"/>
      <c r="F162" s="290"/>
      <c r="G162" s="291"/>
      <c r="H162" s="291"/>
      <c r="I162" s="291"/>
      <c r="J162" s="603"/>
      <c r="K162" s="604"/>
      <c r="L162" s="605"/>
      <c r="M162" s="604"/>
      <c r="N162" s="604"/>
      <c r="O162" s="343"/>
      <c r="P162" s="344"/>
      <c r="Q162" s="641"/>
      <c r="R162" s="422"/>
    </row>
    <row r="163" spans="1:19" s="189" customFormat="1" ht="15.05">
      <c r="A163" s="294"/>
      <c r="B163" s="292">
        <v>4</v>
      </c>
      <c r="C163" s="292">
        <v>1</v>
      </c>
      <c r="D163" s="292" t="s">
        <v>443</v>
      </c>
      <c r="E163" s="292" t="s">
        <v>449</v>
      </c>
      <c r="F163" s="292" t="s">
        <v>437</v>
      </c>
      <c r="G163" s="568" t="s">
        <v>957</v>
      </c>
      <c r="H163" s="291"/>
      <c r="I163" s="291"/>
      <c r="J163" s="342" t="e">
        <f>#REF!+#REF!+#REF!+#REF!+#REF!+#REF!+#REF!+#REF!+#REF!+#REF!+#REF!+#REF!+#REF!+#REF!+#REF!+#REF!+#REF!+#REF!+#REF!+#REF!+#REF!+#REF!+#REF!+#REF!</f>
        <v>#REF!</v>
      </c>
      <c r="K163" s="1225">
        <f>'[55]TARGET MURNI DAN PERUBAHAN'!$E$81</f>
        <v>100000000000</v>
      </c>
      <c r="L163" s="606">
        <f>[56]PerDinas!$N$163</f>
        <v>105926445633.36</v>
      </c>
      <c r="M163" s="343">
        <f>[55]Perdinas!$P$104</f>
        <v>9368011668.2000008</v>
      </c>
      <c r="N163" s="607">
        <f t="shared" ref="N163:N168" si="24">M163+L163</f>
        <v>115294457301.56</v>
      </c>
      <c r="O163" s="334">
        <f>N163-K163</f>
        <v>15294457301.559998</v>
      </c>
      <c r="P163" s="335">
        <f>N163/K163*100</f>
        <v>115.29445730156</v>
      </c>
      <c r="Q163" s="642"/>
      <c r="R163" s="554"/>
      <c r="S163" s="643"/>
    </row>
    <row r="164" spans="1:19" s="189" customFormat="1" ht="7.55" customHeight="1">
      <c r="A164" s="289"/>
      <c r="B164" s="292"/>
      <c r="C164" s="292"/>
      <c r="D164" s="292"/>
      <c r="E164" s="292"/>
      <c r="F164" s="292"/>
      <c r="G164" s="253"/>
      <c r="H164" s="253"/>
      <c r="I164" s="253"/>
      <c r="J164" s="374"/>
      <c r="K164" s="375"/>
      <c r="L164" s="377"/>
      <c r="M164" s="375"/>
      <c r="N164" s="346"/>
      <c r="O164" s="355"/>
      <c r="P164" s="388"/>
      <c r="Q164" s="448"/>
      <c r="R164" s="422"/>
    </row>
    <row r="165" spans="1:19" s="189" customFormat="1" ht="12.05" customHeight="1">
      <c r="A165" s="293"/>
      <c r="B165" s="305">
        <v>4</v>
      </c>
      <c r="C165" s="305">
        <v>1</v>
      </c>
      <c r="D165" s="305">
        <v>4</v>
      </c>
      <c r="E165" s="305" t="s">
        <v>444</v>
      </c>
      <c r="F165" s="305"/>
      <c r="G165" s="306" t="s">
        <v>222</v>
      </c>
      <c r="H165" s="306"/>
      <c r="I165" s="306"/>
      <c r="J165" s="526">
        <f>SUM(J166:J168)</f>
        <v>0</v>
      </c>
      <c r="K165" s="476">
        <f>K168</f>
        <v>0</v>
      </c>
      <c r="L165" s="476">
        <f>L168</f>
        <v>0</v>
      </c>
      <c r="M165" s="476">
        <f>SUM(M166:M168)</f>
        <v>22520000</v>
      </c>
      <c r="N165" s="477">
        <f>+M165+L165</f>
        <v>22520000</v>
      </c>
      <c r="O165" s="477">
        <f>N165-K165</f>
        <v>22520000</v>
      </c>
      <c r="P165" s="608"/>
      <c r="Q165" s="644"/>
      <c r="R165" s="422"/>
    </row>
    <row r="166" spans="1:19" s="189" customFormat="1" ht="12.05" customHeight="1">
      <c r="A166" s="289"/>
      <c r="B166" s="569">
        <v>4</v>
      </c>
      <c r="C166" s="569">
        <v>1</v>
      </c>
      <c r="D166" s="569">
        <v>4</v>
      </c>
      <c r="E166" s="569" t="s">
        <v>441</v>
      </c>
      <c r="F166" s="569" t="s">
        <v>437</v>
      </c>
      <c r="G166" s="570" t="s">
        <v>710</v>
      </c>
      <c r="H166" s="571"/>
      <c r="I166" s="571"/>
      <c r="J166" s="609">
        <v>0</v>
      </c>
      <c r="K166" s="610">
        <v>0</v>
      </c>
      <c r="L166" s="610">
        <f>[56]PerDinas!$N$166</f>
        <v>178187151</v>
      </c>
      <c r="M166" s="610">
        <f>[55]Perdinas!$P$105</f>
        <v>0</v>
      </c>
      <c r="N166" s="610">
        <f t="shared" si="24"/>
        <v>178187151</v>
      </c>
      <c r="O166" s="610">
        <f>N166-K166</f>
        <v>178187151</v>
      </c>
      <c r="P166" s="612"/>
      <c r="Q166" s="645"/>
      <c r="R166" s="422"/>
    </row>
    <row r="167" spans="1:19" s="189" customFormat="1" ht="12.05" customHeight="1">
      <c r="A167" s="289"/>
      <c r="B167" s="572">
        <v>4</v>
      </c>
      <c r="C167" s="572">
        <v>1</v>
      </c>
      <c r="D167" s="572">
        <v>4</v>
      </c>
      <c r="E167" s="572" t="s">
        <v>449</v>
      </c>
      <c r="F167" s="572" t="s">
        <v>437</v>
      </c>
      <c r="G167" s="573" t="s">
        <v>958</v>
      </c>
      <c r="H167" s="574"/>
      <c r="I167" s="574"/>
      <c r="J167" s="613">
        <v>0</v>
      </c>
      <c r="K167" s="614">
        <v>0</v>
      </c>
      <c r="L167" s="614">
        <f>[56]PerDinas!$N$167</f>
        <v>0</v>
      </c>
      <c r="M167" s="614">
        <v>0</v>
      </c>
      <c r="N167" s="614">
        <f t="shared" si="24"/>
        <v>0</v>
      </c>
      <c r="O167" s="614">
        <f>N167-K167</f>
        <v>0</v>
      </c>
      <c r="P167" s="615"/>
      <c r="Q167" s="646"/>
      <c r="R167" s="422"/>
    </row>
    <row r="168" spans="1:19" s="189" customFormat="1" ht="12.05" customHeight="1">
      <c r="A168" s="293"/>
      <c r="B168" s="292">
        <v>4</v>
      </c>
      <c r="C168" s="292">
        <v>1</v>
      </c>
      <c r="D168" s="292">
        <v>4</v>
      </c>
      <c r="E168" s="292" t="s">
        <v>444</v>
      </c>
      <c r="F168" s="292" t="s">
        <v>441</v>
      </c>
      <c r="G168" s="253" t="s">
        <v>75</v>
      </c>
      <c r="H168" s="253"/>
      <c r="I168" s="253"/>
      <c r="J168" s="354">
        <v>0</v>
      </c>
      <c r="K168" s="355">
        <f>'[55]TARGET MURNI DAN PERUBAHAN'!$E$82</f>
        <v>0</v>
      </c>
      <c r="L168" s="360">
        <f>[56]PerDinas!$N$168</f>
        <v>0</v>
      </c>
      <c r="M168" s="355">
        <f>[55]Perdinas!$P$108</f>
        <v>22520000</v>
      </c>
      <c r="N168" s="369">
        <f t="shared" si="24"/>
        <v>22520000</v>
      </c>
      <c r="O168" s="355">
        <f>N168-K168</f>
        <v>22520000</v>
      </c>
      <c r="P168" s="388">
        <v>0</v>
      </c>
      <c r="Q168" s="441"/>
      <c r="R168" s="422"/>
    </row>
    <row r="169" spans="1:19" s="189" customFormat="1" ht="12.05" customHeight="1">
      <c r="A169" s="289"/>
      <c r="B169" s="292"/>
      <c r="C169" s="292"/>
      <c r="D169" s="292"/>
      <c r="E169" s="292"/>
      <c r="F169" s="292"/>
      <c r="G169" s="253"/>
      <c r="H169" s="253"/>
      <c r="I169" s="253"/>
      <c r="J169" s="374"/>
      <c r="K169" s="375"/>
      <c r="L169" s="377"/>
      <c r="M169" s="375"/>
      <c r="N169" s="375"/>
      <c r="O169" s="375"/>
      <c r="P169" s="600"/>
      <c r="Q169" s="448"/>
      <c r="R169" s="422"/>
    </row>
    <row r="170" spans="1:19" s="189" customFormat="1" ht="12.05" customHeight="1">
      <c r="A170" s="294"/>
      <c r="B170" s="292">
        <v>4</v>
      </c>
      <c r="C170" s="292">
        <v>1</v>
      </c>
      <c r="D170" s="292">
        <v>4</v>
      </c>
      <c r="E170" s="292" t="s">
        <v>948</v>
      </c>
      <c r="F170" s="292"/>
      <c r="G170" s="253" t="s">
        <v>321</v>
      </c>
      <c r="H170" s="253"/>
      <c r="I170" s="253"/>
      <c r="J170" s="489">
        <f>+J171</f>
        <v>0</v>
      </c>
      <c r="K170" s="512">
        <f>+K171</f>
        <v>0</v>
      </c>
      <c r="L170" s="616">
        <f>+L171</f>
        <v>0</v>
      </c>
      <c r="M170" s="512">
        <f>+M171</f>
        <v>0</v>
      </c>
      <c r="N170" s="512">
        <f>+N171</f>
        <v>0</v>
      </c>
      <c r="O170" s="412">
        <f>N170-K170</f>
        <v>0</v>
      </c>
      <c r="P170" s="487"/>
      <c r="Q170" s="647"/>
      <c r="R170" s="422"/>
    </row>
    <row r="171" spans="1:19" s="189" customFormat="1" ht="12.05" customHeight="1">
      <c r="A171" s="294"/>
      <c r="B171" s="292">
        <v>4</v>
      </c>
      <c r="C171" s="292">
        <v>1</v>
      </c>
      <c r="D171" s="292">
        <v>4</v>
      </c>
      <c r="E171" s="292" t="s">
        <v>948</v>
      </c>
      <c r="F171" s="292" t="s">
        <v>437</v>
      </c>
      <c r="G171" s="253" t="s">
        <v>85</v>
      </c>
      <c r="H171" s="253"/>
      <c r="I171" s="253"/>
      <c r="J171" s="494">
        <f>SUM(J172:J172)</f>
        <v>0</v>
      </c>
      <c r="K171" s="495">
        <f>SUM(K172:K172)</f>
        <v>0</v>
      </c>
      <c r="L171" s="495">
        <f>SUM(L172:L172)</f>
        <v>0</v>
      </c>
      <c r="M171" s="495">
        <f>SUM(M172:M172)</f>
        <v>0</v>
      </c>
      <c r="N171" s="495">
        <f>SUM(N172:N172)</f>
        <v>0</v>
      </c>
      <c r="O171" s="334">
        <f>N171-K171</f>
        <v>0</v>
      </c>
      <c r="P171" s="335"/>
      <c r="Q171" s="548"/>
      <c r="R171" s="422"/>
    </row>
    <row r="172" spans="1:19" s="189" customFormat="1" ht="12.05" customHeight="1">
      <c r="A172" s="289"/>
      <c r="B172" s="292"/>
      <c r="C172" s="292"/>
      <c r="D172" s="292"/>
      <c r="E172" s="292"/>
      <c r="F172" s="292"/>
      <c r="G172" s="253" t="s">
        <v>50</v>
      </c>
      <c r="H172" s="253" t="s">
        <v>85</v>
      </c>
      <c r="I172" s="253"/>
      <c r="J172" s="374">
        <v>0</v>
      </c>
      <c r="K172" s="375">
        <f>'[55]TARGET MURNI DAN PERUBAHAN'!$E$83</f>
        <v>0</v>
      </c>
      <c r="L172" s="617">
        <v>0</v>
      </c>
      <c r="M172" s="375">
        <f>[55]Perdinas!$P$109</f>
        <v>0</v>
      </c>
      <c r="N172" s="618">
        <f>+M172+L172</f>
        <v>0</v>
      </c>
      <c r="O172" s="355">
        <f>N172-K172</f>
        <v>0</v>
      </c>
      <c r="P172" s="600"/>
      <c r="Q172" s="448"/>
      <c r="R172" s="422"/>
    </row>
    <row r="173" spans="1:19" s="189" customFormat="1" ht="12.05" customHeight="1">
      <c r="A173" s="295"/>
      <c r="B173" s="296"/>
      <c r="C173" s="296"/>
      <c r="D173" s="296"/>
      <c r="E173" s="296"/>
      <c r="F173" s="296"/>
      <c r="G173" s="297"/>
      <c r="H173" s="297"/>
      <c r="I173" s="297"/>
      <c r="J173" s="351"/>
      <c r="K173" s="352"/>
      <c r="L173" s="352"/>
      <c r="M173" s="352"/>
      <c r="N173" s="352"/>
      <c r="O173" s="352"/>
      <c r="P173" s="353"/>
      <c r="Q173" s="440"/>
      <c r="R173" s="422"/>
    </row>
    <row r="174" spans="1:19" s="244" customFormat="1" ht="12.05" customHeight="1">
      <c r="A174" s="1186" t="s">
        <v>104</v>
      </c>
      <c r="B174" s="1187" t="s">
        <v>58</v>
      </c>
      <c r="C174" s="1187" t="s">
        <v>438</v>
      </c>
      <c r="D174" s="1187" t="s">
        <v>440</v>
      </c>
      <c r="E174" s="1187"/>
      <c r="F174" s="1187"/>
      <c r="G174" s="1188" t="s">
        <v>725</v>
      </c>
      <c r="H174" s="1188"/>
      <c r="I174" s="1226"/>
      <c r="J174" s="1195">
        <f>+J176</f>
        <v>6040170000</v>
      </c>
      <c r="K174" s="1196">
        <f>+K176</f>
        <v>14000000000</v>
      </c>
      <c r="L174" s="1196">
        <f>+L176</f>
        <v>11888820301</v>
      </c>
      <c r="M174" s="1196">
        <f>+M176</f>
        <v>1167987154</v>
      </c>
      <c r="N174" s="1196">
        <f t="shared" ref="N174:N179" si="25">M174+L174</f>
        <v>13056807455</v>
      </c>
      <c r="O174" s="1196">
        <f>+N174-K174</f>
        <v>-943192545</v>
      </c>
      <c r="P174" s="1197">
        <f>+N174/K174*100</f>
        <v>93.262910392857151</v>
      </c>
      <c r="Q174" s="1208"/>
      <c r="R174" s="433">
        <f>N174-[55]Perdinas!$Q$111</f>
        <v>0</v>
      </c>
    </row>
    <row r="175" spans="1:19" s="189" customFormat="1" ht="12.05" customHeight="1">
      <c r="A175" s="286"/>
      <c r="B175" s="287"/>
      <c r="C175" s="287"/>
      <c r="D175" s="287"/>
      <c r="E175" s="287"/>
      <c r="F175" s="287"/>
      <c r="G175" s="288"/>
      <c r="H175" s="288"/>
      <c r="I175" s="410"/>
      <c r="J175" s="385"/>
      <c r="K175" s="386"/>
      <c r="L175" s="386"/>
      <c r="M175" s="386"/>
      <c r="N175" s="386"/>
      <c r="O175" s="386"/>
      <c r="P175" s="341"/>
      <c r="Q175" s="453"/>
      <c r="R175" s="422"/>
    </row>
    <row r="176" spans="1:19" s="189" customFormat="1" ht="12.05" customHeight="1">
      <c r="A176" s="294"/>
      <c r="B176" s="290">
        <v>4</v>
      </c>
      <c r="C176" s="290">
        <v>1</v>
      </c>
      <c r="D176" s="290"/>
      <c r="E176" s="290"/>
      <c r="F176" s="290"/>
      <c r="G176" s="291" t="s">
        <v>180</v>
      </c>
      <c r="H176" s="291"/>
      <c r="I176" s="291"/>
      <c r="J176" s="342">
        <f>+J181+J187</f>
        <v>6040170000</v>
      </c>
      <c r="K176" s="343">
        <f>+K181+K178</f>
        <v>14000000000</v>
      </c>
      <c r="L176" s="343">
        <f>+L181+L178</f>
        <v>11888820301</v>
      </c>
      <c r="M176" s="343">
        <f>+M181+M178</f>
        <v>1167987154</v>
      </c>
      <c r="N176" s="343">
        <f>+M176+L176</f>
        <v>13056807455</v>
      </c>
      <c r="O176" s="343">
        <f>N176-K176</f>
        <v>-943192545</v>
      </c>
      <c r="P176" s="344">
        <f>N176/K176*100</f>
        <v>93.262910392857151</v>
      </c>
      <c r="Q176" s="437"/>
      <c r="R176" s="422"/>
    </row>
    <row r="177" spans="1:18" s="189" customFormat="1" ht="12.05" customHeight="1">
      <c r="A177" s="289"/>
      <c r="B177" s="292"/>
      <c r="C177" s="292"/>
      <c r="D177" s="292"/>
      <c r="E177" s="292"/>
      <c r="F177" s="292"/>
      <c r="G177" s="253"/>
      <c r="H177" s="253"/>
      <c r="I177" s="253"/>
      <c r="J177" s="387"/>
      <c r="K177" s="367"/>
      <c r="L177" s="367"/>
      <c r="M177" s="367"/>
      <c r="N177" s="367"/>
      <c r="O177" s="367"/>
      <c r="P177" s="347"/>
      <c r="Q177" s="454"/>
      <c r="R177" s="422"/>
    </row>
    <row r="178" spans="1:18" s="189" customFormat="1" ht="12.05" customHeight="1">
      <c r="A178" s="289"/>
      <c r="B178" s="292">
        <v>4</v>
      </c>
      <c r="C178" s="292">
        <v>1</v>
      </c>
      <c r="D178" s="292" t="s">
        <v>443</v>
      </c>
      <c r="E178" s="292" t="s">
        <v>437</v>
      </c>
      <c r="F178" s="292"/>
      <c r="G178" s="253" t="s">
        <v>959</v>
      </c>
      <c r="H178" s="297"/>
      <c r="I178" s="297"/>
      <c r="J178" s="620"/>
      <c r="K178" s="621">
        <f>K179</f>
        <v>0</v>
      </c>
      <c r="L178" s="621">
        <f>L179</f>
        <v>3882000</v>
      </c>
      <c r="M178" s="621">
        <f>M179</f>
        <v>0</v>
      </c>
      <c r="N178" s="621">
        <f t="shared" si="25"/>
        <v>3882000</v>
      </c>
      <c r="O178" s="621">
        <f>N178-K178</f>
        <v>3882000</v>
      </c>
      <c r="P178" s="344" t="e">
        <f>N178/K178*100</f>
        <v>#DIV/0!</v>
      </c>
      <c r="Q178" s="648"/>
      <c r="R178" s="422"/>
    </row>
    <row r="179" spans="1:18" s="189" customFormat="1" ht="12.05" customHeight="1">
      <c r="A179" s="289"/>
      <c r="B179" s="292">
        <v>4</v>
      </c>
      <c r="C179" s="292">
        <v>1</v>
      </c>
      <c r="D179" s="292">
        <v>2</v>
      </c>
      <c r="E179" s="292" t="s">
        <v>438</v>
      </c>
      <c r="F179" s="292" t="s">
        <v>437</v>
      </c>
      <c r="G179" s="253" t="s">
        <v>960</v>
      </c>
      <c r="H179" s="297"/>
      <c r="I179" s="297"/>
      <c r="J179" s="620"/>
      <c r="K179" s="621">
        <v>0</v>
      </c>
      <c r="L179" s="595">
        <f>[56]PerDinas!$N$179</f>
        <v>3882000</v>
      </c>
      <c r="M179" s="595">
        <f>[55]Perdinas!$P$117</f>
        <v>0</v>
      </c>
      <c r="N179" s="622">
        <f t="shared" si="25"/>
        <v>3882000</v>
      </c>
      <c r="O179" s="595">
        <f>N179-K179</f>
        <v>3882000</v>
      </c>
      <c r="P179" s="344" t="e">
        <f>N179/K179*100</f>
        <v>#DIV/0!</v>
      </c>
      <c r="Q179" s="648"/>
      <c r="R179" s="422"/>
    </row>
    <row r="180" spans="1:18" s="189" customFormat="1" ht="12.05" customHeight="1">
      <c r="A180" s="289"/>
      <c r="B180" s="296"/>
      <c r="C180" s="296"/>
      <c r="D180" s="296"/>
      <c r="E180" s="296"/>
      <c r="F180" s="296"/>
      <c r="G180" s="297"/>
      <c r="H180" s="297"/>
      <c r="I180" s="297"/>
      <c r="J180" s="620"/>
      <c r="K180" s="621"/>
      <c r="L180" s="623"/>
      <c r="M180" s="621"/>
      <c r="N180" s="621"/>
      <c r="O180" s="621"/>
      <c r="P180" s="596"/>
      <c r="Q180" s="648"/>
      <c r="R180" s="422"/>
    </row>
    <row r="181" spans="1:18" s="189" customFormat="1" ht="12.05" customHeight="1">
      <c r="A181" s="294"/>
      <c r="B181" s="575">
        <v>4</v>
      </c>
      <c r="C181" s="575">
        <v>1</v>
      </c>
      <c r="D181" s="575">
        <v>4</v>
      </c>
      <c r="E181" s="575"/>
      <c r="F181" s="575"/>
      <c r="G181" s="576" t="s">
        <v>71</v>
      </c>
      <c r="H181" s="576"/>
      <c r="I181" s="576"/>
      <c r="J181" s="624">
        <f>+J184</f>
        <v>6000000000</v>
      </c>
      <c r="K181" s="625">
        <f>+K184+K182+K187</f>
        <v>14000000000</v>
      </c>
      <c r="L181" s="625">
        <f>+L184+L182+L187</f>
        <v>11884938301</v>
      </c>
      <c r="M181" s="625">
        <f>+M184+M182+M187</f>
        <v>1167987154</v>
      </c>
      <c r="N181" s="625">
        <f>+M181+L181</f>
        <v>13052925455</v>
      </c>
      <c r="O181" s="625">
        <f>N181-K181</f>
        <v>-947074545</v>
      </c>
      <c r="P181" s="381">
        <f>N181/K181*100</f>
        <v>93.235181821428569</v>
      </c>
      <c r="Q181" s="649"/>
      <c r="R181" s="422"/>
    </row>
    <row r="182" spans="1:18" s="189" customFormat="1" ht="12.05" customHeight="1">
      <c r="A182" s="563"/>
      <c r="B182" s="287">
        <v>4</v>
      </c>
      <c r="C182" s="287">
        <v>1</v>
      </c>
      <c r="D182" s="287">
        <v>4</v>
      </c>
      <c r="E182" s="287" t="s">
        <v>441</v>
      </c>
      <c r="F182" s="287" t="s">
        <v>437</v>
      </c>
      <c r="G182" s="410" t="s">
        <v>324</v>
      </c>
      <c r="H182" s="190"/>
      <c r="I182" s="190"/>
      <c r="J182" s="342"/>
      <c r="K182" s="340">
        <f>'[55]TARGET MURNI DAN PERUBAHAN'!$E$88</f>
        <v>0</v>
      </c>
      <c r="L182" s="340">
        <v>0</v>
      </c>
      <c r="M182" s="340">
        <f>[55]Perdinas!$P$114</f>
        <v>0</v>
      </c>
      <c r="N182" s="626">
        <f>M182+L182</f>
        <v>0</v>
      </c>
      <c r="O182" s="340">
        <f>N182-K182</f>
        <v>0</v>
      </c>
      <c r="P182" s="341"/>
      <c r="Q182" s="435"/>
      <c r="R182" s="422"/>
    </row>
    <row r="183" spans="1:18" s="189" customFormat="1" ht="12.05" customHeight="1">
      <c r="A183" s="563"/>
      <c r="B183" s="466"/>
      <c r="C183" s="466"/>
      <c r="D183" s="466"/>
      <c r="E183" s="466"/>
      <c r="F183" s="466"/>
      <c r="G183" s="467"/>
      <c r="H183" s="467"/>
      <c r="I183" s="467"/>
      <c r="J183" s="342"/>
      <c r="K183" s="367"/>
      <c r="L183" s="367"/>
      <c r="M183" s="367"/>
      <c r="N183" s="367"/>
      <c r="O183" s="367"/>
      <c r="P183" s="347"/>
      <c r="Q183" s="454"/>
      <c r="R183" s="422"/>
    </row>
    <row r="184" spans="1:18" s="189" customFormat="1" ht="12.05" customHeight="1">
      <c r="A184" s="563"/>
      <c r="B184" s="296">
        <v>4</v>
      </c>
      <c r="C184" s="296">
        <v>1</v>
      </c>
      <c r="D184" s="296" t="s">
        <v>443</v>
      </c>
      <c r="E184" s="296" t="s">
        <v>449</v>
      </c>
      <c r="F184" s="296"/>
      <c r="G184" s="297" t="s">
        <v>102</v>
      </c>
      <c r="H184" s="297"/>
      <c r="I184" s="297"/>
      <c r="J184" s="627">
        <f t="shared" ref="J184:O184" si="26">+J185</f>
        <v>6000000000</v>
      </c>
      <c r="K184" s="346">
        <f t="shared" si="26"/>
        <v>14000000000</v>
      </c>
      <c r="L184" s="346">
        <f>L185</f>
        <v>11884938301</v>
      </c>
      <c r="M184" s="346">
        <f>M185</f>
        <v>1167987154</v>
      </c>
      <c r="N184" s="346">
        <f>N185</f>
        <v>13052925455</v>
      </c>
      <c r="O184" s="346">
        <f t="shared" si="26"/>
        <v>-947074545</v>
      </c>
      <c r="P184" s="347">
        <f>N184/K184*100</f>
        <v>93.235181821428569</v>
      </c>
      <c r="Q184" s="650"/>
      <c r="R184" s="422"/>
    </row>
    <row r="185" spans="1:18" s="189" customFormat="1" ht="12.05" customHeight="1">
      <c r="A185" s="577"/>
      <c r="B185" s="578">
        <v>4</v>
      </c>
      <c r="C185" s="578">
        <v>1</v>
      </c>
      <c r="D185" s="578" t="s">
        <v>443</v>
      </c>
      <c r="E185" s="578" t="s">
        <v>449</v>
      </c>
      <c r="F185" s="578" t="s">
        <v>437</v>
      </c>
      <c r="G185" s="189" t="s">
        <v>957</v>
      </c>
      <c r="J185" s="333">
        <v>6000000000</v>
      </c>
      <c r="K185" s="1194">
        <f>'[55]TARGET MURNI DAN PERUBAHAN'!$E$87</f>
        <v>14000000000</v>
      </c>
      <c r="L185" s="355">
        <f>[56]PerDinas!$N$185</f>
        <v>11884938301</v>
      </c>
      <c r="M185" s="373">
        <f>[55]Perdinas!$P$113</f>
        <v>1167987154</v>
      </c>
      <c r="N185" s="369">
        <f t="shared" ref="N185:N190" si="27">M185+L185</f>
        <v>13052925455</v>
      </c>
      <c r="O185" s="355">
        <f>N185-K185</f>
        <v>-947074545</v>
      </c>
      <c r="P185" s="388">
        <f>N185/K185*100</f>
        <v>93.235181821428569</v>
      </c>
      <c r="Q185" s="441"/>
      <c r="R185" s="422"/>
    </row>
    <row r="186" spans="1:18" s="189" customFormat="1" ht="12.05" customHeight="1">
      <c r="A186" s="579"/>
      <c r="B186" s="280"/>
      <c r="C186" s="280"/>
      <c r="D186" s="280"/>
      <c r="E186" s="280"/>
      <c r="F186" s="280"/>
      <c r="G186" s="190"/>
      <c r="H186" s="190"/>
      <c r="I186" s="190"/>
      <c r="J186" s="329"/>
      <c r="K186" s="371"/>
      <c r="L186" s="371"/>
      <c r="M186" s="371"/>
      <c r="N186" s="371"/>
      <c r="O186" s="367"/>
      <c r="P186" s="347"/>
      <c r="Q186" s="651"/>
      <c r="R186" s="422"/>
    </row>
    <row r="187" spans="1:18" s="189" customFormat="1" ht="12.05" customHeight="1">
      <c r="A187" s="580"/>
      <c r="B187" s="287">
        <v>4</v>
      </c>
      <c r="C187" s="287">
        <v>1</v>
      </c>
      <c r="D187" s="287">
        <v>4</v>
      </c>
      <c r="E187" s="287" t="s">
        <v>449</v>
      </c>
      <c r="F187" s="287"/>
      <c r="G187" s="410" t="s">
        <v>321</v>
      </c>
      <c r="H187" s="410"/>
      <c r="I187" s="410"/>
      <c r="J187" s="484">
        <f>+J188</f>
        <v>40170000</v>
      </c>
      <c r="K187" s="355">
        <f>+K188</f>
        <v>0</v>
      </c>
      <c r="L187" s="355">
        <f>+L188</f>
        <v>0</v>
      </c>
      <c r="M187" s="355">
        <f>+M188</f>
        <v>0</v>
      </c>
      <c r="N187" s="346">
        <f>+M187+L187</f>
        <v>0</v>
      </c>
      <c r="O187" s="346">
        <f t="shared" ref="O187:O192" si="28">N187-K187</f>
        <v>0</v>
      </c>
      <c r="P187" s="347" t="e">
        <f t="shared" ref="P187:P192" si="29">N187/K187*100</f>
        <v>#DIV/0!</v>
      </c>
      <c r="Q187" s="441"/>
      <c r="R187" s="422"/>
    </row>
    <row r="188" spans="1:18" s="189" customFormat="1" ht="12.05" customHeight="1">
      <c r="A188" s="294"/>
      <c r="B188" s="292">
        <v>4</v>
      </c>
      <c r="C188" s="292">
        <v>1</v>
      </c>
      <c r="D188" s="292">
        <v>4</v>
      </c>
      <c r="E188" s="292" t="s">
        <v>449</v>
      </c>
      <c r="F188" s="292" t="s">
        <v>437</v>
      </c>
      <c r="G188" s="253" t="s">
        <v>85</v>
      </c>
      <c r="H188" s="253"/>
      <c r="I188" s="253"/>
      <c r="J188" s="628">
        <v>40170000</v>
      </c>
      <c r="K188" s="373">
        <f>'[55]TARGET MURNI DAN PERUBAHAN'!$E$89</f>
        <v>0</v>
      </c>
      <c r="L188" s="355">
        <f>[56]PerDinas!$N$188</f>
        <v>0</v>
      </c>
      <c r="M188" s="373">
        <v>0</v>
      </c>
      <c r="N188" s="369">
        <f t="shared" si="27"/>
        <v>0</v>
      </c>
      <c r="O188" s="355">
        <f t="shared" si="28"/>
        <v>0</v>
      </c>
      <c r="P188" s="388" t="e">
        <f t="shared" si="29"/>
        <v>#DIV/0!</v>
      </c>
      <c r="Q188" s="441"/>
      <c r="R188" s="422"/>
    </row>
    <row r="189" spans="1:18" s="189" customFormat="1" ht="12.05" customHeight="1">
      <c r="A189" s="295"/>
      <c r="B189" s="296"/>
      <c r="C189" s="296"/>
      <c r="D189" s="296"/>
      <c r="E189" s="296"/>
      <c r="F189" s="296"/>
      <c r="G189" s="467"/>
      <c r="H189" s="467"/>
      <c r="I189" s="297"/>
      <c r="J189" s="351"/>
      <c r="K189" s="352"/>
      <c r="L189" s="362"/>
      <c r="M189" s="352"/>
      <c r="N189" s="352"/>
      <c r="O189" s="352"/>
      <c r="P189" s="353"/>
      <c r="Q189" s="440"/>
      <c r="R189" s="422"/>
    </row>
    <row r="190" spans="1:18" s="244" customFormat="1" ht="12.05" customHeight="1">
      <c r="A190" s="1186" t="s">
        <v>112</v>
      </c>
      <c r="B190" s="1187" t="s">
        <v>58</v>
      </c>
      <c r="C190" s="1187" t="s">
        <v>440</v>
      </c>
      <c r="D190" s="1187" t="s">
        <v>437</v>
      </c>
      <c r="E190" s="1187"/>
      <c r="F190" s="1187"/>
      <c r="G190" s="1188" t="s">
        <v>726</v>
      </c>
      <c r="H190" s="1188"/>
      <c r="I190" s="1188"/>
      <c r="J190" s="1195">
        <f>+J192</f>
        <v>1652875000</v>
      </c>
      <c r="K190" s="1196">
        <f>+K192</f>
        <v>486000000</v>
      </c>
      <c r="L190" s="1196">
        <f>+L192</f>
        <v>1061092307.26</v>
      </c>
      <c r="M190" s="1196">
        <f>+M192</f>
        <v>172739225.84999999</v>
      </c>
      <c r="N190" s="1196">
        <f t="shared" si="27"/>
        <v>1233831533.1099999</v>
      </c>
      <c r="O190" s="1196">
        <f>+N190-K190</f>
        <v>747831533.1099999</v>
      </c>
      <c r="P190" s="1197">
        <f>+N190/K190*100</f>
        <v>253.8748010514403</v>
      </c>
      <c r="Q190" s="1208"/>
      <c r="R190" s="433">
        <f>N190-[55]Perdinas!$Q$120</f>
        <v>0</v>
      </c>
    </row>
    <row r="191" spans="1:18" s="189" customFormat="1" ht="12.05" customHeight="1">
      <c r="A191" s="581"/>
      <c r="B191" s="582"/>
      <c r="C191" s="582"/>
      <c r="D191" s="582"/>
      <c r="E191" s="582"/>
      <c r="F191" s="582"/>
      <c r="G191" s="583"/>
      <c r="H191" s="583"/>
      <c r="I191" s="583"/>
      <c r="J191" s="629"/>
      <c r="K191" s="630"/>
      <c r="L191" s="630"/>
      <c r="M191" s="630"/>
      <c r="N191" s="630"/>
      <c r="O191" s="630"/>
      <c r="P191" s="631"/>
      <c r="Q191" s="652"/>
      <c r="R191" s="422"/>
    </row>
    <row r="192" spans="1:18" s="189" customFormat="1" ht="12.05" customHeight="1">
      <c r="A192" s="293"/>
      <c r="B192" s="290">
        <v>4</v>
      </c>
      <c r="C192" s="290">
        <v>1</v>
      </c>
      <c r="D192" s="290"/>
      <c r="E192" s="290"/>
      <c r="F192" s="290"/>
      <c r="G192" s="291" t="s">
        <v>180</v>
      </c>
      <c r="H192" s="291"/>
      <c r="I192" s="291"/>
      <c r="J192" s="342">
        <f>+J194+J203</f>
        <v>1652875000</v>
      </c>
      <c r="K192" s="343">
        <f>+K194+K203</f>
        <v>486000000</v>
      </c>
      <c r="L192" s="343">
        <f>+L194+L203</f>
        <v>1061092307.26</v>
      </c>
      <c r="M192" s="343">
        <f>+M194+M203</f>
        <v>172739225.84999999</v>
      </c>
      <c r="N192" s="343">
        <f>+M192+L192</f>
        <v>1233831533.1099999</v>
      </c>
      <c r="O192" s="343">
        <f t="shared" si="28"/>
        <v>747831533.1099999</v>
      </c>
      <c r="P192" s="344">
        <f t="shared" si="29"/>
        <v>253.8748010514403</v>
      </c>
      <c r="Q192" s="437"/>
      <c r="R192" s="422"/>
    </row>
    <row r="193" spans="1:19" s="189" customFormat="1" ht="12.05" customHeight="1">
      <c r="A193" s="293"/>
      <c r="B193" s="292"/>
      <c r="C193" s="292"/>
      <c r="D193" s="292"/>
      <c r="E193" s="292"/>
      <c r="F193" s="292"/>
      <c r="G193" s="253"/>
      <c r="H193" s="253"/>
      <c r="I193" s="291"/>
      <c r="J193" s="345"/>
      <c r="K193" s="346"/>
      <c r="L193" s="660"/>
      <c r="M193" s="346"/>
      <c r="N193" s="346"/>
      <c r="O193" s="346"/>
      <c r="P193" s="347"/>
      <c r="Q193" s="438"/>
      <c r="R193" s="422"/>
    </row>
    <row r="194" spans="1:19" s="189" customFormat="1" ht="12.05" customHeight="1">
      <c r="A194" s="293"/>
      <c r="B194" s="290">
        <v>4</v>
      </c>
      <c r="C194" s="290">
        <v>1</v>
      </c>
      <c r="D194" s="290">
        <v>2</v>
      </c>
      <c r="E194" s="290"/>
      <c r="F194" s="290"/>
      <c r="G194" s="291" t="s">
        <v>106</v>
      </c>
      <c r="H194" s="291"/>
      <c r="I194" s="291"/>
      <c r="J194" s="348">
        <f>+J195+J198</f>
        <v>282875000</v>
      </c>
      <c r="K194" s="349">
        <f>+K195+K198</f>
        <v>486000000</v>
      </c>
      <c r="L194" s="589">
        <f>+L195+L198</f>
        <v>343645600</v>
      </c>
      <c r="M194" s="349">
        <f>+M195+M198</f>
        <v>67714400</v>
      </c>
      <c r="N194" s="349">
        <f>+M194+L194</f>
        <v>411360000</v>
      </c>
      <c r="O194" s="349">
        <f>N194-K194</f>
        <v>-74640000</v>
      </c>
      <c r="P194" s="350">
        <f>N194/K194*100</f>
        <v>84.641975308641975</v>
      </c>
      <c r="Q194" s="439"/>
      <c r="R194" s="422"/>
    </row>
    <row r="195" spans="1:19" s="189" customFormat="1" ht="12.05" customHeight="1">
      <c r="A195" s="293"/>
      <c r="B195" s="292">
        <v>4</v>
      </c>
      <c r="C195" s="292">
        <v>1</v>
      </c>
      <c r="D195" s="292">
        <v>2</v>
      </c>
      <c r="E195" s="292" t="s">
        <v>437</v>
      </c>
      <c r="F195" s="292"/>
      <c r="G195" s="253" t="s">
        <v>107</v>
      </c>
      <c r="H195" s="253"/>
      <c r="I195" s="291"/>
      <c r="J195" s="411">
        <f>+J196</f>
        <v>2875000</v>
      </c>
      <c r="K195" s="412">
        <f>+K196</f>
        <v>19250000</v>
      </c>
      <c r="L195" s="591">
        <f>+L196</f>
        <v>0</v>
      </c>
      <c r="M195" s="412">
        <f>+M196</f>
        <v>0</v>
      </c>
      <c r="N195" s="412">
        <f>+M195+L195</f>
        <v>0</v>
      </c>
      <c r="O195" s="412">
        <f>N195-K195</f>
        <v>-19250000</v>
      </c>
      <c r="P195" s="487">
        <f>N195/K195*100</f>
        <v>0</v>
      </c>
      <c r="Q195" s="694"/>
      <c r="R195" s="422"/>
    </row>
    <row r="196" spans="1:19" s="189" customFormat="1" ht="12.05" customHeight="1">
      <c r="A196" s="293"/>
      <c r="B196" s="292">
        <v>4</v>
      </c>
      <c r="C196" s="292">
        <v>1</v>
      </c>
      <c r="D196" s="292">
        <v>2</v>
      </c>
      <c r="E196" s="292" t="s">
        <v>437</v>
      </c>
      <c r="F196" s="292" t="s">
        <v>440</v>
      </c>
      <c r="G196" s="253" t="s">
        <v>961</v>
      </c>
      <c r="H196" s="253"/>
      <c r="I196" s="253"/>
      <c r="J196" s="333">
        <v>2875000</v>
      </c>
      <c r="K196" s="661">
        <f>'[55]TARGET MURNI DAN PERUBAHAN'!$E$93</f>
        <v>19250000</v>
      </c>
      <c r="L196" s="356">
        <f>[56]PerDinas!$N$196</f>
        <v>0</v>
      </c>
      <c r="M196" s="661">
        <f>[55]Perdinas!$P$122</f>
        <v>0</v>
      </c>
      <c r="N196" s="334">
        <f t="shared" ref="N196:N201" si="30">M196+L196</f>
        <v>0</v>
      </c>
      <c r="O196" s="334">
        <f>N196-K196</f>
        <v>-19250000</v>
      </c>
      <c r="P196" s="335">
        <f>N196/K196*100</f>
        <v>0</v>
      </c>
      <c r="Q196" s="430"/>
      <c r="R196" s="422"/>
    </row>
    <row r="197" spans="1:19" s="189" customFormat="1" ht="12.05" customHeight="1">
      <c r="A197" s="293"/>
      <c r="B197" s="292"/>
      <c r="C197" s="292"/>
      <c r="D197" s="292"/>
      <c r="E197" s="292"/>
      <c r="F197" s="292"/>
      <c r="G197" s="253"/>
      <c r="H197" s="253"/>
      <c r="I197" s="253"/>
      <c r="J197" s="354"/>
      <c r="K197" s="355"/>
      <c r="L197" s="360"/>
      <c r="M197" s="355"/>
      <c r="N197" s="355"/>
      <c r="O197" s="355"/>
      <c r="P197" s="388"/>
      <c r="Q197" s="441"/>
      <c r="R197" s="422"/>
    </row>
    <row r="198" spans="1:19" s="189" customFormat="1" ht="12.05" customHeight="1">
      <c r="A198" s="293"/>
      <c r="B198" s="292">
        <v>4</v>
      </c>
      <c r="C198" s="292">
        <v>1</v>
      </c>
      <c r="D198" s="292">
        <v>2</v>
      </c>
      <c r="E198" s="292" t="s">
        <v>438</v>
      </c>
      <c r="F198" s="292"/>
      <c r="G198" s="253" t="s">
        <v>374</v>
      </c>
      <c r="H198" s="253"/>
      <c r="I198" s="253"/>
      <c r="J198" s="411">
        <f>+J199</f>
        <v>280000000</v>
      </c>
      <c r="K198" s="412">
        <f>+K199</f>
        <v>466750000</v>
      </c>
      <c r="L198" s="662">
        <f>+L199</f>
        <v>343645600</v>
      </c>
      <c r="M198" s="663">
        <f>+M199</f>
        <v>67714400</v>
      </c>
      <c r="N198" s="664">
        <f>+M198+L198</f>
        <v>411360000</v>
      </c>
      <c r="O198" s="412">
        <f>N198-K198</f>
        <v>-55390000</v>
      </c>
      <c r="P198" s="487">
        <f>N198/K198*100</f>
        <v>88.132833422603113</v>
      </c>
      <c r="Q198" s="694"/>
      <c r="R198" s="422"/>
    </row>
    <row r="199" spans="1:19" s="189" customFormat="1" ht="12.05" customHeight="1">
      <c r="A199" s="289"/>
      <c r="B199" s="292">
        <v>4</v>
      </c>
      <c r="C199" s="292">
        <v>1</v>
      </c>
      <c r="D199" s="292">
        <v>2</v>
      </c>
      <c r="E199" s="292" t="s">
        <v>438</v>
      </c>
      <c r="F199" s="292" t="s">
        <v>437</v>
      </c>
      <c r="G199" s="253" t="s">
        <v>64</v>
      </c>
      <c r="H199" s="253"/>
      <c r="I199" s="291"/>
      <c r="J199" s="665">
        <f>+J200</f>
        <v>280000000</v>
      </c>
      <c r="K199" s="666">
        <f>+K200+K201</f>
        <v>466750000</v>
      </c>
      <c r="L199" s="667">
        <f>+L200+L201</f>
        <v>343645600</v>
      </c>
      <c r="M199" s="666">
        <f>+M200+M201</f>
        <v>67714400</v>
      </c>
      <c r="N199" s="334">
        <f t="shared" si="30"/>
        <v>411360000</v>
      </c>
      <c r="O199" s="334">
        <f>N199-K199</f>
        <v>-55390000</v>
      </c>
      <c r="P199" s="335">
        <f>N199/K199*100</f>
        <v>88.132833422603113</v>
      </c>
      <c r="Q199" s="642"/>
      <c r="R199" s="422"/>
    </row>
    <row r="200" spans="1:19" s="189" customFormat="1" ht="12.05" customHeight="1">
      <c r="A200" s="293"/>
      <c r="B200" s="292"/>
      <c r="C200" s="292"/>
      <c r="D200" s="292"/>
      <c r="E200" s="292"/>
      <c r="F200" s="292"/>
      <c r="G200" s="253" t="s">
        <v>50</v>
      </c>
      <c r="H200" s="253"/>
      <c r="I200" s="253" t="s">
        <v>1035</v>
      </c>
      <c r="J200" s="389">
        <v>280000000</v>
      </c>
      <c r="K200" s="1230">
        <f>'[55]TARGET MURNI DAN PERUBAHAN'!$E$96</f>
        <v>216750000</v>
      </c>
      <c r="L200" s="669">
        <f>[56]PerDinas!$N$200</f>
        <v>64766000</v>
      </c>
      <c r="M200" s="668">
        <f>[55]Perdinas!$P$125</f>
        <v>17400000</v>
      </c>
      <c r="N200" s="355">
        <f t="shared" si="30"/>
        <v>82166000</v>
      </c>
      <c r="O200" s="355">
        <f>N200-K200</f>
        <v>-134584000</v>
      </c>
      <c r="P200" s="335">
        <f>N200/K200*100</f>
        <v>37.90818915801615</v>
      </c>
      <c r="Q200" s="441"/>
      <c r="R200" s="422"/>
    </row>
    <row r="201" spans="1:19" s="189" customFormat="1" ht="12.05" customHeight="1">
      <c r="A201" s="293"/>
      <c r="B201" s="292"/>
      <c r="C201" s="292"/>
      <c r="D201" s="292"/>
      <c r="E201" s="292"/>
      <c r="F201" s="292"/>
      <c r="G201" s="253" t="s">
        <v>50</v>
      </c>
      <c r="H201" s="253"/>
      <c r="I201" s="253" t="s">
        <v>963</v>
      </c>
      <c r="J201" s="354">
        <v>0</v>
      </c>
      <c r="K201" s="1194">
        <f>'[55]TARGET MURNI DAN PERUBAHAN'!$E$97</f>
        <v>250000000</v>
      </c>
      <c r="L201" s="360">
        <f>[56]PerDinas!$N$201</f>
        <v>278879600</v>
      </c>
      <c r="M201" s="373">
        <f>[55]Perdinas!$P$126</f>
        <v>50314400</v>
      </c>
      <c r="N201" s="355">
        <f t="shared" si="30"/>
        <v>329194000</v>
      </c>
      <c r="O201" s="355">
        <f>N201-K201</f>
        <v>79194000</v>
      </c>
      <c r="P201" s="335">
        <f>N201/K201*100</f>
        <v>131.67759999999998</v>
      </c>
      <c r="Q201" s="695"/>
      <c r="R201" s="427"/>
    </row>
    <row r="202" spans="1:19" s="189" customFormat="1" ht="12.05" customHeight="1">
      <c r="A202" s="293"/>
      <c r="B202" s="292"/>
      <c r="C202" s="292"/>
      <c r="D202" s="292"/>
      <c r="E202" s="292"/>
      <c r="F202" s="292"/>
      <c r="G202" s="253"/>
      <c r="H202" s="253"/>
      <c r="I202" s="253"/>
      <c r="J202" s="333"/>
      <c r="K202" s="334"/>
      <c r="L202" s="356"/>
      <c r="M202" s="334"/>
      <c r="N202" s="334"/>
      <c r="O202" s="334"/>
      <c r="P202" s="335"/>
      <c r="Q202" s="430"/>
      <c r="R202" s="422"/>
    </row>
    <row r="203" spans="1:19" s="189" customFormat="1" ht="12.05" customHeight="1">
      <c r="A203" s="293"/>
      <c r="B203" s="290">
        <v>4</v>
      </c>
      <c r="C203" s="290">
        <v>1</v>
      </c>
      <c r="D203" s="290">
        <v>4</v>
      </c>
      <c r="E203" s="290"/>
      <c r="F203" s="290"/>
      <c r="G203" s="291" t="s">
        <v>71</v>
      </c>
      <c r="H203" s="291"/>
      <c r="I203" s="291"/>
      <c r="J203" s="392">
        <f>J204+J207+J212</f>
        <v>1370000000</v>
      </c>
      <c r="K203" s="393">
        <f>K204+K207+K212</f>
        <v>0</v>
      </c>
      <c r="L203" s="394">
        <f>L204+L207+L212</f>
        <v>717446707.25999999</v>
      </c>
      <c r="M203" s="393">
        <f>M204+M207+M212</f>
        <v>105024825.84999999</v>
      </c>
      <c r="N203" s="393">
        <f>N204+N207+N212</f>
        <v>822471533.11000001</v>
      </c>
      <c r="O203" s="349">
        <f>N203-K203</f>
        <v>822471533.11000001</v>
      </c>
      <c r="P203" s="350" t="e">
        <f>N203/K203*100</f>
        <v>#DIV/0!</v>
      </c>
      <c r="Q203" s="444"/>
      <c r="R203" s="422"/>
      <c r="S203" s="436"/>
    </row>
    <row r="204" spans="1:19" s="189" customFormat="1" ht="12.05" customHeight="1">
      <c r="A204" s="293"/>
      <c r="B204" s="292">
        <v>4</v>
      </c>
      <c r="C204" s="292">
        <v>1</v>
      </c>
      <c r="D204" s="292">
        <v>4</v>
      </c>
      <c r="E204" s="292" t="s">
        <v>441</v>
      </c>
      <c r="F204" s="292"/>
      <c r="G204" s="253" t="s">
        <v>557</v>
      </c>
      <c r="H204" s="253"/>
      <c r="I204" s="253"/>
      <c r="J204" s="333">
        <f>+J205</f>
        <v>0</v>
      </c>
      <c r="K204" s="334">
        <f>+K205</f>
        <v>0</v>
      </c>
      <c r="L204" s="356">
        <f>+L205</f>
        <v>187115021.74000001</v>
      </c>
      <c r="M204" s="334">
        <f>+M205</f>
        <v>1559000</v>
      </c>
      <c r="N204" s="396">
        <f>+M204+L204</f>
        <v>188674021.74000001</v>
      </c>
      <c r="O204" s="396">
        <f>N204-K204</f>
        <v>188674021.74000001</v>
      </c>
      <c r="P204" s="344"/>
      <c r="Q204" s="430"/>
      <c r="R204" s="422"/>
    </row>
    <row r="205" spans="1:19" s="189" customFormat="1" ht="12.05" customHeight="1">
      <c r="A205" s="293"/>
      <c r="B205" s="292">
        <v>4</v>
      </c>
      <c r="C205" s="292">
        <v>1</v>
      </c>
      <c r="D205" s="292">
        <v>4</v>
      </c>
      <c r="E205" s="292" t="s">
        <v>441</v>
      </c>
      <c r="F205" s="292" t="s">
        <v>437</v>
      </c>
      <c r="G205" s="253" t="s">
        <v>72</v>
      </c>
      <c r="H205" s="253"/>
      <c r="I205" s="253"/>
      <c r="J205" s="354">
        <v>0</v>
      </c>
      <c r="K205" s="355">
        <f>'[55]TARGET MURNI DAN PERUBAHAN'!$E$100</f>
        <v>0</v>
      </c>
      <c r="L205" s="360">
        <f>[56]PerDinas!$N$205</f>
        <v>187115021.74000001</v>
      </c>
      <c r="M205" s="355">
        <f>[55]Perdinas!$P$129</f>
        <v>1559000</v>
      </c>
      <c r="N205" s="369">
        <f t="shared" ref="N205:N210" si="31">M205+L205</f>
        <v>188674021.74000001</v>
      </c>
      <c r="O205" s="355">
        <f>N205-K205</f>
        <v>188674021.74000001</v>
      </c>
      <c r="P205" s="388"/>
      <c r="Q205" s="441"/>
      <c r="R205" s="554"/>
      <c r="S205" s="542"/>
    </row>
    <row r="206" spans="1:19" s="189" customFormat="1" ht="12.05" customHeight="1">
      <c r="A206" s="293"/>
      <c r="B206" s="292"/>
      <c r="C206" s="292"/>
      <c r="D206" s="292"/>
      <c r="E206" s="292"/>
      <c r="F206" s="292"/>
      <c r="G206" s="253"/>
      <c r="H206" s="253"/>
      <c r="I206" s="253"/>
      <c r="J206" s="354"/>
      <c r="K206" s="355"/>
      <c r="L206" s="360"/>
      <c r="M206" s="355"/>
      <c r="N206" s="355"/>
      <c r="O206" s="355"/>
      <c r="P206" s="388"/>
      <c r="Q206" s="441"/>
      <c r="R206" s="422"/>
    </row>
    <row r="207" spans="1:19" s="189" customFormat="1" ht="12.05" customHeight="1">
      <c r="A207" s="293"/>
      <c r="B207" s="292">
        <v>4</v>
      </c>
      <c r="C207" s="292">
        <v>1</v>
      </c>
      <c r="D207" s="292">
        <v>4</v>
      </c>
      <c r="E207" s="292" t="s">
        <v>444</v>
      </c>
      <c r="F207" s="292"/>
      <c r="G207" s="253" t="s">
        <v>222</v>
      </c>
      <c r="H207" s="253"/>
      <c r="I207" s="253"/>
      <c r="J207" s="526">
        <f>+J210</f>
        <v>1300000000</v>
      </c>
      <c r="K207" s="527">
        <f>+K210</f>
        <v>0</v>
      </c>
      <c r="L207" s="670">
        <f>SUM(L208:L210)</f>
        <v>530331685.51999998</v>
      </c>
      <c r="M207" s="527">
        <f>SUM(M208:M210)</f>
        <v>103465825.84999999</v>
      </c>
      <c r="N207" s="527">
        <f>SUM(N208:N210)</f>
        <v>633797511.37</v>
      </c>
      <c r="O207" s="529">
        <f>N207-K207</f>
        <v>633797511.37</v>
      </c>
      <c r="P207" s="350" t="e">
        <f>N207/K207*100</f>
        <v>#DIV/0!</v>
      </c>
      <c r="Q207" s="644"/>
      <c r="R207" s="422"/>
    </row>
    <row r="208" spans="1:19" s="189" customFormat="1" ht="12.05" customHeight="1">
      <c r="A208" s="289"/>
      <c r="B208" s="292">
        <v>4</v>
      </c>
      <c r="C208" s="292">
        <v>1</v>
      </c>
      <c r="D208" s="292">
        <v>4</v>
      </c>
      <c r="E208" s="292" t="s">
        <v>444</v>
      </c>
      <c r="F208" s="292" t="s">
        <v>440</v>
      </c>
      <c r="G208" s="253" t="s">
        <v>73</v>
      </c>
      <c r="H208" s="253"/>
      <c r="I208" s="253"/>
      <c r="J208" s="354"/>
      <c r="K208" s="355"/>
      <c r="L208" s="360">
        <v>0</v>
      </c>
      <c r="M208" s="355">
        <f>[55]Perdinas!$P$130</f>
        <v>0</v>
      </c>
      <c r="N208" s="369">
        <f t="shared" si="31"/>
        <v>0</v>
      </c>
      <c r="O208" s="355">
        <f>N208-K208</f>
        <v>0</v>
      </c>
      <c r="P208" s="388"/>
      <c r="Q208" s="441"/>
      <c r="R208" s="422"/>
    </row>
    <row r="209" spans="1:19" s="189" customFormat="1" ht="12.05" customHeight="1">
      <c r="A209" s="289"/>
      <c r="B209" s="292">
        <v>4</v>
      </c>
      <c r="C209" s="292">
        <v>1</v>
      </c>
      <c r="D209" s="292">
        <v>4</v>
      </c>
      <c r="E209" s="292" t="s">
        <v>444</v>
      </c>
      <c r="F209" s="292" t="s">
        <v>445</v>
      </c>
      <c r="G209" s="253" t="s">
        <v>74</v>
      </c>
      <c r="H209" s="253"/>
      <c r="I209" s="253"/>
      <c r="J209" s="354"/>
      <c r="K209" s="355"/>
      <c r="L209" s="360">
        <v>0</v>
      </c>
      <c r="M209" s="355">
        <f>[55]Perdinas!$P$131</f>
        <v>0</v>
      </c>
      <c r="N209" s="355">
        <f t="shared" si="31"/>
        <v>0</v>
      </c>
      <c r="O209" s="355">
        <f>N209-K209</f>
        <v>0</v>
      </c>
      <c r="P209" s="388">
        <v>0</v>
      </c>
      <c r="Q209" s="441"/>
      <c r="R209" s="422"/>
    </row>
    <row r="210" spans="1:19" s="189" customFormat="1" ht="12.05" customHeight="1">
      <c r="A210" s="293"/>
      <c r="B210" s="292">
        <v>4</v>
      </c>
      <c r="C210" s="292">
        <v>1</v>
      </c>
      <c r="D210" s="292">
        <v>4</v>
      </c>
      <c r="E210" s="292" t="s">
        <v>444</v>
      </c>
      <c r="F210" s="292" t="s">
        <v>441</v>
      </c>
      <c r="G210" s="253" t="s">
        <v>75</v>
      </c>
      <c r="H210" s="253"/>
      <c r="I210" s="253"/>
      <c r="J210" s="354">
        <v>1300000000</v>
      </c>
      <c r="K210" s="355">
        <f>'[55]TARGET MURNI DAN PERUBAHAN'!$E$101</f>
        <v>0</v>
      </c>
      <c r="L210" s="360">
        <f>[56]PerDinas!$N$210</f>
        <v>530331685.51999998</v>
      </c>
      <c r="M210" s="355">
        <f>[55]Perdinas!$P$132</f>
        <v>103465825.84999999</v>
      </c>
      <c r="N210" s="369">
        <f t="shared" si="31"/>
        <v>633797511.37</v>
      </c>
      <c r="O210" s="355">
        <f>N210-K210</f>
        <v>633797511.37</v>
      </c>
      <c r="P210" s="350" t="e">
        <f>N210/K210*100</f>
        <v>#DIV/0!</v>
      </c>
      <c r="Q210" s="441"/>
      <c r="R210" s="545"/>
      <c r="S210" s="436"/>
    </row>
    <row r="211" spans="1:19" s="189" customFormat="1" ht="12.05" customHeight="1">
      <c r="A211" s="293"/>
      <c r="B211" s="292"/>
      <c r="C211" s="292"/>
      <c r="D211" s="292"/>
      <c r="E211" s="292"/>
      <c r="F211" s="292"/>
      <c r="G211" s="253"/>
      <c r="H211" s="253"/>
      <c r="I211" s="253"/>
      <c r="J211" s="354"/>
      <c r="K211" s="355"/>
      <c r="L211" s="391"/>
      <c r="M211" s="357"/>
      <c r="N211" s="357"/>
      <c r="O211" s="357"/>
      <c r="P211" s="358"/>
      <c r="Q211" s="441"/>
      <c r="R211" s="422"/>
    </row>
    <row r="212" spans="1:19" s="189" customFormat="1" ht="12.05" customHeight="1">
      <c r="A212" s="293"/>
      <c r="B212" s="292" t="s">
        <v>443</v>
      </c>
      <c r="C212" s="292" t="s">
        <v>58</v>
      </c>
      <c r="D212" s="292" t="s">
        <v>443</v>
      </c>
      <c r="E212" s="292" t="s">
        <v>948</v>
      </c>
      <c r="F212" s="292" t="s">
        <v>437</v>
      </c>
      <c r="G212" s="253" t="s">
        <v>964</v>
      </c>
      <c r="H212" s="253"/>
      <c r="I212" s="253"/>
      <c r="J212" s="526">
        <f>J213</f>
        <v>70000000</v>
      </c>
      <c r="K212" s="527">
        <f>K213</f>
        <v>0</v>
      </c>
      <c r="L212" s="670">
        <f>L213</f>
        <v>0</v>
      </c>
      <c r="M212" s="527">
        <f>M213</f>
        <v>0</v>
      </c>
      <c r="N212" s="527">
        <f>M212+L212</f>
        <v>0</v>
      </c>
      <c r="O212" s="527">
        <f>N212-K212</f>
        <v>0</v>
      </c>
      <c r="P212" s="671"/>
      <c r="Q212" s="644"/>
      <c r="R212" s="422"/>
    </row>
    <row r="213" spans="1:19" s="189" customFormat="1" ht="12.05" customHeight="1">
      <c r="A213" s="465"/>
      <c r="B213" s="296"/>
      <c r="C213" s="296"/>
      <c r="D213" s="296"/>
      <c r="E213" s="296"/>
      <c r="F213" s="296"/>
      <c r="G213" s="2775" t="s">
        <v>50</v>
      </c>
      <c r="H213" s="297" t="s">
        <v>85</v>
      </c>
      <c r="I213" s="297"/>
      <c r="J213" s="333">
        <v>70000000</v>
      </c>
      <c r="K213" s="661">
        <f>'[55]TARGET MURNI DAN PERUBAHAN'!$E$102</f>
        <v>0</v>
      </c>
      <c r="L213" s="356">
        <f>[56]PerDinas!$N$213</f>
        <v>0</v>
      </c>
      <c r="M213" s="661">
        <f>[55]Perdinas!$P$133</f>
        <v>0</v>
      </c>
      <c r="N213" s="361">
        <f>M213+L213</f>
        <v>0</v>
      </c>
      <c r="O213" s="334">
        <f>N213-K213</f>
        <v>0</v>
      </c>
      <c r="P213" s="335"/>
      <c r="Q213" s="430"/>
      <c r="R213" s="422"/>
    </row>
    <row r="214" spans="1:19" s="244" customFormat="1" ht="12.05" customHeight="1">
      <c r="A214" s="1186" t="s">
        <v>483</v>
      </c>
      <c r="B214" s="1187" t="s">
        <v>58</v>
      </c>
      <c r="C214" s="1187" t="s">
        <v>441</v>
      </c>
      <c r="D214" s="1187" t="s">
        <v>437</v>
      </c>
      <c r="E214" s="1187"/>
      <c r="F214" s="1187"/>
      <c r="G214" s="1228" t="s">
        <v>730</v>
      </c>
      <c r="H214" s="1188"/>
      <c r="I214" s="1188"/>
      <c r="J214" s="1195">
        <f>+J222</f>
        <v>4800000</v>
      </c>
      <c r="K214" s="1196">
        <f>K216</f>
        <v>0</v>
      </c>
      <c r="L214" s="1196">
        <f>+L216</f>
        <v>1427500</v>
      </c>
      <c r="M214" s="1196">
        <f>+M216</f>
        <v>0</v>
      </c>
      <c r="N214" s="1196">
        <f>M214+L214</f>
        <v>1427500</v>
      </c>
      <c r="O214" s="1196">
        <f>+N214-K214</f>
        <v>1427500</v>
      </c>
      <c r="P214" s="1197" t="e">
        <f>+N214/K214*100</f>
        <v>#DIV/0!</v>
      </c>
      <c r="Q214" s="1208"/>
      <c r="R214" s="639"/>
    </row>
    <row r="215" spans="1:19" s="189" customFormat="1" ht="12.05" customHeight="1">
      <c r="A215" s="471"/>
      <c r="B215" s="287"/>
      <c r="C215" s="287"/>
      <c r="D215" s="287"/>
      <c r="E215" s="287"/>
      <c r="F215" s="287"/>
      <c r="G215" s="288"/>
      <c r="H215" s="288"/>
      <c r="I215" s="288"/>
      <c r="J215" s="385"/>
      <c r="K215" s="386"/>
      <c r="L215" s="386"/>
      <c r="M215" s="386"/>
      <c r="N215" s="386"/>
      <c r="O215" s="386"/>
      <c r="P215" s="341"/>
      <c r="Q215" s="453"/>
      <c r="R215" s="422"/>
    </row>
    <row r="216" spans="1:19" s="189" customFormat="1" ht="12.05" customHeight="1">
      <c r="A216" s="293"/>
      <c r="B216" s="290">
        <v>4</v>
      </c>
      <c r="C216" s="290">
        <v>1</v>
      </c>
      <c r="D216" s="290"/>
      <c r="E216" s="290"/>
      <c r="F216" s="290"/>
      <c r="G216" s="291" t="s">
        <v>180</v>
      </c>
      <c r="H216" s="291"/>
      <c r="I216" s="291"/>
      <c r="J216" s="342">
        <f>+J218+J222</f>
        <v>4800000</v>
      </c>
      <c r="K216" s="343">
        <f>+K218+K222</f>
        <v>0</v>
      </c>
      <c r="L216" s="343">
        <f>+L218+L222</f>
        <v>1427500</v>
      </c>
      <c r="M216" s="343">
        <f>+M218+M222</f>
        <v>0</v>
      </c>
      <c r="N216" s="343">
        <f>+M216+L216</f>
        <v>1427500</v>
      </c>
      <c r="O216" s="343">
        <f>N216-K216</f>
        <v>1427500</v>
      </c>
      <c r="P216" s="344" t="e">
        <f>N216/K216*100</f>
        <v>#DIV/0!</v>
      </c>
      <c r="Q216" s="437"/>
      <c r="R216" s="422"/>
    </row>
    <row r="217" spans="1:19" s="189" customFormat="1" ht="12.05" customHeight="1">
      <c r="A217" s="293"/>
      <c r="B217" s="292"/>
      <c r="C217" s="292"/>
      <c r="D217" s="292"/>
      <c r="E217" s="292"/>
      <c r="F217" s="292"/>
      <c r="G217" s="253"/>
      <c r="H217" s="253"/>
      <c r="I217" s="291"/>
      <c r="J217" s="345"/>
      <c r="K217" s="346"/>
      <c r="L217" s="346"/>
      <c r="M217" s="346"/>
      <c r="N217" s="346"/>
      <c r="O217" s="346"/>
      <c r="P217" s="347"/>
      <c r="Q217" s="438"/>
      <c r="R217" s="422"/>
    </row>
    <row r="218" spans="1:19" s="189" customFormat="1" ht="12.05" customHeight="1">
      <c r="A218" s="293"/>
      <c r="B218" s="290">
        <v>4</v>
      </c>
      <c r="C218" s="290">
        <v>1</v>
      </c>
      <c r="D218" s="290">
        <v>2</v>
      </c>
      <c r="E218" s="290"/>
      <c r="F218" s="290"/>
      <c r="G218" s="291" t="s">
        <v>106</v>
      </c>
      <c r="H218" s="291"/>
      <c r="I218" s="291"/>
      <c r="J218" s="348">
        <f t="shared" ref="J218:M219" si="32">+J219</f>
        <v>0</v>
      </c>
      <c r="K218" s="349">
        <f t="shared" si="32"/>
        <v>0</v>
      </c>
      <c r="L218" s="589">
        <f t="shared" si="32"/>
        <v>0</v>
      </c>
      <c r="M218" s="349">
        <f t="shared" si="32"/>
        <v>0</v>
      </c>
      <c r="N218" s="349">
        <f>+M218+L218</f>
        <v>0</v>
      </c>
      <c r="O218" s="349">
        <f>N218-K218</f>
        <v>0</v>
      </c>
      <c r="P218" s="350"/>
      <c r="Q218" s="439"/>
      <c r="R218" s="422"/>
    </row>
    <row r="219" spans="1:19" s="189" customFormat="1" ht="12.05" customHeight="1">
      <c r="A219" s="293"/>
      <c r="B219" s="292">
        <v>4</v>
      </c>
      <c r="C219" s="292">
        <v>1</v>
      </c>
      <c r="D219" s="292">
        <v>2</v>
      </c>
      <c r="E219" s="292" t="s">
        <v>437</v>
      </c>
      <c r="F219" s="292"/>
      <c r="G219" s="253" t="s">
        <v>107</v>
      </c>
      <c r="H219" s="253"/>
      <c r="I219" s="291"/>
      <c r="J219" s="411">
        <f t="shared" si="32"/>
        <v>0</v>
      </c>
      <c r="K219" s="412">
        <f t="shared" si="32"/>
        <v>0</v>
      </c>
      <c r="L219" s="591">
        <f t="shared" si="32"/>
        <v>0</v>
      </c>
      <c r="M219" s="412">
        <f t="shared" si="32"/>
        <v>0</v>
      </c>
      <c r="N219" s="412">
        <f>+M219+L219</f>
        <v>0</v>
      </c>
      <c r="O219" s="412">
        <f>N219-K219</f>
        <v>0</v>
      </c>
      <c r="P219" s="487"/>
      <c r="Q219" s="694"/>
      <c r="R219" s="422"/>
    </row>
    <row r="220" spans="1:19" s="189" customFormat="1" ht="12.05" customHeight="1">
      <c r="A220" s="293"/>
      <c r="B220" s="292">
        <v>4</v>
      </c>
      <c r="C220" s="292">
        <v>1</v>
      </c>
      <c r="D220" s="292">
        <v>2</v>
      </c>
      <c r="E220" s="292" t="s">
        <v>437</v>
      </c>
      <c r="F220" s="292" t="s">
        <v>440</v>
      </c>
      <c r="G220" s="253" t="s">
        <v>961</v>
      </c>
      <c r="H220" s="253"/>
      <c r="I220" s="253"/>
      <c r="J220" s="333">
        <v>0</v>
      </c>
      <c r="K220" s="661">
        <f>'[55]TARGET MURNI DAN PERUBAHAN'!$E$106</f>
        <v>0</v>
      </c>
      <c r="L220" s="356">
        <v>0</v>
      </c>
      <c r="M220" s="661">
        <f>[55]Perdinas!$P$137</f>
        <v>0</v>
      </c>
      <c r="N220" s="334">
        <f>M220+L220</f>
        <v>0</v>
      </c>
      <c r="O220" s="334">
        <f>N220-K220</f>
        <v>0</v>
      </c>
      <c r="P220" s="335"/>
      <c r="Q220" s="430"/>
      <c r="R220" s="422"/>
    </row>
    <row r="221" spans="1:19" s="189" customFormat="1" ht="12.05" customHeight="1">
      <c r="A221" s="293"/>
      <c r="B221" s="292"/>
      <c r="C221" s="292"/>
      <c r="D221" s="292"/>
      <c r="E221" s="292"/>
      <c r="F221" s="292"/>
      <c r="G221" s="253"/>
      <c r="H221" s="253"/>
      <c r="I221" s="253"/>
      <c r="J221" s="354"/>
      <c r="K221" s="355"/>
      <c r="L221" s="360"/>
      <c r="M221" s="355"/>
      <c r="N221" s="355"/>
      <c r="O221" s="355"/>
      <c r="P221" s="388"/>
      <c r="Q221" s="441"/>
      <c r="R221" s="422"/>
    </row>
    <row r="222" spans="1:19" s="189" customFormat="1" ht="12.05" customHeight="1">
      <c r="A222" s="293"/>
      <c r="B222" s="290">
        <v>4</v>
      </c>
      <c r="C222" s="290">
        <v>1</v>
      </c>
      <c r="D222" s="290">
        <v>4</v>
      </c>
      <c r="E222" s="290"/>
      <c r="F222" s="290"/>
      <c r="G222" s="291" t="s">
        <v>71</v>
      </c>
      <c r="H222" s="291"/>
      <c r="I222" s="291"/>
      <c r="J222" s="392">
        <f>J223+J226+J230</f>
        <v>4800000</v>
      </c>
      <c r="K222" s="393">
        <f>K223+K226+K230</f>
        <v>0</v>
      </c>
      <c r="L222" s="394">
        <f>L223+L226+L230</f>
        <v>1427500</v>
      </c>
      <c r="M222" s="393">
        <f>M223+M226+M230</f>
        <v>0</v>
      </c>
      <c r="N222" s="393">
        <f>L222+M222</f>
        <v>1427500</v>
      </c>
      <c r="O222" s="349">
        <f>N222-K222</f>
        <v>1427500</v>
      </c>
      <c r="P222" s="350" t="e">
        <f>N222/K222*100</f>
        <v>#DIV/0!</v>
      </c>
      <c r="Q222" s="444"/>
      <c r="R222" s="422"/>
    </row>
    <row r="223" spans="1:19" s="189" customFormat="1" ht="12.05" customHeight="1">
      <c r="A223" s="293"/>
      <c r="B223" s="292">
        <v>4</v>
      </c>
      <c r="C223" s="292">
        <v>1</v>
      </c>
      <c r="D223" s="292">
        <v>4</v>
      </c>
      <c r="E223" s="292" t="s">
        <v>441</v>
      </c>
      <c r="F223" s="292"/>
      <c r="G223" s="253" t="s">
        <v>557</v>
      </c>
      <c r="H223" s="253"/>
      <c r="I223" s="253"/>
      <c r="J223" s="333">
        <f>J224</f>
        <v>0</v>
      </c>
      <c r="K223" s="334">
        <f>K224</f>
        <v>0</v>
      </c>
      <c r="L223" s="356">
        <f>+L224</f>
        <v>0</v>
      </c>
      <c r="M223" s="334">
        <f>+M224</f>
        <v>0</v>
      </c>
      <c r="N223" s="396">
        <f>+M223+L223</f>
        <v>0</v>
      </c>
      <c r="O223" s="396">
        <f>N223-K223</f>
        <v>0</v>
      </c>
      <c r="P223" s="344"/>
      <c r="Q223" s="430"/>
      <c r="R223" s="422"/>
    </row>
    <row r="224" spans="1:19" s="189" customFormat="1" ht="12.05" customHeight="1">
      <c r="A224" s="293"/>
      <c r="B224" s="292">
        <v>4</v>
      </c>
      <c r="C224" s="292">
        <v>1</v>
      </c>
      <c r="D224" s="292">
        <v>4</v>
      </c>
      <c r="E224" s="292" t="s">
        <v>441</v>
      </c>
      <c r="F224" s="292" t="s">
        <v>437</v>
      </c>
      <c r="G224" s="253" t="s">
        <v>72</v>
      </c>
      <c r="H224" s="253"/>
      <c r="I224" s="253"/>
      <c r="J224" s="354">
        <v>0</v>
      </c>
      <c r="K224" s="661">
        <f>'[55]TARGET MURNI DAN PERUBAHAN'!$E$109</f>
        <v>0</v>
      </c>
      <c r="L224" s="360">
        <f>[56]PerDinas!$N$224</f>
        <v>0</v>
      </c>
      <c r="M224" s="355">
        <f>[55]Perdinas!$P$140</f>
        <v>0</v>
      </c>
      <c r="N224" s="355">
        <f t="shared" ref="N224:N230" si="33">M224+L224</f>
        <v>0</v>
      </c>
      <c r="O224" s="355">
        <f>N224-K224</f>
        <v>0</v>
      </c>
      <c r="P224" s="388"/>
      <c r="Q224" s="441"/>
      <c r="R224" s="422"/>
    </row>
    <row r="225" spans="1:18" s="189" customFormat="1" ht="12.05" customHeight="1">
      <c r="A225" s="293"/>
      <c r="B225" s="290"/>
      <c r="C225" s="290"/>
      <c r="D225" s="290"/>
      <c r="E225" s="290"/>
      <c r="F225" s="290"/>
      <c r="G225" s="291"/>
      <c r="H225" s="291"/>
      <c r="I225" s="291"/>
      <c r="J225" s="329"/>
      <c r="K225" s="330"/>
      <c r="L225" s="372"/>
      <c r="M225" s="371"/>
      <c r="N225" s="371"/>
      <c r="O225" s="367"/>
      <c r="P225" s="347"/>
      <c r="Q225" s="651"/>
      <c r="R225" s="422"/>
    </row>
    <row r="226" spans="1:18" s="190" customFormat="1" ht="12.05" customHeight="1">
      <c r="A226" s="293"/>
      <c r="B226" s="290">
        <v>4</v>
      </c>
      <c r="C226" s="290">
        <v>1</v>
      </c>
      <c r="D226" s="290">
        <v>4</v>
      </c>
      <c r="E226" s="290" t="s">
        <v>444</v>
      </c>
      <c r="F226" s="290"/>
      <c r="G226" s="291" t="s">
        <v>222</v>
      </c>
      <c r="H226" s="291"/>
      <c r="I226" s="291"/>
      <c r="J226" s="475">
        <f>J227+J228+J229</f>
        <v>0</v>
      </c>
      <c r="K226" s="476">
        <f>K227+K228+K229</f>
        <v>0</v>
      </c>
      <c r="L226" s="675">
        <f>L227+L228+L229</f>
        <v>1427500</v>
      </c>
      <c r="M226" s="676">
        <f>M227+M228+M229</f>
        <v>0</v>
      </c>
      <c r="N226" s="492">
        <f>+M226+L226</f>
        <v>1427500</v>
      </c>
      <c r="O226" s="492">
        <f>N226-K230</f>
        <v>1427500</v>
      </c>
      <c r="P226" s="487"/>
      <c r="Q226" s="696"/>
      <c r="R226" s="446"/>
    </row>
    <row r="227" spans="1:18" s="189" customFormat="1" ht="12.05" customHeight="1">
      <c r="A227" s="289"/>
      <c r="B227" s="292">
        <v>4</v>
      </c>
      <c r="C227" s="292">
        <v>1</v>
      </c>
      <c r="D227" s="292">
        <v>4</v>
      </c>
      <c r="E227" s="292" t="s">
        <v>444</v>
      </c>
      <c r="F227" s="292" t="s">
        <v>440</v>
      </c>
      <c r="G227" s="253" t="s">
        <v>73</v>
      </c>
      <c r="H227" s="253"/>
      <c r="I227" s="253"/>
      <c r="J227" s="389">
        <v>0</v>
      </c>
      <c r="K227" s="357">
        <v>0</v>
      </c>
      <c r="L227" s="360">
        <v>0</v>
      </c>
      <c r="M227" s="355">
        <f>[55]Perdinas!$P$141</f>
        <v>0</v>
      </c>
      <c r="N227" s="355">
        <f t="shared" si="33"/>
        <v>0</v>
      </c>
      <c r="O227" s="677">
        <f>N227-K227</f>
        <v>0</v>
      </c>
      <c r="P227" s="388"/>
      <c r="Q227" s="441"/>
      <c r="R227" s="422"/>
    </row>
    <row r="228" spans="1:18" s="189" customFormat="1" ht="12.05" customHeight="1">
      <c r="A228" s="289"/>
      <c r="B228" s="292">
        <v>4</v>
      </c>
      <c r="C228" s="292">
        <v>1</v>
      </c>
      <c r="D228" s="292">
        <v>4</v>
      </c>
      <c r="E228" s="292" t="s">
        <v>444</v>
      </c>
      <c r="F228" s="292" t="s">
        <v>445</v>
      </c>
      <c r="G228" s="253" t="s">
        <v>74</v>
      </c>
      <c r="H228" s="253"/>
      <c r="I228" s="253"/>
      <c r="J228" s="354">
        <v>0</v>
      </c>
      <c r="K228" s="355">
        <v>0</v>
      </c>
      <c r="L228" s="360">
        <v>0</v>
      </c>
      <c r="M228" s="355">
        <f>[55]Perdinas!$P$142</f>
        <v>0</v>
      </c>
      <c r="N228" s="355">
        <f t="shared" si="33"/>
        <v>0</v>
      </c>
      <c r="O228" s="346">
        <f>N228-K228</f>
        <v>0</v>
      </c>
      <c r="P228" s="388"/>
      <c r="Q228" s="697"/>
      <c r="R228" s="422"/>
    </row>
    <row r="229" spans="1:18" s="189" customFormat="1" ht="12.05" customHeight="1">
      <c r="A229" s="289"/>
      <c r="B229" s="292">
        <v>4</v>
      </c>
      <c r="C229" s="292">
        <v>1</v>
      </c>
      <c r="D229" s="292">
        <v>4</v>
      </c>
      <c r="E229" s="292" t="s">
        <v>444</v>
      </c>
      <c r="F229" s="292" t="s">
        <v>441</v>
      </c>
      <c r="G229" s="253" t="s">
        <v>965</v>
      </c>
      <c r="H229" s="253"/>
      <c r="I229" s="253"/>
      <c r="J229" s="354">
        <v>0</v>
      </c>
      <c r="K229" s="373">
        <f>'[55]TARGET MURNI DAN PERUBAHAN'!$E$110</f>
        <v>0</v>
      </c>
      <c r="L229" s="360">
        <f>[56]PerDinas!$N$229</f>
        <v>1427500</v>
      </c>
      <c r="M229" s="373">
        <f>[55]Perdinas!$P$143</f>
        <v>0</v>
      </c>
      <c r="N229" s="355">
        <f t="shared" si="33"/>
        <v>1427500</v>
      </c>
      <c r="O229" s="346">
        <f>N229-K229</f>
        <v>1427500</v>
      </c>
      <c r="P229" s="388"/>
      <c r="Q229" s="441"/>
      <c r="R229" s="545"/>
    </row>
    <row r="230" spans="1:18" s="189" customFormat="1" ht="12.05" customHeight="1">
      <c r="A230" s="293"/>
      <c r="B230" s="292">
        <v>4</v>
      </c>
      <c r="C230" s="292">
        <v>1</v>
      </c>
      <c r="D230" s="292">
        <v>4</v>
      </c>
      <c r="E230" s="292" t="s">
        <v>948</v>
      </c>
      <c r="F230" s="292" t="s">
        <v>437</v>
      </c>
      <c r="G230" s="253" t="s">
        <v>85</v>
      </c>
      <c r="H230" s="253"/>
      <c r="I230" s="253"/>
      <c r="J230" s="354">
        <v>4800000</v>
      </c>
      <c r="K230" s="373">
        <f>'[55]TARGET MURNI DAN PERUBAHAN'!$E$111</f>
        <v>0</v>
      </c>
      <c r="L230" s="360">
        <v>0</v>
      </c>
      <c r="M230" s="373">
        <v>0</v>
      </c>
      <c r="N230" s="355">
        <f t="shared" si="33"/>
        <v>0</v>
      </c>
      <c r="O230" s="346">
        <f>N230-K230</f>
        <v>0</v>
      </c>
      <c r="P230" s="388" t="e">
        <f>N230/K230*100</f>
        <v>#DIV/0!</v>
      </c>
      <c r="Q230" s="441"/>
      <c r="R230" s="422"/>
    </row>
    <row r="231" spans="1:18" s="189" customFormat="1" ht="12.05" customHeight="1">
      <c r="A231" s="465"/>
      <c r="B231" s="296"/>
      <c r="C231" s="296"/>
      <c r="D231" s="296"/>
      <c r="E231" s="296"/>
      <c r="F231" s="296"/>
      <c r="G231" s="297"/>
      <c r="H231" s="297"/>
      <c r="I231" s="297"/>
      <c r="J231" s="333"/>
      <c r="K231" s="334"/>
      <c r="L231" s="356"/>
      <c r="M231" s="334"/>
      <c r="N231" s="334"/>
      <c r="O231" s="334"/>
      <c r="P231" s="335"/>
      <c r="Q231" s="430"/>
      <c r="R231" s="422"/>
    </row>
    <row r="232" spans="1:18" s="244" customFormat="1" ht="12.05" customHeight="1">
      <c r="A232" s="1186" t="s">
        <v>121</v>
      </c>
      <c r="B232" s="1187" t="s">
        <v>58</v>
      </c>
      <c r="C232" s="1187" t="s">
        <v>456</v>
      </c>
      <c r="D232" s="1187" t="s">
        <v>437</v>
      </c>
      <c r="E232" s="1187"/>
      <c r="F232" s="1187"/>
      <c r="G232" s="1228" t="s">
        <v>732</v>
      </c>
      <c r="H232" s="1229"/>
      <c r="I232" s="1229"/>
      <c r="J232" s="1195">
        <f>+J234</f>
        <v>771601000</v>
      </c>
      <c r="K232" s="1196">
        <f>+K234</f>
        <v>211889500</v>
      </c>
      <c r="L232" s="1196">
        <f>+L234</f>
        <v>80725000</v>
      </c>
      <c r="M232" s="1196">
        <f>+M234</f>
        <v>28201388</v>
      </c>
      <c r="N232" s="1196">
        <f>M232+L232</f>
        <v>108926388</v>
      </c>
      <c r="O232" s="1196">
        <f>+N232-K232</f>
        <v>-102963112</v>
      </c>
      <c r="P232" s="1197">
        <f>+N232/K232*100</f>
        <v>51.407166471203148</v>
      </c>
      <c r="Q232" s="1208"/>
      <c r="R232" s="639"/>
    </row>
    <row r="233" spans="1:18" s="189" customFormat="1" ht="12.05" customHeight="1">
      <c r="A233" s="471"/>
      <c r="B233" s="287"/>
      <c r="C233" s="287"/>
      <c r="D233" s="287"/>
      <c r="E233" s="287"/>
      <c r="F233" s="287"/>
      <c r="G233" s="288"/>
      <c r="H233" s="288"/>
      <c r="I233" s="288"/>
      <c r="J233" s="339"/>
      <c r="K233" s="340"/>
      <c r="L233" s="340"/>
      <c r="M233" s="340"/>
      <c r="N233" s="340"/>
      <c r="O233" s="340"/>
      <c r="P233" s="341"/>
      <c r="Q233" s="435"/>
      <c r="R233" s="422"/>
    </row>
    <row r="234" spans="1:18" s="189" customFormat="1" ht="12.05" customHeight="1">
      <c r="A234" s="293"/>
      <c r="B234" s="290">
        <v>4</v>
      </c>
      <c r="C234" s="290">
        <v>1</v>
      </c>
      <c r="D234" s="290"/>
      <c r="E234" s="290"/>
      <c r="F234" s="290"/>
      <c r="G234" s="291" t="s">
        <v>180</v>
      </c>
      <c r="H234" s="291"/>
      <c r="I234" s="291"/>
      <c r="J234" s="342">
        <f>+J236+J243</f>
        <v>771601000</v>
      </c>
      <c r="K234" s="343">
        <f>+K236+K243</f>
        <v>211889500</v>
      </c>
      <c r="L234" s="343">
        <f>+L236+L243</f>
        <v>80725000</v>
      </c>
      <c r="M234" s="343">
        <f>+M236+M243</f>
        <v>28201388</v>
      </c>
      <c r="N234" s="343">
        <f>+M234+L234</f>
        <v>108926388</v>
      </c>
      <c r="O234" s="343">
        <f t="shared" ref="O234:O241" si="34">N234-K234</f>
        <v>-102963112</v>
      </c>
      <c r="P234" s="344">
        <f t="shared" ref="P234:P241" si="35">N234/K234*100</f>
        <v>51.407166471203148</v>
      </c>
      <c r="Q234" s="437"/>
      <c r="R234" s="422"/>
    </row>
    <row r="235" spans="1:18" s="189" customFormat="1" ht="12.05" customHeight="1">
      <c r="A235" s="293"/>
      <c r="B235" s="292"/>
      <c r="C235" s="292"/>
      <c r="D235" s="292"/>
      <c r="E235" s="292"/>
      <c r="F235" s="292"/>
      <c r="G235" s="253"/>
      <c r="H235" s="253"/>
      <c r="I235" s="291"/>
      <c r="J235" s="345"/>
      <c r="K235" s="346"/>
      <c r="L235" s="346"/>
      <c r="M235" s="346"/>
      <c r="N235" s="346"/>
      <c r="O235" s="346"/>
      <c r="P235" s="347"/>
      <c r="Q235" s="438"/>
      <c r="R235" s="422"/>
    </row>
    <row r="236" spans="1:18" s="189" customFormat="1" ht="12.05" customHeight="1">
      <c r="A236" s="293"/>
      <c r="B236" s="290">
        <v>4</v>
      </c>
      <c r="C236" s="290">
        <v>1</v>
      </c>
      <c r="D236" s="290">
        <v>2</v>
      </c>
      <c r="E236" s="290"/>
      <c r="F236" s="290"/>
      <c r="G236" s="291" t="s">
        <v>106</v>
      </c>
      <c r="H236" s="291"/>
      <c r="I236" s="291"/>
      <c r="J236" s="348">
        <f>+J238</f>
        <v>100100000</v>
      </c>
      <c r="K236" s="349">
        <f>+K238</f>
        <v>193889500</v>
      </c>
      <c r="L236" s="349">
        <f>+L238</f>
        <v>73925000</v>
      </c>
      <c r="M236" s="349">
        <f>+M238</f>
        <v>1325000</v>
      </c>
      <c r="N236" s="349">
        <f>+M236+L236</f>
        <v>75250000</v>
      </c>
      <c r="O236" s="349">
        <f t="shared" si="34"/>
        <v>-118639500</v>
      </c>
      <c r="P236" s="350">
        <f t="shared" si="35"/>
        <v>38.810765925952666</v>
      </c>
      <c r="Q236" s="439"/>
      <c r="R236" s="422"/>
    </row>
    <row r="237" spans="1:18" s="189" customFormat="1" ht="12.05" customHeight="1">
      <c r="A237" s="293"/>
      <c r="B237" s="292"/>
      <c r="C237" s="292"/>
      <c r="D237" s="292"/>
      <c r="E237" s="292"/>
      <c r="F237" s="292"/>
      <c r="G237" s="253"/>
      <c r="H237" s="253"/>
      <c r="I237" s="253"/>
      <c r="J237" s="374"/>
      <c r="K237" s="375"/>
      <c r="L237" s="377"/>
      <c r="M237" s="375"/>
      <c r="N237" s="375"/>
      <c r="O237" s="375"/>
      <c r="P237" s="600"/>
      <c r="Q237" s="448"/>
      <c r="R237" s="422"/>
    </row>
    <row r="238" spans="1:18" s="189" customFormat="1" ht="12.05" customHeight="1">
      <c r="A238" s="293"/>
      <c r="B238" s="292">
        <v>4</v>
      </c>
      <c r="C238" s="292">
        <v>1</v>
      </c>
      <c r="D238" s="292">
        <v>2</v>
      </c>
      <c r="E238" s="292" t="s">
        <v>440</v>
      </c>
      <c r="F238" s="292"/>
      <c r="G238" s="253" t="s">
        <v>545</v>
      </c>
      <c r="H238" s="253"/>
      <c r="I238" s="253"/>
      <c r="J238" s="678">
        <f>+J239</f>
        <v>100100000</v>
      </c>
      <c r="K238" s="490">
        <f>+K239</f>
        <v>193889500</v>
      </c>
      <c r="L238" s="616">
        <f>+L239</f>
        <v>73925000</v>
      </c>
      <c r="M238" s="512">
        <f>+M239</f>
        <v>1325000</v>
      </c>
      <c r="N238" s="664">
        <f>+M238+L238</f>
        <v>75250000</v>
      </c>
      <c r="O238" s="412">
        <f t="shared" si="34"/>
        <v>-118639500</v>
      </c>
      <c r="P238" s="487">
        <f t="shared" si="35"/>
        <v>38.810765925952666</v>
      </c>
      <c r="Q238" s="647"/>
      <c r="R238" s="422"/>
    </row>
    <row r="239" spans="1:18" s="189" customFormat="1" ht="12.05" customHeight="1">
      <c r="A239" s="293"/>
      <c r="B239" s="292">
        <v>4</v>
      </c>
      <c r="C239" s="292">
        <v>1</v>
      </c>
      <c r="D239" s="292">
        <v>2</v>
      </c>
      <c r="E239" s="292" t="s">
        <v>440</v>
      </c>
      <c r="F239" s="292" t="s">
        <v>437</v>
      </c>
      <c r="G239" s="253" t="s">
        <v>117</v>
      </c>
      <c r="H239" s="253"/>
      <c r="I239" s="253"/>
      <c r="J239" s="494">
        <f>+J240+J241</f>
        <v>100100000</v>
      </c>
      <c r="K239" s="495">
        <f>+K240+K241</f>
        <v>193889500</v>
      </c>
      <c r="L239" s="513">
        <f>+L240+L241</f>
        <v>73925000</v>
      </c>
      <c r="M239" s="495">
        <f>+M240+M241</f>
        <v>1325000</v>
      </c>
      <c r="N239" s="495">
        <f>+N240+N241</f>
        <v>75250000</v>
      </c>
      <c r="O239" s="334">
        <f t="shared" si="34"/>
        <v>-118639500</v>
      </c>
      <c r="P239" s="335">
        <f t="shared" si="35"/>
        <v>38.810765925952666</v>
      </c>
      <c r="Q239" s="548"/>
      <c r="R239" s="422"/>
    </row>
    <row r="240" spans="1:18" s="189" customFormat="1" ht="12.05" customHeight="1">
      <c r="A240" s="293"/>
      <c r="B240" s="292"/>
      <c r="C240" s="292"/>
      <c r="D240" s="292"/>
      <c r="E240" s="292"/>
      <c r="F240" s="292"/>
      <c r="G240" s="253" t="s">
        <v>50</v>
      </c>
      <c r="H240" s="253"/>
      <c r="I240" s="253" t="s">
        <v>118</v>
      </c>
      <c r="J240" s="374">
        <v>60000000</v>
      </c>
      <c r="K240" s="1231">
        <f>'[55]TARGET MURNI DAN PERUBAHAN'!$E$116</f>
        <v>103889500</v>
      </c>
      <c r="L240" s="377">
        <f>[56]PerDinas!$N$240</f>
        <v>73925000</v>
      </c>
      <c r="M240" s="376">
        <f>[55]Perdinas!$P$149</f>
        <v>1325000</v>
      </c>
      <c r="N240" s="355">
        <f t="shared" ref="N240:N245" si="36">M240+L240</f>
        <v>75250000</v>
      </c>
      <c r="O240" s="355">
        <f t="shared" si="34"/>
        <v>-28639500</v>
      </c>
      <c r="P240" s="388">
        <f t="shared" si="35"/>
        <v>72.432729005337407</v>
      </c>
      <c r="Q240" s="448"/>
      <c r="R240" s="422"/>
    </row>
    <row r="241" spans="1:18" s="189" customFormat="1" ht="12.05" customHeight="1">
      <c r="A241" s="465"/>
      <c r="B241" s="296"/>
      <c r="C241" s="296"/>
      <c r="D241" s="296"/>
      <c r="E241" s="296"/>
      <c r="F241" s="296"/>
      <c r="G241" s="297" t="s">
        <v>50</v>
      </c>
      <c r="H241" s="297"/>
      <c r="I241" s="297" t="s">
        <v>119</v>
      </c>
      <c r="J241" s="679">
        <v>40100000</v>
      </c>
      <c r="K241" s="1232">
        <f>'[55]TARGET MURNI DAN PERUBAHAN'!$E$117</f>
        <v>90000000</v>
      </c>
      <c r="L241" s="513">
        <f>[56]PerDinas!$N$241</f>
        <v>0</v>
      </c>
      <c r="M241" s="495">
        <f>[55]Perdinas!$P$150</f>
        <v>0</v>
      </c>
      <c r="N241" s="334">
        <f t="shared" si="36"/>
        <v>0</v>
      </c>
      <c r="O241" s="334">
        <f t="shared" si="34"/>
        <v>-90000000</v>
      </c>
      <c r="P241" s="335">
        <f t="shared" si="35"/>
        <v>0</v>
      </c>
      <c r="Q241" s="449"/>
      <c r="R241" s="422"/>
    </row>
    <row r="242" spans="1:18" s="189" customFormat="1" ht="12.05" customHeight="1">
      <c r="A242" s="654"/>
      <c r="B242" s="655"/>
      <c r="C242" s="655"/>
      <c r="D242" s="655"/>
      <c r="E242" s="655"/>
      <c r="F242" s="655"/>
      <c r="G242" s="656"/>
      <c r="H242" s="656"/>
      <c r="I242" s="656"/>
      <c r="J242" s="680"/>
      <c r="K242" s="681"/>
      <c r="L242" s="682"/>
      <c r="M242" s="512"/>
      <c r="N242" s="681"/>
      <c r="O242" s="681"/>
      <c r="P242" s="683"/>
      <c r="Q242" s="698"/>
      <c r="R242" s="422"/>
    </row>
    <row r="243" spans="1:18" s="189" customFormat="1" ht="12.05" customHeight="1">
      <c r="A243" s="657"/>
      <c r="B243" s="280">
        <v>4</v>
      </c>
      <c r="C243" s="280">
        <v>1</v>
      </c>
      <c r="D243" s="280">
        <v>4</v>
      </c>
      <c r="E243" s="280"/>
      <c r="F243" s="280"/>
      <c r="G243" s="190" t="s">
        <v>71</v>
      </c>
      <c r="H243" s="190"/>
      <c r="I243" s="190"/>
      <c r="J243" s="603">
        <f>J247+J251+J256</f>
        <v>671501000</v>
      </c>
      <c r="K243" s="604">
        <f>K247+K251+K256+K244</f>
        <v>18000000</v>
      </c>
      <c r="L243" s="605">
        <f>L247+L251+L256+L244</f>
        <v>6800000</v>
      </c>
      <c r="M243" s="602">
        <f>M247+M251+M256+M244</f>
        <v>26876388</v>
      </c>
      <c r="N243" s="604">
        <f t="shared" si="36"/>
        <v>33676388</v>
      </c>
      <c r="O243" s="343">
        <f>N243-K243</f>
        <v>15676388</v>
      </c>
      <c r="P243" s="344">
        <f>N243/K243*100</f>
        <v>187.09104444444444</v>
      </c>
      <c r="Q243" s="641"/>
      <c r="R243" s="422"/>
    </row>
    <row r="244" spans="1:18" s="189" customFormat="1" ht="12.05" customHeight="1">
      <c r="A244" s="293"/>
      <c r="B244" s="292">
        <v>4</v>
      </c>
      <c r="C244" s="292">
        <v>1</v>
      </c>
      <c r="D244" s="292">
        <v>4</v>
      </c>
      <c r="E244" s="292" t="s">
        <v>441</v>
      </c>
      <c r="F244" s="292"/>
      <c r="G244" s="253" t="s">
        <v>966</v>
      </c>
      <c r="H244" s="291"/>
      <c r="I244" s="291"/>
      <c r="J244" s="397"/>
      <c r="K244" s="398">
        <f>K245</f>
        <v>0</v>
      </c>
      <c r="L244" s="684">
        <f>L245</f>
        <v>0</v>
      </c>
      <c r="M244" s="604">
        <f>M245</f>
        <v>7295582</v>
      </c>
      <c r="N244" s="398">
        <f t="shared" si="36"/>
        <v>7295582</v>
      </c>
      <c r="O244" s="367">
        <f>N244-K244</f>
        <v>7295582</v>
      </c>
      <c r="P244" s="347" t="e">
        <f>N244/K244*100</f>
        <v>#DIV/0!</v>
      </c>
      <c r="Q244" s="699"/>
      <c r="R244" s="422"/>
    </row>
    <row r="245" spans="1:18" s="189" customFormat="1" ht="12.05" customHeight="1">
      <c r="A245" s="293"/>
      <c r="B245" s="292">
        <v>4</v>
      </c>
      <c r="C245" s="292">
        <v>1</v>
      </c>
      <c r="D245" s="292">
        <v>4</v>
      </c>
      <c r="E245" s="292" t="s">
        <v>441</v>
      </c>
      <c r="F245" s="292"/>
      <c r="G245" s="2760" t="s">
        <v>50</v>
      </c>
      <c r="H245" s="253" t="s">
        <v>967</v>
      </c>
      <c r="I245" s="291"/>
      <c r="J245" s="397"/>
      <c r="K245" s="375">
        <f>'[55]TARGET MURNI DAN PERUBAHAN'!$E$121</f>
        <v>0</v>
      </c>
      <c r="L245" s="377">
        <f>[56]PerDinas!$N$245</f>
        <v>0</v>
      </c>
      <c r="M245" s="495">
        <f>[55]Perdinas!$P$154</f>
        <v>7295582</v>
      </c>
      <c r="N245" s="375">
        <f t="shared" si="36"/>
        <v>7295582</v>
      </c>
      <c r="O245" s="346">
        <f>N245-K245</f>
        <v>7295582</v>
      </c>
      <c r="P245" s="347" t="e">
        <f>N245/K245*100</f>
        <v>#DIV/0!</v>
      </c>
      <c r="Q245" s="699"/>
      <c r="R245" s="422"/>
    </row>
    <row r="246" spans="1:18" s="189" customFormat="1" ht="12.05" customHeight="1">
      <c r="A246" s="654"/>
      <c r="B246" s="658"/>
      <c r="C246" s="658"/>
      <c r="D246" s="658"/>
      <c r="E246" s="658"/>
      <c r="F246" s="658"/>
      <c r="G246" s="659"/>
      <c r="H246" s="659"/>
      <c r="I246" s="659"/>
      <c r="J246" s="685"/>
      <c r="K246" s="686"/>
      <c r="L246" s="687"/>
      <c r="M246" s="604"/>
      <c r="N246" s="686"/>
      <c r="O246" s="477"/>
      <c r="P246" s="478"/>
      <c r="Q246" s="700"/>
      <c r="R246" s="422"/>
    </row>
    <row r="247" spans="1:18" s="189" customFormat="1" ht="12.05" customHeight="1">
      <c r="A247" s="471"/>
      <c r="B247" s="287">
        <v>4</v>
      </c>
      <c r="C247" s="287">
        <v>1</v>
      </c>
      <c r="D247" s="287">
        <v>4</v>
      </c>
      <c r="E247" s="287" t="s">
        <v>448</v>
      </c>
      <c r="F247" s="287"/>
      <c r="G247" s="410" t="s">
        <v>220</v>
      </c>
      <c r="H247" s="410"/>
      <c r="I247" s="410"/>
      <c r="J247" s="489">
        <f t="shared" ref="J247:M248" si="37">+J248</f>
        <v>1501000</v>
      </c>
      <c r="K247" s="512">
        <f t="shared" si="37"/>
        <v>18000000</v>
      </c>
      <c r="L247" s="616">
        <f t="shared" si="37"/>
        <v>0</v>
      </c>
      <c r="M247" s="512">
        <f t="shared" si="37"/>
        <v>0</v>
      </c>
      <c r="N247" s="412">
        <f>+M247+L247</f>
        <v>0</v>
      </c>
      <c r="O247" s="412">
        <f>N247-K247</f>
        <v>-18000000</v>
      </c>
      <c r="P247" s="487">
        <f>N247/K247*100</f>
        <v>0</v>
      </c>
      <c r="Q247" s="647"/>
      <c r="R247" s="422"/>
    </row>
    <row r="248" spans="1:18" s="189" customFormat="1" ht="12.05" customHeight="1">
      <c r="A248" s="293"/>
      <c r="B248" s="292">
        <v>4</v>
      </c>
      <c r="C248" s="292">
        <v>1</v>
      </c>
      <c r="D248" s="292">
        <v>4</v>
      </c>
      <c r="E248" s="292" t="s">
        <v>448</v>
      </c>
      <c r="F248" s="292" t="s">
        <v>440</v>
      </c>
      <c r="G248" s="253" t="s">
        <v>561</v>
      </c>
      <c r="H248" s="253"/>
      <c r="I248" s="253"/>
      <c r="J248" s="688">
        <f t="shared" si="37"/>
        <v>1501000</v>
      </c>
      <c r="K248" s="496">
        <f t="shared" si="37"/>
        <v>18000000</v>
      </c>
      <c r="L248" s="689">
        <f t="shared" si="37"/>
        <v>0</v>
      </c>
      <c r="M248" s="496">
        <f t="shared" si="37"/>
        <v>0</v>
      </c>
      <c r="N248" s="497">
        <f>M248+L248</f>
        <v>0</v>
      </c>
      <c r="O248" s="497">
        <f>N248-K248</f>
        <v>-18000000</v>
      </c>
      <c r="P248" s="498">
        <f>N248/K248*100</f>
        <v>0</v>
      </c>
      <c r="Q248" s="701"/>
      <c r="R248" s="422"/>
    </row>
    <row r="249" spans="1:18" s="189" customFormat="1" ht="12.05" customHeight="1">
      <c r="A249" s="293"/>
      <c r="B249" s="292"/>
      <c r="C249" s="292"/>
      <c r="D249" s="292"/>
      <c r="E249" s="292"/>
      <c r="F249" s="292"/>
      <c r="G249" s="253" t="s">
        <v>50</v>
      </c>
      <c r="H249" s="253"/>
      <c r="I249" s="253" t="s">
        <v>968</v>
      </c>
      <c r="J249" s="374">
        <v>1501000</v>
      </c>
      <c r="K249" s="375">
        <f>'[55]TARGET MURNI DAN PERUBAHAN'!$E$120</f>
        <v>18000000</v>
      </c>
      <c r="L249" s="377">
        <f>[56]PerDinas!$N$249</f>
        <v>0</v>
      </c>
      <c r="M249" s="375">
        <v>0</v>
      </c>
      <c r="N249" s="369">
        <f>M249+L249</f>
        <v>0</v>
      </c>
      <c r="O249" s="355">
        <f>N249-K249</f>
        <v>-18000000</v>
      </c>
      <c r="P249" s="388">
        <f>N249/K249*100</f>
        <v>0</v>
      </c>
      <c r="Q249" s="448"/>
      <c r="R249" s="422"/>
    </row>
    <row r="250" spans="1:18" s="189" customFormat="1" ht="12.05" customHeight="1">
      <c r="A250" s="293"/>
      <c r="B250" s="292"/>
      <c r="C250" s="292"/>
      <c r="D250" s="292"/>
      <c r="E250" s="292"/>
      <c r="F250" s="292"/>
      <c r="G250" s="253"/>
      <c r="H250" s="253"/>
      <c r="I250" s="253"/>
      <c r="J250" s="374"/>
      <c r="K250" s="375"/>
      <c r="L250" s="377"/>
      <c r="M250" s="375"/>
      <c r="N250" s="355"/>
      <c r="O250" s="355"/>
      <c r="P250" s="388"/>
      <c r="Q250" s="448"/>
      <c r="R250" s="422"/>
    </row>
    <row r="251" spans="1:18" s="189" customFormat="1" ht="12.05" customHeight="1">
      <c r="A251" s="293"/>
      <c r="B251" s="292">
        <v>4</v>
      </c>
      <c r="C251" s="292">
        <v>1</v>
      </c>
      <c r="D251" s="292">
        <v>4</v>
      </c>
      <c r="E251" s="292" t="s">
        <v>444</v>
      </c>
      <c r="F251" s="292"/>
      <c r="G251" s="253" t="s">
        <v>222</v>
      </c>
      <c r="H251" s="253"/>
      <c r="I251" s="253"/>
      <c r="J251" s="475">
        <f>+J254</f>
        <v>150000000</v>
      </c>
      <c r="K251" s="476">
        <f>+K254</f>
        <v>0</v>
      </c>
      <c r="L251" s="670">
        <f>SUM(L252:L254)</f>
        <v>6800000</v>
      </c>
      <c r="M251" s="527">
        <f>SUM(M252:M254)</f>
        <v>19580806</v>
      </c>
      <c r="N251" s="527">
        <f>SUM(N252:N254)</f>
        <v>26380806</v>
      </c>
      <c r="O251" s="529">
        <f>N251-K251</f>
        <v>26380806</v>
      </c>
      <c r="P251" s="478" t="e">
        <f t="shared" ref="P251:P258" si="38">N251/K251*100</f>
        <v>#DIV/0!</v>
      </c>
      <c r="Q251" s="644"/>
      <c r="R251" s="422"/>
    </row>
    <row r="252" spans="1:18" s="189" customFormat="1" ht="12.05" customHeight="1">
      <c r="A252" s="289"/>
      <c r="B252" s="292">
        <v>4</v>
      </c>
      <c r="C252" s="292">
        <v>1</v>
      </c>
      <c r="D252" s="292">
        <v>4</v>
      </c>
      <c r="E252" s="292" t="s">
        <v>444</v>
      </c>
      <c r="F252" s="292" t="s">
        <v>440</v>
      </c>
      <c r="G252" s="253" t="s">
        <v>73</v>
      </c>
      <c r="H252" s="253"/>
      <c r="I252" s="253"/>
      <c r="J252" s="354">
        <v>0</v>
      </c>
      <c r="K252" s="355">
        <v>0</v>
      </c>
      <c r="L252" s="360">
        <v>0</v>
      </c>
      <c r="M252" s="355">
        <f>[55]Perdinas!$P$155</f>
        <v>0</v>
      </c>
      <c r="N252" s="355">
        <f t="shared" ref="N252:N260" si="39">M252+L252</f>
        <v>0</v>
      </c>
      <c r="O252" s="355">
        <f>N252-K252</f>
        <v>0</v>
      </c>
      <c r="P252" s="690"/>
      <c r="Q252" s="441"/>
      <c r="R252" s="422"/>
    </row>
    <row r="253" spans="1:18" s="189" customFormat="1" ht="12.05" customHeight="1">
      <c r="A253" s="289"/>
      <c r="B253" s="292">
        <v>4</v>
      </c>
      <c r="C253" s="292">
        <v>1</v>
      </c>
      <c r="D253" s="292">
        <v>4</v>
      </c>
      <c r="E253" s="292" t="s">
        <v>444</v>
      </c>
      <c r="F253" s="292" t="s">
        <v>445</v>
      </c>
      <c r="G253" s="253" t="s">
        <v>74</v>
      </c>
      <c r="H253" s="253"/>
      <c r="I253" s="253"/>
      <c r="J253" s="354">
        <v>0</v>
      </c>
      <c r="K253" s="355">
        <v>0</v>
      </c>
      <c r="L253" s="360">
        <v>0</v>
      </c>
      <c r="M253" s="355">
        <f>[55]Perdinas!$P$156</f>
        <v>0</v>
      </c>
      <c r="N253" s="355">
        <f t="shared" si="39"/>
        <v>0</v>
      </c>
      <c r="O253" s="355">
        <f>N253-K253</f>
        <v>0</v>
      </c>
      <c r="P253" s="347"/>
      <c r="Q253" s="441"/>
      <c r="R253" s="422"/>
    </row>
    <row r="254" spans="1:18" s="189" customFormat="1" ht="12.05" customHeight="1">
      <c r="A254" s="293"/>
      <c r="B254" s="292">
        <v>4</v>
      </c>
      <c r="C254" s="292">
        <v>1</v>
      </c>
      <c r="D254" s="292">
        <v>4</v>
      </c>
      <c r="E254" s="292" t="s">
        <v>444</v>
      </c>
      <c r="F254" s="292" t="s">
        <v>441</v>
      </c>
      <c r="G254" s="253" t="s">
        <v>75</v>
      </c>
      <c r="H254" s="253"/>
      <c r="I254" s="253"/>
      <c r="J254" s="354">
        <v>150000000</v>
      </c>
      <c r="K254" s="373">
        <f>'[55]TARGET MURNI DAN PERUBAHAN'!$E$122</f>
        <v>0</v>
      </c>
      <c r="L254" s="360">
        <f>[56]PerDinas!$N$254</f>
        <v>6800000</v>
      </c>
      <c r="M254" s="373">
        <f>[55]Perdinas!$P$157</f>
        <v>19580806</v>
      </c>
      <c r="N254" s="369">
        <f t="shared" si="39"/>
        <v>26380806</v>
      </c>
      <c r="O254" s="355">
        <f>N254-K254</f>
        <v>26380806</v>
      </c>
      <c r="P254" s="347" t="e">
        <f t="shared" si="38"/>
        <v>#DIV/0!</v>
      </c>
      <c r="Q254" s="441"/>
      <c r="R254" s="422"/>
    </row>
    <row r="255" spans="1:18" s="189" customFormat="1" ht="12.05" customHeight="1">
      <c r="A255" s="293"/>
      <c r="B255" s="292"/>
      <c r="C255" s="292"/>
      <c r="D255" s="292"/>
      <c r="E255" s="292"/>
      <c r="F255" s="292"/>
      <c r="G255" s="253"/>
      <c r="H255" s="253"/>
      <c r="I255" s="253"/>
      <c r="J255" s="679"/>
      <c r="K255" s="691"/>
      <c r="L255" s="692"/>
      <c r="M255" s="691"/>
      <c r="N255" s="355">
        <f t="shared" si="39"/>
        <v>0</v>
      </c>
      <c r="O255" s="691"/>
      <c r="P255" s="347"/>
      <c r="Q255" s="449"/>
      <c r="R255" s="422"/>
    </row>
    <row r="256" spans="1:18" s="189" customFormat="1" ht="12.05" customHeight="1">
      <c r="A256" s="293"/>
      <c r="B256" s="292">
        <v>4</v>
      </c>
      <c r="C256" s="292">
        <v>1</v>
      </c>
      <c r="D256" s="292">
        <v>4</v>
      </c>
      <c r="E256" s="292" t="s">
        <v>948</v>
      </c>
      <c r="F256" s="292"/>
      <c r="G256" s="253" t="s">
        <v>321</v>
      </c>
      <c r="H256" s="253"/>
      <c r="I256" s="253"/>
      <c r="J256" s="685">
        <f>+J257</f>
        <v>520000000</v>
      </c>
      <c r="K256" s="686">
        <f>+K257</f>
        <v>0</v>
      </c>
      <c r="L256" s="687">
        <f>+L257</f>
        <v>0</v>
      </c>
      <c r="M256" s="686">
        <f>+M257</f>
        <v>0</v>
      </c>
      <c r="N256" s="693">
        <f t="shared" si="39"/>
        <v>0</v>
      </c>
      <c r="O256" s="477">
        <f>N256-K256</f>
        <v>0</v>
      </c>
      <c r="P256" s="478" t="e">
        <f t="shared" si="38"/>
        <v>#DIV/0!</v>
      </c>
      <c r="Q256" s="698"/>
      <c r="R256" s="422"/>
    </row>
    <row r="257" spans="1:18" s="189" customFormat="1" ht="12.05" customHeight="1">
      <c r="A257" s="293"/>
      <c r="B257" s="292">
        <v>4</v>
      </c>
      <c r="C257" s="292">
        <v>1</v>
      </c>
      <c r="D257" s="292">
        <v>4</v>
      </c>
      <c r="E257" s="292" t="s">
        <v>948</v>
      </c>
      <c r="F257" s="292" t="s">
        <v>437</v>
      </c>
      <c r="G257" s="253" t="s">
        <v>85</v>
      </c>
      <c r="H257" s="253"/>
      <c r="I257" s="253"/>
      <c r="J257" s="708">
        <f>+J258+J259</f>
        <v>520000000</v>
      </c>
      <c r="K257" s="709">
        <f>+K258+K259</f>
        <v>0</v>
      </c>
      <c r="L257" s="710">
        <f>L258+L259</f>
        <v>0</v>
      </c>
      <c r="M257" s="709">
        <f>M258+M259</f>
        <v>0</v>
      </c>
      <c r="N257" s="357">
        <f t="shared" si="39"/>
        <v>0</v>
      </c>
      <c r="O257" s="357">
        <f>N257-K257</f>
        <v>0</v>
      </c>
      <c r="P257" s="358" t="e">
        <f t="shared" si="38"/>
        <v>#DIV/0!</v>
      </c>
      <c r="Q257" s="732"/>
      <c r="R257" s="422"/>
    </row>
    <row r="258" spans="1:18" s="189" customFormat="1" ht="12.05" customHeight="1">
      <c r="A258" s="293"/>
      <c r="B258" s="292"/>
      <c r="C258" s="292"/>
      <c r="D258" s="292"/>
      <c r="E258" s="292"/>
      <c r="F258" s="292"/>
      <c r="G258" s="253" t="s">
        <v>50</v>
      </c>
      <c r="H258" s="253"/>
      <c r="I258" s="253" t="s">
        <v>76</v>
      </c>
      <c r="J258" s="374">
        <v>520000000</v>
      </c>
      <c r="K258" s="401">
        <f>'[55]TARGET MURNI DAN PERUBAHAN'!$E$123</f>
        <v>0</v>
      </c>
      <c r="L258" s="377">
        <v>0</v>
      </c>
      <c r="M258" s="375">
        <v>0</v>
      </c>
      <c r="N258" s="369">
        <f t="shared" si="39"/>
        <v>0</v>
      </c>
      <c r="O258" s="355">
        <f>N258-K258</f>
        <v>0</v>
      </c>
      <c r="P258" s="388" t="e">
        <f t="shared" si="38"/>
        <v>#DIV/0!</v>
      </c>
      <c r="Q258" s="448"/>
      <c r="R258" s="422"/>
    </row>
    <row r="259" spans="1:18" s="189" customFormat="1" ht="12.05" customHeight="1">
      <c r="A259" s="465"/>
      <c r="B259" s="296"/>
      <c r="C259" s="296"/>
      <c r="D259" s="296"/>
      <c r="E259" s="296"/>
      <c r="F259" s="296"/>
      <c r="G259" s="297"/>
      <c r="H259" s="297"/>
      <c r="I259" s="297"/>
      <c r="J259" s="494"/>
      <c r="K259" s="725"/>
      <c r="L259" s="513">
        <v>0</v>
      </c>
      <c r="M259" s="725"/>
      <c r="N259" s="352"/>
      <c r="O259" s="495"/>
      <c r="P259" s="1236"/>
      <c r="Q259" s="548"/>
      <c r="R259" s="422"/>
    </row>
    <row r="260" spans="1:18" s="244" customFormat="1" ht="12.05" customHeight="1">
      <c r="A260" s="1186" t="s">
        <v>124</v>
      </c>
      <c r="B260" s="1187" t="s">
        <v>58</v>
      </c>
      <c r="C260" s="1187" t="s">
        <v>448</v>
      </c>
      <c r="D260" s="1187" t="s">
        <v>438</v>
      </c>
      <c r="E260" s="1187"/>
      <c r="F260" s="1187"/>
      <c r="G260" s="1228" t="s">
        <v>737</v>
      </c>
      <c r="H260" s="1229"/>
      <c r="I260" s="1229"/>
      <c r="J260" s="1195">
        <f>+J262</f>
        <v>5750000</v>
      </c>
      <c r="K260" s="1196">
        <f>+K262</f>
        <v>0</v>
      </c>
      <c r="L260" s="1196">
        <f>+L262</f>
        <v>55355700</v>
      </c>
      <c r="M260" s="1196">
        <f>+M262</f>
        <v>55132027</v>
      </c>
      <c r="N260" s="1196">
        <f t="shared" si="39"/>
        <v>110487727</v>
      </c>
      <c r="O260" s="1196">
        <f>+N260-K260</f>
        <v>110487727</v>
      </c>
      <c r="P260" s="1197" t="e">
        <f>+N260/K260*100</f>
        <v>#DIV/0!</v>
      </c>
      <c r="Q260" s="1208"/>
      <c r="R260" s="639"/>
    </row>
    <row r="261" spans="1:18" s="189" customFormat="1" ht="12.05" customHeight="1">
      <c r="A261" s="471"/>
      <c r="B261" s="287"/>
      <c r="C261" s="287"/>
      <c r="D261" s="287"/>
      <c r="E261" s="287"/>
      <c r="F261" s="287"/>
      <c r="G261" s="288"/>
      <c r="H261" s="288"/>
      <c r="I261" s="288"/>
      <c r="J261" s="339"/>
      <c r="K261" s="340"/>
      <c r="L261" s="340"/>
      <c r="M261" s="340"/>
      <c r="N261" s="340"/>
      <c r="O261" s="340"/>
      <c r="P261" s="341"/>
      <c r="Q261" s="435"/>
      <c r="R261" s="422"/>
    </row>
    <row r="262" spans="1:18" s="189" customFormat="1" ht="12.05" customHeight="1">
      <c r="A262" s="293"/>
      <c r="B262" s="290">
        <v>4</v>
      </c>
      <c r="C262" s="290">
        <v>1</v>
      </c>
      <c r="D262" s="290"/>
      <c r="E262" s="290"/>
      <c r="F262" s="290"/>
      <c r="G262" s="291" t="s">
        <v>180</v>
      </c>
      <c r="H262" s="291"/>
      <c r="I262" s="291"/>
      <c r="J262" s="342">
        <f>+J263</f>
        <v>5750000</v>
      </c>
      <c r="K262" s="343">
        <f>+K263</f>
        <v>0</v>
      </c>
      <c r="L262" s="606">
        <f>+L263</f>
        <v>55355700</v>
      </c>
      <c r="M262" s="343">
        <f>+M263</f>
        <v>55132027</v>
      </c>
      <c r="N262" s="343">
        <f>+M262+L262</f>
        <v>110487727</v>
      </c>
      <c r="O262" s="343">
        <f t="shared" ref="O262:O267" si="40">N262-K262</f>
        <v>110487727</v>
      </c>
      <c r="P262" s="344" t="e">
        <f>N262/K262*100</f>
        <v>#DIV/0!</v>
      </c>
      <c r="Q262" s="437"/>
      <c r="R262" s="422"/>
    </row>
    <row r="263" spans="1:18" s="189" customFormat="1" ht="12.05" customHeight="1">
      <c r="A263" s="293"/>
      <c r="B263" s="290">
        <v>4</v>
      </c>
      <c r="C263" s="290">
        <v>1</v>
      </c>
      <c r="D263" s="290">
        <v>4</v>
      </c>
      <c r="E263" s="290"/>
      <c r="F263" s="290"/>
      <c r="G263" s="291" t="s">
        <v>71</v>
      </c>
      <c r="H263" s="291"/>
      <c r="I263" s="291"/>
      <c r="J263" s="392">
        <f>J264+J269</f>
        <v>5750000</v>
      </c>
      <c r="K263" s="393">
        <f>K264+K269</f>
        <v>0</v>
      </c>
      <c r="L263" s="394">
        <f>L264+L269</f>
        <v>55355700</v>
      </c>
      <c r="M263" s="393">
        <f>M264+M269</f>
        <v>55132027</v>
      </c>
      <c r="N263" s="393">
        <f>N264+N269</f>
        <v>110487727</v>
      </c>
      <c r="O263" s="349">
        <f t="shared" si="40"/>
        <v>110487727</v>
      </c>
      <c r="P263" s="350" t="e">
        <f>N263/K263*100</f>
        <v>#DIV/0!</v>
      </c>
      <c r="Q263" s="444"/>
      <c r="R263" s="422"/>
    </row>
    <row r="264" spans="1:18" s="189" customFormat="1" ht="12.05" customHeight="1">
      <c r="A264" s="293"/>
      <c r="B264" s="292">
        <v>4</v>
      </c>
      <c r="C264" s="292">
        <v>1</v>
      </c>
      <c r="D264" s="292">
        <v>4</v>
      </c>
      <c r="E264" s="292" t="s">
        <v>444</v>
      </c>
      <c r="F264" s="292"/>
      <c r="G264" s="253" t="s">
        <v>222</v>
      </c>
      <c r="H264" s="253"/>
      <c r="I264" s="253"/>
      <c r="J264" s="484">
        <f>+J267</f>
        <v>0</v>
      </c>
      <c r="K264" s="485">
        <f>+K267</f>
        <v>0</v>
      </c>
      <c r="L264" s="486">
        <f>SUM(L265:L267)</f>
        <v>55355700</v>
      </c>
      <c r="M264" s="485">
        <f>SUM(M265:M267)</f>
        <v>55132027</v>
      </c>
      <c r="N264" s="485">
        <f>SUM(N265:N267)</f>
        <v>110487727</v>
      </c>
      <c r="O264" s="412">
        <f t="shared" si="40"/>
        <v>110487727</v>
      </c>
      <c r="P264" s="344" t="e">
        <f>N264/K264*100</f>
        <v>#DIV/0!</v>
      </c>
      <c r="Q264" s="541"/>
      <c r="R264" s="422"/>
    </row>
    <row r="265" spans="1:18" s="189" customFormat="1" ht="12.05" customHeight="1">
      <c r="A265" s="289"/>
      <c r="B265" s="292">
        <v>4</v>
      </c>
      <c r="C265" s="292">
        <v>1</v>
      </c>
      <c r="D265" s="292">
        <v>4</v>
      </c>
      <c r="E265" s="292" t="s">
        <v>444</v>
      </c>
      <c r="F265" s="292" t="s">
        <v>440</v>
      </c>
      <c r="G265" s="253" t="s">
        <v>73</v>
      </c>
      <c r="H265" s="253"/>
      <c r="I265" s="253"/>
      <c r="J265" s="354">
        <v>0</v>
      </c>
      <c r="K265" s="355">
        <v>0</v>
      </c>
      <c r="L265" s="360">
        <v>0</v>
      </c>
      <c r="M265" s="355">
        <f>[55]Perdinas!$P$164</f>
        <v>0</v>
      </c>
      <c r="N265" s="355">
        <f>M265+L265</f>
        <v>0</v>
      </c>
      <c r="O265" s="355">
        <f t="shared" si="40"/>
        <v>0</v>
      </c>
      <c r="P265" s="713"/>
      <c r="Q265" s="441"/>
      <c r="R265" s="422"/>
    </row>
    <row r="266" spans="1:18" s="189" customFormat="1" ht="12.05" customHeight="1">
      <c r="A266" s="289"/>
      <c r="B266" s="292">
        <v>4</v>
      </c>
      <c r="C266" s="292">
        <v>1</v>
      </c>
      <c r="D266" s="292">
        <v>4</v>
      </c>
      <c r="E266" s="292" t="s">
        <v>444</v>
      </c>
      <c r="F266" s="292" t="s">
        <v>445</v>
      </c>
      <c r="G266" s="253" t="s">
        <v>74</v>
      </c>
      <c r="H266" s="253"/>
      <c r="I266" s="253"/>
      <c r="J266" s="354">
        <v>0</v>
      </c>
      <c r="K266" s="355">
        <v>0</v>
      </c>
      <c r="L266" s="360">
        <v>0</v>
      </c>
      <c r="M266" s="355">
        <f>[55]Perdinas!$P$165</f>
        <v>0</v>
      </c>
      <c r="N266" s="355">
        <f>M266+L266</f>
        <v>0</v>
      </c>
      <c r="O266" s="355">
        <f t="shared" si="40"/>
        <v>0</v>
      </c>
      <c r="P266" s="388"/>
      <c r="Q266" s="441"/>
      <c r="R266" s="422"/>
    </row>
    <row r="267" spans="1:18" s="189" customFormat="1" ht="12.05" customHeight="1">
      <c r="A267" s="293"/>
      <c r="B267" s="292">
        <v>4</v>
      </c>
      <c r="C267" s="292">
        <v>1</v>
      </c>
      <c r="D267" s="292">
        <v>4</v>
      </c>
      <c r="E267" s="292" t="s">
        <v>444</v>
      </c>
      <c r="F267" s="292" t="s">
        <v>441</v>
      </c>
      <c r="G267" s="253" t="s">
        <v>75</v>
      </c>
      <c r="H267" s="253"/>
      <c r="I267" s="253"/>
      <c r="J267" s="354">
        <v>0</v>
      </c>
      <c r="K267" s="355">
        <f>'[55]TARGET MURNI DAN PERUBAHAN'!$E$129</f>
        <v>0</v>
      </c>
      <c r="L267" s="360">
        <f>[56]PerDinas!$N$267</f>
        <v>55355700</v>
      </c>
      <c r="M267" s="355">
        <f>[55]Perdinas!$P$166</f>
        <v>55132027</v>
      </c>
      <c r="N267" s="369">
        <f>M267+L267</f>
        <v>110487727</v>
      </c>
      <c r="O267" s="355">
        <f t="shared" si="40"/>
        <v>110487727</v>
      </c>
      <c r="P267" s="388"/>
      <c r="Q267" s="441"/>
      <c r="R267" s="422"/>
    </row>
    <row r="268" spans="1:18" s="189" customFormat="1" ht="12.05" customHeight="1">
      <c r="A268" s="293"/>
      <c r="B268" s="292"/>
      <c r="C268" s="292"/>
      <c r="D268" s="292"/>
      <c r="E268" s="292"/>
      <c r="F268" s="292"/>
      <c r="G268" s="253"/>
      <c r="H268" s="253"/>
      <c r="I268" s="253"/>
      <c r="J268" s="679"/>
      <c r="K268" s="691"/>
      <c r="L268" s="692"/>
      <c r="M268" s="691"/>
      <c r="N268" s="691"/>
      <c r="O268" s="691"/>
      <c r="P268" s="714"/>
      <c r="Q268" s="449"/>
      <c r="R268" s="422"/>
    </row>
    <row r="269" spans="1:18" s="189" customFormat="1" ht="12.05" customHeight="1">
      <c r="A269" s="293"/>
      <c r="B269" s="292">
        <v>4</v>
      </c>
      <c r="C269" s="292">
        <v>1</v>
      </c>
      <c r="D269" s="292">
        <v>4</v>
      </c>
      <c r="E269" s="292" t="s">
        <v>948</v>
      </c>
      <c r="F269" s="292"/>
      <c r="G269" s="253" t="s">
        <v>321</v>
      </c>
      <c r="H269" s="253"/>
      <c r="I269" s="253"/>
      <c r="J269" s="680">
        <f>+J270</f>
        <v>5750000</v>
      </c>
      <c r="K269" s="681">
        <f>+K270</f>
        <v>0</v>
      </c>
      <c r="L269" s="682">
        <f>+L270</f>
        <v>0</v>
      </c>
      <c r="M269" s="681">
        <f>+M270</f>
        <v>0</v>
      </c>
      <c r="N269" s="681">
        <f>+N270</f>
        <v>0</v>
      </c>
      <c r="O269" s="529">
        <f>N269-K269</f>
        <v>0</v>
      </c>
      <c r="P269" s="478" t="e">
        <f>N269/K269*100</f>
        <v>#DIV/0!</v>
      </c>
      <c r="Q269" s="698"/>
      <c r="R269" s="422"/>
    </row>
    <row r="270" spans="1:18" s="189" customFormat="1" ht="12.05" customHeight="1">
      <c r="A270" s="293"/>
      <c r="B270" s="292">
        <v>4</v>
      </c>
      <c r="C270" s="292">
        <v>1</v>
      </c>
      <c r="D270" s="292">
        <v>4</v>
      </c>
      <c r="E270" s="292" t="s">
        <v>948</v>
      </c>
      <c r="F270" s="292" t="s">
        <v>437</v>
      </c>
      <c r="G270" s="253" t="s">
        <v>85</v>
      </c>
      <c r="H270" s="253"/>
      <c r="I270" s="253"/>
      <c r="J270" s="708">
        <f>+J271</f>
        <v>5750000</v>
      </c>
      <c r="K270" s="709">
        <f>+K271</f>
        <v>0</v>
      </c>
      <c r="L270" s="710">
        <f>L271</f>
        <v>0</v>
      </c>
      <c r="M270" s="709">
        <f>M271</f>
        <v>0</v>
      </c>
      <c r="N270" s="709">
        <f>N271</f>
        <v>0</v>
      </c>
      <c r="O270" s="357">
        <f>N270-K270</f>
        <v>0</v>
      </c>
      <c r="P270" s="358" t="e">
        <f>N270/K270*100</f>
        <v>#DIV/0!</v>
      </c>
      <c r="Q270" s="732"/>
      <c r="R270" s="422"/>
    </row>
    <row r="271" spans="1:18" s="189" customFormat="1" ht="12.05" customHeight="1">
      <c r="A271" s="293"/>
      <c r="B271" s="292"/>
      <c r="C271" s="292"/>
      <c r="D271" s="292"/>
      <c r="E271" s="292"/>
      <c r="F271" s="292"/>
      <c r="G271" s="253" t="s">
        <v>50</v>
      </c>
      <c r="H271" s="253"/>
      <c r="I271" s="253" t="s">
        <v>76</v>
      </c>
      <c r="J271" s="374">
        <v>5750000</v>
      </c>
      <c r="K271" s="375">
        <f>'[55]TARGET MURNI DAN PERUBAHAN'!$E$130</f>
        <v>0</v>
      </c>
      <c r="L271" s="375">
        <f>[56]PerDinas!$N$271</f>
        <v>0</v>
      </c>
      <c r="M271" s="375">
        <v>0</v>
      </c>
      <c r="N271" s="355">
        <f>M271+L271</f>
        <v>0</v>
      </c>
      <c r="O271" s="355">
        <f>N271-K271</f>
        <v>0</v>
      </c>
      <c r="P271" s="388" t="e">
        <f>N271/K271*100</f>
        <v>#DIV/0!</v>
      </c>
      <c r="Q271" s="448"/>
      <c r="R271" s="422"/>
    </row>
    <row r="272" spans="1:18" s="189" customFormat="1" ht="12.05" customHeight="1">
      <c r="A272" s="465"/>
      <c r="B272" s="296"/>
      <c r="C272" s="296"/>
      <c r="D272" s="296"/>
      <c r="E272" s="296"/>
      <c r="F272" s="296"/>
      <c r="G272" s="297"/>
      <c r="H272" s="297"/>
      <c r="I272" s="297"/>
      <c r="J272" s="333"/>
      <c r="K272" s="334"/>
      <c r="L272" s="334"/>
      <c r="M272" s="334"/>
      <c r="N272" s="334"/>
      <c r="O272" s="334"/>
      <c r="P272" s="335"/>
      <c r="Q272" s="430"/>
      <c r="R272" s="422"/>
    </row>
    <row r="273" spans="1:18" s="244" customFormat="1" ht="12.05" customHeight="1">
      <c r="A273" s="1186" t="s">
        <v>126</v>
      </c>
      <c r="B273" s="1187" t="s">
        <v>58</v>
      </c>
      <c r="C273" s="1187" t="s">
        <v>969</v>
      </c>
      <c r="D273" s="1187" t="s">
        <v>437</v>
      </c>
      <c r="E273" s="1187"/>
      <c r="F273" s="1187"/>
      <c r="G273" s="1229" t="s">
        <v>738</v>
      </c>
      <c r="H273" s="1229"/>
      <c r="I273" s="1229"/>
      <c r="J273" s="1195">
        <f>+J275</f>
        <v>2000000</v>
      </c>
      <c r="K273" s="1196">
        <f>+K275</f>
        <v>0</v>
      </c>
      <c r="L273" s="1196">
        <f>+L275</f>
        <v>0</v>
      </c>
      <c r="M273" s="1196">
        <f>+M275</f>
        <v>1482000</v>
      </c>
      <c r="N273" s="1196">
        <f>M273+L273</f>
        <v>1482000</v>
      </c>
      <c r="O273" s="1196">
        <f>+N273-K273</f>
        <v>1482000</v>
      </c>
      <c r="P273" s="1197" t="e">
        <f>+N273/K273*100</f>
        <v>#DIV/0!</v>
      </c>
      <c r="Q273" s="1208"/>
      <c r="R273" s="639"/>
    </row>
    <row r="274" spans="1:18" s="189" customFormat="1" ht="12.05" customHeight="1">
      <c r="A274" s="471"/>
      <c r="B274" s="287"/>
      <c r="C274" s="287"/>
      <c r="D274" s="287"/>
      <c r="E274" s="287"/>
      <c r="F274" s="287"/>
      <c r="G274" s="288"/>
      <c r="H274" s="288"/>
      <c r="I274" s="288"/>
      <c r="J274" s="339"/>
      <c r="K274" s="340"/>
      <c r="L274" s="340"/>
      <c r="M274" s="340"/>
      <c r="N274" s="340"/>
      <c r="O274" s="340"/>
      <c r="P274" s="341"/>
      <c r="Q274" s="435"/>
      <c r="R274" s="422"/>
    </row>
    <row r="275" spans="1:18" s="189" customFormat="1" ht="12.05" customHeight="1">
      <c r="A275" s="293"/>
      <c r="B275" s="290">
        <v>4</v>
      </c>
      <c r="C275" s="290">
        <v>1</v>
      </c>
      <c r="D275" s="290"/>
      <c r="E275" s="290"/>
      <c r="F275" s="290"/>
      <c r="G275" s="291" t="s">
        <v>180</v>
      </c>
      <c r="H275" s="291"/>
      <c r="I275" s="291"/>
      <c r="J275" s="342">
        <f>+J278</f>
        <v>2000000</v>
      </c>
      <c r="K275" s="343">
        <f>+K278</f>
        <v>0</v>
      </c>
      <c r="L275" s="343">
        <f>+L278</f>
        <v>0</v>
      </c>
      <c r="M275" s="343">
        <f>+M278</f>
        <v>1482000</v>
      </c>
      <c r="N275" s="343">
        <f>+M275+L275</f>
        <v>1482000</v>
      </c>
      <c r="O275" s="343">
        <f t="shared" ref="O275:O282" si="41">N275-K275</f>
        <v>1482000</v>
      </c>
      <c r="P275" s="344" t="e">
        <f>N275/K275*100</f>
        <v>#DIV/0!</v>
      </c>
      <c r="Q275" s="437"/>
      <c r="R275" s="422"/>
    </row>
    <row r="276" spans="1:18" s="189" customFormat="1" ht="12.05" customHeight="1">
      <c r="A276" s="293"/>
      <c r="B276" s="290"/>
      <c r="C276" s="290"/>
      <c r="D276" s="290"/>
      <c r="E276" s="290"/>
      <c r="F276" s="290"/>
      <c r="G276" s="291"/>
      <c r="H276" s="291"/>
      <c r="I276" s="291"/>
      <c r="J276" s="387"/>
      <c r="K276" s="367"/>
      <c r="L276" s="367"/>
      <c r="M276" s="367"/>
      <c r="N276" s="367"/>
      <c r="O276" s="367"/>
      <c r="P276" s="347"/>
      <c r="Q276" s="454"/>
      <c r="R276" s="422"/>
    </row>
    <row r="277" spans="1:18" s="189" customFormat="1" ht="12.05" customHeight="1">
      <c r="A277" s="293"/>
      <c r="B277" s="292"/>
      <c r="C277" s="292"/>
      <c r="D277" s="292"/>
      <c r="E277" s="292"/>
      <c r="F277" s="292"/>
      <c r="G277" s="253"/>
      <c r="H277" s="253"/>
      <c r="I277" s="253"/>
      <c r="J277" s="354"/>
      <c r="K277" s="355"/>
      <c r="L277" s="355"/>
      <c r="M277" s="355"/>
      <c r="N277" s="355"/>
      <c r="O277" s="355"/>
      <c r="P277" s="388"/>
      <c r="Q277" s="441"/>
      <c r="R277" s="422"/>
    </row>
    <row r="278" spans="1:18" s="189" customFormat="1" ht="12.05" customHeight="1">
      <c r="A278" s="293"/>
      <c r="B278" s="290">
        <v>4</v>
      </c>
      <c r="C278" s="290">
        <v>1</v>
      </c>
      <c r="D278" s="290">
        <v>4</v>
      </c>
      <c r="E278" s="290"/>
      <c r="F278" s="290"/>
      <c r="G278" s="291" t="s">
        <v>71</v>
      </c>
      <c r="H278" s="291"/>
      <c r="I278" s="291"/>
      <c r="J278" s="392">
        <f>J279+J284</f>
        <v>2000000</v>
      </c>
      <c r="K278" s="393">
        <f>K279+K284</f>
        <v>0</v>
      </c>
      <c r="L278" s="394">
        <f>L279+L284</f>
        <v>0</v>
      </c>
      <c r="M278" s="393">
        <f>M279+M284</f>
        <v>1482000</v>
      </c>
      <c r="N278" s="393">
        <f>N279+N284</f>
        <v>1482000</v>
      </c>
      <c r="O278" s="349">
        <f t="shared" si="41"/>
        <v>1482000</v>
      </c>
      <c r="P278" s="350" t="e">
        <f>N278/K278*100</f>
        <v>#DIV/0!</v>
      </c>
      <c r="Q278" s="444"/>
      <c r="R278" s="422"/>
    </row>
    <row r="279" spans="1:18" s="189" customFormat="1" ht="12.05" customHeight="1">
      <c r="A279" s="293"/>
      <c r="B279" s="292">
        <v>4</v>
      </c>
      <c r="C279" s="292">
        <v>1</v>
      </c>
      <c r="D279" s="292">
        <v>4</v>
      </c>
      <c r="E279" s="292" t="s">
        <v>444</v>
      </c>
      <c r="F279" s="292"/>
      <c r="G279" s="253" t="s">
        <v>222</v>
      </c>
      <c r="H279" s="253"/>
      <c r="I279" s="253"/>
      <c r="J279" s="484">
        <f>+J282</f>
        <v>0</v>
      </c>
      <c r="K279" s="485">
        <f>+K282</f>
        <v>0</v>
      </c>
      <c r="L279" s="486">
        <f>SUM(L280:L282)</f>
        <v>0</v>
      </c>
      <c r="M279" s="485">
        <f>SUM(M280:M282)</f>
        <v>1482000</v>
      </c>
      <c r="N279" s="485">
        <f>SUM(N280:N282)</f>
        <v>1482000</v>
      </c>
      <c r="O279" s="412">
        <f t="shared" si="41"/>
        <v>1482000</v>
      </c>
      <c r="P279" s="487"/>
      <c r="Q279" s="541"/>
      <c r="R279" s="422"/>
    </row>
    <row r="280" spans="1:18" s="189" customFormat="1" ht="12.05" customHeight="1">
      <c r="A280" s="293"/>
      <c r="B280" s="292">
        <v>4</v>
      </c>
      <c r="C280" s="292">
        <v>1</v>
      </c>
      <c r="D280" s="292">
        <v>4</v>
      </c>
      <c r="E280" s="292" t="s">
        <v>444</v>
      </c>
      <c r="F280" s="292" t="s">
        <v>440</v>
      </c>
      <c r="G280" s="253" t="s">
        <v>73</v>
      </c>
      <c r="H280" s="253"/>
      <c r="I280" s="253"/>
      <c r="J280" s="354">
        <v>0</v>
      </c>
      <c r="K280" s="355">
        <v>0</v>
      </c>
      <c r="L280" s="360">
        <v>0</v>
      </c>
      <c r="M280" s="355">
        <f>[55]Perdinas!$P$172</f>
        <v>0</v>
      </c>
      <c r="N280" s="355">
        <f>M280+L280</f>
        <v>0</v>
      </c>
      <c r="O280" s="355">
        <f t="shared" si="41"/>
        <v>0</v>
      </c>
      <c r="P280" s="388"/>
      <c r="Q280" s="441"/>
      <c r="R280" s="422"/>
    </row>
    <row r="281" spans="1:18" s="189" customFormat="1" ht="12.05" customHeight="1">
      <c r="A281" s="293"/>
      <c r="B281" s="292">
        <v>4</v>
      </c>
      <c r="C281" s="292">
        <v>1</v>
      </c>
      <c r="D281" s="292">
        <v>4</v>
      </c>
      <c r="E281" s="292" t="s">
        <v>444</v>
      </c>
      <c r="F281" s="292" t="s">
        <v>445</v>
      </c>
      <c r="G281" s="253" t="s">
        <v>74</v>
      </c>
      <c r="H281" s="253"/>
      <c r="I281" s="253"/>
      <c r="J281" s="354">
        <v>0</v>
      </c>
      <c r="K281" s="355">
        <v>0</v>
      </c>
      <c r="L281" s="360">
        <v>0</v>
      </c>
      <c r="M281" s="355">
        <f>[55]Perdinas!$P$173</f>
        <v>0</v>
      </c>
      <c r="N281" s="355">
        <f>M281+L281</f>
        <v>0</v>
      </c>
      <c r="O281" s="355">
        <f t="shared" si="41"/>
        <v>0</v>
      </c>
      <c r="P281" s="388"/>
      <c r="Q281" s="441"/>
      <c r="R281" s="422"/>
    </row>
    <row r="282" spans="1:18" s="189" customFormat="1" ht="12.05" customHeight="1">
      <c r="A282" s="293"/>
      <c r="B282" s="292">
        <v>4</v>
      </c>
      <c r="C282" s="292">
        <v>1</v>
      </c>
      <c r="D282" s="292">
        <v>4</v>
      </c>
      <c r="E282" s="292" t="s">
        <v>444</v>
      </c>
      <c r="F282" s="292" t="s">
        <v>441</v>
      </c>
      <c r="G282" s="253" t="s">
        <v>75</v>
      </c>
      <c r="H282" s="253"/>
      <c r="I282" s="253"/>
      <c r="J282" s="354">
        <v>0</v>
      </c>
      <c r="K282" s="373">
        <f>'[55]TARGET MURNI DAN PERUBAHAN'!$E$134</f>
        <v>0</v>
      </c>
      <c r="L282" s="360">
        <f>[56]PerDinas!$N$282</f>
        <v>0</v>
      </c>
      <c r="M282" s="373">
        <f>[55]Perdinas!$P$174</f>
        <v>1482000</v>
      </c>
      <c r="N282" s="361">
        <f>M282+L282</f>
        <v>1482000</v>
      </c>
      <c r="O282" s="334">
        <f t="shared" si="41"/>
        <v>1482000</v>
      </c>
      <c r="P282" s="335"/>
      <c r="Q282" s="430"/>
      <c r="R282" s="422"/>
    </row>
    <row r="283" spans="1:18" s="189" customFormat="1" ht="12.05" customHeight="1">
      <c r="A283" s="293"/>
      <c r="B283" s="292"/>
      <c r="C283" s="292"/>
      <c r="D283" s="292"/>
      <c r="E283" s="292"/>
      <c r="F283" s="292"/>
      <c r="G283" s="253"/>
      <c r="H283" s="253"/>
      <c r="I283" s="253"/>
      <c r="J283" s="333"/>
      <c r="K283" s="334"/>
      <c r="L283" s="356"/>
      <c r="M283" s="334"/>
      <c r="N283" s="334"/>
      <c r="O283" s="334"/>
      <c r="P283" s="335"/>
      <c r="Q283" s="430"/>
      <c r="R283" s="422"/>
    </row>
    <row r="284" spans="1:18" s="189" customFormat="1" ht="12.05" customHeight="1">
      <c r="A284" s="293"/>
      <c r="B284" s="292">
        <v>4</v>
      </c>
      <c r="C284" s="292">
        <v>1</v>
      </c>
      <c r="D284" s="292">
        <v>4</v>
      </c>
      <c r="E284" s="292" t="s">
        <v>948</v>
      </c>
      <c r="F284" s="292"/>
      <c r="G284" s="253" t="s">
        <v>321</v>
      </c>
      <c r="H284" s="253"/>
      <c r="I284" s="253"/>
      <c r="J284" s="680">
        <f>+J285</f>
        <v>2000000</v>
      </c>
      <c r="K284" s="681">
        <f>+K285</f>
        <v>0</v>
      </c>
      <c r="L284" s="682">
        <f>+L285</f>
        <v>0</v>
      </c>
      <c r="M284" s="681">
        <f>+M285</f>
        <v>0</v>
      </c>
      <c r="N284" s="681">
        <f>+N285</f>
        <v>0</v>
      </c>
      <c r="O284" s="529">
        <f>N284-K284</f>
        <v>0</v>
      </c>
      <c r="P284" s="478" t="e">
        <f>N284/K284*100</f>
        <v>#DIV/0!</v>
      </c>
      <c r="Q284" s="698"/>
      <c r="R284" s="422"/>
    </row>
    <row r="285" spans="1:18" s="189" customFormat="1" ht="12.05" customHeight="1">
      <c r="A285" s="293"/>
      <c r="B285" s="292">
        <v>4</v>
      </c>
      <c r="C285" s="292">
        <v>1</v>
      </c>
      <c r="D285" s="292">
        <v>4</v>
      </c>
      <c r="E285" s="292" t="s">
        <v>948</v>
      </c>
      <c r="F285" s="292" t="s">
        <v>437</v>
      </c>
      <c r="G285" s="253" t="s">
        <v>85</v>
      </c>
      <c r="H285" s="253"/>
      <c r="I285" s="253"/>
      <c r="J285" s="708">
        <f>+J286</f>
        <v>2000000</v>
      </c>
      <c r="K285" s="709">
        <f>+K286</f>
        <v>0</v>
      </c>
      <c r="L285" s="710">
        <f>L286</f>
        <v>0</v>
      </c>
      <c r="M285" s="709">
        <f>M286</f>
        <v>0</v>
      </c>
      <c r="N285" s="709">
        <f>N286</f>
        <v>0</v>
      </c>
      <c r="O285" s="357">
        <f>N285-K285</f>
        <v>0</v>
      </c>
      <c r="P285" s="358" t="e">
        <f>N285/K285*100</f>
        <v>#DIV/0!</v>
      </c>
      <c r="Q285" s="732"/>
      <c r="R285" s="422"/>
    </row>
    <row r="286" spans="1:18" s="189" customFormat="1" ht="12.05" customHeight="1">
      <c r="A286" s="293"/>
      <c r="B286" s="292"/>
      <c r="C286" s="292"/>
      <c r="D286" s="292"/>
      <c r="E286" s="292"/>
      <c r="F286" s="292"/>
      <c r="G286" s="253" t="s">
        <v>50</v>
      </c>
      <c r="H286" s="253"/>
      <c r="I286" s="253" t="s">
        <v>76</v>
      </c>
      <c r="J286" s="374">
        <v>2000000</v>
      </c>
      <c r="K286" s="373">
        <f>'[55]TARGET MURNI DAN PERUBAHAN'!$E$135</f>
        <v>0</v>
      </c>
      <c r="L286" s="715">
        <v>0</v>
      </c>
      <c r="M286" s="373">
        <v>0</v>
      </c>
      <c r="N286" s="369">
        <f>M286+L286</f>
        <v>0</v>
      </c>
      <c r="O286" s="355">
        <f>N286-K286</f>
        <v>0</v>
      </c>
      <c r="P286" s="388" t="e">
        <f>N286/K286*100</f>
        <v>#DIV/0!</v>
      </c>
      <c r="Q286" s="448"/>
      <c r="R286" s="422"/>
    </row>
    <row r="287" spans="1:18" s="1185" customFormat="1" ht="12.05" customHeight="1">
      <c r="A287" s="1233"/>
      <c r="B287" s="1234"/>
      <c r="C287" s="1234"/>
      <c r="D287" s="1234"/>
      <c r="E287" s="1234"/>
      <c r="F287" s="1234"/>
      <c r="G287" s="1235"/>
      <c r="H287" s="1235"/>
      <c r="I287" s="1235"/>
      <c r="J287" s="1237"/>
      <c r="K287" s="1238"/>
      <c r="L287" s="1239"/>
      <c r="M287" s="1238"/>
      <c r="N287" s="1240"/>
      <c r="O287" s="1240"/>
      <c r="P287" s="1241"/>
      <c r="Q287" s="1244"/>
      <c r="R287" s="1245"/>
    </row>
    <row r="288" spans="1:18" s="244" customFormat="1" ht="12.05" customHeight="1">
      <c r="A288" s="1186" t="s">
        <v>132</v>
      </c>
      <c r="B288" s="1187" t="s">
        <v>58</v>
      </c>
      <c r="C288" s="1187" t="s">
        <v>459</v>
      </c>
      <c r="D288" s="1187" t="s">
        <v>437</v>
      </c>
      <c r="E288" s="1187"/>
      <c r="F288" s="1187"/>
      <c r="G288" s="1188" t="s">
        <v>739</v>
      </c>
      <c r="H288" s="1188"/>
      <c r="I288" s="1188"/>
      <c r="J288" s="1195">
        <f>+J290</f>
        <v>106900000</v>
      </c>
      <c r="K288" s="1196">
        <f>+K290</f>
        <v>2000000</v>
      </c>
      <c r="L288" s="1196">
        <f>+L290</f>
        <v>28261946.960000001</v>
      </c>
      <c r="M288" s="1196">
        <f>+M290</f>
        <v>5734000</v>
      </c>
      <c r="N288" s="1196">
        <f>M288+L288</f>
        <v>33995946.960000001</v>
      </c>
      <c r="O288" s="1196">
        <f>+N288-K288</f>
        <v>31995946.960000001</v>
      </c>
      <c r="P288" s="1197">
        <f>+N288/K288*100</f>
        <v>1699.7973479999998</v>
      </c>
      <c r="Q288" s="1208"/>
      <c r="R288" s="639"/>
    </row>
    <row r="289" spans="1:18" s="189" customFormat="1" ht="12.05" customHeight="1">
      <c r="A289" s="471"/>
      <c r="B289" s="287"/>
      <c r="C289" s="287"/>
      <c r="D289" s="287"/>
      <c r="E289" s="287"/>
      <c r="F289" s="287"/>
      <c r="G289" s="288"/>
      <c r="H289" s="288"/>
      <c r="I289" s="288"/>
      <c r="J289" s="339"/>
      <c r="K289" s="340"/>
      <c r="L289" s="340"/>
      <c r="M289" s="340"/>
      <c r="N289" s="340"/>
      <c r="O289" s="340"/>
      <c r="P289" s="341"/>
      <c r="Q289" s="435"/>
      <c r="R289" s="422"/>
    </row>
    <row r="290" spans="1:18" s="189" customFormat="1" ht="12.05" customHeight="1">
      <c r="A290" s="293"/>
      <c r="B290" s="290">
        <v>4</v>
      </c>
      <c r="C290" s="290">
        <v>1</v>
      </c>
      <c r="D290" s="290"/>
      <c r="E290" s="290"/>
      <c r="F290" s="290"/>
      <c r="G290" s="291" t="s">
        <v>180</v>
      </c>
      <c r="H290" s="291"/>
      <c r="I290" s="291"/>
      <c r="J290" s="342">
        <f>+J292+J298</f>
        <v>106900000</v>
      </c>
      <c r="K290" s="343">
        <f>+K292+K298</f>
        <v>2000000</v>
      </c>
      <c r="L290" s="343">
        <f>+L292+L298</f>
        <v>28261946.960000001</v>
      </c>
      <c r="M290" s="343">
        <f>+M292+M298</f>
        <v>5734000</v>
      </c>
      <c r="N290" s="343">
        <f>+M290+L290</f>
        <v>33995946.960000001</v>
      </c>
      <c r="O290" s="343">
        <f t="shared" ref="O290:O296" si="42">N290-K290</f>
        <v>31995946.960000001</v>
      </c>
      <c r="P290" s="344">
        <f t="shared" ref="P290:P296" si="43">N290/K290*100</f>
        <v>1699.7973479999998</v>
      </c>
      <c r="Q290" s="437"/>
      <c r="R290" s="422"/>
    </row>
    <row r="291" spans="1:18" s="189" customFormat="1" ht="12.05" customHeight="1">
      <c r="A291" s="293"/>
      <c r="B291" s="292"/>
      <c r="C291" s="292"/>
      <c r="D291" s="292"/>
      <c r="E291" s="292"/>
      <c r="F291" s="292"/>
      <c r="G291" s="253"/>
      <c r="H291" s="253"/>
      <c r="I291" s="291"/>
      <c r="J291" s="345"/>
      <c r="K291" s="346"/>
      <c r="L291" s="346"/>
      <c r="M291" s="346"/>
      <c r="N291" s="346"/>
      <c r="O291" s="346"/>
      <c r="P291" s="347"/>
      <c r="Q291" s="438"/>
      <c r="R291" s="422"/>
    </row>
    <row r="292" spans="1:18" s="189" customFormat="1" ht="12.05" customHeight="1">
      <c r="A292" s="293"/>
      <c r="B292" s="290">
        <v>4</v>
      </c>
      <c r="C292" s="290">
        <v>1</v>
      </c>
      <c r="D292" s="290">
        <v>2</v>
      </c>
      <c r="E292" s="290"/>
      <c r="F292" s="290"/>
      <c r="G292" s="291" t="s">
        <v>106</v>
      </c>
      <c r="H292" s="291"/>
      <c r="I292" s="291"/>
      <c r="J292" s="348">
        <f>+J294</f>
        <v>3000000</v>
      </c>
      <c r="K292" s="349">
        <f>+K294</f>
        <v>2000000</v>
      </c>
      <c r="L292" s="349">
        <f>+L294</f>
        <v>0</v>
      </c>
      <c r="M292" s="349">
        <f>+M294</f>
        <v>0</v>
      </c>
      <c r="N292" s="349">
        <f>+M292+L292</f>
        <v>0</v>
      </c>
      <c r="O292" s="349">
        <f t="shared" si="42"/>
        <v>-2000000</v>
      </c>
      <c r="P292" s="350">
        <f t="shared" si="43"/>
        <v>0</v>
      </c>
      <c r="Q292" s="439"/>
      <c r="R292" s="422"/>
    </row>
    <row r="293" spans="1:18" s="189" customFormat="1" ht="12.05" customHeight="1">
      <c r="A293" s="293"/>
      <c r="B293" s="292"/>
      <c r="C293" s="292"/>
      <c r="D293" s="292"/>
      <c r="E293" s="292"/>
      <c r="F293" s="292"/>
      <c r="G293" s="253"/>
      <c r="H293" s="253"/>
      <c r="I293" s="253"/>
      <c r="J293" s="374"/>
      <c r="K293" s="375"/>
      <c r="L293" s="375"/>
      <c r="M293" s="375"/>
      <c r="N293" s="375"/>
      <c r="O293" s="375"/>
      <c r="P293" s="600"/>
      <c r="Q293" s="448"/>
      <c r="R293" s="422"/>
    </row>
    <row r="294" spans="1:18" s="189" customFormat="1" ht="12.05" customHeight="1">
      <c r="A294" s="465"/>
      <c r="B294" s="296">
        <v>4</v>
      </c>
      <c r="C294" s="296">
        <v>1</v>
      </c>
      <c r="D294" s="296">
        <v>2</v>
      </c>
      <c r="E294" s="296" t="s">
        <v>438</v>
      </c>
      <c r="F294" s="296"/>
      <c r="G294" s="297" t="s">
        <v>374</v>
      </c>
      <c r="H294" s="297"/>
      <c r="I294" s="297"/>
      <c r="J294" s="627">
        <f t="shared" ref="J294:M295" si="44">+J295</f>
        <v>3000000</v>
      </c>
      <c r="K294" s="396">
        <f t="shared" si="44"/>
        <v>2000000</v>
      </c>
      <c r="L294" s="721">
        <f t="shared" si="44"/>
        <v>0</v>
      </c>
      <c r="M294" s="396">
        <f t="shared" si="44"/>
        <v>0</v>
      </c>
      <c r="N294" s="396">
        <f>+M294+L294</f>
        <v>0</v>
      </c>
      <c r="O294" s="396">
        <f t="shared" si="42"/>
        <v>-2000000</v>
      </c>
      <c r="P294" s="344">
        <f t="shared" si="43"/>
        <v>0</v>
      </c>
      <c r="Q294" s="642"/>
      <c r="R294" s="422"/>
    </row>
    <row r="295" spans="1:18" s="189" customFormat="1" ht="12.05" customHeight="1">
      <c r="A295" s="564"/>
      <c r="B295" s="565">
        <v>4</v>
      </c>
      <c r="C295" s="565">
        <v>1</v>
      </c>
      <c r="D295" s="565">
        <v>2</v>
      </c>
      <c r="E295" s="565" t="s">
        <v>438</v>
      </c>
      <c r="F295" s="565" t="s">
        <v>437</v>
      </c>
      <c r="G295" s="566" t="s">
        <v>64</v>
      </c>
      <c r="H295" s="566"/>
      <c r="I295" s="566"/>
      <c r="J295" s="411">
        <f t="shared" si="44"/>
        <v>3000000</v>
      </c>
      <c r="K295" s="412">
        <f t="shared" si="44"/>
        <v>2000000</v>
      </c>
      <c r="L295" s="591">
        <f t="shared" si="44"/>
        <v>0</v>
      </c>
      <c r="M295" s="412">
        <f t="shared" si="44"/>
        <v>0</v>
      </c>
      <c r="N295" s="485">
        <f t="shared" ref="N295:N303" si="45">M295+L295</f>
        <v>0</v>
      </c>
      <c r="O295" s="485">
        <f t="shared" si="42"/>
        <v>-2000000</v>
      </c>
      <c r="P295" s="597">
        <f t="shared" si="43"/>
        <v>0</v>
      </c>
      <c r="Q295" s="694"/>
      <c r="R295" s="422"/>
    </row>
    <row r="296" spans="1:18" s="189" customFormat="1" ht="12.05" customHeight="1">
      <c r="A296" s="471"/>
      <c r="B296" s="287"/>
      <c r="C296" s="287"/>
      <c r="D296" s="287"/>
      <c r="E296" s="287"/>
      <c r="F296" s="287"/>
      <c r="G296" s="410" t="s">
        <v>50</v>
      </c>
      <c r="H296" s="410"/>
      <c r="I296" s="410" t="s">
        <v>970</v>
      </c>
      <c r="J296" s="708">
        <v>3000000</v>
      </c>
      <c r="K296" s="1242">
        <f>'[55]TARGET MURNI DAN PERUBAHAN'!$E$139</f>
        <v>2000000</v>
      </c>
      <c r="L296" s="710">
        <f>[56]PerDinas!$N$296</f>
        <v>0</v>
      </c>
      <c r="M296" s="722">
        <f>[55]Perdinas!$P$179</f>
        <v>0</v>
      </c>
      <c r="N296" s="357">
        <f t="shared" si="45"/>
        <v>0</v>
      </c>
      <c r="O296" s="357">
        <f t="shared" si="42"/>
        <v>-2000000</v>
      </c>
      <c r="P296" s="358">
        <f t="shared" si="43"/>
        <v>0</v>
      </c>
      <c r="Q296" s="732"/>
      <c r="R296" s="422"/>
    </row>
    <row r="297" spans="1:18" s="189" customFormat="1" ht="12.05" customHeight="1">
      <c r="A297" s="293"/>
      <c r="B297" s="292"/>
      <c r="C297" s="292"/>
      <c r="D297" s="292"/>
      <c r="E297" s="292"/>
      <c r="F297" s="292"/>
      <c r="G297" s="253"/>
      <c r="H297" s="253"/>
      <c r="I297" s="253"/>
      <c r="J297" s="374"/>
      <c r="K297" s="375"/>
      <c r="L297" s="377"/>
      <c r="M297" s="375"/>
      <c r="N297" s="375"/>
      <c r="O297" s="375"/>
      <c r="P297" s="600"/>
      <c r="Q297" s="448"/>
      <c r="R297" s="422"/>
    </row>
    <row r="298" spans="1:18" s="189" customFormat="1" ht="12.05" customHeight="1">
      <c r="A298" s="293"/>
      <c r="B298" s="290">
        <v>4</v>
      </c>
      <c r="C298" s="290">
        <v>1</v>
      </c>
      <c r="D298" s="290">
        <v>4</v>
      </c>
      <c r="E298" s="290"/>
      <c r="F298" s="290"/>
      <c r="G298" s="291" t="s">
        <v>71</v>
      </c>
      <c r="H298" s="291"/>
      <c r="I298" s="291"/>
      <c r="J298" s="723">
        <f>J299+J305</f>
        <v>103900000</v>
      </c>
      <c r="K298" s="724">
        <f>K299+K305+K307</f>
        <v>0</v>
      </c>
      <c r="L298" s="724">
        <f>L299+L305+L307</f>
        <v>28261946.960000001</v>
      </c>
      <c r="M298" s="724">
        <f>M299+M305</f>
        <v>5734000</v>
      </c>
      <c r="N298" s="724">
        <f>N299+N305</f>
        <v>33995946.960000001</v>
      </c>
      <c r="O298" s="349">
        <f t="shared" ref="O298:O303" si="46">N298-K298</f>
        <v>33995946.960000001</v>
      </c>
      <c r="P298" s="350" t="e">
        <f>N298/K298*100</f>
        <v>#DIV/0!</v>
      </c>
      <c r="Q298" s="640"/>
      <c r="R298" s="422"/>
    </row>
    <row r="299" spans="1:18" s="189" customFormat="1" ht="12.05" customHeight="1">
      <c r="A299" s="293"/>
      <c r="B299" s="292">
        <v>4</v>
      </c>
      <c r="C299" s="292">
        <v>1</v>
      </c>
      <c r="D299" s="292">
        <v>4</v>
      </c>
      <c r="E299" s="292" t="s">
        <v>444</v>
      </c>
      <c r="F299" s="292"/>
      <c r="G299" s="253" t="s">
        <v>222</v>
      </c>
      <c r="H299" s="253"/>
      <c r="I299" s="253"/>
      <c r="J299" s="680">
        <f>SUM(J300:J303)</f>
        <v>0</v>
      </c>
      <c r="K299" s="681">
        <f>SUM(K300:K303)</f>
        <v>0</v>
      </c>
      <c r="L299" s="682">
        <f>SUM(L300:L303)</f>
        <v>28261946.960000001</v>
      </c>
      <c r="M299" s="681">
        <f>SUM(M300:M303)</f>
        <v>5734000</v>
      </c>
      <c r="N299" s="529">
        <f>+M299+L299</f>
        <v>33995946.960000001</v>
      </c>
      <c r="O299" s="529">
        <f t="shared" si="46"/>
        <v>33995946.960000001</v>
      </c>
      <c r="P299" s="478">
        <v>0</v>
      </c>
      <c r="Q299" s="698"/>
      <c r="R299" s="422"/>
    </row>
    <row r="300" spans="1:18" s="189" customFormat="1" ht="12.05" customHeight="1">
      <c r="A300" s="289"/>
      <c r="B300" s="292">
        <v>4</v>
      </c>
      <c r="C300" s="292">
        <v>1</v>
      </c>
      <c r="D300" s="292">
        <v>4</v>
      </c>
      <c r="E300" s="292" t="s">
        <v>444</v>
      </c>
      <c r="F300" s="292" t="s">
        <v>440</v>
      </c>
      <c r="G300" s="253" t="s">
        <v>73</v>
      </c>
      <c r="H300" s="253"/>
      <c r="I300" s="253"/>
      <c r="J300" s="354">
        <v>0</v>
      </c>
      <c r="K300" s="355">
        <v>0</v>
      </c>
      <c r="L300" s="360">
        <v>0</v>
      </c>
      <c r="M300" s="355">
        <f>[55]Perdinas!$P$183</f>
        <v>0</v>
      </c>
      <c r="N300" s="355">
        <f t="shared" si="45"/>
        <v>0</v>
      </c>
      <c r="O300" s="355">
        <f t="shared" si="46"/>
        <v>0</v>
      </c>
      <c r="P300" s="388"/>
      <c r="Q300" s="441"/>
      <c r="R300" s="422"/>
    </row>
    <row r="301" spans="1:18" s="189" customFormat="1" ht="12.05" customHeight="1">
      <c r="A301" s="289"/>
      <c r="B301" s="292">
        <v>4</v>
      </c>
      <c r="C301" s="292">
        <v>1</v>
      </c>
      <c r="D301" s="292">
        <v>4</v>
      </c>
      <c r="E301" s="292" t="s">
        <v>444</v>
      </c>
      <c r="F301" s="292" t="s">
        <v>445</v>
      </c>
      <c r="G301" s="253" t="s">
        <v>74</v>
      </c>
      <c r="H301" s="253"/>
      <c r="I301" s="253"/>
      <c r="J301" s="354">
        <v>0</v>
      </c>
      <c r="K301" s="355">
        <v>0</v>
      </c>
      <c r="L301" s="360">
        <v>0</v>
      </c>
      <c r="M301" s="355">
        <f>[55]Perdinas!$P$184</f>
        <v>0</v>
      </c>
      <c r="N301" s="355">
        <f t="shared" si="45"/>
        <v>0</v>
      </c>
      <c r="O301" s="355">
        <f t="shared" si="46"/>
        <v>0</v>
      </c>
      <c r="P301" s="388"/>
      <c r="Q301" s="441"/>
      <c r="R301" s="422"/>
    </row>
    <row r="302" spans="1:18" s="189" customFormat="1" ht="12.05" customHeight="1">
      <c r="A302" s="293"/>
      <c r="B302" s="292">
        <v>4</v>
      </c>
      <c r="C302" s="292">
        <v>1</v>
      </c>
      <c r="D302" s="292">
        <v>4</v>
      </c>
      <c r="E302" s="292" t="s">
        <v>444</v>
      </c>
      <c r="F302" s="292" t="s">
        <v>441</v>
      </c>
      <c r="G302" s="253" t="s">
        <v>75</v>
      </c>
      <c r="H302" s="253"/>
      <c r="I302" s="253"/>
      <c r="J302" s="494">
        <v>0</v>
      </c>
      <c r="K302" s="725">
        <f>'[55]TARGET MURNI DAN PERUBAHAN'!$E$142</f>
        <v>0</v>
      </c>
      <c r="L302" s="513">
        <f>[56]PerDinas!$N$302</f>
        <v>28261946.960000001</v>
      </c>
      <c r="M302" s="725">
        <f>[55]Perdinas!$P$185</f>
        <v>5734000</v>
      </c>
      <c r="N302" s="369">
        <f t="shared" si="45"/>
        <v>33995946.960000001</v>
      </c>
      <c r="O302" s="355">
        <f t="shared" si="46"/>
        <v>33995946.960000001</v>
      </c>
      <c r="P302" s="388">
        <v>0</v>
      </c>
      <c r="Q302" s="548"/>
      <c r="R302" s="422"/>
    </row>
    <row r="303" spans="1:18" s="189" customFormat="1" ht="12.05" customHeight="1">
      <c r="A303" s="705"/>
      <c r="B303" s="292">
        <v>4</v>
      </c>
      <c r="C303" s="292">
        <v>1</v>
      </c>
      <c r="D303" s="292">
        <v>4</v>
      </c>
      <c r="E303" s="292" t="s">
        <v>438</v>
      </c>
      <c r="F303" s="292" t="s">
        <v>438</v>
      </c>
      <c r="G303" s="199" t="s">
        <v>214</v>
      </c>
      <c r="H303" s="253"/>
      <c r="I303" s="253"/>
      <c r="J303" s="726">
        <v>0</v>
      </c>
      <c r="K303" s="727">
        <v>0</v>
      </c>
      <c r="L303" s="728">
        <v>0</v>
      </c>
      <c r="M303" s="448">
        <v>0</v>
      </c>
      <c r="N303" s="441">
        <f t="shared" si="45"/>
        <v>0</v>
      </c>
      <c r="O303" s="441">
        <f t="shared" si="46"/>
        <v>0</v>
      </c>
      <c r="P303" s="388">
        <v>0</v>
      </c>
      <c r="Q303" s="448"/>
      <c r="R303" s="422"/>
    </row>
    <row r="304" spans="1:18" s="189" customFormat="1" ht="12.05" customHeight="1">
      <c r="A304" s="293"/>
      <c r="B304" s="292"/>
      <c r="C304" s="292"/>
      <c r="D304" s="292"/>
      <c r="E304" s="292"/>
      <c r="F304" s="292"/>
      <c r="G304" s="253"/>
      <c r="H304" s="253"/>
      <c r="I304" s="253"/>
      <c r="J304" s="729"/>
      <c r="K304" s="730"/>
      <c r="L304" s="731"/>
      <c r="M304" s="548"/>
      <c r="N304" s="430"/>
      <c r="O304" s="430"/>
      <c r="P304" s="335"/>
      <c r="Q304" s="548"/>
      <c r="R304" s="422"/>
    </row>
    <row r="305" spans="1:19" s="189" customFormat="1" ht="12.05" customHeight="1">
      <c r="A305" s="293"/>
      <c r="B305" s="292">
        <v>4</v>
      </c>
      <c r="C305" s="292">
        <v>1</v>
      </c>
      <c r="D305" s="292">
        <v>4</v>
      </c>
      <c r="E305" s="292" t="s">
        <v>948</v>
      </c>
      <c r="F305" s="292"/>
      <c r="G305" s="253" t="s">
        <v>321</v>
      </c>
      <c r="H305" s="253"/>
      <c r="I305" s="253"/>
      <c r="J305" s="489">
        <f>+J306</f>
        <v>103900000</v>
      </c>
      <c r="K305" s="512">
        <f>+K306</f>
        <v>0</v>
      </c>
      <c r="L305" s="512">
        <f>+L306</f>
        <v>0</v>
      </c>
      <c r="M305" s="512">
        <f>+M306</f>
        <v>0</v>
      </c>
      <c r="N305" s="412">
        <f>+M305+L305</f>
        <v>0</v>
      </c>
      <c r="O305" s="412">
        <f>N305-K305</f>
        <v>0</v>
      </c>
      <c r="P305" s="487" t="e">
        <f>N305/K305*100</f>
        <v>#DIV/0!</v>
      </c>
      <c r="Q305" s="647"/>
      <c r="R305" s="422"/>
    </row>
    <row r="306" spans="1:19" s="189" customFormat="1" ht="12.05" customHeight="1">
      <c r="A306" s="293"/>
      <c r="B306" s="292">
        <v>4</v>
      </c>
      <c r="C306" s="292">
        <v>1</v>
      </c>
      <c r="D306" s="292">
        <v>4</v>
      </c>
      <c r="E306" s="292" t="s">
        <v>948</v>
      </c>
      <c r="F306" s="292" t="s">
        <v>437</v>
      </c>
      <c r="G306" s="253" t="s">
        <v>85</v>
      </c>
      <c r="H306" s="253"/>
      <c r="I306" s="253"/>
      <c r="J306" s="494">
        <f>+J307+J308</f>
        <v>103900000</v>
      </c>
      <c r="K306" s="495">
        <f>K308</f>
        <v>0</v>
      </c>
      <c r="L306" s="495">
        <f>L308</f>
        <v>0</v>
      </c>
      <c r="M306" s="495">
        <f>SUM(M307:M308)</f>
        <v>0</v>
      </c>
      <c r="N306" s="496">
        <f>SUM(N307:N308)</f>
        <v>0</v>
      </c>
      <c r="O306" s="497">
        <f>N306-K306</f>
        <v>0</v>
      </c>
      <c r="P306" s="498" t="e">
        <f>N306/K306*100</f>
        <v>#DIV/0!</v>
      </c>
      <c r="Q306" s="548"/>
      <c r="R306" s="422"/>
    </row>
    <row r="307" spans="1:19" s="189" customFormat="1" ht="12.05" customHeight="1">
      <c r="A307" s="293"/>
      <c r="B307" s="292"/>
      <c r="C307" s="292"/>
      <c r="D307" s="292"/>
      <c r="E307" s="292"/>
      <c r="F307" s="292"/>
      <c r="G307" s="253" t="s">
        <v>50</v>
      </c>
      <c r="H307" s="253"/>
      <c r="I307" s="253" t="s">
        <v>710</v>
      </c>
      <c r="J307" s="374">
        <v>89000000</v>
      </c>
      <c r="K307" s="375"/>
      <c r="L307" s="377"/>
      <c r="M307" s="375"/>
      <c r="N307" s="369">
        <f>M307+L307</f>
        <v>0</v>
      </c>
      <c r="O307" s="497">
        <f>N307-K307</f>
        <v>0</v>
      </c>
      <c r="P307" s="388"/>
      <c r="Q307" s="448"/>
      <c r="R307" s="422"/>
    </row>
    <row r="308" spans="1:19" s="189" customFormat="1" ht="12.05" customHeight="1">
      <c r="A308" s="293"/>
      <c r="B308" s="292"/>
      <c r="C308" s="292"/>
      <c r="D308" s="292"/>
      <c r="E308" s="292"/>
      <c r="F308" s="292"/>
      <c r="G308" s="253" t="s">
        <v>50</v>
      </c>
      <c r="H308" s="253"/>
      <c r="I308" s="253" t="s">
        <v>85</v>
      </c>
      <c r="J308" s="374">
        <v>14900000</v>
      </c>
      <c r="K308" s="376">
        <f>'[55]TARGET MURNI DAN PERUBAHAN'!$E$144</f>
        <v>0</v>
      </c>
      <c r="L308" s="377">
        <v>0</v>
      </c>
      <c r="M308" s="376">
        <v>0</v>
      </c>
      <c r="N308" s="361">
        <f>M308+L308</f>
        <v>0</v>
      </c>
      <c r="O308" s="334">
        <f>N308-K308</f>
        <v>0</v>
      </c>
      <c r="P308" s="335" t="e">
        <f>N308/K308*100</f>
        <v>#DIV/0!</v>
      </c>
      <c r="Q308" s="448"/>
      <c r="R308" s="422"/>
    </row>
    <row r="309" spans="1:19" s="189" customFormat="1" ht="12.05" customHeight="1">
      <c r="A309" s="465"/>
      <c r="B309" s="296"/>
      <c r="C309" s="296"/>
      <c r="D309" s="296"/>
      <c r="E309" s="296"/>
      <c r="F309" s="296"/>
      <c r="G309" s="297"/>
      <c r="H309" s="297"/>
      <c r="I309" s="297"/>
      <c r="J309" s="351"/>
      <c r="K309" s="352"/>
      <c r="L309" s="362"/>
      <c r="M309" s="352"/>
      <c r="N309" s="352"/>
      <c r="O309" s="352"/>
      <c r="P309" s="353"/>
      <c r="Q309" s="440"/>
      <c r="R309" s="422"/>
    </row>
    <row r="310" spans="1:19" s="251" customFormat="1" ht="12.05" customHeight="1">
      <c r="A310" s="1186" t="s">
        <v>141</v>
      </c>
      <c r="B310" s="1187" t="s">
        <v>58</v>
      </c>
      <c r="C310" s="1187" t="s">
        <v>948</v>
      </c>
      <c r="D310" s="1187" t="s">
        <v>437</v>
      </c>
      <c r="E310" s="1187"/>
      <c r="F310" s="1187"/>
      <c r="G310" s="1188" t="s">
        <v>133</v>
      </c>
      <c r="H310" s="1188"/>
      <c r="I310" s="1188"/>
      <c r="J310" s="1195">
        <f>+J312</f>
        <v>601173200</v>
      </c>
      <c r="K310" s="1196">
        <f>+K312</f>
        <v>1530000000</v>
      </c>
      <c r="L310" s="1196">
        <f>+L312</f>
        <v>1690170286.75</v>
      </c>
      <c r="M310" s="1196">
        <f>+M312</f>
        <v>110081230</v>
      </c>
      <c r="N310" s="1196">
        <f>M310+L310</f>
        <v>1800251516.75</v>
      </c>
      <c r="O310" s="1196">
        <f>+N310-K310</f>
        <v>270251516.75</v>
      </c>
      <c r="P310" s="1197">
        <f>+N310/K310*100</f>
        <v>117.6634978267974</v>
      </c>
      <c r="Q310" s="1208"/>
      <c r="R310" s="736">
        <f>N310-[55]Perdinas!$Q$188</f>
        <v>0</v>
      </c>
      <c r="S310" s="737"/>
    </row>
    <row r="311" spans="1:19" s="252" customFormat="1" ht="12.05" customHeight="1">
      <c r="A311" s="706"/>
      <c r="B311" s="707"/>
      <c r="C311" s="707"/>
      <c r="D311" s="707"/>
      <c r="E311" s="707"/>
      <c r="F311" s="707"/>
      <c r="G311" s="288"/>
      <c r="H311" s="288"/>
      <c r="I311" s="288"/>
      <c r="J311" s="385"/>
      <c r="K311" s="386"/>
      <c r="L311" s="386"/>
      <c r="M311" s="386"/>
      <c r="N311" s="386"/>
      <c r="O311" s="386"/>
      <c r="P311" s="341"/>
      <c r="Q311" s="453"/>
      <c r="R311" s="738"/>
    </row>
    <row r="312" spans="1:19" s="189" customFormat="1" ht="12.05" customHeight="1">
      <c r="A312" s="293"/>
      <c r="B312" s="290">
        <v>4</v>
      </c>
      <c r="C312" s="290">
        <v>1</v>
      </c>
      <c r="D312" s="290"/>
      <c r="E312" s="290"/>
      <c r="F312" s="290"/>
      <c r="G312" s="291" t="s">
        <v>180</v>
      </c>
      <c r="H312" s="291"/>
      <c r="I312" s="291"/>
      <c r="J312" s="342">
        <f>+J314+J325</f>
        <v>601173200</v>
      </c>
      <c r="K312" s="343">
        <f>+K314+K325</f>
        <v>1530000000</v>
      </c>
      <c r="L312" s="343">
        <f>+L314+L325</f>
        <v>1690170286.75</v>
      </c>
      <c r="M312" s="343">
        <f>+M314+M325</f>
        <v>110081230</v>
      </c>
      <c r="N312" s="343">
        <f>+M312+L312</f>
        <v>1800251516.75</v>
      </c>
      <c r="O312" s="343">
        <f>N312-K312</f>
        <v>270251516.75</v>
      </c>
      <c r="P312" s="344">
        <f>N312/K312*100</f>
        <v>117.6634978267974</v>
      </c>
      <c r="Q312" s="437"/>
      <c r="R312" s="422"/>
    </row>
    <row r="313" spans="1:19" s="189" customFormat="1" ht="12.05" customHeight="1">
      <c r="A313" s="293"/>
      <c r="B313" s="290"/>
      <c r="C313" s="290"/>
      <c r="D313" s="290"/>
      <c r="E313" s="290"/>
      <c r="F313" s="290"/>
      <c r="G313" s="291"/>
      <c r="H313" s="291"/>
      <c r="I313" s="291"/>
      <c r="J313" s="387"/>
      <c r="K313" s="367"/>
      <c r="L313" s="367"/>
      <c r="M313" s="367"/>
      <c r="N313" s="367"/>
      <c r="O313" s="367"/>
      <c r="P313" s="347"/>
      <c r="Q313" s="454"/>
      <c r="R313" s="422"/>
    </row>
    <row r="314" spans="1:19" s="189" customFormat="1" ht="12.05" customHeight="1">
      <c r="A314" s="293"/>
      <c r="B314" s="290">
        <v>4</v>
      </c>
      <c r="C314" s="290">
        <v>1</v>
      </c>
      <c r="D314" s="290">
        <v>2</v>
      </c>
      <c r="E314" s="290"/>
      <c r="F314" s="290"/>
      <c r="G314" s="291" t="s">
        <v>106</v>
      </c>
      <c r="H314" s="291"/>
      <c r="I314" s="291"/>
      <c r="J314" s="348">
        <f>+J315+J318</f>
        <v>37942400</v>
      </c>
      <c r="K314" s="349">
        <f>+K315+K318</f>
        <v>1530000000</v>
      </c>
      <c r="L314" s="349">
        <f>+L315+L318</f>
        <v>1638433970</v>
      </c>
      <c r="M314" s="349">
        <f>+M315+M318</f>
        <v>110081230</v>
      </c>
      <c r="N314" s="349">
        <f>+M314+L314</f>
        <v>1748515200</v>
      </c>
      <c r="O314" s="349">
        <f>N314-K314</f>
        <v>218515200</v>
      </c>
      <c r="P314" s="350">
        <f>N314/K314*100</f>
        <v>114.28203921568627</v>
      </c>
      <c r="Q314" s="439"/>
      <c r="R314" s="422"/>
    </row>
    <row r="315" spans="1:19" s="189" customFormat="1" ht="12.05" customHeight="1">
      <c r="A315" s="293"/>
      <c r="B315" s="292">
        <v>4</v>
      </c>
      <c r="C315" s="292">
        <v>1</v>
      </c>
      <c r="D315" s="292">
        <v>2</v>
      </c>
      <c r="E315" s="292" t="s">
        <v>440</v>
      </c>
      <c r="F315" s="292"/>
      <c r="G315" s="253" t="s">
        <v>116</v>
      </c>
      <c r="H315" s="253"/>
      <c r="I315" s="291"/>
      <c r="J315" s="411">
        <f>+J316</f>
        <v>0</v>
      </c>
      <c r="K315" s="412">
        <f>+K316</f>
        <v>1455000000</v>
      </c>
      <c r="L315" s="591">
        <f>+L316</f>
        <v>1526019600</v>
      </c>
      <c r="M315" s="412">
        <f>+M316</f>
        <v>96558000</v>
      </c>
      <c r="N315" s="412">
        <f>+M315+L315</f>
        <v>1622577600</v>
      </c>
      <c r="O315" s="412">
        <f>N315-K315</f>
        <v>167577600</v>
      </c>
      <c r="P315" s="487"/>
      <c r="Q315" s="694"/>
      <c r="R315" s="422"/>
    </row>
    <row r="316" spans="1:19" s="189" customFormat="1" ht="12.05" customHeight="1">
      <c r="A316" s="293"/>
      <c r="B316" s="292">
        <v>4</v>
      </c>
      <c r="C316" s="292">
        <v>1</v>
      </c>
      <c r="D316" s="292">
        <v>2</v>
      </c>
      <c r="E316" s="292" t="s">
        <v>440</v>
      </c>
      <c r="F316" s="292"/>
      <c r="G316" s="253" t="s">
        <v>971</v>
      </c>
      <c r="H316" s="253"/>
      <c r="I316" s="253"/>
      <c r="J316" s="333"/>
      <c r="K316" s="1243">
        <f>'[55]TARGET MURNI DAN PERUBAHAN'!$E$148</f>
        <v>1455000000</v>
      </c>
      <c r="L316" s="356">
        <f>[56]PerDinas!$N$316</f>
        <v>1526019600</v>
      </c>
      <c r="M316" s="334">
        <f>[55]Perdinas!$P$190</f>
        <v>96558000</v>
      </c>
      <c r="N316" s="361">
        <f>M316+L316</f>
        <v>1622577600</v>
      </c>
      <c r="O316" s="334">
        <f>N316-K316</f>
        <v>167577600</v>
      </c>
      <c r="P316" s="353">
        <f>N316/K316*100</f>
        <v>111.51736082474227</v>
      </c>
      <c r="Q316" s="430"/>
      <c r="R316" s="422"/>
    </row>
    <row r="317" spans="1:19" s="189" customFormat="1" ht="12.05" customHeight="1">
      <c r="A317" s="293"/>
      <c r="B317" s="292"/>
      <c r="C317" s="292"/>
      <c r="D317" s="292"/>
      <c r="E317" s="292"/>
      <c r="F317" s="292"/>
      <c r="G317" s="253"/>
      <c r="H317" s="253"/>
      <c r="I317" s="253"/>
      <c r="J317" s="354"/>
      <c r="K317" s="355"/>
      <c r="L317" s="360"/>
      <c r="M317" s="355"/>
      <c r="N317" s="355"/>
      <c r="O317" s="355"/>
      <c r="P317" s="388"/>
      <c r="Q317" s="441"/>
      <c r="R317" s="422"/>
    </row>
    <row r="318" spans="1:19" s="189" customFormat="1" ht="12.05" customHeight="1">
      <c r="A318" s="293"/>
      <c r="B318" s="292">
        <v>4</v>
      </c>
      <c r="C318" s="292">
        <v>1</v>
      </c>
      <c r="D318" s="292">
        <v>2</v>
      </c>
      <c r="E318" s="292" t="s">
        <v>438</v>
      </c>
      <c r="F318" s="292"/>
      <c r="G318" s="253" t="s">
        <v>374</v>
      </c>
      <c r="H318" s="253"/>
      <c r="I318" s="253"/>
      <c r="J318" s="484">
        <f>J319+J322</f>
        <v>37942400</v>
      </c>
      <c r="K318" s="485">
        <f>K319+K322+K337</f>
        <v>75000000</v>
      </c>
      <c r="L318" s="485">
        <f>L319+L322+L337</f>
        <v>112414370</v>
      </c>
      <c r="M318" s="485">
        <f>M319+M322+M337</f>
        <v>13523230</v>
      </c>
      <c r="N318" s="485">
        <f>M318+L318</f>
        <v>125937600</v>
      </c>
      <c r="O318" s="412">
        <f t="shared" ref="O318:O323" si="47">N318-K318</f>
        <v>50937600</v>
      </c>
      <c r="P318" s="487">
        <f t="shared" ref="P318:P323" si="48">N318/K318*100</f>
        <v>167.91679999999999</v>
      </c>
      <c r="Q318" s="541"/>
      <c r="R318" s="422"/>
    </row>
    <row r="319" spans="1:19" s="189" customFormat="1" ht="12.05" customHeight="1">
      <c r="A319" s="289"/>
      <c r="B319" s="292">
        <v>4</v>
      </c>
      <c r="C319" s="292">
        <v>1</v>
      </c>
      <c r="D319" s="292">
        <v>2</v>
      </c>
      <c r="E319" s="292" t="s">
        <v>438</v>
      </c>
      <c r="F319" s="292" t="s">
        <v>437</v>
      </c>
      <c r="G319" s="253" t="s">
        <v>64</v>
      </c>
      <c r="H319" s="253"/>
      <c r="I319" s="291"/>
      <c r="J319" s="333">
        <f>J320</f>
        <v>2942400</v>
      </c>
      <c r="K319" s="334">
        <f>SUM(K320:K321)</f>
        <v>0</v>
      </c>
      <c r="L319" s="356">
        <f>SUM(L320:L321)</f>
        <v>3435600</v>
      </c>
      <c r="M319" s="334">
        <f>SUM(M320:M321)</f>
        <v>0</v>
      </c>
      <c r="N319" s="361">
        <f>SUM(N320:N321)</f>
        <v>3435600</v>
      </c>
      <c r="O319" s="334">
        <f t="shared" si="47"/>
        <v>3435600</v>
      </c>
      <c r="P319" s="335" t="e">
        <f t="shared" si="48"/>
        <v>#DIV/0!</v>
      </c>
      <c r="Q319" s="739"/>
      <c r="R319" s="422"/>
    </row>
    <row r="320" spans="1:19" s="189" customFormat="1" ht="12.05" customHeight="1">
      <c r="A320" s="293"/>
      <c r="B320" s="292">
        <v>4</v>
      </c>
      <c r="C320" s="292">
        <v>1</v>
      </c>
      <c r="D320" s="292">
        <v>2</v>
      </c>
      <c r="E320" s="292" t="s">
        <v>438</v>
      </c>
      <c r="F320" s="292" t="s">
        <v>437</v>
      </c>
      <c r="G320" s="253" t="s">
        <v>50</v>
      </c>
      <c r="H320" s="253"/>
      <c r="I320" s="253" t="s">
        <v>185</v>
      </c>
      <c r="J320" s="354">
        <v>2942400</v>
      </c>
      <c r="K320" s="1194">
        <f>'[55]TARGET MURNI DAN PERUBAHAN'!$E$152</f>
        <v>0</v>
      </c>
      <c r="L320" s="360">
        <f>[56]PerDinas!$N$320</f>
        <v>3435600</v>
      </c>
      <c r="M320" s="373">
        <f>[55]Perdinas!$P$194</f>
        <v>0</v>
      </c>
      <c r="N320" s="355">
        <f>M320+L320</f>
        <v>3435600</v>
      </c>
      <c r="O320" s="355">
        <f t="shared" si="47"/>
        <v>3435600</v>
      </c>
      <c r="P320" s="388">
        <v>0</v>
      </c>
      <c r="Q320" s="441"/>
      <c r="R320" s="545"/>
    </row>
    <row r="321" spans="1:19" s="189" customFormat="1" ht="12.05" customHeight="1">
      <c r="A321" s="293"/>
      <c r="B321" s="292"/>
      <c r="C321" s="292"/>
      <c r="D321" s="292"/>
      <c r="E321" s="292"/>
      <c r="F321" s="292"/>
      <c r="G321" s="253"/>
      <c r="H321" s="253"/>
      <c r="I321" s="253"/>
      <c r="J321" s="354"/>
      <c r="K321" s="1194"/>
      <c r="L321" s="360"/>
      <c r="M321" s="355"/>
      <c r="N321" s="355"/>
      <c r="O321" s="355"/>
      <c r="P321" s="388"/>
      <c r="Q321" s="441"/>
      <c r="R321" s="5871"/>
      <c r="S321" s="5872"/>
    </row>
    <row r="322" spans="1:19" s="189" customFormat="1" ht="12.05" customHeight="1">
      <c r="A322" s="293"/>
      <c r="B322" s="292">
        <v>4</v>
      </c>
      <c r="C322" s="292">
        <v>1</v>
      </c>
      <c r="D322" s="292">
        <v>2</v>
      </c>
      <c r="E322" s="292" t="s">
        <v>438</v>
      </c>
      <c r="F322" s="292" t="s">
        <v>440</v>
      </c>
      <c r="G322" s="253" t="s">
        <v>304</v>
      </c>
      <c r="H322" s="253"/>
      <c r="I322" s="253"/>
      <c r="J322" s="526">
        <f>+J323</f>
        <v>35000000</v>
      </c>
      <c r="K322" s="527">
        <f>+K323</f>
        <v>75000000</v>
      </c>
      <c r="L322" s="670">
        <f>+L323+L324</f>
        <v>78450000</v>
      </c>
      <c r="M322" s="527">
        <f>+M323+M324</f>
        <v>4800000</v>
      </c>
      <c r="N322" s="527">
        <f t="shared" ref="N322:N329" si="49">M322+L322</f>
        <v>83250000</v>
      </c>
      <c r="O322" s="527">
        <f t="shared" si="47"/>
        <v>8250000</v>
      </c>
      <c r="P322" s="671">
        <f t="shared" si="48"/>
        <v>111.00000000000001</v>
      </c>
      <c r="Q322" s="739"/>
      <c r="R322" s="5871"/>
      <c r="S322" s="5872"/>
    </row>
    <row r="323" spans="1:19" s="189" customFormat="1" ht="12.05" customHeight="1">
      <c r="A323" s="293"/>
      <c r="B323" s="292"/>
      <c r="C323" s="292"/>
      <c r="D323" s="292"/>
      <c r="E323" s="292"/>
      <c r="F323" s="292"/>
      <c r="G323" s="253" t="s">
        <v>50</v>
      </c>
      <c r="H323" s="253"/>
      <c r="I323" s="253" t="s">
        <v>972</v>
      </c>
      <c r="J323" s="389">
        <v>35000000</v>
      </c>
      <c r="K323" s="1246">
        <f>'[55]TARGET MURNI DAN PERUBAHAN'!$E$155</f>
        <v>75000000</v>
      </c>
      <c r="L323" s="391">
        <f>[56]PerDinas!$N$323</f>
        <v>78450000</v>
      </c>
      <c r="M323" s="390">
        <f>[55]Perdinas!$P$198</f>
        <v>4800000</v>
      </c>
      <c r="N323" s="415">
        <f t="shared" si="49"/>
        <v>83250000</v>
      </c>
      <c r="O323" s="357">
        <f t="shared" si="47"/>
        <v>8250000</v>
      </c>
      <c r="P323" s="358">
        <f t="shared" si="48"/>
        <v>111.00000000000001</v>
      </c>
      <c r="Q323" s="442"/>
      <c r="R323" s="5871"/>
      <c r="S323" s="5872"/>
    </row>
    <row r="324" spans="1:19" s="189" customFormat="1" ht="12.05" customHeight="1">
      <c r="A324" s="293"/>
      <c r="B324" s="292"/>
      <c r="C324" s="292"/>
      <c r="D324" s="292"/>
      <c r="E324" s="292"/>
      <c r="F324" s="292"/>
      <c r="G324" s="253"/>
      <c r="H324" s="253"/>
      <c r="I324" s="253"/>
      <c r="J324" s="354"/>
      <c r="K324" s="355"/>
      <c r="L324" s="360">
        <v>0</v>
      </c>
      <c r="M324" s="355">
        <v>0</v>
      </c>
      <c r="N324" s="355">
        <f>+M324+L324</f>
        <v>0</v>
      </c>
      <c r="O324" s="355"/>
      <c r="P324" s="388"/>
      <c r="Q324" s="441"/>
      <c r="R324" s="5871"/>
      <c r="S324" s="5872"/>
    </row>
    <row r="325" spans="1:19" s="189" customFormat="1" ht="12.05" customHeight="1">
      <c r="A325" s="293"/>
      <c r="B325" s="290">
        <v>4</v>
      </c>
      <c r="C325" s="290">
        <v>1</v>
      </c>
      <c r="D325" s="290">
        <v>4</v>
      </c>
      <c r="E325" s="290"/>
      <c r="F325" s="290"/>
      <c r="G325" s="291" t="s">
        <v>71</v>
      </c>
      <c r="H325" s="291"/>
      <c r="I325" s="291"/>
      <c r="J325" s="392">
        <f>J326+J331</f>
        <v>563230800</v>
      </c>
      <c r="K325" s="393">
        <f>K326+K331</f>
        <v>0</v>
      </c>
      <c r="L325" s="393">
        <f>L326+L331</f>
        <v>51736316.75</v>
      </c>
      <c r="M325" s="393">
        <f>M326+M331</f>
        <v>0</v>
      </c>
      <c r="N325" s="364">
        <f t="shared" si="49"/>
        <v>51736316.75</v>
      </c>
      <c r="O325" s="395">
        <f>N325-K325</f>
        <v>51736316.75</v>
      </c>
      <c r="P325" s="590" t="e">
        <f>N325/K325*100</f>
        <v>#DIV/0!</v>
      </c>
      <c r="Q325" s="444"/>
      <c r="R325" s="5871"/>
      <c r="S325" s="5872"/>
    </row>
    <row r="326" spans="1:19" s="189" customFormat="1" ht="12.05" customHeight="1">
      <c r="A326" s="293"/>
      <c r="B326" s="292">
        <v>4</v>
      </c>
      <c r="C326" s="292">
        <v>1</v>
      </c>
      <c r="D326" s="292">
        <v>4</v>
      </c>
      <c r="E326" s="292" t="s">
        <v>444</v>
      </c>
      <c r="F326" s="292"/>
      <c r="G326" s="253" t="s">
        <v>222</v>
      </c>
      <c r="H326" s="253"/>
      <c r="I326" s="253"/>
      <c r="J326" s="680">
        <f>SUM(J327:J329)</f>
        <v>0</v>
      </c>
      <c r="K326" s="681">
        <f>SUM(K327:K329)</f>
        <v>0</v>
      </c>
      <c r="L326" s="682">
        <f>SUM(L327:L329)</f>
        <v>51736316.75</v>
      </c>
      <c r="M326" s="512">
        <f>SUM(M327:M329)</f>
        <v>0</v>
      </c>
      <c r="N326" s="512">
        <f t="shared" si="49"/>
        <v>51736316.75</v>
      </c>
      <c r="O326" s="412">
        <f>N326-K326</f>
        <v>51736316.75</v>
      </c>
      <c r="P326" s="487">
        <v>0</v>
      </c>
      <c r="Q326" s="698"/>
      <c r="R326" s="422"/>
    </row>
    <row r="327" spans="1:19" s="189" customFormat="1" ht="12.05" customHeight="1">
      <c r="A327" s="289"/>
      <c r="B327" s="292">
        <v>4</v>
      </c>
      <c r="C327" s="292">
        <v>1</v>
      </c>
      <c r="D327" s="292">
        <v>4</v>
      </c>
      <c r="E327" s="292" t="s">
        <v>441</v>
      </c>
      <c r="F327" s="292" t="s">
        <v>437</v>
      </c>
      <c r="G327" s="253" t="s">
        <v>72</v>
      </c>
      <c r="H327" s="253"/>
      <c r="I327" s="253"/>
      <c r="J327" s="389">
        <v>0</v>
      </c>
      <c r="K327" s="357">
        <v>0</v>
      </c>
      <c r="L327" s="391">
        <v>0</v>
      </c>
      <c r="M327" s="357">
        <f>[55]Perdinas!$P$201</f>
        <v>0</v>
      </c>
      <c r="N327" s="357">
        <f t="shared" si="49"/>
        <v>0</v>
      </c>
      <c r="O327" s="357">
        <f>N327-K327</f>
        <v>0</v>
      </c>
      <c r="P327" s="358"/>
      <c r="Q327" s="442"/>
      <c r="R327" s="422"/>
    </row>
    <row r="328" spans="1:19" s="189" customFormat="1" ht="12.05" customHeight="1">
      <c r="A328" s="289"/>
      <c r="B328" s="292">
        <v>4</v>
      </c>
      <c r="C328" s="292">
        <v>1</v>
      </c>
      <c r="D328" s="292">
        <v>4</v>
      </c>
      <c r="E328" s="292" t="s">
        <v>444</v>
      </c>
      <c r="F328" s="292" t="s">
        <v>445</v>
      </c>
      <c r="G328" s="253" t="s">
        <v>74</v>
      </c>
      <c r="H328" s="253"/>
      <c r="I328" s="253"/>
      <c r="J328" s="354">
        <v>0</v>
      </c>
      <c r="K328" s="355">
        <v>0</v>
      </c>
      <c r="L328" s="360">
        <v>0</v>
      </c>
      <c r="M328" s="355">
        <f>[55]Perdinas!$P$203</f>
        <v>0</v>
      </c>
      <c r="N328" s="355">
        <f t="shared" si="49"/>
        <v>0</v>
      </c>
      <c r="O328" s="355">
        <f>N328-K328</f>
        <v>0</v>
      </c>
      <c r="P328" s="388"/>
      <c r="Q328" s="441"/>
      <c r="R328" s="422"/>
    </row>
    <row r="329" spans="1:19" s="189" customFormat="1" ht="12.05" customHeight="1">
      <c r="A329" s="293"/>
      <c r="B329" s="292">
        <v>4</v>
      </c>
      <c r="C329" s="292">
        <v>1</v>
      </c>
      <c r="D329" s="292">
        <v>4</v>
      </c>
      <c r="E329" s="292" t="s">
        <v>444</v>
      </c>
      <c r="F329" s="292" t="s">
        <v>441</v>
      </c>
      <c r="G329" s="253" t="s">
        <v>75</v>
      </c>
      <c r="H329" s="253"/>
      <c r="I329" s="253"/>
      <c r="J329" s="374">
        <v>0</v>
      </c>
      <c r="K329" s="376">
        <f>'[55]TARGET MURNI DAN PERUBAHAN'!$E$158</f>
        <v>0</v>
      </c>
      <c r="L329" s="377">
        <f>[56]PerDinas!$N$329</f>
        <v>51736316.75</v>
      </c>
      <c r="M329" s="376">
        <f>[55]Perdinas!$P$204</f>
        <v>0</v>
      </c>
      <c r="N329" s="369">
        <f t="shared" si="49"/>
        <v>51736316.75</v>
      </c>
      <c r="O329" s="355">
        <f>N329-K329</f>
        <v>51736316.75</v>
      </c>
      <c r="P329" s="388"/>
      <c r="Q329" s="448"/>
      <c r="R329" s="422"/>
    </row>
    <row r="330" spans="1:19" s="189" customFormat="1" ht="12.05" customHeight="1">
      <c r="A330" s="293"/>
      <c r="B330" s="292"/>
      <c r="C330" s="292"/>
      <c r="D330" s="292"/>
      <c r="E330" s="292"/>
      <c r="F330" s="292"/>
      <c r="G330" s="253"/>
      <c r="H330" s="253"/>
      <c r="I330" s="253"/>
      <c r="J330" s="374"/>
      <c r="K330" s="375"/>
      <c r="L330" s="377"/>
      <c r="M330" s="375"/>
      <c r="N330" s="355"/>
      <c r="O330" s="355"/>
      <c r="P330" s="388"/>
      <c r="Q330" s="448"/>
      <c r="R330" s="422"/>
    </row>
    <row r="331" spans="1:19" s="189" customFormat="1" ht="12.05" customHeight="1">
      <c r="A331" s="293"/>
      <c r="B331" s="292">
        <v>4</v>
      </c>
      <c r="C331" s="292">
        <v>1</v>
      </c>
      <c r="D331" s="292">
        <v>4</v>
      </c>
      <c r="E331" s="292" t="s">
        <v>948</v>
      </c>
      <c r="F331" s="292"/>
      <c r="G331" s="253" t="s">
        <v>321</v>
      </c>
      <c r="H331" s="253"/>
      <c r="I331" s="253"/>
      <c r="J331" s="746">
        <f>+J332</f>
        <v>563230800</v>
      </c>
      <c r="K331" s="676">
        <f>+K332</f>
        <v>0</v>
      </c>
      <c r="L331" s="675">
        <f>+L332</f>
        <v>0</v>
      </c>
      <c r="M331" s="676">
        <f>+M332</f>
        <v>0</v>
      </c>
      <c r="N331" s="492">
        <f>M331+L331</f>
        <v>0</v>
      </c>
      <c r="O331" s="492">
        <f t="shared" ref="O331:O337" si="50">N331-K331</f>
        <v>0</v>
      </c>
      <c r="P331" s="487" t="e">
        <f t="shared" ref="P331:P337" si="51">N331/K331*100</f>
        <v>#DIV/0!</v>
      </c>
      <c r="Q331" s="541"/>
      <c r="R331" s="422"/>
    </row>
    <row r="332" spans="1:19" s="189" customFormat="1" ht="12.05" customHeight="1">
      <c r="A332" s="293"/>
      <c r="B332" s="292">
        <v>4</v>
      </c>
      <c r="C332" s="292">
        <v>1</v>
      </c>
      <c r="D332" s="292">
        <v>4</v>
      </c>
      <c r="E332" s="292" t="s">
        <v>948</v>
      </c>
      <c r="F332" s="292" t="s">
        <v>437</v>
      </c>
      <c r="G332" s="253" t="s">
        <v>85</v>
      </c>
      <c r="H332" s="253"/>
      <c r="I332" s="253"/>
      <c r="J332" s="333">
        <f>SUM(J333:J336)</f>
        <v>563230800</v>
      </c>
      <c r="K332" s="334">
        <f>SUM(K333:K336)</f>
        <v>0</v>
      </c>
      <c r="L332" s="334">
        <f>SUM(L333:L336)</f>
        <v>0</v>
      </c>
      <c r="M332" s="334">
        <f>SUM(M333:M336)</f>
        <v>0</v>
      </c>
      <c r="N332" s="334">
        <f>M332+L332</f>
        <v>0</v>
      </c>
      <c r="O332" s="355">
        <f t="shared" si="50"/>
        <v>0</v>
      </c>
      <c r="P332" s="335" t="e">
        <f t="shared" si="51"/>
        <v>#DIV/0!</v>
      </c>
      <c r="Q332" s="430"/>
      <c r="R332" s="545"/>
    </row>
    <row r="333" spans="1:19" s="189" customFormat="1" ht="12.05" customHeight="1">
      <c r="A333" s="293"/>
      <c r="B333" s="292"/>
      <c r="C333" s="292"/>
      <c r="D333" s="292"/>
      <c r="E333" s="292"/>
      <c r="F333" s="292"/>
      <c r="G333" s="253" t="s">
        <v>50</v>
      </c>
      <c r="H333" s="253"/>
      <c r="I333" s="747" t="s">
        <v>274</v>
      </c>
      <c r="J333" s="354">
        <v>15780000</v>
      </c>
      <c r="K333" s="373">
        <f>'[55]TARGET MURNI DAN PERUBAHAN'!$E$159</f>
        <v>0</v>
      </c>
      <c r="L333" s="360">
        <v>0</v>
      </c>
      <c r="M333" s="373">
        <v>0</v>
      </c>
      <c r="N333" s="355">
        <f t="shared" ref="N333:N338" si="52">M333+L333</f>
        <v>0</v>
      </c>
      <c r="O333" s="355">
        <f t="shared" si="50"/>
        <v>0</v>
      </c>
      <c r="P333" s="353" t="e">
        <f t="shared" si="51"/>
        <v>#DIV/0!</v>
      </c>
      <c r="Q333" s="441"/>
      <c r="R333" s="422"/>
    </row>
    <row r="334" spans="1:19" s="189" customFormat="1" ht="12.05" customHeight="1">
      <c r="A334" s="293"/>
      <c r="B334" s="292"/>
      <c r="C334" s="292"/>
      <c r="D334" s="292"/>
      <c r="E334" s="292"/>
      <c r="F334" s="292"/>
      <c r="G334" s="253" t="s">
        <v>50</v>
      </c>
      <c r="H334" s="253"/>
      <c r="I334" s="747" t="s">
        <v>145</v>
      </c>
      <c r="J334" s="748">
        <v>242580800</v>
      </c>
      <c r="K334" s="373">
        <f>'[55]TARGET MURNI DAN PERUBAHAN'!$E$160</f>
        <v>0</v>
      </c>
      <c r="L334" s="360">
        <v>0</v>
      </c>
      <c r="M334" s="373">
        <v>0</v>
      </c>
      <c r="N334" s="355">
        <f t="shared" si="52"/>
        <v>0</v>
      </c>
      <c r="O334" s="355">
        <f t="shared" si="50"/>
        <v>0</v>
      </c>
      <c r="P334" s="353" t="e">
        <f t="shared" si="51"/>
        <v>#DIV/0!</v>
      </c>
      <c r="Q334" s="441"/>
      <c r="R334" s="422"/>
    </row>
    <row r="335" spans="1:19" s="189" customFormat="1" ht="12.05" customHeight="1">
      <c r="A335" s="293"/>
      <c r="B335" s="292"/>
      <c r="C335" s="292"/>
      <c r="D335" s="292"/>
      <c r="E335" s="292"/>
      <c r="F335" s="292"/>
      <c r="G335" s="253" t="s">
        <v>50</v>
      </c>
      <c r="H335" s="253"/>
      <c r="I335" s="747" t="s">
        <v>973</v>
      </c>
      <c r="J335" s="354">
        <v>25000000</v>
      </c>
      <c r="K335" s="373">
        <f>'[55]TARGET MURNI DAN PERUBAHAN'!$E$161</f>
        <v>0</v>
      </c>
      <c r="L335" s="360">
        <v>0</v>
      </c>
      <c r="M335" s="373">
        <v>0</v>
      </c>
      <c r="N335" s="355">
        <f t="shared" si="52"/>
        <v>0</v>
      </c>
      <c r="O335" s="355">
        <f t="shared" si="50"/>
        <v>0</v>
      </c>
      <c r="P335" s="353" t="e">
        <f t="shared" si="51"/>
        <v>#DIV/0!</v>
      </c>
      <c r="Q335" s="441"/>
      <c r="R335" s="422"/>
    </row>
    <row r="336" spans="1:19" s="189" customFormat="1" ht="12.05" customHeight="1">
      <c r="A336" s="465"/>
      <c r="B336" s="296"/>
      <c r="C336" s="296"/>
      <c r="D336" s="296"/>
      <c r="E336" s="296"/>
      <c r="F336" s="296"/>
      <c r="G336" s="297" t="s">
        <v>50</v>
      </c>
      <c r="H336" s="297"/>
      <c r="I336" s="1247" t="s">
        <v>974</v>
      </c>
      <c r="J336" s="351">
        <v>279870000</v>
      </c>
      <c r="K336" s="1017">
        <f>'[55]TARGET MURNI DAN PERUBAHAN'!$E$162</f>
        <v>0</v>
      </c>
      <c r="L336" s="362">
        <v>0</v>
      </c>
      <c r="M336" s="1017">
        <v>0</v>
      </c>
      <c r="N336" s="352">
        <f t="shared" si="52"/>
        <v>0</v>
      </c>
      <c r="O336" s="352">
        <f t="shared" si="50"/>
        <v>0</v>
      </c>
      <c r="P336" s="353" t="e">
        <f t="shared" si="51"/>
        <v>#DIV/0!</v>
      </c>
      <c r="Q336" s="440"/>
      <c r="R336" s="422"/>
    </row>
    <row r="337" spans="1:19" s="189" customFormat="1" ht="15.05">
      <c r="A337" s="1171"/>
      <c r="B337" s="741"/>
      <c r="C337" s="741"/>
      <c r="D337" s="741"/>
      <c r="E337" s="741"/>
      <c r="F337" s="741"/>
      <c r="G337" s="297" t="s">
        <v>50</v>
      </c>
      <c r="H337" s="742"/>
      <c r="I337" s="749" t="s">
        <v>1036</v>
      </c>
      <c r="J337" s="750"/>
      <c r="K337" s="751">
        <v>0</v>
      </c>
      <c r="L337" s="752">
        <f>[56]PerDinas!$N$337</f>
        <v>30528770</v>
      </c>
      <c r="M337" s="751">
        <f>[55]Perdinas!$P$195</f>
        <v>8723230</v>
      </c>
      <c r="N337" s="352">
        <f t="shared" si="52"/>
        <v>39252000</v>
      </c>
      <c r="O337" s="352">
        <f t="shared" si="50"/>
        <v>39252000</v>
      </c>
      <c r="P337" s="353" t="e">
        <f t="shared" si="51"/>
        <v>#DIV/0!</v>
      </c>
      <c r="Q337" s="780"/>
      <c r="R337" s="422"/>
    </row>
    <row r="338" spans="1:19" s="189" customFormat="1" ht="12.05" customHeight="1">
      <c r="A338" s="567" t="s">
        <v>148</v>
      </c>
      <c r="B338" s="743" t="s">
        <v>58</v>
      </c>
      <c r="C338" s="743" t="s">
        <v>447</v>
      </c>
      <c r="D338" s="743" t="s">
        <v>437</v>
      </c>
      <c r="E338" s="743"/>
      <c r="F338" s="743"/>
      <c r="G338" s="744" t="s">
        <v>142</v>
      </c>
      <c r="H338" s="744"/>
      <c r="I338" s="744"/>
      <c r="J338" s="753">
        <f>+J340</f>
        <v>456900000</v>
      </c>
      <c r="K338" s="754">
        <f>+K340</f>
        <v>501125000</v>
      </c>
      <c r="L338" s="755">
        <f>+L340</f>
        <v>494679400</v>
      </c>
      <c r="M338" s="754">
        <f>+M340</f>
        <v>89890200</v>
      </c>
      <c r="N338" s="754">
        <f t="shared" si="52"/>
        <v>584569600</v>
      </c>
      <c r="O338" s="754">
        <f>+N338-K338</f>
        <v>83444600</v>
      </c>
      <c r="P338" s="756">
        <f>+N338/K338*100</f>
        <v>116.65145422798705</v>
      </c>
      <c r="Q338" s="781"/>
      <c r="R338" s="422"/>
    </row>
    <row r="339" spans="1:19" s="189" customFormat="1" ht="12.05" customHeight="1">
      <c r="A339" s="706"/>
      <c r="B339" s="707"/>
      <c r="C339" s="707"/>
      <c r="D339" s="707"/>
      <c r="E339" s="707"/>
      <c r="F339" s="707"/>
      <c r="G339" s="288"/>
      <c r="H339" s="288"/>
      <c r="I339" s="288"/>
      <c r="J339" s="342"/>
      <c r="K339" s="343"/>
      <c r="L339" s="343"/>
      <c r="M339" s="343"/>
      <c r="N339" s="343"/>
      <c r="O339" s="343"/>
      <c r="P339" s="344"/>
      <c r="Q339" s="437"/>
      <c r="R339" s="422"/>
    </row>
    <row r="340" spans="1:19" s="189" customFormat="1" ht="12.05" customHeight="1">
      <c r="A340" s="293"/>
      <c r="B340" s="290">
        <v>4</v>
      </c>
      <c r="C340" s="290">
        <v>1</v>
      </c>
      <c r="D340" s="290"/>
      <c r="E340" s="290"/>
      <c r="F340" s="290"/>
      <c r="G340" s="291" t="s">
        <v>180</v>
      </c>
      <c r="H340" s="291"/>
      <c r="I340" s="291"/>
      <c r="J340" s="757">
        <f>+J342+J350</f>
        <v>456900000</v>
      </c>
      <c r="K340" s="758">
        <f>+K342+K350</f>
        <v>501125000</v>
      </c>
      <c r="L340" s="758">
        <f>+L342+L350</f>
        <v>494679400</v>
      </c>
      <c r="M340" s="758">
        <f>+M342+M350</f>
        <v>89890200</v>
      </c>
      <c r="N340" s="758">
        <f>+M340+L340</f>
        <v>584569600</v>
      </c>
      <c r="O340" s="758">
        <f t="shared" ref="O340:O345" si="53">N340-K340</f>
        <v>83444600</v>
      </c>
      <c r="P340" s="690">
        <f t="shared" ref="P340:P345" si="54">N340/K340*100</f>
        <v>116.65145422798705</v>
      </c>
      <c r="Q340" s="782"/>
      <c r="R340" s="422"/>
    </row>
    <row r="341" spans="1:19" s="189" customFormat="1" ht="12.05" customHeight="1">
      <c r="A341" s="293"/>
      <c r="B341" s="290"/>
      <c r="C341" s="290"/>
      <c r="D341" s="290"/>
      <c r="E341" s="290"/>
      <c r="F341" s="290"/>
      <c r="G341" s="291"/>
      <c r="H341" s="291"/>
      <c r="I341" s="291"/>
      <c r="J341" s="387"/>
      <c r="K341" s="367"/>
      <c r="L341" s="367"/>
      <c r="M341" s="367"/>
      <c r="N341" s="367"/>
      <c r="O341" s="367"/>
      <c r="P341" s="347"/>
      <c r="Q341" s="454"/>
      <c r="R341" s="422"/>
    </row>
    <row r="342" spans="1:19" s="189" customFormat="1" ht="12.05" customHeight="1">
      <c r="A342" s="293"/>
      <c r="B342" s="290">
        <v>4</v>
      </c>
      <c r="C342" s="290">
        <v>1</v>
      </c>
      <c r="D342" s="290">
        <v>2</v>
      </c>
      <c r="E342" s="290"/>
      <c r="F342" s="290"/>
      <c r="G342" s="291" t="s">
        <v>106</v>
      </c>
      <c r="H342" s="291"/>
      <c r="I342" s="291"/>
      <c r="J342" s="759">
        <f>+J343</f>
        <v>78400000</v>
      </c>
      <c r="K342" s="760">
        <f>+K343</f>
        <v>501125000</v>
      </c>
      <c r="L342" s="760">
        <f>+L343</f>
        <v>465800000</v>
      </c>
      <c r="M342" s="760">
        <f>+M343</f>
        <v>70100000</v>
      </c>
      <c r="N342" s="760">
        <f>+M342+L342</f>
        <v>535900000</v>
      </c>
      <c r="O342" s="760">
        <f t="shared" si="53"/>
        <v>34775000</v>
      </c>
      <c r="P342" s="761">
        <f t="shared" si="54"/>
        <v>106.93938638064355</v>
      </c>
      <c r="Q342" s="783"/>
      <c r="R342" s="422"/>
    </row>
    <row r="343" spans="1:19" s="189" customFormat="1" ht="12.05" customHeight="1">
      <c r="A343" s="293"/>
      <c r="B343" s="292">
        <v>4</v>
      </c>
      <c r="C343" s="292">
        <v>1</v>
      </c>
      <c r="D343" s="292">
        <v>2</v>
      </c>
      <c r="E343" s="292" t="s">
        <v>438</v>
      </c>
      <c r="F343" s="292"/>
      <c r="G343" s="253" t="s">
        <v>374</v>
      </c>
      <c r="H343" s="253"/>
      <c r="I343" s="253"/>
      <c r="J343" s="484">
        <f>+J347+J344</f>
        <v>78400000</v>
      </c>
      <c r="K343" s="485">
        <f>+K347+K344</f>
        <v>501125000</v>
      </c>
      <c r="L343" s="486">
        <f>+L347+L344</f>
        <v>465800000</v>
      </c>
      <c r="M343" s="485">
        <f>+M347+M344</f>
        <v>70100000</v>
      </c>
      <c r="N343" s="485">
        <f>+N347+N344</f>
        <v>535900000</v>
      </c>
      <c r="O343" s="412">
        <f t="shared" si="53"/>
        <v>34775000</v>
      </c>
      <c r="P343" s="487">
        <f t="shared" si="54"/>
        <v>106.93938638064355</v>
      </c>
      <c r="Q343" s="541"/>
      <c r="R343" s="422"/>
    </row>
    <row r="344" spans="1:19" s="189" customFormat="1" ht="12.05" customHeight="1">
      <c r="A344" s="289"/>
      <c r="B344" s="292">
        <v>4</v>
      </c>
      <c r="C344" s="292">
        <v>1</v>
      </c>
      <c r="D344" s="292">
        <v>2</v>
      </c>
      <c r="E344" s="292" t="s">
        <v>438</v>
      </c>
      <c r="F344" s="292" t="s">
        <v>437</v>
      </c>
      <c r="G344" s="253" t="s">
        <v>64</v>
      </c>
      <c r="H344" s="253"/>
      <c r="I344" s="291"/>
      <c r="J344" s="627">
        <f>+J345</f>
        <v>10000000</v>
      </c>
      <c r="K344" s="396">
        <f>+K345</f>
        <v>152500000</v>
      </c>
      <c r="L344" s="721">
        <f>+L345</f>
        <v>36800000</v>
      </c>
      <c r="M344" s="396">
        <f>+M345</f>
        <v>5100000</v>
      </c>
      <c r="N344" s="334">
        <f>M344+L344</f>
        <v>41900000</v>
      </c>
      <c r="O344" s="334">
        <f t="shared" si="53"/>
        <v>-110600000</v>
      </c>
      <c r="P344" s="335">
        <f t="shared" si="54"/>
        <v>27.475409836065573</v>
      </c>
      <c r="Q344" s="642"/>
      <c r="R344" s="422"/>
    </row>
    <row r="345" spans="1:19" s="189" customFormat="1" ht="12.05" customHeight="1">
      <c r="A345" s="293"/>
      <c r="B345" s="292"/>
      <c r="C345" s="292"/>
      <c r="D345" s="292"/>
      <c r="E345" s="292"/>
      <c r="F345" s="292"/>
      <c r="G345" s="253" t="s">
        <v>50</v>
      </c>
      <c r="H345" s="253"/>
      <c r="I345" s="253" t="s">
        <v>143</v>
      </c>
      <c r="J345" s="354">
        <v>10000000</v>
      </c>
      <c r="K345" s="1248">
        <f>'[55]TARGET MURNI DAN PERUBAHAN'!$E$167</f>
        <v>152500000</v>
      </c>
      <c r="L345" s="660">
        <f>[56]PerDinas!$N$345</f>
        <v>36800000</v>
      </c>
      <c r="M345" s="762">
        <f>[55]Perdinas!$P$213</f>
        <v>5100000</v>
      </c>
      <c r="N345" s="369">
        <f>M345+L345</f>
        <v>41900000</v>
      </c>
      <c r="O345" s="355">
        <f t="shared" si="53"/>
        <v>-110600000</v>
      </c>
      <c r="P345" s="388">
        <f t="shared" si="54"/>
        <v>27.475409836065573</v>
      </c>
      <c r="Q345" s="784"/>
      <c r="R345" s="545"/>
    </row>
    <row r="346" spans="1:19" s="189" customFormat="1" ht="12.05" customHeight="1">
      <c r="A346" s="293"/>
      <c r="B346" s="292"/>
      <c r="C346" s="292"/>
      <c r="D346" s="292"/>
      <c r="E346" s="292"/>
      <c r="F346" s="292"/>
      <c r="G346" s="253"/>
      <c r="H346" s="253"/>
      <c r="I346" s="253"/>
      <c r="J346" s="354"/>
      <c r="K346" s="355"/>
      <c r="L346" s="360"/>
      <c r="M346" s="355"/>
      <c r="N346" s="355"/>
      <c r="O346" s="355"/>
      <c r="P346" s="388"/>
      <c r="Q346" s="441"/>
      <c r="R346" s="422"/>
    </row>
    <row r="347" spans="1:19" s="189" customFormat="1" ht="12.05" customHeight="1">
      <c r="A347" s="293"/>
      <c r="B347" s="292">
        <v>4</v>
      </c>
      <c r="C347" s="292">
        <v>1</v>
      </c>
      <c r="D347" s="292">
        <v>2</v>
      </c>
      <c r="E347" s="292" t="s">
        <v>438</v>
      </c>
      <c r="F347" s="292" t="s">
        <v>440</v>
      </c>
      <c r="G347" s="253" t="s">
        <v>304</v>
      </c>
      <c r="H347" s="253"/>
      <c r="I347" s="291"/>
      <c r="J347" s="763">
        <f>+J348</f>
        <v>68400000</v>
      </c>
      <c r="K347" s="529">
        <f>+K348</f>
        <v>348625000</v>
      </c>
      <c r="L347" s="764">
        <f>+L348</f>
        <v>429000000</v>
      </c>
      <c r="M347" s="529">
        <f>M348</f>
        <v>65000000</v>
      </c>
      <c r="N347" s="527">
        <f>M347+L347</f>
        <v>494000000</v>
      </c>
      <c r="O347" s="527">
        <f t="shared" ref="O347:O355" si="55">N347-K347</f>
        <v>145375000</v>
      </c>
      <c r="P347" s="671">
        <f>N347/K347*100</f>
        <v>141.69953388311222</v>
      </c>
      <c r="Q347" s="785"/>
      <c r="R347" s="422"/>
    </row>
    <row r="348" spans="1:19" s="189" customFormat="1" ht="12.05" customHeight="1">
      <c r="A348" s="293"/>
      <c r="B348" s="292"/>
      <c r="C348" s="292"/>
      <c r="D348" s="292"/>
      <c r="E348" s="292"/>
      <c r="F348" s="292"/>
      <c r="G348" s="253" t="s">
        <v>50</v>
      </c>
      <c r="H348" s="253"/>
      <c r="I348" s="253" t="s">
        <v>144</v>
      </c>
      <c r="J348" s="389">
        <v>68400000</v>
      </c>
      <c r="K348" s="1246">
        <f>'[55]TARGET MURNI DAN PERUBAHAN'!$E$170</f>
        <v>348625000</v>
      </c>
      <c r="L348" s="391">
        <f>[56]PerDinas!$N$348</f>
        <v>429000000</v>
      </c>
      <c r="M348" s="390">
        <f>[55]Perdinas!$P$216</f>
        <v>65000000</v>
      </c>
      <c r="N348" s="415">
        <f>M348+L348</f>
        <v>494000000</v>
      </c>
      <c r="O348" s="357">
        <f t="shared" si="55"/>
        <v>145375000</v>
      </c>
      <c r="P348" s="358">
        <f>N348/K348*100</f>
        <v>141.69953388311222</v>
      </c>
      <c r="Q348" s="642"/>
      <c r="R348" s="545"/>
      <c r="S348" s="786"/>
    </row>
    <row r="349" spans="1:19" s="189" customFormat="1" ht="12.05" customHeight="1">
      <c r="A349" s="293"/>
      <c r="B349" s="292"/>
      <c r="C349" s="292"/>
      <c r="D349" s="292"/>
      <c r="E349" s="292"/>
      <c r="F349" s="292"/>
      <c r="G349" s="253"/>
      <c r="H349" s="253"/>
      <c r="I349" s="253"/>
      <c r="J349" s="354"/>
      <c r="K349" s="355"/>
      <c r="L349" s="360"/>
      <c r="M349" s="355"/>
      <c r="N349" s="355"/>
      <c r="O349" s="355"/>
      <c r="P349" s="388"/>
      <c r="Q349" s="441"/>
      <c r="R349" s="422"/>
      <c r="S349" s="786"/>
    </row>
    <row r="350" spans="1:19" s="189" customFormat="1" ht="12.05" customHeight="1">
      <c r="A350" s="293"/>
      <c r="B350" s="290">
        <v>4</v>
      </c>
      <c r="C350" s="290">
        <v>1</v>
      </c>
      <c r="D350" s="290">
        <v>4</v>
      </c>
      <c r="E350" s="290"/>
      <c r="F350" s="290"/>
      <c r="G350" s="291" t="s">
        <v>71</v>
      </c>
      <c r="H350" s="291"/>
      <c r="I350" s="291"/>
      <c r="J350" s="392">
        <f>J351+J356</f>
        <v>378500000</v>
      </c>
      <c r="K350" s="393">
        <f>K351+K356</f>
        <v>0</v>
      </c>
      <c r="L350" s="394">
        <f>L351+L355+L356</f>
        <v>28879400</v>
      </c>
      <c r="M350" s="393">
        <f>SUM(M356,M355,M351)</f>
        <v>19790200</v>
      </c>
      <c r="N350" s="393">
        <f>SUM(N357,N355,N354)</f>
        <v>48669600</v>
      </c>
      <c r="O350" s="393">
        <f>SUM(O357,O355,O354)</f>
        <v>48669600</v>
      </c>
      <c r="P350" s="765" t="e">
        <f>N350/K350*100</f>
        <v>#DIV/0!</v>
      </c>
      <c r="Q350" s="444"/>
      <c r="R350" s="422"/>
    </row>
    <row r="351" spans="1:19" s="189" customFormat="1" ht="12.05" customHeight="1">
      <c r="A351" s="293"/>
      <c r="B351" s="292">
        <v>4</v>
      </c>
      <c r="C351" s="292">
        <v>1</v>
      </c>
      <c r="D351" s="292">
        <v>4</v>
      </c>
      <c r="E351" s="292" t="s">
        <v>444</v>
      </c>
      <c r="F351" s="292"/>
      <c r="G351" s="253" t="s">
        <v>222</v>
      </c>
      <c r="H351" s="253"/>
      <c r="I351" s="253"/>
      <c r="J351" s="680">
        <v>0</v>
      </c>
      <c r="K351" s="681">
        <v>0</v>
      </c>
      <c r="L351" s="682">
        <f>SUM(L352:L354)</f>
        <v>28879400</v>
      </c>
      <c r="M351" s="681">
        <f>SUM(M352:M354)</f>
        <v>19790200</v>
      </c>
      <c r="N351" s="529">
        <f>+M351+L351</f>
        <v>48669600</v>
      </c>
      <c r="O351" s="529">
        <f t="shared" si="55"/>
        <v>48669600</v>
      </c>
      <c r="P351" s="478">
        <v>0</v>
      </c>
      <c r="Q351" s="698"/>
      <c r="R351" s="422"/>
    </row>
    <row r="352" spans="1:19" s="189" customFormat="1" ht="12.05" customHeight="1">
      <c r="A352" s="295"/>
      <c r="B352" s="296">
        <v>4</v>
      </c>
      <c r="C352" s="296">
        <v>1</v>
      </c>
      <c r="D352" s="296">
        <v>4</v>
      </c>
      <c r="E352" s="296" t="s">
        <v>444</v>
      </c>
      <c r="F352" s="296" t="s">
        <v>440</v>
      </c>
      <c r="G352" s="297" t="s">
        <v>73</v>
      </c>
      <c r="H352" s="297"/>
      <c r="I352" s="297"/>
      <c r="J352" s="628">
        <v>0</v>
      </c>
      <c r="K352" s="497">
        <v>0</v>
      </c>
      <c r="L352" s="522">
        <v>0</v>
      </c>
      <c r="M352" s="497">
        <f>[55]Perdinas!$P$220</f>
        <v>0</v>
      </c>
      <c r="N352" s="497">
        <f>M352+L352</f>
        <v>0</v>
      </c>
      <c r="O352" s="497">
        <f t="shared" si="55"/>
        <v>0</v>
      </c>
      <c r="P352" s="498"/>
      <c r="Q352" s="787"/>
      <c r="R352" s="422"/>
    </row>
    <row r="353" spans="1:18" s="189" customFormat="1" ht="12.05" customHeight="1">
      <c r="A353" s="286"/>
      <c r="B353" s="287">
        <v>4</v>
      </c>
      <c r="C353" s="287">
        <v>1</v>
      </c>
      <c r="D353" s="287">
        <v>4</v>
      </c>
      <c r="E353" s="287" t="s">
        <v>444</v>
      </c>
      <c r="F353" s="287" t="s">
        <v>445</v>
      </c>
      <c r="G353" s="410" t="s">
        <v>74</v>
      </c>
      <c r="H353" s="410"/>
      <c r="I353" s="410"/>
      <c r="J353" s="354">
        <v>0</v>
      </c>
      <c r="K353" s="355">
        <v>0</v>
      </c>
      <c r="L353" s="360">
        <v>0</v>
      </c>
      <c r="M353" s="355">
        <f>[55]Perdinas!$P$221</f>
        <v>0</v>
      </c>
      <c r="N353" s="355">
        <f>M353+L353</f>
        <v>0</v>
      </c>
      <c r="O353" s="355">
        <f t="shared" si="55"/>
        <v>0</v>
      </c>
      <c r="P353" s="388"/>
      <c r="Q353" s="441"/>
      <c r="R353" s="422"/>
    </row>
    <row r="354" spans="1:18" s="189" customFormat="1" ht="12.05" customHeight="1">
      <c r="A354" s="293"/>
      <c r="B354" s="292">
        <v>4</v>
      </c>
      <c r="C354" s="292">
        <v>1</v>
      </c>
      <c r="D354" s="292">
        <v>4</v>
      </c>
      <c r="E354" s="292" t="s">
        <v>444</v>
      </c>
      <c r="F354" s="292" t="s">
        <v>441</v>
      </c>
      <c r="G354" s="253" t="s">
        <v>75</v>
      </c>
      <c r="H354" s="253"/>
      <c r="I354" s="253"/>
      <c r="J354" s="374">
        <v>0</v>
      </c>
      <c r="K354" s="375">
        <f>'[55]TARGET MURNI DAN PERUBAHAN'!$E$173</f>
        <v>0</v>
      </c>
      <c r="L354" s="360">
        <f>[56]PerDinas!$N$354</f>
        <v>28879400</v>
      </c>
      <c r="M354" s="375">
        <f>[55]Perdinas!$P$222</f>
        <v>19790200</v>
      </c>
      <c r="N354" s="369">
        <f>M354+L354</f>
        <v>48669600</v>
      </c>
      <c r="O354" s="355">
        <f t="shared" si="55"/>
        <v>48669600</v>
      </c>
      <c r="P354" s="388">
        <v>0</v>
      </c>
      <c r="Q354" s="448"/>
      <c r="R354" s="422"/>
    </row>
    <row r="355" spans="1:18" s="189" customFormat="1" ht="12.05" customHeight="1">
      <c r="A355" s="293"/>
      <c r="B355" s="292" t="s">
        <v>443</v>
      </c>
      <c r="C355" s="292" t="s">
        <v>58</v>
      </c>
      <c r="D355" s="292" t="s">
        <v>443</v>
      </c>
      <c r="E355" s="292" t="s">
        <v>441</v>
      </c>
      <c r="F355" s="292" t="s">
        <v>437</v>
      </c>
      <c r="G355" s="253" t="s">
        <v>975</v>
      </c>
      <c r="H355" s="253"/>
      <c r="I355" s="253"/>
      <c r="J355" s="374">
        <v>0</v>
      </c>
      <c r="K355" s="373">
        <f>'[55]TARGET MURNI DAN PERUBAHAN'!$E$174</f>
        <v>0</v>
      </c>
      <c r="L355" s="360">
        <f>[56]PerDinas!$N$355</f>
        <v>0</v>
      </c>
      <c r="M355" s="373">
        <f>[55]Perdinas!$P$219</f>
        <v>0</v>
      </c>
      <c r="N355" s="355">
        <f>M355+L355</f>
        <v>0</v>
      </c>
      <c r="O355" s="355">
        <f t="shared" si="55"/>
        <v>0</v>
      </c>
      <c r="P355" s="388"/>
      <c r="Q355" s="784"/>
      <c r="R355" s="545"/>
    </row>
    <row r="356" spans="1:18" s="189" customFormat="1" ht="12.05" customHeight="1">
      <c r="A356" s="293"/>
      <c r="B356" s="292">
        <v>4</v>
      </c>
      <c r="C356" s="292">
        <v>1</v>
      </c>
      <c r="D356" s="292">
        <v>4</v>
      </c>
      <c r="E356" s="292" t="s">
        <v>948</v>
      </c>
      <c r="F356" s="292"/>
      <c r="G356" s="291" t="s">
        <v>321</v>
      </c>
      <c r="H356" s="291"/>
      <c r="I356" s="291"/>
      <c r="J356" s="475">
        <f>+J357</f>
        <v>378500000</v>
      </c>
      <c r="K356" s="476">
        <f>+K357</f>
        <v>0</v>
      </c>
      <c r="L356" s="766">
        <f>+L357</f>
        <v>0</v>
      </c>
      <c r="M356" s="476">
        <f>+M357</f>
        <v>0</v>
      </c>
      <c r="N356" s="477">
        <f>+M356+L356</f>
        <v>0</v>
      </c>
      <c r="O356" s="477">
        <f t="shared" ref="O356:O361" si="56">N356-K356</f>
        <v>0</v>
      </c>
      <c r="P356" s="478" t="e">
        <f t="shared" ref="P356:P361" si="57">N356/K356*100</f>
        <v>#DIV/0!</v>
      </c>
      <c r="Q356" s="644"/>
      <c r="R356" s="422"/>
    </row>
    <row r="357" spans="1:18" s="189" customFormat="1" ht="12.05" customHeight="1">
      <c r="A357" s="293"/>
      <c r="B357" s="292">
        <v>4</v>
      </c>
      <c r="C357" s="292">
        <v>1</v>
      </c>
      <c r="D357" s="292">
        <v>4</v>
      </c>
      <c r="E357" s="292" t="s">
        <v>948</v>
      </c>
      <c r="F357" s="292" t="s">
        <v>437</v>
      </c>
      <c r="G357" s="291" t="s">
        <v>85</v>
      </c>
      <c r="H357" s="291"/>
      <c r="I357" s="291"/>
      <c r="J357" s="767">
        <f>SUM(J359:J361)</f>
        <v>378500000</v>
      </c>
      <c r="K357" s="768">
        <f>SUM(K358:K361)</f>
        <v>0</v>
      </c>
      <c r="L357" s="769">
        <f>SUM(L358:L361)</f>
        <v>0</v>
      </c>
      <c r="M357" s="768">
        <f>SUM(M358:M361)</f>
        <v>0</v>
      </c>
      <c r="N357" s="770">
        <f>SUM(N358:N361)</f>
        <v>0</v>
      </c>
      <c r="O357" s="768">
        <f t="shared" si="56"/>
        <v>0</v>
      </c>
      <c r="P357" s="498" t="e">
        <f t="shared" si="57"/>
        <v>#DIV/0!</v>
      </c>
      <c r="Q357" s="787"/>
      <c r="R357" s="422"/>
    </row>
    <row r="358" spans="1:18" s="189" customFormat="1" ht="12.05" customHeight="1">
      <c r="A358" s="293"/>
      <c r="B358" s="292"/>
      <c r="C358" s="292"/>
      <c r="D358" s="292"/>
      <c r="E358" s="292"/>
      <c r="F358" s="292"/>
      <c r="G358" s="253" t="s">
        <v>50</v>
      </c>
      <c r="H358" s="253"/>
      <c r="I358" s="253" t="s">
        <v>85</v>
      </c>
      <c r="J358" s="354">
        <v>0</v>
      </c>
      <c r="K358" s="373">
        <f>'[55]TARGET MURNI DAN PERUBAHAN'!$E$175</f>
        <v>0</v>
      </c>
      <c r="L358" s="360">
        <v>0</v>
      </c>
      <c r="M358" s="373">
        <v>0</v>
      </c>
      <c r="N358" s="771">
        <f>M358+L358</f>
        <v>0</v>
      </c>
      <c r="O358" s="355"/>
      <c r="P358" s="388"/>
      <c r="Q358" s="441"/>
      <c r="R358" s="422"/>
    </row>
    <row r="359" spans="1:18" s="189" customFormat="1" ht="12.05" customHeight="1">
      <c r="A359" s="293"/>
      <c r="B359" s="292"/>
      <c r="C359" s="292"/>
      <c r="D359" s="292"/>
      <c r="E359" s="292"/>
      <c r="F359" s="292"/>
      <c r="G359" s="253" t="s">
        <v>50</v>
      </c>
      <c r="H359" s="253"/>
      <c r="I359" s="772" t="s">
        <v>976</v>
      </c>
      <c r="J359" s="354">
        <v>3500000</v>
      </c>
      <c r="K359" s="373">
        <f>'[55]TARGET MURNI DAN PERUBAHAN'!$E$176</f>
        <v>0</v>
      </c>
      <c r="L359" s="360">
        <v>0</v>
      </c>
      <c r="M359" s="373">
        <v>0</v>
      </c>
      <c r="N359" s="355">
        <f>M359+L359</f>
        <v>0</v>
      </c>
      <c r="O359" s="355">
        <f>N359-K359</f>
        <v>0</v>
      </c>
      <c r="P359" s="388"/>
      <c r="Q359" s="441"/>
      <c r="R359" s="422"/>
    </row>
    <row r="360" spans="1:18" s="189" customFormat="1" ht="12.05" customHeight="1">
      <c r="A360" s="293"/>
      <c r="B360" s="292"/>
      <c r="C360" s="292"/>
      <c r="D360" s="292"/>
      <c r="E360" s="292"/>
      <c r="F360" s="292"/>
      <c r="G360" s="253" t="s">
        <v>50</v>
      </c>
      <c r="H360" s="253"/>
      <c r="I360" s="253" t="s">
        <v>977</v>
      </c>
      <c r="J360" s="354">
        <v>187000000</v>
      </c>
      <c r="K360" s="373">
        <f>'[55]TARGET MURNI DAN PERUBAHAN'!$E$177</f>
        <v>0</v>
      </c>
      <c r="L360" s="360">
        <v>0</v>
      </c>
      <c r="M360" s="373">
        <v>0</v>
      </c>
      <c r="N360" s="771">
        <f>M360+L360</f>
        <v>0</v>
      </c>
      <c r="O360" s="355">
        <f t="shared" si="56"/>
        <v>0</v>
      </c>
      <c r="P360" s="388" t="e">
        <f t="shared" si="57"/>
        <v>#DIV/0!</v>
      </c>
      <c r="Q360" s="441"/>
      <c r="R360" s="422"/>
    </row>
    <row r="361" spans="1:18" s="189" customFormat="1" ht="12.05" customHeight="1">
      <c r="A361" s="465"/>
      <c r="B361" s="296"/>
      <c r="C361" s="296"/>
      <c r="D361" s="296"/>
      <c r="E361" s="296"/>
      <c r="F361" s="296"/>
      <c r="G361" s="297" t="s">
        <v>50</v>
      </c>
      <c r="H361" s="297"/>
      <c r="I361" s="253" t="s">
        <v>147</v>
      </c>
      <c r="J361" s="354">
        <v>188000000</v>
      </c>
      <c r="K361" s="373">
        <f>'[55]TARGET MURNI DAN PERUBAHAN'!$E$178</f>
        <v>0</v>
      </c>
      <c r="L361" s="360">
        <v>0</v>
      </c>
      <c r="M361" s="373">
        <f>[55]Perdinas!$P$225</f>
        <v>0</v>
      </c>
      <c r="N361" s="771">
        <f>M361+L361</f>
        <v>0</v>
      </c>
      <c r="O361" s="355">
        <f t="shared" si="56"/>
        <v>0</v>
      </c>
      <c r="P361" s="388" t="e">
        <f t="shared" si="57"/>
        <v>#DIV/0!</v>
      </c>
      <c r="Q361" s="441"/>
      <c r="R361" s="422"/>
    </row>
    <row r="362" spans="1:18" s="189" customFormat="1" ht="12.05" customHeight="1">
      <c r="A362" s="657"/>
      <c r="B362" s="578"/>
      <c r="C362" s="578"/>
      <c r="D362" s="578"/>
      <c r="E362" s="578"/>
      <c r="F362" s="578"/>
      <c r="J362" s="333"/>
      <c r="K362" s="334"/>
      <c r="L362" s="356"/>
      <c r="M362" s="334"/>
      <c r="N362" s="334"/>
      <c r="O362" s="334"/>
      <c r="P362" s="335"/>
      <c r="Q362" s="430"/>
      <c r="R362" s="422"/>
    </row>
    <row r="363" spans="1:18" s="244" customFormat="1" ht="12.05" customHeight="1">
      <c r="A363" s="1186" t="s">
        <v>150</v>
      </c>
      <c r="B363" s="1187" t="s">
        <v>58</v>
      </c>
      <c r="C363" s="1187" t="s">
        <v>978</v>
      </c>
      <c r="D363" s="1187" t="s">
        <v>437</v>
      </c>
      <c r="E363" s="1187"/>
      <c r="F363" s="1187"/>
      <c r="G363" s="1188" t="s">
        <v>753</v>
      </c>
      <c r="H363" s="1188"/>
      <c r="I363" s="1188"/>
      <c r="J363" s="1195">
        <f>+J365</f>
        <v>70850000</v>
      </c>
      <c r="K363" s="1196">
        <f>+K365</f>
        <v>60000000</v>
      </c>
      <c r="L363" s="1196">
        <f>+L365</f>
        <v>37040000</v>
      </c>
      <c r="M363" s="1196">
        <f>+M365</f>
        <v>137487452.15000001</v>
      </c>
      <c r="N363" s="1196">
        <f>M363+L363</f>
        <v>174527452.15000001</v>
      </c>
      <c r="O363" s="1196">
        <f>+N363-K363</f>
        <v>114527452.15000001</v>
      </c>
      <c r="P363" s="1197">
        <f>+N363/K363*100</f>
        <v>290.87908691666667</v>
      </c>
      <c r="Q363" s="1208"/>
      <c r="R363" s="788"/>
    </row>
    <row r="364" spans="1:18" s="189" customFormat="1" ht="12.05" customHeight="1">
      <c r="A364" s="706"/>
      <c r="B364" s="707"/>
      <c r="C364" s="707"/>
      <c r="D364" s="707"/>
      <c r="E364" s="707"/>
      <c r="F364" s="707"/>
      <c r="G364" s="288"/>
      <c r="H364" s="288"/>
      <c r="I364" s="288"/>
      <c r="J364" s="342"/>
      <c r="K364" s="343"/>
      <c r="L364" s="343"/>
      <c r="M364" s="343"/>
      <c r="N364" s="343"/>
      <c r="O364" s="343"/>
      <c r="P364" s="344"/>
      <c r="Q364" s="437"/>
      <c r="R364" s="422"/>
    </row>
    <row r="365" spans="1:18" s="189" customFormat="1" ht="12.05" customHeight="1">
      <c r="A365" s="293"/>
      <c r="B365" s="290">
        <v>4</v>
      </c>
      <c r="C365" s="290">
        <v>1</v>
      </c>
      <c r="D365" s="290"/>
      <c r="E365" s="290"/>
      <c r="F365" s="290"/>
      <c r="G365" s="291" t="s">
        <v>180</v>
      </c>
      <c r="H365" s="291"/>
      <c r="I365" s="291"/>
      <c r="J365" s="620">
        <f>+J367+J377</f>
        <v>70850000</v>
      </c>
      <c r="K365" s="621">
        <f>+K367+K377</f>
        <v>60000000</v>
      </c>
      <c r="L365" s="621">
        <f>+L367+L377</f>
        <v>37040000</v>
      </c>
      <c r="M365" s="621">
        <f>+M367+M377</f>
        <v>137487452.15000001</v>
      </c>
      <c r="N365" s="621">
        <f>+M365+L365</f>
        <v>174527452.15000001</v>
      </c>
      <c r="O365" s="621">
        <f t="shared" ref="O365:O372" si="58">N365-K365</f>
        <v>114527452.15000001</v>
      </c>
      <c r="P365" s="596">
        <f t="shared" ref="P365:P372" si="59">N365/K365*100</f>
        <v>290.87908691666667</v>
      </c>
      <c r="Q365" s="648"/>
      <c r="R365" s="422"/>
    </row>
    <row r="366" spans="1:18" s="189" customFormat="1" ht="12.05" customHeight="1">
      <c r="A366" s="293"/>
      <c r="B366" s="290"/>
      <c r="C366" s="290"/>
      <c r="D366" s="290"/>
      <c r="E366" s="290"/>
      <c r="F366" s="290"/>
      <c r="G366" s="291"/>
      <c r="H366" s="291"/>
      <c r="I366" s="291"/>
      <c r="J366" s="387"/>
      <c r="K366" s="367"/>
      <c r="L366" s="367"/>
      <c r="M366" s="367"/>
      <c r="N366" s="367"/>
      <c r="O366" s="367"/>
      <c r="P366" s="347"/>
      <c r="Q366" s="437"/>
      <c r="R366" s="422"/>
    </row>
    <row r="367" spans="1:18" s="189" customFormat="1" ht="12.05" customHeight="1">
      <c r="A367" s="293"/>
      <c r="B367" s="290">
        <v>4</v>
      </c>
      <c r="C367" s="290">
        <v>1</v>
      </c>
      <c r="D367" s="290">
        <v>2</v>
      </c>
      <c r="E367" s="290"/>
      <c r="F367" s="290"/>
      <c r="G367" s="291" t="s">
        <v>106</v>
      </c>
      <c r="H367" s="291"/>
      <c r="I367" s="291"/>
      <c r="J367" s="348">
        <f>+J369</f>
        <v>7000000</v>
      </c>
      <c r="K367" s="349">
        <f>+K369</f>
        <v>60000000</v>
      </c>
      <c r="L367" s="589">
        <f>+L369</f>
        <v>37040000</v>
      </c>
      <c r="M367" s="349">
        <f>+M369</f>
        <v>5492000</v>
      </c>
      <c r="N367" s="349">
        <f>+M367+L367</f>
        <v>42532000</v>
      </c>
      <c r="O367" s="349">
        <f t="shared" si="58"/>
        <v>-17468000</v>
      </c>
      <c r="P367" s="350">
        <f t="shared" si="59"/>
        <v>70.88666666666667</v>
      </c>
      <c r="Q367" s="439"/>
      <c r="R367" s="422"/>
    </row>
    <row r="368" spans="1:18" s="189" customFormat="1" ht="12.05" customHeight="1">
      <c r="A368" s="293"/>
      <c r="B368" s="292"/>
      <c r="C368" s="292"/>
      <c r="D368" s="292"/>
      <c r="E368" s="292"/>
      <c r="F368" s="292"/>
      <c r="G368" s="253"/>
      <c r="H368" s="253"/>
      <c r="I368" s="253"/>
      <c r="J368" s="374"/>
      <c r="K368" s="375"/>
      <c r="L368" s="377"/>
      <c r="M368" s="375"/>
      <c r="N368" s="375"/>
      <c r="O368" s="375"/>
      <c r="P368" s="600"/>
      <c r="Q368" s="448"/>
      <c r="R368" s="422"/>
    </row>
    <row r="369" spans="1:19" s="189" customFormat="1" ht="15.05">
      <c r="A369" s="293"/>
      <c r="B369" s="292">
        <v>4</v>
      </c>
      <c r="C369" s="292">
        <v>1</v>
      </c>
      <c r="D369" s="292">
        <v>2</v>
      </c>
      <c r="E369" s="292" t="s">
        <v>438</v>
      </c>
      <c r="F369" s="292"/>
      <c r="G369" s="253" t="s">
        <v>374</v>
      </c>
      <c r="H369" s="253"/>
      <c r="I369" s="297"/>
      <c r="J369" s="494">
        <f>+J374+J370</f>
        <v>7000000</v>
      </c>
      <c r="K369" s="773">
        <f>K370+K374</f>
        <v>60000000</v>
      </c>
      <c r="L369" s="774">
        <f>L370+L374</f>
        <v>37040000</v>
      </c>
      <c r="M369" s="773">
        <f>M370+M374</f>
        <v>5492000</v>
      </c>
      <c r="N369" s="775">
        <f>+M369+L369</f>
        <v>42532000</v>
      </c>
      <c r="O369" s="775">
        <f t="shared" si="58"/>
        <v>-17468000</v>
      </c>
      <c r="P369" s="776">
        <f t="shared" si="59"/>
        <v>70.88666666666667</v>
      </c>
      <c r="Q369" s="789"/>
      <c r="R369" s="422"/>
    </row>
    <row r="370" spans="1:19" s="190" customFormat="1" ht="12.05" customHeight="1">
      <c r="A370" s="293"/>
      <c r="B370" s="290">
        <v>4</v>
      </c>
      <c r="C370" s="290">
        <v>1</v>
      </c>
      <c r="D370" s="290">
        <v>2</v>
      </c>
      <c r="E370" s="290" t="s">
        <v>438</v>
      </c>
      <c r="F370" s="290" t="s">
        <v>437</v>
      </c>
      <c r="G370" s="291" t="s">
        <v>64</v>
      </c>
      <c r="H370" s="291"/>
      <c r="I370" s="291"/>
      <c r="J370" s="397">
        <f>SUM(J371:J372)</f>
        <v>0</v>
      </c>
      <c r="K370" s="398">
        <f>SUM(K371:K372)</f>
        <v>56500000</v>
      </c>
      <c r="L370" s="684">
        <f>SUM(L371:L372)</f>
        <v>37040000</v>
      </c>
      <c r="M370" s="398">
        <f>SUM(M371:M372)</f>
        <v>5492000</v>
      </c>
      <c r="N370" s="777">
        <f>M370+L370</f>
        <v>42532000</v>
      </c>
      <c r="O370" s="367">
        <f t="shared" si="58"/>
        <v>-13968000</v>
      </c>
      <c r="P370" s="399">
        <f t="shared" si="59"/>
        <v>75.277876106194682</v>
      </c>
      <c r="Q370" s="790"/>
      <c r="R370" s="554"/>
      <c r="S370" s="786"/>
    </row>
    <row r="371" spans="1:19" s="189" customFormat="1" ht="12.05" customHeight="1">
      <c r="A371" s="293"/>
      <c r="B371" s="292"/>
      <c r="C371" s="292"/>
      <c r="D371" s="292"/>
      <c r="E371" s="292"/>
      <c r="F371" s="292"/>
      <c r="G371" s="253" t="s">
        <v>50</v>
      </c>
      <c r="H371" s="253"/>
      <c r="I371" s="253" t="s">
        <v>498</v>
      </c>
      <c r="J371" s="374"/>
      <c r="K371" s="1231">
        <f>'[55]TARGET MURNI DAN PERUBAHAN'!$E$183</f>
        <v>16500000</v>
      </c>
      <c r="L371" s="377">
        <f>[56]PerDinas!$N$371</f>
        <v>1000000</v>
      </c>
      <c r="M371" s="376">
        <f>[55]Perdinas!$P$230</f>
        <v>1500000</v>
      </c>
      <c r="N371" s="346">
        <f>M371+L371</f>
        <v>2500000</v>
      </c>
      <c r="O371" s="346">
        <f t="shared" si="58"/>
        <v>-14000000</v>
      </c>
      <c r="P371" s="347">
        <f t="shared" si="59"/>
        <v>15.151515151515152</v>
      </c>
      <c r="Q371" s="791"/>
      <c r="R371" s="431"/>
    </row>
    <row r="372" spans="1:19" s="189" customFormat="1" ht="12.05" customHeight="1">
      <c r="A372" s="293"/>
      <c r="B372" s="292"/>
      <c r="C372" s="292"/>
      <c r="D372" s="292"/>
      <c r="E372" s="292"/>
      <c r="F372" s="292"/>
      <c r="G372" s="253" t="s">
        <v>50</v>
      </c>
      <c r="H372" s="253"/>
      <c r="I372" s="253" t="s">
        <v>754</v>
      </c>
      <c r="J372" s="374"/>
      <c r="K372" s="1231">
        <f>'[55]TARGET MURNI DAN PERUBAHAN'!$E$184</f>
        <v>40000000</v>
      </c>
      <c r="L372" s="377">
        <f>[56]PerDinas!$N$372</f>
        <v>36040000</v>
      </c>
      <c r="M372" s="376">
        <f>[55]Perdinas!$P$231</f>
        <v>3992000</v>
      </c>
      <c r="N372" s="346">
        <f>M372+L372</f>
        <v>40032000</v>
      </c>
      <c r="O372" s="346">
        <f t="shared" si="58"/>
        <v>32000</v>
      </c>
      <c r="P372" s="347">
        <f t="shared" si="59"/>
        <v>100.07999999999998</v>
      </c>
      <c r="Q372" s="731"/>
      <c r="R372" s="422"/>
    </row>
    <row r="373" spans="1:19" s="189" customFormat="1" ht="12.05" customHeight="1">
      <c r="A373" s="293"/>
      <c r="B373" s="292"/>
      <c r="C373" s="292"/>
      <c r="D373" s="292"/>
      <c r="E373" s="292"/>
      <c r="F373" s="292"/>
      <c r="G373" s="253"/>
      <c r="H373" s="253"/>
      <c r="I373" s="253"/>
      <c r="J373" s="374"/>
      <c r="K373" s="375"/>
      <c r="L373" s="377"/>
      <c r="M373" s="375"/>
      <c r="N373" s="346"/>
      <c r="O373" s="346"/>
      <c r="P373" s="347"/>
      <c r="Q373" s="731"/>
      <c r="R373" s="422"/>
    </row>
    <row r="374" spans="1:19" s="190" customFormat="1" ht="12.05" customHeight="1">
      <c r="A374" s="293"/>
      <c r="B374" s="290">
        <v>4</v>
      </c>
      <c r="C374" s="290">
        <v>1</v>
      </c>
      <c r="D374" s="290">
        <v>2</v>
      </c>
      <c r="E374" s="290" t="s">
        <v>438</v>
      </c>
      <c r="F374" s="290" t="s">
        <v>440</v>
      </c>
      <c r="G374" s="291" t="s">
        <v>304</v>
      </c>
      <c r="H374" s="291"/>
      <c r="I374" s="291"/>
      <c r="J374" s="397">
        <f>+J375</f>
        <v>7000000</v>
      </c>
      <c r="K374" s="398">
        <f>+K375</f>
        <v>3500000</v>
      </c>
      <c r="L374" s="684">
        <f>+L375</f>
        <v>0</v>
      </c>
      <c r="M374" s="398">
        <f>+M375</f>
        <v>0</v>
      </c>
      <c r="N374" s="371">
        <f>M374+L374</f>
        <v>0</v>
      </c>
      <c r="O374" s="371">
        <f>N374-K374</f>
        <v>-3500000</v>
      </c>
      <c r="P374" s="778">
        <f>N374/K374*100</f>
        <v>0</v>
      </c>
      <c r="Q374" s="792"/>
      <c r="R374" s="446"/>
    </row>
    <row r="375" spans="1:19" s="189" customFormat="1" ht="12.05" customHeight="1">
      <c r="A375" s="293"/>
      <c r="B375" s="292"/>
      <c r="C375" s="292"/>
      <c r="D375" s="292"/>
      <c r="E375" s="292"/>
      <c r="F375" s="292"/>
      <c r="G375" s="253" t="s">
        <v>50</v>
      </c>
      <c r="H375" s="253"/>
      <c r="I375" s="253" t="s">
        <v>500</v>
      </c>
      <c r="J375" s="374">
        <v>7000000</v>
      </c>
      <c r="K375" s="1231">
        <f>'[55]TARGET MURNI DAN PERUBAHAN'!$E$187</f>
        <v>3500000</v>
      </c>
      <c r="L375" s="377">
        <f>[56]PerDinas!$N$375</f>
        <v>0</v>
      </c>
      <c r="M375" s="376">
        <f>[55]Perdinas!$P$234</f>
        <v>0</v>
      </c>
      <c r="N375" s="369">
        <f>M375+L375</f>
        <v>0</v>
      </c>
      <c r="O375" s="355">
        <f>N375-K375</f>
        <v>-3500000</v>
      </c>
      <c r="P375" s="388">
        <f>N375/K375*100</f>
        <v>0</v>
      </c>
      <c r="Q375" s="728"/>
      <c r="R375" s="422"/>
    </row>
    <row r="376" spans="1:19" s="189" customFormat="1" ht="12.05" customHeight="1">
      <c r="A376" s="293"/>
      <c r="B376" s="292"/>
      <c r="C376" s="292"/>
      <c r="D376" s="292"/>
      <c r="E376" s="292"/>
      <c r="F376" s="292"/>
      <c r="G376" s="253"/>
      <c r="H376" s="253"/>
      <c r="I376" s="253"/>
      <c r="J376" s="374"/>
      <c r="K376" s="375"/>
      <c r="L376" s="377"/>
      <c r="M376" s="375"/>
      <c r="N376" s="375"/>
      <c r="O376" s="375"/>
      <c r="P376" s="600"/>
      <c r="Q376" s="728"/>
      <c r="R376" s="422"/>
    </row>
    <row r="377" spans="1:19" s="189" customFormat="1" ht="12.05" customHeight="1">
      <c r="A377" s="293"/>
      <c r="B377" s="290">
        <v>4</v>
      </c>
      <c r="C377" s="290">
        <v>1</v>
      </c>
      <c r="D377" s="290">
        <v>4</v>
      </c>
      <c r="E377" s="290"/>
      <c r="F377" s="290"/>
      <c r="G377" s="291" t="s">
        <v>71</v>
      </c>
      <c r="H377" s="291"/>
      <c r="I377" s="291"/>
      <c r="J377" s="397">
        <f>J378+J386</f>
        <v>63850000</v>
      </c>
      <c r="K377" s="398">
        <f>K378+K386+K387</f>
        <v>0</v>
      </c>
      <c r="L377" s="398">
        <f>L378+L386+L387</f>
        <v>0</v>
      </c>
      <c r="M377" s="398">
        <f>M378+M386+M387</f>
        <v>131995452.15000001</v>
      </c>
      <c r="N377" s="398">
        <f>M377+L377</f>
        <v>131995452.15000001</v>
      </c>
      <c r="O377" s="398">
        <f t="shared" ref="O377:O382" si="60">N377-K377</f>
        <v>131995452.15000001</v>
      </c>
      <c r="P377" s="600" t="e">
        <f>P378+P386</f>
        <v>#DIV/0!</v>
      </c>
      <c r="Q377" s="793"/>
      <c r="R377" s="422"/>
    </row>
    <row r="378" spans="1:19" s="189" customFormat="1" ht="12.05" customHeight="1">
      <c r="A378" s="293"/>
      <c r="B378" s="292">
        <v>4</v>
      </c>
      <c r="C378" s="292">
        <v>1</v>
      </c>
      <c r="D378" s="292">
        <v>4</v>
      </c>
      <c r="E378" s="292" t="s">
        <v>444</v>
      </c>
      <c r="F378" s="292"/>
      <c r="G378" s="410" t="s">
        <v>222</v>
      </c>
      <c r="H378" s="410"/>
      <c r="I378" s="410"/>
      <c r="J378" s="489">
        <f>J379+J380+J381</f>
        <v>60000000</v>
      </c>
      <c r="K378" s="512">
        <f>K379+K380+K381</f>
        <v>0</v>
      </c>
      <c r="L378" s="616">
        <f>SUM(L379:L381)</f>
        <v>0</v>
      </c>
      <c r="M378" s="512">
        <f>SUM(M379:M381)</f>
        <v>131995452.15000001</v>
      </c>
      <c r="N378" s="512">
        <f>SUM(N379:N381)</f>
        <v>131995452.15000001</v>
      </c>
      <c r="O378" s="412">
        <f t="shared" si="60"/>
        <v>131995452.15000001</v>
      </c>
      <c r="P378" s="487">
        <v>0</v>
      </c>
      <c r="Q378" s="794"/>
      <c r="R378" s="422"/>
    </row>
    <row r="379" spans="1:19" s="189" customFormat="1" ht="12.05" customHeight="1">
      <c r="A379" s="289"/>
      <c r="B379" s="292">
        <v>4</v>
      </c>
      <c r="C379" s="292">
        <v>1</v>
      </c>
      <c r="D379" s="292">
        <v>4</v>
      </c>
      <c r="E379" s="292" t="s">
        <v>443</v>
      </c>
      <c r="F379" s="292" t="s">
        <v>441</v>
      </c>
      <c r="G379" s="253" t="s">
        <v>73</v>
      </c>
      <c r="H379" s="253"/>
      <c r="I379" s="253"/>
      <c r="J379" s="354">
        <v>0</v>
      </c>
      <c r="K379" s="355">
        <v>0</v>
      </c>
      <c r="L379" s="360"/>
      <c r="M379" s="355">
        <f>[55]Perdinas!$P$238</f>
        <v>0</v>
      </c>
      <c r="N379" s="355">
        <f t="shared" ref="N379:N384" si="61">M379+L379</f>
        <v>0</v>
      </c>
      <c r="O379" s="677">
        <f t="shared" si="60"/>
        <v>0</v>
      </c>
      <c r="P379" s="388"/>
      <c r="Q379" s="795"/>
      <c r="R379" s="422"/>
    </row>
    <row r="380" spans="1:19" s="189" customFormat="1" ht="12.05" customHeight="1">
      <c r="A380" s="289"/>
      <c r="B380" s="292">
        <v>4</v>
      </c>
      <c r="C380" s="292">
        <v>1</v>
      </c>
      <c r="D380" s="292">
        <v>4</v>
      </c>
      <c r="E380" s="292" t="s">
        <v>444</v>
      </c>
      <c r="F380" s="292" t="s">
        <v>445</v>
      </c>
      <c r="G380" s="253" t="s">
        <v>74</v>
      </c>
      <c r="H380" s="253"/>
      <c r="I380" s="253"/>
      <c r="J380" s="354">
        <v>0</v>
      </c>
      <c r="K380" s="355">
        <v>0</v>
      </c>
      <c r="L380" s="360">
        <v>0</v>
      </c>
      <c r="M380" s="355">
        <f>[55]Perdinas!$P$239</f>
        <v>0</v>
      </c>
      <c r="N380" s="355">
        <f t="shared" si="61"/>
        <v>0</v>
      </c>
      <c r="O380" s="346">
        <f t="shared" si="60"/>
        <v>0</v>
      </c>
      <c r="P380" s="388"/>
      <c r="Q380" s="795"/>
      <c r="R380" s="422"/>
    </row>
    <row r="381" spans="1:19" s="189" customFormat="1" ht="12.05" customHeight="1">
      <c r="A381" s="293"/>
      <c r="B381" s="292">
        <v>4</v>
      </c>
      <c r="C381" s="292">
        <v>1</v>
      </c>
      <c r="D381" s="292">
        <v>4</v>
      </c>
      <c r="E381" s="292" t="s">
        <v>444</v>
      </c>
      <c r="F381" s="292" t="s">
        <v>441</v>
      </c>
      <c r="G381" s="253" t="s">
        <v>75</v>
      </c>
      <c r="H381" s="253"/>
      <c r="I381" s="253"/>
      <c r="J381" s="374">
        <v>60000000</v>
      </c>
      <c r="K381" s="779"/>
      <c r="L381" s="360">
        <f>[56]PerDinas!$N$381</f>
        <v>0</v>
      </c>
      <c r="M381" s="375">
        <f>[55]Perdinas!$P$240</f>
        <v>131995452.15000001</v>
      </c>
      <c r="N381" s="375">
        <f t="shared" si="61"/>
        <v>131995452.15000001</v>
      </c>
      <c r="O381" s="346">
        <f t="shared" si="60"/>
        <v>131995452.15000001</v>
      </c>
      <c r="P381" s="600">
        <f>SUM(P382:P384)</f>
        <v>0</v>
      </c>
      <c r="Q381" s="728"/>
      <c r="R381" s="554"/>
      <c r="S381" s="542"/>
    </row>
    <row r="382" spans="1:19" s="189" customFormat="1" ht="12.05" customHeight="1">
      <c r="A382" s="293"/>
      <c r="B382" s="292"/>
      <c r="C382" s="292"/>
      <c r="D382" s="292"/>
      <c r="E382" s="292"/>
      <c r="F382" s="292"/>
      <c r="G382" s="253" t="s">
        <v>50</v>
      </c>
      <c r="H382" s="253"/>
      <c r="I382" s="253" t="s">
        <v>979</v>
      </c>
      <c r="J382" s="374">
        <v>0</v>
      </c>
      <c r="K382" s="376">
        <f>'[55]TARGET MURNI DAN PERUBAHAN'!$E$191</f>
        <v>0</v>
      </c>
      <c r="L382" s="377">
        <v>0</v>
      </c>
      <c r="M382" s="376">
        <f>[60]Perdinas!$E$191</f>
        <v>0</v>
      </c>
      <c r="N382" s="369">
        <f t="shared" si="61"/>
        <v>0</v>
      </c>
      <c r="O382" s="346">
        <f t="shared" si="60"/>
        <v>0</v>
      </c>
      <c r="P382" s="388"/>
      <c r="Q382" s="728"/>
      <c r="R382" s="422"/>
    </row>
    <row r="383" spans="1:19" s="189" customFormat="1" ht="12.05" customHeight="1">
      <c r="A383" s="293"/>
      <c r="B383" s="292"/>
      <c r="C383" s="292"/>
      <c r="D383" s="292"/>
      <c r="E383" s="292"/>
      <c r="F383" s="292"/>
      <c r="G383" s="253" t="s">
        <v>50</v>
      </c>
      <c r="H383" s="253"/>
      <c r="I383" s="253" t="s">
        <v>980</v>
      </c>
      <c r="J383" s="374">
        <v>0</v>
      </c>
      <c r="K383" s="375">
        <v>0</v>
      </c>
      <c r="L383" s="377">
        <v>0</v>
      </c>
      <c r="M383" s="376">
        <f>[60]Perdinas!$E$192</f>
        <v>0</v>
      </c>
      <c r="N383" s="355">
        <f t="shared" si="61"/>
        <v>0</v>
      </c>
      <c r="O383" s="355"/>
      <c r="P383" s="388"/>
      <c r="Q383" s="728"/>
      <c r="R383" s="422"/>
    </row>
    <row r="384" spans="1:19" s="189" customFormat="1" ht="12.05" customHeight="1">
      <c r="A384" s="293"/>
      <c r="B384" s="292"/>
      <c r="C384" s="292"/>
      <c r="D384" s="292"/>
      <c r="E384" s="292"/>
      <c r="F384" s="292"/>
      <c r="G384" s="253" t="s">
        <v>50</v>
      </c>
      <c r="H384" s="253"/>
      <c r="I384" s="253" t="s">
        <v>754</v>
      </c>
      <c r="J384" s="374">
        <v>0</v>
      </c>
      <c r="K384" s="375">
        <v>0</v>
      </c>
      <c r="L384" s="377">
        <v>0</v>
      </c>
      <c r="M384" s="376">
        <f>[60]Perdinas!$E$193</f>
        <v>0</v>
      </c>
      <c r="N384" s="355">
        <f t="shared" si="61"/>
        <v>0</v>
      </c>
      <c r="O384" s="355"/>
      <c r="P384" s="388"/>
      <c r="Q384" s="728"/>
      <c r="R384" s="422"/>
    </row>
    <row r="385" spans="1:19" s="189" customFormat="1" ht="12.05" customHeight="1">
      <c r="A385" s="293"/>
      <c r="B385" s="292"/>
      <c r="C385" s="292"/>
      <c r="D385" s="292"/>
      <c r="E385" s="292"/>
      <c r="F385" s="292"/>
      <c r="G385" s="253"/>
      <c r="H385" s="253"/>
      <c r="I385" s="253"/>
      <c r="J385" s="374"/>
      <c r="K385" s="375"/>
      <c r="L385" s="377"/>
      <c r="M385" s="375"/>
      <c r="N385" s="355"/>
      <c r="O385" s="355"/>
      <c r="P385" s="388"/>
      <c r="Q385" s="728"/>
      <c r="R385" s="422"/>
    </row>
    <row r="386" spans="1:19" s="189" customFormat="1" ht="12.05" customHeight="1">
      <c r="A386" s="293"/>
      <c r="B386" s="290" t="s">
        <v>443</v>
      </c>
      <c r="C386" s="290" t="s">
        <v>58</v>
      </c>
      <c r="D386" s="290" t="s">
        <v>443</v>
      </c>
      <c r="E386" s="290" t="s">
        <v>948</v>
      </c>
      <c r="F386" s="290"/>
      <c r="G386" s="291" t="s">
        <v>981</v>
      </c>
      <c r="H386" s="291"/>
      <c r="I386" s="291"/>
      <c r="J386" s="370">
        <f>J387+J388</f>
        <v>3850000</v>
      </c>
      <c r="K386" s="371">
        <f t="shared" ref="K386:P386" si="62">K388</f>
        <v>0</v>
      </c>
      <c r="L386" s="371">
        <f t="shared" si="62"/>
        <v>0</v>
      </c>
      <c r="M386" s="371">
        <f t="shared" si="62"/>
        <v>0</v>
      </c>
      <c r="N386" s="371">
        <f t="shared" si="62"/>
        <v>0</v>
      </c>
      <c r="O386" s="371">
        <f t="shared" si="62"/>
        <v>0</v>
      </c>
      <c r="P386" s="371" t="e">
        <f t="shared" si="62"/>
        <v>#DIV/0!</v>
      </c>
      <c r="Q386" s="790"/>
      <c r="R386" s="422"/>
    </row>
    <row r="387" spans="1:19" s="189" customFormat="1" ht="12.05" customHeight="1">
      <c r="A387" s="293"/>
      <c r="B387" s="292"/>
      <c r="C387" s="292"/>
      <c r="D387" s="292"/>
      <c r="E387" s="292"/>
      <c r="F387" s="292"/>
      <c r="G387" s="253" t="s">
        <v>50</v>
      </c>
      <c r="H387" s="253"/>
      <c r="I387" s="253" t="s">
        <v>710</v>
      </c>
      <c r="J387" s="354">
        <v>650000</v>
      </c>
      <c r="K387" s="806"/>
      <c r="L387" s="360">
        <f>[56]PerDinas!$N$387</f>
        <v>0</v>
      </c>
      <c r="M387" s="355"/>
      <c r="N387" s="355">
        <f>M387+L387</f>
        <v>0</v>
      </c>
      <c r="O387" s="355">
        <f t="shared" ref="O387:O392" si="63">N387-K387</f>
        <v>0</v>
      </c>
      <c r="P387" s="388" t="e">
        <f>N387/K387*100</f>
        <v>#DIV/0!</v>
      </c>
      <c r="Q387" s="728"/>
      <c r="R387" s="552"/>
      <c r="S387" s="819"/>
    </row>
    <row r="388" spans="1:19" s="189" customFormat="1" ht="12.05" customHeight="1">
      <c r="A388" s="293"/>
      <c r="B388" s="292"/>
      <c r="C388" s="292"/>
      <c r="D388" s="292"/>
      <c r="E388" s="292"/>
      <c r="F388" s="292"/>
      <c r="G388" s="253" t="s">
        <v>50</v>
      </c>
      <c r="H388" s="253"/>
      <c r="I388" s="253" t="s">
        <v>982</v>
      </c>
      <c r="J388" s="374">
        <v>3200000</v>
      </c>
      <c r="K388" s="376">
        <f>'[55]TARGET MURNI DAN PERUBAHAN'!$E$197</f>
        <v>0</v>
      </c>
      <c r="L388" s="377">
        <f>[56]PerDinas!$N$388</f>
        <v>0</v>
      </c>
      <c r="M388" s="376">
        <f>[55]Perdinas!$P$241</f>
        <v>0</v>
      </c>
      <c r="N388" s="369">
        <f>M388+L388</f>
        <v>0</v>
      </c>
      <c r="O388" s="355">
        <f t="shared" si="63"/>
        <v>0</v>
      </c>
      <c r="P388" s="388" t="e">
        <f>N388/K388*100</f>
        <v>#DIV/0!</v>
      </c>
      <c r="Q388" s="448"/>
      <c r="R388" s="422"/>
    </row>
    <row r="389" spans="1:19" s="189" customFormat="1" ht="12.05" customHeight="1">
      <c r="A389" s="465"/>
      <c r="B389" s="296"/>
      <c r="C389" s="296"/>
      <c r="D389" s="296"/>
      <c r="E389" s="296"/>
      <c r="F389" s="296"/>
      <c r="G389" s="297"/>
      <c r="H389" s="297"/>
      <c r="I389" s="297"/>
      <c r="J389" s="333"/>
      <c r="K389" s="334"/>
      <c r="L389" s="356"/>
      <c r="M389" s="334"/>
      <c r="N389" s="334"/>
      <c r="O389" s="334"/>
      <c r="P389" s="335"/>
      <c r="Q389" s="430"/>
      <c r="R389" s="422"/>
    </row>
    <row r="390" spans="1:19" s="244" customFormat="1" ht="12.05" customHeight="1">
      <c r="A390" s="1186" t="s">
        <v>152</v>
      </c>
      <c r="B390" s="1187" t="s">
        <v>58</v>
      </c>
      <c r="C390" s="1187" t="s">
        <v>846</v>
      </c>
      <c r="D390" s="1187" t="s">
        <v>440</v>
      </c>
      <c r="E390" s="1249"/>
      <c r="F390" s="1249"/>
      <c r="G390" s="1188" t="s">
        <v>301</v>
      </c>
      <c r="H390" s="1188"/>
      <c r="I390" s="1188"/>
      <c r="J390" s="1195">
        <f>+J392</f>
        <v>2000000</v>
      </c>
      <c r="K390" s="1196">
        <f>+K392</f>
        <v>0</v>
      </c>
      <c r="L390" s="1196">
        <f>+L392</f>
        <v>3240000</v>
      </c>
      <c r="M390" s="1196">
        <f>+M392</f>
        <v>1600000</v>
      </c>
      <c r="N390" s="1196">
        <f>+M390+L390</f>
        <v>4840000</v>
      </c>
      <c r="O390" s="1196">
        <f>+N390-K390</f>
        <v>4840000</v>
      </c>
      <c r="P390" s="1197" t="e">
        <f>N390/K390*100</f>
        <v>#DIV/0!</v>
      </c>
      <c r="Q390" s="1208"/>
      <c r="R390" s="639"/>
    </row>
    <row r="391" spans="1:19" s="189" customFormat="1" ht="12.05" customHeight="1">
      <c r="A391" s="471"/>
      <c r="B391" s="287"/>
      <c r="C391" s="287"/>
      <c r="D391" s="287"/>
      <c r="E391" s="287"/>
      <c r="F391" s="287"/>
      <c r="G391" s="410"/>
      <c r="H391" s="410"/>
      <c r="I391" s="410"/>
      <c r="J391" s="342"/>
      <c r="K391" s="343"/>
      <c r="L391" s="343"/>
      <c r="M391" s="343"/>
      <c r="N391" s="492"/>
      <c r="O391" s="492"/>
      <c r="P391" s="487"/>
      <c r="Q391" s="437"/>
      <c r="R391" s="422"/>
    </row>
    <row r="392" spans="1:19" s="189" customFormat="1" ht="12.05" customHeight="1">
      <c r="A392" s="303"/>
      <c r="B392" s="290">
        <v>4</v>
      </c>
      <c r="C392" s="290">
        <v>1</v>
      </c>
      <c r="D392" s="290"/>
      <c r="E392" s="290"/>
      <c r="F392" s="290"/>
      <c r="G392" s="291" t="s">
        <v>180</v>
      </c>
      <c r="H392" s="291"/>
      <c r="I392" s="291"/>
      <c r="J392" s="518">
        <f>+J394</f>
        <v>2000000</v>
      </c>
      <c r="K392" s="519">
        <f>+K394</f>
        <v>0</v>
      </c>
      <c r="L392" s="519">
        <f>+L394</f>
        <v>3240000</v>
      </c>
      <c r="M392" s="519">
        <f>+M394</f>
        <v>1600000</v>
      </c>
      <c r="N392" s="343">
        <f>+M392+L392</f>
        <v>4840000</v>
      </c>
      <c r="O392" s="343">
        <f t="shared" si="63"/>
        <v>4840000</v>
      </c>
      <c r="P392" s="344" t="e">
        <f>N392/K392*100</f>
        <v>#DIV/0!</v>
      </c>
      <c r="Q392" s="559"/>
      <c r="R392" s="422"/>
    </row>
    <row r="393" spans="1:19" s="189" customFormat="1" ht="12.05" customHeight="1">
      <c r="A393" s="293"/>
      <c r="B393" s="292"/>
      <c r="C393" s="292"/>
      <c r="D393" s="292"/>
      <c r="E393" s="292"/>
      <c r="F393" s="292"/>
      <c r="G393" s="253"/>
      <c r="H393" s="253"/>
      <c r="I393" s="253"/>
      <c r="J393" s="387"/>
      <c r="K393" s="367"/>
      <c r="L393" s="367"/>
      <c r="M393" s="367"/>
      <c r="N393" s="367"/>
      <c r="O393" s="367"/>
      <c r="P393" s="347"/>
      <c r="Q393" s="454"/>
      <c r="R393" s="422"/>
    </row>
    <row r="394" spans="1:19" s="189" customFormat="1" ht="12.05" customHeight="1">
      <c r="A394" s="303"/>
      <c r="B394" s="290">
        <v>4</v>
      </c>
      <c r="C394" s="290">
        <v>1</v>
      </c>
      <c r="D394" s="290">
        <v>4</v>
      </c>
      <c r="E394" s="290"/>
      <c r="F394" s="290"/>
      <c r="G394" s="291" t="s">
        <v>71</v>
      </c>
      <c r="H394" s="291"/>
      <c r="I394" s="291"/>
      <c r="J394" s="397">
        <f>J395+J400</f>
        <v>2000000</v>
      </c>
      <c r="K394" s="398">
        <f>K395+K400</f>
        <v>0</v>
      </c>
      <c r="L394" s="684">
        <f>L395+L400</f>
        <v>3240000</v>
      </c>
      <c r="M394" s="398">
        <f>M395+M400</f>
        <v>1600000</v>
      </c>
      <c r="N394" s="398">
        <f>N395+N400</f>
        <v>4840000</v>
      </c>
      <c r="O394" s="367">
        <f>N394-K394</f>
        <v>4840000</v>
      </c>
      <c r="P394" s="347" t="e">
        <f>N394/K394*100</f>
        <v>#DIV/0!</v>
      </c>
      <c r="Q394" s="699"/>
      <c r="R394" s="422"/>
    </row>
    <row r="395" spans="1:19" s="189" customFormat="1" ht="12.05" customHeight="1">
      <c r="A395" s="293"/>
      <c r="B395" s="292">
        <v>4</v>
      </c>
      <c r="C395" s="292">
        <v>1</v>
      </c>
      <c r="D395" s="292">
        <v>4</v>
      </c>
      <c r="E395" s="292" t="s">
        <v>444</v>
      </c>
      <c r="F395" s="292"/>
      <c r="G395" s="253" t="s">
        <v>222</v>
      </c>
      <c r="H395" s="253"/>
      <c r="I395" s="253"/>
      <c r="J395" s="484">
        <v>0</v>
      </c>
      <c r="K395" s="485">
        <v>0</v>
      </c>
      <c r="L395" s="486">
        <f>SUM(L396:L398)</f>
        <v>3240000</v>
      </c>
      <c r="M395" s="485">
        <f>SUM(M396:M398)</f>
        <v>1600000</v>
      </c>
      <c r="N395" s="485">
        <f>SUM(N396:N398)</f>
        <v>4840000</v>
      </c>
      <c r="O395" s="485"/>
      <c r="P395" s="597"/>
      <c r="Q395" s="541"/>
      <c r="R395" s="422"/>
    </row>
    <row r="396" spans="1:19" s="189" customFormat="1" ht="12.05" customHeight="1">
      <c r="A396" s="289"/>
      <c r="B396" s="292">
        <v>4</v>
      </c>
      <c r="C396" s="292">
        <v>1</v>
      </c>
      <c r="D396" s="292">
        <v>4</v>
      </c>
      <c r="E396" s="292" t="s">
        <v>444</v>
      </c>
      <c r="F396" s="292" t="s">
        <v>440</v>
      </c>
      <c r="G396" s="253" t="s">
        <v>73</v>
      </c>
      <c r="H396" s="253"/>
      <c r="I396" s="253"/>
      <c r="J396" s="354">
        <v>0</v>
      </c>
      <c r="K396" s="355">
        <v>0</v>
      </c>
      <c r="L396" s="360">
        <v>0</v>
      </c>
      <c r="M396" s="355">
        <f>[55]Perdinas!$P$246</f>
        <v>0</v>
      </c>
      <c r="N396" s="355">
        <f>M396+L396</f>
        <v>0</v>
      </c>
      <c r="O396" s="355">
        <f>N396-K396</f>
        <v>0</v>
      </c>
      <c r="P396" s="388"/>
      <c r="Q396" s="441"/>
      <c r="R396" s="422"/>
    </row>
    <row r="397" spans="1:19" s="189" customFormat="1" ht="12.05" customHeight="1">
      <c r="A397" s="289"/>
      <c r="B397" s="292">
        <v>4</v>
      </c>
      <c r="C397" s="292">
        <v>1</v>
      </c>
      <c r="D397" s="292">
        <v>4</v>
      </c>
      <c r="E397" s="292" t="s">
        <v>444</v>
      </c>
      <c r="F397" s="292" t="s">
        <v>445</v>
      </c>
      <c r="G397" s="253" t="s">
        <v>74</v>
      </c>
      <c r="H397" s="253"/>
      <c r="I397" s="253"/>
      <c r="J397" s="354">
        <v>0</v>
      </c>
      <c r="K397" s="355">
        <v>0</v>
      </c>
      <c r="L397" s="360">
        <v>0</v>
      </c>
      <c r="M397" s="355">
        <f>[55]Perdinas!$P$247</f>
        <v>0</v>
      </c>
      <c r="N397" s="355">
        <f>M397+L397</f>
        <v>0</v>
      </c>
      <c r="O397" s="355">
        <f>N397-K397</f>
        <v>0</v>
      </c>
      <c r="P397" s="388"/>
      <c r="Q397" s="441"/>
      <c r="R397" s="422"/>
    </row>
    <row r="398" spans="1:19" s="189" customFormat="1" ht="12.05" customHeight="1">
      <c r="A398" s="293"/>
      <c r="B398" s="292">
        <v>4</v>
      </c>
      <c r="C398" s="292">
        <v>1</v>
      </c>
      <c r="D398" s="292">
        <v>4</v>
      </c>
      <c r="E398" s="292" t="s">
        <v>444</v>
      </c>
      <c r="F398" s="292" t="s">
        <v>441</v>
      </c>
      <c r="G398" s="253" t="s">
        <v>75</v>
      </c>
      <c r="H398" s="253"/>
      <c r="I398" s="253"/>
      <c r="J398" s="374">
        <v>0</v>
      </c>
      <c r="K398" s="376">
        <f>'[55]TARGET MURNI DAN PERUBAHAN'!$E$201</f>
        <v>0</v>
      </c>
      <c r="L398" s="377">
        <f>[56]PerDinas!$N$398</f>
        <v>3240000</v>
      </c>
      <c r="M398" s="376">
        <f>[55]Perdinas!$P$248</f>
        <v>1600000</v>
      </c>
      <c r="N398" s="369">
        <f>M398+L398</f>
        <v>4840000</v>
      </c>
      <c r="O398" s="355">
        <f>N398-K398</f>
        <v>4840000</v>
      </c>
      <c r="P398" s="388"/>
      <c r="Q398" s="548"/>
      <c r="R398" s="422"/>
    </row>
    <row r="399" spans="1:19" s="189" customFormat="1" ht="12.05" customHeight="1">
      <c r="A399" s="293"/>
      <c r="B399" s="292"/>
      <c r="C399" s="292"/>
      <c r="D399" s="292"/>
      <c r="E399" s="292"/>
      <c r="F399" s="292"/>
      <c r="G399" s="253"/>
      <c r="H399" s="253"/>
      <c r="I399" s="253"/>
      <c r="J399" s="494"/>
      <c r="K399" s="495"/>
      <c r="L399" s="513"/>
      <c r="M399" s="495"/>
      <c r="N399" s="334"/>
      <c r="O399" s="334"/>
      <c r="P399" s="335"/>
      <c r="Q399" s="548"/>
      <c r="R399" s="422"/>
    </row>
    <row r="400" spans="1:19" s="189" customFormat="1" ht="12.05" customHeight="1">
      <c r="A400" s="293"/>
      <c r="B400" s="292" t="s">
        <v>443</v>
      </c>
      <c r="C400" s="292" t="s">
        <v>58</v>
      </c>
      <c r="D400" s="292" t="s">
        <v>443</v>
      </c>
      <c r="E400" s="292" t="s">
        <v>948</v>
      </c>
      <c r="F400" s="292"/>
      <c r="G400" s="253" t="s">
        <v>981</v>
      </c>
      <c r="H400" s="253"/>
      <c r="I400" s="253"/>
      <c r="J400" s="526">
        <f>J401</f>
        <v>2000000</v>
      </c>
      <c r="K400" s="527">
        <f>K401</f>
        <v>0</v>
      </c>
      <c r="L400" s="670">
        <f>SUM(L401:L401)</f>
        <v>0</v>
      </c>
      <c r="M400" s="527">
        <f>SUM(M401:M401)</f>
        <v>0</v>
      </c>
      <c r="N400" s="527">
        <f>M400+L400</f>
        <v>0</v>
      </c>
      <c r="O400" s="527">
        <f t="shared" ref="O400:O405" si="64">N400-K400</f>
        <v>0</v>
      </c>
      <c r="P400" s="671">
        <v>0</v>
      </c>
      <c r="Q400" s="548"/>
      <c r="R400" s="422"/>
    </row>
    <row r="401" spans="1:19" s="189" customFormat="1" ht="12.05" customHeight="1">
      <c r="A401" s="293"/>
      <c r="B401" s="292" t="s">
        <v>443</v>
      </c>
      <c r="C401" s="292" t="s">
        <v>58</v>
      </c>
      <c r="D401" s="292" t="s">
        <v>443</v>
      </c>
      <c r="E401" s="292" t="s">
        <v>948</v>
      </c>
      <c r="F401" s="292" t="s">
        <v>437</v>
      </c>
      <c r="G401" s="253" t="s">
        <v>50</v>
      </c>
      <c r="H401" s="253"/>
      <c r="I401" s="253" t="s">
        <v>85</v>
      </c>
      <c r="J401" s="389">
        <v>2000000</v>
      </c>
      <c r="K401" s="357">
        <f>'[55]TARGET MURNI DAN PERUBAHAN'!$E$202</f>
        <v>0</v>
      </c>
      <c r="L401" s="391">
        <v>0</v>
      </c>
      <c r="M401" s="357">
        <v>0</v>
      </c>
      <c r="N401" s="357">
        <f>M401+L401</f>
        <v>0</v>
      </c>
      <c r="O401" s="357">
        <f t="shared" si="64"/>
        <v>0</v>
      </c>
      <c r="P401" s="358">
        <v>0</v>
      </c>
      <c r="Q401" s="548"/>
      <c r="R401" s="422"/>
    </row>
    <row r="402" spans="1:19" s="189" customFormat="1" ht="12.05" customHeight="1">
      <c r="A402" s="465"/>
      <c r="B402" s="296"/>
      <c r="C402" s="296"/>
      <c r="D402" s="296"/>
      <c r="E402" s="296"/>
      <c r="F402" s="296"/>
      <c r="G402" s="297"/>
      <c r="H402" s="297"/>
      <c r="I402" s="297"/>
      <c r="J402" s="333"/>
      <c r="K402" s="334"/>
      <c r="L402" s="334"/>
      <c r="M402" s="334"/>
      <c r="N402" s="334"/>
      <c r="O402" s="334"/>
      <c r="P402" s="335"/>
      <c r="Q402" s="430"/>
      <c r="R402" s="422"/>
    </row>
    <row r="403" spans="1:19" s="244" customFormat="1" ht="12.05" customHeight="1">
      <c r="A403" s="1186" t="s">
        <v>154</v>
      </c>
      <c r="B403" s="1187" t="s">
        <v>58</v>
      </c>
      <c r="C403" s="1187" t="s">
        <v>849</v>
      </c>
      <c r="D403" s="1187" t="s">
        <v>440</v>
      </c>
      <c r="E403" s="1187"/>
      <c r="F403" s="1187"/>
      <c r="G403" s="1188" t="s">
        <v>155</v>
      </c>
      <c r="H403" s="1188"/>
      <c r="I403" s="1226"/>
      <c r="J403" s="1195" t="e">
        <f>J405+J424+J436+J447+J457</f>
        <v>#REF!</v>
      </c>
      <c r="K403" s="1196">
        <f>K405+K500</f>
        <v>256272185069</v>
      </c>
      <c r="L403" s="1196">
        <f>L405+L424+L436+L447+L457+L470</f>
        <v>85733197</v>
      </c>
      <c r="M403" s="1196">
        <f>M405+M424+M436+M447+M457+M470</f>
        <v>26437097</v>
      </c>
      <c r="N403" s="1196">
        <f>M403+L403</f>
        <v>112170294</v>
      </c>
      <c r="O403" s="1196">
        <f>+N403-K403</f>
        <v>-256160014775</v>
      </c>
      <c r="P403" s="1197">
        <f>+N403/K403*100</f>
        <v>4.3769983843466552E-2</v>
      </c>
      <c r="Q403" s="1208"/>
      <c r="R403" s="639"/>
    </row>
    <row r="404" spans="1:19" s="189" customFormat="1" ht="12.05" customHeight="1">
      <c r="A404" s="657"/>
      <c r="B404" s="578"/>
      <c r="C404" s="578"/>
      <c r="D404" s="578"/>
      <c r="E404" s="578"/>
      <c r="F404" s="578"/>
      <c r="J404" s="333"/>
      <c r="K404" s="334"/>
      <c r="L404" s="334"/>
      <c r="M404" s="334"/>
      <c r="N404" s="334"/>
      <c r="O404" s="334"/>
      <c r="P404" s="335"/>
      <c r="Q404" s="430"/>
      <c r="R404" s="422"/>
    </row>
    <row r="405" spans="1:19" s="189" customFormat="1" ht="12.05" customHeight="1">
      <c r="A405" s="797"/>
      <c r="B405" s="798" t="s">
        <v>58</v>
      </c>
      <c r="C405" s="798" t="s">
        <v>849</v>
      </c>
      <c r="D405" s="798" t="s">
        <v>440</v>
      </c>
      <c r="E405" s="798" t="s">
        <v>438</v>
      </c>
      <c r="F405" s="799"/>
      <c r="G405" s="800" t="s">
        <v>157</v>
      </c>
      <c r="H405" s="801"/>
      <c r="I405" s="801"/>
      <c r="J405" s="807" t="e">
        <f>+J407</f>
        <v>#REF!</v>
      </c>
      <c r="K405" s="808">
        <f>+K407</f>
        <v>131250000</v>
      </c>
      <c r="L405" s="808">
        <f>+L407</f>
        <v>85733197</v>
      </c>
      <c r="M405" s="808">
        <f>+M407</f>
        <v>26437097</v>
      </c>
      <c r="N405" s="808">
        <f>+M405+L405</f>
        <v>112170294</v>
      </c>
      <c r="O405" s="808">
        <f t="shared" si="64"/>
        <v>-19079706</v>
      </c>
      <c r="P405" s="809">
        <f>N405/K405*100</f>
        <v>85.463081142857149</v>
      </c>
      <c r="Q405" s="820"/>
      <c r="R405" s="422"/>
    </row>
    <row r="406" spans="1:19" s="189" customFormat="1" ht="12.05" customHeight="1">
      <c r="A406" s="471"/>
      <c r="B406" s="287"/>
      <c r="C406" s="287"/>
      <c r="D406" s="287"/>
      <c r="E406" s="287"/>
      <c r="F406" s="287"/>
      <c r="G406" s="410"/>
      <c r="H406" s="410"/>
      <c r="I406" s="410"/>
      <c r="J406" s="342"/>
      <c r="K406" s="343"/>
      <c r="L406" s="343"/>
      <c r="M406" s="343"/>
      <c r="N406" s="492"/>
      <c r="O406" s="492"/>
      <c r="P406" s="487"/>
      <c r="Q406" s="437"/>
      <c r="R406" s="422"/>
    </row>
    <row r="407" spans="1:19" s="189" customFormat="1" ht="12.05" customHeight="1">
      <c r="A407" s="303"/>
      <c r="B407" s="290">
        <v>4</v>
      </c>
      <c r="C407" s="290">
        <v>1</v>
      </c>
      <c r="D407" s="290"/>
      <c r="E407" s="290"/>
      <c r="F407" s="290"/>
      <c r="G407" s="291" t="s">
        <v>180</v>
      </c>
      <c r="H407" s="291"/>
      <c r="I407" s="291"/>
      <c r="J407" s="518" t="e">
        <f>J409+J417</f>
        <v>#REF!</v>
      </c>
      <c r="K407" s="519">
        <f>K409+K417</f>
        <v>131250000</v>
      </c>
      <c r="L407" s="519">
        <f>L409+L417</f>
        <v>85733197</v>
      </c>
      <c r="M407" s="519">
        <f>M409+M417</f>
        <v>26437097</v>
      </c>
      <c r="N407" s="519">
        <f>N409+N417</f>
        <v>112170294</v>
      </c>
      <c r="O407" s="343">
        <f>N407-K407</f>
        <v>-19079706</v>
      </c>
      <c r="P407" s="344">
        <f>N407/K407*100</f>
        <v>85.463081142857149</v>
      </c>
      <c r="Q407" s="559"/>
      <c r="R407" s="422"/>
    </row>
    <row r="408" spans="1:19" s="189" customFormat="1" ht="12.05" customHeight="1">
      <c r="A408" s="293"/>
      <c r="B408" s="292"/>
      <c r="C408" s="292"/>
      <c r="D408" s="292"/>
      <c r="E408" s="292"/>
      <c r="F408" s="292"/>
      <c r="G408" s="253"/>
      <c r="H408" s="253"/>
      <c r="I408" s="253"/>
      <c r="J408" s="387"/>
      <c r="K408" s="367"/>
      <c r="L408" s="367"/>
      <c r="M408" s="367"/>
      <c r="N408" s="367"/>
      <c r="O408" s="367"/>
      <c r="P408" s="347"/>
      <c r="Q408" s="454"/>
      <c r="R408" s="422"/>
    </row>
    <row r="409" spans="1:19" s="189" customFormat="1" ht="12.05" customHeight="1">
      <c r="A409" s="303"/>
      <c r="B409" s="290">
        <v>4</v>
      </c>
      <c r="C409" s="290">
        <v>1</v>
      </c>
      <c r="D409" s="290">
        <v>2</v>
      </c>
      <c r="E409" s="290"/>
      <c r="F409" s="290"/>
      <c r="G409" s="291" t="s">
        <v>106</v>
      </c>
      <c r="H409" s="291"/>
      <c r="I409" s="253"/>
      <c r="J409" s="348" t="e">
        <f>+J411</f>
        <v>#REF!</v>
      </c>
      <c r="K409" s="349">
        <f>+K411</f>
        <v>131250000</v>
      </c>
      <c r="L409" s="589">
        <f>+L411</f>
        <v>43225000</v>
      </c>
      <c r="M409" s="349">
        <f>+M411</f>
        <v>1950000</v>
      </c>
      <c r="N409" s="349">
        <f>+N411</f>
        <v>45175000</v>
      </c>
      <c r="O409" s="349">
        <f>N409-K409</f>
        <v>-86075000</v>
      </c>
      <c r="P409" s="350">
        <f>N409/K409*100</f>
        <v>34.419047619047625</v>
      </c>
      <c r="Q409" s="439"/>
      <c r="R409" s="422"/>
    </row>
    <row r="410" spans="1:19" s="189" customFormat="1" ht="12.05" customHeight="1">
      <c r="A410" s="303"/>
      <c r="B410" s="292"/>
      <c r="C410" s="292"/>
      <c r="D410" s="292"/>
      <c r="E410" s="292"/>
      <c r="F410" s="292"/>
      <c r="G410" s="253"/>
      <c r="H410" s="253"/>
      <c r="I410" s="253"/>
      <c r="J410" s="354"/>
      <c r="K410" s="355"/>
      <c r="L410" s="360"/>
      <c r="M410" s="355"/>
      <c r="N410" s="355"/>
      <c r="O410" s="355"/>
      <c r="P410" s="388"/>
      <c r="Q410" s="441"/>
      <c r="R410" s="422"/>
    </row>
    <row r="411" spans="1:19" s="189" customFormat="1" ht="12.05" customHeight="1">
      <c r="A411" s="303"/>
      <c r="B411" s="292">
        <v>4</v>
      </c>
      <c r="C411" s="292">
        <v>1</v>
      </c>
      <c r="D411" s="292">
        <v>2</v>
      </c>
      <c r="E411" s="292" t="s">
        <v>438</v>
      </c>
      <c r="F411" s="292"/>
      <c r="G411" s="253" t="s">
        <v>109</v>
      </c>
      <c r="H411" s="253"/>
      <c r="I411" s="253"/>
      <c r="J411" s="746" t="e">
        <f>J412</f>
        <v>#REF!</v>
      </c>
      <c r="K411" s="676">
        <f>K412</f>
        <v>131250000</v>
      </c>
      <c r="L411" s="675">
        <f>L412</f>
        <v>43225000</v>
      </c>
      <c r="M411" s="676">
        <f>M412</f>
        <v>1950000</v>
      </c>
      <c r="N411" s="676">
        <f>N412</f>
        <v>45175000</v>
      </c>
      <c r="O411" s="492">
        <f>N411-K411</f>
        <v>-86075000</v>
      </c>
      <c r="P411" s="493">
        <f>N411/K411*100</f>
        <v>34.419047619047625</v>
      </c>
      <c r="Q411" s="430"/>
      <c r="R411" s="422"/>
    </row>
    <row r="412" spans="1:19" s="252" customFormat="1" ht="15.05">
      <c r="A412" s="294"/>
      <c r="B412" s="292">
        <v>4</v>
      </c>
      <c r="C412" s="292">
        <v>1</v>
      </c>
      <c r="D412" s="292">
        <v>2</v>
      </c>
      <c r="E412" s="292" t="s">
        <v>437</v>
      </c>
      <c r="F412" s="292" t="s">
        <v>437</v>
      </c>
      <c r="G412" s="253" t="s">
        <v>64</v>
      </c>
      <c r="H412" s="253"/>
      <c r="I412" s="253"/>
      <c r="J412" s="810" t="e">
        <f>SUM(J413,J414,J415,#REF!,#REF!,#REF!,#REF!,#REF!,#REF!)</f>
        <v>#REF!</v>
      </c>
      <c r="K412" s="594">
        <f>SUM(K413:K415)</f>
        <v>131250000</v>
      </c>
      <c r="L412" s="594">
        <f>SUM(L413:L415)</f>
        <v>43225000</v>
      </c>
      <c r="M412" s="594">
        <f>SUM(M413:M415)</f>
        <v>1950000</v>
      </c>
      <c r="N412" s="812">
        <f>M412+L412</f>
        <v>45175000</v>
      </c>
      <c r="O412" s="813">
        <f>N412-K412</f>
        <v>-86075000</v>
      </c>
      <c r="P412" s="814">
        <f>N412/K412*100</f>
        <v>34.419047619047625</v>
      </c>
      <c r="Q412" s="642"/>
      <c r="R412" s="821"/>
      <c r="S412" s="822"/>
    </row>
    <row r="413" spans="1:19" s="252" customFormat="1" ht="12.05" customHeight="1">
      <c r="A413" s="293"/>
      <c r="B413" s="292"/>
      <c r="C413" s="292"/>
      <c r="D413" s="292"/>
      <c r="E413" s="292"/>
      <c r="F413" s="292"/>
      <c r="G413" s="253" t="s">
        <v>50</v>
      </c>
      <c r="H413" s="253"/>
      <c r="I413" s="253" t="s">
        <v>503</v>
      </c>
      <c r="J413" s="354">
        <v>30000000</v>
      </c>
      <c r="K413" s="1194">
        <f>'[55]TARGET MURNI DAN PERUBAHAN'!$E$210</f>
        <v>30000000</v>
      </c>
      <c r="L413" s="360">
        <f>[56]PerDinas!$N$413</f>
        <v>22100000</v>
      </c>
      <c r="M413" s="373">
        <f>[55]Perdinas!$P$261</f>
        <v>1300000</v>
      </c>
      <c r="N413" s="355">
        <f>M413+L413</f>
        <v>23400000</v>
      </c>
      <c r="O413" s="355">
        <f>N413-K413</f>
        <v>-6600000</v>
      </c>
      <c r="P413" s="388">
        <f>N413/K413*100</f>
        <v>78</v>
      </c>
      <c r="Q413" s="441"/>
      <c r="R413" s="738"/>
    </row>
    <row r="414" spans="1:19" s="252" customFormat="1" ht="12.05" customHeight="1">
      <c r="A414" s="293"/>
      <c r="B414" s="292"/>
      <c r="C414" s="292"/>
      <c r="D414" s="292"/>
      <c r="E414" s="292"/>
      <c r="F414" s="292"/>
      <c r="G414" s="253" t="s">
        <v>50</v>
      </c>
      <c r="H414" s="253"/>
      <c r="I414" s="253" t="s">
        <v>504</v>
      </c>
      <c r="J414" s="374">
        <v>20000000</v>
      </c>
      <c r="K414" s="1194">
        <f>'[55]TARGET MURNI DAN PERUBAHAN'!$E$211</f>
        <v>26250000</v>
      </c>
      <c r="L414" s="360">
        <f>[56]PerDinas!$N$414</f>
        <v>13650000</v>
      </c>
      <c r="M414" s="376">
        <f>[55]Perdinas!$P$262</f>
        <v>650000</v>
      </c>
      <c r="N414" s="334">
        <f>M414+L414</f>
        <v>14300000</v>
      </c>
      <c r="O414" s="334">
        <f>N414-K414</f>
        <v>-11950000</v>
      </c>
      <c r="P414" s="335">
        <f>N414/K414*100</f>
        <v>54.476190476190482</v>
      </c>
      <c r="Q414" s="449"/>
      <c r="R414" s="738"/>
    </row>
    <row r="415" spans="1:19" s="252" customFormat="1" ht="12.05" customHeight="1">
      <c r="A415" s="293"/>
      <c r="B415" s="292"/>
      <c r="C415" s="292"/>
      <c r="D415" s="292"/>
      <c r="E415" s="292"/>
      <c r="F415" s="292"/>
      <c r="G415" s="253" t="s">
        <v>50</v>
      </c>
      <c r="H415" s="253"/>
      <c r="I415" s="253" t="s">
        <v>505</v>
      </c>
      <c r="J415" s="374">
        <v>75000000</v>
      </c>
      <c r="K415" s="1194">
        <f>'[55]TARGET MURNI DAN PERUBAHAN'!$E$212</f>
        <v>75000000</v>
      </c>
      <c r="L415" s="360">
        <f>[56]PerDinas!$N$415</f>
        <v>7475000</v>
      </c>
      <c r="M415" s="375">
        <f>[55]Perdinas!$P$263</f>
        <v>0</v>
      </c>
      <c r="N415" s="334">
        <f>M415+L415</f>
        <v>7475000</v>
      </c>
      <c r="O415" s="355">
        <f>N415-K415</f>
        <v>-67525000</v>
      </c>
      <c r="P415" s="388">
        <f>N415/K415*100</f>
        <v>9.9666666666666668</v>
      </c>
      <c r="Q415" s="448"/>
      <c r="R415" s="738"/>
    </row>
    <row r="416" spans="1:19" s="189" customFormat="1" ht="12.05" customHeight="1">
      <c r="A416" s="293"/>
      <c r="B416" s="292"/>
      <c r="C416" s="292"/>
      <c r="D416" s="292"/>
      <c r="E416" s="292"/>
      <c r="F416" s="292"/>
      <c r="G416" s="291"/>
      <c r="H416" s="291"/>
      <c r="I416" s="253"/>
      <c r="J416" s="387"/>
      <c r="K416" s="1257"/>
      <c r="L416" s="660"/>
      <c r="M416" s="346"/>
      <c r="N416" s="346"/>
      <c r="O416" s="355"/>
      <c r="P416" s="335"/>
      <c r="Q416" s="437"/>
      <c r="R416" s="554"/>
    </row>
    <row r="417" spans="1:18" s="189" customFormat="1" ht="12.05" customHeight="1">
      <c r="A417" s="303"/>
      <c r="B417" s="290">
        <v>4</v>
      </c>
      <c r="C417" s="290">
        <v>1</v>
      </c>
      <c r="D417" s="290">
        <v>4</v>
      </c>
      <c r="E417" s="290"/>
      <c r="F417" s="290"/>
      <c r="G417" s="291" t="s">
        <v>71</v>
      </c>
      <c r="H417" s="291"/>
      <c r="I417" s="291"/>
      <c r="J417" s="392" t="e">
        <f>J418+#REF!+#REF!+#REF!</f>
        <v>#REF!</v>
      </c>
      <c r="K417" s="393">
        <f>SUM(K418:K422)</f>
        <v>0</v>
      </c>
      <c r="L417" s="393">
        <f>SUM(L418:L422)</f>
        <v>42508197</v>
      </c>
      <c r="M417" s="393">
        <f>SUM(M418:M422)</f>
        <v>24487097</v>
      </c>
      <c r="N417" s="393">
        <f t="shared" ref="N417:N422" si="65">M417+L417</f>
        <v>66995294</v>
      </c>
      <c r="O417" s="349">
        <f t="shared" ref="O417:O422" si="66">N417-K417</f>
        <v>66995294</v>
      </c>
      <c r="P417" s="350" t="e">
        <f>N417/K417*100</f>
        <v>#DIV/0!</v>
      </c>
      <c r="Q417" s="444"/>
      <c r="R417" s="554"/>
    </row>
    <row r="418" spans="1:18" s="190" customFormat="1" ht="12.05" customHeight="1">
      <c r="A418" s="303"/>
      <c r="B418" s="292">
        <v>4</v>
      </c>
      <c r="C418" s="292">
        <v>1</v>
      </c>
      <c r="D418" s="292">
        <v>4</v>
      </c>
      <c r="E418" s="292" t="s">
        <v>441</v>
      </c>
      <c r="F418" s="292" t="s">
        <v>437</v>
      </c>
      <c r="G418" s="253" t="s">
        <v>324</v>
      </c>
      <c r="H418" s="291"/>
      <c r="I418" s="291"/>
      <c r="J418" s="678">
        <f>SUM(J419:J422)</f>
        <v>221267550</v>
      </c>
      <c r="K418" s="815">
        <v>0</v>
      </c>
      <c r="L418" s="816">
        <f>[56]PerDinas!$N$418</f>
        <v>0</v>
      </c>
      <c r="M418" s="815">
        <f>[55]Perdinas!$P$266</f>
        <v>0</v>
      </c>
      <c r="N418" s="815">
        <f t="shared" si="65"/>
        <v>0</v>
      </c>
      <c r="O418" s="534">
        <f t="shared" si="66"/>
        <v>0</v>
      </c>
      <c r="P418" s="535" t="e">
        <f>N418/K418*100</f>
        <v>#DIV/0!</v>
      </c>
      <c r="Q418" s="823"/>
      <c r="R418" s="554"/>
    </row>
    <row r="419" spans="1:18" s="189" customFormat="1" ht="12.05" customHeight="1">
      <c r="A419" s="303"/>
      <c r="B419" s="292">
        <v>4</v>
      </c>
      <c r="C419" s="292">
        <v>1</v>
      </c>
      <c r="D419" s="292">
        <v>4</v>
      </c>
      <c r="E419" s="292" t="s">
        <v>444</v>
      </c>
      <c r="F419" s="292" t="s">
        <v>440</v>
      </c>
      <c r="G419" s="253" t="s">
        <v>73</v>
      </c>
      <c r="H419" s="253"/>
      <c r="I419" s="253"/>
      <c r="J419" s="708">
        <v>120000000</v>
      </c>
      <c r="K419" s="334">
        <v>0</v>
      </c>
      <c r="L419" s="357">
        <f>[56]PerDinas!$N$419</f>
        <v>0</v>
      </c>
      <c r="M419" s="334">
        <f>[55]Perdinas!$P$267</f>
        <v>0</v>
      </c>
      <c r="N419" s="334">
        <f t="shared" si="65"/>
        <v>0</v>
      </c>
      <c r="O419" s="334">
        <f t="shared" si="66"/>
        <v>0</v>
      </c>
      <c r="P419" s="335" t="e">
        <f>N419/K419*100</f>
        <v>#DIV/0!</v>
      </c>
      <c r="Q419" s="732"/>
      <c r="R419" s="554"/>
    </row>
    <row r="420" spans="1:18" s="189" customFormat="1" ht="12.05" customHeight="1">
      <c r="A420" s="303"/>
      <c r="B420" s="292">
        <v>4</v>
      </c>
      <c r="C420" s="292">
        <v>1</v>
      </c>
      <c r="D420" s="292">
        <v>4</v>
      </c>
      <c r="E420" s="292" t="s">
        <v>444</v>
      </c>
      <c r="F420" s="292" t="s">
        <v>445</v>
      </c>
      <c r="G420" s="253" t="s">
        <v>74</v>
      </c>
      <c r="H420" s="253"/>
      <c r="I420" s="253"/>
      <c r="J420" s="708">
        <v>101267550</v>
      </c>
      <c r="K420" s="375">
        <v>0</v>
      </c>
      <c r="L420" s="355">
        <v>0</v>
      </c>
      <c r="M420" s="334">
        <f>[55]Perdinas!$P$268</f>
        <v>0</v>
      </c>
      <c r="N420" s="355">
        <f t="shared" si="65"/>
        <v>0</v>
      </c>
      <c r="O420" s="355">
        <f t="shared" si="66"/>
        <v>0</v>
      </c>
      <c r="P420" s="388">
        <v>0</v>
      </c>
      <c r="Q420" s="732"/>
      <c r="R420" s="554"/>
    </row>
    <row r="421" spans="1:18" s="189" customFormat="1" ht="12.05" customHeight="1">
      <c r="A421" s="303"/>
      <c r="B421" s="292">
        <v>4</v>
      </c>
      <c r="C421" s="292">
        <v>1</v>
      </c>
      <c r="D421" s="292">
        <v>4</v>
      </c>
      <c r="E421" s="292" t="s">
        <v>444</v>
      </c>
      <c r="F421" s="292" t="s">
        <v>441</v>
      </c>
      <c r="G421" s="253" t="s">
        <v>75</v>
      </c>
      <c r="H421" s="253"/>
      <c r="I421" s="253"/>
      <c r="J421" s="374">
        <v>0</v>
      </c>
      <c r="K421" s="375">
        <v>0</v>
      </c>
      <c r="L421" s="355">
        <f>[56]PerDinas!$N$421</f>
        <v>42508197</v>
      </c>
      <c r="M421" s="334">
        <f>[55]Perdinas!$P$269</f>
        <v>24487097</v>
      </c>
      <c r="N421" s="355">
        <f t="shared" si="65"/>
        <v>66995294</v>
      </c>
      <c r="O421" s="355">
        <f t="shared" si="66"/>
        <v>66995294</v>
      </c>
      <c r="P421" s="388">
        <v>0</v>
      </c>
      <c r="Q421" s="448"/>
      <c r="R421" s="554"/>
    </row>
    <row r="422" spans="1:18" s="189" customFormat="1" ht="12.05" customHeight="1">
      <c r="A422" s="303"/>
      <c r="B422" s="292">
        <v>4</v>
      </c>
      <c r="C422" s="292">
        <v>1</v>
      </c>
      <c r="D422" s="292">
        <v>4</v>
      </c>
      <c r="E422" s="292" t="s">
        <v>948</v>
      </c>
      <c r="F422" s="292" t="s">
        <v>437</v>
      </c>
      <c r="G422" s="253" t="s">
        <v>321</v>
      </c>
      <c r="H422" s="253"/>
      <c r="I422" s="253"/>
      <c r="J422" s="679">
        <v>0</v>
      </c>
      <c r="K422" s="691">
        <v>0</v>
      </c>
      <c r="L422" s="355">
        <v>0</v>
      </c>
      <c r="M422" s="334">
        <f>[55]Perdinas!$P$270</f>
        <v>0</v>
      </c>
      <c r="N422" s="352">
        <f t="shared" si="65"/>
        <v>0</v>
      </c>
      <c r="O422" s="352">
        <f t="shared" si="66"/>
        <v>0</v>
      </c>
      <c r="P422" s="388">
        <v>0</v>
      </c>
      <c r="Q422" s="449"/>
      <c r="R422" s="554"/>
    </row>
    <row r="423" spans="1:18" s="189" customFormat="1" ht="12.05" customHeight="1">
      <c r="A423" s="465"/>
      <c r="B423" s="296"/>
      <c r="C423" s="296"/>
      <c r="D423" s="296"/>
      <c r="E423" s="296"/>
      <c r="F423" s="296"/>
      <c r="G423" s="1250"/>
      <c r="H423" s="5893"/>
      <c r="I423" s="5894"/>
      <c r="J423" s="679">
        <v>0</v>
      </c>
      <c r="K423" s="691"/>
      <c r="L423" s="1258"/>
      <c r="M423" s="691"/>
      <c r="N423" s="352"/>
      <c r="O423" s="352"/>
      <c r="P423" s="353"/>
      <c r="Q423" s="449"/>
      <c r="R423" s="422"/>
    </row>
    <row r="424" spans="1:18" s="189" customFormat="1" ht="12.05" customHeight="1">
      <c r="A424" s="1251"/>
      <c r="B424" s="1252" t="s">
        <v>58</v>
      </c>
      <c r="C424" s="1252" t="s">
        <v>849</v>
      </c>
      <c r="D424" s="1252" t="s">
        <v>440</v>
      </c>
      <c r="E424" s="1252" t="s">
        <v>438</v>
      </c>
      <c r="F424" s="1253"/>
      <c r="G424" s="1254" t="s">
        <v>1037</v>
      </c>
      <c r="H424" s="1255"/>
      <c r="I424" s="1254"/>
      <c r="J424" s="1259">
        <f>+J426</f>
        <v>500000</v>
      </c>
      <c r="K424" s="1260">
        <f>+K426</f>
        <v>0</v>
      </c>
      <c r="L424" s="1260">
        <f>+L426</f>
        <v>0</v>
      </c>
      <c r="M424" s="1260">
        <f>+M426</f>
        <v>0</v>
      </c>
      <c r="N424" s="1260">
        <f>+M424+L424</f>
        <v>0</v>
      </c>
      <c r="O424" s="1260">
        <f>N424-K424</f>
        <v>0</v>
      </c>
      <c r="P424" s="1261" t="e">
        <f>N424/K424*100</f>
        <v>#DIV/0!</v>
      </c>
      <c r="Q424" s="1262"/>
      <c r="R424" s="422"/>
    </row>
    <row r="425" spans="1:18" s="189" customFormat="1" ht="12.05" customHeight="1">
      <c r="A425" s="471"/>
      <c r="B425" s="287"/>
      <c r="C425" s="287"/>
      <c r="D425" s="287"/>
      <c r="E425" s="287"/>
      <c r="F425" s="287"/>
      <c r="G425" s="410"/>
      <c r="H425" s="410"/>
      <c r="I425" s="410"/>
      <c r="J425" s="342"/>
      <c r="K425" s="343"/>
      <c r="L425" s="343"/>
      <c r="M425" s="343"/>
      <c r="N425" s="492"/>
      <c r="O425" s="492"/>
      <c r="P425" s="487"/>
      <c r="Q425" s="437"/>
      <c r="R425" s="422"/>
    </row>
    <row r="426" spans="1:18" s="189" customFormat="1" ht="12.05" customHeight="1">
      <c r="A426" s="293"/>
      <c r="B426" s="290">
        <v>4</v>
      </c>
      <c r="C426" s="290">
        <v>1</v>
      </c>
      <c r="D426" s="290"/>
      <c r="E426" s="290"/>
      <c r="F426" s="290"/>
      <c r="G426" s="291" t="s">
        <v>180</v>
      </c>
      <c r="H426" s="291"/>
      <c r="I426" s="291"/>
      <c r="J426" s="518">
        <f>J428</f>
        <v>500000</v>
      </c>
      <c r="K426" s="519">
        <f>K428</f>
        <v>0</v>
      </c>
      <c r="L426" s="519">
        <f>L428+L497</f>
        <v>0</v>
      </c>
      <c r="M426" s="519">
        <f>M428+M497</f>
        <v>0</v>
      </c>
      <c r="N426" s="519">
        <f>N428+N497</f>
        <v>0</v>
      </c>
      <c r="O426" s="343">
        <f>N426-K426</f>
        <v>0</v>
      </c>
      <c r="P426" s="344" t="e">
        <f>N426/K426*100</f>
        <v>#DIV/0!</v>
      </c>
      <c r="Q426" s="559"/>
      <c r="R426" s="422"/>
    </row>
    <row r="427" spans="1:18" s="189" customFormat="1" ht="12.05" customHeight="1">
      <c r="A427" s="293"/>
      <c r="B427" s="292"/>
      <c r="C427" s="292"/>
      <c r="D427" s="292"/>
      <c r="E427" s="292"/>
      <c r="F427" s="292"/>
      <c r="G427" s="253"/>
      <c r="H427" s="253"/>
      <c r="I427" s="253"/>
      <c r="J427" s="354"/>
      <c r="K427" s="355"/>
      <c r="L427" s="355"/>
      <c r="M427" s="355"/>
      <c r="N427" s="355"/>
      <c r="O427" s="355"/>
      <c r="P427" s="199"/>
      <c r="Q427" s="824"/>
      <c r="R427" s="422"/>
    </row>
    <row r="428" spans="1:18" s="189" customFormat="1" ht="12.05" customHeight="1">
      <c r="A428" s="293"/>
      <c r="B428" s="290">
        <v>4</v>
      </c>
      <c r="C428" s="290">
        <v>1</v>
      </c>
      <c r="D428" s="290">
        <v>4</v>
      </c>
      <c r="E428" s="290"/>
      <c r="F428" s="290"/>
      <c r="G428" s="291" t="s">
        <v>71</v>
      </c>
      <c r="H428" s="291"/>
      <c r="I428" s="291"/>
      <c r="J428" s="397">
        <f>J429+J434</f>
        <v>500000</v>
      </c>
      <c r="K428" s="398">
        <f>K429+K434</f>
        <v>0</v>
      </c>
      <c r="L428" s="398">
        <f>L429+L434</f>
        <v>0</v>
      </c>
      <c r="M428" s="398">
        <f>M429+M434</f>
        <v>0</v>
      </c>
      <c r="N428" s="398">
        <f>N429+N434</f>
        <v>0</v>
      </c>
      <c r="O428" s="367">
        <f>N428-K428</f>
        <v>0</v>
      </c>
      <c r="P428" s="347" t="e">
        <f>N428/K428*100</f>
        <v>#DIV/0!</v>
      </c>
      <c r="Q428" s="699"/>
      <c r="R428" s="422"/>
    </row>
    <row r="429" spans="1:18" s="189" customFormat="1" ht="12.05" customHeight="1">
      <c r="A429" s="293"/>
      <c r="B429" s="292">
        <v>4</v>
      </c>
      <c r="C429" s="292">
        <v>1</v>
      </c>
      <c r="D429" s="292">
        <v>4</v>
      </c>
      <c r="E429" s="292" t="s">
        <v>444</v>
      </c>
      <c r="F429" s="292"/>
      <c r="G429" s="253" t="s">
        <v>222</v>
      </c>
      <c r="H429" s="253"/>
      <c r="I429" s="253"/>
      <c r="J429" s="484">
        <v>0</v>
      </c>
      <c r="K429" s="485">
        <v>0</v>
      </c>
      <c r="L429" s="485">
        <f>SUM(L430:L432)</f>
        <v>0</v>
      </c>
      <c r="M429" s="485">
        <f>SUM(M430:M432)</f>
        <v>0</v>
      </c>
      <c r="N429" s="485">
        <f>SUM(N430:N432)</f>
        <v>0</v>
      </c>
      <c r="O429" s="485"/>
      <c r="P429" s="597"/>
      <c r="Q429" s="541"/>
      <c r="R429" s="422"/>
    </row>
    <row r="430" spans="1:18" s="189" customFormat="1" ht="12.05" customHeight="1">
      <c r="A430" s="293"/>
      <c r="B430" s="292">
        <v>4</v>
      </c>
      <c r="C430" s="292">
        <v>1</v>
      </c>
      <c r="D430" s="292">
        <v>4</v>
      </c>
      <c r="E430" s="292" t="s">
        <v>444</v>
      </c>
      <c r="F430" s="292" t="s">
        <v>440</v>
      </c>
      <c r="G430" s="253" t="s">
        <v>73</v>
      </c>
      <c r="H430" s="253"/>
      <c r="I430" s="253"/>
      <c r="J430" s="354">
        <v>0</v>
      </c>
      <c r="K430" s="355">
        <v>0</v>
      </c>
      <c r="L430" s="355">
        <v>0</v>
      </c>
      <c r="M430" s="355">
        <v>0</v>
      </c>
      <c r="N430" s="355">
        <f>M430+L430</f>
        <v>0</v>
      </c>
      <c r="O430" s="355">
        <f>N430-K430</f>
        <v>0</v>
      </c>
      <c r="P430" s="388"/>
      <c r="Q430" s="441"/>
      <c r="R430" s="422"/>
    </row>
    <row r="431" spans="1:18" s="189" customFormat="1" ht="12.05" customHeight="1">
      <c r="A431" s="293"/>
      <c r="B431" s="292">
        <v>4</v>
      </c>
      <c r="C431" s="292">
        <v>1</v>
      </c>
      <c r="D431" s="292">
        <v>4</v>
      </c>
      <c r="E431" s="292" t="s">
        <v>444</v>
      </c>
      <c r="F431" s="292" t="s">
        <v>445</v>
      </c>
      <c r="G431" s="253" t="s">
        <v>74</v>
      </c>
      <c r="H431" s="253"/>
      <c r="I431" s="253"/>
      <c r="J431" s="354">
        <v>0</v>
      </c>
      <c r="K431" s="355">
        <v>0</v>
      </c>
      <c r="L431" s="355">
        <v>0</v>
      </c>
      <c r="M431" s="355">
        <v>0</v>
      </c>
      <c r="N431" s="355">
        <f>M431+L431</f>
        <v>0</v>
      </c>
      <c r="O431" s="355">
        <f>N431-K431</f>
        <v>0</v>
      </c>
      <c r="P431" s="388"/>
      <c r="Q431" s="441"/>
      <c r="R431" s="422"/>
    </row>
    <row r="432" spans="1:18" s="189" customFormat="1" ht="12.05" customHeight="1">
      <c r="A432" s="293"/>
      <c r="B432" s="292">
        <v>4</v>
      </c>
      <c r="C432" s="292">
        <v>1</v>
      </c>
      <c r="D432" s="292">
        <v>4</v>
      </c>
      <c r="E432" s="292" t="s">
        <v>444</v>
      </c>
      <c r="F432" s="292" t="s">
        <v>441</v>
      </c>
      <c r="G432" s="253" t="s">
        <v>75</v>
      </c>
      <c r="H432" s="253"/>
      <c r="I432" s="253"/>
      <c r="J432" s="374">
        <v>0</v>
      </c>
      <c r="K432" s="375">
        <v>0</v>
      </c>
      <c r="L432" s="375">
        <v>0</v>
      </c>
      <c r="M432" s="375">
        <v>0</v>
      </c>
      <c r="N432" s="355">
        <f>M432+L432</f>
        <v>0</v>
      </c>
      <c r="O432" s="355">
        <f>N432-K432</f>
        <v>0</v>
      </c>
      <c r="P432" s="388"/>
      <c r="Q432" s="548"/>
      <c r="R432" s="422"/>
    </row>
    <row r="433" spans="1:18" s="189" customFormat="1" ht="12.05" customHeight="1">
      <c r="A433" s="293"/>
      <c r="B433" s="292"/>
      <c r="C433" s="292"/>
      <c r="D433" s="292"/>
      <c r="E433" s="292"/>
      <c r="F433" s="292"/>
      <c r="G433" s="253"/>
      <c r="H433" s="253"/>
      <c r="I433" s="253"/>
      <c r="J433" s="494"/>
      <c r="K433" s="495"/>
      <c r="L433" s="495"/>
      <c r="M433" s="495"/>
      <c r="N433" s="334"/>
      <c r="O433" s="334"/>
      <c r="P433" s="335"/>
      <c r="Q433" s="548"/>
      <c r="R433" s="422"/>
    </row>
    <row r="434" spans="1:18" s="189" customFormat="1" ht="12.05" customHeight="1">
      <c r="A434" s="293"/>
      <c r="B434" s="292" t="s">
        <v>443</v>
      </c>
      <c r="C434" s="292" t="s">
        <v>58</v>
      </c>
      <c r="D434" s="292" t="s">
        <v>443</v>
      </c>
      <c r="E434" s="292" t="s">
        <v>948</v>
      </c>
      <c r="F434" s="292"/>
      <c r="G434" s="253" t="s">
        <v>981</v>
      </c>
      <c r="H434" s="253"/>
      <c r="I434" s="253"/>
      <c r="J434" s="526">
        <f>J435</f>
        <v>500000</v>
      </c>
      <c r="K434" s="527">
        <f>K435</f>
        <v>0</v>
      </c>
      <c r="L434" s="527">
        <f>SUM(L435:L435)</f>
        <v>0</v>
      </c>
      <c r="M434" s="527">
        <f>SUM(M435:M435)</f>
        <v>0</v>
      </c>
      <c r="N434" s="527">
        <f>M434+L434</f>
        <v>0</v>
      </c>
      <c r="O434" s="527">
        <f>N434-K434</f>
        <v>0</v>
      </c>
      <c r="P434" s="671">
        <v>0</v>
      </c>
      <c r="Q434" s="548"/>
      <c r="R434" s="422"/>
    </row>
    <row r="435" spans="1:18" s="189" customFormat="1" ht="12.05" customHeight="1">
      <c r="A435" s="1167"/>
      <c r="B435" s="296" t="s">
        <v>443</v>
      </c>
      <c r="C435" s="296" t="s">
        <v>58</v>
      </c>
      <c r="D435" s="296" t="s">
        <v>443</v>
      </c>
      <c r="E435" s="296" t="s">
        <v>948</v>
      </c>
      <c r="F435" s="296" t="s">
        <v>437</v>
      </c>
      <c r="G435" s="297" t="s">
        <v>50</v>
      </c>
      <c r="H435" s="297"/>
      <c r="I435" s="297" t="s">
        <v>85</v>
      </c>
      <c r="J435" s="333">
        <v>500000</v>
      </c>
      <c r="K435" s="334">
        <v>0</v>
      </c>
      <c r="L435" s="334">
        <v>0</v>
      </c>
      <c r="M435" s="334">
        <v>0</v>
      </c>
      <c r="N435" s="334">
        <f>M435+L435</f>
        <v>0</v>
      </c>
      <c r="O435" s="334">
        <f>N435-K435</f>
        <v>0</v>
      </c>
      <c r="P435" s="335">
        <v>0</v>
      </c>
      <c r="Q435" s="548"/>
      <c r="R435" s="422"/>
    </row>
    <row r="436" spans="1:18" s="189" customFormat="1" ht="12.05" customHeight="1">
      <c r="A436" s="1256"/>
      <c r="B436" s="1252" t="s">
        <v>58</v>
      </c>
      <c r="C436" s="1252" t="s">
        <v>849</v>
      </c>
      <c r="D436" s="1252" t="s">
        <v>440</v>
      </c>
      <c r="E436" s="1252" t="s">
        <v>438</v>
      </c>
      <c r="F436" s="1253"/>
      <c r="G436" s="1255" t="s">
        <v>163</v>
      </c>
      <c r="H436" s="1255"/>
      <c r="I436" s="1254" t="s">
        <v>1037</v>
      </c>
      <c r="J436" s="1259">
        <f>+J438</f>
        <v>4000000</v>
      </c>
      <c r="K436" s="1260">
        <f>+K438</f>
        <v>0</v>
      </c>
      <c r="L436" s="1260">
        <f>+L438</f>
        <v>0</v>
      </c>
      <c r="M436" s="1260">
        <f>+M438</f>
        <v>0</v>
      </c>
      <c r="N436" s="1260">
        <f>+M436+L436</f>
        <v>0</v>
      </c>
      <c r="O436" s="1260">
        <f>N436-K436</f>
        <v>0</v>
      </c>
      <c r="P436" s="1261" t="e">
        <f>N436/K436*100</f>
        <v>#DIV/0!</v>
      </c>
      <c r="Q436" s="1262"/>
      <c r="R436" s="422"/>
    </row>
    <row r="437" spans="1:18" s="189" customFormat="1" ht="12.05" customHeight="1">
      <c r="A437" s="706"/>
      <c r="B437" s="287"/>
      <c r="C437" s="287"/>
      <c r="D437" s="287"/>
      <c r="E437" s="287"/>
      <c r="F437" s="287"/>
      <c r="G437" s="410"/>
      <c r="H437" s="410"/>
      <c r="I437" s="410"/>
      <c r="J437" s="342"/>
      <c r="K437" s="343"/>
      <c r="L437" s="343"/>
      <c r="M437" s="343"/>
      <c r="N437" s="492"/>
      <c r="O437" s="492"/>
      <c r="P437" s="487"/>
      <c r="Q437" s="437"/>
      <c r="R437" s="422"/>
    </row>
    <row r="438" spans="1:18" s="189" customFormat="1" ht="12.05" customHeight="1">
      <c r="A438" s="303"/>
      <c r="B438" s="290">
        <v>4</v>
      </c>
      <c r="C438" s="290">
        <v>1</v>
      </c>
      <c r="D438" s="290"/>
      <c r="E438" s="290"/>
      <c r="F438" s="290"/>
      <c r="G438" s="291" t="s">
        <v>180</v>
      </c>
      <c r="H438" s="291"/>
      <c r="I438" s="291"/>
      <c r="J438" s="518">
        <f>J439</f>
        <v>4000000</v>
      </c>
      <c r="K438" s="519">
        <f>K439</f>
        <v>0</v>
      </c>
      <c r="L438" s="519">
        <f>L439</f>
        <v>0</v>
      </c>
      <c r="M438" s="519">
        <f>M439</f>
        <v>0</v>
      </c>
      <c r="N438" s="519">
        <f>N439</f>
        <v>0</v>
      </c>
      <c r="O438" s="343">
        <f t="shared" ref="O438:O443" si="67">N438-K438</f>
        <v>0</v>
      </c>
      <c r="P438" s="344" t="e">
        <f>N438/K438*100</f>
        <v>#DIV/0!</v>
      </c>
      <c r="Q438" s="559"/>
      <c r="R438" s="422"/>
    </row>
    <row r="439" spans="1:18" s="189" customFormat="1" ht="12.05" customHeight="1">
      <c r="A439" s="303"/>
      <c r="B439" s="290">
        <v>4</v>
      </c>
      <c r="C439" s="290">
        <v>1</v>
      </c>
      <c r="D439" s="290">
        <v>4</v>
      </c>
      <c r="E439" s="290"/>
      <c r="F439" s="290"/>
      <c r="G439" s="291" t="s">
        <v>71</v>
      </c>
      <c r="H439" s="291"/>
      <c r="I439" s="291"/>
      <c r="J439" s="397">
        <f>J440+J445</f>
        <v>4000000</v>
      </c>
      <c r="K439" s="398">
        <f>K440+K445</f>
        <v>0</v>
      </c>
      <c r="L439" s="398">
        <f>L440+L445</f>
        <v>0</v>
      </c>
      <c r="M439" s="398">
        <f>M440+M445</f>
        <v>0</v>
      </c>
      <c r="N439" s="398">
        <f>N440+N445</f>
        <v>0</v>
      </c>
      <c r="O439" s="367">
        <f t="shared" si="67"/>
        <v>0</v>
      </c>
      <c r="P439" s="347" t="e">
        <f>N439/K439*100</f>
        <v>#DIV/0!</v>
      </c>
      <c r="Q439" s="699"/>
      <c r="R439" s="422"/>
    </row>
    <row r="440" spans="1:18" s="189" customFormat="1" ht="12.05" customHeight="1">
      <c r="A440" s="303"/>
      <c r="B440" s="292">
        <v>4</v>
      </c>
      <c r="C440" s="292">
        <v>1</v>
      </c>
      <c r="D440" s="292">
        <v>4</v>
      </c>
      <c r="E440" s="292" t="s">
        <v>444</v>
      </c>
      <c r="F440" s="292"/>
      <c r="G440" s="253" t="s">
        <v>222</v>
      </c>
      <c r="H440" s="253"/>
      <c r="I440" s="253"/>
      <c r="J440" s="484">
        <v>0</v>
      </c>
      <c r="K440" s="485">
        <v>0</v>
      </c>
      <c r="L440" s="485">
        <f>SUM(L441:L443)</f>
        <v>0</v>
      </c>
      <c r="M440" s="485">
        <f>SUM(M441:M443)</f>
        <v>0</v>
      </c>
      <c r="N440" s="485">
        <f>SUM(N441:N443)</f>
        <v>0</v>
      </c>
      <c r="O440" s="485"/>
      <c r="P440" s="597"/>
      <c r="Q440" s="541"/>
      <c r="R440" s="422"/>
    </row>
    <row r="441" spans="1:18" s="189" customFormat="1" ht="12.05" customHeight="1">
      <c r="A441" s="303"/>
      <c r="B441" s="292">
        <v>4</v>
      </c>
      <c r="C441" s="292">
        <v>1</v>
      </c>
      <c r="D441" s="292">
        <v>4</v>
      </c>
      <c r="E441" s="292" t="s">
        <v>444</v>
      </c>
      <c r="F441" s="292" t="s">
        <v>440</v>
      </c>
      <c r="G441" s="253" t="s">
        <v>73</v>
      </c>
      <c r="H441" s="253"/>
      <c r="I441" s="253"/>
      <c r="J441" s="354">
        <v>0</v>
      </c>
      <c r="K441" s="355">
        <v>0</v>
      </c>
      <c r="L441" s="355">
        <v>0</v>
      </c>
      <c r="M441" s="355">
        <v>0</v>
      </c>
      <c r="N441" s="355">
        <f>M441+L441</f>
        <v>0</v>
      </c>
      <c r="O441" s="355">
        <f t="shared" si="67"/>
        <v>0</v>
      </c>
      <c r="P441" s="388"/>
      <c r="Q441" s="441"/>
      <c r="R441" s="422"/>
    </row>
    <row r="442" spans="1:18" s="189" customFormat="1" ht="12.05" customHeight="1">
      <c r="A442" s="303"/>
      <c r="B442" s="292">
        <v>4</v>
      </c>
      <c r="C442" s="292">
        <v>1</v>
      </c>
      <c r="D442" s="292">
        <v>4</v>
      </c>
      <c r="E442" s="292" t="s">
        <v>444</v>
      </c>
      <c r="F442" s="292" t="s">
        <v>445</v>
      </c>
      <c r="G442" s="253" t="s">
        <v>74</v>
      </c>
      <c r="H442" s="253"/>
      <c r="I442" s="253"/>
      <c r="J442" s="354">
        <v>0</v>
      </c>
      <c r="K442" s="355">
        <v>0</v>
      </c>
      <c r="L442" s="355">
        <v>0</v>
      </c>
      <c r="M442" s="355">
        <v>0</v>
      </c>
      <c r="N442" s="355">
        <f>M442+L442</f>
        <v>0</v>
      </c>
      <c r="O442" s="355">
        <f t="shared" si="67"/>
        <v>0</v>
      </c>
      <c r="P442" s="388"/>
      <c r="Q442" s="441"/>
      <c r="R442" s="422"/>
    </row>
    <row r="443" spans="1:18" s="189" customFormat="1" ht="12.05" customHeight="1">
      <c r="A443" s="303"/>
      <c r="B443" s="292">
        <v>4</v>
      </c>
      <c r="C443" s="292">
        <v>1</v>
      </c>
      <c r="D443" s="292">
        <v>4</v>
      </c>
      <c r="E443" s="292" t="s">
        <v>444</v>
      </c>
      <c r="F443" s="292" t="s">
        <v>441</v>
      </c>
      <c r="G443" s="253" t="s">
        <v>75</v>
      </c>
      <c r="H443" s="253"/>
      <c r="I443" s="253"/>
      <c r="J443" s="374">
        <v>0</v>
      </c>
      <c r="K443" s="375">
        <v>0</v>
      </c>
      <c r="L443" s="375">
        <v>0</v>
      </c>
      <c r="M443" s="375">
        <v>0</v>
      </c>
      <c r="N443" s="355">
        <f>M443+L443</f>
        <v>0</v>
      </c>
      <c r="O443" s="355">
        <f t="shared" si="67"/>
        <v>0</v>
      </c>
      <c r="P443" s="388"/>
      <c r="Q443" s="548"/>
      <c r="R443" s="422"/>
    </row>
    <row r="444" spans="1:18" s="189" customFormat="1" ht="12.05" customHeight="1">
      <c r="A444" s="303"/>
      <c r="B444" s="292"/>
      <c r="C444" s="292"/>
      <c r="D444" s="292"/>
      <c r="E444" s="292"/>
      <c r="F444" s="292"/>
      <c r="G444" s="253"/>
      <c r="H444" s="253"/>
      <c r="I444" s="253"/>
      <c r="J444" s="494"/>
      <c r="K444" s="495"/>
      <c r="L444" s="495"/>
      <c r="M444" s="495"/>
      <c r="N444" s="334"/>
      <c r="O444" s="334"/>
      <c r="P444" s="335"/>
      <c r="Q444" s="548"/>
      <c r="R444" s="422"/>
    </row>
    <row r="445" spans="1:18" s="189" customFormat="1" ht="12.05" customHeight="1">
      <c r="A445" s="303"/>
      <c r="B445" s="292" t="s">
        <v>443</v>
      </c>
      <c r="C445" s="292" t="s">
        <v>58</v>
      </c>
      <c r="D445" s="292" t="s">
        <v>443</v>
      </c>
      <c r="E445" s="292" t="s">
        <v>948</v>
      </c>
      <c r="F445" s="292"/>
      <c r="G445" s="253" t="s">
        <v>981</v>
      </c>
      <c r="H445" s="253"/>
      <c r="I445" s="253"/>
      <c r="J445" s="526">
        <f>J446</f>
        <v>4000000</v>
      </c>
      <c r="K445" s="527">
        <f>K446</f>
        <v>0</v>
      </c>
      <c r="L445" s="527">
        <f>SUM(L446:L446)</f>
        <v>0</v>
      </c>
      <c r="M445" s="527">
        <f>SUM(M446:M446)</f>
        <v>0</v>
      </c>
      <c r="N445" s="527">
        <f>M445+L445</f>
        <v>0</v>
      </c>
      <c r="O445" s="527">
        <f>N445-K445</f>
        <v>0</v>
      </c>
      <c r="P445" s="671">
        <v>0</v>
      </c>
      <c r="Q445" s="548"/>
      <c r="R445" s="422"/>
    </row>
    <row r="446" spans="1:18" s="189" customFormat="1" ht="12.05" customHeight="1">
      <c r="A446" s="1167"/>
      <c r="B446" s="296" t="s">
        <v>443</v>
      </c>
      <c r="C446" s="296" t="s">
        <v>58</v>
      </c>
      <c r="D446" s="296" t="s">
        <v>443</v>
      </c>
      <c r="E446" s="296" t="s">
        <v>948</v>
      </c>
      <c r="F446" s="296" t="s">
        <v>437</v>
      </c>
      <c r="G446" s="297" t="s">
        <v>50</v>
      </c>
      <c r="H446" s="297"/>
      <c r="I446" s="297" t="s">
        <v>85</v>
      </c>
      <c r="J446" s="333">
        <v>4000000</v>
      </c>
      <c r="K446" s="334">
        <f>'[55]TARGET MURNI DAN PERUBAHAN'!$E$266</f>
        <v>0</v>
      </c>
      <c r="L446" s="356">
        <v>0</v>
      </c>
      <c r="M446" s="334">
        <v>0</v>
      </c>
      <c r="N446" s="334">
        <f>M446+L446</f>
        <v>0</v>
      </c>
      <c r="O446" s="334">
        <f>N446-K446</f>
        <v>0</v>
      </c>
      <c r="P446" s="335">
        <v>0</v>
      </c>
      <c r="Q446" s="548"/>
      <c r="R446" s="422"/>
    </row>
    <row r="447" spans="1:18" s="189" customFormat="1" ht="14.1" customHeight="1">
      <c r="A447" s="1256"/>
      <c r="B447" s="1252" t="s">
        <v>58</v>
      </c>
      <c r="C447" s="1252" t="s">
        <v>849</v>
      </c>
      <c r="D447" s="1252" t="s">
        <v>440</v>
      </c>
      <c r="E447" s="1252" t="s">
        <v>438</v>
      </c>
      <c r="F447" s="1253"/>
      <c r="G447" s="1255" t="s">
        <v>165</v>
      </c>
      <c r="H447" s="1255"/>
      <c r="I447" s="1254" t="s">
        <v>1038</v>
      </c>
      <c r="J447" s="1259">
        <f>J448</f>
        <v>450000</v>
      </c>
      <c r="K447" s="1260">
        <f>K448</f>
        <v>0</v>
      </c>
      <c r="L447" s="1260">
        <f>+L449</f>
        <v>0</v>
      </c>
      <c r="M447" s="1260">
        <f>+M449</f>
        <v>0</v>
      </c>
      <c r="N447" s="1260">
        <f>+M447+L447</f>
        <v>0</v>
      </c>
      <c r="O447" s="1260">
        <f>N447-K447</f>
        <v>0</v>
      </c>
      <c r="P447" s="1261" t="e">
        <f>N447/K447*100</f>
        <v>#DIV/0!</v>
      </c>
      <c r="Q447" s="1262"/>
      <c r="R447" s="422"/>
    </row>
    <row r="448" spans="1:18" s="189" customFormat="1" ht="14.1" customHeight="1">
      <c r="A448" s="706"/>
      <c r="B448" s="707">
        <v>4</v>
      </c>
      <c r="C448" s="707">
        <v>1</v>
      </c>
      <c r="D448" s="707"/>
      <c r="E448" s="707"/>
      <c r="F448" s="707"/>
      <c r="G448" s="288" t="s">
        <v>180</v>
      </c>
      <c r="H448" s="288"/>
      <c r="I448" s="288"/>
      <c r="J448" s="342">
        <f>J449</f>
        <v>450000</v>
      </c>
      <c r="K448" s="343">
        <f>K449</f>
        <v>0</v>
      </c>
      <c r="L448" s="343">
        <f>L449</f>
        <v>0</v>
      </c>
      <c r="M448" s="343">
        <f>M449</f>
        <v>0</v>
      </c>
      <c r="N448" s="343">
        <f>N449</f>
        <v>0</v>
      </c>
      <c r="O448" s="386">
        <f>N448-K448</f>
        <v>0</v>
      </c>
      <c r="P448" s="344" t="e">
        <f>N448/K448*100</f>
        <v>#DIV/0!</v>
      </c>
      <c r="Q448" s="437"/>
      <c r="R448" s="422"/>
    </row>
    <row r="449" spans="1:18" s="189" customFormat="1" ht="14.1" customHeight="1">
      <c r="A449" s="303"/>
      <c r="B449" s="290">
        <v>4</v>
      </c>
      <c r="C449" s="290">
        <v>1</v>
      </c>
      <c r="D449" s="290">
        <v>4</v>
      </c>
      <c r="E449" s="290"/>
      <c r="F449" s="290"/>
      <c r="G449" s="291" t="s">
        <v>71</v>
      </c>
      <c r="H449" s="291"/>
      <c r="I449" s="291"/>
      <c r="J449" s="397">
        <f>J450+J455</f>
        <v>450000</v>
      </c>
      <c r="K449" s="398">
        <f>K450+K455</f>
        <v>0</v>
      </c>
      <c r="L449" s="398">
        <f>L450+L455</f>
        <v>0</v>
      </c>
      <c r="M449" s="398">
        <f>M450+M455</f>
        <v>0</v>
      </c>
      <c r="N449" s="398">
        <f>N450+N455</f>
        <v>0</v>
      </c>
      <c r="O449" s="367">
        <f>N449-K449</f>
        <v>0</v>
      </c>
      <c r="P449" s="347" t="e">
        <f>N449/K449*100</f>
        <v>#DIV/0!</v>
      </c>
      <c r="Q449" s="699"/>
      <c r="R449" s="422"/>
    </row>
    <row r="450" spans="1:18" s="189" customFormat="1" ht="14.1" customHeight="1">
      <c r="A450" s="303"/>
      <c r="B450" s="292">
        <v>4</v>
      </c>
      <c r="C450" s="292">
        <v>1</v>
      </c>
      <c r="D450" s="292">
        <v>4</v>
      </c>
      <c r="E450" s="292" t="s">
        <v>444</v>
      </c>
      <c r="F450" s="292"/>
      <c r="G450" s="253" t="s">
        <v>222</v>
      </c>
      <c r="H450" s="253"/>
      <c r="I450" s="253"/>
      <c r="J450" s="484">
        <v>0</v>
      </c>
      <c r="K450" s="485">
        <v>0</v>
      </c>
      <c r="L450" s="485">
        <f>SUM(L451:L453)</f>
        <v>0</v>
      </c>
      <c r="M450" s="485">
        <f>SUM(M451:M453)</f>
        <v>0</v>
      </c>
      <c r="N450" s="485">
        <f>SUM(N451:N453)</f>
        <v>0</v>
      </c>
      <c r="O450" s="485"/>
      <c r="P450" s="597"/>
      <c r="Q450" s="541"/>
      <c r="R450" s="422"/>
    </row>
    <row r="451" spans="1:18" s="189" customFormat="1" ht="14.1" customHeight="1">
      <c r="A451" s="303"/>
      <c r="B451" s="292">
        <v>4</v>
      </c>
      <c r="C451" s="292">
        <v>1</v>
      </c>
      <c r="D451" s="292">
        <v>4</v>
      </c>
      <c r="E451" s="292" t="s">
        <v>444</v>
      </c>
      <c r="F451" s="292" t="s">
        <v>440</v>
      </c>
      <c r="G451" s="253" t="s">
        <v>73</v>
      </c>
      <c r="H451" s="253"/>
      <c r="I451" s="253"/>
      <c r="J451" s="354">
        <v>0</v>
      </c>
      <c r="K451" s="355">
        <v>0</v>
      </c>
      <c r="L451" s="355">
        <v>0</v>
      </c>
      <c r="M451" s="355">
        <v>0</v>
      </c>
      <c r="N451" s="355">
        <f>M451+L451</f>
        <v>0</v>
      </c>
      <c r="O451" s="355">
        <f>N451-K451</f>
        <v>0</v>
      </c>
      <c r="P451" s="388"/>
      <c r="Q451" s="441"/>
      <c r="R451" s="422"/>
    </row>
    <row r="452" spans="1:18" s="189" customFormat="1" ht="14.1" customHeight="1">
      <c r="A452" s="303"/>
      <c r="B452" s="292">
        <v>4</v>
      </c>
      <c r="C452" s="292">
        <v>1</v>
      </c>
      <c r="D452" s="292">
        <v>4</v>
      </c>
      <c r="E452" s="292" t="s">
        <v>444</v>
      </c>
      <c r="F452" s="292" t="s">
        <v>445</v>
      </c>
      <c r="G452" s="253" t="s">
        <v>74</v>
      </c>
      <c r="H452" s="253"/>
      <c r="I452" s="253"/>
      <c r="J452" s="354">
        <v>0</v>
      </c>
      <c r="K452" s="355">
        <v>0</v>
      </c>
      <c r="L452" s="355">
        <v>0</v>
      </c>
      <c r="M452" s="355">
        <v>0</v>
      </c>
      <c r="N452" s="355">
        <f>M452+L452</f>
        <v>0</v>
      </c>
      <c r="O452" s="355">
        <f>N452-K452</f>
        <v>0</v>
      </c>
      <c r="P452" s="388"/>
      <c r="Q452" s="441"/>
      <c r="R452" s="422"/>
    </row>
    <row r="453" spans="1:18" s="189" customFormat="1" ht="14.1" customHeight="1">
      <c r="A453" s="303"/>
      <c r="B453" s="292">
        <v>4</v>
      </c>
      <c r="C453" s="292">
        <v>1</v>
      </c>
      <c r="D453" s="292">
        <v>4</v>
      </c>
      <c r="E453" s="292" t="s">
        <v>444</v>
      </c>
      <c r="F453" s="292" t="s">
        <v>441</v>
      </c>
      <c r="G453" s="253" t="s">
        <v>75</v>
      </c>
      <c r="H453" s="253"/>
      <c r="I453" s="253"/>
      <c r="J453" s="374">
        <v>0</v>
      </c>
      <c r="K453" s="375">
        <v>0</v>
      </c>
      <c r="L453" s="375"/>
      <c r="M453" s="375">
        <v>0</v>
      </c>
      <c r="N453" s="355">
        <f>M453+L453</f>
        <v>0</v>
      </c>
      <c r="O453" s="355">
        <f>N453-K453</f>
        <v>0</v>
      </c>
      <c r="P453" s="388"/>
      <c r="Q453" s="548"/>
      <c r="R453" s="422"/>
    </row>
    <row r="454" spans="1:18" s="189" customFormat="1" ht="7.55" customHeight="1">
      <c r="A454" s="303"/>
      <c r="B454" s="292"/>
      <c r="C454" s="292"/>
      <c r="D454" s="292"/>
      <c r="E454" s="292"/>
      <c r="F454" s="292"/>
      <c r="G454" s="253"/>
      <c r="H454" s="253"/>
      <c r="I454" s="253"/>
      <c r="J454" s="494"/>
      <c r="K454" s="495"/>
      <c r="L454" s="495"/>
      <c r="M454" s="495"/>
      <c r="N454" s="334"/>
      <c r="O454" s="334"/>
      <c r="P454" s="335"/>
      <c r="Q454" s="548"/>
      <c r="R454" s="422"/>
    </row>
    <row r="455" spans="1:18" s="189" customFormat="1" ht="14.1" customHeight="1">
      <c r="A455" s="303"/>
      <c r="B455" s="292" t="s">
        <v>443</v>
      </c>
      <c r="C455" s="292" t="s">
        <v>58</v>
      </c>
      <c r="D455" s="292" t="s">
        <v>443</v>
      </c>
      <c r="E455" s="292" t="s">
        <v>948</v>
      </c>
      <c r="F455" s="292"/>
      <c r="G455" s="253" t="s">
        <v>981</v>
      </c>
      <c r="H455" s="253"/>
      <c r="I455" s="253"/>
      <c r="J455" s="526">
        <f>J456</f>
        <v>450000</v>
      </c>
      <c r="K455" s="527">
        <f>K456</f>
        <v>0</v>
      </c>
      <c r="L455" s="527">
        <f>SUM(L456:L456)</f>
        <v>0</v>
      </c>
      <c r="M455" s="527">
        <f>SUM(M456:M456)</f>
        <v>0</v>
      </c>
      <c r="N455" s="527">
        <f>M455+L455</f>
        <v>0</v>
      </c>
      <c r="O455" s="527">
        <f>N455-K455</f>
        <v>0</v>
      </c>
      <c r="P455" s="671">
        <v>0</v>
      </c>
      <c r="Q455" s="733"/>
      <c r="R455" s="422"/>
    </row>
    <row r="456" spans="1:18" s="189" customFormat="1" ht="14.1" customHeight="1">
      <c r="A456" s="1167"/>
      <c r="B456" s="296" t="s">
        <v>443</v>
      </c>
      <c r="C456" s="296" t="s">
        <v>58</v>
      </c>
      <c r="D456" s="296" t="s">
        <v>443</v>
      </c>
      <c r="E456" s="296" t="s">
        <v>948</v>
      </c>
      <c r="F456" s="296" t="s">
        <v>437</v>
      </c>
      <c r="G456" s="297" t="s">
        <v>50</v>
      </c>
      <c r="H456" s="297"/>
      <c r="I456" s="297" t="s">
        <v>85</v>
      </c>
      <c r="J456" s="333">
        <v>450000</v>
      </c>
      <c r="K456" s="334">
        <f>'[55]TARGET MURNI DAN PERUBAHAN'!$E$271</f>
        <v>0</v>
      </c>
      <c r="L456" s="334"/>
      <c r="M456" s="334">
        <v>0</v>
      </c>
      <c r="N456" s="334">
        <f>M456+L456</f>
        <v>0</v>
      </c>
      <c r="O456" s="334">
        <f>N456-K456</f>
        <v>0</v>
      </c>
      <c r="P456" s="335">
        <v>0</v>
      </c>
      <c r="Q456" s="548"/>
      <c r="R456" s="422"/>
    </row>
    <row r="457" spans="1:18" s="189" customFormat="1" ht="12.05" customHeight="1">
      <c r="A457" s="1256"/>
      <c r="B457" s="1252" t="s">
        <v>58</v>
      </c>
      <c r="C457" s="1252" t="s">
        <v>849</v>
      </c>
      <c r="D457" s="1252" t="s">
        <v>440</v>
      </c>
      <c r="E457" s="1252" t="s">
        <v>438</v>
      </c>
      <c r="F457" s="1253"/>
      <c r="G457" s="1255" t="s">
        <v>1039</v>
      </c>
      <c r="H457" s="1255"/>
      <c r="I457" s="1254" t="s">
        <v>1040</v>
      </c>
      <c r="J457" s="1259">
        <f>J458</f>
        <v>5000000000</v>
      </c>
      <c r="K457" s="1260">
        <f>K458</f>
        <v>0</v>
      </c>
      <c r="L457" s="1260">
        <f>+L462</f>
        <v>0</v>
      </c>
      <c r="M457" s="1260">
        <f>+M462</f>
        <v>0</v>
      </c>
      <c r="N457" s="1260">
        <f>+M457+L457</f>
        <v>0</v>
      </c>
      <c r="O457" s="1260">
        <f>N457-K457</f>
        <v>0</v>
      </c>
      <c r="P457" s="1261" t="e">
        <f>N457/K457*100</f>
        <v>#DIV/0!</v>
      </c>
      <c r="Q457" s="1262"/>
      <c r="R457" s="422"/>
    </row>
    <row r="458" spans="1:18" s="189" customFormat="1" ht="12.05" customHeight="1">
      <c r="A458" s="706"/>
      <c r="B458" s="707">
        <v>4</v>
      </c>
      <c r="C458" s="707">
        <v>1</v>
      </c>
      <c r="D458" s="707"/>
      <c r="E458" s="707"/>
      <c r="F458" s="707"/>
      <c r="G458" s="288" t="s">
        <v>180</v>
      </c>
      <c r="H458" s="288"/>
      <c r="I458" s="288"/>
      <c r="J458" s="342">
        <f>J459+J462</f>
        <v>5000000000</v>
      </c>
      <c r="K458" s="343">
        <f>K459+K462</f>
        <v>0</v>
      </c>
      <c r="L458" s="343"/>
      <c r="M458" s="343"/>
      <c r="N458" s="343"/>
      <c r="O458" s="343">
        <f>N458-K458</f>
        <v>0</v>
      </c>
      <c r="P458" s="344" t="e">
        <f>N458/K458*100</f>
        <v>#DIV/0!</v>
      </c>
      <c r="Q458" s="437"/>
      <c r="R458" s="422"/>
    </row>
    <row r="459" spans="1:18" s="189" customFormat="1" ht="12.05" customHeight="1">
      <c r="A459" s="303"/>
      <c r="B459" s="292">
        <v>4</v>
      </c>
      <c r="C459" s="292">
        <v>1</v>
      </c>
      <c r="D459" s="292">
        <v>2</v>
      </c>
      <c r="E459" s="292" t="s">
        <v>438</v>
      </c>
      <c r="F459" s="292"/>
      <c r="G459" s="253" t="s">
        <v>109</v>
      </c>
      <c r="H459" s="253"/>
      <c r="I459" s="253"/>
      <c r="J459" s="484">
        <f t="shared" ref="J459:N460" si="68">J460</f>
        <v>5000000000</v>
      </c>
      <c r="K459" s="485">
        <f t="shared" si="68"/>
        <v>0</v>
      </c>
      <c r="L459" s="485">
        <f t="shared" si="68"/>
        <v>0</v>
      </c>
      <c r="M459" s="485">
        <f t="shared" si="68"/>
        <v>0</v>
      </c>
      <c r="N459" s="485">
        <f t="shared" si="68"/>
        <v>0</v>
      </c>
      <c r="O459" s="412">
        <f>N459-K459</f>
        <v>0</v>
      </c>
      <c r="P459" s="487" t="e">
        <f>N459/K459*100</f>
        <v>#DIV/0!</v>
      </c>
      <c r="Q459" s="430"/>
      <c r="R459" s="422"/>
    </row>
    <row r="460" spans="1:18" s="189" customFormat="1" ht="12.05" customHeight="1">
      <c r="A460" s="294"/>
      <c r="B460" s="292">
        <v>4</v>
      </c>
      <c r="C460" s="292">
        <v>1</v>
      </c>
      <c r="D460" s="292">
        <v>2</v>
      </c>
      <c r="E460" s="292" t="s">
        <v>437</v>
      </c>
      <c r="F460" s="292" t="s">
        <v>437</v>
      </c>
      <c r="G460" s="253" t="s">
        <v>64</v>
      </c>
      <c r="H460" s="253"/>
      <c r="I460" s="253"/>
      <c r="J460" s="627">
        <f t="shared" si="68"/>
        <v>5000000000</v>
      </c>
      <c r="K460" s="396">
        <f t="shared" si="68"/>
        <v>0</v>
      </c>
      <c r="L460" s="396">
        <f t="shared" si="68"/>
        <v>0</v>
      </c>
      <c r="M460" s="396">
        <f t="shared" si="68"/>
        <v>0</v>
      </c>
      <c r="N460" s="396">
        <f t="shared" si="68"/>
        <v>0</v>
      </c>
      <c r="O460" s="396">
        <f>O461</f>
        <v>0</v>
      </c>
      <c r="P460" s="827" t="e">
        <f>P461</f>
        <v>#DIV/0!</v>
      </c>
      <c r="Q460" s="642"/>
      <c r="R460" s="422"/>
    </row>
    <row r="461" spans="1:18" s="189" customFormat="1" ht="12.05" customHeight="1">
      <c r="A461" s="303"/>
      <c r="B461" s="292"/>
      <c r="C461" s="292"/>
      <c r="D461" s="292"/>
      <c r="E461" s="292"/>
      <c r="F461" s="292"/>
      <c r="G461" s="253" t="s">
        <v>50</v>
      </c>
      <c r="H461" s="253"/>
      <c r="I461" s="253" t="s">
        <v>1041</v>
      </c>
      <c r="J461" s="354">
        <v>5000000000</v>
      </c>
      <c r="K461" s="355">
        <v>0</v>
      </c>
      <c r="L461" s="828">
        <v>0</v>
      </c>
      <c r="M461" s="355">
        <v>0</v>
      </c>
      <c r="N461" s="355">
        <f t="shared" ref="N461:N466" si="69">M461+L461</f>
        <v>0</v>
      </c>
      <c r="O461" s="355">
        <f t="shared" ref="O461:O466" si="70">N461-K461</f>
        <v>0</v>
      </c>
      <c r="P461" s="388" t="e">
        <f>N461/K461*100</f>
        <v>#DIV/0!</v>
      </c>
      <c r="Q461" s="441"/>
      <c r="R461" s="422"/>
    </row>
    <row r="462" spans="1:18" s="189" customFormat="1" ht="12.05" customHeight="1">
      <c r="A462" s="303"/>
      <c r="B462" s="290">
        <v>4</v>
      </c>
      <c r="C462" s="290">
        <v>1</v>
      </c>
      <c r="D462" s="290">
        <v>4</v>
      </c>
      <c r="E462" s="290"/>
      <c r="F462" s="290"/>
      <c r="G462" s="291" t="s">
        <v>71</v>
      </c>
      <c r="H462" s="291"/>
      <c r="I462" s="291"/>
      <c r="J462" s="397">
        <f>J463+J468</f>
        <v>0</v>
      </c>
      <c r="K462" s="398">
        <f>K463+K468</f>
        <v>0</v>
      </c>
      <c r="L462" s="398">
        <f>L463+L468</f>
        <v>0</v>
      </c>
      <c r="M462" s="398">
        <f>M463+M468</f>
        <v>0</v>
      </c>
      <c r="N462" s="398">
        <f>N463+N468</f>
        <v>0</v>
      </c>
      <c r="O462" s="367">
        <f t="shared" si="70"/>
        <v>0</v>
      </c>
      <c r="P462" s="347"/>
      <c r="Q462" s="699"/>
      <c r="R462" s="422"/>
    </row>
    <row r="463" spans="1:18" s="189" customFormat="1" ht="12.05" customHeight="1">
      <c r="A463" s="303"/>
      <c r="B463" s="292">
        <v>4</v>
      </c>
      <c r="C463" s="292">
        <v>1</v>
      </c>
      <c r="D463" s="292">
        <v>4</v>
      </c>
      <c r="E463" s="292" t="s">
        <v>444</v>
      </c>
      <c r="F463" s="292"/>
      <c r="G463" s="253" t="s">
        <v>222</v>
      </c>
      <c r="H463" s="253"/>
      <c r="I463" s="253"/>
      <c r="J463" s="484">
        <f>SUM(J464:J466)</f>
        <v>0</v>
      </c>
      <c r="K463" s="485">
        <f>SUM(K464:K466)</f>
        <v>0</v>
      </c>
      <c r="L463" s="485">
        <f>SUM(L464:L466)</f>
        <v>0</v>
      </c>
      <c r="M463" s="485">
        <f>SUM(M464:M466)</f>
        <v>0</v>
      </c>
      <c r="N463" s="485">
        <f>SUM(N464:N466)</f>
        <v>0</v>
      </c>
      <c r="O463" s="485"/>
      <c r="P463" s="597"/>
      <c r="Q463" s="541"/>
      <c r="R463" s="422"/>
    </row>
    <row r="464" spans="1:18" s="189" customFormat="1" ht="12.05" customHeight="1">
      <c r="A464" s="303"/>
      <c r="B464" s="292">
        <v>4</v>
      </c>
      <c r="C464" s="292">
        <v>1</v>
      </c>
      <c r="D464" s="292">
        <v>4</v>
      </c>
      <c r="E464" s="292" t="s">
        <v>444</v>
      </c>
      <c r="F464" s="292" t="s">
        <v>440</v>
      </c>
      <c r="G464" s="253" t="s">
        <v>73</v>
      </c>
      <c r="H464" s="253"/>
      <c r="I464" s="253"/>
      <c r="J464" s="354">
        <v>0</v>
      </c>
      <c r="K464" s="355">
        <v>0</v>
      </c>
      <c r="L464" s="355">
        <v>0</v>
      </c>
      <c r="M464" s="355">
        <v>0</v>
      </c>
      <c r="N464" s="355">
        <f t="shared" si="69"/>
        <v>0</v>
      </c>
      <c r="O464" s="355">
        <f t="shared" si="70"/>
        <v>0</v>
      </c>
      <c r="P464" s="388"/>
      <c r="Q464" s="441"/>
      <c r="R464" s="422"/>
    </row>
    <row r="465" spans="1:18" s="189" customFormat="1" ht="12.05" customHeight="1">
      <c r="A465" s="303"/>
      <c r="B465" s="292">
        <v>4</v>
      </c>
      <c r="C465" s="292">
        <v>1</v>
      </c>
      <c r="D465" s="292">
        <v>4</v>
      </c>
      <c r="E465" s="292" t="s">
        <v>444</v>
      </c>
      <c r="F465" s="292" t="s">
        <v>445</v>
      </c>
      <c r="G465" s="253" t="s">
        <v>74</v>
      </c>
      <c r="H465" s="253"/>
      <c r="I465" s="253"/>
      <c r="J465" s="354">
        <v>0</v>
      </c>
      <c r="K465" s="355">
        <v>0</v>
      </c>
      <c r="L465" s="355">
        <v>0</v>
      </c>
      <c r="M465" s="355">
        <v>0</v>
      </c>
      <c r="N465" s="355">
        <f t="shared" si="69"/>
        <v>0</v>
      </c>
      <c r="O465" s="355">
        <f t="shared" si="70"/>
        <v>0</v>
      </c>
      <c r="P465" s="388"/>
      <c r="Q465" s="441"/>
      <c r="R465" s="422"/>
    </row>
    <row r="466" spans="1:18" s="189" customFormat="1" ht="12.05" customHeight="1">
      <c r="A466" s="303"/>
      <c r="B466" s="292">
        <v>4</v>
      </c>
      <c r="C466" s="292">
        <v>1</v>
      </c>
      <c r="D466" s="292">
        <v>4</v>
      </c>
      <c r="E466" s="292" t="s">
        <v>444</v>
      </c>
      <c r="F466" s="292" t="s">
        <v>441</v>
      </c>
      <c r="G466" s="253" t="s">
        <v>75</v>
      </c>
      <c r="H466" s="253"/>
      <c r="I466" s="253"/>
      <c r="J466" s="374">
        <v>0</v>
      </c>
      <c r="K466" s="375">
        <v>0</v>
      </c>
      <c r="L466" s="375"/>
      <c r="M466" s="375">
        <v>0</v>
      </c>
      <c r="N466" s="355">
        <f t="shared" si="69"/>
        <v>0</v>
      </c>
      <c r="O466" s="355">
        <f t="shared" si="70"/>
        <v>0</v>
      </c>
      <c r="P466" s="388"/>
      <c r="Q466" s="548"/>
      <c r="R466" s="422"/>
    </row>
    <row r="467" spans="1:18" s="189" customFormat="1" ht="12.05" customHeight="1">
      <c r="A467" s="303"/>
      <c r="B467" s="292"/>
      <c r="C467" s="292"/>
      <c r="D467" s="292"/>
      <c r="E467" s="292"/>
      <c r="F467" s="292"/>
      <c r="G467" s="253"/>
      <c r="H467" s="253"/>
      <c r="I467" s="253"/>
      <c r="J467" s="494"/>
      <c r="K467" s="495"/>
      <c r="L467" s="495"/>
      <c r="M467" s="495"/>
      <c r="N467" s="334"/>
      <c r="O467" s="334"/>
      <c r="P467" s="335"/>
      <c r="Q467" s="548"/>
      <c r="R467" s="422"/>
    </row>
    <row r="468" spans="1:18" s="189" customFormat="1" ht="12.05" customHeight="1">
      <c r="A468" s="303"/>
      <c r="B468" s="292" t="s">
        <v>443</v>
      </c>
      <c r="C468" s="292" t="s">
        <v>58</v>
      </c>
      <c r="D468" s="292" t="s">
        <v>443</v>
      </c>
      <c r="E468" s="292" t="s">
        <v>948</v>
      </c>
      <c r="F468" s="292"/>
      <c r="G468" s="253" t="s">
        <v>981</v>
      </c>
      <c r="H468" s="253"/>
      <c r="I468" s="253"/>
      <c r="J468" s="526">
        <f>J469</f>
        <v>0</v>
      </c>
      <c r="K468" s="527">
        <f>K469</f>
        <v>0</v>
      </c>
      <c r="L468" s="527">
        <f>L469</f>
        <v>0</v>
      </c>
      <c r="M468" s="527">
        <f>M469</f>
        <v>0</v>
      </c>
      <c r="N468" s="527">
        <f>M468+L468</f>
        <v>0</v>
      </c>
      <c r="O468" s="527">
        <f>N468-K468</f>
        <v>0</v>
      </c>
      <c r="P468" s="671">
        <v>0</v>
      </c>
      <c r="Q468" s="733"/>
      <c r="R468" s="422"/>
    </row>
    <row r="469" spans="1:18" s="189" customFormat="1" ht="12.05" customHeight="1">
      <c r="A469" s="1167"/>
      <c r="B469" s="296" t="s">
        <v>443</v>
      </c>
      <c r="C469" s="296" t="s">
        <v>58</v>
      </c>
      <c r="D469" s="296" t="s">
        <v>443</v>
      </c>
      <c r="E469" s="296" t="s">
        <v>948</v>
      </c>
      <c r="F469" s="296" t="s">
        <v>437</v>
      </c>
      <c r="G469" s="297" t="s">
        <v>50</v>
      </c>
      <c r="H469" s="297"/>
      <c r="I469" s="297" t="s">
        <v>76</v>
      </c>
      <c r="J469" s="333">
        <v>0</v>
      </c>
      <c r="K469" s="334">
        <v>0</v>
      </c>
      <c r="L469" s="334">
        <v>0</v>
      </c>
      <c r="M469" s="334">
        <v>0</v>
      </c>
      <c r="N469" s="334">
        <f>M469+L469</f>
        <v>0</v>
      </c>
      <c r="O469" s="334">
        <f>N469-K469</f>
        <v>0</v>
      </c>
      <c r="P469" s="335">
        <v>0</v>
      </c>
      <c r="Q469" s="548"/>
      <c r="R469" s="422"/>
    </row>
    <row r="470" spans="1:18" s="189" customFormat="1" ht="12.05" customHeight="1">
      <c r="A470" s="1256"/>
      <c r="B470" s="1252" t="s">
        <v>58</v>
      </c>
      <c r="C470" s="1252" t="s">
        <v>849</v>
      </c>
      <c r="D470" s="1252" t="s">
        <v>440</v>
      </c>
      <c r="E470" s="1252" t="s">
        <v>438</v>
      </c>
      <c r="F470" s="1253"/>
      <c r="G470" s="1255" t="s">
        <v>1042</v>
      </c>
      <c r="H470" s="1255"/>
      <c r="I470" s="1254" t="s">
        <v>171</v>
      </c>
      <c r="J470" s="1260">
        <f t="shared" ref="J470:M471" si="71">J471</f>
        <v>0</v>
      </c>
      <c r="K470" s="1260">
        <f t="shared" si="71"/>
        <v>0</v>
      </c>
      <c r="L470" s="1260">
        <f t="shared" si="71"/>
        <v>0</v>
      </c>
      <c r="M470" s="1260">
        <f t="shared" si="71"/>
        <v>0</v>
      </c>
      <c r="N470" s="1260">
        <f>+M470+L470</f>
        <v>0</v>
      </c>
      <c r="O470" s="1260">
        <f>N470-K470</f>
        <v>0</v>
      </c>
      <c r="P470" s="1261" t="e">
        <f>N470/K470*100</f>
        <v>#DIV/0!</v>
      </c>
      <c r="Q470" s="1262"/>
      <c r="R470" s="422"/>
    </row>
    <row r="471" spans="1:18" s="189" customFormat="1" ht="12.05" customHeight="1">
      <c r="A471" s="706"/>
      <c r="B471" s="707">
        <v>4</v>
      </c>
      <c r="C471" s="707">
        <v>1</v>
      </c>
      <c r="D471" s="707"/>
      <c r="E471" s="707"/>
      <c r="F471" s="707"/>
      <c r="G471" s="288" t="s">
        <v>180</v>
      </c>
      <c r="H471" s="288"/>
      <c r="I471" s="288"/>
      <c r="J471" s="343">
        <f t="shared" si="71"/>
        <v>0</v>
      </c>
      <c r="K471" s="343">
        <f t="shared" si="71"/>
        <v>0</v>
      </c>
      <c r="L471" s="343">
        <f t="shared" si="71"/>
        <v>0</v>
      </c>
      <c r="M471" s="343">
        <f t="shared" si="71"/>
        <v>0</v>
      </c>
      <c r="N471" s="343">
        <f>N472</f>
        <v>0</v>
      </c>
      <c r="O471" s="343">
        <f>N471-K471</f>
        <v>0</v>
      </c>
      <c r="P471" s="344" t="e">
        <f>N471/K471*100</f>
        <v>#DIV/0!</v>
      </c>
      <c r="Q471" s="437"/>
      <c r="R471" s="422"/>
    </row>
    <row r="472" spans="1:18" s="189" customFormat="1" ht="12.05" customHeight="1">
      <c r="A472" s="303"/>
      <c r="B472" s="290">
        <v>4</v>
      </c>
      <c r="C472" s="290">
        <v>1</v>
      </c>
      <c r="D472" s="290">
        <v>4</v>
      </c>
      <c r="E472" s="290"/>
      <c r="F472" s="290"/>
      <c r="G472" s="291" t="s">
        <v>71</v>
      </c>
      <c r="H472" s="291"/>
      <c r="I472" s="291"/>
      <c r="J472" s="398">
        <f>J473+J478</f>
        <v>0</v>
      </c>
      <c r="K472" s="398">
        <f>K473+K478</f>
        <v>0</v>
      </c>
      <c r="L472" s="398">
        <f>L473+L478</f>
        <v>0</v>
      </c>
      <c r="M472" s="398">
        <f>M473+M478</f>
        <v>0</v>
      </c>
      <c r="N472" s="398">
        <f>N473+N478</f>
        <v>0</v>
      </c>
      <c r="O472" s="367">
        <f>N472-K472</f>
        <v>0</v>
      </c>
      <c r="P472" s="347" t="e">
        <f>N472/K472*100</f>
        <v>#DIV/0!</v>
      </c>
      <c r="Q472" s="699"/>
      <c r="R472" s="422"/>
    </row>
    <row r="473" spans="1:18" s="189" customFormat="1" ht="12.05" customHeight="1">
      <c r="A473" s="303"/>
      <c r="B473" s="292">
        <v>4</v>
      </c>
      <c r="C473" s="292">
        <v>1</v>
      </c>
      <c r="D473" s="292">
        <v>4</v>
      </c>
      <c r="E473" s="292" t="s">
        <v>444</v>
      </c>
      <c r="F473" s="292"/>
      <c r="G473" s="253" t="s">
        <v>222</v>
      </c>
      <c r="H473" s="253"/>
      <c r="I473" s="253"/>
      <c r="J473" s="484">
        <f>SUM(J474:J476)</f>
        <v>0</v>
      </c>
      <c r="K473" s="485">
        <f>SUM(K474:K476)</f>
        <v>0</v>
      </c>
      <c r="L473" s="485">
        <f>SUM(L474:L476)</f>
        <v>0</v>
      </c>
      <c r="M473" s="485">
        <f>SUM(M474:M476)</f>
        <v>0</v>
      </c>
      <c r="N473" s="485">
        <f>SUM(N474:N476)</f>
        <v>0</v>
      </c>
      <c r="O473" s="485"/>
      <c r="P473" s="597"/>
      <c r="Q473" s="541"/>
      <c r="R473" s="422"/>
    </row>
    <row r="474" spans="1:18" s="189" customFormat="1" ht="12.05" customHeight="1">
      <c r="A474" s="303"/>
      <c r="B474" s="292">
        <v>4</v>
      </c>
      <c r="C474" s="292">
        <v>1</v>
      </c>
      <c r="D474" s="292">
        <v>4</v>
      </c>
      <c r="E474" s="292" t="s">
        <v>444</v>
      </c>
      <c r="F474" s="292" t="s">
        <v>440</v>
      </c>
      <c r="G474" s="253" t="s">
        <v>73</v>
      </c>
      <c r="H474" s="253"/>
      <c r="I474" s="253"/>
      <c r="J474" s="354">
        <v>0</v>
      </c>
      <c r="K474" s="355">
        <v>0</v>
      </c>
      <c r="L474" s="355">
        <v>0</v>
      </c>
      <c r="M474" s="355">
        <v>0</v>
      </c>
      <c r="N474" s="355">
        <f>M474+L474</f>
        <v>0</v>
      </c>
      <c r="O474" s="355">
        <f>N474-K474</f>
        <v>0</v>
      </c>
      <c r="P474" s="388"/>
      <c r="Q474" s="441"/>
      <c r="R474" s="422"/>
    </row>
    <row r="475" spans="1:18" s="189" customFormat="1" ht="12.05" customHeight="1">
      <c r="A475" s="303"/>
      <c r="B475" s="292">
        <v>4</v>
      </c>
      <c r="C475" s="292">
        <v>1</v>
      </c>
      <c r="D475" s="292">
        <v>4</v>
      </c>
      <c r="E475" s="292" t="s">
        <v>444</v>
      </c>
      <c r="F475" s="292" t="s">
        <v>445</v>
      </c>
      <c r="G475" s="253" t="s">
        <v>74</v>
      </c>
      <c r="H475" s="253"/>
      <c r="I475" s="253"/>
      <c r="J475" s="354">
        <v>0</v>
      </c>
      <c r="K475" s="355">
        <v>0</v>
      </c>
      <c r="L475" s="355">
        <v>0</v>
      </c>
      <c r="M475" s="355">
        <v>0</v>
      </c>
      <c r="N475" s="355">
        <f>M475+L475</f>
        <v>0</v>
      </c>
      <c r="O475" s="355">
        <f>N475-K475</f>
        <v>0</v>
      </c>
      <c r="P475" s="388"/>
      <c r="Q475" s="441"/>
      <c r="R475" s="422"/>
    </row>
    <row r="476" spans="1:18" s="189" customFormat="1" ht="12.05" customHeight="1">
      <c r="A476" s="303"/>
      <c r="B476" s="292">
        <v>4</v>
      </c>
      <c r="C476" s="292">
        <v>1</v>
      </c>
      <c r="D476" s="292">
        <v>4</v>
      </c>
      <c r="E476" s="292" t="s">
        <v>444</v>
      </c>
      <c r="F476" s="292" t="s">
        <v>441</v>
      </c>
      <c r="G476" s="253" t="s">
        <v>75</v>
      </c>
      <c r="H476" s="253"/>
      <c r="I476" s="253"/>
      <c r="J476" s="374">
        <v>0</v>
      </c>
      <c r="K476" s="375">
        <v>0</v>
      </c>
      <c r="L476" s="375">
        <v>0</v>
      </c>
      <c r="M476" s="375">
        <v>0</v>
      </c>
      <c r="N476" s="355">
        <f>M476+L476</f>
        <v>0</v>
      </c>
      <c r="O476" s="355">
        <f>N476-K476</f>
        <v>0</v>
      </c>
      <c r="P476" s="388"/>
      <c r="Q476" s="548"/>
      <c r="R476" s="422"/>
    </row>
    <row r="477" spans="1:18" s="189" customFormat="1" ht="12.05" customHeight="1">
      <c r="A477" s="303"/>
      <c r="B477" s="292"/>
      <c r="C477" s="292"/>
      <c r="D477" s="292"/>
      <c r="E477" s="292"/>
      <c r="F477" s="292"/>
      <c r="G477" s="253"/>
      <c r="H477" s="253"/>
      <c r="I477" s="253"/>
      <c r="J477" s="494"/>
      <c r="K477" s="495"/>
      <c r="L477" s="495"/>
      <c r="M477" s="495"/>
      <c r="N477" s="334"/>
      <c r="O477" s="334"/>
      <c r="P477" s="335"/>
      <c r="Q477" s="548"/>
      <c r="R477" s="422"/>
    </row>
    <row r="478" spans="1:18" s="189" customFormat="1" ht="12.05" customHeight="1">
      <c r="A478" s="303"/>
      <c r="B478" s="292" t="s">
        <v>443</v>
      </c>
      <c r="C478" s="292" t="s">
        <v>58</v>
      </c>
      <c r="D478" s="292" t="s">
        <v>443</v>
      </c>
      <c r="E478" s="292" t="s">
        <v>948</v>
      </c>
      <c r="F478" s="292"/>
      <c r="G478" s="253" t="s">
        <v>981</v>
      </c>
      <c r="H478" s="253"/>
      <c r="I478" s="253"/>
      <c r="J478" s="526">
        <f>J479</f>
        <v>0</v>
      </c>
      <c r="K478" s="527">
        <f>K479</f>
        <v>0</v>
      </c>
      <c r="L478" s="527">
        <f>L479</f>
        <v>0</v>
      </c>
      <c r="M478" s="527">
        <f>M479</f>
        <v>0</v>
      </c>
      <c r="N478" s="527">
        <f>M478+L478</f>
        <v>0</v>
      </c>
      <c r="O478" s="527">
        <f t="shared" ref="O478:O483" si="72">N478-K478</f>
        <v>0</v>
      </c>
      <c r="P478" s="671">
        <v>0</v>
      </c>
      <c r="Q478" s="733"/>
      <c r="R478" s="422"/>
    </row>
    <row r="479" spans="1:18" s="189" customFormat="1" ht="12.05" customHeight="1">
      <c r="A479" s="805"/>
      <c r="B479" s="305" t="s">
        <v>443</v>
      </c>
      <c r="C479" s="305" t="s">
        <v>58</v>
      </c>
      <c r="D479" s="305" t="s">
        <v>443</v>
      </c>
      <c r="E479" s="305" t="s">
        <v>948</v>
      </c>
      <c r="F479" s="305" t="s">
        <v>437</v>
      </c>
      <c r="G479" s="306" t="s">
        <v>50</v>
      </c>
      <c r="H479" s="306"/>
      <c r="I479" s="306" t="s">
        <v>640</v>
      </c>
      <c r="J479" s="482">
        <v>0</v>
      </c>
      <c r="K479" s="404">
        <v>0</v>
      </c>
      <c r="L479" s="404">
        <v>0</v>
      </c>
      <c r="M479" s="404">
        <v>0</v>
      </c>
      <c r="N479" s="404">
        <f>M479+L479</f>
        <v>0</v>
      </c>
      <c r="O479" s="404">
        <f t="shared" si="72"/>
        <v>0</v>
      </c>
      <c r="P479" s="483">
        <v>0</v>
      </c>
      <c r="Q479" s="733"/>
      <c r="R479" s="422"/>
    </row>
    <row r="480" spans="1:18" s="189" customFormat="1" ht="12.05" customHeight="1">
      <c r="A480" s="825"/>
      <c r="B480" s="741"/>
      <c r="C480" s="741"/>
      <c r="D480" s="741"/>
      <c r="E480" s="741"/>
      <c r="F480" s="741"/>
      <c r="G480" s="742"/>
      <c r="H480" s="742"/>
      <c r="I480" s="742"/>
      <c r="J480" s="750"/>
      <c r="K480" s="751"/>
      <c r="L480" s="751"/>
      <c r="M480" s="751"/>
      <c r="N480" s="751"/>
      <c r="O480" s="751"/>
      <c r="P480" s="829"/>
      <c r="Q480" s="839"/>
      <c r="R480" s="422"/>
    </row>
    <row r="481" spans="1:18" s="244" customFormat="1" ht="12.05" customHeight="1">
      <c r="A481" s="283" t="s">
        <v>174</v>
      </c>
      <c r="B481" s="284" t="s">
        <v>58</v>
      </c>
      <c r="C481" s="284" t="s">
        <v>849</v>
      </c>
      <c r="D481" s="284" t="s">
        <v>445</v>
      </c>
      <c r="E481" s="284" t="s">
        <v>437</v>
      </c>
      <c r="F481" s="284"/>
      <c r="G481" s="298" t="s">
        <v>175</v>
      </c>
      <c r="H481" s="298"/>
      <c r="I481" s="298"/>
      <c r="J481" s="336">
        <f>+J483</f>
        <v>1347785700</v>
      </c>
      <c r="K481" s="337">
        <f>+K483</f>
        <v>0</v>
      </c>
      <c r="L481" s="337">
        <f>+L483</f>
        <v>180658397</v>
      </c>
      <c r="M481" s="337">
        <f>+M483</f>
        <v>41968368</v>
      </c>
      <c r="N481" s="337">
        <f>+N483</f>
        <v>222626765</v>
      </c>
      <c r="O481" s="337">
        <f>+N481-K481</f>
        <v>222626765</v>
      </c>
      <c r="P481" s="338" t="e">
        <f>+N481/K481*100</f>
        <v>#DIV/0!</v>
      </c>
      <c r="Q481" s="432"/>
      <c r="R481" s="639"/>
    </row>
    <row r="482" spans="1:18" s="189" customFormat="1" ht="12.05" customHeight="1">
      <c r="A482" s="471"/>
      <c r="B482" s="287"/>
      <c r="C482" s="287"/>
      <c r="D482" s="287"/>
      <c r="E482" s="287"/>
      <c r="F482" s="287"/>
      <c r="G482" s="288"/>
      <c r="H482" s="288"/>
      <c r="I482" s="288"/>
      <c r="J482" s="339"/>
      <c r="K482" s="340"/>
      <c r="L482" s="340"/>
      <c r="M482" s="340"/>
      <c r="N482" s="340"/>
      <c r="O482" s="340"/>
      <c r="P482" s="341"/>
      <c r="Q482" s="840"/>
      <c r="R482" s="422"/>
    </row>
    <row r="483" spans="1:18" s="189" customFormat="1" ht="12.05" customHeight="1">
      <c r="A483" s="293"/>
      <c r="B483" s="290">
        <v>4</v>
      </c>
      <c r="C483" s="290">
        <v>1</v>
      </c>
      <c r="D483" s="290"/>
      <c r="E483" s="290"/>
      <c r="F483" s="290"/>
      <c r="G483" s="291" t="s">
        <v>180</v>
      </c>
      <c r="H483" s="291"/>
      <c r="I483" s="291"/>
      <c r="J483" s="342">
        <f>+J485+J489</f>
        <v>1347785700</v>
      </c>
      <c r="K483" s="343">
        <f>+K485+K489</f>
        <v>0</v>
      </c>
      <c r="L483" s="343">
        <f>L485+L489</f>
        <v>180658397</v>
      </c>
      <c r="M483" s="343">
        <f>+M485+M489</f>
        <v>41968368</v>
      </c>
      <c r="N483" s="343">
        <f>+M483+L483</f>
        <v>222626765</v>
      </c>
      <c r="O483" s="343">
        <f t="shared" si="72"/>
        <v>222626765</v>
      </c>
      <c r="P483" s="344" t="e">
        <f>N483/K483*100</f>
        <v>#DIV/0!</v>
      </c>
      <c r="Q483" s="841"/>
      <c r="R483" s="422"/>
    </row>
    <row r="484" spans="1:18" s="189" customFormat="1" ht="12.05" customHeight="1">
      <c r="A484" s="293"/>
      <c r="B484" s="292"/>
      <c r="C484" s="292"/>
      <c r="D484" s="292"/>
      <c r="E484" s="292"/>
      <c r="F484" s="292"/>
      <c r="G484" s="253"/>
      <c r="H484" s="253"/>
      <c r="I484" s="291"/>
      <c r="J484" s="345"/>
      <c r="K484" s="346"/>
      <c r="L484" s="346"/>
      <c r="M484" s="346"/>
      <c r="N484" s="346"/>
      <c r="O484" s="346"/>
      <c r="P484" s="347"/>
      <c r="Q484" s="841"/>
      <c r="R484" s="422"/>
    </row>
    <row r="485" spans="1:18" s="189" customFormat="1" ht="12.05" customHeight="1">
      <c r="A485" s="293"/>
      <c r="B485" s="290">
        <v>4</v>
      </c>
      <c r="C485" s="290">
        <v>1</v>
      </c>
      <c r="D485" s="290">
        <v>2</v>
      </c>
      <c r="E485" s="290"/>
      <c r="F485" s="290"/>
      <c r="G485" s="291" t="s">
        <v>106</v>
      </c>
      <c r="H485" s="291"/>
      <c r="I485" s="291"/>
      <c r="J485" s="348">
        <f t="shared" ref="J485:M486" si="73">+J486</f>
        <v>0</v>
      </c>
      <c r="K485" s="349">
        <f t="shared" si="73"/>
        <v>0</v>
      </c>
      <c r="L485" s="349">
        <f t="shared" si="73"/>
        <v>0</v>
      </c>
      <c r="M485" s="349">
        <f t="shared" si="73"/>
        <v>0</v>
      </c>
      <c r="N485" s="349">
        <f>+M485+L485</f>
        <v>0</v>
      </c>
      <c r="O485" s="349">
        <f>N485-K485</f>
        <v>0</v>
      </c>
      <c r="P485" s="350" t="e">
        <f>N485/K485*100</f>
        <v>#DIV/0!</v>
      </c>
      <c r="Q485" s="841"/>
      <c r="R485" s="422"/>
    </row>
    <row r="486" spans="1:18" s="189" customFormat="1" ht="12.05" customHeight="1">
      <c r="A486" s="465"/>
      <c r="B486" s="296">
        <v>4</v>
      </c>
      <c r="C486" s="296">
        <v>1</v>
      </c>
      <c r="D486" s="296">
        <v>2</v>
      </c>
      <c r="E486" s="296" t="s">
        <v>438</v>
      </c>
      <c r="F486" s="296"/>
      <c r="G486" s="297" t="s">
        <v>109</v>
      </c>
      <c r="H486" s="297"/>
      <c r="I486" s="467"/>
      <c r="J486" s="627">
        <f t="shared" si="73"/>
        <v>0</v>
      </c>
      <c r="K486" s="396">
        <f t="shared" si="73"/>
        <v>0</v>
      </c>
      <c r="L486" s="396">
        <f t="shared" si="73"/>
        <v>0</v>
      </c>
      <c r="M486" s="396">
        <f>+M487</f>
        <v>0</v>
      </c>
      <c r="N486" s="396">
        <f>+N487</f>
        <v>0</v>
      </c>
      <c r="O486" s="396">
        <f>N486-K486</f>
        <v>0</v>
      </c>
      <c r="P486" s="344" t="e">
        <f>N486/K486*100</f>
        <v>#DIV/0!</v>
      </c>
      <c r="Q486" s="841"/>
      <c r="R486" s="422"/>
    </row>
    <row r="487" spans="1:18" s="253" customFormat="1" ht="12.05" customHeight="1">
      <c r="A487" s="289"/>
      <c r="B487" s="292">
        <v>4</v>
      </c>
      <c r="C487" s="292">
        <v>1</v>
      </c>
      <c r="D487" s="292">
        <v>2</v>
      </c>
      <c r="E487" s="292" t="s">
        <v>438</v>
      </c>
      <c r="F487" s="292" t="s">
        <v>441</v>
      </c>
      <c r="G487" s="253" t="s">
        <v>64</v>
      </c>
      <c r="J487" s="354"/>
      <c r="K487" s="355"/>
      <c r="L487" s="355"/>
      <c r="M487" s="355">
        <v>0</v>
      </c>
      <c r="N487" s="355">
        <f>M487+L487</f>
        <v>0</v>
      </c>
      <c r="O487" s="355">
        <f>N487-K487</f>
        <v>0</v>
      </c>
      <c r="P487" s="388" t="e">
        <f>N487/K487*100</f>
        <v>#DIV/0!</v>
      </c>
      <c r="Q487" s="841"/>
      <c r="R487" s="842"/>
    </row>
    <row r="488" spans="1:18" s="253" customFormat="1" ht="12.05" customHeight="1">
      <c r="A488" s="293"/>
      <c r="B488" s="292"/>
      <c r="C488" s="292"/>
      <c r="D488" s="292"/>
      <c r="E488" s="292"/>
      <c r="F488" s="292"/>
      <c r="J488" s="354"/>
      <c r="K488" s="355"/>
      <c r="L488" s="355"/>
      <c r="M488" s="355"/>
      <c r="N488" s="355"/>
      <c r="O488" s="355"/>
      <c r="P488" s="388"/>
      <c r="Q488" s="841"/>
      <c r="R488" s="842"/>
    </row>
    <row r="489" spans="1:18" s="253" customFormat="1" ht="12.05" customHeight="1">
      <c r="A489" s="293"/>
      <c r="B489" s="290">
        <v>4</v>
      </c>
      <c r="C489" s="290">
        <v>1</v>
      </c>
      <c r="D489" s="290">
        <v>4</v>
      </c>
      <c r="E489" s="290"/>
      <c r="F489" s="290"/>
      <c r="G489" s="291" t="s">
        <v>71</v>
      </c>
      <c r="H489" s="291"/>
      <c r="I489" s="291"/>
      <c r="J489" s="370">
        <f>J490+J496</f>
        <v>1347785700</v>
      </c>
      <c r="K489" s="371">
        <f>K490+K496</f>
        <v>0</v>
      </c>
      <c r="L489" s="371">
        <f>L490+L496</f>
        <v>180658397</v>
      </c>
      <c r="M489" s="371">
        <f>M490+M496</f>
        <v>41968368</v>
      </c>
      <c r="N489" s="371">
        <f>N490+N496</f>
        <v>222626765</v>
      </c>
      <c r="O489" s="367">
        <f t="shared" ref="O489:O494" si="74">N489-K489</f>
        <v>222626765</v>
      </c>
      <c r="P489" s="347" t="e">
        <f>N489/K489*100</f>
        <v>#DIV/0!</v>
      </c>
      <c r="Q489" s="841"/>
      <c r="R489" s="842"/>
    </row>
    <row r="490" spans="1:18" s="253" customFormat="1" ht="15.05">
      <c r="A490" s="293"/>
      <c r="B490" s="292">
        <v>4</v>
      </c>
      <c r="C490" s="292">
        <v>1</v>
      </c>
      <c r="D490" s="292">
        <v>4</v>
      </c>
      <c r="E490" s="292" t="s">
        <v>444</v>
      </c>
      <c r="F490" s="292"/>
      <c r="G490" s="253" t="s">
        <v>222</v>
      </c>
      <c r="J490" s="370">
        <f>SUM(J491:J494)</f>
        <v>1340585700</v>
      </c>
      <c r="K490" s="830">
        <f>SUM(K491:K494)</f>
        <v>0</v>
      </c>
      <c r="L490" s="830">
        <f>SUM(L491:L494)</f>
        <v>180658397</v>
      </c>
      <c r="M490" s="830">
        <f>SUM(M491:M494)</f>
        <v>41968368</v>
      </c>
      <c r="N490" s="831">
        <f>+M490+L490</f>
        <v>222626765</v>
      </c>
      <c r="O490" s="831">
        <f t="shared" si="74"/>
        <v>222626765</v>
      </c>
      <c r="P490" s="832" t="e">
        <f>N490/K490*100</f>
        <v>#DIV/0!</v>
      </c>
      <c r="Q490" s="843"/>
      <c r="R490" s="842"/>
    </row>
    <row r="491" spans="1:18" s="253" customFormat="1" ht="12.05" customHeight="1">
      <c r="A491" s="293"/>
      <c r="B491" s="292">
        <v>4</v>
      </c>
      <c r="C491" s="292">
        <v>1</v>
      </c>
      <c r="D491" s="292">
        <v>4</v>
      </c>
      <c r="E491" s="292" t="s">
        <v>444</v>
      </c>
      <c r="F491" s="292" t="s">
        <v>438</v>
      </c>
      <c r="G491" s="253" t="s">
        <v>983</v>
      </c>
      <c r="J491" s="354">
        <v>0</v>
      </c>
      <c r="K491" s="355">
        <v>0</v>
      </c>
      <c r="L491" s="360">
        <f>[56]PerDinas!$N$491</f>
        <v>0</v>
      </c>
      <c r="M491" s="355">
        <v>0</v>
      </c>
      <c r="N491" s="346">
        <f>+M491+L491</f>
        <v>0</v>
      </c>
      <c r="O491" s="346">
        <f t="shared" si="74"/>
        <v>0</v>
      </c>
      <c r="P491" s="347" t="e">
        <f>N491/K491*100</f>
        <v>#DIV/0!</v>
      </c>
      <c r="Q491" s="844"/>
      <c r="R491" s="842"/>
    </row>
    <row r="492" spans="1:18" s="253" customFormat="1" ht="12.05" customHeight="1">
      <c r="A492" s="293"/>
      <c r="B492" s="292">
        <v>4</v>
      </c>
      <c r="C492" s="292">
        <v>1</v>
      </c>
      <c r="D492" s="292">
        <v>4</v>
      </c>
      <c r="E492" s="292" t="s">
        <v>444</v>
      </c>
      <c r="F492" s="292" t="s">
        <v>440</v>
      </c>
      <c r="G492" s="253" t="s">
        <v>73</v>
      </c>
      <c r="J492" s="354">
        <v>40585700</v>
      </c>
      <c r="K492" s="355"/>
      <c r="L492" s="360"/>
      <c r="M492" s="355">
        <f>[55]Perdinas!$P$423</f>
        <v>0</v>
      </c>
      <c r="N492" s="355">
        <f>M492+L492</f>
        <v>0</v>
      </c>
      <c r="O492" s="355">
        <f t="shared" si="74"/>
        <v>0</v>
      </c>
      <c r="P492" s="388"/>
      <c r="Q492" s="841"/>
      <c r="R492" s="842"/>
    </row>
    <row r="493" spans="1:18" s="253" customFormat="1" ht="12.05" customHeight="1">
      <c r="A493" s="293"/>
      <c r="B493" s="292">
        <v>4</v>
      </c>
      <c r="C493" s="292">
        <v>1</v>
      </c>
      <c r="D493" s="292">
        <v>4</v>
      </c>
      <c r="E493" s="292" t="s">
        <v>444</v>
      </c>
      <c r="F493" s="292" t="s">
        <v>445</v>
      </c>
      <c r="G493" s="253" t="s">
        <v>74</v>
      </c>
      <c r="J493" s="354">
        <v>0</v>
      </c>
      <c r="K493" s="355">
        <v>0</v>
      </c>
      <c r="L493" s="360"/>
      <c r="M493" s="355">
        <f>[55]Perdinas!$P$424</f>
        <v>0</v>
      </c>
      <c r="N493" s="355">
        <f>M493+L493</f>
        <v>0</v>
      </c>
      <c r="O493" s="355">
        <f t="shared" si="74"/>
        <v>0</v>
      </c>
      <c r="P493" s="388"/>
      <c r="Q493" s="841"/>
      <c r="R493" s="842"/>
    </row>
    <row r="494" spans="1:18" s="253" customFormat="1" ht="12.05" customHeight="1">
      <c r="A494" s="293"/>
      <c r="B494" s="292">
        <v>4</v>
      </c>
      <c r="C494" s="292">
        <v>1</v>
      </c>
      <c r="D494" s="292">
        <v>4</v>
      </c>
      <c r="E494" s="292" t="s">
        <v>444</v>
      </c>
      <c r="F494" s="292" t="s">
        <v>441</v>
      </c>
      <c r="G494" s="253" t="s">
        <v>75</v>
      </c>
      <c r="J494" s="354">
        <v>1300000000</v>
      </c>
      <c r="K494" s="355">
        <v>0</v>
      </c>
      <c r="L494" s="360">
        <f>[56]PerDinas!$N$494</f>
        <v>180658397</v>
      </c>
      <c r="M494" s="355">
        <f>[55]Perdinas!$P$425</f>
        <v>41968368</v>
      </c>
      <c r="N494" s="369">
        <f>M494+L494</f>
        <v>222626765</v>
      </c>
      <c r="O494" s="355">
        <f t="shared" si="74"/>
        <v>222626765</v>
      </c>
      <c r="P494" s="347" t="e">
        <f>N494/K494*100</f>
        <v>#DIV/0!</v>
      </c>
      <c r="Q494" s="841"/>
      <c r="R494" s="842"/>
    </row>
    <row r="495" spans="1:18" s="253" customFormat="1" ht="12.05" customHeight="1">
      <c r="A495" s="293"/>
      <c r="B495" s="292"/>
      <c r="C495" s="292"/>
      <c r="D495" s="292"/>
      <c r="E495" s="292"/>
      <c r="F495" s="292"/>
      <c r="J495" s="354"/>
      <c r="K495" s="355"/>
      <c r="L495" s="360"/>
      <c r="M495" s="355"/>
      <c r="N495" s="355"/>
      <c r="O495" s="355"/>
      <c r="P495" s="388"/>
      <c r="Q495" s="841"/>
      <c r="R495" s="842"/>
    </row>
    <row r="496" spans="1:18" s="253" customFormat="1" ht="12.05" customHeight="1">
      <c r="A496" s="303"/>
      <c r="B496" s="292">
        <v>4</v>
      </c>
      <c r="C496" s="292">
        <v>1</v>
      </c>
      <c r="D496" s="292">
        <v>4</v>
      </c>
      <c r="E496" s="292" t="s">
        <v>948</v>
      </c>
      <c r="F496" s="292"/>
      <c r="G496" s="253" t="s">
        <v>321</v>
      </c>
      <c r="J496" s="397">
        <f>+J497+J498</f>
        <v>7200000</v>
      </c>
      <c r="K496" s="398">
        <f>+K497+K498</f>
        <v>0</v>
      </c>
      <c r="L496" s="684">
        <f>+L497+L498</f>
        <v>0</v>
      </c>
      <c r="M496" s="398">
        <f>+M497+M498</f>
        <v>0</v>
      </c>
      <c r="N496" s="398">
        <f>+N497+N498</f>
        <v>0</v>
      </c>
      <c r="O496" s="398">
        <f>N496-K496</f>
        <v>0</v>
      </c>
      <c r="P496" s="347" t="e">
        <f>N496/K496*100</f>
        <v>#DIV/0!</v>
      </c>
      <c r="Q496" s="841"/>
      <c r="R496" s="842"/>
    </row>
    <row r="497" spans="1:18" s="253" customFormat="1" ht="12.05" customHeight="1">
      <c r="A497" s="303"/>
      <c r="B497" s="292">
        <v>4</v>
      </c>
      <c r="C497" s="292">
        <v>1</v>
      </c>
      <c r="D497" s="292">
        <v>4</v>
      </c>
      <c r="E497" s="292" t="s">
        <v>948</v>
      </c>
      <c r="F497" s="292" t="s">
        <v>437</v>
      </c>
      <c r="G497" s="253" t="s">
        <v>50</v>
      </c>
      <c r="I497" s="253" t="s">
        <v>76</v>
      </c>
      <c r="J497" s="374">
        <v>2200000</v>
      </c>
      <c r="K497" s="375"/>
      <c r="L497" s="377">
        <v>0</v>
      </c>
      <c r="M497" s="375">
        <v>0</v>
      </c>
      <c r="N497" s="355">
        <f>M497+L497</f>
        <v>0</v>
      </c>
      <c r="O497" s="355">
        <f>N497-K497</f>
        <v>0</v>
      </c>
      <c r="P497" s="347"/>
      <c r="Q497" s="841"/>
      <c r="R497" s="842"/>
    </row>
    <row r="498" spans="1:18" s="253" customFormat="1" ht="12.05" customHeight="1">
      <c r="A498" s="303"/>
      <c r="B498" s="292" t="s">
        <v>984</v>
      </c>
      <c r="C498" s="292" t="s">
        <v>984</v>
      </c>
      <c r="D498" s="292" t="s">
        <v>984</v>
      </c>
      <c r="E498" s="292" t="s">
        <v>984</v>
      </c>
      <c r="F498" s="292" t="s">
        <v>984</v>
      </c>
      <c r="G498" s="253" t="s">
        <v>50</v>
      </c>
      <c r="I498" s="253" t="s">
        <v>632</v>
      </c>
      <c r="J498" s="374">
        <v>5000000</v>
      </c>
      <c r="K498" s="375">
        <v>0</v>
      </c>
      <c r="L498" s="377">
        <v>0</v>
      </c>
      <c r="M498" s="375">
        <v>0</v>
      </c>
      <c r="N498" s="369">
        <f>M498+L498</f>
        <v>0</v>
      </c>
      <c r="O498" s="355">
        <f>N498-K498</f>
        <v>0</v>
      </c>
      <c r="P498" s="347" t="e">
        <f>N498/K498*100</f>
        <v>#DIV/0!</v>
      </c>
      <c r="Q498" s="841"/>
      <c r="R498" s="842"/>
    </row>
    <row r="499" spans="1:18" s="189" customFormat="1" ht="12.7" customHeight="1">
      <c r="A499" s="657"/>
      <c r="B499" s="578"/>
      <c r="C499" s="578"/>
      <c r="D499" s="578"/>
      <c r="E499" s="578"/>
      <c r="F499" s="578"/>
      <c r="J499" s="333"/>
      <c r="K499" s="334"/>
      <c r="L499" s="356"/>
      <c r="M499" s="334"/>
      <c r="N499" s="334">
        <f>M499+L499</f>
        <v>0</v>
      </c>
      <c r="O499" s="334"/>
      <c r="P499" s="335"/>
      <c r="Q499" s="841"/>
      <c r="R499" s="422"/>
    </row>
    <row r="500" spans="1:18" s="244" customFormat="1" ht="12.05" customHeight="1">
      <c r="A500" s="1186" t="s">
        <v>176</v>
      </c>
      <c r="B500" s="1187" t="s">
        <v>58</v>
      </c>
      <c r="C500" s="1187" t="s">
        <v>849</v>
      </c>
      <c r="D500" s="1187" t="s">
        <v>451</v>
      </c>
      <c r="E500" s="1187" t="s">
        <v>437</v>
      </c>
      <c r="F500" s="1249"/>
      <c r="G500" s="1188" t="s">
        <v>985</v>
      </c>
      <c r="H500" s="1188"/>
      <c r="I500" s="1188"/>
      <c r="J500" s="1263">
        <f>J502</f>
        <v>87096920900</v>
      </c>
      <c r="K500" s="1264">
        <f>K502</f>
        <v>256140935069</v>
      </c>
      <c r="L500" s="1265">
        <f>L502</f>
        <v>102864900107.39999</v>
      </c>
      <c r="M500" s="1265">
        <f>M502</f>
        <v>62308630976</v>
      </c>
      <c r="N500" s="1196">
        <f>+M500+L500</f>
        <v>165173531083.39999</v>
      </c>
      <c r="O500" s="1196">
        <f t="shared" ref="O500:O507" si="75">N500-K500</f>
        <v>-90967403985.600006</v>
      </c>
      <c r="P500" s="1197">
        <f t="shared" ref="P500:P507" si="76">N500/K500*100</f>
        <v>64.48540958082512</v>
      </c>
      <c r="Q500" s="1208"/>
      <c r="R500" s="788">
        <f>N500-[55]Perdinas!$Q$272</f>
        <v>633105415</v>
      </c>
    </row>
    <row r="501" spans="1:18" s="189" customFormat="1" ht="12.05" customHeight="1">
      <c r="A501" s="471"/>
      <c r="B501" s="287"/>
      <c r="C501" s="287"/>
      <c r="D501" s="287"/>
      <c r="E501" s="287"/>
      <c r="F501" s="287"/>
      <c r="G501" s="410"/>
      <c r="H501" s="410"/>
      <c r="I501" s="410"/>
      <c r="J501" s="333"/>
      <c r="K501" s="334"/>
      <c r="L501" s="334"/>
      <c r="M501" s="334"/>
      <c r="N501" s="485"/>
      <c r="O501" s="485"/>
      <c r="P501" s="597"/>
      <c r="Q501" s="430"/>
      <c r="R501" s="422"/>
    </row>
    <row r="502" spans="1:18" s="189" customFormat="1" ht="12.05" customHeight="1">
      <c r="A502" s="303"/>
      <c r="B502" s="290">
        <v>4</v>
      </c>
      <c r="C502" s="290">
        <v>1</v>
      </c>
      <c r="D502" s="290"/>
      <c r="E502" s="290"/>
      <c r="F502" s="290"/>
      <c r="G502" s="291" t="s">
        <v>180</v>
      </c>
      <c r="H502" s="291"/>
      <c r="I502" s="291"/>
      <c r="J502" s="836">
        <f>J504+J522+J533</f>
        <v>87096920900</v>
      </c>
      <c r="K502" s="837">
        <f>K504+K522+K533+K578</f>
        <v>256140935069</v>
      </c>
      <c r="L502" s="837">
        <f>L504+L522+L533+L578+L635</f>
        <v>102864900107.39999</v>
      </c>
      <c r="M502" s="837">
        <f>M504+M522+M533+M578+M635</f>
        <v>62308630976</v>
      </c>
      <c r="N502" s="837">
        <f>M502+L502</f>
        <v>165173531083.39999</v>
      </c>
      <c r="O502" s="343">
        <f t="shared" si="75"/>
        <v>-90967403985.600006</v>
      </c>
      <c r="P502" s="344">
        <f t="shared" si="76"/>
        <v>64.48540958082512</v>
      </c>
      <c r="Q502" s="846"/>
      <c r="R502" s="422"/>
    </row>
    <row r="503" spans="1:18" s="189" customFormat="1" ht="12.05" customHeight="1">
      <c r="A503" s="303"/>
      <c r="B503" s="290"/>
      <c r="C503" s="290"/>
      <c r="D503" s="290"/>
      <c r="E503" s="290"/>
      <c r="F503" s="290"/>
      <c r="G503" s="291"/>
      <c r="H503" s="291"/>
      <c r="I503" s="291"/>
      <c r="J503" s="370"/>
      <c r="K503" s="371"/>
      <c r="L503" s="371"/>
      <c r="M503" s="371"/>
      <c r="N503" s="367"/>
      <c r="O503" s="367"/>
      <c r="P503" s="347"/>
      <c r="Q503" s="651"/>
      <c r="R503" s="422"/>
    </row>
    <row r="504" spans="1:18" s="189" customFormat="1" ht="12.05" customHeight="1">
      <c r="A504" s="293"/>
      <c r="B504" s="290">
        <v>4</v>
      </c>
      <c r="C504" s="290">
        <v>1</v>
      </c>
      <c r="D504" s="290">
        <v>2</v>
      </c>
      <c r="E504" s="290"/>
      <c r="F504" s="290"/>
      <c r="G504" s="291" t="s">
        <v>106</v>
      </c>
      <c r="H504" s="291"/>
      <c r="I504" s="291"/>
      <c r="J504" s="348">
        <f t="shared" ref="J504:M505" si="77">+J505</f>
        <v>0</v>
      </c>
      <c r="K504" s="349">
        <f t="shared" si="77"/>
        <v>2235631500</v>
      </c>
      <c r="L504" s="349">
        <f t="shared" si="77"/>
        <v>1780362282</v>
      </c>
      <c r="M504" s="349">
        <f t="shared" si="77"/>
        <v>193839041</v>
      </c>
      <c r="N504" s="349">
        <f>+M504+L504</f>
        <v>1974201323</v>
      </c>
      <c r="O504" s="349">
        <f t="shared" si="75"/>
        <v>-261430177</v>
      </c>
      <c r="P504" s="350">
        <f t="shared" si="76"/>
        <v>88.306204443800326</v>
      </c>
      <c r="Q504" s="439"/>
      <c r="R504" s="555">
        <f>N504-[55]Perdinas!$Q$275</f>
        <v>633105415</v>
      </c>
    </row>
    <row r="505" spans="1:18" s="189" customFormat="1" ht="14.25" customHeight="1">
      <c r="A505" s="293"/>
      <c r="B505" s="292">
        <v>4</v>
      </c>
      <c r="C505" s="292">
        <v>1</v>
      </c>
      <c r="D505" s="292">
        <v>2</v>
      </c>
      <c r="E505" s="292" t="s">
        <v>438</v>
      </c>
      <c r="F505" s="292"/>
      <c r="G505" s="253" t="s">
        <v>109</v>
      </c>
      <c r="H505" s="253"/>
      <c r="I505" s="291"/>
      <c r="J505" s="411">
        <f t="shared" si="77"/>
        <v>0</v>
      </c>
      <c r="K505" s="412">
        <f t="shared" si="77"/>
        <v>2235631500</v>
      </c>
      <c r="L505" s="412">
        <f t="shared" si="77"/>
        <v>1780362282</v>
      </c>
      <c r="M505" s="412">
        <f t="shared" si="77"/>
        <v>193839041</v>
      </c>
      <c r="N505" s="412">
        <f>+N506</f>
        <v>1974201323</v>
      </c>
      <c r="O505" s="412">
        <f t="shared" si="75"/>
        <v>-261430177</v>
      </c>
      <c r="P505" s="487">
        <f t="shared" si="76"/>
        <v>88.306204443800326</v>
      </c>
      <c r="Q505" s="694"/>
      <c r="R505" s="422"/>
    </row>
    <row r="506" spans="1:18" s="189" customFormat="1" ht="14.25" customHeight="1">
      <c r="A506" s="293"/>
      <c r="B506" s="292">
        <v>4</v>
      </c>
      <c r="C506" s="292">
        <v>1</v>
      </c>
      <c r="D506" s="292">
        <v>2</v>
      </c>
      <c r="E506" s="292" t="s">
        <v>437</v>
      </c>
      <c r="F506" s="292" t="s">
        <v>441</v>
      </c>
      <c r="G506" s="253" t="s">
        <v>986</v>
      </c>
      <c r="I506" s="297"/>
      <c r="J506" s="333">
        <v>0</v>
      </c>
      <c r="K506" s="1266">
        <f>SUM(K507:K520)-K511-K507</f>
        <v>2235631500</v>
      </c>
      <c r="L506" s="1266">
        <f>SUM(L507:L520)-L511-L507</f>
        <v>1780362282</v>
      </c>
      <c r="M506" s="1266">
        <f>SUM(M507:M520)-M511-M507</f>
        <v>193839041</v>
      </c>
      <c r="N506" s="1267">
        <f t="shared" ref="N506:N520" si="78">M506+L506</f>
        <v>1974201323</v>
      </c>
      <c r="O506" s="1266">
        <f t="shared" si="75"/>
        <v>-261430177</v>
      </c>
      <c r="P506" s="1268">
        <f t="shared" si="76"/>
        <v>88.306204443800326</v>
      </c>
      <c r="Q506" s="1275"/>
      <c r="R506" s="555"/>
    </row>
    <row r="507" spans="1:18" s="190" customFormat="1" ht="15.05">
      <c r="A507" s="293"/>
      <c r="B507" s="290"/>
      <c r="C507" s="290"/>
      <c r="D507" s="290"/>
      <c r="E507" s="290"/>
      <c r="F507" s="290"/>
      <c r="G507" s="291" t="s">
        <v>50</v>
      </c>
      <c r="H507" s="291" t="s">
        <v>518</v>
      </c>
      <c r="I507" s="291"/>
      <c r="J507" s="830" t="e">
        <f>SUM(J508:J510)</f>
        <v>#REF!</v>
      </c>
      <c r="K507" s="1269">
        <f>SUM(K508:K510)</f>
        <v>2075381500</v>
      </c>
      <c r="L507" s="1269">
        <f>SUM(L508:L510)</f>
        <v>1752626937</v>
      </c>
      <c r="M507" s="1269">
        <f>SUM(M508:M510)</f>
        <v>193839041</v>
      </c>
      <c r="N507" s="1270">
        <f t="shared" si="78"/>
        <v>1946465978</v>
      </c>
      <c r="O507" s="1271">
        <f t="shared" si="75"/>
        <v>-128915522</v>
      </c>
      <c r="P507" s="455">
        <f t="shared" si="76"/>
        <v>93.788345805337485</v>
      </c>
      <c r="Q507" s="455"/>
      <c r="R507" s="1276"/>
    </row>
    <row r="508" spans="1:18" s="189" customFormat="1" ht="12.05" customHeight="1">
      <c r="A508" s="293"/>
      <c r="B508" s="292"/>
      <c r="C508" s="292"/>
      <c r="D508" s="292"/>
      <c r="E508" s="292"/>
      <c r="F508" s="292"/>
      <c r="G508" s="253"/>
      <c r="H508" s="2771" t="s">
        <v>519</v>
      </c>
      <c r="I508" s="826"/>
      <c r="J508" s="1272" t="e">
        <f>'[55]TARGET MURNI DAN PERUBAHAN'!#REF!</f>
        <v>#REF!</v>
      </c>
      <c r="K508" s="1273">
        <f>'[55]TARGET MURNI DAN PERUBAHAN'!$E$219</f>
        <v>1043101100</v>
      </c>
      <c r="L508" s="355">
        <f>[56]PerDinas!$N$508</f>
        <v>702699711</v>
      </c>
      <c r="M508" s="355">
        <f>[55]Perdinas!$P$278</f>
        <v>77184905</v>
      </c>
      <c r="N508" s="369">
        <f t="shared" si="78"/>
        <v>779884616</v>
      </c>
      <c r="O508" s="355">
        <f t="shared" ref="O508:O520" si="79">N508-K508</f>
        <v>-263216484</v>
      </c>
      <c r="P508" s="441"/>
      <c r="Q508" s="441"/>
      <c r="R508" s="555"/>
    </row>
    <row r="509" spans="1:18" s="189" customFormat="1" ht="12.05" customHeight="1">
      <c r="A509" s="293"/>
      <c r="B509" s="292"/>
      <c r="C509" s="292"/>
      <c r="D509" s="292"/>
      <c r="E509" s="292"/>
      <c r="F509" s="292"/>
      <c r="G509" s="253"/>
      <c r="H509" s="2771" t="s">
        <v>520</v>
      </c>
      <c r="I509" s="826"/>
      <c r="J509" s="1272" t="e">
        <f>'[55]TARGET MURNI DAN PERUBAHAN'!#REF!</f>
        <v>#REF!</v>
      </c>
      <c r="K509" s="1273">
        <f>'[55]TARGET MURNI DAN PERUBAHAN'!$E$220</f>
        <v>532280400</v>
      </c>
      <c r="L509" s="355">
        <f>[56]PerDinas!$N$509</f>
        <v>107541073</v>
      </c>
      <c r="M509" s="355">
        <f>[55]Perdinas!$P$279</f>
        <v>23278601</v>
      </c>
      <c r="N509" s="369">
        <f t="shared" si="78"/>
        <v>130819674</v>
      </c>
      <c r="O509" s="355">
        <f t="shared" si="79"/>
        <v>-401460726</v>
      </c>
      <c r="P509" s="441"/>
      <c r="Q509" s="441"/>
      <c r="R509" s="555"/>
    </row>
    <row r="510" spans="1:18" s="189" customFormat="1" ht="12.05" customHeight="1">
      <c r="A510" s="293"/>
      <c r="B510" s="292"/>
      <c r="C510" s="292"/>
      <c r="D510" s="292"/>
      <c r="E510" s="292"/>
      <c r="F510" s="292"/>
      <c r="G510" s="253"/>
      <c r="H510" s="2771" t="s">
        <v>521</v>
      </c>
      <c r="I510" s="826"/>
      <c r="J510" s="1272" t="e">
        <f>'[55]TARGET MURNI DAN PERUBAHAN'!#REF!</f>
        <v>#REF!</v>
      </c>
      <c r="K510" s="1273">
        <f>'[55]TARGET MURNI DAN PERUBAHAN'!$E$221</f>
        <v>500000000</v>
      </c>
      <c r="L510" s="355">
        <f>[56]PerDinas!$N$510</f>
        <v>942386153</v>
      </c>
      <c r="M510" s="355">
        <f>[55]Perdinas!$P$280</f>
        <v>93375535</v>
      </c>
      <c r="N510" s="369">
        <f t="shared" si="78"/>
        <v>1035761688</v>
      </c>
      <c r="O510" s="355">
        <f t="shared" si="79"/>
        <v>535761688</v>
      </c>
      <c r="P510" s="441"/>
      <c r="Q510" s="441"/>
      <c r="R510" s="555"/>
    </row>
    <row r="511" spans="1:18" s="189" customFormat="1">
      <c r="A511" s="293"/>
      <c r="B511" s="292"/>
      <c r="C511" s="292"/>
      <c r="D511" s="292"/>
      <c r="E511" s="292"/>
      <c r="F511" s="292"/>
      <c r="G511" s="253" t="s">
        <v>50</v>
      </c>
      <c r="H511" s="202" t="s">
        <v>522</v>
      </c>
      <c r="I511" s="200"/>
      <c r="J511" s="355" t="e">
        <f>SUM(J512:J519)</f>
        <v>#REF!</v>
      </c>
      <c r="K511" s="1274">
        <f>SUM(K512:K520)</f>
        <v>160250000</v>
      </c>
      <c r="L511" s="1274">
        <f>SUM(L512:L520)</f>
        <v>27735345</v>
      </c>
      <c r="M511" s="1274">
        <f>SUM(M512:M520)</f>
        <v>0</v>
      </c>
      <c r="N511" s="1067">
        <f t="shared" si="78"/>
        <v>27735345</v>
      </c>
      <c r="O511" s="371">
        <f t="shared" si="79"/>
        <v>-132514655</v>
      </c>
      <c r="P511" s="651">
        <f>N511/K511*100</f>
        <v>17.307547581903275</v>
      </c>
      <c r="Q511" s="441"/>
      <c r="R511" s="555"/>
    </row>
    <row r="512" spans="1:18" s="189" customFormat="1" ht="12.05" customHeight="1">
      <c r="A512" s="293"/>
      <c r="B512" s="292"/>
      <c r="C512" s="292"/>
      <c r="D512" s="292"/>
      <c r="E512" s="292"/>
      <c r="F512" s="292"/>
      <c r="G512" s="253"/>
      <c r="H512" s="2771" t="s">
        <v>758</v>
      </c>
      <c r="I512" s="826"/>
      <c r="J512" s="1272" t="e">
        <f>'[55]TARGET MURNI DAN PERUBAHAN'!#REF!</f>
        <v>#REF!</v>
      </c>
      <c r="K512" s="1273">
        <f>'[55]TARGET MURNI DAN PERUBAHAN'!$E$223</f>
        <v>35000000</v>
      </c>
      <c r="L512" s="355">
        <f>[56]PerDinas!$N$512</f>
        <v>0</v>
      </c>
      <c r="M512" s="355">
        <f>[55]Perdinas!$P$282</f>
        <v>0</v>
      </c>
      <c r="N512" s="369">
        <f t="shared" si="78"/>
        <v>0</v>
      </c>
      <c r="O512" s="355">
        <f t="shared" si="79"/>
        <v>-35000000</v>
      </c>
      <c r="P512" s="441"/>
      <c r="Q512" s="441"/>
      <c r="R512" s="555"/>
    </row>
    <row r="513" spans="1:18" s="189" customFormat="1" ht="12.05" customHeight="1">
      <c r="A513" s="293"/>
      <c r="B513" s="292"/>
      <c r="C513" s="292"/>
      <c r="D513" s="292"/>
      <c r="E513" s="292"/>
      <c r="F513" s="292"/>
      <c r="G513" s="253"/>
      <c r="H513" s="2771" t="s">
        <v>759</v>
      </c>
      <c r="I513" s="826"/>
      <c r="J513" s="1272" t="e">
        <f>'[55]TARGET MURNI DAN PERUBAHAN'!#REF!</f>
        <v>#REF!</v>
      </c>
      <c r="K513" s="1273">
        <f>'[55]TARGET MURNI DAN PERUBAHAN'!$E$224</f>
        <v>28000000</v>
      </c>
      <c r="L513" s="355">
        <f>[56]PerDinas!$N$513</f>
        <v>0</v>
      </c>
      <c r="M513" s="355">
        <f>[55]Perdinas!$P$283</f>
        <v>0</v>
      </c>
      <c r="N513" s="369">
        <f t="shared" si="78"/>
        <v>0</v>
      </c>
      <c r="O513" s="355">
        <f t="shared" si="79"/>
        <v>-28000000</v>
      </c>
      <c r="P513" s="441"/>
      <c r="Q513" s="441"/>
      <c r="R513" s="555"/>
    </row>
    <row r="514" spans="1:18" s="189" customFormat="1" ht="12.05" customHeight="1">
      <c r="A514" s="293"/>
      <c r="B514" s="292"/>
      <c r="C514" s="292"/>
      <c r="D514" s="292"/>
      <c r="E514" s="292"/>
      <c r="F514" s="292"/>
      <c r="G514" s="253"/>
      <c r="H514" s="2771" t="s">
        <v>760</v>
      </c>
      <c r="I514" s="826"/>
      <c r="J514" s="1272" t="e">
        <f>'[55]TARGET MURNI DAN PERUBAHAN'!#REF!</f>
        <v>#REF!</v>
      </c>
      <c r="K514" s="1273">
        <f>'[55]TARGET MURNI DAN PERUBAHAN'!$E$225</f>
        <v>17250000</v>
      </c>
      <c r="L514" s="355">
        <f>[56]PerDinas!$N$514</f>
        <v>0</v>
      </c>
      <c r="M514" s="355">
        <f>[55]Perdinas!$P$284</f>
        <v>0</v>
      </c>
      <c r="N514" s="369">
        <f t="shared" si="78"/>
        <v>0</v>
      </c>
      <c r="O514" s="355">
        <f t="shared" si="79"/>
        <v>-17250000</v>
      </c>
      <c r="P514" s="441"/>
      <c r="Q514" s="441"/>
      <c r="R514" s="555"/>
    </row>
    <row r="515" spans="1:18" s="189" customFormat="1" ht="12.05" customHeight="1">
      <c r="A515" s="293"/>
      <c r="B515" s="292"/>
      <c r="C515" s="292"/>
      <c r="D515" s="292"/>
      <c r="E515" s="292"/>
      <c r="F515" s="292"/>
      <c r="G515" s="291"/>
      <c r="H515" s="2771" t="s">
        <v>761</v>
      </c>
      <c r="I515" s="826"/>
      <c r="J515" s="1272" t="e">
        <f>'[55]TARGET MURNI DAN PERUBAHAN'!#REF!</f>
        <v>#REF!</v>
      </c>
      <c r="K515" s="1273">
        <f>'[55]TARGET MURNI DAN PERUBAHAN'!$E$226</f>
        <v>30000000</v>
      </c>
      <c r="L515" s="355">
        <f>[56]PerDinas!$N$515</f>
        <v>0</v>
      </c>
      <c r="M515" s="355">
        <f>[55]Perdinas!$P$285</f>
        <v>0</v>
      </c>
      <c r="N515" s="369">
        <f t="shared" si="78"/>
        <v>0</v>
      </c>
      <c r="O515" s="355">
        <f t="shared" si="79"/>
        <v>-30000000</v>
      </c>
      <c r="P515" s="441"/>
      <c r="Q515" s="441"/>
      <c r="R515" s="555"/>
    </row>
    <row r="516" spans="1:18" s="189" customFormat="1" ht="12.05" customHeight="1">
      <c r="A516" s="293"/>
      <c r="B516" s="292"/>
      <c r="C516" s="292"/>
      <c r="D516" s="292"/>
      <c r="E516" s="292"/>
      <c r="F516" s="292"/>
      <c r="G516" s="291"/>
      <c r="H516" s="2771" t="s">
        <v>762</v>
      </c>
      <c r="I516" s="826"/>
      <c r="J516" s="1272" t="e">
        <f>'[55]TARGET MURNI DAN PERUBAHAN'!#REF!</f>
        <v>#REF!</v>
      </c>
      <c r="K516" s="1273">
        <f>'[55]TARGET MURNI DAN PERUBAHAN'!$E$227</f>
        <v>50000000</v>
      </c>
      <c r="L516" s="355">
        <f>[56]PerDinas!$N$516</f>
        <v>0</v>
      </c>
      <c r="M516" s="355">
        <f>[55]Perdinas!$P$286</f>
        <v>0</v>
      </c>
      <c r="N516" s="369">
        <f t="shared" si="78"/>
        <v>0</v>
      </c>
      <c r="O516" s="355">
        <f t="shared" si="79"/>
        <v>-50000000</v>
      </c>
      <c r="P516" s="441"/>
      <c r="Q516" s="441"/>
      <c r="R516" s="555"/>
    </row>
    <row r="517" spans="1:18" s="189" customFormat="1" ht="12.05" customHeight="1">
      <c r="A517" s="293"/>
      <c r="B517" s="292"/>
      <c r="C517" s="292"/>
      <c r="D517" s="292"/>
      <c r="E517" s="292"/>
      <c r="F517" s="292"/>
      <c r="G517" s="253"/>
      <c r="H517" s="2772" t="s">
        <v>763</v>
      </c>
      <c r="I517" s="847"/>
      <c r="J517" s="1272" t="e">
        <f>'[55]TARGET MURNI DAN PERUBAHAN'!#REF!</f>
        <v>#REF!</v>
      </c>
      <c r="K517" s="1273">
        <f>'[55]TARGET MURNI DAN PERUBAHAN'!$E$228</f>
        <v>0</v>
      </c>
      <c r="L517" s="355">
        <f>[56]PerDinas!$N$517</f>
        <v>27735345</v>
      </c>
      <c r="M517" s="355">
        <f>[55]Perdinas!$P$287</f>
        <v>0</v>
      </c>
      <c r="N517" s="369">
        <f t="shared" si="78"/>
        <v>27735345</v>
      </c>
      <c r="O517" s="355">
        <f t="shared" si="79"/>
        <v>27735345</v>
      </c>
      <c r="P517" s="441"/>
      <c r="Q517" s="441"/>
      <c r="R517" s="555"/>
    </row>
    <row r="518" spans="1:18" s="189" customFormat="1" ht="12.05" customHeight="1">
      <c r="A518" s="293"/>
      <c r="B518" s="292"/>
      <c r="C518" s="292"/>
      <c r="D518" s="292"/>
      <c r="E518" s="292"/>
      <c r="F518" s="292"/>
      <c r="G518" s="253"/>
      <c r="H518" s="2772" t="s">
        <v>764</v>
      </c>
      <c r="I518" s="847"/>
      <c r="J518" s="1272" t="e">
        <f>'[55]TARGET MURNI DAN PERUBAHAN'!#REF!</f>
        <v>#REF!</v>
      </c>
      <c r="K518" s="1273">
        <f>'[55]TARGET MURNI DAN PERUBAHAN'!$E$229</f>
        <v>0</v>
      </c>
      <c r="L518" s="355">
        <f>[56]PerDinas!$N$518</f>
        <v>0</v>
      </c>
      <c r="M518" s="355">
        <f>[55]Perdinas!$P$288</f>
        <v>0</v>
      </c>
      <c r="N518" s="369">
        <f t="shared" si="78"/>
        <v>0</v>
      </c>
      <c r="O518" s="355">
        <f t="shared" si="79"/>
        <v>0</v>
      </c>
      <c r="P518" s="441"/>
      <c r="Q518" s="441"/>
      <c r="R518" s="555"/>
    </row>
    <row r="519" spans="1:18" s="189" customFormat="1" ht="12.05" customHeight="1">
      <c r="A519" s="293"/>
      <c r="B519" s="292"/>
      <c r="C519" s="292"/>
      <c r="D519" s="292"/>
      <c r="E519" s="292"/>
      <c r="F519" s="292"/>
      <c r="G519" s="253"/>
      <c r="H519" s="2772" t="s">
        <v>765</v>
      </c>
      <c r="I519" s="847"/>
      <c r="J519" s="1272" t="e">
        <f>'[55]TARGET MURNI DAN PERUBAHAN'!#REF!</f>
        <v>#REF!</v>
      </c>
      <c r="K519" s="1273">
        <f>'[55]TARGET MURNI DAN PERUBAHAN'!$E$230</f>
        <v>0</v>
      </c>
      <c r="L519" s="355">
        <f>[56]PerDinas!$N$519</f>
        <v>0</v>
      </c>
      <c r="M519" s="355">
        <f>[55]Perdinas!$P$289</f>
        <v>0</v>
      </c>
      <c r="N519" s="369">
        <f t="shared" si="78"/>
        <v>0</v>
      </c>
      <c r="O519" s="355">
        <f t="shared" si="79"/>
        <v>0</v>
      </c>
      <c r="P519" s="441"/>
      <c r="Q519" s="441"/>
      <c r="R519" s="555"/>
    </row>
    <row r="520" spans="1:18" s="189" customFormat="1" ht="12.05" customHeight="1">
      <c r="A520" s="293"/>
      <c r="B520" s="292"/>
      <c r="C520" s="292"/>
      <c r="D520" s="292"/>
      <c r="E520" s="292"/>
      <c r="F520" s="292"/>
      <c r="G520" s="2761" t="s">
        <v>50</v>
      </c>
      <c r="H520" s="202" t="s">
        <v>766</v>
      </c>
      <c r="I520" s="202"/>
      <c r="J520" s="1272" t="e">
        <f>'[55]TARGET MURNI DAN PERUBAHAN'!#REF!</f>
        <v>#REF!</v>
      </c>
      <c r="K520" s="1273">
        <f>'[55]TARGET MURNI DAN PERUBAHAN'!$E$231</f>
        <v>0</v>
      </c>
      <c r="L520" s="355">
        <f>[56]PerDinas!$N$520</f>
        <v>0</v>
      </c>
      <c r="M520" s="355">
        <f>[55]Perdinas!$P$290</f>
        <v>0</v>
      </c>
      <c r="N520" s="369">
        <f t="shared" si="78"/>
        <v>0</v>
      </c>
      <c r="O520" s="355">
        <f t="shared" si="79"/>
        <v>0</v>
      </c>
      <c r="P520" s="441"/>
      <c r="Q520" s="441"/>
      <c r="R520" s="555"/>
    </row>
    <row r="521" spans="1:18" s="189" customFormat="1" ht="12.05" customHeight="1">
      <c r="A521" s="293"/>
      <c r="B521" s="292"/>
      <c r="C521" s="292"/>
      <c r="D521" s="292"/>
      <c r="E521" s="292"/>
      <c r="F521" s="292"/>
      <c r="G521" s="253"/>
      <c r="H521" s="410"/>
      <c r="I521" s="410"/>
      <c r="J521" s="333"/>
      <c r="K521" s="334"/>
      <c r="L521" s="356"/>
      <c r="M521" s="334"/>
      <c r="N521" s="334"/>
      <c r="O521" s="334"/>
      <c r="P521" s="335"/>
      <c r="Q521" s="430"/>
      <c r="R521" s="422"/>
    </row>
    <row r="522" spans="1:18" s="189" customFormat="1" ht="12.05" customHeight="1">
      <c r="A522" s="293"/>
      <c r="B522" s="290">
        <v>4</v>
      </c>
      <c r="C522" s="290">
        <v>1</v>
      </c>
      <c r="D522" s="290">
        <v>3</v>
      </c>
      <c r="E522" s="290"/>
      <c r="F522" s="290"/>
      <c r="G522" s="848" t="s">
        <v>987</v>
      </c>
      <c r="H522" s="848"/>
      <c r="I522" s="291"/>
      <c r="J522" s="863">
        <f t="shared" ref="J522:M523" si="80">+J523</f>
        <v>77891339800</v>
      </c>
      <c r="K522" s="864">
        <f t="shared" si="80"/>
        <v>157964885190</v>
      </c>
      <c r="L522" s="865">
        <f t="shared" si="80"/>
        <v>72827611744</v>
      </c>
      <c r="M522" s="864">
        <f t="shared" si="80"/>
        <v>0</v>
      </c>
      <c r="N522" s="866">
        <f>+M522+L522</f>
        <v>72827611744</v>
      </c>
      <c r="O522" s="866">
        <f>N522-K522</f>
        <v>-85137273446</v>
      </c>
      <c r="P522" s="867">
        <f>N522/K522*100</f>
        <v>46.103671494081119</v>
      </c>
      <c r="Q522" s="885"/>
      <c r="R522" s="555">
        <f>N522-[55]Perdinas!$Q$292</f>
        <v>0</v>
      </c>
    </row>
    <row r="523" spans="1:18" s="189" customFormat="1" ht="12.05" customHeight="1">
      <c r="A523" s="293"/>
      <c r="B523" s="292">
        <v>4</v>
      </c>
      <c r="C523" s="292">
        <v>1</v>
      </c>
      <c r="D523" s="292">
        <v>3</v>
      </c>
      <c r="E523" s="292" t="s">
        <v>437</v>
      </c>
      <c r="F523" s="292"/>
      <c r="G523" s="253" t="s">
        <v>767</v>
      </c>
      <c r="H523" s="253"/>
      <c r="I523" s="253"/>
      <c r="J523" s="489">
        <f t="shared" si="80"/>
        <v>77891339800</v>
      </c>
      <c r="K523" s="512">
        <f t="shared" si="80"/>
        <v>157964885190</v>
      </c>
      <c r="L523" s="616">
        <f t="shared" si="80"/>
        <v>72827611744</v>
      </c>
      <c r="M523" s="512">
        <f t="shared" si="80"/>
        <v>0</v>
      </c>
      <c r="N523" s="412">
        <f>+M523+L523</f>
        <v>72827611744</v>
      </c>
      <c r="O523" s="412">
        <f t="shared" ref="O523:O531" si="81">N523-K523</f>
        <v>-85137273446</v>
      </c>
      <c r="P523" s="487">
        <f t="shared" ref="P523:P531" si="82">N523/K523*100</f>
        <v>46.103671494081119</v>
      </c>
      <c r="Q523" s="647"/>
      <c r="R523" s="422"/>
    </row>
    <row r="524" spans="1:18" s="189" customFormat="1">
      <c r="A524" s="293"/>
      <c r="B524" s="292">
        <v>4</v>
      </c>
      <c r="C524" s="292">
        <v>1</v>
      </c>
      <c r="D524" s="292">
        <v>3</v>
      </c>
      <c r="E524" s="292" t="s">
        <v>437</v>
      </c>
      <c r="F524" s="292" t="s">
        <v>437</v>
      </c>
      <c r="G524" s="253" t="s">
        <v>195</v>
      </c>
      <c r="H524" s="253"/>
      <c r="I524" s="253"/>
      <c r="J524" s="494">
        <f>SUM(J525:J530)</f>
        <v>77891339800</v>
      </c>
      <c r="K524" s="495">
        <f>SUM(K525:K531)</f>
        <v>157964885190</v>
      </c>
      <c r="L524" s="495">
        <f>SUM(L525:L531)</f>
        <v>72827611744</v>
      </c>
      <c r="M524" s="495">
        <f>SUM(M525:M531)</f>
        <v>0</v>
      </c>
      <c r="N524" s="495">
        <f t="shared" ref="N524:N531" si="83">M524+L524</f>
        <v>72827611744</v>
      </c>
      <c r="O524" s="497">
        <f t="shared" si="81"/>
        <v>-85137273446</v>
      </c>
      <c r="P524" s="498">
        <f t="shared" si="82"/>
        <v>46.103671494081119</v>
      </c>
      <c r="Q524" s="548"/>
      <c r="R524" s="422"/>
    </row>
    <row r="525" spans="1:18" s="189" customFormat="1" ht="12.05" customHeight="1">
      <c r="A525" s="293"/>
      <c r="B525" s="292"/>
      <c r="C525" s="292"/>
      <c r="D525" s="292"/>
      <c r="E525" s="292"/>
      <c r="F525" s="292"/>
      <c r="G525" s="253" t="s">
        <v>50</v>
      </c>
      <c r="H525" s="253" t="s">
        <v>197</v>
      </c>
      <c r="J525" s="374">
        <v>46024029800</v>
      </c>
      <c r="K525" s="1231">
        <f>'[55]TARGET MURNI DAN PERUBAHAN'!$E$236</f>
        <v>59958450102</v>
      </c>
      <c r="L525" s="375">
        <f>[56]PerDinas!$N$525</f>
        <v>59958510102</v>
      </c>
      <c r="M525" s="375">
        <f>[55]Perdinas!$P$295</f>
        <v>0</v>
      </c>
      <c r="N525" s="415">
        <f t="shared" si="83"/>
        <v>59958510102</v>
      </c>
      <c r="O525" s="357">
        <f t="shared" si="81"/>
        <v>60000</v>
      </c>
      <c r="P525" s="358">
        <f t="shared" si="82"/>
        <v>100.00010006929783</v>
      </c>
      <c r="Q525" s="448"/>
      <c r="R525" s="422"/>
    </row>
    <row r="526" spans="1:18" s="189" customFormat="1" ht="12.05" customHeight="1">
      <c r="A526" s="293"/>
      <c r="B526" s="705"/>
      <c r="C526" s="705"/>
      <c r="D526" s="705"/>
      <c r="E526" s="705"/>
      <c r="F526" s="292"/>
      <c r="G526" s="253" t="s">
        <v>50</v>
      </c>
      <c r="H526" s="253" t="s">
        <v>988</v>
      </c>
      <c r="J526" s="374">
        <v>3250000000</v>
      </c>
      <c r="K526" s="1231">
        <f>'[55]TARGET MURNI DAN PERUBAHAN'!$E$237</f>
        <v>11374571865</v>
      </c>
      <c r="L526" s="375">
        <f>[56]PerDinas!$N$526</f>
        <v>11631764969</v>
      </c>
      <c r="M526" s="375">
        <f>[55]Perdinas!$P$296</f>
        <v>0</v>
      </c>
      <c r="N526" s="369">
        <f t="shared" si="83"/>
        <v>11631764969</v>
      </c>
      <c r="O526" s="355">
        <f t="shared" si="81"/>
        <v>257193104</v>
      </c>
      <c r="P526" s="388">
        <f t="shared" si="82"/>
        <v>102.26112338163156</v>
      </c>
      <c r="Q526" s="732"/>
      <c r="R526" s="422"/>
    </row>
    <row r="527" spans="1:18" s="189" customFormat="1" ht="12.05" customHeight="1">
      <c r="A527" s="293"/>
      <c r="B527" s="705"/>
      <c r="C527" s="705"/>
      <c r="D527" s="705"/>
      <c r="E527" s="705"/>
      <c r="F527" s="292"/>
      <c r="G527" s="253" t="s">
        <v>50</v>
      </c>
      <c r="H527" s="253" t="s">
        <v>769</v>
      </c>
      <c r="J527" s="374">
        <v>300000000</v>
      </c>
      <c r="K527" s="1231">
        <f>'[55]TARGET MURNI DAN PERUBAHAN'!$E$238</f>
        <v>1000000000</v>
      </c>
      <c r="L527" s="375">
        <f>[56]PerDinas!$N$527</f>
        <v>1000000000</v>
      </c>
      <c r="M527" s="375">
        <f>[55]Perdinas!$P$297</f>
        <v>0</v>
      </c>
      <c r="N527" s="369">
        <f t="shared" si="83"/>
        <v>1000000000</v>
      </c>
      <c r="O527" s="355">
        <f t="shared" si="81"/>
        <v>0</v>
      </c>
      <c r="P527" s="388">
        <f t="shared" si="82"/>
        <v>100</v>
      </c>
      <c r="Q527" s="732"/>
      <c r="R527" s="422"/>
    </row>
    <row r="528" spans="1:18" s="189" customFormat="1" ht="12.05" customHeight="1">
      <c r="A528" s="293"/>
      <c r="B528" s="292"/>
      <c r="C528" s="292"/>
      <c r="D528" s="292"/>
      <c r="E528" s="292"/>
      <c r="F528" s="292"/>
      <c r="G528" s="253" t="s">
        <v>50</v>
      </c>
      <c r="H528" s="253" t="s">
        <v>199</v>
      </c>
      <c r="J528" s="374">
        <v>28000000000</v>
      </c>
      <c r="K528" s="1231">
        <f>'[55]TARGET MURNI DAN PERUBAHAN'!$E$239</f>
        <v>85406400000</v>
      </c>
      <c r="L528" s="375">
        <f>[56]PerDinas!$N$528</f>
        <v>0</v>
      </c>
      <c r="M528" s="375">
        <f>[55]Perdinas!$P$298</f>
        <v>0</v>
      </c>
      <c r="N528" s="355">
        <f t="shared" si="83"/>
        <v>0</v>
      </c>
      <c r="O528" s="355">
        <f t="shared" si="81"/>
        <v>-85406400000</v>
      </c>
      <c r="P528" s="388">
        <f t="shared" si="82"/>
        <v>0</v>
      </c>
      <c r="Q528" s="732"/>
      <c r="R528" s="422"/>
    </row>
    <row r="529" spans="1:19" s="189" customFormat="1" ht="12.05" customHeight="1">
      <c r="A529" s="293"/>
      <c r="B529" s="292"/>
      <c r="C529" s="292"/>
      <c r="D529" s="292"/>
      <c r="E529" s="292"/>
      <c r="F529" s="292"/>
      <c r="G529" s="253" t="s">
        <v>50</v>
      </c>
      <c r="H529" s="253" t="s">
        <v>200</v>
      </c>
      <c r="J529" s="374">
        <v>317310000</v>
      </c>
      <c r="K529" s="1231">
        <f>'[55]TARGET MURNI DAN PERUBAHAN'!$E$240</f>
        <v>0</v>
      </c>
      <c r="L529" s="375">
        <f>[56]PerDinas!$N$529</f>
        <v>0</v>
      </c>
      <c r="M529" s="375">
        <f>[55]Perdinas!$P$299</f>
        <v>0</v>
      </c>
      <c r="N529" s="355">
        <f t="shared" si="83"/>
        <v>0</v>
      </c>
      <c r="O529" s="355">
        <f t="shared" si="81"/>
        <v>0</v>
      </c>
      <c r="P529" s="388" t="e">
        <f t="shared" si="82"/>
        <v>#DIV/0!</v>
      </c>
      <c r="Q529" s="732"/>
      <c r="R529" s="422"/>
    </row>
    <row r="530" spans="1:19" s="189" customFormat="1" ht="12.05" customHeight="1">
      <c r="A530" s="293"/>
      <c r="B530" s="292"/>
      <c r="C530" s="292"/>
      <c r="D530" s="292"/>
      <c r="E530" s="292"/>
      <c r="F530" s="292"/>
      <c r="G530" s="253" t="s">
        <v>50</v>
      </c>
      <c r="H530" s="253" t="s">
        <v>201</v>
      </c>
      <c r="J530" s="374"/>
      <c r="K530" s="1231">
        <f>'[55]TARGET MURNI DAN PERUBAHAN'!$E$241</f>
        <v>136702012</v>
      </c>
      <c r="L530" s="375">
        <f>[56]PerDinas!$N$530</f>
        <v>136702012</v>
      </c>
      <c r="M530" s="375">
        <f>[55]Perdinas!$P$300</f>
        <v>0</v>
      </c>
      <c r="N530" s="369">
        <f t="shared" si="83"/>
        <v>136702012</v>
      </c>
      <c r="O530" s="355">
        <f t="shared" si="81"/>
        <v>0</v>
      </c>
      <c r="P530" s="388">
        <f t="shared" si="82"/>
        <v>100</v>
      </c>
      <c r="Q530" s="732"/>
      <c r="R530" s="422"/>
    </row>
    <row r="531" spans="1:19" s="189" customFormat="1" ht="12.05" customHeight="1">
      <c r="A531" s="293"/>
      <c r="B531" s="292"/>
      <c r="C531" s="292"/>
      <c r="D531" s="292"/>
      <c r="E531" s="292"/>
      <c r="F531" s="292"/>
      <c r="G531" s="253" t="s">
        <v>50</v>
      </c>
      <c r="H531" s="253" t="s">
        <v>770</v>
      </c>
      <c r="J531" s="374"/>
      <c r="K531" s="1231">
        <f>'[55]TARGET MURNI DAN PERUBAHAN'!$E$242</f>
        <v>88761211</v>
      </c>
      <c r="L531" s="375">
        <f>[56]PerDinas!$N$531</f>
        <v>100634661</v>
      </c>
      <c r="M531" s="375">
        <f>[55]Perdinas!$P$301</f>
        <v>0</v>
      </c>
      <c r="N531" s="369">
        <f t="shared" si="83"/>
        <v>100634661</v>
      </c>
      <c r="O531" s="355">
        <f t="shared" si="81"/>
        <v>11873450</v>
      </c>
      <c r="P531" s="388">
        <f t="shared" si="82"/>
        <v>113.37684543307999</v>
      </c>
      <c r="Q531" s="448"/>
      <c r="R531" s="422"/>
    </row>
    <row r="532" spans="1:19" s="189" customFormat="1" ht="12.05" customHeight="1">
      <c r="A532" s="293"/>
      <c r="B532" s="292"/>
      <c r="C532" s="292"/>
      <c r="D532" s="292"/>
      <c r="E532" s="292"/>
      <c r="F532" s="292"/>
      <c r="G532" s="253"/>
      <c r="H532" s="253"/>
      <c r="I532" s="868"/>
      <c r="J532" s="494"/>
      <c r="K532" s="375"/>
      <c r="L532" s="375"/>
      <c r="M532" s="375"/>
      <c r="N532" s="355"/>
      <c r="O532" s="355"/>
      <c r="P532" s="388"/>
      <c r="Q532" s="448"/>
      <c r="R532" s="422"/>
    </row>
    <row r="533" spans="1:19" s="189" customFormat="1" ht="12.05" customHeight="1">
      <c r="A533" s="293"/>
      <c r="B533" s="290">
        <v>4</v>
      </c>
      <c r="C533" s="290">
        <v>1</v>
      </c>
      <c r="D533" s="290">
        <v>4</v>
      </c>
      <c r="E533" s="290"/>
      <c r="F533" s="290"/>
      <c r="G533" s="291" t="s">
        <v>71</v>
      </c>
      <c r="H533" s="291"/>
      <c r="I533" s="291"/>
      <c r="J533" s="392">
        <f>+J534+J545+J548+J563</f>
        <v>9205581100</v>
      </c>
      <c r="K533" s="393">
        <f>K534+K541+K545+K548+K552+K563+K569+K572</f>
        <v>82069907479</v>
      </c>
      <c r="L533" s="393">
        <f>L534+L541+L545+L548+L552+L563+L569+L572</f>
        <v>21819604541.400002</v>
      </c>
      <c r="M533" s="393">
        <f>M534+M541+M545+M548+M552+M563+M569+M572</f>
        <v>61151152020</v>
      </c>
      <c r="N533" s="393">
        <f t="shared" ref="N533:N539" si="84">M533+L533</f>
        <v>82970756561.399994</v>
      </c>
      <c r="O533" s="349">
        <f>N533-K533</f>
        <v>900849082.3999939</v>
      </c>
      <c r="P533" s="350">
        <f t="shared" ref="P533:P539" si="85">N533/K533*100</f>
        <v>101.09766065306032</v>
      </c>
      <c r="Q533" s="444"/>
      <c r="R533" s="555">
        <f>N533-[55]Perdinas!$Q$303</f>
        <v>-1111916454</v>
      </c>
      <c r="S533" s="542"/>
    </row>
    <row r="534" spans="1:19" s="189" customFormat="1" ht="12.05" customHeight="1">
      <c r="A534" s="293"/>
      <c r="B534" s="292">
        <v>4</v>
      </c>
      <c r="C534" s="292">
        <v>1</v>
      </c>
      <c r="D534" s="292">
        <v>4</v>
      </c>
      <c r="E534" s="292" t="s">
        <v>437</v>
      </c>
      <c r="F534" s="292" t="s">
        <v>438</v>
      </c>
      <c r="G534" s="291" t="s">
        <v>989</v>
      </c>
      <c r="H534" s="253"/>
      <c r="I534" s="253"/>
      <c r="J534" s="484">
        <f>+J540+J541</f>
        <v>0</v>
      </c>
      <c r="K534" s="676">
        <f>SUM(K535:K539)</f>
        <v>250000000</v>
      </c>
      <c r="L534" s="676">
        <f>SUM(L535:L539)</f>
        <v>25364000</v>
      </c>
      <c r="M534" s="676">
        <f>SUM(M535:M539)</f>
        <v>0</v>
      </c>
      <c r="N534" s="1278">
        <f t="shared" si="84"/>
        <v>25364000</v>
      </c>
      <c r="O534" s="1279">
        <f t="shared" ref="O534:O543" si="86">N534-K534</f>
        <v>-224636000</v>
      </c>
      <c r="P534" s="1280">
        <f t="shared" si="85"/>
        <v>10.1456</v>
      </c>
      <c r="Q534" s="541"/>
      <c r="R534" s="422"/>
    </row>
    <row r="535" spans="1:19" s="189" customFormat="1" ht="12.05" customHeight="1">
      <c r="A535" s="293"/>
      <c r="B535" s="292"/>
      <c r="C535" s="292"/>
      <c r="D535" s="292"/>
      <c r="E535" s="292"/>
      <c r="F535" s="292"/>
      <c r="G535" s="2773" t="s">
        <v>50</v>
      </c>
      <c r="H535" s="849" t="s">
        <v>207</v>
      </c>
      <c r="I535" s="253"/>
      <c r="J535" s="389"/>
      <c r="K535" s="357">
        <f>'[55]TARGET MURNI DAN PERUBAHAN'!$E$246</f>
        <v>0</v>
      </c>
      <c r="L535" s="391">
        <f>[56]PerDinas!$N$535</f>
        <v>0</v>
      </c>
      <c r="M535" s="355">
        <f>[55]Perdinas!$P$305</f>
        <v>0</v>
      </c>
      <c r="N535" s="415">
        <f t="shared" si="84"/>
        <v>0</v>
      </c>
      <c r="O535" s="357">
        <f t="shared" si="86"/>
        <v>0</v>
      </c>
      <c r="P535" s="358" t="e">
        <f t="shared" si="85"/>
        <v>#DIV/0!</v>
      </c>
      <c r="Q535" s="442"/>
      <c r="R535" s="422"/>
    </row>
    <row r="536" spans="1:19" s="189" customFormat="1" ht="12.05" customHeight="1">
      <c r="A536" s="293"/>
      <c r="B536" s="292"/>
      <c r="C536" s="292"/>
      <c r="D536" s="292"/>
      <c r="E536" s="292"/>
      <c r="F536" s="292"/>
      <c r="G536" s="2773" t="s">
        <v>50</v>
      </c>
      <c r="H536" s="850" t="s">
        <v>208</v>
      </c>
      <c r="I536" s="253"/>
      <c r="J536" s="354"/>
      <c r="K536" s="1246">
        <f>'[55]TARGET MURNI DAN PERUBAHAN'!$E$247</f>
        <v>50000000</v>
      </c>
      <c r="L536" s="391">
        <f>[56]PerDinas!$N$536</f>
        <v>0</v>
      </c>
      <c r="M536" s="355">
        <f>[55]Perdinas!$P$306</f>
        <v>0</v>
      </c>
      <c r="N536" s="415">
        <f t="shared" si="84"/>
        <v>0</v>
      </c>
      <c r="O536" s="357">
        <f t="shared" si="86"/>
        <v>-50000000</v>
      </c>
      <c r="P536" s="358">
        <f t="shared" si="85"/>
        <v>0</v>
      </c>
      <c r="Q536" s="441"/>
      <c r="R536" s="422"/>
    </row>
    <row r="537" spans="1:19" s="189" customFormat="1" ht="12.05" customHeight="1">
      <c r="A537" s="293"/>
      <c r="B537" s="292"/>
      <c r="C537" s="292"/>
      <c r="D537" s="292"/>
      <c r="E537" s="292"/>
      <c r="F537" s="292"/>
      <c r="G537" s="2773" t="s">
        <v>50</v>
      </c>
      <c r="H537" s="850" t="s">
        <v>209</v>
      </c>
      <c r="I537" s="253"/>
      <c r="J537" s="354"/>
      <c r="K537" s="357">
        <f>'[55]TARGET MURNI DAN PERUBAHAN'!$E$248</f>
        <v>0</v>
      </c>
      <c r="L537" s="391">
        <f>[56]PerDinas!$N$537</f>
        <v>0</v>
      </c>
      <c r="M537" s="355">
        <f>[55]Perdinas!$P$307</f>
        <v>0</v>
      </c>
      <c r="N537" s="415">
        <f t="shared" si="84"/>
        <v>0</v>
      </c>
      <c r="O537" s="357">
        <f t="shared" si="86"/>
        <v>0</v>
      </c>
      <c r="P537" s="358" t="e">
        <f t="shared" si="85"/>
        <v>#DIV/0!</v>
      </c>
      <c r="Q537" s="441"/>
      <c r="R537" s="422"/>
    </row>
    <row r="538" spans="1:19" s="189" customFormat="1" ht="12.05" customHeight="1">
      <c r="A538" s="293"/>
      <c r="B538" s="292"/>
      <c r="C538" s="292"/>
      <c r="D538" s="292"/>
      <c r="E538" s="292"/>
      <c r="F538" s="292"/>
      <c r="G538" s="2773" t="s">
        <v>50</v>
      </c>
      <c r="H538" s="850" t="s">
        <v>210</v>
      </c>
      <c r="I538" s="253"/>
      <c r="J538" s="354"/>
      <c r="K538" s="357">
        <f>'[55]TARGET MURNI DAN PERUBAHAN'!$E$249</f>
        <v>0</v>
      </c>
      <c r="L538" s="391">
        <f>[56]PerDinas!$N$538</f>
        <v>0</v>
      </c>
      <c r="M538" s="355">
        <f>[55]Perdinas!$P$308</f>
        <v>0</v>
      </c>
      <c r="N538" s="415">
        <f t="shared" si="84"/>
        <v>0</v>
      </c>
      <c r="O538" s="357">
        <f t="shared" si="86"/>
        <v>0</v>
      </c>
      <c r="P538" s="358" t="e">
        <f t="shared" si="85"/>
        <v>#DIV/0!</v>
      </c>
      <c r="Q538" s="441"/>
      <c r="R538" s="422"/>
    </row>
    <row r="539" spans="1:19" s="189" customFormat="1" ht="12.05" customHeight="1">
      <c r="A539" s="293"/>
      <c r="B539" s="292"/>
      <c r="C539" s="292"/>
      <c r="D539" s="292"/>
      <c r="E539" s="292"/>
      <c r="F539" s="292"/>
      <c r="G539" s="2773" t="s">
        <v>50</v>
      </c>
      <c r="H539" s="850" t="s">
        <v>211</v>
      </c>
      <c r="I539" s="253"/>
      <c r="J539" s="354"/>
      <c r="K539" s="1246">
        <f>'[55]TARGET MURNI DAN PERUBAHAN'!$E$250</f>
        <v>200000000</v>
      </c>
      <c r="L539" s="391">
        <f>[56]PerDinas!$N$539</f>
        <v>25364000</v>
      </c>
      <c r="M539" s="355">
        <f>[55]Perdinas!$P$309</f>
        <v>0</v>
      </c>
      <c r="N539" s="415">
        <f t="shared" si="84"/>
        <v>25364000</v>
      </c>
      <c r="O539" s="357">
        <f t="shared" si="86"/>
        <v>-174636000</v>
      </c>
      <c r="P539" s="358">
        <f t="shared" si="85"/>
        <v>12.681999999999999</v>
      </c>
      <c r="Q539" s="441"/>
      <c r="R539" s="422"/>
    </row>
    <row r="540" spans="1:19" s="189" customFormat="1" ht="12.05" customHeight="1">
      <c r="A540" s="293"/>
      <c r="B540" s="292"/>
      <c r="C540" s="292"/>
      <c r="D540" s="292"/>
      <c r="E540" s="292"/>
      <c r="F540" s="292"/>
      <c r="G540" s="199"/>
      <c r="H540" s="253"/>
      <c r="I540" s="253"/>
      <c r="J540" s="374"/>
      <c r="K540" s="375"/>
      <c r="L540" s="375"/>
      <c r="M540" s="375"/>
      <c r="N540" s="355"/>
      <c r="O540" s="355"/>
      <c r="P540" s="388"/>
      <c r="Q540" s="448"/>
      <c r="R540" s="422"/>
    </row>
    <row r="541" spans="1:19" s="189" customFormat="1" ht="12.05" customHeight="1">
      <c r="A541" s="293"/>
      <c r="B541" s="292">
        <v>4</v>
      </c>
      <c r="C541" s="292">
        <v>1</v>
      </c>
      <c r="D541" s="292">
        <v>4</v>
      </c>
      <c r="E541" s="292" t="s">
        <v>438</v>
      </c>
      <c r="F541" s="292" t="s">
        <v>438</v>
      </c>
      <c r="G541" s="1277" t="s">
        <v>212</v>
      </c>
      <c r="H541" s="253"/>
      <c r="I541" s="253"/>
      <c r="J541" s="354">
        <v>0</v>
      </c>
      <c r="K541" s="371">
        <f>SUM(K542:K543)</f>
        <v>4500000000</v>
      </c>
      <c r="L541" s="371">
        <f>SUM(L542:L543)</f>
        <v>12024128414.33</v>
      </c>
      <c r="M541" s="371">
        <f>SUM(M542:M543)</f>
        <v>511033861</v>
      </c>
      <c r="N541" s="1067">
        <f>M541+L541</f>
        <v>12535162275.33</v>
      </c>
      <c r="O541" s="371">
        <f t="shared" si="86"/>
        <v>8035162275.3299999</v>
      </c>
      <c r="P541" s="778">
        <f>N541/K541*100</f>
        <v>278.55916167399999</v>
      </c>
      <c r="Q541" s="651"/>
      <c r="R541" s="555"/>
    </row>
    <row r="542" spans="1:19" s="189" customFormat="1" ht="12.05" customHeight="1">
      <c r="A542" s="293"/>
      <c r="B542" s="292"/>
      <c r="C542" s="292"/>
      <c r="D542" s="292"/>
      <c r="E542" s="292"/>
      <c r="F542" s="292"/>
      <c r="G542" s="851" t="s">
        <v>50</v>
      </c>
      <c r="H542" s="410" t="s">
        <v>213</v>
      </c>
      <c r="I542" s="410"/>
      <c r="J542" s="333"/>
      <c r="K542" s="1246">
        <f>'[55]TARGET MURNI DAN PERUBAHAN'!$E$253</f>
        <v>4500000000</v>
      </c>
      <c r="L542" s="495">
        <f>[56]PerDinas!$N$542</f>
        <v>11808261926.33</v>
      </c>
      <c r="M542" s="357">
        <f>[55]Perdinas!$P$312</f>
        <v>440193434</v>
      </c>
      <c r="N542" s="361">
        <f>M542+L542</f>
        <v>12248455360.33</v>
      </c>
      <c r="O542" s="357">
        <f t="shared" si="86"/>
        <v>7748455360.3299999</v>
      </c>
      <c r="P542" s="358">
        <f>N542/K542*100</f>
        <v>272.18789689622224</v>
      </c>
      <c r="Q542" s="430"/>
      <c r="R542" s="555"/>
    </row>
    <row r="543" spans="1:19" s="189" customFormat="1" ht="12.05" customHeight="1">
      <c r="A543" s="293"/>
      <c r="B543" s="292"/>
      <c r="C543" s="292"/>
      <c r="D543" s="292"/>
      <c r="E543" s="292"/>
      <c r="F543" s="292"/>
      <c r="G543" s="842" t="s">
        <v>50</v>
      </c>
      <c r="H543" s="253" t="s">
        <v>214</v>
      </c>
      <c r="I543" s="253"/>
      <c r="J543" s="333"/>
      <c r="K543" s="357">
        <f>'[55]TARGET MURNI DAN PERUBAHAN'!$E$254</f>
        <v>0</v>
      </c>
      <c r="L543" s="495">
        <f>[56]PerDinas!$N$543</f>
        <v>215866488</v>
      </c>
      <c r="M543" s="355">
        <f>[55]Perdinas!$P$313</f>
        <v>70840427</v>
      </c>
      <c r="N543" s="361">
        <f>M543+L543</f>
        <v>286706915</v>
      </c>
      <c r="O543" s="355">
        <f t="shared" si="86"/>
        <v>286706915</v>
      </c>
      <c r="P543" s="388" t="e">
        <f>N543/K543*100</f>
        <v>#DIV/0!</v>
      </c>
      <c r="Q543" s="430"/>
      <c r="R543" s="555">
        <f>N543-[55]Perdinas!$Q$313</f>
        <v>0</v>
      </c>
    </row>
    <row r="544" spans="1:19" s="189" customFormat="1" ht="12.05" customHeight="1">
      <c r="A544" s="293"/>
      <c r="B544" s="292"/>
      <c r="C544" s="292"/>
      <c r="D544" s="292"/>
      <c r="E544" s="292"/>
      <c r="F544" s="292"/>
      <c r="G544" s="253"/>
      <c r="H544" s="253"/>
      <c r="I544" s="253"/>
      <c r="J544" s="333"/>
      <c r="K544" s="334"/>
      <c r="L544" s="334"/>
      <c r="M544" s="334"/>
      <c r="N544" s="334"/>
      <c r="O544" s="334"/>
      <c r="P544" s="335"/>
      <c r="Q544" s="430"/>
      <c r="R544" s="422"/>
    </row>
    <row r="545" spans="1:18" s="189" customFormat="1" ht="12.05" customHeight="1">
      <c r="A545" s="293"/>
      <c r="B545" s="292">
        <v>4</v>
      </c>
      <c r="C545" s="292">
        <v>1</v>
      </c>
      <c r="D545" s="292">
        <v>4</v>
      </c>
      <c r="E545" s="292" t="s">
        <v>440</v>
      </c>
      <c r="F545" s="292"/>
      <c r="G545" s="291" t="s">
        <v>215</v>
      </c>
      <c r="H545" s="253"/>
      <c r="I545" s="253"/>
      <c r="J545" s="484">
        <f>+J546</f>
        <v>9165581100</v>
      </c>
      <c r="K545" s="676">
        <f>+K546</f>
        <v>6875000000</v>
      </c>
      <c r="L545" s="676">
        <f>+L546</f>
        <v>8125000000</v>
      </c>
      <c r="M545" s="676">
        <f>+M546</f>
        <v>1250000000</v>
      </c>
      <c r="N545" s="492">
        <f>+M545+L545</f>
        <v>9375000000</v>
      </c>
      <c r="O545" s="492">
        <f t="shared" ref="O545:O550" si="87">N545-K545</f>
        <v>2500000000</v>
      </c>
      <c r="P545" s="493">
        <f>N545/K545*100</f>
        <v>136.36363636363635</v>
      </c>
      <c r="Q545" s="696"/>
      <c r="R545" s="422"/>
    </row>
    <row r="546" spans="1:18" s="189" customFormat="1" ht="12.05" customHeight="1">
      <c r="A546" s="293"/>
      <c r="B546" s="292">
        <v>4</v>
      </c>
      <c r="C546" s="292">
        <v>1</v>
      </c>
      <c r="D546" s="292">
        <v>4</v>
      </c>
      <c r="E546" s="292" t="s">
        <v>440</v>
      </c>
      <c r="F546" s="292" t="s">
        <v>437</v>
      </c>
      <c r="G546" s="253" t="s">
        <v>216</v>
      </c>
      <c r="H546" s="253"/>
      <c r="I546" s="253"/>
      <c r="J546" s="494">
        <v>9165581100</v>
      </c>
      <c r="K546" s="1281">
        <f>'[55]TARGET MURNI DAN PERUBAHAN'!$E$257</f>
        <v>6875000000</v>
      </c>
      <c r="L546" s="691">
        <f>[56]PerDinas!$N$546</f>
        <v>8125000000</v>
      </c>
      <c r="M546" s="691">
        <f>[55]Perdinas!$P$316</f>
        <v>1250000000</v>
      </c>
      <c r="N546" s="361">
        <f>M546+L546</f>
        <v>9375000000</v>
      </c>
      <c r="O546" s="334">
        <f t="shared" si="87"/>
        <v>2500000000</v>
      </c>
      <c r="P546" s="335">
        <f>N546/K546*100</f>
        <v>136.36363636363635</v>
      </c>
      <c r="Q546" s="548"/>
      <c r="R546" s="422"/>
    </row>
    <row r="547" spans="1:18" s="189" customFormat="1" ht="12.05" customHeight="1">
      <c r="A547" s="293"/>
      <c r="B547" s="292"/>
      <c r="C547" s="292"/>
      <c r="D547" s="292"/>
      <c r="E547" s="292"/>
      <c r="F547" s="292"/>
      <c r="G547" s="253"/>
      <c r="H547" s="253"/>
      <c r="I547" s="253"/>
      <c r="J547" s="354"/>
      <c r="K547" s="355"/>
      <c r="L547" s="355"/>
      <c r="M547" s="355"/>
      <c r="N547" s="355"/>
      <c r="O547" s="355"/>
      <c r="P547" s="388"/>
      <c r="Q547" s="449"/>
      <c r="R547" s="422"/>
    </row>
    <row r="548" spans="1:18" s="189" customFormat="1">
      <c r="A548" s="293"/>
      <c r="B548" s="292">
        <v>4</v>
      </c>
      <c r="C548" s="292">
        <v>1</v>
      </c>
      <c r="D548" s="292">
        <v>4</v>
      </c>
      <c r="E548" s="292" t="s">
        <v>445</v>
      </c>
      <c r="F548" s="292"/>
      <c r="G548" s="291" t="s">
        <v>217</v>
      </c>
      <c r="H548" s="253"/>
      <c r="I548" s="253"/>
      <c r="J548" s="411">
        <f>SUM(J549:J550)</f>
        <v>10000000</v>
      </c>
      <c r="K548" s="492">
        <f>SUM(K549:K550)</f>
        <v>1205211975</v>
      </c>
      <c r="L548" s="492">
        <f>SUM(L549:L550)</f>
        <v>348019064.23000002</v>
      </c>
      <c r="M548" s="492">
        <f>SUM(M549:M550)</f>
        <v>825000</v>
      </c>
      <c r="N548" s="1282">
        <f>+M548+L548</f>
        <v>348844064.23000002</v>
      </c>
      <c r="O548" s="492">
        <f t="shared" si="87"/>
        <v>-856367910.76999998</v>
      </c>
      <c r="P548" s="493">
        <f>N548/K548*100</f>
        <v>28.944623142331455</v>
      </c>
      <c r="Q548" s="1284"/>
      <c r="R548" s="422"/>
    </row>
    <row r="549" spans="1:18" s="189" customFormat="1" ht="12.05" customHeight="1">
      <c r="A549" s="293"/>
      <c r="B549" s="292">
        <v>4</v>
      </c>
      <c r="C549" s="292">
        <v>1</v>
      </c>
      <c r="D549" s="292">
        <v>4</v>
      </c>
      <c r="E549" s="292" t="s">
        <v>445</v>
      </c>
      <c r="F549" s="292" t="s">
        <v>437</v>
      </c>
      <c r="G549" s="253" t="s">
        <v>218</v>
      </c>
      <c r="H549" s="253"/>
      <c r="I549" s="253"/>
      <c r="J549" s="494">
        <v>0</v>
      </c>
      <c r="K549" s="1232">
        <f>'[55]TARGET MURNI DAN PERUBAHAN'!$E$260</f>
        <v>1190211975</v>
      </c>
      <c r="L549" s="495">
        <f>[56]PerDinas!$N$549</f>
        <v>335768064.23000002</v>
      </c>
      <c r="M549" s="495">
        <f>[55]Perdinas!$P$319</f>
        <v>0</v>
      </c>
      <c r="N549" s="361">
        <f>M549+L549</f>
        <v>335768064.23000002</v>
      </c>
      <c r="O549" s="334">
        <f t="shared" si="87"/>
        <v>-854443910.76999998</v>
      </c>
      <c r="P549" s="335">
        <v>0</v>
      </c>
      <c r="Q549" s="548"/>
      <c r="R549" s="422"/>
    </row>
    <row r="550" spans="1:18" s="189" customFormat="1">
      <c r="A550" s="293"/>
      <c r="B550" s="292">
        <v>4</v>
      </c>
      <c r="C550" s="292">
        <v>1</v>
      </c>
      <c r="D550" s="292">
        <v>4</v>
      </c>
      <c r="E550" s="292" t="s">
        <v>445</v>
      </c>
      <c r="F550" s="292" t="s">
        <v>438</v>
      </c>
      <c r="G550" s="253" t="s">
        <v>219</v>
      </c>
      <c r="H550" s="253"/>
      <c r="I550" s="253"/>
      <c r="J550" s="374">
        <v>10000000</v>
      </c>
      <c r="K550" s="1231">
        <f>'[55]TARGET MURNI DAN PERUBAHAN'!$E$261</f>
        <v>15000000</v>
      </c>
      <c r="L550" s="495">
        <f>[56]PerDinas!$N$550</f>
        <v>12251000</v>
      </c>
      <c r="M550" s="375">
        <f>[55]Perdinas!$P$320</f>
        <v>825000</v>
      </c>
      <c r="N550" s="375">
        <f>M550+L550</f>
        <v>13076000</v>
      </c>
      <c r="O550" s="355">
        <f t="shared" si="87"/>
        <v>-1924000</v>
      </c>
      <c r="P550" s="388">
        <f>N550/K550*100</f>
        <v>87.173333333333332</v>
      </c>
      <c r="Q550" s="449"/>
      <c r="R550" s="422"/>
    </row>
    <row r="551" spans="1:18" s="189" customFormat="1">
      <c r="A551" s="293"/>
      <c r="B551" s="292"/>
      <c r="C551" s="292"/>
      <c r="D551" s="292"/>
      <c r="E551" s="292"/>
      <c r="F551" s="292"/>
      <c r="G551" s="253"/>
      <c r="H551" s="253"/>
      <c r="I551" s="253"/>
      <c r="J551" s="354"/>
      <c r="K551" s="355"/>
      <c r="L551" s="355"/>
      <c r="M551" s="355"/>
      <c r="N551" s="355"/>
      <c r="O551" s="355"/>
      <c r="P551" s="388"/>
      <c r="Q551" s="441"/>
      <c r="R551" s="422"/>
    </row>
    <row r="552" spans="1:18" s="189" customFormat="1">
      <c r="A552" s="293"/>
      <c r="B552" s="292">
        <v>4</v>
      </c>
      <c r="C552" s="292">
        <v>1</v>
      </c>
      <c r="D552" s="292">
        <v>4</v>
      </c>
      <c r="E552" s="292" t="s">
        <v>448</v>
      </c>
      <c r="F552" s="292"/>
      <c r="G552" s="852" t="s">
        <v>220</v>
      </c>
      <c r="H552" s="253"/>
      <c r="I552" s="253"/>
      <c r="J552" s="351"/>
      <c r="K552" s="480">
        <f>SUM(K553:K561)</f>
        <v>217536159</v>
      </c>
      <c r="L552" s="480">
        <f>SUM(L553:L561)</f>
        <v>9850310</v>
      </c>
      <c r="M552" s="480">
        <f>SUM(M553:M561)</f>
        <v>2915289</v>
      </c>
      <c r="N552" s="398">
        <f>M552+L552</f>
        <v>12765599</v>
      </c>
      <c r="O552" s="371">
        <f>N552-K552</f>
        <v>-204770560</v>
      </c>
      <c r="P552" s="778">
        <f>N552/K552*100</f>
        <v>5.8682653305467252</v>
      </c>
      <c r="Q552" s="447"/>
      <c r="R552" s="422"/>
    </row>
    <row r="553" spans="1:18" s="189" customFormat="1">
      <c r="A553" s="293"/>
      <c r="B553" s="292"/>
      <c r="C553" s="292"/>
      <c r="D553" s="292"/>
      <c r="E553" s="292"/>
      <c r="F553" s="292"/>
      <c r="G553" s="853" t="s">
        <v>50</v>
      </c>
      <c r="H553" s="854" t="s">
        <v>221</v>
      </c>
      <c r="I553" s="253"/>
      <c r="J553" s="351"/>
      <c r="K553" s="355">
        <f>'[55]TARGET MURNI DAN PERUBAHAN'!$E$264</f>
        <v>217536159</v>
      </c>
      <c r="L553" s="360">
        <f>[56]PerDinas!$N$553</f>
        <v>9850310</v>
      </c>
      <c r="M553" s="355">
        <f>[55]Perdinas!$P$323</f>
        <v>2915289</v>
      </c>
      <c r="N553" s="375">
        <f t="shared" ref="N553:N561" si="88">M553+L553</f>
        <v>12765599</v>
      </c>
      <c r="O553" s="355">
        <f t="shared" ref="O553:O561" si="89">N553-K553</f>
        <v>-204770560</v>
      </c>
      <c r="P553" s="388">
        <f t="shared" ref="P553:P561" si="90">N553/K553*100</f>
        <v>5.8682653305467252</v>
      </c>
      <c r="Q553" s="440"/>
      <c r="R553" s="422"/>
    </row>
    <row r="554" spans="1:18" s="189" customFormat="1">
      <c r="A554" s="293"/>
      <c r="B554" s="292"/>
      <c r="C554" s="292"/>
      <c r="D554" s="292"/>
      <c r="E554" s="292"/>
      <c r="F554" s="292"/>
      <c r="G554" s="855" t="s">
        <v>50</v>
      </c>
      <c r="H554" s="854" t="s">
        <v>771</v>
      </c>
      <c r="I554" s="253"/>
      <c r="J554" s="351"/>
      <c r="K554" s="355">
        <f>'[55]TARGET MURNI DAN PERUBAHAN'!$E$265</f>
        <v>0</v>
      </c>
      <c r="L554" s="360">
        <f>[56]PerDinas!$N$554</f>
        <v>0</v>
      </c>
      <c r="M554" s="355">
        <f>[55]Perdinas!$P$324</f>
        <v>0</v>
      </c>
      <c r="N554" s="375">
        <f t="shared" si="88"/>
        <v>0</v>
      </c>
      <c r="O554" s="355">
        <f t="shared" si="89"/>
        <v>0</v>
      </c>
      <c r="P554" s="388" t="e">
        <f t="shared" si="90"/>
        <v>#DIV/0!</v>
      </c>
      <c r="Q554" s="440"/>
      <c r="R554" s="422"/>
    </row>
    <row r="555" spans="1:18" s="189" customFormat="1">
      <c r="A555" s="293"/>
      <c r="B555" s="292"/>
      <c r="C555" s="292"/>
      <c r="D555" s="292"/>
      <c r="E555" s="292"/>
      <c r="F555" s="292"/>
      <c r="G555" s="855" t="s">
        <v>50</v>
      </c>
      <c r="H555" s="854" t="s">
        <v>772</v>
      </c>
      <c r="I555" s="253"/>
      <c r="J555" s="351"/>
      <c r="K555" s="355">
        <f>'[55]TARGET MURNI DAN PERUBAHAN'!$E$266</f>
        <v>0</v>
      </c>
      <c r="L555" s="360">
        <v>0</v>
      </c>
      <c r="M555" s="355">
        <v>0</v>
      </c>
      <c r="N555" s="375">
        <f t="shared" si="88"/>
        <v>0</v>
      </c>
      <c r="O555" s="355">
        <f t="shared" si="89"/>
        <v>0</v>
      </c>
      <c r="P555" s="388" t="e">
        <f t="shared" si="90"/>
        <v>#DIV/0!</v>
      </c>
      <c r="Q555" s="440"/>
      <c r="R555" s="422"/>
    </row>
    <row r="556" spans="1:18" s="189" customFormat="1">
      <c r="A556" s="293"/>
      <c r="B556" s="292"/>
      <c r="C556" s="292"/>
      <c r="D556" s="292"/>
      <c r="E556" s="292"/>
      <c r="F556" s="292"/>
      <c r="G556" s="855" t="s">
        <v>50</v>
      </c>
      <c r="H556" s="854" t="s">
        <v>773</v>
      </c>
      <c r="I556" s="253"/>
      <c r="J556" s="351"/>
      <c r="K556" s="355">
        <f>'[55]TARGET MURNI DAN PERUBAHAN'!$E$267</f>
        <v>0</v>
      </c>
      <c r="L556" s="360">
        <f>[56]PerDinas!$N$556</f>
        <v>0</v>
      </c>
      <c r="M556" s="355">
        <f>[55]Perdinas!$P$325</f>
        <v>0</v>
      </c>
      <c r="N556" s="375">
        <f t="shared" si="88"/>
        <v>0</v>
      </c>
      <c r="O556" s="355">
        <f t="shared" si="89"/>
        <v>0</v>
      </c>
      <c r="P556" s="388" t="e">
        <f t="shared" si="90"/>
        <v>#DIV/0!</v>
      </c>
      <c r="Q556" s="440"/>
      <c r="R556" s="422"/>
    </row>
    <row r="557" spans="1:18" s="189" customFormat="1">
      <c r="A557" s="293"/>
      <c r="B557" s="292"/>
      <c r="C557" s="292"/>
      <c r="D557" s="292"/>
      <c r="E557" s="292"/>
      <c r="F557" s="292"/>
      <c r="G557" s="855" t="s">
        <v>50</v>
      </c>
      <c r="H557" s="854" t="s">
        <v>774</v>
      </c>
      <c r="I557" s="253"/>
      <c r="J557" s="351"/>
      <c r="K557" s="355">
        <f>'[55]TARGET MURNI DAN PERUBAHAN'!$E$268</f>
        <v>0</v>
      </c>
      <c r="L557" s="360">
        <f>[56]PerDinas!$N$557</f>
        <v>0</v>
      </c>
      <c r="M557" s="355">
        <f>[55]Perdinas!$P$326</f>
        <v>0</v>
      </c>
      <c r="N557" s="375">
        <f t="shared" si="88"/>
        <v>0</v>
      </c>
      <c r="O557" s="355">
        <f t="shared" si="89"/>
        <v>0</v>
      </c>
      <c r="P557" s="388" t="e">
        <f t="shared" si="90"/>
        <v>#DIV/0!</v>
      </c>
      <c r="Q557" s="440"/>
      <c r="R557" s="422"/>
    </row>
    <row r="558" spans="1:18" s="189" customFormat="1">
      <c r="A558" s="293"/>
      <c r="B558" s="292"/>
      <c r="C558" s="292"/>
      <c r="D558" s="292"/>
      <c r="E558" s="292"/>
      <c r="F558" s="292"/>
      <c r="G558" s="855" t="s">
        <v>50</v>
      </c>
      <c r="H558" s="854" t="s">
        <v>775</v>
      </c>
      <c r="I558" s="253"/>
      <c r="J558" s="351"/>
      <c r="K558" s="355">
        <f>'[55]TARGET MURNI DAN PERUBAHAN'!$E$269</f>
        <v>0</v>
      </c>
      <c r="L558" s="360">
        <f>[56]PerDinas!$N$558</f>
        <v>0</v>
      </c>
      <c r="M558" s="355">
        <f>[55]Perdinas!$P$327</f>
        <v>0</v>
      </c>
      <c r="N558" s="375">
        <f t="shared" si="88"/>
        <v>0</v>
      </c>
      <c r="O558" s="355">
        <f t="shared" si="89"/>
        <v>0</v>
      </c>
      <c r="P558" s="388" t="e">
        <f t="shared" si="90"/>
        <v>#DIV/0!</v>
      </c>
      <c r="Q558" s="440"/>
      <c r="R558" s="422"/>
    </row>
    <row r="559" spans="1:18" s="189" customFormat="1">
      <c r="A559" s="293"/>
      <c r="B559" s="292"/>
      <c r="C559" s="292"/>
      <c r="D559" s="292"/>
      <c r="E559" s="292"/>
      <c r="F559" s="292"/>
      <c r="G559" s="855" t="s">
        <v>50</v>
      </c>
      <c r="H559" s="854" t="s">
        <v>776</v>
      </c>
      <c r="I559" s="253"/>
      <c r="J559" s="351"/>
      <c r="K559" s="355">
        <f>'[55]TARGET MURNI DAN PERUBAHAN'!$E$270</f>
        <v>0</v>
      </c>
      <c r="L559" s="360">
        <f>[56]PerDinas!$N$559</f>
        <v>0</v>
      </c>
      <c r="M559" s="355">
        <f>[55]Perdinas!$P$328</f>
        <v>0</v>
      </c>
      <c r="N559" s="375">
        <f t="shared" si="88"/>
        <v>0</v>
      </c>
      <c r="O559" s="355">
        <f t="shared" si="89"/>
        <v>0</v>
      </c>
      <c r="P559" s="388" t="e">
        <f t="shared" si="90"/>
        <v>#DIV/0!</v>
      </c>
      <c r="Q559" s="440"/>
      <c r="R559" s="422"/>
    </row>
    <row r="560" spans="1:18" s="189" customFormat="1">
      <c r="A560" s="293"/>
      <c r="B560" s="292"/>
      <c r="C560" s="292"/>
      <c r="D560" s="292"/>
      <c r="E560" s="292"/>
      <c r="F560" s="292"/>
      <c r="G560" s="855" t="s">
        <v>50</v>
      </c>
      <c r="H560" s="854" t="s">
        <v>777</v>
      </c>
      <c r="I560" s="253"/>
      <c r="J560" s="351"/>
      <c r="K560" s="355">
        <f>'[55]TARGET MURNI DAN PERUBAHAN'!$E$271</f>
        <v>0</v>
      </c>
      <c r="L560" s="360">
        <f>[56]PerDinas!$N$560</f>
        <v>0</v>
      </c>
      <c r="M560" s="355">
        <f>[55]Perdinas!$P$329</f>
        <v>0</v>
      </c>
      <c r="N560" s="375">
        <f t="shared" si="88"/>
        <v>0</v>
      </c>
      <c r="O560" s="355">
        <f t="shared" si="89"/>
        <v>0</v>
      </c>
      <c r="P560" s="388" t="e">
        <f t="shared" si="90"/>
        <v>#DIV/0!</v>
      </c>
      <c r="Q560" s="440"/>
      <c r="R560" s="422"/>
    </row>
    <row r="561" spans="1:19" s="189" customFormat="1">
      <c r="A561" s="293"/>
      <c r="B561" s="292"/>
      <c r="C561" s="292"/>
      <c r="D561" s="292"/>
      <c r="E561" s="292"/>
      <c r="F561" s="292"/>
      <c r="G561" s="855" t="s">
        <v>50</v>
      </c>
      <c r="H561" s="854" t="s">
        <v>778</v>
      </c>
      <c r="I561" s="253"/>
      <c r="J561" s="351"/>
      <c r="K561" s="355">
        <f>'[55]TARGET MURNI DAN PERUBAHAN'!$E$272</f>
        <v>0</v>
      </c>
      <c r="L561" s="360">
        <f>[56]PerDinas!$N$561</f>
        <v>0</v>
      </c>
      <c r="M561" s="355">
        <f>[55]Perdinas!$P$330</f>
        <v>0</v>
      </c>
      <c r="N561" s="375">
        <f t="shared" si="88"/>
        <v>0</v>
      </c>
      <c r="O561" s="355">
        <f t="shared" si="89"/>
        <v>0</v>
      </c>
      <c r="P561" s="388" t="e">
        <f t="shared" si="90"/>
        <v>#DIV/0!</v>
      </c>
      <c r="Q561" s="440"/>
      <c r="R561" s="422"/>
    </row>
    <row r="562" spans="1:19" s="189" customFormat="1">
      <c r="A562" s="293"/>
      <c r="B562" s="292"/>
      <c r="C562" s="292"/>
      <c r="D562" s="292"/>
      <c r="E562" s="292"/>
      <c r="F562" s="292"/>
      <c r="G562" s="253"/>
      <c r="H562" s="253"/>
      <c r="I562" s="253"/>
      <c r="J562" s="351"/>
      <c r="K562" s="352"/>
      <c r="L562" s="362"/>
      <c r="M562" s="352"/>
      <c r="N562" s="352"/>
      <c r="O562" s="352"/>
      <c r="P562" s="353"/>
      <c r="Q562" s="440"/>
      <c r="R562" s="422"/>
    </row>
    <row r="563" spans="1:19" s="189" customFormat="1" ht="12.05" customHeight="1">
      <c r="A563" s="293"/>
      <c r="B563" s="292">
        <v>4</v>
      </c>
      <c r="C563" s="292">
        <v>1</v>
      </c>
      <c r="D563" s="292">
        <v>4</v>
      </c>
      <c r="E563" s="292"/>
      <c r="F563" s="292"/>
      <c r="G563" s="291" t="s">
        <v>990</v>
      </c>
      <c r="H563" s="253"/>
      <c r="I563" s="253"/>
      <c r="J563" s="526">
        <f>+J566</f>
        <v>30000000</v>
      </c>
      <c r="K563" s="476">
        <f>SUM(K564:K567)</f>
        <v>68944925050</v>
      </c>
      <c r="L563" s="766">
        <f>SUM(L564:L567)</f>
        <v>1287242752.8399999</v>
      </c>
      <c r="M563" s="476">
        <f>SUM(M564:M567)</f>
        <v>59386377870</v>
      </c>
      <c r="N563" s="477">
        <f>+M563+L563</f>
        <v>60673620622.839996</v>
      </c>
      <c r="O563" s="477">
        <f>N563-K563</f>
        <v>-8271304427.1600037</v>
      </c>
      <c r="P563" s="608">
        <v>0</v>
      </c>
      <c r="Q563" s="1165"/>
      <c r="R563" s="422"/>
    </row>
    <row r="564" spans="1:19" s="189" customFormat="1" ht="12.05" customHeight="1">
      <c r="A564" s="293"/>
      <c r="B564" s="292">
        <v>4</v>
      </c>
      <c r="C564" s="292">
        <v>1</v>
      </c>
      <c r="D564" s="292">
        <v>4</v>
      </c>
      <c r="E564" s="292" t="s">
        <v>444</v>
      </c>
      <c r="F564" s="292" t="s">
        <v>445</v>
      </c>
      <c r="G564" s="253" t="s">
        <v>73</v>
      </c>
      <c r="H564" s="253"/>
      <c r="I564" s="253"/>
      <c r="J564" s="354">
        <v>0</v>
      </c>
      <c r="K564" s="355">
        <f>'[55]TARGET MURNI DAN PERUBAHAN'!$E$275</f>
        <v>0</v>
      </c>
      <c r="L564" s="360">
        <f>[56]PerDinas!$N$564</f>
        <v>0</v>
      </c>
      <c r="M564" s="355">
        <f>[55]Perdinas!$P$334</f>
        <v>0</v>
      </c>
      <c r="N564" s="369">
        <f>M564+L564</f>
        <v>0</v>
      </c>
      <c r="O564" s="355">
        <f>N564-K564</f>
        <v>0</v>
      </c>
      <c r="P564" s="388"/>
      <c r="Q564" s="441"/>
      <c r="R564" s="422"/>
      <c r="S564" s="542"/>
    </row>
    <row r="565" spans="1:19" s="189" customFormat="1" ht="12.05" customHeight="1">
      <c r="A565" s="293"/>
      <c r="B565" s="292">
        <v>4</v>
      </c>
      <c r="C565" s="292">
        <v>1</v>
      </c>
      <c r="D565" s="292">
        <v>4</v>
      </c>
      <c r="E565" s="292" t="s">
        <v>444</v>
      </c>
      <c r="F565" s="292" t="s">
        <v>451</v>
      </c>
      <c r="G565" s="253" t="s">
        <v>74</v>
      </c>
      <c r="H565" s="253"/>
      <c r="I565" s="253"/>
      <c r="J565" s="354">
        <v>0</v>
      </c>
      <c r="K565" s="355">
        <f>'[55]TARGET MURNI DAN PERUBAHAN'!$E$276</f>
        <v>0</v>
      </c>
      <c r="L565" s="360">
        <f>[56]PerDinas!$N$565</f>
        <v>0</v>
      </c>
      <c r="M565" s="355">
        <f>[55]Perdinas!$P$335</f>
        <v>0</v>
      </c>
      <c r="N565" s="369">
        <f>M565+L565</f>
        <v>0</v>
      </c>
      <c r="O565" s="355">
        <f>N565-K565</f>
        <v>0</v>
      </c>
      <c r="P565" s="388"/>
      <c r="Q565" s="441"/>
      <c r="R565" s="422"/>
    </row>
    <row r="566" spans="1:19" s="189" customFormat="1" ht="12.05" customHeight="1">
      <c r="A566" s="293"/>
      <c r="B566" s="292">
        <v>4</v>
      </c>
      <c r="C566" s="292">
        <v>1</v>
      </c>
      <c r="D566" s="292">
        <v>4</v>
      </c>
      <c r="E566" s="292" t="s">
        <v>444</v>
      </c>
      <c r="F566" s="292" t="s">
        <v>441</v>
      </c>
      <c r="G566" s="253" t="s">
        <v>779</v>
      </c>
      <c r="H566" s="253"/>
      <c r="I566" s="253"/>
      <c r="J566" s="333">
        <v>30000000</v>
      </c>
      <c r="K566" s="1194">
        <f>'[55]TARGET MURNI DAN PERUBAHAN'!$E$277</f>
        <v>3000000000</v>
      </c>
      <c r="L566" s="360">
        <f>[56]PerDinas!$N$566</f>
        <v>115306402.84</v>
      </c>
      <c r="M566" s="355">
        <f>[55]Perdinas!$P$336</f>
        <v>1000000</v>
      </c>
      <c r="N566" s="361">
        <f>M566+L566</f>
        <v>116306402.84</v>
      </c>
      <c r="O566" s="334">
        <f>N566-K566</f>
        <v>-2883693597.1599998</v>
      </c>
      <c r="P566" s="388">
        <f>N566/K566*100</f>
        <v>3.8768800946666668</v>
      </c>
      <c r="Q566" s="548"/>
      <c r="R566" s="422"/>
    </row>
    <row r="567" spans="1:19" s="189" customFormat="1" ht="12.05" customHeight="1">
      <c r="A567" s="293"/>
      <c r="B567" s="296">
        <v>4</v>
      </c>
      <c r="C567" s="296">
        <v>1</v>
      </c>
      <c r="D567" s="296">
        <v>4</v>
      </c>
      <c r="E567" s="296" t="s">
        <v>444</v>
      </c>
      <c r="F567" s="296" t="s">
        <v>456</v>
      </c>
      <c r="G567" s="856" t="s">
        <v>226</v>
      </c>
      <c r="H567" s="297"/>
      <c r="I567" s="297"/>
      <c r="J567" s="333"/>
      <c r="K567" s="1194">
        <f>'[55]TARGET MURNI DAN PERUBAHAN'!$E$278</f>
        <v>65944925050</v>
      </c>
      <c r="L567" s="360">
        <f>[56]PerDinas!$N$567</f>
        <v>1171936350</v>
      </c>
      <c r="M567" s="355">
        <f>[55]Perdinas!$P$337</f>
        <v>59385377870</v>
      </c>
      <c r="N567" s="361">
        <f>M567+L567</f>
        <v>60557314220</v>
      </c>
      <c r="O567" s="334">
        <f>N567-K567</f>
        <v>-5387610830</v>
      </c>
      <c r="P567" s="353">
        <f>N567/K567*100</f>
        <v>91.830135789956429</v>
      </c>
      <c r="Q567" s="548"/>
      <c r="R567" s="422"/>
      <c r="S567" s="542"/>
    </row>
    <row r="568" spans="1:19" s="189" customFormat="1" ht="12.05" customHeight="1">
      <c r="A568" s="293"/>
      <c r="B568" s="858"/>
      <c r="C568" s="858"/>
      <c r="D568" s="858"/>
      <c r="E568" s="858"/>
      <c r="F568" s="858"/>
      <c r="G568" s="859"/>
      <c r="H568" s="859"/>
      <c r="I568" s="859"/>
      <c r="J568" s="875"/>
      <c r="K568" s="876"/>
      <c r="L568" s="876"/>
      <c r="M568" s="876"/>
      <c r="N568" s="878"/>
      <c r="O568" s="878"/>
      <c r="P568" s="879"/>
      <c r="Q568" s="886"/>
      <c r="R568" s="422"/>
    </row>
    <row r="569" spans="1:19" s="189" customFormat="1" ht="12.05" customHeight="1">
      <c r="A569" s="293"/>
      <c r="B569" s="858">
        <v>4</v>
      </c>
      <c r="C569" s="858">
        <v>1</v>
      </c>
      <c r="D569" s="858">
        <v>4</v>
      </c>
      <c r="E569" s="858" t="s">
        <v>441</v>
      </c>
      <c r="F569" s="858"/>
      <c r="G569" s="861" t="s">
        <v>557</v>
      </c>
      <c r="H569" s="859"/>
      <c r="I569" s="859"/>
      <c r="J569" s="875"/>
      <c r="K569" s="882">
        <f>SUM(K570)</f>
        <v>0</v>
      </c>
      <c r="L569" s="882">
        <f>SUM(L570)</f>
        <v>0</v>
      </c>
      <c r="M569" s="882">
        <f>SUM(M570)</f>
        <v>0</v>
      </c>
      <c r="N569" s="882">
        <f>M569+L569</f>
        <v>0</v>
      </c>
      <c r="O569" s="883">
        <f>N569-K569</f>
        <v>0</v>
      </c>
      <c r="P569" s="884" t="e">
        <f>N569/K569*100</f>
        <v>#DIV/0!</v>
      </c>
      <c r="Q569" s="888"/>
      <c r="R569" s="422"/>
    </row>
    <row r="570" spans="1:19" s="189" customFormat="1" ht="12.05" customHeight="1">
      <c r="A570" s="293"/>
      <c r="B570" s="858">
        <v>4</v>
      </c>
      <c r="C570" s="858">
        <v>1</v>
      </c>
      <c r="D570" s="858">
        <v>4</v>
      </c>
      <c r="E570" s="858" t="s">
        <v>441</v>
      </c>
      <c r="F570" s="858" t="s">
        <v>437</v>
      </c>
      <c r="G570" s="2759" t="s">
        <v>50</v>
      </c>
      <c r="H570" s="859" t="s">
        <v>710</v>
      </c>
      <c r="I570" s="859"/>
      <c r="J570" s="875"/>
      <c r="K570" s="878">
        <f>'[55]TARGET MURNI DAN PERUBAHAN'!$E$284</f>
        <v>0</v>
      </c>
      <c r="L570" s="878">
        <f>[56]PerDinas!$N$570</f>
        <v>0</v>
      </c>
      <c r="M570" s="878">
        <f>[55]Perdinas!$P$343</f>
        <v>0</v>
      </c>
      <c r="N570" s="876">
        <f>M570+L570</f>
        <v>0</v>
      </c>
      <c r="O570" s="878">
        <f>N570-K570</f>
        <v>0</v>
      </c>
      <c r="P570" s="879" t="e">
        <f>N570/K570*100</f>
        <v>#DIV/0!</v>
      </c>
      <c r="Q570" s="887"/>
      <c r="R570" s="422"/>
    </row>
    <row r="571" spans="1:19" s="189" customFormat="1" ht="12.05" customHeight="1">
      <c r="A571" s="293"/>
      <c r="B571" s="858"/>
      <c r="C571" s="858"/>
      <c r="D571" s="858"/>
      <c r="E571" s="858"/>
      <c r="F571" s="858"/>
      <c r="G571" s="859"/>
      <c r="H571" s="859"/>
      <c r="I571" s="859"/>
      <c r="J571" s="875"/>
      <c r="K571" s="876"/>
      <c r="L571" s="876"/>
      <c r="M571" s="876"/>
      <c r="N571" s="878"/>
      <c r="O571" s="878"/>
      <c r="P571" s="879"/>
      <c r="Q571" s="887"/>
      <c r="R571" s="422"/>
    </row>
    <row r="572" spans="1:19" s="189" customFormat="1" ht="12.05" customHeight="1">
      <c r="A572" s="293"/>
      <c r="B572" s="862">
        <v>4</v>
      </c>
      <c r="C572" s="862">
        <v>1</v>
      </c>
      <c r="D572" s="862">
        <v>4</v>
      </c>
      <c r="E572" s="862" t="s">
        <v>459</v>
      </c>
      <c r="F572" s="858"/>
      <c r="G572" s="861" t="s">
        <v>230</v>
      </c>
      <c r="H572" s="859"/>
      <c r="I572" s="859"/>
      <c r="J572" s="875"/>
      <c r="K572" s="882">
        <f>SUM(K573:K574)</f>
        <v>77234295</v>
      </c>
      <c r="L572" s="882">
        <f>SUM(L573:L574)</f>
        <v>0</v>
      </c>
      <c r="M572" s="882">
        <f>SUM(M573:M574)</f>
        <v>0</v>
      </c>
      <c r="N572" s="882">
        <f>M572+L572</f>
        <v>0</v>
      </c>
      <c r="O572" s="883">
        <f>N572-K572</f>
        <v>-77234295</v>
      </c>
      <c r="P572" s="884">
        <f>N572/K572*100</f>
        <v>0</v>
      </c>
      <c r="Q572" s="888"/>
      <c r="R572" s="422"/>
    </row>
    <row r="573" spans="1:19" s="189" customFormat="1" ht="12.05" customHeight="1">
      <c r="A573" s="293"/>
      <c r="B573" s="862">
        <v>4</v>
      </c>
      <c r="C573" s="862">
        <v>1</v>
      </c>
      <c r="D573" s="862">
        <v>4</v>
      </c>
      <c r="E573" s="862" t="s">
        <v>459</v>
      </c>
      <c r="F573" s="858" t="s">
        <v>437</v>
      </c>
      <c r="G573" s="2759" t="s">
        <v>50</v>
      </c>
      <c r="H573" s="859" t="s">
        <v>780</v>
      </c>
      <c r="I573" s="859"/>
      <c r="J573" s="875"/>
      <c r="K573" s="1194">
        <f>'[55]TARGET MURNI DAN PERUBAHAN'!$E$287</f>
        <v>0</v>
      </c>
      <c r="L573" s="360">
        <f>[56]PerDinas!$N$573</f>
        <v>0</v>
      </c>
      <c r="M573" s="355">
        <f>[55]Perdinas!$P$346</f>
        <v>0</v>
      </c>
      <c r="N573" s="876">
        <f>M573+L573</f>
        <v>0</v>
      </c>
      <c r="O573" s="878">
        <f>N573-K573</f>
        <v>0</v>
      </c>
      <c r="P573" s="879" t="e">
        <f>N573/K573*100</f>
        <v>#DIV/0!</v>
      </c>
      <c r="Q573" s="887"/>
      <c r="R573" s="422"/>
    </row>
    <row r="574" spans="1:19" s="189" customFormat="1" ht="12.05" customHeight="1">
      <c r="A574" s="293"/>
      <c r="B574" s="862">
        <v>4</v>
      </c>
      <c r="C574" s="862">
        <v>1</v>
      </c>
      <c r="D574" s="862">
        <v>4</v>
      </c>
      <c r="E574" s="862" t="s">
        <v>459</v>
      </c>
      <c r="F574" s="858" t="s">
        <v>438</v>
      </c>
      <c r="G574" s="2759" t="s">
        <v>50</v>
      </c>
      <c r="H574" s="859" t="s">
        <v>781</v>
      </c>
      <c r="I574" s="859"/>
      <c r="J574" s="875"/>
      <c r="K574" s="1283">
        <f>SUM(K575:K576)</f>
        <v>77234295</v>
      </c>
      <c r="L574" s="876">
        <f>SUM(L575:L576)</f>
        <v>0</v>
      </c>
      <c r="M574" s="876">
        <f>SUM(M575:M576)</f>
        <v>0</v>
      </c>
      <c r="N574" s="876">
        <f>M574+L574</f>
        <v>0</v>
      </c>
      <c r="O574" s="878">
        <f>N574-K574</f>
        <v>-77234295</v>
      </c>
      <c r="P574" s="879">
        <f>N574/K574*100</f>
        <v>0</v>
      </c>
      <c r="Q574" s="887"/>
      <c r="R574" s="422"/>
    </row>
    <row r="575" spans="1:19" s="189" customFormat="1" ht="12.05" customHeight="1">
      <c r="A575" s="293"/>
      <c r="B575" s="858"/>
      <c r="C575" s="858"/>
      <c r="D575" s="858"/>
      <c r="E575" s="858"/>
      <c r="F575" s="858"/>
      <c r="G575" s="859"/>
      <c r="H575" s="2766" t="s">
        <v>782</v>
      </c>
      <c r="I575" s="859"/>
      <c r="J575" s="875"/>
      <c r="K575" s="355">
        <f>'[55]TARGET MURNI DAN PERUBAHAN'!$E$289</f>
        <v>13170000</v>
      </c>
      <c r="L575" s="360">
        <f>[56]PerDinas!$N$575</f>
        <v>0</v>
      </c>
      <c r="M575" s="355">
        <f>[55]Perdinas!$P$348</f>
        <v>0</v>
      </c>
      <c r="N575" s="876">
        <f>M575+L575</f>
        <v>0</v>
      </c>
      <c r="O575" s="878">
        <f>N575-K575</f>
        <v>-13170000</v>
      </c>
      <c r="P575" s="879">
        <f>N575/K575*100</f>
        <v>0</v>
      </c>
      <c r="Q575" s="887"/>
      <c r="R575" s="422"/>
    </row>
    <row r="576" spans="1:19" s="189" customFormat="1" ht="12.05" customHeight="1">
      <c r="A576" s="293"/>
      <c r="B576" s="858"/>
      <c r="C576" s="858"/>
      <c r="D576" s="858"/>
      <c r="E576" s="858"/>
      <c r="F576" s="858"/>
      <c r="G576" s="859"/>
      <c r="H576" s="2766" t="s">
        <v>783</v>
      </c>
      <c r="I576" s="859"/>
      <c r="J576" s="875"/>
      <c r="K576" s="355">
        <f>'[55]TARGET MURNI DAN PERUBAHAN'!$E$290</f>
        <v>64064295</v>
      </c>
      <c r="L576" s="360">
        <f>[56]PerDinas!$N$576</f>
        <v>0</v>
      </c>
      <c r="M576" s="355">
        <f>[55]Perdinas!$P$349</f>
        <v>0</v>
      </c>
      <c r="N576" s="876">
        <f>M576+L576</f>
        <v>0</v>
      </c>
      <c r="O576" s="878">
        <f>N576-K576</f>
        <v>-64064295</v>
      </c>
      <c r="P576" s="879">
        <f>N576/K576*100</f>
        <v>0</v>
      </c>
      <c r="Q576" s="887"/>
      <c r="R576" s="422"/>
    </row>
    <row r="577" spans="1:18" s="189" customFormat="1" ht="12.05" customHeight="1">
      <c r="A577" s="293"/>
      <c r="B577" s="858"/>
      <c r="C577" s="858"/>
      <c r="D577" s="858"/>
      <c r="E577" s="858"/>
      <c r="F577" s="858"/>
      <c r="G577" s="859"/>
      <c r="H577" s="859"/>
      <c r="I577" s="859"/>
      <c r="J577" s="875"/>
      <c r="K577" s="876"/>
      <c r="L577" s="877"/>
      <c r="M577" s="876"/>
      <c r="N577" s="878"/>
      <c r="O577" s="878"/>
      <c r="P577" s="879"/>
      <c r="Q577" s="887"/>
      <c r="R577" s="422"/>
    </row>
    <row r="578" spans="1:18" s="189" customFormat="1" ht="12.05" customHeight="1">
      <c r="A578" s="293"/>
      <c r="B578" s="858">
        <v>4</v>
      </c>
      <c r="C578" s="858">
        <v>1</v>
      </c>
      <c r="D578" s="858">
        <v>4</v>
      </c>
      <c r="E578" s="858" t="s">
        <v>948</v>
      </c>
      <c r="F578" s="858"/>
      <c r="G578" s="291" t="s">
        <v>265</v>
      </c>
      <c r="H578" s="859"/>
      <c r="I578" s="859"/>
      <c r="J578" s="875">
        <v>0</v>
      </c>
      <c r="K578" s="882">
        <f>K579+K635</f>
        <v>13870510900</v>
      </c>
      <c r="L578" s="882">
        <f>L579</f>
        <v>6437321540</v>
      </c>
      <c r="M578" s="882">
        <f>M579</f>
        <v>963639915</v>
      </c>
      <c r="N578" s="883">
        <f>M578+L578</f>
        <v>7400961455</v>
      </c>
      <c r="O578" s="883">
        <f>N578-K578</f>
        <v>-6469549445</v>
      </c>
      <c r="P578" s="884">
        <f>N578/K578*100</f>
        <v>53.357525965391808</v>
      </c>
      <c r="Q578" s="1289"/>
      <c r="R578" s="555">
        <f>N578-[55]Perdinas!$Q$354</f>
        <v>1111916454</v>
      </c>
    </row>
    <row r="579" spans="1:18" s="189" customFormat="1">
      <c r="A579" s="293"/>
      <c r="B579" s="858">
        <v>4</v>
      </c>
      <c r="C579" s="858">
        <v>1</v>
      </c>
      <c r="D579" s="858">
        <v>4</v>
      </c>
      <c r="E579" s="858" t="s">
        <v>948</v>
      </c>
      <c r="F579" s="858" t="s">
        <v>437</v>
      </c>
      <c r="G579" s="890" t="s">
        <v>785</v>
      </c>
      <c r="H579" s="859"/>
      <c r="I579" s="859"/>
      <c r="J579" s="875">
        <v>0</v>
      </c>
      <c r="K579" s="876">
        <f>SUM(K580:K633)-K588-K590-K595-K605-K609-K625-K611</f>
        <v>10177085900</v>
      </c>
      <c r="L579" s="876">
        <f>SUM(L580:L633)-L588-L590-L595-L605-L609-L625-L611</f>
        <v>6437321540</v>
      </c>
      <c r="M579" s="876">
        <f>SUM(M580:M633)-M588-M590-M595-M605-M609-M625-M611</f>
        <v>963639915</v>
      </c>
      <c r="N579" s="876">
        <f>M579+L579</f>
        <v>7400961455</v>
      </c>
      <c r="O579" s="878">
        <f>N579-K579</f>
        <v>-2776124445</v>
      </c>
      <c r="P579" s="879">
        <f>N579/K579*100</f>
        <v>72.721813765962224</v>
      </c>
      <c r="Q579" s="897"/>
      <c r="R579" s="422"/>
    </row>
    <row r="580" spans="1:18" s="189" customFormat="1">
      <c r="A580" s="293"/>
      <c r="B580" s="858"/>
      <c r="C580" s="858"/>
      <c r="D580" s="858"/>
      <c r="E580" s="858"/>
      <c r="F580" s="858"/>
      <c r="G580" s="891" t="s">
        <v>786</v>
      </c>
      <c r="H580" s="890"/>
      <c r="I580" s="859"/>
      <c r="J580" s="875"/>
      <c r="K580" s="876">
        <f>'[55]TARGET MURNI DAN PERUBAHAN'!$E$297</f>
        <v>0</v>
      </c>
      <c r="L580" s="1283">
        <f>[56]PerDinas!$N$580</f>
        <v>13894000</v>
      </c>
      <c r="M580" s="876">
        <f>[55]Perdinas!$P$356</f>
        <v>0</v>
      </c>
      <c r="N580" s="1286">
        <f t="shared" ref="N580:N640" si="91">M580+L580</f>
        <v>13894000</v>
      </c>
      <c r="O580" s="878">
        <f t="shared" ref="O580:O640" si="92">N580-K580</f>
        <v>13894000</v>
      </c>
      <c r="P580" s="879" t="e">
        <f t="shared" ref="P580:P640" si="93">N580/K580*100</f>
        <v>#DIV/0!</v>
      </c>
      <c r="Q580" s="897"/>
      <c r="R580" s="422"/>
    </row>
    <row r="581" spans="1:18" s="189" customFormat="1">
      <c r="A581" s="293"/>
      <c r="B581" s="858"/>
      <c r="C581" s="858"/>
      <c r="D581" s="858"/>
      <c r="E581" s="858"/>
      <c r="F581" s="858"/>
      <c r="G581" s="891" t="s">
        <v>787</v>
      </c>
      <c r="H581" s="890"/>
      <c r="I581" s="859"/>
      <c r="J581" s="875"/>
      <c r="K581" s="876">
        <f>'[55]TARGET MURNI DAN PERUBAHAN'!$E$298</f>
        <v>0</v>
      </c>
      <c r="L581" s="877">
        <f>[56]PerDinas!$N$581</f>
        <v>0</v>
      </c>
      <c r="M581" s="876">
        <f>[55]Perdinas!$P$357</f>
        <v>0</v>
      </c>
      <c r="N581" s="876">
        <f t="shared" si="91"/>
        <v>0</v>
      </c>
      <c r="O581" s="878">
        <f t="shared" si="92"/>
        <v>0</v>
      </c>
      <c r="P581" s="879" t="e">
        <f t="shared" si="93"/>
        <v>#DIV/0!</v>
      </c>
      <c r="Q581" s="897"/>
      <c r="R581" s="422"/>
    </row>
    <row r="582" spans="1:18" s="189" customFormat="1">
      <c r="A582" s="293"/>
      <c r="B582" s="858"/>
      <c r="C582" s="858"/>
      <c r="D582" s="858"/>
      <c r="E582" s="858"/>
      <c r="F582" s="858"/>
      <c r="G582" s="891" t="s">
        <v>1043</v>
      </c>
      <c r="H582" s="890"/>
      <c r="I582" s="859"/>
      <c r="J582" s="875"/>
      <c r="K582" s="876">
        <f>'[55]TARGET MURNI DAN PERUBAHAN'!$E$299</f>
        <v>0</v>
      </c>
      <c r="L582" s="877">
        <f>[56]PerDinas!$N$582</f>
        <v>0</v>
      </c>
      <c r="M582" s="876">
        <f>[55]Perdinas!$P$358</f>
        <v>0</v>
      </c>
      <c r="N582" s="876">
        <f t="shared" si="91"/>
        <v>0</v>
      </c>
      <c r="O582" s="878">
        <f t="shared" si="92"/>
        <v>0</v>
      </c>
      <c r="P582" s="879" t="e">
        <f t="shared" si="93"/>
        <v>#DIV/0!</v>
      </c>
      <c r="Q582" s="897"/>
      <c r="R582" s="422"/>
    </row>
    <row r="583" spans="1:18" s="189" customFormat="1">
      <c r="A583" s="889"/>
      <c r="B583" s="858"/>
      <c r="C583" s="858"/>
      <c r="D583" s="858"/>
      <c r="E583" s="858"/>
      <c r="F583" s="858"/>
      <c r="G583" s="891" t="s">
        <v>789</v>
      </c>
      <c r="H583" s="890"/>
      <c r="I583" s="859"/>
      <c r="J583" s="875"/>
      <c r="K583" s="876">
        <f>'[55]TARGET MURNI DAN PERUBAHAN'!$E$300</f>
        <v>0</v>
      </c>
      <c r="L583" s="877">
        <f>[56]PerDinas!$N$583</f>
        <v>0</v>
      </c>
      <c r="M583" s="876">
        <f>[55]Perdinas!$P$359</f>
        <v>0</v>
      </c>
      <c r="N583" s="876">
        <f t="shared" si="91"/>
        <v>0</v>
      </c>
      <c r="O583" s="878">
        <f t="shared" si="92"/>
        <v>0</v>
      </c>
      <c r="P583" s="879" t="e">
        <f t="shared" si="93"/>
        <v>#DIV/0!</v>
      </c>
      <c r="Q583" s="897"/>
      <c r="R583" s="422"/>
    </row>
    <row r="584" spans="1:18" s="189" customFormat="1">
      <c r="A584" s="889"/>
      <c r="B584" s="858"/>
      <c r="C584" s="858"/>
      <c r="D584" s="858"/>
      <c r="E584" s="858"/>
      <c r="F584" s="858"/>
      <c r="G584" s="891" t="s">
        <v>790</v>
      </c>
      <c r="H584" s="890"/>
      <c r="I584" s="859"/>
      <c r="J584" s="875"/>
      <c r="K584" s="876">
        <f>'[55]TARGET MURNI DAN PERUBAHAN'!$E$301</f>
        <v>0</v>
      </c>
      <c r="L584" s="1283">
        <f>[56]PerDinas!$N$584</f>
        <v>101300000</v>
      </c>
      <c r="M584" s="876">
        <f>[55]Perdinas!$P$360</f>
        <v>25830000</v>
      </c>
      <c r="N584" s="876">
        <f t="shared" si="91"/>
        <v>127130000</v>
      </c>
      <c r="O584" s="878">
        <f t="shared" si="92"/>
        <v>127130000</v>
      </c>
      <c r="P584" s="879" t="e">
        <f t="shared" si="93"/>
        <v>#DIV/0!</v>
      </c>
      <c r="Q584" s="897"/>
      <c r="R584" s="422"/>
    </row>
    <row r="585" spans="1:18" s="189" customFormat="1">
      <c r="A585" s="889"/>
      <c r="B585" s="858"/>
      <c r="C585" s="858"/>
      <c r="D585" s="858"/>
      <c r="E585" s="858"/>
      <c r="F585" s="858"/>
      <c r="G585" s="891" t="s">
        <v>791</v>
      </c>
      <c r="H585" s="890"/>
      <c r="I585" s="859"/>
      <c r="J585" s="875"/>
      <c r="K585" s="876">
        <f>'[55]TARGET MURNI DAN PERUBAHAN'!$E$302</f>
        <v>0</v>
      </c>
      <c r="L585" s="877">
        <f>[56]PerDinas!$N$585</f>
        <v>3588000</v>
      </c>
      <c r="M585" s="876">
        <f>[55]Perdinas!$P$361</f>
        <v>0</v>
      </c>
      <c r="N585" s="876">
        <f t="shared" si="91"/>
        <v>3588000</v>
      </c>
      <c r="O585" s="878">
        <f t="shared" si="92"/>
        <v>3588000</v>
      </c>
      <c r="P585" s="879" t="e">
        <f t="shared" si="93"/>
        <v>#DIV/0!</v>
      </c>
      <c r="Q585" s="897"/>
      <c r="R585" s="422"/>
    </row>
    <row r="586" spans="1:18" s="189" customFormat="1">
      <c r="A586" s="889"/>
      <c r="B586" s="858"/>
      <c r="C586" s="858"/>
      <c r="D586" s="858"/>
      <c r="E586" s="858"/>
      <c r="F586" s="858"/>
      <c r="G586" s="891" t="s">
        <v>792</v>
      </c>
      <c r="H586" s="890"/>
      <c r="I586" s="859"/>
      <c r="J586" s="875"/>
      <c r="K586" s="876">
        <f>'[55]TARGET MURNI DAN PERUBAHAN'!$E$303</f>
        <v>0</v>
      </c>
      <c r="L586" s="1283">
        <f>[56]PerDinas!$N$586</f>
        <v>17097000</v>
      </c>
      <c r="M586" s="876">
        <f>[55]Perdinas!$P$362</f>
        <v>3128025</v>
      </c>
      <c r="N586" s="876">
        <f t="shared" si="91"/>
        <v>20225025</v>
      </c>
      <c r="O586" s="878">
        <f t="shared" si="92"/>
        <v>20225025</v>
      </c>
      <c r="P586" s="879" t="e">
        <f t="shared" si="93"/>
        <v>#DIV/0!</v>
      </c>
      <c r="Q586" s="897"/>
      <c r="R586" s="422"/>
    </row>
    <row r="587" spans="1:18" s="189" customFormat="1">
      <c r="A587" s="889"/>
      <c r="B587" s="858"/>
      <c r="C587" s="858"/>
      <c r="D587" s="858"/>
      <c r="E587" s="858"/>
      <c r="F587" s="858"/>
      <c r="G587" s="891" t="s">
        <v>1044</v>
      </c>
      <c r="H587" s="890"/>
      <c r="I587" s="859"/>
      <c r="J587" s="875"/>
      <c r="K587" s="876">
        <f>'[55]TARGET MURNI DAN PERUBAHAN'!$E$304</f>
        <v>3291945800</v>
      </c>
      <c r="L587" s="877">
        <f>[56]PerDinas!$N$587</f>
        <v>762280485</v>
      </c>
      <c r="M587" s="876">
        <f>[55]Perdinas!$P$352</f>
        <v>349635969</v>
      </c>
      <c r="N587" s="876">
        <f t="shared" si="91"/>
        <v>1111916454</v>
      </c>
      <c r="O587" s="878">
        <f t="shared" si="92"/>
        <v>-2180029346</v>
      </c>
      <c r="P587" s="879">
        <f t="shared" si="93"/>
        <v>33.776876095590637</v>
      </c>
      <c r="Q587" s="897"/>
      <c r="R587" s="422"/>
    </row>
    <row r="588" spans="1:18" s="189" customFormat="1">
      <c r="A588" s="889"/>
      <c r="B588" s="858"/>
      <c r="C588" s="858"/>
      <c r="D588" s="858"/>
      <c r="E588" s="858"/>
      <c r="F588" s="858"/>
      <c r="G588" s="1285" t="s">
        <v>794</v>
      </c>
      <c r="H588" s="893"/>
      <c r="I588" s="861"/>
      <c r="J588" s="1287"/>
      <c r="K588" s="882">
        <f>K589</f>
        <v>51419400</v>
      </c>
      <c r="L588" s="882">
        <f>L589</f>
        <v>0</v>
      </c>
      <c r="M588" s="882">
        <f>M589</f>
        <v>0</v>
      </c>
      <c r="N588" s="882">
        <f t="shared" si="91"/>
        <v>0</v>
      </c>
      <c r="O588" s="883">
        <f t="shared" si="92"/>
        <v>-51419400</v>
      </c>
      <c r="P588" s="884">
        <f t="shared" si="93"/>
        <v>0</v>
      </c>
      <c r="Q588" s="1289"/>
      <c r="R588" s="422"/>
    </row>
    <row r="589" spans="1:18" s="189" customFormat="1">
      <c r="A589" s="889"/>
      <c r="B589" s="858"/>
      <c r="C589" s="858"/>
      <c r="D589" s="858"/>
      <c r="E589" s="858"/>
      <c r="F589" s="858"/>
      <c r="G589" s="891" t="s">
        <v>50</v>
      </c>
      <c r="H589" s="892" t="s">
        <v>795</v>
      </c>
      <c r="I589" s="859"/>
      <c r="J589" s="875"/>
      <c r="K589" s="876">
        <f>'[55]TARGET MURNI DAN PERUBAHAN'!$E$306</f>
        <v>51419400</v>
      </c>
      <c r="L589" s="877">
        <f>[56]PerDinas!$N$589</f>
        <v>0</v>
      </c>
      <c r="M589" s="876">
        <f>[55]Perdinas!$P$365</f>
        <v>0</v>
      </c>
      <c r="N589" s="876">
        <f t="shared" si="91"/>
        <v>0</v>
      </c>
      <c r="O589" s="878">
        <f t="shared" si="92"/>
        <v>-51419400</v>
      </c>
      <c r="P589" s="879">
        <f t="shared" si="93"/>
        <v>0</v>
      </c>
      <c r="Q589" s="897"/>
      <c r="R589" s="422"/>
    </row>
    <row r="590" spans="1:18" s="189" customFormat="1">
      <c r="A590" s="889"/>
      <c r="B590" s="858"/>
      <c r="C590" s="858"/>
      <c r="D590" s="858"/>
      <c r="E590" s="858"/>
      <c r="F590" s="858"/>
      <c r="G590" s="1285" t="s">
        <v>796</v>
      </c>
      <c r="H590" s="893"/>
      <c r="I590" s="861"/>
      <c r="J590" s="1287"/>
      <c r="K590" s="882">
        <f>SUM(K591:K594)</f>
        <v>335291000</v>
      </c>
      <c r="L590" s="882">
        <f>SUM(L591:L594)</f>
        <v>38564830</v>
      </c>
      <c r="M590" s="882">
        <f>SUM(M591:M594)</f>
        <v>0</v>
      </c>
      <c r="N590" s="882">
        <f t="shared" si="91"/>
        <v>38564830</v>
      </c>
      <c r="O590" s="883">
        <f t="shared" si="92"/>
        <v>-296726170</v>
      </c>
      <c r="P590" s="884">
        <f t="shared" si="93"/>
        <v>11.501898350984668</v>
      </c>
      <c r="Q590" s="1289"/>
      <c r="R590" s="422"/>
    </row>
    <row r="591" spans="1:18" s="189" customFormat="1">
      <c r="A591" s="889"/>
      <c r="B591" s="858"/>
      <c r="C591" s="858"/>
      <c r="D591" s="858"/>
      <c r="E591" s="858"/>
      <c r="F591" s="858"/>
      <c r="G591" s="891" t="s">
        <v>50</v>
      </c>
      <c r="H591" s="892" t="s">
        <v>797</v>
      </c>
      <c r="I591" s="859"/>
      <c r="J591" s="875"/>
      <c r="K591" s="876">
        <f>'[55]TARGET MURNI DAN PERUBAHAN'!$E$308</f>
        <v>55355000</v>
      </c>
      <c r="L591" s="1283">
        <f>[56]PerDinas!$N$591</f>
        <v>548830</v>
      </c>
      <c r="M591" s="876">
        <f>[55]Perdinas!$P$367</f>
        <v>0</v>
      </c>
      <c r="N591" s="876">
        <f t="shared" si="91"/>
        <v>548830</v>
      </c>
      <c r="O591" s="878">
        <f t="shared" si="92"/>
        <v>-54806170</v>
      </c>
      <c r="P591" s="879">
        <f t="shared" si="93"/>
        <v>0.99147321831812851</v>
      </c>
      <c r="Q591" s="897"/>
      <c r="R591" s="422"/>
    </row>
    <row r="592" spans="1:18" s="189" customFormat="1">
      <c r="A592" s="889"/>
      <c r="B592" s="858"/>
      <c r="C592" s="858"/>
      <c r="D592" s="858"/>
      <c r="E592" s="858"/>
      <c r="F592" s="858"/>
      <c r="G592" s="891" t="s">
        <v>50</v>
      </c>
      <c r="H592" s="892" t="s">
        <v>138</v>
      </c>
      <c r="I592" s="859"/>
      <c r="J592" s="875"/>
      <c r="K592" s="876">
        <f>'[55]TARGET MURNI DAN PERUBAHAN'!$E$309</f>
        <v>57136000</v>
      </c>
      <c r="L592" s="877">
        <f>[56]PerDinas!$N$592</f>
        <v>0</v>
      </c>
      <c r="M592" s="876">
        <f>[55]Perdinas!$P$368</f>
        <v>0</v>
      </c>
      <c r="N592" s="876">
        <f t="shared" si="91"/>
        <v>0</v>
      </c>
      <c r="O592" s="878">
        <f t="shared" si="92"/>
        <v>-57136000</v>
      </c>
      <c r="P592" s="879">
        <f t="shared" si="93"/>
        <v>0</v>
      </c>
      <c r="Q592" s="897"/>
      <c r="R592" s="422"/>
    </row>
    <row r="593" spans="1:18" s="189" customFormat="1">
      <c r="A593" s="889"/>
      <c r="B593" s="858"/>
      <c r="C593" s="858"/>
      <c r="D593" s="858"/>
      <c r="E593" s="858"/>
      <c r="F593" s="858"/>
      <c r="G593" s="891" t="s">
        <v>50</v>
      </c>
      <c r="H593" s="892" t="s">
        <v>798</v>
      </c>
      <c r="I593" s="859"/>
      <c r="J593" s="875"/>
      <c r="K593" s="876">
        <f>'[55]TARGET MURNI DAN PERUBAHAN'!$E$310</f>
        <v>24760000</v>
      </c>
      <c r="L593" s="877">
        <f>[56]PerDinas!$N$593</f>
        <v>9600000</v>
      </c>
      <c r="M593" s="876">
        <f>[55]Perdinas!$P$369</f>
        <v>0</v>
      </c>
      <c r="N593" s="876">
        <f t="shared" si="91"/>
        <v>9600000</v>
      </c>
      <c r="O593" s="878">
        <f t="shared" si="92"/>
        <v>-15160000</v>
      </c>
      <c r="P593" s="879">
        <f t="shared" si="93"/>
        <v>38.772213247172857</v>
      </c>
      <c r="Q593" s="897"/>
      <c r="R593" s="422"/>
    </row>
    <row r="594" spans="1:18" s="189" customFormat="1">
      <c r="A594" s="889"/>
      <c r="B594" s="858"/>
      <c r="C594" s="858"/>
      <c r="D594" s="858"/>
      <c r="E594" s="858"/>
      <c r="F594" s="858"/>
      <c r="G594" s="891" t="s">
        <v>50</v>
      </c>
      <c r="H594" s="892" t="s">
        <v>140</v>
      </c>
      <c r="I594" s="859"/>
      <c r="J594" s="875"/>
      <c r="K594" s="876">
        <f>'[55]TARGET MURNI DAN PERUBAHAN'!$E$311</f>
        <v>198040000</v>
      </c>
      <c r="L594" s="1283">
        <f>[56]PerDinas!$N$594</f>
        <v>28416000</v>
      </c>
      <c r="M594" s="876">
        <f>[55]Perdinas!$P$370</f>
        <v>0</v>
      </c>
      <c r="N594" s="876">
        <f t="shared" si="91"/>
        <v>28416000</v>
      </c>
      <c r="O594" s="878">
        <f t="shared" si="92"/>
        <v>-169624000</v>
      </c>
      <c r="P594" s="879">
        <f t="shared" si="93"/>
        <v>14.348616441123005</v>
      </c>
      <c r="Q594" s="897"/>
      <c r="R594" s="422"/>
    </row>
    <row r="595" spans="1:18" s="189" customFormat="1">
      <c r="A595" s="889"/>
      <c r="B595" s="858"/>
      <c r="C595" s="858"/>
      <c r="D595" s="858"/>
      <c r="E595" s="858"/>
      <c r="F595" s="858"/>
      <c r="G595" s="1285" t="s">
        <v>799</v>
      </c>
      <c r="H595" s="893"/>
      <c r="I595" s="861"/>
      <c r="J595" s="1287"/>
      <c r="K595" s="882">
        <f>SUM(K596:K599)</f>
        <v>400714300</v>
      </c>
      <c r="L595" s="882">
        <f>SUM(L596:L599)</f>
        <v>108202050</v>
      </c>
      <c r="M595" s="882">
        <f>SUM(M596:M599)</f>
        <v>0</v>
      </c>
      <c r="N595" s="1288">
        <f t="shared" si="91"/>
        <v>108202050</v>
      </c>
      <c r="O595" s="883">
        <f t="shared" si="92"/>
        <v>-292512250</v>
      </c>
      <c r="P595" s="884">
        <f t="shared" si="93"/>
        <v>27.002293154998462</v>
      </c>
      <c r="Q595" s="1289"/>
      <c r="R595" s="422"/>
    </row>
    <row r="596" spans="1:18" s="189" customFormat="1">
      <c r="A596" s="889"/>
      <c r="B596" s="858"/>
      <c r="C596" s="858"/>
      <c r="D596" s="858"/>
      <c r="E596" s="858"/>
      <c r="F596" s="858"/>
      <c r="G596" s="891" t="s">
        <v>50</v>
      </c>
      <c r="H596" s="892" t="s">
        <v>85</v>
      </c>
      <c r="I596" s="859"/>
      <c r="J596" s="875"/>
      <c r="K596" s="876">
        <f>'[55]TARGET MURNI DAN PERUBAHAN'!$E$313</f>
        <v>0</v>
      </c>
      <c r="L596" s="877">
        <f>[56]PerDinas!$N$596</f>
        <v>0</v>
      </c>
      <c r="M596" s="876">
        <f>[55]Perdinas!$P$372</f>
        <v>0</v>
      </c>
      <c r="N596" s="876">
        <f t="shared" si="91"/>
        <v>0</v>
      </c>
      <c r="O596" s="878">
        <f t="shared" si="92"/>
        <v>0</v>
      </c>
      <c r="P596" s="879" t="e">
        <f t="shared" si="93"/>
        <v>#DIV/0!</v>
      </c>
      <c r="Q596" s="897"/>
      <c r="R596" s="422"/>
    </row>
    <row r="597" spans="1:18" s="189" customFormat="1">
      <c r="A597" s="889"/>
      <c r="B597" s="858"/>
      <c r="C597" s="858"/>
      <c r="D597" s="858"/>
      <c r="E597" s="858"/>
      <c r="F597" s="858"/>
      <c r="G597" s="891" t="s">
        <v>50</v>
      </c>
      <c r="H597" s="892" t="s">
        <v>145</v>
      </c>
      <c r="I597" s="859"/>
      <c r="J597" s="875"/>
      <c r="K597" s="876">
        <f>'[55]TARGET MURNI DAN PERUBAHAN'!$E$314</f>
        <v>63698000</v>
      </c>
      <c r="L597" s="877">
        <f>[56]PerDinas!$N$597</f>
        <v>18162400</v>
      </c>
      <c r="M597" s="876">
        <f>[55]Perdinas!$P$373</f>
        <v>0</v>
      </c>
      <c r="N597" s="876">
        <f t="shared" si="91"/>
        <v>18162400</v>
      </c>
      <c r="O597" s="878">
        <f t="shared" si="92"/>
        <v>-45535600</v>
      </c>
      <c r="P597" s="879">
        <f t="shared" si="93"/>
        <v>28.513297120788721</v>
      </c>
      <c r="Q597" s="897"/>
      <c r="R597" s="422"/>
    </row>
    <row r="598" spans="1:18" s="189" customFormat="1">
      <c r="A598" s="889"/>
      <c r="B598" s="858"/>
      <c r="C598" s="858"/>
      <c r="D598" s="858"/>
      <c r="E598" s="858"/>
      <c r="F598" s="858"/>
      <c r="G598" s="891" t="s">
        <v>50</v>
      </c>
      <c r="H598" s="892" t="s">
        <v>146</v>
      </c>
      <c r="I598" s="859"/>
      <c r="J598" s="875"/>
      <c r="K598" s="876">
        <f>'[55]TARGET MURNI DAN PERUBAHAN'!$E$315</f>
        <v>285233000</v>
      </c>
      <c r="L598" s="1283">
        <f>[56]PerDinas!$N$598</f>
        <v>26667350</v>
      </c>
      <c r="M598" s="876">
        <f>[55]Perdinas!$P$374</f>
        <v>0</v>
      </c>
      <c r="N598" s="876">
        <f t="shared" si="91"/>
        <v>26667350</v>
      </c>
      <c r="O598" s="878">
        <f t="shared" si="92"/>
        <v>-258565650</v>
      </c>
      <c r="P598" s="879">
        <f t="shared" si="93"/>
        <v>9.3493214319521236</v>
      </c>
      <c r="Q598" s="897"/>
      <c r="R598" s="422"/>
    </row>
    <row r="599" spans="1:18" s="189" customFormat="1">
      <c r="A599" s="889"/>
      <c r="B599" s="858"/>
      <c r="C599" s="858"/>
      <c r="D599" s="858"/>
      <c r="E599" s="858"/>
      <c r="F599" s="858"/>
      <c r="G599" s="891" t="s">
        <v>50</v>
      </c>
      <c r="H599" s="892" t="s">
        <v>147</v>
      </c>
      <c r="I599" s="859"/>
      <c r="J599" s="875"/>
      <c r="K599" s="876">
        <f>'[55]TARGET MURNI DAN PERUBAHAN'!$E$316</f>
        <v>51783300</v>
      </c>
      <c r="L599" s="1283">
        <f>[56]PerDinas!$N$599</f>
        <v>63372300</v>
      </c>
      <c r="M599" s="876">
        <f>[55]Perdinas!$P$375</f>
        <v>0</v>
      </c>
      <c r="N599" s="876">
        <f t="shared" si="91"/>
        <v>63372300</v>
      </c>
      <c r="O599" s="878">
        <f t="shared" si="92"/>
        <v>11589000</v>
      </c>
      <c r="P599" s="879">
        <f t="shared" si="93"/>
        <v>122.37980198249244</v>
      </c>
      <c r="Q599" s="897"/>
      <c r="R599" s="422"/>
    </row>
    <row r="600" spans="1:18" s="189" customFormat="1">
      <c r="A600" s="889"/>
      <c r="B600" s="858"/>
      <c r="C600" s="858"/>
      <c r="D600" s="858"/>
      <c r="E600" s="858"/>
      <c r="F600" s="858"/>
      <c r="G600" s="891" t="s">
        <v>800</v>
      </c>
      <c r="H600" s="890"/>
      <c r="I600" s="859"/>
      <c r="J600" s="875"/>
      <c r="K600" s="876">
        <f>'[55]TARGET MURNI DAN PERUBAHAN'!$E$317</f>
        <v>25741600</v>
      </c>
      <c r="L600" s="877">
        <f>[56]PerDinas!$N$600</f>
        <v>2410507</v>
      </c>
      <c r="M600" s="876">
        <f>[55]Perdinas!$P$376</f>
        <v>1200000</v>
      </c>
      <c r="N600" s="876">
        <f t="shared" si="91"/>
        <v>3610507</v>
      </c>
      <c r="O600" s="878">
        <f t="shared" si="92"/>
        <v>-22131093</v>
      </c>
      <c r="P600" s="879">
        <f t="shared" si="93"/>
        <v>14.025961867172205</v>
      </c>
      <c r="Q600" s="897"/>
      <c r="R600" s="422"/>
    </row>
    <row r="601" spans="1:18" s="189" customFormat="1">
      <c r="A601" s="889"/>
      <c r="B601" s="858"/>
      <c r="C601" s="858"/>
      <c r="D601" s="858"/>
      <c r="E601" s="858"/>
      <c r="F601" s="858"/>
      <c r="G601" s="891" t="s">
        <v>801</v>
      </c>
      <c r="H601" s="890"/>
      <c r="I601" s="859"/>
      <c r="J601" s="875"/>
      <c r="K601" s="876">
        <f>'[55]TARGET MURNI DAN PERUBAHAN'!$E$318</f>
        <v>1100000</v>
      </c>
      <c r="L601" s="877">
        <f>[56]PerDinas!$N$601</f>
        <v>322000</v>
      </c>
      <c r="M601" s="876">
        <f>[55]Perdinas!$P$377</f>
        <v>141017557</v>
      </c>
      <c r="N601" s="876">
        <f t="shared" si="91"/>
        <v>141339557</v>
      </c>
      <c r="O601" s="878">
        <f t="shared" si="92"/>
        <v>140239557</v>
      </c>
      <c r="P601" s="879">
        <f t="shared" si="93"/>
        <v>12849.050636363638</v>
      </c>
      <c r="Q601" s="897"/>
      <c r="R601" s="422"/>
    </row>
    <row r="602" spans="1:18" s="189" customFormat="1">
      <c r="A602" s="889"/>
      <c r="B602" s="858"/>
      <c r="C602" s="858"/>
      <c r="D602" s="858"/>
      <c r="E602" s="858"/>
      <c r="F602" s="858"/>
      <c r="G602" s="891" t="s">
        <v>1045</v>
      </c>
      <c r="H602" s="890"/>
      <c r="I602" s="859"/>
      <c r="J602" s="875"/>
      <c r="K602" s="876">
        <f>'[55]TARGET MURNI DAN PERUBAHAN'!$E$319</f>
        <v>0</v>
      </c>
      <c r="L602" s="1283"/>
      <c r="M602" s="876">
        <f>[55]Perdinas!$P$69</f>
        <v>0</v>
      </c>
      <c r="N602" s="876">
        <f t="shared" si="91"/>
        <v>0</v>
      </c>
      <c r="O602" s="878">
        <f t="shared" si="92"/>
        <v>0</v>
      </c>
      <c r="P602" s="879" t="e">
        <f t="shared" si="93"/>
        <v>#DIV/0!</v>
      </c>
      <c r="Q602" s="897"/>
      <c r="R602" s="422"/>
    </row>
    <row r="603" spans="1:18" s="189" customFormat="1">
      <c r="A603" s="889"/>
      <c r="B603" s="858"/>
      <c r="C603" s="858"/>
      <c r="D603" s="858"/>
      <c r="E603" s="858"/>
      <c r="F603" s="858"/>
      <c r="G603" s="891" t="s">
        <v>803</v>
      </c>
      <c r="H603" s="890"/>
      <c r="I603" s="859"/>
      <c r="J603" s="875"/>
      <c r="K603" s="876">
        <f>'[55]TARGET MURNI DAN PERUBAHAN'!$E$320</f>
        <v>0</v>
      </c>
      <c r="L603" s="877">
        <f>[56]PerDinas!$N$603</f>
        <v>0</v>
      </c>
      <c r="M603" s="876">
        <f>[55]Perdinas!$P$379</f>
        <v>0</v>
      </c>
      <c r="N603" s="876">
        <f t="shared" si="91"/>
        <v>0</v>
      </c>
      <c r="O603" s="878">
        <f t="shared" si="92"/>
        <v>0</v>
      </c>
      <c r="P603" s="879" t="e">
        <f t="shared" si="93"/>
        <v>#DIV/0!</v>
      </c>
      <c r="Q603" s="897"/>
      <c r="R603" s="422"/>
    </row>
    <row r="604" spans="1:18" s="189" customFormat="1">
      <c r="A604" s="889"/>
      <c r="B604" s="858"/>
      <c r="C604" s="858"/>
      <c r="D604" s="858"/>
      <c r="E604" s="858"/>
      <c r="F604" s="858"/>
      <c r="G604" s="891" t="s">
        <v>804</v>
      </c>
      <c r="H604" s="890"/>
      <c r="I604" s="859"/>
      <c r="J604" s="875"/>
      <c r="K604" s="876">
        <f>'[55]TARGET MURNI DAN PERUBAHAN'!$E$321</f>
        <v>0</v>
      </c>
      <c r="L604" s="877">
        <f>[56]PerDinas!$N$604</f>
        <v>0</v>
      </c>
      <c r="M604" s="876">
        <f>[55]Perdinas!$P$380</f>
        <v>0</v>
      </c>
      <c r="N604" s="876">
        <f t="shared" si="91"/>
        <v>0</v>
      </c>
      <c r="O604" s="878">
        <f t="shared" si="92"/>
        <v>0</v>
      </c>
      <c r="P604" s="879" t="e">
        <f t="shared" si="93"/>
        <v>#DIV/0!</v>
      </c>
      <c r="Q604" s="897"/>
      <c r="R604" s="422"/>
    </row>
    <row r="605" spans="1:18" s="189" customFormat="1">
      <c r="A605" s="889"/>
      <c r="B605" s="858"/>
      <c r="C605" s="858"/>
      <c r="D605" s="858"/>
      <c r="E605" s="858"/>
      <c r="F605" s="858"/>
      <c r="G605" s="1285" t="s">
        <v>805</v>
      </c>
      <c r="H605" s="893"/>
      <c r="I605" s="861"/>
      <c r="J605" s="1287"/>
      <c r="K605" s="882">
        <f>K606</f>
        <v>0</v>
      </c>
      <c r="L605" s="882">
        <f>L606</f>
        <v>0</v>
      </c>
      <c r="M605" s="882">
        <f>M606</f>
        <v>0</v>
      </c>
      <c r="N605" s="882">
        <f t="shared" si="91"/>
        <v>0</v>
      </c>
      <c r="O605" s="883">
        <f t="shared" si="92"/>
        <v>0</v>
      </c>
      <c r="P605" s="884" t="e">
        <f t="shared" si="93"/>
        <v>#DIV/0!</v>
      </c>
      <c r="Q605" s="1289"/>
      <c r="R605" s="422"/>
    </row>
    <row r="606" spans="1:18" s="189" customFormat="1">
      <c r="A606" s="889"/>
      <c r="B606" s="858"/>
      <c r="C606" s="858"/>
      <c r="D606" s="858"/>
      <c r="E606" s="858"/>
      <c r="F606" s="858"/>
      <c r="G606" s="891" t="s">
        <v>50</v>
      </c>
      <c r="H606" s="892" t="s">
        <v>640</v>
      </c>
      <c r="I606" s="859"/>
      <c r="J606" s="875"/>
      <c r="K606" s="876">
        <f>'[55]TARGET MURNI DAN PERUBAHAN'!$E$323</f>
        <v>0</v>
      </c>
      <c r="L606" s="877">
        <f>[56]PerDinas!$N$606</f>
        <v>0</v>
      </c>
      <c r="M606" s="876">
        <f>[55]Perdinas!$P$382</f>
        <v>0</v>
      </c>
      <c r="N606" s="876">
        <f t="shared" si="91"/>
        <v>0</v>
      </c>
      <c r="O606" s="878">
        <f t="shared" si="92"/>
        <v>0</v>
      </c>
      <c r="P606" s="879" t="e">
        <f t="shared" si="93"/>
        <v>#DIV/0!</v>
      </c>
      <c r="Q606" s="897"/>
      <c r="R606" s="422"/>
    </row>
    <row r="607" spans="1:18" s="189" customFormat="1">
      <c r="A607" s="889"/>
      <c r="B607" s="858"/>
      <c r="C607" s="858"/>
      <c r="D607" s="858"/>
      <c r="E607" s="858"/>
      <c r="F607" s="858"/>
      <c r="G607" s="891" t="s">
        <v>806</v>
      </c>
      <c r="H607" s="890"/>
      <c r="I607" s="859"/>
      <c r="J607" s="875"/>
      <c r="K607" s="876">
        <f>'[55]TARGET MURNI DAN PERUBAHAN'!$E$324</f>
        <v>0</v>
      </c>
      <c r="L607" s="877">
        <f>[56]PerDinas!$N$607</f>
        <v>0</v>
      </c>
      <c r="M607" s="876">
        <f>[55]Perdinas!$P$383</f>
        <v>0</v>
      </c>
      <c r="N607" s="876">
        <f t="shared" si="91"/>
        <v>0</v>
      </c>
      <c r="O607" s="878">
        <f t="shared" si="92"/>
        <v>0</v>
      </c>
      <c r="P607" s="879" t="e">
        <f t="shared" si="93"/>
        <v>#DIV/0!</v>
      </c>
      <c r="Q607" s="897"/>
      <c r="R607" s="422"/>
    </row>
    <row r="608" spans="1:18" s="189" customFormat="1">
      <c r="A608" s="889"/>
      <c r="B608" s="858"/>
      <c r="C608" s="858"/>
      <c r="D608" s="858"/>
      <c r="E608" s="858"/>
      <c r="F608" s="858"/>
      <c r="G608" s="891" t="s">
        <v>807</v>
      </c>
      <c r="H608" s="890"/>
      <c r="I608" s="859"/>
      <c r="J608" s="875"/>
      <c r="K608" s="876">
        <f>'[55]TARGET MURNI DAN PERUBAHAN'!$E$325</f>
        <v>0</v>
      </c>
      <c r="L608" s="1283">
        <f>[56]PerDinas!$N$608</f>
        <v>2839900</v>
      </c>
      <c r="M608" s="876">
        <f>[55]Perdinas!$P$384</f>
        <v>0</v>
      </c>
      <c r="N608" s="1286">
        <f t="shared" si="91"/>
        <v>2839900</v>
      </c>
      <c r="O608" s="878">
        <f t="shared" si="92"/>
        <v>2839900</v>
      </c>
      <c r="P608" s="879" t="e">
        <f t="shared" si="93"/>
        <v>#DIV/0!</v>
      </c>
      <c r="Q608" s="897"/>
      <c r="R608" s="422"/>
    </row>
    <row r="609" spans="1:18" s="189" customFormat="1">
      <c r="A609" s="889"/>
      <c r="B609" s="858"/>
      <c r="C609" s="858"/>
      <c r="D609" s="858"/>
      <c r="E609" s="858"/>
      <c r="F609" s="858"/>
      <c r="G609" s="1285" t="s">
        <v>808</v>
      </c>
      <c r="H609" s="893"/>
      <c r="I609" s="861"/>
      <c r="J609" s="1287"/>
      <c r="K609" s="882">
        <f>SUM(K610:K611)</f>
        <v>4562382400</v>
      </c>
      <c r="L609" s="882">
        <f>SUM(L610:L611)</f>
        <v>4278845000</v>
      </c>
      <c r="M609" s="882">
        <f>SUM(M610:M611)</f>
        <v>390125000</v>
      </c>
      <c r="N609" s="882">
        <f t="shared" si="91"/>
        <v>4668970000</v>
      </c>
      <c r="O609" s="883">
        <f t="shared" si="92"/>
        <v>106587600</v>
      </c>
      <c r="P609" s="884">
        <f t="shared" si="93"/>
        <v>102.33622679238812</v>
      </c>
      <c r="Q609" s="1289"/>
      <c r="R609" s="422"/>
    </row>
    <row r="610" spans="1:18" s="189" customFormat="1">
      <c r="A610" s="889"/>
      <c r="B610" s="858"/>
      <c r="C610" s="858"/>
      <c r="D610" s="858"/>
      <c r="E610" s="858"/>
      <c r="F610" s="858"/>
      <c r="G610" s="891" t="s">
        <v>50</v>
      </c>
      <c r="H610" s="890" t="s">
        <v>809</v>
      </c>
      <c r="I610" s="859"/>
      <c r="J610" s="875"/>
      <c r="K610" s="876">
        <f>'[55]TARGET MURNI DAN PERUBAHAN'!$E$327</f>
        <v>1439364000</v>
      </c>
      <c r="L610" s="1283">
        <f>[56]PerDinas!$N$610</f>
        <v>1442100000</v>
      </c>
      <c r="M610" s="876">
        <f>[55]Perdinas!$P$386</f>
        <v>131100000</v>
      </c>
      <c r="N610" s="876">
        <f t="shared" si="91"/>
        <v>1573200000</v>
      </c>
      <c r="O610" s="878">
        <f t="shared" si="92"/>
        <v>133836000</v>
      </c>
      <c r="P610" s="879">
        <f t="shared" si="93"/>
        <v>109.2982734040868</v>
      </c>
      <c r="Q610" s="897"/>
      <c r="R610" s="422"/>
    </row>
    <row r="611" spans="1:18" s="189" customFormat="1">
      <c r="A611" s="889"/>
      <c r="B611" s="858"/>
      <c r="C611" s="858"/>
      <c r="D611" s="858"/>
      <c r="E611" s="858"/>
      <c r="F611" s="858"/>
      <c r="G611" s="891" t="s">
        <v>50</v>
      </c>
      <c r="H611" s="893" t="s">
        <v>810</v>
      </c>
      <c r="I611" s="859"/>
      <c r="J611" s="875"/>
      <c r="K611" s="876">
        <f>SUM(K612:K620)</f>
        <v>3123018400</v>
      </c>
      <c r="L611" s="1283">
        <f>SUM(L612:L620)</f>
        <v>2836745000</v>
      </c>
      <c r="M611" s="876">
        <f>SUM(M612:M620)</f>
        <v>259025000</v>
      </c>
      <c r="N611" s="876">
        <f t="shared" si="91"/>
        <v>3095770000</v>
      </c>
      <c r="O611" s="878">
        <f t="shared" si="92"/>
        <v>-27248400</v>
      </c>
      <c r="P611" s="879">
        <f t="shared" si="93"/>
        <v>99.127497935971178</v>
      </c>
      <c r="Q611" s="897"/>
      <c r="R611" s="422"/>
    </row>
    <row r="612" spans="1:18" s="189" customFormat="1">
      <c r="A612" s="889"/>
      <c r="B612" s="858"/>
      <c r="C612" s="858"/>
      <c r="D612" s="858"/>
      <c r="E612" s="858"/>
      <c r="F612" s="858"/>
      <c r="G612" s="891"/>
      <c r="H612" s="894" t="s">
        <v>310</v>
      </c>
      <c r="I612" s="859"/>
      <c r="J612" s="875"/>
      <c r="K612" s="876">
        <f>'[55]TARGET MURNI DAN PERUBAHAN'!$E$328</f>
        <v>3123018400</v>
      </c>
      <c r="L612" s="877">
        <f>[56]PerDinas!$N$612</f>
        <v>626200000</v>
      </c>
      <c r="M612" s="876">
        <f>[55]Perdinas!$P$388</f>
        <v>56275000</v>
      </c>
      <c r="N612" s="876">
        <f t="shared" si="91"/>
        <v>682475000</v>
      </c>
      <c r="O612" s="878">
        <f t="shared" si="92"/>
        <v>-2440543400</v>
      </c>
      <c r="P612" s="879">
        <f t="shared" si="93"/>
        <v>21.853057285861652</v>
      </c>
      <c r="Q612" s="897"/>
      <c r="R612" s="422"/>
    </row>
    <row r="613" spans="1:18" s="189" customFormat="1">
      <c r="A613" s="889"/>
      <c r="B613" s="858"/>
      <c r="C613" s="858"/>
      <c r="D613" s="858"/>
      <c r="E613" s="858"/>
      <c r="F613" s="858"/>
      <c r="G613" s="891"/>
      <c r="H613" s="894" t="s">
        <v>311</v>
      </c>
      <c r="I613" s="859"/>
      <c r="J613" s="875"/>
      <c r="K613" s="876">
        <v>0</v>
      </c>
      <c r="L613" s="877">
        <f>[56]PerDinas!$N$613</f>
        <v>449525000</v>
      </c>
      <c r="M613" s="876">
        <f>[55]Perdinas!$P$389</f>
        <v>42675000</v>
      </c>
      <c r="N613" s="876">
        <f t="shared" si="91"/>
        <v>492200000</v>
      </c>
      <c r="O613" s="878">
        <f t="shared" si="92"/>
        <v>492200000</v>
      </c>
      <c r="P613" s="879" t="e">
        <f t="shared" si="93"/>
        <v>#DIV/0!</v>
      </c>
      <c r="Q613" s="897"/>
      <c r="R613" s="422"/>
    </row>
    <row r="614" spans="1:18" s="189" customFormat="1">
      <c r="A614" s="889"/>
      <c r="B614" s="858"/>
      <c r="C614" s="858"/>
      <c r="D614" s="858"/>
      <c r="E614" s="858"/>
      <c r="F614" s="858"/>
      <c r="G614" s="891"/>
      <c r="H614" s="894" t="s">
        <v>312</v>
      </c>
      <c r="I614" s="859"/>
      <c r="J614" s="875"/>
      <c r="K614" s="876">
        <v>0</v>
      </c>
      <c r="L614" s="877">
        <f>[56]PerDinas!$N$614</f>
        <v>572925000</v>
      </c>
      <c r="M614" s="876">
        <f>[55]Perdinas!$P$390</f>
        <v>63550000</v>
      </c>
      <c r="N614" s="876">
        <f t="shared" si="91"/>
        <v>636475000</v>
      </c>
      <c r="O614" s="878">
        <f t="shared" si="92"/>
        <v>636475000</v>
      </c>
      <c r="P614" s="879" t="e">
        <f t="shared" si="93"/>
        <v>#DIV/0!</v>
      </c>
      <c r="Q614" s="897"/>
      <c r="R614" s="422"/>
    </row>
    <row r="615" spans="1:18" s="189" customFormat="1">
      <c r="A615" s="889"/>
      <c r="B615" s="858"/>
      <c r="C615" s="858"/>
      <c r="D615" s="858"/>
      <c r="E615" s="858"/>
      <c r="F615" s="858"/>
      <c r="G615" s="891"/>
      <c r="H615" s="894" t="s">
        <v>313</v>
      </c>
      <c r="I615" s="859"/>
      <c r="J615" s="875"/>
      <c r="K615" s="876">
        <v>0</v>
      </c>
      <c r="L615" s="877">
        <f>[56]PerDinas!$N$615</f>
        <v>240800000</v>
      </c>
      <c r="M615" s="876">
        <f>[55]Perdinas!$P$391</f>
        <v>21400000</v>
      </c>
      <c r="N615" s="876">
        <f t="shared" si="91"/>
        <v>262200000</v>
      </c>
      <c r="O615" s="878">
        <f t="shared" si="92"/>
        <v>262200000</v>
      </c>
      <c r="P615" s="879" t="e">
        <f t="shared" si="93"/>
        <v>#DIV/0!</v>
      </c>
      <c r="Q615" s="897"/>
      <c r="R615" s="422"/>
    </row>
    <row r="616" spans="1:18" s="189" customFormat="1">
      <c r="A616" s="889"/>
      <c r="B616" s="858"/>
      <c r="C616" s="858"/>
      <c r="D616" s="858"/>
      <c r="E616" s="858"/>
      <c r="F616" s="858"/>
      <c r="G616" s="891"/>
      <c r="H616" s="894" t="s">
        <v>314</v>
      </c>
      <c r="I616" s="859"/>
      <c r="J616" s="875"/>
      <c r="K616" s="876">
        <v>0</v>
      </c>
      <c r="L616" s="877">
        <f>[56]PerDinas!$N$616</f>
        <v>208150000</v>
      </c>
      <c r="M616" s="876">
        <f>[55]Perdinas!$P$392</f>
        <v>15175000</v>
      </c>
      <c r="N616" s="876">
        <f t="shared" si="91"/>
        <v>223325000</v>
      </c>
      <c r="O616" s="878">
        <f t="shared" si="92"/>
        <v>223325000</v>
      </c>
      <c r="P616" s="879" t="e">
        <f t="shared" si="93"/>
        <v>#DIV/0!</v>
      </c>
      <c r="Q616" s="897"/>
      <c r="R616" s="422"/>
    </row>
    <row r="617" spans="1:18" s="189" customFormat="1">
      <c r="A617" s="889"/>
      <c r="B617" s="858"/>
      <c r="C617" s="858"/>
      <c r="D617" s="858"/>
      <c r="E617" s="858"/>
      <c r="F617" s="858"/>
      <c r="G617" s="891"/>
      <c r="H617" s="894" t="s">
        <v>315</v>
      </c>
      <c r="I617" s="859"/>
      <c r="J617" s="875"/>
      <c r="K617" s="876">
        <v>0</v>
      </c>
      <c r="L617" s="877">
        <f>[56]PerDinas!$N$617</f>
        <v>87100000</v>
      </c>
      <c r="M617" s="876">
        <f>[55]Perdinas!$P$393</f>
        <v>6525000</v>
      </c>
      <c r="N617" s="876">
        <f t="shared" si="91"/>
        <v>93625000</v>
      </c>
      <c r="O617" s="878">
        <f t="shared" si="92"/>
        <v>93625000</v>
      </c>
      <c r="P617" s="879" t="e">
        <f t="shared" si="93"/>
        <v>#DIV/0!</v>
      </c>
      <c r="Q617" s="897"/>
      <c r="R617" s="422"/>
    </row>
    <row r="618" spans="1:18" s="189" customFormat="1">
      <c r="A618" s="889"/>
      <c r="B618" s="858"/>
      <c r="C618" s="858"/>
      <c r="D618" s="858"/>
      <c r="E618" s="858"/>
      <c r="F618" s="858"/>
      <c r="G618" s="891"/>
      <c r="H618" s="894" t="s">
        <v>316</v>
      </c>
      <c r="I618" s="859"/>
      <c r="J618" s="875"/>
      <c r="K618" s="876">
        <v>0</v>
      </c>
      <c r="L618" s="877">
        <f>[56]PerDinas!$N$618</f>
        <v>558150000</v>
      </c>
      <c r="M618" s="876">
        <f>[55]Perdinas!$P$394</f>
        <v>51250000</v>
      </c>
      <c r="N618" s="876">
        <f t="shared" si="91"/>
        <v>609400000</v>
      </c>
      <c r="O618" s="878">
        <f t="shared" si="92"/>
        <v>609400000</v>
      </c>
      <c r="P618" s="879" t="e">
        <f t="shared" si="93"/>
        <v>#DIV/0!</v>
      </c>
      <c r="Q618" s="897"/>
      <c r="R618" s="422"/>
    </row>
    <row r="619" spans="1:18" s="189" customFormat="1">
      <c r="A619" s="889"/>
      <c r="B619" s="858"/>
      <c r="C619" s="858"/>
      <c r="D619" s="858"/>
      <c r="E619" s="858"/>
      <c r="F619" s="858"/>
      <c r="G619" s="891"/>
      <c r="H619" s="894" t="s">
        <v>317</v>
      </c>
      <c r="I619" s="859"/>
      <c r="J619" s="875"/>
      <c r="K619" s="876">
        <v>0</v>
      </c>
      <c r="L619" s="877">
        <f>[56]PerDinas!$N$619</f>
        <v>93895000</v>
      </c>
      <c r="M619" s="876">
        <f>[55]Perdinas!$P$395</f>
        <v>2175000</v>
      </c>
      <c r="N619" s="876">
        <f t="shared" si="91"/>
        <v>96070000</v>
      </c>
      <c r="O619" s="878">
        <f t="shared" si="92"/>
        <v>96070000</v>
      </c>
      <c r="P619" s="879" t="e">
        <f t="shared" si="93"/>
        <v>#DIV/0!</v>
      </c>
      <c r="Q619" s="897"/>
      <c r="R619" s="422"/>
    </row>
    <row r="620" spans="1:18" s="189" customFormat="1">
      <c r="A620" s="889"/>
      <c r="B620" s="858"/>
      <c r="C620" s="858"/>
      <c r="D620" s="858"/>
      <c r="E620" s="858"/>
      <c r="F620" s="858"/>
      <c r="G620" s="891"/>
      <c r="H620" s="894" t="s">
        <v>318</v>
      </c>
      <c r="I620" s="859"/>
      <c r="J620" s="875"/>
      <c r="K620" s="876">
        <v>0</v>
      </c>
      <c r="L620" s="877">
        <f>[56]PerDinas!$N$620</f>
        <v>0</v>
      </c>
      <c r="M620" s="876">
        <f>[55]Perdinas!$P$396</f>
        <v>0</v>
      </c>
      <c r="N620" s="876">
        <f t="shared" si="91"/>
        <v>0</v>
      </c>
      <c r="O620" s="878">
        <f t="shared" si="92"/>
        <v>0</v>
      </c>
      <c r="P620" s="879" t="e">
        <f t="shared" si="93"/>
        <v>#DIV/0!</v>
      </c>
      <c r="Q620" s="897"/>
      <c r="R620" s="422"/>
    </row>
    <row r="621" spans="1:18" s="189" customFormat="1">
      <c r="A621" s="889"/>
      <c r="B621" s="858"/>
      <c r="C621" s="858"/>
      <c r="D621" s="858"/>
      <c r="E621" s="858"/>
      <c r="F621" s="858"/>
      <c r="G621" s="891" t="s">
        <v>811</v>
      </c>
      <c r="H621" s="890"/>
      <c r="I621" s="859"/>
      <c r="J621" s="875"/>
      <c r="K621" s="876">
        <v>0</v>
      </c>
      <c r="L621" s="877">
        <f>[56]PerDinas!$N$621</f>
        <v>0</v>
      </c>
      <c r="M621" s="876">
        <f>[55]Perdinas!$P$397</f>
        <v>0</v>
      </c>
      <c r="N621" s="876">
        <f t="shared" si="91"/>
        <v>0</v>
      </c>
      <c r="O621" s="878">
        <f t="shared" si="92"/>
        <v>0</v>
      </c>
      <c r="P621" s="879" t="e">
        <f t="shared" si="93"/>
        <v>#DIV/0!</v>
      </c>
      <c r="Q621" s="897"/>
      <c r="R621" s="422"/>
    </row>
    <row r="622" spans="1:18" s="189" customFormat="1">
      <c r="A622" s="889"/>
      <c r="B622" s="858"/>
      <c r="C622" s="858"/>
      <c r="D622" s="858"/>
      <c r="E622" s="858"/>
      <c r="F622" s="858"/>
      <c r="G622" s="891" t="s">
        <v>812</v>
      </c>
      <c r="H622" s="890"/>
      <c r="I622" s="859"/>
      <c r="J622" s="875"/>
      <c r="K622" s="876">
        <f>'[55]TARGET MURNI DAN PERUBAHAN'!$E$330</f>
        <v>0</v>
      </c>
      <c r="L622" s="1283">
        <f>[56]PerDinas!$N$622</f>
        <v>889503495</v>
      </c>
      <c r="M622" s="876">
        <f>[55]Perdinas!$P$398</f>
        <v>0</v>
      </c>
      <c r="N622" s="876">
        <f t="shared" si="91"/>
        <v>889503495</v>
      </c>
      <c r="O622" s="878">
        <f t="shared" si="92"/>
        <v>889503495</v>
      </c>
      <c r="P622" s="879" t="e">
        <f t="shared" si="93"/>
        <v>#DIV/0!</v>
      </c>
      <c r="Q622" s="897"/>
      <c r="R622" s="422"/>
    </row>
    <row r="623" spans="1:18" s="189" customFormat="1">
      <c r="A623" s="889"/>
      <c r="B623" s="858"/>
      <c r="C623" s="858"/>
      <c r="D623" s="858"/>
      <c r="E623" s="858"/>
      <c r="F623" s="858"/>
      <c r="G623" s="891" t="s">
        <v>813</v>
      </c>
      <c r="H623" s="890"/>
      <c r="I623" s="859"/>
      <c r="J623" s="875"/>
      <c r="K623" s="876">
        <f>'[55]TARGET MURNI DAN PERUBAHAN'!$E$331</f>
        <v>1508491400</v>
      </c>
      <c r="L623" s="1283">
        <f>[56]PerDinas!$N$623</f>
        <v>37289625</v>
      </c>
      <c r="M623" s="876">
        <f>[55]Perdinas!$P$399</f>
        <v>0</v>
      </c>
      <c r="N623" s="1286">
        <f t="shared" si="91"/>
        <v>37289625</v>
      </c>
      <c r="O623" s="878">
        <f t="shared" si="92"/>
        <v>-1471201775</v>
      </c>
      <c r="P623" s="879">
        <f t="shared" si="93"/>
        <v>2.4719812787795807</v>
      </c>
      <c r="Q623" s="897"/>
      <c r="R623" s="422"/>
    </row>
    <row r="624" spans="1:18" s="189" customFormat="1">
      <c r="A624" s="889"/>
      <c r="B624" s="858"/>
      <c r="C624" s="858"/>
      <c r="D624" s="858"/>
      <c r="E624" s="858"/>
      <c r="F624" s="858"/>
      <c r="G624" s="891" t="s">
        <v>814</v>
      </c>
      <c r="H624" s="890"/>
      <c r="I624" s="859"/>
      <c r="J624" s="875"/>
      <c r="K624" s="876">
        <f>'[55]TARGET MURNI DAN PERUBAHAN'!$E$332</f>
        <v>0</v>
      </c>
      <c r="L624" s="877">
        <f>[56]PerDinas!$N$624</f>
        <v>34638850</v>
      </c>
      <c r="M624" s="876">
        <f>[55]Perdinas!$P$400</f>
        <v>19919500</v>
      </c>
      <c r="N624" s="876">
        <f t="shared" si="91"/>
        <v>54558350</v>
      </c>
      <c r="O624" s="878">
        <f t="shared" si="92"/>
        <v>54558350</v>
      </c>
      <c r="P624" s="879" t="e">
        <f t="shared" si="93"/>
        <v>#DIV/0!</v>
      </c>
      <c r="Q624" s="897"/>
      <c r="R624" s="422"/>
    </row>
    <row r="625" spans="1:18" s="189" customFormat="1">
      <c r="A625" s="889"/>
      <c r="B625" s="858"/>
      <c r="C625" s="858"/>
      <c r="D625" s="858"/>
      <c r="E625" s="858"/>
      <c r="F625" s="858"/>
      <c r="G625" s="1285" t="s">
        <v>815</v>
      </c>
      <c r="H625" s="893"/>
      <c r="I625" s="861"/>
      <c r="J625" s="1287"/>
      <c r="K625" s="882">
        <f>SUM(K626:K627)</f>
        <v>0</v>
      </c>
      <c r="L625" s="882">
        <f>SUM(L626:L627)</f>
        <v>1250000</v>
      </c>
      <c r="M625" s="882">
        <f>SUM(M626:M627)</f>
        <v>5050000</v>
      </c>
      <c r="N625" s="882">
        <f t="shared" si="91"/>
        <v>6300000</v>
      </c>
      <c r="O625" s="883">
        <f t="shared" si="92"/>
        <v>6300000</v>
      </c>
      <c r="P625" s="884" t="e">
        <f t="shared" si="93"/>
        <v>#DIV/0!</v>
      </c>
      <c r="Q625" s="1289"/>
      <c r="R625" s="422"/>
    </row>
    <row r="626" spans="1:18" s="189" customFormat="1">
      <c r="A626" s="889"/>
      <c r="B626" s="858"/>
      <c r="C626" s="858"/>
      <c r="D626" s="858"/>
      <c r="E626" s="858"/>
      <c r="F626" s="858"/>
      <c r="G626" s="891" t="s">
        <v>50</v>
      </c>
      <c r="H626" s="892" t="s">
        <v>816</v>
      </c>
      <c r="I626" s="859"/>
      <c r="J626" s="875"/>
      <c r="K626" s="876">
        <f>'[55]TARGET MURNI DAN PERUBAHAN'!$E$334</f>
        <v>0</v>
      </c>
      <c r="L626" s="1283">
        <f>[56]PerDinas!$N$626</f>
        <v>1250000</v>
      </c>
      <c r="M626" s="876">
        <f>[55]Perdinas!$P$402</f>
        <v>5050000</v>
      </c>
      <c r="N626" s="876">
        <f t="shared" si="91"/>
        <v>6300000</v>
      </c>
      <c r="O626" s="878">
        <f t="shared" si="92"/>
        <v>6300000</v>
      </c>
      <c r="P626" s="879" t="e">
        <f t="shared" si="93"/>
        <v>#DIV/0!</v>
      </c>
      <c r="Q626" s="897"/>
      <c r="R626" s="422"/>
    </row>
    <row r="627" spans="1:18" s="189" customFormat="1">
      <c r="A627" s="889"/>
      <c r="B627" s="858"/>
      <c r="C627" s="858"/>
      <c r="D627" s="858"/>
      <c r="E627" s="858"/>
      <c r="F627" s="858"/>
      <c r="G627" s="891" t="s">
        <v>50</v>
      </c>
      <c r="H627" s="892" t="s">
        <v>817</v>
      </c>
      <c r="I627" s="859"/>
      <c r="J627" s="875"/>
      <c r="K627" s="876">
        <f>'[55]TARGET MURNI DAN PERUBAHAN'!$E$335</f>
        <v>0</v>
      </c>
      <c r="L627" s="877">
        <f>[56]PerDinas!$N$627</f>
        <v>0</v>
      </c>
      <c r="M627" s="876">
        <f>[55]Perdinas!$P$403</f>
        <v>0</v>
      </c>
      <c r="N627" s="876">
        <f t="shared" si="91"/>
        <v>0</v>
      </c>
      <c r="O627" s="878">
        <f t="shared" si="92"/>
        <v>0</v>
      </c>
      <c r="P627" s="879" t="e">
        <f t="shared" si="93"/>
        <v>#DIV/0!</v>
      </c>
      <c r="Q627" s="897"/>
      <c r="R627" s="422"/>
    </row>
    <row r="628" spans="1:18" s="189" customFormat="1">
      <c r="A628" s="889"/>
      <c r="B628" s="858"/>
      <c r="C628" s="858"/>
      <c r="D628" s="858"/>
      <c r="E628" s="858"/>
      <c r="F628" s="858"/>
      <c r="G628" s="891" t="s">
        <v>818</v>
      </c>
      <c r="H628" s="890"/>
      <c r="I628" s="859"/>
      <c r="J628" s="875"/>
      <c r="K628" s="876">
        <f>'[55]TARGET MURNI DAN PERUBAHAN'!$E$336</f>
        <v>0</v>
      </c>
      <c r="L628" s="877">
        <f>[56]PerDinas!$N$628</f>
        <v>2837968</v>
      </c>
      <c r="M628" s="876">
        <f>[55]Perdinas!$P$404</f>
        <v>7701200</v>
      </c>
      <c r="N628" s="876">
        <f t="shared" si="91"/>
        <v>10539168</v>
      </c>
      <c r="O628" s="878">
        <f t="shared" si="92"/>
        <v>10539168</v>
      </c>
      <c r="P628" s="879" t="e">
        <f t="shared" si="93"/>
        <v>#DIV/0!</v>
      </c>
      <c r="Q628" s="897"/>
      <c r="R628" s="422"/>
    </row>
    <row r="629" spans="1:18" s="189" customFormat="1">
      <c r="A629" s="889"/>
      <c r="B629" s="858"/>
      <c r="C629" s="858"/>
      <c r="D629" s="858"/>
      <c r="E629" s="858"/>
      <c r="F629" s="858"/>
      <c r="G629" s="891" t="s">
        <v>819</v>
      </c>
      <c r="H629" s="890" t="s">
        <v>1046</v>
      </c>
      <c r="I629" s="859"/>
      <c r="J629" s="875"/>
      <c r="K629" s="876">
        <f>'[55]TARGET MURNI DAN PERUBAHAN'!$E$337</f>
        <v>0</v>
      </c>
      <c r="L629" s="1283">
        <f>[56]PerDinas!$N$629</f>
        <v>32700000</v>
      </c>
      <c r="M629" s="876">
        <f>[55]Perdinas!$P$405</f>
        <v>11385000</v>
      </c>
      <c r="N629" s="876">
        <f t="shared" si="91"/>
        <v>44085000</v>
      </c>
      <c r="O629" s="878">
        <f t="shared" si="92"/>
        <v>44085000</v>
      </c>
      <c r="P629" s="879" t="e">
        <f t="shared" si="93"/>
        <v>#DIV/0!</v>
      </c>
      <c r="Q629" s="897"/>
      <c r="R629" s="422"/>
    </row>
    <row r="630" spans="1:18" s="189" customFormat="1">
      <c r="A630" s="889"/>
      <c r="B630" s="858"/>
      <c r="C630" s="858"/>
      <c r="D630" s="858"/>
      <c r="E630" s="858"/>
      <c r="F630" s="858"/>
      <c r="G630" s="891" t="s">
        <v>820</v>
      </c>
      <c r="H630" s="890"/>
      <c r="I630" s="859"/>
      <c r="J630" s="875"/>
      <c r="K630" s="876">
        <f>'[55]TARGET MURNI DAN PERUBAHAN'!$E$338</f>
        <v>0</v>
      </c>
      <c r="L630" s="1283">
        <f>[56]PerDinas!$N$630</f>
        <v>230</v>
      </c>
      <c r="M630" s="876">
        <f>[55]Perdinas!$P$406</f>
        <v>7192664</v>
      </c>
      <c r="N630" s="876">
        <f t="shared" si="91"/>
        <v>7192894</v>
      </c>
      <c r="O630" s="878">
        <f t="shared" si="92"/>
        <v>7192894</v>
      </c>
      <c r="P630" s="879" t="e">
        <f t="shared" si="93"/>
        <v>#DIV/0!</v>
      </c>
      <c r="Q630" s="897"/>
      <c r="R630" s="422"/>
    </row>
    <row r="631" spans="1:18" s="189" customFormat="1">
      <c r="A631" s="889"/>
      <c r="B631" s="858"/>
      <c r="C631" s="858"/>
      <c r="D631" s="858"/>
      <c r="E631" s="858"/>
      <c r="F631" s="858"/>
      <c r="G631" s="891" t="s">
        <v>821</v>
      </c>
      <c r="H631" s="890"/>
      <c r="I631" s="859"/>
      <c r="J631" s="875"/>
      <c r="K631" s="876">
        <f>'[55]TARGET MURNI DAN PERUBAHAN'!$E$339</f>
        <v>0</v>
      </c>
      <c r="L631" s="877">
        <f>[56]PerDinas!$N$631</f>
        <v>0</v>
      </c>
      <c r="M631" s="876">
        <f>[55]Perdinas!$P$407</f>
        <v>0</v>
      </c>
      <c r="N631" s="876">
        <f t="shared" si="91"/>
        <v>0</v>
      </c>
      <c r="O631" s="878">
        <f t="shared" si="92"/>
        <v>0</v>
      </c>
      <c r="P631" s="879" t="e">
        <f t="shared" si="93"/>
        <v>#DIV/0!</v>
      </c>
      <c r="Q631" s="897"/>
      <c r="R631" s="422"/>
    </row>
    <row r="632" spans="1:18" s="189" customFormat="1">
      <c r="A632" s="889"/>
      <c r="B632" s="858"/>
      <c r="C632" s="858"/>
      <c r="D632" s="858"/>
      <c r="E632" s="858"/>
      <c r="F632" s="858"/>
      <c r="G632" s="891" t="s">
        <v>822</v>
      </c>
      <c r="H632" s="890"/>
      <c r="I632" s="859"/>
      <c r="J632" s="875"/>
      <c r="K632" s="876">
        <f>'[55]TARGET MURNI DAN PERUBAHAN'!$E$340</f>
        <v>0</v>
      </c>
      <c r="L632" s="877">
        <f>[56]PerDinas!$N$632</f>
        <v>20265000</v>
      </c>
      <c r="M632" s="876">
        <f>[55]Perdinas!$P$408</f>
        <v>0</v>
      </c>
      <c r="N632" s="876">
        <f t="shared" si="91"/>
        <v>20265000</v>
      </c>
      <c r="O632" s="878">
        <f t="shared" si="92"/>
        <v>20265000</v>
      </c>
      <c r="P632" s="879" t="e">
        <f t="shared" si="93"/>
        <v>#DIV/0!</v>
      </c>
      <c r="Q632" s="897"/>
      <c r="R632" s="422"/>
    </row>
    <row r="633" spans="1:18" s="189" customFormat="1">
      <c r="A633" s="889"/>
      <c r="B633" s="858"/>
      <c r="C633" s="858"/>
      <c r="D633" s="858"/>
      <c r="E633" s="858"/>
      <c r="F633" s="858"/>
      <c r="G633" s="891" t="s">
        <v>823</v>
      </c>
      <c r="H633" s="890"/>
      <c r="I633" s="859"/>
      <c r="J633" s="875"/>
      <c r="K633" s="876">
        <f>'[55]TARGET MURNI DAN PERUBAHAN'!$E$341</f>
        <v>0</v>
      </c>
      <c r="L633" s="1283">
        <f>[56]PerDinas!$N$633</f>
        <v>89492600</v>
      </c>
      <c r="M633" s="876">
        <f>[55]Perdinas!$P$409</f>
        <v>1455000</v>
      </c>
      <c r="N633" s="876">
        <f t="shared" si="91"/>
        <v>90947600</v>
      </c>
      <c r="O633" s="878">
        <f t="shared" si="92"/>
        <v>90947600</v>
      </c>
      <c r="P633" s="879" t="e">
        <f t="shared" si="93"/>
        <v>#DIV/0!</v>
      </c>
      <c r="Q633" s="897"/>
      <c r="R633" s="422"/>
    </row>
    <row r="634" spans="1:18" s="189" customFormat="1">
      <c r="A634" s="889"/>
      <c r="B634" s="858"/>
      <c r="C634" s="858"/>
      <c r="D634" s="858"/>
      <c r="E634" s="858"/>
      <c r="F634" s="858"/>
      <c r="G634" s="895"/>
      <c r="H634" s="896"/>
      <c r="I634" s="859"/>
      <c r="J634" s="875"/>
      <c r="K634" s="876"/>
      <c r="L634" s="877"/>
      <c r="M634" s="876"/>
      <c r="N634" s="876">
        <f t="shared" si="91"/>
        <v>0</v>
      </c>
      <c r="O634" s="878">
        <f t="shared" si="92"/>
        <v>0</v>
      </c>
      <c r="P634" s="879" t="e">
        <f t="shared" si="93"/>
        <v>#DIV/0!</v>
      </c>
      <c r="Q634" s="897"/>
      <c r="R634" s="422"/>
    </row>
    <row r="635" spans="1:18" s="189" customFormat="1">
      <c r="A635" s="889"/>
      <c r="B635" s="858"/>
      <c r="C635" s="858"/>
      <c r="D635" s="858"/>
      <c r="E635" s="858"/>
      <c r="F635" s="858"/>
      <c r="G635" s="893" t="s">
        <v>285</v>
      </c>
      <c r="H635" s="896"/>
      <c r="I635" s="859"/>
      <c r="J635" s="875"/>
      <c r="K635" s="882">
        <f>K636+K639</f>
        <v>3693425000</v>
      </c>
      <c r="L635" s="882">
        <f>L636+L639</f>
        <v>0</v>
      </c>
      <c r="M635" s="882">
        <f>M636+M639</f>
        <v>0</v>
      </c>
      <c r="N635" s="882">
        <f t="shared" si="91"/>
        <v>0</v>
      </c>
      <c r="O635" s="883">
        <f t="shared" si="92"/>
        <v>-3693425000</v>
      </c>
      <c r="P635" s="884">
        <f t="shared" si="93"/>
        <v>0</v>
      </c>
      <c r="Q635" s="1289"/>
      <c r="R635" s="422"/>
    </row>
    <row r="636" spans="1:18" s="189" customFormat="1">
      <c r="A636" s="889"/>
      <c r="B636" s="858"/>
      <c r="C636" s="858"/>
      <c r="D636" s="858"/>
      <c r="E636" s="858"/>
      <c r="F636" s="858"/>
      <c r="G636" s="891" t="s">
        <v>824</v>
      </c>
      <c r="H636" s="890"/>
      <c r="I636" s="859"/>
      <c r="J636" s="875"/>
      <c r="K636" s="876">
        <f>SUM(K637:K638)</f>
        <v>4625000</v>
      </c>
      <c r="L636" s="876">
        <f>SUM(L637:L638)</f>
        <v>0</v>
      </c>
      <c r="M636" s="876">
        <f>SUM(M637:M638)</f>
        <v>0</v>
      </c>
      <c r="N636" s="876">
        <f t="shared" si="91"/>
        <v>0</v>
      </c>
      <c r="O636" s="878">
        <f t="shared" si="92"/>
        <v>-4625000</v>
      </c>
      <c r="P636" s="879">
        <f t="shared" si="93"/>
        <v>0</v>
      </c>
      <c r="Q636" s="897"/>
      <c r="R636" s="422"/>
    </row>
    <row r="637" spans="1:18" s="189" customFormat="1">
      <c r="A637" s="889"/>
      <c r="B637" s="858"/>
      <c r="C637" s="858"/>
      <c r="D637" s="858"/>
      <c r="E637" s="858"/>
      <c r="F637" s="858"/>
      <c r="G637" s="891" t="s">
        <v>50</v>
      </c>
      <c r="H637" s="892" t="s">
        <v>615</v>
      </c>
      <c r="I637" s="859"/>
      <c r="J637" s="875"/>
      <c r="K637" s="876">
        <f>'[55]TARGET MURNI DAN PERUBAHAN'!$E$345</f>
        <v>4625000</v>
      </c>
      <c r="L637" s="877">
        <f>[56]PerDinas!$N$637</f>
        <v>0</v>
      </c>
      <c r="M637" s="876">
        <f>[55]Perdinas!$P$413</f>
        <v>0</v>
      </c>
      <c r="N637" s="876">
        <f t="shared" si="91"/>
        <v>0</v>
      </c>
      <c r="O637" s="878">
        <f t="shared" si="92"/>
        <v>-4625000</v>
      </c>
      <c r="P637" s="879">
        <f t="shared" si="93"/>
        <v>0</v>
      </c>
      <c r="Q637" s="897"/>
      <c r="R637" s="422"/>
    </row>
    <row r="638" spans="1:18" s="189" customFormat="1">
      <c r="A638" s="889"/>
      <c r="B638" s="858"/>
      <c r="C638" s="858"/>
      <c r="D638" s="858"/>
      <c r="E638" s="858"/>
      <c r="F638" s="858"/>
      <c r="G638" s="891" t="s">
        <v>50</v>
      </c>
      <c r="H638" s="892" t="s">
        <v>85</v>
      </c>
      <c r="I638" s="859"/>
      <c r="J638" s="875"/>
      <c r="K638" s="876">
        <f>'[55]TARGET MURNI DAN PERUBAHAN'!$E$346</f>
        <v>0</v>
      </c>
      <c r="L638" s="877">
        <f>[56]PerDinas!$N$638</f>
        <v>0</v>
      </c>
      <c r="M638" s="876">
        <f>[55]Perdinas!$P$414</f>
        <v>0</v>
      </c>
      <c r="N638" s="876">
        <f t="shared" si="91"/>
        <v>0</v>
      </c>
      <c r="O638" s="878">
        <f t="shared" si="92"/>
        <v>0</v>
      </c>
      <c r="P638" s="879" t="e">
        <f t="shared" si="93"/>
        <v>#DIV/0!</v>
      </c>
      <c r="Q638" s="897"/>
      <c r="R638" s="422"/>
    </row>
    <row r="639" spans="1:18" s="189" customFormat="1">
      <c r="A639" s="889"/>
      <c r="B639" s="858"/>
      <c r="C639" s="858"/>
      <c r="D639" s="858"/>
      <c r="E639" s="858"/>
      <c r="F639" s="858"/>
      <c r="G639" s="891" t="s">
        <v>825</v>
      </c>
      <c r="H639" s="890"/>
      <c r="I639" s="859"/>
      <c r="J639" s="875"/>
      <c r="K639" s="876">
        <f>K640</f>
        <v>3688800000</v>
      </c>
      <c r="L639" s="876">
        <f>L640</f>
        <v>0</v>
      </c>
      <c r="M639" s="876">
        <f>M640</f>
        <v>0</v>
      </c>
      <c r="N639" s="876">
        <f t="shared" si="91"/>
        <v>0</v>
      </c>
      <c r="O639" s="878">
        <f t="shared" si="92"/>
        <v>-3688800000</v>
      </c>
      <c r="P639" s="879">
        <f t="shared" si="93"/>
        <v>0</v>
      </c>
      <c r="Q639" s="897"/>
      <c r="R639" s="422"/>
    </row>
    <row r="640" spans="1:18" s="189" customFormat="1">
      <c r="A640" s="889"/>
      <c r="B640" s="858"/>
      <c r="C640" s="858"/>
      <c r="D640" s="858"/>
      <c r="E640" s="858"/>
      <c r="F640" s="858"/>
      <c r="G640" s="891" t="s">
        <v>50</v>
      </c>
      <c r="H640" s="892" t="s">
        <v>826</v>
      </c>
      <c r="I640" s="859"/>
      <c r="J640" s="875"/>
      <c r="K640" s="876">
        <f>'[55]TARGET MURNI DAN PERUBAHAN'!$E$348</f>
        <v>3688800000</v>
      </c>
      <c r="L640" s="877">
        <f>[56]PerDinas!$N$640</f>
        <v>0</v>
      </c>
      <c r="M640" s="876">
        <f>[55]Perdinas!$P$416</f>
        <v>0</v>
      </c>
      <c r="N640" s="876">
        <f t="shared" si="91"/>
        <v>0</v>
      </c>
      <c r="O640" s="878">
        <f t="shared" si="92"/>
        <v>-3688800000</v>
      </c>
      <c r="P640" s="879">
        <f t="shared" si="93"/>
        <v>0</v>
      </c>
      <c r="Q640" s="897"/>
      <c r="R640" s="422"/>
    </row>
    <row r="641" spans="1:18" s="189" customFormat="1">
      <c r="A641" s="1171"/>
      <c r="B641" s="741"/>
      <c r="C641" s="741"/>
      <c r="D641" s="741"/>
      <c r="E641" s="741"/>
      <c r="F641" s="741"/>
      <c r="G641" s="891" t="s">
        <v>50</v>
      </c>
      <c r="H641" s="742"/>
      <c r="I641" s="742"/>
      <c r="J641" s="1290"/>
      <c r="K641" s="1291"/>
      <c r="L641" s="1292"/>
      <c r="M641" s="1291"/>
      <c r="N641" s="1291"/>
      <c r="O641" s="751"/>
      <c r="P641" s="829"/>
      <c r="Q641" s="1306"/>
      <c r="R641" s="422"/>
    </row>
    <row r="642" spans="1:18" s="189" customFormat="1" ht="16.45" customHeight="1">
      <c r="A642" s="901"/>
      <c r="B642" s="902" t="s">
        <v>58</v>
      </c>
      <c r="C642" s="902" t="s">
        <v>849</v>
      </c>
      <c r="D642" s="902" t="s">
        <v>451</v>
      </c>
      <c r="E642" s="902" t="s">
        <v>437</v>
      </c>
      <c r="F642" s="903"/>
      <c r="G642" s="904" t="s">
        <v>994</v>
      </c>
      <c r="H642" s="905"/>
      <c r="I642" s="905"/>
      <c r="J642" s="916"/>
      <c r="K642" s="917">
        <f>K643</f>
        <v>0</v>
      </c>
      <c r="L642" s="917">
        <f>L643</f>
        <v>0</v>
      </c>
      <c r="M642" s="917">
        <f>M643</f>
        <v>2761343193</v>
      </c>
      <c r="N642" s="917">
        <f>M642+L642</f>
        <v>2761343193</v>
      </c>
      <c r="O642" s="917">
        <f>N642-K642</f>
        <v>2761343193</v>
      </c>
      <c r="P642" s="918">
        <v>0</v>
      </c>
      <c r="Q642" s="983"/>
      <c r="R642" s="422"/>
    </row>
    <row r="643" spans="1:18" s="189" customFormat="1" ht="16.45" customHeight="1">
      <c r="A643" s="906"/>
      <c r="B643" s="287"/>
      <c r="C643" s="287"/>
      <c r="D643" s="287"/>
      <c r="E643" s="287"/>
      <c r="F643" s="287"/>
      <c r="G643" s="851" t="s">
        <v>50</v>
      </c>
      <c r="H643" s="410"/>
      <c r="I643" s="410" t="s">
        <v>995</v>
      </c>
      <c r="J643" s="389"/>
      <c r="K643" s="357">
        <v>0</v>
      </c>
      <c r="L643" s="391">
        <f>[56]PerDinas!$N$643</f>
        <v>0</v>
      </c>
      <c r="M643" s="357">
        <f>[55]Perdinas!$P$418</f>
        <v>2761343193</v>
      </c>
      <c r="N643" s="357">
        <f>M643+L643</f>
        <v>2761343193</v>
      </c>
      <c r="O643" s="357">
        <f>N643-K643</f>
        <v>2761343193</v>
      </c>
      <c r="P643" s="358" t="e">
        <f>N643/K643*100</f>
        <v>#DIV/0!</v>
      </c>
      <c r="Q643" s="442"/>
      <c r="R643" s="422"/>
    </row>
    <row r="644" spans="1:18" s="189" customFormat="1" ht="12.05" customHeight="1">
      <c r="A644" s="907"/>
      <c r="B644" s="469"/>
      <c r="C644" s="469"/>
      <c r="D644" s="469"/>
      <c r="E644" s="469"/>
      <c r="F644" s="469"/>
      <c r="G644" s="450"/>
      <c r="H644" s="245"/>
      <c r="I644" s="245"/>
      <c r="J644" s="482"/>
      <c r="K644" s="404"/>
      <c r="L644" s="404"/>
      <c r="M644" s="404"/>
      <c r="N644" s="404"/>
      <c r="O644" s="404"/>
      <c r="P644" s="483"/>
      <c r="Q644" s="456"/>
      <c r="R644" s="422"/>
    </row>
    <row r="645" spans="1:18" s="244" customFormat="1" ht="18" customHeight="1">
      <c r="A645" s="283" t="s">
        <v>300</v>
      </c>
      <c r="B645" s="284" t="s">
        <v>58</v>
      </c>
      <c r="C645" s="284" t="s">
        <v>849</v>
      </c>
      <c r="D645" s="284" t="s">
        <v>448</v>
      </c>
      <c r="E645" s="284"/>
      <c r="F645" s="284"/>
      <c r="G645" s="298" t="s">
        <v>828</v>
      </c>
      <c r="H645" s="298"/>
      <c r="I645" s="298"/>
      <c r="J645" s="336">
        <f>+J647</f>
        <v>750000000</v>
      </c>
      <c r="K645" s="337">
        <f>+K647</f>
        <v>1500000000</v>
      </c>
      <c r="L645" s="337">
        <f>+L647</f>
        <v>937009750</v>
      </c>
      <c r="M645" s="337">
        <f>+M647</f>
        <v>160629447</v>
      </c>
      <c r="N645" s="337">
        <f>M645+L645</f>
        <v>1097639197</v>
      </c>
      <c r="O645" s="337">
        <f>+N645-K645</f>
        <v>-402360803</v>
      </c>
      <c r="P645" s="919">
        <f>+N645/K645*100</f>
        <v>73.175946466666659</v>
      </c>
      <c r="Q645" s="432"/>
      <c r="R645" s="639"/>
    </row>
    <row r="646" spans="1:18" s="189" customFormat="1" ht="12.05" customHeight="1">
      <c r="A646" s="471"/>
      <c r="B646" s="287"/>
      <c r="C646" s="287"/>
      <c r="D646" s="287"/>
      <c r="E646" s="287"/>
      <c r="F646" s="287"/>
      <c r="G646" s="288"/>
      <c r="H646" s="288"/>
      <c r="I646" s="288"/>
      <c r="J646" s="385"/>
      <c r="K646" s="386"/>
      <c r="L646" s="386"/>
      <c r="M646" s="386"/>
      <c r="N646" s="386"/>
      <c r="O646" s="386"/>
      <c r="P646" s="341"/>
      <c r="Q646" s="453"/>
      <c r="R646" s="422"/>
    </row>
    <row r="647" spans="1:18" s="189" customFormat="1" ht="12.05" customHeight="1">
      <c r="A647" s="293"/>
      <c r="B647" s="290">
        <v>4</v>
      </c>
      <c r="C647" s="290">
        <v>1</v>
      </c>
      <c r="D647" s="290"/>
      <c r="E647" s="290"/>
      <c r="F647" s="290"/>
      <c r="G647" s="291" t="s">
        <v>180</v>
      </c>
      <c r="H647" s="291"/>
      <c r="I647" s="291"/>
      <c r="J647" s="342">
        <f>+J649+J653</f>
        <v>750000000</v>
      </c>
      <c r="K647" s="343">
        <f>+K649+K653</f>
        <v>1500000000</v>
      </c>
      <c r="L647" s="343">
        <f>+L649+L653</f>
        <v>937009750</v>
      </c>
      <c r="M647" s="343">
        <f>+M649+M653</f>
        <v>160629447</v>
      </c>
      <c r="N647" s="343">
        <f>+M647+L647</f>
        <v>1097639197</v>
      </c>
      <c r="O647" s="343">
        <f>N647-K647</f>
        <v>-402360803</v>
      </c>
      <c r="P647" s="344">
        <f>N647/K647*100</f>
        <v>73.175946466666659</v>
      </c>
      <c r="Q647" s="437"/>
      <c r="R647" s="422"/>
    </row>
    <row r="648" spans="1:18" s="189" customFormat="1" ht="12.05" customHeight="1">
      <c r="A648" s="293"/>
      <c r="B648" s="292"/>
      <c r="C648" s="292"/>
      <c r="D648" s="292"/>
      <c r="E648" s="292"/>
      <c r="F648" s="292"/>
      <c r="G648" s="253"/>
      <c r="H648" s="253"/>
      <c r="I648" s="291"/>
      <c r="J648" s="387"/>
      <c r="K648" s="367"/>
      <c r="L648" s="367"/>
      <c r="M648" s="367"/>
      <c r="N648" s="367"/>
      <c r="O648" s="367"/>
      <c r="P648" s="347"/>
      <c r="Q648" s="454"/>
      <c r="R648" s="422"/>
    </row>
    <row r="649" spans="1:18" s="189" customFormat="1" ht="12.05" customHeight="1">
      <c r="A649" s="293"/>
      <c r="B649" s="290">
        <v>4</v>
      </c>
      <c r="C649" s="290">
        <v>1</v>
      </c>
      <c r="D649" s="290">
        <v>2</v>
      </c>
      <c r="E649" s="290"/>
      <c r="F649" s="290"/>
      <c r="G649" s="291" t="s">
        <v>106</v>
      </c>
      <c r="H649" s="291"/>
      <c r="I649" s="291"/>
      <c r="J649" s="348">
        <f t="shared" ref="J649:M650" si="94">+J650</f>
        <v>750000000</v>
      </c>
      <c r="K649" s="349">
        <f t="shared" si="94"/>
        <v>1500000000</v>
      </c>
      <c r="L649" s="349">
        <f t="shared" si="94"/>
        <v>925050000</v>
      </c>
      <c r="M649" s="349">
        <f t="shared" si="94"/>
        <v>148850000</v>
      </c>
      <c r="N649" s="349">
        <f>+M649+L649</f>
        <v>1073900000</v>
      </c>
      <c r="O649" s="349">
        <f>N649-K649</f>
        <v>-426100000</v>
      </c>
      <c r="P649" s="350">
        <f>N649/K649*100</f>
        <v>71.593333333333334</v>
      </c>
      <c r="Q649" s="439"/>
      <c r="R649" s="422"/>
    </row>
    <row r="650" spans="1:18" s="189" customFormat="1" ht="12.05" customHeight="1">
      <c r="A650" s="471"/>
      <c r="B650" s="287">
        <v>4</v>
      </c>
      <c r="C650" s="287">
        <v>1</v>
      </c>
      <c r="D650" s="287">
        <v>2</v>
      </c>
      <c r="E650" s="287" t="s">
        <v>438</v>
      </c>
      <c r="F650" s="287"/>
      <c r="G650" s="410" t="s">
        <v>374</v>
      </c>
      <c r="H650" s="410"/>
      <c r="I650" s="410"/>
      <c r="J650" s="484">
        <f t="shared" si="94"/>
        <v>750000000</v>
      </c>
      <c r="K650" s="485">
        <f t="shared" si="94"/>
        <v>1500000000</v>
      </c>
      <c r="L650" s="485">
        <f t="shared" si="94"/>
        <v>925050000</v>
      </c>
      <c r="M650" s="485">
        <f t="shared" si="94"/>
        <v>148850000</v>
      </c>
      <c r="N650" s="412">
        <f>+M650+L650</f>
        <v>1073900000</v>
      </c>
      <c r="O650" s="412">
        <f>N650-K650</f>
        <v>-426100000</v>
      </c>
      <c r="P650" s="487">
        <f>N650/K650*100</f>
        <v>71.593333333333334</v>
      </c>
      <c r="Q650" s="984"/>
      <c r="R650" s="422"/>
    </row>
    <row r="651" spans="1:18" s="189" customFormat="1" ht="12.05" customHeight="1">
      <c r="A651" s="293"/>
      <c r="B651" s="292">
        <v>4</v>
      </c>
      <c r="C651" s="292">
        <v>1</v>
      </c>
      <c r="D651" s="292">
        <v>2</v>
      </c>
      <c r="E651" s="292" t="s">
        <v>438</v>
      </c>
      <c r="F651" s="292" t="s">
        <v>440</v>
      </c>
      <c r="G651" s="253" t="s">
        <v>304</v>
      </c>
      <c r="H651" s="253"/>
      <c r="I651" s="253"/>
      <c r="J651" s="679">
        <v>750000000</v>
      </c>
      <c r="K651" s="1281">
        <f>'[55]TARGET MURNI DAN PERUBAHAN'!$E$354</f>
        <v>1500000000</v>
      </c>
      <c r="L651" s="691">
        <f>[56]PerDinas!$N$651</f>
        <v>925050000</v>
      </c>
      <c r="M651" s="691">
        <f>[55]Perdinas!$P$431</f>
        <v>148850000</v>
      </c>
      <c r="N651" s="361">
        <f t="shared" ref="N651:N656" si="95">M651+L651</f>
        <v>1073900000</v>
      </c>
      <c r="O651" s="334">
        <f>N651-K651</f>
        <v>-426100000</v>
      </c>
      <c r="P651" s="335">
        <f>N651/K651*100</f>
        <v>71.593333333333334</v>
      </c>
      <c r="Q651" s="985"/>
      <c r="R651" s="431"/>
    </row>
    <row r="652" spans="1:18" s="189" customFormat="1" ht="12.05" customHeight="1">
      <c r="A652" s="293"/>
      <c r="B652" s="292"/>
      <c r="C652" s="292"/>
      <c r="D652" s="292"/>
      <c r="E652" s="292"/>
      <c r="F652" s="292"/>
      <c r="G652" s="253"/>
      <c r="H652" s="253"/>
      <c r="I652" s="253"/>
      <c r="J652" s="374"/>
      <c r="K652" s="375"/>
      <c r="L652" s="377"/>
      <c r="M652" s="375"/>
      <c r="N652" s="355"/>
      <c r="O652" s="355"/>
      <c r="P652" s="388"/>
      <c r="Q652" s="986"/>
      <c r="R652" s="422"/>
    </row>
    <row r="653" spans="1:18" s="189" customFormat="1" ht="12.05" customHeight="1">
      <c r="A653" s="293"/>
      <c r="B653" s="290">
        <v>4</v>
      </c>
      <c r="C653" s="290">
        <v>1</v>
      </c>
      <c r="D653" s="290">
        <v>4</v>
      </c>
      <c r="E653" s="290"/>
      <c r="F653" s="290"/>
      <c r="G653" s="291" t="s">
        <v>71</v>
      </c>
      <c r="H653" s="291"/>
      <c r="I653" s="291"/>
      <c r="J653" s="601">
        <f>+J654</f>
        <v>0</v>
      </c>
      <c r="K653" s="602">
        <f>+K654</f>
        <v>0</v>
      </c>
      <c r="L653" s="602">
        <f>+L654</f>
        <v>11959750</v>
      </c>
      <c r="M653" s="602">
        <f>+M654</f>
        <v>11779447</v>
      </c>
      <c r="N653" s="602">
        <f>+N654</f>
        <v>23739197</v>
      </c>
      <c r="O653" s="349">
        <f>N653-K653</f>
        <v>23739197</v>
      </c>
      <c r="P653" s="350"/>
      <c r="Q653" s="640"/>
      <c r="R653" s="422"/>
    </row>
    <row r="654" spans="1:18" s="189" customFormat="1" ht="12.05" customHeight="1">
      <c r="A654" s="293"/>
      <c r="B654" s="292">
        <v>4</v>
      </c>
      <c r="C654" s="292">
        <v>1</v>
      </c>
      <c r="D654" s="292">
        <v>4</v>
      </c>
      <c r="E654" s="292" t="s">
        <v>948</v>
      </c>
      <c r="F654" s="292"/>
      <c r="G654" s="253" t="s">
        <v>321</v>
      </c>
      <c r="H654" s="253"/>
      <c r="I654" s="253"/>
      <c r="J654" s="920">
        <f>+J655</f>
        <v>0</v>
      </c>
      <c r="K654" s="921">
        <f>+K655</f>
        <v>0</v>
      </c>
      <c r="L654" s="922">
        <f>+L655+L656</f>
        <v>11959750</v>
      </c>
      <c r="M654" s="922">
        <f>+M655+M656</f>
        <v>11779447</v>
      </c>
      <c r="N654" s="509">
        <f>+M654+L654</f>
        <v>23739197</v>
      </c>
      <c r="O654" s="509">
        <f>N654-K654</f>
        <v>23739197</v>
      </c>
      <c r="P654" s="585"/>
      <c r="Q654" s="987"/>
      <c r="R654" s="422"/>
    </row>
    <row r="655" spans="1:18" s="189" customFormat="1" ht="12.05" customHeight="1">
      <c r="A655" s="293"/>
      <c r="B655" s="292">
        <v>4</v>
      </c>
      <c r="C655" s="292">
        <v>1</v>
      </c>
      <c r="D655" s="292">
        <v>4</v>
      </c>
      <c r="E655" s="292" t="s">
        <v>948</v>
      </c>
      <c r="F655" s="292" t="s">
        <v>437</v>
      </c>
      <c r="G655" s="253" t="s">
        <v>50</v>
      </c>
      <c r="H655" s="253"/>
      <c r="I655" s="253" t="s">
        <v>471</v>
      </c>
      <c r="J655" s="688">
        <v>0</v>
      </c>
      <c r="K655" s="496">
        <f>'[55]TARGET MURNI DAN PERUBAHAN'!$E$358</f>
        <v>0</v>
      </c>
      <c r="L655" s="375">
        <f>[56]PerDinas!$N$655</f>
        <v>11959750</v>
      </c>
      <c r="M655" s="375">
        <f>[55]Perdinas!$P$437</f>
        <v>11779447</v>
      </c>
      <c r="N655" s="355">
        <f t="shared" si="95"/>
        <v>23739197</v>
      </c>
      <c r="O655" s="355">
        <f>N655-K655</f>
        <v>23739197</v>
      </c>
      <c r="P655" s="388"/>
      <c r="Q655" s="448"/>
      <c r="R655" s="422"/>
    </row>
    <row r="656" spans="1:18" s="189" customFormat="1" ht="12.05" customHeight="1">
      <c r="A656" s="293"/>
      <c r="B656" s="292" t="s">
        <v>443</v>
      </c>
      <c r="C656" s="292" t="s">
        <v>58</v>
      </c>
      <c r="D656" s="292" t="s">
        <v>443</v>
      </c>
      <c r="E656" s="292" t="s">
        <v>948</v>
      </c>
      <c r="F656" s="292" t="s">
        <v>441</v>
      </c>
      <c r="G656" s="253" t="s">
        <v>50</v>
      </c>
      <c r="H656" s="253"/>
      <c r="I656" s="253" t="s">
        <v>76</v>
      </c>
      <c r="J656" s="708"/>
      <c r="K656" s="709">
        <f>'[55]TARGET MURNI DAN PERUBAHAN'!$E$358</f>
        <v>0</v>
      </c>
      <c r="L656" s="375">
        <f>[56]PerDinas!$N$656</f>
        <v>0</v>
      </c>
      <c r="M656" s="375">
        <v>0</v>
      </c>
      <c r="N656" s="355">
        <f t="shared" si="95"/>
        <v>0</v>
      </c>
      <c r="O656" s="355">
        <f>N656-K656</f>
        <v>0</v>
      </c>
      <c r="P656" s="388"/>
      <c r="Q656" s="5880"/>
      <c r="R656" s="422"/>
    </row>
    <row r="657" spans="1:19" s="189" customFormat="1" ht="12.05" customHeight="1">
      <c r="A657" s="465"/>
      <c r="B657" s="296"/>
      <c r="C657" s="296"/>
      <c r="D657" s="296"/>
      <c r="E657" s="296"/>
      <c r="F657" s="296"/>
      <c r="G657" s="297"/>
      <c r="H657" s="297"/>
      <c r="I657" s="297"/>
      <c r="J657" s="679"/>
      <c r="K657" s="691"/>
      <c r="L657" s="691"/>
      <c r="M657" s="691"/>
      <c r="N657" s="352"/>
      <c r="O657" s="352"/>
      <c r="P657" s="353"/>
      <c r="Q657" s="5898"/>
      <c r="R657" s="422"/>
    </row>
    <row r="658" spans="1:19" s="244" customFormat="1" ht="15.05">
      <c r="A658" s="1186" t="s">
        <v>302</v>
      </c>
      <c r="B658" s="1187" t="s">
        <v>58</v>
      </c>
      <c r="C658" s="1187" t="s">
        <v>849</v>
      </c>
      <c r="D658" s="1187" t="s">
        <v>969</v>
      </c>
      <c r="E658" s="1187"/>
      <c r="F658" s="1187"/>
      <c r="G658" s="5895" t="s">
        <v>830</v>
      </c>
      <c r="H658" s="5896"/>
      <c r="I658" s="5897"/>
      <c r="J658" s="1195">
        <f>+J659</f>
        <v>34635781700</v>
      </c>
      <c r="K658" s="1196">
        <f>+K659</f>
        <v>18548560000</v>
      </c>
      <c r="L658" s="1293">
        <f>+L659</f>
        <v>17886361149.34</v>
      </c>
      <c r="M658" s="1293">
        <f>+M659</f>
        <v>1839322620.02</v>
      </c>
      <c r="N658" s="1293">
        <f t="shared" ref="N658:N663" si="96">M658+L658</f>
        <v>19725683769.360001</v>
      </c>
      <c r="O658" s="1293">
        <f>+N658-K658</f>
        <v>1177123769.3600006</v>
      </c>
      <c r="P658" s="1294">
        <f>+N658/K658*100</f>
        <v>106.34617333830766</v>
      </c>
      <c r="Q658" s="1307"/>
      <c r="R658" s="788"/>
    </row>
    <row r="659" spans="1:19" s="189" customFormat="1" ht="14.1" customHeight="1">
      <c r="A659" s="706"/>
      <c r="B659" s="707">
        <v>4</v>
      </c>
      <c r="C659" s="707">
        <v>1</v>
      </c>
      <c r="D659" s="707"/>
      <c r="E659" s="707"/>
      <c r="F659" s="707"/>
      <c r="G659" s="288" t="s">
        <v>180</v>
      </c>
      <c r="H659" s="288"/>
      <c r="I659" s="288"/>
      <c r="J659" s="348">
        <f>J665</f>
        <v>34635781700</v>
      </c>
      <c r="K659" s="349">
        <f>K665+K661</f>
        <v>18548560000</v>
      </c>
      <c r="L659" s="925">
        <f>L665+L661</f>
        <v>17886361149.34</v>
      </c>
      <c r="M659" s="925">
        <f>M665+M661</f>
        <v>1839322620.02</v>
      </c>
      <c r="N659" s="925">
        <f>+M659+L659</f>
        <v>19725683769.360001</v>
      </c>
      <c r="O659" s="925">
        <f>N659-K659</f>
        <v>1177123769.3600006</v>
      </c>
      <c r="P659" s="926">
        <f>N659/K659*100</f>
        <v>106.34617333830766</v>
      </c>
      <c r="Q659" s="439"/>
      <c r="R659" s="422"/>
    </row>
    <row r="660" spans="1:19" s="189" customFormat="1" ht="14.1" customHeight="1">
      <c r="A660" s="706"/>
      <c r="B660" s="707"/>
      <c r="C660" s="707"/>
      <c r="D660" s="707"/>
      <c r="E660" s="707"/>
      <c r="F660" s="707"/>
      <c r="G660" s="288"/>
      <c r="H660" s="288"/>
      <c r="I660" s="288"/>
      <c r="J660" s="342"/>
      <c r="K660" s="343"/>
      <c r="L660" s="927"/>
      <c r="M660" s="927"/>
      <c r="N660" s="927"/>
      <c r="O660" s="927"/>
      <c r="P660" s="928"/>
      <c r="Q660" s="437"/>
      <c r="R660" s="422"/>
    </row>
    <row r="661" spans="1:19" s="189" customFormat="1" ht="14.1" customHeight="1">
      <c r="A661" s="706"/>
      <c r="B661" s="292">
        <v>4</v>
      </c>
      <c r="C661" s="292">
        <v>1</v>
      </c>
      <c r="D661" s="292">
        <v>4</v>
      </c>
      <c r="E661" s="292" t="s">
        <v>948</v>
      </c>
      <c r="F661" s="292"/>
      <c r="G661" s="288" t="s">
        <v>71</v>
      </c>
      <c r="H661" s="288"/>
      <c r="I661" s="288"/>
      <c r="J661" s="342"/>
      <c r="K661" s="1295">
        <f t="shared" ref="K661:M662" si="97">K662</f>
        <v>0</v>
      </c>
      <c r="L661" s="1296">
        <f t="shared" si="97"/>
        <v>0</v>
      </c>
      <c r="M661" s="1296">
        <f t="shared" si="97"/>
        <v>0</v>
      </c>
      <c r="N661" s="1297">
        <f t="shared" si="96"/>
        <v>0</v>
      </c>
      <c r="O661" s="1298">
        <f>N661-K661</f>
        <v>0</v>
      </c>
      <c r="P661" s="1299" t="e">
        <f>N661/K661*100</f>
        <v>#DIV/0!</v>
      </c>
      <c r="Q661" s="1308"/>
      <c r="R661" s="422"/>
    </row>
    <row r="662" spans="1:19" s="189" customFormat="1" ht="14.1" customHeight="1">
      <c r="A662" s="706"/>
      <c r="B662" s="292">
        <v>4</v>
      </c>
      <c r="C662" s="292">
        <v>1</v>
      </c>
      <c r="D662" s="292">
        <v>4</v>
      </c>
      <c r="E662" s="292" t="s">
        <v>948</v>
      </c>
      <c r="F662" s="292"/>
      <c r="G662" s="288" t="s">
        <v>996</v>
      </c>
      <c r="H662" s="288"/>
      <c r="I662" s="288"/>
      <c r="J662" s="342"/>
      <c r="K662" s="367">
        <f t="shared" si="97"/>
        <v>0</v>
      </c>
      <c r="L662" s="964">
        <f t="shared" si="97"/>
        <v>0</v>
      </c>
      <c r="M662" s="964">
        <f t="shared" si="97"/>
        <v>0</v>
      </c>
      <c r="N662" s="929">
        <f t="shared" si="96"/>
        <v>0</v>
      </c>
      <c r="O662" s="930">
        <f>N662-K662</f>
        <v>0</v>
      </c>
      <c r="P662" s="931" t="e">
        <f>N662/K662*100</f>
        <v>#DIV/0!</v>
      </c>
      <c r="Q662" s="454"/>
      <c r="R662" s="422"/>
    </row>
    <row r="663" spans="1:19" s="254" customFormat="1" ht="14.1" customHeight="1">
      <c r="A663" s="303"/>
      <c r="B663" s="292">
        <v>4</v>
      </c>
      <c r="C663" s="292">
        <v>1</v>
      </c>
      <c r="D663" s="292">
        <v>4</v>
      </c>
      <c r="E663" s="292" t="s">
        <v>948</v>
      </c>
      <c r="F663" s="292"/>
      <c r="G663" s="2761" t="s">
        <v>50</v>
      </c>
      <c r="H663" s="5867" t="s">
        <v>997</v>
      </c>
      <c r="I663" s="5868"/>
      <c r="J663" s="397">
        <v>0</v>
      </c>
      <c r="K663" s="932">
        <v>0</v>
      </c>
      <c r="L663" s="1009">
        <v>0</v>
      </c>
      <c r="M663" s="932">
        <v>0</v>
      </c>
      <c r="N663" s="933">
        <f t="shared" si="96"/>
        <v>0</v>
      </c>
      <c r="O663" s="934">
        <f>N663-K663</f>
        <v>0</v>
      </c>
      <c r="P663" s="931" t="e">
        <f>N663/K663*100</f>
        <v>#DIV/0!</v>
      </c>
      <c r="Q663" s="989"/>
      <c r="R663" s="990"/>
    </row>
    <row r="664" spans="1:19" s="189" customFormat="1" ht="14.1" customHeight="1">
      <c r="A664" s="293"/>
      <c r="B664" s="292"/>
      <c r="C664" s="292"/>
      <c r="D664" s="292"/>
      <c r="E664" s="292"/>
      <c r="F664" s="292"/>
      <c r="G664" s="253"/>
      <c r="H664" s="253"/>
      <c r="I664" s="253"/>
      <c r="J664" s="494"/>
      <c r="K664" s="375"/>
      <c r="L664" s="932"/>
      <c r="M664" s="932"/>
      <c r="N664" s="932"/>
      <c r="O664" s="932"/>
      <c r="P664" s="978"/>
      <c r="Q664" s="448"/>
      <c r="R664" s="422"/>
    </row>
    <row r="665" spans="1:19" s="254" customFormat="1" ht="14.1" customHeight="1">
      <c r="A665" s="303"/>
      <c r="B665" s="290">
        <v>4</v>
      </c>
      <c r="C665" s="290">
        <v>1</v>
      </c>
      <c r="D665" s="290">
        <v>4</v>
      </c>
      <c r="E665" s="290"/>
      <c r="F665" s="290"/>
      <c r="G665" s="291" t="s">
        <v>71</v>
      </c>
      <c r="H665" s="291"/>
      <c r="I665" s="291"/>
      <c r="J665" s="601">
        <f>+J669+J690+J704</f>
        <v>34635781700</v>
      </c>
      <c r="K665" s="602">
        <f>+K669+K690+K704+K666</f>
        <v>18548560000</v>
      </c>
      <c r="L665" s="937">
        <f>+L669+L690+L704+L666</f>
        <v>17886361149.34</v>
      </c>
      <c r="M665" s="937">
        <f>+M669+M690+M704+M666</f>
        <v>1839322620.02</v>
      </c>
      <c r="N665" s="937">
        <f>+N669+N690+N704+N666</f>
        <v>19725683769.360001</v>
      </c>
      <c r="O665" s="925">
        <f t="shared" ref="O665:O701" si="98">N665-K665</f>
        <v>1177123769.3600006</v>
      </c>
      <c r="P665" s="926">
        <f t="shared" ref="P665:P689" si="99">N665/K665*100</f>
        <v>106.34617333830766</v>
      </c>
      <c r="Q665" s="640"/>
      <c r="R665" s="990"/>
    </row>
    <row r="666" spans="1:19" s="254" customFormat="1" ht="14.1" customHeight="1">
      <c r="A666" s="303"/>
      <c r="B666" s="292">
        <v>4</v>
      </c>
      <c r="C666" s="292">
        <v>1</v>
      </c>
      <c r="D666" s="292">
        <v>4</v>
      </c>
      <c r="E666" s="292" t="s">
        <v>441</v>
      </c>
      <c r="F666" s="292"/>
      <c r="G666" s="253" t="s">
        <v>557</v>
      </c>
      <c r="H666" s="291"/>
      <c r="I666" s="291"/>
      <c r="J666" s="603"/>
      <c r="K666" s="1300">
        <f t="shared" ref="K666:P666" si="100">K667</f>
        <v>0</v>
      </c>
      <c r="L666" s="1301">
        <f t="shared" si="100"/>
        <v>127500</v>
      </c>
      <c r="M666" s="1297">
        <f t="shared" si="100"/>
        <v>0</v>
      </c>
      <c r="N666" s="1297">
        <f t="shared" si="100"/>
        <v>127500</v>
      </c>
      <c r="O666" s="1297">
        <f t="shared" si="100"/>
        <v>127500</v>
      </c>
      <c r="P666" s="1302">
        <f t="shared" si="100"/>
        <v>0</v>
      </c>
      <c r="Q666" s="1309"/>
      <c r="R666" s="990"/>
    </row>
    <row r="667" spans="1:19" s="254" customFormat="1" ht="14.1" customHeight="1">
      <c r="A667" s="303"/>
      <c r="B667" s="292">
        <v>4</v>
      </c>
      <c r="C667" s="292">
        <v>1</v>
      </c>
      <c r="D667" s="292">
        <v>4</v>
      </c>
      <c r="E667" s="292" t="s">
        <v>441</v>
      </c>
      <c r="F667" s="292" t="s">
        <v>437</v>
      </c>
      <c r="G667" s="253" t="s">
        <v>72</v>
      </c>
      <c r="H667" s="291"/>
      <c r="I667" s="291"/>
      <c r="J667" s="603"/>
      <c r="K667" s="375">
        <f>'[55]TARGET MURNI DAN PERUBAHAN'!$E$403</f>
        <v>0</v>
      </c>
      <c r="L667" s="1009">
        <f>[56]PerDinas!$N$667</f>
        <v>127500</v>
      </c>
      <c r="M667" s="932">
        <f>[55]Perdinas!$P$466</f>
        <v>0</v>
      </c>
      <c r="N667" s="932">
        <f>M667+L667</f>
        <v>127500</v>
      </c>
      <c r="O667" s="1303">
        <f>N667-K667</f>
        <v>127500</v>
      </c>
      <c r="P667" s="931"/>
      <c r="Q667" s="448"/>
      <c r="R667" s="990"/>
    </row>
    <row r="668" spans="1:19" s="254" customFormat="1" ht="14.1" customHeight="1">
      <c r="A668" s="303"/>
      <c r="B668" s="290"/>
      <c r="C668" s="290"/>
      <c r="D668" s="290"/>
      <c r="E668" s="290"/>
      <c r="F668" s="290"/>
      <c r="G668" s="291"/>
      <c r="H668" s="291"/>
      <c r="I668" s="291"/>
      <c r="J668" s="603"/>
      <c r="K668" s="398"/>
      <c r="L668" s="981"/>
      <c r="M668" s="929"/>
      <c r="N668" s="929"/>
      <c r="O668" s="964"/>
      <c r="P668" s="931"/>
      <c r="Q668" s="699"/>
      <c r="R668" s="990"/>
    </row>
    <row r="669" spans="1:19" s="254" customFormat="1" ht="14.1" customHeight="1">
      <c r="A669" s="303"/>
      <c r="B669" s="292">
        <v>4</v>
      </c>
      <c r="C669" s="292">
        <v>1</v>
      </c>
      <c r="D669" s="292">
        <v>4</v>
      </c>
      <c r="E669" s="292" t="s">
        <v>456</v>
      </c>
      <c r="F669" s="292"/>
      <c r="G669" s="253" t="s">
        <v>307</v>
      </c>
      <c r="H669" s="253"/>
      <c r="I669" s="253"/>
      <c r="J669" s="678">
        <f>+J670+J680</f>
        <v>10708903900</v>
      </c>
      <c r="K669" s="490">
        <f>+K670+K680</f>
        <v>18548560000</v>
      </c>
      <c r="L669" s="943">
        <f>+L670+L680</f>
        <v>17767341479</v>
      </c>
      <c r="M669" s="944">
        <f>+M670+M680</f>
        <v>1834690054</v>
      </c>
      <c r="N669" s="944">
        <f>+N670+N680</f>
        <v>19602031533</v>
      </c>
      <c r="O669" s="945">
        <f t="shared" si="98"/>
        <v>1053471533</v>
      </c>
      <c r="P669" s="946">
        <f t="shared" si="99"/>
        <v>105.67953271305157</v>
      </c>
      <c r="Q669" s="647"/>
      <c r="R669" s="990"/>
    </row>
    <row r="670" spans="1:19" s="255" customFormat="1" ht="14.1" customHeight="1">
      <c r="A670" s="303"/>
      <c r="B670" s="908">
        <v>4</v>
      </c>
      <c r="C670" s="908">
        <v>1</v>
      </c>
      <c r="D670" s="908">
        <v>4</v>
      </c>
      <c r="E670" s="908" t="s">
        <v>456</v>
      </c>
      <c r="F670" s="908" t="s">
        <v>437</v>
      </c>
      <c r="G670" s="909" t="s">
        <v>309</v>
      </c>
      <c r="H670" s="909"/>
      <c r="I670" s="909"/>
      <c r="J670" s="947">
        <f>SUM(J671:J679)</f>
        <v>10552554700</v>
      </c>
      <c r="K670" s="948">
        <f>SUM(K671:K679)</f>
        <v>18448560000</v>
      </c>
      <c r="L670" s="949">
        <f>SUM(L671:L679)</f>
        <v>17429376605</v>
      </c>
      <c r="M670" s="950">
        <f>SUM(M671:M679)</f>
        <v>1807930115</v>
      </c>
      <c r="N670" s="951">
        <f>M670+L670</f>
        <v>19237306720</v>
      </c>
      <c r="O670" s="951">
        <f t="shared" si="98"/>
        <v>788746720</v>
      </c>
      <c r="P670" s="952">
        <f t="shared" si="99"/>
        <v>104.27538366138063</v>
      </c>
      <c r="Q670" s="991"/>
      <c r="R670" s="992"/>
      <c r="S670" s="993"/>
    </row>
    <row r="671" spans="1:19" s="254" customFormat="1" ht="14.1" customHeight="1">
      <c r="A671" s="303"/>
      <c r="B671" s="292"/>
      <c r="C671" s="292"/>
      <c r="D671" s="292"/>
      <c r="E671" s="292"/>
      <c r="F671" s="292"/>
      <c r="G671" s="253">
        <v>1</v>
      </c>
      <c r="H671" s="842"/>
      <c r="I671" s="253" t="s">
        <v>310</v>
      </c>
      <c r="J671" s="354">
        <v>3667244553</v>
      </c>
      <c r="K671" s="932">
        <f>'[55]TARGET MURNI DAN PERUBAHAN'!$E$366</f>
        <v>18448560000</v>
      </c>
      <c r="L671" s="953">
        <f>[56]PerDinas!$N$671</f>
        <v>5344077678</v>
      </c>
      <c r="M671" s="932">
        <f>[55]Perdinas!$P$446</f>
        <v>556916803</v>
      </c>
      <c r="N671" s="954">
        <f t="shared" ref="N671:N679" si="101">M671+L671</f>
        <v>5900994481</v>
      </c>
      <c r="O671" s="934">
        <f t="shared" si="98"/>
        <v>-12547565519</v>
      </c>
      <c r="P671" s="955">
        <f t="shared" si="99"/>
        <v>31.986206408521856</v>
      </c>
      <c r="Q671" s="994"/>
      <c r="R671" s="995"/>
    </row>
    <row r="672" spans="1:19" s="254" customFormat="1" ht="14.1" customHeight="1">
      <c r="A672" s="303"/>
      <c r="B672" s="292"/>
      <c r="C672" s="292"/>
      <c r="D672" s="292"/>
      <c r="E672" s="292"/>
      <c r="F672" s="292"/>
      <c r="G672" s="253">
        <v>2</v>
      </c>
      <c r="H672" s="842"/>
      <c r="I672" s="253" t="s">
        <v>311</v>
      </c>
      <c r="J672" s="354">
        <v>1312341769</v>
      </c>
      <c r="K672" s="932">
        <f>'[55]TARGET MURNI DAN PERUBAHAN'!$E$355</f>
        <v>0</v>
      </c>
      <c r="L672" s="953">
        <f>[56]PerDinas!$N$672</f>
        <v>2526277646</v>
      </c>
      <c r="M672" s="932">
        <f>[55]Perdinas!$P$447</f>
        <v>254642520</v>
      </c>
      <c r="N672" s="954">
        <f t="shared" si="101"/>
        <v>2780920166</v>
      </c>
      <c r="O672" s="934">
        <f t="shared" si="98"/>
        <v>2780920166</v>
      </c>
      <c r="P672" s="955" t="e">
        <f t="shared" si="99"/>
        <v>#DIV/0!</v>
      </c>
      <c r="Q672" s="448"/>
      <c r="R672" s="990"/>
    </row>
    <row r="673" spans="1:18" s="254" customFormat="1" ht="14.1" customHeight="1">
      <c r="A673" s="303"/>
      <c r="B673" s="292"/>
      <c r="C673" s="292"/>
      <c r="D673" s="292"/>
      <c r="E673" s="292"/>
      <c r="F673" s="292"/>
      <c r="G673" s="253">
        <v>3</v>
      </c>
      <c r="H673" s="842"/>
      <c r="I673" s="253" t="s">
        <v>312</v>
      </c>
      <c r="J673" s="354">
        <v>1709560379</v>
      </c>
      <c r="K673" s="932">
        <f>'[55]TARGET MURNI DAN PERUBAHAN'!$E$356</f>
        <v>0</v>
      </c>
      <c r="L673" s="953">
        <f>[56]PerDinas!$N$673</f>
        <v>2755288569</v>
      </c>
      <c r="M673" s="932">
        <f>[55]Perdinas!$P$448</f>
        <v>334374917</v>
      </c>
      <c r="N673" s="954">
        <f t="shared" si="101"/>
        <v>3089663486</v>
      </c>
      <c r="O673" s="934">
        <f t="shared" si="98"/>
        <v>3089663486</v>
      </c>
      <c r="P673" s="955" t="e">
        <f t="shared" si="99"/>
        <v>#DIV/0!</v>
      </c>
      <c r="Q673" s="448"/>
      <c r="R673" s="990"/>
    </row>
    <row r="674" spans="1:18" s="254" customFormat="1" ht="14.1" customHeight="1">
      <c r="A674" s="303"/>
      <c r="B674" s="292"/>
      <c r="C674" s="292"/>
      <c r="D674" s="292"/>
      <c r="E674" s="292"/>
      <c r="F674" s="292"/>
      <c r="G674" s="253">
        <v>4</v>
      </c>
      <c r="H674" s="842"/>
      <c r="I674" s="253" t="s">
        <v>313</v>
      </c>
      <c r="J674" s="354">
        <v>839251662</v>
      </c>
      <c r="K674" s="932">
        <f>'[55]TARGET MURNI DAN PERUBAHAN'!$E$357</f>
        <v>0</v>
      </c>
      <c r="L674" s="953">
        <f>[56]PerDinas!$N$674</f>
        <v>1447485527</v>
      </c>
      <c r="M674" s="932">
        <f>[55]Perdinas!$P$449</f>
        <v>168640967</v>
      </c>
      <c r="N674" s="954">
        <f t="shared" si="101"/>
        <v>1616126494</v>
      </c>
      <c r="O674" s="934">
        <f t="shared" si="98"/>
        <v>1616126494</v>
      </c>
      <c r="P674" s="955" t="e">
        <f t="shared" si="99"/>
        <v>#DIV/0!</v>
      </c>
      <c r="Q674" s="448"/>
      <c r="R674" s="990"/>
    </row>
    <row r="675" spans="1:18" s="254" customFormat="1" ht="14.1" customHeight="1">
      <c r="A675" s="303"/>
      <c r="B675" s="292"/>
      <c r="C675" s="292"/>
      <c r="D675" s="292"/>
      <c r="E675" s="292"/>
      <c r="F675" s="292"/>
      <c r="G675" s="253">
        <v>5</v>
      </c>
      <c r="H675" s="842"/>
      <c r="I675" s="253" t="s">
        <v>314</v>
      </c>
      <c r="J675" s="354">
        <v>956450612</v>
      </c>
      <c r="K675" s="932">
        <f>'[55]TARGET MURNI DAN PERUBAHAN'!$E$358</f>
        <v>0</v>
      </c>
      <c r="L675" s="953">
        <f>[56]PerDinas!$N$675</f>
        <v>1537430967</v>
      </c>
      <c r="M675" s="932">
        <f>[55]Perdinas!$P$450</f>
        <v>154003162</v>
      </c>
      <c r="N675" s="954">
        <f t="shared" si="101"/>
        <v>1691434129</v>
      </c>
      <c r="O675" s="934">
        <f t="shared" si="98"/>
        <v>1691434129</v>
      </c>
      <c r="P675" s="955" t="e">
        <f t="shared" si="99"/>
        <v>#DIV/0!</v>
      </c>
      <c r="Q675" s="448"/>
      <c r="R675" s="990"/>
    </row>
    <row r="676" spans="1:18" s="254" customFormat="1" ht="14.1" customHeight="1">
      <c r="A676" s="303"/>
      <c r="B676" s="292"/>
      <c r="C676" s="292"/>
      <c r="D676" s="292"/>
      <c r="E676" s="292"/>
      <c r="F676" s="292"/>
      <c r="G676" s="253">
        <v>6</v>
      </c>
      <c r="H676" s="842"/>
      <c r="I676" s="253" t="s">
        <v>315</v>
      </c>
      <c r="J676" s="354">
        <v>400997431</v>
      </c>
      <c r="K676" s="932">
        <f>'[55]TARGET MURNI DAN PERUBAHAN'!$E$359</f>
        <v>0</v>
      </c>
      <c r="L676" s="953">
        <f>[56]PerDinas!$N$676</f>
        <v>547560358</v>
      </c>
      <c r="M676" s="932">
        <f>[55]Perdinas!$P$451</f>
        <v>54492878</v>
      </c>
      <c r="N676" s="954">
        <f t="shared" si="101"/>
        <v>602053236</v>
      </c>
      <c r="O676" s="934">
        <f t="shared" si="98"/>
        <v>602053236</v>
      </c>
      <c r="P676" s="955" t="e">
        <f t="shared" si="99"/>
        <v>#DIV/0!</v>
      </c>
      <c r="Q676" s="448"/>
      <c r="R676" s="990"/>
    </row>
    <row r="677" spans="1:18" s="254" customFormat="1" ht="14.1" customHeight="1">
      <c r="A677" s="303"/>
      <c r="B677" s="292"/>
      <c r="C677" s="292"/>
      <c r="D677" s="292"/>
      <c r="E677" s="292"/>
      <c r="F677" s="292"/>
      <c r="G677" s="253">
        <v>7</v>
      </c>
      <c r="H677" s="842"/>
      <c r="I677" s="253" t="s">
        <v>316</v>
      </c>
      <c r="J677" s="354">
        <v>790415493</v>
      </c>
      <c r="K677" s="932">
        <f>'[55]TARGET MURNI DAN PERUBAHAN'!$E$372</f>
        <v>0</v>
      </c>
      <c r="L677" s="953">
        <f>[56]PerDinas!$N$677</f>
        <v>1732379269</v>
      </c>
      <c r="M677" s="932">
        <f>[55]Perdinas!$P$452</f>
        <v>192544268</v>
      </c>
      <c r="N677" s="954">
        <f t="shared" si="101"/>
        <v>1924923537</v>
      </c>
      <c r="O677" s="934">
        <f t="shared" si="98"/>
        <v>1924923537</v>
      </c>
      <c r="P677" s="955" t="e">
        <f t="shared" si="99"/>
        <v>#DIV/0!</v>
      </c>
      <c r="Q677" s="448"/>
      <c r="R677" s="990"/>
    </row>
    <row r="678" spans="1:18" s="254" customFormat="1" ht="14.1" customHeight="1">
      <c r="A678" s="303"/>
      <c r="B678" s="292"/>
      <c r="C678" s="292"/>
      <c r="D678" s="292"/>
      <c r="E678" s="292"/>
      <c r="F678" s="292"/>
      <c r="G678" s="253">
        <v>8</v>
      </c>
      <c r="H678" s="842"/>
      <c r="I678" s="253" t="s">
        <v>317</v>
      </c>
      <c r="J678" s="354">
        <v>528455525</v>
      </c>
      <c r="K678" s="932">
        <f>'[55]TARGET MURNI DAN PERUBAHAN'!$E$361</f>
        <v>0</v>
      </c>
      <c r="L678" s="953">
        <f>[56]PerDinas!$N$678</f>
        <v>946540968</v>
      </c>
      <c r="M678" s="932">
        <f>[55]Perdinas!$P$453</f>
        <v>27298375</v>
      </c>
      <c r="N678" s="954">
        <f t="shared" si="101"/>
        <v>973839343</v>
      </c>
      <c r="O678" s="934">
        <f t="shared" si="98"/>
        <v>973839343</v>
      </c>
      <c r="P678" s="955" t="e">
        <f t="shared" si="99"/>
        <v>#DIV/0!</v>
      </c>
      <c r="Q678" s="448"/>
      <c r="R678" s="990"/>
    </row>
    <row r="679" spans="1:18" s="254" customFormat="1" ht="14.1" customHeight="1">
      <c r="A679" s="303"/>
      <c r="B679" s="292"/>
      <c r="C679" s="292"/>
      <c r="D679" s="292"/>
      <c r="E679" s="292"/>
      <c r="F679" s="292"/>
      <c r="G679" s="910">
        <v>9</v>
      </c>
      <c r="H679" s="910"/>
      <c r="I679" s="910" t="s">
        <v>318</v>
      </c>
      <c r="J679" s="956">
        <v>347837276</v>
      </c>
      <c r="K679" s="932">
        <f>'[55]TARGET MURNI DAN PERUBAHAN'!$E$374</f>
        <v>0</v>
      </c>
      <c r="L679" s="953">
        <f>[56]PerDinas!$N$679</f>
        <v>592335623</v>
      </c>
      <c r="M679" s="932">
        <f>[55]Perdinas!$P$454</f>
        <v>65016225</v>
      </c>
      <c r="N679" s="954">
        <f t="shared" si="101"/>
        <v>657351848</v>
      </c>
      <c r="O679" s="957">
        <f t="shared" si="98"/>
        <v>657351848</v>
      </c>
      <c r="P679" s="958" t="e">
        <f t="shared" si="99"/>
        <v>#DIV/0!</v>
      </c>
      <c r="Q679" s="448"/>
      <c r="R679" s="990"/>
    </row>
    <row r="680" spans="1:18" s="255" customFormat="1" ht="14.1" customHeight="1">
      <c r="A680" s="303"/>
      <c r="B680" s="290">
        <v>4</v>
      </c>
      <c r="C680" s="290">
        <v>1</v>
      </c>
      <c r="D680" s="290">
        <v>4</v>
      </c>
      <c r="E680" s="290" t="s">
        <v>456</v>
      </c>
      <c r="F680" s="290" t="s">
        <v>438</v>
      </c>
      <c r="G680" s="291" t="s">
        <v>319</v>
      </c>
      <c r="H680" s="291"/>
      <c r="I680" s="291"/>
      <c r="J680" s="678">
        <f>SUM(J681:J689)</f>
        <v>156349200</v>
      </c>
      <c r="K680" s="490">
        <f>SUM(K681:K689)</f>
        <v>100000000</v>
      </c>
      <c r="L680" s="943">
        <f>SUM(L681:L689)</f>
        <v>337964874</v>
      </c>
      <c r="M680" s="944">
        <f>SUM(M681:M689)</f>
        <v>26759939</v>
      </c>
      <c r="N680" s="944">
        <f>SUM(N681:N689)</f>
        <v>364724813</v>
      </c>
      <c r="O680" s="945">
        <f t="shared" si="98"/>
        <v>264724813</v>
      </c>
      <c r="P680" s="946">
        <f t="shared" si="99"/>
        <v>364.72481299999998</v>
      </c>
      <c r="Q680" s="700"/>
      <c r="R680" s="996"/>
    </row>
    <row r="681" spans="1:18" s="254" customFormat="1" ht="14.1" customHeight="1">
      <c r="A681" s="303"/>
      <c r="B681" s="292"/>
      <c r="C681" s="292"/>
      <c r="D681" s="292"/>
      <c r="E681" s="292"/>
      <c r="F681" s="292"/>
      <c r="G681" s="253">
        <v>1</v>
      </c>
      <c r="H681" s="842"/>
      <c r="I681" s="253" t="s">
        <v>310</v>
      </c>
      <c r="J681" s="628">
        <v>54731264</v>
      </c>
      <c r="K681" s="959">
        <f>'[55]TARGET MURNI DAN PERUBAHAN'!$E$376</f>
        <v>100000000</v>
      </c>
      <c r="L681" s="953">
        <f>[56]PerDinas!$N$681</f>
        <v>117922719</v>
      </c>
      <c r="M681" s="959">
        <f>[55]Perdinas!$P$456</f>
        <v>8385077</v>
      </c>
      <c r="N681" s="960">
        <f t="shared" ref="N681:N689" si="102">M681+L681</f>
        <v>126307796</v>
      </c>
      <c r="O681" s="961">
        <f t="shared" si="98"/>
        <v>26307796</v>
      </c>
      <c r="P681" s="962">
        <f t="shared" si="99"/>
        <v>126.307796</v>
      </c>
      <c r="Q681" s="701"/>
      <c r="R681" s="995"/>
    </row>
    <row r="682" spans="1:18" s="254" customFormat="1" ht="14.1" customHeight="1">
      <c r="A682" s="303"/>
      <c r="B682" s="292"/>
      <c r="C682" s="292"/>
      <c r="D682" s="292"/>
      <c r="E682" s="292"/>
      <c r="F682" s="292"/>
      <c r="G682" s="253">
        <v>2</v>
      </c>
      <c r="H682" s="842"/>
      <c r="I682" s="253" t="s">
        <v>311</v>
      </c>
      <c r="J682" s="354">
        <v>40152038</v>
      </c>
      <c r="K682" s="932">
        <f>'[55]TARGET MURNI DAN PERUBAHAN'!$E$377</f>
        <v>0</v>
      </c>
      <c r="L682" s="953">
        <f>[56]PerDinas!$N$682</f>
        <v>46755127</v>
      </c>
      <c r="M682" s="932">
        <f>[55]Perdinas!$P$457</f>
        <v>2202050</v>
      </c>
      <c r="N682" s="954">
        <f t="shared" si="102"/>
        <v>48957177</v>
      </c>
      <c r="O682" s="934">
        <f t="shared" si="98"/>
        <v>48957177</v>
      </c>
      <c r="P682" s="955" t="e">
        <f t="shared" si="99"/>
        <v>#DIV/0!</v>
      </c>
      <c r="Q682" s="448"/>
      <c r="R682" s="990"/>
    </row>
    <row r="683" spans="1:18" s="254" customFormat="1" ht="14.1" customHeight="1">
      <c r="A683" s="303"/>
      <c r="B683" s="292"/>
      <c r="C683" s="292"/>
      <c r="D683" s="292"/>
      <c r="E683" s="292"/>
      <c r="F683" s="292"/>
      <c r="G683" s="253">
        <v>3</v>
      </c>
      <c r="H683" s="842"/>
      <c r="I683" s="253" t="s">
        <v>312</v>
      </c>
      <c r="J683" s="354">
        <v>20587022</v>
      </c>
      <c r="K683" s="932">
        <f>'[55]TARGET MURNI DAN PERUBAHAN'!$E$377</f>
        <v>0</v>
      </c>
      <c r="L683" s="953">
        <f>[56]PerDinas!$N$683</f>
        <v>36795738</v>
      </c>
      <c r="M683" s="932">
        <f>[55]Perdinas!$P$458</f>
        <v>5148225</v>
      </c>
      <c r="N683" s="954">
        <f t="shared" si="102"/>
        <v>41943963</v>
      </c>
      <c r="O683" s="934">
        <f t="shared" si="98"/>
        <v>41943963</v>
      </c>
      <c r="P683" s="955" t="e">
        <f t="shared" si="99"/>
        <v>#DIV/0!</v>
      </c>
      <c r="Q683" s="448"/>
      <c r="R683" s="990"/>
    </row>
    <row r="684" spans="1:18" s="254" customFormat="1" ht="14.1" customHeight="1">
      <c r="A684" s="303"/>
      <c r="B684" s="292"/>
      <c r="C684" s="292"/>
      <c r="D684" s="292"/>
      <c r="E684" s="292"/>
      <c r="F684" s="292"/>
      <c r="G684" s="253">
        <v>4</v>
      </c>
      <c r="H684" s="842"/>
      <c r="I684" s="253" t="s">
        <v>313</v>
      </c>
      <c r="J684" s="354">
        <v>11483003</v>
      </c>
      <c r="K684" s="932">
        <f>'[55]TARGET MURNI DAN PERUBAHAN'!$E$367</f>
        <v>0</v>
      </c>
      <c r="L684" s="953">
        <f>[56]PerDinas!$N$684</f>
        <v>18019015</v>
      </c>
      <c r="M684" s="932">
        <f>[55]Perdinas!$P$459</f>
        <v>2464175</v>
      </c>
      <c r="N684" s="954">
        <f t="shared" si="102"/>
        <v>20483190</v>
      </c>
      <c r="O684" s="934">
        <f t="shared" si="98"/>
        <v>20483190</v>
      </c>
      <c r="P684" s="955" t="e">
        <f t="shared" si="99"/>
        <v>#DIV/0!</v>
      </c>
      <c r="Q684" s="448"/>
      <c r="R684" s="990"/>
    </row>
    <row r="685" spans="1:18" s="254" customFormat="1" ht="14.1" customHeight="1">
      <c r="A685" s="303"/>
      <c r="B685" s="292"/>
      <c r="C685" s="292"/>
      <c r="D685" s="292"/>
      <c r="E685" s="292"/>
      <c r="F685" s="292"/>
      <c r="G685" s="253">
        <v>5</v>
      </c>
      <c r="H685" s="842"/>
      <c r="I685" s="253" t="s">
        <v>314</v>
      </c>
      <c r="J685" s="354">
        <v>17764328</v>
      </c>
      <c r="K685" s="932">
        <f>'[55]TARGET MURNI DAN PERUBAHAN'!$E$368</f>
        <v>0</v>
      </c>
      <c r="L685" s="953">
        <f>[56]PerDinas!$N$685</f>
        <v>41468269</v>
      </c>
      <c r="M685" s="932">
        <f>[55]Perdinas!$P$460</f>
        <v>3225904</v>
      </c>
      <c r="N685" s="954">
        <f t="shared" si="102"/>
        <v>44694173</v>
      </c>
      <c r="O685" s="934">
        <f t="shared" si="98"/>
        <v>44694173</v>
      </c>
      <c r="P685" s="955" t="e">
        <f t="shared" si="99"/>
        <v>#DIV/0!</v>
      </c>
      <c r="Q685" s="448"/>
      <c r="R685" s="990"/>
    </row>
    <row r="686" spans="1:18" s="254" customFormat="1" ht="14.1" customHeight="1">
      <c r="A686" s="303"/>
      <c r="B686" s="292"/>
      <c r="C686" s="292"/>
      <c r="D686" s="292"/>
      <c r="E686" s="292"/>
      <c r="F686" s="292"/>
      <c r="G686" s="253">
        <v>6</v>
      </c>
      <c r="H686" s="842"/>
      <c r="I686" s="253" t="s">
        <v>315</v>
      </c>
      <c r="J686" s="354">
        <v>2326181</v>
      </c>
      <c r="K686" s="932">
        <f>'[55]TARGET MURNI DAN PERUBAHAN'!$E$369</f>
        <v>0</v>
      </c>
      <c r="L686" s="953">
        <f>[56]PerDinas!$N$686</f>
        <v>4102336</v>
      </c>
      <c r="M686" s="932">
        <f>[55]Perdinas!$P$461</f>
        <v>2209635</v>
      </c>
      <c r="N686" s="954">
        <f t="shared" si="102"/>
        <v>6311971</v>
      </c>
      <c r="O686" s="934">
        <f t="shared" si="98"/>
        <v>6311971</v>
      </c>
      <c r="P686" s="955" t="e">
        <f t="shared" si="99"/>
        <v>#DIV/0!</v>
      </c>
      <c r="Q686" s="448"/>
      <c r="R686" s="990"/>
    </row>
    <row r="687" spans="1:18" s="254" customFormat="1" ht="14.1" customHeight="1">
      <c r="A687" s="303"/>
      <c r="B687" s="292"/>
      <c r="C687" s="292"/>
      <c r="D687" s="292"/>
      <c r="E687" s="292"/>
      <c r="F687" s="292"/>
      <c r="G687" s="253">
        <v>7</v>
      </c>
      <c r="H687" s="842"/>
      <c r="I687" s="253" t="s">
        <v>316</v>
      </c>
      <c r="J687" s="354">
        <v>8119057</v>
      </c>
      <c r="K687" s="932">
        <f>'[55]TARGET MURNI DAN PERUBAHAN'!$E$370</f>
        <v>0</v>
      </c>
      <c r="L687" s="953">
        <f>[56]PerDinas!$N$687</f>
        <v>32130299</v>
      </c>
      <c r="M687" s="932">
        <f>[55]Perdinas!$P$462</f>
        <v>3085373</v>
      </c>
      <c r="N687" s="954">
        <f t="shared" si="102"/>
        <v>35215672</v>
      </c>
      <c r="O687" s="934">
        <f t="shared" si="98"/>
        <v>35215672</v>
      </c>
      <c r="P687" s="955" t="e">
        <f t="shared" si="99"/>
        <v>#DIV/0!</v>
      </c>
      <c r="Q687" s="448"/>
      <c r="R687" s="990"/>
    </row>
    <row r="688" spans="1:18" s="254" customFormat="1" ht="14.1" customHeight="1">
      <c r="A688" s="303"/>
      <c r="B688" s="292"/>
      <c r="C688" s="292"/>
      <c r="D688" s="292"/>
      <c r="E688" s="292"/>
      <c r="F688" s="292"/>
      <c r="G688" s="253">
        <v>8</v>
      </c>
      <c r="H688" s="842"/>
      <c r="I688" s="253" t="s">
        <v>317</v>
      </c>
      <c r="J688" s="354">
        <v>1186307</v>
      </c>
      <c r="K688" s="932">
        <f>'[55]TARGET MURNI DAN PERUBAHAN'!$E$371</f>
        <v>0</v>
      </c>
      <c r="L688" s="953">
        <f>[56]PerDinas!$N$688</f>
        <v>40771371</v>
      </c>
      <c r="M688" s="932">
        <f>[55]Perdinas!$P$463</f>
        <v>39500</v>
      </c>
      <c r="N688" s="954">
        <f t="shared" si="102"/>
        <v>40810871</v>
      </c>
      <c r="O688" s="934">
        <f t="shared" si="98"/>
        <v>40810871</v>
      </c>
      <c r="P688" s="955" t="e">
        <f t="shared" si="99"/>
        <v>#DIV/0!</v>
      </c>
      <c r="Q688" s="448"/>
      <c r="R688" s="990"/>
    </row>
    <row r="689" spans="1:19" s="254" customFormat="1" ht="14.1" customHeight="1">
      <c r="A689" s="303"/>
      <c r="B689" s="292"/>
      <c r="C689" s="292"/>
      <c r="D689" s="292"/>
      <c r="E689" s="292"/>
      <c r="F689" s="292"/>
      <c r="G689" s="253">
        <v>9</v>
      </c>
      <c r="H689" s="253"/>
      <c r="I689" s="253" t="s">
        <v>318</v>
      </c>
      <c r="J689" s="374">
        <v>0</v>
      </c>
      <c r="K689" s="932">
        <f>'[55]TARGET MURNI DAN PERUBAHAN'!$E$372</f>
        <v>0</v>
      </c>
      <c r="L689" s="953">
        <f>[56]PerDinas!$N$689</f>
        <v>0</v>
      </c>
      <c r="M689" s="932">
        <f>[55]Perdinas!$P$464</f>
        <v>0</v>
      </c>
      <c r="N689" s="934">
        <f t="shared" si="102"/>
        <v>0</v>
      </c>
      <c r="O689" s="934">
        <f t="shared" si="98"/>
        <v>0</v>
      </c>
      <c r="P689" s="955" t="e">
        <f t="shared" si="99"/>
        <v>#DIV/0!</v>
      </c>
      <c r="Q689" s="448"/>
      <c r="R689" s="990"/>
    </row>
    <row r="690" spans="1:19" s="255" customFormat="1" ht="14.1" customHeight="1">
      <c r="A690" s="465"/>
      <c r="B690" s="466">
        <v>4</v>
      </c>
      <c r="C690" s="466">
        <v>1</v>
      </c>
      <c r="D690" s="466">
        <v>4</v>
      </c>
      <c r="E690" s="466" t="s">
        <v>444</v>
      </c>
      <c r="F690" s="466"/>
      <c r="G690" s="467" t="s">
        <v>222</v>
      </c>
      <c r="H690" s="467"/>
      <c r="I690" s="467"/>
      <c r="J690" s="370">
        <f>+J693</f>
        <v>0</v>
      </c>
      <c r="K690" s="371">
        <f>+K693</f>
        <v>0</v>
      </c>
      <c r="L690" s="963">
        <f>SUM(L691:L693)</f>
        <v>118892170.34</v>
      </c>
      <c r="M690" s="930">
        <f>SUM(M691:M693)</f>
        <v>4632566.0199999996</v>
      </c>
      <c r="N690" s="930">
        <f>SUM(N691:N693)</f>
        <v>123524736.36</v>
      </c>
      <c r="O690" s="964">
        <f t="shared" si="98"/>
        <v>123524736.36</v>
      </c>
      <c r="P690" s="965">
        <v>0</v>
      </c>
      <c r="Q690" s="651"/>
      <c r="R690" s="996"/>
    </row>
    <row r="691" spans="1:19" s="254" customFormat="1" ht="14.1" customHeight="1">
      <c r="A691" s="564"/>
      <c r="B691" s="565">
        <v>4</v>
      </c>
      <c r="C691" s="565">
        <v>1</v>
      </c>
      <c r="D691" s="565">
        <v>4</v>
      </c>
      <c r="E691" s="565" t="s">
        <v>444</v>
      </c>
      <c r="F691" s="565" t="s">
        <v>440</v>
      </c>
      <c r="G691" s="566" t="s">
        <v>73</v>
      </c>
      <c r="H691" s="566"/>
      <c r="I691" s="566"/>
      <c r="J691" s="484">
        <v>0</v>
      </c>
      <c r="K691" s="485">
        <v>0</v>
      </c>
      <c r="L691" s="966">
        <v>0</v>
      </c>
      <c r="M691" s="967">
        <f>[55]Perdinas!$P$467</f>
        <v>0</v>
      </c>
      <c r="N691" s="967">
        <f>M691+L691</f>
        <v>0</v>
      </c>
      <c r="O691" s="967">
        <f t="shared" si="98"/>
        <v>0</v>
      </c>
      <c r="P691" s="968"/>
      <c r="Q691" s="541"/>
      <c r="R691" s="990"/>
    </row>
    <row r="692" spans="1:19" s="254" customFormat="1" ht="14.1" customHeight="1">
      <c r="A692" s="286"/>
      <c r="B692" s="287">
        <v>4</v>
      </c>
      <c r="C692" s="287">
        <v>1</v>
      </c>
      <c r="D692" s="287">
        <v>4</v>
      </c>
      <c r="E692" s="287" t="s">
        <v>444</v>
      </c>
      <c r="F692" s="287" t="s">
        <v>445</v>
      </c>
      <c r="G692" s="410" t="s">
        <v>74</v>
      </c>
      <c r="H692" s="410"/>
      <c r="I692" s="410"/>
      <c r="J692" s="389">
        <v>0</v>
      </c>
      <c r="K692" s="357">
        <v>0</v>
      </c>
      <c r="L692" s="969">
        <v>0</v>
      </c>
      <c r="M692" s="970">
        <f>[55]Perdinas!$P$468</f>
        <v>0</v>
      </c>
      <c r="N692" s="970">
        <f>M692+L692</f>
        <v>0</v>
      </c>
      <c r="O692" s="970">
        <f t="shared" si="98"/>
        <v>0</v>
      </c>
      <c r="P692" s="971"/>
      <c r="Q692" s="442"/>
      <c r="R692" s="990"/>
    </row>
    <row r="693" spans="1:19" s="255" customFormat="1" ht="14.1" customHeight="1">
      <c r="A693" s="293"/>
      <c r="B693" s="908">
        <v>4</v>
      </c>
      <c r="C693" s="908">
        <v>1</v>
      </c>
      <c r="D693" s="908">
        <v>4</v>
      </c>
      <c r="E693" s="908" t="s">
        <v>444</v>
      </c>
      <c r="F693" s="908" t="s">
        <v>441</v>
      </c>
      <c r="G693" s="909" t="s">
        <v>75</v>
      </c>
      <c r="H693" s="909"/>
      <c r="I693" s="909"/>
      <c r="J693" s="972">
        <f>SUM(J694:J703)</f>
        <v>0</v>
      </c>
      <c r="K693" s="973">
        <f>SUM(K694:K703)</f>
        <v>0</v>
      </c>
      <c r="L693" s="974">
        <f>SUM(L694:L703)</f>
        <v>118892170.34</v>
      </c>
      <c r="M693" s="975">
        <f>SUM(M694:M703)</f>
        <v>4632566.0199999996</v>
      </c>
      <c r="N693" s="976">
        <f>SUM(N694:N703)</f>
        <v>123524736.36</v>
      </c>
      <c r="O693" s="975">
        <f t="shared" si="98"/>
        <v>123524736.36</v>
      </c>
      <c r="P693" s="977"/>
      <c r="Q693" s="997"/>
      <c r="R693" s="996"/>
    </row>
    <row r="694" spans="1:19" s="254" customFormat="1" ht="14.1" customHeight="1">
      <c r="A694" s="289"/>
      <c r="B694" s="292"/>
      <c r="C694" s="292"/>
      <c r="D694" s="292"/>
      <c r="E694" s="292"/>
      <c r="F694" s="292"/>
      <c r="G694" s="253">
        <v>1</v>
      </c>
      <c r="H694" s="253"/>
      <c r="I694" s="253" t="s">
        <v>320</v>
      </c>
      <c r="J694" s="354"/>
      <c r="K694" s="934">
        <f>'[55]TARGET MURNI DAN PERUBAHAN'!$E$377</f>
        <v>0</v>
      </c>
      <c r="L694" s="969">
        <f>[56]PerDinas!$N$694</f>
        <v>85416740.340000004</v>
      </c>
      <c r="M694" s="934">
        <f>[55]Perdinas!$P$470</f>
        <v>2523163.02</v>
      </c>
      <c r="N694" s="1304">
        <f t="shared" ref="N694:N703" si="103">M694+L694</f>
        <v>87939903.359999999</v>
      </c>
      <c r="O694" s="934">
        <f t="shared" si="98"/>
        <v>87939903.359999999</v>
      </c>
      <c r="P694" s="955"/>
      <c r="Q694" s="441"/>
      <c r="R694" s="990"/>
    </row>
    <row r="695" spans="1:19" s="254" customFormat="1" ht="14.1" customHeight="1">
      <c r="A695" s="289"/>
      <c r="B695" s="292"/>
      <c r="C695" s="292"/>
      <c r="D695" s="292"/>
      <c r="E695" s="292"/>
      <c r="F695" s="292"/>
      <c r="G695" s="253">
        <v>2</v>
      </c>
      <c r="H695" s="253"/>
      <c r="I695" s="253" t="s">
        <v>310</v>
      </c>
      <c r="J695" s="354"/>
      <c r="K695" s="934">
        <f>'[55]TARGET MURNI DAN PERUBAHAN'!$E$378</f>
        <v>0</v>
      </c>
      <c r="L695" s="969">
        <f>[56]PerDinas!$N$695</f>
        <v>0</v>
      </c>
      <c r="M695" s="934">
        <f>[55]Perdinas!$P$471</f>
        <v>2109403</v>
      </c>
      <c r="N695" s="1304">
        <f t="shared" si="103"/>
        <v>2109403</v>
      </c>
      <c r="O695" s="934">
        <f t="shared" si="98"/>
        <v>2109403</v>
      </c>
      <c r="P695" s="955"/>
      <c r="Q695" s="441"/>
      <c r="R695" s="995"/>
      <c r="S695" s="1310"/>
    </row>
    <row r="696" spans="1:19" s="254" customFormat="1" ht="14.1" customHeight="1">
      <c r="A696" s="289"/>
      <c r="B696" s="292"/>
      <c r="C696" s="292"/>
      <c r="D696" s="292"/>
      <c r="E696" s="292"/>
      <c r="F696" s="292"/>
      <c r="G696" s="253">
        <v>3</v>
      </c>
      <c r="H696" s="253"/>
      <c r="I696" s="253" t="s">
        <v>311</v>
      </c>
      <c r="J696" s="354"/>
      <c r="K696" s="934">
        <f>'[55]TARGET MURNI DAN PERUBAHAN'!$E$379</f>
        <v>0</v>
      </c>
      <c r="L696" s="969">
        <f>[56]PerDinas!$N$696</f>
        <v>0</v>
      </c>
      <c r="M696" s="934">
        <f>[55]Perdinas!$P$472</f>
        <v>0</v>
      </c>
      <c r="N696" s="1304">
        <f t="shared" si="103"/>
        <v>0</v>
      </c>
      <c r="O696" s="934">
        <f t="shared" si="98"/>
        <v>0</v>
      </c>
      <c r="P696" s="955"/>
      <c r="Q696" s="441"/>
      <c r="R696" s="990"/>
      <c r="S696" s="1311"/>
    </row>
    <row r="697" spans="1:19" s="254" customFormat="1" ht="14.1" customHeight="1">
      <c r="A697" s="289"/>
      <c r="B697" s="292"/>
      <c r="C697" s="292"/>
      <c r="D697" s="292"/>
      <c r="E697" s="292"/>
      <c r="F697" s="292"/>
      <c r="G697" s="253">
        <v>4</v>
      </c>
      <c r="H697" s="253"/>
      <c r="I697" s="253" t="s">
        <v>312</v>
      </c>
      <c r="J697" s="354"/>
      <c r="K697" s="934">
        <f>'[55]TARGET MURNI DAN PERUBAHAN'!$E$380</f>
        <v>0</v>
      </c>
      <c r="L697" s="969">
        <f>[56]PerDinas!$N$697</f>
        <v>0</v>
      </c>
      <c r="M697" s="934">
        <f>[55]Perdinas!$P$473</f>
        <v>0</v>
      </c>
      <c r="N697" s="934">
        <f t="shared" si="103"/>
        <v>0</v>
      </c>
      <c r="O697" s="934">
        <f t="shared" si="98"/>
        <v>0</v>
      </c>
      <c r="P697" s="955"/>
      <c r="Q697" s="441"/>
      <c r="R697" s="990"/>
    </row>
    <row r="698" spans="1:19" s="254" customFormat="1" ht="14.1" customHeight="1">
      <c r="A698" s="289"/>
      <c r="B698" s="292"/>
      <c r="C698" s="292"/>
      <c r="D698" s="292"/>
      <c r="E698" s="292"/>
      <c r="F698" s="292"/>
      <c r="G698" s="253">
        <v>5</v>
      </c>
      <c r="H698" s="253"/>
      <c r="I698" s="253" t="s">
        <v>313</v>
      </c>
      <c r="J698" s="354"/>
      <c r="K698" s="934">
        <f>'[55]TARGET MURNI DAN PERUBAHAN'!$E$381</f>
        <v>0</v>
      </c>
      <c r="L698" s="969">
        <f>[56]PerDinas!$N$698</f>
        <v>0</v>
      </c>
      <c r="M698" s="934">
        <f>[55]Perdinas!$P$474</f>
        <v>0</v>
      </c>
      <c r="N698" s="934">
        <f t="shared" si="103"/>
        <v>0</v>
      </c>
      <c r="O698" s="934">
        <f t="shared" si="98"/>
        <v>0</v>
      </c>
      <c r="P698" s="955"/>
      <c r="Q698" s="441"/>
      <c r="R698" s="990"/>
    </row>
    <row r="699" spans="1:19" s="254" customFormat="1" ht="14.1" customHeight="1">
      <c r="A699" s="289"/>
      <c r="B699" s="292"/>
      <c r="C699" s="292"/>
      <c r="D699" s="292"/>
      <c r="E699" s="292"/>
      <c r="F699" s="292"/>
      <c r="G699" s="253">
        <v>6</v>
      </c>
      <c r="H699" s="253"/>
      <c r="I699" s="253" t="s">
        <v>314</v>
      </c>
      <c r="J699" s="354"/>
      <c r="K699" s="934">
        <f>'[55]TARGET MURNI DAN PERUBAHAN'!$E$382</f>
        <v>0</v>
      </c>
      <c r="L699" s="969">
        <f>[56]PerDinas!$N$699</f>
        <v>10972500</v>
      </c>
      <c r="M699" s="934">
        <f>[55]Perdinas!$P$475</f>
        <v>0</v>
      </c>
      <c r="N699" s="1304">
        <f t="shared" si="103"/>
        <v>10972500</v>
      </c>
      <c r="O699" s="934">
        <f t="shared" si="98"/>
        <v>10972500</v>
      </c>
      <c r="P699" s="955"/>
      <c r="Q699" s="441"/>
      <c r="R699" s="990"/>
    </row>
    <row r="700" spans="1:19" s="254" customFormat="1" ht="14.1" customHeight="1">
      <c r="A700" s="293"/>
      <c r="B700" s="292"/>
      <c r="C700" s="292"/>
      <c r="D700" s="292"/>
      <c r="E700" s="292"/>
      <c r="F700" s="292"/>
      <c r="G700" s="253">
        <v>7</v>
      </c>
      <c r="H700" s="253"/>
      <c r="I700" s="253" t="s">
        <v>315</v>
      </c>
      <c r="J700" s="374"/>
      <c r="K700" s="934">
        <f>'[55]TARGET MURNI DAN PERUBAHAN'!$E$383</f>
        <v>0</v>
      </c>
      <c r="L700" s="969">
        <f>[56]PerDinas!$N$700</f>
        <v>2664500</v>
      </c>
      <c r="M700" s="934">
        <f>[55]Perdinas!$P$476</f>
        <v>0</v>
      </c>
      <c r="N700" s="1304">
        <f t="shared" si="103"/>
        <v>2664500</v>
      </c>
      <c r="O700" s="934">
        <f t="shared" si="98"/>
        <v>2664500</v>
      </c>
      <c r="P700" s="978"/>
      <c r="Q700" s="448"/>
      <c r="R700" s="990"/>
    </row>
    <row r="701" spans="1:19" s="254" customFormat="1" ht="14.1" customHeight="1">
      <c r="A701" s="465"/>
      <c r="B701" s="296"/>
      <c r="C701" s="296"/>
      <c r="D701" s="296"/>
      <c r="E701" s="296"/>
      <c r="F701" s="296"/>
      <c r="G701" s="297">
        <v>8</v>
      </c>
      <c r="H701" s="297"/>
      <c r="I701" s="297" t="s">
        <v>316</v>
      </c>
      <c r="J701" s="679"/>
      <c r="K701" s="934">
        <f>'[55]TARGET MURNI DAN PERUBAHAN'!$E$384</f>
        <v>0</v>
      </c>
      <c r="L701" s="969">
        <f>[56]PerDinas!$N$701</f>
        <v>2605000</v>
      </c>
      <c r="M701" s="934">
        <f>[55]Perdinas!$P$477</f>
        <v>0</v>
      </c>
      <c r="N701" s="1305">
        <f t="shared" si="103"/>
        <v>2605000</v>
      </c>
      <c r="O701" s="934">
        <f t="shared" si="98"/>
        <v>2605000</v>
      </c>
      <c r="P701" s="980"/>
      <c r="Q701" s="449"/>
      <c r="R701" s="990"/>
    </row>
    <row r="702" spans="1:19" s="254" customFormat="1" ht="14.1" customHeight="1">
      <c r="A702" s="293"/>
      <c r="B702" s="292"/>
      <c r="C702" s="292"/>
      <c r="D702" s="292"/>
      <c r="E702" s="292"/>
      <c r="F702" s="292"/>
      <c r="G702" s="253">
        <v>9</v>
      </c>
      <c r="H702" s="253"/>
      <c r="I702" s="253" t="s">
        <v>317</v>
      </c>
      <c r="J702" s="374"/>
      <c r="K702" s="934">
        <f>'[55]TARGET MURNI DAN PERUBAHAN'!$E$385</f>
        <v>0</v>
      </c>
      <c r="L702" s="969">
        <f>[56]PerDinas!$N$702</f>
        <v>3670000</v>
      </c>
      <c r="M702" s="934">
        <f>[55]Perdinas!$P$478</f>
        <v>0</v>
      </c>
      <c r="N702" s="1304">
        <f t="shared" si="103"/>
        <v>3670000</v>
      </c>
      <c r="O702" s="934"/>
      <c r="P702" s="978"/>
      <c r="Q702" s="448"/>
      <c r="R702" s="990"/>
    </row>
    <row r="703" spans="1:19" s="254" customFormat="1" ht="14.1" customHeight="1">
      <c r="A703" s="293"/>
      <c r="B703" s="292"/>
      <c r="C703" s="292"/>
      <c r="D703" s="292"/>
      <c r="E703" s="292"/>
      <c r="F703" s="292"/>
      <c r="G703" s="253">
        <v>10</v>
      </c>
      <c r="H703" s="253"/>
      <c r="I703" s="253" t="s">
        <v>318</v>
      </c>
      <c r="J703" s="374"/>
      <c r="K703" s="934">
        <f>'[55]TARGET MURNI DAN PERUBAHAN'!$E$386</f>
        <v>0</v>
      </c>
      <c r="L703" s="969">
        <f>[56]PerDinas!$N$703</f>
        <v>13563430</v>
      </c>
      <c r="M703" s="934">
        <f>[55]Perdinas!$P$479</f>
        <v>0</v>
      </c>
      <c r="N703" s="1304">
        <f t="shared" si="103"/>
        <v>13563430</v>
      </c>
      <c r="O703" s="934"/>
      <c r="P703" s="978"/>
      <c r="Q703" s="448"/>
      <c r="R703" s="990"/>
      <c r="S703" s="1311"/>
    </row>
    <row r="704" spans="1:19" s="254" customFormat="1" ht="14.1" customHeight="1">
      <c r="A704" s="303"/>
      <c r="B704" s="292">
        <v>4</v>
      </c>
      <c r="C704" s="292">
        <v>1</v>
      </c>
      <c r="D704" s="292">
        <v>4</v>
      </c>
      <c r="E704" s="292" t="s">
        <v>948</v>
      </c>
      <c r="F704" s="292"/>
      <c r="G704" s="291" t="s">
        <v>321</v>
      </c>
      <c r="H704" s="253"/>
      <c r="I704" s="253"/>
      <c r="J704" s="397">
        <f>J663+J706+J716+J729</f>
        <v>23926877800</v>
      </c>
      <c r="K704" s="398">
        <f>K706+K716+K729</f>
        <v>0</v>
      </c>
      <c r="L704" s="981">
        <f>L706+L729</f>
        <v>0</v>
      </c>
      <c r="M704" s="929">
        <f>M706+M716+M729</f>
        <v>0</v>
      </c>
      <c r="N704" s="929">
        <f>L704+M704</f>
        <v>0</v>
      </c>
      <c r="O704" s="964">
        <f>N704-K704</f>
        <v>0</v>
      </c>
      <c r="P704" s="931" t="e">
        <f t="shared" ref="P704:P715" si="104">N704/K704*100</f>
        <v>#DIV/0!</v>
      </c>
      <c r="Q704" s="448"/>
      <c r="R704" s="990"/>
    </row>
    <row r="705" spans="1:18" s="254" customFormat="1" ht="14.1" customHeight="1">
      <c r="A705" s="303"/>
      <c r="B705" s="292"/>
      <c r="C705" s="292"/>
      <c r="D705" s="292"/>
      <c r="E705" s="292"/>
      <c r="F705" s="292"/>
      <c r="G705" s="291"/>
      <c r="H705" s="253"/>
      <c r="I705" s="253"/>
      <c r="J705" s="397"/>
      <c r="K705" s="398"/>
      <c r="L705" s="981"/>
      <c r="M705" s="929"/>
      <c r="N705" s="929"/>
      <c r="O705" s="964"/>
      <c r="P705" s="931"/>
      <c r="Q705" s="448"/>
      <c r="R705" s="990"/>
    </row>
    <row r="706" spans="1:18" s="254" customFormat="1" ht="14.1" customHeight="1">
      <c r="A706" s="303"/>
      <c r="B706" s="292"/>
      <c r="C706" s="292"/>
      <c r="D706" s="292"/>
      <c r="E706" s="292"/>
      <c r="F706" s="292"/>
      <c r="G706" s="5843" t="s">
        <v>323</v>
      </c>
      <c r="H706" s="5869"/>
      <c r="I706" s="5869"/>
      <c r="J706" s="1004">
        <f>SUM(J707:J715)</f>
        <v>23926877800</v>
      </c>
      <c r="K706" s="1005">
        <f>SUM(K707:K715)</f>
        <v>0</v>
      </c>
      <c r="L706" s="1006">
        <f>SUM(L707:L715)</f>
        <v>0</v>
      </c>
      <c r="M706" s="1007">
        <f>SUM(M707:M715)</f>
        <v>0</v>
      </c>
      <c r="N706" s="1007">
        <f>SUM(N707:N715)</f>
        <v>0</v>
      </c>
      <c r="O706" s="975">
        <f t="shared" ref="O706:O715" si="105">N706-K706</f>
        <v>0</v>
      </c>
      <c r="P706" s="1008" t="e">
        <f t="shared" si="104"/>
        <v>#DIV/0!</v>
      </c>
      <c r="Q706" s="448"/>
      <c r="R706" s="990"/>
    </row>
    <row r="707" spans="1:18" s="254" customFormat="1" ht="14.1" customHeight="1">
      <c r="A707" s="303"/>
      <c r="B707" s="292"/>
      <c r="C707" s="292"/>
      <c r="D707" s="292"/>
      <c r="E707" s="292"/>
      <c r="F707" s="292"/>
      <c r="G707" s="842"/>
      <c r="H707" s="998" t="s">
        <v>50</v>
      </c>
      <c r="I707" s="253" t="s">
        <v>310</v>
      </c>
      <c r="J707" s="374">
        <v>3262174200</v>
      </c>
      <c r="K707" s="932">
        <v>0</v>
      </c>
      <c r="L707" s="1009">
        <v>0</v>
      </c>
      <c r="M707" s="932">
        <v>0</v>
      </c>
      <c r="N707" s="954">
        <f>M707+L707</f>
        <v>0</v>
      </c>
      <c r="O707" s="934">
        <f t="shared" si="105"/>
        <v>0</v>
      </c>
      <c r="P707" s="955" t="e">
        <f t="shared" si="104"/>
        <v>#DIV/0!</v>
      </c>
      <c r="Q707" s="448"/>
      <c r="R707" s="995"/>
    </row>
    <row r="708" spans="1:18" s="254" customFormat="1" ht="14.1" customHeight="1">
      <c r="A708" s="303"/>
      <c r="B708" s="292"/>
      <c r="C708" s="292"/>
      <c r="D708" s="292"/>
      <c r="E708" s="292"/>
      <c r="F708" s="292"/>
      <c r="G708" s="842" t="s">
        <v>700</v>
      </c>
      <c r="H708" s="998" t="s">
        <v>50</v>
      </c>
      <c r="I708" s="253" t="s">
        <v>311</v>
      </c>
      <c r="J708" s="374">
        <v>3744139500</v>
      </c>
      <c r="K708" s="932">
        <v>0</v>
      </c>
      <c r="L708" s="1009">
        <v>0</v>
      </c>
      <c r="M708" s="932">
        <v>0</v>
      </c>
      <c r="N708" s="954">
        <f t="shared" ref="N708:N715" si="106">M708+L708</f>
        <v>0</v>
      </c>
      <c r="O708" s="934">
        <f t="shared" si="105"/>
        <v>0</v>
      </c>
      <c r="P708" s="955" t="e">
        <f t="shared" si="104"/>
        <v>#DIV/0!</v>
      </c>
      <c r="Q708" s="1020"/>
      <c r="R708" s="990"/>
    </row>
    <row r="709" spans="1:18" s="254" customFormat="1" ht="14.1" customHeight="1">
      <c r="A709" s="303"/>
      <c r="B709" s="292"/>
      <c r="C709" s="292"/>
      <c r="D709" s="292"/>
      <c r="E709" s="292"/>
      <c r="F709" s="292"/>
      <c r="G709" s="842"/>
      <c r="H709" s="998" t="s">
        <v>50</v>
      </c>
      <c r="I709" s="253" t="s">
        <v>312</v>
      </c>
      <c r="J709" s="374">
        <v>4579282945</v>
      </c>
      <c r="K709" s="932">
        <v>0</v>
      </c>
      <c r="L709" s="1009">
        <v>0</v>
      </c>
      <c r="M709" s="932">
        <v>0</v>
      </c>
      <c r="N709" s="954">
        <f t="shared" si="106"/>
        <v>0</v>
      </c>
      <c r="O709" s="934">
        <f t="shared" si="105"/>
        <v>0</v>
      </c>
      <c r="P709" s="955" t="e">
        <f t="shared" si="104"/>
        <v>#DIV/0!</v>
      </c>
      <c r="Q709" s="1020"/>
      <c r="R709" s="990"/>
    </row>
    <row r="710" spans="1:18" s="254" customFormat="1" ht="14.1" customHeight="1">
      <c r="A710" s="303"/>
      <c r="B710" s="292"/>
      <c r="C710" s="292"/>
      <c r="D710" s="292"/>
      <c r="E710" s="292"/>
      <c r="F710" s="292"/>
      <c r="G710" s="842"/>
      <c r="H710" s="998" t="s">
        <v>50</v>
      </c>
      <c r="I710" s="253" t="s">
        <v>313</v>
      </c>
      <c r="J710" s="374">
        <v>2681813070</v>
      </c>
      <c r="K710" s="932">
        <v>0</v>
      </c>
      <c r="L710" s="1009">
        <v>0</v>
      </c>
      <c r="M710" s="932">
        <v>0</v>
      </c>
      <c r="N710" s="954">
        <f t="shared" si="106"/>
        <v>0</v>
      </c>
      <c r="O710" s="934">
        <f t="shared" si="105"/>
        <v>0</v>
      </c>
      <c r="P710" s="955" t="e">
        <f t="shared" si="104"/>
        <v>#DIV/0!</v>
      </c>
      <c r="Q710" s="1020"/>
      <c r="R710" s="990"/>
    </row>
    <row r="711" spans="1:18" s="254" customFormat="1" ht="14.1" customHeight="1">
      <c r="A711" s="303"/>
      <c r="B711" s="292"/>
      <c r="C711" s="292"/>
      <c r="D711" s="292"/>
      <c r="E711" s="292"/>
      <c r="F711" s="292"/>
      <c r="G711" s="842"/>
      <c r="H711" s="998" t="s">
        <v>50</v>
      </c>
      <c r="I711" s="253" t="s">
        <v>314</v>
      </c>
      <c r="J711" s="374">
        <v>3172873200</v>
      </c>
      <c r="K711" s="932">
        <v>0</v>
      </c>
      <c r="L711" s="1009">
        <v>0</v>
      </c>
      <c r="M711" s="932">
        <v>0</v>
      </c>
      <c r="N711" s="954">
        <f t="shared" si="106"/>
        <v>0</v>
      </c>
      <c r="O711" s="934">
        <f t="shared" si="105"/>
        <v>0</v>
      </c>
      <c r="P711" s="955" t="e">
        <f t="shared" si="104"/>
        <v>#DIV/0!</v>
      </c>
      <c r="Q711" s="1020"/>
      <c r="R711" s="990"/>
    </row>
    <row r="712" spans="1:18" s="254" customFormat="1" ht="14.1" customHeight="1">
      <c r="A712" s="303"/>
      <c r="B712" s="292"/>
      <c r="C712" s="292"/>
      <c r="D712" s="292"/>
      <c r="E712" s="292"/>
      <c r="F712" s="292"/>
      <c r="G712" s="842"/>
      <c r="H712" s="998" t="s">
        <v>50</v>
      </c>
      <c r="I712" s="253" t="s">
        <v>315</v>
      </c>
      <c r="J712" s="374">
        <v>934279200</v>
      </c>
      <c r="K712" s="932">
        <v>0</v>
      </c>
      <c r="L712" s="1009">
        <v>0</v>
      </c>
      <c r="M712" s="932">
        <v>0</v>
      </c>
      <c r="N712" s="954">
        <f t="shared" si="106"/>
        <v>0</v>
      </c>
      <c r="O712" s="934">
        <f t="shared" si="105"/>
        <v>0</v>
      </c>
      <c r="P712" s="955" t="e">
        <f t="shared" si="104"/>
        <v>#DIV/0!</v>
      </c>
      <c r="Q712" s="1020"/>
      <c r="R712" s="990"/>
    </row>
    <row r="713" spans="1:18" s="254" customFormat="1" ht="14.1" customHeight="1">
      <c r="A713" s="303"/>
      <c r="B713" s="292"/>
      <c r="C713" s="292"/>
      <c r="D713" s="292"/>
      <c r="E713" s="292"/>
      <c r="F713" s="292"/>
      <c r="G713" s="842"/>
      <c r="H713" s="998" t="s">
        <v>50</v>
      </c>
      <c r="I713" s="253" t="s">
        <v>316</v>
      </c>
      <c r="J713" s="374">
        <v>4033153950</v>
      </c>
      <c r="K713" s="932">
        <v>0</v>
      </c>
      <c r="L713" s="1009">
        <v>0</v>
      </c>
      <c r="M713" s="932">
        <v>0</v>
      </c>
      <c r="N713" s="954">
        <f t="shared" si="106"/>
        <v>0</v>
      </c>
      <c r="O713" s="934">
        <f t="shared" si="105"/>
        <v>0</v>
      </c>
      <c r="P713" s="955" t="e">
        <f t="shared" si="104"/>
        <v>#DIV/0!</v>
      </c>
      <c r="Q713" s="1020"/>
      <c r="R713" s="990"/>
    </row>
    <row r="714" spans="1:18" s="254" customFormat="1" ht="14.1" customHeight="1">
      <c r="A714" s="706"/>
      <c r="B714" s="287"/>
      <c r="C714" s="287"/>
      <c r="D714" s="287"/>
      <c r="E714" s="287"/>
      <c r="F714" s="287"/>
      <c r="G714" s="851"/>
      <c r="H714" s="999" t="s">
        <v>50</v>
      </c>
      <c r="I714" s="410" t="s">
        <v>317</v>
      </c>
      <c r="J714" s="708">
        <v>1080108600</v>
      </c>
      <c r="K714" s="932">
        <v>0</v>
      </c>
      <c r="L714" s="1009">
        <v>0</v>
      </c>
      <c r="M714" s="932">
        <v>0</v>
      </c>
      <c r="N714" s="1010">
        <f t="shared" si="106"/>
        <v>0</v>
      </c>
      <c r="O714" s="970">
        <f t="shared" si="105"/>
        <v>0</v>
      </c>
      <c r="P714" s="971" t="e">
        <f t="shared" si="104"/>
        <v>#DIV/0!</v>
      </c>
      <c r="Q714" s="1021"/>
      <c r="R714" s="990"/>
    </row>
    <row r="715" spans="1:18" s="254" customFormat="1" ht="14.1" customHeight="1">
      <c r="A715" s="303"/>
      <c r="B715" s="292"/>
      <c r="C715" s="292"/>
      <c r="D715" s="292"/>
      <c r="E715" s="292"/>
      <c r="F715" s="292"/>
      <c r="G715" s="842"/>
      <c r="H715" s="998" t="s">
        <v>50</v>
      </c>
      <c r="I715" s="253" t="s">
        <v>318</v>
      </c>
      <c r="J715" s="374">
        <v>439053135</v>
      </c>
      <c r="K715" s="932">
        <v>0</v>
      </c>
      <c r="L715" s="1009">
        <v>0</v>
      </c>
      <c r="M715" s="932">
        <v>0</v>
      </c>
      <c r="N715" s="934">
        <f t="shared" si="106"/>
        <v>0</v>
      </c>
      <c r="O715" s="934">
        <f t="shared" si="105"/>
        <v>0</v>
      </c>
      <c r="P715" s="955" t="e">
        <f t="shared" si="104"/>
        <v>#DIV/0!</v>
      </c>
      <c r="Q715" s="1022"/>
      <c r="R715" s="990"/>
    </row>
    <row r="716" spans="1:18" s="255" customFormat="1" ht="14.1" customHeight="1">
      <c r="A716" s="303"/>
      <c r="B716" s="290">
        <v>4</v>
      </c>
      <c r="C716" s="290">
        <v>1</v>
      </c>
      <c r="D716" s="290">
        <v>4</v>
      </c>
      <c r="E716" s="290" t="s">
        <v>948</v>
      </c>
      <c r="F716" s="290" t="s">
        <v>437</v>
      </c>
      <c r="G716" s="291" t="s">
        <v>1047</v>
      </c>
      <c r="H716" s="291"/>
      <c r="I716" s="291"/>
      <c r="J716" s="603">
        <v>0</v>
      </c>
      <c r="K716" s="604">
        <v>0</v>
      </c>
      <c r="L716" s="1009">
        <v>0</v>
      </c>
      <c r="M716" s="939"/>
      <c r="N716" s="939">
        <f>SUM(N717:N728)</f>
        <v>0</v>
      </c>
      <c r="O716" s="1011">
        <f t="shared" ref="O716:O727" si="107">N716-K716</f>
        <v>0</v>
      </c>
      <c r="P716" s="1012"/>
      <c r="Q716" s="1023"/>
      <c r="R716" s="996"/>
    </row>
    <row r="717" spans="1:18" s="254" customFormat="1" ht="14.1" customHeight="1">
      <c r="A717" s="303"/>
      <c r="B717" s="292"/>
      <c r="C717" s="292"/>
      <c r="D717" s="292"/>
      <c r="E717" s="292"/>
      <c r="F717" s="292"/>
      <c r="G717" s="842" t="s">
        <v>50</v>
      </c>
      <c r="H717" s="842"/>
      <c r="I717" s="253" t="s">
        <v>1048</v>
      </c>
      <c r="J717" s="374"/>
      <c r="K717" s="375"/>
      <c r="L717" s="1009">
        <v>0</v>
      </c>
      <c r="M717" s="932">
        <v>0</v>
      </c>
      <c r="N717" s="934">
        <f t="shared" ref="N717:N729" si="108">M717+L717</f>
        <v>0</v>
      </c>
      <c r="O717" s="934">
        <f t="shared" si="107"/>
        <v>0</v>
      </c>
      <c r="P717" s="978"/>
      <c r="Q717" s="1021"/>
      <c r="R717" s="990"/>
    </row>
    <row r="718" spans="1:18" s="254" customFormat="1" ht="14.1" customHeight="1">
      <c r="A718" s="303"/>
      <c r="B718" s="292"/>
      <c r="C718" s="292"/>
      <c r="D718" s="292"/>
      <c r="E718" s="292"/>
      <c r="F718" s="292"/>
      <c r="G718" s="842" t="s">
        <v>50</v>
      </c>
      <c r="H718" s="842"/>
      <c r="I718" s="253" t="s">
        <v>1049</v>
      </c>
      <c r="J718" s="374"/>
      <c r="K718" s="375"/>
      <c r="L718" s="1009">
        <v>0</v>
      </c>
      <c r="M718" s="932">
        <v>0</v>
      </c>
      <c r="N718" s="934">
        <f t="shared" si="108"/>
        <v>0</v>
      </c>
      <c r="O718" s="934">
        <f t="shared" si="107"/>
        <v>0</v>
      </c>
      <c r="P718" s="978"/>
      <c r="Q718" s="1021"/>
      <c r="R718" s="990"/>
    </row>
    <row r="719" spans="1:18" s="254" customFormat="1" ht="14.1" customHeight="1">
      <c r="A719" s="303"/>
      <c r="B719" s="292"/>
      <c r="C719" s="292"/>
      <c r="D719" s="292"/>
      <c r="E719" s="292"/>
      <c r="F719" s="292"/>
      <c r="G719" s="842" t="s">
        <v>50</v>
      </c>
      <c r="H719" s="842"/>
      <c r="I719" s="253" t="s">
        <v>1050</v>
      </c>
      <c r="J719" s="374"/>
      <c r="K719" s="375"/>
      <c r="L719" s="1009">
        <v>0</v>
      </c>
      <c r="M719" s="932">
        <v>0</v>
      </c>
      <c r="N719" s="934">
        <f t="shared" si="108"/>
        <v>0</v>
      </c>
      <c r="O719" s="934">
        <f t="shared" si="107"/>
        <v>0</v>
      </c>
      <c r="P719" s="978"/>
      <c r="Q719" s="548"/>
      <c r="R719" s="990"/>
    </row>
    <row r="720" spans="1:18" s="254" customFormat="1" ht="14.1" customHeight="1">
      <c r="A720" s="303"/>
      <c r="B720" s="292"/>
      <c r="C720" s="292"/>
      <c r="D720" s="292"/>
      <c r="E720" s="292"/>
      <c r="F720" s="292"/>
      <c r="G720" s="842" t="s">
        <v>50</v>
      </c>
      <c r="H720" s="842"/>
      <c r="I720" s="253" t="s">
        <v>310</v>
      </c>
      <c r="J720" s="374"/>
      <c r="K720" s="375"/>
      <c r="L720" s="1009">
        <v>0</v>
      </c>
      <c r="M720" s="932">
        <v>0</v>
      </c>
      <c r="N720" s="934">
        <f t="shared" si="108"/>
        <v>0</v>
      </c>
      <c r="O720" s="934">
        <f t="shared" si="107"/>
        <v>0</v>
      </c>
      <c r="P720" s="955"/>
      <c r="Q720" s="548"/>
      <c r="R720" s="990"/>
    </row>
    <row r="721" spans="1:18" s="254" customFormat="1" ht="14.1" customHeight="1">
      <c r="A721" s="303"/>
      <c r="B721" s="292"/>
      <c r="C721" s="292"/>
      <c r="D721" s="292"/>
      <c r="E721" s="292"/>
      <c r="F721" s="292"/>
      <c r="G721" s="842" t="s">
        <v>50</v>
      </c>
      <c r="H721" s="842"/>
      <c r="I721" s="253" t="s">
        <v>311</v>
      </c>
      <c r="J721" s="374"/>
      <c r="K721" s="375"/>
      <c r="L721" s="1009">
        <v>0</v>
      </c>
      <c r="M721" s="932">
        <v>0</v>
      </c>
      <c r="N721" s="934">
        <f t="shared" si="108"/>
        <v>0</v>
      </c>
      <c r="O721" s="934">
        <f t="shared" si="107"/>
        <v>0</v>
      </c>
      <c r="P721" s="955"/>
      <c r="Q721" s="548"/>
      <c r="R721" s="990"/>
    </row>
    <row r="722" spans="1:18" s="254" customFormat="1" ht="14.1" customHeight="1">
      <c r="A722" s="303"/>
      <c r="B722" s="292"/>
      <c r="C722" s="292"/>
      <c r="D722" s="292"/>
      <c r="E722" s="292"/>
      <c r="F722" s="292"/>
      <c r="G722" s="842" t="s">
        <v>50</v>
      </c>
      <c r="H722" s="842"/>
      <c r="I722" s="253" t="s">
        <v>312</v>
      </c>
      <c r="J722" s="374"/>
      <c r="K722" s="375"/>
      <c r="L722" s="1009">
        <v>0</v>
      </c>
      <c r="M722" s="932">
        <v>0</v>
      </c>
      <c r="N722" s="934">
        <f t="shared" si="108"/>
        <v>0</v>
      </c>
      <c r="O722" s="934">
        <f t="shared" si="107"/>
        <v>0</v>
      </c>
      <c r="P722" s="955"/>
      <c r="Q722" s="548"/>
      <c r="R722" s="990"/>
    </row>
    <row r="723" spans="1:18" s="254" customFormat="1" ht="14.1" customHeight="1">
      <c r="A723" s="303"/>
      <c r="B723" s="292"/>
      <c r="C723" s="292"/>
      <c r="D723" s="292"/>
      <c r="E723" s="292"/>
      <c r="F723" s="292"/>
      <c r="G723" s="842" t="s">
        <v>50</v>
      </c>
      <c r="H723" s="842"/>
      <c r="I723" s="253" t="s">
        <v>313</v>
      </c>
      <c r="J723" s="374"/>
      <c r="K723" s="375"/>
      <c r="L723" s="1009">
        <v>0</v>
      </c>
      <c r="M723" s="932">
        <v>0</v>
      </c>
      <c r="N723" s="934">
        <f t="shared" si="108"/>
        <v>0</v>
      </c>
      <c r="O723" s="934">
        <f t="shared" si="107"/>
        <v>0</v>
      </c>
      <c r="P723" s="955"/>
      <c r="Q723" s="548"/>
      <c r="R723" s="990"/>
    </row>
    <row r="724" spans="1:18" s="254" customFormat="1" ht="14.1" customHeight="1">
      <c r="A724" s="303"/>
      <c r="B724" s="292"/>
      <c r="C724" s="292"/>
      <c r="D724" s="292"/>
      <c r="E724" s="292"/>
      <c r="F724" s="292"/>
      <c r="G724" s="842" t="s">
        <v>50</v>
      </c>
      <c r="H724" s="842"/>
      <c r="I724" s="253" t="s">
        <v>314</v>
      </c>
      <c r="J724" s="374"/>
      <c r="K724" s="375"/>
      <c r="L724" s="1009">
        <v>0</v>
      </c>
      <c r="M724" s="932">
        <v>0</v>
      </c>
      <c r="N724" s="934">
        <f t="shared" si="108"/>
        <v>0</v>
      </c>
      <c r="O724" s="934">
        <f t="shared" si="107"/>
        <v>0</v>
      </c>
      <c r="P724" s="955"/>
      <c r="Q724" s="548"/>
      <c r="R724" s="990"/>
    </row>
    <row r="725" spans="1:18" s="254" customFormat="1" ht="14.1" customHeight="1">
      <c r="A725" s="303"/>
      <c r="B725" s="292"/>
      <c r="C725" s="292"/>
      <c r="D725" s="292"/>
      <c r="E725" s="292"/>
      <c r="F725" s="292"/>
      <c r="G725" s="842" t="s">
        <v>50</v>
      </c>
      <c r="H725" s="842"/>
      <c r="I725" s="253" t="s">
        <v>315</v>
      </c>
      <c r="J725" s="374"/>
      <c r="K725" s="375"/>
      <c r="L725" s="1009">
        <v>0</v>
      </c>
      <c r="M725" s="932">
        <v>0</v>
      </c>
      <c r="N725" s="934">
        <f t="shared" si="108"/>
        <v>0</v>
      </c>
      <c r="O725" s="934">
        <f t="shared" si="107"/>
        <v>0</v>
      </c>
      <c r="P725" s="955"/>
      <c r="Q725" s="548"/>
      <c r="R725" s="990"/>
    </row>
    <row r="726" spans="1:18" s="254" customFormat="1" ht="14.1" customHeight="1">
      <c r="A726" s="303"/>
      <c r="B726" s="292"/>
      <c r="C726" s="292"/>
      <c r="D726" s="292"/>
      <c r="E726" s="292"/>
      <c r="F726" s="292"/>
      <c r="G726" s="842" t="s">
        <v>50</v>
      </c>
      <c r="H726" s="842"/>
      <c r="I726" s="253" t="s">
        <v>316</v>
      </c>
      <c r="J726" s="374"/>
      <c r="K726" s="375"/>
      <c r="L726" s="1009">
        <v>0</v>
      </c>
      <c r="M726" s="932">
        <v>0</v>
      </c>
      <c r="N726" s="934">
        <f t="shared" si="108"/>
        <v>0</v>
      </c>
      <c r="O726" s="934">
        <f t="shared" si="107"/>
        <v>0</v>
      </c>
      <c r="P726" s="955"/>
      <c r="Q726" s="548"/>
      <c r="R726" s="990"/>
    </row>
    <row r="727" spans="1:18" s="254" customFormat="1" ht="14.1" customHeight="1">
      <c r="A727" s="303"/>
      <c r="B727" s="292"/>
      <c r="C727" s="292"/>
      <c r="D727" s="292"/>
      <c r="E727" s="292"/>
      <c r="F727" s="292"/>
      <c r="G727" s="842" t="s">
        <v>50</v>
      </c>
      <c r="H727" s="842"/>
      <c r="I727" s="253" t="s">
        <v>317</v>
      </c>
      <c r="J727" s="374"/>
      <c r="K727" s="375"/>
      <c r="L727" s="1009">
        <v>0</v>
      </c>
      <c r="M727" s="932">
        <v>0</v>
      </c>
      <c r="N727" s="930">
        <f t="shared" si="108"/>
        <v>0</v>
      </c>
      <c r="O727" s="934">
        <f t="shared" si="107"/>
        <v>0</v>
      </c>
      <c r="P727" s="955"/>
      <c r="Q727" s="548"/>
      <c r="R727" s="990"/>
    </row>
    <row r="728" spans="1:18" s="254" customFormat="1" ht="14.1" customHeight="1">
      <c r="A728" s="293"/>
      <c r="B728" s="292"/>
      <c r="C728" s="292"/>
      <c r="D728" s="292"/>
      <c r="E728" s="292"/>
      <c r="F728" s="292"/>
      <c r="G728" s="842" t="s">
        <v>50</v>
      </c>
      <c r="H728" s="253"/>
      <c r="I728" s="253" t="s">
        <v>318</v>
      </c>
      <c r="J728" s="374"/>
      <c r="K728" s="375"/>
      <c r="L728" s="1009">
        <v>0</v>
      </c>
      <c r="M728" s="932">
        <v>0</v>
      </c>
      <c r="N728" s="934">
        <f t="shared" si="108"/>
        <v>0</v>
      </c>
      <c r="O728" s="932"/>
      <c r="P728" s="978"/>
      <c r="Q728" s="448"/>
      <c r="R728" s="990"/>
    </row>
    <row r="729" spans="1:18" s="254" customFormat="1" ht="14.1" customHeight="1">
      <c r="A729" s="303"/>
      <c r="B729" s="292"/>
      <c r="C729" s="292"/>
      <c r="D729" s="292"/>
      <c r="E729" s="292"/>
      <c r="F729" s="292"/>
      <c r="G729" s="5870" t="s">
        <v>76</v>
      </c>
      <c r="H729" s="5842"/>
      <c r="I729" s="5842"/>
      <c r="J729" s="397">
        <v>0</v>
      </c>
      <c r="K729" s="398">
        <v>0</v>
      </c>
      <c r="L729" s="981">
        <f>SUM(L730:L730)</f>
        <v>0</v>
      </c>
      <c r="M729" s="929">
        <f>SUM(M730:M730)</f>
        <v>0</v>
      </c>
      <c r="N729" s="929">
        <f t="shared" si="108"/>
        <v>0</v>
      </c>
      <c r="O729" s="930">
        <f>N729-K729</f>
        <v>0</v>
      </c>
      <c r="P729" s="955">
        <v>0</v>
      </c>
      <c r="Q729" s="448"/>
      <c r="R729" s="990"/>
    </row>
    <row r="730" spans="1:18" s="254" customFormat="1" ht="14.1" customHeight="1">
      <c r="A730" s="805"/>
      <c r="B730" s="305"/>
      <c r="C730" s="305"/>
      <c r="D730" s="305"/>
      <c r="E730" s="305"/>
      <c r="F730" s="305"/>
      <c r="G730" s="1000"/>
      <c r="H730" s="1001" t="s">
        <v>50</v>
      </c>
      <c r="I730" s="306" t="s">
        <v>632</v>
      </c>
      <c r="J730" s="499">
        <v>0</v>
      </c>
      <c r="K730" s="379">
        <v>0</v>
      </c>
      <c r="L730" s="1013">
        <v>0</v>
      </c>
      <c r="M730" s="1014">
        <v>0</v>
      </c>
      <c r="N730" s="1015">
        <v>0</v>
      </c>
      <c r="O730" s="1015">
        <v>0</v>
      </c>
      <c r="P730" s="1016">
        <v>0</v>
      </c>
      <c r="Q730" s="549"/>
      <c r="R730" s="990"/>
    </row>
    <row r="731" spans="1:18" s="245" customFormat="1" ht="14.1" customHeight="1">
      <c r="A731" s="1002"/>
      <c r="B731" s="469"/>
      <c r="C731" s="469"/>
      <c r="D731" s="469"/>
      <c r="E731" s="469"/>
      <c r="F731" s="469"/>
      <c r="J731" s="400"/>
      <c r="K731" s="711"/>
      <c r="L731" s="711"/>
      <c r="M731" s="711"/>
      <c r="N731" s="711"/>
      <c r="O731" s="711"/>
      <c r="P731" s="712"/>
      <c r="Q731" s="733"/>
      <c r="R731" s="450"/>
    </row>
    <row r="732" spans="1:18" s="244" customFormat="1" ht="12.05" customHeight="1">
      <c r="A732" s="283" t="s">
        <v>305</v>
      </c>
      <c r="B732" s="284" t="s">
        <v>58</v>
      </c>
      <c r="C732" s="284" t="s">
        <v>852</v>
      </c>
      <c r="D732" s="284" t="s">
        <v>437</v>
      </c>
      <c r="E732" s="284"/>
      <c r="F732" s="284"/>
      <c r="G732" s="298" t="s">
        <v>405</v>
      </c>
      <c r="H732" s="298"/>
      <c r="I732" s="298"/>
      <c r="J732" s="336">
        <f>+J734</f>
        <v>300000000</v>
      </c>
      <c r="K732" s="337">
        <f>+K734</f>
        <v>8055834000</v>
      </c>
      <c r="L732" s="337">
        <f>+L734</f>
        <v>7335435196.1999998</v>
      </c>
      <c r="M732" s="337">
        <f>+M734</f>
        <v>551425000</v>
      </c>
      <c r="N732" s="337">
        <f>M732+L732</f>
        <v>7886860196.1999998</v>
      </c>
      <c r="O732" s="337">
        <f>+N732-K732</f>
        <v>-168973803.80000019</v>
      </c>
      <c r="P732" s="338">
        <f>+N732/K732*100</f>
        <v>97.902466662048894</v>
      </c>
      <c r="Q732" s="432"/>
      <c r="R732" s="433"/>
    </row>
    <row r="733" spans="1:18" s="189" customFormat="1" ht="12.05" customHeight="1">
      <c r="A733" s="471"/>
      <c r="B733" s="287"/>
      <c r="C733" s="287"/>
      <c r="D733" s="287"/>
      <c r="E733" s="287"/>
      <c r="F733" s="287"/>
      <c r="G733" s="288"/>
      <c r="H733" s="288"/>
      <c r="I733" s="288"/>
      <c r="J733" s="385"/>
      <c r="K733" s="386"/>
      <c r="L733" s="386"/>
      <c r="M733" s="386"/>
      <c r="N733" s="386"/>
      <c r="O733" s="386"/>
      <c r="P733" s="341"/>
      <c r="Q733" s="1024"/>
      <c r="R733" s="422"/>
    </row>
    <row r="734" spans="1:18" s="189" customFormat="1" ht="12.05" customHeight="1">
      <c r="A734" s="293"/>
      <c r="B734" s="290">
        <v>4</v>
      </c>
      <c r="C734" s="290">
        <v>1</v>
      </c>
      <c r="D734" s="290"/>
      <c r="E734" s="290"/>
      <c r="F734" s="290"/>
      <c r="G734" s="291" t="s">
        <v>180</v>
      </c>
      <c r="H734" s="291"/>
      <c r="I734" s="291"/>
      <c r="J734" s="342">
        <f>+J736+J742</f>
        <v>300000000</v>
      </c>
      <c r="K734" s="343">
        <f>+K736+K742</f>
        <v>8055834000</v>
      </c>
      <c r="L734" s="343">
        <f>+L736+L742</f>
        <v>7335435196.1999998</v>
      </c>
      <c r="M734" s="343">
        <f>+M736+M742</f>
        <v>551425000</v>
      </c>
      <c r="N734" s="343">
        <f>+M734+L734</f>
        <v>7886860196.1999998</v>
      </c>
      <c r="O734" s="343">
        <f t="shared" ref="O734:O740" si="109">N734-K734</f>
        <v>-168973803.80000019</v>
      </c>
      <c r="P734" s="344">
        <f t="shared" ref="P734:P740" si="110">N734/K734*100</f>
        <v>97.902466662048894</v>
      </c>
      <c r="Q734" s="1025"/>
      <c r="R734" s="422"/>
    </row>
    <row r="735" spans="1:18" s="189" customFormat="1" ht="12.05" customHeight="1">
      <c r="A735" s="293"/>
      <c r="B735" s="292"/>
      <c r="C735" s="292"/>
      <c r="D735" s="292"/>
      <c r="E735" s="292"/>
      <c r="F735" s="292"/>
      <c r="G735" s="253"/>
      <c r="H735" s="253"/>
      <c r="I735" s="291"/>
      <c r="J735" s="345"/>
      <c r="K735" s="346"/>
      <c r="L735" s="660"/>
      <c r="M735" s="346"/>
      <c r="N735" s="346"/>
      <c r="O735" s="346"/>
      <c r="P735" s="347"/>
      <c r="Q735" s="1025"/>
      <c r="R735" s="422"/>
    </row>
    <row r="736" spans="1:18" s="189" customFormat="1" ht="12.05" customHeight="1">
      <c r="A736" s="293"/>
      <c r="B736" s="290">
        <v>4</v>
      </c>
      <c r="C736" s="290">
        <v>1</v>
      </c>
      <c r="D736" s="290">
        <v>2</v>
      </c>
      <c r="E736" s="290"/>
      <c r="F736" s="290"/>
      <c r="G736" s="291" t="s">
        <v>106</v>
      </c>
      <c r="H736" s="291"/>
      <c r="I736" s="291"/>
      <c r="J736" s="348">
        <f>+J738</f>
        <v>300000000</v>
      </c>
      <c r="K736" s="349">
        <f>+K738</f>
        <v>250000000</v>
      </c>
      <c r="L736" s="589">
        <f>+L738</f>
        <v>458405000</v>
      </c>
      <c r="M736" s="349">
        <f>+M738</f>
        <v>345335000</v>
      </c>
      <c r="N736" s="349">
        <f>+M736+L736</f>
        <v>803740000</v>
      </c>
      <c r="O736" s="349">
        <f t="shared" si="109"/>
        <v>553740000</v>
      </c>
      <c r="P736" s="350">
        <f t="shared" si="110"/>
        <v>321.49599999999998</v>
      </c>
      <c r="Q736" s="1025"/>
      <c r="R736" s="422"/>
    </row>
    <row r="737" spans="1:19" s="189" customFormat="1" ht="12.05" customHeight="1">
      <c r="A737" s="293"/>
      <c r="B737" s="292"/>
      <c r="C737" s="292"/>
      <c r="D737" s="292"/>
      <c r="E737" s="292"/>
      <c r="F737" s="292"/>
      <c r="G737" s="253"/>
      <c r="H737" s="253"/>
      <c r="I737" s="253"/>
      <c r="J737" s="354"/>
      <c r="K737" s="355"/>
      <c r="L737" s="360"/>
      <c r="M737" s="355"/>
      <c r="N737" s="355"/>
      <c r="O737" s="355"/>
      <c r="P737" s="388"/>
      <c r="Q737" s="1025"/>
      <c r="R737" s="422"/>
    </row>
    <row r="738" spans="1:19" s="189" customFormat="1" ht="12.05" customHeight="1">
      <c r="A738" s="293"/>
      <c r="B738" s="292">
        <v>4</v>
      </c>
      <c r="C738" s="292">
        <v>1</v>
      </c>
      <c r="D738" s="292">
        <v>2</v>
      </c>
      <c r="E738" s="292" t="s">
        <v>438</v>
      </c>
      <c r="F738" s="292"/>
      <c r="G738" s="253" t="s">
        <v>374</v>
      </c>
      <c r="H738" s="253"/>
      <c r="I738" s="253"/>
      <c r="J738" s="484">
        <f>+J739+J740</f>
        <v>300000000</v>
      </c>
      <c r="K738" s="485">
        <f>+K739+K740</f>
        <v>250000000</v>
      </c>
      <c r="L738" s="486">
        <f>+L739+L740</f>
        <v>458405000</v>
      </c>
      <c r="M738" s="485">
        <f>+M739+M740</f>
        <v>345335000</v>
      </c>
      <c r="N738" s="412">
        <f>+M738+L738</f>
        <v>803740000</v>
      </c>
      <c r="O738" s="412">
        <f t="shared" si="109"/>
        <v>553740000</v>
      </c>
      <c r="P738" s="487">
        <f t="shared" si="110"/>
        <v>321.49599999999998</v>
      </c>
      <c r="Q738" s="1025"/>
      <c r="R738" s="422"/>
    </row>
    <row r="739" spans="1:19" s="189" customFormat="1" ht="12.05" customHeight="1">
      <c r="A739" s="293"/>
      <c r="B739" s="292">
        <v>4</v>
      </c>
      <c r="C739" s="292">
        <v>1</v>
      </c>
      <c r="D739" s="292">
        <v>2</v>
      </c>
      <c r="E739" s="292" t="s">
        <v>438</v>
      </c>
      <c r="F739" s="292" t="s">
        <v>440</v>
      </c>
      <c r="G739" s="253" t="s">
        <v>304</v>
      </c>
      <c r="H739" s="253"/>
      <c r="I739" s="253"/>
      <c r="J739" s="351">
        <v>300000000</v>
      </c>
      <c r="K739" s="1312">
        <f>'[55]TARGET MURNI DAN PERUBAHAN'!$E$419</f>
        <v>150000000</v>
      </c>
      <c r="L739" s="362">
        <f>[56]PerDinas!$N$739</f>
        <v>274975000</v>
      </c>
      <c r="M739" s="1017">
        <f>[55]Perdinas!$P$500</f>
        <v>259500000</v>
      </c>
      <c r="N739" s="361">
        <f>M739+L739</f>
        <v>534475000</v>
      </c>
      <c r="O739" s="334">
        <f t="shared" si="109"/>
        <v>384475000</v>
      </c>
      <c r="P739" s="335">
        <f t="shared" si="110"/>
        <v>356.31666666666666</v>
      </c>
      <c r="Q739" s="1025"/>
      <c r="R739" s="422"/>
    </row>
    <row r="740" spans="1:19" s="189" customFormat="1" ht="12.05" customHeight="1">
      <c r="A740" s="289"/>
      <c r="B740" s="292">
        <v>4</v>
      </c>
      <c r="C740" s="292">
        <v>1</v>
      </c>
      <c r="D740" s="292">
        <v>2</v>
      </c>
      <c r="E740" s="292" t="s">
        <v>438</v>
      </c>
      <c r="F740" s="292" t="s">
        <v>437</v>
      </c>
      <c r="G740" s="1003" t="s">
        <v>64</v>
      </c>
      <c r="H740" s="253"/>
      <c r="I740" s="253"/>
      <c r="J740" s="351">
        <v>0</v>
      </c>
      <c r="K740" s="1312">
        <f>'[55]TARGET MURNI DAN PERUBAHAN'!$E$420</f>
        <v>100000000</v>
      </c>
      <c r="L740" s="362">
        <f>[56]PerDinas!$N$740</f>
        <v>183430000</v>
      </c>
      <c r="M740" s="352">
        <f>[55]Perdinas!$P$501</f>
        <v>85835000</v>
      </c>
      <c r="N740" s="361">
        <f>M740+L740</f>
        <v>269265000</v>
      </c>
      <c r="O740" s="334">
        <f t="shared" si="109"/>
        <v>169265000</v>
      </c>
      <c r="P740" s="335">
        <f t="shared" si="110"/>
        <v>269.26499999999999</v>
      </c>
      <c r="Q740" s="1025"/>
      <c r="R740" s="422"/>
    </row>
    <row r="741" spans="1:19" s="189" customFormat="1" ht="12.05" customHeight="1">
      <c r="A741" s="293"/>
      <c r="B741" s="292"/>
      <c r="C741" s="292"/>
      <c r="D741" s="292"/>
      <c r="E741" s="292"/>
      <c r="F741" s="292"/>
      <c r="G741" s="253"/>
      <c r="H741" s="253"/>
      <c r="I741" s="253"/>
      <c r="J741" s="354"/>
      <c r="K741" s="355"/>
      <c r="L741" s="360"/>
      <c r="M741" s="355"/>
      <c r="N741" s="355"/>
      <c r="O741" s="355"/>
      <c r="P741" s="388"/>
      <c r="Q741" s="1025"/>
      <c r="R741" s="422"/>
    </row>
    <row r="742" spans="1:19" s="189" customFormat="1" ht="12.05" customHeight="1">
      <c r="A742" s="293"/>
      <c r="B742" s="290">
        <v>4</v>
      </c>
      <c r="C742" s="290">
        <v>1</v>
      </c>
      <c r="D742" s="290">
        <v>4</v>
      </c>
      <c r="E742" s="290"/>
      <c r="F742" s="290"/>
      <c r="G742" s="291" t="s">
        <v>71</v>
      </c>
      <c r="H742" s="291"/>
      <c r="I742" s="291"/>
      <c r="J742" s="392">
        <f>J743</f>
        <v>0</v>
      </c>
      <c r="K742" s="393">
        <f>K743+K748+K750+K744</f>
        <v>7805834000</v>
      </c>
      <c r="L742" s="393">
        <f>L743+L748+L750+L744</f>
        <v>6877030196.1999998</v>
      </c>
      <c r="M742" s="393">
        <f>M743+M748+M750+M744</f>
        <v>206090000</v>
      </c>
      <c r="N742" s="393">
        <f>M742+L742</f>
        <v>7083120196.1999998</v>
      </c>
      <c r="O742" s="349">
        <f>N742-K742</f>
        <v>-722713803.80000019</v>
      </c>
      <c r="P742" s="350">
        <f>N742/K742*100</f>
        <v>90.741363398196782</v>
      </c>
      <c r="Q742" s="1025"/>
      <c r="R742" s="422"/>
    </row>
    <row r="743" spans="1:19" s="189" customFormat="1" ht="12.05" customHeight="1">
      <c r="A743" s="289"/>
      <c r="B743" s="292">
        <v>4</v>
      </c>
      <c r="C743" s="292">
        <v>1</v>
      </c>
      <c r="D743" s="292">
        <v>4</v>
      </c>
      <c r="E743" s="292" t="s">
        <v>444</v>
      </c>
      <c r="F743" s="292"/>
      <c r="G743" s="253" t="s">
        <v>222</v>
      </c>
      <c r="H743" s="253"/>
      <c r="I743" s="253"/>
      <c r="J743" s="484">
        <f>+J746</f>
        <v>0</v>
      </c>
      <c r="K743" s="485">
        <f>+K746</f>
        <v>0</v>
      </c>
      <c r="L743" s="485">
        <f>+L746</f>
        <v>6724929</v>
      </c>
      <c r="M743" s="485">
        <f>SUM(M744:M746)</f>
        <v>0</v>
      </c>
      <c r="N743" s="485">
        <f>SUM(N744:N746)</f>
        <v>8560614</v>
      </c>
      <c r="O743" s="412">
        <f>N743-K743</f>
        <v>8560614</v>
      </c>
      <c r="P743" s="478">
        <v>0</v>
      </c>
      <c r="Q743" s="1025"/>
      <c r="R743" s="555"/>
    </row>
    <row r="744" spans="1:19" s="189" customFormat="1" ht="12.05" customHeight="1">
      <c r="A744" s="289"/>
      <c r="B744" s="292">
        <v>4</v>
      </c>
      <c r="C744" s="292">
        <v>1</v>
      </c>
      <c r="D744" s="292">
        <v>4</v>
      </c>
      <c r="E744" s="292" t="s">
        <v>441</v>
      </c>
      <c r="F744" s="292" t="s">
        <v>437</v>
      </c>
      <c r="G744" s="253" t="s">
        <v>710</v>
      </c>
      <c r="H744" s="253"/>
      <c r="I744" s="253"/>
      <c r="J744" s="354"/>
      <c r="K744" s="355">
        <v>0</v>
      </c>
      <c r="L744" s="360">
        <f>[56]PerDinas!$N$744</f>
        <v>1835685</v>
      </c>
      <c r="M744" s="355">
        <f>[55]Perdinas!$P$505</f>
        <v>0</v>
      </c>
      <c r="N744" s="369">
        <f>M744+L744</f>
        <v>1835685</v>
      </c>
      <c r="O744" s="355">
        <f>N744-K744</f>
        <v>1835685</v>
      </c>
      <c r="P744" s="388"/>
      <c r="Q744" s="1025"/>
      <c r="R744" s="422"/>
    </row>
    <row r="745" spans="1:19" s="189" customFormat="1" ht="12.05" customHeight="1">
      <c r="A745" s="289"/>
      <c r="B745" s="292">
        <v>4</v>
      </c>
      <c r="C745" s="292">
        <v>1</v>
      </c>
      <c r="D745" s="292">
        <v>4</v>
      </c>
      <c r="E745" s="292" t="s">
        <v>444</v>
      </c>
      <c r="F745" s="292" t="s">
        <v>445</v>
      </c>
      <c r="G745" s="253" t="s">
        <v>74</v>
      </c>
      <c r="H745" s="253"/>
      <c r="I745" s="253"/>
      <c r="J745" s="354">
        <v>0</v>
      </c>
      <c r="K745" s="355">
        <v>0</v>
      </c>
      <c r="L745" s="360">
        <v>0</v>
      </c>
      <c r="M745" s="355">
        <f>[55]Perdinas!$P$506</f>
        <v>0</v>
      </c>
      <c r="N745" s="355">
        <f>M745+L745</f>
        <v>0</v>
      </c>
      <c r="O745" s="355">
        <f>N745-K745</f>
        <v>0</v>
      </c>
      <c r="P745" s="388"/>
      <c r="Q745" s="1025"/>
      <c r="R745" s="422"/>
    </row>
    <row r="746" spans="1:19" s="189" customFormat="1" ht="12.05" customHeight="1">
      <c r="A746" s="289"/>
      <c r="B746" s="292">
        <v>4</v>
      </c>
      <c r="C746" s="292">
        <v>1</v>
      </c>
      <c r="D746" s="292">
        <v>4</v>
      </c>
      <c r="E746" s="292" t="s">
        <v>444</v>
      </c>
      <c r="F746" s="292" t="s">
        <v>441</v>
      </c>
      <c r="G746" s="253" t="s">
        <v>75</v>
      </c>
      <c r="H746" s="253"/>
      <c r="I746" s="253"/>
      <c r="J746" s="354">
        <v>0</v>
      </c>
      <c r="K746" s="373">
        <f>'[55]TARGET MURNI DAN PERUBAHAN'!$E$425</f>
        <v>0</v>
      </c>
      <c r="L746" s="360">
        <f>[56]PerDinas!$N$746</f>
        <v>6724929</v>
      </c>
      <c r="M746" s="373">
        <f>[55]Perdinas!$P$507</f>
        <v>0</v>
      </c>
      <c r="N746" s="369">
        <f>M746+L746</f>
        <v>6724929</v>
      </c>
      <c r="O746" s="355">
        <f>N746-K746</f>
        <v>6724929</v>
      </c>
      <c r="P746" s="388"/>
      <c r="Q746" s="1025"/>
      <c r="R746" s="422"/>
    </row>
    <row r="747" spans="1:19" s="189" customFormat="1" ht="12.05" customHeight="1">
      <c r="A747" s="289"/>
      <c r="B747" s="292"/>
      <c r="C747" s="292"/>
      <c r="D747" s="292"/>
      <c r="E747" s="292"/>
      <c r="F747" s="292"/>
      <c r="G747" s="253"/>
      <c r="H747" s="253"/>
      <c r="I747" s="253"/>
      <c r="J747" s="354"/>
      <c r="K747" s="355"/>
      <c r="L747" s="360"/>
      <c r="M747" s="355"/>
      <c r="N747" s="355"/>
      <c r="O747" s="355"/>
      <c r="P747" s="388"/>
      <c r="Q747" s="1025"/>
      <c r="R747" s="422"/>
    </row>
    <row r="748" spans="1:19" s="189" customFormat="1" ht="12.05" customHeight="1">
      <c r="A748" s="293"/>
      <c r="B748" s="292">
        <v>4</v>
      </c>
      <c r="C748" s="292">
        <v>1</v>
      </c>
      <c r="D748" s="292">
        <v>4</v>
      </c>
      <c r="E748" s="292" t="s">
        <v>948</v>
      </c>
      <c r="F748" s="292"/>
      <c r="G748" s="410" t="s">
        <v>321</v>
      </c>
      <c r="H748" s="410"/>
      <c r="I748" s="410"/>
      <c r="J748" s="489">
        <f>+J749</f>
        <v>0</v>
      </c>
      <c r="K748" s="512">
        <f>K749</f>
        <v>0</v>
      </c>
      <c r="L748" s="512">
        <f>L749</f>
        <v>26080582.199999999</v>
      </c>
      <c r="M748" s="512">
        <f>+M749</f>
        <v>0</v>
      </c>
      <c r="N748" s="1018">
        <f>+M748+L748</f>
        <v>26080582.199999999</v>
      </c>
      <c r="O748" s="412">
        <f>N748-K748</f>
        <v>26080582.199999999</v>
      </c>
      <c r="P748" s="487">
        <v>0</v>
      </c>
      <c r="Q748" s="1025"/>
      <c r="R748" s="422"/>
    </row>
    <row r="749" spans="1:19" s="189" customFormat="1" ht="12.05" customHeight="1">
      <c r="A749" s="293"/>
      <c r="B749" s="292">
        <v>4</v>
      </c>
      <c r="C749" s="292">
        <v>1</v>
      </c>
      <c r="D749" s="292">
        <v>4</v>
      </c>
      <c r="E749" s="292" t="s">
        <v>948</v>
      </c>
      <c r="F749" s="292" t="s">
        <v>437</v>
      </c>
      <c r="G749" s="2760" t="s">
        <v>50</v>
      </c>
      <c r="H749" s="253" t="s">
        <v>631</v>
      </c>
      <c r="I749" s="253"/>
      <c r="J749" s="494">
        <f>+J750</f>
        <v>0</v>
      </c>
      <c r="K749" s="495">
        <v>0</v>
      </c>
      <c r="L749" s="689">
        <f>[56]PerDinas!$N$749</f>
        <v>26080582.199999999</v>
      </c>
      <c r="M749" s="496">
        <v>0</v>
      </c>
      <c r="N749" s="523">
        <f>M749+L749</f>
        <v>26080582.199999999</v>
      </c>
      <c r="O749" s="497">
        <f>N749-K749</f>
        <v>26080582.199999999</v>
      </c>
      <c r="P749" s="498">
        <v>0</v>
      </c>
      <c r="Q749" s="1025"/>
      <c r="R749" s="422"/>
    </row>
    <row r="750" spans="1:19" s="189" customFormat="1" ht="12.05" customHeight="1">
      <c r="A750" s="293"/>
      <c r="B750" s="292"/>
      <c r="C750" s="292"/>
      <c r="D750" s="292"/>
      <c r="E750" s="292"/>
      <c r="F750" s="292"/>
      <c r="G750" s="253" t="s">
        <v>50</v>
      </c>
      <c r="H750" s="253" t="s">
        <v>998</v>
      </c>
      <c r="I750" s="253"/>
      <c r="J750" s="374">
        <v>0</v>
      </c>
      <c r="K750" s="1231">
        <f>'[55]TARGET MURNI DAN PERUBAHAN'!$E$426</f>
        <v>7805834000</v>
      </c>
      <c r="L750" s="377">
        <f>[56]PerDinas!$N$750</f>
        <v>6842389000</v>
      </c>
      <c r="M750" s="1019">
        <f>[55]Perdinas!$P$509</f>
        <v>206090000</v>
      </c>
      <c r="N750" s="369">
        <f>M750+L750</f>
        <v>7048479000</v>
      </c>
      <c r="O750" s="355">
        <f>N750-K750</f>
        <v>-757355000</v>
      </c>
      <c r="P750" s="388">
        <v>0</v>
      </c>
      <c r="Q750" s="1025"/>
      <c r="R750" s="422"/>
    </row>
    <row r="751" spans="1:19" s="189" customFormat="1" ht="12.05" customHeight="1">
      <c r="A751" s="465"/>
      <c r="B751" s="296"/>
      <c r="C751" s="296"/>
      <c r="D751" s="296"/>
      <c r="E751" s="296"/>
      <c r="F751" s="296"/>
      <c r="G751" s="297"/>
      <c r="H751" s="297"/>
      <c r="I751" s="297"/>
      <c r="J751" s="679"/>
      <c r="K751" s="691"/>
      <c r="L751" s="691"/>
      <c r="M751" s="691"/>
      <c r="N751" s="352"/>
      <c r="O751" s="352"/>
      <c r="P751" s="353"/>
      <c r="Q751" s="1025"/>
      <c r="R751" s="422"/>
    </row>
    <row r="752" spans="1:19" s="244" customFormat="1" ht="12.05" customHeight="1">
      <c r="A752" s="1186" t="s">
        <v>325</v>
      </c>
      <c r="B752" s="1187" t="s">
        <v>460</v>
      </c>
      <c r="C752" s="1187" t="s">
        <v>437</v>
      </c>
      <c r="D752" s="1187" t="s">
        <v>445</v>
      </c>
      <c r="E752" s="1187"/>
      <c r="F752" s="1187"/>
      <c r="G752" s="1188" t="s">
        <v>850</v>
      </c>
      <c r="H752" s="1188"/>
      <c r="I752" s="1188"/>
      <c r="J752" s="1195">
        <f>+J754</f>
        <v>33900000</v>
      </c>
      <c r="K752" s="1196">
        <f>+K754</f>
        <v>0</v>
      </c>
      <c r="L752" s="1196">
        <f>+L754</f>
        <v>23670850</v>
      </c>
      <c r="M752" s="1196">
        <f>+M754</f>
        <v>0</v>
      </c>
      <c r="N752" s="1196">
        <f>M752+L752</f>
        <v>23670850</v>
      </c>
      <c r="O752" s="1196">
        <f>+N752-K752</f>
        <v>23670850</v>
      </c>
      <c r="P752" s="1197" t="e">
        <f>+N752/K752*100</f>
        <v>#DIV/0!</v>
      </c>
      <c r="Q752" s="1208"/>
      <c r="R752" s="639"/>
      <c r="S752" s="434"/>
    </row>
    <row r="753" spans="1:19" s="189" customFormat="1" ht="12.05" customHeight="1">
      <c r="A753" s="471"/>
      <c r="B753" s="287"/>
      <c r="C753" s="287"/>
      <c r="D753" s="287"/>
      <c r="E753" s="287"/>
      <c r="F753" s="287"/>
      <c r="G753" s="288"/>
      <c r="H753" s="288"/>
      <c r="I753" s="288"/>
      <c r="J753" s="385"/>
      <c r="K753" s="386"/>
      <c r="L753" s="386"/>
      <c r="M753" s="386"/>
      <c r="N753" s="386"/>
      <c r="O753" s="386"/>
      <c r="P753" s="341"/>
      <c r="Q753" s="841"/>
      <c r="R753" s="422"/>
      <c r="S753" s="786"/>
    </row>
    <row r="754" spans="1:19" s="189" customFormat="1" ht="12.05" customHeight="1">
      <c r="A754" s="293"/>
      <c r="B754" s="290">
        <v>4</v>
      </c>
      <c r="C754" s="290">
        <v>1</v>
      </c>
      <c r="D754" s="290"/>
      <c r="E754" s="290"/>
      <c r="F754" s="290"/>
      <c r="G754" s="291" t="s">
        <v>180</v>
      </c>
      <c r="H754" s="291"/>
      <c r="I754" s="291"/>
      <c r="J754" s="342">
        <f>+J757</f>
        <v>33900000</v>
      </c>
      <c r="K754" s="343">
        <f>+K757</f>
        <v>0</v>
      </c>
      <c r="L754" s="343">
        <f>+L757</f>
        <v>23670850</v>
      </c>
      <c r="M754" s="343">
        <f>+M757</f>
        <v>0</v>
      </c>
      <c r="N754" s="343">
        <f>+M754+L754</f>
        <v>23670850</v>
      </c>
      <c r="O754" s="343">
        <f t="shared" ref="O754:O761" si="111">N754-K754</f>
        <v>23670850</v>
      </c>
      <c r="P754" s="344" t="e">
        <f>N754/K754*100</f>
        <v>#DIV/0!</v>
      </c>
      <c r="Q754" s="437"/>
      <c r="R754" s="422"/>
      <c r="S754" s="786"/>
    </row>
    <row r="755" spans="1:19" s="189" customFormat="1" ht="12.05" customHeight="1">
      <c r="A755" s="293"/>
      <c r="B755" s="292"/>
      <c r="C755" s="292"/>
      <c r="D755" s="292"/>
      <c r="E755" s="292"/>
      <c r="F755" s="292"/>
      <c r="G755" s="253"/>
      <c r="H755" s="253"/>
      <c r="I755" s="291"/>
      <c r="J755" s="387"/>
      <c r="K755" s="367"/>
      <c r="L755" s="367"/>
      <c r="M755" s="367"/>
      <c r="N755" s="367"/>
      <c r="O755" s="367"/>
      <c r="P755" s="347"/>
      <c r="Q755" s="454"/>
      <c r="R755" s="422"/>
      <c r="S755" s="786"/>
    </row>
    <row r="756" spans="1:19" s="189" customFormat="1" ht="12.05" customHeight="1">
      <c r="A756" s="293"/>
      <c r="B756" s="292"/>
      <c r="C756" s="292"/>
      <c r="D756" s="292"/>
      <c r="E756" s="292"/>
      <c r="F756" s="292"/>
      <c r="G756" s="253"/>
      <c r="H756" s="253"/>
      <c r="I756" s="253"/>
      <c r="J756" s="354"/>
      <c r="K756" s="355"/>
      <c r="L756" s="355"/>
      <c r="M756" s="355"/>
      <c r="N756" s="355"/>
      <c r="O756" s="355"/>
      <c r="P756" s="388"/>
      <c r="Q756" s="441"/>
      <c r="R756" s="422"/>
    </row>
    <row r="757" spans="1:19" s="189" customFormat="1" ht="12.05" customHeight="1">
      <c r="A757" s="465"/>
      <c r="B757" s="466">
        <v>4</v>
      </c>
      <c r="C757" s="466">
        <v>1</v>
      </c>
      <c r="D757" s="466">
        <v>4</v>
      </c>
      <c r="E757" s="466"/>
      <c r="F757" s="466"/>
      <c r="G757" s="467" t="s">
        <v>71</v>
      </c>
      <c r="H757" s="467"/>
      <c r="I757" s="467"/>
      <c r="J757" s="329">
        <f>+J758+J763</f>
        <v>33900000</v>
      </c>
      <c r="K757" s="330">
        <f>+K758+K763</f>
        <v>0</v>
      </c>
      <c r="L757" s="330">
        <f>L758+L763</f>
        <v>23670850</v>
      </c>
      <c r="M757" s="330">
        <f>M758+M763</f>
        <v>0</v>
      </c>
      <c r="N757" s="330">
        <f>N758+N763</f>
        <v>23670850</v>
      </c>
      <c r="O757" s="343">
        <f t="shared" si="111"/>
        <v>23670850</v>
      </c>
      <c r="P757" s="344" t="e">
        <f>N757/K757*100</f>
        <v>#DIV/0!</v>
      </c>
      <c r="Q757" s="445"/>
      <c r="R757" s="422"/>
    </row>
    <row r="758" spans="1:19" s="189" customFormat="1" ht="12.05" customHeight="1">
      <c r="A758" s="564"/>
      <c r="B758" s="565">
        <v>4</v>
      </c>
      <c r="C758" s="565">
        <v>1</v>
      </c>
      <c r="D758" s="565">
        <v>4</v>
      </c>
      <c r="E758" s="565" t="s">
        <v>444</v>
      </c>
      <c r="F758" s="565"/>
      <c r="G758" s="566" t="s">
        <v>222</v>
      </c>
      <c r="H758" s="566"/>
      <c r="I758" s="566"/>
      <c r="J758" s="484">
        <f>+J761</f>
        <v>0</v>
      </c>
      <c r="K758" s="485">
        <f>+K761</f>
        <v>0</v>
      </c>
      <c r="L758" s="485">
        <f>SUM(L759:L761)</f>
        <v>23670850</v>
      </c>
      <c r="M758" s="485">
        <f>SUM(M759:M761)</f>
        <v>0</v>
      </c>
      <c r="N758" s="485">
        <f>SUM(N759:N761)</f>
        <v>23670850</v>
      </c>
      <c r="O758" s="412">
        <f t="shared" si="111"/>
        <v>23670850</v>
      </c>
      <c r="P758" s="487">
        <v>0</v>
      </c>
      <c r="Q758" s="541"/>
      <c r="R758" s="422"/>
    </row>
    <row r="759" spans="1:19" s="189" customFormat="1" ht="12.05" customHeight="1">
      <c r="A759" s="286"/>
      <c r="B759" s="287">
        <v>4</v>
      </c>
      <c r="C759" s="287">
        <v>1</v>
      </c>
      <c r="D759" s="287">
        <v>4</v>
      </c>
      <c r="E759" s="287" t="s">
        <v>444</v>
      </c>
      <c r="F759" s="287" t="s">
        <v>440</v>
      </c>
      <c r="G759" s="410" t="s">
        <v>73</v>
      </c>
      <c r="H759" s="410"/>
      <c r="I759" s="410"/>
      <c r="J759" s="389">
        <v>0</v>
      </c>
      <c r="K759" s="357">
        <v>0</v>
      </c>
      <c r="L759" s="357">
        <v>0</v>
      </c>
      <c r="M759" s="357">
        <f>[55]Perdinas!$P$514</f>
        <v>0</v>
      </c>
      <c r="N759" s="357">
        <f>M759+L759</f>
        <v>0</v>
      </c>
      <c r="O759" s="357">
        <f t="shared" si="111"/>
        <v>0</v>
      </c>
      <c r="P759" s="358"/>
      <c r="Q759" s="442"/>
      <c r="R759" s="422"/>
    </row>
    <row r="760" spans="1:19" s="189" customFormat="1" ht="12.05" customHeight="1">
      <c r="A760" s="289"/>
      <c r="B760" s="292">
        <v>4</v>
      </c>
      <c r="C760" s="292">
        <v>1</v>
      </c>
      <c r="D760" s="292">
        <v>4</v>
      </c>
      <c r="E760" s="292" t="s">
        <v>444</v>
      </c>
      <c r="F760" s="292" t="s">
        <v>445</v>
      </c>
      <c r="G760" s="253" t="s">
        <v>74</v>
      </c>
      <c r="H760" s="253"/>
      <c r="I760" s="253"/>
      <c r="J760" s="354">
        <v>0</v>
      </c>
      <c r="K760" s="355">
        <v>0</v>
      </c>
      <c r="L760" s="355">
        <v>0</v>
      </c>
      <c r="M760" s="355">
        <f>[55]Perdinas!$P$515</f>
        <v>0</v>
      </c>
      <c r="N760" s="355">
        <f>M760+L760</f>
        <v>0</v>
      </c>
      <c r="O760" s="355">
        <f t="shared" si="111"/>
        <v>0</v>
      </c>
      <c r="P760" s="388"/>
      <c r="Q760" s="441"/>
      <c r="R760" s="422"/>
    </row>
    <row r="761" spans="1:19" s="189" customFormat="1" ht="12.05" customHeight="1">
      <c r="A761" s="289"/>
      <c r="B761" s="292">
        <v>4</v>
      </c>
      <c r="C761" s="292">
        <v>1</v>
      </c>
      <c r="D761" s="292">
        <v>4</v>
      </c>
      <c r="E761" s="292" t="s">
        <v>444</v>
      </c>
      <c r="F761" s="292" t="s">
        <v>441</v>
      </c>
      <c r="G761" s="253" t="s">
        <v>75</v>
      </c>
      <c r="H761" s="253"/>
      <c r="I761" s="253"/>
      <c r="J761" s="354">
        <v>0</v>
      </c>
      <c r="K761" s="355">
        <f>'[55]TARGET MURNI DAN PERUBAHAN'!$E$432</f>
        <v>0</v>
      </c>
      <c r="L761" s="355">
        <f>[56]PerDinas!$N$761</f>
        <v>23670850</v>
      </c>
      <c r="M761" s="355">
        <f>[55]Perdinas!$P$516</f>
        <v>0</v>
      </c>
      <c r="N761" s="369">
        <f>M761+L761</f>
        <v>23670850</v>
      </c>
      <c r="O761" s="355">
        <f t="shared" si="111"/>
        <v>23670850</v>
      </c>
      <c r="P761" s="388"/>
      <c r="Q761" s="441"/>
      <c r="R761" s="422"/>
    </row>
    <row r="762" spans="1:19" s="189" customFormat="1" ht="12.05" customHeight="1">
      <c r="A762" s="289"/>
      <c r="B762" s="292"/>
      <c r="C762" s="292"/>
      <c r="D762" s="292"/>
      <c r="E762" s="292"/>
      <c r="F762" s="292"/>
      <c r="G762" s="253"/>
      <c r="H762" s="253"/>
      <c r="I762" s="253"/>
      <c r="J762" s="354"/>
      <c r="K762" s="355"/>
      <c r="L762" s="355"/>
      <c r="M762" s="355"/>
      <c r="N762" s="355"/>
      <c r="O762" s="355"/>
      <c r="P762" s="388"/>
      <c r="Q762" s="441"/>
      <c r="R762" s="422"/>
    </row>
    <row r="763" spans="1:19" s="189" customFormat="1" ht="12.05" customHeight="1">
      <c r="A763" s="293"/>
      <c r="B763" s="292">
        <v>4</v>
      </c>
      <c r="C763" s="292">
        <v>1</v>
      </c>
      <c r="D763" s="292">
        <v>4</v>
      </c>
      <c r="E763" s="292" t="s">
        <v>948</v>
      </c>
      <c r="F763" s="292"/>
      <c r="G763" s="410" t="s">
        <v>321</v>
      </c>
      <c r="H763" s="410"/>
      <c r="I763" s="410"/>
      <c r="J763" s="494">
        <f>+J764</f>
        <v>33900000</v>
      </c>
      <c r="K763" s="495">
        <f>+K764</f>
        <v>0</v>
      </c>
      <c r="L763" s="495">
        <f>+L764</f>
        <v>0</v>
      </c>
      <c r="M763" s="495">
        <f>+M764</f>
        <v>0</v>
      </c>
      <c r="N763" s="396">
        <f>+M763+L763</f>
        <v>0</v>
      </c>
      <c r="O763" s="396">
        <f>N763-K763</f>
        <v>0</v>
      </c>
      <c r="P763" s="344" t="e">
        <f>N763/K763*100</f>
        <v>#DIV/0!</v>
      </c>
      <c r="Q763" s="548"/>
      <c r="R763" s="422"/>
    </row>
    <row r="764" spans="1:19" s="189" customFormat="1" ht="12.05" customHeight="1">
      <c r="A764" s="293"/>
      <c r="B764" s="292">
        <v>4</v>
      </c>
      <c r="C764" s="292">
        <v>1</v>
      </c>
      <c r="D764" s="292">
        <v>4</v>
      </c>
      <c r="E764" s="292" t="s">
        <v>948</v>
      </c>
      <c r="F764" s="292" t="s">
        <v>437</v>
      </c>
      <c r="G764" s="253" t="s">
        <v>85</v>
      </c>
      <c r="H764" s="253"/>
      <c r="I764" s="253"/>
      <c r="J764" s="680">
        <f>J765+J766</f>
        <v>33900000</v>
      </c>
      <c r="K764" s="681">
        <f>K765+K766</f>
        <v>0</v>
      </c>
      <c r="L764" s="682">
        <f>L765+L766</f>
        <v>0</v>
      </c>
      <c r="M764" s="681">
        <f>M765+M766</f>
        <v>0</v>
      </c>
      <c r="N764" s="681">
        <f>M764+L764</f>
        <v>0</v>
      </c>
      <c r="O764" s="527">
        <f>N764-K764</f>
        <v>0</v>
      </c>
      <c r="P764" s="405" t="e">
        <f>N764/K764*100</f>
        <v>#DIV/0!</v>
      </c>
      <c r="Q764" s="698"/>
      <c r="R764" s="422"/>
    </row>
    <row r="765" spans="1:19" s="189" customFormat="1" ht="12.05" customHeight="1">
      <c r="A765" s="293"/>
      <c r="B765" s="292"/>
      <c r="C765" s="292"/>
      <c r="D765" s="292"/>
      <c r="E765" s="292"/>
      <c r="F765" s="292"/>
      <c r="G765" s="253" t="s">
        <v>50</v>
      </c>
      <c r="H765" s="253"/>
      <c r="I765" s="253" t="s">
        <v>999</v>
      </c>
      <c r="J765" s="708">
        <v>14000000</v>
      </c>
      <c r="K765" s="722">
        <f>'[55]TARGET MURNI DAN PERUBAHAN'!$E$433</f>
        <v>0</v>
      </c>
      <c r="L765" s="710">
        <v>0</v>
      </c>
      <c r="M765" s="722">
        <v>0</v>
      </c>
      <c r="N765" s="357">
        <f>M765+L765</f>
        <v>0</v>
      </c>
      <c r="O765" s="357">
        <f>N765-K765</f>
        <v>0</v>
      </c>
      <c r="P765" s="344" t="e">
        <f>N765/K765*100</f>
        <v>#DIV/0!</v>
      </c>
      <c r="Q765" s="732"/>
      <c r="R765" s="422"/>
    </row>
    <row r="766" spans="1:19" s="189" customFormat="1" ht="12.05" customHeight="1">
      <c r="A766" s="293"/>
      <c r="B766" s="292"/>
      <c r="C766" s="292"/>
      <c r="D766" s="292"/>
      <c r="E766" s="292"/>
      <c r="F766" s="292"/>
      <c r="G766" s="253" t="s">
        <v>50</v>
      </c>
      <c r="H766" s="253"/>
      <c r="I766" s="253" t="s">
        <v>85</v>
      </c>
      <c r="J766" s="494">
        <v>19900000</v>
      </c>
      <c r="K766" s="495">
        <f>'[55]TARGET MURNI DAN PERUBAHAN'!$E$434</f>
        <v>0</v>
      </c>
      <c r="L766" s="710">
        <v>0</v>
      </c>
      <c r="M766" s="495">
        <v>0</v>
      </c>
      <c r="N766" s="415">
        <f>M766+L766</f>
        <v>0</v>
      </c>
      <c r="O766" s="357">
        <f>N766-K766</f>
        <v>0</v>
      </c>
      <c r="P766" s="344" t="e">
        <f>N766/K766*100</f>
        <v>#DIV/0!</v>
      </c>
      <c r="Q766" s="732"/>
      <c r="R766" s="554"/>
    </row>
    <row r="767" spans="1:19" s="189" customFormat="1" ht="12.05" customHeight="1">
      <c r="A767" s="465"/>
      <c r="B767" s="296"/>
      <c r="C767" s="296"/>
      <c r="D767" s="296"/>
      <c r="E767" s="296"/>
      <c r="F767" s="296"/>
      <c r="G767" s="297"/>
      <c r="H767" s="297"/>
      <c r="I767" s="297"/>
      <c r="J767" s="351"/>
      <c r="K767" s="352"/>
      <c r="L767" s="352"/>
      <c r="M767" s="352"/>
      <c r="N767" s="352"/>
      <c r="O767" s="352"/>
      <c r="P767" s="353"/>
      <c r="Q767" s="440"/>
      <c r="R767" s="422"/>
    </row>
    <row r="768" spans="1:19" s="244" customFormat="1" ht="12.05" customHeight="1">
      <c r="A768" s="1186" t="s">
        <v>333</v>
      </c>
      <c r="B768" s="1187" t="s">
        <v>58</v>
      </c>
      <c r="C768" s="1187" t="s">
        <v>437</v>
      </c>
      <c r="D768" s="1187" t="s">
        <v>438</v>
      </c>
      <c r="E768" s="1187"/>
      <c r="F768" s="1187"/>
      <c r="G768" s="1188" t="s">
        <v>853</v>
      </c>
      <c r="H768" s="1188"/>
      <c r="I768" s="1188"/>
      <c r="J768" s="1195">
        <f>+J770</f>
        <v>100000000</v>
      </c>
      <c r="K768" s="1196">
        <f>+K770</f>
        <v>0</v>
      </c>
      <c r="L768" s="1196">
        <f>+L770</f>
        <v>8336500</v>
      </c>
      <c r="M768" s="1196">
        <f>+M770</f>
        <v>3063000</v>
      </c>
      <c r="N768" s="1196">
        <f>M768+L768</f>
        <v>11399500</v>
      </c>
      <c r="O768" s="1196">
        <f>+N768-K768</f>
        <v>11399500</v>
      </c>
      <c r="P768" s="1197" t="e">
        <f>+N768/K768*100</f>
        <v>#DIV/0!</v>
      </c>
      <c r="Q768" s="1208"/>
      <c r="R768" s="639"/>
    </row>
    <row r="769" spans="1:18" s="189" customFormat="1" ht="12.05" customHeight="1">
      <c r="A769" s="286"/>
      <c r="B769" s="287"/>
      <c r="C769" s="287"/>
      <c r="D769" s="287"/>
      <c r="E769" s="287"/>
      <c r="F769" s="287"/>
      <c r="G769" s="288"/>
      <c r="H769" s="288"/>
      <c r="I769" s="288"/>
      <c r="J769" s="339"/>
      <c r="K769" s="340"/>
      <c r="L769" s="340"/>
      <c r="M769" s="340"/>
      <c r="N769" s="340"/>
      <c r="O769" s="340"/>
      <c r="P769" s="341"/>
      <c r="Q769" s="435"/>
      <c r="R769" s="422"/>
    </row>
    <row r="770" spans="1:18" s="189" customFormat="1" ht="12.05" customHeight="1">
      <c r="A770" s="289"/>
      <c r="B770" s="290">
        <v>4</v>
      </c>
      <c r="C770" s="290">
        <v>1</v>
      </c>
      <c r="D770" s="290"/>
      <c r="E770" s="290"/>
      <c r="F770" s="290"/>
      <c r="G770" s="291" t="s">
        <v>180</v>
      </c>
      <c r="H770" s="291"/>
      <c r="I770" s="291"/>
      <c r="J770" s="342">
        <f>+J773</f>
        <v>100000000</v>
      </c>
      <c r="K770" s="343">
        <f>+K773</f>
        <v>0</v>
      </c>
      <c r="L770" s="343">
        <f>+L773</f>
        <v>8336500</v>
      </c>
      <c r="M770" s="343">
        <f>+M773</f>
        <v>3063000</v>
      </c>
      <c r="N770" s="343">
        <f>+M770+L770</f>
        <v>11399500</v>
      </c>
      <c r="O770" s="343">
        <f t="shared" ref="O770:O777" si="112">N770-K770</f>
        <v>11399500</v>
      </c>
      <c r="P770" s="344" t="e">
        <f>N770/K770*100</f>
        <v>#DIV/0!</v>
      </c>
      <c r="Q770" s="437"/>
      <c r="R770" s="422"/>
    </row>
    <row r="771" spans="1:18" s="189" customFormat="1" ht="12.05" customHeight="1">
      <c r="A771" s="289"/>
      <c r="B771" s="292"/>
      <c r="C771" s="292"/>
      <c r="D771" s="292"/>
      <c r="E771" s="292"/>
      <c r="F771" s="292"/>
      <c r="G771" s="253"/>
      <c r="H771" s="253"/>
      <c r="I771" s="291"/>
      <c r="J771" s="345"/>
      <c r="K771" s="346"/>
      <c r="L771" s="346"/>
      <c r="M771" s="346"/>
      <c r="N771" s="346"/>
      <c r="O771" s="346"/>
      <c r="P771" s="347"/>
      <c r="Q771" s="438"/>
      <c r="R771" s="422"/>
    </row>
    <row r="772" spans="1:18" s="189" customFormat="1" ht="12.05" customHeight="1">
      <c r="A772" s="289"/>
      <c r="B772" s="292"/>
      <c r="C772" s="292"/>
      <c r="D772" s="292"/>
      <c r="E772" s="292"/>
      <c r="F772" s="292"/>
      <c r="G772" s="253"/>
      <c r="H772" s="253"/>
      <c r="I772" s="253"/>
      <c r="J772" s="354"/>
      <c r="K772" s="355"/>
      <c r="L772" s="355"/>
      <c r="M772" s="355"/>
      <c r="N772" s="355"/>
      <c r="O772" s="355"/>
      <c r="P772" s="388"/>
      <c r="Q772" s="441"/>
      <c r="R772" s="422"/>
    </row>
    <row r="773" spans="1:18" s="189" customFormat="1" ht="12.05" customHeight="1">
      <c r="A773" s="289"/>
      <c r="B773" s="290">
        <v>4</v>
      </c>
      <c r="C773" s="290">
        <v>1</v>
      </c>
      <c r="D773" s="290">
        <v>4</v>
      </c>
      <c r="E773" s="290"/>
      <c r="F773" s="290"/>
      <c r="G773" s="291" t="s">
        <v>71</v>
      </c>
      <c r="H773" s="291"/>
      <c r="I773" s="291"/>
      <c r="J773" s="363">
        <f>J774+J779</f>
        <v>100000000</v>
      </c>
      <c r="K773" s="364">
        <f>K774+K779</f>
        <v>0</v>
      </c>
      <c r="L773" s="393">
        <f>L774+L779</f>
        <v>8336500</v>
      </c>
      <c r="M773" s="393">
        <f>M774+M779</f>
        <v>3063000</v>
      </c>
      <c r="N773" s="393">
        <f>N774+N779</f>
        <v>11399500</v>
      </c>
      <c r="O773" s="349">
        <f t="shared" si="112"/>
        <v>11399500</v>
      </c>
      <c r="P773" s="350" t="e">
        <f>N773/K773*100</f>
        <v>#DIV/0!</v>
      </c>
      <c r="Q773" s="444"/>
      <c r="R773" s="422"/>
    </row>
    <row r="774" spans="1:18" s="189" customFormat="1" ht="12.05" customHeight="1">
      <c r="A774" s="289"/>
      <c r="B774" s="292">
        <v>4</v>
      </c>
      <c r="C774" s="292">
        <v>1</v>
      </c>
      <c r="D774" s="292">
        <v>4</v>
      </c>
      <c r="E774" s="292" t="s">
        <v>444</v>
      </c>
      <c r="F774" s="292"/>
      <c r="G774" s="253" t="s">
        <v>222</v>
      </c>
      <c r="H774" s="253"/>
      <c r="I774" s="253"/>
      <c r="J774" s="484">
        <f>+J777</f>
        <v>0</v>
      </c>
      <c r="K774" s="485">
        <f>+K777</f>
        <v>0</v>
      </c>
      <c r="L774" s="527">
        <f>SUM(L775:L777)</f>
        <v>8336500</v>
      </c>
      <c r="M774" s="527">
        <f>SUM(M775:M777)</f>
        <v>3063000</v>
      </c>
      <c r="N774" s="527">
        <f>SUM(N775:N777)</f>
        <v>11399500</v>
      </c>
      <c r="O774" s="529">
        <f t="shared" si="112"/>
        <v>11399500</v>
      </c>
      <c r="P774" s="478">
        <v>0</v>
      </c>
      <c r="Q774" s="541"/>
      <c r="R774" s="422"/>
    </row>
    <row r="775" spans="1:18" s="189" customFormat="1" ht="12.05" customHeight="1">
      <c r="A775" s="289"/>
      <c r="B775" s="292">
        <v>4</v>
      </c>
      <c r="C775" s="292">
        <v>1</v>
      </c>
      <c r="D775" s="292">
        <v>4</v>
      </c>
      <c r="E775" s="292" t="s">
        <v>444</v>
      </c>
      <c r="F775" s="292" t="s">
        <v>440</v>
      </c>
      <c r="G775" s="253" t="s">
        <v>73</v>
      </c>
      <c r="H775" s="253"/>
      <c r="I775" s="253"/>
      <c r="J775" s="484">
        <f>+J778</f>
        <v>0</v>
      </c>
      <c r="K775" s="485">
        <f>+K778</f>
        <v>0</v>
      </c>
      <c r="L775" s="360">
        <v>0</v>
      </c>
      <c r="M775" s="355">
        <f>[55]Perdinas!$P$523</f>
        <v>0</v>
      </c>
      <c r="N775" s="355">
        <f>M775+L775</f>
        <v>0</v>
      </c>
      <c r="O775" s="355">
        <f t="shared" si="112"/>
        <v>0</v>
      </c>
      <c r="P775" s="388"/>
      <c r="Q775" s="441"/>
      <c r="R775" s="422"/>
    </row>
    <row r="776" spans="1:18" s="189" customFormat="1" ht="12.05" customHeight="1">
      <c r="A776" s="289"/>
      <c r="B776" s="292">
        <v>4</v>
      </c>
      <c r="C776" s="292">
        <v>1</v>
      </c>
      <c r="D776" s="292">
        <v>4</v>
      </c>
      <c r="E776" s="292" t="s">
        <v>444</v>
      </c>
      <c r="F776" s="292" t="s">
        <v>445</v>
      </c>
      <c r="G776" s="253" t="s">
        <v>74</v>
      </c>
      <c r="H776" s="253"/>
      <c r="I776" s="253"/>
      <c r="J776" s="354"/>
      <c r="K776" s="355"/>
      <c r="L776" s="360">
        <v>0</v>
      </c>
      <c r="M776" s="355">
        <f>[55]Perdinas!$P$524</f>
        <v>0</v>
      </c>
      <c r="N776" s="355">
        <f>M776+L776</f>
        <v>0</v>
      </c>
      <c r="O776" s="355">
        <f t="shared" si="112"/>
        <v>0</v>
      </c>
      <c r="P776" s="388"/>
      <c r="Q776" s="441"/>
      <c r="R776" s="422"/>
    </row>
    <row r="777" spans="1:18" s="189" customFormat="1" ht="12.05" customHeight="1">
      <c r="A777" s="289"/>
      <c r="B777" s="292">
        <v>4</v>
      </c>
      <c r="C777" s="292">
        <v>1</v>
      </c>
      <c r="D777" s="292">
        <v>4</v>
      </c>
      <c r="E777" s="292" t="s">
        <v>444</v>
      </c>
      <c r="F777" s="292" t="s">
        <v>441</v>
      </c>
      <c r="G777" s="253" t="s">
        <v>75</v>
      </c>
      <c r="H777" s="253"/>
      <c r="I777" s="253"/>
      <c r="J777" s="354"/>
      <c r="K777" s="355">
        <f>'[55]TARGET MURNI DAN PERUBAHAN'!$E$440</f>
        <v>0</v>
      </c>
      <c r="L777" s="360">
        <f>[56]PerDinas!$N$777</f>
        <v>8336500</v>
      </c>
      <c r="M777" s="355">
        <f>[55]Perdinas!$P$525</f>
        <v>3063000</v>
      </c>
      <c r="N777" s="369">
        <f>M777+L777</f>
        <v>11399500</v>
      </c>
      <c r="O777" s="355">
        <f t="shared" si="112"/>
        <v>11399500</v>
      </c>
      <c r="P777" s="388"/>
      <c r="Q777" s="441"/>
      <c r="R777" s="422"/>
    </row>
    <row r="778" spans="1:18" s="189" customFormat="1" ht="12.05" customHeight="1">
      <c r="A778" s="289"/>
      <c r="B778" s="292"/>
      <c r="C778" s="292"/>
      <c r="D778" s="292"/>
      <c r="E778" s="292"/>
      <c r="F778" s="292"/>
      <c r="G778" s="253"/>
      <c r="H778" s="253"/>
      <c r="I778" s="253"/>
      <c r="J778" s="354"/>
      <c r="K778" s="355"/>
      <c r="L778" s="360"/>
      <c r="M778" s="355"/>
      <c r="N778" s="355"/>
      <c r="O778" s="355"/>
      <c r="P778" s="388"/>
      <c r="Q778" s="441"/>
      <c r="R778" s="422"/>
    </row>
    <row r="779" spans="1:18" s="189" customFormat="1" ht="12.05" customHeight="1">
      <c r="A779" s="289"/>
      <c r="B779" s="292">
        <v>4</v>
      </c>
      <c r="C779" s="292">
        <v>1</v>
      </c>
      <c r="D779" s="292">
        <v>4</v>
      </c>
      <c r="E779" s="292" t="s">
        <v>948</v>
      </c>
      <c r="F779" s="292"/>
      <c r="G779" s="253" t="s">
        <v>321</v>
      </c>
      <c r="H779" s="253"/>
      <c r="I779" s="253"/>
      <c r="J779" s="484">
        <f>+J780</f>
        <v>100000000</v>
      </c>
      <c r="K779" s="485">
        <f>+K780</f>
        <v>0</v>
      </c>
      <c r="L779" s="486">
        <f>+L780</f>
        <v>0</v>
      </c>
      <c r="M779" s="485">
        <f>+M780</f>
        <v>0</v>
      </c>
      <c r="N779" s="412">
        <f>+M779+L779</f>
        <v>0</v>
      </c>
      <c r="O779" s="412">
        <f>N779-K779</f>
        <v>0</v>
      </c>
      <c r="P779" s="487" t="e">
        <f>N779/K779*100</f>
        <v>#DIV/0!</v>
      </c>
      <c r="Q779" s="541"/>
      <c r="R779" s="422"/>
    </row>
    <row r="780" spans="1:18" s="189" customFormat="1" ht="12.05" customHeight="1">
      <c r="A780" s="289"/>
      <c r="B780" s="292">
        <v>4</v>
      </c>
      <c r="C780" s="292">
        <v>1</v>
      </c>
      <c r="D780" s="292">
        <v>4</v>
      </c>
      <c r="E780" s="292" t="s">
        <v>948</v>
      </c>
      <c r="F780" s="292" t="s">
        <v>437</v>
      </c>
      <c r="G780" s="253" t="s">
        <v>85</v>
      </c>
      <c r="H780" s="253"/>
      <c r="I780" s="253"/>
      <c r="J780" s="333">
        <f>SUM(J781:J782)</f>
        <v>100000000</v>
      </c>
      <c r="K780" s="334">
        <f>SUM(K781:K782)</f>
        <v>0</v>
      </c>
      <c r="L780" s="356">
        <f>SUM(L781:L782)</f>
        <v>0</v>
      </c>
      <c r="M780" s="334">
        <f>SUM(M781:M782)</f>
        <v>0</v>
      </c>
      <c r="N780" s="334">
        <f>SUM(N781:N782)</f>
        <v>0</v>
      </c>
      <c r="O780" s="334">
        <f>N780-K780</f>
        <v>0</v>
      </c>
      <c r="P780" s="335" t="e">
        <f>N780/K780*100</f>
        <v>#DIV/0!</v>
      </c>
      <c r="Q780" s="430"/>
      <c r="R780" s="422"/>
    </row>
    <row r="781" spans="1:18" s="189" customFormat="1" ht="12.05" customHeight="1">
      <c r="A781" s="289"/>
      <c r="B781" s="292"/>
      <c r="C781" s="292"/>
      <c r="D781" s="292"/>
      <c r="E781" s="292"/>
      <c r="F781" s="292"/>
      <c r="G781" s="253" t="s">
        <v>50</v>
      </c>
      <c r="H781" s="253"/>
      <c r="I781" s="253" t="s">
        <v>615</v>
      </c>
      <c r="J781" s="354">
        <v>85000000</v>
      </c>
      <c r="K781" s="373">
        <f>'[55]TARGET MURNI DAN PERUBAHAN'!$E$441</f>
        <v>0</v>
      </c>
      <c r="L781" s="360">
        <v>0</v>
      </c>
      <c r="M781" s="373">
        <v>0</v>
      </c>
      <c r="N781" s="369">
        <f>M781+L781</f>
        <v>0</v>
      </c>
      <c r="O781" s="355">
        <f>N781-K781</f>
        <v>0</v>
      </c>
      <c r="P781" s="388" t="e">
        <f>N781/K781*100</f>
        <v>#DIV/0!</v>
      </c>
      <c r="Q781" s="635"/>
      <c r="R781" s="422"/>
    </row>
    <row r="782" spans="1:18" s="189" customFormat="1" ht="12.05" customHeight="1">
      <c r="A782" s="289"/>
      <c r="B782" s="292"/>
      <c r="C782" s="292"/>
      <c r="D782" s="292"/>
      <c r="E782" s="292"/>
      <c r="F782" s="292"/>
      <c r="G782" s="253" t="s">
        <v>50</v>
      </c>
      <c r="H782" s="253"/>
      <c r="I782" s="253" t="s">
        <v>85</v>
      </c>
      <c r="J782" s="354">
        <v>15000000</v>
      </c>
      <c r="K782" s="355">
        <f>'[55]TARGET MURNI DAN PERUBAHAN'!$E$442</f>
        <v>0</v>
      </c>
      <c r="L782" s="360">
        <v>0</v>
      </c>
      <c r="M782" s="355">
        <v>0</v>
      </c>
      <c r="N782" s="355">
        <f>M782+L782</f>
        <v>0</v>
      </c>
      <c r="O782" s="355">
        <f>N782-K782</f>
        <v>0</v>
      </c>
      <c r="P782" s="388" t="e">
        <f>N782/K782*100</f>
        <v>#DIV/0!</v>
      </c>
      <c r="Q782" s="637"/>
      <c r="R782" s="422"/>
    </row>
    <row r="783" spans="1:18" s="189" customFormat="1" ht="12.05" customHeight="1">
      <c r="A783" s="295"/>
      <c r="B783" s="296"/>
      <c r="C783" s="296"/>
      <c r="D783" s="296"/>
      <c r="E783" s="296"/>
      <c r="F783" s="296"/>
      <c r="G783" s="297"/>
      <c r="H783" s="297"/>
      <c r="I783" s="297"/>
      <c r="J783" s="333"/>
      <c r="K783" s="334"/>
      <c r="L783" s="356"/>
      <c r="M783" s="334"/>
      <c r="N783" s="334"/>
      <c r="O783" s="334"/>
      <c r="P783" s="335"/>
      <c r="Q783" s="637"/>
      <c r="R783" s="422"/>
    </row>
    <row r="784" spans="1:18" s="244" customFormat="1" ht="12.05" customHeight="1">
      <c r="A784" s="1186" t="s">
        <v>335</v>
      </c>
      <c r="B784" s="1187" t="s">
        <v>460</v>
      </c>
      <c r="C784" s="1187" t="s">
        <v>437</v>
      </c>
      <c r="D784" s="1187" t="s">
        <v>437</v>
      </c>
      <c r="E784" s="1187"/>
      <c r="F784" s="1187"/>
      <c r="G784" s="1188" t="s">
        <v>857</v>
      </c>
      <c r="H784" s="1188"/>
      <c r="I784" s="1188"/>
      <c r="J784" s="1195" t="e">
        <f>+J786</f>
        <v>#REF!</v>
      </c>
      <c r="K784" s="1196">
        <f>+K786</f>
        <v>1064387000</v>
      </c>
      <c r="L784" s="1196">
        <f>+L786</f>
        <v>878698648</v>
      </c>
      <c r="M784" s="1196">
        <f>+M786</f>
        <v>163252750</v>
      </c>
      <c r="N784" s="1196">
        <f>M784+L784</f>
        <v>1041951398</v>
      </c>
      <c r="O784" s="1196">
        <f>+N784-K784</f>
        <v>-22435602</v>
      </c>
      <c r="P784" s="1197">
        <f>+N784/K784*100</f>
        <v>97.892157457766771</v>
      </c>
      <c r="Q784" s="1208"/>
      <c r="R784" s="788"/>
    </row>
    <row r="785" spans="1:18" s="189" customFormat="1" ht="12.05" customHeight="1">
      <c r="A785" s="471"/>
      <c r="B785" s="287"/>
      <c r="C785" s="287"/>
      <c r="D785" s="287"/>
      <c r="E785" s="287"/>
      <c r="F785" s="287"/>
      <c r="G785" s="288"/>
      <c r="H785" s="288"/>
      <c r="I785" s="288"/>
      <c r="J785" s="339"/>
      <c r="K785" s="340"/>
      <c r="L785" s="340"/>
      <c r="M785" s="340"/>
      <c r="N785" s="340"/>
      <c r="O785" s="340"/>
      <c r="P785" s="341"/>
      <c r="Q785" s="435"/>
      <c r="R785" s="422"/>
    </row>
    <row r="786" spans="1:18" s="189" customFormat="1" ht="12.05" customHeight="1">
      <c r="A786" s="293"/>
      <c r="B786" s="290">
        <v>4</v>
      </c>
      <c r="C786" s="290">
        <v>1</v>
      </c>
      <c r="D786" s="290"/>
      <c r="E786" s="290"/>
      <c r="F786" s="290"/>
      <c r="G786" s="291" t="s">
        <v>180</v>
      </c>
      <c r="H786" s="291"/>
      <c r="I786" s="291"/>
      <c r="J786" s="342" t="e">
        <f>+J788+J806</f>
        <v>#REF!</v>
      </c>
      <c r="K786" s="343">
        <f>+K788+K806</f>
        <v>1064387000</v>
      </c>
      <c r="L786" s="606">
        <f>+L788+L806</f>
        <v>878698648</v>
      </c>
      <c r="M786" s="343">
        <f>+M788+M806</f>
        <v>163252750</v>
      </c>
      <c r="N786" s="343">
        <f>+M786+L786</f>
        <v>1041951398</v>
      </c>
      <c r="O786" s="343">
        <f t="shared" ref="O786:O791" si="113">N786-K786</f>
        <v>-22435602</v>
      </c>
      <c r="P786" s="344">
        <f t="shared" ref="P786:P791" si="114">N786/K786*100</f>
        <v>97.892157457766771</v>
      </c>
      <c r="Q786" s="437"/>
      <c r="R786" s="422"/>
    </row>
    <row r="787" spans="1:18" s="189" customFormat="1" ht="12.05" customHeight="1">
      <c r="A787" s="293"/>
      <c r="B787" s="292"/>
      <c r="C787" s="292"/>
      <c r="D787" s="292"/>
      <c r="E787" s="292"/>
      <c r="F787" s="292"/>
      <c r="G787" s="253"/>
      <c r="H787" s="253"/>
      <c r="I787" s="291"/>
      <c r="J787" s="345"/>
      <c r="K787" s="346"/>
      <c r="L787" s="660"/>
      <c r="M787" s="346"/>
      <c r="N787" s="346"/>
      <c r="O787" s="346"/>
      <c r="P787" s="347"/>
      <c r="Q787" s="438"/>
      <c r="R787" s="422"/>
    </row>
    <row r="788" spans="1:18" s="189" customFormat="1" ht="12.05" customHeight="1">
      <c r="A788" s="293"/>
      <c r="B788" s="290">
        <v>4</v>
      </c>
      <c r="C788" s="290">
        <v>1</v>
      </c>
      <c r="D788" s="290">
        <v>2</v>
      </c>
      <c r="E788" s="290"/>
      <c r="F788" s="290"/>
      <c r="G788" s="291" t="s">
        <v>106</v>
      </c>
      <c r="H788" s="291"/>
      <c r="I788" s="291"/>
      <c r="J788" s="348">
        <f>+J790</f>
        <v>2165500000</v>
      </c>
      <c r="K788" s="349">
        <f>+K790</f>
        <v>1064387000</v>
      </c>
      <c r="L788" s="589">
        <f>+L790</f>
        <v>829019000</v>
      </c>
      <c r="M788" s="349">
        <f>+M790</f>
        <v>145675000</v>
      </c>
      <c r="N788" s="349">
        <f>+M788+L788</f>
        <v>974694000</v>
      </c>
      <c r="O788" s="349">
        <f t="shared" si="113"/>
        <v>-89693000</v>
      </c>
      <c r="P788" s="350">
        <f t="shared" si="114"/>
        <v>91.57327175172189</v>
      </c>
      <c r="Q788" s="783"/>
      <c r="R788" s="422"/>
    </row>
    <row r="789" spans="1:18" s="189" customFormat="1" ht="12.05" customHeight="1">
      <c r="A789" s="293"/>
      <c r="B789" s="292"/>
      <c r="C789" s="292"/>
      <c r="D789" s="292"/>
      <c r="E789" s="292"/>
      <c r="F789" s="292"/>
      <c r="G789" s="253"/>
      <c r="H789" s="253"/>
      <c r="I789" s="253"/>
      <c r="J789" s="354"/>
      <c r="K789" s="355"/>
      <c r="L789" s="360"/>
      <c r="M789" s="355"/>
      <c r="N789" s="355"/>
      <c r="O789" s="355"/>
      <c r="P789" s="388"/>
      <c r="Q789" s="441"/>
      <c r="R789" s="422"/>
    </row>
    <row r="790" spans="1:18" s="189" customFormat="1" ht="12.05" customHeight="1">
      <c r="A790" s="293"/>
      <c r="B790" s="292">
        <v>4</v>
      </c>
      <c r="C790" s="292">
        <v>1</v>
      </c>
      <c r="D790" s="292">
        <v>2</v>
      </c>
      <c r="E790" s="292" t="s">
        <v>438</v>
      </c>
      <c r="F790" s="292"/>
      <c r="G790" s="253" t="s">
        <v>374</v>
      </c>
      <c r="H790" s="253"/>
      <c r="I790" s="253"/>
      <c r="J790" s="370">
        <f>+J791+J794</f>
        <v>2165500000</v>
      </c>
      <c r="K790" s="371">
        <f>+K791+K794</f>
        <v>1064387000</v>
      </c>
      <c r="L790" s="372">
        <f>+L791+L794</f>
        <v>829019000</v>
      </c>
      <c r="M790" s="371">
        <f>+M791+M794</f>
        <v>145675000</v>
      </c>
      <c r="N790" s="371">
        <f>+N791+N794</f>
        <v>974694000</v>
      </c>
      <c r="O790" s="367">
        <f t="shared" si="113"/>
        <v>-89693000</v>
      </c>
      <c r="P790" s="399">
        <f t="shared" si="114"/>
        <v>91.57327175172189</v>
      </c>
      <c r="Q790" s="441"/>
      <c r="R790" s="422"/>
    </row>
    <row r="791" spans="1:18" s="189" customFormat="1" ht="12.05" customHeight="1">
      <c r="A791" s="293"/>
      <c r="B791" s="292">
        <v>4</v>
      </c>
      <c r="C791" s="292">
        <v>1</v>
      </c>
      <c r="D791" s="292">
        <v>2</v>
      </c>
      <c r="E791" s="292" t="s">
        <v>438</v>
      </c>
      <c r="F791" s="292" t="s">
        <v>440</v>
      </c>
      <c r="G791" s="253" t="s">
        <v>304</v>
      </c>
      <c r="H791" s="253"/>
      <c r="I791" s="291"/>
      <c r="J791" s="345">
        <f>+J792</f>
        <v>0</v>
      </c>
      <c r="K791" s="346">
        <f>+K792</f>
        <v>0</v>
      </c>
      <c r="L791" s="660">
        <f>+L792</f>
        <v>0</v>
      </c>
      <c r="M791" s="346">
        <f>+M792</f>
        <v>0</v>
      </c>
      <c r="N791" s="355">
        <f>M791+L791</f>
        <v>0</v>
      </c>
      <c r="O791" s="355">
        <f t="shared" si="113"/>
        <v>0</v>
      </c>
      <c r="P791" s="388" t="e">
        <f t="shared" si="114"/>
        <v>#DIV/0!</v>
      </c>
      <c r="Q791" s="438"/>
      <c r="R791" s="422"/>
    </row>
    <row r="792" spans="1:18" s="189" customFormat="1" ht="12.05" customHeight="1">
      <c r="A792" s="293"/>
      <c r="B792" s="292"/>
      <c r="C792" s="292"/>
      <c r="D792" s="292"/>
      <c r="E792" s="292"/>
      <c r="F792" s="292"/>
      <c r="G792" s="1027"/>
      <c r="H792" s="1027"/>
      <c r="I792" s="1027"/>
      <c r="J792" s="1030"/>
      <c r="K792" s="1031"/>
      <c r="L792" s="1032"/>
      <c r="M792" s="1031"/>
      <c r="N792" s="1033"/>
      <c r="O792" s="1033"/>
      <c r="P792" s="1034"/>
      <c r="Q792" s="1055"/>
      <c r="R792" s="422"/>
    </row>
    <row r="793" spans="1:18" s="189" customFormat="1" ht="12.05" customHeight="1">
      <c r="A793" s="293"/>
      <c r="B793" s="292"/>
      <c r="C793" s="292"/>
      <c r="D793" s="292"/>
      <c r="E793" s="292"/>
      <c r="F793" s="292"/>
      <c r="G793" s="253"/>
      <c r="H793" s="253"/>
      <c r="I793" s="253"/>
      <c r="J793" s="345"/>
      <c r="K793" s="346"/>
      <c r="L793" s="660"/>
      <c r="M793" s="346"/>
      <c r="N793" s="355"/>
      <c r="O793" s="355"/>
      <c r="P793" s="388"/>
      <c r="Q793" s="438"/>
      <c r="R793" s="422"/>
    </row>
    <row r="794" spans="1:18" s="189" customFormat="1" ht="15.05">
      <c r="A794" s="293"/>
      <c r="B794" s="292">
        <v>4</v>
      </c>
      <c r="C794" s="292">
        <v>1</v>
      </c>
      <c r="D794" s="292">
        <v>2</v>
      </c>
      <c r="E794" s="292" t="s">
        <v>438</v>
      </c>
      <c r="F794" s="292" t="s">
        <v>448</v>
      </c>
      <c r="G794" s="253" t="s">
        <v>361</v>
      </c>
      <c r="H794" s="253"/>
      <c r="I794" s="253"/>
      <c r="J794" s="1035">
        <f>SUM(J795:J804)</f>
        <v>2165500000</v>
      </c>
      <c r="K794" s="1036">
        <f>SUM(K795:K804)</f>
        <v>1064387000</v>
      </c>
      <c r="L794" s="1037">
        <f>SUM(L795:L804)</f>
        <v>829019000</v>
      </c>
      <c r="M794" s="1036">
        <f>SUM(M795:M804)</f>
        <v>145675000</v>
      </c>
      <c r="N794" s="1038">
        <f>SUM(N795:N804)</f>
        <v>974694000</v>
      </c>
      <c r="O794" s="1039">
        <f t="shared" ref="O794:O803" si="115">N794-K794</f>
        <v>-89693000</v>
      </c>
      <c r="P794" s="1040">
        <f t="shared" ref="P794:P803" si="116">N794/K794*100</f>
        <v>91.57327175172189</v>
      </c>
      <c r="Q794" s="438"/>
      <c r="R794" s="422"/>
    </row>
    <row r="795" spans="1:18" s="189" customFormat="1" ht="12.05" customHeight="1">
      <c r="A795" s="293"/>
      <c r="B795" s="292"/>
      <c r="C795" s="292"/>
      <c r="D795" s="292"/>
      <c r="E795" s="292"/>
      <c r="F795" s="292"/>
      <c r="G795" s="253" t="s">
        <v>50</v>
      </c>
      <c r="H795" s="253"/>
      <c r="I795" s="253" t="s">
        <v>343</v>
      </c>
      <c r="J795" s="354">
        <v>178410000</v>
      </c>
      <c r="K795" s="1231">
        <f>'[55]TARGET MURNI DAN PERUBAHAN'!$E$446</f>
        <v>259229500</v>
      </c>
      <c r="L795" s="377">
        <f>[56]PerDinas!$N$795</f>
        <v>286740000</v>
      </c>
      <c r="M795" s="376">
        <f>[55]Perdinas!$P$531</f>
        <v>128575000</v>
      </c>
      <c r="N795" s="771">
        <f t="shared" ref="N795:N803" si="117">M795+L795</f>
        <v>415315000</v>
      </c>
      <c r="O795" s="355">
        <f t="shared" si="115"/>
        <v>156085500</v>
      </c>
      <c r="P795" s="388">
        <f t="shared" si="116"/>
        <v>160.21131854206408</v>
      </c>
      <c r="Q795" s="1056"/>
      <c r="R795" s="422"/>
    </row>
    <row r="796" spans="1:18" s="189" customFormat="1" ht="12.05" customHeight="1">
      <c r="A796" s="293"/>
      <c r="B796" s="292"/>
      <c r="C796" s="292"/>
      <c r="D796" s="292"/>
      <c r="E796" s="292"/>
      <c r="F796" s="292"/>
      <c r="G796" s="253" t="s">
        <v>50</v>
      </c>
      <c r="H796" s="253"/>
      <c r="I796" s="253" t="s">
        <v>344</v>
      </c>
      <c r="J796" s="354">
        <v>267400000</v>
      </c>
      <c r="K796" s="1231">
        <f>'[55]TARGET MURNI DAN PERUBAHAN'!$E$447</f>
        <v>374739500</v>
      </c>
      <c r="L796" s="377">
        <f>[56]PerDinas!$N$796</f>
        <v>210010000</v>
      </c>
      <c r="M796" s="376">
        <f>[55]Perdinas!$P$532</f>
        <v>0</v>
      </c>
      <c r="N796" s="355">
        <f t="shared" si="117"/>
        <v>210010000</v>
      </c>
      <c r="O796" s="355">
        <f t="shared" si="115"/>
        <v>-164729500</v>
      </c>
      <c r="P796" s="388">
        <f t="shared" si="116"/>
        <v>56.041596895977072</v>
      </c>
      <c r="Q796" s="1057"/>
      <c r="R796" s="422"/>
    </row>
    <row r="797" spans="1:18" s="189" customFormat="1" ht="12.05" customHeight="1">
      <c r="A797" s="293"/>
      <c r="B797" s="292"/>
      <c r="C797" s="292"/>
      <c r="D797" s="292"/>
      <c r="E797" s="292"/>
      <c r="F797" s="292"/>
      <c r="G797" s="253" t="s">
        <v>50</v>
      </c>
      <c r="H797" s="253"/>
      <c r="I797" s="253" t="s">
        <v>345</v>
      </c>
      <c r="J797" s="354">
        <v>212500000</v>
      </c>
      <c r="K797" s="1231">
        <f>'[55]TARGET MURNI DAN PERUBAHAN'!$E$448</f>
        <v>271618000</v>
      </c>
      <c r="L797" s="377">
        <f>[56]PerDinas!$N$797</f>
        <v>176240000</v>
      </c>
      <c r="M797" s="376">
        <f>[55]Perdinas!$P$533</f>
        <v>17100000</v>
      </c>
      <c r="N797" s="355">
        <f t="shared" si="117"/>
        <v>193340000</v>
      </c>
      <c r="O797" s="355">
        <f t="shared" si="115"/>
        <v>-78278000</v>
      </c>
      <c r="P797" s="388">
        <f t="shared" si="116"/>
        <v>71.180849575506784</v>
      </c>
      <c r="Q797" s="441"/>
      <c r="R797" s="422"/>
    </row>
    <row r="798" spans="1:18" s="189" customFormat="1" ht="12.05" customHeight="1">
      <c r="A798" s="293"/>
      <c r="B798" s="292"/>
      <c r="C798" s="292"/>
      <c r="D798" s="292"/>
      <c r="E798" s="292"/>
      <c r="F798" s="292"/>
      <c r="G798" s="253" t="s">
        <v>50</v>
      </c>
      <c r="H798" s="253"/>
      <c r="I798" s="253" t="s">
        <v>346</v>
      </c>
      <c r="J798" s="354">
        <v>0</v>
      </c>
      <c r="K798" s="1231">
        <f>'[55]TARGET MURNI DAN PERUBAHAN'!$E$449</f>
        <v>0</v>
      </c>
      <c r="L798" s="377">
        <f>[56]PerDinas!$N$798</f>
        <v>0</v>
      </c>
      <c r="M798" s="376">
        <f>[55]Perdinas!$P$534</f>
        <v>0</v>
      </c>
      <c r="N798" s="355">
        <f t="shared" si="117"/>
        <v>0</v>
      </c>
      <c r="O798" s="355">
        <f t="shared" si="115"/>
        <v>0</v>
      </c>
      <c r="P798" s="388" t="e">
        <f t="shared" si="116"/>
        <v>#DIV/0!</v>
      </c>
      <c r="Q798" s="441"/>
      <c r="R798" s="422"/>
    </row>
    <row r="799" spans="1:18" s="189" customFormat="1" ht="12.05" customHeight="1">
      <c r="A799" s="293"/>
      <c r="B799" s="292"/>
      <c r="C799" s="292"/>
      <c r="D799" s="292"/>
      <c r="E799" s="292"/>
      <c r="F799" s="292"/>
      <c r="G799" s="253" t="s">
        <v>50</v>
      </c>
      <c r="H799" s="253"/>
      <c r="I799" s="253" t="s">
        <v>347</v>
      </c>
      <c r="J799" s="354">
        <v>0</v>
      </c>
      <c r="K799" s="1231">
        <f>'[55]TARGET MURNI DAN PERUBAHAN'!$E$450</f>
        <v>0</v>
      </c>
      <c r="L799" s="377">
        <f>[56]PerDinas!$N$799</f>
        <v>0</v>
      </c>
      <c r="M799" s="376">
        <f>[55]Perdinas!$P$535</f>
        <v>0</v>
      </c>
      <c r="N799" s="355">
        <f t="shared" si="117"/>
        <v>0</v>
      </c>
      <c r="O799" s="355">
        <f t="shared" si="115"/>
        <v>0</v>
      </c>
      <c r="P799" s="388" t="e">
        <f t="shared" si="116"/>
        <v>#DIV/0!</v>
      </c>
      <c r="Q799" s="441"/>
      <c r="R799" s="422"/>
    </row>
    <row r="800" spans="1:18" s="189" customFormat="1" ht="12.05" customHeight="1">
      <c r="A800" s="293"/>
      <c r="B800" s="292"/>
      <c r="C800" s="292"/>
      <c r="D800" s="292"/>
      <c r="E800" s="292"/>
      <c r="F800" s="292"/>
      <c r="G800" s="253" t="s">
        <v>50</v>
      </c>
      <c r="H800" s="253"/>
      <c r="I800" s="253" t="s">
        <v>348</v>
      </c>
      <c r="J800" s="354">
        <v>52400000</v>
      </c>
      <c r="K800" s="1231">
        <f>'[55]TARGET MURNI DAN PERUBAHAN'!$E$451</f>
        <v>46200000</v>
      </c>
      <c r="L800" s="377">
        <f>[56]PerDinas!$N$800</f>
        <v>46600000</v>
      </c>
      <c r="M800" s="376">
        <f>[55]Perdinas!$P$536</f>
        <v>0</v>
      </c>
      <c r="N800" s="355">
        <f t="shared" si="117"/>
        <v>46600000</v>
      </c>
      <c r="O800" s="355">
        <f t="shared" si="115"/>
        <v>400000</v>
      </c>
      <c r="P800" s="388">
        <f t="shared" si="116"/>
        <v>100.86580086580086</v>
      </c>
      <c r="Q800" s="441"/>
      <c r="R800" s="422"/>
    </row>
    <row r="801" spans="1:18" s="189" customFormat="1" ht="12.05" customHeight="1">
      <c r="A801" s="293"/>
      <c r="B801" s="292"/>
      <c r="C801" s="292"/>
      <c r="D801" s="292"/>
      <c r="E801" s="292"/>
      <c r="F801" s="292"/>
      <c r="G801" s="253" t="s">
        <v>50</v>
      </c>
      <c r="H801" s="253"/>
      <c r="I801" s="253" t="s">
        <v>349</v>
      </c>
      <c r="J801" s="354">
        <v>63990000</v>
      </c>
      <c r="K801" s="1231">
        <f>'[55]TARGET MURNI DAN PERUBAHAN'!$E$452</f>
        <v>88200000</v>
      </c>
      <c r="L801" s="377">
        <f>[56]PerDinas!$N$801</f>
        <v>74940000</v>
      </c>
      <c r="M801" s="376">
        <f>[55]Perdinas!$P$537</f>
        <v>0</v>
      </c>
      <c r="N801" s="355">
        <f t="shared" si="117"/>
        <v>74940000</v>
      </c>
      <c r="O801" s="355">
        <f t="shared" si="115"/>
        <v>-13260000</v>
      </c>
      <c r="P801" s="388">
        <f t="shared" si="116"/>
        <v>84.965986394557831</v>
      </c>
      <c r="Q801" s="441"/>
      <c r="R801" s="422"/>
    </row>
    <row r="802" spans="1:18" s="189" customFormat="1" ht="12.05" customHeight="1">
      <c r="A802" s="293"/>
      <c r="B802" s="292"/>
      <c r="C802" s="292"/>
      <c r="D802" s="292"/>
      <c r="E802" s="292"/>
      <c r="F802" s="292"/>
      <c r="G802" s="253" t="s">
        <v>50</v>
      </c>
      <c r="H802" s="253"/>
      <c r="I802" s="253" t="s">
        <v>350</v>
      </c>
      <c r="J802" s="354">
        <v>16000000</v>
      </c>
      <c r="K802" s="1231">
        <f>'[55]TARGET MURNI DAN PERUBAHAN'!$E$453</f>
        <v>24400000</v>
      </c>
      <c r="L802" s="377">
        <f>[56]PerDinas!$N$802</f>
        <v>24453000</v>
      </c>
      <c r="M802" s="376">
        <f>[55]Perdinas!$P$538</f>
        <v>0</v>
      </c>
      <c r="N802" s="355">
        <f t="shared" si="117"/>
        <v>24453000</v>
      </c>
      <c r="O802" s="355">
        <f t="shared" si="115"/>
        <v>53000</v>
      </c>
      <c r="P802" s="388">
        <f t="shared" si="116"/>
        <v>100.21721311475409</v>
      </c>
      <c r="Q802" s="441"/>
      <c r="R802" s="422"/>
    </row>
    <row r="803" spans="1:18" s="189" customFormat="1" ht="12.05" customHeight="1">
      <c r="A803" s="293"/>
      <c r="B803" s="292"/>
      <c r="C803" s="292"/>
      <c r="D803" s="292"/>
      <c r="E803" s="292"/>
      <c r="F803" s="292"/>
      <c r="G803" s="1003" t="s">
        <v>50</v>
      </c>
      <c r="H803" s="1003"/>
      <c r="I803" s="1003" t="s">
        <v>351</v>
      </c>
      <c r="J803" s="1041">
        <v>1374800000</v>
      </c>
      <c r="K803" s="1231">
        <f>'[55]TARGET MURNI DAN PERUBAHAN'!$E$454</f>
        <v>0</v>
      </c>
      <c r="L803" s="377">
        <f>[56]PerDinas!$N$803</f>
        <v>10036000</v>
      </c>
      <c r="M803" s="376">
        <f>[55]Perdinas!$P$539</f>
        <v>0</v>
      </c>
      <c r="N803" s="360">
        <f t="shared" si="117"/>
        <v>10036000</v>
      </c>
      <c r="O803" s="360">
        <f t="shared" si="115"/>
        <v>10036000</v>
      </c>
      <c r="P803" s="1042" t="e">
        <f t="shared" si="116"/>
        <v>#DIV/0!</v>
      </c>
      <c r="Q803" s="795"/>
      <c r="R803" s="422"/>
    </row>
    <row r="804" spans="1:18" s="189" customFormat="1" ht="12.05" customHeight="1">
      <c r="A804" s="465"/>
      <c r="B804" s="296"/>
      <c r="C804" s="296"/>
      <c r="D804" s="296"/>
      <c r="E804" s="296"/>
      <c r="F804" s="296"/>
      <c r="G804" s="1028"/>
      <c r="H804" s="1028"/>
      <c r="I804" s="1028"/>
      <c r="J804" s="1043"/>
      <c r="K804" s="1044"/>
      <c r="L804" s="1045"/>
      <c r="M804" s="375"/>
      <c r="N804" s="1044"/>
      <c r="O804" s="1044"/>
      <c r="P804" s="1046"/>
      <c r="Q804" s="1058"/>
      <c r="R804" s="555"/>
    </row>
    <row r="805" spans="1:18" s="189" customFormat="1" ht="12.05" customHeight="1">
      <c r="A805" s="1029"/>
      <c r="B805" s="565"/>
      <c r="C805" s="565"/>
      <c r="D805" s="565"/>
      <c r="E805" s="565"/>
      <c r="F805" s="565"/>
      <c r="G805" s="566"/>
      <c r="H805" s="566"/>
      <c r="I805" s="566"/>
      <c r="J805" s="484"/>
      <c r="K805" s="485"/>
      <c r="L805" s="486"/>
      <c r="M805" s="485"/>
      <c r="N805" s="485"/>
      <c r="O805" s="485"/>
      <c r="P805" s="597"/>
      <c r="Q805" s="541"/>
      <c r="R805" s="422"/>
    </row>
    <row r="806" spans="1:18" s="189" customFormat="1" ht="12.05" customHeight="1">
      <c r="A806" s="471"/>
      <c r="B806" s="707">
        <v>4</v>
      </c>
      <c r="C806" s="707">
        <v>1</v>
      </c>
      <c r="D806" s="707">
        <v>4</v>
      </c>
      <c r="E806" s="707"/>
      <c r="F806" s="707"/>
      <c r="G806" s="288" t="s">
        <v>71</v>
      </c>
      <c r="H806" s="288"/>
      <c r="I806" s="288"/>
      <c r="J806" s="392" t="e">
        <f>J807+J812</f>
        <v>#REF!</v>
      </c>
      <c r="K806" s="393">
        <f>K807+K812+K808</f>
        <v>0</v>
      </c>
      <c r="L806" s="393">
        <f>L807+L812+L808</f>
        <v>49679648</v>
      </c>
      <c r="M806" s="1047">
        <f>M807+M812</f>
        <v>17577750</v>
      </c>
      <c r="N806" s="1047">
        <f>M806+L806</f>
        <v>67257398</v>
      </c>
      <c r="O806" s="1048">
        <f>N806-K806</f>
        <v>67257398</v>
      </c>
      <c r="P806" s="1049" t="e">
        <f>N806/K806*100</f>
        <v>#DIV/0!</v>
      </c>
      <c r="Q806" s="444"/>
      <c r="R806" s="422"/>
    </row>
    <row r="807" spans="1:18" s="189" customFormat="1" ht="12.05" customHeight="1">
      <c r="A807" s="289"/>
      <c r="B807" s="292">
        <v>4</v>
      </c>
      <c r="C807" s="292">
        <v>1</v>
      </c>
      <c r="D807" s="292">
        <v>4</v>
      </c>
      <c r="E807" s="292" t="s">
        <v>444</v>
      </c>
      <c r="F807" s="292"/>
      <c r="G807" s="253" t="s">
        <v>222</v>
      </c>
      <c r="H807" s="253"/>
      <c r="I807" s="253"/>
      <c r="J807" s="484">
        <f>+J810</f>
        <v>27000000</v>
      </c>
      <c r="K807" s="485">
        <f>+K810</f>
        <v>0</v>
      </c>
      <c r="L807" s="485">
        <f>+L810</f>
        <v>46757068</v>
      </c>
      <c r="M807" s="485">
        <f>SUM(M808:M810)</f>
        <v>17577750</v>
      </c>
      <c r="N807" s="485">
        <f>M807+L807</f>
        <v>64334818</v>
      </c>
      <c r="O807" s="412">
        <f>N807-K807</f>
        <v>64334818</v>
      </c>
      <c r="P807" s="388" t="e">
        <f>N807/K807*100</f>
        <v>#DIV/0!</v>
      </c>
      <c r="Q807" s="644"/>
      <c r="R807" s="422"/>
    </row>
    <row r="808" spans="1:18" s="189" customFormat="1" ht="12.05" customHeight="1">
      <c r="A808" s="289"/>
      <c r="B808" s="292">
        <v>4</v>
      </c>
      <c r="C808" s="292">
        <v>1</v>
      </c>
      <c r="D808" s="292">
        <v>4</v>
      </c>
      <c r="E808" s="292" t="s">
        <v>444</v>
      </c>
      <c r="F808" s="292" t="s">
        <v>440</v>
      </c>
      <c r="G808" s="253" t="s">
        <v>710</v>
      </c>
      <c r="H808" s="253"/>
      <c r="I808" s="253"/>
      <c r="J808" s="354">
        <v>0</v>
      </c>
      <c r="K808" s="355">
        <v>0</v>
      </c>
      <c r="L808" s="360">
        <f>[56]PerDinas!$N$808</f>
        <v>415440</v>
      </c>
      <c r="M808" s="355">
        <f>[55]Perdinas!$P$543</f>
        <v>0</v>
      </c>
      <c r="N808" s="369">
        <f>M808+L808</f>
        <v>415440</v>
      </c>
      <c r="O808" s="355">
        <f>N808-K808</f>
        <v>415440</v>
      </c>
      <c r="P808" s="388"/>
      <c r="Q808" s="442"/>
      <c r="R808" s="422"/>
    </row>
    <row r="809" spans="1:18" s="189" customFormat="1" ht="12.05" customHeight="1">
      <c r="A809" s="289"/>
      <c r="B809" s="292">
        <v>4</v>
      </c>
      <c r="C809" s="292">
        <v>1</v>
      </c>
      <c r="D809" s="292">
        <v>4</v>
      </c>
      <c r="E809" s="292" t="s">
        <v>444</v>
      </c>
      <c r="F809" s="292" t="s">
        <v>445</v>
      </c>
      <c r="G809" s="253" t="s">
        <v>74</v>
      </c>
      <c r="H809" s="253"/>
      <c r="I809" s="253"/>
      <c r="J809" s="354">
        <v>0</v>
      </c>
      <c r="K809" s="355">
        <v>0</v>
      </c>
      <c r="L809" s="360">
        <v>0</v>
      </c>
      <c r="M809" s="355">
        <f>[55]Perdinas!$P$545</f>
        <v>0</v>
      </c>
      <c r="N809" s="355">
        <f>M809+L809</f>
        <v>0</v>
      </c>
      <c r="O809" s="355">
        <f>N809-K809</f>
        <v>0</v>
      </c>
      <c r="P809" s="388"/>
      <c r="Q809" s="441"/>
      <c r="R809" s="422"/>
    </row>
    <row r="810" spans="1:18" s="189" customFormat="1" ht="12.05" customHeight="1">
      <c r="A810" s="289"/>
      <c r="B810" s="292">
        <v>4</v>
      </c>
      <c r="C810" s="292">
        <v>1</v>
      </c>
      <c r="D810" s="292">
        <v>4</v>
      </c>
      <c r="E810" s="292" t="s">
        <v>444</v>
      </c>
      <c r="F810" s="292" t="s">
        <v>441</v>
      </c>
      <c r="G810" s="253" t="s">
        <v>75</v>
      </c>
      <c r="H810" s="253"/>
      <c r="I810" s="253"/>
      <c r="J810" s="354">
        <v>27000000</v>
      </c>
      <c r="K810" s="373">
        <f>'[55]TARGET MURNI DAN PERUBAHAN'!$E$460</f>
        <v>0</v>
      </c>
      <c r="L810" s="360">
        <f>[56]PerDinas!$N$810</f>
        <v>46757068</v>
      </c>
      <c r="M810" s="373">
        <f>[55]Perdinas!$P$546</f>
        <v>17577750</v>
      </c>
      <c r="N810" s="369">
        <f>M810+L810</f>
        <v>64334818</v>
      </c>
      <c r="O810" s="355">
        <f>N810-K810</f>
        <v>64334818</v>
      </c>
      <c r="P810" s="388" t="e">
        <f>N810/K810*100</f>
        <v>#DIV/0!</v>
      </c>
      <c r="Q810" s="441"/>
      <c r="R810" s="545"/>
    </row>
    <row r="811" spans="1:18" s="189" customFormat="1" ht="12.05" customHeight="1">
      <c r="A811" s="293"/>
      <c r="B811" s="292"/>
      <c r="C811" s="292"/>
      <c r="D811" s="292"/>
      <c r="E811" s="292"/>
      <c r="F811" s="292"/>
      <c r="G811" s="253"/>
      <c r="H811" s="253"/>
      <c r="I811" s="253"/>
      <c r="J811" s="354"/>
      <c r="K811" s="355"/>
      <c r="L811" s="360"/>
      <c r="M811" s="355"/>
      <c r="N811" s="355"/>
      <c r="O811" s="355"/>
      <c r="P811" s="388"/>
      <c r="Q811" s="441"/>
      <c r="R811" s="422"/>
    </row>
    <row r="812" spans="1:18" s="189" customFormat="1" ht="12.05" customHeight="1">
      <c r="A812" s="293"/>
      <c r="B812" s="292">
        <v>4</v>
      </c>
      <c r="C812" s="292">
        <v>1</v>
      </c>
      <c r="D812" s="292">
        <v>4</v>
      </c>
      <c r="E812" s="292" t="s">
        <v>948</v>
      </c>
      <c r="F812" s="292"/>
      <c r="G812" s="253" t="s">
        <v>321</v>
      </c>
      <c r="H812" s="253"/>
      <c r="I812" s="253"/>
      <c r="J812" s="484" t="e">
        <f>+J813</f>
        <v>#REF!</v>
      </c>
      <c r="K812" s="485">
        <f>+K813</f>
        <v>0</v>
      </c>
      <c r="L812" s="486">
        <f>+L813</f>
        <v>2507140</v>
      </c>
      <c r="M812" s="485">
        <f>+M813</f>
        <v>0</v>
      </c>
      <c r="N812" s="412">
        <f>+M812+L812</f>
        <v>2507140</v>
      </c>
      <c r="O812" s="412">
        <f>N812-K812</f>
        <v>2507140</v>
      </c>
      <c r="P812" s="487" t="e">
        <f>N812/K812*100</f>
        <v>#DIV/0!</v>
      </c>
      <c r="Q812" s="541"/>
      <c r="R812" s="422"/>
    </row>
    <row r="813" spans="1:18" s="189" customFormat="1" ht="12.05" customHeight="1">
      <c r="A813" s="293"/>
      <c r="B813" s="292">
        <v>4</v>
      </c>
      <c r="C813" s="292">
        <v>1</v>
      </c>
      <c r="D813" s="292">
        <v>4</v>
      </c>
      <c r="E813" s="292" t="s">
        <v>948</v>
      </c>
      <c r="F813" s="292" t="s">
        <v>437</v>
      </c>
      <c r="G813" s="253" t="s">
        <v>85</v>
      </c>
      <c r="H813" s="253"/>
      <c r="I813" s="253"/>
      <c r="J813" s="333" t="e">
        <f>+J814+#REF!</f>
        <v>#REF!</v>
      </c>
      <c r="K813" s="334">
        <f>SUM(K814)</f>
        <v>0</v>
      </c>
      <c r="L813" s="356">
        <f>SUM(L814)</f>
        <v>2507140</v>
      </c>
      <c r="M813" s="334">
        <f>SUM(M814)</f>
        <v>0</v>
      </c>
      <c r="N813" s="334">
        <f>M813+L813</f>
        <v>2507140</v>
      </c>
      <c r="O813" s="497">
        <f>N813-K813</f>
        <v>2507140</v>
      </c>
      <c r="P813" s="498" t="e">
        <f>N813/K813*100</f>
        <v>#DIV/0!</v>
      </c>
      <c r="Q813" s="430"/>
      <c r="R813" s="422"/>
    </row>
    <row r="814" spans="1:18" s="189" customFormat="1" ht="12.05" customHeight="1">
      <c r="A814" s="293"/>
      <c r="B814" s="292"/>
      <c r="C814" s="292"/>
      <c r="D814" s="292"/>
      <c r="E814" s="292"/>
      <c r="F814" s="292"/>
      <c r="G814" s="253" t="s">
        <v>50</v>
      </c>
      <c r="H814" s="253"/>
      <c r="I814" s="253" t="s">
        <v>85</v>
      </c>
      <c r="J814" s="354">
        <v>5000000</v>
      </c>
      <c r="K814" s="373">
        <f>'[55]TARGET MURNI DAN PERUBAHAN'!$E$461</f>
        <v>0</v>
      </c>
      <c r="L814" s="360">
        <f>[56]PerDinas!$N$814</f>
        <v>2507140</v>
      </c>
      <c r="M814" s="373">
        <f>[55]Perdinas!$P$547</f>
        <v>0</v>
      </c>
      <c r="N814" s="369">
        <f>M814+L814</f>
        <v>2507140</v>
      </c>
      <c r="O814" s="355">
        <f>N814-K814</f>
        <v>2507140</v>
      </c>
      <c r="P814" s="388" t="e">
        <f>N814/K814*100</f>
        <v>#DIV/0!</v>
      </c>
      <c r="Q814" s="438"/>
      <c r="R814" s="422"/>
    </row>
    <row r="815" spans="1:18" s="189" customFormat="1" ht="12.05" customHeight="1">
      <c r="A815" s="465"/>
      <c r="B815" s="296"/>
      <c r="C815" s="296"/>
      <c r="D815" s="296"/>
      <c r="E815" s="296"/>
      <c r="F815" s="296"/>
      <c r="G815" s="297"/>
      <c r="H815" s="297"/>
      <c r="I815" s="297"/>
      <c r="J815" s="333"/>
      <c r="K815" s="334"/>
      <c r="L815" s="356"/>
      <c r="M815" s="334"/>
      <c r="N815" s="334"/>
      <c r="O815" s="334"/>
      <c r="P815" s="335"/>
      <c r="Q815" s="1314"/>
      <c r="R815" s="422"/>
    </row>
    <row r="816" spans="1:18" s="244" customFormat="1" ht="12.05" customHeight="1">
      <c r="A816" s="1186" t="s">
        <v>339</v>
      </c>
      <c r="B816" s="1187" t="s">
        <v>460</v>
      </c>
      <c r="C816" s="1187" t="s">
        <v>437</v>
      </c>
      <c r="D816" s="1187" t="s">
        <v>438</v>
      </c>
      <c r="E816" s="1187"/>
      <c r="F816" s="1187"/>
      <c r="G816" s="1188" t="s">
        <v>523</v>
      </c>
      <c r="H816" s="1188"/>
      <c r="I816" s="1188"/>
      <c r="J816" s="1195">
        <f>+J818</f>
        <v>1417000000</v>
      </c>
      <c r="K816" s="1196">
        <f>+K818</f>
        <v>10000000</v>
      </c>
      <c r="L816" s="1196">
        <f>+L818</f>
        <v>148936219</v>
      </c>
      <c r="M816" s="1196">
        <f>+M818</f>
        <v>55122700</v>
      </c>
      <c r="N816" s="1196">
        <f>M816+L816</f>
        <v>204058919</v>
      </c>
      <c r="O816" s="1196">
        <f>+N816-K816</f>
        <v>194058919</v>
      </c>
      <c r="P816" s="1197">
        <f>+N816/K816*100</f>
        <v>2040.5891900000001</v>
      </c>
      <c r="Q816" s="1208"/>
      <c r="R816" s="788">
        <f>N816-[55]Perdinas!$Q$549</f>
        <v>0</v>
      </c>
    </row>
    <row r="817" spans="1:18" s="189" customFormat="1" ht="12.05" customHeight="1">
      <c r="A817" s="471"/>
      <c r="B817" s="287"/>
      <c r="C817" s="287"/>
      <c r="D817" s="287"/>
      <c r="E817" s="287"/>
      <c r="F817" s="287"/>
      <c r="G817" s="288"/>
      <c r="H817" s="288"/>
      <c r="I817" s="1050"/>
      <c r="J817" s="339"/>
      <c r="K817" s="340"/>
      <c r="L817" s="340"/>
      <c r="M817" s="340"/>
      <c r="N817" s="340"/>
      <c r="O817" s="340"/>
      <c r="P817" s="341"/>
      <c r="Q817" s="435"/>
      <c r="R817" s="422"/>
    </row>
    <row r="818" spans="1:18" s="189" customFormat="1" ht="12.05" customHeight="1">
      <c r="A818" s="293"/>
      <c r="B818" s="290">
        <v>4</v>
      </c>
      <c r="C818" s="290">
        <v>1</v>
      </c>
      <c r="D818" s="290"/>
      <c r="E818" s="290"/>
      <c r="F818" s="290"/>
      <c r="G818" s="291" t="s">
        <v>180</v>
      </c>
      <c r="H818" s="291"/>
      <c r="I818" s="291"/>
      <c r="J818" s="342">
        <f>+J820+J833</f>
        <v>1417000000</v>
      </c>
      <c r="K818" s="343">
        <f>+K820+K833</f>
        <v>10000000</v>
      </c>
      <c r="L818" s="343">
        <f>+L820+L833</f>
        <v>148936219</v>
      </c>
      <c r="M818" s="343">
        <f>+M820+M833</f>
        <v>55122700</v>
      </c>
      <c r="N818" s="343">
        <f>+M818+L818</f>
        <v>204058919</v>
      </c>
      <c r="O818" s="343">
        <f t="shared" ref="O818:O825" si="118">N818-K818</f>
        <v>194058919</v>
      </c>
      <c r="P818" s="344">
        <f t="shared" ref="P818:P825" si="119">N818/K818*100</f>
        <v>2040.5891900000001</v>
      </c>
      <c r="Q818" s="437"/>
      <c r="R818" s="422"/>
    </row>
    <row r="819" spans="1:18" s="189" customFormat="1" ht="12.05" customHeight="1">
      <c r="A819" s="293"/>
      <c r="B819" s="292"/>
      <c r="C819" s="292"/>
      <c r="D819" s="292"/>
      <c r="E819" s="292"/>
      <c r="F819" s="292"/>
      <c r="G819" s="253"/>
      <c r="H819" s="253"/>
      <c r="I819" s="291"/>
      <c r="J819" s="345"/>
      <c r="K819" s="346"/>
      <c r="L819" s="346"/>
      <c r="M819" s="346"/>
      <c r="N819" s="346"/>
      <c r="O819" s="346"/>
      <c r="P819" s="347"/>
      <c r="Q819" s="438"/>
      <c r="R819" s="422"/>
    </row>
    <row r="820" spans="1:18" s="189" customFormat="1" ht="12.05" customHeight="1">
      <c r="A820" s="293"/>
      <c r="B820" s="290">
        <v>4</v>
      </c>
      <c r="C820" s="290">
        <v>1</v>
      </c>
      <c r="D820" s="290">
        <v>2</v>
      </c>
      <c r="E820" s="290"/>
      <c r="F820" s="290"/>
      <c r="G820" s="291" t="s">
        <v>106</v>
      </c>
      <c r="H820" s="291"/>
      <c r="I820" s="291"/>
      <c r="J820" s="348">
        <f>+J822</f>
        <v>555000000</v>
      </c>
      <c r="K820" s="349">
        <f>+K822</f>
        <v>10000000</v>
      </c>
      <c r="L820" s="395">
        <f>+L822</f>
        <v>19983750</v>
      </c>
      <c r="M820" s="395">
        <f>+M822</f>
        <v>32369500</v>
      </c>
      <c r="N820" s="395">
        <f>+M820+L820</f>
        <v>52353250</v>
      </c>
      <c r="O820" s="395">
        <f t="shared" si="118"/>
        <v>42353250</v>
      </c>
      <c r="P820" s="590">
        <f t="shared" si="119"/>
        <v>523.53249999999991</v>
      </c>
      <c r="Q820" s="439"/>
      <c r="R820" s="422"/>
    </row>
    <row r="821" spans="1:18" s="189" customFormat="1" ht="12.05" customHeight="1">
      <c r="A821" s="293"/>
      <c r="B821" s="292"/>
      <c r="C821" s="292"/>
      <c r="D821" s="292"/>
      <c r="E821" s="292"/>
      <c r="F821" s="292"/>
      <c r="G821" s="253"/>
      <c r="H821" s="253"/>
      <c r="I821" s="253"/>
      <c r="J821" s="354"/>
      <c r="K821" s="355"/>
      <c r="L821" s="360"/>
      <c r="M821" s="355"/>
      <c r="N821" s="355"/>
      <c r="O821" s="355"/>
      <c r="P821" s="388"/>
      <c r="Q821" s="441"/>
      <c r="R821" s="422"/>
    </row>
    <row r="822" spans="1:18" s="189" customFormat="1" ht="12.05" customHeight="1">
      <c r="A822" s="293"/>
      <c r="B822" s="292">
        <v>4</v>
      </c>
      <c r="C822" s="292">
        <v>1</v>
      </c>
      <c r="D822" s="292">
        <v>2</v>
      </c>
      <c r="E822" s="292" t="s">
        <v>438</v>
      </c>
      <c r="F822" s="292"/>
      <c r="G822" s="253" t="s">
        <v>374</v>
      </c>
      <c r="H822" s="253"/>
      <c r="I822" s="253"/>
      <c r="J822" s="484">
        <f>+J823+J827</f>
        <v>555000000</v>
      </c>
      <c r="K822" s="485">
        <f>+K823+K827</f>
        <v>10000000</v>
      </c>
      <c r="L822" s="486">
        <f>+L823+L827</f>
        <v>19983750</v>
      </c>
      <c r="M822" s="485">
        <f>+M823+M827</f>
        <v>32369500</v>
      </c>
      <c r="N822" s="485">
        <f>+N823+N827</f>
        <v>52353250</v>
      </c>
      <c r="O822" s="412">
        <f t="shared" si="118"/>
        <v>42353250</v>
      </c>
      <c r="P822" s="487">
        <f t="shared" si="119"/>
        <v>523.53249999999991</v>
      </c>
      <c r="Q822" s="541"/>
      <c r="R822" s="422"/>
    </row>
    <row r="823" spans="1:18" s="189" customFormat="1" ht="12.05" customHeight="1">
      <c r="A823" s="289"/>
      <c r="B823" s="292">
        <v>4</v>
      </c>
      <c r="C823" s="292">
        <v>1</v>
      </c>
      <c r="D823" s="292">
        <v>2</v>
      </c>
      <c r="E823" s="292" t="s">
        <v>438</v>
      </c>
      <c r="F823" s="292" t="s">
        <v>437</v>
      </c>
      <c r="G823" s="253" t="s">
        <v>64</v>
      </c>
      <c r="H823" s="253"/>
      <c r="I823" s="253"/>
      <c r="J823" s="333">
        <f>+J824+J825</f>
        <v>535900000</v>
      </c>
      <c r="K823" s="334">
        <f>+K824+K825</f>
        <v>0</v>
      </c>
      <c r="L823" s="356">
        <f>+L824+L825</f>
        <v>10063750</v>
      </c>
      <c r="M823" s="334">
        <f>+M824+M825</f>
        <v>0</v>
      </c>
      <c r="N823" s="361">
        <f>M823+L823</f>
        <v>10063750</v>
      </c>
      <c r="O823" s="334">
        <f t="shared" si="118"/>
        <v>10063750</v>
      </c>
      <c r="P823" s="335" t="e">
        <f t="shared" si="119"/>
        <v>#DIV/0!</v>
      </c>
      <c r="Q823" s="430"/>
      <c r="R823" s="422"/>
    </row>
    <row r="824" spans="1:18" s="189" customFormat="1" ht="12.05" customHeight="1">
      <c r="A824" s="293"/>
      <c r="B824" s="292"/>
      <c r="C824" s="292"/>
      <c r="D824" s="292"/>
      <c r="E824" s="292"/>
      <c r="F824" s="292"/>
      <c r="G824" s="253" t="s">
        <v>50</v>
      </c>
      <c r="H824" s="253"/>
      <c r="I824" s="253" t="s">
        <v>524</v>
      </c>
      <c r="J824" s="354">
        <v>15000000</v>
      </c>
      <c r="K824" s="355">
        <f>'[55]TARGET MURNI DAN PERUBAHAN'!$E$467</f>
        <v>0</v>
      </c>
      <c r="L824" s="360">
        <f>[56]PerDinas!$N$824</f>
        <v>0</v>
      </c>
      <c r="M824" s="355">
        <f>[55]Perdinas!$P$552</f>
        <v>0</v>
      </c>
      <c r="N824" s="771">
        <f>M824+L824</f>
        <v>0</v>
      </c>
      <c r="O824" s="355">
        <f t="shared" si="118"/>
        <v>0</v>
      </c>
      <c r="P824" s="388" t="e">
        <f t="shared" si="119"/>
        <v>#DIV/0!</v>
      </c>
      <c r="Q824" s="441"/>
      <c r="R824" s="422"/>
    </row>
    <row r="825" spans="1:18" s="189" customFormat="1" ht="12.05" customHeight="1">
      <c r="A825" s="293"/>
      <c r="B825" s="292"/>
      <c r="C825" s="292"/>
      <c r="D825" s="292"/>
      <c r="E825" s="292"/>
      <c r="F825" s="292"/>
      <c r="G825" s="253" t="s">
        <v>50</v>
      </c>
      <c r="H825" s="253"/>
      <c r="I825" s="253" t="s">
        <v>525</v>
      </c>
      <c r="J825" s="354">
        <v>520900000</v>
      </c>
      <c r="K825" s="355">
        <f>'[55]TARGET MURNI DAN PERUBAHAN'!$E$468</f>
        <v>0</v>
      </c>
      <c r="L825" s="360">
        <f>[56]PerDinas!$N$825</f>
        <v>10063750</v>
      </c>
      <c r="M825" s="373">
        <f>[55]Perdinas!$P$553</f>
        <v>0</v>
      </c>
      <c r="N825" s="355">
        <f>M825+L825</f>
        <v>10063750</v>
      </c>
      <c r="O825" s="355">
        <f t="shared" si="118"/>
        <v>10063750</v>
      </c>
      <c r="P825" s="388" t="e">
        <f t="shared" si="119"/>
        <v>#DIV/0!</v>
      </c>
      <c r="Q825" s="441"/>
      <c r="R825" s="422"/>
    </row>
    <row r="826" spans="1:18" s="189" customFormat="1" ht="12.05" customHeight="1">
      <c r="A826" s="293"/>
      <c r="B826" s="292"/>
      <c r="C826" s="292"/>
      <c r="D826" s="292"/>
      <c r="E826" s="292"/>
      <c r="F826" s="292"/>
      <c r="G826" s="253"/>
      <c r="H826" s="253"/>
      <c r="I826" s="253"/>
      <c r="J826" s="354"/>
      <c r="K826" s="355"/>
      <c r="L826" s="360"/>
      <c r="M826" s="355"/>
      <c r="N826" s="355"/>
      <c r="O826" s="355"/>
      <c r="P826" s="388"/>
      <c r="Q826" s="441"/>
      <c r="R826" s="422"/>
    </row>
    <row r="827" spans="1:18" s="189" customFormat="1" ht="12.05" customHeight="1">
      <c r="A827" s="293"/>
      <c r="B827" s="292">
        <v>4</v>
      </c>
      <c r="C827" s="292">
        <v>1</v>
      </c>
      <c r="D827" s="292">
        <v>2</v>
      </c>
      <c r="E827" s="292" t="s">
        <v>438</v>
      </c>
      <c r="F827" s="292" t="s">
        <v>448</v>
      </c>
      <c r="G827" s="253" t="s">
        <v>361</v>
      </c>
      <c r="H827" s="253"/>
      <c r="I827" s="253"/>
      <c r="J827" s="763">
        <f>SUM(J828:J831)</f>
        <v>19100000</v>
      </c>
      <c r="K827" s="529">
        <f>SUM(K828:K831)</f>
        <v>10000000</v>
      </c>
      <c r="L827" s="764">
        <f>SUM(L828:L831)</f>
        <v>9920000</v>
      </c>
      <c r="M827" s="529">
        <f>SUM(M828:M831)</f>
        <v>32369500</v>
      </c>
      <c r="N827" s="1051">
        <f>M827+L827</f>
        <v>42289500</v>
      </c>
      <c r="O827" s="527">
        <f>N827-K827</f>
        <v>32289500</v>
      </c>
      <c r="P827" s="671">
        <f>N827/K827*100</f>
        <v>422.89500000000004</v>
      </c>
      <c r="Q827" s="785"/>
      <c r="R827" s="422"/>
    </row>
    <row r="828" spans="1:18" s="189" customFormat="1" ht="12.05" customHeight="1">
      <c r="A828" s="293"/>
      <c r="B828" s="292"/>
      <c r="C828" s="292"/>
      <c r="D828" s="292"/>
      <c r="E828" s="292"/>
      <c r="F828" s="292"/>
      <c r="G828" s="253" t="s">
        <v>50</v>
      </c>
      <c r="H828" s="253"/>
      <c r="I828" s="253" t="s">
        <v>540</v>
      </c>
      <c r="J828" s="389">
        <v>1800000</v>
      </c>
      <c r="K828" s="357"/>
      <c r="L828" s="391"/>
      <c r="M828" s="357">
        <f>[55]Perdinas!$P$556</f>
        <v>0</v>
      </c>
      <c r="N828" s="357"/>
      <c r="O828" s="357"/>
      <c r="P828" s="358"/>
      <c r="Q828" s="442"/>
      <c r="R828" s="422"/>
    </row>
    <row r="829" spans="1:18" s="189" customFormat="1" ht="12.05" customHeight="1">
      <c r="A829" s="293"/>
      <c r="B829" s="292"/>
      <c r="C829" s="292"/>
      <c r="D829" s="292"/>
      <c r="E829" s="292"/>
      <c r="F829" s="292"/>
      <c r="G829" s="1003" t="s">
        <v>50</v>
      </c>
      <c r="H829" s="1003"/>
      <c r="I829" s="1003" t="s">
        <v>1000</v>
      </c>
      <c r="J829" s="1041">
        <v>3300000</v>
      </c>
      <c r="K829" s="360"/>
      <c r="L829" s="391"/>
      <c r="M829" s="360"/>
      <c r="N829" s="360"/>
      <c r="O829" s="360"/>
      <c r="P829" s="1042"/>
      <c r="Q829" s="795"/>
      <c r="R829" s="422"/>
    </row>
    <row r="830" spans="1:18" s="189" customFormat="1" ht="12.05" customHeight="1">
      <c r="A830" s="293"/>
      <c r="B830" s="292"/>
      <c r="C830" s="292"/>
      <c r="D830" s="292"/>
      <c r="E830" s="292"/>
      <c r="F830" s="292"/>
      <c r="G830" s="1003" t="s">
        <v>50</v>
      </c>
      <c r="H830" s="1003"/>
      <c r="I830" s="1003" t="s">
        <v>1001</v>
      </c>
      <c r="J830" s="1041">
        <v>4000000</v>
      </c>
      <c r="K830" s="360"/>
      <c r="L830" s="391"/>
      <c r="M830" s="360"/>
      <c r="N830" s="360"/>
      <c r="O830" s="360"/>
      <c r="P830" s="1042"/>
      <c r="Q830" s="795"/>
      <c r="R830" s="422"/>
    </row>
    <row r="831" spans="1:18" s="189" customFormat="1" ht="15.05">
      <c r="A831" s="293"/>
      <c r="B831" s="292"/>
      <c r="C831" s="292"/>
      <c r="D831" s="292"/>
      <c r="E831" s="292"/>
      <c r="F831" s="292"/>
      <c r="G831" s="253" t="s">
        <v>50</v>
      </c>
      <c r="H831" s="253"/>
      <c r="I831" s="568" t="s">
        <v>1002</v>
      </c>
      <c r="J831" s="354">
        <v>10000000</v>
      </c>
      <c r="K831" s="1313">
        <f>'[55]TARGET MURNI DAN PERUBAHAN'!$E$474</f>
        <v>10000000</v>
      </c>
      <c r="L831" s="391">
        <f>[56]PerDinas!$N$831</f>
        <v>9920000</v>
      </c>
      <c r="M831" s="1052">
        <f>[55]Perdinas!$P$557</f>
        <v>32369500</v>
      </c>
      <c r="N831" s="1053">
        <f t="shared" ref="N831:N837" si="120">M831+L831</f>
        <v>42289500</v>
      </c>
      <c r="O831" s="334">
        <f t="shared" ref="O831:O837" si="121">N831-K831</f>
        <v>32289500</v>
      </c>
      <c r="P831" s="335">
        <f>N831/K831*100</f>
        <v>422.89500000000004</v>
      </c>
      <c r="Q831" s="442"/>
      <c r="R831" s="422"/>
    </row>
    <row r="832" spans="1:18" s="189" customFormat="1" ht="12.05" customHeight="1">
      <c r="A832" s="293"/>
      <c r="B832" s="292"/>
      <c r="C832" s="292"/>
      <c r="D832" s="292"/>
      <c r="E832" s="292"/>
      <c r="F832" s="292"/>
      <c r="G832" s="253"/>
      <c r="H832" s="253"/>
      <c r="I832" s="253"/>
      <c r="J832" s="354"/>
      <c r="K832" s="355"/>
      <c r="L832" s="360"/>
      <c r="M832" s="355"/>
      <c r="N832" s="355"/>
      <c r="O832" s="355"/>
      <c r="P832" s="388"/>
      <c r="Q832" s="441"/>
      <c r="R832" s="422"/>
    </row>
    <row r="833" spans="1:18" s="189" customFormat="1" ht="12.05" customHeight="1">
      <c r="A833" s="293"/>
      <c r="B833" s="290">
        <v>4</v>
      </c>
      <c r="C833" s="290">
        <v>1</v>
      </c>
      <c r="D833" s="290">
        <v>4</v>
      </c>
      <c r="E833" s="290"/>
      <c r="F833" s="290"/>
      <c r="G833" s="291" t="s">
        <v>71</v>
      </c>
      <c r="H833" s="291"/>
      <c r="I833" s="291"/>
      <c r="J833" s="392">
        <f>J834+J839</f>
        <v>862000000</v>
      </c>
      <c r="K833" s="393">
        <f>K834+K839+K841</f>
        <v>0</v>
      </c>
      <c r="L833" s="393">
        <f>L834+L839+L841</f>
        <v>128952469</v>
      </c>
      <c r="M833" s="393">
        <f>M834+M839+M841</f>
        <v>22753200</v>
      </c>
      <c r="N833" s="393">
        <f t="shared" si="120"/>
        <v>151705669</v>
      </c>
      <c r="O833" s="349">
        <f t="shared" si="121"/>
        <v>151705669</v>
      </c>
      <c r="P833" s="350" t="e">
        <f>N833/K833*100</f>
        <v>#DIV/0!</v>
      </c>
      <c r="Q833" s="444"/>
      <c r="R833" s="422"/>
    </row>
    <row r="834" spans="1:18" s="189" customFormat="1" ht="12.05" customHeight="1">
      <c r="A834" s="289"/>
      <c r="B834" s="292">
        <v>4</v>
      </c>
      <c r="C834" s="292">
        <v>1</v>
      </c>
      <c r="D834" s="292">
        <v>4</v>
      </c>
      <c r="E834" s="292" t="s">
        <v>444</v>
      </c>
      <c r="F834" s="292"/>
      <c r="G834" s="253" t="s">
        <v>222</v>
      </c>
      <c r="H834" s="253"/>
      <c r="I834" s="253"/>
      <c r="J834" s="484">
        <f>+J837</f>
        <v>17000000</v>
      </c>
      <c r="K834" s="485">
        <f>+K837</f>
        <v>0</v>
      </c>
      <c r="L834" s="486">
        <f>SUM(L835:L837)</f>
        <v>15432269</v>
      </c>
      <c r="M834" s="485">
        <f>SUM(M835:M837)</f>
        <v>10212000</v>
      </c>
      <c r="N834" s="485">
        <f>SUM(N835:N837)</f>
        <v>25644269</v>
      </c>
      <c r="O834" s="412">
        <f t="shared" si="121"/>
        <v>25644269</v>
      </c>
      <c r="P834" s="487">
        <v>0</v>
      </c>
      <c r="Q834" s="644"/>
      <c r="R834" s="422"/>
    </row>
    <row r="835" spans="1:18" s="189" customFormat="1" ht="12.05" customHeight="1">
      <c r="A835" s="289"/>
      <c r="B835" s="292">
        <v>4</v>
      </c>
      <c r="C835" s="292">
        <v>1</v>
      </c>
      <c r="D835" s="292">
        <v>4</v>
      </c>
      <c r="E835" s="292" t="s">
        <v>444</v>
      </c>
      <c r="F835" s="292" t="s">
        <v>440</v>
      </c>
      <c r="G835" s="253" t="s">
        <v>73</v>
      </c>
      <c r="H835" s="253"/>
      <c r="I835" s="253"/>
      <c r="J835" s="354">
        <v>0</v>
      </c>
      <c r="K835" s="355">
        <v>0</v>
      </c>
      <c r="L835" s="360">
        <v>0</v>
      </c>
      <c r="M835" s="355">
        <f>[55]Perdinas!$P$561</f>
        <v>0</v>
      </c>
      <c r="N835" s="355">
        <f t="shared" si="120"/>
        <v>0</v>
      </c>
      <c r="O835" s="355">
        <f t="shared" si="121"/>
        <v>0</v>
      </c>
      <c r="P835" s="388"/>
      <c r="Q835" s="442"/>
      <c r="R835" s="422"/>
    </row>
    <row r="836" spans="1:18" s="189" customFormat="1" ht="12.05" customHeight="1">
      <c r="A836" s="289"/>
      <c r="B836" s="292">
        <v>4</v>
      </c>
      <c r="C836" s="292">
        <v>1</v>
      </c>
      <c r="D836" s="292">
        <v>4</v>
      </c>
      <c r="E836" s="292" t="s">
        <v>444</v>
      </c>
      <c r="F836" s="292" t="s">
        <v>445</v>
      </c>
      <c r="G836" s="253" t="s">
        <v>74</v>
      </c>
      <c r="H836" s="253"/>
      <c r="I836" s="253"/>
      <c r="J836" s="354">
        <v>0</v>
      </c>
      <c r="K836" s="355">
        <v>0</v>
      </c>
      <c r="L836" s="360">
        <v>0</v>
      </c>
      <c r="M836" s="355">
        <f>[55]Perdinas!$P$562</f>
        <v>0</v>
      </c>
      <c r="N836" s="355">
        <f t="shared" si="120"/>
        <v>0</v>
      </c>
      <c r="O836" s="355">
        <f t="shared" si="121"/>
        <v>0</v>
      </c>
      <c r="P836" s="388"/>
      <c r="Q836" s="441"/>
      <c r="R836" s="422"/>
    </row>
    <row r="837" spans="1:18" s="189" customFormat="1" ht="12.05" customHeight="1">
      <c r="A837" s="289"/>
      <c r="B837" s="292">
        <v>4</v>
      </c>
      <c r="C837" s="292">
        <v>1</v>
      </c>
      <c r="D837" s="292">
        <v>4</v>
      </c>
      <c r="E837" s="292" t="s">
        <v>444</v>
      </c>
      <c r="F837" s="292" t="s">
        <v>441</v>
      </c>
      <c r="G837" s="253" t="s">
        <v>75</v>
      </c>
      <c r="H837" s="253"/>
      <c r="I837" s="253"/>
      <c r="J837" s="354">
        <v>17000000</v>
      </c>
      <c r="K837" s="373">
        <f>'[55]TARGET MURNI DAN PERUBAHAN'!$E$479</f>
        <v>0</v>
      </c>
      <c r="L837" s="360">
        <f>[56]PerDinas!$N$837</f>
        <v>15432269</v>
      </c>
      <c r="M837" s="373">
        <f>[55]Perdinas!$P$563</f>
        <v>10212000</v>
      </c>
      <c r="N837" s="369">
        <f t="shared" si="120"/>
        <v>25644269</v>
      </c>
      <c r="O837" s="355">
        <f t="shared" si="121"/>
        <v>25644269</v>
      </c>
      <c r="P837" s="388" t="e">
        <f t="shared" ref="P837:P842" si="122">N837/K837*100</f>
        <v>#DIV/0!</v>
      </c>
      <c r="Q837" s="441"/>
      <c r="R837" s="545"/>
    </row>
    <row r="838" spans="1:18" s="189" customFormat="1" ht="12.05" customHeight="1">
      <c r="A838" s="293"/>
      <c r="B838" s="292"/>
      <c r="C838" s="292"/>
      <c r="D838" s="292"/>
      <c r="E838" s="292"/>
      <c r="F838" s="292"/>
      <c r="G838" s="253"/>
      <c r="H838" s="253"/>
      <c r="I838" s="253"/>
      <c r="J838" s="354"/>
      <c r="K838" s="355"/>
      <c r="L838" s="360"/>
      <c r="M838" s="355"/>
      <c r="N838" s="355"/>
      <c r="O838" s="355"/>
      <c r="P838" s="388"/>
      <c r="Q838" s="441"/>
      <c r="R838" s="422"/>
    </row>
    <row r="839" spans="1:18" s="189" customFormat="1" ht="12.05" customHeight="1">
      <c r="A839" s="293"/>
      <c r="B839" s="292">
        <v>4</v>
      </c>
      <c r="C839" s="292">
        <v>1</v>
      </c>
      <c r="D839" s="292">
        <v>4</v>
      </c>
      <c r="E839" s="292" t="s">
        <v>948</v>
      </c>
      <c r="F839" s="292"/>
      <c r="G839" s="253" t="s">
        <v>321</v>
      </c>
      <c r="H839" s="253"/>
      <c r="I839" s="253"/>
      <c r="J839" s="484">
        <f t="shared" ref="J839:P839" si="123">+J840</f>
        <v>845000000</v>
      </c>
      <c r="K839" s="485">
        <f t="shared" si="123"/>
        <v>0</v>
      </c>
      <c r="L839" s="486">
        <f t="shared" si="123"/>
        <v>0</v>
      </c>
      <c r="M839" s="485">
        <f t="shared" si="123"/>
        <v>0</v>
      </c>
      <c r="N839" s="485">
        <f t="shared" si="123"/>
        <v>0</v>
      </c>
      <c r="O839" s="485">
        <f t="shared" si="123"/>
        <v>0</v>
      </c>
      <c r="P839" s="871" t="e">
        <f t="shared" si="123"/>
        <v>#DIV/0!</v>
      </c>
      <c r="Q839" s="541"/>
      <c r="R839" s="422"/>
    </row>
    <row r="840" spans="1:18" s="189" customFormat="1" ht="12.05" customHeight="1">
      <c r="A840" s="293"/>
      <c r="B840" s="292">
        <v>4</v>
      </c>
      <c r="C840" s="292">
        <v>1</v>
      </c>
      <c r="D840" s="292">
        <v>4</v>
      </c>
      <c r="E840" s="292" t="s">
        <v>948</v>
      </c>
      <c r="F840" s="292" t="s">
        <v>437</v>
      </c>
      <c r="G840" s="253" t="s">
        <v>85</v>
      </c>
      <c r="H840" s="253"/>
      <c r="I840" s="253"/>
      <c r="J840" s="333">
        <f>SUM(J841:J842)</f>
        <v>845000000</v>
      </c>
      <c r="K840" s="334">
        <f>K842</f>
        <v>0</v>
      </c>
      <c r="L840" s="334">
        <f>L842</f>
        <v>0</v>
      </c>
      <c r="M840" s="334">
        <f>M842</f>
        <v>0</v>
      </c>
      <c r="N840" s="334">
        <f>M840+L840</f>
        <v>0</v>
      </c>
      <c r="O840" s="334">
        <f>N840-K840</f>
        <v>0</v>
      </c>
      <c r="P840" s="1060" t="e">
        <f t="shared" si="122"/>
        <v>#DIV/0!</v>
      </c>
      <c r="Q840" s="430"/>
      <c r="R840" s="422"/>
    </row>
    <row r="841" spans="1:18" s="189" customFormat="1" ht="12.05" customHeight="1">
      <c r="A841" s="293"/>
      <c r="B841" s="292"/>
      <c r="C841" s="292"/>
      <c r="D841" s="292"/>
      <c r="E841" s="292"/>
      <c r="F841" s="292"/>
      <c r="G841" s="2760" t="s">
        <v>50</v>
      </c>
      <c r="H841" s="253"/>
      <c r="I841" s="1061" t="s">
        <v>1003</v>
      </c>
      <c r="J841" s="354">
        <v>0</v>
      </c>
      <c r="K841" s="1062">
        <f>'[55]TARGET MURNI DAN PERUBAHAN'!$E$480</f>
        <v>0</v>
      </c>
      <c r="L841" s="1063">
        <f>[56]PerDinas!$N$841</f>
        <v>113520200</v>
      </c>
      <c r="M841" s="1062">
        <f>[55]Perdinas!$P$560</f>
        <v>12541200</v>
      </c>
      <c r="N841" s="1064">
        <f>M841+L841</f>
        <v>126061400</v>
      </c>
      <c r="O841" s="1062">
        <f>N841-K841</f>
        <v>126061400</v>
      </c>
      <c r="P841" s="1065"/>
      <c r="Q841" s="1074"/>
      <c r="R841" s="422"/>
    </row>
    <row r="842" spans="1:18" s="189" customFormat="1" ht="12.05" customHeight="1">
      <c r="A842" s="293"/>
      <c r="B842" s="292"/>
      <c r="C842" s="292"/>
      <c r="D842" s="292"/>
      <c r="E842" s="292"/>
      <c r="F842" s="292"/>
      <c r="G842" s="2760" t="s">
        <v>50</v>
      </c>
      <c r="H842" s="253"/>
      <c r="I842" s="253" t="s">
        <v>1004</v>
      </c>
      <c r="J842" s="389">
        <v>845000000</v>
      </c>
      <c r="K842" s="1062">
        <f>'[55]TARGET MURNI DAN PERUBAHAN'!$E$481</f>
        <v>0</v>
      </c>
      <c r="L842" s="360">
        <v>0</v>
      </c>
      <c r="M842" s="373">
        <f>[55]Perdinas!$P$564</f>
        <v>0</v>
      </c>
      <c r="N842" s="369">
        <f>M842+L842</f>
        <v>0</v>
      </c>
      <c r="O842" s="355">
        <f>N842-K842</f>
        <v>0</v>
      </c>
      <c r="P842" s="388" t="e">
        <f t="shared" si="122"/>
        <v>#DIV/0!</v>
      </c>
      <c r="Q842" s="441"/>
      <c r="R842" s="422"/>
    </row>
    <row r="843" spans="1:18" s="189" customFormat="1" ht="12.05" customHeight="1">
      <c r="A843" s="293"/>
      <c r="B843" s="292"/>
      <c r="C843" s="292"/>
      <c r="D843" s="292"/>
      <c r="E843" s="292"/>
      <c r="F843" s="292"/>
      <c r="G843" s="253"/>
      <c r="H843" s="253"/>
      <c r="I843" s="253"/>
      <c r="J843" s="389"/>
      <c r="K843" s="357"/>
      <c r="L843" s="391">
        <v>0</v>
      </c>
      <c r="M843" s="357"/>
      <c r="N843" s="355"/>
      <c r="O843" s="355"/>
      <c r="P843" s="388"/>
      <c r="Q843" s="441"/>
      <c r="R843" s="422"/>
    </row>
    <row r="844" spans="1:18" s="189" customFormat="1" ht="12.05" customHeight="1">
      <c r="A844" s="1059"/>
      <c r="B844" s="578"/>
      <c r="C844" s="578"/>
      <c r="D844" s="578"/>
      <c r="E844" s="578"/>
      <c r="F844" s="578"/>
      <c r="J844" s="333"/>
      <c r="K844" s="334"/>
      <c r="L844" s="334"/>
      <c r="M844" s="334"/>
      <c r="N844" s="334"/>
      <c r="O844" s="334"/>
      <c r="P844" s="335"/>
      <c r="Q844" s="430"/>
      <c r="R844" s="422"/>
    </row>
    <row r="845" spans="1:18" s="244" customFormat="1" ht="12.05" customHeight="1">
      <c r="A845" s="283" t="s">
        <v>355</v>
      </c>
      <c r="B845" s="284" t="s">
        <v>460</v>
      </c>
      <c r="C845" s="284" t="s">
        <v>437</v>
      </c>
      <c r="D845" s="284" t="s">
        <v>440</v>
      </c>
      <c r="E845" s="284"/>
      <c r="F845" s="284"/>
      <c r="G845" s="298" t="s">
        <v>356</v>
      </c>
      <c r="H845" s="298"/>
      <c r="I845" s="298"/>
      <c r="J845" s="336">
        <f>+J847</f>
        <v>1922500000</v>
      </c>
      <c r="K845" s="337">
        <f>+K847</f>
        <v>1004500000</v>
      </c>
      <c r="L845" s="337">
        <f>+L847</f>
        <v>587036225</v>
      </c>
      <c r="M845" s="337">
        <f>+M847</f>
        <v>62007700</v>
      </c>
      <c r="N845" s="337">
        <f>M845+L845</f>
        <v>649043925</v>
      </c>
      <c r="O845" s="337">
        <f>+N845-K845</f>
        <v>-355456075</v>
      </c>
      <c r="P845" s="338">
        <f>+N845/K845*100</f>
        <v>64.613631159780979</v>
      </c>
      <c r="Q845" s="432"/>
      <c r="R845" s="639"/>
    </row>
    <row r="846" spans="1:18" s="189" customFormat="1" ht="12.05" customHeight="1">
      <c r="A846" s="471"/>
      <c r="B846" s="287"/>
      <c r="C846" s="287"/>
      <c r="D846" s="287"/>
      <c r="E846" s="287"/>
      <c r="F846" s="287"/>
      <c r="G846" s="288"/>
      <c r="H846" s="288"/>
      <c r="I846" s="288"/>
      <c r="J846" s="385"/>
      <c r="K846" s="386"/>
      <c r="L846" s="386"/>
      <c r="M846" s="386"/>
      <c r="N846" s="386"/>
      <c r="O846" s="386"/>
      <c r="P846" s="341"/>
      <c r="Q846" s="453"/>
      <c r="R846" s="422"/>
    </row>
    <row r="847" spans="1:18" s="189" customFormat="1" ht="12.05" customHeight="1">
      <c r="A847" s="293"/>
      <c r="B847" s="290">
        <v>4</v>
      </c>
      <c r="C847" s="290">
        <v>1</v>
      </c>
      <c r="D847" s="290"/>
      <c r="E847" s="290"/>
      <c r="F847" s="290"/>
      <c r="G847" s="291" t="s">
        <v>180</v>
      </c>
      <c r="H847" s="291"/>
      <c r="I847" s="291"/>
      <c r="J847" s="342">
        <f>+J849+J867</f>
        <v>1922500000</v>
      </c>
      <c r="K847" s="343">
        <f>+K849+K867</f>
        <v>1004500000</v>
      </c>
      <c r="L847" s="343">
        <f>+L849+L867</f>
        <v>587036225</v>
      </c>
      <c r="M847" s="343">
        <f>+M849+M867</f>
        <v>62007700</v>
      </c>
      <c r="N847" s="343">
        <f>+M847+L847</f>
        <v>649043925</v>
      </c>
      <c r="O847" s="343">
        <f>N847-K847</f>
        <v>-355456075</v>
      </c>
      <c r="P847" s="344">
        <f>N847/K847*100</f>
        <v>64.613631159780979</v>
      </c>
      <c r="Q847" s="437"/>
      <c r="R847" s="422"/>
    </row>
    <row r="848" spans="1:18" s="189" customFormat="1" ht="12.05" customHeight="1">
      <c r="A848" s="293"/>
      <c r="B848" s="292"/>
      <c r="C848" s="292"/>
      <c r="D848" s="292"/>
      <c r="E848" s="292"/>
      <c r="F848" s="292"/>
      <c r="G848" s="253"/>
      <c r="H848" s="253"/>
      <c r="I848" s="291"/>
      <c r="J848" s="345"/>
      <c r="K848" s="346"/>
      <c r="L848" s="346"/>
      <c r="M848" s="346"/>
      <c r="N848" s="346"/>
      <c r="O848" s="346"/>
      <c r="P848" s="347"/>
      <c r="Q848" s="438"/>
      <c r="R848" s="422"/>
    </row>
    <row r="849" spans="1:19" s="189" customFormat="1" ht="12.05" customHeight="1">
      <c r="A849" s="293"/>
      <c r="B849" s="290">
        <v>4</v>
      </c>
      <c r="C849" s="290">
        <v>1</v>
      </c>
      <c r="D849" s="290">
        <v>2</v>
      </c>
      <c r="E849" s="290"/>
      <c r="F849" s="290"/>
      <c r="G849" s="291" t="s">
        <v>106</v>
      </c>
      <c r="H849" s="291"/>
      <c r="I849" s="291"/>
      <c r="J849" s="348">
        <f>+J851</f>
        <v>617500000</v>
      </c>
      <c r="K849" s="349">
        <f>+K851</f>
        <v>1004500000</v>
      </c>
      <c r="L849" s="589">
        <f>+L851</f>
        <v>523952790</v>
      </c>
      <c r="M849" s="349">
        <f>+M851</f>
        <v>55535200</v>
      </c>
      <c r="N849" s="349">
        <f>+M849+L849</f>
        <v>579487990</v>
      </c>
      <c r="O849" s="349">
        <f>N849-K849</f>
        <v>-425012010</v>
      </c>
      <c r="P849" s="350">
        <f>N849/K849*100</f>
        <v>57.68919761075162</v>
      </c>
      <c r="Q849" s="448"/>
      <c r="R849" s="422"/>
    </row>
    <row r="850" spans="1:19" s="189" customFormat="1" ht="12.05" customHeight="1">
      <c r="A850" s="293"/>
      <c r="B850" s="292"/>
      <c r="C850" s="292"/>
      <c r="D850" s="292"/>
      <c r="E850" s="292"/>
      <c r="F850" s="292"/>
      <c r="G850" s="253"/>
      <c r="H850" s="253"/>
      <c r="I850" s="253"/>
      <c r="J850" s="354"/>
      <c r="K850" s="355"/>
      <c r="L850" s="360"/>
      <c r="M850" s="355"/>
      <c r="N850" s="355"/>
      <c r="O850" s="355"/>
      <c r="P850" s="388"/>
      <c r="Q850" s="441"/>
      <c r="R850" s="422"/>
    </row>
    <row r="851" spans="1:19" s="189" customFormat="1" ht="12.05" customHeight="1">
      <c r="A851" s="465"/>
      <c r="B851" s="296">
        <v>4</v>
      </c>
      <c r="C851" s="296">
        <v>1</v>
      </c>
      <c r="D851" s="296">
        <v>2</v>
      </c>
      <c r="E851" s="296" t="s">
        <v>438</v>
      </c>
      <c r="F851" s="296"/>
      <c r="G851" s="297" t="s">
        <v>374</v>
      </c>
      <c r="H851" s="297"/>
      <c r="I851" s="297"/>
      <c r="J851" s="342">
        <f>+J852+J858</f>
        <v>617500000</v>
      </c>
      <c r="K851" s="343">
        <f>+K852+K858</f>
        <v>1004500000</v>
      </c>
      <c r="L851" s="606">
        <f>+L852+L858</f>
        <v>523952790</v>
      </c>
      <c r="M851" s="343">
        <f>+M852+M858</f>
        <v>55535200</v>
      </c>
      <c r="N851" s="343">
        <f>+M851+L851</f>
        <v>579487990</v>
      </c>
      <c r="O851" s="343">
        <f t="shared" ref="O851:O856" si="124">N851-K851</f>
        <v>-425012010</v>
      </c>
      <c r="P851" s="344">
        <f t="shared" ref="P851:P856" si="125">N851/K851*100</f>
        <v>57.68919761075162</v>
      </c>
      <c r="Q851" s="642"/>
      <c r="R851" s="554"/>
    </row>
    <row r="852" spans="1:19" s="189" customFormat="1" ht="12.05" customHeight="1">
      <c r="A852" s="289"/>
      <c r="B852" s="292">
        <v>4</v>
      </c>
      <c r="C852" s="292">
        <v>1</v>
      </c>
      <c r="D852" s="292">
        <v>2</v>
      </c>
      <c r="E852" s="292" t="s">
        <v>438</v>
      </c>
      <c r="F852" s="292" t="s">
        <v>437</v>
      </c>
      <c r="G852" s="253" t="s">
        <v>64</v>
      </c>
      <c r="H852" s="253"/>
      <c r="I852" s="253"/>
      <c r="J852" s="387">
        <f>SUM(J853:J856)</f>
        <v>262500000</v>
      </c>
      <c r="K852" s="367">
        <f>SUM(K853:K856)</f>
        <v>785500000</v>
      </c>
      <c r="L852" s="1066">
        <f>SUM(L853:L856)</f>
        <v>63760660</v>
      </c>
      <c r="M852" s="367">
        <f>SUM(M853:M856)</f>
        <v>11512000</v>
      </c>
      <c r="N852" s="1067">
        <f>M852+L852</f>
        <v>75272660</v>
      </c>
      <c r="O852" s="371">
        <f t="shared" si="124"/>
        <v>-710227340</v>
      </c>
      <c r="P852" s="388">
        <f t="shared" si="125"/>
        <v>9.5827702100572889</v>
      </c>
      <c r="Q852" s="438"/>
      <c r="R852" s="554"/>
      <c r="S852" s="240"/>
    </row>
    <row r="853" spans="1:19" s="189" customFormat="1" ht="12.05" customHeight="1">
      <c r="A853" s="293"/>
      <c r="B853" s="292"/>
      <c r="C853" s="292"/>
      <c r="D853" s="292"/>
      <c r="E853" s="292"/>
      <c r="F853" s="292"/>
      <c r="G853" s="253" t="s">
        <v>50</v>
      </c>
      <c r="H853" s="253"/>
      <c r="I853" s="253" t="s">
        <v>357</v>
      </c>
      <c r="J853" s="354">
        <v>20000000</v>
      </c>
      <c r="K853" s="1194">
        <f>'[55]TARGET MURNI DAN PERUBAHAN'!$E$486</f>
        <v>40000000</v>
      </c>
      <c r="L853" s="360">
        <f>[56]PerDinas!$N$853</f>
        <v>36353160</v>
      </c>
      <c r="M853" s="373">
        <f>[55]Perdinas!$P$569</f>
        <v>1156000</v>
      </c>
      <c r="N853" s="771">
        <f>M853+L853</f>
        <v>37509160</v>
      </c>
      <c r="O853" s="355">
        <f t="shared" si="124"/>
        <v>-2490840</v>
      </c>
      <c r="P853" s="388">
        <f t="shared" si="125"/>
        <v>93.772900000000007</v>
      </c>
      <c r="Q853" s="441"/>
      <c r="R853" s="554"/>
      <c r="S853" s="240"/>
    </row>
    <row r="854" spans="1:19" s="189" customFormat="1" ht="12.05" customHeight="1">
      <c r="A854" s="293"/>
      <c r="B854" s="292"/>
      <c r="C854" s="292"/>
      <c r="D854" s="292"/>
      <c r="E854" s="292"/>
      <c r="F854" s="292"/>
      <c r="G854" s="253" t="s">
        <v>50</v>
      </c>
      <c r="H854" s="253"/>
      <c r="I854" s="253" t="s">
        <v>1005</v>
      </c>
      <c r="J854" s="354">
        <v>10000000</v>
      </c>
      <c r="K854" s="1194">
        <f>'[55]TARGET MURNI DAN PERUBAHAN'!$E$487</f>
        <v>23000000</v>
      </c>
      <c r="L854" s="360">
        <f>[56]PerDinas!$N$854</f>
        <v>16213500</v>
      </c>
      <c r="M854" s="373">
        <f>[55]Perdinas!$P$570</f>
        <v>1536000</v>
      </c>
      <c r="N854" s="771">
        <f>M854+L854</f>
        <v>17749500</v>
      </c>
      <c r="O854" s="355">
        <f t="shared" si="124"/>
        <v>-5250500</v>
      </c>
      <c r="P854" s="388">
        <f t="shared" si="125"/>
        <v>77.171739130434787</v>
      </c>
      <c r="Q854" s="441"/>
      <c r="R854" s="554"/>
      <c r="S854" s="240"/>
    </row>
    <row r="855" spans="1:19" s="189" customFormat="1" ht="12.05" customHeight="1">
      <c r="A855" s="293"/>
      <c r="B855" s="292"/>
      <c r="C855" s="292"/>
      <c r="D855" s="292"/>
      <c r="E855" s="292"/>
      <c r="F855" s="292"/>
      <c r="G855" s="253" t="s">
        <v>50</v>
      </c>
      <c r="H855" s="253"/>
      <c r="I855" s="253" t="s">
        <v>359</v>
      </c>
      <c r="J855" s="354">
        <v>232500000</v>
      </c>
      <c r="K855" s="1194">
        <f>'[55]TARGET MURNI DAN PERUBAHAN'!$E$488</f>
        <v>722500000</v>
      </c>
      <c r="L855" s="360">
        <f>[56]PerDinas!$N$855</f>
        <v>10677000</v>
      </c>
      <c r="M855" s="373">
        <f>[55]Perdinas!$P$571</f>
        <v>8820000</v>
      </c>
      <c r="N855" s="771">
        <f>M855+L855</f>
        <v>19497000</v>
      </c>
      <c r="O855" s="355">
        <f t="shared" si="124"/>
        <v>-703003000</v>
      </c>
      <c r="P855" s="388">
        <f t="shared" si="125"/>
        <v>2.6985467128027683</v>
      </c>
      <c r="Q855" s="441"/>
      <c r="R855" s="554"/>
      <c r="S855" s="240"/>
    </row>
    <row r="856" spans="1:19" s="189" customFormat="1" ht="12.05" customHeight="1">
      <c r="A856" s="293"/>
      <c r="B856" s="292"/>
      <c r="C856" s="292"/>
      <c r="D856" s="292"/>
      <c r="E856" s="292"/>
      <c r="F856" s="292"/>
      <c r="G856" s="253" t="s">
        <v>50</v>
      </c>
      <c r="H856" s="253"/>
      <c r="I856" s="253" t="s">
        <v>360</v>
      </c>
      <c r="J856" s="354">
        <v>0</v>
      </c>
      <c r="K856" s="1194">
        <f>'[55]TARGET MURNI DAN PERUBAHAN'!$E$489</f>
        <v>0</v>
      </c>
      <c r="L856" s="360">
        <f>[56]PerDinas!$N$856</f>
        <v>517000</v>
      </c>
      <c r="M856" s="373">
        <f>[55]Perdinas!$P$572</f>
        <v>0</v>
      </c>
      <c r="N856" s="355">
        <f>M856+L856</f>
        <v>517000</v>
      </c>
      <c r="O856" s="355">
        <f t="shared" si="124"/>
        <v>517000</v>
      </c>
      <c r="P856" s="388" t="e">
        <f t="shared" si="125"/>
        <v>#DIV/0!</v>
      </c>
      <c r="Q856" s="441"/>
      <c r="R856" s="554"/>
      <c r="S856" s="240"/>
    </row>
    <row r="857" spans="1:19" s="189" customFormat="1" ht="12.05" customHeight="1">
      <c r="A857" s="293"/>
      <c r="B857" s="292"/>
      <c r="C857" s="292"/>
      <c r="D857" s="292"/>
      <c r="E857" s="292"/>
      <c r="F857" s="292"/>
      <c r="G857" s="253"/>
      <c r="H857" s="253"/>
      <c r="I857" s="253"/>
      <c r="J857" s="374"/>
      <c r="K857" s="375"/>
      <c r="L857" s="377"/>
      <c r="M857" s="375"/>
      <c r="N857" s="355"/>
      <c r="O857" s="355"/>
      <c r="P857" s="388"/>
      <c r="Q857" s="448"/>
      <c r="R857" s="554"/>
      <c r="S857" s="240"/>
    </row>
    <row r="858" spans="1:19" s="189" customFormat="1" ht="12.05" customHeight="1">
      <c r="A858" s="293"/>
      <c r="B858" s="292">
        <v>4</v>
      </c>
      <c r="C858" s="292">
        <v>1</v>
      </c>
      <c r="D858" s="292">
        <v>2</v>
      </c>
      <c r="E858" s="292" t="s">
        <v>438</v>
      </c>
      <c r="F858" s="292" t="s">
        <v>448</v>
      </c>
      <c r="G858" s="253" t="s">
        <v>361</v>
      </c>
      <c r="H858" s="253"/>
      <c r="I858" s="253"/>
      <c r="J858" s="685">
        <f>SUM(J859:J865)</f>
        <v>355000000</v>
      </c>
      <c r="K858" s="686">
        <f>SUM(K859:K865)</f>
        <v>219000000</v>
      </c>
      <c r="L858" s="687">
        <f>SUM(L859:L865)</f>
        <v>460192130</v>
      </c>
      <c r="M858" s="686">
        <f>SUM(M859:M865)</f>
        <v>44023200</v>
      </c>
      <c r="N858" s="1068">
        <f>SUM(N859:N865)</f>
        <v>504215330</v>
      </c>
      <c r="O858" s="476">
        <f t="shared" ref="O858:O865" si="126">N858-K858</f>
        <v>285215330</v>
      </c>
      <c r="P858" s="671">
        <f t="shared" ref="P858:P864" si="127">N858/K858*100</f>
        <v>230.23531050228308</v>
      </c>
      <c r="Q858" s="448"/>
      <c r="R858" s="554"/>
      <c r="S858" s="240"/>
    </row>
    <row r="859" spans="1:19" s="189" customFormat="1" ht="12.05" customHeight="1">
      <c r="A859" s="293"/>
      <c r="B859" s="292"/>
      <c r="C859" s="292"/>
      <c r="D859" s="292"/>
      <c r="E859" s="292"/>
      <c r="F859" s="292"/>
      <c r="G859" s="253" t="s">
        <v>50</v>
      </c>
      <c r="H859" s="253"/>
      <c r="I859" s="253" t="s">
        <v>1006</v>
      </c>
      <c r="J859" s="389">
        <v>0</v>
      </c>
      <c r="K859" s="1194">
        <f>'[55]TARGET MURNI DAN PERUBAHAN'!$E$492</f>
        <v>0</v>
      </c>
      <c r="L859" s="391">
        <f>[56]PerDinas!$N$859</f>
        <v>0</v>
      </c>
      <c r="M859" s="357">
        <f>[55]Perdinas!$P$575</f>
        <v>777000</v>
      </c>
      <c r="N859" s="357">
        <f t="shared" ref="N859:N865" si="128">M859+L859</f>
        <v>777000</v>
      </c>
      <c r="O859" s="357">
        <f t="shared" si="126"/>
        <v>777000</v>
      </c>
      <c r="P859" s="358" t="e">
        <f t="shared" si="127"/>
        <v>#DIV/0!</v>
      </c>
      <c r="Q859" s="442"/>
      <c r="R859" s="554"/>
      <c r="S859" s="240"/>
    </row>
    <row r="860" spans="1:19" s="189" customFormat="1" ht="12.05" customHeight="1">
      <c r="A860" s="293"/>
      <c r="B860" s="292"/>
      <c r="C860" s="292"/>
      <c r="D860" s="292"/>
      <c r="E860" s="292"/>
      <c r="F860" s="292"/>
      <c r="G860" s="253" t="s">
        <v>50</v>
      </c>
      <c r="H860" s="253"/>
      <c r="I860" s="253" t="s">
        <v>1007</v>
      </c>
      <c r="J860" s="354">
        <v>75000000</v>
      </c>
      <c r="K860" s="1194">
        <f>'[55]TARGET MURNI DAN PERUBAHAN'!$E$493</f>
        <v>75000000</v>
      </c>
      <c r="L860" s="391">
        <f>[56]PerDinas!$N$860</f>
        <v>66698650</v>
      </c>
      <c r="M860" s="359">
        <f>[55]Perdinas!$P$576</f>
        <v>9825000</v>
      </c>
      <c r="N860" s="771">
        <f t="shared" si="128"/>
        <v>76523650</v>
      </c>
      <c r="O860" s="355">
        <f t="shared" si="126"/>
        <v>1523650</v>
      </c>
      <c r="P860" s="388">
        <f t="shared" si="127"/>
        <v>102.03153333333333</v>
      </c>
      <c r="Q860" s="441"/>
      <c r="R860" s="554"/>
      <c r="S860" s="240"/>
    </row>
    <row r="861" spans="1:19" s="189" customFormat="1" ht="12.05" customHeight="1">
      <c r="A861" s="293"/>
      <c r="B861" s="292"/>
      <c r="C861" s="292"/>
      <c r="D861" s="292"/>
      <c r="E861" s="292"/>
      <c r="F861" s="292"/>
      <c r="G861" s="253" t="s">
        <v>50</v>
      </c>
      <c r="H861" s="253"/>
      <c r="I861" s="253" t="s">
        <v>364</v>
      </c>
      <c r="J861" s="354">
        <v>19000000</v>
      </c>
      <c r="K861" s="1194">
        <f>'[55]TARGET MURNI DAN PERUBAHAN'!$E$494</f>
        <v>19000000</v>
      </c>
      <c r="L861" s="391">
        <f>[56]PerDinas!$N$861</f>
        <v>26153480</v>
      </c>
      <c r="M861" s="359">
        <f>[55]Perdinas!$P$577</f>
        <v>33421200</v>
      </c>
      <c r="N861" s="771">
        <f t="shared" si="128"/>
        <v>59574680</v>
      </c>
      <c r="O861" s="355">
        <f t="shared" si="126"/>
        <v>40574680</v>
      </c>
      <c r="P861" s="388">
        <f t="shared" si="127"/>
        <v>313.55094736842102</v>
      </c>
      <c r="Q861" s="441"/>
      <c r="R861" s="554"/>
      <c r="S861" s="240"/>
    </row>
    <row r="862" spans="1:19" s="189" customFormat="1" ht="12.05" customHeight="1">
      <c r="A862" s="293"/>
      <c r="B862" s="292"/>
      <c r="C862" s="292"/>
      <c r="D862" s="292"/>
      <c r="E862" s="292"/>
      <c r="F862" s="292"/>
      <c r="G862" s="253" t="s">
        <v>50</v>
      </c>
      <c r="H862" s="253"/>
      <c r="I862" s="253" t="s">
        <v>365</v>
      </c>
      <c r="J862" s="354">
        <v>125000000</v>
      </c>
      <c r="K862" s="1194">
        <f>'[55]TARGET MURNI DAN PERUBAHAN'!$E$495</f>
        <v>125000000</v>
      </c>
      <c r="L862" s="391">
        <f>[56]PerDinas!$N$862</f>
        <v>367340000</v>
      </c>
      <c r="M862" s="359">
        <f>[55]Perdinas!$P$578</f>
        <v>0</v>
      </c>
      <c r="N862" s="771">
        <f t="shared" si="128"/>
        <v>367340000</v>
      </c>
      <c r="O862" s="355">
        <f t="shared" si="126"/>
        <v>242340000</v>
      </c>
      <c r="P862" s="388">
        <f t="shared" si="127"/>
        <v>293.87200000000001</v>
      </c>
      <c r="Q862" s="441"/>
      <c r="R862" s="554"/>
      <c r="S862" s="240"/>
    </row>
    <row r="863" spans="1:19" s="189" customFormat="1" ht="12.05" customHeight="1">
      <c r="A863" s="293"/>
      <c r="B863" s="292"/>
      <c r="C863" s="292"/>
      <c r="D863" s="292"/>
      <c r="E863" s="292"/>
      <c r="F863" s="292"/>
      <c r="G863" s="253" t="s">
        <v>50</v>
      </c>
      <c r="H863" s="253"/>
      <c r="I863" s="253" t="s">
        <v>366</v>
      </c>
      <c r="J863" s="354">
        <v>26000000</v>
      </c>
      <c r="K863" s="1194">
        <f>'[55]TARGET MURNI DAN PERUBAHAN'!$E$496</f>
        <v>0</v>
      </c>
      <c r="L863" s="391">
        <f>[56]PerDinas!$N$863</f>
        <v>0</v>
      </c>
      <c r="M863" s="359">
        <f>[55]Perdinas!$P$579</f>
        <v>0</v>
      </c>
      <c r="N863" s="771">
        <f t="shared" si="128"/>
        <v>0</v>
      </c>
      <c r="O863" s="355">
        <f t="shared" si="126"/>
        <v>0</v>
      </c>
      <c r="P863" s="388" t="e">
        <f t="shared" si="127"/>
        <v>#DIV/0!</v>
      </c>
      <c r="Q863" s="441"/>
      <c r="R863" s="554"/>
      <c r="S863" s="240"/>
    </row>
    <row r="864" spans="1:19" s="189" customFormat="1" ht="12.05" customHeight="1">
      <c r="A864" s="293"/>
      <c r="B864" s="292"/>
      <c r="C864" s="292"/>
      <c r="D864" s="292"/>
      <c r="E864" s="292"/>
      <c r="F864" s="292"/>
      <c r="G864" s="1003" t="s">
        <v>50</v>
      </c>
      <c r="H864" s="1003"/>
      <c r="I864" s="1003" t="s">
        <v>367</v>
      </c>
      <c r="J864" s="1041">
        <v>110000000</v>
      </c>
      <c r="K864" s="1194">
        <f>'[55]TARGET MURNI DAN PERUBAHAN'!$E$497</f>
        <v>0</v>
      </c>
      <c r="L864" s="391">
        <f>[56]PerDinas!$N$864</f>
        <v>0</v>
      </c>
      <c r="M864" s="359">
        <f>[55]Perdinas!$P$580</f>
        <v>0</v>
      </c>
      <c r="N864" s="360">
        <f t="shared" si="128"/>
        <v>0</v>
      </c>
      <c r="O864" s="360">
        <f t="shared" si="126"/>
        <v>0</v>
      </c>
      <c r="P864" s="1042" t="e">
        <f t="shared" si="127"/>
        <v>#DIV/0!</v>
      </c>
      <c r="Q864" s="795"/>
      <c r="R864" s="554"/>
      <c r="S864" s="240"/>
    </row>
    <row r="865" spans="1:19" s="189" customFormat="1" ht="12.05" customHeight="1">
      <c r="A865" s="293"/>
      <c r="B865" s="292"/>
      <c r="C865" s="292"/>
      <c r="D865" s="292"/>
      <c r="E865" s="292"/>
      <c r="F865" s="292"/>
      <c r="G865" s="253" t="s">
        <v>50</v>
      </c>
      <c r="H865" s="253"/>
      <c r="I865" s="253" t="s">
        <v>368</v>
      </c>
      <c r="J865" s="354">
        <v>0</v>
      </c>
      <c r="K865" s="1194">
        <f>'[55]TARGET MURNI DAN PERUBAHAN'!$E$498</f>
        <v>0</v>
      </c>
      <c r="L865" s="391">
        <f>[56]PerDinas!$N$865</f>
        <v>0</v>
      </c>
      <c r="M865" s="359">
        <f>[55]Perdinas!$P$581</f>
        <v>0</v>
      </c>
      <c r="N865" s="355">
        <f t="shared" si="128"/>
        <v>0</v>
      </c>
      <c r="O865" s="355">
        <f t="shared" si="126"/>
        <v>0</v>
      </c>
      <c r="P865" s="388"/>
      <c r="Q865" s="441"/>
      <c r="R865" s="554"/>
      <c r="S865" s="240"/>
    </row>
    <row r="866" spans="1:19" s="189" customFormat="1" ht="12.05" customHeight="1">
      <c r="A866" s="293"/>
      <c r="B866" s="292"/>
      <c r="C866" s="292"/>
      <c r="D866" s="292"/>
      <c r="E866" s="292"/>
      <c r="F866" s="292"/>
      <c r="G866" s="253"/>
      <c r="H866" s="253"/>
      <c r="I866" s="253"/>
      <c r="J866" s="374"/>
      <c r="K866" s="375"/>
      <c r="L866" s="377"/>
      <c r="M866" s="375"/>
      <c r="N866" s="375"/>
      <c r="O866" s="375"/>
      <c r="P866" s="600"/>
      <c r="Q866" s="448"/>
      <c r="R866" s="554"/>
      <c r="S866" s="240"/>
    </row>
    <row r="867" spans="1:19" s="189" customFormat="1" ht="12.05" customHeight="1">
      <c r="A867" s="293"/>
      <c r="B867" s="290">
        <v>4</v>
      </c>
      <c r="C867" s="290">
        <v>1</v>
      </c>
      <c r="D867" s="290">
        <v>4</v>
      </c>
      <c r="E867" s="290"/>
      <c r="F867" s="290"/>
      <c r="G867" s="291" t="s">
        <v>71</v>
      </c>
      <c r="H867" s="291"/>
      <c r="I867" s="291"/>
      <c r="J867" s="601">
        <f>J868+J873</f>
        <v>1305000000</v>
      </c>
      <c r="K867" s="602">
        <f>K868+K873+K869+K870</f>
        <v>0</v>
      </c>
      <c r="L867" s="602">
        <f>L868+L873+L869+L870</f>
        <v>63083435</v>
      </c>
      <c r="M867" s="602">
        <f>M868+M873+M869+M870</f>
        <v>6472500</v>
      </c>
      <c r="N867" s="1069">
        <f>M867+L867</f>
        <v>69555935</v>
      </c>
      <c r="O867" s="395">
        <f>N867-K867</f>
        <v>69555935</v>
      </c>
      <c r="P867" s="590" t="e">
        <f>N867/K867*100</f>
        <v>#DIV/0!</v>
      </c>
      <c r="Q867" s="1075"/>
      <c r="R867" s="554"/>
      <c r="S867" s="240"/>
    </row>
    <row r="868" spans="1:19" s="189" customFormat="1" ht="12.05" customHeight="1">
      <c r="A868" s="289"/>
      <c r="B868" s="292">
        <v>4</v>
      </c>
      <c r="C868" s="292">
        <v>1</v>
      </c>
      <c r="D868" s="292">
        <v>4</v>
      </c>
      <c r="E868" s="292" t="s">
        <v>444</v>
      </c>
      <c r="F868" s="292"/>
      <c r="G868" s="253" t="s">
        <v>222</v>
      </c>
      <c r="H868" s="253"/>
      <c r="I868" s="253"/>
      <c r="J868" s="484">
        <f>+J871</f>
        <v>0</v>
      </c>
      <c r="K868" s="485">
        <f>+K871</f>
        <v>0</v>
      </c>
      <c r="L868" s="485">
        <f>+L871</f>
        <v>56514025</v>
      </c>
      <c r="M868" s="485">
        <f>+M871</f>
        <v>1251500</v>
      </c>
      <c r="N868" s="485">
        <f>M868+L868</f>
        <v>57765525</v>
      </c>
      <c r="O868" s="412">
        <f>N868-K868</f>
        <v>57765525</v>
      </c>
      <c r="P868" s="487">
        <v>0</v>
      </c>
      <c r="Q868" s="541"/>
      <c r="R868" s="554"/>
      <c r="S868" s="240"/>
    </row>
    <row r="869" spans="1:19" s="189" customFormat="1" ht="12.05" customHeight="1">
      <c r="A869" s="289"/>
      <c r="B869" s="290">
        <v>4</v>
      </c>
      <c r="C869" s="290">
        <v>1</v>
      </c>
      <c r="D869" s="290">
        <v>4</v>
      </c>
      <c r="E869" s="290" t="s">
        <v>441</v>
      </c>
      <c r="F869" s="290"/>
      <c r="G869" s="291" t="s">
        <v>1008</v>
      </c>
      <c r="H869" s="291"/>
      <c r="I869" s="291"/>
      <c r="J869" s="370">
        <v>0</v>
      </c>
      <c r="K869" s="355">
        <v>0</v>
      </c>
      <c r="L869" s="360">
        <f>[56]PerDinas!$N$869</f>
        <v>6569410</v>
      </c>
      <c r="M869" s="355">
        <f>[55]Perdinas!$P$584</f>
        <v>5221000</v>
      </c>
      <c r="N869" s="369">
        <f>M869+L869</f>
        <v>11790410</v>
      </c>
      <c r="O869" s="355">
        <f>N869-K869</f>
        <v>11790410</v>
      </c>
      <c r="P869" s="388"/>
      <c r="Q869" s="442"/>
      <c r="R869" s="554"/>
      <c r="S869" s="240"/>
    </row>
    <row r="870" spans="1:19" s="189" customFormat="1" ht="12.05" customHeight="1">
      <c r="A870" s="289"/>
      <c r="B870" s="292">
        <v>4</v>
      </c>
      <c r="C870" s="292">
        <v>1</v>
      </c>
      <c r="D870" s="292">
        <v>4</v>
      </c>
      <c r="E870" s="292" t="s">
        <v>444</v>
      </c>
      <c r="F870" s="292" t="s">
        <v>445</v>
      </c>
      <c r="G870" s="909" t="s">
        <v>1009</v>
      </c>
      <c r="H870" s="253"/>
      <c r="I870" s="253"/>
      <c r="J870" s="354">
        <v>0</v>
      </c>
      <c r="K870" s="355">
        <v>0</v>
      </c>
      <c r="L870" s="360">
        <v>0</v>
      </c>
      <c r="M870" s="355">
        <f>[55]Perdinas!$P$586</f>
        <v>0</v>
      </c>
      <c r="N870" s="355">
        <f>M870+L870</f>
        <v>0</v>
      </c>
      <c r="O870" s="355">
        <f>N870-K870</f>
        <v>0</v>
      </c>
      <c r="P870" s="388"/>
      <c r="Q870" s="441"/>
      <c r="R870" s="554"/>
      <c r="S870" s="240"/>
    </row>
    <row r="871" spans="1:19" s="189" customFormat="1" ht="12.05" customHeight="1">
      <c r="A871" s="289"/>
      <c r="B871" s="292">
        <v>4</v>
      </c>
      <c r="C871" s="292">
        <v>1</v>
      </c>
      <c r="D871" s="292">
        <v>4</v>
      </c>
      <c r="E871" s="292" t="s">
        <v>444</v>
      </c>
      <c r="F871" s="292" t="s">
        <v>441</v>
      </c>
      <c r="G871" s="253" t="s">
        <v>75</v>
      </c>
      <c r="H871" s="253"/>
      <c r="I871" s="253"/>
      <c r="J871" s="354">
        <v>0</v>
      </c>
      <c r="K871" s="373">
        <v>0</v>
      </c>
      <c r="L871" s="360">
        <f>[56]PerDinas!$N$871</f>
        <v>56514025</v>
      </c>
      <c r="M871" s="373">
        <f>[55]Perdinas!$P$587</f>
        <v>1251500</v>
      </c>
      <c r="N871" s="369">
        <f>M871+L871</f>
        <v>57765525</v>
      </c>
      <c r="O871" s="355">
        <f>N871-K871</f>
        <v>57765525</v>
      </c>
      <c r="P871" s="388"/>
      <c r="Q871" s="1076"/>
      <c r="R871" s="554"/>
      <c r="S871" s="240"/>
    </row>
    <row r="872" spans="1:19" s="189" customFormat="1" ht="12.05" customHeight="1">
      <c r="A872" s="289"/>
      <c r="B872" s="292"/>
      <c r="C872" s="292"/>
      <c r="D872" s="292"/>
      <c r="E872" s="292"/>
      <c r="F872" s="292"/>
      <c r="G872" s="410"/>
      <c r="H872" s="410"/>
      <c r="I872" s="410"/>
      <c r="J872" s="354"/>
      <c r="K872" s="355"/>
      <c r="L872" s="360"/>
      <c r="M872" s="355"/>
      <c r="N872" s="355"/>
      <c r="O872" s="355"/>
      <c r="P872" s="388"/>
      <c r="Q872" s="441"/>
      <c r="R872" s="554"/>
      <c r="S872" s="240"/>
    </row>
    <row r="873" spans="1:19" s="189" customFormat="1" ht="12.05" customHeight="1">
      <c r="A873" s="293"/>
      <c r="B873" s="292">
        <v>4</v>
      </c>
      <c r="C873" s="292">
        <v>1</v>
      </c>
      <c r="D873" s="292">
        <v>4</v>
      </c>
      <c r="E873" s="292" t="s">
        <v>948</v>
      </c>
      <c r="F873" s="292"/>
      <c r="G873" s="410" t="s">
        <v>321</v>
      </c>
      <c r="H873" s="410"/>
      <c r="I873" s="410"/>
      <c r="J873" s="489">
        <f>+J874</f>
        <v>1305000000</v>
      </c>
      <c r="K873" s="512">
        <f>+K874</f>
        <v>0</v>
      </c>
      <c r="L873" s="616">
        <f>+L874</f>
        <v>0</v>
      </c>
      <c r="M873" s="512">
        <f>+M874</f>
        <v>0</v>
      </c>
      <c r="N873" s="412">
        <f>+M873+L873</f>
        <v>0</v>
      </c>
      <c r="O873" s="412">
        <f>N873-K873</f>
        <v>0</v>
      </c>
      <c r="P873" s="487">
        <v>0</v>
      </c>
      <c r="Q873" s="647"/>
      <c r="R873" s="554"/>
      <c r="S873" s="240"/>
    </row>
    <row r="874" spans="1:19" s="189" customFormat="1" ht="12.05" customHeight="1">
      <c r="A874" s="293"/>
      <c r="B874" s="292">
        <v>4</v>
      </c>
      <c r="C874" s="292">
        <v>1</v>
      </c>
      <c r="D874" s="292">
        <v>4</v>
      </c>
      <c r="E874" s="292" t="s">
        <v>948</v>
      </c>
      <c r="F874" s="292" t="s">
        <v>437</v>
      </c>
      <c r="G874" s="253" t="s">
        <v>85</v>
      </c>
      <c r="H874" s="253"/>
      <c r="I874" s="253"/>
      <c r="J874" s="494">
        <f>+J875</f>
        <v>1305000000</v>
      </c>
      <c r="K874" s="495">
        <f>+K875</f>
        <v>0</v>
      </c>
      <c r="L874" s="689">
        <f>+L875</f>
        <v>0</v>
      </c>
      <c r="M874" s="496">
        <f>+M875+M876</f>
        <v>0</v>
      </c>
      <c r="N874" s="497">
        <f>M874+L874</f>
        <v>0</v>
      </c>
      <c r="O874" s="497">
        <f>N874-K874</f>
        <v>0</v>
      </c>
      <c r="P874" s="498">
        <v>0</v>
      </c>
      <c r="Q874" s="548"/>
      <c r="R874" s="554"/>
      <c r="S874" s="240"/>
    </row>
    <row r="875" spans="1:19" s="189" customFormat="1" ht="12.05" customHeight="1">
      <c r="A875" s="293"/>
      <c r="B875" s="292"/>
      <c r="C875" s="292"/>
      <c r="D875" s="292"/>
      <c r="E875" s="292"/>
      <c r="F875" s="292"/>
      <c r="G875" s="1003" t="s">
        <v>50</v>
      </c>
      <c r="H875" s="1003"/>
      <c r="I875" s="1070" t="s">
        <v>85</v>
      </c>
      <c r="J875" s="1071">
        <v>1305000000</v>
      </c>
      <c r="K875" s="1019">
        <v>0</v>
      </c>
      <c r="L875" s="377">
        <v>0</v>
      </c>
      <c r="M875" s="1019">
        <v>0</v>
      </c>
      <c r="N875" s="369">
        <f>M875+L875</f>
        <v>0</v>
      </c>
      <c r="O875" s="360">
        <f>N875-K875</f>
        <v>0</v>
      </c>
      <c r="P875" s="1072" t="e">
        <f>N875/K875*100</f>
        <v>#DIV/0!</v>
      </c>
      <c r="Q875" s="728"/>
      <c r="R875" s="554"/>
      <c r="S875" s="240"/>
    </row>
    <row r="876" spans="1:19" s="245" customFormat="1" ht="12.05" customHeight="1">
      <c r="A876" s="472"/>
      <c r="B876" s="305"/>
      <c r="C876" s="305"/>
      <c r="D876" s="305"/>
      <c r="E876" s="305"/>
      <c r="F876" s="305"/>
      <c r="G876" s="2776" t="s">
        <v>50</v>
      </c>
      <c r="H876" s="306"/>
      <c r="I876" s="306"/>
      <c r="J876" s="482"/>
      <c r="K876" s="404"/>
      <c r="L876" s="673"/>
      <c r="M876" s="404"/>
      <c r="N876" s="380"/>
      <c r="O876" s="404"/>
      <c r="P876" s="483"/>
      <c r="Q876" s="456"/>
      <c r="R876" s="1077"/>
    </row>
    <row r="877" spans="1:19" s="244" customFormat="1" ht="12.05" customHeight="1">
      <c r="A877" s="283" t="s">
        <v>370</v>
      </c>
      <c r="B877" s="284" t="s">
        <v>460</v>
      </c>
      <c r="C877" s="284" t="s">
        <v>438</v>
      </c>
      <c r="D877" s="284" t="s">
        <v>437</v>
      </c>
      <c r="E877" s="284"/>
      <c r="F877" s="284"/>
      <c r="G877" s="298" t="s">
        <v>887</v>
      </c>
      <c r="H877" s="298"/>
      <c r="I877" s="298"/>
      <c r="J877" s="336">
        <f>+J879</f>
        <v>23000000</v>
      </c>
      <c r="K877" s="337">
        <f>+K879</f>
        <v>0</v>
      </c>
      <c r="L877" s="337">
        <f>+L879</f>
        <v>136368650</v>
      </c>
      <c r="M877" s="337">
        <f>+M879</f>
        <v>5276940</v>
      </c>
      <c r="N877" s="337">
        <f>M877+L877</f>
        <v>141645590</v>
      </c>
      <c r="O877" s="337">
        <f>+N877-K877</f>
        <v>141645590</v>
      </c>
      <c r="P877" s="338" t="e">
        <f>+N877/K877*100</f>
        <v>#DIV/0!</v>
      </c>
      <c r="Q877" s="432"/>
      <c r="R877" s="1078"/>
    </row>
    <row r="878" spans="1:19" s="189" customFormat="1" ht="12.05" customHeight="1">
      <c r="A878" s="471"/>
      <c r="B878" s="287"/>
      <c r="C878" s="287"/>
      <c r="D878" s="287"/>
      <c r="E878" s="287"/>
      <c r="F878" s="287"/>
      <c r="G878" s="288"/>
      <c r="H878" s="288"/>
      <c r="I878" s="288"/>
      <c r="J878" s="385"/>
      <c r="K878" s="386"/>
      <c r="L878" s="386"/>
      <c r="M878" s="386"/>
      <c r="N878" s="386"/>
      <c r="O878" s="386"/>
      <c r="P878" s="341"/>
      <c r="Q878" s="453"/>
      <c r="R878" s="554"/>
    </row>
    <row r="879" spans="1:19" s="189" customFormat="1" ht="12.05" customHeight="1">
      <c r="A879" s="293"/>
      <c r="B879" s="290">
        <v>4</v>
      </c>
      <c r="C879" s="290">
        <v>1</v>
      </c>
      <c r="D879" s="290"/>
      <c r="E879" s="290"/>
      <c r="F879" s="290"/>
      <c r="G879" s="291" t="s">
        <v>180</v>
      </c>
      <c r="H879" s="291"/>
      <c r="I879" s="291"/>
      <c r="J879" s="342">
        <f>+J881+J885</f>
        <v>23000000</v>
      </c>
      <c r="K879" s="343">
        <f>+K881+K885</f>
        <v>0</v>
      </c>
      <c r="L879" s="343">
        <f>+L881+L885</f>
        <v>136368650</v>
      </c>
      <c r="M879" s="343">
        <f>+M881+M885</f>
        <v>5276940</v>
      </c>
      <c r="N879" s="343">
        <f>+M879+L879</f>
        <v>141645590</v>
      </c>
      <c r="O879" s="343">
        <f>N879-K879</f>
        <v>141645590</v>
      </c>
      <c r="P879" s="344" t="e">
        <f>N879/K879*100</f>
        <v>#DIV/0!</v>
      </c>
      <c r="Q879" s="437"/>
      <c r="R879" s="554"/>
    </row>
    <row r="880" spans="1:19" s="189" customFormat="1" ht="12.05" customHeight="1">
      <c r="A880" s="293"/>
      <c r="B880" s="292"/>
      <c r="C880" s="292"/>
      <c r="D880" s="292"/>
      <c r="E880" s="292"/>
      <c r="F880" s="292"/>
      <c r="G880" s="253"/>
      <c r="H880" s="253"/>
      <c r="I880" s="291"/>
      <c r="J880" s="345"/>
      <c r="K880" s="346"/>
      <c r="L880" s="660"/>
      <c r="M880" s="346"/>
      <c r="N880" s="346"/>
      <c r="O880" s="346"/>
      <c r="P880" s="347"/>
      <c r="Q880" s="438"/>
      <c r="R880" s="554"/>
    </row>
    <row r="881" spans="1:18" s="189" customFormat="1" ht="12.05" customHeight="1">
      <c r="A881" s="293"/>
      <c r="B881" s="290">
        <v>4</v>
      </c>
      <c r="C881" s="290">
        <v>1</v>
      </c>
      <c r="D881" s="290">
        <v>2</v>
      </c>
      <c r="E881" s="290"/>
      <c r="F881" s="290"/>
      <c r="G881" s="291" t="s">
        <v>106</v>
      </c>
      <c r="H881" s="291"/>
      <c r="I881" s="291"/>
      <c r="J881" s="348">
        <f>+J882</f>
        <v>0</v>
      </c>
      <c r="K881" s="349">
        <f>+K882</f>
        <v>0</v>
      </c>
      <c r="L881" s="589">
        <f>+L882</f>
        <v>0</v>
      </c>
      <c r="M881" s="349">
        <f>+M882</f>
        <v>0</v>
      </c>
      <c r="N881" s="349">
        <f>+N882</f>
        <v>0</v>
      </c>
      <c r="O881" s="349">
        <f>N881-K881</f>
        <v>0</v>
      </c>
      <c r="P881" s="350" t="e">
        <f>N881/K881*100</f>
        <v>#DIV/0!</v>
      </c>
      <c r="Q881" s="439"/>
      <c r="R881" s="554"/>
    </row>
    <row r="882" spans="1:18" s="189" customFormat="1" ht="12.05" customHeight="1">
      <c r="A882" s="293"/>
      <c r="B882" s="292">
        <v>4</v>
      </c>
      <c r="C882" s="292">
        <v>1</v>
      </c>
      <c r="D882" s="292">
        <v>2</v>
      </c>
      <c r="E882" s="292" t="s">
        <v>437</v>
      </c>
      <c r="F882" s="292"/>
      <c r="G882" s="253" t="s">
        <v>107</v>
      </c>
      <c r="H882" s="253"/>
      <c r="I882" s="291"/>
      <c r="J882" s="411">
        <f>+J883</f>
        <v>0</v>
      </c>
      <c r="K882" s="412">
        <f>+K883</f>
        <v>0</v>
      </c>
      <c r="L882" s="591">
        <f>+L883</f>
        <v>0</v>
      </c>
      <c r="M882" s="412">
        <f>+M883</f>
        <v>0</v>
      </c>
      <c r="N882" s="412">
        <f>+M882+L882</f>
        <v>0</v>
      </c>
      <c r="O882" s="412">
        <f>N882-K882</f>
        <v>0</v>
      </c>
      <c r="P882" s="487" t="e">
        <f>N882/K882*100</f>
        <v>#DIV/0!</v>
      </c>
      <c r="Q882" s="694"/>
      <c r="R882" s="554"/>
    </row>
    <row r="883" spans="1:18" s="189" customFormat="1" ht="12.05" customHeight="1">
      <c r="A883" s="293"/>
      <c r="B883" s="292">
        <v>4</v>
      </c>
      <c r="C883" s="292">
        <v>1</v>
      </c>
      <c r="D883" s="292">
        <v>2</v>
      </c>
      <c r="E883" s="292" t="s">
        <v>437</v>
      </c>
      <c r="F883" s="292" t="s">
        <v>441</v>
      </c>
      <c r="G883" s="253" t="s">
        <v>1010</v>
      </c>
      <c r="H883" s="253"/>
      <c r="I883" s="253"/>
      <c r="J883" s="494"/>
      <c r="K883" s="495"/>
      <c r="L883" s="513"/>
      <c r="M883" s="495">
        <v>0</v>
      </c>
      <c r="N883" s="334">
        <f>M883+L883</f>
        <v>0</v>
      </c>
      <c r="O883" s="334">
        <f>N883-K883</f>
        <v>0</v>
      </c>
      <c r="P883" s="335" t="e">
        <f>N883/K883*100</f>
        <v>#DIV/0!</v>
      </c>
      <c r="Q883" s="548"/>
      <c r="R883" s="422"/>
    </row>
    <row r="884" spans="1:18" s="189" customFormat="1" ht="12.05" customHeight="1">
      <c r="A884" s="293"/>
      <c r="B884" s="292"/>
      <c r="C884" s="292"/>
      <c r="D884" s="292"/>
      <c r="E884" s="292"/>
      <c r="F884" s="292"/>
      <c r="G884" s="253"/>
      <c r="H884" s="253"/>
      <c r="I884" s="253"/>
      <c r="J884" s="374"/>
      <c r="K884" s="375"/>
      <c r="L884" s="377"/>
      <c r="M884" s="375"/>
      <c r="N884" s="375"/>
      <c r="O884" s="375"/>
      <c r="P884" s="600"/>
      <c r="Q884" s="448"/>
      <c r="R884" s="422"/>
    </row>
    <row r="885" spans="1:18" s="189" customFormat="1" ht="12.05" customHeight="1">
      <c r="A885" s="293"/>
      <c r="B885" s="290">
        <v>4</v>
      </c>
      <c r="C885" s="290">
        <v>1</v>
      </c>
      <c r="D885" s="290">
        <v>4</v>
      </c>
      <c r="E885" s="290"/>
      <c r="F885" s="290"/>
      <c r="G885" s="291" t="s">
        <v>71</v>
      </c>
      <c r="H885" s="291"/>
      <c r="I885" s="291"/>
      <c r="J885" s="601">
        <f>J886+J889+J894</f>
        <v>23000000</v>
      </c>
      <c r="K885" s="602">
        <f>K886+K889+K894</f>
        <v>0</v>
      </c>
      <c r="L885" s="1073">
        <f>L886+L889+L894</f>
        <v>136368650</v>
      </c>
      <c r="M885" s="602">
        <f>M886+M889+M894</f>
        <v>5276940</v>
      </c>
      <c r="N885" s="602">
        <f>N886+N889+N894</f>
        <v>141645590</v>
      </c>
      <c r="O885" s="349">
        <f>N885-K885</f>
        <v>141645590</v>
      </c>
      <c r="P885" s="350" t="e">
        <f>N885/K885*100</f>
        <v>#DIV/0!</v>
      </c>
      <c r="Q885" s="640"/>
      <c r="R885" s="422"/>
    </row>
    <row r="886" spans="1:18" s="189" customFormat="1" ht="12.05" customHeight="1">
      <c r="A886" s="303"/>
      <c r="B886" s="292">
        <v>4</v>
      </c>
      <c r="C886" s="292">
        <v>1</v>
      </c>
      <c r="D886" s="292">
        <v>4</v>
      </c>
      <c r="E886" s="292" t="s">
        <v>441</v>
      </c>
      <c r="F886" s="292"/>
      <c r="G886" s="253" t="s">
        <v>557</v>
      </c>
      <c r="H886" s="253"/>
      <c r="I886" s="253"/>
      <c r="J886" s="526"/>
      <c r="K886" s="527"/>
      <c r="L886" s="670">
        <f>L887</f>
        <v>0</v>
      </c>
      <c r="M886" s="527">
        <f>M887</f>
        <v>0</v>
      </c>
      <c r="N886" s="512">
        <f>N887</f>
        <v>0</v>
      </c>
      <c r="O886" s="412">
        <f>N886-K886</f>
        <v>0</v>
      </c>
      <c r="P886" s="487" t="e">
        <f>N886/K886*100</f>
        <v>#DIV/0!</v>
      </c>
      <c r="Q886" s="644"/>
      <c r="R886" s="422"/>
    </row>
    <row r="887" spans="1:18" s="189" customFormat="1" ht="12.05" customHeight="1">
      <c r="A887" s="303"/>
      <c r="B887" s="292">
        <v>4</v>
      </c>
      <c r="C887" s="292">
        <v>1</v>
      </c>
      <c r="D887" s="292">
        <v>4</v>
      </c>
      <c r="E887" s="292" t="s">
        <v>441</v>
      </c>
      <c r="F887" s="292" t="s">
        <v>437</v>
      </c>
      <c r="G887" s="253" t="s">
        <v>72</v>
      </c>
      <c r="H887" s="253"/>
      <c r="I887" s="253"/>
      <c r="J887" s="389"/>
      <c r="K887" s="357">
        <f>'[55]TARGET MURNI DAN PERUBAHAN'!$E$508</f>
        <v>0</v>
      </c>
      <c r="L887" s="391">
        <f>[56]PerDinas!$N$887</f>
        <v>0</v>
      </c>
      <c r="M887" s="357">
        <f>[55]Perdinas!$P$592</f>
        <v>0</v>
      </c>
      <c r="N887" s="334">
        <f t="shared" ref="N887:N892" si="129">M887+L887</f>
        <v>0</v>
      </c>
      <c r="O887" s="334">
        <f>N887-K887</f>
        <v>0</v>
      </c>
      <c r="P887" s="335" t="e">
        <f>N887/K887*100</f>
        <v>#DIV/0!</v>
      </c>
      <c r="Q887" s="442"/>
      <c r="R887" s="422"/>
    </row>
    <row r="888" spans="1:18" s="189" customFormat="1" ht="12.05" customHeight="1">
      <c r="A888" s="303"/>
      <c r="B888" s="292"/>
      <c r="C888" s="292"/>
      <c r="D888" s="292"/>
      <c r="E888" s="292"/>
      <c r="F888" s="292"/>
      <c r="G888" s="253"/>
      <c r="H888" s="253"/>
      <c r="I888" s="253"/>
      <c r="J888" s="333"/>
      <c r="K888" s="334"/>
      <c r="L888" s="356"/>
      <c r="M888" s="334"/>
      <c r="N888" s="355"/>
      <c r="O888" s="355"/>
      <c r="P888" s="388"/>
      <c r="Q888" s="430"/>
      <c r="R888" s="422"/>
    </row>
    <row r="889" spans="1:18" s="189" customFormat="1" ht="12.05" customHeight="1">
      <c r="A889" s="289"/>
      <c r="B889" s="292">
        <v>4</v>
      </c>
      <c r="C889" s="292">
        <v>1</v>
      </c>
      <c r="D889" s="292">
        <v>4</v>
      </c>
      <c r="E889" s="292" t="s">
        <v>444</v>
      </c>
      <c r="F889" s="292"/>
      <c r="G889" s="253" t="s">
        <v>222</v>
      </c>
      <c r="H889" s="253"/>
      <c r="I889" s="253"/>
      <c r="J889" s="526">
        <f>+J892</f>
        <v>0</v>
      </c>
      <c r="K889" s="527">
        <f>+K892</f>
        <v>0</v>
      </c>
      <c r="L889" s="670">
        <f>SUM(L890:L892)</f>
        <v>136368650</v>
      </c>
      <c r="M889" s="527">
        <f>SUM(M890:M892)</f>
        <v>5276940</v>
      </c>
      <c r="N889" s="527">
        <f>SUM(N890:N892)</f>
        <v>141645590</v>
      </c>
      <c r="O889" s="529">
        <f>N889-K889</f>
        <v>141645590</v>
      </c>
      <c r="P889" s="478">
        <v>0</v>
      </c>
      <c r="Q889" s="644"/>
      <c r="R889" s="422"/>
    </row>
    <row r="890" spans="1:18" s="189" customFormat="1" ht="12.05" customHeight="1">
      <c r="A890" s="289"/>
      <c r="B890" s="292">
        <v>4</v>
      </c>
      <c r="C890" s="292">
        <v>1</v>
      </c>
      <c r="D890" s="292">
        <v>4</v>
      </c>
      <c r="E890" s="292" t="s">
        <v>444</v>
      </c>
      <c r="F890" s="292" t="s">
        <v>440</v>
      </c>
      <c r="G890" s="253" t="s">
        <v>73</v>
      </c>
      <c r="H890" s="253"/>
      <c r="I890" s="253"/>
      <c r="J890" s="354">
        <v>0</v>
      </c>
      <c r="K890" s="355">
        <v>0</v>
      </c>
      <c r="L890" s="360"/>
      <c r="M890" s="355">
        <f>[55]Perdinas!$P$593</f>
        <v>0</v>
      </c>
      <c r="N890" s="355">
        <f t="shared" si="129"/>
        <v>0</v>
      </c>
      <c r="O890" s="355">
        <f>N890-K890</f>
        <v>0</v>
      </c>
      <c r="P890" s="388"/>
      <c r="Q890" s="441"/>
      <c r="R890" s="422"/>
    </row>
    <row r="891" spans="1:18" s="189" customFormat="1" ht="12.05" customHeight="1">
      <c r="A891" s="289"/>
      <c r="B891" s="292">
        <v>4</v>
      </c>
      <c r="C891" s="292">
        <v>1</v>
      </c>
      <c r="D891" s="292">
        <v>4</v>
      </c>
      <c r="E891" s="292" t="s">
        <v>444</v>
      </c>
      <c r="F891" s="292" t="s">
        <v>445</v>
      </c>
      <c r="G891" s="253" t="s">
        <v>74</v>
      </c>
      <c r="H891" s="253"/>
      <c r="I891" s="253"/>
      <c r="J891" s="354">
        <v>0</v>
      </c>
      <c r="K891" s="355">
        <v>0</v>
      </c>
      <c r="L891" s="360"/>
      <c r="M891" s="355">
        <f>[55]Perdinas!$P$594</f>
        <v>0</v>
      </c>
      <c r="N891" s="355">
        <f t="shared" si="129"/>
        <v>0</v>
      </c>
      <c r="O891" s="355">
        <f>N891-K891</f>
        <v>0</v>
      </c>
      <c r="P891" s="388"/>
      <c r="Q891" s="441"/>
      <c r="R891" s="422"/>
    </row>
    <row r="892" spans="1:18" s="189" customFormat="1" ht="12.05" customHeight="1">
      <c r="A892" s="289"/>
      <c r="B892" s="292">
        <v>4</v>
      </c>
      <c r="C892" s="292">
        <v>1</v>
      </c>
      <c r="D892" s="292">
        <v>4</v>
      </c>
      <c r="E892" s="292" t="s">
        <v>444</v>
      </c>
      <c r="F892" s="292" t="s">
        <v>441</v>
      </c>
      <c r="G892" s="253" t="s">
        <v>75</v>
      </c>
      <c r="H892" s="253"/>
      <c r="I892" s="253"/>
      <c r="J892" s="354">
        <v>0</v>
      </c>
      <c r="K892" s="373">
        <f>'[55]TARGET MURNI DAN PERUBAHAN'!$E$511</f>
        <v>0</v>
      </c>
      <c r="L892" s="360">
        <f>[56]PerDinas!$N$892</f>
        <v>136368650</v>
      </c>
      <c r="M892" s="373">
        <f>[55]Perdinas!$P$595</f>
        <v>5276940</v>
      </c>
      <c r="N892" s="369">
        <f t="shared" si="129"/>
        <v>141645590</v>
      </c>
      <c r="O892" s="355">
        <f>N892-K892</f>
        <v>141645590</v>
      </c>
      <c r="P892" s="388"/>
      <c r="Q892" s="441"/>
      <c r="R892" s="431"/>
    </row>
    <row r="893" spans="1:18" s="189" customFormat="1" ht="12.05" customHeight="1">
      <c r="A893" s="293"/>
      <c r="B893" s="292"/>
      <c r="C893" s="292"/>
      <c r="D893" s="292"/>
      <c r="E893" s="292"/>
      <c r="F893" s="292"/>
      <c r="G893" s="253"/>
      <c r="H893" s="253"/>
      <c r="I893" s="253"/>
      <c r="J893" s="374"/>
      <c r="K893" s="375"/>
      <c r="L893" s="377"/>
      <c r="M893" s="375"/>
      <c r="N893" s="355"/>
      <c r="O893" s="355"/>
      <c r="P893" s="388"/>
      <c r="Q893" s="448"/>
      <c r="R893" s="422"/>
    </row>
    <row r="894" spans="1:18" s="189" customFormat="1" ht="12.05" customHeight="1">
      <c r="A894" s="293"/>
      <c r="B894" s="292">
        <v>4</v>
      </c>
      <c r="C894" s="292">
        <v>1</v>
      </c>
      <c r="D894" s="292">
        <v>4</v>
      </c>
      <c r="E894" s="292" t="s">
        <v>948</v>
      </c>
      <c r="F894" s="292"/>
      <c r="G894" s="410" t="s">
        <v>321</v>
      </c>
      <c r="H894" s="410"/>
      <c r="I894" s="410"/>
      <c r="J894" s="678">
        <f>+J895</f>
        <v>23000000</v>
      </c>
      <c r="K894" s="490">
        <f>+K895</f>
        <v>0</v>
      </c>
      <c r="L894" s="616">
        <f>+L895</f>
        <v>0</v>
      </c>
      <c r="M894" s="512">
        <f>+M895</f>
        <v>0</v>
      </c>
      <c r="N894" s="412">
        <f>+M894+L894</f>
        <v>0</v>
      </c>
      <c r="O894" s="412">
        <f>N894-K894</f>
        <v>0</v>
      </c>
      <c r="P894" s="487">
        <v>0</v>
      </c>
      <c r="Q894" s="647"/>
      <c r="R894" s="422"/>
    </row>
    <row r="895" spans="1:18" s="189" customFormat="1" ht="12.05" customHeight="1">
      <c r="A895" s="293"/>
      <c r="B895" s="292">
        <v>4</v>
      </c>
      <c r="C895" s="292">
        <v>1</v>
      </c>
      <c r="D895" s="292">
        <v>4</v>
      </c>
      <c r="E895" s="292" t="s">
        <v>948</v>
      </c>
      <c r="F895" s="292" t="s">
        <v>437</v>
      </c>
      <c r="G895" s="253" t="s">
        <v>85</v>
      </c>
      <c r="H895" s="253"/>
      <c r="I895" s="253"/>
      <c r="J895" s="688">
        <f>+J896+J897</f>
        <v>23000000</v>
      </c>
      <c r="K895" s="496">
        <f>+K896+K897</f>
        <v>0</v>
      </c>
      <c r="L895" s="689">
        <f>+L896+L897</f>
        <v>0</v>
      </c>
      <c r="M895" s="496">
        <f>+M896</f>
        <v>0</v>
      </c>
      <c r="N895" s="497">
        <f>M895+L895</f>
        <v>0</v>
      </c>
      <c r="O895" s="497">
        <f>N895-K895</f>
        <v>0</v>
      </c>
      <c r="P895" s="498">
        <v>0</v>
      </c>
      <c r="Q895" s="548"/>
      <c r="R895" s="422"/>
    </row>
    <row r="896" spans="1:18" s="189" customFormat="1" ht="12.05" customHeight="1">
      <c r="A896" s="293"/>
      <c r="B896" s="292"/>
      <c r="C896" s="292"/>
      <c r="D896" s="292"/>
      <c r="E896" s="292"/>
      <c r="F896" s="292"/>
      <c r="G896" s="253" t="s">
        <v>50</v>
      </c>
      <c r="H896" s="253"/>
      <c r="I896" s="253" t="s">
        <v>632</v>
      </c>
      <c r="J896" s="374">
        <v>8000000</v>
      </c>
      <c r="K896" s="376">
        <v>0</v>
      </c>
      <c r="L896" s="377">
        <v>0</v>
      </c>
      <c r="M896" s="376">
        <v>0</v>
      </c>
      <c r="N896" s="369">
        <f>M896+L896</f>
        <v>0</v>
      </c>
      <c r="O896" s="355">
        <f>N896-K896</f>
        <v>0</v>
      </c>
      <c r="P896" s="388">
        <v>0</v>
      </c>
      <c r="Q896" s="448"/>
      <c r="R896" s="431"/>
    </row>
    <row r="897" spans="1:18" s="189" customFormat="1" ht="12.05" customHeight="1">
      <c r="A897" s="465"/>
      <c r="B897" s="296"/>
      <c r="C897" s="296"/>
      <c r="D897" s="296"/>
      <c r="E897" s="296"/>
      <c r="F897" s="296"/>
      <c r="G897" s="297"/>
      <c r="H897" s="297"/>
      <c r="I897" s="297"/>
      <c r="J897" s="351">
        <v>15000000</v>
      </c>
      <c r="K897" s="691"/>
      <c r="L897" s="692"/>
      <c r="M897" s="691"/>
      <c r="N897" s="352"/>
      <c r="O897" s="352"/>
      <c r="P897" s="353"/>
      <c r="Q897" s="430"/>
      <c r="R897" s="422"/>
    </row>
    <row r="898" spans="1:18" s="244" customFormat="1">
      <c r="A898" s="1186" t="s">
        <v>372</v>
      </c>
      <c r="B898" s="1187" t="s">
        <v>460</v>
      </c>
      <c r="C898" s="1187" t="s">
        <v>440</v>
      </c>
      <c r="D898" s="1187" t="s">
        <v>437</v>
      </c>
      <c r="E898" s="1187"/>
      <c r="F898" s="1187"/>
      <c r="G898" s="1188" t="s">
        <v>889</v>
      </c>
      <c r="H898" s="1188"/>
      <c r="I898" s="1188"/>
      <c r="J898" s="1195">
        <f>+J899</f>
        <v>1500000</v>
      </c>
      <c r="K898" s="1196">
        <f>+K899</f>
        <v>0</v>
      </c>
      <c r="L898" s="1196">
        <f>+L899</f>
        <v>65112947</v>
      </c>
      <c r="M898" s="1196">
        <f>+M899</f>
        <v>115338466</v>
      </c>
      <c r="N898" s="1196">
        <f>M898+L898</f>
        <v>180451413</v>
      </c>
      <c r="O898" s="1196">
        <f>+N898-K898</f>
        <v>180451413</v>
      </c>
      <c r="P898" s="1197" t="e">
        <f>+N898/K898*100</f>
        <v>#DIV/0!</v>
      </c>
      <c r="Q898" s="1208"/>
      <c r="R898" s="639"/>
    </row>
    <row r="899" spans="1:18" s="189" customFormat="1" ht="15.85" customHeight="1">
      <c r="A899" s="293"/>
      <c r="B899" s="290">
        <v>4</v>
      </c>
      <c r="C899" s="290">
        <v>1</v>
      </c>
      <c r="D899" s="290"/>
      <c r="E899" s="290"/>
      <c r="F899" s="290"/>
      <c r="G899" s="291" t="s">
        <v>180</v>
      </c>
      <c r="H899" s="291"/>
      <c r="I899" s="291"/>
      <c r="J899" s="342">
        <f>J901+J909</f>
        <v>1500000</v>
      </c>
      <c r="K899" s="343">
        <f>K901+K909</f>
        <v>0</v>
      </c>
      <c r="L899" s="343">
        <f>L901+L909</f>
        <v>65112947</v>
      </c>
      <c r="M899" s="343">
        <f>M901+M909</f>
        <v>115338466</v>
      </c>
      <c r="N899" s="343">
        <f>+M899+L899</f>
        <v>180451413</v>
      </c>
      <c r="O899" s="343">
        <f>N899-K899</f>
        <v>180451413</v>
      </c>
      <c r="P899" s="344" t="e">
        <f>N899/K899*100</f>
        <v>#DIV/0!</v>
      </c>
      <c r="Q899" s="437"/>
      <c r="R899" s="422"/>
    </row>
    <row r="900" spans="1:18" s="189" customFormat="1" ht="12.05" customHeight="1">
      <c r="A900" s="293"/>
      <c r="B900" s="292"/>
      <c r="C900" s="292"/>
      <c r="D900" s="292"/>
      <c r="E900" s="292"/>
      <c r="F900" s="292"/>
      <c r="G900" s="253"/>
      <c r="H900" s="253"/>
      <c r="I900" s="253"/>
      <c r="J900" s="345"/>
      <c r="K900" s="346"/>
      <c r="L900" s="367"/>
      <c r="M900" s="367"/>
      <c r="N900" s="367"/>
      <c r="O900" s="367"/>
      <c r="P900" s="347"/>
      <c r="Q900" s="454"/>
      <c r="R900" s="422"/>
    </row>
    <row r="901" spans="1:18" s="189" customFormat="1" ht="12.05" customHeight="1">
      <c r="A901" s="293"/>
      <c r="B901" s="290">
        <v>4</v>
      </c>
      <c r="C901" s="290">
        <v>1</v>
      </c>
      <c r="D901" s="290" t="s">
        <v>58</v>
      </c>
      <c r="E901" s="290"/>
      <c r="F901" s="290"/>
      <c r="G901" s="291" t="s">
        <v>106</v>
      </c>
      <c r="H901" s="291"/>
      <c r="I901" s="253"/>
      <c r="J901" s="392">
        <f>+J902+J905</f>
        <v>0</v>
      </c>
      <c r="K901" s="393">
        <f>+K902+K905</f>
        <v>0</v>
      </c>
      <c r="L901" s="393">
        <f>+L902</f>
        <v>0</v>
      </c>
      <c r="M901" s="393">
        <f>+M902</f>
        <v>0</v>
      </c>
      <c r="N901" s="349">
        <f>+M901+L901</f>
        <v>0</v>
      </c>
      <c r="O901" s="349">
        <f>N901-K901</f>
        <v>0</v>
      </c>
      <c r="P901" s="350" t="e">
        <f>N901/K901*100</f>
        <v>#DIV/0!</v>
      </c>
      <c r="Q901" s="444"/>
      <c r="R901" s="422"/>
    </row>
    <row r="902" spans="1:18" s="189" customFormat="1" ht="12.05" customHeight="1">
      <c r="A902" s="293"/>
      <c r="B902" s="292">
        <v>4</v>
      </c>
      <c r="C902" s="292">
        <v>1</v>
      </c>
      <c r="D902" s="292" t="s">
        <v>460</v>
      </c>
      <c r="E902" s="292" t="s">
        <v>437</v>
      </c>
      <c r="F902" s="292"/>
      <c r="G902" s="253" t="s">
        <v>107</v>
      </c>
      <c r="H902" s="253"/>
      <c r="I902" s="253"/>
      <c r="J902" s="484">
        <f>+J903</f>
        <v>0</v>
      </c>
      <c r="K902" s="485">
        <f>+K903</f>
        <v>0</v>
      </c>
      <c r="L902" s="485">
        <f>+L903</f>
        <v>0</v>
      </c>
      <c r="M902" s="485">
        <f>+M903</f>
        <v>0</v>
      </c>
      <c r="N902" s="412">
        <f>+M902+L902</f>
        <v>0</v>
      </c>
      <c r="O902" s="412">
        <f>N902-K902</f>
        <v>0</v>
      </c>
      <c r="P902" s="487" t="e">
        <f>N902/K902*100</f>
        <v>#DIV/0!</v>
      </c>
      <c r="Q902" s="541"/>
      <c r="R902" s="422"/>
    </row>
    <row r="903" spans="1:18" s="189" customFormat="1" ht="12.05" customHeight="1">
      <c r="A903" s="293"/>
      <c r="B903" s="292">
        <v>4</v>
      </c>
      <c r="C903" s="292">
        <v>1</v>
      </c>
      <c r="D903" s="292" t="s">
        <v>58</v>
      </c>
      <c r="E903" s="292" t="s">
        <v>437</v>
      </c>
      <c r="F903" s="292" t="s">
        <v>440</v>
      </c>
      <c r="G903" s="253" t="s">
        <v>1011</v>
      </c>
      <c r="H903" s="253"/>
      <c r="I903" s="253"/>
      <c r="J903" s="333">
        <v>0</v>
      </c>
      <c r="K903" s="497">
        <v>0</v>
      </c>
      <c r="L903" s="334">
        <v>0</v>
      </c>
      <c r="M903" s="497">
        <v>0</v>
      </c>
      <c r="N903" s="497">
        <f>M903+L903</f>
        <v>0</v>
      </c>
      <c r="O903" s="497">
        <f>N903-K903</f>
        <v>0</v>
      </c>
      <c r="P903" s="498" t="e">
        <f>N903/K903*100</f>
        <v>#DIV/0!</v>
      </c>
      <c r="Q903" s="787"/>
      <c r="R903" s="422"/>
    </row>
    <row r="904" spans="1:18" s="189" customFormat="1" ht="12.05" customHeight="1">
      <c r="A904" s="293"/>
      <c r="B904" s="292"/>
      <c r="C904" s="292"/>
      <c r="D904" s="292"/>
      <c r="E904" s="292"/>
      <c r="F904" s="292"/>
      <c r="G904" s="253"/>
      <c r="H904" s="253"/>
      <c r="I904" s="253"/>
      <c r="J904" s="333"/>
      <c r="K904" s="355"/>
      <c r="L904" s="334"/>
      <c r="M904" s="355"/>
      <c r="N904" s="355"/>
      <c r="O904" s="355"/>
      <c r="P904" s="388"/>
      <c r="Q904" s="441"/>
      <c r="R904" s="422"/>
    </row>
    <row r="905" spans="1:18" s="189" customFormat="1" ht="12.05" customHeight="1">
      <c r="A905" s="293"/>
      <c r="B905" s="292">
        <v>4</v>
      </c>
      <c r="C905" s="292">
        <v>1</v>
      </c>
      <c r="D905" s="292" t="s">
        <v>58</v>
      </c>
      <c r="E905" s="292" t="s">
        <v>438</v>
      </c>
      <c r="F905" s="292"/>
      <c r="G905" s="253" t="s">
        <v>109</v>
      </c>
      <c r="H905" s="253"/>
      <c r="I905" s="253"/>
      <c r="J905" s="333">
        <f>J906</f>
        <v>0</v>
      </c>
      <c r="K905" s="355">
        <f>K906</f>
        <v>0</v>
      </c>
      <c r="L905" s="355">
        <f>L906</f>
        <v>0</v>
      </c>
      <c r="M905" s="355">
        <f>M906</f>
        <v>0</v>
      </c>
      <c r="N905" s="355">
        <f>M905+L905</f>
        <v>0</v>
      </c>
      <c r="O905" s="355">
        <f>N905-K905</f>
        <v>0</v>
      </c>
      <c r="P905" s="388" t="e">
        <f t="shared" ref="P905:P911" si="130">N905/K905*100</f>
        <v>#DIV/0!</v>
      </c>
      <c r="Q905" s="441"/>
      <c r="R905" s="422"/>
    </row>
    <row r="906" spans="1:18" s="189" customFormat="1" ht="12.05" customHeight="1">
      <c r="A906" s="289"/>
      <c r="B906" s="292" t="s">
        <v>443</v>
      </c>
      <c r="C906" s="292" t="s">
        <v>58</v>
      </c>
      <c r="D906" s="292" t="s">
        <v>58</v>
      </c>
      <c r="E906" s="292" t="s">
        <v>438</v>
      </c>
      <c r="F906" s="292" t="s">
        <v>437</v>
      </c>
      <c r="G906" s="253" t="s">
        <v>64</v>
      </c>
      <c r="H906" s="253"/>
      <c r="I906" s="253"/>
      <c r="J906" s="333"/>
      <c r="K906" s="355"/>
      <c r="L906" s="355">
        <v>0</v>
      </c>
      <c r="M906" s="355"/>
      <c r="N906" s="355">
        <f>M906+L906</f>
        <v>0</v>
      </c>
      <c r="O906" s="355">
        <f>N906-K906</f>
        <v>0</v>
      </c>
      <c r="P906" s="388" t="e">
        <f t="shared" si="130"/>
        <v>#DIV/0!</v>
      </c>
      <c r="Q906" s="441"/>
      <c r="R906" s="422"/>
    </row>
    <row r="907" spans="1:18" s="189" customFormat="1" ht="12.05" customHeight="1">
      <c r="A907" s="293"/>
      <c r="B907" s="292"/>
      <c r="C907" s="292"/>
      <c r="D907" s="292"/>
      <c r="E907" s="292"/>
      <c r="F907" s="292"/>
      <c r="G907" s="253"/>
      <c r="H907" s="253"/>
      <c r="I907" s="253"/>
      <c r="J907" s="333"/>
      <c r="K907" s="355"/>
      <c r="L907" s="360"/>
      <c r="M907" s="355"/>
      <c r="N907" s="355"/>
      <c r="O907" s="355"/>
      <c r="P907" s="388"/>
      <c r="Q907" s="441"/>
      <c r="R907" s="422"/>
    </row>
    <row r="908" spans="1:18" s="189" customFormat="1" ht="12.05" customHeight="1">
      <c r="A908" s="293"/>
      <c r="B908" s="292"/>
      <c r="C908" s="292"/>
      <c r="D908" s="292"/>
      <c r="E908" s="292"/>
      <c r="F908" s="292"/>
      <c r="G908" s="253"/>
      <c r="H908" s="253"/>
      <c r="I908" s="253"/>
      <c r="J908" s="354"/>
      <c r="K908" s="355"/>
      <c r="L908" s="360"/>
      <c r="M908" s="355"/>
      <c r="N908" s="355"/>
      <c r="O908" s="355"/>
      <c r="P908" s="388"/>
      <c r="Q908" s="441"/>
      <c r="R908" s="422"/>
    </row>
    <row r="909" spans="1:18" s="189" customFormat="1" ht="12.05" customHeight="1">
      <c r="A909" s="465"/>
      <c r="B909" s="466">
        <v>4</v>
      </c>
      <c r="C909" s="466">
        <v>1</v>
      </c>
      <c r="D909" s="466">
        <v>4</v>
      </c>
      <c r="E909" s="466"/>
      <c r="F909" s="466"/>
      <c r="G909" s="467" t="s">
        <v>71</v>
      </c>
      <c r="H909" s="467"/>
      <c r="I909" s="467"/>
      <c r="J909" s="329">
        <f>J912+J917</f>
        <v>1500000</v>
      </c>
      <c r="K909" s="330">
        <f>K912+K917</f>
        <v>0</v>
      </c>
      <c r="L909" s="366">
        <f>+L910+L912+L917</f>
        <v>65112947</v>
      </c>
      <c r="M909" s="330">
        <f>+M910+M912+M917</f>
        <v>115338466</v>
      </c>
      <c r="N909" s="330">
        <f>+N910+N912+N917</f>
        <v>180451413</v>
      </c>
      <c r="O909" s="343">
        <f t="shared" ref="O909:O915" si="131">N909-K909</f>
        <v>180451413</v>
      </c>
      <c r="P909" s="344" t="e">
        <f t="shared" si="130"/>
        <v>#DIV/0!</v>
      </c>
      <c r="Q909" s="445"/>
      <c r="R909" s="422"/>
    </row>
    <row r="910" spans="1:18" s="189" customFormat="1" ht="12.05" customHeight="1">
      <c r="A910" s="293"/>
      <c r="B910" s="292">
        <v>4</v>
      </c>
      <c r="C910" s="292">
        <v>1</v>
      </c>
      <c r="D910" s="292">
        <v>4</v>
      </c>
      <c r="E910" s="292" t="s">
        <v>441</v>
      </c>
      <c r="F910" s="292"/>
      <c r="G910" s="253" t="s">
        <v>557</v>
      </c>
      <c r="H910" s="253"/>
      <c r="I910" s="253"/>
      <c r="J910" s="354"/>
      <c r="K910" s="355"/>
      <c r="L910" s="360">
        <f>L911</f>
        <v>49160523</v>
      </c>
      <c r="M910" s="355">
        <f>M911</f>
        <v>115338466</v>
      </c>
      <c r="N910" s="618">
        <f>N911</f>
        <v>164498989</v>
      </c>
      <c r="O910" s="346">
        <f t="shared" si="131"/>
        <v>164498989</v>
      </c>
      <c r="P910" s="347" t="e">
        <f t="shared" si="130"/>
        <v>#DIV/0!</v>
      </c>
      <c r="Q910" s="651"/>
      <c r="R910" s="422"/>
    </row>
    <row r="911" spans="1:18" s="189" customFormat="1" ht="12.05" customHeight="1">
      <c r="A911" s="293"/>
      <c r="B911" s="292">
        <v>4</v>
      </c>
      <c r="C911" s="292">
        <v>1</v>
      </c>
      <c r="D911" s="292">
        <v>4</v>
      </c>
      <c r="E911" s="292" t="s">
        <v>441</v>
      </c>
      <c r="F911" s="292" t="s">
        <v>437</v>
      </c>
      <c r="G911" s="253" t="s">
        <v>72</v>
      </c>
      <c r="H911" s="253"/>
      <c r="I911" s="253"/>
      <c r="J911" s="354"/>
      <c r="K911" s="373">
        <f>'[55]TARGET MURNI DAN PERUBAHAN'!$E$518</f>
        <v>0</v>
      </c>
      <c r="L911" s="360">
        <f>[56]PerDinas!$N$911</f>
        <v>49160523</v>
      </c>
      <c r="M911" s="373">
        <f>[55]Perdinas!$P$602</f>
        <v>115338466</v>
      </c>
      <c r="N911" s="355">
        <f>M911+L911</f>
        <v>164498989</v>
      </c>
      <c r="O911" s="355">
        <f t="shared" si="131"/>
        <v>164498989</v>
      </c>
      <c r="P911" s="388" t="e">
        <f t="shared" si="130"/>
        <v>#DIV/0!</v>
      </c>
      <c r="Q911" s="441"/>
      <c r="R911" s="422"/>
    </row>
    <row r="912" spans="1:18" s="189" customFormat="1" ht="12.05" customHeight="1">
      <c r="A912" s="289"/>
      <c r="B912" s="292">
        <v>4</v>
      </c>
      <c r="C912" s="292">
        <v>1</v>
      </c>
      <c r="D912" s="292">
        <v>4</v>
      </c>
      <c r="E912" s="292" t="s">
        <v>444</v>
      </c>
      <c r="F912" s="292"/>
      <c r="G912" s="253" t="s">
        <v>222</v>
      </c>
      <c r="H912" s="253"/>
      <c r="I912" s="253"/>
      <c r="J912" s="354">
        <f>+J915</f>
        <v>0</v>
      </c>
      <c r="K912" s="355">
        <f>+K915</f>
        <v>0</v>
      </c>
      <c r="L912" s="360">
        <f>SUM(L913:L915)</f>
        <v>15952424</v>
      </c>
      <c r="M912" s="355">
        <f>SUM(M913:M915)</f>
        <v>0</v>
      </c>
      <c r="N912" s="355">
        <f>SUM(N913:N915)</f>
        <v>15952424</v>
      </c>
      <c r="O912" s="346">
        <f t="shared" si="131"/>
        <v>15952424</v>
      </c>
      <c r="P912" s="347">
        <v>0</v>
      </c>
      <c r="Q912" s="441"/>
      <c r="R912" s="422"/>
    </row>
    <row r="913" spans="1:18" s="189" customFormat="1" ht="12.05" customHeight="1">
      <c r="A913" s="289"/>
      <c r="B913" s="292">
        <v>4</v>
      </c>
      <c r="C913" s="292">
        <v>1</v>
      </c>
      <c r="D913" s="292">
        <v>4</v>
      </c>
      <c r="E913" s="292" t="s">
        <v>444</v>
      </c>
      <c r="F913" s="292" t="s">
        <v>440</v>
      </c>
      <c r="G913" s="253" t="s">
        <v>73</v>
      </c>
      <c r="H913" s="253"/>
      <c r="I913" s="253"/>
      <c r="J913" s="354">
        <v>0</v>
      </c>
      <c r="K913" s="355">
        <v>0</v>
      </c>
      <c r="L913" s="360">
        <v>0</v>
      </c>
      <c r="M913" s="355">
        <f>[55]Perdinas!$P$603</f>
        <v>0</v>
      </c>
      <c r="N913" s="355">
        <f>M913+L913</f>
        <v>0</v>
      </c>
      <c r="O913" s="355">
        <f t="shared" si="131"/>
        <v>0</v>
      </c>
      <c r="P913" s="388"/>
      <c r="Q913" s="441"/>
      <c r="R913" s="422"/>
    </row>
    <row r="914" spans="1:18" s="189" customFormat="1" ht="12.05" customHeight="1">
      <c r="A914" s="289"/>
      <c r="B914" s="292">
        <v>4</v>
      </c>
      <c r="C914" s="292">
        <v>1</v>
      </c>
      <c r="D914" s="292">
        <v>4</v>
      </c>
      <c r="E914" s="292" t="s">
        <v>444</v>
      </c>
      <c r="F914" s="292" t="s">
        <v>445</v>
      </c>
      <c r="G914" s="253" t="s">
        <v>74</v>
      </c>
      <c r="H914" s="253"/>
      <c r="I914" s="253"/>
      <c r="J914" s="354">
        <v>0</v>
      </c>
      <c r="K914" s="355">
        <v>0</v>
      </c>
      <c r="L914" s="360">
        <v>0</v>
      </c>
      <c r="M914" s="355">
        <f>[55]Perdinas!$P$604</f>
        <v>0</v>
      </c>
      <c r="N914" s="355">
        <f>M914+L914</f>
        <v>0</v>
      </c>
      <c r="O914" s="355">
        <f t="shared" si="131"/>
        <v>0</v>
      </c>
      <c r="P914" s="388"/>
      <c r="Q914" s="441"/>
      <c r="R914" s="422"/>
    </row>
    <row r="915" spans="1:18" s="189" customFormat="1" ht="12.05" customHeight="1">
      <c r="A915" s="289"/>
      <c r="B915" s="292">
        <v>4</v>
      </c>
      <c r="C915" s="292">
        <v>1</v>
      </c>
      <c r="D915" s="292">
        <v>4</v>
      </c>
      <c r="E915" s="292" t="s">
        <v>444</v>
      </c>
      <c r="F915" s="292" t="s">
        <v>441</v>
      </c>
      <c r="G915" s="253" t="s">
        <v>75</v>
      </c>
      <c r="H915" s="253"/>
      <c r="I915" s="253"/>
      <c r="J915" s="354">
        <v>0</v>
      </c>
      <c r="K915" s="355">
        <f>'[55]TARGET MURNI DAN PERUBAHAN'!$E$521</f>
        <v>0</v>
      </c>
      <c r="L915" s="360">
        <f>[56]PerDinas!$N$915</f>
        <v>15952424</v>
      </c>
      <c r="M915" s="355">
        <f>[55]Perdinas!$P$605</f>
        <v>0</v>
      </c>
      <c r="N915" s="369">
        <f>M915+L915</f>
        <v>15952424</v>
      </c>
      <c r="O915" s="355">
        <f t="shared" si="131"/>
        <v>15952424</v>
      </c>
      <c r="P915" s="388"/>
      <c r="Q915" s="441"/>
      <c r="R915" s="422"/>
    </row>
    <row r="916" spans="1:18" s="189" customFormat="1" ht="12.05" customHeight="1">
      <c r="A916" s="289"/>
      <c r="B916" s="292"/>
      <c r="C916" s="292"/>
      <c r="D916" s="292"/>
      <c r="E916" s="292"/>
      <c r="F916" s="292"/>
      <c r="G916" s="253"/>
      <c r="H916" s="253"/>
      <c r="I916" s="253"/>
      <c r="J916" s="354"/>
      <c r="K916" s="355"/>
      <c r="L916" s="360"/>
      <c r="M916" s="355"/>
      <c r="N916" s="355"/>
      <c r="O916" s="355"/>
      <c r="P916" s="388"/>
      <c r="Q916" s="441"/>
      <c r="R916" s="422"/>
    </row>
    <row r="917" spans="1:18" s="189" customFormat="1" ht="12.05" customHeight="1">
      <c r="A917" s="293"/>
      <c r="B917" s="292">
        <v>4</v>
      </c>
      <c r="C917" s="292">
        <v>1</v>
      </c>
      <c r="D917" s="292">
        <v>4</v>
      </c>
      <c r="E917" s="292" t="s">
        <v>451</v>
      </c>
      <c r="F917" s="292"/>
      <c r="G917" s="253" t="s">
        <v>321</v>
      </c>
      <c r="H917" s="253"/>
      <c r="I917" s="253"/>
      <c r="J917" s="374">
        <f>J918</f>
        <v>1500000</v>
      </c>
      <c r="K917" s="375">
        <f>K918</f>
        <v>0</v>
      </c>
      <c r="L917" s="377">
        <f>+L918</f>
        <v>0</v>
      </c>
      <c r="M917" s="375">
        <f>+M918</f>
        <v>0</v>
      </c>
      <c r="N917" s="346">
        <f>+M917+L917</f>
        <v>0</v>
      </c>
      <c r="O917" s="346">
        <f>N917-K917</f>
        <v>0</v>
      </c>
      <c r="P917" s="347">
        <v>0</v>
      </c>
      <c r="Q917" s="448"/>
      <c r="R917" s="422"/>
    </row>
    <row r="918" spans="1:18" s="189" customFormat="1" ht="12.05" customHeight="1">
      <c r="A918" s="293"/>
      <c r="B918" s="292">
        <v>4</v>
      </c>
      <c r="C918" s="292">
        <v>1</v>
      </c>
      <c r="D918" s="292">
        <v>4</v>
      </c>
      <c r="E918" s="292" t="s">
        <v>451</v>
      </c>
      <c r="F918" s="292" t="s">
        <v>437</v>
      </c>
      <c r="G918" s="253" t="s">
        <v>85</v>
      </c>
      <c r="H918" s="253"/>
      <c r="I918" s="253"/>
      <c r="J918" s="374">
        <f t="shared" ref="J918:P918" si="132">SUM(J919:J921)</f>
        <v>1500000</v>
      </c>
      <c r="K918" s="375">
        <f t="shared" si="132"/>
        <v>0</v>
      </c>
      <c r="L918" s="377">
        <f>SUM(L919:L921)</f>
        <v>0</v>
      </c>
      <c r="M918" s="375">
        <f>SUM(M919:M921)</f>
        <v>0</v>
      </c>
      <c r="N918" s="375">
        <f t="shared" si="132"/>
        <v>0</v>
      </c>
      <c r="O918" s="375">
        <f t="shared" si="132"/>
        <v>0</v>
      </c>
      <c r="P918" s="1081" t="e">
        <f t="shared" si="132"/>
        <v>#DIV/0!</v>
      </c>
      <c r="Q918" s="448"/>
      <c r="R918" s="422"/>
    </row>
    <row r="919" spans="1:18" s="189" customFormat="1" ht="12.05" customHeight="1">
      <c r="A919" s="471"/>
      <c r="B919" s="287"/>
      <c r="C919" s="287"/>
      <c r="D919" s="287"/>
      <c r="E919" s="287"/>
      <c r="F919" s="287"/>
      <c r="G919" s="410" t="s">
        <v>50</v>
      </c>
      <c r="H919" s="410"/>
      <c r="I919" s="410" t="s">
        <v>85</v>
      </c>
      <c r="J919" s="708">
        <v>1500000</v>
      </c>
      <c r="K919" s="722">
        <f>'[55]TARGET MURNI DAN PERUBAHAN'!$E$524</f>
        <v>0</v>
      </c>
      <c r="L919" s="710">
        <v>0</v>
      </c>
      <c r="M919" s="722">
        <v>0</v>
      </c>
      <c r="N919" s="415">
        <f>M919+L919</f>
        <v>0</v>
      </c>
      <c r="O919" s="357">
        <f>N919-K919</f>
        <v>0</v>
      </c>
      <c r="P919" s="358" t="e">
        <f>N919/K919*100</f>
        <v>#DIV/0!</v>
      </c>
      <c r="Q919" s="732"/>
      <c r="R919" s="422"/>
    </row>
    <row r="920" spans="1:18" s="189" customFormat="1" ht="12.05" customHeight="1">
      <c r="A920" s="293"/>
      <c r="B920" s="292"/>
      <c r="C920" s="292"/>
      <c r="D920" s="292"/>
      <c r="E920" s="292"/>
      <c r="F920" s="292"/>
      <c r="G920" s="253" t="s">
        <v>50</v>
      </c>
      <c r="H920" s="253"/>
      <c r="I920" s="253" t="s">
        <v>1012</v>
      </c>
      <c r="J920" s="374">
        <v>0</v>
      </c>
      <c r="K920" s="375">
        <f>'[55]TARGET MURNI DAN PERUBAHAN'!$E$522</f>
        <v>0</v>
      </c>
      <c r="L920" s="710">
        <v>0</v>
      </c>
      <c r="M920" s="375">
        <f>[55]Perdinas!$P$606</f>
        <v>0</v>
      </c>
      <c r="N920" s="355">
        <f>M920+L920</f>
        <v>0</v>
      </c>
      <c r="O920" s="355">
        <f>N920-K920</f>
        <v>0</v>
      </c>
      <c r="P920" s="388">
        <v>1</v>
      </c>
      <c r="Q920" s="448"/>
      <c r="R920" s="422"/>
    </row>
    <row r="921" spans="1:18" s="189" customFormat="1" ht="12.05" customHeight="1">
      <c r="A921" s="465"/>
      <c r="B921" s="296"/>
      <c r="C921" s="296"/>
      <c r="D921" s="296"/>
      <c r="E921" s="296"/>
      <c r="F921" s="296"/>
      <c r="G921" s="297" t="s">
        <v>50</v>
      </c>
      <c r="H921" s="297"/>
      <c r="I921" s="297" t="s">
        <v>1013</v>
      </c>
      <c r="J921" s="679">
        <v>0</v>
      </c>
      <c r="K921" s="691">
        <f>'[55]TARGET MURNI DAN PERUBAHAN'!$E$523</f>
        <v>0</v>
      </c>
      <c r="L921" s="513">
        <v>0</v>
      </c>
      <c r="M921" s="691">
        <f>[55]Perdinas!$P$607</f>
        <v>0</v>
      </c>
      <c r="N921" s="352">
        <f>M921+L921</f>
        <v>0</v>
      </c>
      <c r="O921" s="352">
        <f>N921-K921</f>
        <v>0</v>
      </c>
      <c r="P921" s="353">
        <v>1</v>
      </c>
      <c r="Q921" s="449"/>
      <c r="R921" s="422"/>
    </row>
    <row r="922" spans="1:18" s="244" customFormat="1">
      <c r="A922" s="1186" t="s">
        <v>392</v>
      </c>
      <c r="B922" s="1187" t="s">
        <v>460</v>
      </c>
      <c r="C922" s="1187" t="s">
        <v>451</v>
      </c>
      <c r="D922" s="1187" t="s">
        <v>437</v>
      </c>
      <c r="E922" s="1187"/>
      <c r="F922" s="1187"/>
      <c r="G922" s="1188" t="s">
        <v>373</v>
      </c>
      <c r="H922" s="1188"/>
      <c r="I922" s="1188"/>
      <c r="J922" s="1195">
        <f>+J924</f>
        <v>1213190000</v>
      </c>
      <c r="K922" s="1196">
        <f>+K924</f>
        <v>1338680000</v>
      </c>
      <c r="L922" s="1196">
        <f>+L924</f>
        <v>1060464471.59</v>
      </c>
      <c r="M922" s="1196">
        <f>+M924</f>
        <v>270968550</v>
      </c>
      <c r="N922" s="1196">
        <f>M922+L922</f>
        <v>1331433021.5900002</v>
      </c>
      <c r="O922" s="1196">
        <f>+N922-K922</f>
        <v>-7246978.4099998474</v>
      </c>
      <c r="P922" s="1197">
        <f>+N922/K922*100</f>
        <v>99.458647443003571</v>
      </c>
      <c r="Q922" s="1208"/>
      <c r="R922" s="788"/>
    </row>
    <row r="923" spans="1:18" s="189" customFormat="1" ht="12.05" customHeight="1">
      <c r="A923" s="471"/>
      <c r="B923" s="287"/>
      <c r="C923" s="287"/>
      <c r="D923" s="287"/>
      <c r="E923" s="287"/>
      <c r="F923" s="287"/>
      <c r="G923" s="288"/>
      <c r="H923" s="288"/>
      <c r="I923" s="288"/>
      <c r="J923" s="385"/>
      <c r="K923" s="386"/>
      <c r="L923" s="386"/>
      <c r="M923" s="386"/>
      <c r="N923" s="386"/>
      <c r="O923" s="386"/>
      <c r="P923" s="341"/>
      <c r="Q923" s="1092"/>
      <c r="R923" s="422"/>
    </row>
    <row r="924" spans="1:18" s="189" customFormat="1" ht="12.05" customHeight="1">
      <c r="A924" s="293"/>
      <c r="B924" s="290">
        <v>4</v>
      </c>
      <c r="C924" s="290">
        <v>1</v>
      </c>
      <c r="D924" s="290"/>
      <c r="E924" s="290"/>
      <c r="F924" s="290"/>
      <c r="G924" s="291" t="s">
        <v>180</v>
      </c>
      <c r="H924" s="291"/>
      <c r="I924" s="291"/>
      <c r="J924" s="342">
        <f>+J926+J951</f>
        <v>1213190000</v>
      </c>
      <c r="K924" s="343">
        <f>+K926+K951</f>
        <v>1338680000</v>
      </c>
      <c r="L924" s="343">
        <f>+L926+L951</f>
        <v>1060464471.59</v>
      </c>
      <c r="M924" s="343">
        <f>+M926+M951</f>
        <v>270968550</v>
      </c>
      <c r="N924" s="343">
        <f>+M924+L924</f>
        <v>1331433021.5900002</v>
      </c>
      <c r="O924" s="343">
        <f>N924-K924</f>
        <v>-7246978.4099998474</v>
      </c>
      <c r="P924" s="344">
        <f>N924/K924*100</f>
        <v>99.458647443003571</v>
      </c>
      <c r="Q924" s="1093"/>
      <c r="R924" s="422"/>
    </row>
    <row r="925" spans="1:18" s="189" customFormat="1" ht="12.05" customHeight="1">
      <c r="A925" s="293"/>
      <c r="B925" s="292"/>
      <c r="C925" s="292"/>
      <c r="D925" s="292"/>
      <c r="E925" s="292"/>
      <c r="F925" s="292"/>
      <c r="G925" s="253"/>
      <c r="H925" s="253"/>
      <c r="I925" s="291"/>
      <c r="J925" s="345"/>
      <c r="K925" s="346"/>
      <c r="L925" s="660"/>
      <c r="M925" s="346"/>
      <c r="N925" s="346"/>
      <c r="O925" s="346"/>
      <c r="P925" s="347"/>
      <c r="Q925" s="438"/>
      <c r="R925" s="422"/>
    </row>
    <row r="926" spans="1:18" s="189" customFormat="1" ht="12.05" customHeight="1">
      <c r="A926" s="293"/>
      <c r="B926" s="290">
        <v>4</v>
      </c>
      <c r="C926" s="290">
        <v>1</v>
      </c>
      <c r="D926" s="290">
        <v>2</v>
      </c>
      <c r="E926" s="290"/>
      <c r="F926" s="290"/>
      <c r="G926" s="291" t="s">
        <v>106</v>
      </c>
      <c r="H926" s="291"/>
      <c r="I926" s="291"/>
      <c r="J926" s="348">
        <f>+J928+J949</f>
        <v>1169190000</v>
      </c>
      <c r="K926" s="349">
        <f>+K928</f>
        <v>1338680000</v>
      </c>
      <c r="L926" s="589">
        <f>+L928</f>
        <v>1014943200</v>
      </c>
      <c r="M926" s="349">
        <f>+M928</f>
        <v>224219000</v>
      </c>
      <c r="N926" s="349">
        <f>+M926+L926</f>
        <v>1239162200</v>
      </c>
      <c r="O926" s="349">
        <f>N926-K926</f>
        <v>-99517800</v>
      </c>
      <c r="P926" s="350">
        <f>N926/K926*100</f>
        <v>92.565975438491648</v>
      </c>
      <c r="Q926" s="439"/>
      <c r="R926" s="422"/>
    </row>
    <row r="927" spans="1:18" s="189" customFormat="1" ht="12.05" customHeight="1">
      <c r="A927" s="293"/>
      <c r="B927" s="292"/>
      <c r="C927" s="292"/>
      <c r="D927" s="292"/>
      <c r="E927" s="292"/>
      <c r="F927" s="292"/>
      <c r="G927" s="253"/>
      <c r="H927" s="253"/>
      <c r="I927" s="253"/>
      <c r="J927" s="354"/>
      <c r="K927" s="355"/>
      <c r="L927" s="360"/>
      <c r="M927" s="355"/>
      <c r="N927" s="355"/>
      <c r="O927" s="355"/>
      <c r="P927" s="388"/>
      <c r="Q927" s="441"/>
      <c r="R927" s="422"/>
    </row>
    <row r="928" spans="1:18" s="190" customFormat="1" ht="12.05" customHeight="1">
      <c r="A928" s="293"/>
      <c r="B928" s="290">
        <v>4</v>
      </c>
      <c r="C928" s="290">
        <v>1</v>
      </c>
      <c r="D928" s="290">
        <v>2</v>
      </c>
      <c r="E928" s="290" t="s">
        <v>438</v>
      </c>
      <c r="F928" s="290"/>
      <c r="G928" s="291" t="s">
        <v>374</v>
      </c>
      <c r="H928" s="291"/>
      <c r="I928" s="291"/>
      <c r="J928" s="746">
        <f>+J929+J940</f>
        <v>1169190000</v>
      </c>
      <c r="K928" s="676">
        <f>+K929+K940+K949</f>
        <v>1338680000</v>
      </c>
      <c r="L928" s="675">
        <f>+L929+L940+L948</f>
        <v>1014943200</v>
      </c>
      <c r="M928" s="676">
        <f>+M929+M940+M949</f>
        <v>224219000</v>
      </c>
      <c r="N928" s="492">
        <f>+M928+L928</f>
        <v>1239162200</v>
      </c>
      <c r="O928" s="492">
        <f t="shared" ref="O928:O938" si="133">N928-K928</f>
        <v>-99517800</v>
      </c>
      <c r="P928" s="487">
        <f t="shared" ref="P928:P938" si="134">N928/K928*100</f>
        <v>92.565975438491648</v>
      </c>
      <c r="Q928" s="1094"/>
      <c r="R928" s="446"/>
    </row>
    <row r="929" spans="1:18" s="190" customFormat="1" ht="12.05" customHeight="1">
      <c r="A929" s="289"/>
      <c r="B929" s="290">
        <v>4</v>
      </c>
      <c r="C929" s="290">
        <v>1</v>
      </c>
      <c r="D929" s="290">
        <v>2</v>
      </c>
      <c r="E929" s="290" t="s">
        <v>438</v>
      </c>
      <c r="F929" s="290" t="s">
        <v>437</v>
      </c>
      <c r="G929" s="1079" t="s">
        <v>64</v>
      </c>
      <c r="H929" s="291"/>
      <c r="I929" s="291"/>
      <c r="J929" s="620">
        <f>SUM(J930:J937)</f>
        <v>708190000</v>
      </c>
      <c r="K929" s="621">
        <f>SUM(K930:K937)</f>
        <v>518680000</v>
      </c>
      <c r="L929" s="623">
        <f>SUM(L930:L938)</f>
        <v>311871200</v>
      </c>
      <c r="M929" s="621">
        <f>SUM(M930:M938)</f>
        <v>36550000</v>
      </c>
      <c r="N929" s="1082">
        <f>M929+L929</f>
        <v>348421200</v>
      </c>
      <c r="O929" s="330">
        <f t="shared" si="133"/>
        <v>-170258800</v>
      </c>
      <c r="P929" s="335">
        <f t="shared" si="134"/>
        <v>67.1745970540603</v>
      </c>
      <c r="Q929" s="1093"/>
      <c r="R929" s="1095"/>
    </row>
    <row r="930" spans="1:18" s="189" customFormat="1" ht="12.05" customHeight="1">
      <c r="A930" s="293"/>
      <c r="B930" s="292"/>
      <c r="C930" s="292"/>
      <c r="D930" s="292"/>
      <c r="E930" s="292"/>
      <c r="F930" s="292"/>
      <c r="G930" s="291" t="s">
        <v>50</v>
      </c>
      <c r="H930" s="291"/>
      <c r="I930" s="1083" t="s">
        <v>375</v>
      </c>
      <c r="J930" s="354">
        <v>475000000</v>
      </c>
      <c r="K930" s="1194">
        <f>'[55]TARGET MURNI DAN PERUBAHAN'!$E$532</f>
        <v>328430000</v>
      </c>
      <c r="L930" s="360">
        <f>[56]PerDinas!$N$930</f>
        <v>142291200</v>
      </c>
      <c r="M930" s="373">
        <f>[55]Perdinas!$P$616</f>
        <v>24550000</v>
      </c>
      <c r="N930" s="771">
        <f t="shared" ref="N930:N938" si="135">M930+L930</f>
        <v>166841200</v>
      </c>
      <c r="O930" s="355">
        <f t="shared" si="133"/>
        <v>-161588800</v>
      </c>
      <c r="P930" s="388">
        <f t="shared" si="134"/>
        <v>50.799622446183356</v>
      </c>
      <c r="Q930" s="441"/>
      <c r="R930" s="431"/>
    </row>
    <row r="931" spans="1:18" s="189" customFormat="1" ht="12.05" customHeight="1">
      <c r="A931" s="293"/>
      <c r="B931" s="292"/>
      <c r="C931" s="292"/>
      <c r="D931" s="292"/>
      <c r="E931" s="292"/>
      <c r="F931" s="292"/>
      <c r="G931" s="253" t="s">
        <v>50</v>
      </c>
      <c r="H931" s="253"/>
      <c r="I931" s="1083" t="s">
        <v>376</v>
      </c>
      <c r="J931" s="354">
        <v>26190000</v>
      </c>
      <c r="K931" s="1194">
        <f>'[55]TARGET MURNI DAN PERUBAHAN'!$E$533</f>
        <v>15000000</v>
      </c>
      <c r="L931" s="360">
        <f>[56]PerDinas!$N$931</f>
        <v>13000000</v>
      </c>
      <c r="M931" s="373">
        <f>[55]Perdinas!$P$617</f>
        <v>3000000</v>
      </c>
      <c r="N931" s="355">
        <f t="shared" si="135"/>
        <v>16000000</v>
      </c>
      <c r="O931" s="355">
        <f t="shared" si="133"/>
        <v>1000000</v>
      </c>
      <c r="P931" s="388">
        <f t="shared" si="134"/>
        <v>106.66666666666667</v>
      </c>
      <c r="Q931" s="441"/>
      <c r="R931" s="422"/>
    </row>
    <row r="932" spans="1:18" s="189" customFormat="1" ht="12.05" customHeight="1">
      <c r="A932" s="293"/>
      <c r="B932" s="292"/>
      <c r="C932" s="292"/>
      <c r="D932" s="292"/>
      <c r="E932" s="292"/>
      <c r="F932" s="292"/>
      <c r="G932" s="253" t="s">
        <v>50</v>
      </c>
      <c r="H932" s="253"/>
      <c r="I932" s="1083" t="s">
        <v>377</v>
      </c>
      <c r="J932" s="354">
        <v>23000000</v>
      </c>
      <c r="K932" s="1194">
        <f>'[55]TARGET MURNI DAN PERUBAHAN'!$E$534</f>
        <v>50000000</v>
      </c>
      <c r="L932" s="360">
        <f>[56]PerDinas!$N$932</f>
        <v>47930000</v>
      </c>
      <c r="M932" s="373">
        <f>[55]Perdinas!$P$618</f>
        <v>7000000</v>
      </c>
      <c r="N932" s="355">
        <f t="shared" si="135"/>
        <v>54930000</v>
      </c>
      <c r="O932" s="355">
        <f t="shared" si="133"/>
        <v>4930000</v>
      </c>
      <c r="P932" s="388">
        <f t="shared" si="134"/>
        <v>109.86</v>
      </c>
      <c r="Q932" s="441"/>
      <c r="R932" s="422"/>
    </row>
    <row r="933" spans="1:18" s="189" customFormat="1" ht="12.05" customHeight="1">
      <c r="A933" s="293"/>
      <c r="B933" s="292"/>
      <c r="C933" s="292"/>
      <c r="D933" s="292"/>
      <c r="E933" s="292"/>
      <c r="F933" s="292"/>
      <c r="G933" s="291" t="s">
        <v>50</v>
      </c>
      <c r="H933" s="291"/>
      <c r="I933" s="1083" t="s">
        <v>378</v>
      </c>
      <c r="J933" s="354">
        <v>35000000</v>
      </c>
      <c r="K933" s="1194">
        <f>'[55]TARGET MURNI DAN PERUBAHAN'!$E$535</f>
        <v>40250000</v>
      </c>
      <c r="L933" s="360">
        <f>[56]PerDinas!$N$933</f>
        <v>33200000</v>
      </c>
      <c r="M933" s="373">
        <f>[55]Perdinas!$P$619</f>
        <v>0</v>
      </c>
      <c r="N933" s="355">
        <f t="shared" si="135"/>
        <v>33200000</v>
      </c>
      <c r="O933" s="355">
        <f t="shared" si="133"/>
        <v>-7050000</v>
      </c>
      <c r="P933" s="388">
        <f t="shared" si="134"/>
        <v>82.484472049689444</v>
      </c>
      <c r="Q933" s="441"/>
      <c r="R933" s="422"/>
    </row>
    <row r="934" spans="1:18" s="189" customFormat="1" ht="12.05" customHeight="1">
      <c r="A934" s="293"/>
      <c r="B934" s="292"/>
      <c r="C934" s="292"/>
      <c r="D934" s="292"/>
      <c r="E934" s="292"/>
      <c r="F934" s="292"/>
      <c r="G934" s="253" t="s">
        <v>50</v>
      </c>
      <c r="H934" s="253"/>
      <c r="I934" s="1083" t="s">
        <v>379</v>
      </c>
      <c r="J934" s="354">
        <v>34000000</v>
      </c>
      <c r="K934" s="1194">
        <f>'[55]TARGET MURNI DAN PERUBAHAN'!$E$536</f>
        <v>25000000</v>
      </c>
      <c r="L934" s="360">
        <f>[56]PerDinas!$N$934</f>
        <v>49450000</v>
      </c>
      <c r="M934" s="373">
        <f>[55]Perdinas!$P$620</f>
        <v>1000000</v>
      </c>
      <c r="N934" s="355">
        <f t="shared" si="135"/>
        <v>50450000</v>
      </c>
      <c r="O934" s="355">
        <f t="shared" si="133"/>
        <v>25450000</v>
      </c>
      <c r="P934" s="388">
        <f t="shared" si="134"/>
        <v>201.79999999999998</v>
      </c>
      <c r="Q934" s="441"/>
      <c r="R934" s="422"/>
    </row>
    <row r="935" spans="1:18" s="189" customFormat="1" ht="12.05" customHeight="1">
      <c r="A935" s="293"/>
      <c r="B935" s="292"/>
      <c r="C935" s="292"/>
      <c r="D935" s="292"/>
      <c r="E935" s="292"/>
      <c r="F935" s="292"/>
      <c r="G935" s="253" t="s">
        <v>50</v>
      </c>
      <c r="H935" s="253"/>
      <c r="I935" s="1083" t="s">
        <v>381</v>
      </c>
      <c r="J935" s="354">
        <v>85000000</v>
      </c>
      <c r="K935" s="1194">
        <f>'[55]TARGET MURNI DAN PERUBAHAN'!$E$538</f>
        <v>60000000</v>
      </c>
      <c r="L935" s="360">
        <f>[56]PerDinas!$N$935</f>
        <v>26000000</v>
      </c>
      <c r="M935" s="373">
        <f>[55]Perdinas!$P$622</f>
        <v>1000000</v>
      </c>
      <c r="N935" s="771">
        <f t="shared" si="135"/>
        <v>27000000</v>
      </c>
      <c r="O935" s="355">
        <f t="shared" si="133"/>
        <v>-33000000</v>
      </c>
      <c r="P935" s="388">
        <f t="shared" si="134"/>
        <v>45</v>
      </c>
      <c r="Q935" s="441"/>
      <c r="R935" s="422"/>
    </row>
    <row r="936" spans="1:18" s="189" customFormat="1" ht="12.05" customHeight="1">
      <c r="A936" s="293"/>
      <c r="B936" s="292"/>
      <c r="C936" s="292"/>
      <c r="D936" s="292"/>
      <c r="E936" s="292"/>
      <c r="F936" s="292"/>
      <c r="G936" s="253" t="s">
        <v>50</v>
      </c>
      <c r="H936" s="253"/>
      <c r="I936" s="253" t="s">
        <v>382</v>
      </c>
      <c r="J936" s="354">
        <v>30000000</v>
      </c>
      <c r="K936" s="1194">
        <f>'[55]TARGET MURNI DAN PERUBAHAN'!$E$537</f>
        <v>0</v>
      </c>
      <c r="L936" s="360">
        <f>[56]PerDinas!$N$936</f>
        <v>0</v>
      </c>
      <c r="M936" s="373">
        <f>[55]Perdinas!$P$623</f>
        <v>0</v>
      </c>
      <c r="N936" s="355">
        <f t="shared" si="135"/>
        <v>0</v>
      </c>
      <c r="O936" s="355">
        <f t="shared" si="133"/>
        <v>0</v>
      </c>
      <c r="P936" s="388" t="e">
        <f t="shared" si="134"/>
        <v>#DIV/0!</v>
      </c>
      <c r="Q936" s="441"/>
      <c r="R936" s="422"/>
    </row>
    <row r="937" spans="1:18" s="189" customFormat="1" ht="12.05" customHeight="1">
      <c r="A937" s="293"/>
      <c r="B937" s="292"/>
      <c r="C937" s="292"/>
      <c r="D937" s="292"/>
      <c r="E937" s="292"/>
      <c r="F937" s="292"/>
      <c r="G937" s="253" t="s">
        <v>50</v>
      </c>
      <c r="H937" s="253"/>
      <c r="I937" s="1083" t="s">
        <v>383</v>
      </c>
      <c r="J937" s="351">
        <v>0</v>
      </c>
      <c r="K937" s="1194">
        <f>'[55]TARGET MURNI DAN PERUBAHAN'!$E$539</f>
        <v>0</v>
      </c>
      <c r="L937" s="360">
        <f>[56]PerDinas!$N$937</f>
        <v>0</v>
      </c>
      <c r="M937" s="373">
        <f>[55]Perdinas!$P$624</f>
        <v>0</v>
      </c>
      <c r="N937" s="355">
        <f t="shared" si="135"/>
        <v>0</v>
      </c>
      <c r="O937" s="355">
        <f t="shared" si="133"/>
        <v>0</v>
      </c>
      <c r="P937" s="388" t="e">
        <f t="shared" si="134"/>
        <v>#DIV/0!</v>
      </c>
      <c r="Q937" s="441"/>
      <c r="R937" s="422"/>
    </row>
    <row r="938" spans="1:18" s="189" customFormat="1" ht="12.05" customHeight="1">
      <c r="A938" s="293"/>
      <c r="B938" s="292"/>
      <c r="C938" s="292"/>
      <c r="D938" s="292"/>
      <c r="E938" s="292"/>
      <c r="F938" s="292"/>
      <c r="G938" s="253" t="s">
        <v>50</v>
      </c>
      <c r="H938" s="291"/>
      <c r="I938" s="253" t="s">
        <v>1014</v>
      </c>
      <c r="J938" s="354"/>
      <c r="K938" s="1194">
        <f>'[55]TARGET MURNI DAN PERUBAHAN'!$E$540</f>
        <v>0</v>
      </c>
      <c r="L938" s="360">
        <f>[56]PerDinas!$N$938</f>
        <v>0</v>
      </c>
      <c r="M938" s="373">
        <f>[55]Perdinas!$P$625</f>
        <v>0</v>
      </c>
      <c r="N938" s="355">
        <f t="shared" si="135"/>
        <v>0</v>
      </c>
      <c r="O938" s="355">
        <f t="shared" si="133"/>
        <v>0</v>
      </c>
      <c r="P938" s="388" t="e">
        <f t="shared" si="134"/>
        <v>#DIV/0!</v>
      </c>
      <c r="Q938" s="441"/>
      <c r="R938" s="422"/>
    </row>
    <row r="939" spans="1:18" s="189" customFormat="1" ht="12.05" customHeight="1">
      <c r="A939" s="293"/>
      <c r="B939" s="292"/>
      <c r="C939" s="292"/>
      <c r="D939" s="292"/>
      <c r="E939" s="292"/>
      <c r="F939" s="292"/>
      <c r="G939" s="291"/>
      <c r="H939" s="291"/>
      <c r="I939" s="253"/>
      <c r="J939" s="333"/>
      <c r="K939" s="1243"/>
      <c r="L939" s="352"/>
      <c r="M939" s="352"/>
      <c r="N939" s="352"/>
      <c r="O939" s="352"/>
      <c r="P939" s="353"/>
      <c r="Q939" s="440"/>
      <c r="R939" s="422"/>
    </row>
    <row r="940" spans="1:18" s="190" customFormat="1" ht="12.05" customHeight="1">
      <c r="A940" s="293"/>
      <c r="B940" s="290">
        <v>4</v>
      </c>
      <c r="C940" s="290">
        <v>1</v>
      </c>
      <c r="D940" s="290">
        <v>2</v>
      </c>
      <c r="E940" s="290" t="s">
        <v>438</v>
      </c>
      <c r="F940" s="290" t="s">
        <v>448</v>
      </c>
      <c r="G940" s="291" t="s">
        <v>361</v>
      </c>
      <c r="H940" s="291"/>
      <c r="I940" s="291"/>
      <c r="J940" s="1084">
        <f>SUM(J941:J946)</f>
        <v>461000000</v>
      </c>
      <c r="K940" s="492">
        <f>SUM(K941:K947)</f>
        <v>820000000</v>
      </c>
      <c r="L940" s="1085">
        <f>SUM(L941:L947)</f>
        <v>703072000</v>
      </c>
      <c r="M940" s="477">
        <f>SUM(M941:M947)</f>
        <v>187669000</v>
      </c>
      <c r="N940" s="1086">
        <f>M940+L940</f>
        <v>890741000</v>
      </c>
      <c r="O940" s="476">
        <f t="shared" ref="O940:O949" si="136">N940-K940</f>
        <v>70741000</v>
      </c>
      <c r="P940" s="671">
        <f t="shared" ref="P940:P949" si="137">N940/K940*100</f>
        <v>108.62695121951221</v>
      </c>
      <c r="Q940" s="1096"/>
      <c r="R940" s="1095"/>
    </row>
    <row r="941" spans="1:18" s="189" customFormat="1" ht="12.05" customHeight="1">
      <c r="A941" s="293"/>
      <c r="B941" s="292"/>
      <c r="C941" s="292"/>
      <c r="D941" s="292"/>
      <c r="E941" s="292"/>
      <c r="F941" s="292"/>
      <c r="G941" s="253" t="s">
        <v>50</v>
      </c>
      <c r="H941" s="253"/>
      <c r="I941" s="1083" t="s">
        <v>384</v>
      </c>
      <c r="J941" s="389">
        <f>56500000+88500000</f>
        <v>145000000</v>
      </c>
      <c r="K941" s="1194">
        <f>'[55]TARGET MURNI DAN PERUBAHAN'!$E$543</f>
        <v>190000000</v>
      </c>
      <c r="L941" s="391">
        <f>[56]PerDinas!$N$941</f>
        <v>152000000</v>
      </c>
      <c r="M941" s="373">
        <f>[55]Perdinas!$P$627</f>
        <v>33000000</v>
      </c>
      <c r="N941" s="357">
        <f t="shared" ref="N941:N949" si="138">M941+L941</f>
        <v>185000000</v>
      </c>
      <c r="O941" s="357">
        <f t="shared" si="136"/>
        <v>-5000000</v>
      </c>
      <c r="P941" s="358">
        <f t="shared" si="137"/>
        <v>97.368421052631575</v>
      </c>
      <c r="Q941" s="442"/>
      <c r="R941" s="422"/>
    </row>
    <row r="942" spans="1:18" s="189" customFormat="1" ht="12.05" customHeight="1">
      <c r="A942" s="293"/>
      <c r="B942" s="292"/>
      <c r="C942" s="292"/>
      <c r="D942" s="292"/>
      <c r="E942" s="292"/>
      <c r="F942" s="292"/>
      <c r="G942" s="253" t="s">
        <v>50</v>
      </c>
      <c r="H942" s="253"/>
      <c r="I942" s="1083" t="s">
        <v>385</v>
      </c>
      <c r="J942" s="354">
        <v>175000000</v>
      </c>
      <c r="K942" s="1194">
        <f>'[55]TARGET MURNI DAN PERUBAHAN'!$E$544</f>
        <v>160000000</v>
      </c>
      <c r="L942" s="391">
        <f>[56]PerDinas!$N$942</f>
        <v>140334500</v>
      </c>
      <c r="M942" s="373">
        <f>[55]Perdinas!$P$628</f>
        <v>19819000</v>
      </c>
      <c r="N942" s="771">
        <f t="shared" si="138"/>
        <v>160153500</v>
      </c>
      <c r="O942" s="355">
        <f t="shared" si="136"/>
        <v>153500</v>
      </c>
      <c r="P942" s="388">
        <f t="shared" si="137"/>
        <v>100.09593750000001</v>
      </c>
      <c r="Q942" s="441"/>
      <c r="R942" s="422"/>
    </row>
    <row r="943" spans="1:18" s="189" customFormat="1" ht="12.05" customHeight="1">
      <c r="A943" s="293"/>
      <c r="B943" s="292"/>
      <c r="C943" s="292"/>
      <c r="D943" s="292"/>
      <c r="E943" s="292"/>
      <c r="F943" s="292"/>
      <c r="G943" s="253" t="s">
        <v>50</v>
      </c>
      <c r="H943" s="253"/>
      <c r="I943" s="1083" t="s">
        <v>386</v>
      </c>
      <c r="J943" s="354">
        <v>76000000</v>
      </c>
      <c r="K943" s="1194">
        <f>'[55]TARGET MURNI DAN PERUBAHAN'!$E$545</f>
        <v>90000000</v>
      </c>
      <c r="L943" s="391">
        <f>[56]PerDinas!$N$943</f>
        <v>74272500</v>
      </c>
      <c r="M943" s="373">
        <f>[55]Perdinas!$P$629</f>
        <v>16500000</v>
      </c>
      <c r="N943" s="355">
        <f t="shared" si="138"/>
        <v>90772500</v>
      </c>
      <c r="O943" s="355">
        <f t="shared" si="136"/>
        <v>772500</v>
      </c>
      <c r="P943" s="388">
        <f t="shared" si="137"/>
        <v>100.85833333333333</v>
      </c>
      <c r="Q943" s="441"/>
      <c r="R943" s="422"/>
    </row>
    <row r="944" spans="1:18" s="189" customFormat="1" ht="12.05" customHeight="1">
      <c r="A944" s="293"/>
      <c r="B944" s="292"/>
      <c r="C944" s="292"/>
      <c r="D944" s="292"/>
      <c r="E944" s="292"/>
      <c r="F944" s="292"/>
      <c r="G944" s="253" t="s">
        <v>50</v>
      </c>
      <c r="H944" s="253"/>
      <c r="I944" s="253" t="s">
        <v>1015</v>
      </c>
      <c r="J944" s="354">
        <v>20000000</v>
      </c>
      <c r="K944" s="1194">
        <f>'[55]TARGET MURNI DAN PERUBAHAN'!$E$549</f>
        <v>0</v>
      </c>
      <c r="L944" s="391">
        <f>[56]PerDinas!$N$944</f>
        <v>0</v>
      </c>
      <c r="M944" s="373">
        <f>[55]Perdinas!$P$630</f>
        <v>0</v>
      </c>
      <c r="N944" s="355">
        <f t="shared" si="138"/>
        <v>0</v>
      </c>
      <c r="O944" s="355">
        <f t="shared" si="136"/>
        <v>0</v>
      </c>
      <c r="P944" s="388" t="e">
        <f t="shared" si="137"/>
        <v>#DIV/0!</v>
      </c>
      <c r="Q944" s="441"/>
      <c r="R944" s="422"/>
    </row>
    <row r="945" spans="1:18" s="189" customFormat="1" ht="12.05" customHeight="1">
      <c r="A945" s="293"/>
      <c r="B945" s="292"/>
      <c r="C945" s="292"/>
      <c r="D945" s="292"/>
      <c r="E945" s="292"/>
      <c r="F945" s="292"/>
      <c r="G945" s="253" t="s">
        <v>50</v>
      </c>
      <c r="H945" s="253"/>
      <c r="I945" s="1083" t="s">
        <v>388</v>
      </c>
      <c r="J945" s="354">
        <v>15000000</v>
      </c>
      <c r="K945" s="1194">
        <f>'[55]TARGET MURNI DAN PERUBAHAN'!$E$547</f>
        <v>15000000</v>
      </c>
      <c r="L945" s="391">
        <f>[56]PerDinas!$N$945</f>
        <v>10850000</v>
      </c>
      <c r="M945" s="373">
        <f>[55]Perdinas!$P$631</f>
        <v>4150000</v>
      </c>
      <c r="N945" s="355">
        <f t="shared" si="138"/>
        <v>15000000</v>
      </c>
      <c r="O945" s="355">
        <f t="shared" si="136"/>
        <v>0</v>
      </c>
      <c r="P945" s="388">
        <f t="shared" si="137"/>
        <v>100</v>
      </c>
      <c r="Q945" s="441"/>
      <c r="R945" s="422"/>
    </row>
    <row r="946" spans="1:18" s="189" customFormat="1" ht="12.05" customHeight="1">
      <c r="A946" s="293"/>
      <c r="B946" s="292"/>
      <c r="C946" s="292"/>
      <c r="D946" s="292"/>
      <c r="E946" s="292"/>
      <c r="F946" s="292"/>
      <c r="G946" s="253" t="s">
        <v>50</v>
      </c>
      <c r="H946" s="253"/>
      <c r="I946" s="1083" t="s">
        <v>389</v>
      </c>
      <c r="J946" s="354">
        <v>30000000</v>
      </c>
      <c r="K946" s="1194">
        <f>'[55]TARGET MURNI DAN PERUBAHAN'!$E$548</f>
        <v>30000000</v>
      </c>
      <c r="L946" s="391">
        <f>[56]PerDinas!$N$946</f>
        <v>4000000</v>
      </c>
      <c r="M946" s="373">
        <f>[55]Perdinas!$P$632</f>
        <v>0</v>
      </c>
      <c r="N946" s="355">
        <f t="shared" si="138"/>
        <v>4000000</v>
      </c>
      <c r="O946" s="355">
        <f t="shared" si="136"/>
        <v>-26000000</v>
      </c>
      <c r="P946" s="388">
        <f t="shared" si="137"/>
        <v>13.333333333333334</v>
      </c>
      <c r="Q946" s="441"/>
      <c r="R946" s="422"/>
    </row>
    <row r="947" spans="1:18" s="189" customFormat="1" ht="12.05" customHeight="1">
      <c r="A947" s="293"/>
      <c r="B947" s="292"/>
      <c r="C947" s="292"/>
      <c r="D947" s="292"/>
      <c r="E947" s="292"/>
      <c r="F947" s="292"/>
      <c r="G947" s="253" t="s">
        <v>50</v>
      </c>
      <c r="H947" s="253"/>
      <c r="I947" s="253" t="s">
        <v>898</v>
      </c>
      <c r="J947" s="351"/>
      <c r="K947" s="1194">
        <f>'[55]TARGET MURNI DAN PERUBAHAN'!$E$546</f>
        <v>335000000</v>
      </c>
      <c r="L947" s="391">
        <f>[56]PerDinas!$N$947</f>
        <v>321615000</v>
      </c>
      <c r="M947" s="352">
        <f>[55]Perdinas!$P$633</f>
        <v>114200000</v>
      </c>
      <c r="N947" s="355">
        <f t="shared" si="138"/>
        <v>435815000</v>
      </c>
      <c r="O947" s="355">
        <f t="shared" si="136"/>
        <v>100815000</v>
      </c>
      <c r="P947" s="388">
        <f t="shared" si="137"/>
        <v>130.09402985074627</v>
      </c>
      <c r="Q947" s="1097"/>
      <c r="R947" s="422"/>
    </row>
    <row r="948" spans="1:18" s="189" customFormat="1" ht="12.05" customHeight="1">
      <c r="A948" s="293"/>
      <c r="B948" s="292"/>
      <c r="C948" s="292"/>
      <c r="D948" s="292"/>
      <c r="E948" s="292"/>
      <c r="F948" s="292"/>
      <c r="G948" s="253"/>
      <c r="H948" s="253"/>
      <c r="I948" s="253"/>
      <c r="J948" s="351"/>
      <c r="K948" s="352"/>
      <c r="L948" s="334"/>
      <c r="M948" s="352"/>
      <c r="N948" s="352"/>
      <c r="O948" s="352"/>
      <c r="P948" s="353"/>
      <c r="Q948" s="1097"/>
      <c r="R948" s="422"/>
    </row>
    <row r="949" spans="1:18" s="189" customFormat="1" ht="12.05" customHeight="1">
      <c r="A949" s="293"/>
      <c r="B949" s="290" t="s">
        <v>443</v>
      </c>
      <c r="C949" s="290" t="s">
        <v>58</v>
      </c>
      <c r="D949" s="290" t="s">
        <v>460</v>
      </c>
      <c r="E949" s="290" t="s">
        <v>440</v>
      </c>
      <c r="F949" s="290" t="s">
        <v>438</v>
      </c>
      <c r="G949" s="291" t="s">
        <v>391</v>
      </c>
      <c r="H949" s="253"/>
      <c r="I949" s="253"/>
      <c r="J949" s="1087"/>
      <c r="K949" s="1088">
        <f>'[55]TARGET MURNI DAN PERUBAHAN'!$E$550</f>
        <v>0</v>
      </c>
      <c r="L949" s="1085">
        <f>[56]PerDinas!$N$949</f>
        <v>0</v>
      </c>
      <c r="M949" s="1088">
        <f>[55]Perdinas!$P$635</f>
        <v>0</v>
      </c>
      <c r="N949" s="693">
        <f t="shared" si="138"/>
        <v>0</v>
      </c>
      <c r="O949" s="693">
        <f t="shared" si="136"/>
        <v>0</v>
      </c>
      <c r="P949" s="1089" t="e">
        <f t="shared" si="137"/>
        <v>#DIV/0!</v>
      </c>
      <c r="Q949" s="441"/>
      <c r="R949" s="422"/>
    </row>
    <row r="950" spans="1:18" s="189" customFormat="1" ht="12.05" customHeight="1">
      <c r="A950" s="293"/>
      <c r="B950" s="292"/>
      <c r="C950" s="292"/>
      <c r="D950" s="292"/>
      <c r="E950" s="292"/>
      <c r="F950" s="292"/>
      <c r="G950" s="253"/>
      <c r="H950" s="253"/>
      <c r="I950" s="253"/>
      <c r="J950" s="333"/>
      <c r="K950" s="334"/>
      <c r="L950" s="356"/>
      <c r="M950" s="334"/>
      <c r="N950" s="334"/>
      <c r="O950" s="334"/>
      <c r="P950" s="335"/>
      <c r="Q950" s="430"/>
      <c r="R950" s="422"/>
    </row>
    <row r="951" spans="1:18" s="189" customFormat="1" ht="12.05" customHeight="1">
      <c r="A951" s="293"/>
      <c r="B951" s="290">
        <v>4</v>
      </c>
      <c r="C951" s="290">
        <v>1</v>
      </c>
      <c r="D951" s="290">
        <v>4</v>
      </c>
      <c r="E951" s="290"/>
      <c r="F951" s="290"/>
      <c r="G951" s="291" t="s">
        <v>71</v>
      </c>
      <c r="H951" s="291"/>
      <c r="I951" s="291"/>
      <c r="J951" s="392">
        <f>J952+J957</f>
        <v>44000000</v>
      </c>
      <c r="K951" s="393">
        <f>K952+K957+K953</f>
        <v>0</v>
      </c>
      <c r="L951" s="393">
        <f>L952+L957+L953</f>
        <v>45521271.590000004</v>
      </c>
      <c r="M951" s="393">
        <f>M952+M957+M953</f>
        <v>46749550</v>
      </c>
      <c r="N951" s="393">
        <f>M951+L951</f>
        <v>92270821.590000004</v>
      </c>
      <c r="O951" s="349">
        <f>N951-K951</f>
        <v>92270821.590000004</v>
      </c>
      <c r="P951" s="350" t="e">
        <f>N951/K951*100</f>
        <v>#DIV/0!</v>
      </c>
      <c r="Q951" s="444"/>
      <c r="R951" s="422"/>
    </row>
    <row r="952" spans="1:18" s="189" customFormat="1" ht="12.05" customHeight="1">
      <c r="A952" s="289"/>
      <c r="B952" s="292">
        <v>4</v>
      </c>
      <c r="C952" s="292">
        <v>1</v>
      </c>
      <c r="D952" s="292">
        <v>4</v>
      </c>
      <c r="E952" s="292" t="s">
        <v>444</v>
      </c>
      <c r="F952" s="292"/>
      <c r="G952" s="253" t="s">
        <v>222</v>
      </c>
      <c r="H952" s="253"/>
      <c r="I952" s="253"/>
      <c r="J952" s="484">
        <f>+J955</f>
        <v>23000000</v>
      </c>
      <c r="K952" s="485">
        <f>+K955</f>
        <v>0</v>
      </c>
      <c r="L952" s="1090">
        <f>SUM(L953:L955)</f>
        <v>45521271.590000004</v>
      </c>
      <c r="M952" s="485">
        <f>SUM(M953:M955)</f>
        <v>46749550</v>
      </c>
      <c r="N952" s="485">
        <f>SUM(N953:N955)</f>
        <v>92270821.590000004</v>
      </c>
      <c r="O952" s="412">
        <f>N952-K952</f>
        <v>92270821.590000004</v>
      </c>
      <c r="P952" s="487">
        <v>0</v>
      </c>
      <c r="Q952" s="644"/>
      <c r="R952" s="422"/>
    </row>
    <row r="953" spans="1:18" s="189" customFormat="1" ht="12.05" customHeight="1">
      <c r="A953" s="289"/>
      <c r="B953" s="292">
        <v>4</v>
      </c>
      <c r="C953" s="292">
        <v>1</v>
      </c>
      <c r="D953" s="292">
        <v>4</v>
      </c>
      <c r="E953" s="292" t="s">
        <v>441</v>
      </c>
      <c r="F953" s="292" t="s">
        <v>437</v>
      </c>
      <c r="G953" s="909" t="s">
        <v>1016</v>
      </c>
      <c r="H953" s="253"/>
      <c r="I953" s="253"/>
      <c r="J953" s="354">
        <v>0</v>
      </c>
      <c r="K953" s="355">
        <f>'[55]TARGET MURNI DAN PERUBAHAN'!$E$553</f>
        <v>0</v>
      </c>
      <c r="L953" s="391">
        <f>L954</f>
        <v>0</v>
      </c>
      <c r="M953" s="355">
        <v>0</v>
      </c>
      <c r="N953" s="355">
        <f>M953+L953</f>
        <v>0</v>
      </c>
      <c r="O953" s="355">
        <f>N953-K953</f>
        <v>0</v>
      </c>
      <c r="P953" s="388"/>
      <c r="Q953" s="442"/>
      <c r="R953" s="422"/>
    </row>
    <row r="954" spans="1:18" s="189" customFormat="1" ht="12.05" customHeight="1">
      <c r="A954" s="289"/>
      <c r="B954" s="287">
        <v>4</v>
      </c>
      <c r="C954" s="287">
        <v>1</v>
      </c>
      <c r="D954" s="287">
        <v>4</v>
      </c>
      <c r="E954" s="287" t="s">
        <v>441</v>
      </c>
      <c r="F954" s="287" t="s">
        <v>1017</v>
      </c>
      <c r="G954" s="291" t="s">
        <v>1018</v>
      </c>
      <c r="H954" s="253"/>
      <c r="I954" s="253"/>
      <c r="J954" s="354">
        <v>0</v>
      </c>
      <c r="K954" s="355">
        <f>'[55]TARGET MURNI DAN PERUBAHAN'!$E$554</f>
        <v>0</v>
      </c>
      <c r="L954" s="372">
        <f>[56]PerDinas!$N$954</f>
        <v>0</v>
      </c>
      <c r="M954" s="371">
        <f>[55]Perdinas!$P$638</f>
        <v>0</v>
      </c>
      <c r="N954" s="371">
        <f>M954+L954</f>
        <v>0</v>
      </c>
      <c r="O954" s="371">
        <f>N954-K954</f>
        <v>0</v>
      </c>
      <c r="P954" s="388" t="e">
        <f>N954/K954*100</f>
        <v>#DIV/0!</v>
      </c>
      <c r="Q954" s="651"/>
      <c r="R954" s="422"/>
    </row>
    <row r="955" spans="1:18" s="189" customFormat="1" ht="12.05" customHeight="1">
      <c r="A955" s="289"/>
      <c r="B955" s="292">
        <v>4</v>
      </c>
      <c r="C955" s="292">
        <v>1</v>
      </c>
      <c r="D955" s="292">
        <v>4</v>
      </c>
      <c r="E955" s="292" t="s">
        <v>444</v>
      </c>
      <c r="F955" s="292" t="s">
        <v>441</v>
      </c>
      <c r="G955" s="253" t="s">
        <v>75</v>
      </c>
      <c r="H955" s="253"/>
      <c r="I955" s="253"/>
      <c r="J955" s="354">
        <v>23000000</v>
      </c>
      <c r="K955" s="373">
        <f>'[55]TARGET MURNI DAN PERUBAHAN'!$E$554</f>
        <v>0</v>
      </c>
      <c r="L955" s="360">
        <f>[56]PerDinas!$N$955</f>
        <v>45521271.590000004</v>
      </c>
      <c r="M955" s="373">
        <f>[55]Perdinas!$P$641</f>
        <v>46749550</v>
      </c>
      <c r="N955" s="369">
        <f>M955+L955</f>
        <v>92270821.590000004</v>
      </c>
      <c r="O955" s="355">
        <f>N955-K955</f>
        <v>92270821.590000004</v>
      </c>
      <c r="P955" s="388" t="e">
        <f>N955/K955*100</f>
        <v>#DIV/0!</v>
      </c>
      <c r="Q955" s="441"/>
      <c r="R955" s="422"/>
    </row>
    <row r="956" spans="1:18" s="189" customFormat="1" ht="12.05" customHeight="1">
      <c r="A956" s="293"/>
      <c r="B956" s="292"/>
      <c r="C956" s="292"/>
      <c r="D956" s="292"/>
      <c r="E956" s="292"/>
      <c r="F956" s="292"/>
      <c r="G956" s="253"/>
      <c r="H956" s="253"/>
      <c r="I956" s="253"/>
      <c r="J956" s="354"/>
      <c r="K956" s="355"/>
      <c r="L956" s="360">
        <v>0</v>
      </c>
      <c r="M956" s="355"/>
      <c r="N956" s="355"/>
      <c r="O956" s="355"/>
      <c r="P956" s="388"/>
      <c r="Q956" s="441"/>
      <c r="R956" s="555"/>
    </row>
    <row r="957" spans="1:18" s="189" customFormat="1" ht="12.05" customHeight="1">
      <c r="A957" s="293"/>
      <c r="B957" s="292">
        <v>4</v>
      </c>
      <c r="C957" s="292">
        <v>1</v>
      </c>
      <c r="D957" s="292">
        <v>4</v>
      </c>
      <c r="E957" s="292" t="s">
        <v>948</v>
      </c>
      <c r="F957" s="292"/>
      <c r="G957" s="253" t="s">
        <v>321</v>
      </c>
      <c r="H957" s="253"/>
      <c r="I957" s="253"/>
      <c r="J957" s="484">
        <f>+J958</f>
        <v>21000000</v>
      </c>
      <c r="K957" s="485">
        <f>+K958</f>
        <v>0</v>
      </c>
      <c r="L957" s="538">
        <f>+L958</f>
        <v>0</v>
      </c>
      <c r="M957" s="485">
        <f>+M958</f>
        <v>0</v>
      </c>
      <c r="N957" s="412">
        <f>+M957+L957</f>
        <v>0</v>
      </c>
      <c r="O957" s="412">
        <f>N957-K957</f>
        <v>0</v>
      </c>
      <c r="P957" s="388" t="e">
        <f>N957/K957*100</f>
        <v>#DIV/0!</v>
      </c>
      <c r="Q957" s="541"/>
      <c r="R957" s="422"/>
    </row>
    <row r="958" spans="1:18" s="189" customFormat="1" ht="12.05" customHeight="1">
      <c r="A958" s="293"/>
      <c r="B958" s="292">
        <v>4</v>
      </c>
      <c r="C958" s="292">
        <v>1</v>
      </c>
      <c r="D958" s="292">
        <v>4</v>
      </c>
      <c r="E958" s="292" t="s">
        <v>948</v>
      </c>
      <c r="F958" s="292" t="s">
        <v>437</v>
      </c>
      <c r="G958" s="253" t="s">
        <v>85</v>
      </c>
      <c r="H958" s="253"/>
      <c r="I958" s="253"/>
      <c r="J958" s="333">
        <f>+J959+J960</f>
        <v>21000000</v>
      </c>
      <c r="K958" s="334">
        <f>+K959+K960</f>
        <v>0</v>
      </c>
      <c r="L958" s="391">
        <f>L959+L960</f>
        <v>0</v>
      </c>
      <c r="M958" s="334">
        <f>+M959+M960</f>
        <v>0</v>
      </c>
      <c r="N958" s="334">
        <f>+N959</f>
        <v>0</v>
      </c>
      <c r="O958" s="334">
        <f>N958-K958</f>
        <v>0</v>
      </c>
      <c r="P958" s="335" t="e">
        <f>N958/K958*100</f>
        <v>#DIV/0!</v>
      </c>
      <c r="Q958" s="430"/>
      <c r="R958" s="464"/>
    </row>
    <row r="959" spans="1:18" s="189" customFormat="1" ht="12.05" customHeight="1">
      <c r="A959" s="293"/>
      <c r="B959" s="292"/>
      <c r="C959" s="292"/>
      <c r="D959" s="292"/>
      <c r="E959" s="292"/>
      <c r="F959" s="292"/>
      <c r="G959" s="253" t="s">
        <v>50</v>
      </c>
      <c r="H959" s="253"/>
      <c r="I959" s="253" t="s">
        <v>85</v>
      </c>
      <c r="J959" s="354">
        <v>15000000</v>
      </c>
      <c r="K959" s="373">
        <f>'[55]TARGET MURNI DAN PERUBAHAN'!$E$557</f>
        <v>0</v>
      </c>
      <c r="L959" s="360">
        <v>0</v>
      </c>
      <c r="M959" s="373">
        <v>0</v>
      </c>
      <c r="N959" s="369">
        <f>M959+L959</f>
        <v>0</v>
      </c>
      <c r="O959" s="355">
        <f>N959-K959</f>
        <v>0</v>
      </c>
      <c r="P959" s="388" t="e">
        <f>N959/K959*100</f>
        <v>#DIV/0!</v>
      </c>
      <c r="Q959" s="441"/>
      <c r="R959" s="555"/>
    </row>
    <row r="960" spans="1:18" s="245" customFormat="1" ht="12.05" customHeight="1">
      <c r="A960" s="472"/>
      <c r="B960" s="305"/>
      <c r="C960" s="305"/>
      <c r="D960" s="305"/>
      <c r="E960" s="305"/>
      <c r="F960" s="305"/>
      <c r="G960" s="306" t="s">
        <v>50</v>
      </c>
      <c r="H960" s="306"/>
      <c r="I960" s="306"/>
      <c r="J960" s="536">
        <v>6000000</v>
      </c>
      <c r="K960" s="380">
        <v>0</v>
      </c>
      <c r="L960" s="355"/>
      <c r="M960" s="355">
        <v>0</v>
      </c>
      <c r="N960" s="380">
        <f>M960+L960</f>
        <v>0</v>
      </c>
      <c r="O960" s="355">
        <f>N960-K960</f>
        <v>0</v>
      </c>
      <c r="P960" s="501"/>
      <c r="Q960" s="441"/>
      <c r="R960" s="450"/>
    </row>
    <row r="961" spans="1:18" s="244" customFormat="1" ht="13.5" customHeight="1">
      <c r="A961" s="283" t="s">
        <v>396</v>
      </c>
      <c r="B961" s="284" t="s">
        <v>460</v>
      </c>
      <c r="C961" s="284" t="s">
        <v>456</v>
      </c>
      <c r="D961" s="284" t="s">
        <v>437</v>
      </c>
      <c r="E961" s="284"/>
      <c r="F961" s="284"/>
      <c r="G961" s="298" t="s">
        <v>911</v>
      </c>
      <c r="H961" s="298"/>
      <c r="I961" s="298"/>
      <c r="J961" s="336">
        <f>+J963</f>
        <v>241500000</v>
      </c>
      <c r="K961" s="337">
        <f>+K963</f>
        <v>240000000</v>
      </c>
      <c r="L961" s="337">
        <f>+L963</f>
        <v>296916300</v>
      </c>
      <c r="M961" s="337">
        <f>+M963</f>
        <v>18634700</v>
      </c>
      <c r="N961" s="337">
        <f>M961+L961</f>
        <v>315551000</v>
      </c>
      <c r="O961" s="337">
        <f>+N961-K961</f>
        <v>75551000</v>
      </c>
      <c r="P961" s="338">
        <f>+N961/K961*100</f>
        <v>131.47958333333335</v>
      </c>
      <c r="Q961" s="432"/>
      <c r="R961" s="639"/>
    </row>
    <row r="962" spans="1:18" s="189" customFormat="1" ht="12.05" customHeight="1">
      <c r="A962" s="471"/>
      <c r="B962" s="287"/>
      <c r="C962" s="287"/>
      <c r="D962" s="287"/>
      <c r="E962" s="287"/>
      <c r="F962" s="287"/>
      <c r="G962" s="288"/>
      <c r="H962" s="288"/>
      <c r="I962" s="288"/>
      <c r="J962" s="385"/>
      <c r="K962" s="386"/>
      <c r="L962" s="1102"/>
      <c r="M962" s="386"/>
      <c r="N962" s="386"/>
      <c r="O962" s="386"/>
      <c r="P962" s="341"/>
      <c r="Q962" s="453"/>
      <c r="R962" s="422"/>
    </row>
    <row r="963" spans="1:18" s="189" customFormat="1" ht="12.05" customHeight="1">
      <c r="A963" s="293"/>
      <c r="B963" s="290">
        <v>4</v>
      </c>
      <c r="C963" s="290">
        <v>1</v>
      </c>
      <c r="D963" s="290"/>
      <c r="E963" s="290"/>
      <c r="F963" s="290"/>
      <c r="G963" s="291" t="s">
        <v>180</v>
      </c>
      <c r="H963" s="291"/>
      <c r="I963" s="291"/>
      <c r="J963" s="342">
        <f>+J965+J974</f>
        <v>241500000</v>
      </c>
      <c r="K963" s="343">
        <f>+K965+K974</f>
        <v>240000000</v>
      </c>
      <c r="L963" s="606">
        <f>+L965+L974</f>
        <v>296916300</v>
      </c>
      <c r="M963" s="343">
        <f>+M965+M974</f>
        <v>18634700</v>
      </c>
      <c r="N963" s="343">
        <f>+M963+L963</f>
        <v>315551000</v>
      </c>
      <c r="O963" s="343">
        <f t="shared" ref="O963:O968" si="139">N963-K963</f>
        <v>75551000</v>
      </c>
      <c r="P963" s="344">
        <f>N963/K963*100</f>
        <v>131.47958333333335</v>
      </c>
      <c r="Q963" s="437"/>
      <c r="R963" s="422"/>
    </row>
    <row r="964" spans="1:18" s="189" customFormat="1" ht="12.05" customHeight="1">
      <c r="A964" s="293"/>
      <c r="B964" s="292"/>
      <c r="C964" s="292"/>
      <c r="D964" s="292"/>
      <c r="E964" s="292"/>
      <c r="F964" s="292"/>
      <c r="G964" s="253"/>
      <c r="H964" s="253"/>
      <c r="I964" s="291"/>
      <c r="J964" s="345"/>
      <c r="K964" s="346"/>
      <c r="L964" s="660"/>
      <c r="M964" s="346"/>
      <c r="N964" s="346"/>
      <c r="O964" s="346"/>
      <c r="P964" s="347"/>
      <c r="Q964" s="438"/>
      <c r="R964" s="422"/>
    </row>
    <row r="965" spans="1:18" s="189" customFormat="1" ht="12.05" customHeight="1">
      <c r="A965" s="293"/>
      <c r="B965" s="290">
        <v>4</v>
      </c>
      <c r="C965" s="290">
        <v>1</v>
      </c>
      <c r="D965" s="290">
        <v>2</v>
      </c>
      <c r="E965" s="290"/>
      <c r="F965" s="290"/>
      <c r="G965" s="291" t="s">
        <v>106</v>
      </c>
      <c r="H965" s="291"/>
      <c r="I965" s="291"/>
      <c r="J965" s="1103">
        <f>+J966+J970</f>
        <v>226500000</v>
      </c>
      <c r="K965" s="395">
        <f>+K966+K970</f>
        <v>240000000</v>
      </c>
      <c r="L965" s="1104">
        <f>+L966+L970</f>
        <v>286866750</v>
      </c>
      <c r="M965" s="395">
        <f>+M966+M970</f>
        <v>0</v>
      </c>
      <c r="N965" s="395">
        <f>+M965+L965</f>
        <v>286866750</v>
      </c>
      <c r="O965" s="395">
        <f t="shared" si="139"/>
        <v>46866750</v>
      </c>
      <c r="P965" s="590">
        <f>N965/K965*100</f>
        <v>119.5278125</v>
      </c>
      <c r="Q965" s="439"/>
      <c r="R965" s="422"/>
    </row>
    <row r="966" spans="1:18" s="189" customFormat="1" ht="12.05" customHeight="1">
      <c r="A966" s="293"/>
      <c r="B966" s="292">
        <v>4</v>
      </c>
      <c r="C966" s="292">
        <v>1</v>
      </c>
      <c r="D966" s="292">
        <v>2</v>
      </c>
      <c r="E966" s="292" t="s">
        <v>437</v>
      </c>
      <c r="F966" s="292"/>
      <c r="G966" s="253" t="s">
        <v>107</v>
      </c>
      <c r="H966" s="253"/>
      <c r="I966" s="291"/>
      <c r="J966" s="411">
        <f>SUM(J967:J968)</f>
        <v>226500000</v>
      </c>
      <c r="K966" s="412">
        <f>SUM(K967:K968)</f>
        <v>240000000</v>
      </c>
      <c r="L966" s="591">
        <f>SUM(L967:L968)</f>
        <v>286866750</v>
      </c>
      <c r="M966" s="412">
        <f>SUM(M967:M968)</f>
        <v>0</v>
      </c>
      <c r="N966" s="412">
        <f>+M966+L966</f>
        <v>286866750</v>
      </c>
      <c r="O966" s="412">
        <f t="shared" si="139"/>
        <v>46866750</v>
      </c>
      <c r="P966" s="487">
        <f>N966/K966*100</f>
        <v>119.5278125</v>
      </c>
      <c r="Q966" s="694"/>
      <c r="R966" s="422"/>
    </row>
    <row r="967" spans="1:18" s="189" customFormat="1" ht="12.05" customHeight="1">
      <c r="A967" s="293"/>
      <c r="B967" s="292">
        <v>4</v>
      </c>
      <c r="C967" s="292">
        <v>1</v>
      </c>
      <c r="D967" s="292">
        <v>2</v>
      </c>
      <c r="E967" s="292" t="s">
        <v>437</v>
      </c>
      <c r="F967" s="292" t="s">
        <v>445</v>
      </c>
      <c r="G967" s="253" t="s">
        <v>394</v>
      </c>
      <c r="H967" s="253"/>
      <c r="I967" s="253"/>
      <c r="J967" s="708">
        <v>226500000</v>
      </c>
      <c r="K967" s="373">
        <f>'[55]TARGET MURNI DAN PERUBAHAN'!$E$563</f>
        <v>240000000</v>
      </c>
      <c r="L967" s="689">
        <f>[56]PerDinas!$N$967</f>
        <v>286866750</v>
      </c>
      <c r="M967" s="373">
        <f>[55]Perdinas!$P$648</f>
        <v>0</v>
      </c>
      <c r="N967" s="523">
        <f t="shared" ref="N967:N972" si="140">M967+L967</f>
        <v>286866750</v>
      </c>
      <c r="O967" s="497">
        <f t="shared" si="139"/>
        <v>46866750</v>
      </c>
      <c r="P967" s="498">
        <f>N967/K967*100</f>
        <v>119.5278125</v>
      </c>
      <c r="Q967" s="732"/>
      <c r="R967" s="422"/>
    </row>
    <row r="968" spans="1:18" s="189" customFormat="1" ht="12.05" customHeight="1">
      <c r="A968" s="293"/>
      <c r="B968" s="292"/>
      <c r="C968" s="292"/>
      <c r="D968" s="292"/>
      <c r="E968" s="292"/>
      <c r="F968" s="292"/>
      <c r="G968" s="253"/>
      <c r="H968" s="253"/>
      <c r="I968" s="253"/>
      <c r="J968" s="679"/>
      <c r="K968" s="691"/>
      <c r="L968" s="513"/>
      <c r="M968" s="495"/>
      <c r="N968" s="334">
        <f t="shared" si="140"/>
        <v>0</v>
      </c>
      <c r="O968" s="334">
        <f t="shared" si="139"/>
        <v>0</v>
      </c>
      <c r="P968" s="335"/>
      <c r="Q968" s="449"/>
      <c r="R968" s="422"/>
    </row>
    <row r="969" spans="1:18" s="189" customFormat="1" ht="12.05" customHeight="1">
      <c r="A969" s="293"/>
      <c r="B969" s="292"/>
      <c r="C969" s="292"/>
      <c r="D969" s="292"/>
      <c r="E969" s="292"/>
      <c r="F969" s="292"/>
      <c r="G969" s="253"/>
      <c r="H969" s="253"/>
      <c r="I969" s="253"/>
      <c r="J969" s="374"/>
      <c r="K969" s="375"/>
      <c r="L969" s="377"/>
      <c r="M969" s="375"/>
      <c r="N969" s="375"/>
      <c r="O969" s="375"/>
      <c r="P969" s="600"/>
      <c r="Q969" s="448"/>
      <c r="R969" s="422"/>
    </row>
    <row r="970" spans="1:18" s="189" customFormat="1" ht="12.05" customHeight="1">
      <c r="A970" s="293"/>
      <c r="B970" s="292">
        <v>4</v>
      </c>
      <c r="C970" s="292">
        <v>1</v>
      </c>
      <c r="D970" s="292">
        <v>2</v>
      </c>
      <c r="E970" s="292" t="s">
        <v>438</v>
      </c>
      <c r="F970" s="292"/>
      <c r="G970" s="253" t="s">
        <v>374</v>
      </c>
      <c r="H970" s="253"/>
      <c r="I970" s="253"/>
      <c r="J970" s="489">
        <f t="shared" ref="J970:M971" si="141">+J971</f>
        <v>0</v>
      </c>
      <c r="K970" s="512">
        <f t="shared" si="141"/>
        <v>0</v>
      </c>
      <c r="L970" s="616">
        <f t="shared" si="141"/>
        <v>0</v>
      </c>
      <c r="M970" s="512">
        <f t="shared" si="141"/>
        <v>0</v>
      </c>
      <c r="N970" s="412">
        <f>+M970+L970</f>
        <v>0</v>
      </c>
      <c r="O970" s="412">
        <f>N970-K970</f>
        <v>0</v>
      </c>
      <c r="P970" s="487" t="e">
        <f>N970/K970*100</f>
        <v>#DIV/0!</v>
      </c>
      <c r="Q970" s="647"/>
      <c r="R970" s="422"/>
    </row>
    <row r="971" spans="1:18" s="189" customFormat="1" ht="12.05" customHeight="1">
      <c r="A971" s="289"/>
      <c r="B971" s="292">
        <v>4</v>
      </c>
      <c r="C971" s="292">
        <v>1</v>
      </c>
      <c r="D971" s="292">
        <v>2</v>
      </c>
      <c r="E971" s="292" t="s">
        <v>438</v>
      </c>
      <c r="F971" s="292" t="s">
        <v>437</v>
      </c>
      <c r="G971" s="253" t="s">
        <v>64</v>
      </c>
      <c r="H971" s="253"/>
      <c r="I971" s="253"/>
      <c r="J971" s="494">
        <f t="shared" si="141"/>
        <v>0</v>
      </c>
      <c r="K971" s="495">
        <f t="shared" si="141"/>
        <v>0</v>
      </c>
      <c r="L971" s="513">
        <f t="shared" si="141"/>
        <v>0</v>
      </c>
      <c r="M971" s="495">
        <f t="shared" si="141"/>
        <v>0</v>
      </c>
      <c r="N971" s="334">
        <f t="shared" si="140"/>
        <v>0</v>
      </c>
      <c r="O971" s="334">
        <f>N971-K971</f>
        <v>0</v>
      </c>
      <c r="P971" s="335" t="e">
        <f>N971/K971*100</f>
        <v>#DIV/0!</v>
      </c>
      <c r="Q971" s="548"/>
      <c r="R971" s="422"/>
    </row>
    <row r="972" spans="1:18" s="189" customFormat="1" ht="12.05" customHeight="1">
      <c r="A972" s="293"/>
      <c r="B972" s="292"/>
      <c r="C972" s="292"/>
      <c r="D972" s="292"/>
      <c r="E972" s="292"/>
      <c r="F972" s="292"/>
      <c r="G972" s="253" t="s">
        <v>50</v>
      </c>
      <c r="H972" s="253"/>
      <c r="I972" s="253" t="s">
        <v>1019</v>
      </c>
      <c r="J972" s="374">
        <v>0</v>
      </c>
      <c r="K972" s="375">
        <v>0</v>
      </c>
      <c r="L972" s="377"/>
      <c r="M972" s="1105">
        <v>0</v>
      </c>
      <c r="N972" s="355">
        <f t="shared" si="140"/>
        <v>0</v>
      </c>
      <c r="O972" s="355">
        <f>N972-K972</f>
        <v>0</v>
      </c>
      <c r="P972" s="388" t="e">
        <f>N972/K972*100</f>
        <v>#DIV/0!</v>
      </c>
      <c r="Q972" s="448"/>
      <c r="R972" s="422"/>
    </row>
    <row r="973" spans="1:18" s="189" customFormat="1" ht="12.05" customHeight="1">
      <c r="A973" s="465"/>
      <c r="B973" s="296"/>
      <c r="C973" s="296"/>
      <c r="D973" s="296"/>
      <c r="E973" s="296"/>
      <c r="F973" s="296"/>
      <c r="G973" s="297"/>
      <c r="H973" s="297"/>
      <c r="I973" s="297"/>
      <c r="J973" s="679"/>
      <c r="K973" s="691"/>
      <c r="L973" s="692"/>
      <c r="M973" s="691"/>
      <c r="N973" s="691"/>
      <c r="O973" s="691"/>
      <c r="P973" s="714"/>
      <c r="Q973" s="449"/>
      <c r="R973" s="422"/>
    </row>
    <row r="974" spans="1:18" s="189" customFormat="1" ht="12.05" customHeight="1">
      <c r="A974" s="1029"/>
      <c r="B974" s="1098">
        <v>4</v>
      </c>
      <c r="C974" s="1098">
        <v>1</v>
      </c>
      <c r="D974" s="1098">
        <v>4</v>
      </c>
      <c r="E974" s="1098"/>
      <c r="F974" s="1098"/>
      <c r="G974" s="1099" t="s">
        <v>71</v>
      </c>
      <c r="H974" s="1099"/>
      <c r="I974" s="1099"/>
      <c r="J974" s="678">
        <f>J975+J980</f>
        <v>15000000</v>
      </c>
      <c r="K974" s="490">
        <f>K975+K980</f>
        <v>0</v>
      </c>
      <c r="L974" s="491">
        <f>L975+L980</f>
        <v>10049550</v>
      </c>
      <c r="M974" s="490">
        <f>M975+M980</f>
        <v>18634700</v>
      </c>
      <c r="N974" s="490">
        <f>N975+N980</f>
        <v>28684250</v>
      </c>
      <c r="O974" s="492">
        <f>N974-K974</f>
        <v>28684250</v>
      </c>
      <c r="P974" s="487" t="e">
        <f>N974/K974*100</f>
        <v>#DIV/0!</v>
      </c>
      <c r="Q974" s="547"/>
      <c r="R974" s="422"/>
    </row>
    <row r="975" spans="1:18" s="189" customFormat="1" ht="12.05" customHeight="1">
      <c r="A975" s="286"/>
      <c r="B975" s="287">
        <v>4</v>
      </c>
      <c r="C975" s="287">
        <v>1</v>
      </c>
      <c r="D975" s="287">
        <v>4</v>
      </c>
      <c r="E975" s="287" t="s">
        <v>444</v>
      </c>
      <c r="F975" s="287"/>
      <c r="G975" s="410" t="s">
        <v>222</v>
      </c>
      <c r="H975" s="410"/>
      <c r="I975" s="410"/>
      <c r="J975" s="484">
        <f>+J978</f>
        <v>0</v>
      </c>
      <c r="K975" s="485">
        <f>+K978</f>
        <v>0</v>
      </c>
      <c r="L975" s="486">
        <f>SUM(L976:L978)</f>
        <v>10049550</v>
      </c>
      <c r="M975" s="485">
        <f>SUM(M976:M978)</f>
        <v>18634700</v>
      </c>
      <c r="N975" s="485">
        <f>SUM(N976:N978)</f>
        <v>28684250</v>
      </c>
      <c r="O975" s="412">
        <f>N975-K975</f>
        <v>28684250</v>
      </c>
      <c r="P975" s="487">
        <v>0</v>
      </c>
      <c r="Q975" s="541"/>
      <c r="R975" s="422"/>
    </row>
    <row r="976" spans="1:18" s="189" customFormat="1" ht="12.05" customHeight="1">
      <c r="A976" s="289"/>
      <c r="B976" s="292">
        <v>4</v>
      </c>
      <c r="C976" s="292">
        <v>1</v>
      </c>
      <c r="D976" s="292">
        <v>4</v>
      </c>
      <c r="E976" s="292" t="s">
        <v>444</v>
      </c>
      <c r="F976" s="292" t="s">
        <v>440</v>
      </c>
      <c r="G976" s="253" t="s">
        <v>710</v>
      </c>
      <c r="H976" s="253"/>
      <c r="I976" s="253"/>
      <c r="J976" s="354">
        <v>0</v>
      </c>
      <c r="K976" s="355">
        <v>0</v>
      </c>
      <c r="L976" s="360">
        <f>[56]PerDinas!$N$976</f>
        <v>0</v>
      </c>
      <c r="M976" s="355">
        <f>[55]Perdinas!$P$651</f>
        <v>0</v>
      </c>
      <c r="N976" s="334">
        <f>M976+L976</f>
        <v>0</v>
      </c>
      <c r="O976" s="334">
        <f>N976-K976</f>
        <v>0</v>
      </c>
      <c r="P976" s="487" t="e">
        <f t="shared" ref="P976:P982" si="142">N976/K976*100</f>
        <v>#DIV/0!</v>
      </c>
      <c r="Q976" s="442"/>
      <c r="R976" s="422"/>
    </row>
    <row r="977" spans="1:18" s="189" customFormat="1" ht="12.05" customHeight="1">
      <c r="A977" s="289"/>
      <c r="B977" s="292">
        <v>4</v>
      </c>
      <c r="C977" s="292">
        <v>1</v>
      </c>
      <c r="D977" s="292">
        <v>4</v>
      </c>
      <c r="E977" s="292" t="s">
        <v>444</v>
      </c>
      <c r="F977" s="292" t="s">
        <v>445</v>
      </c>
      <c r="G977" s="253" t="s">
        <v>74</v>
      </c>
      <c r="H977" s="253"/>
      <c r="I977" s="253"/>
      <c r="J977" s="354">
        <v>0</v>
      </c>
      <c r="K977" s="355">
        <v>0</v>
      </c>
      <c r="L977" s="360">
        <v>0</v>
      </c>
      <c r="M977" s="355">
        <f>[55]Perdinas!$P$653</f>
        <v>0</v>
      </c>
      <c r="N977" s="355">
        <f>M977+L977</f>
        <v>0</v>
      </c>
      <c r="O977" s="355">
        <f>N977-K977</f>
        <v>0</v>
      </c>
      <c r="P977" s="388"/>
      <c r="Q977" s="441"/>
      <c r="R977" s="422"/>
    </row>
    <row r="978" spans="1:18" s="189" customFormat="1" ht="12.05" customHeight="1">
      <c r="A978" s="289"/>
      <c r="B978" s="292">
        <v>4</v>
      </c>
      <c r="C978" s="292">
        <v>1</v>
      </c>
      <c r="D978" s="292">
        <v>4</v>
      </c>
      <c r="E978" s="292" t="s">
        <v>444</v>
      </c>
      <c r="F978" s="292" t="s">
        <v>441</v>
      </c>
      <c r="G978" s="253" t="s">
        <v>75</v>
      </c>
      <c r="H978" s="253"/>
      <c r="I978" s="253"/>
      <c r="J978" s="354">
        <v>0</v>
      </c>
      <c r="K978" s="373">
        <f>'[55]TARGET MURNI DAN PERUBAHAN'!$E$568</f>
        <v>0</v>
      </c>
      <c r="L978" s="360">
        <f>[56]PerDinas!$N$978</f>
        <v>10049550</v>
      </c>
      <c r="M978" s="373">
        <f>[55]Perdinas!$P$654</f>
        <v>18634700</v>
      </c>
      <c r="N978" s="361">
        <f>M978+L978</f>
        <v>28684250</v>
      </c>
      <c r="O978" s="334">
        <f>N978-K978</f>
        <v>28684250</v>
      </c>
      <c r="P978" s="388"/>
      <c r="Q978" s="441"/>
      <c r="R978" s="422"/>
    </row>
    <row r="979" spans="1:18" s="189" customFormat="1" ht="12.05" customHeight="1">
      <c r="A979" s="293"/>
      <c r="B979" s="292"/>
      <c r="C979" s="292"/>
      <c r="D979" s="292"/>
      <c r="E979" s="292"/>
      <c r="F979" s="292"/>
      <c r="G979" s="253"/>
      <c r="H979" s="253"/>
      <c r="I979" s="253"/>
      <c r="J979" s="374"/>
      <c r="K979" s="375"/>
      <c r="L979" s="377"/>
      <c r="M979" s="375"/>
      <c r="N979" s="355"/>
      <c r="O979" s="355"/>
      <c r="P979" s="388"/>
      <c r="Q979" s="448"/>
      <c r="R979" s="422"/>
    </row>
    <row r="980" spans="1:18" s="189" customFormat="1" ht="12.05" customHeight="1">
      <c r="A980" s="293"/>
      <c r="B980" s="292">
        <v>4</v>
      </c>
      <c r="C980" s="292">
        <v>1</v>
      </c>
      <c r="D980" s="292">
        <v>4</v>
      </c>
      <c r="E980" s="292" t="s">
        <v>948</v>
      </c>
      <c r="F980" s="292"/>
      <c r="G980" s="253" t="s">
        <v>321</v>
      </c>
      <c r="H980" s="253"/>
      <c r="I980" s="253"/>
      <c r="J980" s="489">
        <f>+J981</f>
        <v>15000000</v>
      </c>
      <c r="K980" s="512">
        <f>+K981</f>
        <v>0</v>
      </c>
      <c r="L980" s="616">
        <f>+L981+L983</f>
        <v>0</v>
      </c>
      <c r="M980" s="512">
        <f>+M981+M983</f>
        <v>0</v>
      </c>
      <c r="N980" s="512">
        <f>+N981+N983</f>
        <v>0</v>
      </c>
      <c r="O980" s="412">
        <f>N980-K980</f>
        <v>0</v>
      </c>
      <c r="P980" s="487" t="e">
        <f t="shared" si="142"/>
        <v>#DIV/0!</v>
      </c>
      <c r="Q980" s="647"/>
      <c r="R980" s="422"/>
    </row>
    <row r="981" spans="1:18" s="189" customFormat="1" ht="12.05" customHeight="1">
      <c r="A981" s="293"/>
      <c r="B981" s="292">
        <v>4</v>
      </c>
      <c r="C981" s="292">
        <v>1</v>
      </c>
      <c r="D981" s="292">
        <v>4</v>
      </c>
      <c r="E981" s="292" t="s">
        <v>948</v>
      </c>
      <c r="F981" s="292" t="s">
        <v>437</v>
      </c>
      <c r="G981" s="253" t="s">
        <v>85</v>
      </c>
      <c r="H981" s="253"/>
      <c r="I981" s="253"/>
      <c r="J981" s="494">
        <f>SUM(J982+J983)</f>
        <v>15000000</v>
      </c>
      <c r="K981" s="495">
        <f>SUM(K982+K983)</f>
        <v>0</v>
      </c>
      <c r="L981" s="513">
        <f>L982</f>
        <v>0</v>
      </c>
      <c r="M981" s="495">
        <f>M982</f>
        <v>0</v>
      </c>
      <c r="N981" s="495">
        <f>N982</f>
        <v>0</v>
      </c>
      <c r="O981" s="334">
        <f>N981-K981</f>
        <v>0</v>
      </c>
      <c r="P981" s="335" t="e">
        <f t="shared" si="142"/>
        <v>#DIV/0!</v>
      </c>
      <c r="Q981" s="548"/>
      <c r="R981" s="422"/>
    </row>
    <row r="982" spans="1:18" s="189" customFormat="1" ht="12.05" customHeight="1">
      <c r="A982" s="293"/>
      <c r="B982" s="292"/>
      <c r="C982" s="292"/>
      <c r="D982" s="292"/>
      <c r="E982" s="292"/>
      <c r="F982" s="292"/>
      <c r="G982" s="253" t="s">
        <v>50</v>
      </c>
      <c r="H982" s="253"/>
      <c r="I982" s="253" t="s">
        <v>76</v>
      </c>
      <c r="J982" s="374">
        <v>15000000</v>
      </c>
      <c r="K982" s="376">
        <f>'[55]TARGET MURNI DAN PERUBAHAN'!$E$569</f>
        <v>0</v>
      </c>
      <c r="L982" s="377">
        <v>0</v>
      </c>
      <c r="M982" s="376">
        <v>0</v>
      </c>
      <c r="N982" s="369">
        <f>M982+L982</f>
        <v>0</v>
      </c>
      <c r="O982" s="355">
        <f>N982-K982</f>
        <v>0</v>
      </c>
      <c r="P982" s="388" t="e">
        <f t="shared" si="142"/>
        <v>#DIV/0!</v>
      </c>
      <c r="Q982" s="732"/>
      <c r="R982" s="422"/>
    </row>
    <row r="983" spans="1:18" s="189" customFormat="1" ht="12.05" customHeight="1">
      <c r="A983" s="465"/>
      <c r="B983" s="296"/>
      <c r="C983" s="296"/>
      <c r="D983" s="296"/>
      <c r="E983" s="296"/>
      <c r="F983" s="296"/>
      <c r="G983" s="297"/>
      <c r="H983" s="297"/>
      <c r="I983" s="297"/>
      <c r="J983" s="494"/>
      <c r="K983" s="495"/>
      <c r="L983" s="692">
        <v>0</v>
      </c>
      <c r="M983" s="495"/>
      <c r="N983" s="352"/>
      <c r="O983" s="352"/>
      <c r="P983" s="353"/>
      <c r="Q983" s="548"/>
      <c r="R983" s="422"/>
    </row>
    <row r="984" spans="1:18" s="244" customFormat="1" ht="12.05" customHeight="1">
      <c r="A984" s="1186" t="s">
        <v>915</v>
      </c>
      <c r="B984" s="1187"/>
      <c r="C984" s="1187"/>
      <c r="D984" s="1187"/>
      <c r="E984" s="1187"/>
      <c r="F984" s="1187"/>
      <c r="G984" s="1188" t="s">
        <v>914</v>
      </c>
      <c r="H984" s="1188"/>
      <c r="I984" s="1188"/>
      <c r="J984" s="1195">
        <f>+J986</f>
        <v>0</v>
      </c>
      <c r="K984" s="1196">
        <f>+K986</f>
        <v>0</v>
      </c>
      <c r="L984" s="1196">
        <f>+L986</f>
        <v>0</v>
      </c>
      <c r="M984" s="1196">
        <f>+M986</f>
        <v>17314100</v>
      </c>
      <c r="N984" s="1196">
        <f>M984+L984</f>
        <v>17314100</v>
      </c>
      <c r="O984" s="1196">
        <f>+N984-K984</f>
        <v>17314100</v>
      </c>
      <c r="P984" s="1197" t="e">
        <f>+N984/K984*100</f>
        <v>#DIV/0!</v>
      </c>
      <c r="Q984" s="1208"/>
      <c r="R984" s="639"/>
    </row>
    <row r="985" spans="1:18" s="189" customFormat="1" ht="12.05" customHeight="1">
      <c r="A985" s="471"/>
      <c r="B985" s="287"/>
      <c r="C985" s="287"/>
      <c r="D985" s="287"/>
      <c r="E985" s="287"/>
      <c r="F985" s="287"/>
      <c r="G985" s="288"/>
      <c r="H985" s="288"/>
      <c r="I985" s="288"/>
      <c r="J985" s="385"/>
      <c r="K985" s="386"/>
      <c r="L985" s="386"/>
      <c r="M985" s="386"/>
      <c r="N985" s="386"/>
      <c r="O985" s="386"/>
      <c r="P985" s="341"/>
      <c r="Q985" s="1108"/>
      <c r="R985" s="422"/>
    </row>
    <row r="986" spans="1:18" s="189" customFormat="1" ht="12.05" customHeight="1">
      <c r="A986" s="293"/>
      <c r="B986" s="290">
        <v>4</v>
      </c>
      <c r="C986" s="290">
        <v>1</v>
      </c>
      <c r="D986" s="290"/>
      <c r="E986" s="290"/>
      <c r="F986" s="290"/>
      <c r="G986" s="291" t="s">
        <v>180</v>
      </c>
      <c r="H986" s="291"/>
      <c r="I986" s="291"/>
      <c r="J986" s="342">
        <f>+J988</f>
        <v>0</v>
      </c>
      <c r="K986" s="343">
        <f>+K988</f>
        <v>0</v>
      </c>
      <c r="L986" s="343">
        <f>+L988</f>
        <v>0</v>
      </c>
      <c r="M986" s="343">
        <f>+M988</f>
        <v>17314100</v>
      </c>
      <c r="N986" s="343">
        <f>+M986+L986</f>
        <v>17314100</v>
      </c>
      <c r="O986" s="343">
        <f t="shared" ref="O986:O992" si="143">N986-K986</f>
        <v>17314100</v>
      </c>
      <c r="P986" s="344" t="e">
        <f>N986/K986*100</f>
        <v>#DIV/0!</v>
      </c>
      <c r="Q986" s="1108"/>
      <c r="R986" s="422"/>
    </row>
    <row r="987" spans="1:18" s="189" customFormat="1" ht="12.05" customHeight="1">
      <c r="A987" s="293"/>
      <c r="B987" s="292"/>
      <c r="C987" s="292"/>
      <c r="D987" s="292"/>
      <c r="E987" s="292"/>
      <c r="F987" s="292"/>
      <c r="G987" s="253"/>
      <c r="H987" s="253"/>
      <c r="I987" s="253"/>
      <c r="J987" s="345"/>
      <c r="K987" s="346"/>
      <c r="L987" s="367"/>
      <c r="M987" s="367"/>
      <c r="N987" s="367"/>
      <c r="O987" s="367"/>
      <c r="P987" s="347"/>
      <c r="Q987" s="1108"/>
      <c r="R987" s="422"/>
    </row>
    <row r="988" spans="1:18" s="189" customFormat="1" ht="12.05" customHeight="1">
      <c r="A988" s="293"/>
      <c r="B988" s="290">
        <v>4</v>
      </c>
      <c r="C988" s="290">
        <v>1</v>
      </c>
      <c r="D988" s="290">
        <v>4</v>
      </c>
      <c r="E988" s="290"/>
      <c r="F988" s="290"/>
      <c r="G988" s="291" t="s">
        <v>71</v>
      </c>
      <c r="H988" s="291"/>
      <c r="I988" s="291"/>
      <c r="J988" s="392">
        <f>J989+J994</f>
        <v>0</v>
      </c>
      <c r="K988" s="393">
        <f>K989+K994</f>
        <v>0</v>
      </c>
      <c r="L988" s="393">
        <f>L989+L994</f>
        <v>0</v>
      </c>
      <c r="M988" s="393">
        <f>M989+M994</f>
        <v>17314100</v>
      </c>
      <c r="N988" s="393">
        <f>N989+N994</f>
        <v>17314100</v>
      </c>
      <c r="O988" s="349">
        <f t="shared" si="143"/>
        <v>17314100</v>
      </c>
      <c r="P988" s="350" t="e">
        <f>N988/K988*100</f>
        <v>#DIV/0!</v>
      </c>
      <c r="Q988" s="1108"/>
      <c r="R988" s="422"/>
    </row>
    <row r="989" spans="1:18" s="189" customFormat="1" ht="12.05" customHeight="1">
      <c r="A989" s="289"/>
      <c r="B989" s="292">
        <v>4</v>
      </c>
      <c r="C989" s="292">
        <v>1</v>
      </c>
      <c r="D989" s="292">
        <v>4</v>
      </c>
      <c r="E989" s="292" t="s">
        <v>444</v>
      </c>
      <c r="F989" s="292"/>
      <c r="G989" s="253" t="s">
        <v>222</v>
      </c>
      <c r="H989" s="253"/>
      <c r="I989" s="253"/>
      <c r="J989" s="484">
        <f>+J992</f>
        <v>0</v>
      </c>
      <c r="K989" s="485">
        <f>+K992</f>
        <v>0</v>
      </c>
      <c r="L989" s="485">
        <f>SUM(L990:L992)</f>
        <v>0</v>
      </c>
      <c r="M989" s="485">
        <f>SUM(M990:M992)</f>
        <v>17314100</v>
      </c>
      <c r="N989" s="485">
        <f>SUM(N990:N992)</f>
        <v>17314100</v>
      </c>
      <c r="O989" s="412">
        <f t="shared" si="143"/>
        <v>17314100</v>
      </c>
      <c r="P989" s="487">
        <v>0</v>
      </c>
      <c r="Q989" s="1108"/>
      <c r="R989" s="422"/>
    </row>
    <row r="990" spans="1:18" s="189" customFormat="1" ht="12.05" customHeight="1">
      <c r="A990" s="289"/>
      <c r="B990" s="292">
        <v>4</v>
      </c>
      <c r="C990" s="292">
        <v>1</v>
      </c>
      <c r="D990" s="292">
        <v>4</v>
      </c>
      <c r="E990" s="292" t="s">
        <v>444</v>
      </c>
      <c r="F990" s="292" t="s">
        <v>440</v>
      </c>
      <c r="G990" s="253" t="s">
        <v>73</v>
      </c>
      <c r="H990" s="253"/>
      <c r="I990" s="253"/>
      <c r="J990" s="354">
        <v>0</v>
      </c>
      <c r="K990" s="355">
        <v>0</v>
      </c>
      <c r="L990" s="355">
        <v>0</v>
      </c>
      <c r="M990" s="355">
        <f>[55]Perdinas!$P$661</f>
        <v>0</v>
      </c>
      <c r="N990" s="355">
        <f>M990+L990</f>
        <v>0</v>
      </c>
      <c r="O990" s="355">
        <f t="shared" si="143"/>
        <v>0</v>
      </c>
      <c r="P990" s="388"/>
      <c r="Q990" s="1108"/>
      <c r="R990" s="422"/>
    </row>
    <row r="991" spans="1:18" s="189" customFormat="1" ht="12.05" customHeight="1">
      <c r="A991" s="289"/>
      <c r="B991" s="292">
        <v>4</v>
      </c>
      <c r="C991" s="292">
        <v>1</v>
      </c>
      <c r="D991" s="292">
        <v>4</v>
      </c>
      <c r="E991" s="292" t="s">
        <v>444</v>
      </c>
      <c r="F991" s="292" t="s">
        <v>445</v>
      </c>
      <c r="G991" s="253" t="s">
        <v>74</v>
      </c>
      <c r="H991" s="253"/>
      <c r="I991" s="253"/>
      <c r="J991" s="354">
        <v>0</v>
      </c>
      <c r="K991" s="355">
        <v>0</v>
      </c>
      <c r="L991" s="360">
        <v>0</v>
      </c>
      <c r="M991" s="355">
        <f>[55]Perdinas!$P$662</f>
        <v>0</v>
      </c>
      <c r="N991" s="355">
        <f>M991+L991</f>
        <v>0</v>
      </c>
      <c r="O991" s="355">
        <f t="shared" si="143"/>
        <v>0</v>
      </c>
      <c r="P991" s="388"/>
      <c r="Q991" s="1108"/>
      <c r="R991" s="422"/>
    </row>
    <row r="992" spans="1:18" s="189" customFormat="1" ht="12.05" customHeight="1">
      <c r="A992" s="289"/>
      <c r="B992" s="292">
        <v>4</v>
      </c>
      <c r="C992" s="292">
        <v>1</v>
      </c>
      <c r="D992" s="292">
        <v>4</v>
      </c>
      <c r="E992" s="292" t="s">
        <v>444</v>
      </c>
      <c r="F992" s="292" t="s">
        <v>441</v>
      </c>
      <c r="G992" s="253" t="s">
        <v>75</v>
      </c>
      <c r="H992" s="253"/>
      <c r="I992" s="253"/>
      <c r="J992" s="354">
        <v>0</v>
      </c>
      <c r="K992" s="373">
        <f>'[55]TARGET MURNI DAN PERUBAHAN'!$E$577</f>
        <v>0</v>
      </c>
      <c r="L992" s="360">
        <f>[56]PerDinas!$N$992</f>
        <v>0</v>
      </c>
      <c r="M992" s="373">
        <f>[55]Perdinas!$P$663</f>
        <v>17314100</v>
      </c>
      <c r="N992" s="369">
        <f>M992+L992</f>
        <v>17314100</v>
      </c>
      <c r="O992" s="355">
        <f t="shared" si="143"/>
        <v>17314100</v>
      </c>
      <c r="P992" s="344" t="e">
        <f>N992/K992*100</f>
        <v>#DIV/0!</v>
      </c>
      <c r="Q992" s="1108"/>
      <c r="R992" s="422"/>
    </row>
    <row r="993" spans="1:18" s="189" customFormat="1" ht="12.05" customHeight="1">
      <c r="A993" s="289"/>
      <c r="B993" s="292"/>
      <c r="C993" s="292"/>
      <c r="D993" s="292"/>
      <c r="E993" s="292"/>
      <c r="F993" s="292"/>
      <c r="G993" s="253"/>
      <c r="H993" s="253"/>
      <c r="I993" s="253"/>
      <c r="J993" s="354"/>
      <c r="K993" s="355"/>
      <c r="L993" s="360"/>
      <c r="M993" s="355"/>
      <c r="N993" s="355"/>
      <c r="O993" s="355"/>
      <c r="P993" s="388"/>
      <c r="Q993" s="1108"/>
      <c r="R993" s="422"/>
    </row>
    <row r="994" spans="1:18" s="189" customFormat="1" ht="12.05" customHeight="1">
      <c r="A994" s="293"/>
      <c r="B994" s="292">
        <v>4</v>
      </c>
      <c r="C994" s="292">
        <v>1</v>
      </c>
      <c r="D994" s="292">
        <v>4</v>
      </c>
      <c r="E994" s="292" t="s">
        <v>948</v>
      </c>
      <c r="F994" s="292"/>
      <c r="G994" s="410" t="s">
        <v>321</v>
      </c>
      <c r="H994" s="410"/>
      <c r="I994" s="410"/>
      <c r="J994" s="489">
        <f t="shared" ref="J994:M995" si="144">+J995</f>
        <v>0</v>
      </c>
      <c r="K994" s="512">
        <f t="shared" si="144"/>
        <v>0</v>
      </c>
      <c r="L994" s="616">
        <f t="shared" si="144"/>
        <v>0</v>
      </c>
      <c r="M994" s="512">
        <f t="shared" si="144"/>
        <v>0</v>
      </c>
      <c r="N994" s="412">
        <f>+M994+L994</f>
        <v>0</v>
      </c>
      <c r="O994" s="412">
        <f>N994-K994</f>
        <v>0</v>
      </c>
      <c r="P994" s="487">
        <v>0</v>
      </c>
      <c r="Q994" s="1108"/>
      <c r="R994" s="422"/>
    </row>
    <row r="995" spans="1:18" s="189" customFormat="1" ht="12.05" customHeight="1">
      <c r="A995" s="293"/>
      <c r="B995" s="292">
        <v>4</v>
      </c>
      <c r="C995" s="292">
        <v>1</v>
      </c>
      <c r="D995" s="292">
        <v>4</v>
      </c>
      <c r="E995" s="292" t="s">
        <v>948</v>
      </c>
      <c r="F995" s="292" t="s">
        <v>437</v>
      </c>
      <c r="G995" s="253" t="s">
        <v>85</v>
      </c>
      <c r="H995" s="253"/>
      <c r="I995" s="253"/>
      <c r="J995" s="494">
        <f t="shared" si="144"/>
        <v>0</v>
      </c>
      <c r="K995" s="495">
        <f t="shared" si="144"/>
        <v>0</v>
      </c>
      <c r="L995" s="689">
        <f>L996</f>
        <v>0</v>
      </c>
      <c r="M995" s="496">
        <f t="shared" si="144"/>
        <v>0</v>
      </c>
      <c r="N995" s="497">
        <f>M995+L995</f>
        <v>0</v>
      </c>
      <c r="O995" s="497">
        <f>N995-K995</f>
        <v>0</v>
      </c>
      <c r="P995" s="498">
        <v>0</v>
      </c>
      <c r="Q995" s="1109"/>
      <c r="R995" s="422"/>
    </row>
    <row r="996" spans="1:18" s="189" customFormat="1" ht="12.05" customHeight="1">
      <c r="A996" s="293"/>
      <c r="B996" s="292"/>
      <c r="C996" s="292"/>
      <c r="D996" s="292"/>
      <c r="E996" s="292"/>
      <c r="F996" s="292"/>
      <c r="G996" s="253" t="s">
        <v>50</v>
      </c>
      <c r="H996" s="253"/>
      <c r="I996" s="253" t="s">
        <v>76</v>
      </c>
      <c r="J996" s="374"/>
      <c r="K996" s="375">
        <f>'[55]TARGET MURNI DAN PERUBAHAN'!$E$578</f>
        <v>0</v>
      </c>
      <c r="L996" s="377">
        <v>0</v>
      </c>
      <c r="M996" s="375">
        <v>0</v>
      </c>
      <c r="N996" s="369">
        <f>M996+L996</f>
        <v>0</v>
      </c>
      <c r="O996" s="355">
        <f>N996-K996</f>
        <v>0</v>
      </c>
      <c r="P996" s="388">
        <v>0</v>
      </c>
      <c r="Q996" s="448"/>
      <c r="R996" s="422"/>
    </row>
    <row r="997" spans="1:18" s="189" customFormat="1" ht="12.05" customHeight="1">
      <c r="A997" s="465"/>
      <c r="B997" s="296"/>
      <c r="C997" s="296"/>
      <c r="D997" s="296"/>
      <c r="E997" s="296"/>
      <c r="F997" s="296"/>
      <c r="G997" s="297"/>
      <c r="H997" s="297"/>
      <c r="I997" s="297"/>
      <c r="J997" s="494"/>
      <c r="K997" s="495"/>
      <c r="L997" s="495"/>
      <c r="M997" s="495"/>
      <c r="N997" s="334"/>
      <c r="O997" s="334"/>
      <c r="P997" s="335"/>
      <c r="Q997" s="548"/>
      <c r="R997" s="422"/>
    </row>
    <row r="998" spans="1:18" s="244" customFormat="1" ht="12.05" customHeight="1">
      <c r="A998" s="283" t="s">
        <v>919</v>
      </c>
      <c r="B998" s="284"/>
      <c r="C998" s="284"/>
      <c r="D998" s="284"/>
      <c r="E998" s="284"/>
      <c r="F998" s="284"/>
      <c r="G998" s="298" t="s">
        <v>916</v>
      </c>
      <c r="H998" s="298"/>
      <c r="I998" s="298"/>
      <c r="J998" s="336">
        <f>+J999</f>
        <v>0</v>
      </c>
      <c r="K998" s="337">
        <f>+K999</f>
        <v>0</v>
      </c>
      <c r="L998" s="337">
        <f>+L999</f>
        <v>88404089</v>
      </c>
      <c r="M998" s="337">
        <f>+M999</f>
        <v>5392200</v>
      </c>
      <c r="N998" s="337">
        <f>M998+L998</f>
        <v>93796289</v>
      </c>
      <c r="O998" s="337">
        <f>+N998-K998</f>
        <v>93796289</v>
      </c>
      <c r="P998" s="338" t="e">
        <f>+N998/K998*100</f>
        <v>#DIV/0!</v>
      </c>
      <c r="Q998" s="432"/>
      <c r="R998" s="639"/>
    </row>
    <row r="999" spans="1:18" s="189" customFormat="1" ht="12.05" customHeight="1">
      <c r="A999" s="471"/>
      <c r="B999" s="707">
        <v>4</v>
      </c>
      <c r="C999" s="707">
        <v>1</v>
      </c>
      <c r="D999" s="707"/>
      <c r="E999" s="707"/>
      <c r="F999" s="707"/>
      <c r="G999" s="288" t="s">
        <v>180</v>
      </c>
      <c r="H999" s="288"/>
      <c r="I999" s="288"/>
      <c r="J999" s="342">
        <f>+J1001</f>
        <v>0</v>
      </c>
      <c r="K999" s="343">
        <f>+K1001</f>
        <v>0</v>
      </c>
      <c r="L999" s="343">
        <f>+L1001</f>
        <v>88404089</v>
      </c>
      <c r="M999" s="343">
        <f>+M1001</f>
        <v>5392200</v>
      </c>
      <c r="N999" s="343">
        <f>+M999+L999</f>
        <v>93796289</v>
      </c>
      <c r="O999" s="343">
        <f t="shared" ref="O999:O1005" si="145">N999-K999</f>
        <v>93796289</v>
      </c>
      <c r="P999" s="344" t="e">
        <f>N999/K999*100</f>
        <v>#DIV/0!</v>
      </c>
      <c r="Q999" s="437"/>
      <c r="R999" s="422"/>
    </row>
    <row r="1000" spans="1:18" s="189" customFormat="1" ht="12.05" customHeight="1">
      <c r="A1000" s="654"/>
      <c r="B1000" s="655"/>
      <c r="C1000" s="655"/>
      <c r="D1000" s="655"/>
      <c r="E1000" s="655"/>
      <c r="F1000" s="655"/>
      <c r="G1000" s="656"/>
      <c r="H1000" s="656"/>
      <c r="I1000" s="656"/>
      <c r="J1000" s="526"/>
      <c r="K1000" s="527"/>
      <c r="L1000" s="527"/>
      <c r="M1000" s="527"/>
      <c r="N1000" s="527"/>
      <c r="O1000" s="527"/>
      <c r="P1000" s="671"/>
      <c r="Q1000" s="644"/>
      <c r="R1000" s="422"/>
    </row>
    <row r="1001" spans="1:18" s="189" customFormat="1" ht="12.05" customHeight="1">
      <c r="A1001" s="471"/>
      <c r="B1001" s="707">
        <v>4</v>
      </c>
      <c r="C1001" s="707">
        <v>1</v>
      </c>
      <c r="D1001" s="707">
        <v>4</v>
      </c>
      <c r="E1001" s="707"/>
      <c r="F1001" s="707"/>
      <c r="G1001" s="288" t="s">
        <v>71</v>
      </c>
      <c r="H1001" s="288"/>
      <c r="I1001" s="288"/>
      <c r="J1001" s="392">
        <f>J1002+J1007</f>
        <v>0</v>
      </c>
      <c r="K1001" s="393">
        <f>K1002+K1007+K1003</f>
        <v>0</v>
      </c>
      <c r="L1001" s="393">
        <f>L1002+L1007+L1003</f>
        <v>88404089</v>
      </c>
      <c r="M1001" s="393">
        <f>M1002+M1007+M1003</f>
        <v>5392200</v>
      </c>
      <c r="N1001" s="393">
        <f>M1001+L1001</f>
        <v>93796289</v>
      </c>
      <c r="O1001" s="349">
        <f t="shared" si="145"/>
        <v>93796289</v>
      </c>
      <c r="P1001" s="350" t="e">
        <f>N1001/K1001*100</f>
        <v>#DIV/0!</v>
      </c>
      <c r="Q1001" s="444"/>
      <c r="R1001" s="422"/>
    </row>
    <row r="1002" spans="1:18" s="189" customFormat="1" ht="12.05" customHeight="1">
      <c r="A1002" s="289"/>
      <c r="B1002" s="292">
        <v>4</v>
      </c>
      <c r="C1002" s="292">
        <v>1</v>
      </c>
      <c r="D1002" s="292">
        <v>4</v>
      </c>
      <c r="E1002" s="292" t="s">
        <v>444</v>
      </c>
      <c r="F1002" s="292"/>
      <c r="G1002" s="253" t="s">
        <v>222</v>
      </c>
      <c r="H1002" s="253"/>
      <c r="I1002" s="253"/>
      <c r="J1002" s="484">
        <f>+J1005</f>
        <v>0</v>
      </c>
      <c r="K1002" s="485">
        <f>+K1005</f>
        <v>0</v>
      </c>
      <c r="L1002" s="486">
        <f>SUM(L1003:L1005)</f>
        <v>25090089</v>
      </c>
      <c r="M1002" s="485">
        <f>SUM(M1003:M1005)</f>
        <v>5392200</v>
      </c>
      <c r="N1002" s="485">
        <f>SUM(N1003:N1005)</f>
        <v>30482289</v>
      </c>
      <c r="O1002" s="412">
        <f t="shared" si="145"/>
        <v>30482289</v>
      </c>
      <c r="P1002" s="487">
        <v>0</v>
      </c>
      <c r="Q1002" s="541"/>
      <c r="R1002" s="422"/>
    </row>
    <row r="1003" spans="1:18" s="189" customFormat="1" ht="12.05" customHeight="1">
      <c r="A1003" s="289"/>
      <c r="B1003" s="292">
        <v>4</v>
      </c>
      <c r="C1003" s="292">
        <v>1</v>
      </c>
      <c r="D1003" s="292">
        <v>4</v>
      </c>
      <c r="E1003" s="292" t="s">
        <v>948</v>
      </c>
      <c r="F1003" s="292" t="s">
        <v>437</v>
      </c>
      <c r="G1003" s="1100" t="s">
        <v>1020</v>
      </c>
      <c r="H1003" s="909"/>
      <c r="I1003" s="253"/>
      <c r="J1003" s="354">
        <v>0</v>
      </c>
      <c r="K1003" s="355">
        <f>'[55]TARGET MURNI DAN PERUBAHAN'!$E$583</f>
        <v>0</v>
      </c>
      <c r="L1003" s="360">
        <v>0</v>
      </c>
      <c r="M1003" s="355">
        <v>0</v>
      </c>
      <c r="N1003" s="355">
        <f>M1003+L1003</f>
        <v>0</v>
      </c>
      <c r="O1003" s="355">
        <f t="shared" si="145"/>
        <v>0</v>
      </c>
      <c r="P1003" s="388"/>
      <c r="Q1003" s="442"/>
      <c r="R1003" s="422"/>
    </row>
    <row r="1004" spans="1:18" s="189" customFormat="1" ht="12.05" customHeight="1">
      <c r="A1004" s="289"/>
      <c r="B1004" s="292">
        <v>4</v>
      </c>
      <c r="C1004" s="292">
        <v>1</v>
      </c>
      <c r="D1004" s="292">
        <v>4</v>
      </c>
      <c r="E1004" s="292" t="s">
        <v>447</v>
      </c>
      <c r="F1004" s="292" t="s">
        <v>437</v>
      </c>
      <c r="G1004" s="253" t="s">
        <v>1021</v>
      </c>
      <c r="H1004" s="253"/>
      <c r="I1004" s="253"/>
      <c r="J1004" s="354">
        <v>0</v>
      </c>
      <c r="K1004" s="355">
        <v>0</v>
      </c>
      <c r="L1004" s="360">
        <f>[56]PerDinas!$N$1004</f>
        <v>1754662</v>
      </c>
      <c r="M1004" s="355">
        <f>[55]Perdinas!$P$677</f>
        <v>0</v>
      </c>
      <c r="N1004" s="355">
        <f>M1004+L1004</f>
        <v>1754662</v>
      </c>
      <c r="O1004" s="355">
        <f t="shared" si="145"/>
        <v>1754662</v>
      </c>
      <c r="P1004" s="388"/>
      <c r="Q1004" s="441"/>
      <c r="R1004" s="422"/>
    </row>
    <row r="1005" spans="1:18" s="189" customFormat="1" ht="12.05" customHeight="1">
      <c r="A1005" s="289"/>
      <c r="B1005" s="292">
        <v>4</v>
      </c>
      <c r="C1005" s="292">
        <v>1</v>
      </c>
      <c r="D1005" s="292">
        <v>4</v>
      </c>
      <c r="E1005" s="292" t="s">
        <v>444</v>
      </c>
      <c r="F1005" s="292" t="s">
        <v>441</v>
      </c>
      <c r="G1005" s="253" t="s">
        <v>75</v>
      </c>
      <c r="H1005" s="253"/>
      <c r="I1005" s="253"/>
      <c r="J1005" s="354">
        <v>0</v>
      </c>
      <c r="K1005" s="373">
        <f>'[55]TARGET MURNI DAN PERUBAHAN'!$E$585</f>
        <v>0</v>
      </c>
      <c r="L1005" s="360">
        <f>[56]PerDinas!$N$1005</f>
        <v>23335427</v>
      </c>
      <c r="M1005" s="373">
        <f>[55]Perdinas!$P$676</f>
        <v>5392200</v>
      </c>
      <c r="N1005" s="369">
        <f>M1005+L1005</f>
        <v>28727627</v>
      </c>
      <c r="O1005" s="355">
        <f t="shared" si="145"/>
        <v>28727627</v>
      </c>
      <c r="P1005" s="388"/>
      <c r="Q1005" s="441"/>
      <c r="R1005" s="545"/>
    </row>
    <row r="1006" spans="1:18" s="189" customFormat="1" ht="12.05" customHeight="1">
      <c r="A1006" s="289"/>
      <c r="B1006" s="292"/>
      <c r="C1006" s="292"/>
      <c r="D1006" s="292"/>
      <c r="E1006" s="292"/>
      <c r="F1006" s="292"/>
      <c r="G1006" s="253"/>
      <c r="H1006" s="253"/>
      <c r="I1006" s="253"/>
      <c r="J1006" s="354"/>
      <c r="K1006" s="355"/>
      <c r="L1006" s="360"/>
      <c r="M1006" s="355"/>
      <c r="N1006" s="355"/>
      <c r="O1006" s="355"/>
      <c r="P1006" s="388"/>
      <c r="Q1006" s="441"/>
      <c r="R1006" s="422"/>
    </row>
    <row r="1007" spans="1:18" s="189" customFormat="1" ht="12.05" customHeight="1">
      <c r="A1007" s="293"/>
      <c r="B1007" s="292">
        <v>4</v>
      </c>
      <c r="C1007" s="292">
        <v>1</v>
      </c>
      <c r="D1007" s="292" t="s">
        <v>460</v>
      </c>
      <c r="E1007" s="292" t="s">
        <v>438</v>
      </c>
      <c r="F1007" s="292"/>
      <c r="G1007" s="410" t="s">
        <v>116</v>
      </c>
      <c r="H1007" s="410"/>
      <c r="I1007" s="410"/>
      <c r="J1007" s="489">
        <f t="shared" ref="J1007:M1008" si="146">+J1008</f>
        <v>0</v>
      </c>
      <c r="K1007" s="512">
        <f t="shared" si="146"/>
        <v>0</v>
      </c>
      <c r="L1007" s="616">
        <f t="shared" si="146"/>
        <v>63314000</v>
      </c>
      <c r="M1007" s="512">
        <f t="shared" si="146"/>
        <v>0</v>
      </c>
      <c r="N1007" s="412">
        <f>+M1007+L1007</f>
        <v>63314000</v>
      </c>
      <c r="O1007" s="412">
        <f>N1007-K1007</f>
        <v>63314000</v>
      </c>
      <c r="P1007" s="487">
        <v>0</v>
      </c>
      <c r="Q1007" s="647"/>
      <c r="R1007" s="422"/>
    </row>
    <row r="1008" spans="1:18" s="189" customFormat="1" ht="12.05" customHeight="1">
      <c r="A1008" s="293"/>
      <c r="B1008" s="292">
        <v>4</v>
      </c>
      <c r="C1008" s="292">
        <v>1</v>
      </c>
      <c r="D1008" s="292" t="s">
        <v>460</v>
      </c>
      <c r="E1008" s="292" t="s">
        <v>438</v>
      </c>
      <c r="F1008" s="292" t="s">
        <v>440</v>
      </c>
      <c r="G1008" s="253" t="s">
        <v>454</v>
      </c>
      <c r="H1008" s="253"/>
      <c r="I1008" s="253"/>
      <c r="J1008" s="494">
        <f t="shared" si="146"/>
        <v>0</v>
      </c>
      <c r="K1008" s="495">
        <f>SUM(K1009:K1010)</f>
        <v>0</v>
      </c>
      <c r="L1008" s="495">
        <f>SUM(L1009:L1010)</f>
        <v>63314000</v>
      </c>
      <c r="M1008" s="495">
        <f>SUM(M1009:M1010)</f>
        <v>0</v>
      </c>
      <c r="N1008" s="497">
        <f>M1008+L1008</f>
        <v>63314000</v>
      </c>
      <c r="O1008" s="497">
        <f>N1008-K1008</f>
        <v>63314000</v>
      </c>
      <c r="P1008" s="498">
        <v>0</v>
      </c>
      <c r="Q1008" s="548"/>
      <c r="R1008" s="422"/>
    </row>
    <row r="1009" spans="1:18" s="189" customFormat="1" ht="12.05" customHeight="1">
      <c r="A1009" s="465"/>
      <c r="B1009" s="296"/>
      <c r="C1009" s="296"/>
      <c r="D1009" s="296"/>
      <c r="E1009" s="296"/>
      <c r="F1009" s="296"/>
      <c r="G1009" s="1315" t="s">
        <v>50</v>
      </c>
      <c r="H1009" s="297" t="s">
        <v>1022</v>
      </c>
      <c r="I1009" s="297"/>
      <c r="J1009" s="679"/>
      <c r="K1009" s="691">
        <f>'[55]TARGET MURNI DAN PERUBAHAN'!$E$586</f>
        <v>0</v>
      </c>
      <c r="L1009" s="691">
        <f>[56]PerDinas!$N$1009</f>
        <v>30964000</v>
      </c>
      <c r="M1009" s="691">
        <f>[55]Perdinas!$P$669</f>
        <v>0</v>
      </c>
      <c r="N1009" s="817">
        <f>M1009+L1009</f>
        <v>30964000</v>
      </c>
      <c r="O1009" s="352">
        <f>N1009-K1009</f>
        <v>30964000</v>
      </c>
      <c r="P1009" s="353">
        <v>0</v>
      </c>
      <c r="Q1009" s="449"/>
      <c r="R1009" s="422"/>
    </row>
    <row r="1010" spans="1:18" s="189" customFormat="1" ht="12.05" customHeight="1">
      <c r="A1010" s="1059"/>
      <c r="B1010" s="578"/>
      <c r="C1010" s="578"/>
      <c r="D1010" s="578"/>
      <c r="E1010" s="578"/>
      <c r="F1010" s="578"/>
      <c r="G1010" s="1315" t="s">
        <v>50</v>
      </c>
      <c r="H1010" s="859" t="s">
        <v>1023</v>
      </c>
      <c r="J1010" s="494"/>
      <c r="K1010" s="495"/>
      <c r="L1010" s="691">
        <f>[56]PerDinas!$N$1010</f>
        <v>32350000</v>
      </c>
      <c r="M1010" s="495">
        <f>[55]Perdinas!$P$670</f>
        <v>0</v>
      </c>
      <c r="N1010" s="817">
        <f>M1010+L1010</f>
        <v>32350000</v>
      </c>
      <c r="O1010" s="352">
        <f>N1010-K1010</f>
        <v>32350000</v>
      </c>
      <c r="P1010" s="353">
        <v>0</v>
      </c>
      <c r="Q1010" s="548"/>
      <c r="R1010" s="422"/>
    </row>
    <row r="1011" spans="1:18" s="189" customFormat="1" ht="12.05" customHeight="1">
      <c r="A1011" s="1059"/>
      <c r="B1011" s="578"/>
      <c r="C1011" s="578"/>
      <c r="D1011" s="578"/>
      <c r="E1011" s="578"/>
      <c r="F1011" s="578"/>
      <c r="G1011" s="422"/>
      <c r="J1011" s="494"/>
      <c r="K1011" s="495"/>
      <c r="L1011" s="495"/>
      <c r="M1011" s="495"/>
      <c r="N1011" s="361"/>
      <c r="O1011" s="334"/>
      <c r="P1011" s="335"/>
      <c r="Q1011" s="548"/>
      <c r="R1011" s="422"/>
    </row>
    <row r="1012" spans="1:18" s="189" customFormat="1" ht="12.05" customHeight="1">
      <c r="A1012" s="1059"/>
      <c r="B1012" s="578"/>
      <c r="C1012" s="578"/>
      <c r="D1012" s="578"/>
      <c r="E1012" s="578"/>
      <c r="F1012" s="578"/>
      <c r="G1012" s="422"/>
      <c r="J1012" s="494"/>
      <c r="K1012" s="495"/>
      <c r="L1012" s="495"/>
      <c r="M1012" s="495"/>
      <c r="N1012" s="361"/>
      <c r="O1012" s="334"/>
      <c r="P1012" s="335"/>
      <c r="Q1012" s="548"/>
      <c r="R1012" s="422"/>
    </row>
    <row r="1013" spans="1:18" s="189" customFormat="1" ht="12.05" customHeight="1">
      <c r="A1013" s="283" t="s">
        <v>922</v>
      </c>
      <c r="B1013" s="284"/>
      <c r="C1013" s="284"/>
      <c r="D1013" s="284"/>
      <c r="E1013" s="284"/>
      <c r="F1013" s="284"/>
      <c r="G1013" s="298" t="s">
        <v>920</v>
      </c>
      <c r="H1013" s="298"/>
      <c r="I1013" s="298"/>
      <c r="J1013" s="336">
        <f>+J1014</f>
        <v>70000000</v>
      </c>
      <c r="K1013" s="337">
        <f>+K1014</f>
        <v>200000000</v>
      </c>
      <c r="L1013" s="337">
        <f>+L1014</f>
        <v>349679198</v>
      </c>
      <c r="M1013" s="337">
        <f>+M1014</f>
        <v>57240500</v>
      </c>
      <c r="N1013" s="337">
        <f t="shared" ref="N1013:N1019" si="147">M1013+L1013</f>
        <v>406919698</v>
      </c>
      <c r="O1013" s="337">
        <f>+N1013-K1013</f>
        <v>206919698</v>
      </c>
      <c r="P1013" s="338">
        <f>+N1013/K1013*100</f>
        <v>203.45984899999999</v>
      </c>
      <c r="Q1013" s="432"/>
      <c r="R1013" s="555"/>
    </row>
    <row r="1014" spans="1:18" s="189" customFormat="1" ht="12.05" customHeight="1">
      <c r="A1014" s="471"/>
      <c r="B1014" s="707">
        <v>4</v>
      </c>
      <c r="C1014" s="707">
        <v>1</v>
      </c>
      <c r="D1014" s="707"/>
      <c r="E1014" s="707"/>
      <c r="F1014" s="707"/>
      <c r="G1014" s="288" t="s">
        <v>180</v>
      </c>
      <c r="H1014" s="288"/>
      <c r="I1014" s="288"/>
      <c r="J1014" s="342">
        <f>J1017+J1018</f>
        <v>70000000</v>
      </c>
      <c r="K1014" s="343">
        <f>K1016+K1019</f>
        <v>200000000</v>
      </c>
      <c r="L1014" s="343">
        <f>L1016+L1019</f>
        <v>349679198</v>
      </c>
      <c r="M1014" s="343">
        <f>+M1019+M1017+M1018</f>
        <v>57240500</v>
      </c>
      <c r="N1014" s="343">
        <f>+M1014+L1014</f>
        <v>406919698</v>
      </c>
      <c r="O1014" s="343">
        <f t="shared" ref="O1014:O1019" si="148">N1014-K1014</f>
        <v>206919698</v>
      </c>
      <c r="P1014" s="344">
        <f>N1014/K1014*100</f>
        <v>203.45984899999999</v>
      </c>
      <c r="Q1014" s="1108"/>
      <c r="R1014" s="422"/>
    </row>
    <row r="1015" spans="1:18" s="189" customFormat="1" ht="12.05" customHeight="1">
      <c r="A1015" s="654"/>
      <c r="B1015" s="655"/>
      <c r="C1015" s="655"/>
      <c r="D1015" s="655"/>
      <c r="E1015" s="655"/>
      <c r="F1015" s="655"/>
      <c r="G1015" s="656"/>
      <c r="H1015" s="656"/>
      <c r="I1015" s="656"/>
      <c r="J1015" s="526"/>
      <c r="K1015" s="527"/>
      <c r="L1015" s="527"/>
      <c r="M1015" s="527"/>
      <c r="N1015" s="527"/>
      <c r="O1015" s="527"/>
      <c r="P1015" s="671"/>
      <c r="Q1015" s="1108"/>
      <c r="R1015" s="422"/>
    </row>
    <row r="1016" spans="1:18" s="189" customFormat="1" ht="12.05" customHeight="1">
      <c r="A1016" s="657"/>
      <c r="B1016" s="292">
        <v>4</v>
      </c>
      <c r="C1016" s="292">
        <v>1</v>
      </c>
      <c r="D1016" s="292">
        <v>2</v>
      </c>
      <c r="E1016" s="292" t="s">
        <v>438</v>
      </c>
      <c r="F1016" s="292"/>
      <c r="G1016" s="291" t="s">
        <v>109</v>
      </c>
      <c r="H1016" s="253"/>
      <c r="I1016" s="253"/>
      <c r="J1016" s="333"/>
      <c r="K1016" s="330">
        <f>SUM(K1017:K1018)</f>
        <v>200000000</v>
      </c>
      <c r="L1016" s="330">
        <f>SUM(L1017:L1018)</f>
        <v>324650000</v>
      </c>
      <c r="M1016" s="330">
        <f>SUM(M1017:M1018)</f>
        <v>20650000</v>
      </c>
      <c r="N1016" s="372">
        <f t="shared" si="147"/>
        <v>345300000</v>
      </c>
      <c r="O1016" s="372">
        <f t="shared" si="148"/>
        <v>145300000</v>
      </c>
      <c r="P1016" s="1106">
        <f>N1016/K1016*100</f>
        <v>172.65</v>
      </c>
      <c r="Q1016" s="1108"/>
      <c r="R1016" s="422"/>
    </row>
    <row r="1017" spans="1:18" s="189" customFormat="1" ht="12.05" customHeight="1">
      <c r="A1017" s="657"/>
      <c r="B1017" s="1101">
        <v>4</v>
      </c>
      <c r="C1017" s="1101">
        <v>1</v>
      </c>
      <c r="D1017" s="1101">
        <v>2</v>
      </c>
      <c r="E1017" s="1101" t="s">
        <v>438</v>
      </c>
      <c r="F1017" s="1101" t="s">
        <v>440</v>
      </c>
      <c r="G1017" s="1003" t="s">
        <v>50</v>
      </c>
      <c r="H1017" s="1003" t="s">
        <v>1024</v>
      </c>
      <c r="I1017" s="1003"/>
      <c r="J1017" s="1107">
        <v>40000000</v>
      </c>
      <c r="K1017" s="1248">
        <f>'[55]TARGET MURNI DAN PERUBAHAN'!$E$591</f>
        <v>200000000</v>
      </c>
      <c r="L1017" s="660">
        <f>[56]PerDinas!$N$1017</f>
        <v>312200000</v>
      </c>
      <c r="M1017" s="660">
        <f>[55]Perdinas!$P$682</f>
        <v>20650000</v>
      </c>
      <c r="N1017" s="369">
        <f t="shared" si="147"/>
        <v>332850000</v>
      </c>
      <c r="O1017" s="360">
        <f t="shared" si="148"/>
        <v>132850000</v>
      </c>
      <c r="P1017" s="1042">
        <f>N1017/K1017*100</f>
        <v>166.42500000000001</v>
      </c>
      <c r="Q1017" s="1110"/>
      <c r="R1017" s="422"/>
    </row>
    <row r="1018" spans="1:18" s="189" customFormat="1" ht="12.05" customHeight="1">
      <c r="A1018" s="657"/>
      <c r="B1018" s="292">
        <v>4</v>
      </c>
      <c r="C1018" s="292">
        <v>1</v>
      </c>
      <c r="D1018" s="292">
        <v>2</v>
      </c>
      <c r="E1018" s="292" t="s">
        <v>438</v>
      </c>
      <c r="F1018" s="292" t="s">
        <v>448</v>
      </c>
      <c r="G1018" s="253" t="s">
        <v>50</v>
      </c>
      <c r="H1018" s="189" t="s">
        <v>517</v>
      </c>
      <c r="J1018" s="1043">
        <v>30000000</v>
      </c>
      <c r="K1018" s="352">
        <v>0</v>
      </c>
      <c r="L1018" s="660">
        <f>[56]PerDinas!$N$1018</f>
        <v>12450000</v>
      </c>
      <c r="M1018" s="1044">
        <f>[55]Perdinas!$P$683</f>
        <v>0</v>
      </c>
      <c r="N1018" s="817">
        <f t="shared" si="147"/>
        <v>12450000</v>
      </c>
      <c r="O1018" s="352">
        <f t="shared" si="148"/>
        <v>12450000</v>
      </c>
      <c r="P1018" s="388"/>
      <c r="Q1018" s="1058"/>
      <c r="R1018" s="422"/>
    </row>
    <row r="1019" spans="1:18" s="189" customFormat="1" ht="12.05" customHeight="1">
      <c r="A1019" s="471"/>
      <c r="B1019" s="707">
        <v>4</v>
      </c>
      <c r="C1019" s="707">
        <v>1</v>
      </c>
      <c r="D1019" s="707">
        <v>4</v>
      </c>
      <c r="E1019" s="707"/>
      <c r="F1019" s="707"/>
      <c r="G1019" s="288" t="s">
        <v>71</v>
      </c>
      <c r="H1019" s="288"/>
      <c r="I1019" s="288"/>
      <c r="J1019" s="392">
        <f>J1022+J1027</f>
        <v>0</v>
      </c>
      <c r="K1019" s="393">
        <f>K1022+K1027</f>
        <v>0</v>
      </c>
      <c r="L1019" s="394">
        <f>L1022+L1027+L1020</f>
        <v>25029198</v>
      </c>
      <c r="M1019" s="393">
        <f>M1022+M1027+M1020</f>
        <v>36590500</v>
      </c>
      <c r="N1019" s="393">
        <f t="shared" si="147"/>
        <v>61619698</v>
      </c>
      <c r="O1019" s="349">
        <f t="shared" si="148"/>
        <v>61619698</v>
      </c>
      <c r="P1019" s="350"/>
      <c r="Q1019" s="1108"/>
      <c r="R1019" s="422"/>
    </row>
    <row r="1020" spans="1:18" s="189" customFormat="1" ht="12.05" customHeight="1">
      <c r="A1020" s="471"/>
      <c r="B1020" s="707">
        <v>4</v>
      </c>
      <c r="C1020" s="707">
        <v>1</v>
      </c>
      <c r="D1020" s="707">
        <v>4</v>
      </c>
      <c r="E1020" s="707" t="s">
        <v>441</v>
      </c>
      <c r="F1020" s="707"/>
      <c r="G1020" s="288" t="s">
        <v>324</v>
      </c>
      <c r="H1020" s="288"/>
      <c r="I1020" s="288"/>
      <c r="J1020" s="329">
        <f t="shared" ref="J1020:O1020" si="149">J1021</f>
        <v>0</v>
      </c>
      <c r="K1020" s="330">
        <f t="shared" si="149"/>
        <v>0</v>
      </c>
      <c r="L1020" s="366">
        <f t="shared" si="149"/>
        <v>0</v>
      </c>
      <c r="M1020" s="330">
        <f t="shared" si="149"/>
        <v>0</v>
      </c>
      <c r="N1020" s="330">
        <f t="shared" si="149"/>
        <v>0</v>
      </c>
      <c r="O1020" s="330">
        <f t="shared" si="149"/>
        <v>0</v>
      </c>
      <c r="P1020" s="344"/>
      <c r="Q1020" s="1108"/>
      <c r="R1020" s="422"/>
    </row>
    <row r="1021" spans="1:18" s="189" customFormat="1" ht="12.05" customHeight="1">
      <c r="A1021" s="471"/>
      <c r="B1021" s="287">
        <v>4</v>
      </c>
      <c r="C1021" s="287">
        <v>1</v>
      </c>
      <c r="D1021" s="287">
        <v>4</v>
      </c>
      <c r="E1021" s="287" t="s">
        <v>441</v>
      </c>
      <c r="F1021" s="287" t="s">
        <v>440</v>
      </c>
      <c r="G1021" s="410" t="s">
        <v>1025</v>
      </c>
      <c r="H1021" s="288"/>
      <c r="I1021" s="288"/>
      <c r="J1021" s="329">
        <v>0</v>
      </c>
      <c r="K1021" s="330">
        <v>0</v>
      </c>
      <c r="L1021" s="356">
        <f>[56]PerDinas!$N$1021</f>
        <v>0</v>
      </c>
      <c r="M1021" s="334">
        <f>[55]Perdinas!$P$685</f>
        <v>0</v>
      </c>
      <c r="N1021" s="361">
        <f>M1021+L1021</f>
        <v>0</v>
      </c>
      <c r="O1021" s="396">
        <f>N1021-K1021</f>
        <v>0</v>
      </c>
      <c r="P1021" s="344"/>
      <c r="Q1021" s="1108"/>
      <c r="R1021" s="422"/>
    </row>
    <row r="1022" spans="1:18" s="189" customFormat="1" ht="12.05" customHeight="1">
      <c r="A1022" s="289"/>
      <c r="B1022" s="290">
        <v>4</v>
      </c>
      <c r="C1022" s="290">
        <v>1</v>
      </c>
      <c r="D1022" s="290">
        <v>4</v>
      </c>
      <c r="E1022" s="290" t="s">
        <v>444</v>
      </c>
      <c r="F1022" s="290"/>
      <c r="G1022" s="291" t="s">
        <v>222</v>
      </c>
      <c r="H1022" s="291"/>
      <c r="I1022" s="291"/>
      <c r="J1022" s="746">
        <f>+J1025</f>
        <v>0</v>
      </c>
      <c r="K1022" s="676">
        <f>+K1025</f>
        <v>0</v>
      </c>
      <c r="L1022" s="675">
        <f>SUM(L1023:L1025)</f>
        <v>25029198</v>
      </c>
      <c r="M1022" s="676">
        <f>SUM(M1023:M1025)</f>
        <v>36590500</v>
      </c>
      <c r="N1022" s="676">
        <f>SUM(N1023:N1025)</f>
        <v>61619698</v>
      </c>
      <c r="O1022" s="492">
        <f>N1022-K1022</f>
        <v>61619698</v>
      </c>
      <c r="P1022" s="493">
        <v>0</v>
      </c>
      <c r="Q1022" s="1108"/>
      <c r="R1022" s="422"/>
    </row>
    <row r="1023" spans="1:18" s="189" customFormat="1" ht="12.05" customHeight="1">
      <c r="A1023" s="289"/>
      <c r="B1023" s="292">
        <v>4</v>
      </c>
      <c r="C1023" s="292">
        <v>1</v>
      </c>
      <c r="D1023" s="292">
        <v>4</v>
      </c>
      <c r="E1023" s="292" t="s">
        <v>444</v>
      </c>
      <c r="F1023" s="292" t="s">
        <v>440</v>
      </c>
      <c r="G1023" s="253" t="s">
        <v>73</v>
      </c>
      <c r="H1023" s="253"/>
      <c r="I1023" s="253"/>
      <c r="J1023" s="354">
        <v>0</v>
      </c>
      <c r="K1023" s="355">
        <v>0</v>
      </c>
      <c r="L1023" s="360">
        <v>0</v>
      </c>
      <c r="M1023" s="355">
        <f>[55]Perdinas!$P$683</f>
        <v>0</v>
      </c>
      <c r="N1023" s="355">
        <f>M1023+L1023</f>
        <v>0</v>
      </c>
      <c r="O1023" s="355">
        <f>N1023-K1023</f>
        <v>0</v>
      </c>
      <c r="P1023" s="388"/>
      <c r="Q1023" s="1108"/>
      <c r="R1023" s="422"/>
    </row>
    <row r="1024" spans="1:18" s="189" customFormat="1" ht="12.05" customHeight="1">
      <c r="A1024" s="289"/>
      <c r="B1024" s="292">
        <v>4</v>
      </c>
      <c r="C1024" s="292">
        <v>1</v>
      </c>
      <c r="D1024" s="292">
        <v>4</v>
      </c>
      <c r="E1024" s="292" t="s">
        <v>444</v>
      </c>
      <c r="F1024" s="292" t="s">
        <v>445</v>
      </c>
      <c r="G1024" s="253" t="s">
        <v>74</v>
      </c>
      <c r="H1024" s="253"/>
      <c r="I1024" s="253"/>
      <c r="J1024" s="354">
        <v>0</v>
      </c>
      <c r="K1024" s="355">
        <v>0</v>
      </c>
      <c r="L1024" s="360">
        <v>0</v>
      </c>
      <c r="M1024" s="355">
        <f>[55]Perdinas!$P$687</f>
        <v>0</v>
      </c>
      <c r="N1024" s="355">
        <f>M1024+L1024</f>
        <v>0</v>
      </c>
      <c r="O1024" s="355">
        <f>N1024-K1024</f>
        <v>0</v>
      </c>
      <c r="P1024" s="388"/>
      <c r="Q1024" s="5899"/>
      <c r="R1024" s="422"/>
    </row>
    <row r="1025" spans="1:18" s="189" customFormat="1" ht="12.05" customHeight="1">
      <c r="A1025" s="289"/>
      <c r="B1025" s="292">
        <v>4</v>
      </c>
      <c r="C1025" s="292">
        <v>1</v>
      </c>
      <c r="D1025" s="292">
        <v>4</v>
      </c>
      <c r="E1025" s="292" t="s">
        <v>444</v>
      </c>
      <c r="F1025" s="292" t="s">
        <v>441</v>
      </c>
      <c r="G1025" s="253" t="s">
        <v>75</v>
      </c>
      <c r="H1025" s="253"/>
      <c r="I1025" s="253"/>
      <c r="J1025" s="354">
        <v>0</v>
      </c>
      <c r="K1025" s="373">
        <f>'[55]TARGET MURNI DAN PERUBAHAN'!$E$596</f>
        <v>0</v>
      </c>
      <c r="L1025" s="360">
        <f>[56]PerDinas!$N$1025</f>
        <v>25029198</v>
      </c>
      <c r="M1025" s="373">
        <f>[55]Perdinas!$P$688</f>
        <v>36590500</v>
      </c>
      <c r="N1025" s="369">
        <f>M1025+L1025</f>
        <v>61619698</v>
      </c>
      <c r="O1025" s="355">
        <f>N1025-K1025</f>
        <v>61619698</v>
      </c>
      <c r="P1025" s="388"/>
      <c r="Q1025" s="5900"/>
      <c r="R1025" s="422"/>
    </row>
    <row r="1026" spans="1:18" s="189" customFormat="1" ht="12.05" customHeight="1">
      <c r="A1026" s="289"/>
      <c r="B1026" s="292"/>
      <c r="C1026" s="292"/>
      <c r="D1026" s="292"/>
      <c r="E1026" s="292"/>
      <c r="F1026" s="292"/>
      <c r="G1026" s="253"/>
      <c r="H1026" s="253"/>
      <c r="I1026" s="253"/>
      <c r="J1026" s="354"/>
      <c r="K1026" s="355"/>
      <c r="L1026" s="360"/>
      <c r="M1026" s="355"/>
      <c r="N1026" s="355"/>
      <c r="O1026" s="355"/>
      <c r="P1026" s="388"/>
      <c r="Q1026" s="441"/>
      <c r="R1026" s="422"/>
    </row>
    <row r="1027" spans="1:18" s="189" customFormat="1" ht="12.05" customHeight="1">
      <c r="A1027" s="293"/>
      <c r="B1027" s="292">
        <v>4</v>
      </c>
      <c r="C1027" s="292">
        <v>1</v>
      </c>
      <c r="D1027" s="292">
        <v>4</v>
      </c>
      <c r="E1027" s="292" t="s">
        <v>948</v>
      </c>
      <c r="F1027" s="292"/>
      <c r="G1027" s="410" t="s">
        <v>321</v>
      </c>
      <c r="H1027" s="410"/>
      <c r="I1027" s="410"/>
      <c r="J1027" s="489">
        <f t="shared" ref="J1027:M1028" si="150">+J1028</f>
        <v>0</v>
      </c>
      <c r="K1027" s="512">
        <f t="shared" si="150"/>
        <v>0</v>
      </c>
      <c r="L1027" s="616">
        <f t="shared" si="150"/>
        <v>0</v>
      </c>
      <c r="M1027" s="512">
        <f t="shared" si="150"/>
        <v>0</v>
      </c>
      <c r="N1027" s="412">
        <f>+M1027+L1027</f>
        <v>0</v>
      </c>
      <c r="O1027" s="412">
        <f>N1027-K1027</f>
        <v>0</v>
      </c>
      <c r="P1027" s="487">
        <v>0</v>
      </c>
      <c r="Q1027" s="647"/>
      <c r="R1027" s="422"/>
    </row>
    <row r="1028" spans="1:18" s="189" customFormat="1" ht="12.05" customHeight="1">
      <c r="A1028" s="293"/>
      <c r="B1028" s="292">
        <v>4</v>
      </c>
      <c r="C1028" s="292">
        <v>1</v>
      </c>
      <c r="D1028" s="292">
        <v>4</v>
      </c>
      <c r="E1028" s="292" t="s">
        <v>948</v>
      </c>
      <c r="F1028" s="292" t="s">
        <v>437</v>
      </c>
      <c r="G1028" s="253" t="s">
        <v>85</v>
      </c>
      <c r="H1028" s="253"/>
      <c r="I1028" s="253"/>
      <c r="J1028" s="494">
        <f t="shared" si="150"/>
        <v>0</v>
      </c>
      <c r="K1028" s="495">
        <f t="shared" si="150"/>
        <v>0</v>
      </c>
      <c r="L1028" s="496">
        <f t="shared" si="150"/>
        <v>0</v>
      </c>
      <c r="M1028" s="496">
        <f t="shared" si="150"/>
        <v>0</v>
      </c>
      <c r="N1028" s="497">
        <f>M1028+L1028</f>
        <v>0</v>
      </c>
      <c r="O1028" s="497">
        <f>N1028-K1028</f>
        <v>0</v>
      </c>
      <c r="P1028" s="498">
        <v>0</v>
      </c>
      <c r="Q1028" s="548"/>
      <c r="R1028" s="422"/>
    </row>
    <row r="1029" spans="1:18" s="189" customFormat="1" ht="12.05" customHeight="1">
      <c r="A1029" s="465"/>
      <c r="B1029" s="296"/>
      <c r="C1029" s="296"/>
      <c r="D1029" s="296"/>
      <c r="E1029" s="296"/>
      <c r="F1029" s="296"/>
      <c r="G1029" s="297" t="s">
        <v>50</v>
      </c>
      <c r="H1029" s="297"/>
      <c r="I1029" s="297" t="s">
        <v>76</v>
      </c>
      <c r="J1029" s="679"/>
      <c r="K1029" s="691">
        <f>'[55]TARGET MURNI DAN PERUBAHAN'!$E$597</f>
        <v>0</v>
      </c>
      <c r="L1029" s="691">
        <v>0</v>
      </c>
      <c r="M1029" s="691">
        <v>0</v>
      </c>
      <c r="N1029" s="352">
        <f>M1029+L1029</f>
        <v>0</v>
      </c>
      <c r="O1029" s="352">
        <f>N1029-K1029</f>
        <v>0</v>
      </c>
      <c r="P1029" s="353">
        <v>0</v>
      </c>
      <c r="Q1029" s="449"/>
      <c r="R1029" s="422"/>
    </row>
    <row r="1030" spans="1:18" s="189" customFormat="1" ht="12.05" customHeight="1">
      <c r="A1030" s="283" t="s">
        <v>404</v>
      </c>
      <c r="B1030" s="284"/>
      <c r="C1030" s="284"/>
      <c r="D1030" s="284"/>
      <c r="E1030" s="284"/>
      <c r="F1030" s="284"/>
      <c r="G1030" s="298" t="s">
        <v>399</v>
      </c>
      <c r="H1030" s="298"/>
      <c r="I1030" s="298"/>
      <c r="J1030" s="336">
        <f>+J1031</f>
        <v>0</v>
      </c>
      <c r="K1030" s="337">
        <f>+K1031</f>
        <v>0</v>
      </c>
      <c r="L1030" s="337">
        <f>+L1031</f>
        <v>0</v>
      </c>
      <c r="M1030" s="337">
        <f>+M1031</f>
        <v>0</v>
      </c>
      <c r="N1030" s="337">
        <f>M1030+L1030</f>
        <v>0</v>
      </c>
      <c r="O1030" s="337">
        <f>+N1030-K1030</f>
        <v>0</v>
      </c>
      <c r="P1030" s="338" t="e">
        <f>+N1030/K1030*100</f>
        <v>#DIV/0!</v>
      </c>
      <c r="Q1030" s="432"/>
      <c r="R1030" s="422"/>
    </row>
    <row r="1031" spans="1:18" s="189" customFormat="1" ht="12.05" customHeight="1">
      <c r="A1031" s="1111"/>
      <c r="B1031" s="707">
        <v>4</v>
      </c>
      <c r="C1031" s="707">
        <v>1</v>
      </c>
      <c r="D1031" s="707"/>
      <c r="E1031" s="707"/>
      <c r="F1031" s="707"/>
      <c r="G1031" s="288" t="s">
        <v>180</v>
      </c>
      <c r="H1031" s="288"/>
      <c r="I1031" s="288"/>
      <c r="J1031" s="342">
        <f>+J1033</f>
        <v>0</v>
      </c>
      <c r="K1031" s="343">
        <f>+K1033</f>
        <v>0</v>
      </c>
      <c r="L1031" s="343">
        <f>+L1033</f>
        <v>0</v>
      </c>
      <c r="M1031" s="343">
        <f>+M1033</f>
        <v>0</v>
      </c>
      <c r="N1031" s="343">
        <f>+M1031+L1031</f>
        <v>0</v>
      </c>
      <c r="O1031" s="343">
        <f t="shared" ref="O1031:O1037" si="151">N1031-K1031</f>
        <v>0</v>
      </c>
      <c r="P1031" s="344" t="e">
        <f>N1031/K1031*100</f>
        <v>#DIV/0!</v>
      </c>
      <c r="Q1031" s="548"/>
      <c r="R1031" s="422"/>
    </row>
    <row r="1032" spans="1:18" s="189" customFormat="1" ht="12.05" customHeight="1">
      <c r="A1032" s="1112"/>
      <c r="B1032" s="296"/>
      <c r="C1032" s="296"/>
      <c r="D1032" s="296"/>
      <c r="E1032" s="296"/>
      <c r="F1032" s="296"/>
      <c r="G1032" s="297"/>
      <c r="H1032" s="297"/>
      <c r="I1032" s="297"/>
      <c r="J1032" s="351"/>
      <c r="K1032" s="352"/>
      <c r="L1032" s="352"/>
      <c r="M1032" s="352"/>
      <c r="N1032" s="352"/>
      <c r="O1032" s="352"/>
      <c r="P1032" s="353"/>
      <c r="Q1032" s="548"/>
      <c r="R1032" s="422"/>
    </row>
    <row r="1033" spans="1:18" s="189" customFormat="1" ht="12.05" customHeight="1">
      <c r="A1033" s="1113"/>
      <c r="B1033" s="1114">
        <v>4</v>
      </c>
      <c r="C1033" s="1114">
        <v>1</v>
      </c>
      <c r="D1033" s="1114">
        <v>4</v>
      </c>
      <c r="E1033" s="1114"/>
      <c r="F1033" s="1114"/>
      <c r="G1033" s="1115" t="s">
        <v>71</v>
      </c>
      <c r="H1033" s="1115"/>
      <c r="I1033" s="1115"/>
      <c r="J1033" s="1121">
        <f>J1034+J1039</f>
        <v>0</v>
      </c>
      <c r="K1033" s="1122">
        <f>K1034+K1039+K1035</f>
        <v>0</v>
      </c>
      <c r="L1033" s="1122">
        <f>L1034+L1039+L1035</f>
        <v>0</v>
      </c>
      <c r="M1033" s="1122">
        <f>M1034+M1039+M1035</f>
        <v>0</v>
      </c>
      <c r="N1033" s="1122">
        <f>M1033+L1033</f>
        <v>0</v>
      </c>
      <c r="O1033" s="1123">
        <f t="shared" si="151"/>
        <v>0</v>
      </c>
      <c r="P1033" s="1124" t="e">
        <f>N1033/K1033*100</f>
        <v>#DIV/0!</v>
      </c>
      <c r="Q1033" s="548"/>
      <c r="R1033" s="422"/>
    </row>
    <row r="1034" spans="1:18" s="189" customFormat="1" ht="12.05" customHeight="1">
      <c r="A1034" s="1116"/>
      <c r="B1034" s="292">
        <v>4</v>
      </c>
      <c r="C1034" s="292">
        <v>1</v>
      </c>
      <c r="D1034" s="292">
        <v>4</v>
      </c>
      <c r="E1034" s="292" t="s">
        <v>444</v>
      </c>
      <c r="F1034" s="292"/>
      <c r="G1034" s="253" t="s">
        <v>222</v>
      </c>
      <c r="H1034" s="253"/>
      <c r="I1034" s="253"/>
      <c r="J1034" s="333">
        <f>+J1037</f>
        <v>0</v>
      </c>
      <c r="K1034" s="334">
        <f>+K1037</f>
        <v>0</v>
      </c>
      <c r="L1034" s="334">
        <f>SUM(L1035:L1037)</f>
        <v>0</v>
      </c>
      <c r="M1034" s="334">
        <f>SUM(M1035:M1037)</f>
        <v>0</v>
      </c>
      <c r="N1034" s="334">
        <f>SUM(N1035:N1037)</f>
        <v>0</v>
      </c>
      <c r="O1034" s="396">
        <f t="shared" si="151"/>
        <v>0</v>
      </c>
      <c r="P1034" s="344">
        <v>0</v>
      </c>
      <c r="Q1034" s="548"/>
      <c r="R1034" s="422"/>
    </row>
    <row r="1035" spans="1:18" s="189" customFormat="1" ht="12.05" customHeight="1">
      <c r="A1035" s="1116"/>
      <c r="B1035" s="292">
        <v>4</v>
      </c>
      <c r="C1035" s="292">
        <v>1</v>
      </c>
      <c r="D1035" s="292">
        <v>4</v>
      </c>
      <c r="E1035" s="292" t="s">
        <v>444</v>
      </c>
      <c r="F1035" s="292" t="s">
        <v>440</v>
      </c>
      <c r="G1035" s="909" t="s">
        <v>1018</v>
      </c>
      <c r="H1035" s="253"/>
      <c r="I1035" s="253"/>
      <c r="J1035" s="354">
        <v>0</v>
      </c>
      <c r="K1035" s="355">
        <f>'[55]TARGET MURNI DAN PERUBAHAN'!$E$602</f>
        <v>0</v>
      </c>
      <c r="L1035" s="355">
        <f>[56]PerDinas!$N$1032</f>
        <v>0</v>
      </c>
      <c r="M1035" s="355">
        <f>[55]Perdinas!$P$695</f>
        <v>0</v>
      </c>
      <c r="N1035" s="355">
        <f>M1035+L1035</f>
        <v>0</v>
      </c>
      <c r="O1035" s="355">
        <f t="shared" si="151"/>
        <v>0</v>
      </c>
      <c r="P1035" s="388"/>
      <c r="Q1035" s="548"/>
      <c r="R1035" s="422"/>
    </row>
    <row r="1036" spans="1:18" s="189" customFormat="1" ht="12.05" customHeight="1">
      <c r="A1036" s="1116"/>
      <c r="B1036" s="292">
        <v>4</v>
      </c>
      <c r="C1036" s="292">
        <v>1</v>
      </c>
      <c r="D1036" s="292">
        <v>4</v>
      </c>
      <c r="E1036" s="292" t="s">
        <v>444</v>
      </c>
      <c r="F1036" s="292" t="s">
        <v>445</v>
      </c>
      <c r="G1036" s="253" t="s">
        <v>74</v>
      </c>
      <c r="H1036" s="253"/>
      <c r="I1036" s="253"/>
      <c r="J1036" s="354">
        <v>0</v>
      </c>
      <c r="K1036" s="355">
        <v>0</v>
      </c>
      <c r="L1036" s="355">
        <v>0</v>
      </c>
      <c r="M1036" s="355">
        <f>[55]Perdinas!$P$696</f>
        <v>0</v>
      </c>
      <c r="N1036" s="355">
        <f>M1036+L1036</f>
        <v>0</v>
      </c>
      <c r="O1036" s="355">
        <f t="shared" si="151"/>
        <v>0</v>
      </c>
      <c r="P1036" s="388"/>
      <c r="Q1036" s="548"/>
      <c r="R1036" s="422"/>
    </row>
    <row r="1037" spans="1:18" s="189" customFormat="1" ht="12.05" customHeight="1">
      <c r="A1037" s="1116"/>
      <c r="B1037" s="292">
        <v>4</v>
      </c>
      <c r="C1037" s="292">
        <v>1</v>
      </c>
      <c r="D1037" s="292">
        <v>4</v>
      </c>
      <c r="E1037" s="292" t="s">
        <v>444</v>
      </c>
      <c r="F1037" s="292" t="s">
        <v>441</v>
      </c>
      <c r="G1037" s="253" t="s">
        <v>75</v>
      </c>
      <c r="H1037" s="253"/>
      <c r="I1037" s="253"/>
      <c r="J1037" s="354">
        <v>0</v>
      </c>
      <c r="K1037" s="355">
        <f>'[55]TARGET MURNI DAN PERUBAHAN'!$E$604</f>
        <v>0</v>
      </c>
      <c r="L1037" s="355">
        <f>[56]PerDinas!$N$1034</f>
        <v>0</v>
      </c>
      <c r="M1037" s="355">
        <f>[55]Perdinas!$P$697</f>
        <v>0</v>
      </c>
      <c r="N1037" s="369">
        <f>M1037+L1037</f>
        <v>0</v>
      </c>
      <c r="O1037" s="355">
        <f t="shared" si="151"/>
        <v>0</v>
      </c>
      <c r="P1037" s="388"/>
      <c r="Q1037" s="548"/>
      <c r="R1037" s="422"/>
    </row>
    <row r="1038" spans="1:18" s="189" customFormat="1" ht="12.05" customHeight="1">
      <c r="A1038" s="1116"/>
      <c r="B1038" s="292"/>
      <c r="C1038" s="292"/>
      <c r="D1038" s="292"/>
      <c r="E1038" s="292"/>
      <c r="F1038" s="292"/>
      <c r="G1038" s="253"/>
      <c r="H1038" s="253"/>
      <c r="I1038" s="253"/>
      <c r="J1038" s="354"/>
      <c r="K1038" s="355"/>
      <c r="L1038" s="355"/>
      <c r="M1038" s="355"/>
      <c r="N1038" s="355"/>
      <c r="O1038" s="355"/>
      <c r="P1038" s="388"/>
      <c r="Q1038" s="548"/>
      <c r="R1038" s="422"/>
    </row>
    <row r="1039" spans="1:18" s="189" customFormat="1" ht="12.05" customHeight="1">
      <c r="A1039" s="1117"/>
      <c r="B1039" s="292">
        <v>4</v>
      </c>
      <c r="C1039" s="292">
        <v>1</v>
      </c>
      <c r="D1039" s="292">
        <v>4</v>
      </c>
      <c r="E1039" s="292" t="s">
        <v>948</v>
      </c>
      <c r="F1039" s="292"/>
      <c r="G1039" s="410" t="s">
        <v>321</v>
      </c>
      <c r="H1039" s="410"/>
      <c r="I1039" s="410"/>
      <c r="J1039" s="494">
        <f t="shared" ref="J1039:M1040" si="152">+J1040</f>
        <v>0</v>
      </c>
      <c r="K1039" s="495">
        <f t="shared" si="152"/>
        <v>0</v>
      </c>
      <c r="L1039" s="495">
        <f t="shared" si="152"/>
        <v>0</v>
      </c>
      <c r="M1039" s="495">
        <f t="shared" si="152"/>
        <v>0</v>
      </c>
      <c r="N1039" s="396">
        <f>+M1039+L1039</f>
        <v>0</v>
      </c>
      <c r="O1039" s="396">
        <f>N1039-K1039</f>
        <v>0</v>
      </c>
      <c r="P1039" s="344">
        <v>0</v>
      </c>
      <c r="Q1039" s="548"/>
      <c r="R1039" s="422"/>
    </row>
    <row r="1040" spans="1:18" s="189" customFormat="1" ht="12.05" customHeight="1">
      <c r="A1040" s="1117"/>
      <c r="B1040" s="292">
        <v>4</v>
      </c>
      <c r="C1040" s="292">
        <v>1</v>
      </c>
      <c r="D1040" s="292">
        <v>4</v>
      </c>
      <c r="E1040" s="292" t="s">
        <v>948</v>
      </c>
      <c r="F1040" s="292" t="s">
        <v>437</v>
      </c>
      <c r="G1040" s="253" t="s">
        <v>85</v>
      </c>
      <c r="H1040" s="253"/>
      <c r="I1040" s="253"/>
      <c r="J1040" s="374">
        <f t="shared" si="152"/>
        <v>0</v>
      </c>
      <c r="K1040" s="375">
        <f t="shared" si="152"/>
        <v>0</v>
      </c>
      <c r="L1040" s="375">
        <f t="shared" si="152"/>
        <v>0</v>
      </c>
      <c r="M1040" s="375">
        <f t="shared" si="152"/>
        <v>0</v>
      </c>
      <c r="N1040" s="355">
        <f>M1040+L1040</f>
        <v>0</v>
      </c>
      <c r="O1040" s="355">
        <f>N1040-K1040</f>
        <v>0</v>
      </c>
      <c r="P1040" s="388">
        <v>0</v>
      </c>
      <c r="Q1040" s="548"/>
      <c r="R1040" s="422"/>
    </row>
    <row r="1041" spans="1:18" s="189" customFormat="1" ht="12.05" customHeight="1">
      <c r="A1041" s="1112"/>
      <c r="B1041" s="296"/>
      <c r="C1041" s="296"/>
      <c r="D1041" s="296"/>
      <c r="E1041" s="296"/>
      <c r="F1041" s="296"/>
      <c r="G1041" s="297" t="s">
        <v>50</v>
      </c>
      <c r="H1041" s="297"/>
      <c r="I1041" s="297" t="s">
        <v>76</v>
      </c>
      <c r="J1041" s="499"/>
      <c r="K1041" s="379">
        <f>'[55]TARGET MURNI DAN PERUBAHAN'!$E$605</f>
        <v>0</v>
      </c>
      <c r="L1041" s="379">
        <f>[56]PerDinas!$N$1038</f>
        <v>0</v>
      </c>
      <c r="M1041" s="379">
        <v>0</v>
      </c>
      <c r="N1041" s="500">
        <f>M1041+L1041</f>
        <v>0</v>
      </c>
      <c r="O1041" s="380">
        <f>N1041-K1041</f>
        <v>0</v>
      </c>
      <c r="P1041" s="501">
        <v>0</v>
      </c>
      <c r="Q1041" s="548"/>
      <c r="R1041" s="422"/>
    </row>
    <row r="1042" spans="1:18" s="189" customFormat="1" ht="12.05" customHeight="1">
      <c r="A1042" s="283" t="s">
        <v>406</v>
      </c>
      <c r="B1042" s="284"/>
      <c r="C1042" s="284"/>
      <c r="D1042" s="284"/>
      <c r="E1042" s="284"/>
      <c r="F1042" s="284"/>
      <c r="G1042" s="298" t="s">
        <v>923</v>
      </c>
      <c r="H1042" s="298"/>
      <c r="I1042" s="298"/>
      <c r="J1042" s="336">
        <f>+J1043</f>
        <v>0</v>
      </c>
      <c r="K1042" s="337">
        <f>+K1043</f>
        <v>0</v>
      </c>
      <c r="L1042" s="337">
        <f>+L1043</f>
        <v>1500000</v>
      </c>
      <c r="M1042" s="337">
        <f>+M1043</f>
        <v>0</v>
      </c>
      <c r="N1042" s="337">
        <f>M1042+L1042</f>
        <v>1500000</v>
      </c>
      <c r="O1042" s="337">
        <f>+N1042-K1042</f>
        <v>1500000</v>
      </c>
      <c r="P1042" s="338" t="e">
        <f>+N1042/K1042*100</f>
        <v>#DIV/0!</v>
      </c>
      <c r="Q1042" s="432"/>
      <c r="R1042" s="422"/>
    </row>
    <row r="1043" spans="1:18" s="189" customFormat="1" ht="12.05" customHeight="1">
      <c r="A1043" s="1111"/>
      <c r="B1043" s="707">
        <v>4</v>
      </c>
      <c r="C1043" s="707">
        <v>1</v>
      </c>
      <c r="D1043" s="707"/>
      <c r="E1043" s="707"/>
      <c r="F1043" s="707"/>
      <c r="G1043" s="288" t="s">
        <v>180</v>
      </c>
      <c r="H1043" s="288"/>
      <c r="I1043" s="288"/>
      <c r="J1043" s="342">
        <f>+J1045</f>
        <v>0</v>
      </c>
      <c r="K1043" s="343">
        <f>+K1045</f>
        <v>0</v>
      </c>
      <c r="L1043" s="343">
        <f>+L1045</f>
        <v>1500000</v>
      </c>
      <c r="M1043" s="343">
        <f>+M1045</f>
        <v>0</v>
      </c>
      <c r="N1043" s="343">
        <f>+M1043+L1043</f>
        <v>1500000</v>
      </c>
      <c r="O1043" s="343">
        <f t="shared" ref="O1043:O1049" si="153">N1043-K1043</f>
        <v>1500000</v>
      </c>
      <c r="P1043" s="344" t="e">
        <f>N1043/K1043*100</f>
        <v>#DIV/0!</v>
      </c>
      <c r="Q1043" s="548"/>
      <c r="R1043" s="422"/>
    </row>
    <row r="1044" spans="1:18" s="189" customFormat="1" ht="12.05" customHeight="1">
      <c r="A1044" s="1112"/>
      <c r="B1044" s="296"/>
      <c r="C1044" s="296"/>
      <c r="D1044" s="296"/>
      <c r="E1044" s="296"/>
      <c r="F1044" s="296"/>
      <c r="G1044" s="297"/>
      <c r="H1044" s="297"/>
      <c r="I1044" s="297"/>
      <c r="J1044" s="351"/>
      <c r="K1044" s="352"/>
      <c r="L1044" s="352"/>
      <c r="M1044" s="352"/>
      <c r="N1044" s="352"/>
      <c r="O1044" s="352"/>
      <c r="P1044" s="353"/>
      <c r="Q1044" s="548"/>
      <c r="R1044" s="422"/>
    </row>
    <row r="1045" spans="1:18" s="189" customFormat="1" ht="12.05" customHeight="1">
      <c r="A1045" s="1113"/>
      <c r="B1045" s="1114">
        <v>4</v>
      </c>
      <c r="C1045" s="1114">
        <v>1</v>
      </c>
      <c r="D1045" s="1114">
        <v>4</v>
      </c>
      <c r="E1045" s="1114"/>
      <c r="F1045" s="1114"/>
      <c r="G1045" s="1115" t="s">
        <v>71</v>
      </c>
      <c r="H1045" s="1115"/>
      <c r="I1045" s="1115"/>
      <c r="J1045" s="1121">
        <f>J1046+J1051</f>
        <v>0</v>
      </c>
      <c r="K1045" s="1122">
        <f>K1046+K1051</f>
        <v>0</v>
      </c>
      <c r="L1045" s="1122">
        <f>L1046+L1051</f>
        <v>1500000</v>
      </c>
      <c r="M1045" s="1122">
        <f>M1046+M1051</f>
        <v>0</v>
      </c>
      <c r="N1045" s="1122">
        <f>N1046+N1051</f>
        <v>1500000</v>
      </c>
      <c r="O1045" s="1123">
        <f t="shared" si="153"/>
        <v>1500000</v>
      </c>
      <c r="P1045" s="1124" t="e">
        <f>N1045/K1045*100</f>
        <v>#DIV/0!</v>
      </c>
      <c r="Q1045" s="548"/>
      <c r="R1045" s="422"/>
    </row>
    <row r="1046" spans="1:18" s="189" customFormat="1" ht="12.05" customHeight="1">
      <c r="A1046" s="1116"/>
      <c r="B1046" s="292">
        <v>4</v>
      </c>
      <c r="C1046" s="292">
        <v>1</v>
      </c>
      <c r="D1046" s="292">
        <v>4</v>
      </c>
      <c r="E1046" s="292" t="s">
        <v>444</v>
      </c>
      <c r="F1046" s="292"/>
      <c r="G1046" s="253" t="s">
        <v>222</v>
      </c>
      <c r="H1046" s="253"/>
      <c r="I1046" s="253"/>
      <c r="J1046" s="333">
        <f>+J1049</f>
        <v>0</v>
      </c>
      <c r="K1046" s="334">
        <f>+K1049</f>
        <v>0</v>
      </c>
      <c r="L1046" s="334">
        <f>SUM(L1047:L1049)</f>
        <v>1500000</v>
      </c>
      <c r="M1046" s="334">
        <f>SUM(M1047:M1049)</f>
        <v>0</v>
      </c>
      <c r="N1046" s="334">
        <f>SUM(N1047:N1049)</f>
        <v>1500000</v>
      </c>
      <c r="O1046" s="396">
        <f t="shared" si="153"/>
        <v>1500000</v>
      </c>
      <c r="P1046" s="344">
        <v>0</v>
      </c>
      <c r="Q1046" s="548"/>
      <c r="R1046" s="422"/>
    </row>
    <row r="1047" spans="1:18" s="189" customFormat="1" ht="12.05" customHeight="1">
      <c r="A1047" s="1116"/>
      <c r="B1047" s="292">
        <v>4</v>
      </c>
      <c r="C1047" s="292">
        <v>1</v>
      </c>
      <c r="D1047" s="292">
        <v>4</v>
      </c>
      <c r="E1047" s="292" t="s">
        <v>444</v>
      </c>
      <c r="F1047" s="292" t="s">
        <v>440</v>
      </c>
      <c r="G1047" s="253" t="s">
        <v>73</v>
      </c>
      <c r="H1047" s="253"/>
      <c r="I1047" s="253"/>
      <c r="J1047" s="354">
        <v>0</v>
      </c>
      <c r="K1047" s="355">
        <v>0</v>
      </c>
      <c r="L1047" s="360">
        <v>0</v>
      </c>
      <c r="M1047" s="355">
        <f>[55]Perdinas!$P$704</f>
        <v>0</v>
      </c>
      <c r="N1047" s="355">
        <f>M1047+L1047</f>
        <v>0</v>
      </c>
      <c r="O1047" s="355">
        <f t="shared" si="153"/>
        <v>0</v>
      </c>
      <c r="P1047" s="388"/>
      <c r="Q1047" s="548"/>
      <c r="R1047" s="422"/>
    </row>
    <row r="1048" spans="1:18" s="189" customFormat="1" ht="12.05" customHeight="1">
      <c r="A1048" s="1116"/>
      <c r="B1048" s="292">
        <v>4</v>
      </c>
      <c r="C1048" s="292">
        <v>1</v>
      </c>
      <c r="D1048" s="292">
        <v>4</v>
      </c>
      <c r="E1048" s="292" t="s">
        <v>444</v>
      </c>
      <c r="F1048" s="292" t="s">
        <v>445</v>
      </c>
      <c r="G1048" s="253" t="s">
        <v>74</v>
      </c>
      <c r="H1048" s="253"/>
      <c r="I1048" s="253"/>
      <c r="J1048" s="354">
        <v>0</v>
      </c>
      <c r="K1048" s="355">
        <v>0</v>
      </c>
      <c r="L1048" s="360">
        <v>0</v>
      </c>
      <c r="M1048" s="355">
        <f>[55]Perdinas!$P$705</f>
        <v>0</v>
      </c>
      <c r="N1048" s="355">
        <f>M1048+L1048</f>
        <v>0</v>
      </c>
      <c r="O1048" s="355">
        <f t="shared" si="153"/>
        <v>0</v>
      </c>
      <c r="P1048" s="388"/>
      <c r="Q1048" s="548"/>
      <c r="R1048" s="422"/>
    </row>
    <row r="1049" spans="1:18" s="189" customFormat="1" ht="12.05" customHeight="1">
      <c r="A1049" s="1116"/>
      <c r="B1049" s="292">
        <v>4</v>
      </c>
      <c r="C1049" s="292">
        <v>1</v>
      </c>
      <c r="D1049" s="292">
        <v>4</v>
      </c>
      <c r="E1049" s="292" t="s">
        <v>444</v>
      </c>
      <c r="F1049" s="292" t="s">
        <v>441</v>
      </c>
      <c r="G1049" s="253" t="s">
        <v>75</v>
      </c>
      <c r="H1049" s="253"/>
      <c r="I1049" s="253"/>
      <c r="J1049" s="354">
        <v>0</v>
      </c>
      <c r="K1049" s="373">
        <f>'[55]TARGET MURNI DAN PERUBAHAN'!$E$612</f>
        <v>0</v>
      </c>
      <c r="L1049" s="360">
        <f>[56]PerDinas!$N$1049</f>
        <v>1500000</v>
      </c>
      <c r="M1049" s="373">
        <f>[55]Perdinas!$P$706</f>
        <v>0</v>
      </c>
      <c r="N1049" s="369">
        <f>M1049+L1049</f>
        <v>1500000</v>
      </c>
      <c r="O1049" s="355">
        <f t="shared" si="153"/>
        <v>1500000</v>
      </c>
      <c r="P1049" s="388"/>
      <c r="Q1049" s="548"/>
      <c r="R1049" s="422"/>
    </row>
    <row r="1050" spans="1:18" s="189" customFormat="1" ht="12.05" customHeight="1">
      <c r="A1050" s="1116"/>
      <c r="B1050" s="292"/>
      <c r="C1050" s="292"/>
      <c r="D1050" s="292"/>
      <c r="E1050" s="292"/>
      <c r="F1050" s="292"/>
      <c r="G1050" s="253"/>
      <c r="H1050" s="253"/>
      <c r="I1050" s="253"/>
      <c r="J1050" s="354"/>
      <c r="K1050" s="355"/>
      <c r="L1050" s="360"/>
      <c r="M1050" s="355"/>
      <c r="N1050" s="355"/>
      <c r="O1050" s="355"/>
      <c r="P1050" s="388"/>
      <c r="Q1050" s="548"/>
      <c r="R1050" s="422"/>
    </row>
    <row r="1051" spans="1:18" s="189" customFormat="1" ht="12.05" customHeight="1">
      <c r="A1051" s="1117"/>
      <c r="B1051" s="292">
        <v>4</v>
      </c>
      <c r="C1051" s="292">
        <v>1</v>
      </c>
      <c r="D1051" s="292">
        <v>4</v>
      </c>
      <c r="E1051" s="292" t="s">
        <v>948</v>
      </c>
      <c r="F1051" s="292"/>
      <c r="G1051" s="410" t="s">
        <v>321</v>
      </c>
      <c r="H1051" s="410"/>
      <c r="I1051" s="410"/>
      <c r="J1051" s="494">
        <f t="shared" ref="J1051:M1052" si="154">+J1052</f>
        <v>0</v>
      </c>
      <c r="K1051" s="495">
        <f t="shared" si="154"/>
        <v>0</v>
      </c>
      <c r="L1051" s="513">
        <f t="shared" si="154"/>
        <v>0</v>
      </c>
      <c r="M1051" s="495">
        <f t="shared" si="154"/>
        <v>0</v>
      </c>
      <c r="N1051" s="396">
        <f>+M1051+L1051</f>
        <v>0</v>
      </c>
      <c r="O1051" s="396">
        <f>N1051-K1051</f>
        <v>0</v>
      </c>
      <c r="P1051" s="344">
        <v>0</v>
      </c>
      <c r="Q1051" s="548"/>
      <c r="R1051" s="422"/>
    </row>
    <row r="1052" spans="1:18" s="189" customFormat="1" ht="12.05" customHeight="1">
      <c r="A1052" s="1112"/>
      <c r="B1052" s="296">
        <v>4</v>
      </c>
      <c r="C1052" s="296">
        <v>1</v>
      </c>
      <c r="D1052" s="296">
        <v>4</v>
      </c>
      <c r="E1052" s="296" t="s">
        <v>948</v>
      </c>
      <c r="F1052" s="296" t="s">
        <v>437</v>
      </c>
      <c r="G1052" s="297" t="s">
        <v>85</v>
      </c>
      <c r="H1052" s="297"/>
      <c r="I1052" s="297"/>
      <c r="J1052" s="679">
        <f t="shared" si="154"/>
        <v>0</v>
      </c>
      <c r="K1052" s="691">
        <f t="shared" si="154"/>
        <v>0</v>
      </c>
      <c r="L1052" s="692">
        <f t="shared" si="154"/>
        <v>0</v>
      </c>
      <c r="M1052" s="691">
        <f t="shared" si="154"/>
        <v>0</v>
      </c>
      <c r="N1052" s="352">
        <f>M1052+L1052</f>
        <v>0</v>
      </c>
      <c r="O1052" s="352">
        <f>N1052-K1052</f>
        <v>0</v>
      </c>
      <c r="P1052" s="353">
        <v>0</v>
      </c>
      <c r="Q1052" s="548"/>
      <c r="R1052" s="422"/>
    </row>
    <row r="1053" spans="1:18" s="189" customFormat="1" ht="12.05" customHeight="1">
      <c r="A1053" s="898"/>
      <c r="B1053" s="899"/>
      <c r="C1053" s="899"/>
      <c r="D1053" s="899"/>
      <c r="E1053" s="899"/>
      <c r="F1053" s="899"/>
      <c r="G1053" s="900" t="s">
        <v>50</v>
      </c>
      <c r="H1053" s="900"/>
      <c r="I1053" s="900" t="s">
        <v>76</v>
      </c>
      <c r="J1053" s="911"/>
      <c r="K1053" s="912">
        <f>'[55]TARGET MURNI DAN PERUBAHAN'!$E$613</f>
        <v>0</v>
      </c>
      <c r="L1053" s="913">
        <f>[56]PerDinas!$N$1050</f>
        <v>0</v>
      </c>
      <c r="M1053" s="912">
        <v>0</v>
      </c>
      <c r="N1053" s="914">
        <f>M1053+L1053</f>
        <v>0</v>
      </c>
      <c r="O1053" s="914">
        <f>N1053-K1053</f>
        <v>0</v>
      </c>
      <c r="P1053" s="915">
        <v>0</v>
      </c>
      <c r="Q1053" s="1133"/>
      <c r="R1053" s="422"/>
    </row>
    <row r="1054" spans="1:18" s="189" customFormat="1" ht="12.05" customHeight="1">
      <c r="A1054" s="1118"/>
      <c r="B1054" s="1119"/>
      <c r="C1054" s="1119"/>
      <c r="D1054" s="1119"/>
      <c r="E1054" s="1119"/>
      <c r="F1054" s="1119"/>
      <c r="G1054" s="1120"/>
      <c r="J1054" s="1125"/>
      <c r="K1054" s="1126"/>
      <c r="L1054" s="1126"/>
      <c r="M1054" s="1126"/>
      <c r="N1054" s="1127"/>
      <c r="O1054" s="1127"/>
      <c r="P1054" s="1128"/>
      <c r="Q1054" s="548"/>
      <c r="R1054" s="422"/>
    </row>
    <row r="1055" spans="1:18" s="189" customFormat="1" ht="12.05" customHeight="1">
      <c r="A1055" s="283" t="s">
        <v>408</v>
      </c>
      <c r="B1055" s="284"/>
      <c r="C1055" s="284"/>
      <c r="D1055" s="284"/>
      <c r="E1055" s="284"/>
      <c r="F1055" s="284"/>
      <c r="G1055" s="298" t="s">
        <v>924</v>
      </c>
      <c r="H1055" s="298"/>
      <c r="I1055" s="298"/>
      <c r="J1055" s="336">
        <f>+J1056</f>
        <v>0</v>
      </c>
      <c r="K1055" s="337">
        <f>+K1056</f>
        <v>0</v>
      </c>
      <c r="L1055" s="337">
        <f>+L1056</f>
        <v>15104597</v>
      </c>
      <c r="M1055" s="337">
        <f>+M1056</f>
        <v>0</v>
      </c>
      <c r="N1055" s="337">
        <f>M1055+L1055</f>
        <v>15104597</v>
      </c>
      <c r="O1055" s="337">
        <f>+N1055-K1055</f>
        <v>15104597</v>
      </c>
      <c r="P1055" s="338" t="e">
        <f>+N1055/K1055*100</f>
        <v>#DIV/0!</v>
      </c>
      <c r="Q1055" s="432"/>
      <c r="R1055" s="422"/>
    </row>
    <row r="1056" spans="1:18" s="189" customFormat="1" ht="12.05" customHeight="1">
      <c r="A1056" s="1111"/>
      <c r="B1056" s="707">
        <v>4</v>
      </c>
      <c r="C1056" s="707">
        <v>1</v>
      </c>
      <c r="D1056" s="707"/>
      <c r="E1056" s="707"/>
      <c r="F1056" s="707"/>
      <c r="G1056" s="288" t="s">
        <v>180</v>
      </c>
      <c r="H1056" s="288"/>
      <c r="I1056" s="288"/>
      <c r="J1056" s="342">
        <f>+J1058</f>
        <v>0</v>
      </c>
      <c r="K1056" s="343">
        <f>+K1058</f>
        <v>0</v>
      </c>
      <c r="L1056" s="343">
        <f>+L1058</f>
        <v>15104597</v>
      </c>
      <c r="M1056" s="343">
        <f>+M1058</f>
        <v>0</v>
      </c>
      <c r="N1056" s="343">
        <f>+M1056+L1056</f>
        <v>15104597</v>
      </c>
      <c r="O1056" s="343">
        <f t="shared" ref="O1056:O1062" si="155">N1056-K1056</f>
        <v>15104597</v>
      </c>
      <c r="P1056" s="344" t="e">
        <f>N1056/K1056*100</f>
        <v>#DIV/0!</v>
      </c>
      <c r="Q1056" s="548"/>
      <c r="R1056" s="422"/>
    </row>
    <row r="1057" spans="1:18" s="189" customFormat="1" ht="12.05" customHeight="1">
      <c r="A1057" s="1112"/>
      <c r="B1057" s="296"/>
      <c r="C1057" s="296"/>
      <c r="D1057" s="296"/>
      <c r="E1057" s="296"/>
      <c r="F1057" s="296"/>
      <c r="G1057" s="297"/>
      <c r="H1057" s="297"/>
      <c r="I1057" s="297"/>
      <c r="J1057" s="351"/>
      <c r="K1057" s="352"/>
      <c r="L1057" s="352"/>
      <c r="M1057" s="352"/>
      <c r="N1057" s="352"/>
      <c r="O1057" s="352"/>
      <c r="P1057" s="353"/>
      <c r="Q1057" s="548"/>
      <c r="R1057" s="422"/>
    </row>
    <row r="1058" spans="1:18" s="189" customFormat="1" ht="12.05" customHeight="1">
      <c r="A1058" s="1113"/>
      <c r="B1058" s="1114">
        <v>4</v>
      </c>
      <c r="C1058" s="1114">
        <v>1</v>
      </c>
      <c r="D1058" s="1114">
        <v>4</v>
      </c>
      <c r="E1058" s="1114"/>
      <c r="F1058" s="1114"/>
      <c r="G1058" s="1115" t="s">
        <v>71</v>
      </c>
      <c r="H1058" s="1115"/>
      <c r="I1058" s="1115"/>
      <c r="J1058" s="1121">
        <f>J1059+J1064</f>
        <v>0</v>
      </c>
      <c r="K1058" s="1122">
        <f>K1059+K1064+K1060</f>
        <v>0</v>
      </c>
      <c r="L1058" s="1122">
        <f>L1059+L1064+L1060</f>
        <v>15104597</v>
      </c>
      <c r="M1058" s="1122">
        <f>M1059+M1064</f>
        <v>0</v>
      </c>
      <c r="N1058" s="1122">
        <f>M1058+L1058</f>
        <v>15104597</v>
      </c>
      <c r="O1058" s="1123">
        <f t="shared" si="155"/>
        <v>15104597</v>
      </c>
      <c r="P1058" s="1124" t="e">
        <f>N1058/K1058*100</f>
        <v>#DIV/0!</v>
      </c>
      <c r="Q1058" s="548"/>
      <c r="R1058" s="422"/>
    </row>
    <row r="1059" spans="1:18" s="189" customFormat="1" ht="12.05" customHeight="1">
      <c r="A1059" s="1116"/>
      <c r="B1059" s="292">
        <v>4</v>
      </c>
      <c r="C1059" s="292">
        <v>1</v>
      </c>
      <c r="D1059" s="292">
        <v>4</v>
      </c>
      <c r="E1059" s="292" t="s">
        <v>444</v>
      </c>
      <c r="F1059" s="292"/>
      <c r="G1059" s="253" t="s">
        <v>222</v>
      </c>
      <c r="H1059" s="253"/>
      <c r="I1059" s="253"/>
      <c r="J1059" s="333">
        <f>+J1062</f>
        <v>0</v>
      </c>
      <c r="K1059" s="334">
        <f>+K1062</f>
        <v>0</v>
      </c>
      <c r="L1059" s="334">
        <f>+L1062</f>
        <v>15104597</v>
      </c>
      <c r="M1059" s="334">
        <f>SUM(M1060:M1062)</f>
        <v>0</v>
      </c>
      <c r="N1059" s="334">
        <f>M1059+L1059</f>
        <v>15104597</v>
      </c>
      <c r="O1059" s="396">
        <f t="shared" si="155"/>
        <v>15104597</v>
      </c>
      <c r="P1059" s="344">
        <v>0</v>
      </c>
      <c r="Q1059" s="548"/>
      <c r="R1059" s="422"/>
    </row>
    <row r="1060" spans="1:18" s="189" customFormat="1" ht="12.05" customHeight="1">
      <c r="A1060" s="1116"/>
      <c r="B1060" s="292">
        <v>4</v>
      </c>
      <c r="C1060" s="292">
        <v>1</v>
      </c>
      <c r="D1060" s="292">
        <v>4</v>
      </c>
      <c r="E1060" s="292" t="s">
        <v>444</v>
      </c>
      <c r="F1060" s="292" t="s">
        <v>440</v>
      </c>
      <c r="G1060" s="253" t="s">
        <v>710</v>
      </c>
      <c r="H1060" s="253"/>
      <c r="I1060" s="253"/>
      <c r="J1060" s="354">
        <v>0</v>
      </c>
      <c r="K1060" s="355">
        <v>0</v>
      </c>
      <c r="L1060" s="360">
        <f>[56]PerDinas!$N$1057</f>
        <v>0</v>
      </c>
      <c r="M1060" s="355">
        <f>[55]Perdinas!$P$713</f>
        <v>0</v>
      </c>
      <c r="N1060" s="369">
        <f>M1060+L1060</f>
        <v>0</v>
      </c>
      <c r="O1060" s="355">
        <f t="shared" si="155"/>
        <v>0</v>
      </c>
      <c r="P1060" s="388"/>
      <c r="Q1060" s="548"/>
      <c r="R1060" s="422"/>
    </row>
    <row r="1061" spans="1:18" s="189" customFormat="1" ht="12.05" customHeight="1">
      <c r="A1061" s="1116"/>
      <c r="B1061" s="292">
        <v>4</v>
      </c>
      <c r="C1061" s="292">
        <v>1</v>
      </c>
      <c r="D1061" s="292">
        <v>4</v>
      </c>
      <c r="E1061" s="292" t="s">
        <v>444</v>
      </c>
      <c r="F1061" s="292" t="s">
        <v>445</v>
      </c>
      <c r="G1061" s="253" t="s">
        <v>74</v>
      </c>
      <c r="H1061" s="253"/>
      <c r="I1061" s="253"/>
      <c r="J1061" s="354">
        <v>0</v>
      </c>
      <c r="K1061" s="355">
        <v>0</v>
      </c>
      <c r="L1061" s="360">
        <v>0</v>
      </c>
      <c r="M1061" s="355">
        <f>[55]Perdinas!$P$714</f>
        <v>0</v>
      </c>
      <c r="N1061" s="355">
        <f>M1061+L1061</f>
        <v>0</v>
      </c>
      <c r="O1061" s="355">
        <f t="shared" si="155"/>
        <v>0</v>
      </c>
      <c r="P1061" s="388"/>
      <c r="Q1061" s="1134"/>
      <c r="R1061" s="422"/>
    </row>
    <row r="1062" spans="1:18" s="189" customFormat="1" ht="12.05" customHeight="1">
      <c r="A1062" s="1116"/>
      <c r="B1062" s="292">
        <v>4</v>
      </c>
      <c r="C1062" s="292">
        <v>1</v>
      </c>
      <c r="D1062" s="292">
        <v>4</v>
      </c>
      <c r="E1062" s="292" t="s">
        <v>444</v>
      </c>
      <c r="F1062" s="292" t="s">
        <v>441</v>
      </c>
      <c r="G1062" s="253" t="s">
        <v>75</v>
      </c>
      <c r="H1062" s="253"/>
      <c r="I1062" s="253"/>
      <c r="J1062" s="354">
        <v>0</v>
      </c>
      <c r="K1062" s="373">
        <f>'[55]TARGET MURNI DAN PERUBAHAN'!$E$620</f>
        <v>0</v>
      </c>
      <c r="L1062" s="360">
        <f>[56]PerDinas!$N$1059</f>
        <v>15104597</v>
      </c>
      <c r="M1062" s="373">
        <f>[55]Perdinas!$P$715</f>
        <v>0</v>
      </c>
      <c r="N1062" s="369">
        <f>M1062+L1062</f>
        <v>15104597</v>
      </c>
      <c r="O1062" s="355">
        <f t="shared" si="155"/>
        <v>15104597</v>
      </c>
      <c r="P1062" s="388"/>
      <c r="Q1062" s="548"/>
      <c r="R1062" s="545"/>
    </row>
    <row r="1063" spans="1:18" s="189" customFormat="1" ht="12.05" customHeight="1">
      <c r="A1063" s="1116"/>
      <c r="B1063" s="292"/>
      <c r="C1063" s="292"/>
      <c r="D1063" s="292"/>
      <c r="E1063" s="292"/>
      <c r="F1063" s="292"/>
      <c r="G1063" s="253"/>
      <c r="H1063" s="253"/>
      <c r="I1063" s="253"/>
      <c r="J1063" s="354"/>
      <c r="K1063" s="355"/>
      <c r="L1063" s="360"/>
      <c r="M1063" s="355"/>
      <c r="N1063" s="355"/>
      <c r="O1063" s="355"/>
      <c r="P1063" s="388"/>
      <c r="Q1063" s="548"/>
      <c r="R1063" s="422"/>
    </row>
    <row r="1064" spans="1:18" s="189" customFormat="1" ht="12.05" customHeight="1">
      <c r="A1064" s="1117"/>
      <c r="B1064" s="292">
        <v>4</v>
      </c>
      <c r="C1064" s="292">
        <v>1</v>
      </c>
      <c r="D1064" s="292">
        <v>4</v>
      </c>
      <c r="E1064" s="292" t="s">
        <v>948</v>
      </c>
      <c r="F1064" s="292"/>
      <c r="G1064" s="410" t="s">
        <v>321</v>
      </c>
      <c r="H1064" s="410"/>
      <c r="I1064" s="410"/>
      <c r="J1064" s="494">
        <f t="shared" ref="J1064:M1065" si="156">+J1065</f>
        <v>0</v>
      </c>
      <c r="K1064" s="495">
        <f t="shared" si="156"/>
        <v>0</v>
      </c>
      <c r="L1064" s="513">
        <f t="shared" si="156"/>
        <v>0</v>
      </c>
      <c r="M1064" s="495">
        <f t="shared" si="156"/>
        <v>0</v>
      </c>
      <c r="N1064" s="396">
        <f>+M1064+L1064</f>
        <v>0</v>
      </c>
      <c r="O1064" s="396">
        <f>N1064-K1064</f>
        <v>0</v>
      </c>
      <c r="P1064" s="344">
        <v>0</v>
      </c>
      <c r="Q1064" s="548"/>
      <c r="R1064" s="422"/>
    </row>
    <row r="1065" spans="1:18" s="189" customFormat="1" ht="12.05" customHeight="1">
      <c r="A1065" s="1112"/>
      <c r="B1065" s="296">
        <v>4</v>
      </c>
      <c r="C1065" s="296">
        <v>1</v>
      </c>
      <c r="D1065" s="296">
        <v>4</v>
      </c>
      <c r="E1065" s="296" t="s">
        <v>948</v>
      </c>
      <c r="F1065" s="296" t="s">
        <v>437</v>
      </c>
      <c r="G1065" s="297" t="s">
        <v>85</v>
      </c>
      <c r="H1065" s="297"/>
      <c r="I1065" s="297"/>
      <c r="J1065" s="679">
        <f t="shared" si="156"/>
        <v>0</v>
      </c>
      <c r="K1065" s="691">
        <f t="shared" si="156"/>
        <v>0</v>
      </c>
      <c r="L1065" s="692">
        <f t="shared" si="156"/>
        <v>0</v>
      </c>
      <c r="M1065" s="691">
        <f t="shared" si="156"/>
        <v>0</v>
      </c>
      <c r="N1065" s="352">
        <f>M1065+L1065</f>
        <v>0</v>
      </c>
      <c r="O1065" s="352">
        <f>N1065-K1065</f>
        <v>0</v>
      </c>
      <c r="P1065" s="353">
        <v>0</v>
      </c>
      <c r="Q1065" s="548"/>
      <c r="R1065" s="422"/>
    </row>
    <row r="1066" spans="1:18" s="189" customFormat="1" ht="12.05" customHeight="1">
      <c r="A1066" s="898"/>
      <c r="B1066" s="899"/>
      <c r="C1066" s="899"/>
      <c r="D1066" s="899"/>
      <c r="E1066" s="899"/>
      <c r="F1066" s="899"/>
      <c r="G1066" s="900" t="s">
        <v>50</v>
      </c>
      <c r="H1066" s="900"/>
      <c r="I1066" s="900" t="s">
        <v>76</v>
      </c>
      <c r="J1066" s="911"/>
      <c r="K1066" s="912">
        <f>'[55]TARGET MURNI DAN PERUBAHAN'!$E$621</f>
        <v>0</v>
      </c>
      <c r="L1066" s="912">
        <v>0</v>
      </c>
      <c r="M1066" s="912">
        <v>0</v>
      </c>
      <c r="N1066" s="914">
        <f>M1066+L1066</f>
        <v>0</v>
      </c>
      <c r="O1066" s="914">
        <f>N1066-K1066</f>
        <v>0</v>
      </c>
      <c r="P1066" s="915">
        <v>0</v>
      </c>
      <c r="Q1066" s="839"/>
      <c r="R1066" s="422"/>
    </row>
    <row r="1067" spans="1:18" s="189" customFormat="1" ht="12.05" customHeight="1">
      <c r="A1067" s="283" t="s">
        <v>410</v>
      </c>
      <c r="B1067" s="284"/>
      <c r="C1067" s="284"/>
      <c r="D1067" s="284"/>
      <c r="E1067" s="284"/>
      <c r="F1067" s="284"/>
      <c r="G1067" s="298" t="s">
        <v>1026</v>
      </c>
      <c r="H1067" s="298"/>
      <c r="I1067" s="298"/>
      <c r="J1067" s="336">
        <f>+J1068</f>
        <v>0</v>
      </c>
      <c r="K1067" s="337">
        <f>+K1068</f>
        <v>0</v>
      </c>
      <c r="L1067" s="337">
        <f>+L1068</f>
        <v>1424100</v>
      </c>
      <c r="M1067" s="337">
        <f>+M1068</f>
        <v>1663975</v>
      </c>
      <c r="N1067" s="337">
        <f>M1067+L1067</f>
        <v>3088075</v>
      </c>
      <c r="O1067" s="337">
        <f>+N1067-K1067</f>
        <v>3088075</v>
      </c>
      <c r="P1067" s="338" t="e">
        <f>+N1067/K1067*100</f>
        <v>#DIV/0!</v>
      </c>
      <c r="Q1067" s="432"/>
      <c r="R1067" s="422"/>
    </row>
    <row r="1068" spans="1:18" s="189" customFormat="1" ht="12.05" customHeight="1">
      <c r="A1068" s="1111"/>
      <c r="B1068" s="707">
        <v>4</v>
      </c>
      <c r="C1068" s="707">
        <v>1</v>
      </c>
      <c r="D1068" s="707"/>
      <c r="E1068" s="707"/>
      <c r="F1068" s="707"/>
      <c r="G1068" s="288" t="s">
        <v>180</v>
      </c>
      <c r="H1068" s="288"/>
      <c r="I1068" s="288"/>
      <c r="J1068" s="342">
        <f>+J1070</f>
        <v>0</v>
      </c>
      <c r="K1068" s="343">
        <f>+K1070</f>
        <v>0</v>
      </c>
      <c r="L1068" s="343">
        <f>+L1070</f>
        <v>1424100</v>
      </c>
      <c r="M1068" s="343">
        <f>+M1070</f>
        <v>1663975</v>
      </c>
      <c r="N1068" s="343">
        <f>+M1068+L1068</f>
        <v>3088075</v>
      </c>
      <c r="O1068" s="343">
        <f t="shared" ref="O1068:O1074" si="157">N1068-K1068</f>
        <v>3088075</v>
      </c>
      <c r="P1068" s="344" t="e">
        <f>N1068/K1068*100</f>
        <v>#DIV/0!</v>
      </c>
      <c r="Q1068" s="548"/>
      <c r="R1068" s="422"/>
    </row>
    <row r="1069" spans="1:18" s="189" customFormat="1" ht="12.05" customHeight="1">
      <c r="A1069" s="1112"/>
      <c r="B1069" s="296"/>
      <c r="C1069" s="296"/>
      <c r="D1069" s="296"/>
      <c r="E1069" s="296"/>
      <c r="F1069" s="296"/>
      <c r="G1069" s="297"/>
      <c r="H1069" s="297"/>
      <c r="I1069" s="297"/>
      <c r="J1069" s="351"/>
      <c r="K1069" s="352"/>
      <c r="L1069" s="352"/>
      <c r="M1069" s="352"/>
      <c r="N1069" s="352"/>
      <c r="O1069" s="352"/>
      <c r="P1069" s="353"/>
      <c r="Q1069" s="548"/>
      <c r="R1069" s="422"/>
    </row>
    <row r="1070" spans="1:18" s="189" customFormat="1" ht="12.05" customHeight="1">
      <c r="A1070" s="1113"/>
      <c r="B1070" s="1114">
        <v>4</v>
      </c>
      <c r="C1070" s="1114">
        <v>1</v>
      </c>
      <c r="D1070" s="1114">
        <v>4</v>
      </c>
      <c r="E1070" s="1114"/>
      <c r="F1070" s="1114"/>
      <c r="G1070" s="1115" t="s">
        <v>71</v>
      </c>
      <c r="H1070" s="1115"/>
      <c r="I1070" s="1115"/>
      <c r="J1070" s="1121">
        <f>J1071+J1076</f>
        <v>0</v>
      </c>
      <c r="K1070" s="1122">
        <f>K1071+K1076</f>
        <v>0</v>
      </c>
      <c r="L1070" s="1129">
        <f>L1071+L1076</f>
        <v>1424100</v>
      </c>
      <c r="M1070" s="1122">
        <f>M1071+M1076</f>
        <v>1663975</v>
      </c>
      <c r="N1070" s="1122">
        <f>N1071+N1076</f>
        <v>3088075</v>
      </c>
      <c r="O1070" s="1123">
        <f t="shared" si="157"/>
        <v>3088075</v>
      </c>
      <c r="P1070" s="1124" t="e">
        <f>N1070/K1070*100</f>
        <v>#DIV/0!</v>
      </c>
      <c r="Q1070" s="548"/>
      <c r="R1070" s="422"/>
    </row>
    <row r="1071" spans="1:18" s="189" customFormat="1" ht="12.05" customHeight="1">
      <c r="A1071" s="1116"/>
      <c r="B1071" s="292">
        <v>4</v>
      </c>
      <c r="C1071" s="292">
        <v>1</v>
      </c>
      <c r="D1071" s="292">
        <v>4</v>
      </c>
      <c r="E1071" s="292" t="s">
        <v>444</v>
      </c>
      <c r="F1071" s="292"/>
      <c r="G1071" s="253" t="s">
        <v>222</v>
      </c>
      <c r="H1071" s="253"/>
      <c r="I1071" s="253"/>
      <c r="J1071" s="333">
        <f>+J1074</f>
        <v>0</v>
      </c>
      <c r="K1071" s="334">
        <f>+K1074</f>
        <v>0</v>
      </c>
      <c r="L1071" s="356">
        <f>SUM(L1072:L1074)</f>
        <v>1424100</v>
      </c>
      <c r="M1071" s="334">
        <f>SUM(M1072:M1074)</f>
        <v>1663975</v>
      </c>
      <c r="N1071" s="334">
        <f>SUM(N1072:N1074)</f>
        <v>3088075</v>
      </c>
      <c r="O1071" s="396">
        <f t="shared" si="157"/>
        <v>3088075</v>
      </c>
      <c r="P1071" s="344">
        <v>0</v>
      </c>
      <c r="Q1071" s="641"/>
      <c r="R1071" s="422"/>
    </row>
    <row r="1072" spans="1:18" s="189" customFormat="1" ht="12.05" customHeight="1">
      <c r="A1072" s="1116"/>
      <c r="B1072" s="292">
        <v>4</v>
      </c>
      <c r="C1072" s="292">
        <v>1</v>
      </c>
      <c r="D1072" s="292">
        <v>4</v>
      </c>
      <c r="E1072" s="292" t="s">
        <v>444</v>
      </c>
      <c r="F1072" s="292" t="s">
        <v>440</v>
      </c>
      <c r="G1072" s="253" t="s">
        <v>73</v>
      </c>
      <c r="H1072" s="253"/>
      <c r="I1072" s="253"/>
      <c r="J1072" s="354">
        <v>0</v>
      </c>
      <c r="K1072" s="355">
        <v>0</v>
      </c>
      <c r="L1072" s="360">
        <v>0</v>
      </c>
      <c r="M1072" s="355">
        <v>0</v>
      </c>
      <c r="N1072" s="355">
        <f>M1072+L1072</f>
        <v>0</v>
      </c>
      <c r="O1072" s="355">
        <f t="shared" si="157"/>
        <v>0</v>
      </c>
      <c r="P1072" s="388"/>
      <c r="Q1072" s="548"/>
      <c r="R1072" s="422"/>
    </row>
    <row r="1073" spans="1:22" s="189" customFormat="1" ht="12.05" customHeight="1">
      <c r="A1073" s="1116"/>
      <c r="B1073" s="292">
        <v>4</v>
      </c>
      <c r="C1073" s="292">
        <v>1</v>
      </c>
      <c r="D1073" s="292">
        <v>4</v>
      </c>
      <c r="E1073" s="292" t="s">
        <v>444</v>
      </c>
      <c r="F1073" s="292" t="s">
        <v>445</v>
      </c>
      <c r="G1073" s="253" t="s">
        <v>74</v>
      </c>
      <c r="H1073" s="253"/>
      <c r="I1073" s="253"/>
      <c r="J1073" s="354">
        <v>0</v>
      </c>
      <c r="K1073" s="355">
        <v>0</v>
      </c>
      <c r="L1073" s="360">
        <v>0</v>
      </c>
      <c r="M1073" s="355">
        <v>0</v>
      </c>
      <c r="N1073" s="355">
        <f>M1073+L1073</f>
        <v>0</v>
      </c>
      <c r="O1073" s="355">
        <f t="shared" si="157"/>
        <v>0</v>
      </c>
      <c r="P1073" s="388"/>
      <c r="Q1073" s="548"/>
      <c r="R1073" s="422"/>
    </row>
    <row r="1074" spans="1:22" s="256" customFormat="1" ht="12.05" customHeight="1">
      <c r="A1074" s="1116"/>
      <c r="B1074" s="292">
        <v>4</v>
      </c>
      <c r="C1074" s="292">
        <v>1</v>
      </c>
      <c r="D1074" s="292">
        <v>4</v>
      </c>
      <c r="E1074" s="292" t="s">
        <v>444</v>
      </c>
      <c r="F1074" s="292" t="s">
        <v>441</v>
      </c>
      <c r="G1074" s="253" t="s">
        <v>75</v>
      </c>
      <c r="H1074" s="253"/>
      <c r="I1074" s="253"/>
      <c r="J1074" s="354">
        <v>0</v>
      </c>
      <c r="K1074" s="355">
        <v>0</v>
      </c>
      <c r="L1074" s="360">
        <f>'JAN1'!L948</f>
        <v>1424100</v>
      </c>
      <c r="M1074" s="360">
        <f>'JAN1'!M948</f>
        <v>1663975</v>
      </c>
      <c r="N1074" s="369">
        <f>M1074+L1074</f>
        <v>3088075</v>
      </c>
      <c r="O1074" s="355">
        <f t="shared" si="157"/>
        <v>3088075</v>
      </c>
      <c r="P1074" s="388"/>
      <c r="Q1074" s="548"/>
      <c r="R1074" s="1135"/>
    </row>
    <row r="1075" spans="1:22" s="189" customFormat="1" ht="12.05" customHeight="1">
      <c r="A1075" s="1116"/>
      <c r="B1075" s="292"/>
      <c r="C1075" s="292"/>
      <c r="D1075" s="292"/>
      <c r="E1075" s="292"/>
      <c r="F1075" s="292"/>
      <c r="G1075" s="253"/>
      <c r="H1075" s="253"/>
      <c r="I1075" s="253"/>
      <c r="J1075" s="354"/>
      <c r="K1075" s="355"/>
      <c r="L1075" s="360"/>
      <c r="M1075" s="355"/>
      <c r="N1075" s="355"/>
      <c r="O1075" s="355"/>
      <c r="P1075" s="388"/>
      <c r="Q1075" s="548"/>
      <c r="R1075" s="422"/>
    </row>
    <row r="1076" spans="1:22" s="189" customFormat="1" ht="12.05" customHeight="1">
      <c r="A1076" s="1117"/>
      <c r="B1076" s="292">
        <v>4</v>
      </c>
      <c r="C1076" s="292">
        <v>1</v>
      </c>
      <c r="D1076" s="292">
        <v>4</v>
      </c>
      <c r="E1076" s="292" t="s">
        <v>948</v>
      </c>
      <c r="F1076" s="292"/>
      <c r="G1076" s="410" t="s">
        <v>321</v>
      </c>
      <c r="H1076" s="410"/>
      <c r="I1076" s="410"/>
      <c r="J1076" s="494">
        <f t="shared" ref="J1076:M1077" si="158">+J1077</f>
        <v>0</v>
      </c>
      <c r="K1076" s="495">
        <f t="shared" si="158"/>
        <v>0</v>
      </c>
      <c r="L1076" s="513">
        <f t="shared" si="158"/>
        <v>0</v>
      </c>
      <c r="M1076" s="495">
        <f t="shared" si="158"/>
        <v>0</v>
      </c>
      <c r="N1076" s="396">
        <f>+M1076+L1076</f>
        <v>0</v>
      </c>
      <c r="O1076" s="396">
        <f>N1076-K1076</f>
        <v>0</v>
      </c>
      <c r="P1076" s="344">
        <v>0</v>
      </c>
      <c r="Q1076" s="548"/>
      <c r="R1076" s="422"/>
    </row>
    <row r="1077" spans="1:22" s="189" customFormat="1" ht="12.05" customHeight="1">
      <c r="A1077" s="1112"/>
      <c r="B1077" s="296">
        <v>4</v>
      </c>
      <c r="C1077" s="296">
        <v>1</v>
      </c>
      <c r="D1077" s="296">
        <v>4</v>
      </c>
      <c r="E1077" s="296" t="s">
        <v>948</v>
      </c>
      <c r="F1077" s="296" t="s">
        <v>437</v>
      </c>
      <c r="G1077" s="297" t="s">
        <v>85</v>
      </c>
      <c r="H1077" s="297"/>
      <c r="I1077" s="297"/>
      <c r="J1077" s="679">
        <f t="shared" si="158"/>
        <v>0</v>
      </c>
      <c r="K1077" s="691">
        <f t="shared" si="158"/>
        <v>0</v>
      </c>
      <c r="L1077" s="692">
        <f t="shared" si="158"/>
        <v>0</v>
      </c>
      <c r="M1077" s="691">
        <f t="shared" si="158"/>
        <v>0</v>
      </c>
      <c r="N1077" s="352">
        <f>M1077+L1077</f>
        <v>0</v>
      </c>
      <c r="O1077" s="352">
        <f>N1077-K1077</f>
        <v>0</v>
      </c>
      <c r="P1077" s="353">
        <v>0</v>
      </c>
      <c r="Q1077" s="548"/>
      <c r="R1077" s="422"/>
    </row>
    <row r="1078" spans="1:22" s="189" customFormat="1" ht="12.05" customHeight="1">
      <c r="A1078" s="898"/>
      <c r="B1078" s="899"/>
      <c r="C1078" s="899"/>
      <c r="D1078" s="899"/>
      <c r="E1078" s="899"/>
      <c r="F1078" s="899"/>
      <c r="G1078" s="900" t="s">
        <v>50</v>
      </c>
      <c r="H1078" s="900"/>
      <c r="I1078" s="900" t="s">
        <v>76</v>
      </c>
      <c r="J1078" s="911"/>
      <c r="K1078" s="912"/>
      <c r="L1078" s="913">
        <v>0</v>
      </c>
      <c r="M1078" s="912">
        <v>0</v>
      </c>
      <c r="N1078" s="914">
        <f>M1078+L1078</f>
        <v>0</v>
      </c>
      <c r="O1078" s="914">
        <f>N1078-K1078</f>
        <v>0</v>
      </c>
      <c r="P1078" s="915">
        <v>0</v>
      </c>
      <c r="Q1078" s="839"/>
      <c r="R1078" s="422"/>
    </row>
    <row r="1079" spans="1:22" s="189" customFormat="1" ht="12.05" customHeight="1">
      <c r="A1079" s="283" t="s">
        <v>1027</v>
      </c>
      <c r="B1079" s="284"/>
      <c r="C1079" s="284"/>
      <c r="D1079" s="284"/>
      <c r="E1079" s="284"/>
      <c r="F1079" s="284"/>
      <c r="G1079" s="298" t="s">
        <v>1028</v>
      </c>
      <c r="H1079" s="298"/>
      <c r="I1079" s="298"/>
      <c r="J1079" s="336">
        <f>+J1080</f>
        <v>0</v>
      </c>
      <c r="K1079" s="337">
        <f>+K1080</f>
        <v>0</v>
      </c>
      <c r="L1079" s="337">
        <f>+L1080</f>
        <v>1000000</v>
      </c>
      <c r="M1079" s="337">
        <f>+M1080</f>
        <v>3836250</v>
      </c>
      <c r="N1079" s="337">
        <f>M1079+L1079</f>
        <v>4836250</v>
      </c>
      <c r="O1079" s="337">
        <f>+N1079-K1079</f>
        <v>4836250</v>
      </c>
      <c r="P1079" s="338" t="e">
        <f>+N1079/K1079*100</f>
        <v>#DIV/0!</v>
      </c>
      <c r="Q1079" s="432"/>
      <c r="R1079" s="422"/>
    </row>
    <row r="1080" spans="1:22" s="189" customFormat="1" ht="12.05" customHeight="1">
      <c r="A1080" s="1111"/>
      <c r="B1080" s="707">
        <v>4</v>
      </c>
      <c r="C1080" s="707">
        <v>1</v>
      </c>
      <c r="D1080" s="707"/>
      <c r="E1080" s="707"/>
      <c r="F1080" s="707"/>
      <c r="G1080" s="288" t="s">
        <v>180</v>
      </c>
      <c r="H1080" s="288"/>
      <c r="I1080" s="288"/>
      <c r="J1080" s="342">
        <f>+J1082</f>
        <v>0</v>
      </c>
      <c r="K1080" s="343">
        <f>+K1082</f>
        <v>0</v>
      </c>
      <c r="L1080" s="343">
        <f>+L1082</f>
        <v>1000000</v>
      </c>
      <c r="M1080" s="343">
        <f>+M1082</f>
        <v>3836250</v>
      </c>
      <c r="N1080" s="343">
        <f>+M1080+L1080</f>
        <v>4836250</v>
      </c>
      <c r="O1080" s="343">
        <f t="shared" ref="O1080:O1086" si="159">N1080-K1080</f>
        <v>4836250</v>
      </c>
      <c r="P1080" s="344" t="e">
        <f>N1080/K1080*100</f>
        <v>#DIV/0!</v>
      </c>
      <c r="Q1080" s="548"/>
      <c r="R1080" s="422"/>
    </row>
    <row r="1081" spans="1:22" s="189" customFormat="1" ht="15.65">
      <c r="A1081" s="1112"/>
      <c r="B1081" s="296"/>
      <c r="C1081" s="296"/>
      <c r="D1081" s="296"/>
      <c r="E1081" s="296"/>
      <c r="F1081" s="296"/>
      <c r="G1081" s="297"/>
      <c r="H1081" s="297"/>
      <c r="I1081" s="297"/>
      <c r="J1081" s="351"/>
      <c r="K1081" s="352"/>
      <c r="L1081" s="362"/>
      <c r="M1081" s="352"/>
      <c r="N1081" s="352"/>
      <c r="O1081" s="352"/>
      <c r="P1081" s="353"/>
      <c r="Q1081" s="548"/>
      <c r="R1081" s="1136"/>
    </row>
    <row r="1082" spans="1:22" s="189" customFormat="1" ht="12.05" customHeight="1">
      <c r="A1082" s="1113"/>
      <c r="B1082" s="1114">
        <v>4</v>
      </c>
      <c r="C1082" s="1114">
        <v>1</v>
      </c>
      <c r="D1082" s="1114">
        <v>4</v>
      </c>
      <c r="E1082" s="1114"/>
      <c r="F1082" s="1114"/>
      <c r="G1082" s="1115" t="s">
        <v>71</v>
      </c>
      <c r="H1082" s="1115"/>
      <c r="I1082" s="1115"/>
      <c r="J1082" s="1121">
        <f>J1083+J1088</f>
        <v>0</v>
      </c>
      <c r="K1082" s="1122">
        <f>K1083+K1088</f>
        <v>0</v>
      </c>
      <c r="L1082" s="1129">
        <f>L1083+L1088</f>
        <v>1000000</v>
      </c>
      <c r="M1082" s="1122">
        <f>M1083+M1088</f>
        <v>3836250</v>
      </c>
      <c r="N1082" s="1122">
        <f>N1083+N1088</f>
        <v>4836250</v>
      </c>
      <c r="O1082" s="1123">
        <f t="shared" si="159"/>
        <v>4836250</v>
      </c>
      <c r="P1082" s="1124" t="e">
        <f>N1082/K1082*100</f>
        <v>#DIV/0!</v>
      </c>
      <c r="Q1082" s="548"/>
      <c r="R1082" s="422"/>
      <c r="S1082" s="1137"/>
      <c r="T1082" s="1137"/>
      <c r="U1082" s="1137"/>
    </row>
    <row r="1083" spans="1:22" s="189" customFormat="1" ht="12.05" customHeight="1">
      <c r="A1083" s="1116"/>
      <c r="B1083" s="292">
        <v>4</v>
      </c>
      <c r="C1083" s="292">
        <v>1</v>
      </c>
      <c r="D1083" s="292">
        <v>4</v>
      </c>
      <c r="E1083" s="292" t="s">
        <v>444</v>
      </c>
      <c r="F1083" s="292"/>
      <c r="G1083" s="253" t="s">
        <v>222</v>
      </c>
      <c r="H1083" s="253"/>
      <c r="I1083" s="253"/>
      <c r="J1083" s="333">
        <f>+J1086</f>
        <v>0</v>
      </c>
      <c r="K1083" s="334">
        <f>+K1086</f>
        <v>0</v>
      </c>
      <c r="L1083" s="356">
        <f>SUM(L1084:L1086)</f>
        <v>1000000</v>
      </c>
      <c r="M1083" s="334">
        <f>SUM(M1084:M1086)</f>
        <v>3836250</v>
      </c>
      <c r="N1083" s="334">
        <f>SUM(N1084:N1086)</f>
        <v>4836250</v>
      </c>
      <c r="O1083" s="396">
        <f t="shared" si="159"/>
        <v>4836250</v>
      </c>
      <c r="P1083" s="344">
        <v>0</v>
      </c>
      <c r="Q1083" s="548"/>
      <c r="R1083" s="1138"/>
      <c r="S1083" s="1139"/>
      <c r="T1083" s="1139"/>
      <c r="U1083" s="1139"/>
      <c r="V1083" s="1140"/>
    </row>
    <row r="1084" spans="1:22" s="189" customFormat="1" ht="12.05" customHeight="1">
      <c r="A1084" s="1116"/>
      <c r="B1084" s="292">
        <v>4</v>
      </c>
      <c r="C1084" s="292">
        <v>1</v>
      </c>
      <c r="D1084" s="292">
        <v>4</v>
      </c>
      <c r="E1084" s="292" t="s">
        <v>444</v>
      </c>
      <c r="F1084" s="292" t="s">
        <v>440</v>
      </c>
      <c r="G1084" s="253" t="s">
        <v>73</v>
      </c>
      <c r="H1084" s="253"/>
      <c r="I1084" s="253"/>
      <c r="J1084" s="354">
        <v>0</v>
      </c>
      <c r="K1084" s="355">
        <v>0</v>
      </c>
      <c r="L1084" s="360">
        <v>0</v>
      </c>
      <c r="M1084" s="355">
        <v>0</v>
      </c>
      <c r="N1084" s="355">
        <f>M1084+L1084</f>
        <v>0</v>
      </c>
      <c r="O1084" s="355">
        <f t="shared" si="159"/>
        <v>0</v>
      </c>
      <c r="P1084" s="388"/>
      <c r="Q1084" s="548"/>
      <c r="R1084" s="422"/>
      <c r="S1084" s="1137"/>
      <c r="T1084" s="1137"/>
      <c r="U1084" s="1137"/>
    </row>
    <row r="1085" spans="1:22" s="189" customFormat="1" ht="12.05" customHeight="1">
      <c r="A1085" s="1116"/>
      <c r="B1085" s="292">
        <v>4</v>
      </c>
      <c r="C1085" s="292">
        <v>1</v>
      </c>
      <c r="D1085" s="292">
        <v>4</v>
      </c>
      <c r="E1085" s="292" t="s">
        <v>444</v>
      </c>
      <c r="F1085" s="292" t="s">
        <v>445</v>
      </c>
      <c r="G1085" s="253" t="s">
        <v>74</v>
      </c>
      <c r="H1085" s="253"/>
      <c r="I1085" s="253"/>
      <c r="J1085" s="354">
        <v>0</v>
      </c>
      <c r="K1085" s="355">
        <v>0</v>
      </c>
      <c r="L1085" s="360">
        <v>0</v>
      </c>
      <c r="M1085" s="355">
        <v>0</v>
      </c>
      <c r="N1085" s="355">
        <f>M1085+L1085</f>
        <v>0</v>
      </c>
      <c r="O1085" s="355">
        <f t="shared" si="159"/>
        <v>0</v>
      </c>
      <c r="P1085" s="388"/>
      <c r="Q1085" s="548"/>
      <c r="R1085" s="431"/>
      <c r="S1085" s="1141"/>
      <c r="T1085" s="1141"/>
      <c r="U1085" s="1141"/>
      <c r="V1085" s="1142"/>
    </row>
    <row r="1086" spans="1:22" s="189" customFormat="1" ht="12.05" customHeight="1">
      <c r="A1086" s="1116"/>
      <c r="B1086" s="292">
        <v>4</v>
      </c>
      <c r="C1086" s="292">
        <v>1</v>
      </c>
      <c r="D1086" s="292">
        <v>4</v>
      </c>
      <c r="E1086" s="292" t="s">
        <v>444</v>
      </c>
      <c r="F1086" s="292" t="s">
        <v>441</v>
      </c>
      <c r="G1086" s="253" t="s">
        <v>75</v>
      </c>
      <c r="H1086" s="253"/>
      <c r="I1086" s="253"/>
      <c r="J1086" s="354">
        <v>0</v>
      </c>
      <c r="K1086" s="355">
        <f>'JAN1'!K960</f>
        <v>0</v>
      </c>
      <c r="L1086" s="355">
        <f>'JAN1'!L960</f>
        <v>1000000</v>
      </c>
      <c r="M1086" s="355">
        <f>'JAN1'!M960</f>
        <v>3836250</v>
      </c>
      <c r="N1086" s="369">
        <f>M1086+L1086</f>
        <v>4836250</v>
      </c>
      <c r="O1086" s="355">
        <f t="shared" si="159"/>
        <v>4836250</v>
      </c>
      <c r="P1086" s="388"/>
      <c r="Q1086" s="548"/>
      <c r="R1086" s="422"/>
      <c r="V1086" s="422"/>
    </row>
    <row r="1087" spans="1:22" s="189" customFormat="1" ht="12.05" customHeight="1">
      <c r="A1087" s="1116"/>
      <c r="B1087" s="292"/>
      <c r="C1087" s="292"/>
      <c r="D1087" s="292"/>
      <c r="E1087" s="292"/>
      <c r="F1087" s="292"/>
      <c r="G1087" s="253"/>
      <c r="H1087" s="253"/>
      <c r="I1087" s="253"/>
      <c r="J1087" s="354"/>
      <c r="K1087" s="355"/>
      <c r="L1087" s="360"/>
      <c r="M1087" s="355"/>
      <c r="N1087" s="355"/>
      <c r="O1087" s="355"/>
      <c r="P1087" s="388"/>
      <c r="Q1087" s="548"/>
      <c r="R1087" s="422"/>
    </row>
    <row r="1088" spans="1:22" s="189" customFormat="1" ht="12.05" customHeight="1">
      <c r="A1088" s="1117"/>
      <c r="B1088" s="292">
        <v>4</v>
      </c>
      <c r="C1088" s="292">
        <v>1</v>
      </c>
      <c r="D1088" s="292">
        <v>4</v>
      </c>
      <c r="E1088" s="292" t="s">
        <v>948</v>
      </c>
      <c r="F1088" s="292"/>
      <c r="G1088" s="410" t="s">
        <v>321</v>
      </c>
      <c r="H1088" s="410"/>
      <c r="I1088" s="410"/>
      <c r="J1088" s="494">
        <f t="shared" ref="J1088:M1089" si="160">+J1089</f>
        <v>0</v>
      </c>
      <c r="K1088" s="495">
        <f t="shared" si="160"/>
        <v>0</v>
      </c>
      <c r="L1088" s="513">
        <f t="shared" si="160"/>
        <v>0</v>
      </c>
      <c r="M1088" s="495">
        <f t="shared" si="160"/>
        <v>0</v>
      </c>
      <c r="N1088" s="396">
        <f>+M1088+L1088</f>
        <v>0</v>
      </c>
      <c r="O1088" s="396">
        <f>N1088-K1088</f>
        <v>0</v>
      </c>
      <c r="P1088" s="344">
        <v>0</v>
      </c>
      <c r="Q1088" s="548"/>
      <c r="R1088" s="422"/>
    </row>
    <row r="1089" spans="1:18" s="189" customFormat="1" ht="12.05" customHeight="1">
      <c r="A1089" s="1112"/>
      <c r="B1089" s="296">
        <v>4</v>
      </c>
      <c r="C1089" s="296">
        <v>1</v>
      </c>
      <c r="D1089" s="296">
        <v>4</v>
      </c>
      <c r="E1089" s="296" t="s">
        <v>948</v>
      </c>
      <c r="F1089" s="296" t="s">
        <v>437</v>
      </c>
      <c r="G1089" s="297" t="s">
        <v>85</v>
      </c>
      <c r="H1089" s="297"/>
      <c r="I1089" s="297"/>
      <c r="J1089" s="679">
        <f t="shared" si="160"/>
        <v>0</v>
      </c>
      <c r="K1089" s="691">
        <f t="shared" si="160"/>
        <v>0</v>
      </c>
      <c r="L1089" s="692">
        <f t="shared" si="160"/>
        <v>0</v>
      </c>
      <c r="M1089" s="691">
        <f t="shared" si="160"/>
        <v>0</v>
      </c>
      <c r="N1089" s="352">
        <f>M1089+L1089</f>
        <v>0</v>
      </c>
      <c r="O1089" s="352">
        <f>N1089-K1089</f>
        <v>0</v>
      </c>
      <c r="P1089" s="353">
        <v>0</v>
      </c>
      <c r="Q1089" s="548"/>
      <c r="R1089" s="422"/>
    </row>
    <row r="1090" spans="1:18" s="189" customFormat="1" ht="12.05" customHeight="1">
      <c r="A1090" s="898"/>
      <c r="B1090" s="899"/>
      <c r="C1090" s="899"/>
      <c r="D1090" s="899"/>
      <c r="E1090" s="899"/>
      <c r="F1090" s="899"/>
      <c r="G1090" s="900" t="s">
        <v>50</v>
      </c>
      <c r="H1090" s="900"/>
      <c r="I1090" s="900" t="s">
        <v>85</v>
      </c>
      <c r="J1090" s="911"/>
      <c r="K1090" s="912"/>
      <c r="L1090" s="913">
        <v>0</v>
      </c>
      <c r="M1090" s="912">
        <v>0</v>
      </c>
      <c r="N1090" s="914">
        <f>M1090+L1090</f>
        <v>0</v>
      </c>
      <c r="O1090" s="914">
        <f>N1090-K1090</f>
        <v>0</v>
      </c>
      <c r="P1090" s="915">
        <v>0</v>
      </c>
      <c r="Q1090" s="839"/>
      <c r="R1090" s="422"/>
    </row>
    <row r="1091" spans="1:18" s="257" customFormat="1" ht="12.05" customHeight="1">
      <c r="A1091" s="5887" t="s">
        <v>925</v>
      </c>
      <c r="B1091" s="5888"/>
      <c r="C1091" s="5888"/>
      <c r="D1091" s="5888"/>
      <c r="E1091" s="5888"/>
      <c r="F1091" s="5888"/>
      <c r="G1091" s="5888"/>
      <c r="H1091" s="5888"/>
      <c r="I1091" s="5889"/>
      <c r="J1091" s="1130" t="e">
        <f>J11</f>
        <v>#REF!</v>
      </c>
      <c r="K1091" s="1131">
        <f>K11</f>
        <v>426365842219</v>
      </c>
      <c r="L1091" s="1131">
        <f>L11</f>
        <v>273837434016.85999</v>
      </c>
      <c r="M1091" s="1131">
        <f>M11</f>
        <v>80687369920.480011</v>
      </c>
      <c r="N1091" s="1131">
        <f>N11</f>
        <v>354524803937.33997</v>
      </c>
      <c r="O1091" s="1131">
        <f>N1091-K1091</f>
        <v>-71841038281.660034</v>
      </c>
      <c r="P1091" s="1132">
        <f>N1091/K1091*100</f>
        <v>83.150376702841172</v>
      </c>
      <c r="Q1091" s="1143"/>
      <c r="R1091" s="1144"/>
    </row>
    <row r="1092" spans="1:18" s="189" customFormat="1" ht="12.05" customHeight="1">
      <c r="A1092" s="1145"/>
      <c r="B1092" s="1145"/>
      <c r="C1092" s="1145"/>
      <c r="D1092" s="1145"/>
      <c r="E1092" s="1145"/>
      <c r="F1092" s="1145"/>
      <c r="G1092" s="194"/>
      <c r="H1092" s="194"/>
      <c r="I1092" s="194"/>
      <c r="J1092" s="312"/>
      <c r="K1092" s="315"/>
      <c r="L1092" s="315"/>
      <c r="M1092" s="315"/>
      <c r="N1092" s="315"/>
      <c r="O1092" s="315"/>
      <c r="P1092" s="194"/>
      <c r="Q1092" s="194"/>
      <c r="R1092" s="422"/>
    </row>
    <row r="1093" spans="1:18" s="189" customFormat="1" ht="12.05" customHeight="1">
      <c r="A1093" s="1146" t="s">
        <v>658</v>
      </c>
      <c r="B1093" s="194"/>
      <c r="C1093" s="194"/>
      <c r="D1093" s="226"/>
      <c r="E1093" s="226"/>
      <c r="F1093" s="226"/>
      <c r="G1093" s="226"/>
      <c r="H1093" s="226"/>
      <c r="I1093" s="226"/>
      <c r="J1093" s="1148"/>
      <c r="K1093" s="1316" t="s">
        <v>660</v>
      </c>
      <c r="L1093" s="1149" t="e">
        <f>NA()</f>
        <v>#N/A</v>
      </c>
      <c r="M1093" s="315"/>
      <c r="N1093" s="1150"/>
      <c r="O1093" s="316" t="str">
        <f>'JAN1'!O967</f>
        <v>Mataram,        Desember  2016</v>
      </c>
      <c r="P1093" s="194"/>
      <c r="Q1093" s="194"/>
      <c r="R1093" s="422"/>
    </row>
    <row r="1094" spans="1:18" s="189" customFormat="1" ht="12.05" customHeight="1">
      <c r="A1094" s="194"/>
      <c r="B1094" s="194" t="s">
        <v>659</v>
      </c>
      <c r="C1094" s="194"/>
      <c r="D1094" s="226"/>
      <c r="E1094" s="226"/>
      <c r="F1094" s="226"/>
      <c r="G1094" s="226"/>
      <c r="H1094" s="226"/>
      <c r="I1094" s="226"/>
      <c r="J1094" s="1148"/>
      <c r="K1094" s="1316" t="s">
        <v>927</v>
      </c>
      <c r="L1094" s="315"/>
      <c r="M1094" s="315"/>
      <c r="N1094" s="315"/>
      <c r="O1094" s="313" t="s">
        <v>928</v>
      </c>
      <c r="P1094" s="194"/>
      <c r="Q1094" s="194"/>
      <c r="R1094" s="422"/>
    </row>
    <row r="1095" spans="1:18" s="189" customFormat="1" ht="12.05" customHeight="1">
      <c r="A1095" s="194"/>
      <c r="B1095" s="194" t="s">
        <v>662</v>
      </c>
      <c r="C1095" s="194"/>
      <c r="D1095" s="226"/>
      <c r="E1095" s="226"/>
      <c r="F1095" s="226"/>
      <c r="G1095" s="226"/>
      <c r="H1095" s="226"/>
      <c r="I1095" s="226"/>
      <c r="J1095" s="1148"/>
      <c r="K1095" s="1316" t="s">
        <v>929</v>
      </c>
      <c r="L1095" s="315"/>
      <c r="M1095" s="1151"/>
      <c r="N1095" s="315"/>
      <c r="O1095" s="313"/>
      <c r="P1095" s="194"/>
      <c r="Q1095" s="194"/>
      <c r="R1095" s="422"/>
    </row>
    <row r="1096" spans="1:18" s="189" customFormat="1" ht="12.05" customHeight="1">
      <c r="A1096" s="194"/>
      <c r="B1096" s="194" t="s">
        <v>664</v>
      </c>
      <c r="C1096" s="194"/>
      <c r="D1096" s="226"/>
      <c r="E1096" s="226"/>
      <c r="F1096" s="226"/>
      <c r="G1096" s="226"/>
      <c r="H1096" s="226"/>
      <c r="I1096" s="226"/>
      <c r="J1096" s="1148"/>
      <c r="K1096" s="1316"/>
      <c r="L1096" s="315"/>
      <c r="M1096" s="1151"/>
      <c r="N1096" s="315"/>
      <c r="O1096" s="313"/>
      <c r="P1096" s="194"/>
      <c r="Q1096" s="194"/>
      <c r="R1096" s="422"/>
    </row>
    <row r="1097" spans="1:18" s="189" customFormat="1" ht="12.05" customHeight="1">
      <c r="A1097" s="194"/>
      <c r="B1097" s="194"/>
      <c r="C1097" s="194"/>
      <c r="D1097" s="226"/>
      <c r="E1097" s="226"/>
      <c r="F1097" s="226"/>
      <c r="G1097" s="226"/>
      <c r="H1097" s="226"/>
      <c r="I1097" s="226"/>
      <c r="J1097" s="1148"/>
      <c r="K1097" s="1316"/>
      <c r="L1097" s="315"/>
      <c r="M1097" s="1151"/>
      <c r="N1097" s="315"/>
      <c r="O1097" s="313"/>
      <c r="P1097" s="194"/>
      <c r="Q1097" s="194"/>
      <c r="R1097" s="422"/>
    </row>
    <row r="1098" spans="1:18" s="189" customFormat="1" ht="12.05" customHeight="1">
      <c r="A1098" s="194"/>
      <c r="B1098" s="194"/>
      <c r="C1098" s="194"/>
      <c r="D1098" s="226"/>
      <c r="E1098" s="226"/>
      <c r="F1098" s="226"/>
      <c r="G1098" s="226"/>
      <c r="H1098" s="226"/>
      <c r="I1098" s="226"/>
      <c r="J1098" s="1148"/>
      <c r="K1098" s="1316"/>
      <c r="L1098" s="315"/>
      <c r="M1098" s="1152"/>
      <c r="N1098" s="315"/>
      <c r="O1098" s="313"/>
      <c r="P1098" s="194"/>
      <c r="Q1098" s="194"/>
      <c r="R1098" s="422"/>
    </row>
    <row r="1099" spans="1:18" s="189" customFormat="1" ht="12.05" customHeight="1">
      <c r="A1099" s="194"/>
      <c r="B1099" s="194"/>
      <c r="C1099" s="194"/>
      <c r="D1099" s="226"/>
      <c r="E1099" s="226"/>
      <c r="F1099" s="226"/>
      <c r="G1099" s="226"/>
      <c r="H1099" s="226"/>
      <c r="I1099" s="226"/>
      <c r="J1099" s="1148"/>
      <c r="K1099" s="1317" t="s">
        <v>930</v>
      </c>
      <c r="L1099" s="315"/>
      <c r="M1099" s="1152"/>
      <c r="N1099" s="315"/>
      <c r="O1099" s="1154" t="s">
        <v>1030</v>
      </c>
      <c r="P1099" s="194"/>
      <c r="Q1099" s="194"/>
      <c r="R1099" s="422"/>
    </row>
    <row r="1100" spans="1:18" s="189" customFormat="1" ht="12.05" customHeight="1">
      <c r="A1100" s="194"/>
      <c r="B1100" s="194"/>
      <c r="C1100" s="194"/>
      <c r="D1100" s="194"/>
      <c r="E1100" s="194"/>
      <c r="F1100" s="194"/>
      <c r="G1100" s="194"/>
      <c r="H1100" s="194"/>
      <c r="I1100" s="1155"/>
      <c r="J1100" s="312"/>
      <c r="K1100" s="1316" t="s">
        <v>932</v>
      </c>
      <c r="L1100" s="315"/>
      <c r="M1100" s="315"/>
      <c r="N1100" s="315"/>
      <c r="O1100" s="226" t="s">
        <v>1032</v>
      </c>
      <c r="P1100" s="194"/>
      <c r="Q1100" s="194"/>
      <c r="R1100" s="422"/>
    </row>
  </sheetData>
  <sheetProtection selectLockedCells="1" selectUnlockedCells="1"/>
  <autoFilter ref="I1:O1100"/>
  <mergeCells count="23">
    <mergeCell ref="P5:P6"/>
    <mergeCell ref="Q5:Q6"/>
    <mergeCell ref="Q656:Q657"/>
    <mergeCell ref="Q1024:Q1025"/>
    <mergeCell ref="R321:S325"/>
    <mergeCell ref="R139:S139"/>
    <mergeCell ref="G706:I706"/>
    <mergeCell ref="G729:I729"/>
    <mergeCell ref="A1091:I1091"/>
    <mergeCell ref="J5:J6"/>
    <mergeCell ref="K5:K6"/>
    <mergeCell ref="B5:F6"/>
    <mergeCell ref="G5:I6"/>
    <mergeCell ref="G139:I139"/>
    <mergeCell ref="H423:I423"/>
    <mergeCell ref="G658:I658"/>
    <mergeCell ref="H663:I663"/>
    <mergeCell ref="E2:M2"/>
    <mergeCell ref="E3:L3"/>
    <mergeCell ref="A4:H4"/>
    <mergeCell ref="L5:N5"/>
    <mergeCell ref="B7:F7"/>
    <mergeCell ref="G7:I7"/>
  </mergeCells>
  <pageMargins left="0.22986111111111099" right="0.196527777777778" top="0.156944444444444" bottom="0.23611111111111099" header="0.39305555555555599" footer="0.156944444444444"/>
  <pageSetup paperSize="128" scale="76" firstPageNumber="0" orientation="landscape" useFirstPageNumber="1" r:id="rId1"/>
  <headerFooter alignWithMargins="0">
    <oddFooter>&amp;C&amp;7&amp;K02-049&amp;F&amp;D&amp;T&amp;R&amp;8Halaman........&amp;P          .................</oddFooter>
  </headerFooter>
  <rowBreaks count="1" manualBreakCount="1">
    <brk id="301" max="16383" man="1"/>
  </rowBreak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>
    <tabColor indexed="12"/>
  </sheetPr>
  <dimension ref="A1:V1355"/>
  <sheetViews>
    <sheetView view="pageBreakPreview" topLeftCell="A2" zoomScale="80" zoomScaleNormal="90" zoomScaleSheetLayoutView="80" workbookViewId="0">
      <pane ySplit="1315" activePane="bottomLeft"/>
      <selection pane="bottomLeft" activeCell="L21" sqref="L21"/>
    </sheetView>
  </sheetViews>
  <sheetFormatPr defaultColWidth="9.109375" defaultRowHeight="13.15"/>
  <cols>
    <col min="1" max="1" width="4.109375" style="258" customWidth="1"/>
    <col min="2" max="4" width="2.6640625" style="258" customWidth="1"/>
    <col min="5" max="6" width="2.88671875" style="258" customWidth="1"/>
    <col min="7" max="7" width="3.5546875" style="259" customWidth="1"/>
    <col min="8" max="8" width="2.88671875" style="259" customWidth="1"/>
    <col min="9" max="9" width="42.33203125" style="259" customWidth="1"/>
    <col min="10" max="10" width="16.6640625" style="260" hidden="1" customWidth="1"/>
    <col min="11" max="11" width="24.6640625" style="189" customWidth="1"/>
    <col min="12" max="12" width="20.109375" style="259" customWidth="1"/>
    <col min="13" max="13" width="19.109375" style="259" customWidth="1"/>
    <col min="14" max="14" width="20.109375" style="259" customWidth="1"/>
    <col min="15" max="15" width="25.109375" style="259" customWidth="1"/>
    <col min="16" max="16" width="12.44140625" style="260" customWidth="1"/>
    <col min="17" max="17" width="26" style="259" customWidth="1"/>
    <col min="18" max="18" width="19.33203125" style="261" customWidth="1"/>
    <col min="19" max="21" width="18.88671875" style="259" customWidth="1"/>
    <col min="22" max="22" width="17.5546875" style="259" customWidth="1"/>
    <col min="23" max="16384" width="9.109375" style="259"/>
  </cols>
  <sheetData>
    <row r="1" spans="1:19" ht="12.7" customHeight="1">
      <c r="A1" s="262"/>
      <c r="B1" s="262"/>
      <c r="C1" s="262"/>
      <c r="D1" s="262"/>
      <c r="E1" s="262"/>
      <c r="F1" s="262"/>
      <c r="G1" s="263"/>
      <c r="H1" s="263"/>
      <c r="I1" s="263"/>
      <c r="J1" s="312"/>
      <c r="K1" s="194"/>
      <c r="L1" s="263"/>
      <c r="M1" s="263"/>
      <c r="N1" s="263"/>
      <c r="O1" s="263"/>
      <c r="P1" s="263"/>
      <c r="Q1" s="416"/>
    </row>
    <row r="2" spans="1:19" ht="15.05" customHeight="1">
      <c r="A2" s="264" t="s">
        <v>934</v>
      </c>
      <c r="B2" s="265"/>
      <c r="C2" s="264"/>
      <c r="D2" s="265"/>
      <c r="E2" s="5857" t="s">
        <v>1033</v>
      </c>
      <c r="F2" s="5857"/>
      <c r="G2" s="5857"/>
      <c r="H2" s="5857"/>
      <c r="I2" s="5857"/>
      <c r="J2" s="5857"/>
      <c r="K2" s="5857"/>
      <c r="L2" s="5857"/>
      <c r="M2" s="5857"/>
      <c r="N2" s="313"/>
      <c r="O2" s="313"/>
      <c r="P2" s="226"/>
      <c r="Q2" s="226"/>
    </row>
    <row r="3" spans="1:19" ht="14.25" customHeight="1">
      <c r="A3" s="264"/>
      <c r="B3" s="265"/>
      <c r="C3" s="265"/>
      <c r="D3" s="265"/>
      <c r="E3" s="5857" t="s">
        <v>1051</v>
      </c>
      <c r="F3" s="5857"/>
      <c r="G3" s="5857"/>
      <c r="H3" s="5857"/>
      <c r="I3" s="5857"/>
      <c r="J3" s="5857"/>
      <c r="K3" s="5857"/>
      <c r="L3" s="5857"/>
      <c r="M3" s="313"/>
      <c r="N3" s="313"/>
      <c r="O3" s="313"/>
      <c r="P3" s="226"/>
      <c r="Q3" s="226"/>
    </row>
    <row r="4" spans="1:19" ht="15.85" customHeight="1">
      <c r="A4" s="5858"/>
      <c r="B4" s="5858"/>
      <c r="C4" s="5858"/>
      <c r="D4" s="5858"/>
      <c r="E4" s="5858"/>
      <c r="F4" s="5858"/>
      <c r="G4" s="5858"/>
      <c r="H4" s="5858"/>
      <c r="I4" s="194"/>
      <c r="J4" s="314"/>
      <c r="K4" s="315"/>
      <c r="L4" s="316"/>
      <c r="M4" s="315"/>
      <c r="N4" s="315"/>
      <c r="O4" s="315"/>
      <c r="P4" s="194"/>
      <c r="Q4" s="194"/>
    </row>
    <row r="5" spans="1:19" s="241" customFormat="1">
      <c r="A5" s="266" t="s">
        <v>937</v>
      </c>
      <c r="B5" s="5883" t="s">
        <v>938</v>
      </c>
      <c r="C5" s="5883"/>
      <c r="D5" s="5883"/>
      <c r="E5" s="5883"/>
      <c r="F5" s="5883"/>
      <c r="G5" s="5855" t="s">
        <v>56</v>
      </c>
      <c r="H5" s="5884"/>
      <c r="I5" s="5884"/>
      <c r="J5" s="5876" t="s">
        <v>939</v>
      </c>
      <c r="K5" s="5878" t="s">
        <v>1052</v>
      </c>
      <c r="L5" s="5859" t="s">
        <v>5</v>
      </c>
      <c r="M5" s="5859"/>
      <c r="N5" s="5859"/>
      <c r="O5" s="318" t="s">
        <v>941</v>
      </c>
      <c r="P5" s="5854" t="s">
        <v>6</v>
      </c>
      <c r="Q5" s="5851" t="s">
        <v>7</v>
      </c>
      <c r="R5" s="417"/>
    </row>
    <row r="6" spans="1:19" s="241" customFormat="1" ht="21" customHeight="1">
      <c r="A6" s="267" t="s">
        <v>942</v>
      </c>
      <c r="B6" s="5883"/>
      <c r="C6" s="5883"/>
      <c r="D6" s="5883"/>
      <c r="E6" s="5883"/>
      <c r="F6" s="5883"/>
      <c r="G6" s="5885"/>
      <c r="H6" s="5886"/>
      <c r="I6" s="5886"/>
      <c r="J6" s="5877"/>
      <c r="K6" s="5879"/>
      <c r="L6" s="317" t="s">
        <v>479</v>
      </c>
      <c r="M6" s="317" t="s">
        <v>433</v>
      </c>
      <c r="N6" s="317" t="s">
        <v>434</v>
      </c>
      <c r="O6" s="319" t="s">
        <v>430</v>
      </c>
      <c r="P6" s="5854"/>
      <c r="Q6" s="5851"/>
      <c r="R6" s="418"/>
    </row>
    <row r="7" spans="1:19" s="242" customFormat="1">
      <c r="A7" s="268" t="s">
        <v>58</v>
      </c>
      <c r="B7" s="5860" t="s">
        <v>460</v>
      </c>
      <c r="C7" s="5860"/>
      <c r="D7" s="5860"/>
      <c r="E7" s="5860"/>
      <c r="F7" s="5860"/>
      <c r="G7" s="5861" t="s">
        <v>457</v>
      </c>
      <c r="H7" s="5862"/>
      <c r="I7" s="5862"/>
      <c r="J7" s="320"/>
      <c r="K7" s="320" t="s">
        <v>443</v>
      </c>
      <c r="L7" s="321" t="s">
        <v>482</v>
      </c>
      <c r="M7" s="321" t="s">
        <v>483</v>
      </c>
      <c r="N7" s="321" t="s">
        <v>484</v>
      </c>
      <c r="O7" s="322" t="s">
        <v>485</v>
      </c>
      <c r="P7" s="269" t="s">
        <v>486</v>
      </c>
      <c r="Q7" s="419" t="s">
        <v>444</v>
      </c>
      <c r="R7" s="420"/>
    </row>
    <row r="8" spans="1:19" s="189" customFormat="1" ht="12.05" customHeight="1">
      <c r="A8" s="270"/>
      <c r="B8" s="271"/>
      <c r="C8" s="272"/>
      <c r="D8" s="272"/>
      <c r="E8" s="272"/>
      <c r="F8" s="273"/>
      <c r="G8" s="274"/>
      <c r="H8" s="275"/>
      <c r="I8" s="275"/>
      <c r="J8" s="323"/>
      <c r="K8" s="324"/>
      <c r="L8" s="324"/>
      <c r="M8" s="324"/>
      <c r="N8" s="324"/>
      <c r="O8" s="324"/>
      <c r="P8" s="325"/>
      <c r="Q8" s="421"/>
      <c r="R8" s="422"/>
    </row>
    <row r="9" spans="1:19" s="243" customFormat="1" ht="12.05" customHeight="1">
      <c r="A9" s="276"/>
      <c r="B9" s="277" t="s">
        <v>483</v>
      </c>
      <c r="C9" s="277" t="s">
        <v>58</v>
      </c>
      <c r="D9" s="277" t="s">
        <v>58</v>
      </c>
      <c r="E9" s="277" t="s">
        <v>445</v>
      </c>
      <c r="F9" s="277" t="s">
        <v>440</v>
      </c>
      <c r="G9" s="278" t="s">
        <v>59</v>
      </c>
      <c r="H9" s="278"/>
      <c r="I9" s="278"/>
      <c r="J9" s="326" t="e">
        <f>J11</f>
        <v>#REF!</v>
      </c>
      <c r="K9" s="327">
        <f>K11</f>
        <v>424394908278.44</v>
      </c>
      <c r="L9" s="327" t="e">
        <f>L11</f>
        <v>#REF!</v>
      </c>
      <c r="M9" s="327" t="e">
        <f>M11</f>
        <v>#REF!</v>
      </c>
      <c r="N9" s="327" t="e">
        <f>M9+L9</f>
        <v>#REF!</v>
      </c>
      <c r="O9" s="327" t="e">
        <f>+N9-K9</f>
        <v>#REF!</v>
      </c>
      <c r="P9" s="328" t="e">
        <f>+N9/K9*100</f>
        <v>#REF!</v>
      </c>
      <c r="Q9" s="423"/>
      <c r="R9" s="424"/>
    </row>
    <row r="10" spans="1:19" s="189" customFormat="1" ht="12.05" customHeight="1">
      <c r="A10" s="279"/>
      <c r="B10" s="280"/>
      <c r="C10" s="280"/>
      <c r="D10" s="280"/>
      <c r="E10" s="280"/>
      <c r="F10" s="280"/>
      <c r="G10" s="190"/>
      <c r="H10" s="190"/>
      <c r="I10" s="190"/>
      <c r="J10" s="329"/>
      <c r="K10" s="330"/>
      <c r="L10" s="330"/>
      <c r="M10" s="330"/>
      <c r="N10" s="330"/>
      <c r="O10" s="330"/>
      <c r="P10" s="331"/>
      <c r="Q10" s="425"/>
      <c r="R10" s="426"/>
      <c r="S10" s="427"/>
    </row>
    <row r="11" spans="1:19" s="243" customFormat="1" ht="12.05" customHeight="1">
      <c r="A11" s="281"/>
      <c r="B11" s="282"/>
      <c r="C11" s="282"/>
      <c r="D11" s="282"/>
      <c r="E11" s="282"/>
      <c r="F11" s="282"/>
      <c r="G11" s="278" t="s">
        <v>60</v>
      </c>
      <c r="H11" s="278"/>
      <c r="I11" s="278"/>
      <c r="J11" s="326" t="e">
        <f>SUM(J13+J36+J157+J174+J190+J214+J232+J260+J273+J288+J310+J338+J363+J390+J403+J520+J539+J586+J599+J673+J693+J709+J725+J757+J786+J818+J839+J863+J902+J925+J939+J951+J968+J980+J993)</f>
        <v>#REF!</v>
      </c>
      <c r="K11" s="327">
        <f>SUM(K13+K36+K157+K174+K190+K214+K232+K260+K273+K288+K310+K338+K363+K390+K520+K539+K586+K599+K673+K693+K709+K725+K757+K786+K818+K839+K863+K902+K925+K939+K951+K968+K980+K993+K1005+K1017+K583+K405+K463+K475+K486+K496+K509)</f>
        <v>424394908278.44</v>
      </c>
      <c r="L11" s="327" t="e">
        <f>SUM(L13+L36+L157+L174+L190+L214+L232+L260+L273+L288+L310+L338+L363+L390+L520+L539+L586+L599+L673+L693+L709+L725+L757+L786+L818+L839+L863+L902+L925+L939+L951+L968+L980+L993+L1005+L1017+L583+L405+L463+L475+L486+L496+L509)</f>
        <v>#REF!</v>
      </c>
      <c r="M11" s="327" t="e">
        <f>SUM(M13+M36+M157+M174+M190+M214+M232+M260+M273+M288+M310+M338+M363+M390+M520+M539+M586+M599+M673+M693+M709+M725+M757+M786+M818+M839+M863+M902+M925+M939+M951+M968+M980+M993+M1005+M1017+M583+M405+M463+M475+M486+M496+M509)</f>
        <v>#REF!</v>
      </c>
      <c r="N11" s="327" t="e">
        <f>SUM(N13+N36+N157+N174+N190+N214+N232+N260+N273+N288+N310+N338+N363+N390+N520+N539+N586+N599+N673+N693+N709+N725+N757+N786+N818+N839+N863+N902+N925+N939+N951+N968+N980+N993+N1005+N1017+N583+N405+N463+N475+N486+N496+N509)</f>
        <v>#REF!</v>
      </c>
      <c r="O11" s="327" t="e">
        <f>+N11-K11</f>
        <v>#REF!</v>
      </c>
      <c r="P11" s="332" t="e">
        <f>+N11/K11*100</f>
        <v>#REF!</v>
      </c>
      <c r="Q11" s="423"/>
      <c r="R11" s="428"/>
      <c r="S11" s="429"/>
    </row>
    <row r="12" spans="1:19" s="189" customFormat="1" ht="12.05" customHeight="1">
      <c r="A12" s="279"/>
      <c r="B12" s="280"/>
      <c r="C12" s="280"/>
      <c r="D12" s="280"/>
      <c r="E12" s="280"/>
      <c r="F12" s="280"/>
      <c r="G12" s="190"/>
      <c r="H12" s="190"/>
      <c r="I12" s="190"/>
      <c r="J12" s="333"/>
      <c r="K12" s="334"/>
      <c r="L12" s="334"/>
      <c r="M12" s="334"/>
      <c r="N12" s="334"/>
      <c r="O12" s="334"/>
      <c r="P12" s="335"/>
      <c r="Q12" s="430"/>
      <c r="R12" s="431"/>
    </row>
    <row r="13" spans="1:19" s="244" customFormat="1" ht="12.05" customHeight="1">
      <c r="A13" s="283" t="s">
        <v>61</v>
      </c>
      <c r="B13" s="284" t="s">
        <v>58</v>
      </c>
      <c r="C13" s="284" t="s">
        <v>437</v>
      </c>
      <c r="D13" s="284" t="s">
        <v>437</v>
      </c>
      <c r="E13" s="284"/>
      <c r="F13" s="284"/>
      <c r="G13" s="285" t="s">
        <v>707</v>
      </c>
      <c r="H13" s="285"/>
      <c r="I13" s="285"/>
      <c r="J13" s="336">
        <f>+J15</f>
        <v>83320000</v>
      </c>
      <c r="K13" s="337">
        <f>+K15</f>
        <v>69750000</v>
      </c>
      <c r="L13" s="337">
        <f>+L15</f>
        <v>85943400</v>
      </c>
      <c r="M13" s="337">
        <f>+M15</f>
        <v>6616275</v>
      </c>
      <c r="N13" s="337">
        <f>+N15</f>
        <v>92559675</v>
      </c>
      <c r="O13" s="337">
        <f>+N13-K13</f>
        <v>22809675</v>
      </c>
      <c r="P13" s="338">
        <f>+N13/K13*100</f>
        <v>132.70204301075267</v>
      </c>
      <c r="Q13" s="432"/>
      <c r="R13" s="433"/>
      <c r="S13" s="434"/>
    </row>
    <row r="14" spans="1:19" s="189" customFormat="1" ht="12.05" customHeight="1">
      <c r="A14" s="286"/>
      <c r="B14" s="287"/>
      <c r="C14" s="287"/>
      <c r="D14" s="287"/>
      <c r="E14" s="287"/>
      <c r="F14" s="287"/>
      <c r="G14" s="288"/>
      <c r="H14" s="288"/>
      <c r="I14" s="288"/>
      <c r="J14" s="339"/>
      <c r="K14" s="340"/>
      <c r="L14" s="340"/>
      <c r="M14" s="340"/>
      <c r="N14" s="340"/>
      <c r="O14" s="340"/>
      <c r="P14" s="341"/>
      <c r="Q14" s="435"/>
      <c r="R14" s="431"/>
      <c r="S14" s="436"/>
    </row>
    <row r="15" spans="1:19" s="189" customFormat="1" ht="12.05" customHeight="1">
      <c r="A15" s="289"/>
      <c r="B15" s="290">
        <v>4</v>
      </c>
      <c r="C15" s="290">
        <v>1</v>
      </c>
      <c r="D15" s="290"/>
      <c r="E15" s="290"/>
      <c r="F15" s="290"/>
      <c r="G15" s="291" t="s">
        <v>180</v>
      </c>
      <c r="H15" s="291"/>
      <c r="I15" s="291"/>
      <c r="J15" s="342">
        <f>+J17+J24</f>
        <v>83320000</v>
      </c>
      <c r="K15" s="343">
        <f>+K17+K24</f>
        <v>69750000</v>
      </c>
      <c r="L15" s="343">
        <f>+L17+L24</f>
        <v>85943400</v>
      </c>
      <c r="M15" s="343">
        <f>+M17+M24</f>
        <v>6616275</v>
      </c>
      <c r="N15" s="343">
        <f>+N17+N24</f>
        <v>92559675</v>
      </c>
      <c r="O15" s="343">
        <f t="shared" ref="O15:O22" si="0">N15-K15</f>
        <v>22809675</v>
      </c>
      <c r="P15" s="344">
        <f t="shared" ref="P15:P22" si="1">N15/K15*100</f>
        <v>132.70204301075267</v>
      </c>
      <c r="Q15" s="437"/>
      <c r="R15" s="431"/>
    </row>
    <row r="16" spans="1:19" s="189" customFormat="1" ht="12.05" customHeight="1">
      <c r="A16" s="289"/>
      <c r="B16" s="292"/>
      <c r="C16" s="292"/>
      <c r="D16" s="292"/>
      <c r="E16" s="292"/>
      <c r="F16" s="292"/>
      <c r="G16" s="253"/>
      <c r="H16" s="253"/>
      <c r="I16" s="291"/>
      <c r="J16" s="345"/>
      <c r="K16" s="346"/>
      <c r="L16" s="346"/>
      <c r="M16" s="346"/>
      <c r="N16" s="346"/>
      <c r="O16" s="346"/>
      <c r="P16" s="347"/>
      <c r="Q16" s="438"/>
      <c r="R16" s="422"/>
    </row>
    <row r="17" spans="1:18" s="189" customFormat="1" ht="12.05" customHeight="1">
      <c r="A17" s="289"/>
      <c r="B17" s="290">
        <v>4</v>
      </c>
      <c r="C17" s="290">
        <v>1</v>
      </c>
      <c r="D17" s="290">
        <v>2</v>
      </c>
      <c r="E17" s="290"/>
      <c r="F17" s="290"/>
      <c r="G17" s="291" t="s">
        <v>106</v>
      </c>
      <c r="H17" s="291"/>
      <c r="I17" s="291"/>
      <c r="J17" s="348">
        <f>J19</f>
        <v>50000000</v>
      </c>
      <c r="K17" s="349">
        <f>K19</f>
        <v>68500000</v>
      </c>
      <c r="L17" s="349">
        <f>L19</f>
        <v>48435000</v>
      </c>
      <c r="M17" s="349">
        <f>M19</f>
        <v>0</v>
      </c>
      <c r="N17" s="349">
        <f>N19</f>
        <v>48435000</v>
      </c>
      <c r="O17" s="349">
        <f t="shared" si="0"/>
        <v>-20065000</v>
      </c>
      <c r="P17" s="350">
        <f t="shared" si="1"/>
        <v>70.708029197080293</v>
      </c>
      <c r="Q17" s="439"/>
      <c r="R17" s="422"/>
    </row>
    <row r="18" spans="1:18" s="189" customFormat="1" ht="12.05" customHeight="1">
      <c r="A18" s="289"/>
      <c r="B18" s="292"/>
      <c r="C18" s="292"/>
      <c r="D18" s="292"/>
      <c r="E18" s="292"/>
      <c r="F18" s="292"/>
      <c r="G18" s="253"/>
      <c r="H18" s="253"/>
      <c r="I18" s="253"/>
      <c r="J18" s="351"/>
      <c r="K18" s="352"/>
      <c r="L18" s="352"/>
      <c r="M18" s="352"/>
      <c r="N18" s="352"/>
      <c r="O18" s="352"/>
      <c r="P18" s="353"/>
      <c r="Q18" s="440"/>
      <c r="R18" s="422"/>
    </row>
    <row r="19" spans="1:18" s="189" customFormat="1" ht="12.05" customHeight="1">
      <c r="A19" s="289"/>
      <c r="B19" s="292">
        <v>4</v>
      </c>
      <c r="C19" s="292">
        <v>1</v>
      </c>
      <c r="D19" s="292">
        <v>2</v>
      </c>
      <c r="E19" s="292" t="s">
        <v>438</v>
      </c>
      <c r="F19" s="292"/>
      <c r="G19" s="253" t="s">
        <v>374</v>
      </c>
      <c r="H19" s="253"/>
      <c r="I19" s="253"/>
      <c r="J19" s="354">
        <f t="shared" ref="J19:M20" si="2">+J20</f>
        <v>50000000</v>
      </c>
      <c r="K19" s="355">
        <f t="shared" si="2"/>
        <v>68500000</v>
      </c>
      <c r="L19" s="355">
        <f t="shared" si="2"/>
        <v>48435000</v>
      </c>
      <c r="M19" s="355">
        <f t="shared" si="2"/>
        <v>0</v>
      </c>
      <c r="N19" s="346">
        <f>+M19+L19</f>
        <v>48435000</v>
      </c>
      <c r="O19" s="346">
        <f t="shared" si="0"/>
        <v>-20065000</v>
      </c>
      <c r="P19" s="347">
        <f t="shared" si="1"/>
        <v>70.708029197080293</v>
      </c>
      <c r="Q19" s="441"/>
      <c r="R19" s="422"/>
    </row>
    <row r="20" spans="1:18" s="189" customFormat="1" ht="12.05" customHeight="1">
      <c r="A20" s="289"/>
      <c r="B20" s="292">
        <v>4</v>
      </c>
      <c r="C20" s="292">
        <v>1</v>
      </c>
      <c r="D20" s="292">
        <v>2</v>
      </c>
      <c r="E20" s="292" t="s">
        <v>438</v>
      </c>
      <c r="F20" s="292" t="s">
        <v>440</v>
      </c>
      <c r="G20" s="253" t="s">
        <v>304</v>
      </c>
      <c r="H20" s="253"/>
      <c r="I20" s="253"/>
      <c r="J20" s="333">
        <f t="shared" si="2"/>
        <v>50000000</v>
      </c>
      <c r="K20" s="334">
        <f>SUM(K21:K22)</f>
        <v>68500000</v>
      </c>
      <c r="L20" s="356">
        <f>SUM(L21:L22)</f>
        <v>48435000</v>
      </c>
      <c r="M20" s="334">
        <f>SUM(M21:M22)</f>
        <v>0</v>
      </c>
      <c r="N20" s="357">
        <f>M20+L20</f>
        <v>48435000</v>
      </c>
      <c r="O20" s="357">
        <f t="shared" si="0"/>
        <v>-20065000</v>
      </c>
      <c r="P20" s="358">
        <f t="shared" si="1"/>
        <v>70.708029197080293</v>
      </c>
      <c r="Q20" s="442"/>
      <c r="R20" s="422"/>
    </row>
    <row r="21" spans="1:18" s="189" customFormat="1" ht="12.05" customHeight="1">
      <c r="A21" s="289"/>
      <c r="B21" s="292"/>
      <c r="C21" s="292"/>
      <c r="D21" s="292"/>
      <c r="E21" s="292"/>
      <c r="F21" s="292"/>
      <c r="G21" s="253" t="s">
        <v>50</v>
      </c>
      <c r="H21" s="253"/>
      <c r="I21" s="253" t="s">
        <v>69</v>
      </c>
      <c r="J21" s="354">
        <v>50000000</v>
      </c>
      <c r="K21" s="359">
        <f>'[57]TARGET MURNI DAN PERUBAHAN'!$E$15</f>
        <v>60000000</v>
      </c>
      <c r="L21" s="360">
        <f>[62]PerDinas!$N$21</f>
        <v>15840000</v>
      </c>
      <c r="M21" s="359">
        <f>[55]Perdinas!$E$15</f>
        <v>0</v>
      </c>
      <c r="N21" s="361">
        <f>M21+L21</f>
        <v>15840000</v>
      </c>
      <c r="O21" s="334">
        <f t="shared" si="0"/>
        <v>-44160000</v>
      </c>
      <c r="P21" s="335">
        <f t="shared" si="1"/>
        <v>26.400000000000002</v>
      </c>
      <c r="Q21" s="442"/>
      <c r="R21" s="422"/>
    </row>
    <row r="22" spans="1:18" s="189" customFormat="1" ht="12.05" customHeight="1">
      <c r="A22" s="289"/>
      <c r="B22" s="292"/>
      <c r="C22" s="292"/>
      <c r="D22" s="292"/>
      <c r="E22" s="292"/>
      <c r="F22" s="292"/>
      <c r="G22" s="253" t="s">
        <v>50</v>
      </c>
      <c r="H22" s="253"/>
      <c r="I22" s="253" t="s">
        <v>709</v>
      </c>
      <c r="J22" s="354"/>
      <c r="K22" s="359">
        <f>'[57]TARGET MURNI DAN PERUBAHAN'!$E$16</f>
        <v>8500000</v>
      </c>
      <c r="L22" s="360">
        <f>[62]PerDinas!$N$22</f>
        <v>32595000</v>
      </c>
      <c r="M22" s="359">
        <f>[55]Perdinas!$E$16</f>
        <v>0</v>
      </c>
      <c r="N22" s="361">
        <f>M22+L22</f>
        <v>32595000</v>
      </c>
      <c r="O22" s="334">
        <f t="shared" si="0"/>
        <v>24095000</v>
      </c>
      <c r="P22" s="335">
        <f t="shared" si="1"/>
        <v>383.47058823529409</v>
      </c>
      <c r="Q22" s="443"/>
      <c r="R22" s="422"/>
    </row>
    <row r="23" spans="1:18" s="189" customFormat="1" ht="12.05" customHeight="1">
      <c r="A23" s="289"/>
      <c r="B23" s="292"/>
      <c r="C23" s="292"/>
      <c r="D23" s="292"/>
      <c r="E23" s="292"/>
      <c r="F23" s="292"/>
      <c r="G23" s="253"/>
      <c r="H23" s="253"/>
      <c r="I23" s="253"/>
      <c r="J23" s="351"/>
      <c r="K23" s="352"/>
      <c r="L23" s="362"/>
      <c r="M23" s="352"/>
      <c r="N23" s="352"/>
      <c r="O23" s="334"/>
      <c r="P23" s="335"/>
      <c r="Q23" s="430"/>
      <c r="R23" s="422"/>
    </row>
    <row r="24" spans="1:18" s="189" customFormat="1" ht="12.05" customHeight="1">
      <c r="A24" s="289"/>
      <c r="B24" s="290">
        <v>4</v>
      </c>
      <c r="C24" s="290">
        <v>1</v>
      </c>
      <c r="D24" s="290">
        <v>4</v>
      </c>
      <c r="E24" s="290"/>
      <c r="F24" s="290"/>
      <c r="G24" s="291" t="s">
        <v>71</v>
      </c>
      <c r="H24" s="291"/>
      <c r="I24" s="291"/>
      <c r="J24" s="363">
        <f>J25+J27+J32</f>
        <v>33320000</v>
      </c>
      <c r="K24" s="364">
        <f>K25+K27+K32</f>
        <v>1250000</v>
      </c>
      <c r="L24" s="365">
        <f>L25+L27+L32</f>
        <v>37508400</v>
      </c>
      <c r="M24" s="364">
        <f>M25+M27+M32</f>
        <v>6616275</v>
      </c>
      <c r="N24" s="364">
        <f>N25+N27+N32</f>
        <v>44124675</v>
      </c>
      <c r="O24" s="349">
        <f t="shared" ref="O24:O30" si="3">N24-K24</f>
        <v>42874675</v>
      </c>
      <c r="P24" s="350">
        <f>N24/K24*100</f>
        <v>3529.9740000000002</v>
      </c>
      <c r="Q24" s="444"/>
      <c r="R24" s="422"/>
    </row>
    <row r="25" spans="1:18" s="190" customFormat="1" ht="12.05" customHeight="1">
      <c r="A25" s="293"/>
      <c r="B25" s="290">
        <v>4</v>
      </c>
      <c r="C25" s="290">
        <v>1</v>
      </c>
      <c r="D25" s="290">
        <v>4</v>
      </c>
      <c r="E25" s="290" t="s">
        <v>441</v>
      </c>
      <c r="F25" s="290"/>
      <c r="G25" s="291" t="s">
        <v>557</v>
      </c>
      <c r="H25" s="291"/>
      <c r="I25" s="291"/>
      <c r="J25" s="329">
        <f>J26</f>
        <v>0</v>
      </c>
      <c r="K25" s="330">
        <f>K26</f>
        <v>0</v>
      </c>
      <c r="L25" s="366">
        <f>L26</f>
        <v>0</v>
      </c>
      <c r="M25" s="330">
        <f>M26</f>
        <v>1078800</v>
      </c>
      <c r="N25" s="330">
        <f>N26</f>
        <v>1078800</v>
      </c>
      <c r="O25" s="367">
        <f t="shared" si="3"/>
        <v>1078800</v>
      </c>
      <c r="P25" s="368"/>
      <c r="Q25" s="445"/>
      <c r="R25" s="446"/>
    </row>
    <row r="26" spans="1:18" s="189" customFormat="1" ht="12.05" customHeight="1">
      <c r="A26" s="289"/>
      <c r="B26" s="292">
        <v>4</v>
      </c>
      <c r="C26" s="292">
        <v>1</v>
      </c>
      <c r="D26" s="292">
        <v>4</v>
      </c>
      <c r="E26" s="292" t="s">
        <v>441</v>
      </c>
      <c r="F26" s="292" t="s">
        <v>440</v>
      </c>
      <c r="G26" s="253" t="s">
        <v>72</v>
      </c>
      <c r="H26" s="253"/>
      <c r="I26" s="253"/>
      <c r="J26" s="354"/>
      <c r="K26" s="355"/>
      <c r="L26" s="360">
        <f>[62]PerDinas!$N$26</f>
        <v>0</v>
      </c>
      <c r="M26" s="355">
        <f>[55]Perdinas!$E$19</f>
        <v>1078800</v>
      </c>
      <c r="N26" s="369">
        <f>M26+L26</f>
        <v>1078800</v>
      </c>
      <c r="O26" s="346">
        <f t="shared" si="3"/>
        <v>1078800</v>
      </c>
      <c r="P26" s="347"/>
      <c r="Q26" s="445"/>
      <c r="R26" s="422"/>
    </row>
    <row r="27" spans="1:18" s="190" customFormat="1" ht="12.05" customHeight="1">
      <c r="A27" s="293"/>
      <c r="B27" s="290">
        <v>4</v>
      </c>
      <c r="C27" s="290">
        <v>1</v>
      </c>
      <c r="D27" s="290">
        <v>4</v>
      </c>
      <c r="E27" s="290" t="s">
        <v>444</v>
      </c>
      <c r="F27" s="290"/>
      <c r="G27" s="291" t="s">
        <v>222</v>
      </c>
      <c r="H27" s="291"/>
      <c r="I27" s="291"/>
      <c r="J27" s="370">
        <f>+J30</f>
        <v>30000000</v>
      </c>
      <c r="K27" s="371">
        <f>SUM(K28:K30)</f>
        <v>0</v>
      </c>
      <c r="L27" s="372">
        <f>SUM(L28:L30)</f>
        <v>37508400</v>
      </c>
      <c r="M27" s="371">
        <f>SUM(M28:M30)</f>
        <v>5537475</v>
      </c>
      <c r="N27" s="371">
        <f>SUM(N28:N30)</f>
        <v>43045875</v>
      </c>
      <c r="O27" s="367">
        <f t="shared" si="3"/>
        <v>43045875</v>
      </c>
      <c r="P27" s="335" t="e">
        <f t="shared" ref="P27:P33" si="4">N27/K27*100</f>
        <v>#DIV/0!</v>
      </c>
      <c r="Q27" s="447"/>
      <c r="R27" s="446"/>
    </row>
    <row r="28" spans="1:18" s="189" customFormat="1" ht="12.05" customHeight="1">
      <c r="A28" s="289"/>
      <c r="B28" s="292">
        <v>4</v>
      </c>
      <c r="C28" s="292">
        <v>1</v>
      </c>
      <c r="D28" s="292">
        <v>4</v>
      </c>
      <c r="E28" s="292" t="s">
        <v>444</v>
      </c>
      <c r="F28" s="292" t="s">
        <v>440</v>
      </c>
      <c r="G28" s="253" t="s">
        <v>73</v>
      </c>
      <c r="H28" s="253"/>
      <c r="I28" s="253"/>
      <c r="J28" s="354">
        <v>0</v>
      </c>
      <c r="K28" s="355">
        <v>0</v>
      </c>
      <c r="L28" s="360">
        <v>0</v>
      </c>
      <c r="M28" s="355">
        <f>[57]Perdinas!$D$20</f>
        <v>0</v>
      </c>
      <c r="N28" s="355">
        <f t="shared" ref="N28:N36" si="5">M28+L28</f>
        <v>0</v>
      </c>
      <c r="O28" s="355">
        <f t="shared" si="3"/>
        <v>0</v>
      </c>
      <c r="P28" s="335"/>
      <c r="Q28" s="441"/>
      <c r="R28" s="422"/>
    </row>
    <row r="29" spans="1:18" s="189" customFormat="1" ht="12.05" customHeight="1">
      <c r="A29" s="289"/>
      <c r="B29" s="292">
        <v>4</v>
      </c>
      <c r="C29" s="292">
        <v>1</v>
      </c>
      <c r="D29" s="292">
        <v>4</v>
      </c>
      <c r="E29" s="292" t="s">
        <v>444</v>
      </c>
      <c r="F29" s="292" t="s">
        <v>445</v>
      </c>
      <c r="G29" s="253" t="s">
        <v>74</v>
      </c>
      <c r="H29" s="253"/>
      <c r="I29" s="253"/>
      <c r="J29" s="354">
        <v>0</v>
      </c>
      <c r="K29" s="355">
        <v>0</v>
      </c>
      <c r="L29" s="360">
        <f>[62]PerDinas!$N$29</f>
        <v>0</v>
      </c>
      <c r="M29" s="355">
        <f>[55]Perdinas!$E$21</f>
        <v>0</v>
      </c>
      <c r="N29" s="355">
        <f t="shared" si="5"/>
        <v>0</v>
      </c>
      <c r="O29" s="355">
        <f t="shared" si="3"/>
        <v>0</v>
      </c>
      <c r="P29" s="335"/>
      <c r="Q29" s="442"/>
      <c r="R29" s="422"/>
    </row>
    <row r="30" spans="1:18" s="189" customFormat="1" ht="12.05" customHeight="1">
      <c r="A30" s="289"/>
      <c r="B30" s="292">
        <v>4</v>
      </c>
      <c r="C30" s="292">
        <v>1</v>
      </c>
      <c r="D30" s="292">
        <v>4</v>
      </c>
      <c r="E30" s="292" t="s">
        <v>444</v>
      </c>
      <c r="F30" s="292" t="s">
        <v>441</v>
      </c>
      <c r="G30" s="253" t="s">
        <v>75</v>
      </c>
      <c r="H30" s="253"/>
      <c r="I30" s="253"/>
      <c r="J30" s="354">
        <v>30000000</v>
      </c>
      <c r="K30" s="373">
        <f>'[57]TARGET MURNI DAN PERUBAHAN'!$E$19</f>
        <v>0</v>
      </c>
      <c r="L30" s="360">
        <f>[62]PerDinas!$N$30</f>
        <v>37508400</v>
      </c>
      <c r="M30" s="373">
        <f>[55]Perdinas!$E$22</f>
        <v>5537475</v>
      </c>
      <c r="N30" s="369">
        <f t="shared" si="5"/>
        <v>43045875</v>
      </c>
      <c r="O30" s="355">
        <f t="shared" si="3"/>
        <v>43045875</v>
      </c>
      <c r="P30" s="335" t="e">
        <f t="shared" si="4"/>
        <v>#DIV/0!</v>
      </c>
      <c r="Q30" s="441"/>
      <c r="R30" s="422"/>
    </row>
    <row r="31" spans="1:18" s="189" customFormat="1" ht="12.05" customHeight="1">
      <c r="A31" s="289"/>
      <c r="B31" s="292"/>
      <c r="C31" s="292"/>
      <c r="D31" s="292"/>
      <c r="E31" s="292"/>
      <c r="F31" s="292"/>
      <c r="G31" s="253"/>
      <c r="H31" s="253"/>
      <c r="I31" s="253"/>
      <c r="J31" s="354"/>
      <c r="K31" s="355"/>
      <c r="L31" s="360"/>
      <c r="M31" s="355"/>
      <c r="N31" s="355">
        <f t="shared" si="5"/>
        <v>0</v>
      </c>
      <c r="O31" s="355"/>
      <c r="P31" s="335"/>
      <c r="Q31" s="440"/>
      <c r="R31" s="422"/>
    </row>
    <row r="32" spans="1:18" s="189" customFormat="1" ht="12.05" customHeight="1">
      <c r="A32" s="294"/>
      <c r="B32" s="292">
        <v>4</v>
      </c>
      <c r="C32" s="292">
        <v>1</v>
      </c>
      <c r="D32" s="292">
        <v>4</v>
      </c>
      <c r="E32" s="292" t="s">
        <v>948</v>
      </c>
      <c r="F32" s="292"/>
      <c r="G32" s="253" t="s">
        <v>321</v>
      </c>
      <c r="H32" s="253"/>
      <c r="I32" s="253"/>
      <c r="J32" s="374">
        <f>J33</f>
        <v>3320000</v>
      </c>
      <c r="K32" s="375">
        <f>K33</f>
        <v>1250000</v>
      </c>
      <c r="L32" s="360">
        <f>L33</f>
        <v>0</v>
      </c>
      <c r="M32" s="355">
        <f>M33</f>
        <v>0</v>
      </c>
      <c r="N32" s="355">
        <f t="shared" si="5"/>
        <v>0</v>
      </c>
      <c r="O32" s="355">
        <f>N32-K32</f>
        <v>-1250000</v>
      </c>
      <c r="P32" s="335">
        <f t="shared" si="4"/>
        <v>0</v>
      </c>
      <c r="Q32" s="448"/>
      <c r="R32" s="422"/>
    </row>
    <row r="33" spans="1:18" s="189" customFormat="1" ht="12.05" customHeight="1">
      <c r="A33" s="294"/>
      <c r="B33" s="292"/>
      <c r="C33" s="292"/>
      <c r="D33" s="292"/>
      <c r="E33" s="292"/>
      <c r="F33" s="292"/>
      <c r="G33" s="253" t="s">
        <v>50</v>
      </c>
      <c r="H33" s="253"/>
      <c r="I33" s="253" t="s">
        <v>145</v>
      </c>
      <c r="J33" s="374">
        <v>3320000</v>
      </c>
      <c r="K33" s="376">
        <f>'[57]TARGET MURNI DAN PERUBAHAN'!$E$21</f>
        <v>1250000</v>
      </c>
      <c r="L33" s="377">
        <f>[62]PerDinas!$N$33</f>
        <v>0</v>
      </c>
      <c r="M33" s="376">
        <f>[55]Perdinas!$E$23</f>
        <v>0</v>
      </c>
      <c r="N33" s="355">
        <f t="shared" si="5"/>
        <v>0</v>
      </c>
      <c r="O33" s="355">
        <f>N33-K33</f>
        <v>-1250000</v>
      </c>
      <c r="P33" s="335">
        <f t="shared" si="4"/>
        <v>0</v>
      </c>
      <c r="Q33" s="449"/>
      <c r="R33" s="422"/>
    </row>
    <row r="34" spans="1:18" s="189" customFormat="1" ht="12.05" customHeight="1">
      <c r="A34" s="289"/>
      <c r="B34" s="292"/>
      <c r="C34" s="292"/>
      <c r="D34" s="292"/>
      <c r="E34" s="292"/>
      <c r="F34" s="292"/>
      <c r="G34" s="253"/>
      <c r="H34" s="253"/>
      <c r="I34" s="253"/>
      <c r="J34" s="374">
        <v>0</v>
      </c>
      <c r="K34" s="375">
        <v>0</v>
      </c>
      <c r="L34" s="375">
        <v>0</v>
      </c>
      <c r="M34" s="375"/>
      <c r="N34" s="355">
        <f t="shared" si="5"/>
        <v>0</v>
      </c>
      <c r="O34" s="355">
        <f>N34-K34</f>
        <v>0</v>
      </c>
      <c r="P34" s="347"/>
      <c r="Q34" s="440"/>
      <c r="R34" s="422"/>
    </row>
    <row r="35" spans="1:18" s="245" customFormat="1" ht="12.05" customHeight="1">
      <c r="A35" s="295"/>
      <c r="B35" s="296"/>
      <c r="C35" s="296"/>
      <c r="D35" s="296"/>
      <c r="E35" s="296"/>
      <c r="F35" s="296"/>
      <c r="G35" s="297"/>
      <c r="H35" s="297"/>
      <c r="I35" s="297"/>
      <c r="J35" s="378"/>
      <c r="K35" s="379">
        <v>0</v>
      </c>
      <c r="L35" s="379">
        <v>0</v>
      </c>
      <c r="M35" s="379"/>
      <c r="N35" s="380">
        <f t="shared" si="5"/>
        <v>0</v>
      </c>
      <c r="O35" s="380">
        <f>N35-K35</f>
        <v>0</v>
      </c>
      <c r="P35" s="381"/>
      <c r="Q35" s="440"/>
      <c r="R35" s="450"/>
    </row>
    <row r="36" spans="1:18" s="244" customFormat="1" ht="12.05" customHeight="1">
      <c r="A36" s="283" t="s">
        <v>78</v>
      </c>
      <c r="B36" s="284" t="s">
        <v>58</v>
      </c>
      <c r="C36" s="284" t="s">
        <v>438</v>
      </c>
      <c r="D36" s="284" t="s">
        <v>437</v>
      </c>
      <c r="E36" s="284"/>
      <c r="F36" s="284"/>
      <c r="G36" s="298" t="s">
        <v>79</v>
      </c>
      <c r="H36" s="298"/>
      <c r="I36" s="298"/>
      <c r="J36" s="336" t="e">
        <f>J38+J57+J108+J125+J139+J75+J91</f>
        <v>#REF!</v>
      </c>
      <c r="K36" s="337">
        <f>K38+K57+K108+K125+K139+K75+K91</f>
        <v>15465159922.440001</v>
      </c>
      <c r="L36" s="337" t="e">
        <f>SUM(L38+L75+L91+L139+L125+L57+L108)</f>
        <v>#REF!</v>
      </c>
      <c r="M36" s="337">
        <f>SUM(M38+M75+M91+M139+M125+M57+M108)</f>
        <v>375149663</v>
      </c>
      <c r="N36" s="337" t="e">
        <f t="shared" si="5"/>
        <v>#REF!</v>
      </c>
      <c r="O36" s="337" t="e">
        <f>+N36-K36</f>
        <v>#REF!</v>
      </c>
      <c r="P36" s="338" t="e">
        <f>+N36/K36*100</f>
        <v>#REF!</v>
      </c>
      <c r="Q36" s="432"/>
      <c r="R36" s="433"/>
    </row>
    <row r="37" spans="1:18" s="189" customFormat="1" ht="12.05" customHeight="1">
      <c r="A37" s="299"/>
      <c r="B37" s="280"/>
      <c r="C37" s="280"/>
      <c r="D37" s="280"/>
      <c r="E37" s="280"/>
      <c r="F37" s="280"/>
      <c r="G37" s="190"/>
      <c r="H37" s="190"/>
      <c r="I37" s="190"/>
      <c r="J37" s="342"/>
      <c r="K37" s="343"/>
      <c r="L37" s="343"/>
      <c r="M37" s="343"/>
      <c r="N37" s="343"/>
      <c r="O37" s="343"/>
      <c r="P37" s="344"/>
      <c r="Q37" s="437"/>
      <c r="R37" s="422"/>
    </row>
    <row r="38" spans="1:18" s="246" customFormat="1" ht="19.600000000000001" customHeight="1">
      <c r="A38" s="300"/>
      <c r="B38" s="301" t="s">
        <v>58</v>
      </c>
      <c r="C38" s="301" t="s">
        <v>438</v>
      </c>
      <c r="D38" s="301" t="s">
        <v>437</v>
      </c>
      <c r="E38" s="301" t="s">
        <v>437</v>
      </c>
      <c r="F38" s="301"/>
      <c r="G38" s="302" t="s">
        <v>79</v>
      </c>
      <c r="H38" s="302"/>
      <c r="I38" s="302"/>
      <c r="J38" s="382">
        <f>+J40</f>
        <v>4000000</v>
      </c>
      <c r="K38" s="383">
        <f>+K40</f>
        <v>0</v>
      </c>
      <c r="L38" s="383">
        <f>+L40</f>
        <v>8350000</v>
      </c>
      <c r="M38" s="383">
        <f>+M40</f>
        <v>0</v>
      </c>
      <c r="N38" s="383">
        <f>+M38+L38</f>
        <v>8350000</v>
      </c>
      <c r="O38" s="383">
        <f>N38-K38</f>
        <v>8350000</v>
      </c>
      <c r="P38" s="384" t="e">
        <f>N38/K38*100</f>
        <v>#DIV/0!</v>
      </c>
      <c r="Q38" s="451"/>
      <c r="R38" s="452"/>
    </row>
    <row r="39" spans="1:18" s="189" customFormat="1" ht="12.05" customHeight="1">
      <c r="A39" s="286"/>
      <c r="B39" s="287"/>
      <c r="C39" s="287"/>
      <c r="D39" s="287"/>
      <c r="E39" s="287"/>
      <c r="F39" s="287"/>
      <c r="G39" s="288"/>
      <c r="H39" s="288"/>
      <c r="I39" s="288"/>
      <c r="J39" s="385"/>
      <c r="K39" s="386"/>
      <c r="L39" s="386"/>
      <c r="M39" s="386"/>
      <c r="N39" s="386"/>
      <c r="O39" s="386"/>
      <c r="P39" s="341"/>
      <c r="Q39" s="453"/>
      <c r="R39" s="422"/>
    </row>
    <row r="40" spans="1:18" s="189" customFormat="1" ht="12.05" customHeight="1">
      <c r="A40" s="294"/>
      <c r="B40" s="290">
        <v>4</v>
      </c>
      <c r="C40" s="290">
        <v>1</v>
      </c>
      <c r="D40" s="290"/>
      <c r="E40" s="290"/>
      <c r="F40" s="290"/>
      <c r="G40" s="291" t="s">
        <v>180</v>
      </c>
      <c r="H40" s="291"/>
      <c r="I40" s="291"/>
      <c r="J40" s="342">
        <f>+J42+J48</f>
        <v>4000000</v>
      </c>
      <c r="K40" s="343">
        <f>+K42+K48</f>
        <v>0</v>
      </c>
      <c r="L40" s="343">
        <f>+L42+L48</f>
        <v>8350000</v>
      </c>
      <c r="M40" s="343">
        <f>+M42+M48</f>
        <v>0</v>
      </c>
      <c r="N40" s="343">
        <f>+M40+L40</f>
        <v>8350000</v>
      </c>
      <c r="O40" s="343">
        <f>N40-K40</f>
        <v>8350000</v>
      </c>
      <c r="P40" s="344" t="e">
        <f>N40/K40*100</f>
        <v>#DIV/0!</v>
      </c>
      <c r="Q40" s="437"/>
      <c r="R40" s="422"/>
    </row>
    <row r="41" spans="1:18" s="189" customFormat="1" ht="12.05" customHeight="1">
      <c r="A41" s="289"/>
      <c r="B41" s="292"/>
      <c r="C41" s="292"/>
      <c r="D41" s="292"/>
      <c r="E41" s="292"/>
      <c r="F41" s="292"/>
      <c r="G41" s="253"/>
      <c r="H41" s="253"/>
      <c r="I41" s="291"/>
      <c r="J41" s="387"/>
      <c r="K41" s="367"/>
      <c r="L41" s="367"/>
      <c r="M41" s="367"/>
      <c r="N41" s="367"/>
      <c r="O41" s="367"/>
      <c r="P41" s="347"/>
      <c r="Q41" s="454"/>
      <c r="R41" s="422"/>
    </row>
    <row r="42" spans="1:18" s="189" customFormat="1" ht="12.05" customHeight="1">
      <c r="A42" s="294"/>
      <c r="B42" s="290">
        <v>4</v>
      </c>
      <c r="C42" s="290">
        <v>1</v>
      </c>
      <c r="D42" s="290">
        <v>2</v>
      </c>
      <c r="E42" s="290"/>
      <c r="F42" s="290"/>
      <c r="G42" s="291" t="s">
        <v>106</v>
      </c>
      <c r="H42" s="291"/>
      <c r="I42" s="291"/>
      <c r="J42" s="348">
        <f>+J44</f>
        <v>4000000</v>
      </c>
      <c r="K42" s="349">
        <f>+K44</f>
        <v>0</v>
      </c>
      <c r="L42" s="349">
        <f>+L44</f>
        <v>0</v>
      </c>
      <c r="M42" s="349">
        <f>+M44</f>
        <v>0</v>
      </c>
      <c r="N42" s="349">
        <f>+M42+L42</f>
        <v>0</v>
      </c>
      <c r="O42" s="349">
        <f>N42-K42</f>
        <v>0</v>
      </c>
      <c r="P42" s="350" t="e">
        <f>N42/K42*100</f>
        <v>#DIV/0!</v>
      </c>
      <c r="Q42" s="439"/>
      <c r="R42" s="422"/>
    </row>
    <row r="43" spans="1:18" s="189" customFormat="1" ht="12.05" customHeight="1">
      <c r="A43" s="289"/>
      <c r="B43" s="292"/>
      <c r="C43" s="292"/>
      <c r="D43" s="292"/>
      <c r="E43" s="292"/>
      <c r="F43" s="292"/>
      <c r="G43" s="253"/>
      <c r="H43" s="253"/>
      <c r="I43" s="253"/>
      <c r="J43" s="351"/>
      <c r="K43" s="352"/>
      <c r="L43" s="352"/>
      <c r="M43" s="352"/>
      <c r="N43" s="352"/>
      <c r="O43" s="352"/>
      <c r="P43" s="353"/>
      <c r="Q43" s="440"/>
      <c r="R43" s="422"/>
    </row>
    <row r="44" spans="1:18" s="189" customFormat="1" ht="12.05" customHeight="1">
      <c r="A44" s="294"/>
      <c r="B44" s="292">
        <v>4</v>
      </c>
      <c r="C44" s="292">
        <v>1</v>
      </c>
      <c r="D44" s="292">
        <v>2</v>
      </c>
      <c r="E44" s="292" t="s">
        <v>438</v>
      </c>
      <c r="F44" s="292"/>
      <c r="G44" s="253" t="s">
        <v>374</v>
      </c>
      <c r="H44" s="253"/>
      <c r="I44" s="253"/>
      <c r="J44" s="354">
        <f>J45</f>
        <v>4000000</v>
      </c>
      <c r="K44" s="355">
        <f>K45</f>
        <v>0</v>
      </c>
      <c r="L44" s="355">
        <f>L45</f>
        <v>0</v>
      </c>
      <c r="M44" s="355">
        <f>M45</f>
        <v>0</v>
      </c>
      <c r="N44" s="346">
        <f>+M44+L44</f>
        <v>0</v>
      </c>
      <c r="O44" s="346">
        <f>N44-K44</f>
        <v>0</v>
      </c>
      <c r="P44" s="347" t="e">
        <f>N44/K44*100</f>
        <v>#DIV/0!</v>
      </c>
      <c r="Q44" s="441"/>
      <c r="R44" s="422"/>
    </row>
    <row r="45" spans="1:18" s="189" customFormat="1" ht="12.05" customHeight="1">
      <c r="A45" s="294"/>
      <c r="B45" s="292">
        <v>4</v>
      </c>
      <c r="C45" s="292">
        <v>1</v>
      </c>
      <c r="D45" s="292">
        <v>2</v>
      </c>
      <c r="E45" s="292" t="s">
        <v>438</v>
      </c>
      <c r="F45" s="292" t="s">
        <v>448</v>
      </c>
      <c r="G45" s="253" t="s">
        <v>361</v>
      </c>
      <c r="H45" s="253"/>
      <c r="I45" s="253"/>
      <c r="J45" s="354">
        <f>+J46</f>
        <v>4000000</v>
      </c>
      <c r="K45" s="355">
        <f>+K46</f>
        <v>0</v>
      </c>
      <c r="L45" s="360">
        <f>+L46</f>
        <v>0</v>
      </c>
      <c r="M45" s="355">
        <f>+M46</f>
        <v>0</v>
      </c>
      <c r="N45" s="355">
        <f>M45+L45</f>
        <v>0</v>
      </c>
      <c r="O45" s="355">
        <f>N45-K45</f>
        <v>0</v>
      </c>
      <c r="P45" s="388" t="e">
        <f>N45/K45*100</f>
        <v>#DIV/0!</v>
      </c>
      <c r="Q45" s="441"/>
      <c r="R45" s="422"/>
    </row>
    <row r="46" spans="1:18" s="189" customFormat="1" ht="12.05" customHeight="1">
      <c r="A46" s="289"/>
      <c r="B46" s="292"/>
      <c r="C46" s="292"/>
      <c r="D46" s="292"/>
      <c r="E46" s="292"/>
      <c r="F46" s="292"/>
      <c r="G46" s="253" t="s">
        <v>50</v>
      </c>
      <c r="H46" s="253"/>
      <c r="I46" s="253" t="s">
        <v>949</v>
      </c>
      <c r="J46" s="389">
        <v>4000000</v>
      </c>
      <c r="K46" s="390">
        <f>'[57]TARGET MURNI DAN PERUBAHAN'!$E$27</f>
        <v>0</v>
      </c>
      <c r="L46" s="391">
        <f>[62]PerDinas!$N$46</f>
        <v>0</v>
      </c>
      <c r="M46" s="390">
        <f>[55]Perdinas!$E$29</f>
        <v>0</v>
      </c>
      <c r="N46" s="357">
        <f>M46+L46</f>
        <v>0</v>
      </c>
      <c r="O46" s="357">
        <f>N46-K46</f>
        <v>0</v>
      </c>
      <c r="P46" s="358" t="e">
        <f>N46/K46*100</f>
        <v>#DIV/0!</v>
      </c>
      <c r="Q46" s="442"/>
      <c r="R46" s="422"/>
    </row>
    <row r="47" spans="1:18" s="189" customFormat="1" ht="12.05" customHeight="1">
      <c r="A47" s="289"/>
      <c r="B47" s="292"/>
      <c r="C47" s="292"/>
      <c r="D47" s="292"/>
      <c r="E47" s="292"/>
      <c r="F47" s="292"/>
      <c r="G47" s="253"/>
      <c r="H47" s="253"/>
      <c r="I47" s="253"/>
      <c r="J47" s="354"/>
      <c r="K47" s="355"/>
      <c r="L47" s="360"/>
      <c r="M47" s="355"/>
      <c r="N47" s="355"/>
      <c r="O47" s="355"/>
      <c r="P47" s="388"/>
      <c r="Q47" s="441"/>
      <c r="R47" s="422"/>
    </row>
    <row r="48" spans="1:18" s="189" customFormat="1" ht="12.05" customHeight="1">
      <c r="A48" s="294"/>
      <c r="B48" s="290">
        <v>4</v>
      </c>
      <c r="C48" s="290">
        <v>1</v>
      </c>
      <c r="D48" s="290">
        <v>4</v>
      </c>
      <c r="E48" s="290"/>
      <c r="F48" s="290"/>
      <c r="G48" s="291" t="s">
        <v>71</v>
      </c>
      <c r="H48" s="291"/>
      <c r="I48" s="291"/>
      <c r="J48" s="392"/>
      <c r="K48" s="393"/>
      <c r="L48" s="394">
        <f>L51+L55+L49</f>
        <v>8350000</v>
      </c>
      <c r="M48" s="393">
        <f>M51+M55+M49</f>
        <v>0</v>
      </c>
      <c r="N48" s="364">
        <f>M48+L48</f>
        <v>8350000</v>
      </c>
      <c r="O48" s="395">
        <f>N48-K48</f>
        <v>8350000</v>
      </c>
      <c r="P48" s="350"/>
      <c r="Q48" s="444"/>
      <c r="R48" s="422"/>
    </row>
    <row r="49" spans="1:19" s="189" customFormat="1" ht="12.05" customHeight="1">
      <c r="A49" s="294"/>
      <c r="B49" s="292">
        <v>4</v>
      </c>
      <c r="C49" s="292">
        <v>1</v>
      </c>
      <c r="D49" s="292">
        <v>4</v>
      </c>
      <c r="E49" s="292" t="s">
        <v>441</v>
      </c>
      <c r="F49" s="292"/>
      <c r="G49" s="253" t="s">
        <v>557</v>
      </c>
      <c r="H49" s="253"/>
      <c r="I49" s="253"/>
      <c r="J49" s="333">
        <f>+J50</f>
        <v>0</v>
      </c>
      <c r="K49" s="334">
        <f>+K50</f>
        <v>0</v>
      </c>
      <c r="L49" s="356">
        <f>+L50</f>
        <v>0</v>
      </c>
      <c r="M49" s="334">
        <f>+M50</f>
        <v>0</v>
      </c>
      <c r="N49" s="396">
        <f>+M49+L49</f>
        <v>0</v>
      </c>
      <c r="O49" s="396">
        <f>N49-K49</f>
        <v>0</v>
      </c>
      <c r="P49" s="344"/>
      <c r="Q49" s="445"/>
      <c r="R49" s="422"/>
    </row>
    <row r="50" spans="1:19" s="189" customFormat="1" ht="12.05" customHeight="1">
      <c r="A50" s="294"/>
      <c r="B50" s="292">
        <v>4</v>
      </c>
      <c r="C50" s="292">
        <v>1</v>
      </c>
      <c r="D50" s="292">
        <v>4</v>
      </c>
      <c r="E50" s="292" t="s">
        <v>441</v>
      </c>
      <c r="F50" s="292" t="s">
        <v>437</v>
      </c>
      <c r="G50" s="253" t="s">
        <v>72</v>
      </c>
      <c r="H50" s="253"/>
      <c r="I50" s="253"/>
      <c r="J50" s="354">
        <v>0</v>
      </c>
      <c r="K50" s="373">
        <f>'[57]TARGET MURNI DAN PERUBAHAN'!$E$30</f>
        <v>0</v>
      </c>
      <c r="L50" s="360">
        <f>[62]PerDinas!$N$50</f>
        <v>0</v>
      </c>
      <c r="M50" s="373">
        <f>[55]Perdinas!$E$32</f>
        <v>0</v>
      </c>
      <c r="N50" s="355">
        <f t="shared" ref="N50:N56" si="6">M50+L50</f>
        <v>0</v>
      </c>
      <c r="O50" s="355">
        <f>N50-K50</f>
        <v>0</v>
      </c>
      <c r="P50" s="388"/>
      <c r="Q50" s="445"/>
      <c r="R50" s="422"/>
    </row>
    <row r="51" spans="1:19" s="189" customFormat="1" ht="12.05" customHeight="1">
      <c r="A51" s="289"/>
      <c r="B51" s="292">
        <v>4</v>
      </c>
      <c r="C51" s="292">
        <v>1</v>
      </c>
      <c r="D51" s="292">
        <v>4</v>
      </c>
      <c r="E51" s="292" t="s">
        <v>444</v>
      </c>
      <c r="F51" s="292"/>
      <c r="G51" s="253" t="s">
        <v>222</v>
      </c>
      <c r="H51" s="253"/>
      <c r="I51" s="253"/>
      <c r="J51" s="333">
        <f>+J54</f>
        <v>0</v>
      </c>
      <c r="K51" s="334">
        <f>SUM(K52:K54)</f>
        <v>0</v>
      </c>
      <c r="L51" s="356">
        <f>SUM(L52:L54)</f>
        <v>8350000</v>
      </c>
      <c r="M51" s="334">
        <f>SUM(M52:M54)</f>
        <v>0</v>
      </c>
      <c r="N51" s="361">
        <f>N54</f>
        <v>8350000</v>
      </c>
      <c r="O51" s="334">
        <f>SUM(O52:O55)</f>
        <v>8350000</v>
      </c>
      <c r="P51" s="335">
        <f>SUM(P52:P55)</f>
        <v>0</v>
      </c>
      <c r="Q51" s="430"/>
      <c r="R51" s="422"/>
    </row>
    <row r="52" spans="1:19" s="189" customFormat="1" ht="12.05" customHeight="1">
      <c r="A52" s="289"/>
      <c r="B52" s="292">
        <v>4</v>
      </c>
      <c r="C52" s="292">
        <v>1</v>
      </c>
      <c r="D52" s="292">
        <v>4</v>
      </c>
      <c r="E52" s="292" t="s">
        <v>444</v>
      </c>
      <c r="F52" s="292" t="s">
        <v>440</v>
      </c>
      <c r="G52" s="253" t="s">
        <v>73</v>
      </c>
      <c r="H52" s="253"/>
      <c r="I52" s="253"/>
      <c r="J52" s="354">
        <v>0</v>
      </c>
      <c r="K52" s="355">
        <v>0</v>
      </c>
      <c r="L52" s="355"/>
      <c r="M52" s="355">
        <f>[55]Perdinas!$E$33</f>
        <v>0</v>
      </c>
      <c r="N52" s="355">
        <f t="shared" si="6"/>
        <v>0</v>
      </c>
      <c r="O52" s="355">
        <f t="shared" ref="O52:O57" si="7">N52-K52</f>
        <v>0</v>
      </c>
      <c r="P52" s="388"/>
      <c r="Q52" s="441"/>
      <c r="R52" s="422"/>
    </row>
    <row r="53" spans="1:19" s="189" customFormat="1" ht="12.05" customHeight="1">
      <c r="A53" s="289"/>
      <c r="B53" s="292">
        <v>4</v>
      </c>
      <c r="C53" s="292">
        <v>1</v>
      </c>
      <c r="D53" s="292">
        <v>4</v>
      </c>
      <c r="E53" s="292" t="s">
        <v>444</v>
      </c>
      <c r="F53" s="292" t="s">
        <v>445</v>
      </c>
      <c r="G53" s="253" t="s">
        <v>74</v>
      </c>
      <c r="H53" s="253"/>
      <c r="I53" s="253"/>
      <c r="J53" s="389">
        <v>0</v>
      </c>
      <c r="K53" s="357">
        <v>0</v>
      </c>
      <c r="L53" s="357">
        <v>0</v>
      </c>
      <c r="M53" s="357">
        <f>[55]Perdinas!$E$34</f>
        <v>0</v>
      </c>
      <c r="N53" s="357">
        <f t="shared" si="6"/>
        <v>0</v>
      </c>
      <c r="O53" s="357">
        <f t="shared" si="7"/>
        <v>0</v>
      </c>
      <c r="P53" s="358"/>
      <c r="Q53" s="442"/>
      <c r="R53" s="422"/>
    </row>
    <row r="54" spans="1:19" s="189" customFormat="1" ht="12.05" customHeight="1">
      <c r="A54" s="289"/>
      <c r="B54" s="292">
        <v>4</v>
      </c>
      <c r="C54" s="292">
        <v>1</v>
      </c>
      <c r="D54" s="292">
        <v>4</v>
      </c>
      <c r="E54" s="292" t="s">
        <v>444</v>
      </c>
      <c r="F54" s="292" t="s">
        <v>441</v>
      </c>
      <c r="G54" s="253" t="s">
        <v>75</v>
      </c>
      <c r="H54" s="253"/>
      <c r="I54" s="253"/>
      <c r="J54" s="351">
        <v>0</v>
      </c>
      <c r="K54" s="352">
        <f>'[57]TARGET MURNI DAN PERUBAHAN'!$E$31</f>
        <v>0</v>
      </c>
      <c r="L54" s="352">
        <f>[62]PerDinas!$N$54</f>
        <v>8350000</v>
      </c>
      <c r="M54" s="352">
        <f>[55]Perdinas!$E$35</f>
        <v>0</v>
      </c>
      <c r="N54" s="352">
        <f t="shared" si="6"/>
        <v>8350000</v>
      </c>
      <c r="O54" s="352">
        <f t="shared" si="7"/>
        <v>8350000</v>
      </c>
      <c r="P54" s="353"/>
      <c r="Q54" s="441"/>
      <c r="R54" s="422"/>
    </row>
    <row r="55" spans="1:19" s="190" customFormat="1" ht="12.05" customHeight="1">
      <c r="A55" s="303"/>
      <c r="B55" s="290">
        <v>4</v>
      </c>
      <c r="C55" s="290">
        <v>1</v>
      </c>
      <c r="D55" s="290">
        <v>4</v>
      </c>
      <c r="E55" s="290" t="s">
        <v>948</v>
      </c>
      <c r="F55" s="290" t="s">
        <v>437</v>
      </c>
      <c r="G55" s="291" t="s">
        <v>321</v>
      </c>
      <c r="H55" s="291"/>
      <c r="I55" s="291"/>
      <c r="J55" s="397">
        <v>0</v>
      </c>
      <c r="K55" s="398">
        <v>0</v>
      </c>
      <c r="L55" s="371">
        <f>L56</f>
        <v>0</v>
      </c>
      <c r="M55" s="371">
        <f>M56</f>
        <v>0</v>
      </c>
      <c r="N55" s="371">
        <f t="shared" si="6"/>
        <v>0</v>
      </c>
      <c r="O55" s="371">
        <f t="shared" si="7"/>
        <v>0</v>
      </c>
      <c r="P55" s="399"/>
      <c r="Q55" s="455"/>
      <c r="R55" s="446"/>
    </row>
    <row r="56" spans="1:19" s="245" customFormat="1" ht="12.05" customHeight="1">
      <c r="A56" s="304"/>
      <c r="B56" s="305"/>
      <c r="C56" s="305"/>
      <c r="D56" s="305"/>
      <c r="E56" s="305"/>
      <c r="F56" s="305"/>
      <c r="G56" s="306" t="s">
        <v>50</v>
      </c>
      <c r="H56" s="306"/>
      <c r="I56" s="306" t="s">
        <v>76</v>
      </c>
      <c r="J56" s="400">
        <v>0</v>
      </c>
      <c r="K56" s="401">
        <f>'[57]TARGET MURNI DAN PERUBAHAN'!$E$32</f>
        <v>0</v>
      </c>
      <c r="L56" s="402">
        <f>[62]PerDinas!$N$56</f>
        <v>0</v>
      </c>
      <c r="M56" s="401">
        <f>[55]Perdinas!$E$36</f>
        <v>0</v>
      </c>
      <c r="N56" s="403">
        <f t="shared" si="6"/>
        <v>0</v>
      </c>
      <c r="O56" s="404">
        <f t="shared" si="7"/>
        <v>0</v>
      </c>
      <c r="P56" s="405"/>
      <c r="Q56" s="456"/>
      <c r="R56" s="450"/>
    </row>
    <row r="57" spans="1:19" s="247" customFormat="1" ht="22.55" customHeight="1">
      <c r="A57" s="307"/>
      <c r="B57" s="308" t="s">
        <v>58</v>
      </c>
      <c r="C57" s="308" t="s">
        <v>438</v>
      </c>
      <c r="D57" s="308" t="s">
        <v>437</v>
      </c>
      <c r="E57" s="308" t="s">
        <v>438</v>
      </c>
      <c r="F57" s="309"/>
      <c r="G57" s="310" t="s">
        <v>950</v>
      </c>
      <c r="H57" s="311"/>
      <c r="I57" s="406"/>
      <c r="J57" s="407">
        <f>+J59</f>
        <v>650250000</v>
      </c>
      <c r="K57" s="408">
        <f>+K59</f>
        <v>1000000000</v>
      </c>
      <c r="L57" s="408">
        <f>+L59</f>
        <v>1062436240</v>
      </c>
      <c r="M57" s="408">
        <f>+M59</f>
        <v>70874000</v>
      </c>
      <c r="N57" s="408">
        <f t="shared" ref="N57:N62" si="8">+M57+L57</f>
        <v>1133310240</v>
      </c>
      <c r="O57" s="408">
        <f t="shared" si="7"/>
        <v>133310240</v>
      </c>
      <c r="P57" s="409">
        <f t="shared" ref="P57:P63" si="9">N57/K57*100</f>
        <v>113.33102399999999</v>
      </c>
      <c r="Q57" s="457"/>
      <c r="R57" s="458"/>
    </row>
    <row r="58" spans="1:19" s="189" customFormat="1" ht="12.05" customHeight="1">
      <c r="A58" s="286"/>
      <c r="B58" s="287"/>
      <c r="C58" s="287"/>
      <c r="D58" s="287"/>
      <c r="E58" s="287"/>
      <c r="F58" s="287"/>
      <c r="G58" s="288"/>
      <c r="H58" s="288"/>
      <c r="I58" s="410"/>
      <c r="J58" s="385"/>
      <c r="K58" s="386"/>
      <c r="L58" s="386"/>
      <c r="M58" s="386"/>
      <c r="N58" s="386"/>
      <c r="O58" s="386"/>
      <c r="P58" s="341"/>
      <c r="Q58" s="453"/>
      <c r="R58" s="422"/>
    </row>
    <row r="59" spans="1:19" s="189" customFormat="1" ht="12.05" customHeight="1">
      <c r="A59" s="294"/>
      <c r="B59" s="290">
        <v>4</v>
      </c>
      <c r="C59" s="290">
        <v>1</v>
      </c>
      <c r="D59" s="290"/>
      <c r="E59" s="290"/>
      <c r="F59" s="290"/>
      <c r="G59" s="291" t="s">
        <v>180</v>
      </c>
      <c r="H59" s="291"/>
      <c r="I59" s="291"/>
      <c r="J59" s="387">
        <f>+J61+J66</f>
        <v>650250000</v>
      </c>
      <c r="K59" s="367">
        <f>+K61+K66</f>
        <v>1000000000</v>
      </c>
      <c r="L59" s="367">
        <f>+L61+L66</f>
        <v>1062436240</v>
      </c>
      <c r="M59" s="367">
        <f>+M61+M66</f>
        <v>70874000</v>
      </c>
      <c r="N59" s="367">
        <f t="shared" si="8"/>
        <v>1133310240</v>
      </c>
      <c r="O59" s="367">
        <f t="shared" ref="O59:O64" si="10">N59-K59</f>
        <v>133310240</v>
      </c>
      <c r="P59" s="347">
        <f t="shared" si="9"/>
        <v>113.33102399999999</v>
      </c>
      <c r="Q59" s="454"/>
      <c r="R59" s="422"/>
    </row>
    <row r="60" spans="1:19" s="189" customFormat="1" ht="12.05" customHeight="1">
      <c r="A60" s="289"/>
      <c r="B60" s="292"/>
      <c r="C60" s="292"/>
      <c r="D60" s="292"/>
      <c r="E60" s="292"/>
      <c r="F60" s="292"/>
      <c r="G60" s="253"/>
      <c r="H60" s="253"/>
      <c r="I60" s="253"/>
      <c r="J60" s="387"/>
      <c r="K60" s="367"/>
      <c r="L60" s="367"/>
      <c r="M60" s="367"/>
      <c r="N60" s="367"/>
      <c r="O60" s="367"/>
      <c r="P60" s="347"/>
      <c r="Q60" s="454"/>
      <c r="R60" s="422"/>
    </row>
    <row r="61" spans="1:19" s="189" customFormat="1" ht="12.05" customHeight="1">
      <c r="A61" s="294"/>
      <c r="B61" s="290">
        <v>4</v>
      </c>
      <c r="C61" s="290">
        <v>1</v>
      </c>
      <c r="D61" s="290">
        <v>2</v>
      </c>
      <c r="E61" s="290"/>
      <c r="F61" s="290"/>
      <c r="G61" s="291" t="s">
        <v>106</v>
      </c>
      <c r="H61" s="291"/>
      <c r="I61" s="253"/>
      <c r="J61" s="348">
        <f>+J62</f>
        <v>650000000</v>
      </c>
      <c r="K61" s="349">
        <f>+K62</f>
        <v>1000000000</v>
      </c>
      <c r="L61" s="349">
        <f>+L62</f>
        <v>1059100240</v>
      </c>
      <c r="M61" s="349">
        <f>+M62</f>
        <v>70874000</v>
      </c>
      <c r="N61" s="349">
        <f t="shared" si="8"/>
        <v>1129974240</v>
      </c>
      <c r="O61" s="349">
        <f t="shared" si="10"/>
        <v>129974240</v>
      </c>
      <c r="P61" s="350">
        <f t="shared" si="9"/>
        <v>112.997424</v>
      </c>
      <c r="Q61" s="459"/>
      <c r="R61" s="460"/>
    </row>
    <row r="62" spans="1:19" s="189" customFormat="1" ht="12.05" customHeight="1">
      <c r="A62" s="294"/>
      <c r="B62" s="292">
        <v>4</v>
      </c>
      <c r="C62" s="292">
        <v>1</v>
      </c>
      <c r="D62" s="292">
        <v>2</v>
      </c>
      <c r="E62" s="292" t="s">
        <v>437</v>
      </c>
      <c r="F62" s="292"/>
      <c r="G62" s="253" t="s">
        <v>107</v>
      </c>
      <c r="H62" s="253"/>
      <c r="I62" s="253"/>
      <c r="J62" s="411">
        <f>+J63+J64</f>
        <v>650000000</v>
      </c>
      <c r="K62" s="412">
        <f>+K63+K64</f>
        <v>1000000000</v>
      </c>
      <c r="L62" s="412">
        <f>+L63+L64</f>
        <v>1059100240</v>
      </c>
      <c r="M62" s="412">
        <f>+M63+M64</f>
        <v>70874000</v>
      </c>
      <c r="N62" s="413">
        <f t="shared" si="8"/>
        <v>1129974240</v>
      </c>
      <c r="O62" s="413">
        <f t="shared" si="10"/>
        <v>129974240</v>
      </c>
      <c r="P62" s="414">
        <f t="shared" si="9"/>
        <v>112.997424</v>
      </c>
      <c r="Q62" s="461"/>
      <c r="R62" s="422"/>
    </row>
    <row r="63" spans="1:19" s="189" customFormat="1" ht="12.05" customHeight="1">
      <c r="A63" s="294"/>
      <c r="B63" s="292">
        <v>4</v>
      </c>
      <c r="C63" s="292">
        <v>1</v>
      </c>
      <c r="D63" s="292">
        <v>2</v>
      </c>
      <c r="E63" s="292" t="s">
        <v>437</v>
      </c>
      <c r="F63" s="292" t="s">
        <v>437</v>
      </c>
      <c r="G63" s="253" t="s">
        <v>84</v>
      </c>
      <c r="H63" s="253"/>
      <c r="I63" s="253"/>
      <c r="J63" s="389">
        <v>650000000</v>
      </c>
      <c r="K63" s="390">
        <f>'[57]TARGET MURNI DAN PERUBAHAN'!$E$36</f>
        <v>1000000000</v>
      </c>
      <c r="L63" s="391">
        <f>[62]PerDinas!$N$63</f>
        <v>1059100240</v>
      </c>
      <c r="M63" s="390">
        <f>[55]Perdinas!$E$40</f>
        <v>70874000</v>
      </c>
      <c r="N63" s="415">
        <f>M63+L63</f>
        <v>1129974240</v>
      </c>
      <c r="O63" s="357">
        <f t="shared" si="10"/>
        <v>129974240</v>
      </c>
      <c r="P63" s="358">
        <f t="shared" si="9"/>
        <v>112.997424</v>
      </c>
      <c r="Q63" s="462"/>
      <c r="R63" s="463"/>
      <c r="S63" s="436"/>
    </row>
    <row r="64" spans="1:19" s="189" customFormat="1" ht="12.05" customHeight="1">
      <c r="A64" s="294"/>
      <c r="B64" s="292">
        <v>4</v>
      </c>
      <c r="C64" s="292">
        <v>1</v>
      </c>
      <c r="D64" s="292">
        <v>2</v>
      </c>
      <c r="E64" s="292" t="s">
        <v>437</v>
      </c>
      <c r="F64" s="292" t="s">
        <v>441</v>
      </c>
      <c r="G64" s="253" t="s">
        <v>951</v>
      </c>
      <c r="H64" s="253"/>
      <c r="I64" s="253"/>
      <c r="J64" s="333"/>
      <c r="K64" s="334"/>
      <c r="L64" s="356">
        <v>0</v>
      </c>
      <c r="M64" s="334"/>
      <c r="N64" s="330">
        <f>M64+L64</f>
        <v>0</v>
      </c>
      <c r="O64" s="334">
        <f t="shared" si="10"/>
        <v>0</v>
      </c>
      <c r="P64" s="335"/>
      <c r="Q64" s="430"/>
      <c r="R64" s="464"/>
    </row>
    <row r="65" spans="1:20" s="189" customFormat="1" ht="12.05" customHeight="1">
      <c r="A65" s="289"/>
      <c r="B65" s="292"/>
      <c r="C65" s="292"/>
      <c r="D65" s="292"/>
      <c r="E65" s="292"/>
      <c r="F65" s="292"/>
      <c r="G65" s="253"/>
      <c r="H65" s="253"/>
      <c r="I65" s="253"/>
      <c r="J65" s="354"/>
      <c r="K65" s="355"/>
      <c r="L65" s="355"/>
      <c r="M65" s="355"/>
      <c r="N65" s="355"/>
      <c r="O65" s="355"/>
      <c r="P65" s="388"/>
      <c r="Q65" s="441"/>
      <c r="R65" s="539"/>
      <c r="S65" s="540"/>
    </row>
    <row r="66" spans="1:20" s="189" customFormat="1" ht="12.05" customHeight="1">
      <c r="A66" s="294"/>
      <c r="B66" s="290">
        <v>4</v>
      </c>
      <c r="C66" s="290">
        <v>1</v>
      </c>
      <c r="D66" s="290">
        <v>4</v>
      </c>
      <c r="E66" s="290"/>
      <c r="F66" s="290"/>
      <c r="G66" s="291" t="s">
        <v>71</v>
      </c>
      <c r="H66" s="291"/>
      <c r="I66" s="291"/>
      <c r="J66" s="392">
        <f>J67+J72</f>
        <v>250000</v>
      </c>
      <c r="K66" s="393">
        <f>K67+K72</f>
        <v>0</v>
      </c>
      <c r="L66" s="393">
        <f>L67+L72</f>
        <v>3336000</v>
      </c>
      <c r="M66" s="393">
        <f>M67+M72</f>
        <v>0</v>
      </c>
      <c r="N66" s="393">
        <f>N67+N72</f>
        <v>3336000</v>
      </c>
      <c r="O66" s="349">
        <f t="shared" ref="O66:O73" si="11">N66-K66</f>
        <v>3336000</v>
      </c>
      <c r="P66" s="350" t="e">
        <f>N66/K66*100</f>
        <v>#DIV/0!</v>
      </c>
      <c r="Q66" s="444"/>
      <c r="R66" s="422"/>
      <c r="T66" s="63"/>
    </row>
    <row r="67" spans="1:20" s="189" customFormat="1" ht="12.05" customHeight="1">
      <c r="A67" s="289"/>
      <c r="B67" s="292">
        <v>4</v>
      </c>
      <c r="C67" s="292">
        <v>1</v>
      </c>
      <c r="D67" s="292">
        <v>4</v>
      </c>
      <c r="E67" s="292" t="s">
        <v>444</v>
      </c>
      <c r="F67" s="292"/>
      <c r="G67" s="253" t="s">
        <v>222</v>
      </c>
      <c r="H67" s="253"/>
      <c r="I67" s="253"/>
      <c r="J67" s="475">
        <f>+J70</f>
        <v>0</v>
      </c>
      <c r="K67" s="476">
        <f>+K70</f>
        <v>0</v>
      </c>
      <c r="L67" s="476">
        <f>SUM(L68:L70)</f>
        <v>3336000</v>
      </c>
      <c r="M67" s="476">
        <f>SUM(M68:M70)</f>
        <v>0</v>
      </c>
      <c r="N67" s="476">
        <f>SUM(N68:N70)</f>
        <v>3336000</v>
      </c>
      <c r="O67" s="477">
        <f t="shared" si="11"/>
        <v>3336000</v>
      </c>
      <c r="P67" s="478">
        <v>0</v>
      </c>
      <c r="Q67" s="541"/>
      <c r="R67" s="422"/>
      <c r="T67" s="542"/>
    </row>
    <row r="68" spans="1:20" s="189" customFormat="1" ht="12.05" customHeight="1">
      <c r="A68" s="289"/>
      <c r="B68" s="292">
        <v>4</v>
      </c>
      <c r="C68" s="292">
        <v>1</v>
      </c>
      <c r="D68" s="292">
        <v>4</v>
      </c>
      <c r="E68" s="292" t="s">
        <v>444</v>
      </c>
      <c r="F68" s="292" t="s">
        <v>440</v>
      </c>
      <c r="G68" s="253" t="s">
        <v>73</v>
      </c>
      <c r="H68" s="253"/>
      <c r="I68" s="253"/>
      <c r="J68" s="354">
        <v>0</v>
      </c>
      <c r="K68" s="355">
        <v>0</v>
      </c>
      <c r="L68" s="360">
        <v>0</v>
      </c>
      <c r="M68" s="355">
        <f>[55]Perdinas!$E$44</f>
        <v>0</v>
      </c>
      <c r="N68" s="355">
        <f t="shared" ref="N68:N73" si="12">M68+L68</f>
        <v>0</v>
      </c>
      <c r="O68" s="355">
        <f t="shared" si="11"/>
        <v>0</v>
      </c>
      <c r="P68" s="388"/>
      <c r="Q68" s="441"/>
      <c r="R68" s="422"/>
    </row>
    <row r="69" spans="1:20" s="189" customFormat="1" ht="12.05" customHeight="1">
      <c r="A69" s="289"/>
      <c r="B69" s="292">
        <v>4</v>
      </c>
      <c r="C69" s="292">
        <v>1</v>
      </c>
      <c r="D69" s="292">
        <v>4</v>
      </c>
      <c r="E69" s="292" t="s">
        <v>444</v>
      </c>
      <c r="F69" s="292" t="s">
        <v>445</v>
      </c>
      <c r="G69" s="253" t="s">
        <v>74</v>
      </c>
      <c r="H69" s="253"/>
      <c r="I69" s="253"/>
      <c r="J69" s="354">
        <v>0</v>
      </c>
      <c r="K69" s="355">
        <v>0</v>
      </c>
      <c r="L69" s="360">
        <v>0</v>
      </c>
      <c r="M69" s="355">
        <f>[55]Perdinas!$E$45</f>
        <v>0</v>
      </c>
      <c r="N69" s="355">
        <f t="shared" si="12"/>
        <v>0</v>
      </c>
      <c r="O69" s="355">
        <f t="shared" si="11"/>
        <v>0</v>
      </c>
      <c r="P69" s="388"/>
      <c r="Q69" s="441"/>
      <c r="R69" s="422"/>
    </row>
    <row r="70" spans="1:20" s="189" customFormat="1" ht="12.05" customHeight="1">
      <c r="A70" s="289"/>
      <c r="B70" s="292">
        <v>4</v>
      </c>
      <c r="C70" s="292">
        <v>1</v>
      </c>
      <c r="D70" s="292">
        <v>4</v>
      </c>
      <c r="E70" s="292" t="s">
        <v>444</v>
      </c>
      <c r="F70" s="292" t="s">
        <v>441</v>
      </c>
      <c r="G70" s="253" t="s">
        <v>75</v>
      </c>
      <c r="H70" s="253"/>
      <c r="I70" s="253"/>
      <c r="J70" s="354">
        <v>0</v>
      </c>
      <c r="K70" s="390">
        <f>'[57]TARGET MURNI DAN PERUBAHAN'!$E$39</f>
        <v>0</v>
      </c>
      <c r="L70" s="360">
        <f>[62]PerDinas!$N$70</f>
        <v>3336000</v>
      </c>
      <c r="M70" s="390">
        <f>[55]Perdinas!$E$46</f>
        <v>0</v>
      </c>
      <c r="N70" s="369">
        <f t="shared" si="12"/>
        <v>3336000</v>
      </c>
      <c r="O70" s="355">
        <f t="shared" si="11"/>
        <v>3336000</v>
      </c>
      <c r="P70" s="388"/>
      <c r="Q70" s="441"/>
      <c r="R70" s="422"/>
    </row>
    <row r="71" spans="1:20" s="189" customFormat="1" ht="12.05" customHeight="1">
      <c r="A71" s="289"/>
      <c r="B71" s="292"/>
      <c r="C71" s="292"/>
      <c r="D71" s="292"/>
      <c r="E71" s="292"/>
      <c r="F71" s="292"/>
      <c r="G71" s="253"/>
      <c r="H71" s="253"/>
      <c r="I71" s="253"/>
      <c r="J71" s="354">
        <v>0</v>
      </c>
      <c r="K71" s="355">
        <v>0</v>
      </c>
      <c r="L71" s="360">
        <v>0</v>
      </c>
      <c r="M71" s="355">
        <v>0</v>
      </c>
      <c r="N71" s="355">
        <f t="shared" si="12"/>
        <v>0</v>
      </c>
      <c r="O71" s="355">
        <f t="shared" si="11"/>
        <v>0</v>
      </c>
      <c r="P71" s="388"/>
      <c r="Q71" s="461"/>
      <c r="R71" s="422"/>
    </row>
    <row r="72" spans="1:20" s="190" customFormat="1" ht="12.05" customHeight="1">
      <c r="A72" s="465"/>
      <c r="B72" s="466">
        <v>4</v>
      </c>
      <c r="C72" s="466">
        <v>1</v>
      </c>
      <c r="D72" s="466">
        <v>4</v>
      </c>
      <c r="E72" s="466" t="s">
        <v>948</v>
      </c>
      <c r="F72" s="466"/>
      <c r="G72" s="467" t="s">
        <v>321</v>
      </c>
      <c r="H72" s="467"/>
      <c r="I72" s="467"/>
      <c r="J72" s="479">
        <f>+J73</f>
        <v>250000</v>
      </c>
      <c r="K72" s="480">
        <f>+K73</f>
        <v>0</v>
      </c>
      <c r="L72" s="481">
        <f>+L73</f>
        <v>0</v>
      </c>
      <c r="M72" s="480">
        <f>+M73</f>
        <v>0</v>
      </c>
      <c r="N72" s="480">
        <f t="shared" si="12"/>
        <v>0</v>
      </c>
      <c r="O72" s="480">
        <f t="shared" si="11"/>
        <v>0</v>
      </c>
      <c r="P72" s="353"/>
      <c r="Q72" s="447"/>
      <c r="R72" s="543"/>
    </row>
    <row r="73" spans="1:20" s="245" customFormat="1" ht="12.05" customHeight="1">
      <c r="A73" s="289"/>
      <c r="B73" s="292">
        <v>4</v>
      </c>
      <c r="C73" s="292">
        <v>1</v>
      </c>
      <c r="D73" s="292">
        <v>4</v>
      </c>
      <c r="E73" s="292" t="s">
        <v>948</v>
      </c>
      <c r="F73" s="292" t="s">
        <v>437</v>
      </c>
      <c r="G73" s="253" t="s">
        <v>50</v>
      </c>
      <c r="H73" s="253"/>
      <c r="I73" s="253" t="s">
        <v>85</v>
      </c>
      <c r="J73" s="354">
        <v>250000</v>
      </c>
      <c r="K73" s="373">
        <f>'[57]TARGET MURNI DAN PERUBAHAN'!$E$48</f>
        <v>0</v>
      </c>
      <c r="L73" s="360">
        <f>[62]PerDinas!$N$73</f>
        <v>0</v>
      </c>
      <c r="M73" s="373">
        <f>[55]Perdinas!$E$47</f>
        <v>0</v>
      </c>
      <c r="N73" s="369">
        <f t="shared" si="12"/>
        <v>0</v>
      </c>
      <c r="O73" s="355">
        <f t="shared" si="11"/>
        <v>0</v>
      </c>
      <c r="P73" s="388"/>
      <c r="Q73" s="441"/>
      <c r="R73" s="544"/>
      <c r="S73" s="436"/>
    </row>
    <row r="74" spans="1:20" s="189" customFormat="1" ht="12.05" customHeight="1">
      <c r="A74" s="468"/>
      <c r="B74" s="469"/>
      <c r="C74" s="469"/>
      <c r="D74" s="469"/>
      <c r="E74" s="469"/>
      <c r="F74" s="469"/>
      <c r="G74" s="245"/>
      <c r="H74" s="245"/>
      <c r="I74" s="245"/>
      <c r="J74" s="482"/>
      <c r="K74" s="404"/>
      <c r="L74" s="404"/>
      <c r="M74" s="404"/>
      <c r="N74" s="404"/>
      <c r="O74" s="404"/>
      <c r="P74" s="483"/>
      <c r="Q74" s="456"/>
      <c r="R74" s="422"/>
    </row>
    <row r="75" spans="1:20" s="247" customFormat="1" ht="21.8" customHeight="1">
      <c r="A75" s="470"/>
      <c r="B75" s="308" t="s">
        <v>58</v>
      </c>
      <c r="C75" s="308" t="s">
        <v>438</v>
      </c>
      <c r="D75" s="308" t="s">
        <v>437</v>
      </c>
      <c r="E75" s="308" t="s">
        <v>451</v>
      </c>
      <c r="F75" s="308"/>
      <c r="G75" s="310" t="s">
        <v>952</v>
      </c>
      <c r="H75" s="310"/>
      <c r="I75" s="310"/>
      <c r="J75" s="407">
        <f>+J77</f>
        <v>150000000</v>
      </c>
      <c r="K75" s="408">
        <f>+K77</f>
        <v>110000000</v>
      </c>
      <c r="L75" s="408">
        <f>+L77</f>
        <v>142897500</v>
      </c>
      <c r="M75" s="408">
        <f>+M77</f>
        <v>26386500</v>
      </c>
      <c r="N75" s="408">
        <f>M75+L75</f>
        <v>169284000</v>
      </c>
      <c r="O75" s="408">
        <f>+N75-K75</f>
        <v>59284000</v>
      </c>
      <c r="P75" s="409">
        <f>+N75/K75*100</f>
        <v>153.89454545454547</v>
      </c>
      <c r="Q75" s="457"/>
      <c r="R75" s="458"/>
    </row>
    <row r="76" spans="1:20" s="189" customFormat="1" ht="12.05" customHeight="1">
      <c r="A76" s="471"/>
      <c r="B76" s="287"/>
      <c r="C76" s="287"/>
      <c r="D76" s="287"/>
      <c r="E76" s="287"/>
      <c r="F76" s="287"/>
      <c r="G76" s="288"/>
      <c r="H76" s="288"/>
      <c r="I76" s="288"/>
      <c r="J76" s="385"/>
      <c r="K76" s="386"/>
      <c r="L76" s="386"/>
      <c r="M76" s="386"/>
      <c r="N76" s="386"/>
      <c r="O76" s="386"/>
      <c r="P76" s="341"/>
      <c r="Q76" s="453"/>
      <c r="R76" s="422"/>
    </row>
    <row r="77" spans="1:20" s="189" customFormat="1" ht="12.05" customHeight="1">
      <c r="A77" s="293"/>
      <c r="B77" s="290">
        <v>4</v>
      </c>
      <c r="C77" s="290">
        <v>1</v>
      </c>
      <c r="D77" s="290"/>
      <c r="E77" s="290"/>
      <c r="F77" s="290"/>
      <c r="G77" s="291" t="s">
        <v>180</v>
      </c>
      <c r="H77" s="291"/>
      <c r="I77" s="291"/>
      <c r="J77" s="342">
        <f>J78+J82</f>
        <v>150000000</v>
      </c>
      <c r="K77" s="343">
        <f>K78+K82</f>
        <v>110000000</v>
      </c>
      <c r="L77" s="343">
        <f>L78+L82</f>
        <v>142897500</v>
      </c>
      <c r="M77" s="343">
        <f>M78+M82</f>
        <v>26386500</v>
      </c>
      <c r="N77" s="343">
        <f>+M77+L77</f>
        <v>169284000</v>
      </c>
      <c r="O77" s="343">
        <f>N77-K77</f>
        <v>59284000</v>
      </c>
      <c r="P77" s="344">
        <f>N77/K77*100</f>
        <v>153.89454545454547</v>
      </c>
      <c r="Q77" s="437"/>
      <c r="R77" s="422"/>
    </row>
    <row r="78" spans="1:20" s="189" customFormat="1" ht="12.05" customHeight="1">
      <c r="A78" s="293"/>
      <c r="B78" s="290">
        <v>4</v>
      </c>
      <c r="C78" s="290">
        <v>1</v>
      </c>
      <c r="D78" s="290">
        <v>2</v>
      </c>
      <c r="E78" s="290"/>
      <c r="F78" s="290"/>
      <c r="G78" s="291" t="s">
        <v>106</v>
      </c>
      <c r="H78" s="291"/>
      <c r="I78" s="253"/>
      <c r="J78" s="392">
        <f>+J79</f>
        <v>150000000</v>
      </c>
      <c r="K78" s="393">
        <f>+K79</f>
        <v>110000000</v>
      </c>
      <c r="L78" s="393">
        <f>+L79</f>
        <v>142666500</v>
      </c>
      <c r="M78" s="393">
        <f>+M79</f>
        <v>26386500</v>
      </c>
      <c r="N78" s="349">
        <f>+M78+L78</f>
        <v>169053000</v>
      </c>
      <c r="O78" s="349">
        <f>N78-K78</f>
        <v>59053000</v>
      </c>
      <c r="P78" s="350">
        <f>N78/K78*100</f>
        <v>153.68454545454546</v>
      </c>
      <c r="Q78" s="444"/>
      <c r="R78" s="422"/>
    </row>
    <row r="79" spans="1:20" s="189" customFormat="1" ht="12.05" customHeight="1">
      <c r="A79" s="293"/>
      <c r="B79" s="292">
        <v>4</v>
      </c>
      <c r="C79" s="292">
        <v>1</v>
      </c>
      <c r="D79" s="292">
        <v>2</v>
      </c>
      <c r="E79" s="292" t="s">
        <v>437</v>
      </c>
      <c r="F79" s="292"/>
      <c r="G79" s="253" t="s">
        <v>107</v>
      </c>
      <c r="H79" s="253"/>
      <c r="I79" s="253"/>
      <c r="J79" s="484">
        <f>+J80</f>
        <v>150000000</v>
      </c>
      <c r="K79" s="485">
        <f>+K80</f>
        <v>110000000</v>
      </c>
      <c r="L79" s="486">
        <f>L80</f>
        <v>142666500</v>
      </c>
      <c r="M79" s="485">
        <f>M80</f>
        <v>26386500</v>
      </c>
      <c r="N79" s="485">
        <f>N80</f>
        <v>169053000</v>
      </c>
      <c r="O79" s="412">
        <f>N79-K79</f>
        <v>59053000</v>
      </c>
      <c r="P79" s="487">
        <f>N79/K79*100</f>
        <v>153.68454545454546</v>
      </c>
      <c r="Q79" s="461"/>
      <c r="R79" s="422"/>
    </row>
    <row r="80" spans="1:20" s="189" customFormat="1" ht="12.05" customHeight="1">
      <c r="A80" s="293"/>
      <c r="B80" s="292">
        <v>4</v>
      </c>
      <c r="C80" s="292">
        <v>1</v>
      </c>
      <c r="D80" s="292">
        <v>2</v>
      </c>
      <c r="E80" s="292" t="s">
        <v>438</v>
      </c>
      <c r="F80" s="292" t="s">
        <v>437</v>
      </c>
      <c r="G80" s="253" t="s">
        <v>84</v>
      </c>
      <c r="H80" s="253"/>
      <c r="I80" s="253"/>
      <c r="J80" s="354">
        <v>150000000</v>
      </c>
      <c r="K80" s="373">
        <f>'[57]TARGET MURNI DAN PERUBAHAN'!$E$44</f>
        <v>110000000</v>
      </c>
      <c r="L80" s="360">
        <f>[62]PerDinas!$N$80</f>
        <v>142666500</v>
      </c>
      <c r="M80" s="373">
        <f>[55]Perdinas!$E$51</f>
        <v>26386500</v>
      </c>
      <c r="N80" s="369">
        <f t="shared" ref="N80:N86" si="13">M80+L80</f>
        <v>169053000</v>
      </c>
      <c r="O80" s="355">
        <f>N80-K80</f>
        <v>59053000</v>
      </c>
      <c r="P80" s="388">
        <f>N80/K80*100</f>
        <v>153.68454545454546</v>
      </c>
      <c r="Q80" s="441"/>
      <c r="R80" s="545"/>
      <c r="S80" s="546"/>
    </row>
    <row r="81" spans="1:18" s="189" customFormat="1" ht="12.05" customHeight="1">
      <c r="A81" s="293"/>
      <c r="B81" s="292"/>
      <c r="C81" s="292"/>
      <c r="D81" s="292"/>
      <c r="E81" s="292"/>
      <c r="F81" s="292"/>
      <c r="G81" s="253"/>
      <c r="H81" s="253"/>
      <c r="I81" s="253"/>
      <c r="J81" s="354"/>
      <c r="K81" s="355"/>
      <c r="L81" s="355"/>
      <c r="M81" s="355"/>
      <c r="N81" s="355"/>
      <c r="O81" s="355"/>
      <c r="P81" s="388"/>
      <c r="Q81" s="441"/>
      <c r="R81" s="422"/>
    </row>
    <row r="82" spans="1:18" s="189" customFormat="1" ht="12.05" customHeight="1">
      <c r="A82" s="293"/>
      <c r="B82" s="290">
        <v>4</v>
      </c>
      <c r="C82" s="290">
        <v>1</v>
      </c>
      <c r="D82" s="290">
        <v>4</v>
      </c>
      <c r="E82" s="290"/>
      <c r="F82" s="290"/>
      <c r="G82" s="291" t="s">
        <v>71</v>
      </c>
      <c r="H82" s="291"/>
      <c r="I82" s="291"/>
      <c r="J82" s="392">
        <f>J83+J88</f>
        <v>0</v>
      </c>
      <c r="K82" s="393">
        <f>K83+K88</f>
        <v>0</v>
      </c>
      <c r="L82" s="393">
        <f>L83+L88</f>
        <v>231000</v>
      </c>
      <c r="M82" s="393">
        <f>M83+M88</f>
        <v>0</v>
      </c>
      <c r="N82" s="393">
        <f>N83+N88</f>
        <v>231000</v>
      </c>
      <c r="O82" s="349">
        <f>N82-K82</f>
        <v>231000</v>
      </c>
      <c r="P82" s="350"/>
      <c r="Q82" s="444"/>
      <c r="R82" s="422"/>
    </row>
    <row r="83" spans="1:18" s="189" customFormat="1" ht="12.05" customHeight="1">
      <c r="A83" s="289"/>
      <c r="B83" s="292">
        <v>4</v>
      </c>
      <c r="C83" s="292">
        <v>1</v>
      </c>
      <c r="D83" s="292">
        <v>4</v>
      </c>
      <c r="E83" s="292" t="s">
        <v>444</v>
      </c>
      <c r="F83" s="292"/>
      <c r="G83" s="253" t="s">
        <v>222</v>
      </c>
      <c r="H83" s="253"/>
      <c r="I83" s="253"/>
      <c r="J83" s="484">
        <f>+J86</f>
        <v>0</v>
      </c>
      <c r="K83" s="485">
        <f>+K86</f>
        <v>0</v>
      </c>
      <c r="L83" s="485">
        <f>SUM(L84:L86)</f>
        <v>224000</v>
      </c>
      <c r="M83" s="485">
        <f>SUM(M84:M86)</f>
        <v>0</v>
      </c>
      <c r="N83" s="485">
        <f>SUM(N84:N86)</f>
        <v>224000</v>
      </c>
      <c r="O83" s="412">
        <f>N83-K83</f>
        <v>224000</v>
      </c>
      <c r="P83" s="488">
        <v>0</v>
      </c>
      <c r="Q83" s="541"/>
      <c r="R83" s="422"/>
    </row>
    <row r="84" spans="1:18" s="189" customFormat="1" ht="12.05" customHeight="1">
      <c r="A84" s="289"/>
      <c r="B84" s="292">
        <v>4</v>
      </c>
      <c r="C84" s="292" t="s">
        <v>700</v>
      </c>
      <c r="D84" s="292">
        <v>4</v>
      </c>
      <c r="E84" s="292" t="s">
        <v>444</v>
      </c>
      <c r="F84" s="292" t="s">
        <v>440</v>
      </c>
      <c r="G84" s="253" t="s">
        <v>73</v>
      </c>
      <c r="H84" s="253"/>
      <c r="I84" s="253"/>
      <c r="J84" s="354">
        <v>0</v>
      </c>
      <c r="K84" s="355">
        <v>0</v>
      </c>
      <c r="L84" s="355">
        <v>0</v>
      </c>
      <c r="M84" s="355">
        <f>[55]Perdinas!$E$55</f>
        <v>0</v>
      </c>
      <c r="N84" s="355">
        <f t="shared" si="13"/>
        <v>0</v>
      </c>
      <c r="O84" s="355">
        <f>N84-K84</f>
        <v>0</v>
      </c>
      <c r="P84" s="388"/>
      <c r="Q84" s="442"/>
      <c r="R84" s="422"/>
    </row>
    <row r="85" spans="1:18" s="189" customFormat="1" ht="12.05" customHeight="1">
      <c r="A85" s="289"/>
      <c r="B85" s="292">
        <v>4</v>
      </c>
      <c r="C85" s="292">
        <v>1</v>
      </c>
      <c r="D85" s="292">
        <v>4</v>
      </c>
      <c r="E85" s="292" t="s">
        <v>444</v>
      </c>
      <c r="F85" s="292" t="s">
        <v>445</v>
      </c>
      <c r="G85" s="253" t="s">
        <v>74</v>
      </c>
      <c r="H85" s="253"/>
      <c r="I85" s="253"/>
      <c r="J85" s="354">
        <v>0</v>
      </c>
      <c r="K85" s="355">
        <v>0</v>
      </c>
      <c r="L85" s="360">
        <v>0</v>
      </c>
      <c r="M85" s="355">
        <f>[55]Perdinas!$E$56</f>
        <v>0</v>
      </c>
      <c r="N85" s="355">
        <f t="shared" si="13"/>
        <v>0</v>
      </c>
      <c r="O85" s="355">
        <f>N85-K85</f>
        <v>0</v>
      </c>
      <c r="P85" s="388"/>
      <c r="Q85" s="441"/>
      <c r="R85" s="422"/>
    </row>
    <row r="86" spans="1:18" s="189" customFormat="1" ht="12.05" customHeight="1">
      <c r="A86" s="289"/>
      <c r="B86" s="292">
        <v>4</v>
      </c>
      <c r="C86" s="292">
        <v>1</v>
      </c>
      <c r="D86" s="292">
        <v>4</v>
      </c>
      <c r="E86" s="292" t="s">
        <v>444</v>
      </c>
      <c r="F86" s="292" t="s">
        <v>441</v>
      </c>
      <c r="G86" s="253" t="s">
        <v>75</v>
      </c>
      <c r="H86" s="253"/>
      <c r="I86" s="253"/>
      <c r="J86" s="354">
        <v>0</v>
      </c>
      <c r="K86" s="355">
        <f>'[57]TARGET MURNI DAN PERUBAHAN'!$E$47</f>
        <v>0</v>
      </c>
      <c r="L86" s="360">
        <f>[62]PerDinas!$N$86</f>
        <v>224000</v>
      </c>
      <c r="M86" s="359">
        <f>[55]Perdinas!$E$57</f>
        <v>0</v>
      </c>
      <c r="N86" s="369">
        <f t="shared" si="13"/>
        <v>224000</v>
      </c>
      <c r="O86" s="355">
        <f>N86-K86</f>
        <v>224000</v>
      </c>
      <c r="P86" s="2769" t="s">
        <v>50</v>
      </c>
      <c r="Q86" s="441"/>
      <c r="R86" s="422"/>
    </row>
    <row r="87" spans="1:18" s="189" customFormat="1" ht="12.05" customHeight="1">
      <c r="A87" s="289"/>
      <c r="B87" s="292"/>
      <c r="C87" s="292"/>
      <c r="D87" s="292"/>
      <c r="E87" s="292"/>
      <c r="F87" s="292"/>
      <c r="G87" s="253"/>
      <c r="H87" s="253"/>
      <c r="I87" s="253"/>
      <c r="J87" s="354"/>
      <c r="K87" s="355"/>
      <c r="L87" s="360"/>
      <c r="M87" s="355"/>
      <c r="N87" s="355"/>
      <c r="O87" s="355"/>
      <c r="P87" s="388"/>
      <c r="Q87" s="441"/>
      <c r="R87" s="422"/>
    </row>
    <row r="88" spans="1:18" s="189" customFormat="1" ht="12.05" customHeight="1">
      <c r="A88" s="293"/>
      <c r="B88" s="292">
        <v>4</v>
      </c>
      <c r="C88" s="292">
        <v>1</v>
      </c>
      <c r="D88" s="292">
        <v>4</v>
      </c>
      <c r="E88" s="292" t="s">
        <v>948</v>
      </c>
      <c r="F88" s="292"/>
      <c r="G88" s="410" t="s">
        <v>321</v>
      </c>
      <c r="H88" s="410"/>
      <c r="I88" s="410"/>
      <c r="J88" s="489">
        <f t="shared" ref="J88:M89" si="14">+J89</f>
        <v>0</v>
      </c>
      <c r="K88" s="490">
        <f t="shared" si="14"/>
        <v>0</v>
      </c>
      <c r="L88" s="491">
        <f t="shared" si="14"/>
        <v>7000</v>
      </c>
      <c r="M88" s="490">
        <f t="shared" si="14"/>
        <v>0</v>
      </c>
      <c r="N88" s="492">
        <f>+M88+L88</f>
        <v>7000</v>
      </c>
      <c r="O88" s="492">
        <f>N88-K88</f>
        <v>7000</v>
      </c>
      <c r="P88" s="493">
        <v>0</v>
      </c>
      <c r="Q88" s="547"/>
      <c r="R88" s="422"/>
    </row>
    <row r="89" spans="1:18" s="189" customFormat="1" ht="12.05" customHeight="1">
      <c r="A89" s="293"/>
      <c r="B89" s="292">
        <v>4</v>
      </c>
      <c r="C89" s="292">
        <v>1</v>
      </c>
      <c r="D89" s="292">
        <v>4</v>
      </c>
      <c r="E89" s="292" t="s">
        <v>948</v>
      </c>
      <c r="F89" s="292" t="s">
        <v>437</v>
      </c>
      <c r="G89" s="253" t="s">
        <v>85</v>
      </c>
      <c r="H89" s="253"/>
      <c r="I89" s="253"/>
      <c r="J89" s="494">
        <f t="shared" si="14"/>
        <v>0</v>
      </c>
      <c r="K89" s="495">
        <f t="shared" si="14"/>
        <v>0</v>
      </c>
      <c r="L89" s="496">
        <f t="shared" si="14"/>
        <v>7000</v>
      </c>
      <c r="M89" s="496">
        <f>M90</f>
        <v>0</v>
      </c>
      <c r="N89" s="497">
        <f>M89+L89</f>
        <v>7000</v>
      </c>
      <c r="O89" s="497">
        <f>N89-K89</f>
        <v>7000</v>
      </c>
      <c r="P89" s="498">
        <v>0</v>
      </c>
      <c r="Q89" s="548"/>
      <c r="R89" s="422"/>
    </row>
    <row r="90" spans="1:18" s="245" customFormat="1" ht="12.05" customHeight="1">
      <c r="A90" s="472"/>
      <c r="B90" s="305"/>
      <c r="C90" s="305"/>
      <c r="D90" s="305"/>
      <c r="E90" s="305"/>
      <c r="F90" s="305"/>
      <c r="G90" s="306" t="s">
        <v>50</v>
      </c>
      <c r="H90" s="306"/>
      <c r="I90" s="306" t="s">
        <v>76</v>
      </c>
      <c r="J90" s="499"/>
      <c r="K90" s="379">
        <f>'[57]TARGET MURNI DAN PERUBAHAN'!$E$48</f>
        <v>0</v>
      </c>
      <c r="L90" s="379">
        <f>[62]PerDinas!$N$90</f>
        <v>7000</v>
      </c>
      <c r="M90" s="379">
        <f>[55]Perdinas!$E$58</f>
        <v>0</v>
      </c>
      <c r="N90" s="500">
        <f>M90+L90</f>
        <v>7000</v>
      </c>
      <c r="O90" s="380">
        <f>N90-K90</f>
        <v>7000</v>
      </c>
      <c r="P90" s="501">
        <v>0</v>
      </c>
      <c r="Q90" s="549"/>
      <c r="R90" s="450"/>
    </row>
    <row r="91" spans="1:18" s="247" customFormat="1" ht="22.55" customHeight="1">
      <c r="A91" s="470"/>
      <c r="B91" s="308" t="s">
        <v>58</v>
      </c>
      <c r="C91" s="308" t="s">
        <v>438</v>
      </c>
      <c r="D91" s="308" t="s">
        <v>437</v>
      </c>
      <c r="E91" s="308" t="s">
        <v>441</v>
      </c>
      <c r="F91" s="308"/>
      <c r="G91" s="310" t="s">
        <v>953</v>
      </c>
      <c r="H91" s="310"/>
      <c r="I91" s="310"/>
      <c r="J91" s="407">
        <f>+J93</f>
        <v>0</v>
      </c>
      <c r="K91" s="408">
        <f>+K93</f>
        <v>9004043272.4400005</v>
      </c>
      <c r="L91" s="408" t="e">
        <f>+L93</f>
        <v>#REF!</v>
      </c>
      <c r="M91" s="408">
        <f>+M93</f>
        <v>243202163</v>
      </c>
      <c r="N91" s="408" t="e">
        <f>M91+L91</f>
        <v>#REF!</v>
      </c>
      <c r="O91" s="408" t="e">
        <f>+N91-K91</f>
        <v>#REF!</v>
      </c>
      <c r="P91" s="409" t="e">
        <f>+N91/K91*100</f>
        <v>#REF!</v>
      </c>
      <c r="Q91" s="550"/>
      <c r="R91" s="458"/>
    </row>
    <row r="92" spans="1:18" s="189" customFormat="1" ht="12.05" customHeight="1">
      <c r="A92" s="471"/>
      <c r="B92" s="287"/>
      <c r="C92" s="287"/>
      <c r="D92" s="287"/>
      <c r="E92" s="287"/>
      <c r="F92" s="287"/>
      <c r="G92" s="288"/>
      <c r="H92" s="288"/>
      <c r="I92" s="288"/>
      <c r="J92" s="385"/>
      <c r="K92" s="386"/>
      <c r="L92" s="386"/>
      <c r="M92" s="386"/>
      <c r="N92" s="386"/>
      <c r="O92" s="386"/>
      <c r="P92" s="502"/>
      <c r="Q92" s="551"/>
      <c r="R92" s="422"/>
    </row>
    <row r="93" spans="1:18" s="189" customFormat="1" ht="12.05" customHeight="1">
      <c r="A93" s="293"/>
      <c r="B93" s="290">
        <v>4</v>
      </c>
      <c r="C93" s="290">
        <v>1</v>
      </c>
      <c r="D93" s="290"/>
      <c r="E93" s="290"/>
      <c r="F93" s="290"/>
      <c r="G93" s="291" t="s">
        <v>180</v>
      </c>
      <c r="H93" s="291"/>
      <c r="I93" s="291"/>
      <c r="J93" s="342">
        <f>J94+J98</f>
        <v>0</v>
      </c>
      <c r="K93" s="343">
        <f>K94+K98</f>
        <v>9004043272.4400005</v>
      </c>
      <c r="L93" s="343" t="e">
        <f>L94+L98</f>
        <v>#REF!</v>
      </c>
      <c r="M93" s="343">
        <f>M94+M98</f>
        <v>243202163</v>
      </c>
      <c r="N93" s="343" t="e">
        <f>+M93+L93</f>
        <v>#REF!</v>
      </c>
      <c r="O93" s="343" t="e">
        <f>N93-K93</f>
        <v>#REF!</v>
      </c>
      <c r="P93" s="503" t="e">
        <f>N93/K93*100</f>
        <v>#REF!</v>
      </c>
      <c r="Q93" s="551"/>
      <c r="R93" s="422"/>
    </row>
    <row r="94" spans="1:18" s="189" customFormat="1" ht="12.05" customHeight="1">
      <c r="A94" s="293"/>
      <c r="B94" s="290">
        <v>4</v>
      </c>
      <c r="C94" s="290">
        <v>1</v>
      </c>
      <c r="D94" s="290">
        <v>2</v>
      </c>
      <c r="E94" s="290"/>
      <c r="F94" s="290"/>
      <c r="G94" s="291" t="s">
        <v>106</v>
      </c>
      <c r="H94" s="291"/>
      <c r="I94" s="253"/>
      <c r="J94" s="392">
        <f>+J95</f>
        <v>0</v>
      </c>
      <c r="K94" s="393">
        <f>+K95</f>
        <v>9001557650</v>
      </c>
      <c r="L94" s="393">
        <f>+L95</f>
        <v>7646411489.8599997</v>
      </c>
      <c r="M94" s="393">
        <f>+M95</f>
        <v>242894763</v>
      </c>
      <c r="N94" s="349">
        <f>+M94+L94</f>
        <v>7889306252.8599997</v>
      </c>
      <c r="O94" s="349">
        <f>N94-K94</f>
        <v>-1112251397.1400003</v>
      </c>
      <c r="P94" s="504">
        <f>N94/K94*100</f>
        <v>87.64378965967073</v>
      </c>
      <c r="Q94" s="551"/>
      <c r="R94" s="422"/>
    </row>
    <row r="95" spans="1:18" s="189" customFormat="1" ht="12.05" customHeight="1">
      <c r="A95" s="293"/>
      <c r="B95" s="292">
        <v>4</v>
      </c>
      <c r="C95" s="292">
        <v>1</v>
      </c>
      <c r="D95" s="292">
        <v>2</v>
      </c>
      <c r="E95" s="292" t="s">
        <v>437</v>
      </c>
      <c r="F95" s="292"/>
      <c r="G95" s="253" t="s">
        <v>107</v>
      </c>
      <c r="H95" s="253"/>
      <c r="I95" s="253"/>
      <c r="J95" s="484">
        <f>+J96</f>
        <v>0</v>
      </c>
      <c r="K95" s="485">
        <f>+K96</f>
        <v>9001557650</v>
      </c>
      <c r="L95" s="486">
        <f>L96</f>
        <v>7646411489.8599997</v>
      </c>
      <c r="M95" s="485">
        <f>M96</f>
        <v>242894763</v>
      </c>
      <c r="N95" s="485">
        <f>N96</f>
        <v>7889306252.8599997</v>
      </c>
      <c r="O95" s="412">
        <f>N95-K95</f>
        <v>-1112251397.1400003</v>
      </c>
      <c r="P95" s="505">
        <f>N95/K95*100</f>
        <v>87.64378965967073</v>
      </c>
      <c r="Q95" s="551"/>
      <c r="R95" s="422"/>
    </row>
    <row r="96" spans="1:18" s="189" customFormat="1" ht="12.05" customHeight="1">
      <c r="A96" s="293"/>
      <c r="B96" s="292">
        <v>4</v>
      </c>
      <c r="C96" s="292">
        <v>1</v>
      </c>
      <c r="D96" s="292">
        <v>2</v>
      </c>
      <c r="E96" s="292" t="s">
        <v>438</v>
      </c>
      <c r="F96" s="292" t="s">
        <v>437</v>
      </c>
      <c r="G96" s="253" t="s">
        <v>84</v>
      </c>
      <c r="H96" s="253"/>
      <c r="I96" s="253"/>
      <c r="J96" s="354"/>
      <c r="K96" s="373">
        <f>'[57]TARGET MURNI DAN PERUBAHAN'!$E$52</f>
        <v>9001557650</v>
      </c>
      <c r="L96" s="360">
        <f>[62]PerDinas!$N$96</f>
        <v>7646411489.8599997</v>
      </c>
      <c r="M96" s="373">
        <f>[55]Perdinas!$E$62</f>
        <v>242894763</v>
      </c>
      <c r="N96" s="369">
        <f t="shared" ref="N96:N102" si="15">M96+L96</f>
        <v>7889306252.8599997</v>
      </c>
      <c r="O96" s="355">
        <f>N96-K96</f>
        <v>-1112251397.1400003</v>
      </c>
      <c r="P96" s="506">
        <f>N96/K96*100</f>
        <v>87.64378965967073</v>
      </c>
      <c r="Q96" s="551"/>
      <c r="R96" s="552"/>
    </row>
    <row r="97" spans="1:19" s="189" customFormat="1" ht="12.05" customHeight="1">
      <c r="A97" s="293"/>
      <c r="B97" s="292"/>
      <c r="C97" s="292"/>
      <c r="D97" s="292"/>
      <c r="E97" s="292"/>
      <c r="F97" s="292"/>
      <c r="G97" s="253"/>
      <c r="H97" s="253"/>
      <c r="I97" s="253"/>
      <c r="J97" s="354"/>
      <c r="K97" s="355"/>
      <c r="L97" s="355"/>
      <c r="M97" s="355"/>
      <c r="N97" s="355"/>
      <c r="O97" s="355"/>
      <c r="P97" s="506"/>
      <c r="Q97" s="551"/>
      <c r="R97" s="553"/>
      <c r="S97" s="540"/>
    </row>
    <row r="98" spans="1:19" s="189" customFormat="1" ht="12.05" customHeight="1">
      <c r="A98" s="293"/>
      <c r="B98" s="290">
        <v>4</v>
      </c>
      <c r="C98" s="290">
        <v>1</v>
      </c>
      <c r="D98" s="290">
        <v>4</v>
      </c>
      <c r="E98" s="290"/>
      <c r="F98" s="290"/>
      <c r="G98" s="291" t="s">
        <v>71</v>
      </c>
      <c r="H98" s="291"/>
      <c r="I98" s="291"/>
      <c r="J98" s="392">
        <f>J99+J104</f>
        <v>0</v>
      </c>
      <c r="K98" s="393">
        <f>K99+K100+K101+K102+K104</f>
        <v>2485622.44</v>
      </c>
      <c r="L98" s="393" t="e">
        <f>L99+L100+L101+L102+L104</f>
        <v>#REF!</v>
      </c>
      <c r="M98" s="393">
        <f>M99+M100+M101+M102+M104</f>
        <v>307400</v>
      </c>
      <c r="N98" s="393" t="e">
        <f t="shared" si="15"/>
        <v>#REF!</v>
      </c>
      <c r="O98" s="349" t="e">
        <f>N98-K98</f>
        <v>#REF!</v>
      </c>
      <c r="P98" s="504" t="e">
        <f>N98/K98*100</f>
        <v>#REF!</v>
      </c>
      <c r="Q98" s="551"/>
      <c r="R98" s="422"/>
    </row>
    <row r="99" spans="1:19" s="189" customFormat="1" ht="12.05" customHeight="1">
      <c r="A99" s="289"/>
      <c r="B99" s="292">
        <v>4</v>
      </c>
      <c r="C99" s="292">
        <v>1</v>
      </c>
      <c r="D99" s="292">
        <v>4</v>
      </c>
      <c r="E99" s="292" t="s">
        <v>441</v>
      </c>
      <c r="F99" s="292"/>
      <c r="G99" s="253" t="s">
        <v>324</v>
      </c>
      <c r="H99" s="253"/>
      <c r="I99" s="253"/>
      <c r="J99" s="484">
        <f>+J102</f>
        <v>0</v>
      </c>
      <c r="K99" s="507">
        <v>0</v>
      </c>
      <c r="L99" s="507">
        <v>0</v>
      </c>
      <c r="M99" s="507">
        <f>[55]Perdinas!$E$65</f>
        <v>307400</v>
      </c>
      <c r="N99" s="508">
        <f t="shared" si="15"/>
        <v>307400</v>
      </c>
      <c r="O99" s="509">
        <f>N99-K99</f>
        <v>307400</v>
      </c>
      <c r="P99" s="510">
        <v>0</v>
      </c>
      <c r="Q99" s="551"/>
      <c r="R99" s="422"/>
    </row>
    <row r="100" spans="1:19" s="189" customFormat="1" ht="12.05" customHeight="1">
      <c r="A100" s="289"/>
      <c r="B100" s="292">
        <v>4</v>
      </c>
      <c r="C100" s="292">
        <v>1</v>
      </c>
      <c r="D100" s="292">
        <v>4</v>
      </c>
      <c r="E100" s="292" t="s">
        <v>444</v>
      </c>
      <c r="F100" s="292" t="s">
        <v>440</v>
      </c>
      <c r="G100" s="253" t="s">
        <v>73</v>
      </c>
      <c r="H100" s="253"/>
      <c r="I100" s="253"/>
      <c r="J100" s="354">
        <v>0</v>
      </c>
      <c r="K100" s="355">
        <v>0</v>
      </c>
      <c r="L100" s="355">
        <v>0</v>
      </c>
      <c r="M100" s="355">
        <f>[55]Perdinas!$E$66</f>
        <v>0</v>
      </c>
      <c r="N100" s="355">
        <f t="shared" si="15"/>
        <v>0</v>
      </c>
      <c r="O100" s="355">
        <f>N100-K100</f>
        <v>0</v>
      </c>
      <c r="P100" s="511"/>
      <c r="Q100" s="551"/>
      <c r="R100" s="554"/>
    </row>
    <row r="101" spans="1:19" s="189" customFormat="1" ht="12.05" customHeight="1">
      <c r="A101" s="289"/>
      <c r="B101" s="292">
        <v>4</v>
      </c>
      <c r="C101" s="292">
        <v>1</v>
      </c>
      <c r="D101" s="292">
        <v>4</v>
      </c>
      <c r="E101" s="292" t="s">
        <v>444</v>
      </c>
      <c r="F101" s="292" t="s">
        <v>445</v>
      </c>
      <c r="G101" s="253" t="s">
        <v>74</v>
      </c>
      <c r="H101" s="253"/>
      <c r="I101" s="253"/>
      <c r="J101" s="354">
        <v>0</v>
      </c>
      <c r="K101" s="355">
        <v>0</v>
      </c>
      <c r="L101" s="355">
        <v>0</v>
      </c>
      <c r="M101" s="355">
        <f>[55]Perdinas!$E$67</f>
        <v>0</v>
      </c>
      <c r="N101" s="355">
        <f t="shared" si="15"/>
        <v>0</v>
      </c>
      <c r="O101" s="355">
        <f>N101-K101</f>
        <v>0</v>
      </c>
      <c r="P101" s="506"/>
      <c r="Q101" s="551"/>
      <c r="R101" s="555"/>
    </row>
    <row r="102" spans="1:19" s="189" customFormat="1" ht="12.05" customHeight="1">
      <c r="A102" s="289"/>
      <c r="B102" s="292">
        <v>4</v>
      </c>
      <c r="C102" s="292">
        <v>1</v>
      </c>
      <c r="D102" s="292">
        <v>4</v>
      </c>
      <c r="E102" s="292" t="s">
        <v>444</v>
      </c>
      <c r="F102" s="292" t="s">
        <v>441</v>
      </c>
      <c r="G102" s="253" t="s">
        <v>75</v>
      </c>
      <c r="H102" s="253"/>
      <c r="I102" s="253"/>
      <c r="J102" s="354">
        <v>0</v>
      </c>
      <c r="K102" s="355">
        <f>'[57]TARGET MURNI DAN PERUBAHAN'!$E$55</f>
        <v>0</v>
      </c>
      <c r="L102" s="355">
        <f>[62]PerDinas!$N$102</f>
        <v>0</v>
      </c>
      <c r="M102" s="355">
        <f>[55]Perdinas!$E$68</f>
        <v>0</v>
      </c>
      <c r="N102" s="369">
        <f t="shared" si="15"/>
        <v>0</v>
      </c>
      <c r="O102" s="355">
        <f>N102-K102</f>
        <v>0</v>
      </c>
      <c r="P102" s="388"/>
      <c r="Q102" s="556"/>
      <c r="R102" s="422"/>
    </row>
    <row r="103" spans="1:19" s="189" customFormat="1">
      <c r="A103" s="289"/>
      <c r="B103" s="292"/>
      <c r="C103" s="292"/>
      <c r="D103" s="292"/>
      <c r="E103" s="292"/>
      <c r="F103" s="292"/>
      <c r="G103" s="253"/>
      <c r="H103" s="253"/>
      <c r="I103" s="253"/>
      <c r="J103" s="354"/>
      <c r="K103" s="355"/>
      <c r="L103" s="355"/>
      <c r="M103" s="355"/>
      <c r="N103" s="355"/>
      <c r="O103" s="355"/>
      <c r="P103" s="388"/>
      <c r="Q103" s="557"/>
      <c r="R103" s="422"/>
    </row>
    <row r="104" spans="1:19" s="189" customFormat="1" ht="12.05" customHeight="1">
      <c r="A104" s="293"/>
      <c r="B104" s="292">
        <v>4</v>
      </c>
      <c r="C104" s="292">
        <v>1</v>
      </c>
      <c r="D104" s="292">
        <v>4</v>
      </c>
      <c r="E104" s="292" t="s">
        <v>948</v>
      </c>
      <c r="F104" s="292"/>
      <c r="G104" s="410" t="s">
        <v>321</v>
      </c>
      <c r="H104" s="410"/>
      <c r="I104" s="410"/>
      <c r="J104" s="489">
        <f t="shared" ref="J104:M105" si="16">+J105</f>
        <v>0</v>
      </c>
      <c r="K104" s="512">
        <f t="shared" si="16"/>
        <v>2485622.44</v>
      </c>
      <c r="L104" s="512" t="e">
        <f t="shared" si="16"/>
        <v>#REF!</v>
      </c>
      <c r="M104" s="512">
        <f t="shared" si="16"/>
        <v>0</v>
      </c>
      <c r="N104" s="412" t="e">
        <f>+M104+L104</f>
        <v>#REF!</v>
      </c>
      <c r="O104" s="412" t="e">
        <f>N104-K104</f>
        <v>#REF!</v>
      </c>
      <c r="P104" s="487">
        <v>0</v>
      </c>
      <c r="Q104" s="551"/>
      <c r="R104" s="422"/>
    </row>
    <row r="105" spans="1:19" s="189" customFormat="1" ht="12.05" customHeight="1">
      <c r="A105" s="293"/>
      <c r="B105" s="292">
        <v>4</v>
      </c>
      <c r="C105" s="292">
        <v>1</v>
      </c>
      <c r="D105" s="292">
        <v>4</v>
      </c>
      <c r="E105" s="292" t="s">
        <v>948</v>
      </c>
      <c r="F105" s="292" t="s">
        <v>437</v>
      </c>
      <c r="G105" s="253" t="s">
        <v>85</v>
      </c>
      <c r="H105" s="253"/>
      <c r="I105" s="253"/>
      <c r="J105" s="494">
        <f t="shared" si="16"/>
        <v>0</v>
      </c>
      <c r="K105" s="495">
        <f t="shared" si="16"/>
        <v>2485622.44</v>
      </c>
      <c r="L105" s="513" t="e">
        <f>SUM(L106:L107)</f>
        <v>#REF!</v>
      </c>
      <c r="M105" s="495">
        <f>SUM(M106:M107)</f>
        <v>0</v>
      </c>
      <c r="N105" s="495">
        <f>SUM(N106:N107)</f>
        <v>0</v>
      </c>
      <c r="O105" s="495">
        <f>SUM(O106:O107)</f>
        <v>-2485622.44</v>
      </c>
      <c r="P105" s="514">
        <f>SUM(P106:P107)</f>
        <v>0</v>
      </c>
      <c r="Q105" s="551"/>
      <c r="R105" s="422"/>
    </row>
    <row r="106" spans="1:19" s="189" customFormat="1" ht="12.05" customHeight="1">
      <c r="A106" s="293"/>
      <c r="B106" s="292"/>
      <c r="C106" s="292"/>
      <c r="D106" s="292"/>
      <c r="E106" s="292"/>
      <c r="F106" s="292"/>
      <c r="G106" s="253" t="s">
        <v>50</v>
      </c>
      <c r="H106" s="253"/>
      <c r="I106" s="253" t="s">
        <v>954</v>
      </c>
      <c r="J106" s="374"/>
      <c r="K106" s="375">
        <f>'[57]TARGET MURNI DAN PERUBAHAN'!$E$56</f>
        <v>2485622.44</v>
      </c>
      <c r="L106" s="377">
        <f>[62]PerDinas!$N$106</f>
        <v>0</v>
      </c>
      <c r="M106" s="375">
        <f>[55]Perdinas!$E$69</f>
        <v>0</v>
      </c>
      <c r="N106" s="355">
        <f>M106+L106</f>
        <v>0</v>
      </c>
      <c r="O106" s="355">
        <f>N106-K106</f>
        <v>-2485622.44</v>
      </c>
      <c r="P106" s="388">
        <v>0</v>
      </c>
      <c r="Q106" s="551"/>
      <c r="R106" s="422"/>
    </row>
    <row r="107" spans="1:19" s="245" customFormat="1" ht="12.05" customHeight="1">
      <c r="A107" s="473"/>
      <c r="B107" s="305"/>
      <c r="C107" s="305"/>
      <c r="D107" s="305"/>
      <c r="E107" s="305"/>
      <c r="F107" s="305"/>
      <c r="G107" s="306"/>
      <c r="H107" s="306"/>
      <c r="I107" s="515"/>
      <c r="J107" s="482"/>
      <c r="K107" s="516"/>
      <c r="L107" s="377" t="e">
        <f>[62]PerDinas!$N$107</f>
        <v>#REF!</v>
      </c>
      <c r="M107" s="516"/>
      <c r="N107" s="516"/>
      <c r="O107" s="516"/>
      <c r="P107" s="517"/>
      <c r="Q107" s="558"/>
      <c r="R107" s="450"/>
    </row>
    <row r="108" spans="1:19" s="247" customFormat="1" ht="20.2" customHeight="1">
      <c r="A108" s="307"/>
      <c r="B108" s="308" t="s">
        <v>58</v>
      </c>
      <c r="C108" s="308" t="s">
        <v>438</v>
      </c>
      <c r="D108" s="308" t="s">
        <v>437</v>
      </c>
      <c r="E108" s="308" t="s">
        <v>440</v>
      </c>
      <c r="F108" s="309"/>
      <c r="G108" s="310" t="s">
        <v>955</v>
      </c>
      <c r="H108" s="311"/>
      <c r="I108" s="406"/>
      <c r="J108" s="407">
        <f>+J110</f>
        <v>275000000</v>
      </c>
      <c r="K108" s="408">
        <f>+K110</f>
        <v>152950000</v>
      </c>
      <c r="L108" s="408">
        <f>+L110</f>
        <v>170060000</v>
      </c>
      <c r="M108" s="408">
        <f>+M110</f>
        <v>0</v>
      </c>
      <c r="N108" s="408">
        <f>+M108+L108</f>
        <v>170060000</v>
      </c>
      <c r="O108" s="408">
        <f>N108-K108</f>
        <v>17110000</v>
      </c>
      <c r="P108" s="409">
        <f>N108/K108*100</f>
        <v>111.18666230794376</v>
      </c>
      <c r="Q108" s="457"/>
      <c r="R108" s="458"/>
    </row>
    <row r="109" spans="1:19" s="189" customFormat="1" ht="12.05" customHeight="1">
      <c r="A109" s="286"/>
      <c r="B109" s="287"/>
      <c r="C109" s="287"/>
      <c r="D109" s="287"/>
      <c r="E109" s="287"/>
      <c r="F109" s="287"/>
      <c r="G109" s="288"/>
      <c r="H109" s="288"/>
      <c r="I109" s="410"/>
      <c r="J109" s="342"/>
      <c r="K109" s="343"/>
      <c r="L109" s="343"/>
      <c r="M109" s="343"/>
      <c r="N109" s="492"/>
      <c r="O109" s="492"/>
      <c r="P109" s="487"/>
      <c r="Q109" s="437"/>
      <c r="R109" s="422"/>
    </row>
    <row r="110" spans="1:19" s="189" customFormat="1" ht="12.05" customHeight="1">
      <c r="A110" s="294"/>
      <c r="B110" s="290">
        <v>4</v>
      </c>
      <c r="C110" s="290">
        <v>1</v>
      </c>
      <c r="D110" s="290"/>
      <c r="E110" s="290"/>
      <c r="F110" s="290"/>
      <c r="G110" s="291" t="s">
        <v>180</v>
      </c>
      <c r="H110" s="291"/>
      <c r="I110" s="291"/>
      <c r="J110" s="518">
        <f>+J112+J117</f>
        <v>275000000</v>
      </c>
      <c r="K110" s="519">
        <f>+K112+K117</f>
        <v>152950000</v>
      </c>
      <c r="L110" s="519">
        <f>+L112+L117</f>
        <v>170060000</v>
      </c>
      <c r="M110" s="519">
        <f>+M112+M117</f>
        <v>0</v>
      </c>
      <c r="N110" s="343">
        <f>+M110+L110</f>
        <v>170060000</v>
      </c>
      <c r="O110" s="343">
        <f>N110-K110</f>
        <v>17110000</v>
      </c>
      <c r="P110" s="344">
        <f>N110/K110*100</f>
        <v>111.18666230794376</v>
      </c>
      <c r="Q110" s="559"/>
      <c r="R110" s="422"/>
    </row>
    <row r="111" spans="1:19" s="189" customFormat="1" ht="12.05" customHeight="1">
      <c r="A111" s="289"/>
      <c r="B111" s="292"/>
      <c r="C111" s="292"/>
      <c r="D111" s="292"/>
      <c r="E111" s="292"/>
      <c r="F111" s="292"/>
      <c r="G111" s="253"/>
      <c r="H111" s="253"/>
      <c r="I111" s="253"/>
      <c r="J111" s="387"/>
      <c r="K111" s="367"/>
      <c r="L111" s="367"/>
      <c r="M111" s="367"/>
      <c r="N111" s="367"/>
      <c r="O111" s="367"/>
      <c r="P111" s="347"/>
      <c r="Q111" s="454"/>
      <c r="R111" s="422"/>
    </row>
    <row r="112" spans="1:19" s="189" customFormat="1" ht="12.05" customHeight="1">
      <c r="A112" s="294"/>
      <c r="B112" s="290">
        <v>4</v>
      </c>
      <c r="C112" s="290">
        <v>1</v>
      </c>
      <c r="D112" s="290">
        <v>2</v>
      </c>
      <c r="E112" s="290"/>
      <c r="F112" s="290"/>
      <c r="G112" s="291" t="s">
        <v>106</v>
      </c>
      <c r="H112" s="291"/>
      <c r="I112" s="253"/>
      <c r="J112" s="348">
        <f>+J114</f>
        <v>273500000</v>
      </c>
      <c r="K112" s="349">
        <f>+K114</f>
        <v>150000000</v>
      </c>
      <c r="L112" s="349">
        <f>+L114</f>
        <v>170060000</v>
      </c>
      <c r="M112" s="349">
        <f>+M114</f>
        <v>0</v>
      </c>
      <c r="N112" s="349">
        <f>+M112+L112</f>
        <v>170060000</v>
      </c>
      <c r="O112" s="349">
        <f>N112-K112</f>
        <v>20060000</v>
      </c>
      <c r="P112" s="350">
        <f>N112/K112*100</f>
        <v>113.37333333333332</v>
      </c>
      <c r="Q112" s="439"/>
      <c r="R112" s="422"/>
    </row>
    <row r="113" spans="1:18" s="189" customFormat="1" ht="12.05" customHeight="1">
      <c r="A113" s="289"/>
      <c r="B113" s="292"/>
      <c r="C113" s="292"/>
      <c r="D113" s="292"/>
      <c r="E113" s="292"/>
      <c r="F113" s="292"/>
      <c r="G113" s="253"/>
      <c r="H113" s="253"/>
      <c r="I113" s="253"/>
      <c r="J113" s="354"/>
      <c r="K113" s="355"/>
      <c r="L113" s="355"/>
      <c r="M113" s="355"/>
      <c r="N113" s="355"/>
      <c r="O113" s="355"/>
      <c r="P113" s="388"/>
      <c r="Q113" s="441"/>
      <c r="R113" s="422"/>
    </row>
    <row r="114" spans="1:18" s="189" customFormat="1" ht="12.05" customHeight="1">
      <c r="A114" s="294"/>
      <c r="B114" s="292">
        <v>4</v>
      </c>
      <c r="C114" s="292">
        <v>1</v>
      </c>
      <c r="D114" s="292">
        <v>2</v>
      </c>
      <c r="E114" s="292" t="s">
        <v>438</v>
      </c>
      <c r="F114" s="292"/>
      <c r="G114" s="253" t="s">
        <v>374</v>
      </c>
      <c r="H114" s="253"/>
      <c r="I114" s="253"/>
      <c r="J114" s="484">
        <f>+J115</f>
        <v>273500000</v>
      </c>
      <c r="K114" s="485">
        <f>+K115+K119</f>
        <v>150000000</v>
      </c>
      <c r="L114" s="485">
        <f>+L115+L119</f>
        <v>170060000</v>
      </c>
      <c r="M114" s="520">
        <f>+M115</f>
        <v>0</v>
      </c>
      <c r="N114" s="412">
        <f>+M114+L114</f>
        <v>170060000</v>
      </c>
      <c r="O114" s="412">
        <f t="shared" ref="O114:O125" si="17">N114-K114</f>
        <v>20060000</v>
      </c>
      <c r="P114" s="487">
        <f>N114/K114*100</f>
        <v>113.37333333333332</v>
      </c>
      <c r="Q114" s="461"/>
      <c r="R114" s="422"/>
    </row>
    <row r="115" spans="1:18" s="189" customFormat="1" ht="12.05" customHeight="1">
      <c r="A115" s="294"/>
      <c r="B115" s="292">
        <v>4</v>
      </c>
      <c r="C115" s="292">
        <v>1</v>
      </c>
      <c r="D115" s="292">
        <v>2</v>
      </c>
      <c r="E115" s="292" t="s">
        <v>438</v>
      </c>
      <c r="F115" s="292" t="s">
        <v>440</v>
      </c>
      <c r="G115" s="253" t="s">
        <v>304</v>
      </c>
      <c r="H115" s="253"/>
      <c r="I115" s="253"/>
      <c r="J115" s="333">
        <v>273500000</v>
      </c>
      <c r="K115" s="521">
        <f>'[57]TARGET MURNI DAN PERUBAHAN'!$E$60</f>
        <v>150000000</v>
      </c>
      <c r="L115" s="522">
        <f>[62]PerDinas!$N$115</f>
        <v>170060000</v>
      </c>
      <c r="M115" s="521">
        <f>[55]Perdinas!$E$73</f>
        <v>0</v>
      </c>
      <c r="N115" s="523">
        <f t="shared" ref="N115:N122" si="18">M115+L115</f>
        <v>170060000</v>
      </c>
      <c r="O115" s="497">
        <f t="shared" si="17"/>
        <v>20060000</v>
      </c>
      <c r="P115" s="498">
        <f>N115/K115*100</f>
        <v>113.37333333333332</v>
      </c>
      <c r="Q115" s="430"/>
      <c r="R115" s="545"/>
    </row>
    <row r="116" spans="1:18" s="189" customFormat="1" ht="12.05" customHeight="1">
      <c r="A116" s="289"/>
      <c r="B116" s="292"/>
      <c r="C116" s="292"/>
      <c r="D116" s="292"/>
      <c r="E116" s="292"/>
      <c r="F116" s="292"/>
      <c r="G116" s="253"/>
      <c r="H116" s="253"/>
      <c r="I116" s="253"/>
      <c r="J116" s="354"/>
      <c r="K116" s="355"/>
      <c r="L116" s="391"/>
      <c r="M116" s="524"/>
      <c r="N116" s="334">
        <f t="shared" si="18"/>
        <v>0</v>
      </c>
      <c r="O116" s="334">
        <f t="shared" si="17"/>
        <v>0</v>
      </c>
      <c r="P116" s="335"/>
      <c r="Q116" s="441"/>
      <c r="R116" s="422"/>
    </row>
    <row r="117" spans="1:18" s="189" customFormat="1" ht="12.05" customHeight="1">
      <c r="A117" s="294"/>
      <c r="B117" s="290">
        <v>4</v>
      </c>
      <c r="C117" s="290">
        <v>1</v>
      </c>
      <c r="D117" s="290">
        <v>4</v>
      </c>
      <c r="E117" s="290"/>
      <c r="F117" s="290"/>
      <c r="G117" s="291" t="s">
        <v>71</v>
      </c>
      <c r="H117" s="291"/>
      <c r="I117" s="291"/>
      <c r="J117" s="392">
        <f>J118+J123</f>
        <v>1500000</v>
      </c>
      <c r="K117" s="393">
        <f>K118+K123</f>
        <v>2950000</v>
      </c>
      <c r="L117" s="394">
        <f>+L123+L118</f>
        <v>0</v>
      </c>
      <c r="M117" s="525">
        <f>+M123+M118</f>
        <v>0</v>
      </c>
      <c r="N117" s="349">
        <f>+M117+L117</f>
        <v>0</v>
      </c>
      <c r="O117" s="349">
        <f t="shared" si="17"/>
        <v>-2950000</v>
      </c>
      <c r="P117" s="350">
        <v>0</v>
      </c>
      <c r="Q117" s="444"/>
      <c r="R117" s="422"/>
    </row>
    <row r="118" spans="1:18" s="189" customFormat="1" ht="12.05" customHeight="1">
      <c r="A118" s="289"/>
      <c r="B118" s="292">
        <v>4</v>
      </c>
      <c r="C118" s="292">
        <v>1</v>
      </c>
      <c r="D118" s="292">
        <v>4</v>
      </c>
      <c r="E118" s="292" t="s">
        <v>444</v>
      </c>
      <c r="F118" s="292"/>
      <c r="G118" s="253" t="s">
        <v>222</v>
      </c>
      <c r="H118" s="253"/>
      <c r="I118" s="253"/>
      <c r="J118" s="526">
        <f>+J121</f>
        <v>0</v>
      </c>
      <c r="K118" s="527">
        <f>+K121</f>
        <v>0</v>
      </c>
      <c r="L118" s="527">
        <f>+L121</f>
        <v>0</v>
      </c>
      <c r="M118" s="528">
        <f>SUM(M119:M121)</f>
        <v>0</v>
      </c>
      <c r="N118" s="527">
        <f>SUM(N119:N121)</f>
        <v>0</v>
      </c>
      <c r="O118" s="529">
        <f t="shared" si="17"/>
        <v>0</v>
      </c>
      <c r="P118" s="478">
        <v>0</v>
      </c>
      <c r="Q118" s="541"/>
      <c r="R118" s="422"/>
    </row>
    <row r="119" spans="1:18" s="189" customFormat="1" ht="12.05" customHeight="1">
      <c r="A119" s="289"/>
      <c r="B119" s="292">
        <v>4</v>
      </c>
      <c r="C119" s="292">
        <v>1</v>
      </c>
      <c r="D119" s="292" t="s">
        <v>460</v>
      </c>
      <c r="E119" s="292" t="s">
        <v>438</v>
      </c>
      <c r="F119" s="292" t="s">
        <v>438</v>
      </c>
      <c r="G119" s="253" t="s">
        <v>517</v>
      </c>
      <c r="H119" s="253"/>
      <c r="I119" s="253"/>
      <c r="J119" s="354">
        <v>0</v>
      </c>
      <c r="K119" s="355">
        <v>0</v>
      </c>
      <c r="L119" s="360">
        <v>0</v>
      </c>
      <c r="M119" s="530">
        <f>[55]Perdinas!$E$77</f>
        <v>0</v>
      </c>
      <c r="N119" s="369">
        <f t="shared" si="18"/>
        <v>0</v>
      </c>
      <c r="O119" s="355">
        <f t="shared" si="17"/>
        <v>0</v>
      </c>
      <c r="P119" s="531">
        <v>0</v>
      </c>
      <c r="Q119" s="441"/>
      <c r="R119" s="422"/>
    </row>
    <row r="120" spans="1:18" s="189" customFormat="1" ht="12.05" customHeight="1">
      <c r="A120" s="289"/>
      <c r="B120" s="292">
        <v>4</v>
      </c>
      <c r="C120" s="292">
        <v>1</v>
      </c>
      <c r="D120" s="292">
        <v>4</v>
      </c>
      <c r="E120" s="292" t="s">
        <v>444</v>
      </c>
      <c r="F120" s="292" t="s">
        <v>445</v>
      </c>
      <c r="G120" s="253" t="s">
        <v>74</v>
      </c>
      <c r="H120" s="253"/>
      <c r="I120" s="253"/>
      <c r="J120" s="354">
        <v>0</v>
      </c>
      <c r="K120" s="355">
        <v>0</v>
      </c>
      <c r="L120" s="360">
        <v>0</v>
      </c>
      <c r="M120" s="530">
        <f>[55]Perdinas!$E$78</f>
        <v>0</v>
      </c>
      <c r="N120" s="355">
        <f t="shared" si="18"/>
        <v>0</v>
      </c>
      <c r="O120" s="355">
        <f t="shared" si="17"/>
        <v>0</v>
      </c>
      <c r="P120" s="358"/>
      <c r="Q120" s="441"/>
      <c r="R120" s="422"/>
    </row>
    <row r="121" spans="1:18" s="189" customFormat="1" ht="12.05" customHeight="1">
      <c r="A121" s="289"/>
      <c r="B121" s="292">
        <v>4</v>
      </c>
      <c r="C121" s="292">
        <v>1</v>
      </c>
      <c r="D121" s="292">
        <v>4</v>
      </c>
      <c r="E121" s="292" t="s">
        <v>444</v>
      </c>
      <c r="F121" s="292" t="s">
        <v>441</v>
      </c>
      <c r="G121" s="253" t="s">
        <v>75</v>
      </c>
      <c r="H121" s="253"/>
      <c r="I121" s="253"/>
      <c r="J121" s="354">
        <v>0</v>
      </c>
      <c r="K121" s="360">
        <f>'[57]TARGET MURNI DAN PERUBAHAN'!$E$63</f>
        <v>0</v>
      </c>
      <c r="L121" s="360">
        <f>[62]PerDinas!$N$121</f>
        <v>0</v>
      </c>
      <c r="M121" s="530">
        <f>[55]Perdinas!$E$79</f>
        <v>0</v>
      </c>
      <c r="N121" s="355">
        <f t="shared" si="18"/>
        <v>0</v>
      </c>
      <c r="O121" s="355">
        <f t="shared" si="17"/>
        <v>0</v>
      </c>
      <c r="P121" s="388"/>
      <c r="Q121" s="441"/>
      <c r="R121" s="422"/>
    </row>
    <row r="122" spans="1:18" s="189" customFormat="1" ht="12.05" customHeight="1">
      <c r="A122" s="294"/>
      <c r="B122" s="290"/>
      <c r="C122" s="290"/>
      <c r="D122" s="290"/>
      <c r="E122" s="290"/>
      <c r="F122" s="290"/>
      <c r="G122" s="467"/>
      <c r="H122" s="467"/>
      <c r="I122" s="467"/>
      <c r="J122" s="354">
        <v>0</v>
      </c>
      <c r="K122" s="352">
        <v>0</v>
      </c>
      <c r="L122" s="362"/>
      <c r="M122" s="532">
        <v>0</v>
      </c>
      <c r="N122" s="355">
        <f t="shared" si="18"/>
        <v>0</v>
      </c>
      <c r="O122" s="355">
        <f t="shared" si="17"/>
        <v>0</v>
      </c>
      <c r="P122" s="388"/>
      <c r="Q122" s="445"/>
      <c r="R122" s="422"/>
    </row>
    <row r="123" spans="1:18" s="189" customFormat="1" ht="12.05" customHeight="1">
      <c r="A123" s="294"/>
      <c r="B123" s="292">
        <v>4</v>
      </c>
      <c r="C123" s="292">
        <v>1</v>
      </c>
      <c r="D123" s="292">
        <v>4</v>
      </c>
      <c r="E123" s="292" t="s">
        <v>948</v>
      </c>
      <c r="F123" s="292"/>
      <c r="G123" s="297" t="s">
        <v>321</v>
      </c>
      <c r="H123" s="297"/>
      <c r="I123" s="297"/>
      <c r="J123" s="333">
        <f>+J124</f>
        <v>1500000</v>
      </c>
      <c r="K123" s="507">
        <f>+K124</f>
        <v>2950000</v>
      </c>
      <c r="L123" s="507">
        <f>+L124</f>
        <v>0</v>
      </c>
      <c r="M123" s="533">
        <f>+M124</f>
        <v>0</v>
      </c>
      <c r="N123" s="534">
        <f>+M123+L123</f>
        <v>0</v>
      </c>
      <c r="O123" s="534">
        <f t="shared" si="17"/>
        <v>-2950000</v>
      </c>
      <c r="P123" s="535">
        <v>0</v>
      </c>
      <c r="Q123" s="430"/>
      <c r="R123" s="422"/>
    </row>
    <row r="124" spans="1:18" s="245" customFormat="1" ht="12.05" customHeight="1">
      <c r="A124" s="304"/>
      <c r="B124" s="305">
        <v>4</v>
      </c>
      <c r="C124" s="305">
        <v>1</v>
      </c>
      <c r="D124" s="305">
        <v>4</v>
      </c>
      <c r="E124" s="305" t="s">
        <v>948</v>
      </c>
      <c r="F124" s="305" t="s">
        <v>437</v>
      </c>
      <c r="G124" s="306" t="s">
        <v>50</v>
      </c>
      <c r="H124" s="306"/>
      <c r="I124" s="306" t="s">
        <v>85</v>
      </c>
      <c r="J124" s="536">
        <v>1500000</v>
      </c>
      <c r="K124" s="537">
        <f>'[57]TARGET MURNI DAN PERUBAHAN'!$E$64</f>
        <v>2950000</v>
      </c>
      <c r="L124" s="538">
        <f>[62]PerDinas!$N$124</f>
        <v>0</v>
      </c>
      <c r="M124" s="537">
        <f>[55]Perdinas!$E$80</f>
        <v>0</v>
      </c>
      <c r="N124" s="380">
        <f>M124+L124</f>
        <v>0</v>
      </c>
      <c r="O124" s="380">
        <f t="shared" si="17"/>
        <v>-2950000</v>
      </c>
      <c r="P124" s="501">
        <v>0</v>
      </c>
      <c r="Q124" s="560"/>
      <c r="R124" s="450"/>
    </row>
    <row r="125" spans="1:18" s="248" customFormat="1" ht="20.2" customHeight="1">
      <c r="A125" s="474"/>
      <c r="B125" s="308" t="s">
        <v>58</v>
      </c>
      <c r="C125" s="308" t="s">
        <v>438</v>
      </c>
      <c r="D125" s="308" t="s">
        <v>437</v>
      </c>
      <c r="E125" s="308" t="s">
        <v>445</v>
      </c>
      <c r="F125" s="308"/>
      <c r="G125" s="310" t="s">
        <v>722</v>
      </c>
      <c r="H125" s="310"/>
      <c r="I125" s="310"/>
      <c r="J125" s="407" t="e">
        <f>+J127</f>
        <v>#REF!</v>
      </c>
      <c r="K125" s="408">
        <f>+K127</f>
        <v>2197286650</v>
      </c>
      <c r="L125" s="408">
        <f>L127</f>
        <v>2247705750</v>
      </c>
      <c r="M125" s="408">
        <f>+M127</f>
        <v>0</v>
      </c>
      <c r="N125" s="408">
        <f>+M125+L125</f>
        <v>2247705750</v>
      </c>
      <c r="O125" s="408">
        <f t="shared" si="17"/>
        <v>50419100</v>
      </c>
      <c r="P125" s="409">
        <f>N129/K129*100</f>
        <v>102.29460730578781</v>
      </c>
      <c r="Q125" s="457"/>
      <c r="R125" s="561"/>
    </row>
    <row r="126" spans="1:18" s="189" customFormat="1" ht="12.05" customHeight="1">
      <c r="A126" s="286"/>
      <c r="B126" s="287"/>
      <c r="C126" s="287"/>
      <c r="D126" s="287"/>
      <c r="E126" s="287"/>
      <c r="F126" s="287"/>
      <c r="G126" s="288"/>
      <c r="H126" s="288"/>
      <c r="I126" s="410"/>
      <c r="J126" s="342"/>
      <c r="K126" s="343"/>
      <c r="L126" s="343"/>
      <c r="M126" s="343"/>
      <c r="N126" s="492"/>
      <c r="O126" s="492"/>
      <c r="P126" s="487">
        <v>0</v>
      </c>
      <c r="Q126" s="437"/>
      <c r="R126" s="422"/>
    </row>
    <row r="127" spans="1:18" s="189" customFormat="1" ht="12.05" customHeight="1">
      <c r="A127" s="294"/>
      <c r="B127" s="290">
        <v>4</v>
      </c>
      <c r="C127" s="290">
        <v>1</v>
      </c>
      <c r="D127" s="290"/>
      <c r="E127" s="290"/>
      <c r="F127" s="290"/>
      <c r="G127" s="291" t="s">
        <v>180</v>
      </c>
      <c r="H127" s="291"/>
      <c r="I127" s="291"/>
      <c r="J127" s="518" t="e">
        <f>+J129+#REF!</f>
        <v>#REF!</v>
      </c>
      <c r="K127" s="519">
        <f>+K129</f>
        <v>2197286650</v>
      </c>
      <c r="L127" s="519">
        <f>+L129</f>
        <v>2247705750</v>
      </c>
      <c r="M127" s="519">
        <f>+M129</f>
        <v>0</v>
      </c>
      <c r="N127" s="519">
        <f>M127+L127</f>
        <v>2247705750</v>
      </c>
      <c r="O127" s="343">
        <f>N127-K127</f>
        <v>50419100</v>
      </c>
      <c r="P127" s="344">
        <f>N129/K129*100</f>
        <v>102.29460730578781</v>
      </c>
      <c r="Q127" s="559"/>
      <c r="R127" s="422"/>
    </row>
    <row r="128" spans="1:18" s="189" customFormat="1" ht="12.05" customHeight="1">
      <c r="A128" s="289"/>
      <c r="B128" s="292"/>
      <c r="C128" s="292"/>
      <c r="D128" s="292"/>
      <c r="E128" s="292"/>
      <c r="F128" s="292"/>
      <c r="G128" s="253"/>
      <c r="H128" s="253"/>
      <c r="I128" s="253"/>
      <c r="J128" s="387"/>
      <c r="K128" s="367"/>
      <c r="L128" s="367"/>
      <c r="M128" s="367"/>
      <c r="N128" s="367"/>
      <c r="O128" s="367"/>
      <c r="P128" s="347"/>
      <c r="Q128" s="454"/>
      <c r="R128" s="422"/>
    </row>
    <row r="129" spans="1:19" s="190" customFormat="1" ht="12.05" customHeight="1">
      <c r="A129" s="303"/>
      <c r="B129" s="290">
        <v>4</v>
      </c>
      <c r="C129" s="290">
        <v>1</v>
      </c>
      <c r="D129" s="290" t="s">
        <v>443</v>
      </c>
      <c r="E129" s="290"/>
      <c r="F129" s="290"/>
      <c r="G129" s="291" t="s">
        <v>71</v>
      </c>
      <c r="H129" s="291"/>
      <c r="I129" s="291"/>
      <c r="J129" s="348">
        <f>+J130</f>
        <v>0</v>
      </c>
      <c r="K129" s="349">
        <f>K130+K132+K137</f>
        <v>2197286650</v>
      </c>
      <c r="L129" s="349">
        <f>L130+L132+L137</f>
        <v>2247705750</v>
      </c>
      <c r="M129" s="349">
        <f>M130+M132+M137</f>
        <v>0</v>
      </c>
      <c r="N129" s="349">
        <f>+N130</f>
        <v>2247705750</v>
      </c>
      <c r="O129" s="349">
        <f>N129-K129</f>
        <v>50419100</v>
      </c>
      <c r="P129" s="584">
        <f>N129/K129*100</f>
        <v>102.29460730578781</v>
      </c>
      <c r="Q129" s="439"/>
      <c r="R129" s="446"/>
    </row>
    <row r="130" spans="1:19" s="189" customFormat="1" ht="12.05" customHeight="1">
      <c r="A130" s="294"/>
      <c r="B130" s="292">
        <v>4</v>
      </c>
      <c r="C130" s="292">
        <v>1</v>
      </c>
      <c r="D130" s="292" t="s">
        <v>443</v>
      </c>
      <c r="E130" s="292" t="s">
        <v>449</v>
      </c>
      <c r="F130" s="292" t="s">
        <v>437</v>
      </c>
      <c r="G130" s="253" t="s">
        <v>956</v>
      </c>
      <c r="H130" s="253"/>
      <c r="I130" s="253"/>
      <c r="J130" s="411">
        <f>+J131</f>
        <v>0</v>
      </c>
      <c r="K130" s="509">
        <f>'[57]TARGET MURNI DAN PERUBAHAN'!$E$68</f>
        <v>2197286650</v>
      </c>
      <c r="L130" s="509">
        <f>[62]PerDinas!$N$130</f>
        <v>2247705750</v>
      </c>
      <c r="M130" s="509">
        <f>[55]Perdinas!$E$84</f>
        <v>0</v>
      </c>
      <c r="N130" s="509">
        <f>+M130+L130</f>
        <v>2247705750</v>
      </c>
      <c r="O130" s="509">
        <f>N130-K130</f>
        <v>50419100</v>
      </c>
      <c r="P130" s="585">
        <v>0</v>
      </c>
      <c r="Q130" s="632"/>
      <c r="R130" s="554"/>
      <c r="S130" s="542"/>
    </row>
    <row r="131" spans="1:19" s="189" customFormat="1" ht="12.05" customHeight="1">
      <c r="A131" s="294"/>
      <c r="B131" s="292"/>
      <c r="C131" s="292"/>
      <c r="D131" s="292"/>
      <c r="E131" s="292"/>
      <c r="F131" s="292"/>
      <c r="G131" s="253"/>
      <c r="H131" s="253"/>
      <c r="I131" s="253"/>
      <c r="J131" s="333"/>
      <c r="K131" s="355"/>
      <c r="L131" s="355"/>
      <c r="M131" s="355"/>
      <c r="N131" s="355"/>
      <c r="O131" s="355"/>
      <c r="P131" s="388"/>
      <c r="Q131" s="441"/>
      <c r="R131" s="422"/>
    </row>
    <row r="132" spans="1:19" s="189" customFormat="1" ht="12.05" customHeight="1">
      <c r="A132" s="289"/>
      <c r="B132" s="292">
        <v>4</v>
      </c>
      <c r="C132" s="292">
        <v>1</v>
      </c>
      <c r="D132" s="292">
        <v>4</v>
      </c>
      <c r="E132" s="292" t="s">
        <v>444</v>
      </c>
      <c r="F132" s="292"/>
      <c r="G132" s="253" t="s">
        <v>222</v>
      </c>
      <c r="H132" s="253"/>
      <c r="I132" s="253"/>
      <c r="J132" s="526">
        <f>+J135</f>
        <v>0</v>
      </c>
      <c r="K132" s="355">
        <f>+K135</f>
        <v>0</v>
      </c>
      <c r="L132" s="355"/>
      <c r="M132" s="355">
        <f>SUM(M133:M135)</f>
        <v>0</v>
      </c>
      <c r="N132" s="355">
        <f>SUM(N133:N135)</f>
        <v>0</v>
      </c>
      <c r="O132" s="346">
        <f>N132-K132</f>
        <v>0</v>
      </c>
      <c r="P132" s="347">
        <v>0</v>
      </c>
      <c r="Q132" s="441"/>
      <c r="R132" s="422"/>
    </row>
    <row r="133" spans="1:19" s="189" customFormat="1" ht="12.05" customHeight="1">
      <c r="A133" s="289"/>
      <c r="B133" s="292">
        <v>4</v>
      </c>
      <c r="C133" s="292">
        <v>1</v>
      </c>
      <c r="D133" s="292">
        <v>4</v>
      </c>
      <c r="E133" s="292" t="s">
        <v>444</v>
      </c>
      <c r="F133" s="292" t="s">
        <v>440</v>
      </c>
      <c r="G133" s="253" t="s">
        <v>73</v>
      </c>
      <c r="H133" s="253"/>
      <c r="I133" s="253"/>
      <c r="J133" s="354">
        <v>0</v>
      </c>
      <c r="K133" s="355">
        <v>0</v>
      </c>
      <c r="L133" s="355"/>
      <c r="M133" s="355">
        <f>[55]Perdinas!$E$86</f>
        <v>0</v>
      </c>
      <c r="N133" s="355">
        <f>M133+L133</f>
        <v>0</v>
      </c>
      <c r="O133" s="355">
        <f>N133-K133</f>
        <v>0</v>
      </c>
      <c r="P133" s="388"/>
      <c r="Q133" s="441"/>
      <c r="R133" s="422"/>
    </row>
    <row r="134" spans="1:19" s="189" customFormat="1" ht="12.05" customHeight="1">
      <c r="A134" s="289"/>
      <c r="B134" s="292">
        <v>4</v>
      </c>
      <c r="C134" s="292">
        <v>1</v>
      </c>
      <c r="D134" s="292">
        <v>4</v>
      </c>
      <c r="E134" s="292" t="s">
        <v>444</v>
      </c>
      <c r="F134" s="292" t="s">
        <v>445</v>
      </c>
      <c r="G134" s="253" t="s">
        <v>74</v>
      </c>
      <c r="H134" s="253"/>
      <c r="I134" s="253"/>
      <c r="J134" s="354">
        <v>0</v>
      </c>
      <c r="K134" s="355">
        <v>0</v>
      </c>
      <c r="L134" s="355"/>
      <c r="M134" s="355">
        <f>[55]Perdinas!$E$87</f>
        <v>0</v>
      </c>
      <c r="N134" s="355">
        <f>M134+L134</f>
        <v>0</v>
      </c>
      <c r="O134" s="355">
        <f>N134-K134</f>
        <v>0</v>
      </c>
      <c r="P134" s="388"/>
      <c r="Q134" s="441"/>
      <c r="R134" s="422"/>
    </row>
    <row r="135" spans="1:19" s="189" customFormat="1" ht="12.05" customHeight="1">
      <c r="A135" s="289"/>
      <c r="B135" s="292">
        <v>4</v>
      </c>
      <c r="C135" s="292">
        <v>1</v>
      </c>
      <c r="D135" s="292">
        <v>4</v>
      </c>
      <c r="E135" s="292" t="s">
        <v>444</v>
      </c>
      <c r="F135" s="292" t="s">
        <v>441</v>
      </c>
      <c r="G135" s="253" t="s">
        <v>75</v>
      </c>
      <c r="H135" s="253"/>
      <c r="I135" s="253"/>
      <c r="J135" s="354">
        <v>0</v>
      </c>
      <c r="K135" s="355">
        <v>0</v>
      </c>
      <c r="L135" s="355">
        <f>[62]PerDinas!$N$135</f>
        <v>0</v>
      </c>
      <c r="M135" s="373">
        <f>[55]Perdinas!$E$88</f>
        <v>0</v>
      </c>
      <c r="N135" s="369">
        <f>M135+L135</f>
        <v>0</v>
      </c>
      <c r="O135" s="355">
        <f>N135-K135</f>
        <v>0</v>
      </c>
      <c r="P135" s="388"/>
      <c r="Q135" s="633"/>
      <c r="R135" s="422"/>
    </row>
    <row r="136" spans="1:19" s="189" customFormat="1" ht="12.05" customHeight="1">
      <c r="A136" s="289"/>
      <c r="B136" s="292"/>
      <c r="C136" s="292"/>
      <c r="D136" s="292"/>
      <c r="E136" s="292"/>
      <c r="F136" s="292"/>
      <c r="G136" s="297"/>
      <c r="H136" s="297"/>
      <c r="I136" s="297"/>
      <c r="J136" s="333"/>
      <c r="K136" s="355"/>
      <c r="L136" s="355"/>
      <c r="M136" s="355"/>
      <c r="N136" s="355"/>
      <c r="O136" s="355"/>
      <c r="P136" s="388"/>
      <c r="Q136" s="441"/>
      <c r="R136" s="422"/>
    </row>
    <row r="137" spans="1:19" s="189" customFormat="1" ht="12.05" customHeight="1">
      <c r="A137" s="294"/>
      <c r="B137" s="292">
        <v>4</v>
      </c>
      <c r="C137" s="292">
        <v>1</v>
      </c>
      <c r="D137" s="292">
        <v>4</v>
      </c>
      <c r="E137" s="292" t="s">
        <v>948</v>
      </c>
      <c r="F137" s="292"/>
      <c r="G137" s="297" t="s">
        <v>321</v>
      </c>
      <c r="H137" s="297"/>
      <c r="I137" s="297"/>
      <c r="J137" s="333">
        <f>+J138</f>
        <v>0</v>
      </c>
      <c r="K137" s="355">
        <f>+K138</f>
        <v>0</v>
      </c>
      <c r="L137" s="355">
        <f>L138</f>
        <v>0</v>
      </c>
      <c r="M137" s="355">
        <f>M138</f>
        <v>0</v>
      </c>
      <c r="N137" s="355">
        <f>N138</f>
        <v>0</v>
      </c>
      <c r="O137" s="346">
        <f>N137-K137</f>
        <v>0</v>
      </c>
      <c r="P137" s="347">
        <v>0</v>
      </c>
      <c r="Q137" s="441"/>
      <c r="R137" s="422"/>
    </row>
    <row r="138" spans="1:19" s="245" customFormat="1" ht="12.05" customHeight="1">
      <c r="A138" s="304"/>
      <c r="B138" s="305">
        <v>4</v>
      </c>
      <c r="C138" s="305">
        <v>1</v>
      </c>
      <c r="D138" s="305">
        <v>4</v>
      </c>
      <c r="E138" s="305" t="s">
        <v>948</v>
      </c>
      <c r="F138" s="305" t="s">
        <v>437</v>
      </c>
      <c r="G138" s="306" t="s">
        <v>50</v>
      </c>
      <c r="H138" s="306"/>
      <c r="I138" s="306" t="s">
        <v>76</v>
      </c>
      <c r="J138" s="536"/>
      <c r="K138" s="380"/>
      <c r="L138" s="380">
        <f>[62]PerDinas!$N$138</f>
        <v>0</v>
      </c>
      <c r="M138" s="380">
        <f>[55]Perdinas!$E$89</f>
        <v>0</v>
      </c>
      <c r="N138" s="380">
        <f>M138+L138</f>
        <v>0</v>
      </c>
      <c r="O138" s="380">
        <f>N138-K138</f>
        <v>0</v>
      </c>
      <c r="P138" s="501">
        <v>0</v>
      </c>
      <c r="Q138" s="560"/>
      <c r="R138" s="450"/>
    </row>
    <row r="139" spans="1:19" s="249" customFormat="1" ht="20.2" customHeight="1">
      <c r="A139" s="562"/>
      <c r="B139" s="308" t="s">
        <v>58</v>
      </c>
      <c r="C139" s="308" t="s">
        <v>438</v>
      </c>
      <c r="D139" s="308" t="s">
        <v>437</v>
      </c>
      <c r="E139" s="308" t="s">
        <v>451</v>
      </c>
      <c r="F139" s="308"/>
      <c r="G139" s="5902" t="s">
        <v>724</v>
      </c>
      <c r="H139" s="5903"/>
      <c r="I139" s="5904"/>
      <c r="J139" s="586">
        <f>+J141</f>
        <v>1660700000</v>
      </c>
      <c r="K139" s="587">
        <f>+K141</f>
        <v>3000880000</v>
      </c>
      <c r="L139" s="587">
        <f>+L141</f>
        <v>3645496600</v>
      </c>
      <c r="M139" s="587">
        <f>+M141</f>
        <v>34687000</v>
      </c>
      <c r="N139" s="587">
        <f t="shared" ref="N139:N144" si="19">+M139+L139</f>
        <v>3680183600</v>
      </c>
      <c r="O139" s="587">
        <f>N139-K139</f>
        <v>679303600</v>
      </c>
      <c r="P139" s="588">
        <f t="shared" ref="P139:P144" si="20">N139/K139*100</f>
        <v>122.63681320146091</v>
      </c>
      <c r="Q139" s="634"/>
      <c r="R139" s="5863"/>
      <c r="S139" s="5863"/>
    </row>
    <row r="140" spans="1:19" s="189" customFormat="1" ht="12.05" customHeight="1">
      <c r="A140" s="286"/>
      <c r="B140" s="287"/>
      <c r="C140" s="287"/>
      <c r="D140" s="287"/>
      <c r="E140" s="287"/>
      <c r="F140" s="287"/>
      <c r="G140" s="410"/>
      <c r="H140" s="410"/>
      <c r="I140" s="410"/>
      <c r="J140" s="342"/>
      <c r="K140" s="343"/>
      <c r="L140" s="343"/>
      <c r="M140" s="343"/>
      <c r="N140" s="492"/>
      <c r="O140" s="492"/>
      <c r="P140" s="487"/>
      <c r="Q140" s="437"/>
      <c r="R140" s="422"/>
    </row>
    <row r="141" spans="1:19" s="189" customFormat="1" ht="12.05" customHeight="1">
      <c r="A141" s="294"/>
      <c r="B141" s="290">
        <v>4</v>
      </c>
      <c r="C141" s="290">
        <v>1</v>
      </c>
      <c r="D141" s="290"/>
      <c r="E141" s="290"/>
      <c r="F141" s="290"/>
      <c r="G141" s="291" t="s">
        <v>180</v>
      </c>
      <c r="H141" s="291"/>
      <c r="I141" s="291"/>
      <c r="J141" s="518">
        <f>+J143+J147</f>
        <v>1660700000</v>
      </c>
      <c r="K141" s="519">
        <f>+K143+K147</f>
        <v>3000880000</v>
      </c>
      <c r="L141" s="519">
        <f>+L143+L147</f>
        <v>3645496600</v>
      </c>
      <c r="M141" s="519">
        <f>+M143+M147</f>
        <v>34687000</v>
      </c>
      <c r="N141" s="343">
        <f t="shared" si="19"/>
        <v>3680183600</v>
      </c>
      <c r="O141" s="343">
        <f>N141-K141</f>
        <v>679303600</v>
      </c>
      <c r="P141" s="344">
        <f t="shared" si="20"/>
        <v>122.63681320146091</v>
      </c>
      <c r="Q141" s="559"/>
      <c r="R141" s="422"/>
    </row>
    <row r="142" spans="1:19" s="189" customFormat="1" ht="12.05" customHeight="1">
      <c r="A142" s="289"/>
      <c r="B142" s="292"/>
      <c r="C142" s="292"/>
      <c r="D142" s="292"/>
      <c r="E142" s="292"/>
      <c r="F142" s="292"/>
      <c r="G142" s="253"/>
      <c r="H142" s="253"/>
      <c r="I142" s="291"/>
      <c r="J142" s="387"/>
      <c r="K142" s="367"/>
      <c r="L142" s="367"/>
      <c r="M142" s="367"/>
      <c r="N142" s="367"/>
      <c r="O142" s="367"/>
      <c r="P142" s="347"/>
      <c r="Q142" s="454"/>
      <c r="R142" s="422"/>
    </row>
    <row r="143" spans="1:19" s="189" customFormat="1" ht="12.05" customHeight="1">
      <c r="A143" s="294"/>
      <c r="B143" s="290">
        <v>4</v>
      </c>
      <c r="C143" s="290">
        <v>1</v>
      </c>
      <c r="D143" s="290">
        <v>2</v>
      </c>
      <c r="E143" s="290"/>
      <c r="F143" s="290"/>
      <c r="G143" s="291" t="s">
        <v>106</v>
      </c>
      <c r="H143" s="291"/>
      <c r="I143" s="291"/>
      <c r="J143" s="348">
        <f t="shared" ref="J143:M144" si="21">+J144</f>
        <v>1660200000</v>
      </c>
      <c r="K143" s="349">
        <f t="shared" si="21"/>
        <v>3000000000</v>
      </c>
      <c r="L143" s="589">
        <f t="shared" si="21"/>
        <v>3642487600</v>
      </c>
      <c r="M143" s="349">
        <f t="shared" si="21"/>
        <v>34687000</v>
      </c>
      <c r="N143" s="349">
        <f t="shared" si="19"/>
        <v>3677174600</v>
      </c>
      <c r="O143" s="349">
        <f>N143-K143</f>
        <v>677174600</v>
      </c>
      <c r="P143" s="590">
        <f t="shared" si="20"/>
        <v>122.57248666666666</v>
      </c>
      <c r="Q143" s="439"/>
      <c r="R143" s="422"/>
    </row>
    <row r="144" spans="1:19" s="189" customFormat="1" ht="12.05" customHeight="1">
      <c r="A144" s="294"/>
      <c r="B144" s="292">
        <v>4</v>
      </c>
      <c r="C144" s="292">
        <v>1</v>
      </c>
      <c r="D144" s="292">
        <v>2</v>
      </c>
      <c r="E144" s="292" t="s">
        <v>437</v>
      </c>
      <c r="F144" s="292"/>
      <c r="G144" s="253" t="s">
        <v>107</v>
      </c>
      <c r="H144" s="253"/>
      <c r="I144" s="291"/>
      <c r="J144" s="411">
        <f t="shared" si="21"/>
        <v>1660200000</v>
      </c>
      <c r="K144" s="412">
        <f t="shared" si="21"/>
        <v>3000000000</v>
      </c>
      <c r="L144" s="591">
        <f t="shared" si="21"/>
        <v>3642487600</v>
      </c>
      <c r="M144" s="412">
        <f t="shared" si="21"/>
        <v>34687000</v>
      </c>
      <c r="N144" s="412">
        <f t="shared" si="19"/>
        <v>3677174600</v>
      </c>
      <c r="O144" s="412">
        <f>N144-K144</f>
        <v>677174600</v>
      </c>
      <c r="P144" s="487">
        <f t="shared" si="20"/>
        <v>122.57248666666666</v>
      </c>
      <c r="Q144" s="461"/>
      <c r="R144" s="422"/>
    </row>
    <row r="145" spans="1:18" s="189" customFormat="1" ht="12.05" customHeight="1">
      <c r="A145" s="294"/>
      <c r="B145" s="292">
        <v>4</v>
      </c>
      <c r="C145" s="292">
        <v>1</v>
      </c>
      <c r="D145" s="292">
        <v>2</v>
      </c>
      <c r="E145" s="292" t="s">
        <v>437</v>
      </c>
      <c r="F145" s="292" t="s">
        <v>437</v>
      </c>
      <c r="G145" s="253" t="s">
        <v>84</v>
      </c>
      <c r="H145" s="253"/>
      <c r="I145" s="253"/>
      <c r="J145" s="389">
        <v>1660200000</v>
      </c>
      <c r="K145" s="390">
        <f>'[57]TARGET MURNI DAN PERUBAHAN'!$E$73</f>
        <v>3000000000</v>
      </c>
      <c r="L145" s="391">
        <f>[62]PerDinas!$N$145</f>
        <v>3642487600</v>
      </c>
      <c r="M145" s="390">
        <f>[55]Perdinas!$E$93</f>
        <v>34687000</v>
      </c>
      <c r="N145" s="361">
        <f>M145+L145</f>
        <v>3677174600</v>
      </c>
      <c r="O145" s="334">
        <f>N145-K145</f>
        <v>677174600</v>
      </c>
      <c r="P145" s="335" t="s">
        <v>700</v>
      </c>
      <c r="Q145" s="442"/>
      <c r="R145" s="545"/>
    </row>
    <row r="146" spans="1:18" s="189" customFormat="1" ht="12.05" customHeight="1">
      <c r="A146" s="289"/>
      <c r="B146" s="292"/>
      <c r="C146" s="292"/>
      <c r="D146" s="292"/>
      <c r="E146" s="292"/>
      <c r="F146" s="292"/>
      <c r="G146" s="253"/>
      <c r="H146" s="253"/>
      <c r="I146" s="253"/>
      <c r="J146" s="354"/>
      <c r="K146" s="355"/>
      <c r="L146" s="360"/>
      <c r="M146" s="355"/>
      <c r="N146" s="355"/>
      <c r="O146" s="355"/>
      <c r="P146" s="388"/>
      <c r="Q146" s="635"/>
      <c r="R146" s="636"/>
    </row>
    <row r="147" spans="1:18" s="189" customFormat="1" ht="12.05" customHeight="1">
      <c r="A147" s="294"/>
      <c r="B147" s="290">
        <v>4</v>
      </c>
      <c r="C147" s="290">
        <v>1</v>
      </c>
      <c r="D147" s="290">
        <v>4</v>
      </c>
      <c r="E147" s="290"/>
      <c r="F147" s="290"/>
      <c r="G147" s="291" t="s">
        <v>71</v>
      </c>
      <c r="H147" s="291"/>
      <c r="I147" s="291"/>
      <c r="J147" s="392">
        <f>+J155</f>
        <v>500000</v>
      </c>
      <c r="K147" s="393">
        <f>+K155+K151+K148</f>
        <v>880000</v>
      </c>
      <c r="L147" s="394">
        <f>+L155+L151+L148</f>
        <v>3009000</v>
      </c>
      <c r="M147" s="393">
        <f>+M155+M151+M148</f>
        <v>0</v>
      </c>
      <c r="N147" s="393">
        <f>M147+L147</f>
        <v>3009000</v>
      </c>
      <c r="O147" s="349">
        <f t="shared" ref="O147:O156" si="22">N147-K147</f>
        <v>2129000</v>
      </c>
      <c r="P147" s="584">
        <v>0</v>
      </c>
      <c r="Q147" s="637"/>
      <c r="R147" s="545"/>
    </row>
    <row r="148" spans="1:18" s="189" customFormat="1" ht="15.05">
      <c r="A148" s="563"/>
      <c r="B148" s="290">
        <v>4</v>
      </c>
      <c r="C148" s="290">
        <v>1</v>
      </c>
      <c r="D148" s="290">
        <v>4</v>
      </c>
      <c r="E148" s="290" t="s">
        <v>441</v>
      </c>
      <c r="F148" s="290"/>
      <c r="G148" s="291" t="s">
        <v>557</v>
      </c>
      <c r="H148" s="467"/>
      <c r="I148" s="467"/>
      <c r="J148" s="329"/>
      <c r="K148" s="592">
        <f>K149</f>
        <v>0</v>
      </c>
      <c r="L148" s="593">
        <f>L149</f>
        <v>0</v>
      </c>
      <c r="M148" s="592">
        <f>M149</f>
        <v>0</v>
      </c>
      <c r="N148" s="592">
        <f>M148+L148</f>
        <v>0</v>
      </c>
      <c r="O148" s="594">
        <f t="shared" si="22"/>
        <v>0</v>
      </c>
      <c r="P148" s="368"/>
      <c r="Q148" s="637"/>
      <c r="R148" s="422"/>
    </row>
    <row r="149" spans="1:18" s="189" customFormat="1" ht="12.05" customHeight="1">
      <c r="A149" s="563"/>
      <c r="B149" s="292">
        <v>4</v>
      </c>
      <c r="C149" s="292">
        <v>1</v>
      </c>
      <c r="D149" s="292">
        <v>4</v>
      </c>
      <c r="E149" s="292" t="s">
        <v>441</v>
      </c>
      <c r="F149" s="292" t="s">
        <v>437</v>
      </c>
      <c r="G149" s="253" t="s">
        <v>72</v>
      </c>
      <c r="H149" s="467"/>
      <c r="I149" s="467"/>
      <c r="J149" s="329"/>
      <c r="K149" s="334"/>
      <c r="L149" s="356">
        <f>[62]PerDinas!$N$149</f>
        <v>0</v>
      </c>
      <c r="M149" s="334">
        <f>[55]Perdinas!$E$96</f>
        <v>0</v>
      </c>
      <c r="N149" s="334">
        <f>M149+L149</f>
        <v>0</v>
      </c>
      <c r="O149" s="396">
        <f t="shared" si="22"/>
        <v>0</v>
      </c>
      <c r="P149" s="344"/>
      <c r="Q149" s="637"/>
      <c r="R149" s="422"/>
    </row>
    <row r="150" spans="1:18" s="189" customFormat="1" ht="12.05" customHeight="1">
      <c r="A150" s="563"/>
      <c r="B150" s="466"/>
      <c r="C150" s="466"/>
      <c r="D150" s="466"/>
      <c r="E150" s="466"/>
      <c r="F150" s="466"/>
      <c r="G150" s="467"/>
      <c r="H150" s="467"/>
      <c r="I150" s="467"/>
      <c r="J150" s="329"/>
      <c r="K150" s="334"/>
      <c r="L150" s="356"/>
      <c r="M150" s="334"/>
      <c r="N150" s="334"/>
      <c r="O150" s="396"/>
      <c r="P150" s="344"/>
      <c r="Q150" s="637"/>
      <c r="R150" s="422"/>
    </row>
    <row r="151" spans="1:18" s="189" customFormat="1" ht="12.05" customHeight="1">
      <c r="A151" s="465"/>
      <c r="B151" s="296">
        <v>4</v>
      </c>
      <c r="C151" s="296">
        <v>1</v>
      </c>
      <c r="D151" s="296">
        <v>4</v>
      </c>
      <c r="E151" s="296" t="s">
        <v>444</v>
      </c>
      <c r="F151" s="296"/>
      <c r="G151" s="297" t="s">
        <v>222</v>
      </c>
      <c r="H151" s="297"/>
      <c r="I151" s="297"/>
      <c r="J151" s="351">
        <v>0</v>
      </c>
      <c r="K151" s="352">
        <f>+K154</f>
        <v>0</v>
      </c>
      <c r="L151" s="362">
        <f>SUM(L152:L154)</f>
        <v>2659000</v>
      </c>
      <c r="M151" s="352">
        <f>SUM(M152:M154)</f>
        <v>0</v>
      </c>
      <c r="N151" s="352">
        <f>SUM(N152:N154)</f>
        <v>2659000</v>
      </c>
      <c r="O151" s="595">
        <f t="shared" si="22"/>
        <v>2659000</v>
      </c>
      <c r="P151" s="596"/>
      <c r="Q151" s="637"/>
      <c r="R151" s="422"/>
    </row>
    <row r="152" spans="1:18" s="189" customFormat="1" ht="12.05" customHeight="1">
      <c r="A152" s="564"/>
      <c r="B152" s="565">
        <v>4</v>
      </c>
      <c r="C152" s="565">
        <v>1</v>
      </c>
      <c r="D152" s="565">
        <v>4</v>
      </c>
      <c r="E152" s="565" t="s">
        <v>444</v>
      </c>
      <c r="F152" s="565" t="s">
        <v>440</v>
      </c>
      <c r="G152" s="566" t="s">
        <v>73</v>
      </c>
      <c r="H152" s="566"/>
      <c r="I152" s="566"/>
      <c r="J152" s="484"/>
      <c r="K152" s="485"/>
      <c r="L152" s="486">
        <v>0</v>
      </c>
      <c r="M152" s="485">
        <f>[55]Perdinas!$E$97</f>
        <v>0</v>
      </c>
      <c r="N152" s="485">
        <f>M152+L152</f>
        <v>0</v>
      </c>
      <c r="O152" s="485">
        <f t="shared" si="22"/>
        <v>0</v>
      </c>
      <c r="P152" s="597"/>
      <c r="Q152" s="638"/>
      <c r="R152" s="422"/>
    </row>
    <row r="153" spans="1:18" s="189" customFormat="1" ht="12.05" customHeight="1">
      <c r="A153" s="286"/>
      <c r="B153" s="287">
        <v>4</v>
      </c>
      <c r="C153" s="287">
        <v>1</v>
      </c>
      <c r="D153" s="287">
        <v>4</v>
      </c>
      <c r="E153" s="287" t="s">
        <v>444</v>
      </c>
      <c r="F153" s="287" t="s">
        <v>445</v>
      </c>
      <c r="G153" s="410" t="s">
        <v>74</v>
      </c>
      <c r="H153" s="410"/>
      <c r="I153" s="410"/>
      <c r="J153" s="389"/>
      <c r="K153" s="357"/>
      <c r="L153" s="391">
        <v>0</v>
      </c>
      <c r="M153" s="357">
        <f>[55]Perdinas!$E$98</f>
        <v>0</v>
      </c>
      <c r="N153" s="357">
        <f>M153+L153</f>
        <v>0</v>
      </c>
      <c r="O153" s="357">
        <f t="shared" si="22"/>
        <v>0</v>
      </c>
      <c r="P153" s="358"/>
      <c r="Q153" s="442"/>
      <c r="R153" s="422"/>
    </row>
    <row r="154" spans="1:18" s="189" customFormat="1" ht="12.05" customHeight="1">
      <c r="A154" s="293"/>
      <c r="B154" s="292">
        <v>4</v>
      </c>
      <c r="C154" s="292">
        <v>1</v>
      </c>
      <c r="D154" s="292">
        <v>4</v>
      </c>
      <c r="E154" s="292" t="s">
        <v>444</v>
      </c>
      <c r="F154" s="292" t="s">
        <v>441</v>
      </c>
      <c r="G154" s="253" t="s">
        <v>75</v>
      </c>
      <c r="H154" s="253"/>
      <c r="I154" s="253"/>
      <c r="J154" s="354">
        <v>0</v>
      </c>
      <c r="K154" s="355">
        <f>'[57]TARGET MURNI DAN PERUBAHAN'!$E$76</f>
        <v>0</v>
      </c>
      <c r="L154" s="355">
        <f>[62]PerDinas!$N$154</f>
        <v>2659000</v>
      </c>
      <c r="M154" s="355">
        <f>[55]Perdinas!$E$99</f>
        <v>0</v>
      </c>
      <c r="N154" s="369">
        <f>M154+L154</f>
        <v>2659000</v>
      </c>
      <c r="O154" s="355">
        <f t="shared" si="22"/>
        <v>2659000</v>
      </c>
      <c r="P154" s="388"/>
      <c r="Q154" s="441"/>
      <c r="R154" s="422"/>
    </row>
    <row r="155" spans="1:18" s="189" customFormat="1" ht="15.05">
      <c r="A155" s="294"/>
      <c r="B155" s="292">
        <v>4</v>
      </c>
      <c r="C155" s="292">
        <v>1</v>
      </c>
      <c r="D155" s="292">
        <v>4</v>
      </c>
      <c r="E155" s="292" t="s">
        <v>948</v>
      </c>
      <c r="F155" s="292"/>
      <c r="G155" s="297" t="s">
        <v>321</v>
      </c>
      <c r="H155" s="297"/>
      <c r="I155" s="297"/>
      <c r="J155" s="333">
        <f>+J156</f>
        <v>500000</v>
      </c>
      <c r="K155" s="334">
        <f>+K156</f>
        <v>880000</v>
      </c>
      <c r="L155" s="592">
        <f>L156</f>
        <v>350000</v>
      </c>
      <c r="M155" s="592">
        <f>M156</f>
        <v>0</v>
      </c>
      <c r="N155" s="592">
        <f>N156</f>
        <v>350000</v>
      </c>
      <c r="O155" s="594">
        <f t="shared" si="22"/>
        <v>-530000</v>
      </c>
      <c r="P155" s="598">
        <f>N155/K155*100</f>
        <v>39.772727272727273</v>
      </c>
      <c r="Q155" s="430"/>
      <c r="R155" s="422"/>
    </row>
    <row r="156" spans="1:18" s="245" customFormat="1" ht="12.05" customHeight="1">
      <c r="A156" s="304"/>
      <c r="B156" s="305">
        <v>4</v>
      </c>
      <c r="C156" s="305">
        <v>1</v>
      </c>
      <c r="D156" s="305">
        <v>4</v>
      </c>
      <c r="E156" s="305" t="s">
        <v>948</v>
      </c>
      <c r="F156" s="305" t="s">
        <v>437</v>
      </c>
      <c r="G156" s="306" t="s">
        <v>50</v>
      </c>
      <c r="H156" s="306"/>
      <c r="I156" s="306" t="s">
        <v>85</v>
      </c>
      <c r="J156" s="536">
        <v>500000</v>
      </c>
      <c r="K156" s="380">
        <f>'[57]TARGET MURNI DAN PERUBAHAN'!$E$77</f>
        <v>880000</v>
      </c>
      <c r="L156" s="538">
        <f>[62]PerDinas!$N$156</f>
        <v>350000</v>
      </c>
      <c r="M156" s="380">
        <f>[55]Perdinas!$E$100</f>
        <v>0</v>
      </c>
      <c r="N156" s="500">
        <f t="shared" ref="N156:N161" si="23">M156+L156</f>
        <v>350000</v>
      </c>
      <c r="O156" s="380">
        <f t="shared" si="22"/>
        <v>-530000</v>
      </c>
      <c r="P156" s="335">
        <f>N156/K156*100</f>
        <v>39.772727272727273</v>
      </c>
      <c r="Q156" s="560"/>
      <c r="R156" s="450"/>
    </row>
    <row r="157" spans="1:18" s="244" customFormat="1" ht="12.05" customHeight="1">
      <c r="A157" s="567" t="s">
        <v>100</v>
      </c>
      <c r="B157" s="284" t="s">
        <v>58</v>
      </c>
      <c r="C157" s="284" t="s">
        <v>438</v>
      </c>
      <c r="D157" s="284" t="s">
        <v>438</v>
      </c>
      <c r="E157" s="284"/>
      <c r="F157" s="284"/>
      <c r="G157" s="298" t="s">
        <v>99</v>
      </c>
      <c r="H157" s="298"/>
      <c r="I157" s="298"/>
      <c r="J157" s="336" t="e">
        <f>+J159</f>
        <v>#REF!</v>
      </c>
      <c r="K157" s="337">
        <f>+K159</f>
        <v>105181111701</v>
      </c>
      <c r="L157" s="337">
        <f>+L159</f>
        <v>74834002587.880005</v>
      </c>
      <c r="M157" s="337">
        <f>+M159</f>
        <v>7271263070</v>
      </c>
      <c r="N157" s="337">
        <f t="shared" si="23"/>
        <v>82105265657.880005</v>
      </c>
      <c r="O157" s="337">
        <f>+N157-K157</f>
        <v>-23075846043.119995</v>
      </c>
      <c r="P157" s="338">
        <f>+N157/K157*100</f>
        <v>78.060846030304305</v>
      </c>
      <c r="Q157" s="432"/>
      <c r="R157" s="639"/>
    </row>
    <row r="158" spans="1:18" s="189" customFormat="1" ht="7.55" customHeight="1">
      <c r="A158" s="286"/>
      <c r="B158" s="287"/>
      <c r="C158" s="287"/>
      <c r="D158" s="287"/>
      <c r="E158" s="287"/>
      <c r="F158" s="287"/>
      <c r="G158" s="288"/>
      <c r="H158" s="288"/>
      <c r="I158" s="288"/>
      <c r="J158" s="385"/>
      <c r="K158" s="386"/>
      <c r="L158" s="386"/>
      <c r="M158" s="386"/>
      <c r="N158" s="386"/>
      <c r="O158" s="386"/>
      <c r="P158" s="341"/>
      <c r="Q158" s="453"/>
      <c r="R158" s="422"/>
    </row>
    <row r="159" spans="1:18" s="189" customFormat="1" ht="12.05" customHeight="1">
      <c r="A159" s="294"/>
      <c r="B159" s="290">
        <v>4</v>
      </c>
      <c r="C159" s="290">
        <v>1</v>
      </c>
      <c r="D159" s="292"/>
      <c r="E159" s="292"/>
      <c r="F159" s="292"/>
      <c r="G159" s="291" t="s">
        <v>180</v>
      </c>
      <c r="H159" s="291"/>
      <c r="I159" s="291"/>
      <c r="J159" s="342" t="e">
        <f>+J161</f>
        <v>#REF!</v>
      </c>
      <c r="K159" s="599">
        <f>+K161</f>
        <v>105181111701</v>
      </c>
      <c r="L159" s="343">
        <f>+L161</f>
        <v>74834002587.880005</v>
      </c>
      <c r="M159" s="343">
        <f>+M161</f>
        <v>7271263070</v>
      </c>
      <c r="N159" s="343">
        <f>+M159+L159</f>
        <v>82105265657.880005</v>
      </c>
      <c r="O159" s="343">
        <f>N159-K159</f>
        <v>-23075846043.119995</v>
      </c>
      <c r="P159" s="344">
        <f>N159/K159*100</f>
        <v>78.060846030304305</v>
      </c>
      <c r="Q159" s="437"/>
      <c r="R159" s="422"/>
    </row>
    <row r="160" spans="1:18" s="189" customFormat="1" ht="7.55" customHeight="1">
      <c r="A160" s="289"/>
      <c r="B160" s="292"/>
      <c r="C160" s="292"/>
      <c r="D160" s="292"/>
      <c r="E160" s="292"/>
      <c r="F160" s="292"/>
      <c r="G160" s="253"/>
      <c r="H160" s="253"/>
      <c r="I160" s="253"/>
      <c r="J160" s="374"/>
      <c r="K160" s="375"/>
      <c r="L160" s="375"/>
      <c r="M160" s="375"/>
      <c r="N160" s="375"/>
      <c r="O160" s="375"/>
      <c r="P160" s="600"/>
      <c r="Q160" s="448"/>
      <c r="R160" s="422"/>
    </row>
    <row r="161" spans="1:19" s="189" customFormat="1" ht="12.05" customHeight="1">
      <c r="A161" s="294"/>
      <c r="B161" s="290">
        <v>4</v>
      </c>
      <c r="C161" s="290">
        <v>1</v>
      </c>
      <c r="D161" s="290">
        <v>4</v>
      </c>
      <c r="E161" s="290"/>
      <c r="F161" s="290"/>
      <c r="G161" s="291" t="s">
        <v>71</v>
      </c>
      <c r="H161" s="291"/>
      <c r="I161" s="291"/>
      <c r="J161" s="601" t="e">
        <f>J163+J165+J170</f>
        <v>#REF!</v>
      </c>
      <c r="K161" s="602">
        <f>K163+K165+K170+K166+K167</f>
        <v>105181111701</v>
      </c>
      <c r="L161" s="602">
        <f>L163+L165+L170+L166+L167</f>
        <v>74834002587.880005</v>
      </c>
      <c r="M161" s="602">
        <f>M163+M165+M170</f>
        <v>7271263070</v>
      </c>
      <c r="N161" s="602">
        <f t="shared" si="23"/>
        <v>82105265657.880005</v>
      </c>
      <c r="O161" s="349">
        <f>N161-K161</f>
        <v>-23075846043.119995</v>
      </c>
      <c r="P161" s="350"/>
      <c r="Q161" s="640"/>
      <c r="R161" s="422"/>
    </row>
    <row r="162" spans="1:19" s="189" customFormat="1" ht="7.55" customHeight="1">
      <c r="A162" s="294"/>
      <c r="B162" s="290"/>
      <c r="C162" s="290"/>
      <c r="D162" s="290"/>
      <c r="E162" s="290"/>
      <c r="F162" s="290"/>
      <c r="G162" s="291"/>
      <c r="H162" s="291"/>
      <c r="I162" s="291"/>
      <c r="J162" s="603"/>
      <c r="K162" s="604"/>
      <c r="L162" s="605"/>
      <c r="M162" s="604"/>
      <c r="N162" s="604"/>
      <c r="O162" s="343"/>
      <c r="P162" s="344"/>
      <c r="Q162" s="641"/>
      <c r="R162" s="422"/>
    </row>
    <row r="163" spans="1:19" s="189" customFormat="1" ht="15.05">
      <c r="A163" s="294"/>
      <c r="B163" s="292">
        <v>4</v>
      </c>
      <c r="C163" s="292">
        <v>1</v>
      </c>
      <c r="D163" s="292" t="s">
        <v>443</v>
      </c>
      <c r="E163" s="292" t="s">
        <v>449</v>
      </c>
      <c r="F163" s="292" t="s">
        <v>437</v>
      </c>
      <c r="G163" s="568" t="s">
        <v>957</v>
      </c>
      <c r="H163" s="291"/>
      <c r="I163" s="291"/>
      <c r="J163" s="342" t="e">
        <f>#REF!+#REF!+#REF!+#REF!+#REF!+#REF!+#REF!+#REF!+#REF!+#REF!+#REF!+#REF!+#REF!+#REF!+#REF!+#REF!+#REF!+#REF!+#REF!+#REF!+#REF!+#REF!+#REF!+#REF!</f>
        <v>#REF!</v>
      </c>
      <c r="K163" s="343">
        <f>'[57]TARGET MURNI DAN PERUBAHAN'!$E$81</f>
        <v>105181111701</v>
      </c>
      <c r="L163" s="606">
        <f>[62]PerDinas!$N$163</f>
        <v>74834002587.880005</v>
      </c>
      <c r="M163" s="343">
        <f>[55]Perdinas!$E$104</f>
        <v>7271263070</v>
      </c>
      <c r="N163" s="607">
        <f t="shared" ref="N163:N168" si="24">M163+L163</f>
        <v>82105265657.880005</v>
      </c>
      <c r="O163" s="334">
        <f>N163-K163</f>
        <v>-23075846043.119995</v>
      </c>
      <c r="P163" s="335">
        <f>N163/K163*100</f>
        <v>78.060846030304305</v>
      </c>
      <c r="Q163" s="642"/>
      <c r="R163" s="554"/>
      <c r="S163" s="643"/>
    </row>
    <row r="164" spans="1:19" s="189" customFormat="1" ht="7.55" customHeight="1">
      <c r="A164" s="289"/>
      <c r="B164" s="292"/>
      <c r="C164" s="292"/>
      <c r="D164" s="292"/>
      <c r="E164" s="292"/>
      <c r="F164" s="292"/>
      <c r="G164" s="253"/>
      <c r="H164" s="253"/>
      <c r="I164" s="253"/>
      <c r="J164" s="374"/>
      <c r="K164" s="375"/>
      <c r="L164" s="377"/>
      <c r="M164" s="375"/>
      <c r="N164" s="346"/>
      <c r="O164" s="355"/>
      <c r="P164" s="388"/>
      <c r="Q164" s="448"/>
      <c r="R164" s="422"/>
    </row>
    <row r="165" spans="1:19" s="189" customFormat="1" ht="12.05" customHeight="1">
      <c r="A165" s="293"/>
      <c r="B165" s="305">
        <v>4</v>
      </c>
      <c r="C165" s="305">
        <v>1</v>
      </c>
      <c r="D165" s="305">
        <v>4</v>
      </c>
      <c r="E165" s="305" t="s">
        <v>444</v>
      </c>
      <c r="F165" s="305"/>
      <c r="G165" s="306" t="s">
        <v>222</v>
      </c>
      <c r="H165" s="306"/>
      <c r="I165" s="306"/>
      <c r="J165" s="526">
        <f>SUM(J166:J168)</f>
        <v>0</v>
      </c>
      <c r="K165" s="476">
        <f>K168</f>
        <v>0</v>
      </c>
      <c r="L165" s="476">
        <f>L168</f>
        <v>0</v>
      </c>
      <c r="M165" s="476">
        <f>SUM(M166:M168)</f>
        <v>0</v>
      </c>
      <c r="N165" s="477">
        <f>+M165+L165</f>
        <v>0</v>
      </c>
      <c r="O165" s="477">
        <f>N165-K165</f>
        <v>0</v>
      </c>
      <c r="P165" s="608"/>
      <c r="Q165" s="644"/>
      <c r="R165" s="422"/>
    </row>
    <row r="166" spans="1:19" s="189" customFormat="1" ht="12.05" customHeight="1">
      <c r="A166" s="289"/>
      <c r="B166" s="569">
        <v>4</v>
      </c>
      <c r="C166" s="569">
        <v>1</v>
      </c>
      <c r="D166" s="569">
        <v>4</v>
      </c>
      <c r="E166" s="569" t="s">
        <v>441</v>
      </c>
      <c r="F166" s="569" t="s">
        <v>437</v>
      </c>
      <c r="G166" s="570" t="s">
        <v>710</v>
      </c>
      <c r="H166" s="571"/>
      <c r="I166" s="571"/>
      <c r="J166" s="609">
        <v>0</v>
      </c>
      <c r="K166" s="610">
        <v>0</v>
      </c>
      <c r="L166" s="611">
        <v>0</v>
      </c>
      <c r="M166" s="355">
        <f>[55]Perdinas!$E$106</f>
        <v>0</v>
      </c>
      <c r="N166" s="610">
        <f t="shared" si="24"/>
        <v>0</v>
      </c>
      <c r="O166" s="610">
        <f>N166-K166</f>
        <v>0</v>
      </c>
      <c r="P166" s="612"/>
      <c r="Q166" s="645"/>
      <c r="R166" s="422"/>
    </row>
    <row r="167" spans="1:19" s="189" customFormat="1" ht="12.05" customHeight="1">
      <c r="A167" s="289"/>
      <c r="B167" s="572">
        <v>4</v>
      </c>
      <c r="C167" s="572">
        <v>1</v>
      </c>
      <c r="D167" s="572">
        <v>4</v>
      </c>
      <c r="E167" s="572" t="s">
        <v>449</v>
      </c>
      <c r="F167" s="572" t="s">
        <v>437</v>
      </c>
      <c r="G167" s="573" t="s">
        <v>958</v>
      </c>
      <c r="H167" s="574"/>
      <c r="I167" s="574"/>
      <c r="J167" s="613">
        <v>0</v>
      </c>
      <c r="K167" s="614">
        <v>0</v>
      </c>
      <c r="L167" s="614">
        <v>0</v>
      </c>
      <c r="M167" s="355">
        <f>[55]Perdinas!$E$107</f>
        <v>0</v>
      </c>
      <c r="N167" s="614">
        <f t="shared" si="24"/>
        <v>0</v>
      </c>
      <c r="O167" s="614">
        <f>N167-K167</f>
        <v>0</v>
      </c>
      <c r="P167" s="615"/>
      <c r="Q167" s="646"/>
      <c r="R167" s="422"/>
    </row>
    <row r="168" spans="1:19" s="189" customFormat="1" ht="12.05" customHeight="1">
      <c r="A168" s="293"/>
      <c r="B168" s="292">
        <v>4</v>
      </c>
      <c r="C168" s="292">
        <v>1</v>
      </c>
      <c r="D168" s="292">
        <v>4</v>
      </c>
      <c r="E168" s="292" t="s">
        <v>444</v>
      </c>
      <c r="F168" s="292" t="s">
        <v>441</v>
      </c>
      <c r="G168" s="253" t="s">
        <v>75</v>
      </c>
      <c r="H168" s="253"/>
      <c r="I168" s="253"/>
      <c r="J168" s="354">
        <v>0</v>
      </c>
      <c r="K168" s="355">
        <f>'[57]TARGET MURNI DAN PERUBAHAN'!$E$82</f>
        <v>0</v>
      </c>
      <c r="L168" s="360">
        <f>[62]PerDinas!$N$168</f>
        <v>0</v>
      </c>
      <c r="M168" s="355">
        <f>[55]Perdinas!$E$108</f>
        <v>0</v>
      </c>
      <c r="N168" s="369">
        <f t="shared" si="24"/>
        <v>0</v>
      </c>
      <c r="O168" s="355">
        <f>N168-K168</f>
        <v>0</v>
      </c>
      <c r="P168" s="388">
        <v>0</v>
      </c>
      <c r="Q168" s="441"/>
      <c r="R168" s="422"/>
    </row>
    <row r="169" spans="1:19" s="189" customFormat="1" ht="12.05" customHeight="1">
      <c r="A169" s="289"/>
      <c r="B169" s="292"/>
      <c r="C169" s="292"/>
      <c r="D169" s="292"/>
      <c r="E169" s="292"/>
      <c r="F169" s="292"/>
      <c r="G169" s="253"/>
      <c r="H169" s="253"/>
      <c r="I169" s="253"/>
      <c r="J169" s="374"/>
      <c r="K169" s="375"/>
      <c r="L169" s="377"/>
      <c r="M169" s="375"/>
      <c r="N169" s="375"/>
      <c r="O169" s="375"/>
      <c r="P169" s="600"/>
      <c r="Q169" s="448"/>
      <c r="R169" s="422"/>
    </row>
    <row r="170" spans="1:19" s="189" customFormat="1" ht="12.05" customHeight="1">
      <c r="A170" s="294"/>
      <c r="B170" s="292">
        <v>4</v>
      </c>
      <c r="C170" s="292">
        <v>1</v>
      </c>
      <c r="D170" s="292">
        <v>4</v>
      </c>
      <c r="E170" s="292" t="s">
        <v>948</v>
      </c>
      <c r="F170" s="292"/>
      <c r="G170" s="253" t="s">
        <v>321</v>
      </c>
      <c r="H170" s="253"/>
      <c r="I170" s="253"/>
      <c r="J170" s="489">
        <f>+J171</f>
        <v>0</v>
      </c>
      <c r="K170" s="512">
        <f>+K171</f>
        <v>0</v>
      </c>
      <c r="L170" s="616">
        <f>+L171</f>
        <v>0</v>
      </c>
      <c r="M170" s="512">
        <f>+M171</f>
        <v>0</v>
      </c>
      <c r="N170" s="512">
        <f>+N171</f>
        <v>0</v>
      </c>
      <c r="O170" s="412">
        <f>N170-K170</f>
        <v>0</v>
      </c>
      <c r="P170" s="487"/>
      <c r="Q170" s="647"/>
      <c r="R170" s="422"/>
    </row>
    <row r="171" spans="1:19" s="189" customFormat="1" ht="12.05" customHeight="1">
      <c r="A171" s="294"/>
      <c r="B171" s="292">
        <v>4</v>
      </c>
      <c r="C171" s="292">
        <v>1</v>
      </c>
      <c r="D171" s="292">
        <v>4</v>
      </c>
      <c r="E171" s="292" t="s">
        <v>948</v>
      </c>
      <c r="F171" s="292" t="s">
        <v>437</v>
      </c>
      <c r="G171" s="253" t="s">
        <v>85</v>
      </c>
      <c r="H171" s="253"/>
      <c r="I171" s="253"/>
      <c r="J171" s="494">
        <f>SUM(J172:J172)</f>
        <v>0</v>
      </c>
      <c r="K171" s="495">
        <f>SUM(K172:K172)</f>
        <v>0</v>
      </c>
      <c r="L171" s="495">
        <f>SUM(L172:L172)</f>
        <v>0</v>
      </c>
      <c r="M171" s="495">
        <f>SUM(M172:M172)</f>
        <v>0</v>
      </c>
      <c r="N171" s="495">
        <f>SUM(N172:N172)</f>
        <v>0</v>
      </c>
      <c r="O171" s="334">
        <f>N171-K171</f>
        <v>0</v>
      </c>
      <c r="P171" s="335"/>
      <c r="Q171" s="548"/>
      <c r="R171" s="422"/>
    </row>
    <row r="172" spans="1:19" s="189" customFormat="1" ht="12.05" customHeight="1">
      <c r="A172" s="289"/>
      <c r="B172" s="292"/>
      <c r="C172" s="292"/>
      <c r="D172" s="292"/>
      <c r="E172" s="292"/>
      <c r="F172" s="292"/>
      <c r="G172" s="253" t="s">
        <v>50</v>
      </c>
      <c r="H172" s="253" t="s">
        <v>85</v>
      </c>
      <c r="I172" s="253"/>
      <c r="J172" s="374">
        <v>0</v>
      </c>
      <c r="K172" s="375">
        <f>'[57]TARGET MURNI DAN PERUBAHAN'!$E$83</f>
        <v>0</v>
      </c>
      <c r="L172" s="617">
        <f>[62]PerDinas!$N$172</f>
        <v>0</v>
      </c>
      <c r="M172" s="375">
        <f>[55]Perdinas!$E$109</f>
        <v>0</v>
      </c>
      <c r="N172" s="618">
        <f>+M172+L172</f>
        <v>0</v>
      </c>
      <c r="O172" s="355">
        <f>N172-K172</f>
        <v>0</v>
      </c>
      <c r="P172" s="600"/>
      <c r="Q172" s="448"/>
      <c r="R172" s="422"/>
    </row>
    <row r="173" spans="1:19" s="245" customFormat="1" ht="12.05" customHeight="1">
      <c r="A173" s="473"/>
      <c r="B173" s="305"/>
      <c r="C173" s="305"/>
      <c r="D173" s="305"/>
      <c r="E173" s="305"/>
      <c r="F173" s="305"/>
      <c r="G173" s="306"/>
      <c r="H173" s="306"/>
      <c r="I173" s="306"/>
      <c r="J173" s="536"/>
      <c r="K173" s="380"/>
      <c r="L173" s="380"/>
      <c r="M173" s="380"/>
      <c r="N173" s="380"/>
      <c r="O173" s="380"/>
      <c r="P173" s="501"/>
      <c r="Q173" s="560"/>
      <c r="R173" s="450"/>
    </row>
    <row r="174" spans="1:19" s="244" customFormat="1" ht="12.05" customHeight="1">
      <c r="A174" s="283" t="s">
        <v>104</v>
      </c>
      <c r="B174" s="284" t="s">
        <v>58</v>
      </c>
      <c r="C174" s="284" t="s">
        <v>438</v>
      </c>
      <c r="D174" s="284" t="s">
        <v>440</v>
      </c>
      <c r="E174" s="284"/>
      <c r="F174" s="284"/>
      <c r="G174" s="298" t="s">
        <v>725</v>
      </c>
      <c r="H174" s="298"/>
      <c r="I174" s="619"/>
      <c r="J174" s="336">
        <f>+J176</f>
        <v>6040170000</v>
      </c>
      <c r="K174" s="337">
        <f>+K176</f>
        <v>16018941800</v>
      </c>
      <c r="L174" s="337">
        <f>+L176</f>
        <v>9507222743</v>
      </c>
      <c r="M174" s="337">
        <f>+M176</f>
        <v>1016783988</v>
      </c>
      <c r="N174" s="337">
        <f t="shared" ref="N174:N179" si="25">M174+L174</f>
        <v>10524006731</v>
      </c>
      <c r="O174" s="337">
        <f>+N174-K174</f>
        <v>-5494935069</v>
      </c>
      <c r="P174" s="338">
        <f>+N174/K174*100</f>
        <v>65.697265539724981</v>
      </c>
      <c r="Q174" s="432"/>
      <c r="R174" s="433">
        <f>M174-[57]Perdinas!$P$111</f>
        <v>-1625768980</v>
      </c>
    </row>
    <row r="175" spans="1:19" s="189" customFormat="1" ht="12.05" customHeight="1">
      <c r="A175" s="286"/>
      <c r="B175" s="287"/>
      <c r="C175" s="287"/>
      <c r="D175" s="287"/>
      <c r="E175" s="287"/>
      <c r="F175" s="287"/>
      <c r="G175" s="288"/>
      <c r="H175" s="288"/>
      <c r="I175" s="410"/>
      <c r="J175" s="385"/>
      <c r="K175" s="386"/>
      <c r="L175" s="386"/>
      <c r="M175" s="386"/>
      <c r="N175" s="386"/>
      <c r="O175" s="386"/>
      <c r="P175" s="341"/>
      <c r="Q175" s="453"/>
      <c r="R175" s="422"/>
    </row>
    <row r="176" spans="1:19" s="189" customFormat="1" ht="12.05" customHeight="1">
      <c r="A176" s="294"/>
      <c r="B176" s="290">
        <v>4</v>
      </c>
      <c r="C176" s="290">
        <v>1</v>
      </c>
      <c r="D176" s="290"/>
      <c r="E176" s="290"/>
      <c r="F176" s="290"/>
      <c r="G176" s="291" t="s">
        <v>180</v>
      </c>
      <c r="H176" s="291"/>
      <c r="I176" s="291"/>
      <c r="J176" s="342">
        <f>+J181+J187</f>
        <v>6040170000</v>
      </c>
      <c r="K176" s="343">
        <f>+K181+K178</f>
        <v>16018941800</v>
      </c>
      <c r="L176" s="343">
        <f>+L181+L178</f>
        <v>9507222743</v>
      </c>
      <c r="M176" s="343">
        <f>+M181+M178</f>
        <v>1016783988</v>
      </c>
      <c r="N176" s="343">
        <f>+M176+L176</f>
        <v>10524006731</v>
      </c>
      <c r="O176" s="343">
        <f>N176-K176</f>
        <v>-5494935069</v>
      </c>
      <c r="P176" s="344">
        <f>N176/K176*100</f>
        <v>65.697265539724981</v>
      </c>
      <c r="Q176" s="437"/>
      <c r="R176" s="422"/>
    </row>
    <row r="177" spans="1:18" s="189" customFormat="1" ht="12.05" customHeight="1">
      <c r="A177" s="289"/>
      <c r="B177" s="292"/>
      <c r="C177" s="292"/>
      <c r="D177" s="292"/>
      <c r="E177" s="292"/>
      <c r="F177" s="292"/>
      <c r="G177" s="253"/>
      <c r="H177" s="253"/>
      <c r="I177" s="253"/>
      <c r="J177" s="387"/>
      <c r="K177" s="367"/>
      <c r="L177" s="367"/>
      <c r="M177" s="367"/>
      <c r="N177" s="367"/>
      <c r="O177" s="367"/>
      <c r="P177" s="347"/>
      <c r="Q177" s="454"/>
      <c r="R177" s="422"/>
    </row>
    <row r="178" spans="1:18" s="189" customFormat="1" ht="12.05" customHeight="1">
      <c r="A178" s="289"/>
      <c r="B178" s="292">
        <v>4</v>
      </c>
      <c r="C178" s="292">
        <v>1</v>
      </c>
      <c r="D178" s="292" t="s">
        <v>443</v>
      </c>
      <c r="E178" s="292" t="s">
        <v>437</v>
      </c>
      <c r="F178" s="292"/>
      <c r="G178" s="253" t="s">
        <v>959</v>
      </c>
      <c r="H178" s="297"/>
      <c r="I178" s="297"/>
      <c r="J178" s="620"/>
      <c r="K178" s="621">
        <f>K179</f>
        <v>0</v>
      </c>
      <c r="L178" s="621">
        <f>L179</f>
        <v>0</v>
      </c>
      <c r="M178" s="621">
        <f>M179</f>
        <v>0</v>
      </c>
      <c r="N178" s="621">
        <f t="shared" si="25"/>
        <v>0</v>
      </c>
      <c r="O178" s="621">
        <f>N178-K178</f>
        <v>0</v>
      </c>
      <c r="P178" s="344" t="e">
        <f>N178/K178*100</f>
        <v>#DIV/0!</v>
      </c>
      <c r="Q178" s="648"/>
      <c r="R178" s="422"/>
    </row>
    <row r="179" spans="1:18" s="189" customFormat="1" ht="12.05" customHeight="1">
      <c r="A179" s="289"/>
      <c r="B179" s="292">
        <v>4</v>
      </c>
      <c r="C179" s="292">
        <v>1</v>
      </c>
      <c r="D179" s="292">
        <v>2</v>
      </c>
      <c r="E179" s="292" t="s">
        <v>438</v>
      </c>
      <c r="F179" s="292" t="s">
        <v>437</v>
      </c>
      <c r="G179" s="253" t="s">
        <v>960</v>
      </c>
      <c r="H179" s="297"/>
      <c r="I179" s="297"/>
      <c r="J179" s="620"/>
      <c r="K179" s="621">
        <v>0</v>
      </c>
      <c r="L179" s="595">
        <v>0</v>
      </c>
      <c r="M179" s="595"/>
      <c r="N179" s="622">
        <f t="shared" si="25"/>
        <v>0</v>
      </c>
      <c r="O179" s="595">
        <f>N179-K179</f>
        <v>0</v>
      </c>
      <c r="P179" s="344" t="e">
        <f>N179/K179*100</f>
        <v>#DIV/0!</v>
      </c>
      <c r="Q179" s="648"/>
      <c r="R179" s="422"/>
    </row>
    <row r="180" spans="1:18" s="189" customFormat="1" ht="12.05" customHeight="1">
      <c r="A180" s="289"/>
      <c r="B180" s="296"/>
      <c r="C180" s="296"/>
      <c r="D180" s="296"/>
      <c r="E180" s="296"/>
      <c r="F180" s="296"/>
      <c r="G180" s="297"/>
      <c r="H180" s="297"/>
      <c r="I180" s="297"/>
      <c r="J180" s="620"/>
      <c r="K180" s="621"/>
      <c r="L180" s="623"/>
      <c r="M180" s="621"/>
      <c r="N180" s="621"/>
      <c r="O180" s="621"/>
      <c r="P180" s="596"/>
      <c r="Q180" s="648"/>
      <c r="R180" s="422"/>
    </row>
    <row r="181" spans="1:18" s="189" customFormat="1" ht="12.05" customHeight="1">
      <c r="A181" s="294"/>
      <c r="B181" s="575">
        <v>4</v>
      </c>
      <c r="C181" s="575">
        <v>1</v>
      </c>
      <c r="D181" s="575">
        <v>4</v>
      </c>
      <c r="E181" s="575"/>
      <c r="F181" s="575"/>
      <c r="G181" s="576" t="s">
        <v>71</v>
      </c>
      <c r="H181" s="576"/>
      <c r="I181" s="576"/>
      <c r="J181" s="624">
        <f>+J184</f>
        <v>6000000000</v>
      </c>
      <c r="K181" s="625">
        <f>+K184+K182+K187</f>
        <v>16018941800</v>
      </c>
      <c r="L181" s="625">
        <f>+L184+L182+L187</f>
        <v>9507222743</v>
      </c>
      <c r="M181" s="625">
        <f>+M184+M182+M187</f>
        <v>1016783988</v>
      </c>
      <c r="N181" s="625">
        <f>+M181+L181</f>
        <v>10524006731</v>
      </c>
      <c r="O181" s="625">
        <f>N181-K181</f>
        <v>-5494935069</v>
      </c>
      <c r="P181" s="381">
        <f>N181/K181*100</f>
        <v>65.697265539724981</v>
      </c>
      <c r="Q181" s="649"/>
      <c r="R181" s="422"/>
    </row>
    <row r="182" spans="1:18" s="189" customFormat="1" ht="12.05" customHeight="1">
      <c r="A182" s="563"/>
      <c r="B182" s="287">
        <v>4</v>
      </c>
      <c r="C182" s="287">
        <v>1</v>
      </c>
      <c r="D182" s="287">
        <v>4</v>
      </c>
      <c r="E182" s="287" t="s">
        <v>441</v>
      </c>
      <c r="F182" s="287" t="s">
        <v>437</v>
      </c>
      <c r="G182" s="410" t="s">
        <v>324</v>
      </c>
      <c r="H182" s="190"/>
      <c r="I182" s="190"/>
      <c r="J182" s="342"/>
      <c r="K182" s="340">
        <f>'[57]TARGET MURNI DAN PERUBAHAN'!$E$88</f>
        <v>0</v>
      </c>
      <c r="L182" s="340">
        <f>[62]PerDinas!$N$182</f>
        <v>0</v>
      </c>
      <c r="M182" s="340">
        <f>[55]Perdinas!$E$114</f>
        <v>0</v>
      </c>
      <c r="N182" s="626">
        <f>M182+L182</f>
        <v>0</v>
      </c>
      <c r="O182" s="340">
        <f>N182-K182</f>
        <v>0</v>
      </c>
      <c r="P182" s="341"/>
      <c r="Q182" s="435"/>
      <c r="R182" s="422"/>
    </row>
    <row r="183" spans="1:18" s="189" customFormat="1" ht="12.05" customHeight="1">
      <c r="A183" s="563"/>
      <c r="B183" s="466"/>
      <c r="C183" s="466"/>
      <c r="D183" s="466"/>
      <c r="E183" s="466"/>
      <c r="F183" s="466"/>
      <c r="G183" s="467"/>
      <c r="H183" s="467"/>
      <c r="I183" s="467"/>
      <c r="J183" s="342"/>
      <c r="K183" s="367"/>
      <c r="L183" s="367"/>
      <c r="M183" s="367"/>
      <c r="N183" s="367"/>
      <c r="O183" s="367"/>
      <c r="P183" s="347"/>
      <c r="Q183" s="454"/>
      <c r="R183" s="422"/>
    </row>
    <row r="184" spans="1:18" s="189" customFormat="1" ht="12.05" customHeight="1">
      <c r="A184" s="563"/>
      <c r="B184" s="296">
        <v>4</v>
      </c>
      <c r="C184" s="296">
        <v>1</v>
      </c>
      <c r="D184" s="296" t="s">
        <v>443</v>
      </c>
      <c r="E184" s="296" t="s">
        <v>449</v>
      </c>
      <c r="F184" s="296"/>
      <c r="G184" s="297" t="s">
        <v>102</v>
      </c>
      <c r="H184" s="297"/>
      <c r="I184" s="297"/>
      <c r="J184" s="627">
        <f t="shared" ref="J184:O184" si="26">+J185</f>
        <v>6000000000</v>
      </c>
      <c r="K184" s="346">
        <f t="shared" si="26"/>
        <v>16016065500</v>
      </c>
      <c r="L184" s="346">
        <f>L185</f>
        <v>9021267945</v>
      </c>
      <c r="M184" s="346">
        <f>M185</f>
        <v>1016783988</v>
      </c>
      <c r="N184" s="346">
        <f>N185</f>
        <v>10038051933</v>
      </c>
      <c r="O184" s="346">
        <f t="shared" si="26"/>
        <v>-5978013567</v>
      </c>
      <c r="P184" s="347">
        <f>N184/K184*100</f>
        <v>62.674893112793526</v>
      </c>
      <c r="Q184" s="650"/>
      <c r="R184" s="422"/>
    </row>
    <row r="185" spans="1:18" s="189" customFormat="1" ht="12.05" customHeight="1">
      <c r="A185" s="577"/>
      <c r="B185" s="578">
        <v>4</v>
      </c>
      <c r="C185" s="578">
        <v>1</v>
      </c>
      <c r="D185" s="578" t="s">
        <v>443</v>
      </c>
      <c r="E185" s="578" t="s">
        <v>449</v>
      </c>
      <c r="F185" s="578" t="s">
        <v>437</v>
      </c>
      <c r="G185" s="189" t="s">
        <v>957</v>
      </c>
      <c r="J185" s="333">
        <v>6000000000</v>
      </c>
      <c r="K185" s="373">
        <f>'[57]TARGET MURNI DAN PERUBAHAN'!$E$87</f>
        <v>16016065500</v>
      </c>
      <c r="L185" s="355">
        <f>[62]PerDinas!$N$185</f>
        <v>9021267945</v>
      </c>
      <c r="M185" s="373">
        <f>[55]Perdinas!$E$113</f>
        <v>1016783988</v>
      </c>
      <c r="N185" s="369">
        <f t="shared" ref="N185:N190" si="27">M185+L185</f>
        <v>10038051933</v>
      </c>
      <c r="O185" s="355">
        <f>N185-K185</f>
        <v>-5978013567</v>
      </c>
      <c r="P185" s="388">
        <f>N185/K185*100</f>
        <v>62.674893112793526</v>
      </c>
      <c r="Q185" s="441"/>
      <c r="R185" s="422"/>
    </row>
    <row r="186" spans="1:18" s="189" customFormat="1" ht="12.05" customHeight="1">
      <c r="A186" s="579"/>
      <c r="B186" s="280"/>
      <c r="C186" s="280"/>
      <c r="D186" s="280"/>
      <c r="E186" s="280"/>
      <c r="F186" s="280"/>
      <c r="G186" s="190"/>
      <c r="H186" s="190"/>
      <c r="I186" s="190"/>
      <c r="J186" s="329"/>
      <c r="K186" s="371"/>
      <c r="L186" s="371"/>
      <c r="M186" s="371"/>
      <c r="N186" s="371"/>
      <c r="O186" s="367"/>
      <c r="P186" s="347"/>
      <c r="Q186" s="651"/>
      <c r="R186" s="422"/>
    </row>
    <row r="187" spans="1:18" s="189" customFormat="1" ht="12.05" customHeight="1">
      <c r="A187" s="580"/>
      <c r="B187" s="287">
        <v>4</v>
      </c>
      <c r="C187" s="287">
        <v>1</v>
      </c>
      <c r="D187" s="287">
        <v>4</v>
      </c>
      <c r="E187" s="287" t="s">
        <v>449</v>
      </c>
      <c r="F187" s="287"/>
      <c r="G187" s="410" t="s">
        <v>321</v>
      </c>
      <c r="H187" s="410"/>
      <c r="I187" s="410"/>
      <c r="J187" s="484">
        <f>+J188</f>
        <v>40170000</v>
      </c>
      <c r="K187" s="355">
        <f>+K188</f>
        <v>2876300</v>
      </c>
      <c r="L187" s="355">
        <f>+L188</f>
        <v>485954798</v>
      </c>
      <c r="M187" s="355">
        <f>+M188</f>
        <v>0</v>
      </c>
      <c r="N187" s="346">
        <f>+M187+L187</f>
        <v>485954798</v>
      </c>
      <c r="O187" s="346">
        <f t="shared" ref="O187:O192" si="28">N187-K187</f>
        <v>483078498</v>
      </c>
      <c r="P187" s="347">
        <f t="shared" ref="P187:P192" si="29">N187/K187*100</f>
        <v>16895.136042832804</v>
      </c>
      <c r="Q187" s="441"/>
      <c r="R187" s="422"/>
    </row>
    <row r="188" spans="1:18" s="189" customFormat="1" ht="12.05" customHeight="1">
      <c r="A188" s="294"/>
      <c r="B188" s="292">
        <v>4</v>
      </c>
      <c r="C188" s="292">
        <v>1</v>
      </c>
      <c r="D188" s="292">
        <v>4</v>
      </c>
      <c r="E188" s="292" t="s">
        <v>449</v>
      </c>
      <c r="F188" s="292" t="s">
        <v>437</v>
      </c>
      <c r="G188" s="253" t="s">
        <v>85</v>
      </c>
      <c r="H188" s="253"/>
      <c r="I188" s="253"/>
      <c r="J188" s="628">
        <v>40170000</v>
      </c>
      <c r="K188" s="373">
        <f>'[57]TARGET MURNI DAN PERUBAHAN'!$E$89</f>
        <v>2876300</v>
      </c>
      <c r="L188" s="355">
        <f>[62]PerDinas!$N$188</f>
        <v>485954798</v>
      </c>
      <c r="M188" s="373">
        <f>[55]Perdinas!$E$118</f>
        <v>0</v>
      </c>
      <c r="N188" s="369">
        <f t="shared" si="27"/>
        <v>485954798</v>
      </c>
      <c r="O188" s="355">
        <f t="shared" si="28"/>
        <v>483078498</v>
      </c>
      <c r="P188" s="388">
        <f t="shared" si="29"/>
        <v>16895.136042832804</v>
      </c>
      <c r="Q188" s="441"/>
      <c r="R188" s="422"/>
    </row>
    <row r="189" spans="1:18" s="245" customFormat="1" ht="12.05" customHeight="1">
      <c r="A189" s="473"/>
      <c r="B189" s="305"/>
      <c r="C189" s="305"/>
      <c r="D189" s="305"/>
      <c r="E189" s="305"/>
      <c r="F189" s="305"/>
      <c r="G189" s="576"/>
      <c r="H189" s="576"/>
      <c r="I189" s="306"/>
      <c r="J189" s="536"/>
      <c r="K189" s="380"/>
      <c r="L189" s="538"/>
      <c r="M189" s="380"/>
      <c r="N189" s="380"/>
      <c r="O189" s="380"/>
      <c r="P189" s="501"/>
      <c r="Q189" s="560"/>
      <c r="R189" s="450"/>
    </row>
    <row r="190" spans="1:18" s="244" customFormat="1" ht="12.05" customHeight="1">
      <c r="A190" s="283" t="s">
        <v>112</v>
      </c>
      <c r="B190" s="284" t="s">
        <v>58</v>
      </c>
      <c r="C190" s="284" t="s">
        <v>440</v>
      </c>
      <c r="D190" s="284" t="s">
        <v>437</v>
      </c>
      <c r="E190" s="284"/>
      <c r="F190" s="284"/>
      <c r="G190" s="298" t="s">
        <v>726</v>
      </c>
      <c r="H190" s="298"/>
      <c r="I190" s="298"/>
      <c r="J190" s="336">
        <f>+J192</f>
        <v>1652875000</v>
      </c>
      <c r="K190" s="337">
        <f>+K192</f>
        <v>447845000</v>
      </c>
      <c r="L190" s="337">
        <f>+L192</f>
        <v>994071103.06999993</v>
      </c>
      <c r="M190" s="337">
        <f>+M192</f>
        <v>343670238.08999997</v>
      </c>
      <c r="N190" s="337">
        <f t="shared" si="27"/>
        <v>1337741341.1599998</v>
      </c>
      <c r="O190" s="337">
        <f>+N190-K190</f>
        <v>889896341.15999985</v>
      </c>
      <c r="P190" s="338">
        <f>+N190/K190*100</f>
        <v>298.70632499190566</v>
      </c>
      <c r="Q190" s="432"/>
      <c r="R190" s="639"/>
    </row>
    <row r="191" spans="1:18" s="189" customFormat="1" ht="12.05" customHeight="1">
      <c r="A191" s="581"/>
      <c r="B191" s="582"/>
      <c r="C191" s="582"/>
      <c r="D191" s="582"/>
      <c r="E191" s="582"/>
      <c r="F191" s="582"/>
      <c r="G191" s="583"/>
      <c r="H191" s="583"/>
      <c r="I191" s="583"/>
      <c r="J191" s="629"/>
      <c r="K191" s="630"/>
      <c r="L191" s="630"/>
      <c r="M191" s="630"/>
      <c r="N191" s="630"/>
      <c r="O191" s="630"/>
      <c r="P191" s="631"/>
      <c r="Q191" s="652"/>
      <c r="R191" s="422"/>
    </row>
    <row r="192" spans="1:18" s="189" customFormat="1" ht="12.05" customHeight="1">
      <c r="A192" s="293"/>
      <c r="B192" s="290">
        <v>4</v>
      </c>
      <c r="C192" s="290">
        <v>1</v>
      </c>
      <c r="D192" s="290"/>
      <c r="E192" s="290"/>
      <c r="F192" s="290"/>
      <c r="G192" s="291" t="s">
        <v>180</v>
      </c>
      <c r="H192" s="291"/>
      <c r="I192" s="291"/>
      <c r="J192" s="342">
        <f>+J194+J203</f>
        <v>1652875000</v>
      </c>
      <c r="K192" s="343">
        <f>+K194+K203</f>
        <v>447845000</v>
      </c>
      <c r="L192" s="343">
        <f>+L194+L203</f>
        <v>994071103.06999993</v>
      </c>
      <c r="M192" s="343">
        <f>+M194+M203</f>
        <v>343670238.08999997</v>
      </c>
      <c r="N192" s="343">
        <f>+M192+L192</f>
        <v>1337741341.1599998</v>
      </c>
      <c r="O192" s="343">
        <f t="shared" si="28"/>
        <v>889896341.15999985</v>
      </c>
      <c r="P192" s="344">
        <f t="shared" si="29"/>
        <v>298.70632499190566</v>
      </c>
      <c r="Q192" s="437"/>
      <c r="R192" s="422"/>
    </row>
    <row r="193" spans="1:19" s="189" customFormat="1" ht="12.05" customHeight="1">
      <c r="A193" s="293"/>
      <c r="B193" s="292"/>
      <c r="C193" s="292"/>
      <c r="D193" s="292"/>
      <c r="E193" s="292"/>
      <c r="F193" s="292"/>
      <c r="G193" s="253"/>
      <c r="H193" s="253"/>
      <c r="I193" s="291"/>
      <c r="J193" s="345"/>
      <c r="K193" s="346"/>
      <c r="L193" s="660"/>
      <c r="M193" s="346"/>
      <c r="N193" s="346"/>
      <c r="O193" s="346"/>
      <c r="P193" s="347"/>
      <c r="Q193" s="438"/>
      <c r="R193" s="422"/>
    </row>
    <row r="194" spans="1:19" s="189" customFormat="1" ht="12.05" customHeight="1">
      <c r="A194" s="293"/>
      <c r="B194" s="290">
        <v>4</v>
      </c>
      <c r="C194" s="290">
        <v>1</v>
      </c>
      <c r="D194" s="290">
        <v>2</v>
      </c>
      <c r="E194" s="290"/>
      <c r="F194" s="290"/>
      <c r="G194" s="291" t="s">
        <v>106</v>
      </c>
      <c r="H194" s="291"/>
      <c r="I194" s="291"/>
      <c r="J194" s="348">
        <f>+J195+J198</f>
        <v>282875000</v>
      </c>
      <c r="K194" s="349">
        <f>+K195+K198</f>
        <v>436000000</v>
      </c>
      <c r="L194" s="589">
        <f>+L195+L198</f>
        <v>477388909</v>
      </c>
      <c r="M194" s="349">
        <f>+M195+M198</f>
        <v>9950400</v>
      </c>
      <c r="N194" s="349">
        <f>+M194+L194</f>
        <v>487339309</v>
      </c>
      <c r="O194" s="349">
        <f>N194-K194</f>
        <v>51339309</v>
      </c>
      <c r="P194" s="350">
        <f>N194/K194*100</f>
        <v>111.77507087155962</v>
      </c>
      <c r="Q194" s="439"/>
      <c r="R194" s="422"/>
    </row>
    <row r="195" spans="1:19" s="189" customFormat="1" ht="12.05" customHeight="1">
      <c r="A195" s="293"/>
      <c r="B195" s="292">
        <v>4</v>
      </c>
      <c r="C195" s="292">
        <v>1</v>
      </c>
      <c r="D195" s="292">
        <v>2</v>
      </c>
      <c r="E195" s="292" t="s">
        <v>437</v>
      </c>
      <c r="F195" s="292"/>
      <c r="G195" s="253" t="s">
        <v>107</v>
      </c>
      <c r="H195" s="253"/>
      <c r="I195" s="291"/>
      <c r="J195" s="411">
        <f>+J196</f>
        <v>2875000</v>
      </c>
      <c r="K195" s="412">
        <f>+K196</f>
        <v>19250000</v>
      </c>
      <c r="L195" s="591">
        <f>+L196</f>
        <v>0</v>
      </c>
      <c r="M195" s="412">
        <f>+M196</f>
        <v>0</v>
      </c>
      <c r="N195" s="412">
        <f>+M195+L195</f>
        <v>0</v>
      </c>
      <c r="O195" s="412">
        <f>N195-K195</f>
        <v>-19250000</v>
      </c>
      <c r="P195" s="487">
        <f>N195/K195*100</f>
        <v>0</v>
      </c>
      <c r="Q195" s="694"/>
      <c r="R195" s="422"/>
    </row>
    <row r="196" spans="1:19" s="189" customFormat="1" ht="12.05" customHeight="1">
      <c r="A196" s="293"/>
      <c r="B196" s="292">
        <v>4</v>
      </c>
      <c r="C196" s="292">
        <v>1</v>
      </c>
      <c r="D196" s="292">
        <v>2</v>
      </c>
      <c r="E196" s="292" t="s">
        <v>437</v>
      </c>
      <c r="F196" s="292" t="s">
        <v>440</v>
      </c>
      <c r="G196" s="253" t="s">
        <v>961</v>
      </c>
      <c r="H196" s="253"/>
      <c r="I196" s="253"/>
      <c r="J196" s="333">
        <v>2875000</v>
      </c>
      <c r="K196" s="661">
        <f>'[57]TARGET MURNI DAN PERUBAHAN'!$E$93</f>
        <v>19250000</v>
      </c>
      <c r="L196" s="356">
        <f>[62]PerDinas!$N$196</f>
        <v>0</v>
      </c>
      <c r="M196" s="661">
        <f>[55]Perdinas!$E$122</f>
        <v>0</v>
      </c>
      <c r="N196" s="334">
        <f t="shared" ref="N196:N201" si="30">M196+L196</f>
        <v>0</v>
      </c>
      <c r="O196" s="334">
        <f>N196-K196</f>
        <v>-19250000</v>
      </c>
      <c r="P196" s="335">
        <f>N196/K196*100</f>
        <v>0</v>
      </c>
      <c r="Q196" s="430"/>
      <c r="R196" s="422"/>
    </row>
    <row r="197" spans="1:19" s="189" customFormat="1" ht="12.05" customHeight="1">
      <c r="A197" s="293"/>
      <c r="B197" s="292"/>
      <c r="C197" s="292"/>
      <c r="D197" s="292"/>
      <c r="E197" s="292"/>
      <c r="F197" s="292"/>
      <c r="G197" s="253"/>
      <c r="H197" s="253"/>
      <c r="I197" s="253"/>
      <c r="J197" s="354"/>
      <c r="K197" s="355"/>
      <c r="L197" s="360"/>
      <c r="M197" s="355"/>
      <c r="N197" s="355"/>
      <c r="O197" s="355"/>
      <c r="P197" s="388"/>
      <c r="Q197" s="441"/>
      <c r="R197" s="422"/>
    </row>
    <row r="198" spans="1:19" s="189" customFormat="1" ht="12.05" customHeight="1">
      <c r="A198" s="293"/>
      <c r="B198" s="292">
        <v>4</v>
      </c>
      <c r="C198" s="292">
        <v>1</v>
      </c>
      <c r="D198" s="292">
        <v>2</v>
      </c>
      <c r="E198" s="292" t="s">
        <v>438</v>
      </c>
      <c r="F198" s="292"/>
      <c r="G198" s="253" t="s">
        <v>374</v>
      </c>
      <c r="H198" s="253"/>
      <c r="I198" s="253"/>
      <c r="J198" s="411">
        <f>+J199</f>
        <v>280000000</v>
      </c>
      <c r="K198" s="412">
        <f>+K199</f>
        <v>416750000</v>
      </c>
      <c r="L198" s="662">
        <f>+L199</f>
        <v>477388909</v>
      </c>
      <c r="M198" s="663">
        <f>+M199</f>
        <v>9950400</v>
      </c>
      <c r="N198" s="664">
        <f>+M198+L198</f>
        <v>487339309</v>
      </c>
      <c r="O198" s="412">
        <f>N198-K198</f>
        <v>70589309</v>
      </c>
      <c r="P198" s="487">
        <f>N198/K198*100</f>
        <v>116.93804655068986</v>
      </c>
      <c r="Q198" s="694"/>
      <c r="R198" s="422"/>
    </row>
    <row r="199" spans="1:19" s="189" customFormat="1" ht="12.05" customHeight="1">
      <c r="A199" s="289"/>
      <c r="B199" s="292">
        <v>4</v>
      </c>
      <c r="C199" s="292">
        <v>1</v>
      </c>
      <c r="D199" s="292">
        <v>2</v>
      </c>
      <c r="E199" s="292" t="s">
        <v>438</v>
      </c>
      <c r="F199" s="292" t="s">
        <v>437</v>
      </c>
      <c r="G199" s="253" t="s">
        <v>64</v>
      </c>
      <c r="H199" s="253"/>
      <c r="I199" s="291"/>
      <c r="J199" s="665">
        <f>+J200</f>
        <v>280000000</v>
      </c>
      <c r="K199" s="666">
        <f>+K200+K201</f>
        <v>416750000</v>
      </c>
      <c r="L199" s="667">
        <f>+L200+L201</f>
        <v>477388909</v>
      </c>
      <c r="M199" s="666">
        <f>+M200+M201</f>
        <v>9950400</v>
      </c>
      <c r="N199" s="334">
        <f t="shared" si="30"/>
        <v>487339309</v>
      </c>
      <c r="O199" s="334">
        <f>N199-K199</f>
        <v>70589309</v>
      </c>
      <c r="P199" s="335">
        <f>N199/K199*100</f>
        <v>116.93804655068986</v>
      </c>
      <c r="Q199" s="642"/>
      <c r="R199" s="422"/>
    </row>
    <row r="200" spans="1:19" s="189" customFormat="1" ht="12.05" customHeight="1">
      <c r="A200" s="293"/>
      <c r="B200" s="292"/>
      <c r="C200" s="292"/>
      <c r="D200" s="292"/>
      <c r="E200" s="292"/>
      <c r="F200" s="292"/>
      <c r="G200" s="253" t="s">
        <v>50</v>
      </c>
      <c r="H200" s="253"/>
      <c r="I200" s="253" t="s">
        <v>1035</v>
      </c>
      <c r="J200" s="389">
        <v>280000000</v>
      </c>
      <c r="K200" s="668">
        <f>'[57]TARGET MURNI DAN PERUBAHAN'!$E$96</f>
        <v>216750000</v>
      </c>
      <c r="L200" s="669">
        <f>[62]PerDinas!$N$200</f>
        <v>117676364</v>
      </c>
      <c r="M200" s="668">
        <f>[55]Perdinas!$E$125</f>
        <v>0</v>
      </c>
      <c r="N200" s="355">
        <f t="shared" si="30"/>
        <v>117676364</v>
      </c>
      <c r="O200" s="355">
        <f>N200-K200</f>
        <v>-99073636</v>
      </c>
      <c r="P200" s="335">
        <f>N200/K200*100</f>
        <v>54.291286735870813</v>
      </c>
      <c r="Q200" s="441"/>
      <c r="R200" s="422"/>
    </row>
    <row r="201" spans="1:19" s="189" customFormat="1" ht="12.05" customHeight="1">
      <c r="A201" s="293"/>
      <c r="B201" s="292"/>
      <c r="C201" s="292"/>
      <c r="D201" s="292"/>
      <c r="E201" s="292"/>
      <c r="F201" s="292"/>
      <c r="G201" s="253" t="s">
        <v>50</v>
      </c>
      <c r="H201" s="253"/>
      <c r="I201" s="253" t="s">
        <v>963</v>
      </c>
      <c r="J201" s="354">
        <v>0</v>
      </c>
      <c r="K201" s="373">
        <f>'[57]TARGET MURNI DAN PERUBAHAN'!$E$97</f>
        <v>200000000</v>
      </c>
      <c r="L201" s="360">
        <f>[62]PerDinas!$N$201</f>
        <v>359712545</v>
      </c>
      <c r="M201" s="373">
        <f>[55]Perdinas!$E$126</f>
        <v>9950400</v>
      </c>
      <c r="N201" s="355">
        <f t="shared" si="30"/>
        <v>369662945</v>
      </c>
      <c r="O201" s="355">
        <f>N201-K201</f>
        <v>169662945</v>
      </c>
      <c r="P201" s="335">
        <f>N201/K201*100</f>
        <v>184.83147250000002</v>
      </c>
      <c r="Q201" s="695"/>
      <c r="R201" s="427"/>
    </row>
    <row r="202" spans="1:19" s="189" customFormat="1" ht="12.05" customHeight="1">
      <c r="A202" s="293"/>
      <c r="B202" s="292"/>
      <c r="C202" s="292"/>
      <c r="D202" s="292"/>
      <c r="E202" s="292"/>
      <c r="F202" s="292"/>
      <c r="G202" s="253"/>
      <c r="H202" s="253"/>
      <c r="I202" s="253"/>
      <c r="J202" s="333"/>
      <c r="K202" s="334"/>
      <c r="L202" s="356"/>
      <c r="M202" s="334"/>
      <c r="N202" s="334"/>
      <c r="O202" s="334"/>
      <c r="P202" s="335"/>
      <c r="Q202" s="430"/>
      <c r="R202" s="422"/>
    </row>
    <row r="203" spans="1:19" s="189" customFormat="1" ht="12.05" customHeight="1">
      <c r="A203" s="293"/>
      <c r="B203" s="290">
        <v>4</v>
      </c>
      <c r="C203" s="290">
        <v>1</v>
      </c>
      <c r="D203" s="290">
        <v>4</v>
      </c>
      <c r="E203" s="290"/>
      <c r="F203" s="290"/>
      <c r="G203" s="291" t="s">
        <v>71</v>
      </c>
      <c r="H203" s="291"/>
      <c r="I203" s="291"/>
      <c r="J203" s="392">
        <f>J204+J207+J212</f>
        <v>1370000000</v>
      </c>
      <c r="K203" s="393">
        <f>K204+K207+K212</f>
        <v>11845000</v>
      </c>
      <c r="L203" s="394">
        <f>L204+L207+L212</f>
        <v>516682194.06999999</v>
      </c>
      <c r="M203" s="393">
        <f>M204+M207+M212</f>
        <v>333719838.08999997</v>
      </c>
      <c r="N203" s="393">
        <f>N204+N207+N212</f>
        <v>850402032.15999997</v>
      </c>
      <c r="O203" s="349">
        <f>N203-K203</f>
        <v>838557032.15999997</v>
      </c>
      <c r="P203" s="350">
        <f>N203/K203*100</f>
        <v>7179.4177472351194</v>
      </c>
      <c r="Q203" s="444"/>
      <c r="R203" s="422"/>
      <c r="S203" s="436"/>
    </row>
    <row r="204" spans="1:19" s="189" customFormat="1" ht="12.05" customHeight="1">
      <c r="A204" s="293"/>
      <c r="B204" s="292">
        <v>4</v>
      </c>
      <c r="C204" s="292">
        <v>1</v>
      </c>
      <c r="D204" s="292">
        <v>4</v>
      </c>
      <c r="E204" s="292" t="s">
        <v>441</v>
      </c>
      <c r="F204" s="292"/>
      <c r="G204" s="253" t="s">
        <v>557</v>
      </c>
      <c r="H204" s="253"/>
      <c r="I204" s="253"/>
      <c r="J204" s="333">
        <f>+J205</f>
        <v>0</v>
      </c>
      <c r="K204" s="334">
        <f>+K205</f>
        <v>0</v>
      </c>
      <c r="L204" s="356">
        <f>+L205</f>
        <v>39519520.170000002</v>
      </c>
      <c r="M204" s="334">
        <f>+M205</f>
        <v>56865914.07</v>
      </c>
      <c r="N204" s="396">
        <f>+M204+L204</f>
        <v>96385434.24000001</v>
      </c>
      <c r="O204" s="396">
        <f>N204-K204</f>
        <v>96385434.24000001</v>
      </c>
      <c r="P204" s="344"/>
      <c r="Q204" s="430"/>
      <c r="R204" s="422"/>
    </row>
    <row r="205" spans="1:19" s="189" customFormat="1" ht="12.05" customHeight="1">
      <c r="A205" s="293"/>
      <c r="B205" s="292">
        <v>4</v>
      </c>
      <c r="C205" s="292">
        <v>1</v>
      </c>
      <c r="D205" s="292">
        <v>4</v>
      </c>
      <c r="E205" s="292" t="s">
        <v>441</v>
      </c>
      <c r="F205" s="292" t="s">
        <v>437</v>
      </c>
      <c r="G205" s="253" t="s">
        <v>72</v>
      </c>
      <c r="H205" s="253"/>
      <c r="I205" s="253"/>
      <c r="J205" s="354">
        <v>0</v>
      </c>
      <c r="K205" s="355">
        <f>'[57]TARGET MURNI DAN PERUBAHAN'!$E$100</f>
        <v>0</v>
      </c>
      <c r="L205" s="360">
        <f>[62]PerDinas!$N$205</f>
        <v>39519520.170000002</v>
      </c>
      <c r="M205" s="355">
        <f>[55]Perdinas!$E$129</f>
        <v>56865914.07</v>
      </c>
      <c r="N205" s="369">
        <f t="shared" ref="N205:N210" si="31">M205+L205</f>
        <v>96385434.24000001</v>
      </c>
      <c r="O205" s="355">
        <f>N205-K205</f>
        <v>96385434.24000001</v>
      </c>
      <c r="P205" s="388"/>
      <c r="Q205" s="441"/>
      <c r="R205" s="554"/>
      <c r="S205" s="542"/>
    </row>
    <row r="206" spans="1:19" s="189" customFormat="1" ht="12.05" customHeight="1">
      <c r="A206" s="293"/>
      <c r="B206" s="292"/>
      <c r="C206" s="292"/>
      <c r="D206" s="292"/>
      <c r="E206" s="292"/>
      <c r="F206" s="292"/>
      <c r="G206" s="253"/>
      <c r="H206" s="253"/>
      <c r="I206" s="253"/>
      <c r="J206" s="354"/>
      <c r="K206" s="355"/>
      <c r="L206" s="360"/>
      <c r="M206" s="355"/>
      <c r="N206" s="355"/>
      <c r="O206" s="355"/>
      <c r="P206" s="388"/>
      <c r="Q206" s="441"/>
      <c r="R206" s="422"/>
    </row>
    <row r="207" spans="1:19" s="189" customFormat="1" ht="12.05" customHeight="1">
      <c r="A207" s="293"/>
      <c r="B207" s="292">
        <v>4</v>
      </c>
      <c r="C207" s="292">
        <v>1</v>
      </c>
      <c r="D207" s="292">
        <v>4</v>
      </c>
      <c r="E207" s="292" t="s">
        <v>444</v>
      </c>
      <c r="F207" s="292"/>
      <c r="G207" s="253" t="s">
        <v>222</v>
      </c>
      <c r="H207" s="253"/>
      <c r="I207" s="253"/>
      <c r="J207" s="526">
        <f>+J210</f>
        <v>1300000000</v>
      </c>
      <c r="K207" s="527">
        <f>+K210</f>
        <v>0</v>
      </c>
      <c r="L207" s="670">
        <f>SUM(L208:L210)</f>
        <v>399844491.89999998</v>
      </c>
      <c r="M207" s="527">
        <f>SUM(M208:M210)</f>
        <v>276853924.01999998</v>
      </c>
      <c r="N207" s="527">
        <f>SUM(N208:N210)</f>
        <v>676698415.91999996</v>
      </c>
      <c r="O207" s="529">
        <f>N207-K207</f>
        <v>676698415.91999996</v>
      </c>
      <c r="P207" s="350" t="e">
        <f>N207/K207*100</f>
        <v>#DIV/0!</v>
      </c>
      <c r="Q207" s="644"/>
      <c r="R207" s="422"/>
    </row>
    <row r="208" spans="1:19" s="189" customFormat="1" ht="12.05" customHeight="1">
      <c r="A208" s="289"/>
      <c r="B208" s="292">
        <v>4</v>
      </c>
      <c r="C208" s="292">
        <v>1</v>
      </c>
      <c r="D208" s="292">
        <v>4</v>
      </c>
      <c r="E208" s="292" t="s">
        <v>444</v>
      </c>
      <c r="F208" s="292" t="s">
        <v>440</v>
      </c>
      <c r="G208" s="253" t="s">
        <v>73</v>
      </c>
      <c r="H208" s="253"/>
      <c r="I208" s="253"/>
      <c r="J208" s="354"/>
      <c r="K208" s="355"/>
      <c r="L208" s="360">
        <f>[62]PerDinas!$N$208</f>
        <v>19394618</v>
      </c>
      <c r="M208" s="355">
        <f>[55]Perdinas!$E$130</f>
        <v>0</v>
      </c>
      <c r="N208" s="369">
        <f t="shared" si="31"/>
        <v>19394618</v>
      </c>
      <c r="O208" s="355">
        <f>N208-K208</f>
        <v>19394618</v>
      </c>
      <c r="P208" s="388"/>
      <c r="Q208" s="441"/>
      <c r="R208" s="422"/>
    </row>
    <row r="209" spans="1:19" s="189" customFormat="1" ht="12.05" customHeight="1">
      <c r="A209" s="289"/>
      <c r="B209" s="292">
        <v>4</v>
      </c>
      <c r="C209" s="292">
        <v>1</v>
      </c>
      <c r="D209" s="292">
        <v>4</v>
      </c>
      <c r="E209" s="292" t="s">
        <v>444</v>
      </c>
      <c r="F209" s="292" t="s">
        <v>445</v>
      </c>
      <c r="G209" s="253" t="s">
        <v>74</v>
      </c>
      <c r="H209" s="253"/>
      <c r="I209" s="253"/>
      <c r="J209" s="354"/>
      <c r="K209" s="355"/>
      <c r="L209" s="360">
        <f>[62]PerDinas!$N$209</f>
        <v>0</v>
      </c>
      <c r="M209" s="355">
        <f>[55]Perdinas!$E$131</f>
        <v>0</v>
      </c>
      <c r="N209" s="355">
        <f t="shared" si="31"/>
        <v>0</v>
      </c>
      <c r="O209" s="355">
        <f>N209-K209</f>
        <v>0</v>
      </c>
      <c r="P209" s="388">
        <v>0</v>
      </c>
      <c r="Q209" s="441"/>
      <c r="R209" s="422"/>
    </row>
    <row r="210" spans="1:19" s="189" customFormat="1" ht="12.05" customHeight="1">
      <c r="A210" s="293"/>
      <c r="B210" s="292">
        <v>4</v>
      </c>
      <c r="C210" s="292">
        <v>1</v>
      </c>
      <c r="D210" s="292">
        <v>4</v>
      </c>
      <c r="E210" s="292" t="s">
        <v>444</v>
      </c>
      <c r="F210" s="292" t="s">
        <v>441</v>
      </c>
      <c r="G210" s="253" t="s">
        <v>75</v>
      </c>
      <c r="H210" s="253"/>
      <c r="I210" s="253"/>
      <c r="J210" s="354">
        <v>1300000000</v>
      </c>
      <c r="K210" s="355">
        <f>'[57]TARGET MURNI DAN PERUBAHAN'!$E$101</f>
        <v>0</v>
      </c>
      <c r="L210" s="360">
        <f>[62]PerDinas!$N$210</f>
        <v>380449873.89999998</v>
      </c>
      <c r="M210" s="355">
        <f>[55]Perdinas!$E$132</f>
        <v>276853924.01999998</v>
      </c>
      <c r="N210" s="369">
        <f t="shared" si="31"/>
        <v>657303797.91999996</v>
      </c>
      <c r="O210" s="355">
        <f>N210-K210</f>
        <v>657303797.91999996</v>
      </c>
      <c r="P210" s="350" t="e">
        <f>N210/K210*100</f>
        <v>#DIV/0!</v>
      </c>
      <c r="Q210" s="441"/>
      <c r="R210" s="545"/>
      <c r="S210" s="436"/>
    </row>
    <row r="211" spans="1:19" s="189" customFormat="1" ht="12.05" customHeight="1">
      <c r="A211" s="293"/>
      <c r="B211" s="292"/>
      <c r="C211" s="292"/>
      <c r="D211" s="292"/>
      <c r="E211" s="292"/>
      <c r="F211" s="292"/>
      <c r="G211" s="253"/>
      <c r="H211" s="253"/>
      <c r="I211" s="253"/>
      <c r="J211" s="354"/>
      <c r="K211" s="355"/>
      <c r="L211" s="391"/>
      <c r="M211" s="357"/>
      <c r="N211" s="357"/>
      <c r="O211" s="357"/>
      <c r="P211" s="358"/>
      <c r="Q211" s="441"/>
      <c r="R211" s="422"/>
    </row>
    <row r="212" spans="1:19" s="189" customFormat="1" ht="12.05" customHeight="1">
      <c r="A212" s="293"/>
      <c r="B212" s="292" t="s">
        <v>443</v>
      </c>
      <c r="C212" s="292" t="s">
        <v>58</v>
      </c>
      <c r="D212" s="292" t="s">
        <v>443</v>
      </c>
      <c r="E212" s="292" t="s">
        <v>948</v>
      </c>
      <c r="F212" s="292" t="s">
        <v>437</v>
      </c>
      <c r="G212" s="253" t="s">
        <v>964</v>
      </c>
      <c r="H212" s="253"/>
      <c r="I212" s="253"/>
      <c r="J212" s="526">
        <f>J213</f>
        <v>70000000</v>
      </c>
      <c r="K212" s="527">
        <f>K213</f>
        <v>11845000</v>
      </c>
      <c r="L212" s="670">
        <f>L213</f>
        <v>77318182</v>
      </c>
      <c r="M212" s="527">
        <f>M213</f>
        <v>0</v>
      </c>
      <c r="N212" s="527">
        <f>M212+L212</f>
        <v>77318182</v>
      </c>
      <c r="O212" s="527">
        <f>N212-K212</f>
        <v>65473182</v>
      </c>
      <c r="P212" s="671"/>
      <c r="Q212" s="644"/>
      <c r="R212" s="422"/>
    </row>
    <row r="213" spans="1:19" s="245" customFormat="1" ht="12.05" customHeight="1">
      <c r="A213" s="472"/>
      <c r="B213" s="305"/>
      <c r="C213" s="305"/>
      <c r="D213" s="305"/>
      <c r="E213" s="305"/>
      <c r="F213" s="305"/>
      <c r="G213" s="2776" t="s">
        <v>50</v>
      </c>
      <c r="H213" s="306" t="s">
        <v>85</v>
      </c>
      <c r="I213" s="306"/>
      <c r="J213" s="482">
        <v>70000000</v>
      </c>
      <c r="K213" s="672">
        <f>'[57]TARGET MURNI DAN PERUBAHAN'!$E$102</f>
        <v>11845000</v>
      </c>
      <c r="L213" s="673">
        <f>[62]PerDinas!$N$213</f>
        <v>77318182</v>
      </c>
      <c r="M213" s="672">
        <f>[55]Perdinas!$E$133</f>
        <v>0</v>
      </c>
      <c r="N213" s="674">
        <f>M213+L213</f>
        <v>77318182</v>
      </c>
      <c r="O213" s="404">
        <f>N213-K213</f>
        <v>65473182</v>
      </c>
      <c r="P213" s="483"/>
      <c r="Q213" s="456"/>
      <c r="R213" s="450"/>
    </row>
    <row r="214" spans="1:19" s="244" customFormat="1" ht="12.05" customHeight="1">
      <c r="A214" s="283" t="s">
        <v>483</v>
      </c>
      <c r="B214" s="284" t="s">
        <v>58</v>
      </c>
      <c r="C214" s="284" t="s">
        <v>441</v>
      </c>
      <c r="D214" s="284" t="s">
        <v>437</v>
      </c>
      <c r="E214" s="284"/>
      <c r="F214" s="284"/>
      <c r="G214" s="653" t="s">
        <v>730</v>
      </c>
      <c r="H214" s="298"/>
      <c r="I214" s="298"/>
      <c r="J214" s="336">
        <f>+J222</f>
        <v>4800000</v>
      </c>
      <c r="K214" s="337">
        <f>K216</f>
        <v>4200000</v>
      </c>
      <c r="L214" s="337">
        <f>+L216</f>
        <v>0</v>
      </c>
      <c r="M214" s="337">
        <f>+M216</f>
        <v>200000</v>
      </c>
      <c r="N214" s="337">
        <f>M214+L214</f>
        <v>200000</v>
      </c>
      <c r="O214" s="337">
        <f>+N214-K214</f>
        <v>-4000000</v>
      </c>
      <c r="P214" s="338">
        <f>+N214/K214*100</f>
        <v>4.7619047619047619</v>
      </c>
      <c r="Q214" s="432"/>
      <c r="R214" s="639"/>
    </row>
    <row r="215" spans="1:19" s="189" customFormat="1" ht="12.05" customHeight="1">
      <c r="A215" s="471"/>
      <c r="B215" s="287"/>
      <c r="C215" s="287"/>
      <c r="D215" s="287"/>
      <c r="E215" s="287"/>
      <c r="F215" s="287"/>
      <c r="G215" s="288"/>
      <c r="H215" s="288"/>
      <c r="I215" s="288"/>
      <c r="J215" s="385"/>
      <c r="K215" s="386"/>
      <c r="L215" s="386"/>
      <c r="M215" s="386"/>
      <c r="N215" s="386"/>
      <c r="O215" s="386"/>
      <c r="P215" s="341"/>
      <c r="Q215" s="453"/>
      <c r="R215" s="422"/>
    </row>
    <row r="216" spans="1:19" s="189" customFormat="1" ht="12.05" customHeight="1">
      <c r="A216" s="293"/>
      <c r="B216" s="290">
        <v>4</v>
      </c>
      <c r="C216" s="290">
        <v>1</v>
      </c>
      <c r="D216" s="290"/>
      <c r="E216" s="290"/>
      <c r="F216" s="290"/>
      <c r="G216" s="291" t="s">
        <v>180</v>
      </c>
      <c r="H216" s="291"/>
      <c r="I216" s="291"/>
      <c r="J216" s="342">
        <f>+J218+J222</f>
        <v>4800000</v>
      </c>
      <c r="K216" s="343">
        <f>+K218+K222</f>
        <v>4200000</v>
      </c>
      <c r="L216" s="343">
        <f>+L218+L222</f>
        <v>0</v>
      </c>
      <c r="M216" s="343">
        <f>+M218+M222</f>
        <v>200000</v>
      </c>
      <c r="N216" s="343">
        <f>+M216+L216</f>
        <v>200000</v>
      </c>
      <c r="O216" s="343">
        <f>N216-K216</f>
        <v>-4000000</v>
      </c>
      <c r="P216" s="344">
        <f>N216/K216*100</f>
        <v>4.7619047619047619</v>
      </c>
      <c r="Q216" s="437"/>
      <c r="R216" s="422"/>
    </row>
    <row r="217" spans="1:19" s="189" customFormat="1" ht="12.05" customHeight="1">
      <c r="A217" s="293"/>
      <c r="B217" s="292"/>
      <c r="C217" s="292"/>
      <c r="D217" s="292"/>
      <c r="E217" s="292"/>
      <c r="F217" s="292"/>
      <c r="G217" s="253"/>
      <c r="H217" s="253"/>
      <c r="I217" s="291"/>
      <c r="J217" s="345"/>
      <c r="K217" s="346"/>
      <c r="L217" s="346"/>
      <c r="M217" s="346"/>
      <c r="N217" s="346"/>
      <c r="O217" s="346"/>
      <c r="P217" s="347"/>
      <c r="Q217" s="438"/>
      <c r="R217" s="422"/>
    </row>
    <row r="218" spans="1:19" s="189" customFormat="1" ht="12.05" customHeight="1">
      <c r="A218" s="293"/>
      <c r="B218" s="290">
        <v>4</v>
      </c>
      <c r="C218" s="290">
        <v>1</v>
      </c>
      <c r="D218" s="290">
        <v>2</v>
      </c>
      <c r="E218" s="290"/>
      <c r="F218" s="290"/>
      <c r="G218" s="291" t="s">
        <v>106</v>
      </c>
      <c r="H218" s="291"/>
      <c r="I218" s="291"/>
      <c r="J218" s="348">
        <f t="shared" ref="J218:M219" si="32">+J219</f>
        <v>0</v>
      </c>
      <c r="K218" s="349">
        <f t="shared" si="32"/>
        <v>0</v>
      </c>
      <c r="L218" s="589">
        <f t="shared" si="32"/>
        <v>0</v>
      </c>
      <c r="M218" s="349">
        <f t="shared" si="32"/>
        <v>0</v>
      </c>
      <c r="N218" s="349">
        <f>+M218+L218</f>
        <v>0</v>
      </c>
      <c r="O218" s="349">
        <f>N218-K218</f>
        <v>0</v>
      </c>
      <c r="P218" s="350"/>
      <c r="Q218" s="439"/>
      <c r="R218" s="422"/>
    </row>
    <row r="219" spans="1:19" s="189" customFormat="1" ht="12.05" customHeight="1">
      <c r="A219" s="293"/>
      <c r="B219" s="292">
        <v>4</v>
      </c>
      <c r="C219" s="292">
        <v>1</v>
      </c>
      <c r="D219" s="292">
        <v>2</v>
      </c>
      <c r="E219" s="292" t="s">
        <v>437</v>
      </c>
      <c r="F219" s="292"/>
      <c r="G219" s="253" t="s">
        <v>107</v>
      </c>
      <c r="H219" s="253"/>
      <c r="I219" s="291"/>
      <c r="J219" s="411">
        <f t="shared" si="32"/>
        <v>0</v>
      </c>
      <c r="K219" s="412">
        <f t="shared" si="32"/>
        <v>0</v>
      </c>
      <c r="L219" s="591">
        <f t="shared" si="32"/>
        <v>0</v>
      </c>
      <c r="M219" s="412">
        <f t="shared" si="32"/>
        <v>0</v>
      </c>
      <c r="N219" s="412">
        <f>+M219+L219</f>
        <v>0</v>
      </c>
      <c r="O219" s="412">
        <f>N219-K219</f>
        <v>0</v>
      </c>
      <c r="P219" s="487"/>
      <c r="Q219" s="694"/>
      <c r="R219" s="422"/>
    </row>
    <row r="220" spans="1:19" s="189" customFormat="1" ht="12.05" customHeight="1">
      <c r="A220" s="293"/>
      <c r="B220" s="292">
        <v>4</v>
      </c>
      <c r="C220" s="292">
        <v>1</v>
      </c>
      <c r="D220" s="292">
        <v>2</v>
      </c>
      <c r="E220" s="292" t="s">
        <v>437</v>
      </c>
      <c r="F220" s="292" t="s">
        <v>440</v>
      </c>
      <c r="G220" s="253" t="s">
        <v>961</v>
      </c>
      <c r="H220" s="253"/>
      <c r="I220" s="253"/>
      <c r="J220" s="333">
        <v>0</v>
      </c>
      <c r="K220" s="661">
        <f>'[57]TARGET MURNI DAN PERUBAHAN'!$E$106</f>
        <v>0</v>
      </c>
      <c r="L220" s="356">
        <f>[62]PerDinas!$N$220</f>
        <v>0</v>
      </c>
      <c r="M220" s="661">
        <f>[55]Perdinas!$E$137</f>
        <v>0</v>
      </c>
      <c r="N220" s="334">
        <f>M220+L220</f>
        <v>0</v>
      </c>
      <c r="O220" s="334">
        <f>N220-K220</f>
        <v>0</v>
      </c>
      <c r="P220" s="335"/>
      <c r="Q220" s="430"/>
      <c r="R220" s="422"/>
    </row>
    <row r="221" spans="1:19" s="189" customFormat="1" ht="12.05" customHeight="1">
      <c r="A221" s="293"/>
      <c r="B221" s="292"/>
      <c r="C221" s="292"/>
      <c r="D221" s="292"/>
      <c r="E221" s="292"/>
      <c r="F221" s="292"/>
      <c r="G221" s="253"/>
      <c r="H221" s="253"/>
      <c r="I221" s="253"/>
      <c r="J221" s="354"/>
      <c r="K221" s="355"/>
      <c r="L221" s="360"/>
      <c r="M221" s="355"/>
      <c r="N221" s="355"/>
      <c r="O221" s="355"/>
      <c r="P221" s="388"/>
      <c r="Q221" s="441"/>
      <c r="R221" s="422"/>
    </row>
    <row r="222" spans="1:19" s="189" customFormat="1" ht="12.05" customHeight="1">
      <c r="A222" s="293"/>
      <c r="B222" s="290">
        <v>4</v>
      </c>
      <c r="C222" s="290">
        <v>1</v>
      </c>
      <c r="D222" s="290">
        <v>4</v>
      </c>
      <c r="E222" s="290"/>
      <c r="F222" s="290"/>
      <c r="G222" s="291" t="s">
        <v>71</v>
      </c>
      <c r="H222" s="291"/>
      <c r="I222" s="291"/>
      <c r="J222" s="392">
        <f>J223+J226+J230</f>
        <v>4800000</v>
      </c>
      <c r="K222" s="393">
        <f>K223+K226+K230</f>
        <v>4200000</v>
      </c>
      <c r="L222" s="394">
        <f>L223+L226+L230</f>
        <v>0</v>
      </c>
      <c r="M222" s="393">
        <f>M223+M226+M230</f>
        <v>200000</v>
      </c>
      <c r="N222" s="393">
        <f>L222+M222</f>
        <v>200000</v>
      </c>
      <c r="O222" s="349">
        <f>N222-K222</f>
        <v>-4000000</v>
      </c>
      <c r="P222" s="350">
        <f>N222/K222*100</f>
        <v>4.7619047619047619</v>
      </c>
      <c r="Q222" s="444"/>
      <c r="R222" s="422"/>
    </row>
    <row r="223" spans="1:19" s="189" customFormat="1" ht="12.05" customHeight="1">
      <c r="A223" s="293"/>
      <c r="B223" s="292">
        <v>4</v>
      </c>
      <c r="C223" s="292">
        <v>1</v>
      </c>
      <c r="D223" s="292">
        <v>4</v>
      </c>
      <c r="E223" s="292" t="s">
        <v>441</v>
      </c>
      <c r="F223" s="292"/>
      <c r="G223" s="253" t="s">
        <v>557</v>
      </c>
      <c r="H223" s="253"/>
      <c r="I223" s="253"/>
      <c r="J223" s="333">
        <f>J224</f>
        <v>0</v>
      </c>
      <c r="K223" s="334">
        <f>K224</f>
        <v>0</v>
      </c>
      <c r="L223" s="356">
        <f>+L224</f>
        <v>0</v>
      </c>
      <c r="M223" s="334">
        <f>+M224</f>
        <v>0</v>
      </c>
      <c r="N223" s="396">
        <f>+M223+L223</f>
        <v>0</v>
      </c>
      <c r="O223" s="396">
        <f>N223-K223</f>
        <v>0</v>
      </c>
      <c r="P223" s="344"/>
      <c r="Q223" s="430"/>
      <c r="R223" s="422"/>
    </row>
    <row r="224" spans="1:19" s="189" customFormat="1" ht="12.05" customHeight="1">
      <c r="A224" s="293"/>
      <c r="B224" s="292">
        <v>4</v>
      </c>
      <c r="C224" s="292">
        <v>1</v>
      </c>
      <c r="D224" s="292">
        <v>4</v>
      </c>
      <c r="E224" s="292" t="s">
        <v>441</v>
      </c>
      <c r="F224" s="292" t="s">
        <v>437</v>
      </c>
      <c r="G224" s="253" t="s">
        <v>72</v>
      </c>
      <c r="H224" s="253"/>
      <c r="I224" s="253"/>
      <c r="J224" s="354">
        <v>0</v>
      </c>
      <c r="K224" s="661">
        <f>'[57]TARGET MURNI DAN PERUBAHAN'!$E$109</f>
        <v>0</v>
      </c>
      <c r="L224" s="360">
        <f>[62]PerDinas!$N$224</f>
        <v>0</v>
      </c>
      <c r="M224" s="355">
        <f>[55]Perdinas!$E$140</f>
        <v>0</v>
      </c>
      <c r="N224" s="355">
        <f t="shared" ref="N224:N230" si="33">M224+L224</f>
        <v>0</v>
      </c>
      <c r="O224" s="355">
        <f>N224-K224</f>
        <v>0</v>
      </c>
      <c r="P224" s="388"/>
      <c r="Q224" s="441"/>
      <c r="R224" s="422"/>
    </row>
    <row r="225" spans="1:18" s="189" customFormat="1" ht="12.05" customHeight="1">
      <c r="A225" s="293"/>
      <c r="B225" s="290"/>
      <c r="C225" s="290"/>
      <c r="D225" s="290"/>
      <c r="E225" s="290"/>
      <c r="F225" s="290"/>
      <c r="G225" s="291"/>
      <c r="H225" s="291"/>
      <c r="I225" s="291"/>
      <c r="J225" s="329"/>
      <c r="K225" s="330"/>
      <c r="L225" s="372"/>
      <c r="M225" s="371"/>
      <c r="N225" s="371"/>
      <c r="O225" s="367"/>
      <c r="P225" s="347"/>
      <c r="Q225" s="651"/>
      <c r="R225" s="422"/>
    </row>
    <row r="226" spans="1:18" s="190" customFormat="1" ht="12.05" customHeight="1">
      <c r="A226" s="293"/>
      <c r="B226" s="290">
        <v>4</v>
      </c>
      <c r="C226" s="290">
        <v>1</v>
      </c>
      <c r="D226" s="290">
        <v>4</v>
      </c>
      <c r="E226" s="290" t="s">
        <v>444</v>
      </c>
      <c r="F226" s="290"/>
      <c r="G226" s="291" t="s">
        <v>222</v>
      </c>
      <c r="H226" s="291"/>
      <c r="I226" s="291"/>
      <c r="J226" s="475">
        <f>J227+J228+J229</f>
        <v>0</v>
      </c>
      <c r="K226" s="476">
        <f>K227+K228+K229</f>
        <v>0</v>
      </c>
      <c r="L226" s="675">
        <f>L227+L228+L229</f>
        <v>0</v>
      </c>
      <c r="M226" s="676">
        <f>M227+M228+M229</f>
        <v>200000</v>
      </c>
      <c r="N226" s="492">
        <f>+M226+L226</f>
        <v>200000</v>
      </c>
      <c r="O226" s="492">
        <f>N226-K230</f>
        <v>-4000000</v>
      </c>
      <c r="P226" s="487"/>
      <c r="Q226" s="696"/>
      <c r="R226" s="446"/>
    </row>
    <row r="227" spans="1:18" s="189" customFormat="1" ht="12.05" customHeight="1">
      <c r="A227" s="289"/>
      <c r="B227" s="292">
        <v>4</v>
      </c>
      <c r="C227" s="292">
        <v>1</v>
      </c>
      <c r="D227" s="292">
        <v>4</v>
      </c>
      <c r="E227" s="292" t="s">
        <v>444</v>
      </c>
      <c r="F227" s="292" t="s">
        <v>440</v>
      </c>
      <c r="G227" s="253" t="s">
        <v>73</v>
      </c>
      <c r="H227" s="253"/>
      <c r="I227" s="253"/>
      <c r="J227" s="389">
        <v>0</v>
      </c>
      <c r="K227" s="357">
        <v>0</v>
      </c>
      <c r="L227" s="360">
        <v>0</v>
      </c>
      <c r="M227" s="355">
        <f>[55]Perdinas!$E$141</f>
        <v>0</v>
      </c>
      <c r="N227" s="355">
        <f t="shared" si="33"/>
        <v>0</v>
      </c>
      <c r="O227" s="677">
        <f>N227-K227</f>
        <v>0</v>
      </c>
      <c r="P227" s="388"/>
      <c r="Q227" s="441"/>
      <c r="R227" s="422"/>
    </row>
    <row r="228" spans="1:18" s="189" customFormat="1" ht="12.05" customHeight="1">
      <c r="A228" s="289"/>
      <c r="B228" s="292">
        <v>4</v>
      </c>
      <c r="C228" s="292">
        <v>1</v>
      </c>
      <c r="D228" s="292">
        <v>4</v>
      </c>
      <c r="E228" s="292" t="s">
        <v>444</v>
      </c>
      <c r="F228" s="292" t="s">
        <v>445</v>
      </c>
      <c r="G228" s="253" t="s">
        <v>74</v>
      </c>
      <c r="H228" s="253"/>
      <c r="I228" s="253"/>
      <c r="J228" s="354">
        <v>0</v>
      </c>
      <c r="K228" s="355">
        <v>0</v>
      </c>
      <c r="L228" s="360">
        <v>0</v>
      </c>
      <c r="M228" s="355">
        <f>[55]Perdinas!$E$142</f>
        <v>0</v>
      </c>
      <c r="N228" s="355">
        <f t="shared" si="33"/>
        <v>0</v>
      </c>
      <c r="O228" s="346">
        <f>N228-K228</f>
        <v>0</v>
      </c>
      <c r="P228" s="388"/>
      <c r="Q228" s="697"/>
      <c r="R228" s="422"/>
    </row>
    <row r="229" spans="1:18" s="189" customFormat="1" ht="12.05" customHeight="1">
      <c r="A229" s="289"/>
      <c r="B229" s="292">
        <v>4</v>
      </c>
      <c r="C229" s="292">
        <v>1</v>
      </c>
      <c r="D229" s="292">
        <v>4</v>
      </c>
      <c r="E229" s="292" t="s">
        <v>444</v>
      </c>
      <c r="F229" s="292" t="s">
        <v>441</v>
      </c>
      <c r="G229" s="253" t="s">
        <v>965</v>
      </c>
      <c r="H229" s="253"/>
      <c r="I229" s="253"/>
      <c r="J229" s="354">
        <v>0</v>
      </c>
      <c r="K229" s="373">
        <f>'[57]TARGET MURNI DAN PERUBAHAN'!$E$110</f>
        <v>0</v>
      </c>
      <c r="L229" s="360">
        <f>[62]PerDinas!$N$229</f>
        <v>0</v>
      </c>
      <c r="M229" s="373">
        <f>[55]Perdinas!$E$143</f>
        <v>200000</v>
      </c>
      <c r="N229" s="355">
        <f t="shared" si="33"/>
        <v>200000</v>
      </c>
      <c r="O229" s="346">
        <f>N229-K229</f>
        <v>200000</v>
      </c>
      <c r="P229" s="388"/>
      <c r="Q229" s="441"/>
      <c r="R229" s="545"/>
    </row>
    <row r="230" spans="1:18" s="189" customFormat="1" ht="12.05" customHeight="1">
      <c r="A230" s="293"/>
      <c r="B230" s="292">
        <v>4</v>
      </c>
      <c r="C230" s="292">
        <v>1</v>
      </c>
      <c r="D230" s="292">
        <v>4</v>
      </c>
      <c r="E230" s="292" t="s">
        <v>948</v>
      </c>
      <c r="F230" s="292" t="s">
        <v>437</v>
      </c>
      <c r="G230" s="253" t="s">
        <v>85</v>
      </c>
      <c r="H230" s="253"/>
      <c r="I230" s="253"/>
      <c r="J230" s="354">
        <v>4800000</v>
      </c>
      <c r="K230" s="373">
        <f>'[57]TARGET MURNI DAN PERUBAHAN'!$E$111</f>
        <v>4200000</v>
      </c>
      <c r="L230" s="360">
        <f>[62]PerDinas!$N$230</f>
        <v>0</v>
      </c>
      <c r="M230" s="373">
        <f>[55]Perdinas!$E$144</f>
        <v>0</v>
      </c>
      <c r="N230" s="355">
        <f t="shared" si="33"/>
        <v>0</v>
      </c>
      <c r="O230" s="346">
        <f>N230-K230</f>
        <v>-4200000</v>
      </c>
      <c r="P230" s="388">
        <f>N230/K230*100</f>
        <v>0</v>
      </c>
      <c r="Q230" s="441"/>
      <c r="R230" s="422"/>
    </row>
    <row r="231" spans="1:18" s="245" customFormat="1" ht="12.05" customHeight="1">
      <c r="A231" s="472"/>
      <c r="B231" s="305"/>
      <c r="C231" s="305"/>
      <c r="D231" s="305"/>
      <c r="E231" s="305"/>
      <c r="F231" s="305"/>
      <c r="G231" s="306"/>
      <c r="H231" s="306"/>
      <c r="I231" s="306"/>
      <c r="J231" s="482"/>
      <c r="K231" s="404"/>
      <c r="L231" s="673"/>
      <c r="M231" s="404"/>
      <c r="N231" s="404"/>
      <c r="O231" s="404"/>
      <c r="P231" s="483"/>
      <c r="Q231" s="456"/>
      <c r="R231" s="450"/>
    </row>
    <row r="232" spans="1:18" s="244" customFormat="1" ht="12.05" customHeight="1">
      <c r="A232" s="283" t="s">
        <v>121</v>
      </c>
      <c r="B232" s="284" t="s">
        <v>58</v>
      </c>
      <c r="C232" s="284" t="s">
        <v>456</v>
      </c>
      <c r="D232" s="284" t="s">
        <v>437</v>
      </c>
      <c r="E232" s="284"/>
      <c r="F232" s="284"/>
      <c r="G232" s="653" t="s">
        <v>732</v>
      </c>
      <c r="H232" s="285"/>
      <c r="I232" s="285"/>
      <c r="J232" s="336">
        <f>+J234</f>
        <v>771601000</v>
      </c>
      <c r="K232" s="337">
        <f>+K234</f>
        <v>229671500</v>
      </c>
      <c r="L232" s="337" t="e">
        <f>+L234</f>
        <v>#REF!</v>
      </c>
      <c r="M232" s="337">
        <f>+M234</f>
        <v>3455000</v>
      </c>
      <c r="N232" s="337" t="e">
        <f>M232+L232</f>
        <v>#REF!</v>
      </c>
      <c r="O232" s="337" t="e">
        <f>+N232-K232</f>
        <v>#REF!</v>
      </c>
      <c r="P232" s="338" t="e">
        <f>+N232/K232*100</f>
        <v>#REF!</v>
      </c>
      <c r="Q232" s="432"/>
      <c r="R232" s="639"/>
    </row>
    <row r="233" spans="1:18" s="189" customFormat="1" ht="12.05" customHeight="1">
      <c r="A233" s="471"/>
      <c r="B233" s="287"/>
      <c r="C233" s="287"/>
      <c r="D233" s="287"/>
      <c r="E233" s="287"/>
      <c r="F233" s="287"/>
      <c r="G233" s="288"/>
      <c r="H233" s="288"/>
      <c r="I233" s="288"/>
      <c r="J233" s="339"/>
      <c r="K233" s="340"/>
      <c r="L233" s="340"/>
      <c r="M233" s="340"/>
      <c r="N233" s="340"/>
      <c r="O233" s="340"/>
      <c r="P233" s="341"/>
      <c r="Q233" s="435"/>
      <c r="R233" s="422"/>
    </row>
    <row r="234" spans="1:18" s="189" customFormat="1" ht="12.05" customHeight="1">
      <c r="A234" s="293"/>
      <c r="B234" s="290">
        <v>4</v>
      </c>
      <c r="C234" s="290">
        <v>1</v>
      </c>
      <c r="D234" s="290"/>
      <c r="E234" s="290"/>
      <c r="F234" s="290"/>
      <c r="G234" s="291" t="s">
        <v>180</v>
      </c>
      <c r="H234" s="291"/>
      <c r="I234" s="291"/>
      <c r="J234" s="342">
        <f>+J236+J243</f>
        <v>771601000</v>
      </c>
      <c r="K234" s="343">
        <f>+K236+K243</f>
        <v>229671500</v>
      </c>
      <c r="L234" s="343" t="e">
        <f>+L236+L243</f>
        <v>#REF!</v>
      </c>
      <c r="M234" s="343">
        <f>+M236+M243</f>
        <v>3455000</v>
      </c>
      <c r="N234" s="343" t="e">
        <f>+M234+L234</f>
        <v>#REF!</v>
      </c>
      <c r="O234" s="343" t="e">
        <f t="shared" ref="O234:O241" si="34">N234-K234</f>
        <v>#REF!</v>
      </c>
      <c r="P234" s="344" t="e">
        <f t="shared" ref="P234:P241" si="35">N234/K234*100</f>
        <v>#REF!</v>
      </c>
      <c r="Q234" s="437"/>
      <c r="R234" s="422"/>
    </row>
    <row r="235" spans="1:18" s="189" customFormat="1" ht="12.05" customHeight="1">
      <c r="A235" s="293"/>
      <c r="B235" s="292"/>
      <c r="C235" s="292"/>
      <c r="D235" s="292"/>
      <c r="E235" s="292"/>
      <c r="F235" s="292"/>
      <c r="G235" s="253"/>
      <c r="H235" s="253"/>
      <c r="I235" s="291"/>
      <c r="J235" s="345"/>
      <c r="K235" s="346"/>
      <c r="L235" s="346"/>
      <c r="M235" s="346"/>
      <c r="N235" s="346"/>
      <c r="O235" s="346"/>
      <c r="P235" s="347"/>
      <c r="Q235" s="438"/>
      <c r="R235" s="422"/>
    </row>
    <row r="236" spans="1:18" s="189" customFormat="1" ht="12.05" customHeight="1">
      <c r="A236" s="293"/>
      <c r="B236" s="290">
        <v>4</v>
      </c>
      <c r="C236" s="290">
        <v>1</v>
      </c>
      <c r="D236" s="290">
        <v>2</v>
      </c>
      <c r="E236" s="290"/>
      <c r="F236" s="290"/>
      <c r="G236" s="291" t="s">
        <v>106</v>
      </c>
      <c r="H236" s="291"/>
      <c r="I236" s="291"/>
      <c r="J236" s="348">
        <f>+J238</f>
        <v>100100000</v>
      </c>
      <c r="K236" s="349">
        <f>+K238</f>
        <v>193889500</v>
      </c>
      <c r="L236" s="349">
        <f>+L238</f>
        <v>146840000</v>
      </c>
      <c r="M236" s="349">
        <f>+M238</f>
        <v>3455000</v>
      </c>
      <c r="N236" s="349">
        <f>+M236+L236</f>
        <v>150295000</v>
      </c>
      <c r="O236" s="349">
        <f t="shared" si="34"/>
        <v>-43594500</v>
      </c>
      <c r="P236" s="350">
        <f t="shared" si="35"/>
        <v>77.515801526126992</v>
      </c>
      <c r="Q236" s="439"/>
      <c r="R236" s="422"/>
    </row>
    <row r="237" spans="1:18" s="189" customFormat="1" ht="12.05" customHeight="1">
      <c r="A237" s="293"/>
      <c r="B237" s="292"/>
      <c r="C237" s="292"/>
      <c r="D237" s="292"/>
      <c r="E237" s="292"/>
      <c r="F237" s="292"/>
      <c r="G237" s="253"/>
      <c r="H237" s="253"/>
      <c r="I237" s="253"/>
      <c r="J237" s="374"/>
      <c r="K237" s="375"/>
      <c r="L237" s="377"/>
      <c r="M237" s="375"/>
      <c r="N237" s="375"/>
      <c r="O237" s="375"/>
      <c r="P237" s="600"/>
      <c r="Q237" s="448"/>
      <c r="R237" s="422"/>
    </row>
    <row r="238" spans="1:18" s="189" customFormat="1" ht="12.05" customHeight="1">
      <c r="A238" s="293"/>
      <c r="B238" s="292">
        <v>4</v>
      </c>
      <c r="C238" s="292">
        <v>1</v>
      </c>
      <c r="D238" s="292">
        <v>2</v>
      </c>
      <c r="E238" s="292" t="s">
        <v>440</v>
      </c>
      <c r="F238" s="292"/>
      <c r="G238" s="253" t="s">
        <v>545</v>
      </c>
      <c r="H238" s="253"/>
      <c r="I238" s="253"/>
      <c r="J238" s="678">
        <f>+J239</f>
        <v>100100000</v>
      </c>
      <c r="K238" s="490">
        <f>+K239</f>
        <v>193889500</v>
      </c>
      <c r="L238" s="616">
        <f>+L239</f>
        <v>146840000</v>
      </c>
      <c r="M238" s="512">
        <f>+M239</f>
        <v>3455000</v>
      </c>
      <c r="N238" s="664">
        <f>+M238+L238</f>
        <v>150295000</v>
      </c>
      <c r="O238" s="412">
        <f t="shared" si="34"/>
        <v>-43594500</v>
      </c>
      <c r="P238" s="487">
        <f t="shared" si="35"/>
        <v>77.515801526126992</v>
      </c>
      <c r="Q238" s="647"/>
      <c r="R238" s="422"/>
    </row>
    <row r="239" spans="1:18" s="189" customFormat="1" ht="12.05" customHeight="1">
      <c r="A239" s="293"/>
      <c r="B239" s="292">
        <v>4</v>
      </c>
      <c r="C239" s="292">
        <v>1</v>
      </c>
      <c r="D239" s="292">
        <v>2</v>
      </c>
      <c r="E239" s="292" t="s">
        <v>440</v>
      </c>
      <c r="F239" s="292" t="s">
        <v>437</v>
      </c>
      <c r="G239" s="253" t="s">
        <v>117</v>
      </c>
      <c r="H239" s="253"/>
      <c r="I239" s="253"/>
      <c r="J239" s="494">
        <f>+J240+J241</f>
        <v>100100000</v>
      </c>
      <c r="K239" s="495">
        <f>+K240+K241</f>
        <v>193889500</v>
      </c>
      <c r="L239" s="513">
        <f>+L240+L241</f>
        <v>146840000</v>
      </c>
      <c r="M239" s="495">
        <f>+M240+M241</f>
        <v>3455000</v>
      </c>
      <c r="N239" s="495">
        <f>+N240+N241</f>
        <v>150295000</v>
      </c>
      <c r="O239" s="334">
        <f t="shared" si="34"/>
        <v>-43594500</v>
      </c>
      <c r="P239" s="335">
        <f t="shared" si="35"/>
        <v>77.515801526126992</v>
      </c>
      <c r="Q239" s="548"/>
      <c r="R239" s="422"/>
    </row>
    <row r="240" spans="1:18" s="189" customFormat="1" ht="12.05" customHeight="1">
      <c r="A240" s="293"/>
      <c r="B240" s="292"/>
      <c r="C240" s="292"/>
      <c r="D240" s="292"/>
      <c r="E240" s="292"/>
      <c r="F240" s="292"/>
      <c r="G240" s="253" t="s">
        <v>50</v>
      </c>
      <c r="H240" s="253"/>
      <c r="I240" s="253" t="s">
        <v>118</v>
      </c>
      <c r="J240" s="374">
        <v>60000000</v>
      </c>
      <c r="K240" s="376">
        <f>'[57]TARGET MURNI DAN PERUBAHAN'!$E$116</f>
        <v>103889500</v>
      </c>
      <c r="L240" s="377">
        <f>[62]PerDinas!$N$240</f>
        <v>87940000</v>
      </c>
      <c r="M240" s="376">
        <f>[55]Perdinas!$E$149</f>
        <v>3455000</v>
      </c>
      <c r="N240" s="355">
        <f t="shared" ref="N240:N245" si="36">M240+L240</f>
        <v>91395000</v>
      </c>
      <c r="O240" s="355">
        <f t="shared" si="34"/>
        <v>-12494500</v>
      </c>
      <c r="P240" s="388">
        <f t="shared" si="35"/>
        <v>87.973279301565611</v>
      </c>
      <c r="Q240" s="448"/>
      <c r="R240" s="422"/>
    </row>
    <row r="241" spans="1:18" s="189" customFormat="1" ht="12.05" customHeight="1">
      <c r="A241" s="465"/>
      <c r="B241" s="296"/>
      <c r="C241" s="296"/>
      <c r="D241" s="296"/>
      <c r="E241" s="296"/>
      <c r="F241" s="296"/>
      <c r="G241" s="297" t="s">
        <v>50</v>
      </c>
      <c r="H241" s="297"/>
      <c r="I241" s="297" t="s">
        <v>119</v>
      </c>
      <c r="J241" s="679">
        <v>40100000</v>
      </c>
      <c r="K241" s="495">
        <f>'[57]TARGET MURNI DAN PERUBAHAN'!$E$117</f>
        <v>90000000</v>
      </c>
      <c r="L241" s="513">
        <f>[62]PerDinas!$N$241</f>
        <v>58900000</v>
      </c>
      <c r="M241" s="495">
        <f>[55]Perdinas!$E$150</f>
        <v>0</v>
      </c>
      <c r="N241" s="334">
        <f t="shared" si="36"/>
        <v>58900000</v>
      </c>
      <c r="O241" s="334">
        <f t="shared" si="34"/>
        <v>-31100000</v>
      </c>
      <c r="P241" s="335">
        <f t="shared" si="35"/>
        <v>65.444444444444443</v>
      </c>
      <c r="Q241" s="449"/>
      <c r="R241" s="422"/>
    </row>
    <row r="242" spans="1:18" s="189" customFormat="1" ht="12.05" customHeight="1">
      <c r="A242" s="654"/>
      <c r="B242" s="655"/>
      <c r="C242" s="655"/>
      <c r="D242" s="655"/>
      <c r="E242" s="655"/>
      <c r="F242" s="655"/>
      <c r="G242" s="656"/>
      <c r="H242" s="656"/>
      <c r="I242" s="656"/>
      <c r="J242" s="680"/>
      <c r="K242" s="681"/>
      <c r="L242" s="682"/>
      <c r="M242" s="512"/>
      <c r="N242" s="681"/>
      <c r="O242" s="681"/>
      <c r="P242" s="683"/>
      <c r="Q242" s="698"/>
      <c r="R242" s="422"/>
    </row>
    <row r="243" spans="1:18" s="189" customFormat="1" ht="12.05" customHeight="1">
      <c r="A243" s="657"/>
      <c r="B243" s="280">
        <v>4</v>
      </c>
      <c r="C243" s="280">
        <v>1</v>
      </c>
      <c r="D243" s="280">
        <v>4</v>
      </c>
      <c r="E243" s="280"/>
      <c r="F243" s="280"/>
      <c r="G243" s="190" t="s">
        <v>71</v>
      </c>
      <c r="H243" s="190"/>
      <c r="I243" s="190"/>
      <c r="J243" s="603">
        <f>J247+J251+J256</f>
        <v>671501000</v>
      </c>
      <c r="K243" s="604">
        <f>K247+K251+K256+K244</f>
        <v>35782000</v>
      </c>
      <c r="L243" s="605" t="e">
        <f>L247+L251+L256+L244</f>
        <v>#REF!</v>
      </c>
      <c r="M243" s="602">
        <f>M247+M251+M256+M244</f>
        <v>0</v>
      </c>
      <c r="N243" s="604" t="e">
        <f t="shared" si="36"/>
        <v>#REF!</v>
      </c>
      <c r="O243" s="343" t="e">
        <f>N243-K243</f>
        <v>#REF!</v>
      </c>
      <c r="P243" s="344" t="e">
        <f>N243/K243*100</f>
        <v>#REF!</v>
      </c>
      <c r="Q243" s="641"/>
      <c r="R243" s="422"/>
    </row>
    <row r="244" spans="1:18" s="189" customFormat="1" ht="12.05" customHeight="1">
      <c r="A244" s="293"/>
      <c r="B244" s="292">
        <v>4</v>
      </c>
      <c r="C244" s="292">
        <v>1</v>
      </c>
      <c r="D244" s="292">
        <v>4</v>
      </c>
      <c r="E244" s="292" t="s">
        <v>441</v>
      </c>
      <c r="F244" s="292"/>
      <c r="G244" s="253" t="s">
        <v>966</v>
      </c>
      <c r="H244" s="291"/>
      <c r="I244" s="291"/>
      <c r="J244" s="397"/>
      <c r="K244" s="398">
        <f>K245</f>
        <v>0</v>
      </c>
      <c r="L244" s="684">
        <f>L245</f>
        <v>94500</v>
      </c>
      <c r="M244" s="604">
        <f>M245</f>
        <v>0</v>
      </c>
      <c r="N244" s="398">
        <f t="shared" si="36"/>
        <v>94500</v>
      </c>
      <c r="O244" s="367">
        <f>N244-K244</f>
        <v>94500</v>
      </c>
      <c r="P244" s="347" t="e">
        <f>N244/K244*100</f>
        <v>#DIV/0!</v>
      </c>
      <c r="Q244" s="699"/>
      <c r="R244" s="422"/>
    </row>
    <row r="245" spans="1:18" s="189" customFormat="1" ht="12.05" customHeight="1">
      <c r="A245" s="293"/>
      <c r="B245" s="292">
        <v>4</v>
      </c>
      <c r="C245" s="292">
        <v>1</v>
      </c>
      <c r="D245" s="292">
        <v>4</v>
      </c>
      <c r="E245" s="292" t="s">
        <v>441</v>
      </c>
      <c r="F245" s="292"/>
      <c r="G245" s="2760" t="s">
        <v>50</v>
      </c>
      <c r="H245" s="253" t="s">
        <v>967</v>
      </c>
      <c r="I245" s="291"/>
      <c r="J245" s="397"/>
      <c r="K245" s="375">
        <f>'[57]TARGET MURNI DAN PERUBAHAN'!$E$121</f>
        <v>0</v>
      </c>
      <c r="L245" s="377">
        <f>[62]PerDinas!$N$245</f>
        <v>94500</v>
      </c>
      <c r="M245" s="495">
        <f>[55]Perdinas!$E$154</f>
        <v>0</v>
      </c>
      <c r="N245" s="375">
        <f t="shared" si="36"/>
        <v>94500</v>
      </c>
      <c r="O245" s="346">
        <f>N245-K245</f>
        <v>94500</v>
      </c>
      <c r="P245" s="347" t="e">
        <f>N245/K245*100</f>
        <v>#DIV/0!</v>
      </c>
      <c r="Q245" s="699"/>
      <c r="R245" s="422"/>
    </row>
    <row r="246" spans="1:18" s="189" customFormat="1" ht="12.05" customHeight="1">
      <c r="A246" s="654"/>
      <c r="B246" s="658"/>
      <c r="C246" s="658"/>
      <c r="D246" s="658"/>
      <c r="E246" s="658"/>
      <c r="F246" s="658"/>
      <c r="G246" s="659"/>
      <c r="H246" s="659"/>
      <c r="I246" s="659"/>
      <c r="J246" s="685"/>
      <c r="K246" s="686"/>
      <c r="L246" s="687"/>
      <c r="M246" s="604"/>
      <c r="N246" s="686"/>
      <c r="O246" s="477"/>
      <c r="P246" s="478"/>
      <c r="Q246" s="700"/>
      <c r="R246" s="422"/>
    </row>
    <row r="247" spans="1:18" s="189" customFormat="1" ht="12.05" customHeight="1">
      <c r="A247" s="471"/>
      <c r="B247" s="287">
        <v>4</v>
      </c>
      <c r="C247" s="287">
        <v>1</v>
      </c>
      <c r="D247" s="287">
        <v>4</v>
      </c>
      <c r="E247" s="287" t="s">
        <v>448</v>
      </c>
      <c r="F247" s="287"/>
      <c r="G247" s="410" t="s">
        <v>220</v>
      </c>
      <c r="H247" s="410"/>
      <c r="I247" s="410"/>
      <c r="J247" s="489">
        <f t="shared" ref="J247:M248" si="37">+J248</f>
        <v>1501000</v>
      </c>
      <c r="K247" s="512">
        <f t="shared" si="37"/>
        <v>18000000</v>
      </c>
      <c r="L247" s="616">
        <f t="shared" si="37"/>
        <v>0</v>
      </c>
      <c r="M247" s="512">
        <f t="shared" si="37"/>
        <v>0</v>
      </c>
      <c r="N247" s="412">
        <f>+M247+L247</f>
        <v>0</v>
      </c>
      <c r="O247" s="412">
        <f>N247-K247</f>
        <v>-18000000</v>
      </c>
      <c r="P247" s="487">
        <f>N247/K247*100</f>
        <v>0</v>
      </c>
      <c r="Q247" s="647"/>
      <c r="R247" s="422"/>
    </row>
    <row r="248" spans="1:18" s="189" customFormat="1" ht="12.05" customHeight="1">
      <c r="A248" s="293"/>
      <c r="B248" s="292">
        <v>4</v>
      </c>
      <c r="C248" s="292">
        <v>1</v>
      </c>
      <c r="D248" s="292">
        <v>4</v>
      </c>
      <c r="E248" s="292" t="s">
        <v>448</v>
      </c>
      <c r="F248" s="292" t="s">
        <v>440</v>
      </c>
      <c r="G248" s="253" t="s">
        <v>561</v>
      </c>
      <c r="H248" s="253"/>
      <c r="I248" s="253"/>
      <c r="J248" s="688">
        <f t="shared" si="37"/>
        <v>1501000</v>
      </c>
      <c r="K248" s="496">
        <f t="shared" si="37"/>
        <v>18000000</v>
      </c>
      <c r="L248" s="689">
        <f t="shared" si="37"/>
        <v>0</v>
      </c>
      <c r="M248" s="496">
        <f t="shared" si="37"/>
        <v>0</v>
      </c>
      <c r="N248" s="497">
        <f>M248+L248</f>
        <v>0</v>
      </c>
      <c r="O248" s="497">
        <f>N248-K248</f>
        <v>-18000000</v>
      </c>
      <c r="P248" s="498">
        <f>N248/K248*100</f>
        <v>0</v>
      </c>
      <c r="Q248" s="701"/>
      <c r="R248" s="422"/>
    </row>
    <row r="249" spans="1:18" s="189" customFormat="1" ht="12.05" customHeight="1">
      <c r="A249" s="293"/>
      <c r="B249" s="292"/>
      <c r="C249" s="292"/>
      <c r="D249" s="292"/>
      <c r="E249" s="292"/>
      <c r="F249" s="292"/>
      <c r="G249" s="253" t="s">
        <v>50</v>
      </c>
      <c r="H249" s="253"/>
      <c r="I249" s="253" t="s">
        <v>968</v>
      </c>
      <c r="J249" s="374">
        <v>1501000</v>
      </c>
      <c r="K249" s="375">
        <f>'[57]TARGET MURNI DAN PERUBAHAN'!$E$120</f>
        <v>18000000</v>
      </c>
      <c r="L249" s="377">
        <f>[62]PerDinas!$N$249</f>
        <v>0</v>
      </c>
      <c r="M249" s="375">
        <f>[55]Perdinas!$E$153</f>
        <v>0</v>
      </c>
      <c r="N249" s="369">
        <f>M249+L249</f>
        <v>0</v>
      </c>
      <c r="O249" s="355">
        <f>N249-K249</f>
        <v>-18000000</v>
      </c>
      <c r="P249" s="388">
        <f>N249/K249*100</f>
        <v>0</v>
      </c>
      <c r="Q249" s="448"/>
      <c r="R249" s="422"/>
    </row>
    <row r="250" spans="1:18" s="189" customFormat="1" ht="12.05" customHeight="1">
      <c r="A250" s="293"/>
      <c r="B250" s="292"/>
      <c r="C250" s="292"/>
      <c r="D250" s="292"/>
      <c r="E250" s="292"/>
      <c r="F250" s="292"/>
      <c r="G250" s="253"/>
      <c r="H250" s="253"/>
      <c r="I250" s="253"/>
      <c r="J250" s="374"/>
      <c r="K250" s="375"/>
      <c r="L250" s="377"/>
      <c r="M250" s="375"/>
      <c r="N250" s="355"/>
      <c r="O250" s="355"/>
      <c r="P250" s="388"/>
      <c r="Q250" s="448"/>
      <c r="R250" s="422"/>
    </row>
    <row r="251" spans="1:18" s="189" customFormat="1" ht="12.05" customHeight="1">
      <c r="A251" s="293"/>
      <c r="B251" s="292">
        <v>4</v>
      </c>
      <c r="C251" s="292">
        <v>1</v>
      </c>
      <c r="D251" s="292">
        <v>4</v>
      </c>
      <c r="E251" s="292" t="s">
        <v>444</v>
      </c>
      <c r="F251" s="292"/>
      <c r="G251" s="253" t="s">
        <v>222</v>
      </c>
      <c r="H251" s="253"/>
      <c r="I251" s="253"/>
      <c r="J251" s="475">
        <f>+J254</f>
        <v>150000000</v>
      </c>
      <c r="K251" s="476">
        <f>+K254</f>
        <v>0</v>
      </c>
      <c r="L251" s="670">
        <f>SUM(L252:L254)</f>
        <v>5527500</v>
      </c>
      <c r="M251" s="527">
        <f>SUM(M252:M254)</f>
        <v>0</v>
      </c>
      <c r="N251" s="527">
        <f>SUM(N252:N254)</f>
        <v>5527500</v>
      </c>
      <c r="O251" s="529">
        <f>N251-K251</f>
        <v>5527500</v>
      </c>
      <c r="P251" s="478" t="e">
        <f t="shared" ref="P251:P258" si="38">N251/K251*100</f>
        <v>#DIV/0!</v>
      </c>
      <c r="Q251" s="644"/>
      <c r="R251" s="422"/>
    </row>
    <row r="252" spans="1:18" s="189" customFormat="1" ht="12.05" customHeight="1">
      <c r="A252" s="289"/>
      <c r="B252" s="292">
        <v>4</v>
      </c>
      <c r="C252" s="292">
        <v>1</v>
      </c>
      <c r="D252" s="292">
        <v>4</v>
      </c>
      <c r="E252" s="292" t="s">
        <v>444</v>
      </c>
      <c r="F252" s="292" t="s">
        <v>440</v>
      </c>
      <c r="G252" s="253" t="s">
        <v>73</v>
      </c>
      <c r="H252" s="253"/>
      <c r="I252" s="253"/>
      <c r="J252" s="354">
        <v>0</v>
      </c>
      <c r="K252" s="355">
        <v>0</v>
      </c>
      <c r="L252" s="360">
        <v>0</v>
      </c>
      <c r="M252" s="355">
        <f>[55]Perdinas!$E$155</f>
        <v>0</v>
      </c>
      <c r="N252" s="355">
        <f t="shared" ref="N252:N260" si="39">M252+L252</f>
        <v>0</v>
      </c>
      <c r="O252" s="355">
        <f>N252-K252</f>
        <v>0</v>
      </c>
      <c r="P252" s="690"/>
      <c r="Q252" s="441"/>
      <c r="R252" s="422"/>
    </row>
    <row r="253" spans="1:18" s="189" customFormat="1" ht="12.05" customHeight="1">
      <c r="A253" s="289"/>
      <c r="B253" s="292">
        <v>4</v>
      </c>
      <c r="C253" s="292">
        <v>1</v>
      </c>
      <c r="D253" s="292">
        <v>4</v>
      </c>
      <c r="E253" s="292" t="s">
        <v>444</v>
      </c>
      <c r="F253" s="292" t="s">
        <v>445</v>
      </c>
      <c r="G253" s="253" t="s">
        <v>74</v>
      </c>
      <c r="H253" s="253"/>
      <c r="I253" s="253"/>
      <c r="J253" s="354">
        <v>0</v>
      </c>
      <c r="K253" s="355">
        <v>0</v>
      </c>
      <c r="L253" s="360">
        <f>[63]PerDinas!$M$253</f>
        <v>720000</v>
      </c>
      <c r="M253" s="355">
        <f>[55]Perdinas!$E$156</f>
        <v>0</v>
      </c>
      <c r="N253" s="355">
        <f t="shared" si="39"/>
        <v>720000</v>
      </c>
      <c r="O253" s="355">
        <f>N253-K253</f>
        <v>720000</v>
      </c>
      <c r="P253" s="347"/>
      <c r="Q253" s="441"/>
      <c r="R253" s="422"/>
    </row>
    <row r="254" spans="1:18" s="189" customFormat="1" ht="12.05" customHeight="1">
      <c r="A254" s="293"/>
      <c r="B254" s="292">
        <v>4</v>
      </c>
      <c r="C254" s="292">
        <v>1</v>
      </c>
      <c r="D254" s="292">
        <v>4</v>
      </c>
      <c r="E254" s="292" t="s">
        <v>444</v>
      </c>
      <c r="F254" s="292" t="s">
        <v>441</v>
      </c>
      <c r="G254" s="253" t="s">
        <v>75</v>
      </c>
      <c r="H254" s="253"/>
      <c r="I254" s="253"/>
      <c r="J254" s="354">
        <v>150000000</v>
      </c>
      <c r="K254" s="373">
        <f>'[57]TARGET MURNI DAN PERUBAHAN'!$E$122</f>
        <v>0</v>
      </c>
      <c r="L254" s="360">
        <f>[62]PerDinas!$N$254</f>
        <v>4807500</v>
      </c>
      <c r="M254" s="373">
        <f>[55]Perdinas!$E$157</f>
        <v>0</v>
      </c>
      <c r="N254" s="369">
        <f t="shared" si="39"/>
        <v>4807500</v>
      </c>
      <c r="O254" s="355">
        <f>N254-K254</f>
        <v>4807500</v>
      </c>
      <c r="P254" s="347" t="e">
        <f t="shared" si="38"/>
        <v>#DIV/0!</v>
      </c>
      <c r="Q254" s="441"/>
      <c r="R254" s="422"/>
    </row>
    <row r="255" spans="1:18" s="189" customFormat="1" ht="12.05" customHeight="1">
      <c r="A255" s="293"/>
      <c r="B255" s="292"/>
      <c r="C255" s="292"/>
      <c r="D255" s="292"/>
      <c r="E255" s="292"/>
      <c r="F255" s="292"/>
      <c r="G255" s="253"/>
      <c r="H255" s="253"/>
      <c r="I255" s="253"/>
      <c r="J255" s="679"/>
      <c r="K255" s="691"/>
      <c r="L255" s="692"/>
      <c r="M255" s="691"/>
      <c r="N255" s="355">
        <f t="shared" si="39"/>
        <v>0</v>
      </c>
      <c r="O255" s="691"/>
      <c r="P255" s="347"/>
      <c r="Q255" s="449"/>
      <c r="R255" s="422"/>
    </row>
    <row r="256" spans="1:18" s="189" customFormat="1" ht="12.05" customHeight="1">
      <c r="A256" s="293"/>
      <c r="B256" s="292">
        <v>4</v>
      </c>
      <c r="C256" s="292">
        <v>1</v>
      </c>
      <c r="D256" s="292">
        <v>4</v>
      </c>
      <c r="E256" s="292" t="s">
        <v>948</v>
      </c>
      <c r="F256" s="292"/>
      <c r="G256" s="253" t="s">
        <v>321</v>
      </c>
      <c r="H256" s="253"/>
      <c r="I256" s="253"/>
      <c r="J256" s="685">
        <f>+J257</f>
        <v>520000000</v>
      </c>
      <c r="K256" s="686">
        <f>+K257</f>
        <v>17782000</v>
      </c>
      <c r="L256" s="687" t="e">
        <f>+L257</f>
        <v>#REF!</v>
      </c>
      <c r="M256" s="686">
        <f>+M257</f>
        <v>0</v>
      </c>
      <c r="N256" s="693" t="e">
        <f t="shared" si="39"/>
        <v>#REF!</v>
      </c>
      <c r="O256" s="477" t="e">
        <f>N256-K256</f>
        <v>#REF!</v>
      </c>
      <c r="P256" s="478" t="e">
        <f t="shared" si="38"/>
        <v>#REF!</v>
      </c>
      <c r="Q256" s="698"/>
      <c r="R256" s="422"/>
    </row>
    <row r="257" spans="1:18" s="189" customFormat="1" ht="12.05" customHeight="1">
      <c r="A257" s="293"/>
      <c r="B257" s="292">
        <v>4</v>
      </c>
      <c r="C257" s="292">
        <v>1</v>
      </c>
      <c r="D257" s="292">
        <v>4</v>
      </c>
      <c r="E257" s="292" t="s">
        <v>948</v>
      </c>
      <c r="F257" s="292" t="s">
        <v>437</v>
      </c>
      <c r="G257" s="253" t="s">
        <v>85</v>
      </c>
      <c r="H257" s="253"/>
      <c r="I257" s="253"/>
      <c r="J257" s="708">
        <f>+J258+J259</f>
        <v>520000000</v>
      </c>
      <c r="K257" s="709">
        <f>+K258+K259</f>
        <v>17782000</v>
      </c>
      <c r="L257" s="710" t="e">
        <f>L258+L259</f>
        <v>#REF!</v>
      </c>
      <c r="M257" s="709">
        <f>M258+M259</f>
        <v>0</v>
      </c>
      <c r="N257" s="357" t="e">
        <f t="shared" si="39"/>
        <v>#REF!</v>
      </c>
      <c r="O257" s="357" t="e">
        <f>N257-K257</f>
        <v>#REF!</v>
      </c>
      <c r="P257" s="358" t="e">
        <f t="shared" si="38"/>
        <v>#REF!</v>
      </c>
      <c r="Q257" s="732"/>
      <c r="R257" s="422"/>
    </row>
    <row r="258" spans="1:18" s="189" customFormat="1" ht="12.05" customHeight="1">
      <c r="A258" s="293"/>
      <c r="B258" s="292"/>
      <c r="C258" s="292"/>
      <c r="D258" s="292"/>
      <c r="E258" s="292"/>
      <c r="F258" s="292"/>
      <c r="G258" s="253" t="s">
        <v>50</v>
      </c>
      <c r="H258" s="253"/>
      <c r="I258" s="253" t="s">
        <v>76</v>
      </c>
      <c r="J258" s="374">
        <v>520000000</v>
      </c>
      <c r="K258" s="401">
        <f>'[57]TARGET MURNI DAN PERUBAHAN'!$E$123</f>
        <v>17782000</v>
      </c>
      <c r="L258" s="377">
        <f>[62]PerDinas!$N$258</f>
        <v>21769250</v>
      </c>
      <c r="M258" s="375">
        <f>[55]Perdinas!$E$158</f>
        <v>0</v>
      </c>
      <c r="N258" s="369">
        <f t="shared" si="39"/>
        <v>21769250</v>
      </c>
      <c r="O258" s="355">
        <f>N258-K258</f>
        <v>3987250</v>
      </c>
      <c r="P258" s="388">
        <f t="shared" si="38"/>
        <v>122.42295579799799</v>
      </c>
      <c r="Q258" s="448"/>
      <c r="R258" s="422"/>
    </row>
    <row r="259" spans="1:18" s="245" customFormat="1" ht="12.05" customHeight="1">
      <c r="A259" s="472"/>
      <c r="B259" s="305"/>
      <c r="C259" s="305"/>
      <c r="D259" s="305"/>
      <c r="E259" s="305"/>
      <c r="F259" s="305"/>
      <c r="G259" s="306"/>
      <c r="H259" s="306"/>
      <c r="I259" s="306"/>
      <c r="J259" s="400"/>
      <c r="K259" s="401"/>
      <c r="L259" s="402" t="e">
        <f>[62]PerDinas!$N$259</f>
        <v>#REF!</v>
      </c>
      <c r="M259" s="401"/>
      <c r="N259" s="380"/>
      <c r="O259" s="711"/>
      <c r="P259" s="712"/>
      <c r="Q259" s="733"/>
      <c r="R259" s="450"/>
    </row>
    <row r="260" spans="1:18" s="244" customFormat="1" ht="12.05" customHeight="1">
      <c r="A260" s="283" t="s">
        <v>124</v>
      </c>
      <c r="B260" s="284" t="s">
        <v>58</v>
      </c>
      <c r="C260" s="284" t="s">
        <v>448</v>
      </c>
      <c r="D260" s="284" t="s">
        <v>438</v>
      </c>
      <c r="E260" s="284"/>
      <c r="F260" s="284"/>
      <c r="G260" s="653" t="s">
        <v>737</v>
      </c>
      <c r="H260" s="285"/>
      <c r="I260" s="285"/>
      <c r="J260" s="336">
        <f>+J262</f>
        <v>5750000</v>
      </c>
      <c r="K260" s="337">
        <f>+K262</f>
        <v>0</v>
      </c>
      <c r="L260" s="337">
        <f>+L262</f>
        <v>0</v>
      </c>
      <c r="M260" s="337">
        <f>+M262</f>
        <v>0</v>
      </c>
      <c r="N260" s="337">
        <f t="shared" si="39"/>
        <v>0</v>
      </c>
      <c r="O260" s="337">
        <f>+N260-K260</f>
        <v>0</v>
      </c>
      <c r="P260" s="338" t="e">
        <f>+N260/K260*100</f>
        <v>#DIV/0!</v>
      </c>
      <c r="Q260" s="432"/>
      <c r="R260" s="639"/>
    </row>
    <row r="261" spans="1:18" s="189" customFormat="1" ht="12.05" customHeight="1">
      <c r="A261" s="471"/>
      <c r="B261" s="287"/>
      <c r="C261" s="287"/>
      <c r="D261" s="287"/>
      <c r="E261" s="287"/>
      <c r="F261" s="287"/>
      <c r="G261" s="288"/>
      <c r="H261" s="288"/>
      <c r="I261" s="288"/>
      <c r="J261" s="339"/>
      <c r="K261" s="340"/>
      <c r="L261" s="340"/>
      <c r="M261" s="340"/>
      <c r="N261" s="340"/>
      <c r="O261" s="340"/>
      <c r="P261" s="341"/>
      <c r="Q261" s="435"/>
      <c r="R261" s="422"/>
    </row>
    <row r="262" spans="1:18" s="189" customFormat="1" ht="12.05" customHeight="1">
      <c r="A262" s="293"/>
      <c r="B262" s="290">
        <v>4</v>
      </c>
      <c r="C262" s="290">
        <v>1</v>
      </c>
      <c r="D262" s="290"/>
      <c r="E262" s="290"/>
      <c r="F262" s="290"/>
      <c r="G262" s="291" t="s">
        <v>180</v>
      </c>
      <c r="H262" s="291"/>
      <c r="I262" s="291"/>
      <c r="J262" s="342">
        <f>+J263</f>
        <v>5750000</v>
      </c>
      <c r="K262" s="343">
        <f>+K263</f>
        <v>0</v>
      </c>
      <c r="L262" s="606">
        <f>+L263</f>
        <v>0</v>
      </c>
      <c r="M262" s="343">
        <f>+M263</f>
        <v>0</v>
      </c>
      <c r="N262" s="343">
        <f>+M262+L262</f>
        <v>0</v>
      </c>
      <c r="O262" s="343">
        <f t="shared" ref="O262:O267" si="40">N262-K262</f>
        <v>0</v>
      </c>
      <c r="P262" s="344" t="e">
        <f>N262/K262*100</f>
        <v>#DIV/0!</v>
      </c>
      <c r="Q262" s="437"/>
      <c r="R262" s="422"/>
    </row>
    <row r="263" spans="1:18" s="189" customFormat="1" ht="12.05" customHeight="1">
      <c r="A263" s="293"/>
      <c r="B263" s="290">
        <v>4</v>
      </c>
      <c r="C263" s="290">
        <v>1</v>
      </c>
      <c r="D263" s="290">
        <v>4</v>
      </c>
      <c r="E263" s="290"/>
      <c r="F263" s="290"/>
      <c r="G263" s="291" t="s">
        <v>71</v>
      </c>
      <c r="H263" s="291"/>
      <c r="I263" s="291"/>
      <c r="J263" s="392">
        <f>J264+J269</f>
        <v>5750000</v>
      </c>
      <c r="K263" s="393">
        <f>K264+K269</f>
        <v>0</v>
      </c>
      <c r="L263" s="394">
        <f>L264+L269</f>
        <v>0</v>
      </c>
      <c r="M263" s="393">
        <f>M264+M269</f>
        <v>0</v>
      </c>
      <c r="N263" s="393">
        <f>N264+N269</f>
        <v>0</v>
      </c>
      <c r="O263" s="349">
        <f t="shared" si="40"/>
        <v>0</v>
      </c>
      <c r="P263" s="350" t="e">
        <f>N263/K263*100</f>
        <v>#DIV/0!</v>
      </c>
      <c r="Q263" s="444"/>
      <c r="R263" s="422"/>
    </row>
    <row r="264" spans="1:18" s="189" customFormat="1" ht="12.05" customHeight="1">
      <c r="A264" s="293"/>
      <c r="B264" s="292">
        <v>4</v>
      </c>
      <c r="C264" s="292">
        <v>1</v>
      </c>
      <c r="D264" s="292">
        <v>4</v>
      </c>
      <c r="E264" s="292" t="s">
        <v>444</v>
      </c>
      <c r="F264" s="292"/>
      <c r="G264" s="253" t="s">
        <v>222</v>
      </c>
      <c r="H264" s="253"/>
      <c r="I264" s="253"/>
      <c r="J264" s="484">
        <f>+J267</f>
        <v>0</v>
      </c>
      <c r="K264" s="485">
        <f>+K267</f>
        <v>0</v>
      </c>
      <c r="L264" s="486">
        <f>SUM(L265:L267)</f>
        <v>0</v>
      </c>
      <c r="M264" s="485">
        <f>SUM(M265:M267)</f>
        <v>0</v>
      </c>
      <c r="N264" s="485">
        <f>SUM(N265:N267)</f>
        <v>0</v>
      </c>
      <c r="O264" s="412">
        <f t="shared" si="40"/>
        <v>0</v>
      </c>
      <c r="P264" s="344" t="e">
        <f>N264/K264*100</f>
        <v>#DIV/0!</v>
      </c>
      <c r="Q264" s="541"/>
      <c r="R264" s="422"/>
    </row>
    <row r="265" spans="1:18" s="189" customFormat="1" ht="12.05" customHeight="1">
      <c r="A265" s="289"/>
      <c r="B265" s="292">
        <v>4</v>
      </c>
      <c r="C265" s="292">
        <v>1</v>
      </c>
      <c r="D265" s="292">
        <v>4</v>
      </c>
      <c r="E265" s="292" t="s">
        <v>444</v>
      </c>
      <c r="F265" s="292" t="s">
        <v>440</v>
      </c>
      <c r="G265" s="253" t="s">
        <v>73</v>
      </c>
      <c r="H265" s="253"/>
      <c r="I265" s="253"/>
      <c r="J265" s="354">
        <v>0</v>
      </c>
      <c r="K265" s="355">
        <v>0</v>
      </c>
      <c r="L265" s="360">
        <v>0</v>
      </c>
      <c r="M265" s="355">
        <f>[55]Perdinas!$E$164</f>
        <v>0</v>
      </c>
      <c r="N265" s="355">
        <f>M265+L265</f>
        <v>0</v>
      </c>
      <c r="O265" s="355">
        <f t="shared" si="40"/>
        <v>0</v>
      </c>
      <c r="P265" s="713"/>
      <c r="Q265" s="441"/>
      <c r="R265" s="422"/>
    </row>
    <row r="266" spans="1:18" s="189" customFormat="1" ht="12.05" customHeight="1">
      <c r="A266" s="289"/>
      <c r="B266" s="292">
        <v>4</v>
      </c>
      <c r="C266" s="292">
        <v>1</v>
      </c>
      <c r="D266" s="292">
        <v>4</v>
      </c>
      <c r="E266" s="292" t="s">
        <v>444</v>
      </c>
      <c r="F266" s="292" t="s">
        <v>445</v>
      </c>
      <c r="G266" s="253" t="s">
        <v>74</v>
      </c>
      <c r="H266" s="253"/>
      <c r="I266" s="253"/>
      <c r="J266" s="354">
        <v>0</v>
      </c>
      <c r="K266" s="355">
        <v>0</v>
      </c>
      <c r="L266" s="360">
        <v>0</v>
      </c>
      <c r="M266" s="355">
        <f>[55]Perdinas!$E$165</f>
        <v>0</v>
      </c>
      <c r="N266" s="355">
        <f>M266+L266</f>
        <v>0</v>
      </c>
      <c r="O266" s="355">
        <f t="shared" si="40"/>
        <v>0</v>
      </c>
      <c r="P266" s="388"/>
      <c r="Q266" s="441"/>
      <c r="R266" s="422"/>
    </row>
    <row r="267" spans="1:18" s="189" customFormat="1" ht="12.05" customHeight="1">
      <c r="A267" s="293"/>
      <c r="B267" s="292">
        <v>4</v>
      </c>
      <c r="C267" s="292">
        <v>1</v>
      </c>
      <c r="D267" s="292">
        <v>4</v>
      </c>
      <c r="E267" s="292" t="s">
        <v>444</v>
      </c>
      <c r="F267" s="292" t="s">
        <v>441</v>
      </c>
      <c r="G267" s="253" t="s">
        <v>75</v>
      </c>
      <c r="H267" s="253"/>
      <c r="I267" s="253"/>
      <c r="J267" s="354">
        <v>0</v>
      </c>
      <c r="K267" s="355">
        <f>'[57]TARGET MURNI DAN PERUBAHAN'!$E$129</f>
        <v>0</v>
      </c>
      <c r="L267" s="360">
        <f>[62]PerDinas!$N$267</f>
        <v>0</v>
      </c>
      <c r="M267" s="355">
        <f>[55]Perdinas!$E$166</f>
        <v>0</v>
      </c>
      <c r="N267" s="369">
        <f>M267+L267</f>
        <v>0</v>
      </c>
      <c r="O267" s="355">
        <f t="shared" si="40"/>
        <v>0</v>
      </c>
      <c r="P267" s="388"/>
      <c r="Q267" s="441"/>
      <c r="R267" s="422"/>
    </row>
    <row r="268" spans="1:18" s="189" customFormat="1" ht="12.05" customHeight="1">
      <c r="A268" s="293"/>
      <c r="B268" s="292"/>
      <c r="C268" s="292"/>
      <c r="D268" s="292"/>
      <c r="E268" s="292"/>
      <c r="F268" s="292"/>
      <c r="G268" s="253"/>
      <c r="H268" s="253"/>
      <c r="I268" s="253"/>
      <c r="J268" s="679"/>
      <c r="K268" s="691"/>
      <c r="L268" s="692"/>
      <c r="M268" s="691"/>
      <c r="N268" s="691"/>
      <c r="O268" s="691"/>
      <c r="P268" s="714"/>
      <c r="Q268" s="449"/>
      <c r="R268" s="422"/>
    </row>
    <row r="269" spans="1:18" s="189" customFormat="1" ht="12.05" customHeight="1">
      <c r="A269" s="293"/>
      <c r="B269" s="292">
        <v>4</v>
      </c>
      <c r="C269" s="292">
        <v>1</v>
      </c>
      <c r="D269" s="292">
        <v>4</v>
      </c>
      <c r="E269" s="292" t="s">
        <v>948</v>
      </c>
      <c r="F269" s="292"/>
      <c r="G269" s="253" t="s">
        <v>321</v>
      </c>
      <c r="H269" s="253"/>
      <c r="I269" s="253"/>
      <c r="J269" s="680">
        <f>+J270</f>
        <v>5750000</v>
      </c>
      <c r="K269" s="681">
        <f>+K270</f>
        <v>0</v>
      </c>
      <c r="L269" s="682">
        <f>+L270</f>
        <v>0</v>
      </c>
      <c r="M269" s="681">
        <f>+M270</f>
        <v>0</v>
      </c>
      <c r="N269" s="681">
        <f>+N270</f>
        <v>0</v>
      </c>
      <c r="O269" s="529">
        <f>N269-K269</f>
        <v>0</v>
      </c>
      <c r="P269" s="478" t="e">
        <f>N269/K269*100</f>
        <v>#DIV/0!</v>
      </c>
      <c r="Q269" s="698"/>
      <c r="R269" s="422"/>
    </row>
    <row r="270" spans="1:18" s="189" customFormat="1" ht="12.05" customHeight="1">
      <c r="A270" s="293"/>
      <c r="B270" s="292">
        <v>4</v>
      </c>
      <c r="C270" s="292">
        <v>1</v>
      </c>
      <c r="D270" s="292">
        <v>4</v>
      </c>
      <c r="E270" s="292" t="s">
        <v>948</v>
      </c>
      <c r="F270" s="292" t="s">
        <v>437</v>
      </c>
      <c r="G270" s="253" t="s">
        <v>85</v>
      </c>
      <c r="H270" s="253"/>
      <c r="I270" s="253"/>
      <c r="J270" s="708">
        <f>+J271</f>
        <v>5750000</v>
      </c>
      <c r="K270" s="709">
        <f>+K271</f>
        <v>0</v>
      </c>
      <c r="L270" s="710">
        <f>L271</f>
        <v>0</v>
      </c>
      <c r="M270" s="709">
        <f>M271</f>
        <v>0</v>
      </c>
      <c r="N270" s="709">
        <f>N271</f>
        <v>0</v>
      </c>
      <c r="O270" s="357">
        <f>N270-K270</f>
        <v>0</v>
      </c>
      <c r="P270" s="358" t="e">
        <f>N270/K270*100</f>
        <v>#DIV/0!</v>
      </c>
      <c r="Q270" s="732"/>
      <c r="R270" s="422"/>
    </row>
    <row r="271" spans="1:18" s="189" customFormat="1" ht="12.05" customHeight="1">
      <c r="A271" s="293"/>
      <c r="B271" s="292"/>
      <c r="C271" s="292"/>
      <c r="D271" s="292"/>
      <c r="E271" s="292"/>
      <c r="F271" s="292"/>
      <c r="G271" s="253" t="s">
        <v>50</v>
      </c>
      <c r="H271" s="253"/>
      <c r="I271" s="253" t="s">
        <v>76</v>
      </c>
      <c r="J271" s="374">
        <v>5750000</v>
      </c>
      <c r="K271" s="375">
        <f>'[57]TARGET MURNI DAN PERUBAHAN'!$E$130</f>
        <v>0</v>
      </c>
      <c r="L271" s="375">
        <f>[62]PerDinas!$N$271</f>
        <v>0</v>
      </c>
      <c r="M271" s="375">
        <f>[55]Perdinas!$E$167</f>
        <v>0</v>
      </c>
      <c r="N271" s="355">
        <f>M271+L271</f>
        <v>0</v>
      </c>
      <c r="O271" s="355">
        <f>N271-K271</f>
        <v>0</v>
      </c>
      <c r="P271" s="388" t="e">
        <f>N271/K271*100</f>
        <v>#DIV/0!</v>
      </c>
      <c r="Q271" s="448"/>
      <c r="R271" s="422"/>
    </row>
    <row r="272" spans="1:18" s="245" customFormat="1" ht="12.05" customHeight="1">
      <c r="A272" s="472"/>
      <c r="B272" s="305"/>
      <c r="C272" s="305"/>
      <c r="D272" s="305"/>
      <c r="E272" s="305"/>
      <c r="F272" s="305"/>
      <c r="G272" s="306"/>
      <c r="H272" s="306"/>
      <c r="I272" s="306"/>
      <c r="J272" s="482"/>
      <c r="K272" s="404"/>
      <c r="L272" s="404"/>
      <c r="M272" s="404"/>
      <c r="N272" s="404"/>
      <c r="O272" s="404"/>
      <c r="P272" s="483"/>
      <c r="Q272" s="456"/>
      <c r="R272" s="450"/>
    </row>
    <row r="273" spans="1:18" s="244" customFormat="1" ht="12.05" customHeight="1">
      <c r="A273" s="283" t="s">
        <v>126</v>
      </c>
      <c r="B273" s="284" t="s">
        <v>58</v>
      </c>
      <c r="C273" s="284" t="s">
        <v>969</v>
      </c>
      <c r="D273" s="284" t="s">
        <v>437</v>
      </c>
      <c r="E273" s="284"/>
      <c r="F273" s="284"/>
      <c r="G273" s="285" t="s">
        <v>738</v>
      </c>
      <c r="H273" s="285"/>
      <c r="I273" s="285"/>
      <c r="J273" s="336">
        <f>+J275</f>
        <v>2000000</v>
      </c>
      <c r="K273" s="337">
        <f>+K275</f>
        <v>1100000</v>
      </c>
      <c r="L273" s="337">
        <f>+L275</f>
        <v>334400</v>
      </c>
      <c r="M273" s="337">
        <f>+M275</f>
        <v>0</v>
      </c>
      <c r="N273" s="337">
        <f>M273+L273</f>
        <v>334400</v>
      </c>
      <c r="O273" s="337">
        <f>+N273-K273</f>
        <v>-765600</v>
      </c>
      <c r="P273" s="338">
        <f>+N273/K273*100</f>
        <v>30.4</v>
      </c>
      <c r="Q273" s="432"/>
      <c r="R273" s="639"/>
    </row>
    <row r="274" spans="1:18" s="189" customFormat="1" ht="12.05" customHeight="1">
      <c r="A274" s="471"/>
      <c r="B274" s="287"/>
      <c r="C274" s="287"/>
      <c r="D274" s="287"/>
      <c r="E274" s="287"/>
      <c r="F274" s="287"/>
      <c r="G274" s="288"/>
      <c r="H274" s="288"/>
      <c r="I274" s="288"/>
      <c r="J274" s="339"/>
      <c r="K274" s="340"/>
      <c r="L274" s="340"/>
      <c r="M274" s="340"/>
      <c r="N274" s="340"/>
      <c r="O274" s="340"/>
      <c r="P274" s="341"/>
      <c r="Q274" s="435"/>
      <c r="R274" s="422"/>
    </row>
    <row r="275" spans="1:18" s="189" customFormat="1" ht="12.05" customHeight="1">
      <c r="A275" s="293"/>
      <c r="B275" s="290">
        <v>4</v>
      </c>
      <c r="C275" s="290">
        <v>1</v>
      </c>
      <c r="D275" s="290"/>
      <c r="E275" s="290"/>
      <c r="F275" s="290"/>
      <c r="G275" s="291" t="s">
        <v>180</v>
      </c>
      <c r="H275" s="291"/>
      <c r="I275" s="291"/>
      <c r="J275" s="342">
        <f>+J278</f>
        <v>2000000</v>
      </c>
      <c r="K275" s="343">
        <f>+K278</f>
        <v>1100000</v>
      </c>
      <c r="L275" s="343">
        <f>+L278</f>
        <v>334400</v>
      </c>
      <c r="M275" s="343">
        <f>+M278</f>
        <v>0</v>
      </c>
      <c r="N275" s="343">
        <f>+M275+L275</f>
        <v>334400</v>
      </c>
      <c r="O275" s="343">
        <f t="shared" ref="O275:O282" si="41">N275-K275</f>
        <v>-765600</v>
      </c>
      <c r="P275" s="344">
        <f>N275/K275*100</f>
        <v>30.4</v>
      </c>
      <c r="Q275" s="437"/>
      <c r="R275" s="422"/>
    </row>
    <row r="276" spans="1:18" s="189" customFormat="1" ht="12.05" customHeight="1">
      <c r="A276" s="293"/>
      <c r="B276" s="290"/>
      <c r="C276" s="290"/>
      <c r="D276" s="290"/>
      <c r="E276" s="290"/>
      <c r="F276" s="290"/>
      <c r="G276" s="291"/>
      <c r="H276" s="291"/>
      <c r="I276" s="291"/>
      <c r="J276" s="387"/>
      <c r="K276" s="367"/>
      <c r="L276" s="367"/>
      <c r="M276" s="367"/>
      <c r="N276" s="367"/>
      <c r="O276" s="367"/>
      <c r="P276" s="347"/>
      <c r="Q276" s="454"/>
      <c r="R276" s="422"/>
    </row>
    <row r="277" spans="1:18" s="189" customFormat="1" ht="12.05" customHeight="1">
      <c r="A277" s="293"/>
      <c r="B277" s="292"/>
      <c r="C277" s="292"/>
      <c r="D277" s="292"/>
      <c r="E277" s="292"/>
      <c r="F277" s="292"/>
      <c r="G277" s="253"/>
      <c r="H277" s="253"/>
      <c r="I277" s="253"/>
      <c r="J277" s="354"/>
      <c r="K277" s="355"/>
      <c r="L277" s="355"/>
      <c r="M277" s="355"/>
      <c r="N277" s="355"/>
      <c r="O277" s="355"/>
      <c r="P277" s="388"/>
      <c r="Q277" s="441"/>
      <c r="R277" s="422"/>
    </row>
    <row r="278" spans="1:18" s="189" customFormat="1" ht="12.05" customHeight="1">
      <c r="A278" s="293"/>
      <c r="B278" s="290">
        <v>4</v>
      </c>
      <c r="C278" s="290">
        <v>1</v>
      </c>
      <c r="D278" s="290">
        <v>4</v>
      </c>
      <c r="E278" s="290"/>
      <c r="F278" s="290"/>
      <c r="G278" s="291" t="s">
        <v>71</v>
      </c>
      <c r="H278" s="291"/>
      <c r="I278" s="291"/>
      <c r="J278" s="392">
        <f>J279+J284</f>
        <v>2000000</v>
      </c>
      <c r="K278" s="393">
        <f>K279+K284</f>
        <v>1100000</v>
      </c>
      <c r="L278" s="394">
        <f>L279+L284</f>
        <v>334400</v>
      </c>
      <c r="M278" s="393">
        <f>M279+M284</f>
        <v>0</v>
      </c>
      <c r="N278" s="393">
        <f>N279+N284</f>
        <v>334400</v>
      </c>
      <c r="O278" s="349">
        <f t="shared" si="41"/>
        <v>-765600</v>
      </c>
      <c r="P278" s="350">
        <f>N278/K278*100</f>
        <v>30.4</v>
      </c>
      <c r="Q278" s="444"/>
      <c r="R278" s="422"/>
    </row>
    <row r="279" spans="1:18" s="189" customFormat="1" ht="12.05" customHeight="1">
      <c r="A279" s="293"/>
      <c r="B279" s="292">
        <v>4</v>
      </c>
      <c r="C279" s="292">
        <v>1</v>
      </c>
      <c r="D279" s="292">
        <v>4</v>
      </c>
      <c r="E279" s="292" t="s">
        <v>444</v>
      </c>
      <c r="F279" s="292"/>
      <c r="G279" s="253" t="s">
        <v>222</v>
      </c>
      <c r="H279" s="253"/>
      <c r="I279" s="253"/>
      <c r="J279" s="484">
        <f>+J282</f>
        <v>0</v>
      </c>
      <c r="K279" s="485">
        <f>+K282</f>
        <v>0</v>
      </c>
      <c r="L279" s="486">
        <f>SUM(L280:L282)</f>
        <v>334400</v>
      </c>
      <c r="M279" s="485">
        <f>SUM(M280:M282)</f>
        <v>0</v>
      </c>
      <c r="N279" s="485">
        <f>SUM(N280:N282)</f>
        <v>334400</v>
      </c>
      <c r="O279" s="412">
        <f t="shared" si="41"/>
        <v>334400</v>
      </c>
      <c r="P279" s="487"/>
      <c r="Q279" s="541"/>
      <c r="R279" s="422"/>
    </row>
    <row r="280" spans="1:18" s="189" customFormat="1" ht="12.05" customHeight="1">
      <c r="A280" s="293"/>
      <c r="B280" s="292">
        <v>4</v>
      </c>
      <c r="C280" s="292">
        <v>1</v>
      </c>
      <c r="D280" s="292">
        <v>4</v>
      </c>
      <c r="E280" s="292" t="s">
        <v>444</v>
      </c>
      <c r="F280" s="292" t="s">
        <v>440</v>
      </c>
      <c r="G280" s="253" t="s">
        <v>73</v>
      </c>
      <c r="H280" s="253"/>
      <c r="I280" s="253"/>
      <c r="J280" s="354">
        <v>0</v>
      </c>
      <c r="K280" s="355">
        <v>0</v>
      </c>
      <c r="L280" s="360">
        <v>0</v>
      </c>
      <c r="M280" s="355">
        <f>[55]Perdinas!$E$172</f>
        <v>0</v>
      </c>
      <c r="N280" s="355">
        <f>M280+L280</f>
        <v>0</v>
      </c>
      <c r="O280" s="355">
        <f t="shared" si="41"/>
        <v>0</v>
      </c>
      <c r="P280" s="388"/>
      <c r="Q280" s="441"/>
      <c r="R280" s="422"/>
    </row>
    <row r="281" spans="1:18" s="189" customFormat="1" ht="12.05" customHeight="1">
      <c r="A281" s="293"/>
      <c r="B281" s="292">
        <v>4</v>
      </c>
      <c r="C281" s="292">
        <v>1</v>
      </c>
      <c r="D281" s="292">
        <v>4</v>
      </c>
      <c r="E281" s="292" t="s">
        <v>444</v>
      </c>
      <c r="F281" s="292" t="s">
        <v>445</v>
      </c>
      <c r="G281" s="253" t="s">
        <v>74</v>
      </c>
      <c r="H281" s="253"/>
      <c r="I281" s="253"/>
      <c r="J281" s="354">
        <v>0</v>
      </c>
      <c r="K281" s="355">
        <v>0</v>
      </c>
      <c r="L281" s="360">
        <v>0</v>
      </c>
      <c r="M281" s="355">
        <f>[55]Perdinas!$E$173</f>
        <v>0</v>
      </c>
      <c r="N281" s="355">
        <f>M281+L281</f>
        <v>0</v>
      </c>
      <c r="O281" s="355">
        <f t="shared" si="41"/>
        <v>0</v>
      </c>
      <c r="P281" s="388"/>
      <c r="Q281" s="441"/>
      <c r="R281" s="422"/>
    </row>
    <row r="282" spans="1:18" s="189" customFormat="1" ht="12.05" customHeight="1">
      <c r="A282" s="293"/>
      <c r="B282" s="292">
        <v>4</v>
      </c>
      <c r="C282" s="292">
        <v>1</v>
      </c>
      <c r="D282" s="292">
        <v>4</v>
      </c>
      <c r="E282" s="292" t="s">
        <v>444</v>
      </c>
      <c r="F282" s="292" t="s">
        <v>441</v>
      </c>
      <c r="G282" s="253" t="s">
        <v>75</v>
      </c>
      <c r="H282" s="253"/>
      <c r="I282" s="253"/>
      <c r="J282" s="354">
        <v>0</v>
      </c>
      <c r="K282" s="373">
        <f>'[57]TARGET MURNI DAN PERUBAHAN'!$E$134</f>
        <v>0</v>
      </c>
      <c r="L282" s="360">
        <f>[62]PerDinas!$N$282</f>
        <v>334400</v>
      </c>
      <c r="M282" s="373">
        <f>[55]Perdinas!$E$174</f>
        <v>0</v>
      </c>
      <c r="N282" s="361">
        <f>M282+L282</f>
        <v>334400</v>
      </c>
      <c r="O282" s="334">
        <f t="shared" si="41"/>
        <v>334400</v>
      </c>
      <c r="P282" s="335"/>
      <c r="Q282" s="430"/>
      <c r="R282" s="422"/>
    </row>
    <row r="283" spans="1:18" s="189" customFormat="1" ht="12.05" customHeight="1">
      <c r="A283" s="293"/>
      <c r="B283" s="292"/>
      <c r="C283" s="292"/>
      <c r="D283" s="292"/>
      <c r="E283" s="292"/>
      <c r="F283" s="292"/>
      <c r="G283" s="253"/>
      <c r="H283" s="253"/>
      <c r="I283" s="253"/>
      <c r="J283" s="333"/>
      <c r="K283" s="334"/>
      <c r="L283" s="356"/>
      <c r="M283" s="334"/>
      <c r="N283" s="334"/>
      <c r="O283" s="334"/>
      <c r="P283" s="335"/>
      <c r="Q283" s="430"/>
      <c r="R283" s="422"/>
    </row>
    <row r="284" spans="1:18" s="189" customFormat="1" ht="12.05" customHeight="1">
      <c r="A284" s="293"/>
      <c r="B284" s="292">
        <v>4</v>
      </c>
      <c r="C284" s="292">
        <v>1</v>
      </c>
      <c r="D284" s="292">
        <v>4</v>
      </c>
      <c r="E284" s="292" t="s">
        <v>948</v>
      </c>
      <c r="F284" s="292"/>
      <c r="G284" s="253" t="s">
        <v>321</v>
      </c>
      <c r="H284" s="253"/>
      <c r="I284" s="253"/>
      <c r="J284" s="680">
        <f>+J285</f>
        <v>2000000</v>
      </c>
      <c r="K284" s="681">
        <f>+K285</f>
        <v>1100000</v>
      </c>
      <c r="L284" s="682">
        <f>+L285</f>
        <v>0</v>
      </c>
      <c r="M284" s="681">
        <f>+M285</f>
        <v>0</v>
      </c>
      <c r="N284" s="681">
        <f>+N285</f>
        <v>0</v>
      </c>
      <c r="O284" s="529">
        <f>N284-K284</f>
        <v>-1100000</v>
      </c>
      <c r="P284" s="478">
        <f>N284/K284*100</f>
        <v>0</v>
      </c>
      <c r="Q284" s="698"/>
      <c r="R284" s="422"/>
    </row>
    <row r="285" spans="1:18" s="189" customFormat="1" ht="12.05" customHeight="1">
      <c r="A285" s="293"/>
      <c r="B285" s="292">
        <v>4</v>
      </c>
      <c r="C285" s="292">
        <v>1</v>
      </c>
      <c r="D285" s="292">
        <v>4</v>
      </c>
      <c r="E285" s="292" t="s">
        <v>948</v>
      </c>
      <c r="F285" s="292" t="s">
        <v>437</v>
      </c>
      <c r="G285" s="253" t="s">
        <v>85</v>
      </c>
      <c r="H285" s="253"/>
      <c r="I285" s="253"/>
      <c r="J285" s="708">
        <f>+J286</f>
        <v>2000000</v>
      </c>
      <c r="K285" s="709">
        <f>+K286</f>
        <v>1100000</v>
      </c>
      <c r="L285" s="710">
        <f>L286</f>
        <v>0</v>
      </c>
      <c r="M285" s="709">
        <f>M286</f>
        <v>0</v>
      </c>
      <c r="N285" s="709">
        <f>N286</f>
        <v>0</v>
      </c>
      <c r="O285" s="357">
        <f>N285-K285</f>
        <v>-1100000</v>
      </c>
      <c r="P285" s="358">
        <f>N285/K285*100</f>
        <v>0</v>
      </c>
      <c r="Q285" s="732"/>
      <c r="R285" s="422"/>
    </row>
    <row r="286" spans="1:18" s="189" customFormat="1" ht="12.05" customHeight="1">
      <c r="A286" s="293"/>
      <c r="B286" s="292"/>
      <c r="C286" s="292"/>
      <c r="D286" s="292"/>
      <c r="E286" s="292"/>
      <c r="F286" s="292"/>
      <c r="G286" s="253" t="s">
        <v>50</v>
      </c>
      <c r="H286" s="253"/>
      <c r="I286" s="253" t="s">
        <v>76</v>
      </c>
      <c r="J286" s="374">
        <v>2000000</v>
      </c>
      <c r="K286" s="373">
        <f>'[57]TARGET MURNI DAN PERUBAHAN'!$E$135</f>
        <v>1100000</v>
      </c>
      <c r="L286" s="715">
        <f>[62]PerDinas!$N$286</f>
        <v>0</v>
      </c>
      <c r="M286" s="373">
        <f>[55]Perdinas!$E$175</f>
        <v>0</v>
      </c>
      <c r="N286" s="369">
        <f>M286+L286</f>
        <v>0</v>
      </c>
      <c r="O286" s="355">
        <f>N286-K286</f>
        <v>-1100000</v>
      </c>
      <c r="P286" s="388">
        <f>N286/K286*100</f>
        <v>0</v>
      </c>
      <c r="Q286" s="448"/>
      <c r="R286" s="422"/>
    </row>
    <row r="287" spans="1:18" s="250" customFormat="1" ht="12.05" customHeight="1">
      <c r="A287" s="702"/>
      <c r="B287" s="703"/>
      <c r="C287" s="703"/>
      <c r="D287" s="703"/>
      <c r="E287" s="703"/>
      <c r="F287" s="703"/>
      <c r="G287" s="704"/>
      <c r="H287" s="704"/>
      <c r="I287" s="704"/>
      <c r="J287" s="716"/>
      <c r="K287" s="717"/>
      <c r="L287" s="718"/>
      <c r="M287" s="717"/>
      <c r="N287" s="719"/>
      <c r="O287" s="719"/>
      <c r="P287" s="720"/>
      <c r="Q287" s="734"/>
      <c r="R287" s="735"/>
    </row>
    <row r="288" spans="1:18" s="244" customFormat="1" ht="12.05" customHeight="1">
      <c r="A288" s="283" t="s">
        <v>132</v>
      </c>
      <c r="B288" s="284" t="s">
        <v>58</v>
      </c>
      <c r="C288" s="284" t="s">
        <v>459</v>
      </c>
      <c r="D288" s="284" t="s">
        <v>437</v>
      </c>
      <c r="E288" s="284"/>
      <c r="F288" s="284"/>
      <c r="G288" s="298" t="s">
        <v>739</v>
      </c>
      <c r="H288" s="298"/>
      <c r="I288" s="298"/>
      <c r="J288" s="336">
        <f>+J290</f>
        <v>106900000</v>
      </c>
      <c r="K288" s="337">
        <f>+K290</f>
        <v>53419400</v>
      </c>
      <c r="L288" s="337">
        <f>+L290</f>
        <v>87310676</v>
      </c>
      <c r="M288" s="337">
        <f>+M290</f>
        <v>0</v>
      </c>
      <c r="N288" s="337">
        <f>M288+L288</f>
        <v>87310676</v>
      </c>
      <c r="O288" s="337">
        <f>+N288-K288</f>
        <v>33891276</v>
      </c>
      <c r="P288" s="338">
        <f>+N288/K288*100</f>
        <v>163.44376013208682</v>
      </c>
      <c r="Q288" s="432"/>
      <c r="R288" s="639"/>
    </row>
    <row r="289" spans="1:18" s="189" customFormat="1" ht="12.05" customHeight="1">
      <c r="A289" s="471"/>
      <c r="B289" s="287"/>
      <c r="C289" s="287"/>
      <c r="D289" s="287"/>
      <c r="E289" s="287"/>
      <c r="F289" s="287"/>
      <c r="G289" s="288"/>
      <c r="H289" s="288"/>
      <c r="I289" s="288"/>
      <c r="J289" s="339"/>
      <c r="K289" s="340"/>
      <c r="L289" s="340"/>
      <c r="M289" s="340"/>
      <c r="N289" s="340"/>
      <c r="O289" s="340"/>
      <c r="P289" s="341"/>
      <c r="Q289" s="435"/>
      <c r="R289" s="422"/>
    </row>
    <row r="290" spans="1:18" s="189" customFormat="1" ht="12.05" customHeight="1">
      <c r="A290" s="293"/>
      <c r="B290" s="290">
        <v>4</v>
      </c>
      <c r="C290" s="290">
        <v>1</v>
      </c>
      <c r="D290" s="290"/>
      <c r="E290" s="290"/>
      <c r="F290" s="290"/>
      <c r="G290" s="291" t="s">
        <v>180</v>
      </c>
      <c r="H290" s="291"/>
      <c r="I290" s="291"/>
      <c r="J290" s="342">
        <f>+J292+J298</f>
        <v>106900000</v>
      </c>
      <c r="K290" s="343">
        <f>+K292+K298</f>
        <v>53419400</v>
      </c>
      <c r="L290" s="343">
        <f>+L292+L298</f>
        <v>87310676</v>
      </c>
      <c r="M290" s="343">
        <f>+M292+M298</f>
        <v>0</v>
      </c>
      <c r="N290" s="343">
        <f>+M290+L290</f>
        <v>87310676</v>
      </c>
      <c r="O290" s="343">
        <f t="shared" ref="O290:O296" si="42">N290-K290</f>
        <v>33891276</v>
      </c>
      <c r="P290" s="344">
        <f t="shared" ref="P290:P296" si="43">N290/K290*100</f>
        <v>163.44376013208682</v>
      </c>
      <c r="Q290" s="437"/>
      <c r="R290" s="422"/>
    </row>
    <row r="291" spans="1:18" s="189" customFormat="1" ht="12.05" customHeight="1">
      <c r="A291" s="293"/>
      <c r="B291" s="292"/>
      <c r="C291" s="292"/>
      <c r="D291" s="292"/>
      <c r="E291" s="292"/>
      <c r="F291" s="292"/>
      <c r="G291" s="253"/>
      <c r="H291" s="253"/>
      <c r="I291" s="291"/>
      <c r="J291" s="345"/>
      <c r="K291" s="346"/>
      <c r="L291" s="346"/>
      <c r="M291" s="346"/>
      <c r="N291" s="346"/>
      <c r="O291" s="346"/>
      <c r="P291" s="347"/>
      <c r="Q291" s="438"/>
      <c r="R291" s="422"/>
    </row>
    <row r="292" spans="1:18" s="189" customFormat="1" ht="12.05" customHeight="1">
      <c r="A292" s="293"/>
      <c r="B292" s="290">
        <v>4</v>
      </c>
      <c r="C292" s="290">
        <v>1</v>
      </c>
      <c r="D292" s="290">
        <v>2</v>
      </c>
      <c r="E292" s="290"/>
      <c r="F292" s="290"/>
      <c r="G292" s="291" t="s">
        <v>106</v>
      </c>
      <c r="H292" s="291"/>
      <c r="I292" s="291"/>
      <c r="J292" s="348">
        <f>+J294</f>
        <v>3000000</v>
      </c>
      <c r="K292" s="349">
        <f>+K294</f>
        <v>2000000</v>
      </c>
      <c r="L292" s="349">
        <f>+L294</f>
        <v>0</v>
      </c>
      <c r="M292" s="349">
        <f>+M294</f>
        <v>0</v>
      </c>
      <c r="N292" s="349">
        <f>+M292+L292</f>
        <v>0</v>
      </c>
      <c r="O292" s="349">
        <f t="shared" si="42"/>
        <v>-2000000</v>
      </c>
      <c r="P292" s="350">
        <f t="shared" si="43"/>
        <v>0</v>
      </c>
      <c r="Q292" s="439"/>
      <c r="R292" s="422"/>
    </row>
    <row r="293" spans="1:18" s="189" customFormat="1" ht="12.05" customHeight="1">
      <c r="A293" s="293"/>
      <c r="B293" s="292"/>
      <c r="C293" s="292"/>
      <c r="D293" s="292"/>
      <c r="E293" s="292"/>
      <c r="F293" s="292"/>
      <c r="G293" s="253"/>
      <c r="H293" s="253"/>
      <c r="I293" s="253"/>
      <c r="J293" s="374"/>
      <c r="K293" s="375"/>
      <c r="L293" s="375"/>
      <c r="M293" s="375"/>
      <c r="N293" s="375"/>
      <c r="O293" s="375"/>
      <c r="P293" s="600"/>
      <c r="Q293" s="448"/>
      <c r="R293" s="422"/>
    </row>
    <row r="294" spans="1:18" s="189" customFormat="1" ht="12.05" customHeight="1">
      <c r="A294" s="465"/>
      <c r="B294" s="296">
        <v>4</v>
      </c>
      <c r="C294" s="296">
        <v>1</v>
      </c>
      <c r="D294" s="296">
        <v>2</v>
      </c>
      <c r="E294" s="296" t="s">
        <v>438</v>
      </c>
      <c r="F294" s="296"/>
      <c r="G294" s="297" t="s">
        <v>374</v>
      </c>
      <c r="H294" s="297"/>
      <c r="I294" s="297"/>
      <c r="J294" s="627">
        <f t="shared" ref="J294:M295" si="44">+J295</f>
        <v>3000000</v>
      </c>
      <c r="K294" s="396">
        <f t="shared" si="44"/>
        <v>2000000</v>
      </c>
      <c r="L294" s="721">
        <f t="shared" si="44"/>
        <v>0</v>
      </c>
      <c r="M294" s="396">
        <f t="shared" si="44"/>
        <v>0</v>
      </c>
      <c r="N294" s="396">
        <f>+M294+L294</f>
        <v>0</v>
      </c>
      <c r="O294" s="396">
        <f t="shared" si="42"/>
        <v>-2000000</v>
      </c>
      <c r="P294" s="344">
        <f t="shared" si="43"/>
        <v>0</v>
      </c>
      <c r="Q294" s="642"/>
      <c r="R294" s="422"/>
    </row>
    <row r="295" spans="1:18" s="189" customFormat="1" ht="12.05" customHeight="1">
      <c r="A295" s="564"/>
      <c r="B295" s="565">
        <v>4</v>
      </c>
      <c r="C295" s="565">
        <v>1</v>
      </c>
      <c r="D295" s="565">
        <v>2</v>
      </c>
      <c r="E295" s="565" t="s">
        <v>438</v>
      </c>
      <c r="F295" s="565" t="s">
        <v>437</v>
      </c>
      <c r="G295" s="566" t="s">
        <v>64</v>
      </c>
      <c r="H295" s="566"/>
      <c r="I295" s="566"/>
      <c r="J295" s="411">
        <f t="shared" si="44"/>
        <v>3000000</v>
      </c>
      <c r="K295" s="412">
        <f t="shared" si="44"/>
        <v>2000000</v>
      </c>
      <c r="L295" s="591">
        <f t="shared" si="44"/>
        <v>0</v>
      </c>
      <c r="M295" s="412">
        <f t="shared" si="44"/>
        <v>0</v>
      </c>
      <c r="N295" s="485">
        <f t="shared" ref="N295:N303" si="45">M295+L295</f>
        <v>0</v>
      </c>
      <c r="O295" s="485">
        <f t="shared" si="42"/>
        <v>-2000000</v>
      </c>
      <c r="P295" s="597">
        <f t="shared" si="43"/>
        <v>0</v>
      </c>
      <c r="Q295" s="694"/>
      <c r="R295" s="422"/>
    </row>
    <row r="296" spans="1:18" s="189" customFormat="1" ht="12.05" customHeight="1">
      <c r="A296" s="471"/>
      <c r="B296" s="287"/>
      <c r="C296" s="287"/>
      <c r="D296" s="287"/>
      <c r="E296" s="287"/>
      <c r="F296" s="287"/>
      <c r="G296" s="410" t="s">
        <v>50</v>
      </c>
      <c r="H296" s="410"/>
      <c r="I296" s="410" t="s">
        <v>970</v>
      </c>
      <c r="J296" s="708">
        <v>3000000</v>
      </c>
      <c r="K296" s="722">
        <f>'[57]TARGET MURNI DAN PERUBAHAN'!$E$139</f>
        <v>2000000</v>
      </c>
      <c r="L296" s="710">
        <f>[62]PerDinas!$N$296</f>
        <v>0</v>
      </c>
      <c r="M296" s="722">
        <f>[55]Perdinas!$E$179</f>
        <v>0</v>
      </c>
      <c r="N296" s="357">
        <f t="shared" si="45"/>
        <v>0</v>
      </c>
      <c r="O296" s="357">
        <f t="shared" si="42"/>
        <v>-2000000</v>
      </c>
      <c r="P296" s="358">
        <f t="shared" si="43"/>
        <v>0</v>
      </c>
      <c r="Q296" s="732"/>
      <c r="R296" s="422"/>
    </row>
    <row r="297" spans="1:18" s="189" customFormat="1" ht="12.05" customHeight="1">
      <c r="A297" s="293"/>
      <c r="B297" s="292"/>
      <c r="C297" s="292"/>
      <c r="D297" s="292"/>
      <c r="E297" s="292"/>
      <c r="F297" s="292"/>
      <c r="G297" s="253"/>
      <c r="H297" s="253"/>
      <c r="I297" s="253"/>
      <c r="J297" s="374"/>
      <c r="K297" s="375"/>
      <c r="L297" s="377"/>
      <c r="M297" s="375"/>
      <c r="N297" s="375"/>
      <c r="O297" s="375"/>
      <c r="P297" s="600"/>
      <c r="Q297" s="448"/>
      <c r="R297" s="422"/>
    </row>
    <row r="298" spans="1:18" s="189" customFormat="1" ht="12.05" customHeight="1">
      <c r="A298" s="293"/>
      <c r="B298" s="290">
        <v>4</v>
      </c>
      <c r="C298" s="290">
        <v>1</v>
      </c>
      <c r="D298" s="290">
        <v>4</v>
      </c>
      <c r="E298" s="290"/>
      <c r="F298" s="290"/>
      <c r="G298" s="291" t="s">
        <v>71</v>
      </c>
      <c r="H298" s="291"/>
      <c r="I298" s="291"/>
      <c r="J298" s="723">
        <f>J299+J305</f>
        <v>103900000</v>
      </c>
      <c r="K298" s="724">
        <f>K299+K305+K307</f>
        <v>51419400</v>
      </c>
      <c r="L298" s="724">
        <f>L299+L305+L307</f>
        <v>87310676</v>
      </c>
      <c r="M298" s="724">
        <f>M299+M305</f>
        <v>0</v>
      </c>
      <c r="N298" s="724">
        <f>N299+N305</f>
        <v>87310676</v>
      </c>
      <c r="O298" s="349">
        <f t="shared" ref="O298:O303" si="46">N298-K298</f>
        <v>35891276</v>
      </c>
      <c r="P298" s="350">
        <f>N298/K298*100</f>
        <v>169.80104007436881</v>
      </c>
      <c r="Q298" s="640"/>
      <c r="R298" s="422"/>
    </row>
    <row r="299" spans="1:18" s="189" customFormat="1" ht="12.05" customHeight="1">
      <c r="A299" s="293"/>
      <c r="B299" s="292">
        <v>4</v>
      </c>
      <c r="C299" s="292">
        <v>1</v>
      </c>
      <c r="D299" s="292">
        <v>4</v>
      </c>
      <c r="E299" s="292" t="s">
        <v>444</v>
      </c>
      <c r="F299" s="292"/>
      <c r="G299" s="253" t="s">
        <v>222</v>
      </c>
      <c r="H299" s="253"/>
      <c r="I299" s="253"/>
      <c r="J299" s="680">
        <f>SUM(J300:J303)</f>
        <v>0</v>
      </c>
      <c r="K299" s="681">
        <f>SUM(K300:K303)</f>
        <v>0</v>
      </c>
      <c r="L299" s="682">
        <f>SUM(L300:L303)</f>
        <v>55093076</v>
      </c>
      <c r="M299" s="681">
        <f>SUM(M300:M303)</f>
        <v>0</v>
      </c>
      <c r="N299" s="529">
        <f>+M299+L299</f>
        <v>55093076</v>
      </c>
      <c r="O299" s="529">
        <f t="shared" si="46"/>
        <v>55093076</v>
      </c>
      <c r="P299" s="478">
        <v>0</v>
      </c>
      <c r="Q299" s="698"/>
      <c r="R299" s="422"/>
    </row>
    <row r="300" spans="1:18" s="189" customFormat="1" ht="12.05" customHeight="1">
      <c r="A300" s="289"/>
      <c r="B300" s="292">
        <v>4</v>
      </c>
      <c r="C300" s="292">
        <v>1</v>
      </c>
      <c r="D300" s="292">
        <v>4</v>
      </c>
      <c r="E300" s="292" t="s">
        <v>444</v>
      </c>
      <c r="F300" s="292" t="s">
        <v>440</v>
      </c>
      <c r="G300" s="253" t="s">
        <v>73</v>
      </c>
      <c r="H300" s="253"/>
      <c r="I300" s="253"/>
      <c r="J300" s="354">
        <v>0</v>
      </c>
      <c r="K300" s="355">
        <v>0</v>
      </c>
      <c r="L300" s="360">
        <v>0</v>
      </c>
      <c r="M300" s="355">
        <f>[55]Perdinas!$E$183</f>
        <v>0</v>
      </c>
      <c r="N300" s="355">
        <f t="shared" si="45"/>
        <v>0</v>
      </c>
      <c r="O300" s="355">
        <f t="shared" si="46"/>
        <v>0</v>
      </c>
      <c r="P300" s="388"/>
      <c r="Q300" s="441"/>
      <c r="R300" s="422"/>
    </row>
    <row r="301" spans="1:18" s="189" customFormat="1" ht="12.05" customHeight="1">
      <c r="A301" s="289"/>
      <c r="B301" s="292">
        <v>4</v>
      </c>
      <c r="C301" s="292">
        <v>1</v>
      </c>
      <c r="D301" s="292">
        <v>4</v>
      </c>
      <c r="E301" s="292" t="s">
        <v>444</v>
      </c>
      <c r="F301" s="292" t="s">
        <v>445</v>
      </c>
      <c r="G301" s="253" t="s">
        <v>74</v>
      </c>
      <c r="H301" s="253"/>
      <c r="I301" s="253"/>
      <c r="J301" s="354">
        <v>0</v>
      </c>
      <c r="K301" s="355">
        <v>0</v>
      </c>
      <c r="L301" s="360">
        <v>0</v>
      </c>
      <c r="M301" s="355">
        <f>[55]Perdinas!$E$184</f>
        <v>0</v>
      </c>
      <c r="N301" s="355">
        <f t="shared" si="45"/>
        <v>0</v>
      </c>
      <c r="O301" s="355">
        <f t="shared" si="46"/>
        <v>0</v>
      </c>
      <c r="P301" s="388"/>
      <c r="Q301" s="441"/>
      <c r="R301" s="422"/>
    </row>
    <row r="302" spans="1:18" s="189" customFormat="1" ht="12.05" customHeight="1">
      <c r="A302" s="293"/>
      <c r="B302" s="292">
        <v>4</v>
      </c>
      <c r="C302" s="292">
        <v>1</v>
      </c>
      <c r="D302" s="292">
        <v>4</v>
      </c>
      <c r="E302" s="292" t="s">
        <v>444</v>
      </c>
      <c r="F302" s="292" t="s">
        <v>441</v>
      </c>
      <c r="G302" s="253" t="s">
        <v>75</v>
      </c>
      <c r="H302" s="253"/>
      <c r="I302" s="253"/>
      <c r="J302" s="494">
        <v>0</v>
      </c>
      <c r="K302" s="725">
        <f>'[57]TARGET MURNI DAN PERUBAHAN'!$E$142</f>
        <v>0</v>
      </c>
      <c r="L302" s="513">
        <f>[62]PerDinas!$N$302</f>
        <v>55093076</v>
      </c>
      <c r="M302" s="725">
        <f>[55]Perdinas!$E$185</f>
        <v>0</v>
      </c>
      <c r="N302" s="369">
        <f t="shared" si="45"/>
        <v>55093076</v>
      </c>
      <c r="O302" s="355">
        <f t="shared" si="46"/>
        <v>55093076</v>
      </c>
      <c r="P302" s="388">
        <v>0</v>
      </c>
      <c r="Q302" s="548"/>
      <c r="R302" s="422"/>
    </row>
    <row r="303" spans="1:18" s="189" customFormat="1" ht="12.05" customHeight="1">
      <c r="A303" s="705"/>
      <c r="B303" s="292">
        <v>4</v>
      </c>
      <c r="C303" s="292">
        <v>1</v>
      </c>
      <c r="D303" s="292">
        <v>4</v>
      </c>
      <c r="E303" s="292" t="s">
        <v>438</v>
      </c>
      <c r="F303" s="292" t="s">
        <v>438</v>
      </c>
      <c r="G303" s="199" t="s">
        <v>214</v>
      </c>
      <c r="H303" s="253"/>
      <c r="I303" s="253"/>
      <c r="J303" s="726">
        <v>0</v>
      </c>
      <c r="K303" s="727">
        <v>0</v>
      </c>
      <c r="L303" s="728">
        <v>0</v>
      </c>
      <c r="M303" s="448">
        <v>0</v>
      </c>
      <c r="N303" s="441">
        <f t="shared" si="45"/>
        <v>0</v>
      </c>
      <c r="O303" s="441">
        <f t="shared" si="46"/>
        <v>0</v>
      </c>
      <c r="P303" s="388">
        <v>0</v>
      </c>
      <c r="Q303" s="448"/>
      <c r="R303" s="422"/>
    </row>
    <row r="304" spans="1:18" s="189" customFormat="1" ht="12.05" customHeight="1">
      <c r="A304" s="293"/>
      <c r="B304" s="292"/>
      <c r="C304" s="292"/>
      <c r="D304" s="292"/>
      <c r="E304" s="292"/>
      <c r="F304" s="292"/>
      <c r="G304" s="253"/>
      <c r="H304" s="253"/>
      <c r="I304" s="253"/>
      <c r="J304" s="729"/>
      <c r="K304" s="730"/>
      <c r="L304" s="731"/>
      <c r="M304" s="548"/>
      <c r="N304" s="430"/>
      <c r="O304" s="430"/>
      <c r="P304" s="335"/>
      <c r="Q304" s="548"/>
      <c r="R304" s="422"/>
    </row>
    <row r="305" spans="1:19" s="189" customFormat="1" ht="12.05" customHeight="1">
      <c r="A305" s="293"/>
      <c r="B305" s="292">
        <v>4</v>
      </c>
      <c r="C305" s="292">
        <v>1</v>
      </c>
      <c r="D305" s="292">
        <v>4</v>
      </c>
      <c r="E305" s="292" t="s">
        <v>948</v>
      </c>
      <c r="F305" s="292"/>
      <c r="G305" s="253" t="s">
        <v>321</v>
      </c>
      <c r="H305" s="253"/>
      <c r="I305" s="253"/>
      <c r="J305" s="489">
        <f>+J306</f>
        <v>103900000</v>
      </c>
      <c r="K305" s="512">
        <f>+K306</f>
        <v>51419400</v>
      </c>
      <c r="L305" s="512">
        <f>+L306</f>
        <v>32217600</v>
      </c>
      <c r="M305" s="512">
        <f>+M306</f>
        <v>0</v>
      </c>
      <c r="N305" s="412">
        <f>+M305+L305</f>
        <v>32217600</v>
      </c>
      <c r="O305" s="412">
        <f>N305-K305</f>
        <v>-19201800</v>
      </c>
      <c r="P305" s="487">
        <f>N305/K305*100</f>
        <v>62.656507077095412</v>
      </c>
      <c r="Q305" s="647"/>
      <c r="R305" s="422"/>
    </row>
    <row r="306" spans="1:19" s="189" customFormat="1" ht="12.05" customHeight="1">
      <c r="A306" s="293"/>
      <c r="B306" s="292">
        <v>4</v>
      </c>
      <c r="C306" s="292">
        <v>1</v>
      </c>
      <c r="D306" s="292">
        <v>4</v>
      </c>
      <c r="E306" s="292" t="s">
        <v>948</v>
      </c>
      <c r="F306" s="292" t="s">
        <v>437</v>
      </c>
      <c r="G306" s="253" t="s">
        <v>85</v>
      </c>
      <c r="H306" s="253"/>
      <c r="I306" s="253"/>
      <c r="J306" s="494">
        <f>+J307+J308</f>
        <v>103900000</v>
      </c>
      <c r="K306" s="495">
        <f>K308</f>
        <v>51419400</v>
      </c>
      <c r="L306" s="495">
        <f>L308</f>
        <v>32217600</v>
      </c>
      <c r="M306" s="495">
        <f>SUM(M307:M308)</f>
        <v>0</v>
      </c>
      <c r="N306" s="496">
        <f>SUM(N307:N308)</f>
        <v>32217600</v>
      </c>
      <c r="O306" s="497">
        <f>N306-K306</f>
        <v>-19201800</v>
      </c>
      <c r="P306" s="498">
        <f>N306/K306*100</f>
        <v>62.656507077095412</v>
      </c>
      <c r="Q306" s="548"/>
      <c r="R306" s="422"/>
    </row>
    <row r="307" spans="1:19" s="189" customFormat="1" ht="12.05" customHeight="1">
      <c r="A307" s="293"/>
      <c r="B307" s="292"/>
      <c r="C307" s="292"/>
      <c r="D307" s="292"/>
      <c r="E307" s="292"/>
      <c r="F307" s="292"/>
      <c r="G307" s="253" t="s">
        <v>50</v>
      </c>
      <c r="H307" s="253"/>
      <c r="I307" s="253" t="s">
        <v>710</v>
      </c>
      <c r="J307" s="374">
        <v>89000000</v>
      </c>
      <c r="K307" s="375"/>
      <c r="L307" s="377"/>
      <c r="M307" s="375"/>
      <c r="N307" s="369">
        <f>M307+L307</f>
        <v>0</v>
      </c>
      <c r="O307" s="497">
        <f>N307-K307</f>
        <v>0</v>
      </c>
      <c r="P307" s="388"/>
      <c r="Q307" s="448"/>
      <c r="R307" s="422"/>
    </row>
    <row r="308" spans="1:19" s="189" customFormat="1" ht="12.05" customHeight="1">
      <c r="A308" s="293"/>
      <c r="B308" s="292"/>
      <c r="C308" s="292"/>
      <c r="D308" s="292"/>
      <c r="E308" s="292"/>
      <c r="F308" s="292"/>
      <c r="G308" s="253" t="s">
        <v>50</v>
      </c>
      <c r="H308" s="253"/>
      <c r="I308" s="253" t="s">
        <v>85</v>
      </c>
      <c r="J308" s="374">
        <v>14900000</v>
      </c>
      <c r="K308" s="376">
        <f>'[57]TARGET MURNI DAN PERUBAHAN'!$E$144</f>
        <v>51419400</v>
      </c>
      <c r="L308" s="377">
        <f>[62]PerDinas!$N$308</f>
        <v>32217600</v>
      </c>
      <c r="M308" s="376">
        <f>[55]Perdinas!$E$186</f>
        <v>0</v>
      </c>
      <c r="N308" s="361">
        <f>M308+L308</f>
        <v>32217600</v>
      </c>
      <c r="O308" s="334">
        <f>N308-K308</f>
        <v>-19201800</v>
      </c>
      <c r="P308" s="335">
        <f>N308/K308*100</f>
        <v>62.656507077095412</v>
      </c>
      <c r="Q308" s="448"/>
      <c r="R308" s="422"/>
    </row>
    <row r="309" spans="1:19" s="245" customFormat="1" ht="12.05" customHeight="1">
      <c r="A309" s="472"/>
      <c r="B309" s="305"/>
      <c r="C309" s="305"/>
      <c r="D309" s="305"/>
      <c r="E309" s="305"/>
      <c r="F309" s="305"/>
      <c r="G309" s="306"/>
      <c r="H309" s="306"/>
      <c r="I309" s="306"/>
      <c r="J309" s="536"/>
      <c r="K309" s="380"/>
      <c r="L309" s="538"/>
      <c r="M309" s="380"/>
      <c r="N309" s="380"/>
      <c r="O309" s="380"/>
      <c r="P309" s="501"/>
      <c r="Q309" s="560"/>
      <c r="R309" s="450"/>
    </row>
    <row r="310" spans="1:19" s="251" customFormat="1" ht="12.05" customHeight="1">
      <c r="A310" s="283" t="s">
        <v>141</v>
      </c>
      <c r="B310" s="284" t="s">
        <v>58</v>
      </c>
      <c r="C310" s="284" t="s">
        <v>948</v>
      </c>
      <c r="D310" s="284" t="s">
        <v>437</v>
      </c>
      <c r="E310" s="284"/>
      <c r="F310" s="284"/>
      <c r="G310" s="298" t="s">
        <v>133</v>
      </c>
      <c r="H310" s="298"/>
      <c r="I310" s="298"/>
      <c r="J310" s="336">
        <f>+J312</f>
        <v>601173200</v>
      </c>
      <c r="K310" s="337">
        <f>+K312</f>
        <v>1469449000</v>
      </c>
      <c r="L310" s="337">
        <f>+L312</f>
        <v>1787925315</v>
      </c>
      <c r="M310" s="337">
        <f>+M312</f>
        <v>58272600</v>
      </c>
      <c r="N310" s="337">
        <f>M310+L310</f>
        <v>1846197915</v>
      </c>
      <c r="O310" s="337">
        <f>+N310-K310</f>
        <v>376748915</v>
      </c>
      <c r="P310" s="338">
        <f>+N310/K310*100</f>
        <v>125.63878807634698</v>
      </c>
      <c r="Q310" s="432"/>
      <c r="R310" s="736">
        <f>M310-[57]Perdinas!$P$188</f>
        <v>-107156300</v>
      </c>
      <c r="S310" s="737"/>
    </row>
    <row r="311" spans="1:19" s="252" customFormat="1" ht="12.05" customHeight="1">
      <c r="A311" s="706"/>
      <c r="B311" s="707"/>
      <c r="C311" s="707"/>
      <c r="D311" s="707"/>
      <c r="E311" s="707"/>
      <c r="F311" s="707"/>
      <c r="G311" s="288"/>
      <c r="H311" s="288"/>
      <c r="I311" s="288"/>
      <c r="J311" s="385"/>
      <c r="K311" s="386"/>
      <c r="L311" s="386"/>
      <c r="M311" s="386"/>
      <c r="N311" s="386"/>
      <c r="O311" s="386"/>
      <c r="P311" s="341"/>
      <c r="Q311" s="453"/>
      <c r="R311" s="738"/>
    </row>
    <row r="312" spans="1:19" s="189" customFormat="1" ht="12.05" customHeight="1">
      <c r="A312" s="293"/>
      <c r="B312" s="290">
        <v>4</v>
      </c>
      <c r="C312" s="290">
        <v>1</v>
      </c>
      <c r="D312" s="290"/>
      <c r="E312" s="290"/>
      <c r="F312" s="290"/>
      <c r="G312" s="291" t="s">
        <v>180</v>
      </c>
      <c r="H312" s="291"/>
      <c r="I312" s="291"/>
      <c r="J312" s="342">
        <f>+J314+J325</f>
        <v>601173200</v>
      </c>
      <c r="K312" s="343">
        <f>+K314+K325</f>
        <v>1469449000</v>
      </c>
      <c r="L312" s="343">
        <f>+L314+L325</f>
        <v>1787925315</v>
      </c>
      <c r="M312" s="343">
        <f>+M314+M325</f>
        <v>58272600</v>
      </c>
      <c r="N312" s="343">
        <f>+M312+L312</f>
        <v>1846197915</v>
      </c>
      <c r="O312" s="343">
        <f>N312-K312</f>
        <v>376748915</v>
      </c>
      <c r="P312" s="344">
        <f>N312/K312*100</f>
        <v>125.63878807634698</v>
      </c>
      <c r="Q312" s="437"/>
      <c r="R312" s="422"/>
    </row>
    <row r="313" spans="1:19" s="189" customFormat="1" ht="12.05" customHeight="1">
      <c r="A313" s="293"/>
      <c r="B313" s="290"/>
      <c r="C313" s="290"/>
      <c r="D313" s="290"/>
      <c r="E313" s="290"/>
      <c r="F313" s="290"/>
      <c r="G313" s="291"/>
      <c r="H313" s="291"/>
      <c r="I313" s="291"/>
      <c r="J313" s="387"/>
      <c r="K313" s="367"/>
      <c r="L313" s="367"/>
      <c r="M313" s="367"/>
      <c r="N313" s="367"/>
      <c r="O313" s="367"/>
      <c r="P313" s="347"/>
      <c r="Q313" s="454"/>
      <c r="R313" s="422"/>
    </row>
    <row r="314" spans="1:19" s="189" customFormat="1" ht="12.05" customHeight="1">
      <c r="A314" s="293"/>
      <c r="B314" s="290">
        <v>4</v>
      </c>
      <c r="C314" s="290">
        <v>1</v>
      </c>
      <c r="D314" s="290">
        <v>2</v>
      </c>
      <c r="E314" s="290"/>
      <c r="F314" s="290"/>
      <c r="G314" s="291" t="s">
        <v>106</v>
      </c>
      <c r="H314" s="291"/>
      <c r="I314" s="291"/>
      <c r="J314" s="348">
        <f>+J315+J318</f>
        <v>37942400</v>
      </c>
      <c r="K314" s="349">
        <f>+K315+K318</f>
        <v>783047000</v>
      </c>
      <c r="L314" s="349">
        <f>+L315+L318</f>
        <v>1691092590</v>
      </c>
      <c r="M314" s="349">
        <f>+M315+M318</f>
        <v>58272600</v>
      </c>
      <c r="N314" s="349">
        <f>+M314+L314</f>
        <v>1749365190</v>
      </c>
      <c r="O314" s="349">
        <f>N314-K314</f>
        <v>966318190</v>
      </c>
      <c r="P314" s="350">
        <f>N314/K314*100</f>
        <v>223.40487735729786</v>
      </c>
      <c r="Q314" s="439"/>
      <c r="R314" s="422"/>
    </row>
    <row r="315" spans="1:19" s="189" customFormat="1" ht="12.05" customHeight="1">
      <c r="A315" s="293"/>
      <c r="B315" s="292">
        <v>4</v>
      </c>
      <c r="C315" s="292">
        <v>1</v>
      </c>
      <c r="D315" s="292">
        <v>2</v>
      </c>
      <c r="E315" s="292" t="s">
        <v>440</v>
      </c>
      <c r="F315" s="292"/>
      <c r="G315" s="253" t="s">
        <v>116</v>
      </c>
      <c r="H315" s="253"/>
      <c r="I315" s="291"/>
      <c r="J315" s="411">
        <f>+J316</f>
        <v>0</v>
      </c>
      <c r="K315" s="412">
        <f>+K316</f>
        <v>700000000</v>
      </c>
      <c r="L315" s="591">
        <f>+L316</f>
        <v>1539326800</v>
      </c>
      <c r="M315" s="412">
        <f>+M316</f>
        <v>58272600</v>
      </c>
      <c r="N315" s="412">
        <f>+M315+L315</f>
        <v>1597599400</v>
      </c>
      <c r="O315" s="412">
        <f>N315-K315</f>
        <v>897599400</v>
      </c>
      <c r="P315" s="487"/>
      <c r="Q315" s="694"/>
      <c r="R315" s="422"/>
    </row>
    <row r="316" spans="1:19" s="189" customFormat="1" ht="12.05" customHeight="1">
      <c r="A316" s="293"/>
      <c r="B316" s="292">
        <v>4</v>
      </c>
      <c r="C316" s="292">
        <v>1</v>
      </c>
      <c r="D316" s="292">
        <v>2</v>
      </c>
      <c r="E316" s="292" t="s">
        <v>440</v>
      </c>
      <c r="F316" s="292"/>
      <c r="G316" s="253" t="s">
        <v>971</v>
      </c>
      <c r="H316" s="253"/>
      <c r="I316" s="253"/>
      <c r="J316" s="333"/>
      <c r="K316" s="334">
        <f>'[57]TARGET MURNI DAN PERUBAHAN'!$E$148</f>
        <v>700000000</v>
      </c>
      <c r="L316" s="356">
        <f>[62]PerDinas!$N$316</f>
        <v>1539326800</v>
      </c>
      <c r="M316" s="334">
        <f>[55]Perdinas!$E$190</f>
        <v>58272600</v>
      </c>
      <c r="N316" s="361">
        <f t="shared" ref="N316:N323" si="47">M316+L316</f>
        <v>1597599400</v>
      </c>
      <c r="O316" s="334">
        <f>N316-K316</f>
        <v>897599400</v>
      </c>
      <c r="P316" s="353">
        <f>N316/K316*100</f>
        <v>228.22848571428574</v>
      </c>
      <c r="Q316" s="430"/>
      <c r="R316" s="422"/>
    </row>
    <row r="317" spans="1:19" s="189" customFormat="1" ht="12.05" customHeight="1">
      <c r="A317" s="293"/>
      <c r="B317" s="292"/>
      <c r="C317" s="292"/>
      <c r="D317" s="292"/>
      <c r="E317" s="292"/>
      <c r="F317" s="292"/>
      <c r="G317" s="253"/>
      <c r="H317" s="253"/>
      <c r="I317" s="253"/>
      <c r="J317" s="354"/>
      <c r="K317" s="355"/>
      <c r="L317" s="360"/>
      <c r="M317" s="355"/>
      <c r="N317" s="355"/>
      <c r="O317" s="355"/>
      <c r="P317" s="388"/>
      <c r="Q317" s="441"/>
      <c r="R317" s="422"/>
    </row>
    <row r="318" spans="1:19" s="189" customFormat="1" ht="12.05" customHeight="1">
      <c r="A318" s="293"/>
      <c r="B318" s="292">
        <v>4</v>
      </c>
      <c r="C318" s="292">
        <v>1</v>
      </c>
      <c r="D318" s="292">
        <v>2</v>
      </c>
      <c r="E318" s="292" t="s">
        <v>438</v>
      </c>
      <c r="F318" s="292"/>
      <c r="G318" s="253" t="s">
        <v>374</v>
      </c>
      <c r="H318" s="253"/>
      <c r="I318" s="253"/>
      <c r="J318" s="484">
        <f>J319+J322</f>
        <v>37942400</v>
      </c>
      <c r="K318" s="485">
        <f>K319+K322</f>
        <v>83047000</v>
      </c>
      <c r="L318" s="486">
        <f>L319+L322</f>
        <v>151765790</v>
      </c>
      <c r="M318" s="485">
        <f>M319+M322</f>
        <v>0</v>
      </c>
      <c r="N318" s="485">
        <f>N319+N322</f>
        <v>151765790</v>
      </c>
      <c r="O318" s="412">
        <f t="shared" ref="O318:O323" si="48">N318-K318</f>
        <v>68718790</v>
      </c>
      <c r="P318" s="487">
        <f t="shared" ref="P318:P323" si="49">N318/K318*100</f>
        <v>182.74686623237443</v>
      </c>
      <c r="Q318" s="541"/>
      <c r="R318" s="422"/>
    </row>
    <row r="319" spans="1:19" s="189" customFormat="1" ht="12.05" customHeight="1">
      <c r="A319" s="289"/>
      <c r="B319" s="292">
        <v>4</v>
      </c>
      <c r="C319" s="292">
        <v>1</v>
      </c>
      <c r="D319" s="292">
        <v>2</v>
      </c>
      <c r="E319" s="292" t="s">
        <v>438</v>
      </c>
      <c r="F319" s="292" t="s">
        <v>437</v>
      </c>
      <c r="G319" s="253" t="s">
        <v>64</v>
      </c>
      <c r="H319" s="253"/>
      <c r="I319" s="291"/>
      <c r="J319" s="333">
        <f>J320</f>
        <v>2942400</v>
      </c>
      <c r="K319" s="334">
        <f>SUM(K320:K321)</f>
        <v>28047000</v>
      </c>
      <c r="L319" s="356">
        <f>SUM(L320:L321)</f>
        <v>52769090</v>
      </c>
      <c r="M319" s="334">
        <f>SUM(M320:M321)</f>
        <v>0</v>
      </c>
      <c r="N319" s="361">
        <f>SUM(N320:N321)</f>
        <v>52769090</v>
      </c>
      <c r="O319" s="334">
        <f t="shared" si="48"/>
        <v>24722090</v>
      </c>
      <c r="P319" s="335">
        <f t="shared" si="49"/>
        <v>188.14522052269405</v>
      </c>
      <c r="Q319" s="739"/>
      <c r="R319" s="422"/>
    </row>
    <row r="320" spans="1:19" s="189" customFormat="1" ht="12.05" customHeight="1">
      <c r="A320" s="293"/>
      <c r="B320" s="292">
        <v>4</v>
      </c>
      <c r="C320" s="292">
        <v>1</v>
      </c>
      <c r="D320" s="292">
        <v>2</v>
      </c>
      <c r="E320" s="292" t="s">
        <v>438</v>
      </c>
      <c r="F320" s="292" t="s">
        <v>437</v>
      </c>
      <c r="G320" s="253" t="s">
        <v>50</v>
      </c>
      <c r="H320" s="253"/>
      <c r="I320" s="253" t="s">
        <v>185</v>
      </c>
      <c r="J320" s="354">
        <v>2942400</v>
      </c>
      <c r="K320" s="373">
        <f>'[57]TARGET MURNI DAN PERUBAHAN'!$E$152</f>
        <v>28047000</v>
      </c>
      <c r="L320" s="360">
        <f>[62]PerDinas!$N$320</f>
        <v>30466590</v>
      </c>
      <c r="M320" s="373">
        <f>[55]Perdinas!$E$194</f>
        <v>0</v>
      </c>
      <c r="N320" s="355">
        <f t="shared" si="47"/>
        <v>30466590</v>
      </c>
      <c r="O320" s="355">
        <f t="shared" si="48"/>
        <v>2419590</v>
      </c>
      <c r="P320" s="388">
        <v>0</v>
      </c>
      <c r="Q320" s="441"/>
      <c r="R320" s="545"/>
    </row>
    <row r="321" spans="1:19" s="189" customFormat="1" ht="12.05" customHeight="1">
      <c r="A321" s="293"/>
      <c r="B321" s="292"/>
      <c r="C321" s="292"/>
      <c r="D321" s="292"/>
      <c r="E321" s="292"/>
      <c r="F321" s="292"/>
      <c r="G321" s="253" t="s">
        <v>50</v>
      </c>
      <c r="H321" s="253"/>
      <c r="I321" s="253" t="s">
        <v>1053</v>
      </c>
      <c r="J321" s="354"/>
      <c r="K321" s="355"/>
      <c r="L321" s="360">
        <f>[62]PerDinas!$N$321</f>
        <v>22302500</v>
      </c>
      <c r="M321" s="355">
        <f>[55]Perdinas!$E$195</f>
        <v>0</v>
      </c>
      <c r="N321" s="355">
        <f t="shared" si="47"/>
        <v>22302500</v>
      </c>
      <c r="O321" s="355">
        <f t="shared" si="48"/>
        <v>22302500</v>
      </c>
      <c r="P321" s="388">
        <v>0</v>
      </c>
      <c r="Q321" s="441"/>
      <c r="R321" s="5871"/>
      <c r="S321" s="5872"/>
    </row>
    <row r="322" spans="1:19" s="189" customFormat="1" ht="12.05" customHeight="1">
      <c r="A322" s="293"/>
      <c r="B322" s="292">
        <v>4</v>
      </c>
      <c r="C322" s="292">
        <v>1</v>
      </c>
      <c r="D322" s="292">
        <v>2</v>
      </c>
      <c r="E322" s="292" t="s">
        <v>438</v>
      </c>
      <c r="F322" s="292" t="s">
        <v>440</v>
      </c>
      <c r="G322" s="253" t="s">
        <v>304</v>
      </c>
      <c r="H322" s="253"/>
      <c r="I322" s="253"/>
      <c r="J322" s="526">
        <f>+J323</f>
        <v>35000000</v>
      </c>
      <c r="K322" s="527">
        <f>+K323</f>
        <v>55000000</v>
      </c>
      <c r="L322" s="670">
        <f>+L323+L324</f>
        <v>98996700</v>
      </c>
      <c r="M322" s="527">
        <f>+M323+M324</f>
        <v>0</v>
      </c>
      <c r="N322" s="527">
        <f t="shared" si="47"/>
        <v>98996700</v>
      </c>
      <c r="O322" s="527">
        <f t="shared" si="48"/>
        <v>43996700</v>
      </c>
      <c r="P322" s="671">
        <f t="shared" si="49"/>
        <v>179.994</v>
      </c>
      <c r="Q322" s="739"/>
      <c r="R322" s="5871"/>
      <c r="S322" s="5872"/>
    </row>
    <row r="323" spans="1:19" s="189" customFormat="1" ht="12.05" customHeight="1">
      <c r="A323" s="293"/>
      <c r="B323" s="292"/>
      <c r="C323" s="292"/>
      <c r="D323" s="292"/>
      <c r="E323" s="292"/>
      <c r="F323" s="292"/>
      <c r="G323" s="253" t="s">
        <v>50</v>
      </c>
      <c r="H323" s="253"/>
      <c r="I323" s="253" t="s">
        <v>972</v>
      </c>
      <c r="J323" s="389">
        <v>35000000</v>
      </c>
      <c r="K323" s="390">
        <f>'[57]TARGET MURNI DAN PERUBAHAN'!$E$155</f>
        <v>55000000</v>
      </c>
      <c r="L323" s="391">
        <f>[62]PerDinas!$N$323</f>
        <v>98996700</v>
      </c>
      <c r="M323" s="390">
        <f>[55]Perdinas!$E$198</f>
        <v>0</v>
      </c>
      <c r="N323" s="415">
        <f t="shared" si="47"/>
        <v>98996700</v>
      </c>
      <c r="O323" s="357">
        <f t="shared" si="48"/>
        <v>43996700</v>
      </c>
      <c r="P323" s="358">
        <f t="shared" si="49"/>
        <v>179.994</v>
      </c>
      <c r="Q323" s="442"/>
      <c r="R323" s="5871"/>
      <c r="S323" s="5872"/>
    </row>
    <row r="324" spans="1:19" s="189" customFormat="1" ht="12.05" customHeight="1">
      <c r="A324" s="293"/>
      <c r="B324" s="292"/>
      <c r="C324" s="292"/>
      <c r="D324" s="292"/>
      <c r="E324" s="292"/>
      <c r="F324" s="292"/>
      <c r="G324" s="253"/>
      <c r="H324" s="253"/>
      <c r="I324" s="253"/>
      <c r="J324" s="354"/>
      <c r="K324" s="355"/>
      <c r="L324" s="360">
        <v>0</v>
      </c>
      <c r="M324" s="355">
        <v>0</v>
      </c>
      <c r="N324" s="355">
        <f>+M324+L324</f>
        <v>0</v>
      </c>
      <c r="O324" s="355"/>
      <c r="P324" s="388"/>
      <c r="Q324" s="441"/>
      <c r="R324" s="5871"/>
      <c r="S324" s="5872"/>
    </row>
    <row r="325" spans="1:19" s="189" customFormat="1" ht="12.05" customHeight="1">
      <c r="A325" s="293"/>
      <c r="B325" s="290">
        <v>4</v>
      </c>
      <c r="C325" s="290">
        <v>1</v>
      </c>
      <c r="D325" s="290">
        <v>4</v>
      </c>
      <c r="E325" s="290"/>
      <c r="F325" s="290"/>
      <c r="G325" s="291" t="s">
        <v>71</v>
      </c>
      <c r="H325" s="291"/>
      <c r="I325" s="291"/>
      <c r="J325" s="392">
        <f>J326+J331</f>
        <v>563230800</v>
      </c>
      <c r="K325" s="393">
        <f>K326+K331+K337</f>
        <v>686402000</v>
      </c>
      <c r="L325" s="393">
        <f>L326+L331+L337</f>
        <v>96832725</v>
      </c>
      <c r="M325" s="393">
        <f>M326+M331+M337</f>
        <v>0</v>
      </c>
      <c r="N325" s="364">
        <f>M325+L325</f>
        <v>96832725</v>
      </c>
      <c r="O325" s="395">
        <f>N325-K325</f>
        <v>-589569275</v>
      </c>
      <c r="P325" s="590">
        <f>N325/K325*100</f>
        <v>14.107290625610064</v>
      </c>
      <c r="Q325" s="444"/>
      <c r="R325" s="5871"/>
      <c r="S325" s="5872"/>
    </row>
    <row r="326" spans="1:19" s="189" customFormat="1" ht="12.05" customHeight="1">
      <c r="A326" s="293"/>
      <c r="B326" s="292">
        <v>4</v>
      </c>
      <c r="C326" s="292">
        <v>1</v>
      </c>
      <c r="D326" s="292">
        <v>4</v>
      </c>
      <c r="E326" s="292" t="s">
        <v>444</v>
      </c>
      <c r="F326" s="292"/>
      <c r="G326" s="253" t="s">
        <v>222</v>
      </c>
      <c r="H326" s="253"/>
      <c r="I326" s="253"/>
      <c r="J326" s="680">
        <f>SUM(J327:J329)</f>
        <v>0</v>
      </c>
      <c r="K326" s="681">
        <f>SUM(K327:K329)</f>
        <v>0</v>
      </c>
      <c r="L326" s="682">
        <f>SUM(L327:L329)</f>
        <v>7384300</v>
      </c>
      <c r="M326" s="512">
        <f>SUM(M327:M329)</f>
        <v>0</v>
      </c>
      <c r="N326" s="512">
        <f>SUM(N327:N329)</f>
        <v>7384300</v>
      </c>
      <c r="O326" s="412">
        <f>N326-K326</f>
        <v>7384300</v>
      </c>
      <c r="P326" s="487">
        <v>0</v>
      </c>
      <c r="Q326" s="698"/>
      <c r="R326" s="422"/>
    </row>
    <row r="327" spans="1:19" s="189" customFormat="1" ht="12.05" customHeight="1">
      <c r="A327" s="289"/>
      <c r="B327" s="292">
        <v>4</v>
      </c>
      <c r="C327" s="292">
        <v>1</v>
      </c>
      <c r="D327" s="292">
        <v>4</v>
      </c>
      <c r="E327" s="292" t="s">
        <v>441</v>
      </c>
      <c r="F327" s="292" t="s">
        <v>437</v>
      </c>
      <c r="G327" s="253" t="s">
        <v>72</v>
      </c>
      <c r="H327" s="253"/>
      <c r="I327" s="253"/>
      <c r="J327" s="389">
        <v>0</v>
      </c>
      <c r="K327" s="357">
        <v>0</v>
      </c>
      <c r="L327" s="391">
        <v>0</v>
      </c>
      <c r="M327" s="357">
        <f>[55]Perdinas!$E$201</f>
        <v>0</v>
      </c>
      <c r="N327" s="357">
        <f>M327+L327</f>
        <v>0</v>
      </c>
      <c r="O327" s="357">
        <f>N327-K327</f>
        <v>0</v>
      </c>
      <c r="P327" s="358"/>
      <c r="Q327" s="442"/>
      <c r="R327" s="422"/>
    </row>
    <row r="328" spans="1:19" s="189" customFormat="1" ht="12.05" customHeight="1">
      <c r="A328" s="289"/>
      <c r="B328" s="292">
        <v>4</v>
      </c>
      <c r="C328" s="292">
        <v>1</v>
      </c>
      <c r="D328" s="292">
        <v>4</v>
      </c>
      <c r="E328" s="292" t="s">
        <v>444</v>
      </c>
      <c r="F328" s="292" t="s">
        <v>445</v>
      </c>
      <c r="G328" s="253" t="s">
        <v>74</v>
      </c>
      <c r="H328" s="253"/>
      <c r="I328" s="253"/>
      <c r="J328" s="354">
        <v>0</v>
      </c>
      <c r="K328" s="355">
        <v>0</v>
      </c>
      <c r="L328" s="360">
        <f>[62]PerDinas!$N$328</f>
        <v>0</v>
      </c>
      <c r="M328" s="355">
        <f>[55]Perdinas!$E$203</f>
        <v>0</v>
      </c>
      <c r="N328" s="355">
        <f>M328+L328</f>
        <v>0</v>
      </c>
      <c r="O328" s="355">
        <f>N328-K328</f>
        <v>0</v>
      </c>
      <c r="P328" s="388"/>
      <c r="Q328" s="441"/>
      <c r="R328" s="422"/>
    </row>
    <row r="329" spans="1:19" s="189" customFormat="1" ht="12.05" customHeight="1">
      <c r="A329" s="293"/>
      <c r="B329" s="292">
        <v>4</v>
      </c>
      <c r="C329" s="292">
        <v>1</v>
      </c>
      <c r="D329" s="292">
        <v>4</v>
      </c>
      <c r="E329" s="292" t="s">
        <v>444</v>
      </c>
      <c r="F329" s="292" t="s">
        <v>441</v>
      </c>
      <c r="G329" s="253" t="s">
        <v>75</v>
      </c>
      <c r="H329" s="253"/>
      <c r="I329" s="253"/>
      <c r="J329" s="374">
        <v>0</v>
      </c>
      <c r="K329" s="376">
        <f>'[57]TARGET MURNI DAN PERUBAHAN'!$E$158</f>
        <v>0</v>
      </c>
      <c r="L329" s="377">
        <f>[62]PerDinas!$N$329</f>
        <v>7384300</v>
      </c>
      <c r="M329" s="376">
        <f>[55]Perdinas!$E$204</f>
        <v>0</v>
      </c>
      <c r="N329" s="369">
        <f>M329+L329</f>
        <v>7384300</v>
      </c>
      <c r="O329" s="355">
        <f>N329-K329</f>
        <v>7384300</v>
      </c>
      <c r="P329" s="388"/>
      <c r="Q329" s="448"/>
      <c r="R329" s="422"/>
    </row>
    <row r="330" spans="1:19" s="189" customFormat="1" ht="12.05" customHeight="1">
      <c r="A330" s="293"/>
      <c r="B330" s="292"/>
      <c r="C330" s="292"/>
      <c r="D330" s="292"/>
      <c r="E330" s="292"/>
      <c r="F330" s="292"/>
      <c r="G330" s="253"/>
      <c r="H330" s="253"/>
      <c r="I330" s="253"/>
      <c r="J330" s="374"/>
      <c r="K330" s="375"/>
      <c r="L330" s="377"/>
      <c r="M330" s="375"/>
      <c r="N330" s="355"/>
      <c r="O330" s="355"/>
      <c r="P330" s="388"/>
      <c r="Q330" s="448"/>
      <c r="R330" s="422"/>
    </row>
    <row r="331" spans="1:19" s="189" customFormat="1" ht="12.05" customHeight="1">
      <c r="A331" s="293"/>
      <c r="B331" s="292">
        <v>4</v>
      </c>
      <c r="C331" s="292">
        <v>1</v>
      </c>
      <c r="D331" s="292">
        <v>4</v>
      </c>
      <c r="E331" s="292" t="s">
        <v>948</v>
      </c>
      <c r="F331" s="292"/>
      <c r="G331" s="253" t="s">
        <v>321</v>
      </c>
      <c r="H331" s="253"/>
      <c r="I331" s="253"/>
      <c r="J331" s="746">
        <f>+J332</f>
        <v>563230800</v>
      </c>
      <c r="K331" s="676">
        <f>+K332</f>
        <v>271852000</v>
      </c>
      <c r="L331" s="675">
        <f>+L332</f>
        <v>89448425</v>
      </c>
      <c r="M331" s="676">
        <f>+M332</f>
        <v>0</v>
      </c>
      <c r="N331" s="492">
        <f>+N332</f>
        <v>89448425</v>
      </c>
      <c r="O331" s="492">
        <f t="shared" ref="O331:O337" si="50">N331-K331</f>
        <v>-182403575</v>
      </c>
      <c r="P331" s="487">
        <f t="shared" ref="P331:P337" si="51">N331/K331*100</f>
        <v>32.903353663022529</v>
      </c>
      <c r="Q331" s="541"/>
      <c r="R331" s="422"/>
    </row>
    <row r="332" spans="1:19" s="189" customFormat="1" ht="12.05" customHeight="1">
      <c r="A332" s="293"/>
      <c r="B332" s="292">
        <v>4</v>
      </c>
      <c r="C332" s="292">
        <v>1</v>
      </c>
      <c r="D332" s="292">
        <v>4</v>
      </c>
      <c r="E332" s="292" t="s">
        <v>948</v>
      </c>
      <c r="F332" s="292" t="s">
        <v>437</v>
      </c>
      <c r="G332" s="253" t="s">
        <v>85</v>
      </c>
      <c r="H332" s="253"/>
      <c r="I332" s="253"/>
      <c r="J332" s="333">
        <f t="shared" ref="J332:O332" si="52">SUM(J333:J336)</f>
        <v>563230800</v>
      </c>
      <c r="K332" s="334">
        <f t="shared" si="52"/>
        <v>271852000</v>
      </c>
      <c r="L332" s="356">
        <f>SUM(L333:L336)</f>
        <v>89448425</v>
      </c>
      <c r="M332" s="334">
        <f>SUM(M333:M336)</f>
        <v>0</v>
      </c>
      <c r="N332" s="361">
        <f t="shared" si="52"/>
        <v>89448425</v>
      </c>
      <c r="O332" s="334">
        <f t="shared" si="52"/>
        <v>-182403575</v>
      </c>
      <c r="P332" s="335">
        <f t="shared" si="51"/>
        <v>32.903353663022529</v>
      </c>
      <c r="Q332" s="430"/>
      <c r="R332" s="545"/>
    </row>
    <row r="333" spans="1:19" s="189" customFormat="1" ht="12.05" customHeight="1">
      <c r="A333" s="293"/>
      <c r="B333" s="292"/>
      <c r="C333" s="292"/>
      <c r="D333" s="292"/>
      <c r="E333" s="292"/>
      <c r="F333" s="292"/>
      <c r="G333" s="253" t="s">
        <v>50</v>
      </c>
      <c r="H333" s="253"/>
      <c r="I333" s="747" t="s">
        <v>274</v>
      </c>
      <c r="J333" s="354">
        <v>15780000</v>
      </c>
      <c r="K333" s="373">
        <f>'[57]TARGET MURNI DAN PERUBAHAN'!$E$159</f>
        <v>26880000</v>
      </c>
      <c r="L333" s="360">
        <f>[62]PerDinas!$N$333</f>
        <v>23863675</v>
      </c>
      <c r="M333" s="373">
        <f>[55]Perdinas!$E$205</f>
        <v>0</v>
      </c>
      <c r="N333" s="355">
        <f t="shared" ref="N333:N338" si="53">M333+L333</f>
        <v>23863675</v>
      </c>
      <c r="O333" s="355">
        <f t="shared" si="50"/>
        <v>-3016325</v>
      </c>
      <c r="P333" s="353">
        <f t="shared" si="51"/>
        <v>88.778552827380949</v>
      </c>
      <c r="Q333" s="441"/>
      <c r="R333" s="422"/>
    </row>
    <row r="334" spans="1:19" s="189" customFormat="1" ht="12.05" customHeight="1">
      <c r="A334" s="293"/>
      <c r="B334" s="292"/>
      <c r="C334" s="292"/>
      <c r="D334" s="292"/>
      <c r="E334" s="292"/>
      <c r="F334" s="292"/>
      <c r="G334" s="253" t="s">
        <v>50</v>
      </c>
      <c r="H334" s="253"/>
      <c r="I334" s="747" t="s">
        <v>145</v>
      </c>
      <c r="J334" s="748">
        <v>242580800</v>
      </c>
      <c r="K334" s="373">
        <f>'[57]TARGET MURNI DAN PERUBAHAN'!$E$160</f>
        <v>57136000</v>
      </c>
      <c r="L334" s="360">
        <f>[62]PerDinas!$N$334</f>
        <v>60896000</v>
      </c>
      <c r="M334" s="373">
        <f>[55]Perdinas!$E$206</f>
        <v>0</v>
      </c>
      <c r="N334" s="355">
        <f t="shared" si="53"/>
        <v>60896000</v>
      </c>
      <c r="O334" s="355">
        <f t="shared" si="50"/>
        <v>3760000</v>
      </c>
      <c r="P334" s="353">
        <f t="shared" si="51"/>
        <v>106.58078969476337</v>
      </c>
      <c r="Q334" s="441"/>
      <c r="R334" s="422"/>
    </row>
    <row r="335" spans="1:19" s="189" customFormat="1" ht="12.05" customHeight="1">
      <c r="A335" s="293"/>
      <c r="B335" s="292"/>
      <c r="C335" s="292"/>
      <c r="D335" s="292"/>
      <c r="E335" s="292"/>
      <c r="F335" s="292"/>
      <c r="G335" s="253" t="s">
        <v>50</v>
      </c>
      <c r="H335" s="253"/>
      <c r="I335" s="747" t="s">
        <v>973</v>
      </c>
      <c r="J335" s="354">
        <v>25000000</v>
      </c>
      <c r="K335" s="373">
        <f>'[57]TARGET MURNI DAN PERUBAHAN'!$E$161</f>
        <v>24760000</v>
      </c>
      <c r="L335" s="360">
        <f>[62]PerDinas!$N$335</f>
        <v>4688750</v>
      </c>
      <c r="M335" s="373">
        <f>[55]Perdinas!$E$207</f>
        <v>0</v>
      </c>
      <c r="N335" s="355">
        <f t="shared" si="53"/>
        <v>4688750</v>
      </c>
      <c r="O335" s="355">
        <f t="shared" si="50"/>
        <v>-20071250</v>
      </c>
      <c r="P335" s="353">
        <f t="shared" si="51"/>
        <v>18.936793214862682</v>
      </c>
      <c r="Q335" s="441"/>
      <c r="R335" s="422"/>
    </row>
    <row r="336" spans="1:19" s="245" customFormat="1" ht="12.05" customHeight="1">
      <c r="A336" s="465"/>
      <c r="B336" s="296"/>
      <c r="C336" s="296"/>
      <c r="D336" s="296"/>
      <c r="E336" s="296"/>
      <c r="F336" s="296"/>
      <c r="G336" s="297" t="s">
        <v>50</v>
      </c>
      <c r="H336" s="297"/>
      <c r="I336" s="747" t="s">
        <v>974</v>
      </c>
      <c r="J336" s="351">
        <v>279870000</v>
      </c>
      <c r="K336" s="373">
        <f>'[57]TARGET MURNI DAN PERUBAHAN'!$E$162</f>
        <v>163076000</v>
      </c>
      <c r="L336" s="360">
        <f>[62]PerDinas!$N$336</f>
        <v>0</v>
      </c>
      <c r="M336" s="373">
        <f>[55]Perdinas!$E$208</f>
        <v>0</v>
      </c>
      <c r="N336" s="352">
        <f t="shared" si="53"/>
        <v>0</v>
      </c>
      <c r="O336" s="352">
        <f t="shared" si="50"/>
        <v>-163076000</v>
      </c>
      <c r="P336" s="353">
        <f t="shared" si="51"/>
        <v>0</v>
      </c>
      <c r="Q336" s="440"/>
      <c r="R336" s="450"/>
    </row>
    <row r="337" spans="1:19" s="189" customFormat="1" ht="15.05">
      <c r="A337" s="740"/>
      <c r="B337" s="741"/>
      <c r="C337" s="741"/>
      <c r="D337" s="741"/>
      <c r="E337" s="741"/>
      <c r="F337" s="741"/>
      <c r="G337" s="297" t="s">
        <v>50</v>
      </c>
      <c r="H337" s="742"/>
      <c r="I337" s="749" t="s">
        <v>747</v>
      </c>
      <c r="J337" s="750"/>
      <c r="K337" s="751">
        <f>'[57]TARGET MURNI DAN PERUBAHAN'!$E$163</f>
        <v>414550000</v>
      </c>
      <c r="L337" s="752">
        <v>0</v>
      </c>
      <c r="M337" s="751">
        <f>[55]Perdinas!$E$209</f>
        <v>0</v>
      </c>
      <c r="N337" s="352">
        <f t="shared" si="53"/>
        <v>0</v>
      </c>
      <c r="O337" s="352">
        <f t="shared" si="50"/>
        <v>-414550000</v>
      </c>
      <c r="P337" s="353">
        <f t="shared" si="51"/>
        <v>0</v>
      </c>
      <c r="Q337" s="780"/>
      <c r="R337" s="422"/>
    </row>
    <row r="338" spans="1:19" s="189" customFormat="1" ht="12.05" customHeight="1">
      <c r="A338" s="567" t="s">
        <v>148</v>
      </c>
      <c r="B338" s="743" t="s">
        <v>58</v>
      </c>
      <c r="C338" s="743" t="s">
        <v>447</v>
      </c>
      <c r="D338" s="743" t="s">
        <v>437</v>
      </c>
      <c r="E338" s="743"/>
      <c r="F338" s="743"/>
      <c r="G338" s="744" t="s">
        <v>142</v>
      </c>
      <c r="H338" s="744"/>
      <c r="I338" s="744"/>
      <c r="J338" s="753">
        <f>+J340</f>
        <v>456900000</v>
      </c>
      <c r="K338" s="754">
        <f>+K340</f>
        <v>2177122304</v>
      </c>
      <c r="L338" s="755">
        <f>+L340</f>
        <v>583497120</v>
      </c>
      <c r="M338" s="754">
        <f>+M340</f>
        <v>1000000</v>
      </c>
      <c r="N338" s="754">
        <f t="shared" si="53"/>
        <v>584497120</v>
      </c>
      <c r="O338" s="754">
        <f>+N338-K338</f>
        <v>-1592625184</v>
      </c>
      <c r="P338" s="756">
        <f>+N338/K338*100</f>
        <v>26.847234026591458</v>
      </c>
      <c r="Q338" s="781"/>
      <c r="R338" s="422"/>
    </row>
    <row r="339" spans="1:19" s="189" customFormat="1" ht="12.05" customHeight="1">
      <c r="A339" s="706"/>
      <c r="B339" s="707"/>
      <c r="C339" s="707"/>
      <c r="D339" s="707"/>
      <c r="E339" s="707"/>
      <c r="F339" s="707"/>
      <c r="G339" s="288"/>
      <c r="H339" s="288"/>
      <c r="I339" s="288"/>
      <c r="J339" s="342"/>
      <c r="K339" s="343"/>
      <c r="L339" s="343"/>
      <c r="M339" s="343"/>
      <c r="N339" s="343"/>
      <c r="O339" s="343"/>
      <c r="P339" s="344"/>
      <c r="Q339" s="437"/>
      <c r="R339" s="422"/>
    </row>
    <row r="340" spans="1:19" s="189" customFormat="1" ht="12.05" customHeight="1">
      <c r="A340" s="293"/>
      <c r="B340" s="290">
        <v>4</v>
      </c>
      <c r="C340" s="290">
        <v>1</v>
      </c>
      <c r="D340" s="290"/>
      <c r="E340" s="290"/>
      <c r="F340" s="290"/>
      <c r="G340" s="291" t="s">
        <v>180</v>
      </c>
      <c r="H340" s="291"/>
      <c r="I340" s="291"/>
      <c r="J340" s="757">
        <f>+J342+J350</f>
        <v>456900000</v>
      </c>
      <c r="K340" s="758">
        <f>+K342+K350</f>
        <v>2177122304</v>
      </c>
      <c r="L340" s="758">
        <f>+L342+L350</f>
        <v>583497120</v>
      </c>
      <c r="M340" s="758">
        <f>+M342+M350</f>
        <v>1000000</v>
      </c>
      <c r="N340" s="758">
        <f>+M340+L340</f>
        <v>584497120</v>
      </c>
      <c r="O340" s="758">
        <f t="shared" ref="O340:O345" si="54">N340-K340</f>
        <v>-1592625184</v>
      </c>
      <c r="P340" s="690">
        <f t="shared" ref="P340:P345" si="55">N340/K340*100</f>
        <v>26.847234026591458</v>
      </c>
      <c r="Q340" s="782"/>
      <c r="R340" s="422"/>
    </row>
    <row r="341" spans="1:19" s="189" customFormat="1" ht="12.05" customHeight="1">
      <c r="A341" s="293"/>
      <c r="B341" s="290"/>
      <c r="C341" s="290"/>
      <c r="D341" s="290"/>
      <c r="E341" s="290"/>
      <c r="F341" s="290"/>
      <c r="G341" s="291"/>
      <c r="H341" s="291"/>
      <c r="I341" s="291"/>
      <c r="J341" s="387"/>
      <c r="K341" s="367"/>
      <c r="L341" s="367"/>
      <c r="M341" s="367"/>
      <c r="N341" s="367"/>
      <c r="O341" s="367"/>
      <c r="P341" s="347"/>
      <c r="Q341" s="454"/>
      <c r="R341" s="422"/>
    </row>
    <row r="342" spans="1:19" s="189" customFormat="1" ht="12.05" customHeight="1">
      <c r="A342" s="293"/>
      <c r="B342" s="290">
        <v>4</v>
      </c>
      <c r="C342" s="290">
        <v>1</v>
      </c>
      <c r="D342" s="290">
        <v>2</v>
      </c>
      <c r="E342" s="290"/>
      <c r="F342" s="290"/>
      <c r="G342" s="291" t="s">
        <v>106</v>
      </c>
      <c r="H342" s="291"/>
      <c r="I342" s="291"/>
      <c r="J342" s="759">
        <f>+J343</f>
        <v>78400000</v>
      </c>
      <c r="K342" s="760">
        <f>+K343</f>
        <v>501125000</v>
      </c>
      <c r="L342" s="760">
        <f>+L343</f>
        <v>365400000</v>
      </c>
      <c r="M342" s="760">
        <f>+M343</f>
        <v>1000000</v>
      </c>
      <c r="N342" s="760">
        <f>+M342+L342</f>
        <v>366400000</v>
      </c>
      <c r="O342" s="760">
        <f t="shared" si="54"/>
        <v>-134725000</v>
      </c>
      <c r="P342" s="761">
        <f t="shared" si="55"/>
        <v>73.11549014716887</v>
      </c>
      <c r="Q342" s="783"/>
      <c r="R342" s="422"/>
    </row>
    <row r="343" spans="1:19" s="189" customFormat="1" ht="12.05" customHeight="1">
      <c r="A343" s="293"/>
      <c r="B343" s="292">
        <v>4</v>
      </c>
      <c r="C343" s="292">
        <v>1</v>
      </c>
      <c r="D343" s="292">
        <v>2</v>
      </c>
      <c r="E343" s="292" t="s">
        <v>438</v>
      </c>
      <c r="F343" s="292"/>
      <c r="G343" s="253" t="s">
        <v>374</v>
      </c>
      <c r="H343" s="253"/>
      <c r="I343" s="253"/>
      <c r="J343" s="484">
        <f>+J347+J344</f>
        <v>78400000</v>
      </c>
      <c r="K343" s="485">
        <f>+K347+K344</f>
        <v>501125000</v>
      </c>
      <c r="L343" s="486">
        <f>+L347+L344</f>
        <v>365400000</v>
      </c>
      <c r="M343" s="485">
        <f>+M347+M344</f>
        <v>1000000</v>
      </c>
      <c r="N343" s="485">
        <f>+N347+N344</f>
        <v>366400000</v>
      </c>
      <c r="O343" s="412">
        <f t="shared" si="54"/>
        <v>-134725000</v>
      </c>
      <c r="P343" s="487">
        <f t="shared" si="55"/>
        <v>73.11549014716887</v>
      </c>
      <c r="Q343" s="541"/>
      <c r="R343" s="422"/>
    </row>
    <row r="344" spans="1:19" s="189" customFormat="1" ht="12.05" customHeight="1">
      <c r="A344" s="289"/>
      <c r="B344" s="292">
        <v>4</v>
      </c>
      <c r="C344" s="292">
        <v>1</v>
      </c>
      <c r="D344" s="292">
        <v>2</v>
      </c>
      <c r="E344" s="292" t="s">
        <v>438</v>
      </c>
      <c r="F344" s="292" t="s">
        <v>437</v>
      </c>
      <c r="G344" s="253" t="s">
        <v>64</v>
      </c>
      <c r="H344" s="253"/>
      <c r="I344" s="291"/>
      <c r="J344" s="627">
        <f>+J345</f>
        <v>10000000</v>
      </c>
      <c r="K344" s="396">
        <f>+K345</f>
        <v>152500000</v>
      </c>
      <c r="L344" s="721">
        <f>+L345</f>
        <v>44640000</v>
      </c>
      <c r="M344" s="396">
        <f>+M345</f>
        <v>1000000</v>
      </c>
      <c r="N344" s="334">
        <f>M344+L344</f>
        <v>45640000</v>
      </c>
      <c r="O344" s="334">
        <f t="shared" si="54"/>
        <v>-106860000</v>
      </c>
      <c r="P344" s="335">
        <f t="shared" si="55"/>
        <v>29.927868852459017</v>
      </c>
      <c r="Q344" s="642"/>
      <c r="R344" s="422"/>
    </row>
    <row r="345" spans="1:19" s="189" customFormat="1" ht="12.05" customHeight="1">
      <c r="A345" s="293"/>
      <c r="B345" s="292"/>
      <c r="C345" s="292"/>
      <c r="D345" s="292"/>
      <c r="E345" s="292"/>
      <c r="F345" s="292"/>
      <c r="G345" s="253" t="s">
        <v>50</v>
      </c>
      <c r="H345" s="253"/>
      <c r="I345" s="253" t="s">
        <v>143</v>
      </c>
      <c r="J345" s="354">
        <v>10000000</v>
      </c>
      <c r="K345" s="762">
        <f>'[57]TARGET MURNI DAN PERUBAHAN'!$E$167</f>
        <v>152500000</v>
      </c>
      <c r="L345" s="660">
        <f>[62]PerDinas!$N$345</f>
        <v>44640000</v>
      </c>
      <c r="M345" s="762">
        <f>[55]Perdinas!$E$213</f>
        <v>1000000</v>
      </c>
      <c r="N345" s="369">
        <f>M345+L345</f>
        <v>45640000</v>
      </c>
      <c r="O345" s="355">
        <f t="shared" si="54"/>
        <v>-106860000</v>
      </c>
      <c r="P345" s="388">
        <f t="shared" si="55"/>
        <v>29.927868852459017</v>
      </c>
      <c r="Q345" s="784"/>
      <c r="R345" s="545"/>
    </row>
    <row r="346" spans="1:19" s="189" customFormat="1" ht="12.05" customHeight="1">
      <c r="A346" s="293"/>
      <c r="B346" s="292"/>
      <c r="C346" s="292"/>
      <c r="D346" s="292"/>
      <c r="E346" s="292"/>
      <c r="F346" s="292"/>
      <c r="G346" s="253"/>
      <c r="H346" s="253"/>
      <c r="I346" s="253"/>
      <c r="J346" s="354"/>
      <c r="K346" s="355"/>
      <c r="L346" s="360"/>
      <c r="M346" s="355"/>
      <c r="N346" s="355"/>
      <c r="O346" s="355"/>
      <c r="P346" s="388"/>
      <c r="Q346" s="441"/>
      <c r="R346" s="422"/>
    </row>
    <row r="347" spans="1:19" s="189" customFormat="1" ht="12.05" customHeight="1">
      <c r="A347" s="293"/>
      <c r="B347" s="292">
        <v>4</v>
      </c>
      <c r="C347" s="292">
        <v>1</v>
      </c>
      <c r="D347" s="292">
        <v>2</v>
      </c>
      <c r="E347" s="292" t="s">
        <v>438</v>
      </c>
      <c r="F347" s="292" t="s">
        <v>440</v>
      </c>
      <c r="G347" s="253" t="s">
        <v>304</v>
      </c>
      <c r="H347" s="253"/>
      <c r="I347" s="291"/>
      <c r="J347" s="763">
        <f>+J348</f>
        <v>68400000</v>
      </c>
      <c r="K347" s="529">
        <f>+K348</f>
        <v>348625000</v>
      </c>
      <c r="L347" s="764">
        <f>+L348</f>
        <v>320760000</v>
      </c>
      <c r="M347" s="529">
        <f>M348</f>
        <v>0</v>
      </c>
      <c r="N347" s="527">
        <f>M347+L347</f>
        <v>320760000</v>
      </c>
      <c r="O347" s="527">
        <f t="shared" ref="O347:O355" si="56">N347-K347</f>
        <v>-27865000</v>
      </c>
      <c r="P347" s="671">
        <f>N347/K347*100</f>
        <v>92.007171029042667</v>
      </c>
      <c r="Q347" s="785"/>
      <c r="R347" s="422"/>
    </row>
    <row r="348" spans="1:19" s="189" customFormat="1" ht="12.05" customHeight="1">
      <c r="A348" s="293"/>
      <c r="B348" s="292"/>
      <c r="C348" s="292"/>
      <c r="D348" s="292"/>
      <c r="E348" s="292"/>
      <c r="F348" s="292"/>
      <c r="G348" s="253" t="s">
        <v>50</v>
      </c>
      <c r="H348" s="253"/>
      <c r="I348" s="253" t="s">
        <v>144</v>
      </c>
      <c r="J348" s="389">
        <v>68400000</v>
      </c>
      <c r="K348" s="390">
        <f>'[57]TARGET MURNI DAN PERUBAHAN'!$E$170</f>
        <v>348625000</v>
      </c>
      <c r="L348" s="391">
        <f>[62]PerDinas!$N$348</f>
        <v>320760000</v>
      </c>
      <c r="M348" s="390">
        <f>[55]Perdinas!$E$216</f>
        <v>0</v>
      </c>
      <c r="N348" s="415">
        <f>M348+L348</f>
        <v>320760000</v>
      </c>
      <c r="O348" s="357">
        <f t="shared" si="56"/>
        <v>-27865000</v>
      </c>
      <c r="P348" s="358">
        <f>N348/K348*100</f>
        <v>92.007171029042667</v>
      </c>
      <c r="Q348" s="642"/>
      <c r="R348" s="545"/>
      <c r="S348" s="786"/>
    </row>
    <row r="349" spans="1:19" s="189" customFormat="1" ht="12.05" customHeight="1">
      <c r="A349" s="293"/>
      <c r="B349" s="292"/>
      <c r="C349" s="292"/>
      <c r="D349" s="292"/>
      <c r="E349" s="292"/>
      <c r="F349" s="292"/>
      <c r="G349" s="253"/>
      <c r="H349" s="253"/>
      <c r="I349" s="253"/>
      <c r="J349" s="354"/>
      <c r="K349" s="355"/>
      <c r="L349" s="360"/>
      <c r="M349" s="355"/>
      <c r="N349" s="355"/>
      <c r="O349" s="355"/>
      <c r="P349" s="388"/>
      <c r="Q349" s="441"/>
      <c r="R349" s="422"/>
      <c r="S349" s="786"/>
    </row>
    <row r="350" spans="1:19" s="189" customFormat="1" ht="12.05" customHeight="1">
      <c r="A350" s="293"/>
      <c r="B350" s="290">
        <v>4</v>
      </c>
      <c r="C350" s="290">
        <v>1</v>
      </c>
      <c r="D350" s="290">
        <v>4</v>
      </c>
      <c r="E350" s="290"/>
      <c r="F350" s="290"/>
      <c r="G350" s="291" t="s">
        <v>71</v>
      </c>
      <c r="H350" s="291"/>
      <c r="I350" s="291"/>
      <c r="J350" s="392">
        <f>J351+J356</f>
        <v>378500000</v>
      </c>
      <c r="K350" s="393">
        <f>K351+K356</f>
        <v>1675997304</v>
      </c>
      <c r="L350" s="394">
        <f>L351+L355+L356</f>
        <v>218097120</v>
      </c>
      <c r="M350" s="393">
        <f>SUM(M356,M355,M351)</f>
        <v>0</v>
      </c>
      <c r="N350" s="393">
        <f>SUM(N357,N355,N354)</f>
        <v>218097120</v>
      </c>
      <c r="O350" s="393">
        <f>SUM(O357,O355,O354)</f>
        <v>-1457900184</v>
      </c>
      <c r="P350" s="765">
        <f>N350/K350*100</f>
        <v>13.012975586504883</v>
      </c>
      <c r="Q350" s="444"/>
      <c r="R350" s="422"/>
    </row>
    <row r="351" spans="1:19" s="189" customFormat="1" ht="12.05" customHeight="1">
      <c r="A351" s="293"/>
      <c r="B351" s="292">
        <v>4</v>
      </c>
      <c r="C351" s="292">
        <v>1</v>
      </c>
      <c r="D351" s="292">
        <v>4</v>
      </c>
      <c r="E351" s="292" t="s">
        <v>444</v>
      </c>
      <c r="F351" s="292"/>
      <c r="G351" s="253" t="s">
        <v>222</v>
      </c>
      <c r="H351" s="253"/>
      <c r="I351" s="253"/>
      <c r="J351" s="680">
        <v>0</v>
      </c>
      <c r="K351" s="681">
        <v>0</v>
      </c>
      <c r="L351" s="682">
        <f>SUM(L352:L354)</f>
        <v>8407800</v>
      </c>
      <c r="M351" s="681">
        <f>SUM(M352:M354)</f>
        <v>0</v>
      </c>
      <c r="N351" s="529">
        <f>+M351+L351</f>
        <v>8407800</v>
      </c>
      <c r="O351" s="529">
        <f t="shared" si="56"/>
        <v>8407800</v>
      </c>
      <c r="P351" s="478">
        <v>0</v>
      </c>
      <c r="Q351" s="698"/>
      <c r="R351" s="422"/>
    </row>
    <row r="352" spans="1:19" s="189" customFormat="1" ht="12.05" customHeight="1">
      <c r="A352" s="295"/>
      <c r="B352" s="296">
        <v>4</v>
      </c>
      <c r="C352" s="296">
        <v>1</v>
      </c>
      <c r="D352" s="296">
        <v>4</v>
      </c>
      <c r="E352" s="296" t="s">
        <v>444</v>
      </c>
      <c r="F352" s="296" t="s">
        <v>440</v>
      </c>
      <c r="G352" s="297" t="s">
        <v>73</v>
      </c>
      <c r="H352" s="297"/>
      <c r="I352" s="297"/>
      <c r="J352" s="628">
        <v>0</v>
      </c>
      <c r="K352" s="497">
        <v>0</v>
      </c>
      <c r="L352" s="522">
        <v>0</v>
      </c>
      <c r="M352" s="497">
        <f>[55]Perdinas!$E$220</f>
        <v>0</v>
      </c>
      <c r="N352" s="497">
        <f>M352+L352</f>
        <v>0</v>
      </c>
      <c r="O352" s="497">
        <f t="shared" si="56"/>
        <v>0</v>
      </c>
      <c r="P352" s="498"/>
      <c r="Q352" s="787"/>
      <c r="R352" s="422"/>
    </row>
    <row r="353" spans="1:18" s="189" customFormat="1" ht="12.05" customHeight="1">
      <c r="A353" s="286"/>
      <c r="B353" s="287">
        <v>4</v>
      </c>
      <c r="C353" s="287">
        <v>1</v>
      </c>
      <c r="D353" s="287">
        <v>4</v>
      </c>
      <c r="E353" s="287" t="s">
        <v>444</v>
      </c>
      <c r="F353" s="287" t="s">
        <v>445</v>
      </c>
      <c r="G353" s="410" t="s">
        <v>74</v>
      </c>
      <c r="H353" s="410"/>
      <c r="I353" s="410"/>
      <c r="J353" s="354">
        <v>0</v>
      </c>
      <c r="K353" s="355">
        <v>0</v>
      </c>
      <c r="L353" s="360">
        <v>0</v>
      </c>
      <c r="M353" s="355">
        <f>[55]Perdinas!$E$221</f>
        <v>0</v>
      </c>
      <c r="N353" s="355">
        <f>M353+L353</f>
        <v>0</v>
      </c>
      <c r="O353" s="355">
        <f t="shared" si="56"/>
        <v>0</v>
      </c>
      <c r="P353" s="388"/>
      <c r="Q353" s="441"/>
      <c r="R353" s="422"/>
    </row>
    <row r="354" spans="1:18" s="189" customFormat="1" ht="12.05" customHeight="1">
      <c r="A354" s="293"/>
      <c r="B354" s="292">
        <v>4</v>
      </c>
      <c r="C354" s="292">
        <v>1</v>
      </c>
      <c r="D354" s="292">
        <v>4</v>
      </c>
      <c r="E354" s="292" t="s">
        <v>444</v>
      </c>
      <c r="F354" s="292" t="s">
        <v>441</v>
      </c>
      <c r="G354" s="253" t="s">
        <v>75</v>
      </c>
      <c r="H354" s="253"/>
      <c r="I354" s="253"/>
      <c r="J354" s="374">
        <v>0</v>
      </c>
      <c r="K354" s="375">
        <f>'[57]TARGET MURNI DAN PERUBAHAN'!$E$173</f>
        <v>0</v>
      </c>
      <c r="L354" s="360">
        <f>[62]PerDinas!$N$354</f>
        <v>8407800</v>
      </c>
      <c r="M354" s="375">
        <f>[55]Perdinas!$E$222</f>
        <v>0</v>
      </c>
      <c r="N354" s="369">
        <f>M354+L354</f>
        <v>8407800</v>
      </c>
      <c r="O354" s="355">
        <f t="shared" si="56"/>
        <v>8407800</v>
      </c>
      <c r="P354" s="388">
        <v>0</v>
      </c>
      <c r="Q354" s="448"/>
      <c r="R354" s="422"/>
    </row>
    <row r="355" spans="1:18" s="189" customFormat="1" ht="12.05" customHeight="1">
      <c r="A355" s="293"/>
      <c r="B355" s="292" t="s">
        <v>443</v>
      </c>
      <c r="C355" s="292" t="s">
        <v>58</v>
      </c>
      <c r="D355" s="292" t="s">
        <v>443</v>
      </c>
      <c r="E355" s="292" t="s">
        <v>441</v>
      </c>
      <c r="F355" s="292" t="s">
        <v>437</v>
      </c>
      <c r="G355" s="253" t="s">
        <v>975</v>
      </c>
      <c r="H355" s="253"/>
      <c r="I355" s="253"/>
      <c r="J355" s="374">
        <v>0</v>
      </c>
      <c r="K355" s="373">
        <f>'[57]TARGET MURNI DAN PERUBAHAN'!$E$174</f>
        <v>0</v>
      </c>
      <c r="L355" s="360">
        <f>[62]PerDinas!$N$355</f>
        <v>0</v>
      </c>
      <c r="M355" s="373">
        <f>[55]Perdinas!$E$219</f>
        <v>0</v>
      </c>
      <c r="N355" s="355">
        <f>M355+L355</f>
        <v>0</v>
      </c>
      <c r="O355" s="355">
        <f t="shared" si="56"/>
        <v>0</v>
      </c>
      <c r="P355" s="388"/>
      <c r="Q355" s="784"/>
      <c r="R355" s="545"/>
    </row>
    <row r="356" spans="1:18" s="189" customFormat="1" ht="12.05" customHeight="1">
      <c r="A356" s="293"/>
      <c r="B356" s="292">
        <v>4</v>
      </c>
      <c r="C356" s="292">
        <v>1</v>
      </c>
      <c r="D356" s="292">
        <v>4</v>
      </c>
      <c r="E356" s="292" t="s">
        <v>948</v>
      </c>
      <c r="F356" s="292"/>
      <c r="G356" s="291" t="s">
        <v>321</v>
      </c>
      <c r="H356" s="291"/>
      <c r="I356" s="291"/>
      <c r="J356" s="475">
        <f>+J357</f>
        <v>378500000</v>
      </c>
      <c r="K356" s="476">
        <f>+K357</f>
        <v>1675997304</v>
      </c>
      <c r="L356" s="766">
        <f>+L357</f>
        <v>209689320</v>
      </c>
      <c r="M356" s="476">
        <f>+M357</f>
        <v>0</v>
      </c>
      <c r="N356" s="477">
        <f>+M356+L356</f>
        <v>209689320</v>
      </c>
      <c r="O356" s="477">
        <f t="shared" ref="O356:O361" si="57">N356-K356</f>
        <v>-1466307984</v>
      </c>
      <c r="P356" s="478">
        <f t="shared" ref="P356:P361" si="58">N356/K356*100</f>
        <v>12.511316068322268</v>
      </c>
      <c r="Q356" s="644"/>
      <c r="R356" s="422"/>
    </row>
    <row r="357" spans="1:18" s="189" customFormat="1" ht="12.05" customHeight="1">
      <c r="A357" s="293"/>
      <c r="B357" s="292">
        <v>4</v>
      </c>
      <c r="C357" s="292">
        <v>1</v>
      </c>
      <c r="D357" s="292">
        <v>4</v>
      </c>
      <c r="E357" s="292" t="s">
        <v>948</v>
      </c>
      <c r="F357" s="292" t="s">
        <v>437</v>
      </c>
      <c r="G357" s="291" t="s">
        <v>85</v>
      </c>
      <c r="H357" s="291"/>
      <c r="I357" s="291"/>
      <c r="J357" s="767">
        <f>SUM(J359:J361)</f>
        <v>378500000</v>
      </c>
      <c r="K357" s="768">
        <f>SUM(K358:K361)</f>
        <v>1675997304</v>
      </c>
      <c r="L357" s="769">
        <f>SUM(L358:L361)</f>
        <v>209689320</v>
      </c>
      <c r="M357" s="768">
        <f>SUM(M358:M361)</f>
        <v>0</v>
      </c>
      <c r="N357" s="770">
        <f>SUM(N358:N361)</f>
        <v>209689320</v>
      </c>
      <c r="O357" s="768">
        <f t="shared" si="57"/>
        <v>-1466307984</v>
      </c>
      <c r="P357" s="498">
        <f t="shared" si="58"/>
        <v>12.511316068322268</v>
      </c>
      <c r="Q357" s="787"/>
      <c r="R357" s="422"/>
    </row>
    <row r="358" spans="1:18" s="189" customFormat="1" ht="12.05" customHeight="1">
      <c r="A358" s="293"/>
      <c r="B358" s="292"/>
      <c r="C358" s="292"/>
      <c r="D358" s="292"/>
      <c r="E358" s="292"/>
      <c r="F358" s="292"/>
      <c r="G358" s="253" t="s">
        <v>50</v>
      </c>
      <c r="H358" s="253"/>
      <c r="I358" s="253" t="s">
        <v>85</v>
      </c>
      <c r="J358" s="354">
        <v>0</v>
      </c>
      <c r="K358" s="373">
        <f>'[57]TARGET MURNI DAN PERUBAHAN'!$E$175</f>
        <v>26286000</v>
      </c>
      <c r="L358" s="360">
        <f>[62]PerDinas!$N$358</f>
        <v>24000000</v>
      </c>
      <c r="M358" s="373">
        <f>[55]Perdinas!$E$223</f>
        <v>0</v>
      </c>
      <c r="N358" s="771">
        <f>M358+L358</f>
        <v>24000000</v>
      </c>
      <c r="O358" s="355"/>
      <c r="P358" s="388"/>
      <c r="Q358" s="441"/>
      <c r="R358" s="422"/>
    </row>
    <row r="359" spans="1:18" s="189" customFormat="1" ht="12.05" customHeight="1">
      <c r="A359" s="293"/>
      <c r="B359" s="292"/>
      <c r="C359" s="292"/>
      <c r="D359" s="292"/>
      <c r="E359" s="292"/>
      <c r="F359" s="292"/>
      <c r="G359" s="253" t="s">
        <v>50</v>
      </c>
      <c r="H359" s="253"/>
      <c r="I359" s="772" t="s">
        <v>976</v>
      </c>
      <c r="J359" s="354">
        <v>3500000</v>
      </c>
      <c r="K359" s="373">
        <f>'[57]TARGET MURNI DAN PERUBAHAN'!$E$176</f>
        <v>1477514304</v>
      </c>
      <c r="L359" s="360">
        <f>[62]PerDinas!$N$359</f>
        <v>0</v>
      </c>
      <c r="M359" s="373">
        <v>0</v>
      </c>
      <c r="N359" s="355">
        <f>M359+L359</f>
        <v>0</v>
      </c>
      <c r="O359" s="355">
        <f>N359-K359</f>
        <v>-1477514304</v>
      </c>
      <c r="P359" s="388"/>
      <c r="Q359" s="441"/>
      <c r="R359" s="422"/>
    </row>
    <row r="360" spans="1:18" s="189" customFormat="1" ht="12.05" customHeight="1">
      <c r="A360" s="293"/>
      <c r="B360" s="292"/>
      <c r="C360" s="292"/>
      <c r="D360" s="292"/>
      <c r="E360" s="292"/>
      <c r="F360" s="292"/>
      <c r="G360" s="253" t="s">
        <v>50</v>
      </c>
      <c r="H360" s="253"/>
      <c r="I360" s="253" t="s">
        <v>977</v>
      </c>
      <c r="J360" s="354">
        <v>187000000</v>
      </c>
      <c r="K360" s="373">
        <f>'[57]TARGET MURNI DAN PERUBAHAN'!$E$177</f>
        <v>122639000</v>
      </c>
      <c r="L360" s="360">
        <f>[62]PerDinas!$N$360</f>
        <v>95070000</v>
      </c>
      <c r="M360" s="373">
        <f>[55]Perdinas!$E$224</f>
        <v>0</v>
      </c>
      <c r="N360" s="771">
        <f>M360+L360</f>
        <v>95070000</v>
      </c>
      <c r="O360" s="355">
        <f t="shared" si="57"/>
        <v>-27569000</v>
      </c>
      <c r="P360" s="388">
        <f t="shared" si="58"/>
        <v>77.520201567201298</v>
      </c>
      <c r="Q360" s="441"/>
      <c r="R360" s="422"/>
    </row>
    <row r="361" spans="1:18" s="189" customFormat="1" ht="12.05" customHeight="1">
      <c r="A361" s="465"/>
      <c r="B361" s="296"/>
      <c r="C361" s="296"/>
      <c r="D361" s="296"/>
      <c r="E361" s="296"/>
      <c r="F361" s="296"/>
      <c r="G361" s="297" t="s">
        <v>50</v>
      </c>
      <c r="H361" s="297"/>
      <c r="I361" s="253" t="s">
        <v>147</v>
      </c>
      <c r="J361" s="354">
        <v>188000000</v>
      </c>
      <c r="K361" s="373">
        <f>'[57]TARGET MURNI DAN PERUBAHAN'!$E$178</f>
        <v>49558000</v>
      </c>
      <c r="L361" s="360">
        <f>[62]PerDinas!$N$361</f>
        <v>90619320</v>
      </c>
      <c r="M361" s="373">
        <f>[55]Perdinas!$E$225</f>
        <v>0</v>
      </c>
      <c r="N361" s="771">
        <f>M361+L361</f>
        <v>90619320</v>
      </c>
      <c r="O361" s="355">
        <f t="shared" si="57"/>
        <v>41061320</v>
      </c>
      <c r="P361" s="388">
        <f t="shared" si="58"/>
        <v>182.8550788974535</v>
      </c>
      <c r="Q361" s="441"/>
      <c r="R361" s="422"/>
    </row>
    <row r="362" spans="1:18" s="245" customFormat="1" ht="12.05" customHeight="1">
      <c r="A362" s="745"/>
      <c r="B362" s="469"/>
      <c r="C362" s="469"/>
      <c r="D362" s="469"/>
      <c r="E362" s="469"/>
      <c r="F362" s="469"/>
      <c r="J362" s="482"/>
      <c r="K362" s="404"/>
      <c r="L362" s="673"/>
      <c r="M362" s="404"/>
      <c r="N362" s="404"/>
      <c r="O362" s="404"/>
      <c r="P362" s="483"/>
      <c r="Q362" s="456"/>
      <c r="R362" s="450"/>
    </row>
    <row r="363" spans="1:18" s="244" customFormat="1" ht="12.05" customHeight="1">
      <c r="A363" s="283" t="s">
        <v>150</v>
      </c>
      <c r="B363" s="284" t="s">
        <v>58</v>
      </c>
      <c r="C363" s="284" t="s">
        <v>978</v>
      </c>
      <c r="D363" s="284" t="s">
        <v>437</v>
      </c>
      <c r="E363" s="284"/>
      <c r="F363" s="284"/>
      <c r="G363" s="298" t="s">
        <v>753</v>
      </c>
      <c r="H363" s="298"/>
      <c r="I363" s="298"/>
      <c r="J363" s="336">
        <f>+J365</f>
        <v>70850000</v>
      </c>
      <c r="K363" s="337">
        <f>+K365</f>
        <v>80741600</v>
      </c>
      <c r="L363" s="337">
        <f>+L365</f>
        <v>246459170.76999998</v>
      </c>
      <c r="M363" s="337">
        <f>+M365</f>
        <v>1200000</v>
      </c>
      <c r="N363" s="337">
        <f>M363+L363</f>
        <v>247659170.76999998</v>
      </c>
      <c r="O363" s="337">
        <f>+N363-K363</f>
        <v>166917570.76999998</v>
      </c>
      <c r="P363" s="338">
        <f>+N363/K363*100</f>
        <v>306.73057106869317</v>
      </c>
      <c r="Q363" s="432"/>
      <c r="R363" s="788">
        <f>N363-[57]Perdinas!$Q$227</f>
        <v>-2386198.3200000226</v>
      </c>
    </row>
    <row r="364" spans="1:18" s="189" customFormat="1" ht="12.05" customHeight="1">
      <c r="A364" s="706"/>
      <c r="B364" s="707"/>
      <c r="C364" s="707"/>
      <c r="D364" s="707"/>
      <c r="E364" s="707"/>
      <c r="F364" s="707"/>
      <c r="G364" s="288"/>
      <c r="H364" s="288"/>
      <c r="I364" s="288"/>
      <c r="J364" s="342"/>
      <c r="K364" s="343"/>
      <c r="L364" s="343"/>
      <c r="M364" s="343"/>
      <c r="N364" s="343"/>
      <c r="O364" s="343"/>
      <c r="P364" s="344"/>
      <c r="Q364" s="437"/>
      <c r="R364" s="422"/>
    </row>
    <row r="365" spans="1:18" s="189" customFormat="1" ht="12.05" customHeight="1">
      <c r="A365" s="293"/>
      <c r="B365" s="290">
        <v>4</v>
      </c>
      <c r="C365" s="290">
        <v>1</v>
      </c>
      <c r="D365" s="290"/>
      <c r="E365" s="290"/>
      <c r="F365" s="290"/>
      <c r="G365" s="291" t="s">
        <v>180</v>
      </c>
      <c r="H365" s="291"/>
      <c r="I365" s="291"/>
      <c r="J365" s="620">
        <f>+J367+J377</f>
        <v>70850000</v>
      </c>
      <c r="K365" s="621">
        <f>+K367+K377</f>
        <v>80741600</v>
      </c>
      <c r="L365" s="621">
        <f>+L367+L377</f>
        <v>246459170.76999998</v>
      </c>
      <c r="M365" s="621">
        <f>+M367+M377</f>
        <v>1200000</v>
      </c>
      <c r="N365" s="621">
        <f>+M365+L365</f>
        <v>247659170.76999998</v>
      </c>
      <c r="O365" s="621">
        <f t="shared" ref="O365:O372" si="59">N365-K365</f>
        <v>166917570.76999998</v>
      </c>
      <c r="P365" s="596">
        <f t="shared" ref="P365:P372" si="60">N365/K365*100</f>
        <v>306.73057106869317</v>
      </c>
      <c r="Q365" s="648"/>
      <c r="R365" s="422"/>
    </row>
    <row r="366" spans="1:18" s="189" customFormat="1" ht="12.05" customHeight="1">
      <c r="A366" s="293"/>
      <c r="B366" s="290"/>
      <c r="C366" s="290"/>
      <c r="D366" s="290"/>
      <c r="E366" s="290"/>
      <c r="F366" s="290"/>
      <c r="G366" s="291"/>
      <c r="H366" s="291"/>
      <c r="I366" s="291"/>
      <c r="J366" s="387"/>
      <c r="K366" s="367"/>
      <c r="L366" s="367"/>
      <c r="M366" s="367"/>
      <c r="N366" s="367"/>
      <c r="O366" s="367"/>
      <c r="P366" s="347"/>
      <c r="Q366" s="437"/>
      <c r="R366" s="422"/>
    </row>
    <row r="367" spans="1:18" s="189" customFormat="1" ht="12.05" customHeight="1">
      <c r="A367" s="293"/>
      <c r="B367" s="290">
        <v>4</v>
      </c>
      <c r="C367" s="290">
        <v>1</v>
      </c>
      <c r="D367" s="290">
        <v>2</v>
      </c>
      <c r="E367" s="290"/>
      <c r="F367" s="290"/>
      <c r="G367" s="291" t="s">
        <v>106</v>
      </c>
      <c r="H367" s="291"/>
      <c r="I367" s="291"/>
      <c r="J367" s="348">
        <f>+J369</f>
        <v>7000000</v>
      </c>
      <c r="K367" s="349">
        <f>+K369</f>
        <v>55000000</v>
      </c>
      <c r="L367" s="589">
        <f>+L369</f>
        <v>39129200</v>
      </c>
      <c r="M367" s="349">
        <f>+M369</f>
        <v>1200000</v>
      </c>
      <c r="N367" s="349">
        <f>+M367+L367</f>
        <v>40329200</v>
      </c>
      <c r="O367" s="349">
        <f t="shared" si="59"/>
        <v>-14670800</v>
      </c>
      <c r="P367" s="350">
        <f t="shared" si="60"/>
        <v>73.325818181818178</v>
      </c>
      <c r="Q367" s="439"/>
      <c r="R367" s="422"/>
    </row>
    <row r="368" spans="1:18" s="189" customFormat="1" ht="12.05" customHeight="1">
      <c r="A368" s="293"/>
      <c r="B368" s="292"/>
      <c r="C368" s="292"/>
      <c r="D368" s="292"/>
      <c r="E368" s="292"/>
      <c r="F368" s="292"/>
      <c r="G368" s="253"/>
      <c r="H368" s="253"/>
      <c r="I368" s="253"/>
      <c r="J368" s="374"/>
      <c r="K368" s="375"/>
      <c r="L368" s="377"/>
      <c r="M368" s="375"/>
      <c r="N368" s="375"/>
      <c r="O368" s="375"/>
      <c r="P368" s="600"/>
      <c r="Q368" s="448"/>
      <c r="R368" s="422"/>
    </row>
    <row r="369" spans="1:19" s="189" customFormat="1" ht="15.05">
      <c r="A369" s="293"/>
      <c r="B369" s="292">
        <v>4</v>
      </c>
      <c r="C369" s="292">
        <v>1</v>
      </c>
      <c r="D369" s="292">
        <v>2</v>
      </c>
      <c r="E369" s="292" t="s">
        <v>438</v>
      </c>
      <c r="F369" s="292"/>
      <c r="G369" s="253" t="s">
        <v>374</v>
      </c>
      <c r="H369" s="253"/>
      <c r="I369" s="297"/>
      <c r="J369" s="494">
        <f>+J374+J370</f>
        <v>7000000</v>
      </c>
      <c r="K369" s="773">
        <f>K370+K374</f>
        <v>55000000</v>
      </c>
      <c r="L369" s="774">
        <f>L370+L374</f>
        <v>39129200</v>
      </c>
      <c r="M369" s="773">
        <f>M370+M374</f>
        <v>1200000</v>
      </c>
      <c r="N369" s="775">
        <f>+M369+L369</f>
        <v>40329200</v>
      </c>
      <c r="O369" s="775">
        <f t="shared" si="59"/>
        <v>-14670800</v>
      </c>
      <c r="P369" s="776">
        <f t="shared" si="60"/>
        <v>73.325818181818178</v>
      </c>
      <c r="Q369" s="789"/>
      <c r="R369" s="422"/>
    </row>
    <row r="370" spans="1:19" s="190" customFormat="1" ht="12.05" customHeight="1">
      <c r="A370" s="293"/>
      <c r="B370" s="290">
        <v>4</v>
      </c>
      <c r="C370" s="290">
        <v>1</v>
      </c>
      <c r="D370" s="290">
        <v>2</v>
      </c>
      <c r="E370" s="290" t="s">
        <v>438</v>
      </c>
      <c r="F370" s="290" t="s">
        <v>437</v>
      </c>
      <c r="G370" s="291" t="s">
        <v>64</v>
      </c>
      <c r="H370" s="291"/>
      <c r="I370" s="291"/>
      <c r="J370" s="397">
        <f>SUM(J371:J372)</f>
        <v>0</v>
      </c>
      <c r="K370" s="398">
        <f>SUM(K371:K372)</f>
        <v>51500000</v>
      </c>
      <c r="L370" s="684">
        <f>SUM(L371:L372)</f>
        <v>36379200</v>
      </c>
      <c r="M370" s="398">
        <f>SUM(M371:M372)</f>
        <v>1200000</v>
      </c>
      <c r="N370" s="777">
        <f>M370+L370</f>
        <v>37579200</v>
      </c>
      <c r="O370" s="367">
        <f t="shared" si="59"/>
        <v>-13920800</v>
      </c>
      <c r="P370" s="399">
        <f t="shared" si="60"/>
        <v>72.969320388349516</v>
      </c>
      <c r="Q370" s="790"/>
      <c r="R370" s="554">
        <v>35739000</v>
      </c>
      <c r="S370" s="786">
        <f>R370-N370</f>
        <v>-1840200</v>
      </c>
    </row>
    <row r="371" spans="1:19" s="189" customFormat="1" ht="12.05" customHeight="1">
      <c r="A371" s="293"/>
      <c r="B371" s="292"/>
      <c r="C371" s="292"/>
      <c r="D371" s="292"/>
      <c r="E371" s="292"/>
      <c r="F371" s="292"/>
      <c r="G371" s="253" t="s">
        <v>50</v>
      </c>
      <c r="H371" s="253"/>
      <c r="I371" s="253" t="s">
        <v>498</v>
      </c>
      <c r="J371" s="374"/>
      <c r="K371" s="376">
        <f>'[57]TARGET MURNI DAN PERUBAHAN'!$E$183</f>
        <v>16500000</v>
      </c>
      <c r="L371" s="377">
        <f>[62]PerDinas!$N$371</f>
        <v>6600000</v>
      </c>
      <c r="M371" s="376">
        <f>[55]Perdinas!$E$230</f>
        <v>0</v>
      </c>
      <c r="N371" s="346">
        <f>M371+L371</f>
        <v>6600000</v>
      </c>
      <c r="O371" s="346">
        <f t="shared" si="59"/>
        <v>-9900000</v>
      </c>
      <c r="P371" s="347">
        <f t="shared" si="60"/>
        <v>40</v>
      </c>
      <c r="Q371" s="791"/>
      <c r="R371" s="431"/>
    </row>
    <row r="372" spans="1:19" s="189" customFormat="1" ht="12.05" customHeight="1">
      <c r="A372" s="293"/>
      <c r="B372" s="292"/>
      <c r="C372" s="292"/>
      <c r="D372" s="292"/>
      <c r="E372" s="292"/>
      <c r="F372" s="292"/>
      <c r="G372" s="253" t="s">
        <v>50</v>
      </c>
      <c r="H372" s="253"/>
      <c r="I372" s="253" t="s">
        <v>754</v>
      </c>
      <c r="J372" s="374"/>
      <c r="K372" s="376">
        <f>'[57]TARGET MURNI DAN PERUBAHAN'!$E$184</f>
        <v>35000000</v>
      </c>
      <c r="L372" s="377">
        <f>[62]PerDinas!$N$372</f>
        <v>29779200</v>
      </c>
      <c r="M372" s="376">
        <f>[55]Perdinas!$E$231</f>
        <v>1200000</v>
      </c>
      <c r="N372" s="346">
        <f>M372+L372</f>
        <v>30979200</v>
      </c>
      <c r="O372" s="346">
        <f t="shared" si="59"/>
        <v>-4020800</v>
      </c>
      <c r="P372" s="347">
        <f t="shared" si="60"/>
        <v>88.512</v>
      </c>
      <c r="Q372" s="731"/>
      <c r="R372" s="422"/>
    </row>
    <row r="373" spans="1:19" s="189" customFormat="1" ht="12.05" customHeight="1">
      <c r="A373" s="293"/>
      <c r="B373" s="292"/>
      <c r="C373" s="292"/>
      <c r="D373" s="292"/>
      <c r="E373" s="292"/>
      <c r="F373" s="292"/>
      <c r="G373" s="253"/>
      <c r="H373" s="253"/>
      <c r="I373" s="253"/>
      <c r="J373" s="374"/>
      <c r="K373" s="375"/>
      <c r="L373" s="377"/>
      <c r="M373" s="375"/>
      <c r="N373" s="346"/>
      <c r="O373" s="346"/>
      <c r="P373" s="347"/>
      <c r="Q373" s="731"/>
      <c r="R373" s="422"/>
    </row>
    <row r="374" spans="1:19" s="190" customFormat="1" ht="12.05" customHeight="1">
      <c r="A374" s="293"/>
      <c r="B374" s="290">
        <v>4</v>
      </c>
      <c r="C374" s="290">
        <v>1</v>
      </c>
      <c r="D374" s="290">
        <v>2</v>
      </c>
      <c r="E374" s="290" t="s">
        <v>438</v>
      </c>
      <c r="F374" s="290" t="s">
        <v>440</v>
      </c>
      <c r="G374" s="291" t="s">
        <v>304</v>
      </c>
      <c r="H374" s="291"/>
      <c r="I374" s="291"/>
      <c r="J374" s="397">
        <f>+J375</f>
        <v>7000000</v>
      </c>
      <c r="K374" s="398">
        <f>+K375</f>
        <v>3500000</v>
      </c>
      <c r="L374" s="684">
        <f>+L375</f>
        <v>2750000</v>
      </c>
      <c r="M374" s="398">
        <f>+M375</f>
        <v>0</v>
      </c>
      <c r="N374" s="371">
        <f>M374+L374</f>
        <v>2750000</v>
      </c>
      <c r="O374" s="371">
        <f>N374-K374</f>
        <v>-750000</v>
      </c>
      <c r="P374" s="778">
        <f>N374/K374*100</f>
        <v>78.571428571428569</v>
      </c>
      <c r="Q374" s="792"/>
      <c r="R374" s="446"/>
    </row>
    <row r="375" spans="1:19" s="189" customFormat="1" ht="12.05" customHeight="1">
      <c r="A375" s="293"/>
      <c r="B375" s="292"/>
      <c r="C375" s="292"/>
      <c r="D375" s="292"/>
      <c r="E375" s="292"/>
      <c r="F375" s="292"/>
      <c r="G375" s="253" t="s">
        <v>50</v>
      </c>
      <c r="H375" s="253"/>
      <c r="I375" s="253" t="s">
        <v>500</v>
      </c>
      <c r="J375" s="374">
        <v>7000000</v>
      </c>
      <c r="K375" s="376">
        <f>'[57]TARGET MURNI DAN PERUBAHAN'!$E$187</f>
        <v>3500000</v>
      </c>
      <c r="L375" s="377">
        <f>[62]PerDinas!$N$375</f>
        <v>2750000</v>
      </c>
      <c r="M375" s="376">
        <f>[55]Perdinas!$E$234</f>
        <v>0</v>
      </c>
      <c r="N375" s="369">
        <f>M375+L375</f>
        <v>2750000</v>
      </c>
      <c r="O375" s="355">
        <f>N375-K375</f>
        <v>-750000</v>
      </c>
      <c r="P375" s="388">
        <f>N375/K375*100</f>
        <v>78.571428571428569</v>
      </c>
      <c r="Q375" s="728"/>
      <c r="R375" s="422"/>
    </row>
    <row r="376" spans="1:19" s="189" customFormat="1" ht="12.05" customHeight="1">
      <c r="A376" s="293"/>
      <c r="B376" s="292"/>
      <c r="C376" s="292"/>
      <c r="D376" s="292"/>
      <c r="E376" s="292"/>
      <c r="F376" s="292"/>
      <c r="G376" s="253"/>
      <c r="H376" s="253"/>
      <c r="I376" s="253"/>
      <c r="J376" s="374"/>
      <c r="K376" s="375"/>
      <c r="L376" s="377"/>
      <c r="M376" s="375"/>
      <c r="N376" s="375"/>
      <c r="O376" s="375"/>
      <c r="P376" s="600"/>
      <c r="Q376" s="728"/>
      <c r="R376" s="422"/>
    </row>
    <row r="377" spans="1:19" s="189" customFormat="1" ht="12.05" customHeight="1">
      <c r="A377" s="293"/>
      <c r="B377" s="290">
        <v>4</v>
      </c>
      <c r="C377" s="290">
        <v>1</v>
      </c>
      <c r="D377" s="290">
        <v>4</v>
      </c>
      <c r="E377" s="290"/>
      <c r="F377" s="290"/>
      <c r="G377" s="291" t="s">
        <v>71</v>
      </c>
      <c r="H377" s="291"/>
      <c r="I377" s="291"/>
      <c r="J377" s="397">
        <f>J378+J386</f>
        <v>63850000</v>
      </c>
      <c r="K377" s="398">
        <f>K378+K386+K387</f>
        <v>25741600</v>
      </c>
      <c r="L377" s="398">
        <f>L378+L386+L387</f>
        <v>207329970.76999998</v>
      </c>
      <c r="M377" s="398">
        <f>M378+M386+M387</f>
        <v>0</v>
      </c>
      <c r="N377" s="398">
        <f>M377+L377</f>
        <v>207329970.76999998</v>
      </c>
      <c r="O377" s="398">
        <f t="shared" ref="O377:O382" si="61">N377-K377</f>
        <v>181588370.76999998</v>
      </c>
      <c r="P377" s="600">
        <f>P378+P386</f>
        <v>568.72113015507978</v>
      </c>
      <c r="Q377" s="793"/>
      <c r="R377" s="422"/>
    </row>
    <row r="378" spans="1:19" s="189" customFormat="1" ht="12.05" customHeight="1">
      <c r="A378" s="293"/>
      <c r="B378" s="292">
        <v>4</v>
      </c>
      <c r="C378" s="292">
        <v>1</v>
      </c>
      <c r="D378" s="292">
        <v>4</v>
      </c>
      <c r="E378" s="292" t="s">
        <v>444</v>
      </c>
      <c r="F378" s="292"/>
      <c r="G378" s="410" t="s">
        <v>222</v>
      </c>
      <c r="H378" s="410"/>
      <c r="I378" s="410"/>
      <c r="J378" s="489">
        <f>J379+J380+J381</f>
        <v>60000000</v>
      </c>
      <c r="K378" s="512">
        <f>K379+K380+K381</f>
        <v>0</v>
      </c>
      <c r="L378" s="616">
        <f>SUM(L379:L381)</f>
        <v>3603000</v>
      </c>
      <c r="M378" s="512">
        <f>SUM(M379:M381)</f>
        <v>0</v>
      </c>
      <c r="N378" s="512">
        <f>SUM(N379:N381)</f>
        <v>3603000</v>
      </c>
      <c r="O378" s="412">
        <f t="shared" si="61"/>
        <v>3603000</v>
      </c>
      <c r="P378" s="487">
        <v>0</v>
      </c>
      <c r="Q378" s="794"/>
      <c r="R378" s="422"/>
    </row>
    <row r="379" spans="1:19" s="189" customFormat="1" ht="12.05" customHeight="1">
      <c r="A379" s="289"/>
      <c r="B379" s="292">
        <v>4</v>
      </c>
      <c r="C379" s="292">
        <v>1</v>
      </c>
      <c r="D379" s="292">
        <v>4</v>
      </c>
      <c r="E379" s="292" t="s">
        <v>443</v>
      </c>
      <c r="F379" s="292" t="s">
        <v>441</v>
      </c>
      <c r="G379" s="253" t="s">
        <v>73</v>
      </c>
      <c r="H379" s="253"/>
      <c r="I379" s="253"/>
      <c r="J379" s="354">
        <v>0</v>
      </c>
      <c r="K379" s="355">
        <v>0</v>
      </c>
      <c r="L379" s="360"/>
      <c r="M379" s="355">
        <f>[55]Perdinas!$E$238</f>
        <v>0</v>
      </c>
      <c r="N379" s="355">
        <f t="shared" ref="N379:N384" si="62">M379+L379</f>
        <v>0</v>
      </c>
      <c r="O379" s="677">
        <f t="shared" si="61"/>
        <v>0</v>
      </c>
      <c r="P379" s="388"/>
      <c r="Q379" s="795"/>
      <c r="R379" s="422"/>
    </row>
    <row r="380" spans="1:19" s="189" customFormat="1" ht="12.05" customHeight="1">
      <c r="A380" s="289"/>
      <c r="B380" s="292">
        <v>4</v>
      </c>
      <c r="C380" s="292">
        <v>1</v>
      </c>
      <c r="D380" s="292">
        <v>4</v>
      </c>
      <c r="E380" s="292" t="s">
        <v>444</v>
      </c>
      <c r="F380" s="292" t="s">
        <v>445</v>
      </c>
      <c r="G380" s="253" t="s">
        <v>74</v>
      </c>
      <c r="H380" s="253"/>
      <c r="I380" s="253"/>
      <c r="J380" s="354">
        <v>0</v>
      </c>
      <c r="K380" s="355">
        <v>0</v>
      </c>
      <c r="L380" s="360">
        <v>0</v>
      </c>
      <c r="M380" s="355">
        <f>[55]Perdinas!$E$239</f>
        <v>0</v>
      </c>
      <c r="N380" s="355">
        <f t="shared" si="62"/>
        <v>0</v>
      </c>
      <c r="O380" s="346">
        <f t="shared" si="61"/>
        <v>0</v>
      </c>
      <c r="P380" s="388"/>
      <c r="Q380" s="795"/>
      <c r="R380" s="422"/>
    </row>
    <row r="381" spans="1:19" s="189" customFormat="1" ht="12.05" customHeight="1">
      <c r="A381" s="293"/>
      <c r="B381" s="292">
        <v>4</v>
      </c>
      <c r="C381" s="292">
        <v>1</v>
      </c>
      <c r="D381" s="292">
        <v>4</v>
      </c>
      <c r="E381" s="292" t="s">
        <v>444</v>
      </c>
      <c r="F381" s="292" t="s">
        <v>441</v>
      </c>
      <c r="G381" s="253" t="s">
        <v>75</v>
      </c>
      <c r="H381" s="253"/>
      <c r="I381" s="253"/>
      <c r="J381" s="374">
        <v>60000000</v>
      </c>
      <c r="K381" s="779"/>
      <c r="L381" s="360">
        <f>SUM(L382:L384)</f>
        <v>3603000</v>
      </c>
      <c r="M381" s="375">
        <f>[55]Perdinas!$E$240</f>
        <v>0</v>
      </c>
      <c r="N381" s="375">
        <f t="shared" si="62"/>
        <v>3603000</v>
      </c>
      <c r="O381" s="346">
        <f t="shared" si="61"/>
        <v>3603000</v>
      </c>
      <c r="P381" s="600">
        <f>SUM(P382:P384)</f>
        <v>0</v>
      </c>
      <c r="Q381" s="728"/>
      <c r="R381" s="554">
        <v>19022300</v>
      </c>
      <c r="S381" s="542">
        <f>R381-N381</f>
        <v>15419300</v>
      </c>
    </row>
    <row r="382" spans="1:19" s="189" customFormat="1" ht="12.05" customHeight="1">
      <c r="A382" s="293"/>
      <c r="B382" s="292"/>
      <c r="C382" s="292"/>
      <c r="D382" s="292"/>
      <c r="E382" s="292"/>
      <c r="F382" s="292"/>
      <c r="G382" s="253" t="s">
        <v>50</v>
      </c>
      <c r="H382" s="253"/>
      <c r="I382" s="253" t="s">
        <v>979</v>
      </c>
      <c r="J382" s="374">
        <v>0</v>
      </c>
      <c r="K382" s="376">
        <f>'[57]TARGET MURNI DAN PERUBAHAN'!$E$191</f>
        <v>0</v>
      </c>
      <c r="L382" s="377">
        <f>[62]PerDinas!$N$382</f>
        <v>3603000</v>
      </c>
      <c r="M382" s="376">
        <f>[60]Perdinas!$E$191</f>
        <v>0</v>
      </c>
      <c r="N382" s="369">
        <f t="shared" si="62"/>
        <v>3603000</v>
      </c>
      <c r="O382" s="346">
        <f t="shared" si="61"/>
        <v>3603000</v>
      </c>
      <c r="P382" s="388"/>
      <c r="Q382" s="728"/>
      <c r="R382" s="422"/>
    </row>
    <row r="383" spans="1:19" s="189" customFormat="1" ht="12.05" customHeight="1">
      <c r="A383" s="293"/>
      <c r="B383" s="292"/>
      <c r="C383" s="292"/>
      <c r="D383" s="292"/>
      <c r="E383" s="292"/>
      <c r="F383" s="292"/>
      <c r="G383" s="253" t="s">
        <v>50</v>
      </c>
      <c r="H383" s="253"/>
      <c r="I383" s="253" t="s">
        <v>980</v>
      </c>
      <c r="J383" s="374">
        <v>0</v>
      </c>
      <c r="K383" s="375">
        <v>0</v>
      </c>
      <c r="L383" s="377">
        <f>[62]PerDinas!$N$383</f>
        <v>0</v>
      </c>
      <c r="M383" s="376">
        <f>[60]Perdinas!$E$192</f>
        <v>0</v>
      </c>
      <c r="N383" s="355">
        <f t="shared" si="62"/>
        <v>0</v>
      </c>
      <c r="O383" s="355"/>
      <c r="P383" s="388"/>
      <c r="Q383" s="728"/>
      <c r="R383" s="422"/>
    </row>
    <row r="384" spans="1:19" s="189" customFormat="1" ht="12.05" customHeight="1">
      <c r="A384" s="293"/>
      <c r="B384" s="292"/>
      <c r="C384" s="292"/>
      <c r="D384" s="292"/>
      <c r="E384" s="292"/>
      <c r="F384" s="292"/>
      <c r="G384" s="253" t="s">
        <v>50</v>
      </c>
      <c r="H384" s="253"/>
      <c r="I384" s="253" t="s">
        <v>754</v>
      </c>
      <c r="J384" s="374">
        <v>0</v>
      </c>
      <c r="K384" s="375">
        <v>0</v>
      </c>
      <c r="L384" s="377">
        <f>[62]PerDinas!$N$384</f>
        <v>0</v>
      </c>
      <c r="M384" s="376">
        <f>[60]Perdinas!$E$193</f>
        <v>0</v>
      </c>
      <c r="N384" s="355">
        <f t="shared" si="62"/>
        <v>0</v>
      </c>
      <c r="O384" s="355"/>
      <c r="P384" s="388"/>
      <c r="Q384" s="728"/>
      <c r="R384" s="422"/>
    </row>
    <row r="385" spans="1:19" s="189" customFormat="1" ht="12.05" customHeight="1">
      <c r="A385" s="293"/>
      <c r="B385" s="292"/>
      <c r="C385" s="292"/>
      <c r="D385" s="292"/>
      <c r="E385" s="292"/>
      <c r="F385" s="292"/>
      <c r="G385" s="253"/>
      <c r="H385" s="253"/>
      <c r="I385" s="253"/>
      <c r="J385" s="374"/>
      <c r="K385" s="375"/>
      <c r="L385" s="377"/>
      <c r="M385" s="375"/>
      <c r="N385" s="355"/>
      <c r="O385" s="355"/>
      <c r="P385" s="388"/>
      <c r="Q385" s="728"/>
      <c r="R385" s="422"/>
    </row>
    <row r="386" spans="1:19" s="189" customFormat="1" ht="12.05" customHeight="1">
      <c r="A386" s="293"/>
      <c r="B386" s="290" t="s">
        <v>443</v>
      </c>
      <c r="C386" s="290" t="s">
        <v>58</v>
      </c>
      <c r="D386" s="290" t="s">
        <v>443</v>
      </c>
      <c r="E386" s="290" t="s">
        <v>948</v>
      </c>
      <c r="F386" s="290"/>
      <c r="G386" s="291" t="s">
        <v>981</v>
      </c>
      <c r="H386" s="291"/>
      <c r="I386" s="291"/>
      <c r="J386" s="370">
        <f>J387+J388</f>
        <v>3850000</v>
      </c>
      <c r="K386" s="371">
        <f t="shared" ref="K386:P386" si="63">K388</f>
        <v>25741600</v>
      </c>
      <c r="L386" s="371">
        <f t="shared" si="63"/>
        <v>146397918.44</v>
      </c>
      <c r="M386" s="371">
        <f t="shared" si="63"/>
        <v>0</v>
      </c>
      <c r="N386" s="371">
        <f t="shared" si="63"/>
        <v>146397918.44</v>
      </c>
      <c r="O386" s="371">
        <f t="shared" si="63"/>
        <v>120656318.44</v>
      </c>
      <c r="P386" s="371">
        <f t="shared" si="63"/>
        <v>568.72113015507978</v>
      </c>
      <c r="Q386" s="790"/>
      <c r="R386" s="422"/>
    </row>
    <row r="387" spans="1:19" s="189" customFormat="1" ht="12.05" customHeight="1">
      <c r="A387" s="293"/>
      <c r="B387" s="292"/>
      <c r="C387" s="292"/>
      <c r="D387" s="292"/>
      <c r="E387" s="292"/>
      <c r="F387" s="292"/>
      <c r="G387" s="253" t="s">
        <v>50</v>
      </c>
      <c r="H387" s="253"/>
      <c r="I387" s="253" t="s">
        <v>710</v>
      </c>
      <c r="J387" s="354">
        <v>650000</v>
      </c>
      <c r="K387" s="806"/>
      <c r="L387" s="360">
        <f>[62]PerDinas!$N$387</f>
        <v>57329052.329999998</v>
      </c>
      <c r="M387" s="355"/>
      <c r="N387" s="355">
        <f>M387+L387</f>
        <v>57329052.329999998</v>
      </c>
      <c r="O387" s="355">
        <f t="shared" ref="O387:O392" si="64">N387-K387</f>
        <v>57329052.329999998</v>
      </c>
      <c r="P387" s="388" t="e">
        <f>N387/K387*100</f>
        <v>#DIV/0!</v>
      </c>
      <c r="Q387" s="728"/>
      <c r="R387" s="552">
        <v>57329052.329999998</v>
      </c>
      <c r="S387" s="819">
        <f>R387-N387</f>
        <v>0</v>
      </c>
    </row>
    <row r="388" spans="1:19" s="189" customFormat="1" ht="12.05" customHeight="1">
      <c r="A388" s="293"/>
      <c r="B388" s="292"/>
      <c r="C388" s="292"/>
      <c r="D388" s="292"/>
      <c r="E388" s="292"/>
      <c r="F388" s="292"/>
      <c r="G388" s="253" t="s">
        <v>50</v>
      </c>
      <c r="H388" s="253"/>
      <c r="I388" s="253" t="s">
        <v>982</v>
      </c>
      <c r="J388" s="374">
        <v>3200000</v>
      </c>
      <c r="K388" s="376">
        <f>'[57]TARGET MURNI DAN PERUBAHAN'!$E$197</f>
        <v>25741600</v>
      </c>
      <c r="L388" s="377">
        <f>[62]PerDinas!$N$388</f>
        <v>146397918.44</v>
      </c>
      <c r="M388" s="376">
        <f>[55]Perdinas!$E$241</f>
        <v>0</v>
      </c>
      <c r="N388" s="369">
        <f>M388+L388</f>
        <v>146397918.44</v>
      </c>
      <c r="O388" s="355">
        <f t="shared" si="64"/>
        <v>120656318.44</v>
      </c>
      <c r="P388" s="388">
        <f>N388/K388*100</f>
        <v>568.72113015507978</v>
      </c>
      <c r="Q388" s="448"/>
      <c r="R388" s="422"/>
    </row>
    <row r="389" spans="1:19" s="245" customFormat="1" ht="12.05" customHeight="1">
      <c r="A389" s="472"/>
      <c r="B389" s="305"/>
      <c r="C389" s="305"/>
      <c r="D389" s="305"/>
      <c r="E389" s="305"/>
      <c r="F389" s="305"/>
      <c r="G389" s="306"/>
      <c r="H389" s="306"/>
      <c r="I389" s="306"/>
      <c r="J389" s="482"/>
      <c r="K389" s="404"/>
      <c r="L389" s="673"/>
      <c r="M389" s="404"/>
      <c r="N389" s="404"/>
      <c r="O389" s="404"/>
      <c r="P389" s="483"/>
      <c r="Q389" s="456"/>
      <c r="R389" s="450"/>
    </row>
    <row r="390" spans="1:19" s="244" customFormat="1" ht="12.05" customHeight="1">
      <c r="A390" s="283" t="s">
        <v>152</v>
      </c>
      <c r="B390" s="284" t="s">
        <v>58</v>
      </c>
      <c r="C390" s="284" t="s">
        <v>846</v>
      </c>
      <c r="D390" s="284" t="s">
        <v>440</v>
      </c>
      <c r="E390" s="796"/>
      <c r="F390" s="796"/>
      <c r="G390" s="298" t="s">
        <v>301</v>
      </c>
      <c r="H390" s="298"/>
      <c r="I390" s="298"/>
      <c r="J390" s="336">
        <f>+J392</f>
        <v>2000000</v>
      </c>
      <c r="K390" s="337">
        <f>+K392</f>
        <v>0</v>
      </c>
      <c r="L390" s="337">
        <f>+L392</f>
        <v>0</v>
      </c>
      <c r="M390" s="337">
        <f>+M392</f>
        <v>0</v>
      </c>
      <c r="N390" s="337">
        <f>+M390+L390</f>
        <v>0</v>
      </c>
      <c r="O390" s="337">
        <f>+N390-K390</f>
        <v>0</v>
      </c>
      <c r="P390" s="338" t="e">
        <f>N390/K390*100</f>
        <v>#DIV/0!</v>
      </c>
      <c r="Q390" s="432"/>
      <c r="R390" s="639"/>
    </row>
    <row r="391" spans="1:19" s="189" customFormat="1" ht="12.05" customHeight="1">
      <c r="A391" s="471"/>
      <c r="B391" s="287"/>
      <c r="C391" s="287"/>
      <c r="D391" s="287"/>
      <c r="E391" s="287"/>
      <c r="F391" s="287"/>
      <c r="G391" s="410"/>
      <c r="H391" s="410"/>
      <c r="I391" s="410"/>
      <c r="J391" s="342"/>
      <c r="K391" s="343"/>
      <c r="L391" s="343"/>
      <c r="M391" s="343"/>
      <c r="N391" s="492"/>
      <c r="O391" s="492"/>
      <c r="P391" s="487"/>
      <c r="Q391" s="437"/>
      <c r="R391" s="422"/>
    </row>
    <row r="392" spans="1:19" s="189" customFormat="1" ht="12.05" customHeight="1">
      <c r="A392" s="303"/>
      <c r="B392" s="290">
        <v>4</v>
      </c>
      <c r="C392" s="290">
        <v>1</v>
      </c>
      <c r="D392" s="290"/>
      <c r="E392" s="290"/>
      <c r="F392" s="290"/>
      <c r="G392" s="291" t="s">
        <v>180</v>
      </c>
      <c r="H392" s="291"/>
      <c r="I392" s="291"/>
      <c r="J392" s="518">
        <f>+J394</f>
        <v>2000000</v>
      </c>
      <c r="K392" s="519">
        <f>+K394</f>
        <v>0</v>
      </c>
      <c r="L392" s="519">
        <f>+L394</f>
        <v>0</v>
      </c>
      <c r="M392" s="519">
        <f>+M394</f>
        <v>0</v>
      </c>
      <c r="N392" s="343">
        <f>+M392+L392</f>
        <v>0</v>
      </c>
      <c r="O392" s="343">
        <f t="shared" si="64"/>
        <v>0</v>
      </c>
      <c r="P392" s="344" t="e">
        <f>N392/K392*100</f>
        <v>#DIV/0!</v>
      </c>
      <c r="Q392" s="559"/>
      <c r="R392" s="422"/>
    </row>
    <row r="393" spans="1:19" s="189" customFormat="1" ht="12.05" customHeight="1">
      <c r="A393" s="293"/>
      <c r="B393" s="292"/>
      <c r="C393" s="292"/>
      <c r="D393" s="292"/>
      <c r="E393" s="292"/>
      <c r="F393" s="292"/>
      <c r="G393" s="253"/>
      <c r="H393" s="253"/>
      <c r="I393" s="253"/>
      <c r="J393" s="387"/>
      <c r="K393" s="367"/>
      <c r="L393" s="367"/>
      <c r="M393" s="367"/>
      <c r="N393" s="367"/>
      <c r="O393" s="367"/>
      <c r="P393" s="347"/>
      <c r="Q393" s="454"/>
      <c r="R393" s="422"/>
    </row>
    <row r="394" spans="1:19" s="189" customFormat="1" ht="12.05" customHeight="1">
      <c r="A394" s="303"/>
      <c r="B394" s="290">
        <v>4</v>
      </c>
      <c r="C394" s="290">
        <v>1</v>
      </c>
      <c r="D394" s="290">
        <v>4</v>
      </c>
      <c r="E394" s="290"/>
      <c r="F394" s="290"/>
      <c r="G394" s="291" t="s">
        <v>71</v>
      </c>
      <c r="H394" s="291"/>
      <c r="I394" s="291"/>
      <c r="J394" s="397">
        <f>J395+J400</f>
        <v>2000000</v>
      </c>
      <c r="K394" s="398">
        <f>K395+K400</f>
        <v>0</v>
      </c>
      <c r="L394" s="684">
        <f>L395+L400</f>
        <v>0</v>
      </c>
      <c r="M394" s="398">
        <f>M395+M400</f>
        <v>0</v>
      </c>
      <c r="N394" s="398">
        <f>N395+N400</f>
        <v>0</v>
      </c>
      <c r="O394" s="367">
        <f>N394-K394</f>
        <v>0</v>
      </c>
      <c r="P394" s="347" t="e">
        <f>N394/K394*100</f>
        <v>#DIV/0!</v>
      </c>
      <c r="Q394" s="699"/>
      <c r="R394" s="422"/>
    </row>
    <row r="395" spans="1:19" s="189" customFormat="1" ht="12.05" customHeight="1">
      <c r="A395" s="293"/>
      <c r="B395" s="292">
        <v>4</v>
      </c>
      <c r="C395" s="292">
        <v>1</v>
      </c>
      <c r="D395" s="292">
        <v>4</v>
      </c>
      <c r="E395" s="292" t="s">
        <v>444</v>
      </c>
      <c r="F395" s="292"/>
      <c r="G395" s="253" t="s">
        <v>222</v>
      </c>
      <c r="H395" s="253"/>
      <c r="I395" s="253"/>
      <c r="J395" s="484">
        <v>0</v>
      </c>
      <c r="K395" s="485">
        <v>0</v>
      </c>
      <c r="L395" s="486">
        <f>SUM(L396:L398)</f>
        <v>0</v>
      </c>
      <c r="M395" s="485">
        <f>SUM(M396:M398)</f>
        <v>0</v>
      </c>
      <c r="N395" s="485">
        <f>SUM(N396:N398)</f>
        <v>0</v>
      </c>
      <c r="O395" s="485"/>
      <c r="P395" s="597"/>
      <c r="Q395" s="541"/>
      <c r="R395" s="422"/>
    </row>
    <row r="396" spans="1:19" s="189" customFormat="1" ht="12.05" customHeight="1">
      <c r="A396" s="289"/>
      <c r="B396" s="292">
        <v>4</v>
      </c>
      <c r="C396" s="292">
        <v>1</v>
      </c>
      <c r="D396" s="292">
        <v>4</v>
      </c>
      <c r="E396" s="292" t="s">
        <v>444</v>
      </c>
      <c r="F396" s="292" t="s">
        <v>440</v>
      </c>
      <c r="G396" s="253" t="s">
        <v>73</v>
      </c>
      <c r="H396" s="253"/>
      <c r="I396" s="253"/>
      <c r="J396" s="354">
        <v>0</v>
      </c>
      <c r="K396" s="355">
        <v>0</v>
      </c>
      <c r="L396" s="360">
        <v>0</v>
      </c>
      <c r="M396" s="355">
        <f>[55]Perdinas!$E$246</f>
        <v>0</v>
      </c>
      <c r="N396" s="355">
        <f>M396+L396</f>
        <v>0</v>
      </c>
      <c r="O396" s="355">
        <f>N396-K396</f>
        <v>0</v>
      </c>
      <c r="P396" s="388"/>
      <c r="Q396" s="441"/>
      <c r="R396" s="422"/>
    </row>
    <row r="397" spans="1:19" s="189" customFormat="1" ht="12.05" customHeight="1">
      <c r="A397" s="289"/>
      <c r="B397" s="292">
        <v>4</v>
      </c>
      <c r="C397" s="292">
        <v>1</v>
      </c>
      <c r="D397" s="292">
        <v>4</v>
      </c>
      <c r="E397" s="292" t="s">
        <v>444</v>
      </c>
      <c r="F397" s="292" t="s">
        <v>445</v>
      </c>
      <c r="G397" s="253" t="s">
        <v>74</v>
      </c>
      <c r="H397" s="253"/>
      <c r="I397" s="253"/>
      <c r="J397" s="354">
        <v>0</v>
      </c>
      <c r="K397" s="355">
        <v>0</v>
      </c>
      <c r="L397" s="360">
        <v>0</v>
      </c>
      <c r="M397" s="355">
        <f>[55]Perdinas!$E$247</f>
        <v>0</v>
      </c>
      <c r="N397" s="355">
        <f>M397+L397</f>
        <v>0</v>
      </c>
      <c r="O397" s="355">
        <f>N397-K397</f>
        <v>0</v>
      </c>
      <c r="P397" s="388"/>
      <c r="Q397" s="441"/>
      <c r="R397" s="422"/>
    </row>
    <row r="398" spans="1:19" s="189" customFormat="1" ht="12.05" customHeight="1">
      <c r="A398" s="293"/>
      <c r="B398" s="292">
        <v>4</v>
      </c>
      <c r="C398" s="292">
        <v>1</v>
      </c>
      <c r="D398" s="292">
        <v>4</v>
      </c>
      <c r="E398" s="292" t="s">
        <v>444</v>
      </c>
      <c r="F398" s="292" t="s">
        <v>441</v>
      </c>
      <c r="G398" s="253" t="s">
        <v>75</v>
      </c>
      <c r="H398" s="253"/>
      <c r="I398" s="253"/>
      <c r="J398" s="374">
        <v>0</v>
      </c>
      <c r="K398" s="376">
        <f>'[57]TARGET MURNI DAN PERUBAHAN'!$E$201</f>
        <v>0</v>
      </c>
      <c r="L398" s="377">
        <f>[62]PerDinas!$N$398</f>
        <v>0</v>
      </c>
      <c r="M398" s="376">
        <f>[55]Perdinas!$E$248</f>
        <v>0</v>
      </c>
      <c r="N398" s="369">
        <f>M398+L398</f>
        <v>0</v>
      </c>
      <c r="O398" s="355">
        <f>N398-K398</f>
        <v>0</v>
      </c>
      <c r="P398" s="388"/>
      <c r="Q398" s="548"/>
      <c r="R398" s="422"/>
    </row>
    <row r="399" spans="1:19" s="189" customFormat="1" ht="12.05" customHeight="1">
      <c r="A399" s="293"/>
      <c r="B399" s="292"/>
      <c r="C399" s="292"/>
      <c r="D399" s="292"/>
      <c r="E399" s="292"/>
      <c r="F399" s="292"/>
      <c r="G399" s="253"/>
      <c r="H399" s="253"/>
      <c r="I399" s="253"/>
      <c r="J399" s="494"/>
      <c r="K399" s="495"/>
      <c r="L399" s="513"/>
      <c r="M399" s="495"/>
      <c r="N399" s="334"/>
      <c r="O399" s="334"/>
      <c r="P399" s="335"/>
      <c r="Q399" s="548"/>
      <c r="R399" s="422"/>
    </row>
    <row r="400" spans="1:19" s="189" customFormat="1" ht="12.05" customHeight="1">
      <c r="A400" s="293"/>
      <c r="B400" s="292" t="s">
        <v>443</v>
      </c>
      <c r="C400" s="292" t="s">
        <v>58</v>
      </c>
      <c r="D400" s="292" t="s">
        <v>443</v>
      </c>
      <c r="E400" s="292" t="s">
        <v>948</v>
      </c>
      <c r="F400" s="292"/>
      <c r="G400" s="253" t="s">
        <v>981</v>
      </c>
      <c r="H400" s="253"/>
      <c r="I400" s="253"/>
      <c r="J400" s="526">
        <f>J401</f>
        <v>2000000</v>
      </c>
      <c r="K400" s="527">
        <f>K401</f>
        <v>0</v>
      </c>
      <c r="L400" s="670">
        <f>SUM(L401:L401)</f>
        <v>0</v>
      </c>
      <c r="M400" s="527">
        <f>SUM(M401:M401)</f>
        <v>0</v>
      </c>
      <c r="N400" s="527">
        <f>M400+L400</f>
        <v>0</v>
      </c>
      <c r="O400" s="527">
        <f t="shared" ref="O400:O405" si="65">N400-K400</f>
        <v>0</v>
      </c>
      <c r="P400" s="671">
        <v>0</v>
      </c>
      <c r="Q400" s="548"/>
      <c r="R400" s="422"/>
    </row>
    <row r="401" spans="1:19" s="189" customFormat="1" ht="12.05" customHeight="1">
      <c r="A401" s="293"/>
      <c r="B401" s="292" t="s">
        <v>443</v>
      </c>
      <c r="C401" s="292" t="s">
        <v>58</v>
      </c>
      <c r="D401" s="292" t="s">
        <v>443</v>
      </c>
      <c r="E401" s="292" t="s">
        <v>948</v>
      </c>
      <c r="F401" s="292" t="s">
        <v>437</v>
      </c>
      <c r="G401" s="253" t="s">
        <v>50</v>
      </c>
      <c r="H401" s="253"/>
      <c r="I401" s="253" t="s">
        <v>85</v>
      </c>
      <c r="J401" s="389">
        <v>2000000</v>
      </c>
      <c r="K401" s="357">
        <f>'[57]TARGET MURNI DAN PERUBAHAN'!$E$202</f>
        <v>0</v>
      </c>
      <c r="L401" s="391">
        <f>[62]PerDinas!$N$401</f>
        <v>0</v>
      </c>
      <c r="M401" s="357">
        <f>[55]Perdinas!$E$249</f>
        <v>0</v>
      </c>
      <c r="N401" s="357">
        <f>M401+L401</f>
        <v>0</v>
      </c>
      <c r="O401" s="357">
        <f t="shared" si="65"/>
        <v>0</v>
      </c>
      <c r="P401" s="358">
        <v>0</v>
      </c>
      <c r="Q401" s="548"/>
      <c r="R401" s="422"/>
    </row>
    <row r="402" spans="1:19" s="245" customFormat="1" ht="12.05" customHeight="1">
      <c r="A402" s="465"/>
      <c r="B402" s="296"/>
      <c r="C402" s="296"/>
      <c r="D402" s="296"/>
      <c r="E402" s="296"/>
      <c r="F402" s="296"/>
      <c r="G402" s="297"/>
      <c r="H402" s="297"/>
      <c r="I402" s="297"/>
      <c r="J402" s="333"/>
      <c r="K402" s="334"/>
      <c r="L402" s="334"/>
      <c r="M402" s="334"/>
      <c r="N402" s="334"/>
      <c r="O402" s="334"/>
      <c r="P402" s="335"/>
      <c r="Q402" s="430"/>
      <c r="R402" s="450"/>
    </row>
    <row r="403" spans="1:19" s="244" customFormat="1" ht="12.05" hidden="1" customHeight="1">
      <c r="A403" s="283" t="s">
        <v>154</v>
      </c>
      <c r="B403" s="284" t="s">
        <v>58</v>
      </c>
      <c r="C403" s="284" t="s">
        <v>849</v>
      </c>
      <c r="D403" s="284" t="s">
        <v>440</v>
      </c>
      <c r="E403" s="284"/>
      <c r="F403" s="284"/>
      <c r="G403" s="298" t="s">
        <v>155</v>
      </c>
      <c r="H403" s="298"/>
      <c r="I403" s="619"/>
      <c r="J403" s="336">
        <f>J405+J463+J475+J486+J496</f>
        <v>7462059400</v>
      </c>
      <c r="K403" s="337">
        <f>K405+K463+K475+K486+K496+K509</f>
        <v>3868147130</v>
      </c>
      <c r="L403" s="337">
        <f>L405+L463+L475+L486+L496+L509</f>
        <v>3156807726</v>
      </c>
      <c r="M403" s="337" t="e">
        <f>M405+M463+M475+M486+M496+M509</f>
        <v>#REF!</v>
      </c>
      <c r="N403" s="337" t="e">
        <f>M403+L403</f>
        <v>#REF!</v>
      </c>
      <c r="O403" s="337" t="e">
        <f>+N403-K403</f>
        <v>#REF!</v>
      </c>
      <c r="P403" s="338" t="e">
        <f>+N403/K403*100</f>
        <v>#REF!</v>
      </c>
      <c r="Q403" s="432"/>
      <c r="R403" s="639"/>
    </row>
    <row r="404" spans="1:19" s="189" customFormat="1" ht="12.05" hidden="1" customHeight="1">
      <c r="A404" s="657"/>
      <c r="B404" s="578"/>
      <c r="C404" s="578"/>
      <c r="D404" s="578"/>
      <c r="E404" s="578"/>
      <c r="F404" s="578"/>
      <c r="J404" s="333"/>
      <c r="K404" s="334"/>
      <c r="L404" s="334"/>
      <c r="M404" s="334"/>
      <c r="N404" s="334"/>
      <c r="O404" s="334"/>
      <c r="P404" s="335"/>
      <c r="Q404" s="430"/>
      <c r="R404" s="422"/>
    </row>
    <row r="405" spans="1:19" s="189" customFormat="1" ht="12.05" customHeight="1">
      <c r="A405" s="797"/>
      <c r="B405" s="798" t="s">
        <v>58</v>
      </c>
      <c r="C405" s="798" t="s">
        <v>849</v>
      </c>
      <c r="D405" s="798" t="s">
        <v>440</v>
      </c>
      <c r="E405" s="798" t="s">
        <v>438</v>
      </c>
      <c r="F405" s="799"/>
      <c r="G405" s="800" t="s">
        <v>157</v>
      </c>
      <c r="H405" s="801"/>
      <c r="I405" s="801"/>
      <c r="J405" s="807">
        <f>+J407</f>
        <v>2457109400</v>
      </c>
      <c r="K405" s="808">
        <f>+K407</f>
        <v>3868147130</v>
      </c>
      <c r="L405" s="808">
        <f>+L407</f>
        <v>3156807726</v>
      </c>
      <c r="M405" s="808" t="e">
        <f>+M407</f>
        <v>#REF!</v>
      </c>
      <c r="N405" s="808" t="e">
        <f>+M405+L405</f>
        <v>#REF!</v>
      </c>
      <c r="O405" s="808" t="e">
        <f t="shared" si="65"/>
        <v>#REF!</v>
      </c>
      <c r="P405" s="809" t="e">
        <f>N405/K405*100</f>
        <v>#REF!</v>
      </c>
      <c r="Q405" s="820"/>
      <c r="R405" s="422"/>
    </row>
    <row r="406" spans="1:19" s="189" customFormat="1" ht="12.05" customHeight="1">
      <c r="A406" s="471"/>
      <c r="B406" s="287"/>
      <c r="C406" s="287"/>
      <c r="D406" s="287"/>
      <c r="E406" s="287"/>
      <c r="F406" s="287"/>
      <c r="G406" s="410"/>
      <c r="H406" s="410"/>
      <c r="I406" s="410"/>
      <c r="J406" s="342"/>
      <c r="K406" s="343"/>
      <c r="L406" s="343"/>
      <c r="M406" s="343"/>
      <c r="N406" s="492"/>
      <c r="O406" s="492"/>
      <c r="P406" s="487"/>
      <c r="Q406" s="437"/>
      <c r="R406" s="422"/>
    </row>
    <row r="407" spans="1:19" s="189" customFormat="1" ht="12.05" customHeight="1">
      <c r="A407" s="303"/>
      <c r="B407" s="290">
        <v>4</v>
      </c>
      <c r="C407" s="290">
        <v>1</v>
      </c>
      <c r="D407" s="290"/>
      <c r="E407" s="290"/>
      <c r="F407" s="290"/>
      <c r="G407" s="291" t="s">
        <v>180</v>
      </c>
      <c r="H407" s="291"/>
      <c r="I407" s="291"/>
      <c r="J407" s="518">
        <f>J409+J431</f>
        <v>2457109400</v>
      </c>
      <c r="K407" s="519">
        <f>K409+K431</f>
        <v>3868147130</v>
      </c>
      <c r="L407" s="519">
        <f>L409+L431</f>
        <v>3156807726</v>
      </c>
      <c r="M407" s="519" t="e">
        <f>M409+M431</f>
        <v>#REF!</v>
      </c>
      <c r="N407" s="519" t="e">
        <f>N409+N431</f>
        <v>#REF!</v>
      </c>
      <c r="O407" s="343" t="e">
        <f>N407-K407</f>
        <v>#REF!</v>
      </c>
      <c r="P407" s="344" t="e">
        <f>N407/K407*100</f>
        <v>#REF!</v>
      </c>
      <c r="Q407" s="559"/>
      <c r="R407" s="422"/>
    </row>
    <row r="408" spans="1:19" s="189" customFormat="1" ht="12.05" customHeight="1">
      <c r="A408" s="293"/>
      <c r="B408" s="292"/>
      <c r="C408" s="292"/>
      <c r="D408" s="292"/>
      <c r="E408" s="292"/>
      <c r="F408" s="292"/>
      <c r="G408" s="253"/>
      <c r="H408" s="253"/>
      <c r="I408" s="253"/>
      <c r="J408" s="387"/>
      <c r="K408" s="367"/>
      <c r="L408" s="367"/>
      <c r="M408" s="367"/>
      <c r="N408" s="367"/>
      <c r="O408" s="367"/>
      <c r="P408" s="347"/>
      <c r="Q408" s="454"/>
      <c r="R408" s="422"/>
    </row>
    <row r="409" spans="1:19" s="189" customFormat="1" ht="12.05" customHeight="1">
      <c r="A409" s="303"/>
      <c r="B409" s="290">
        <v>4</v>
      </c>
      <c r="C409" s="290">
        <v>1</v>
      </c>
      <c r="D409" s="290">
        <v>2</v>
      </c>
      <c r="E409" s="290"/>
      <c r="F409" s="290"/>
      <c r="G409" s="291" t="s">
        <v>106</v>
      </c>
      <c r="H409" s="291"/>
      <c r="I409" s="253"/>
      <c r="J409" s="348">
        <f>+J411</f>
        <v>1179005100</v>
      </c>
      <c r="K409" s="349">
        <f>+K411</f>
        <v>2348131500</v>
      </c>
      <c r="L409" s="589">
        <f>+L411</f>
        <v>1681290973</v>
      </c>
      <c r="M409" s="349">
        <f>+M411</f>
        <v>126332935</v>
      </c>
      <c r="N409" s="349">
        <f>+N411</f>
        <v>1807623908</v>
      </c>
      <c r="O409" s="349">
        <f>N409-K409</f>
        <v>-540507592</v>
      </c>
      <c r="P409" s="350">
        <f>N409/K409*100</f>
        <v>76.981374680251079</v>
      </c>
      <c r="Q409" s="439"/>
      <c r="R409" s="422"/>
    </row>
    <row r="410" spans="1:19" s="189" customFormat="1" ht="12.05" customHeight="1">
      <c r="A410" s="303"/>
      <c r="B410" s="292"/>
      <c r="C410" s="292"/>
      <c r="D410" s="292"/>
      <c r="E410" s="292"/>
      <c r="F410" s="292"/>
      <c r="G410" s="253"/>
      <c r="H410" s="253"/>
      <c r="I410" s="253"/>
      <c r="J410" s="354"/>
      <c r="K410" s="355"/>
      <c r="L410" s="360"/>
      <c r="M410" s="355"/>
      <c r="N410" s="355"/>
      <c r="O410" s="355"/>
      <c r="P410" s="388"/>
      <c r="Q410" s="441"/>
      <c r="R410" s="422"/>
    </row>
    <row r="411" spans="1:19" s="189" customFormat="1" ht="12.05" customHeight="1">
      <c r="A411" s="303"/>
      <c r="B411" s="292">
        <v>4</v>
      </c>
      <c r="C411" s="292">
        <v>1</v>
      </c>
      <c r="D411" s="292">
        <v>2</v>
      </c>
      <c r="E411" s="292" t="s">
        <v>438</v>
      </c>
      <c r="F411" s="292"/>
      <c r="G411" s="253" t="s">
        <v>109</v>
      </c>
      <c r="H411" s="253"/>
      <c r="I411" s="253"/>
      <c r="J411" s="746">
        <f>J412</f>
        <v>1179005100</v>
      </c>
      <c r="K411" s="676">
        <f>K412</f>
        <v>2348131500</v>
      </c>
      <c r="L411" s="675">
        <f>L412</f>
        <v>1681290973</v>
      </c>
      <c r="M411" s="676">
        <f>M412</f>
        <v>126332935</v>
      </c>
      <c r="N411" s="676">
        <f>N412</f>
        <v>1807623908</v>
      </c>
      <c r="O411" s="492">
        <f t="shared" ref="O411:O429" si="66">N411-K411</f>
        <v>-540507592</v>
      </c>
      <c r="P411" s="493">
        <f t="shared" ref="P411:P429" si="67">N411/K411*100</f>
        <v>76.981374680251079</v>
      </c>
      <c r="Q411" s="430"/>
      <c r="R411" s="422"/>
    </row>
    <row r="412" spans="1:19" s="252" customFormat="1" ht="15.05">
      <c r="A412" s="294"/>
      <c r="B412" s="292">
        <v>4</v>
      </c>
      <c r="C412" s="292">
        <v>1</v>
      </c>
      <c r="D412" s="292">
        <v>2</v>
      </c>
      <c r="E412" s="292" t="s">
        <v>437</v>
      </c>
      <c r="F412" s="292" t="s">
        <v>437</v>
      </c>
      <c r="G412" s="253" t="s">
        <v>64</v>
      </c>
      <c r="H412" s="253"/>
      <c r="I412" s="253"/>
      <c r="J412" s="810">
        <f>SUM(J413,J414,J415,J416,J420,J426,J427,J428,J429)</f>
        <v>1179005100</v>
      </c>
      <c r="K412" s="594">
        <f>SUM(K413,K414,K415,K416,K420,K426,K427,K428,K429)</f>
        <v>2348131500</v>
      </c>
      <c r="L412" s="811">
        <f>SUM(L413,L414,L415,L416,L420,L426,L427,L428,L429)</f>
        <v>1681290973</v>
      </c>
      <c r="M412" s="594">
        <f>SUM(M413,M414,M415,M416,M420,M426,M427,M428,M429)</f>
        <v>126332935</v>
      </c>
      <c r="N412" s="812">
        <f>SUM(N413:N415,N416,N420,N426:N428:N429)</f>
        <v>1807623908</v>
      </c>
      <c r="O412" s="813">
        <f t="shared" si="66"/>
        <v>-540507592</v>
      </c>
      <c r="P412" s="814">
        <f t="shared" si="67"/>
        <v>76.981374680251079</v>
      </c>
      <c r="Q412" s="642"/>
      <c r="R412" s="821"/>
      <c r="S412" s="822"/>
    </row>
    <row r="413" spans="1:19" s="252" customFormat="1" ht="12.05" customHeight="1">
      <c r="A413" s="293"/>
      <c r="B413" s="292"/>
      <c r="C413" s="292"/>
      <c r="D413" s="292"/>
      <c r="E413" s="292"/>
      <c r="F413" s="292"/>
      <c r="G413" s="253" t="s">
        <v>50</v>
      </c>
      <c r="H413" s="253"/>
      <c r="I413" s="253" t="s">
        <v>503</v>
      </c>
      <c r="J413" s="354">
        <v>30000000</v>
      </c>
      <c r="K413" s="373">
        <f>'[57]TARGET MURNI DAN PERUBAHAN'!$E$214</f>
        <v>30000000</v>
      </c>
      <c r="L413" s="360">
        <f>[62]PerDinas!$N$413</f>
        <v>23594831</v>
      </c>
      <c r="M413" s="373">
        <f>[55]Perdinas!$E$261</f>
        <v>1300000</v>
      </c>
      <c r="N413" s="355">
        <f>M413+L413</f>
        <v>24894831</v>
      </c>
      <c r="O413" s="355">
        <f t="shared" si="66"/>
        <v>-5105169</v>
      </c>
      <c r="P413" s="388">
        <f t="shared" si="67"/>
        <v>82.982769999999988</v>
      </c>
      <c r="Q413" s="441"/>
      <c r="R413" s="738"/>
    </row>
    <row r="414" spans="1:19" s="252" customFormat="1" ht="12.05" customHeight="1">
      <c r="A414" s="293"/>
      <c r="B414" s="292"/>
      <c r="C414" s="292"/>
      <c r="D414" s="292"/>
      <c r="E414" s="292"/>
      <c r="F414" s="292"/>
      <c r="G414" s="253" t="s">
        <v>50</v>
      </c>
      <c r="H414" s="253"/>
      <c r="I414" s="253" t="s">
        <v>504</v>
      </c>
      <c r="J414" s="374">
        <v>20000000</v>
      </c>
      <c r="K414" s="376">
        <f>'[57]TARGET MURNI DAN PERUBAHAN'!$E$215</f>
        <v>20000000</v>
      </c>
      <c r="L414" s="360">
        <f>[62]PerDinas!$N$414</f>
        <v>43030700</v>
      </c>
      <c r="M414" s="376">
        <f>[55]Perdinas!$E$262</f>
        <v>1300000</v>
      </c>
      <c r="N414" s="334">
        <f>M414+L414</f>
        <v>44330700</v>
      </c>
      <c r="O414" s="334">
        <f t="shared" si="66"/>
        <v>24330700</v>
      </c>
      <c r="P414" s="335">
        <f t="shared" si="67"/>
        <v>221.65349999999998</v>
      </c>
      <c r="Q414" s="449"/>
      <c r="R414" s="738"/>
    </row>
    <row r="415" spans="1:19" s="252" customFormat="1" ht="12.05" customHeight="1">
      <c r="A415" s="293"/>
      <c r="B415" s="292"/>
      <c r="C415" s="292"/>
      <c r="D415" s="292"/>
      <c r="E415" s="292"/>
      <c r="F415" s="292"/>
      <c r="G415" s="253" t="s">
        <v>50</v>
      </c>
      <c r="H415" s="253"/>
      <c r="I415" s="253" t="s">
        <v>505</v>
      </c>
      <c r="J415" s="374">
        <v>75000000</v>
      </c>
      <c r="K415" s="375">
        <f>'[57]TARGET MURNI DAN PERUBAHAN'!$E$216</f>
        <v>75000000</v>
      </c>
      <c r="L415" s="360">
        <f>[62]PerDinas!$N$415</f>
        <v>1137500</v>
      </c>
      <c r="M415" s="375">
        <f>[55]Perdinas!$E$263</f>
        <v>910000</v>
      </c>
      <c r="N415" s="334">
        <f>M415+L415</f>
        <v>2047500</v>
      </c>
      <c r="O415" s="355">
        <f t="shared" si="66"/>
        <v>-72952500</v>
      </c>
      <c r="P415" s="388">
        <f t="shared" si="67"/>
        <v>2.73</v>
      </c>
      <c r="Q415" s="448"/>
      <c r="R415" s="738"/>
    </row>
    <row r="416" spans="1:19" s="252" customFormat="1" ht="12.05" customHeight="1">
      <c r="A416" s="293"/>
      <c r="B416" s="292"/>
      <c r="C416" s="292"/>
      <c r="D416" s="292"/>
      <c r="E416" s="292"/>
      <c r="F416" s="292"/>
      <c r="G416" s="253" t="s">
        <v>50</v>
      </c>
      <c r="H416" s="253"/>
      <c r="I416" s="291" t="s">
        <v>182</v>
      </c>
      <c r="J416" s="397">
        <f>SUM(J417:J419)</f>
        <v>874116100</v>
      </c>
      <c r="K416" s="398">
        <f>SUM(K417:K419)</f>
        <v>2075381500</v>
      </c>
      <c r="L416" s="684">
        <f>SUM(L417:L419)</f>
        <v>1447590442</v>
      </c>
      <c r="M416" s="398">
        <f>SUM(M417:M419)</f>
        <v>122822935</v>
      </c>
      <c r="N416" s="371">
        <f t="shared" ref="N416:N429" si="68">M416+L416</f>
        <v>1570413377</v>
      </c>
      <c r="O416" s="371">
        <f t="shared" si="66"/>
        <v>-504968123</v>
      </c>
      <c r="P416" s="388">
        <f t="shared" si="67"/>
        <v>75.668660292095694</v>
      </c>
      <c r="Q416" s="448"/>
      <c r="R416" s="738"/>
    </row>
    <row r="417" spans="1:18" s="252" customFormat="1" ht="12.05" customHeight="1">
      <c r="A417" s="293"/>
      <c r="B417" s="292"/>
      <c r="C417" s="292"/>
      <c r="D417" s="292"/>
      <c r="E417" s="292"/>
      <c r="F417" s="292"/>
      <c r="G417" s="253"/>
      <c r="H417" s="2760" t="s">
        <v>50</v>
      </c>
      <c r="I417" s="253" t="s">
        <v>506</v>
      </c>
      <c r="J417" s="374">
        <v>367246100</v>
      </c>
      <c r="K417" s="376">
        <f>'[57]TARGET MURNI DAN PERUBAHAN'!$E$218</f>
        <v>1043101100</v>
      </c>
      <c r="L417" s="377">
        <f>[62]PerDinas!$N$417</f>
        <v>714167969</v>
      </c>
      <c r="M417" s="376">
        <f>[55]Perdinas!$E$278</f>
        <v>22800000</v>
      </c>
      <c r="N417" s="355">
        <f t="shared" si="68"/>
        <v>736967969</v>
      </c>
      <c r="O417" s="355">
        <f t="shared" si="66"/>
        <v>-306133131</v>
      </c>
      <c r="P417" s="388">
        <f t="shared" si="67"/>
        <v>70.651633767810225</v>
      </c>
      <c r="Q417" s="448"/>
      <c r="R417" s="738"/>
    </row>
    <row r="418" spans="1:18" s="252" customFormat="1" ht="12.05" customHeight="1">
      <c r="A418" s="293"/>
      <c r="B418" s="292"/>
      <c r="C418" s="292"/>
      <c r="D418" s="292"/>
      <c r="E418" s="292"/>
      <c r="F418" s="292"/>
      <c r="G418" s="253"/>
      <c r="H418" s="2760" t="s">
        <v>50</v>
      </c>
      <c r="I418" s="253" t="s">
        <v>182</v>
      </c>
      <c r="J418" s="374">
        <v>256870000</v>
      </c>
      <c r="K418" s="376">
        <f>'[57]TARGET MURNI DAN PERUBAHAN'!$E$219</f>
        <v>532280400</v>
      </c>
      <c r="L418" s="377">
        <f>[62]PerDinas!$N$418</f>
        <v>241515902</v>
      </c>
      <c r="M418" s="376">
        <f>[55]Perdinas!$E$279</f>
        <v>295000</v>
      </c>
      <c r="N418" s="355">
        <f t="shared" si="68"/>
        <v>241810902</v>
      </c>
      <c r="O418" s="355">
        <f t="shared" si="66"/>
        <v>-290469498</v>
      </c>
      <c r="P418" s="388">
        <f t="shared" si="67"/>
        <v>45.429232787831374</v>
      </c>
      <c r="Q418" s="448"/>
      <c r="R418" s="738"/>
    </row>
    <row r="419" spans="1:18" s="252" customFormat="1" ht="12.05" customHeight="1">
      <c r="A419" s="293"/>
      <c r="B419" s="292"/>
      <c r="C419" s="292"/>
      <c r="D419" s="292"/>
      <c r="E419" s="292"/>
      <c r="F419" s="292"/>
      <c r="G419" s="253"/>
      <c r="H419" s="2760" t="s">
        <v>50</v>
      </c>
      <c r="I419" s="253" t="s">
        <v>185</v>
      </c>
      <c r="J419" s="374">
        <v>250000000</v>
      </c>
      <c r="K419" s="376">
        <f>'[57]TARGET MURNI DAN PERUBAHAN'!$E$220</f>
        <v>500000000</v>
      </c>
      <c r="L419" s="377">
        <f>[62]PerDinas!$N$419</f>
        <v>491906571</v>
      </c>
      <c r="M419" s="376">
        <f>[55]Perdinas!$E$280</f>
        <v>99727935</v>
      </c>
      <c r="N419" s="355">
        <f t="shared" si="68"/>
        <v>591634506</v>
      </c>
      <c r="O419" s="355">
        <f t="shared" si="66"/>
        <v>91634506</v>
      </c>
      <c r="P419" s="388">
        <f t="shared" si="67"/>
        <v>118.32690119999999</v>
      </c>
      <c r="Q419" s="448"/>
      <c r="R419" s="738"/>
    </row>
    <row r="420" spans="1:18" s="252" customFormat="1" ht="12.05" customHeight="1">
      <c r="A420" s="293"/>
      <c r="B420" s="292"/>
      <c r="C420" s="292"/>
      <c r="D420" s="292"/>
      <c r="E420" s="292"/>
      <c r="F420" s="292"/>
      <c r="G420" s="253" t="s">
        <v>50</v>
      </c>
      <c r="H420" s="253"/>
      <c r="I420" s="291" t="s">
        <v>507</v>
      </c>
      <c r="J420" s="397">
        <f>SUM(J421:J425)</f>
        <v>147750000</v>
      </c>
      <c r="K420" s="398">
        <f>SUM(K421:K425)</f>
        <v>147750000</v>
      </c>
      <c r="L420" s="684">
        <f>SUM(L421:L425)</f>
        <v>165937500</v>
      </c>
      <c r="M420" s="398">
        <f>SUM(M421:M425)</f>
        <v>0</v>
      </c>
      <c r="N420" s="371">
        <f t="shared" si="68"/>
        <v>165937500</v>
      </c>
      <c r="O420" s="371">
        <f t="shared" si="66"/>
        <v>18187500</v>
      </c>
      <c r="P420" s="388">
        <f t="shared" si="67"/>
        <v>112.30964467005076</v>
      </c>
      <c r="Q420" s="448"/>
      <c r="R420" s="554"/>
    </row>
    <row r="421" spans="1:18" s="252" customFormat="1" ht="12.05" customHeight="1">
      <c r="A421" s="293"/>
      <c r="B421" s="292"/>
      <c r="C421" s="292"/>
      <c r="D421" s="292"/>
      <c r="E421" s="292"/>
      <c r="F421" s="292"/>
      <c r="G421" s="253"/>
      <c r="H421" s="2760" t="s">
        <v>50</v>
      </c>
      <c r="I421" s="1159" t="s">
        <v>1054</v>
      </c>
      <c r="J421" s="374">
        <v>22500000</v>
      </c>
      <c r="K421" s="375">
        <f>'[57]TARGET MURNI DAN PERUBAHAN'!$E$222</f>
        <v>22500000</v>
      </c>
      <c r="L421" s="377">
        <f>[62]PerDinas!$N$421</f>
        <v>81875000</v>
      </c>
      <c r="M421" s="375">
        <f>[55]Perdinas!$E$282</f>
        <v>0</v>
      </c>
      <c r="N421" s="355">
        <f t="shared" si="68"/>
        <v>81875000</v>
      </c>
      <c r="O421" s="355">
        <f t="shared" si="66"/>
        <v>59375000</v>
      </c>
      <c r="P421" s="388">
        <f t="shared" si="67"/>
        <v>363.88888888888886</v>
      </c>
      <c r="Q421" s="448"/>
      <c r="R421" s="554"/>
    </row>
    <row r="422" spans="1:18" s="252" customFormat="1" ht="12.05" customHeight="1">
      <c r="A422" s="293"/>
      <c r="B422" s="292"/>
      <c r="C422" s="292"/>
      <c r="D422" s="292"/>
      <c r="E422" s="292"/>
      <c r="F422" s="292"/>
      <c r="G422" s="253"/>
      <c r="H422" s="2760" t="s">
        <v>50</v>
      </c>
      <c r="I422" s="253" t="s">
        <v>509</v>
      </c>
      <c r="J422" s="374">
        <v>28000000</v>
      </c>
      <c r="K422" s="375">
        <f>'[57]TARGET MURNI DAN PERUBAHAN'!$E$223</f>
        <v>28000000</v>
      </c>
      <c r="L422" s="377">
        <f>[62]PerDinas!$N$422</f>
        <v>0</v>
      </c>
      <c r="M422" s="375">
        <f>[55]Perdinas!$E$283</f>
        <v>0</v>
      </c>
      <c r="N422" s="355">
        <f t="shared" si="68"/>
        <v>0</v>
      </c>
      <c r="O422" s="355">
        <f t="shared" si="66"/>
        <v>-28000000</v>
      </c>
      <c r="P422" s="388">
        <f t="shared" si="67"/>
        <v>0</v>
      </c>
      <c r="Q422" s="448"/>
      <c r="R422" s="554"/>
    </row>
    <row r="423" spans="1:18" s="252" customFormat="1" ht="12.05" customHeight="1">
      <c r="A423" s="293"/>
      <c r="B423" s="292"/>
      <c r="C423" s="292"/>
      <c r="D423" s="292"/>
      <c r="E423" s="292"/>
      <c r="F423" s="292"/>
      <c r="G423" s="253"/>
      <c r="H423" s="2760" t="s">
        <v>50</v>
      </c>
      <c r="I423" s="253" t="s">
        <v>510</v>
      </c>
      <c r="J423" s="374">
        <v>17250000</v>
      </c>
      <c r="K423" s="375">
        <f>'[57]TARGET MURNI DAN PERUBAHAN'!$E$224</f>
        <v>17250000</v>
      </c>
      <c r="L423" s="377">
        <f>[62]PerDinas!$N$423</f>
        <v>27812500</v>
      </c>
      <c r="M423" s="376">
        <f>[55]Perdinas!$E$284</f>
        <v>0</v>
      </c>
      <c r="N423" s="355">
        <f t="shared" si="68"/>
        <v>27812500</v>
      </c>
      <c r="O423" s="355">
        <f t="shared" si="66"/>
        <v>10562500</v>
      </c>
      <c r="P423" s="388">
        <f t="shared" si="67"/>
        <v>161.23188405797103</v>
      </c>
      <c r="Q423" s="448"/>
      <c r="R423" s="554"/>
    </row>
    <row r="424" spans="1:18" s="189" customFormat="1" ht="12.05" customHeight="1">
      <c r="A424" s="293"/>
      <c r="B424" s="292"/>
      <c r="C424" s="292"/>
      <c r="D424" s="292"/>
      <c r="E424" s="292"/>
      <c r="F424" s="292"/>
      <c r="G424" s="291"/>
      <c r="H424" s="2760" t="s">
        <v>50</v>
      </c>
      <c r="I424" s="253" t="s">
        <v>511</v>
      </c>
      <c r="J424" s="345">
        <v>30000000</v>
      </c>
      <c r="K424" s="375">
        <f>'[57]TARGET MURNI DAN PERUBAHAN'!$E$225</f>
        <v>30000000</v>
      </c>
      <c r="L424" s="377">
        <f>[62]PerDinas!$N$424</f>
        <v>0</v>
      </c>
      <c r="M424" s="346">
        <f>[55]Perdinas!$E$285</f>
        <v>0</v>
      </c>
      <c r="N424" s="346">
        <f t="shared" si="68"/>
        <v>0</v>
      </c>
      <c r="O424" s="355">
        <f t="shared" si="66"/>
        <v>-30000000</v>
      </c>
      <c r="P424" s="388">
        <f t="shared" si="67"/>
        <v>0</v>
      </c>
      <c r="Q424" s="454"/>
      <c r="R424" s="554"/>
    </row>
    <row r="425" spans="1:18" s="189" customFormat="1" ht="12.05" customHeight="1">
      <c r="A425" s="293"/>
      <c r="B425" s="292"/>
      <c r="C425" s="292"/>
      <c r="D425" s="292"/>
      <c r="E425" s="292"/>
      <c r="F425" s="292"/>
      <c r="G425" s="291"/>
      <c r="H425" s="2760" t="s">
        <v>50</v>
      </c>
      <c r="I425" s="253" t="s">
        <v>1055</v>
      </c>
      <c r="J425" s="345">
        <v>50000000</v>
      </c>
      <c r="K425" s="375">
        <f>'[57]TARGET MURNI DAN PERUBAHAN'!$E$226</f>
        <v>50000000</v>
      </c>
      <c r="L425" s="377">
        <f>[62]PerDinas!$N$425</f>
        <v>56250000</v>
      </c>
      <c r="M425" s="762">
        <f>[55]Perdinas!$E$286</f>
        <v>0</v>
      </c>
      <c r="N425" s="346">
        <f t="shared" si="68"/>
        <v>56250000</v>
      </c>
      <c r="O425" s="355">
        <f t="shared" si="66"/>
        <v>6250000</v>
      </c>
      <c r="P425" s="388">
        <f t="shared" si="67"/>
        <v>112.5</v>
      </c>
      <c r="Q425" s="437"/>
      <c r="R425" s="554"/>
    </row>
    <row r="426" spans="1:18" s="189" customFormat="1" ht="12.05" customHeight="1">
      <c r="A426" s="293"/>
      <c r="B426" s="292"/>
      <c r="C426" s="292"/>
      <c r="D426" s="292"/>
      <c r="E426" s="292"/>
      <c r="F426" s="292"/>
      <c r="G426" s="2760" t="s">
        <v>50</v>
      </c>
      <c r="H426" s="291"/>
      <c r="I426" s="253" t="s">
        <v>513</v>
      </c>
      <c r="J426" s="387">
        <v>0</v>
      </c>
      <c r="K426" s="375"/>
      <c r="L426" s="377"/>
      <c r="M426" s="367">
        <f>[55]Perdinas!$E$287</f>
        <v>0</v>
      </c>
      <c r="N426" s="346">
        <f t="shared" si="68"/>
        <v>0</v>
      </c>
      <c r="O426" s="355">
        <f t="shared" si="66"/>
        <v>0</v>
      </c>
      <c r="P426" s="388" t="e">
        <f t="shared" si="67"/>
        <v>#DIV/0!</v>
      </c>
      <c r="Q426" s="437"/>
      <c r="R426" s="554"/>
    </row>
    <row r="427" spans="1:18" s="189" customFormat="1" ht="12.05" customHeight="1">
      <c r="A427" s="293"/>
      <c r="B427" s="292"/>
      <c r="C427" s="292"/>
      <c r="D427" s="292"/>
      <c r="E427" s="292"/>
      <c r="F427" s="292"/>
      <c r="G427" s="2760" t="s">
        <v>50</v>
      </c>
      <c r="H427" s="291"/>
      <c r="I427" s="253" t="s">
        <v>514</v>
      </c>
      <c r="J427" s="387">
        <v>0</v>
      </c>
      <c r="K427" s="375"/>
      <c r="L427" s="377"/>
      <c r="M427" s="367">
        <f>[55]Perdinas!$E$288</f>
        <v>0</v>
      </c>
      <c r="N427" s="346">
        <f t="shared" si="68"/>
        <v>0</v>
      </c>
      <c r="O427" s="355">
        <f t="shared" si="66"/>
        <v>0</v>
      </c>
      <c r="P427" s="388" t="e">
        <f t="shared" si="67"/>
        <v>#DIV/0!</v>
      </c>
      <c r="Q427" s="437"/>
      <c r="R427" s="554"/>
    </row>
    <row r="428" spans="1:18" s="189" customFormat="1" ht="12.05" customHeight="1">
      <c r="A428" s="293"/>
      <c r="B428" s="292"/>
      <c r="C428" s="292"/>
      <c r="D428" s="292"/>
      <c r="E428" s="292"/>
      <c r="F428" s="292"/>
      <c r="G428" s="2760" t="s">
        <v>50</v>
      </c>
      <c r="H428" s="291"/>
      <c r="I428" s="253" t="s">
        <v>1056</v>
      </c>
      <c r="J428" s="387">
        <v>0</v>
      </c>
      <c r="K428" s="375"/>
      <c r="L428" s="377">
        <f>[62]PerDinas!$N$428</f>
        <v>0</v>
      </c>
      <c r="M428" s="762">
        <f>[55]Perdinas!$E$289</f>
        <v>0</v>
      </c>
      <c r="N428" s="346">
        <f t="shared" si="68"/>
        <v>0</v>
      </c>
      <c r="O428" s="355">
        <f t="shared" si="66"/>
        <v>0</v>
      </c>
      <c r="P428" s="388" t="e">
        <f t="shared" si="67"/>
        <v>#DIV/0!</v>
      </c>
      <c r="Q428" s="1164"/>
      <c r="R428" s="554"/>
    </row>
    <row r="429" spans="1:18" s="190" customFormat="1" ht="12.05" customHeight="1">
      <c r="A429" s="293"/>
      <c r="B429" s="290"/>
      <c r="C429" s="290"/>
      <c r="D429" s="290"/>
      <c r="E429" s="290"/>
      <c r="F429" s="290"/>
      <c r="G429" s="2761" t="s">
        <v>50</v>
      </c>
      <c r="H429" s="291"/>
      <c r="I429" s="291" t="s">
        <v>1057</v>
      </c>
      <c r="J429" s="387">
        <v>32139000</v>
      </c>
      <c r="K429" s="367">
        <f>'[57]TARGET MURNI DAN PERUBAHAN'!$E$230</f>
        <v>0</v>
      </c>
      <c r="L429" s="1066">
        <v>0</v>
      </c>
      <c r="M429" s="367">
        <f>[55]Perdinas!$E$290</f>
        <v>0</v>
      </c>
      <c r="N429" s="367">
        <f t="shared" si="68"/>
        <v>0</v>
      </c>
      <c r="O429" s="371">
        <f t="shared" si="66"/>
        <v>0</v>
      </c>
      <c r="P429" s="778" t="e">
        <f t="shared" si="67"/>
        <v>#DIV/0!</v>
      </c>
      <c r="Q429" s="437"/>
      <c r="R429" s="554"/>
    </row>
    <row r="430" spans="1:18" s="189" customFormat="1" ht="12.05" customHeight="1">
      <c r="A430" s="293"/>
      <c r="B430" s="292"/>
      <c r="C430" s="292"/>
      <c r="D430" s="292"/>
      <c r="E430" s="292"/>
      <c r="F430" s="292"/>
      <c r="G430" s="291"/>
      <c r="H430" s="291"/>
      <c r="I430" s="253"/>
      <c r="J430" s="387"/>
      <c r="K430" s="367"/>
      <c r="L430" s="660"/>
      <c r="M430" s="346"/>
      <c r="N430" s="346"/>
      <c r="O430" s="355"/>
      <c r="P430" s="335"/>
      <c r="Q430" s="437"/>
      <c r="R430" s="554"/>
    </row>
    <row r="431" spans="1:18" s="189" customFormat="1" ht="12.05" customHeight="1">
      <c r="A431" s="303"/>
      <c r="B431" s="290">
        <v>4</v>
      </c>
      <c r="C431" s="290">
        <v>1</v>
      </c>
      <c r="D431" s="290">
        <v>4</v>
      </c>
      <c r="E431" s="290"/>
      <c r="F431" s="290"/>
      <c r="G431" s="291" t="s">
        <v>71</v>
      </c>
      <c r="H431" s="291"/>
      <c r="I431" s="291"/>
      <c r="J431" s="392">
        <f>J432+J442+J454+J460</f>
        <v>1278104300</v>
      </c>
      <c r="K431" s="393">
        <f>K432+K442+K454+K460+K439</f>
        <v>1520015630</v>
      </c>
      <c r="L431" s="394">
        <f>L432+L439+L442+L454+L460+L462</f>
        <v>1475516753</v>
      </c>
      <c r="M431" s="393" t="e">
        <f>M432+M439+M442+M454+M460</f>
        <v>#REF!</v>
      </c>
      <c r="N431" s="393" t="e">
        <f>M431+L431</f>
        <v>#REF!</v>
      </c>
      <c r="O431" s="349" t="e">
        <f t="shared" ref="O431:O437" si="69">N431-K431</f>
        <v>#REF!</v>
      </c>
      <c r="P431" s="350" t="e">
        <f>N431/K431*100</f>
        <v>#REF!</v>
      </c>
      <c r="Q431" s="444"/>
      <c r="R431" s="554"/>
    </row>
    <row r="432" spans="1:18" s="190" customFormat="1" ht="12.05" customHeight="1">
      <c r="A432" s="303"/>
      <c r="B432" s="290">
        <v>4</v>
      </c>
      <c r="C432" s="290">
        <v>1</v>
      </c>
      <c r="D432" s="290">
        <v>4</v>
      </c>
      <c r="E432" s="290" t="s">
        <v>437</v>
      </c>
      <c r="F432" s="290"/>
      <c r="G432" s="291" t="s">
        <v>206</v>
      </c>
      <c r="H432" s="291"/>
      <c r="I432" s="291"/>
      <c r="J432" s="678">
        <f>SUM(J433:J437)</f>
        <v>571267550</v>
      </c>
      <c r="K432" s="490">
        <f>SUM(K433:K437)</f>
        <v>1250000000</v>
      </c>
      <c r="L432" s="491">
        <f>SUM(L433:L437)</f>
        <v>304824500</v>
      </c>
      <c r="M432" s="490">
        <f>SUM(M433:M437)</f>
        <v>0</v>
      </c>
      <c r="N432" s="490">
        <f t="shared" ref="N432:N437" si="70">M432+L432</f>
        <v>304824500</v>
      </c>
      <c r="O432" s="492">
        <f t="shared" si="69"/>
        <v>-945175500</v>
      </c>
      <c r="P432" s="493">
        <f>N432/K432*100</f>
        <v>24.385960000000001</v>
      </c>
      <c r="Q432" s="547"/>
      <c r="R432" s="554"/>
    </row>
    <row r="433" spans="1:19" s="189" customFormat="1" ht="12.05" customHeight="1">
      <c r="A433" s="303"/>
      <c r="B433" s="292">
        <v>4</v>
      </c>
      <c r="C433" s="292">
        <v>1</v>
      </c>
      <c r="D433" s="292">
        <v>4</v>
      </c>
      <c r="E433" s="292" t="s">
        <v>437</v>
      </c>
      <c r="F433" s="292" t="s">
        <v>437</v>
      </c>
      <c r="G433" s="1157" t="s">
        <v>207</v>
      </c>
      <c r="H433" s="253"/>
      <c r="I433" s="253"/>
      <c r="J433" s="708">
        <v>120000000</v>
      </c>
      <c r="K433" s="661">
        <f>'[57]TARGET MURNI DAN PERUBAHAN'!$E$234</f>
        <v>0</v>
      </c>
      <c r="L433" s="522">
        <f>[62]PerDinas!$N$433</f>
        <v>0</v>
      </c>
      <c r="M433" s="661">
        <f>[55]Perdinas!$E$305</f>
        <v>0</v>
      </c>
      <c r="N433" s="334">
        <f t="shared" si="70"/>
        <v>0</v>
      </c>
      <c r="O433" s="334">
        <f t="shared" si="69"/>
        <v>0</v>
      </c>
      <c r="P433" s="335" t="e">
        <f>N433/K433*100</f>
        <v>#DIV/0!</v>
      </c>
      <c r="Q433" s="732"/>
      <c r="R433" s="554"/>
    </row>
    <row r="434" spans="1:19" s="189" customFormat="1" ht="12.05" customHeight="1">
      <c r="A434" s="303"/>
      <c r="B434" s="292">
        <v>4</v>
      </c>
      <c r="C434" s="292">
        <v>1</v>
      </c>
      <c r="D434" s="292">
        <v>4</v>
      </c>
      <c r="E434" s="292" t="s">
        <v>437</v>
      </c>
      <c r="F434" s="292" t="s">
        <v>438</v>
      </c>
      <c r="G434" s="1157" t="s">
        <v>1058</v>
      </c>
      <c r="H434" s="253"/>
      <c r="I434" s="253"/>
      <c r="J434" s="708">
        <v>101267550</v>
      </c>
      <c r="K434" s="375">
        <f>'[57]TARGET MURNI DAN PERUBAHAN'!$E$235</f>
        <v>1050000000</v>
      </c>
      <c r="L434" s="360">
        <f>[62]PerDinas!$N$434</f>
        <v>6875000</v>
      </c>
      <c r="M434" s="375">
        <f>[55]Perdinas!$E$306</f>
        <v>0</v>
      </c>
      <c r="N434" s="369">
        <f t="shared" si="70"/>
        <v>6875000</v>
      </c>
      <c r="O434" s="355">
        <f t="shared" si="69"/>
        <v>-1043125000</v>
      </c>
      <c r="P434" s="388">
        <v>0</v>
      </c>
      <c r="Q434" s="732"/>
      <c r="R434" s="554"/>
    </row>
    <row r="435" spans="1:19" s="189" customFormat="1" ht="12.05" customHeight="1">
      <c r="A435" s="303"/>
      <c r="B435" s="292">
        <v>4</v>
      </c>
      <c r="C435" s="292">
        <v>1</v>
      </c>
      <c r="D435" s="292">
        <v>4</v>
      </c>
      <c r="E435" s="292" t="s">
        <v>437</v>
      </c>
      <c r="F435" s="292" t="s">
        <v>440</v>
      </c>
      <c r="G435" s="1157" t="s">
        <v>1059</v>
      </c>
      <c r="H435" s="253"/>
      <c r="I435" s="253"/>
      <c r="J435" s="374">
        <v>0</v>
      </c>
      <c r="K435" s="375">
        <f>'[57]TARGET MURNI DAN PERUBAHAN'!$E$236</f>
        <v>0</v>
      </c>
      <c r="L435" s="360">
        <f>[62]PerDinas!$N$435</f>
        <v>0</v>
      </c>
      <c r="M435" s="375">
        <f>[55]Perdinas!$E$307</f>
        <v>0</v>
      </c>
      <c r="N435" s="355">
        <f t="shared" si="70"/>
        <v>0</v>
      </c>
      <c r="O435" s="355">
        <f t="shared" si="69"/>
        <v>0</v>
      </c>
      <c r="P435" s="388">
        <v>0</v>
      </c>
      <c r="Q435" s="448"/>
      <c r="R435" s="554"/>
    </row>
    <row r="436" spans="1:19" s="189" customFormat="1" ht="12.05" customHeight="1">
      <c r="A436" s="303"/>
      <c r="B436" s="292">
        <v>4</v>
      </c>
      <c r="C436" s="292">
        <v>1</v>
      </c>
      <c r="D436" s="292">
        <v>4</v>
      </c>
      <c r="E436" s="292" t="s">
        <v>437</v>
      </c>
      <c r="F436" s="292" t="s">
        <v>445</v>
      </c>
      <c r="G436" s="1157" t="s">
        <v>1060</v>
      </c>
      <c r="H436" s="253"/>
      <c r="I436" s="253"/>
      <c r="J436" s="679">
        <v>0</v>
      </c>
      <c r="K436" s="691">
        <f>'[57]TARGET MURNI DAN PERUBAHAN'!$E$237</f>
        <v>0</v>
      </c>
      <c r="L436" s="360">
        <f>[62]PerDinas!$N$436</f>
        <v>62500000</v>
      </c>
      <c r="M436" s="691">
        <f>[55]Perdinas!$E$308</f>
        <v>0</v>
      </c>
      <c r="N436" s="817">
        <f t="shared" si="70"/>
        <v>62500000</v>
      </c>
      <c r="O436" s="352">
        <f t="shared" si="69"/>
        <v>62500000</v>
      </c>
      <c r="P436" s="388">
        <v>0</v>
      </c>
      <c r="Q436" s="449"/>
      <c r="R436" s="554"/>
    </row>
    <row r="437" spans="1:19" s="189" customFormat="1" ht="12.05" customHeight="1">
      <c r="A437" s="303"/>
      <c r="B437" s="292">
        <v>4</v>
      </c>
      <c r="C437" s="292">
        <v>1</v>
      </c>
      <c r="D437" s="292">
        <v>4</v>
      </c>
      <c r="E437" s="292" t="s">
        <v>437</v>
      </c>
      <c r="F437" s="292" t="s">
        <v>444</v>
      </c>
      <c r="G437" s="253" t="s">
        <v>1061</v>
      </c>
      <c r="H437" s="253"/>
      <c r="I437" s="253"/>
      <c r="J437" s="389">
        <v>350000000</v>
      </c>
      <c r="K437" s="357">
        <f>'[57]TARGET MURNI DAN PERUBAHAN'!$E$238</f>
        <v>200000000</v>
      </c>
      <c r="L437" s="360">
        <f>[62]PerDinas!$N$437</f>
        <v>235449500</v>
      </c>
      <c r="M437" s="357">
        <f>[55]Perdinas!$E$309</f>
        <v>0</v>
      </c>
      <c r="N437" s="817">
        <f t="shared" si="70"/>
        <v>235449500</v>
      </c>
      <c r="O437" s="352">
        <f t="shared" si="69"/>
        <v>35449500</v>
      </c>
      <c r="P437" s="388">
        <f>N437/K437*100</f>
        <v>117.72475</v>
      </c>
      <c r="Q437" s="441"/>
      <c r="R437" s="554"/>
      <c r="S437" s="643"/>
    </row>
    <row r="438" spans="1:19" s="189" customFormat="1" ht="12.05" customHeight="1">
      <c r="A438" s="303"/>
      <c r="B438" s="292"/>
      <c r="C438" s="292"/>
      <c r="D438" s="292"/>
      <c r="E438" s="292"/>
      <c r="F438" s="292"/>
      <c r="G438" s="253"/>
      <c r="H438" s="253"/>
      <c r="I438" s="253"/>
      <c r="J438" s="333"/>
      <c r="K438" s="334"/>
      <c r="L438" s="360"/>
      <c r="M438" s="334"/>
      <c r="N438" s="334"/>
      <c r="O438" s="334"/>
      <c r="P438" s="335"/>
      <c r="Q438" s="430"/>
      <c r="R438" s="554"/>
    </row>
    <row r="439" spans="1:19" s="189" customFormat="1" ht="12.05" customHeight="1">
      <c r="A439" s="303"/>
      <c r="B439" s="292">
        <v>4</v>
      </c>
      <c r="C439" s="292">
        <v>1</v>
      </c>
      <c r="D439" s="292">
        <v>4</v>
      </c>
      <c r="E439" s="292" t="s">
        <v>448</v>
      </c>
      <c r="F439" s="292"/>
      <c r="G439" s="291" t="s">
        <v>220</v>
      </c>
      <c r="H439" s="253"/>
      <c r="I439" s="253"/>
      <c r="J439" s="475">
        <f>SUM(J440)</f>
        <v>0</v>
      </c>
      <c r="K439" s="476">
        <f>SUM(K440)</f>
        <v>190263530</v>
      </c>
      <c r="L439" s="675">
        <f>L440</f>
        <v>7480001</v>
      </c>
      <c r="M439" s="476">
        <f>M440</f>
        <v>0</v>
      </c>
      <c r="N439" s="490">
        <f>N440</f>
        <v>7480001</v>
      </c>
      <c r="O439" s="492">
        <f t="shared" ref="O439:O445" si="71">N439-K439</f>
        <v>-182783529</v>
      </c>
      <c r="P439" s="493">
        <f>N439/K439*100</f>
        <v>3.93138979393476</v>
      </c>
      <c r="Q439" s="1165"/>
      <c r="R439" s="554"/>
    </row>
    <row r="440" spans="1:19" s="189" customFormat="1" ht="12.05" customHeight="1">
      <c r="A440" s="303"/>
      <c r="B440" s="292">
        <v>4</v>
      </c>
      <c r="C440" s="292">
        <v>1</v>
      </c>
      <c r="D440" s="292">
        <v>4</v>
      </c>
      <c r="E440" s="292" t="s">
        <v>448</v>
      </c>
      <c r="F440" s="292" t="s">
        <v>437</v>
      </c>
      <c r="G440" s="253" t="s">
        <v>221</v>
      </c>
      <c r="H440" s="253"/>
      <c r="I440" s="253"/>
      <c r="J440" s="389">
        <v>0</v>
      </c>
      <c r="K440" s="390">
        <f>'[57]TARGET MURNI DAN PERUBAHAN'!$E$244</f>
        <v>190263530</v>
      </c>
      <c r="L440" s="391">
        <f>[62]PerDinas!$N$440</f>
        <v>7480001</v>
      </c>
      <c r="M440" s="390">
        <v>0</v>
      </c>
      <c r="N440" s="361">
        <f t="shared" ref="N440:N445" si="72">M440+L440</f>
        <v>7480001</v>
      </c>
      <c r="O440" s="334">
        <f t="shared" si="71"/>
        <v>-182783529</v>
      </c>
      <c r="P440" s="335">
        <f>N440/K440*100</f>
        <v>3.93138979393476</v>
      </c>
      <c r="Q440" s="442"/>
      <c r="R440" s="554"/>
      <c r="S440" s="436"/>
    </row>
    <row r="441" spans="1:19" s="189" customFormat="1" ht="12.05" customHeight="1">
      <c r="A441" s="303"/>
      <c r="B441" s="292"/>
      <c r="C441" s="292"/>
      <c r="D441" s="292"/>
      <c r="E441" s="292"/>
      <c r="F441" s="292"/>
      <c r="G441" s="253"/>
      <c r="H441" s="253"/>
      <c r="I441" s="253"/>
      <c r="J441" s="354"/>
      <c r="K441" s="355"/>
      <c r="L441" s="360"/>
      <c r="M441" s="355"/>
      <c r="N441" s="355"/>
      <c r="O441" s="355"/>
      <c r="P441" s="388"/>
      <c r="Q441" s="441"/>
      <c r="R441" s="554"/>
    </row>
    <row r="442" spans="1:19" s="189" customFormat="1" ht="12.05" customHeight="1">
      <c r="A442" s="293"/>
      <c r="B442" s="292">
        <v>4</v>
      </c>
      <c r="C442" s="292">
        <v>1</v>
      </c>
      <c r="D442" s="292">
        <v>4</v>
      </c>
      <c r="E442" s="292" t="s">
        <v>444</v>
      </c>
      <c r="F442" s="292"/>
      <c r="G442" s="291" t="s">
        <v>222</v>
      </c>
      <c r="H442" s="253"/>
      <c r="I442" s="253"/>
      <c r="J442" s="746">
        <f>SUM(J443:J445)</f>
        <v>565321150</v>
      </c>
      <c r="K442" s="676">
        <f>SUM(K443:K445)</f>
        <v>0</v>
      </c>
      <c r="L442" s="675">
        <f>SUM(L443:L445)</f>
        <v>84314622</v>
      </c>
      <c r="M442" s="676" t="e">
        <f>SUM(M443:M445)</f>
        <v>#REF!</v>
      </c>
      <c r="N442" s="676" t="e">
        <f>SUM(N443:N445)</f>
        <v>#REF!</v>
      </c>
      <c r="O442" s="492" t="e">
        <f t="shared" si="71"/>
        <v>#REF!</v>
      </c>
      <c r="P442" s="493"/>
      <c r="Q442" s="696"/>
      <c r="R442" s="554"/>
    </row>
    <row r="443" spans="1:19" s="189" customFormat="1" ht="12.05" customHeight="1">
      <c r="A443" s="289"/>
      <c r="B443" s="292">
        <v>4</v>
      </c>
      <c r="C443" s="292">
        <v>1</v>
      </c>
      <c r="D443" s="292">
        <v>4</v>
      </c>
      <c r="E443" s="292" t="s">
        <v>444</v>
      </c>
      <c r="F443" s="292" t="s">
        <v>440</v>
      </c>
      <c r="G443" s="253" t="s">
        <v>73</v>
      </c>
      <c r="H443" s="253"/>
      <c r="I443" s="253"/>
      <c r="J443" s="354">
        <v>0</v>
      </c>
      <c r="K443" s="355">
        <v>0</v>
      </c>
      <c r="L443" s="360">
        <f>[62]PerDinas!$N$443</f>
        <v>0</v>
      </c>
      <c r="M443" s="355" t="e">
        <f>[55]Perdinas!#REF!</f>
        <v>#REF!</v>
      </c>
      <c r="N443" s="355" t="e">
        <f t="shared" si="72"/>
        <v>#REF!</v>
      </c>
      <c r="O443" s="355" t="e">
        <f t="shared" si="71"/>
        <v>#REF!</v>
      </c>
      <c r="P443" s="388"/>
      <c r="Q443" s="441"/>
      <c r="R443" s="554"/>
    </row>
    <row r="444" spans="1:19" s="189" customFormat="1" ht="12.05" customHeight="1">
      <c r="A444" s="289"/>
      <c r="B444" s="292">
        <v>4</v>
      </c>
      <c r="C444" s="292">
        <v>1</v>
      </c>
      <c r="D444" s="292">
        <v>4</v>
      </c>
      <c r="E444" s="292" t="s">
        <v>444</v>
      </c>
      <c r="F444" s="292" t="s">
        <v>445</v>
      </c>
      <c r="G444" s="253" t="s">
        <v>74</v>
      </c>
      <c r="H444" s="253"/>
      <c r="I444" s="253"/>
      <c r="J444" s="354">
        <v>0</v>
      </c>
      <c r="K444" s="355">
        <v>0</v>
      </c>
      <c r="L444" s="360">
        <v>0</v>
      </c>
      <c r="M444" s="355" t="e">
        <f>[55]Perdinas!#REF!</f>
        <v>#REF!</v>
      </c>
      <c r="N444" s="355" t="e">
        <f t="shared" si="72"/>
        <v>#REF!</v>
      </c>
      <c r="O444" s="355" t="e">
        <f t="shared" si="71"/>
        <v>#REF!</v>
      </c>
      <c r="P444" s="388"/>
      <c r="Q444" s="441"/>
      <c r="R444" s="554"/>
    </row>
    <row r="445" spans="1:19" s="189" customFormat="1" ht="12.05" customHeight="1">
      <c r="A445" s="1158"/>
      <c r="B445" s="908">
        <v>4</v>
      </c>
      <c r="C445" s="908">
        <v>1</v>
      </c>
      <c r="D445" s="908">
        <v>4</v>
      </c>
      <c r="E445" s="908" t="s">
        <v>444</v>
      </c>
      <c r="F445" s="908" t="s">
        <v>441</v>
      </c>
      <c r="G445" s="909" t="s">
        <v>75</v>
      </c>
      <c r="H445" s="909"/>
      <c r="I445" s="909"/>
      <c r="J445" s="1004">
        <v>565321150</v>
      </c>
      <c r="K445" s="1160">
        <f>'[57]TARGET MURNI DAN PERUBAHAN'!$E$249</f>
        <v>0</v>
      </c>
      <c r="L445" s="1161">
        <f>[62]PerDinas!$N$445</f>
        <v>84314622</v>
      </c>
      <c r="M445" s="1160" t="e">
        <f>[55]Perdinas!#REF!</f>
        <v>#REF!</v>
      </c>
      <c r="N445" s="1162" t="e">
        <f t="shared" si="72"/>
        <v>#REF!</v>
      </c>
      <c r="O445" s="973" t="e">
        <f t="shared" si="71"/>
        <v>#REF!</v>
      </c>
      <c r="P445" s="1163" t="e">
        <f>N445/K445*100</f>
        <v>#REF!</v>
      </c>
      <c r="Q445" s="448"/>
      <c r="R445" s="554"/>
    </row>
    <row r="446" spans="1:19" s="189" customFormat="1" ht="12.05" customHeight="1">
      <c r="A446" s="293"/>
      <c r="B446" s="292"/>
      <c r="C446" s="292"/>
      <c r="D446" s="292"/>
      <c r="E446" s="292"/>
      <c r="F446" s="292"/>
      <c r="G446" s="2760" t="s">
        <v>50</v>
      </c>
      <c r="H446" s="253" t="s">
        <v>1062</v>
      </c>
      <c r="I446" s="253"/>
      <c r="J446" s="374"/>
      <c r="K446" s="375"/>
      <c r="L446" s="377"/>
      <c r="M446" s="375"/>
      <c r="N446" s="355"/>
      <c r="O446" s="355"/>
      <c r="P446" s="388"/>
      <c r="Q446" s="448"/>
      <c r="R446" s="554"/>
    </row>
    <row r="447" spans="1:19" s="189" customFormat="1" ht="12.05" customHeight="1">
      <c r="A447" s="293"/>
      <c r="B447" s="292"/>
      <c r="C447" s="292"/>
      <c r="D447" s="292"/>
      <c r="E447" s="292"/>
      <c r="F447" s="292"/>
      <c r="G447" s="2760" t="s">
        <v>50</v>
      </c>
      <c r="H447" s="253" t="s">
        <v>1063</v>
      </c>
      <c r="I447" s="253"/>
      <c r="J447" s="374"/>
      <c r="K447" s="375"/>
      <c r="L447" s="377"/>
      <c r="M447" s="375"/>
      <c r="N447" s="355"/>
      <c r="O447" s="355"/>
      <c r="P447" s="388"/>
      <c r="Q447" s="448"/>
      <c r="R447" s="554"/>
    </row>
    <row r="448" spans="1:19" s="189" customFormat="1" ht="12.05" customHeight="1">
      <c r="A448" s="293"/>
      <c r="B448" s="292"/>
      <c r="C448" s="292"/>
      <c r="D448" s="292"/>
      <c r="E448" s="292"/>
      <c r="F448" s="292"/>
      <c r="G448" s="2760" t="s">
        <v>50</v>
      </c>
      <c r="H448" s="253" t="s">
        <v>1064</v>
      </c>
      <c r="I448" s="253"/>
      <c r="J448" s="374"/>
      <c r="K448" s="375"/>
      <c r="L448" s="377"/>
      <c r="M448" s="375"/>
      <c r="N448" s="355"/>
      <c r="O448" s="355"/>
      <c r="P448" s="388"/>
      <c r="Q448" s="448"/>
      <c r="R448" s="554"/>
    </row>
    <row r="449" spans="1:19" s="189" customFormat="1" ht="15.05">
      <c r="A449" s="293"/>
      <c r="B449" s="292"/>
      <c r="C449" s="292"/>
      <c r="D449" s="292"/>
      <c r="E449" s="292"/>
      <c r="F449" s="292"/>
      <c r="G449" s="2760" t="s">
        <v>50</v>
      </c>
      <c r="H449" s="253" t="s">
        <v>1065</v>
      </c>
      <c r="I449" s="253"/>
      <c r="J449" s="374"/>
      <c r="K449" s="375"/>
      <c r="L449" s="377"/>
      <c r="M449" s="375"/>
      <c r="N449" s="355"/>
      <c r="O449" s="355"/>
      <c r="P449" s="388"/>
      <c r="Q449" s="1166"/>
      <c r="R449" s="554"/>
    </row>
    <row r="450" spans="1:19" s="189" customFormat="1" ht="12.05" customHeight="1">
      <c r="A450" s="293"/>
      <c r="B450" s="292"/>
      <c r="C450" s="292"/>
      <c r="D450" s="292"/>
      <c r="E450" s="292"/>
      <c r="F450" s="292"/>
      <c r="G450" s="2760" t="s">
        <v>50</v>
      </c>
      <c r="H450" s="253" t="s">
        <v>1066</v>
      </c>
      <c r="I450" s="253"/>
      <c r="J450" s="374"/>
      <c r="K450" s="375"/>
      <c r="L450" s="377"/>
      <c r="M450" s="375"/>
      <c r="N450" s="355"/>
      <c r="O450" s="355"/>
      <c r="P450" s="388"/>
      <c r="Q450" s="699"/>
      <c r="R450" s="554"/>
    </row>
    <row r="451" spans="1:19" s="189" customFormat="1" ht="12.05" customHeight="1">
      <c r="A451" s="293"/>
      <c r="B451" s="292"/>
      <c r="C451" s="292"/>
      <c r="D451" s="292"/>
      <c r="E451" s="292"/>
      <c r="F451" s="292"/>
      <c r="G451" s="2760" t="s">
        <v>50</v>
      </c>
      <c r="H451" s="253" t="s">
        <v>1067</v>
      </c>
      <c r="I451" s="253"/>
      <c r="J451" s="374"/>
      <c r="K451" s="375"/>
      <c r="L451" s="377"/>
      <c r="M451" s="375"/>
      <c r="N451" s="355"/>
      <c r="O451" s="355"/>
      <c r="P451" s="388"/>
      <c r="Q451" s="699"/>
      <c r="R451" s="554"/>
    </row>
    <row r="452" spans="1:19" s="189" customFormat="1" ht="12.05" customHeight="1">
      <c r="A452" s="293"/>
      <c r="B452" s="292"/>
      <c r="C452" s="292"/>
      <c r="D452" s="292"/>
      <c r="E452" s="292"/>
      <c r="F452" s="292"/>
      <c r="G452" s="2760" t="s">
        <v>50</v>
      </c>
      <c r="H452" s="253" t="s">
        <v>1068</v>
      </c>
      <c r="I452" s="253"/>
      <c r="J452" s="374"/>
      <c r="K452" s="375"/>
      <c r="L452" s="377"/>
      <c r="M452" s="375"/>
      <c r="N452" s="355"/>
      <c r="O452" s="355"/>
      <c r="P452" s="388"/>
      <c r="Q452" s="699"/>
      <c r="R452" s="422"/>
    </row>
    <row r="453" spans="1:19" s="189" customFormat="1" ht="12.05" customHeight="1">
      <c r="A453" s="293"/>
      <c r="B453" s="292"/>
      <c r="C453" s="292"/>
      <c r="D453" s="292"/>
      <c r="E453" s="292"/>
      <c r="F453" s="292"/>
      <c r="G453" s="253"/>
      <c r="H453" s="253"/>
      <c r="I453" s="253"/>
      <c r="J453" s="374"/>
      <c r="K453" s="375"/>
      <c r="L453" s="377"/>
      <c r="M453" s="375"/>
      <c r="N453" s="355"/>
      <c r="O453" s="355"/>
      <c r="P453" s="388"/>
      <c r="Q453" s="699"/>
      <c r="R453" s="422"/>
    </row>
    <row r="454" spans="1:19" s="189" customFormat="1" ht="12.05" customHeight="1">
      <c r="A454" s="293"/>
      <c r="B454" s="292" t="s">
        <v>443</v>
      </c>
      <c r="C454" s="292" t="s">
        <v>58</v>
      </c>
      <c r="D454" s="292" t="s">
        <v>443</v>
      </c>
      <c r="E454" s="292" t="s">
        <v>459</v>
      </c>
      <c r="F454" s="292"/>
      <c r="G454" s="291" t="s">
        <v>230</v>
      </c>
      <c r="H454" s="253"/>
      <c r="I454" s="253"/>
      <c r="J454" s="746">
        <f>+J455+J456</f>
        <v>141515600</v>
      </c>
      <c r="K454" s="676">
        <f>+K455+K456</f>
        <v>60900800</v>
      </c>
      <c r="L454" s="675">
        <f>+L455+L456</f>
        <v>0</v>
      </c>
      <c r="M454" s="676">
        <f>+M455+M456</f>
        <v>0</v>
      </c>
      <c r="N454" s="676">
        <f>+N455+N456</f>
        <v>0</v>
      </c>
      <c r="O454" s="492">
        <f>N454-K454</f>
        <v>-60900800</v>
      </c>
      <c r="P454" s="493">
        <v>0</v>
      </c>
      <c r="Q454" s="445"/>
      <c r="R454" s="422"/>
    </row>
    <row r="455" spans="1:19" s="189" customFormat="1" ht="12.05" customHeight="1">
      <c r="A455" s="293"/>
      <c r="B455" s="292" t="s">
        <v>443</v>
      </c>
      <c r="C455" s="292" t="s">
        <v>58</v>
      </c>
      <c r="D455" s="292" t="s">
        <v>443</v>
      </c>
      <c r="E455" s="292" t="s">
        <v>459</v>
      </c>
      <c r="F455" s="292" t="s">
        <v>437</v>
      </c>
      <c r="G455" s="253" t="s">
        <v>231</v>
      </c>
      <c r="H455" s="253"/>
      <c r="I455" s="253"/>
      <c r="J455" s="333">
        <v>13297300</v>
      </c>
      <c r="K455" s="334">
        <f>'[57]TARGET MURNI DAN PERUBAHAN'!$E$252</f>
        <v>12035600</v>
      </c>
      <c r="L455" s="692">
        <f>[62]PerDinas!$N$455</f>
        <v>0</v>
      </c>
      <c r="M455" s="334">
        <f>[55]Perdinas!$E$346</f>
        <v>0</v>
      </c>
      <c r="N455" s="334">
        <f>M455+L455</f>
        <v>0</v>
      </c>
      <c r="O455" s="334">
        <f>N455-K455</f>
        <v>-12035600</v>
      </c>
      <c r="P455" s="335"/>
      <c r="Q455" s="430"/>
      <c r="R455" s="422"/>
    </row>
    <row r="456" spans="1:19" s="189" customFormat="1" ht="12.05" customHeight="1">
      <c r="A456" s="293"/>
      <c r="B456" s="292" t="s">
        <v>443</v>
      </c>
      <c r="C456" s="292" t="s">
        <v>58</v>
      </c>
      <c r="D456" s="292" t="s">
        <v>443</v>
      </c>
      <c r="E456" s="292" t="s">
        <v>459</v>
      </c>
      <c r="F456" s="292" t="s">
        <v>438</v>
      </c>
      <c r="G456" s="253" t="s">
        <v>233</v>
      </c>
      <c r="H456" s="253"/>
      <c r="I456" s="253"/>
      <c r="J456" s="354">
        <f>SUM(J457:J458)</f>
        <v>128218300</v>
      </c>
      <c r="K456" s="355">
        <f>'[57]TARGET MURNI DAN PERUBAHAN'!$E$253</f>
        <v>48865200</v>
      </c>
      <c r="L456" s="360">
        <f>[62]PerDinas!$N$456</f>
        <v>0</v>
      </c>
      <c r="M456" s="355">
        <f>[55]Perdinas!$E$347</f>
        <v>0</v>
      </c>
      <c r="N456" s="355">
        <f>M456+L456</f>
        <v>0</v>
      </c>
      <c r="O456" s="355">
        <f>N456-K456</f>
        <v>-48865200</v>
      </c>
      <c r="P456" s="388">
        <v>0</v>
      </c>
      <c r="Q456" s="441"/>
      <c r="R456" s="422"/>
    </row>
    <row r="457" spans="1:19" s="189" customFormat="1" ht="12.05" customHeight="1">
      <c r="A457" s="293"/>
      <c r="B457" s="292"/>
      <c r="C457" s="292"/>
      <c r="D457" s="292"/>
      <c r="E457" s="292"/>
      <c r="F457" s="292"/>
      <c r="G457" s="253" t="s">
        <v>50</v>
      </c>
      <c r="H457" s="253"/>
      <c r="I457" s="253" t="s">
        <v>234</v>
      </c>
      <c r="J457" s="389">
        <v>19226000</v>
      </c>
      <c r="K457" s="355"/>
      <c r="L457" s="391"/>
      <c r="M457" s="357">
        <v>0</v>
      </c>
      <c r="N457" s="334">
        <f>M457+L457</f>
        <v>0</v>
      </c>
      <c r="O457" s="334">
        <f>N457-K457</f>
        <v>0</v>
      </c>
      <c r="P457" s="335">
        <v>0</v>
      </c>
      <c r="Q457" s="442"/>
      <c r="R457" s="422"/>
    </row>
    <row r="458" spans="1:19" s="189" customFormat="1" ht="12.05" customHeight="1">
      <c r="A458" s="293"/>
      <c r="B458" s="292"/>
      <c r="C458" s="292"/>
      <c r="D458" s="292"/>
      <c r="E458" s="292"/>
      <c r="F458" s="292"/>
      <c r="G458" s="253" t="s">
        <v>50</v>
      </c>
      <c r="H458" s="253"/>
      <c r="I458" s="253" t="s">
        <v>235</v>
      </c>
      <c r="J458" s="354">
        <v>108992300</v>
      </c>
      <c r="K458" s="355"/>
      <c r="L458" s="391">
        <v>0</v>
      </c>
      <c r="M458" s="355"/>
      <c r="N458" s="355">
        <f>M458+L458</f>
        <v>0</v>
      </c>
      <c r="O458" s="355">
        <f>N458-K458</f>
        <v>0</v>
      </c>
      <c r="P458" s="388">
        <v>0</v>
      </c>
      <c r="Q458" s="441"/>
      <c r="R458" s="422"/>
    </row>
    <row r="459" spans="1:19" s="189" customFormat="1" ht="12.05" customHeight="1">
      <c r="A459" s="293"/>
      <c r="B459" s="292"/>
      <c r="C459" s="292"/>
      <c r="D459" s="292"/>
      <c r="E459" s="292"/>
      <c r="F459" s="292"/>
      <c r="G459" s="253"/>
      <c r="H459" s="253"/>
      <c r="I459" s="253"/>
      <c r="J459" s="354"/>
      <c r="K459" s="355"/>
      <c r="L459" s="360"/>
      <c r="M459" s="355"/>
      <c r="N459" s="355"/>
      <c r="O459" s="355"/>
      <c r="P459" s="388"/>
      <c r="Q459" s="441"/>
      <c r="R459" s="422"/>
    </row>
    <row r="460" spans="1:19" s="189" customFormat="1" ht="12.05" customHeight="1">
      <c r="A460" s="293"/>
      <c r="B460" s="292">
        <v>4</v>
      </c>
      <c r="C460" s="292">
        <v>1</v>
      </c>
      <c r="D460" s="292">
        <v>4</v>
      </c>
      <c r="E460" s="292" t="s">
        <v>948</v>
      </c>
      <c r="F460" s="292" t="s">
        <v>437</v>
      </c>
      <c r="G460" s="253" t="s">
        <v>321</v>
      </c>
      <c r="H460" s="253"/>
      <c r="I460" s="253"/>
      <c r="J460" s="374">
        <f>J461</f>
        <v>0</v>
      </c>
      <c r="K460" s="375">
        <f>K461</f>
        <v>18851300</v>
      </c>
      <c r="L460" s="377">
        <f>L461</f>
        <v>1078897630</v>
      </c>
      <c r="M460" s="375">
        <f>SUM(M461:M462)</f>
        <v>0</v>
      </c>
      <c r="N460" s="375">
        <f>SUM(N461:N462)</f>
        <v>1078897630</v>
      </c>
      <c r="O460" s="375">
        <f>SUM(O461:O462)</f>
        <v>1060046330</v>
      </c>
      <c r="P460" s="388">
        <v>0</v>
      </c>
      <c r="Q460" s="448"/>
      <c r="R460" s="431"/>
      <c r="S460" s="436"/>
    </row>
    <row r="461" spans="1:19" s="189" customFormat="1" ht="12.05" customHeight="1">
      <c r="A461" s="293"/>
      <c r="B461" s="292"/>
      <c r="C461" s="292"/>
      <c r="D461" s="292"/>
      <c r="E461" s="292"/>
      <c r="F461" s="292"/>
      <c r="G461" s="253" t="s">
        <v>50</v>
      </c>
      <c r="H461" s="253"/>
      <c r="I461" s="253" t="s">
        <v>85</v>
      </c>
      <c r="J461" s="679"/>
      <c r="K461" s="691">
        <f>'[57]TARGET MURNI DAN PERUBAHAN'!$E$256</f>
        <v>18851300</v>
      </c>
      <c r="L461" s="692">
        <f>[62]PerDinas!$N$461</f>
        <v>1078897630</v>
      </c>
      <c r="M461" s="691">
        <f>[55]Perdinas!$E$352</f>
        <v>0</v>
      </c>
      <c r="N461" s="369">
        <f>M461+L461</f>
        <v>1078897630</v>
      </c>
      <c r="O461" s="355">
        <f>N461-K461</f>
        <v>1060046330</v>
      </c>
      <c r="P461" s="353"/>
      <c r="Q461" s="449"/>
      <c r="R461" s="555">
        <f>N461-1346349131</f>
        <v>-267451501</v>
      </c>
    </row>
    <row r="462" spans="1:19" s="245" customFormat="1" ht="12.05" customHeight="1">
      <c r="A462" s="472"/>
      <c r="B462" s="305"/>
      <c r="C462" s="305"/>
      <c r="D462" s="305"/>
      <c r="E462" s="305"/>
      <c r="F462" s="305"/>
      <c r="G462" s="802"/>
      <c r="H462" s="5905"/>
      <c r="I462" s="5906"/>
      <c r="J462" s="499">
        <v>0</v>
      </c>
      <c r="K462" s="379">
        <f>'[57]TARGET MURNI DAN PERUBAHAN'!$E$257</f>
        <v>0</v>
      </c>
      <c r="L462" s="818">
        <f>[62]PerDinas!$N$462</f>
        <v>0</v>
      </c>
      <c r="M462" s="379">
        <f>[60]Perdinas!$E$257</f>
        <v>0</v>
      </c>
      <c r="N462" s="380">
        <f>M462+L462</f>
        <v>0</v>
      </c>
      <c r="O462" s="380">
        <f>N462-K462</f>
        <v>0</v>
      </c>
      <c r="P462" s="501"/>
      <c r="Q462" s="549"/>
      <c r="R462" s="450"/>
    </row>
    <row r="463" spans="1:19" s="189" customFormat="1" ht="12.05" customHeight="1">
      <c r="A463" s="803"/>
      <c r="B463" s="798" t="s">
        <v>58</v>
      </c>
      <c r="C463" s="798" t="s">
        <v>849</v>
      </c>
      <c r="D463" s="798" t="s">
        <v>440</v>
      </c>
      <c r="E463" s="798" t="s">
        <v>438</v>
      </c>
      <c r="F463" s="799"/>
      <c r="G463" s="804" t="s">
        <v>1037</v>
      </c>
      <c r="H463" s="801"/>
      <c r="I463" s="804"/>
      <c r="J463" s="807">
        <f>+J465</f>
        <v>500000</v>
      </c>
      <c r="K463" s="808">
        <f>+K465</f>
        <v>0</v>
      </c>
      <c r="L463" s="808">
        <f>+L465</f>
        <v>0</v>
      </c>
      <c r="M463" s="808">
        <f>+M465</f>
        <v>0</v>
      </c>
      <c r="N463" s="808">
        <f>+M463+L463</f>
        <v>0</v>
      </c>
      <c r="O463" s="808">
        <f>N463-K463</f>
        <v>0</v>
      </c>
      <c r="P463" s="809" t="e">
        <f>N463/K463*100</f>
        <v>#DIV/0!</v>
      </c>
      <c r="Q463" s="820"/>
      <c r="R463" s="422"/>
    </row>
    <row r="464" spans="1:19" s="189" customFormat="1" ht="12.05" customHeight="1">
      <c r="A464" s="471"/>
      <c r="B464" s="287"/>
      <c r="C464" s="287"/>
      <c r="D464" s="287"/>
      <c r="E464" s="287"/>
      <c r="F464" s="287"/>
      <c r="G464" s="410"/>
      <c r="H464" s="410"/>
      <c r="I464" s="410"/>
      <c r="J464" s="342"/>
      <c r="K464" s="343"/>
      <c r="L464" s="343"/>
      <c r="M464" s="343"/>
      <c r="N464" s="492"/>
      <c r="O464" s="492"/>
      <c r="P464" s="487"/>
      <c r="Q464" s="437"/>
      <c r="R464" s="422"/>
    </row>
    <row r="465" spans="1:18" s="189" customFormat="1" ht="12.05" customHeight="1">
      <c r="A465" s="293"/>
      <c r="B465" s="290">
        <v>4</v>
      </c>
      <c r="C465" s="290">
        <v>1</v>
      </c>
      <c r="D465" s="290"/>
      <c r="E465" s="290"/>
      <c r="F465" s="290"/>
      <c r="G465" s="291" t="s">
        <v>180</v>
      </c>
      <c r="H465" s="291"/>
      <c r="I465" s="291"/>
      <c r="J465" s="518">
        <f>J467</f>
        <v>500000</v>
      </c>
      <c r="K465" s="519">
        <f>K467</f>
        <v>0</v>
      </c>
      <c r="L465" s="519">
        <f>L467+L536</f>
        <v>0</v>
      </c>
      <c r="M465" s="519">
        <f>M467+M536</f>
        <v>0</v>
      </c>
      <c r="N465" s="519">
        <f>N467+N536</f>
        <v>0</v>
      </c>
      <c r="O465" s="343">
        <f t="shared" ref="O465:O471" si="73">N465-K465</f>
        <v>0</v>
      </c>
      <c r="P465" s="344" t="e">
        <f>N465/K465*100</f>
        <v>#DIV/0!</v>
      </c>
      <c r="Q465" s="559"/>
      <c r="R465" s="422"/>
    </row>
    <row r="466" spans="1:18" s="189" customFormat="1" ht="12.05" customHeight="1">
      <c r="A466" s="293"/>
      <c r="B466" s="292"/>
      <c r="C466" s="292"/>
      <c r="D466" s="292"/>
      <c r="E466" s="292"/>
      <c r="F466" s="292"/>
      <c r="G466" s="253"/>
      <c r="H466" s="253"/>
      <c r="I466" s="253"/>
      <c r="J466" s="354"/>
      <c r="K466" s="355"/>
      <c r="L466" s="355"/>
      <c r="M466" s="355"/>
      <c r="N466" s="355"/>
      <c r="O466" s="355"/>
      <c r="P466" s="199"/>
      <c r="Q466" s="824"/>
      <c r="R466" s="422"/>
    </row>
    <row r="467" spans="1:18" s="189" customFormat="1" ht="12.05" customHeight="1">
      <c r="A467" s="293"/>
      <c r="B467" s="290">
        <v>4</v>
      </c>
      <c r="C467" s="290">
        <v>1</v>
      </c>
      <c r="D467" s="290">
        <v>4</v>
      </c>
      <c r="E467" s="290"/>
      <c r="F467" s="290"/>
      <c r="G467" s="291" t="s">
        <v>71</v>
      </c>
      <c r="H467" s="291"/>
      <c r="I467" s="291"/>
      <c r="J467" s="397">
        <f>J468+J473</f>
        <v>500000</v>
      </c>
      <c r="K467" s="398">
        <f>K468+K473</f>
        <v>0</v>
      </c>
      <c r="L467" s="398">
        <f>L468+L473</f>
        <v>0</v>
      </c>
      <c r="M467" s="398">
        <f>M468+M473</f>
        <v>0</v>
      </c>
      <c r="N467" s="398">
        <f>N468+N473</f>
        <v>0</v>
      </c>
      <c r="O467" s="367">
        <f t="shared" si="73"/>
        <v>0</v>
      </c>
      <c r="P467" s="347" t="e">
        <f>N467/K467*100</f>
        <v>#DIV/0!</v>
      </c>
      <c r="Q467" s="699"/>
      <c r="R467" s="422"/>
    </row>
    <row r="468" spans="1:18" s="189" customFormat="1" ht="12.05" customHeight="1">
      <c r="A468" s="293"/>
      <c r="B468" s="292">
        <v>4</v>
      </c>
      <c r="C468" s="292">
        <v>1</v>
      </c>
      <c r="D468" s="292">
        <v>4</v>
      </c>
      <c r="E468" s="292" t="s">
        <v>444</v>
      </c>
      <c r="F468" s="292"/>
      <c r="G468" s="253" t="s">
        <v>222</v>
      </c>
      <c r="H468" s="253"/>
      <c r="I468" s="253"/>
      <c r="J468" s="484">
        <v>0</v>
      </c>
      <c r="K468" s="485">
        <v>0</v>
      </c>
      <c r="L468" s="485">
        <f>SUM(L469:L471)</f>
        <v>0</v>
      </c>
      <c r="M468" s="485">
        <f>SUM(M469:M471)</f>
        <v>0</v>
      </c>
      <c r="N468" s="485">
        <f>SUM(N469:N471)</f>
        <v>0</v>
      </c>
      <c r="O468" s="485"/>
      <c r="P468" s="597"/>
      <c r="Q468" s="541"/>
      <c r="R468" s="422"/>
    </row>
    <row r="469" spans="1:18" s="189" customFormat="1" ht="12.05" customHeight="1">
      <c r="A469" s="293"/>
      <c r="B469" s="292">
        <v>4</v>
      </c>
      <c r="C469" s="292">
        <v>1</v>
      </c>
      <c r="D469" s="292">
        <v>4</v>
      </c>
      <c r="E469" s="292" t="s">
        <v>444</v>
      </c>
      <c r="F469" s="292" t="s">
        <v>440</v>
      </c>
      <c r="G469" s="253" t="s">
        <v>73</v>
      </c>
      <c r="H469" s="253"/>
      <c r="I469" s="253"/>
      <c r="J469" s="354">
        <v>0</v>
      </c>
      <c r="K469" s="355">
        <v>0</v>
      </c>
      <c r="L469" s="355">
        <v>0</v>
      </c>
      <c r="M469" s="355">
        <v>0</v>
      </c>
      <c r="N469" s="355">
        <f>M469+L469</f>
        <v>0</v>
      </c>
      <c r="O469" s="355">
        <f t="shared" si="73"/>
        <v>0</v>
      </c>
      <c r="P469" s="388"/>
      <c r="Q469" s="441"/>
      <c r="R469" s="422"/>
    </row>
    <row r="470" spans="1:18" s="189" customFormat="1" ht="12.05" customHeight="1">
      <c r="A470" s="293"/>
      <c r="B470" s="292">
        <v>4</v>
      </c>
      <c r="C470" s="292">
        <v>1</v>
      </c>
      <c r="D470" s="292">
        <v>4</v>
      </c>
      <c r="E470" s="292" t="s">
        <v>444</v>
      </c>
      <c r="F470" s="292" t="s">
        <v>445</v>
      </c>
      <c r="G470" s="253" t="s">
        <v>74</v>
      </c>
      <c r="H470" s="253"/>
      <c r="I470" s="253"/>
      <c r="J470" s="354">
        <v>0</v>
      </c>
      <c r="K470" s="355">
        <v>0</v>
      </c>
      <c r="L470" s="355">
        <v>0</v>
      </c>
      <c r="M470" s="355">
        <v>0</v>
      </c>
      <c r="N470" s="355">
        <f>M470+L470</f>
        <v>0</v>
      </c>
      <c r="O470" s="355">
        <f t="shared" si="73"/>
        <v>0</v>
      </c>
      <c r="P470" s="388"/>
      <c r="Q470" s="441"/>
      <c r="R470" s="422"/>
    </row>
    <row r="471" spans="1:18" s="189" customFormat="1" ht="12.05" customHeight="1">
      <c r="A471" s="293"/>
      <c r="B471" s="292">
        <v>4</v>
      </c>
      <c r="C471" s="292">
        <v>1</v>
      </c>
      <c r="D471" s="292">
        <v>4</v>
      </c>
      <c r="E471" s="292" t="s">
        <v>444</v>
      </c>
      <c r="F471" s="292" t="s">
        <v>441</v>
      </c>
      <c r="G471" s="253" t="s">
        <v>75</v>
      </c>
      <c r="H471" s="253"/>
      <c r="I471" s="253"/>
      <c r="J471" s="374">
        <v>0</v>
      </c>
      <c r="K471" s="375">
        <f>'[57]TARGET MURNI DAN PERUBAHAN'!$E$260</f>
        <v>0</v>
      </c>
      <c r="L471" s="375">
        <v>0</v>
      </c>
      <c r="M471" s="375">
        <v>0</v>
      </c>
      <c r="N471" s="355">
        <f>M471+L471</f>
        <v>0</v>
      </c>
      <c r="O471" s="355">
        <f t="shared" si="73"/>
        <v>0</v>
      </c>
      <c r="P471" s="388"/>
      <c r="Q471" s="548"/>
      <c r="R471" s="422"/>
    </row>
    <row r="472" spans="1:18" s="189" customFormat="1" ht="12.05" customHeight="1">
      <c r="A472" s="293"/>
      <c r="B472" s="292"/>
      <c r="C472" s="292"/>
      <c r="D472" s="292"/>
      <c r="E472" s="292"/>
      <c r="F472" s="292"/>
      <c r="G472" s="253"/>
      <c r="H472" s="253"/>
      <c r="I472" s="253"/>
      <c r="J472" s="494"/>
      <c r="K472" s="495"/>
      <c r="L472" s="495"/>
      <c r="M472" s="495"/>
      <c r="N472" s="334"/>
      <c r="O472" s="334"/>
      <c r="P472" s="335"/>
      <c r="Q472" s="548"/>
      <c r="R472" s="422"/>
    </row>
    <row r="473" spans="1:18" s="189" customFormat="1" ht="12.05" customHeight="1">
      <c r="A473" s="293"/>
      <c r="B473" s="292" t="s">
        <v>443</v>
      </c>
      <c r="C473" s="292" t="s">
        <v>58</v>
      </c>
      <c r="D473" s="292" t="s">
        <v>443</v>
      </c>
      <c r="E473" s="292" t="s">
        <v>948</v>
      </c>
      <c r="F473" s="292"/>
      <c r="G473" s="253" t="s">
        <v>981</v>
      </c>
      <c r="H473" s="253"/>
      <c r="I473" s="253"/>
      <c r="J473" s="526">
        <f>J474</f>
        <v>500000</v>
      </c>
      <c r="K473" s="527">
        <f>K474</f>
        <v>0</v>
      </c>
      <c r="L473" s="527">
        <f>SUM(L474:L474)</f>
        <v>0</v>
      </c>
      <c r="M473" s="527">
        <f>SUM(M474:M474)</f>
        <v>0</v>
      </c>
      <c r="N473" s="527">
        <f>M473+L473</f>
        <v>0</v>
      </c>
      <c r="O473" s="527">
        <f>N473-K473</f>
        <v>0</v>
      </c>
      <c r="P473" s="671">
        <v>0</v>
      </c>
      <c r="Q473" s="548"/>
      <c r="R473" s="422"/>
    </row>
    <row r="474" spans="1:18" s="245" customFormat="1" ht="12.05" customHeight="1">
      <c r="A474" s="805"/>
      <c r="B474" s="305" t="s">
        <v>443</v>
      </c>
      <c r="C474" s="305" t="s">
        <v>58</v>
      </c>
      <c r="D474" s="305" t="s">
        <v>443</v>
      </c>
      <c r="E474" s="305" t="s">
        <v>948</v>
      </c>
      <c r="F474" s="305" t="s">
        <v>437</v>
      </c>
      <c r="G474" s="306" t="s">
        <v>50</v>
      </c>
      <c r="H474" s="306"/>
      <c r="I474" s="306" t="s">
        <v>85</v>
      </c>
      <c r="J474" s="482">
        <v>500000</v>
      </c>
      <c r="K474" s="404">
        <f>'[57]TARGET MURNI DAN PERUBAHAN'!$E$261</f>
        <v>0</v>
      </c>
      <c r="L474" s="404">
        <v>0</v>
      </c>
      <c r="M474" s="404">
        <v>0</v>
      </c>
      <c r="N474" s="404">
        <f>M474+L474</f>
        <v>0</v>
      </c>
      <c r="O474" s="404">
        <f>N474-K474</f>
        <v>0</v>
      </c>
      <c r="P474" s="483">
        <v>0</v>
      </c>
      <c r="Q474" s="733"/>
      <c r="R474" s="450"/>
    </row>
    <row r="475" spans="1:18" s="189" customFormat="1" ht="12.05" customHeight="1">
      <c r="A475" s="797"/>
      <c r="B475" s="798" t="s">
        <v>58</v>
      </c>
      <c r="C475" s="798" t="s">
        <v>849</v>
      </c>
      <c r="D475" s="798" t="s">
        <v>440</v>
      </c>
      <c r="E475" s="798" t="s">
        <v>438</v>
      </c>
      <c r="F475" s="799"/>
      <c r="G475" s="801" t="s">
        <v>163</v>
      </c>
      <c r="H475" s="801"/>
      <c r="I475" s="804" t="s">
        <v>1037</v>
      </c>
      <c r="J475" s="807">
        <f>+J477</f>
        <v>4000000</v>
      </c>
      <c r="K475" s="808">
        <f>+K477</f>
        <v>0</v>
      </c>
      <c r="L475" s="808">
        <f>+L477</f>
        <v>0</v>
      </c>
      <c r="M475" s="808">
        <f>+M477</f>
        <v>0</v>
      </c>
      <c r="N475" s="808">
        <f>+M475+L475</f>
        <v>0</v>
      </c>
      <c r="O475" s="808">
        <f>N475-K475</f>
        <v>0</v>
      </c>
      <c r="P475" s="809" t="e">
        <f>N475/K475*100</f>
        <v>#DIV/0!</v>
      </c>
      <c r="Q475" s="820"/>
      <c r="R475" s="422"/>
    </row>
    <row r="476" spans="1:18" s="189" customFormat="1" ht="12.05" customHeight="1">
      <c r="A476" s="706"/>
      <c r="B476" s="287"/>
      <c r="C476" s="287"/>
      <c r="D476" s="287"/>
      <c r="E476" s="287"/>
      <c r="F476" s="287"/>
      <c r="G476" s="410"/>
      <c r="H476" s="410"/>
      <c r="I476" s="410"/>
      <c r="J476" s="342"/>
      <c r="K476" s="343"/>
      <c r="L476" s="343"/>
      <c r="M476" s="343"/>
      <c r="N476" s="492"/>
      <c r="O476" s="492"/>
      <c r="P476" s="487"/>
      <c r="Q476" s="437"/>
      <c r="R476" s="422"/>
    </row>
    <row r="477" spans="1:18" s="189" customFormat="1" ht="12.05" customHeight="1">
      <c r="A477" s="303"/>
      <c r="B477" s="290">
        <v>4</v>
      </c>
      <c r="C477" s="290">
        <v>1</v>
      </c>
      <c r="D477" s="290"/>
      <c r="E477" s="290"/>
      <c r="F477" s="290"/>
      <c r="G477" s="291" t="s">
        <v>180</v>
      </c>
      <c r="H477" s="291"/>
      <c r="I477" s="291"/>
      <c r="J477" s="518">
        <f>J478</f>
        <v>4000000</v>
      </c>
      <c r="K477" s="519">
        <f>K478</f>
        <v>0</v>
      </c>
      <c r="L477" s="519">
        <f>L478</f>
        <v>0</v>
      </c>
      <c r="M477" s="519">
        <f>M478</f>
        <v>0</v>
      </c>
      <c r="N477" s="519">
        <f>N478</f>
        <v>0</v>
      </c>
      <c r="O477" s="343">
        <f t="shared" ref="O477:O482" si="74">N477-K477</f>
        <v>0</v>
      </c>
      <c r="P477" s="344" t="e">
        <f>N477/K477*100</f>
        <v>#DIV/0!</v>
      </c>
      <c r="Q477" s="559"/>
      <c r="R477" s="422"/>
    </row>
    <row r="478" spans="1:18" s="189" customFormat="1" ht="12.05" customHeight="1">
      <c r="A478" s="303"/>
      <c r="B478" s="290">
        <v>4</v>
      </c>
      <c r="C478" s="290">
        <v>1</v>
      </c>
      <c r="D478" s="290">
        <v>4</v>
      </c>
      <c r="E478" s="290"/>
      <c r="F478" s="290"/>
      <c r="G478" s="291" t="s">
        <v>71</v>
      </c>
      <c r="H478" s="291"/>
      <c r="I478" s="291"/>
      <c r="J478" s="397">
        <f>J479+J484</f>
        <v>4000000</v>
      </c>
      <c r="K478" s="398">
        <f>K479+K484</f>
        <v>0</v>
      </c>
      <c r="L478" s="398">
        <f>L479+L484</f>
        <v>0</v>
      </c>
      <c r="M478" s="398">
        <f>M479+M484</f>
        <v>0</v>
      </c>
      <c r="N478" s="398">
        <f>N479+N484</f>
        <v>0</v>
      </c>
      <c r="O478" s="367">
        <f t="shared" si="74"/>
        <v>0</v>
      </c>
      <c r="P478" s="347" t="e">
        <f>N478/K478*100</f>
        <v>#DIV/0!</v>
      </c>
      <c r="Q478" s="699"/>
      <c r="R478" s="422"/>
    </row>
    <row r="479" spans="1:18" s="189" customFormat="1" ht="12.05" customHeight="1">
      <c r="A479" s="303"/>
      <c r="B479" s="292">
        <v>4</v>
      </c>
      <c r="C479" s="292">
        <v>1</v>
      </c>
      <c r="D479" s="292">
        <v>4</v>
      </c>
      <c r="E479" s="292" t="s">
        <v>444</v>
      </c>
      <c r="F479" s="292"/>
      <c r="G479" s="253" t="s">
        <v>222</v>
      </c>
      <c r="H479" s="253"/>
      <c r="I479" s="253"/>
      <c r="J479" s="484">
        <v>0</v>
      </c>
      <c r="K479" s="485">
        <v>0</v>
      </c>
      <c r="L479" s="485">
        <f>SUM(L480:L482)</f>
        <v>0</v>
      </c>
      <c r="M479" s="485">
        <f>SUM(M480:M482)</f>
        <v>0</v>
      </c>
      <c r="N479" s="485">
        <f>SUM(N480:N482)</f>
        <v>0</v>
      </c>
      <c r="O479" s="485"/>
      <c r="P479" s="597"/>
      <c r="Q479" s="541"/>
      <c r="R479" s="422"/>
    </row>
    <row r="480" spans="1:18" s="189" customFormat="1" ht="12.05" customHeight="1">
      <c r="A480" s="303"/>
      <c r="B480" s="292">
        <v>4</v>
      </c>
      <c r="C480" s="292">
        <v>1</v>
      </c>
      <c r="D480" s="292">
        <v>4</v>
      </c>
      <c r="E480" s="292" t="s">
        <v>444</v>
      </c>
      <c r="F480" s="292" t="s">
        <v>440</v>
      </c>
      <c r="G480" s="253" t="s">
        <v>73</v>
      </c>
      <c r="H480" s="253"/>
      <c r="I480" s="253"/>
      <c r="J480" s="354">
        <v>0</v>
      </c>
      <c r="K480" s="355">
        <v>0</v>
      </c>
      <c r="L480" s="355">
        <v>0</v>
      </c>
      <c r="M480" s="355">
        <v>0</v>
      </c>
      <c r="N480" s="355">
        <f>M480+L480</f>
        <v>0</v>
      </c>
      <c r="O480" s="355">
        <f t="shared" si="74"/>
        <v>0</v>
      </c>
      <c r="P480" s="388"/>
      <c r="Q480" s="441"/>
      <c r="R480" s="422"/>
    </row>
    <row r="481" spans="1:18" s="189" customFormat="1" ht="12.05" customHeight="1">
      <c r="A481" s="303"/>
      <c r="B481" s="292">
        <v>4</v>
      </c>
      <c r="C481" s="292">
        <v>1</v>
      </c>
      <c r="D481" s="292">
        <v>4</v>
      </c>
      <c r="E481" s="292" t="s">
        <v>444</v>
      </c>
      <c r="F481" s="292" t="s">
        <v>445</v>
      </c>
      <c r="G481" s="253" t="s">
        <v>74</v>
      </c>
      <c r="H481" s="253"/>
      <c r="I481" s="253"/>
      <c r="J481" s="354">
        <v>0</v>
      </c>
      <c r="K481" s="355">
        <v>0</v>
      </c>
      <c r="L481" s="355">
        <v>0</v>
      </c>
      <c r="M481" s="355">
        <v>0</v>
      </c>
      <c r="N481" s="355">
        <f>M481+L481</f>
        <v>0</v>
      </c>
      <c r="O481" s="355">
        <f t="shared" si="74"/>
        <v>0</v>
      </c>
      <c r="P481" s="388"/>
      <c r="Q481" s="441"/>
      <c r="R481" s="422"/>
    </row>
    <row r="482" spans="1:18" s="189" customFormat="1" ht="12.05" customHeight="1">
      <c r="A482" s="303"/>
      <c r="B482" s="292">
        <v>4</v>
      </c>
      <c r="C482" s="292">
        <v>1</v>
      </c>
      <c r="D482" s="292">
        <v>4</v>
      </c>
      <c r="E482" s="292" t="s">
        <v>444</v>
      </c>
      <c r="F482" s="292" t="s">
        <v>441</v>
      </c>
      <c r="G482" s="253" t="s">
        <v>75</v>
      </c>
      <c r="H482" s="253"/>
      <c r="I482" s="253"/>
      <c r="J482" s="374">
        <v>0</v>
      </c>
      <c r="K482" s="375">
        <v>0</v>
      </c>
      <c r="L482" s="375">
        <v>0</v>
      </c>
      <c r="M482" s="375">
        <v>0</v>
      </c>
      <c r="N482" s="355">
        <f>M482+L482</f>
        <v>0</v>
      </c>
      <c r="O482" s="355">
        <f t="shared" si="74"/>
        <v>0</v>
      </c>
      <c r="P482" s="388"/>
      <c r="Q482" s="548"/>
      <c r="R482" s="422"/>
    </row>
    <row r="483" spans="1:18" s="189" customFormat="1" ht="12.05" customHeight="1">
      <c r="A483" s="303"/>
      <c r="B483" s="292"/>
      <c r="C483" s="292"/>
      <c r="D483" s="292"/>
      <c r="E483" s="292"/>
      <c r="F483" s="292"/>
      <c r="G483" s="253"/>
      <c r="H483" s="253"/>
      <c r="I483" s="253"/>
      <c r="J483" s="494"/>
      <c r="K483" s="495"/>
      <c r="L483" s="495"/>
      <c r="M483" s="495"/>
      <c r="N483" s="334"/>
      <c r="O483" s="334"/>
      <c r="P483" s="335"/>
      <c r="Q483" s="548"/>
      <c r="R483" s="422"/>
    </row>
    <row r="484" spans="1:18" s="189" customFormat="1" ht="12.05" customHeight="1">
      <c r="A484" s="303"/>
      <c r="B484" s="292" t="s">
        <v>443</v>
      </c>
      <c r="C484" s="292" t="s">
        <v>58</v>
      </c>
      <c r="D484" s="292" t="s">
        <v>443</v>
      </c>
      <c r="E484" s="292" t="s">
        <v>948</v>
      </c>
      <c r="F484" s="292"/>
      <c r="G484" s="253" t="s">
        <v>981</v>
      </c>
      <c r="H484" s="253"/>
      <c r="I484" s="253"/>
      <c r="J484" s="526">
        <f>J485</f>
        <v>4000000</v>
      </c>
      <c r="K484" s="527">
        <f>K485</f>
        <v>0</v>
      </c>
      <c r="L484" s="527">
        <f>SUM(L485:L485)</f>
        <v>0</v>
      </c>
      <c r="M484" s="527">
        <f>SUM(M485:M485)</f>
        <v>0</v>
      </c>
      <c r="N484" s="527">
        <f>M484+L484</f>
        <v>0</v>
      </c>
      <c r="O484" s="527">
        <f>N484-K484</f>
        <v>0</v>
      </c>
      <c r="P484" s="671">
        <v>0</v>
      </c>
      <c r="Q484" s="548"/>
      <c r="R484" s="422"/>
    </row>
    <row r="485" spans="1:18" s="245" customFormat="1" ht="12.05" customHeight="1">
      <c r="A485" s="805"/>
      <c r="B485" s="305" t="s">
        <v>443</v>
      </c>
      <c r="C485" s="305" t="s">
        <v>58</v>
      </c>
      <c r="D485" s="305" t="s">
        <v>443</v>
      </c>
      <c r="E485" s="305" t="s">
        <v>948</v>
      </c>
      <c r="F485" s="305" t="s">
        <v>437</v>
      </c>
      <c r="G485" s="306" t="s">
        <v>50</v>
      </c>
      <c r="H485" s="306"/>
      <c r="I485" s="306" t="s">
        <v>85</v>
      </c>
      <c r="J485" s="482">
        <v>4000000</v>
      </c>
      <c r="K485" s="404">
        <f>'[57]TARGET MURNI DAN PERUBAHAN'!$E$266</f>
        <v>0</v>
      </c>
      <c r="L485" s="673">
        <f>[62]PerDinas!$N$485</f>
        <v>0</v>
      </c>
      <c r="M485" s="404">
        <v>0</v>
      </c>
      <c r="N485" s="404">
        <f>M485+L485</f>
        <v>0</v>
      </c>
      <c r="O485" s="404">
        <f>N485-K485</f>
        <v>0</v>
      </c>
      <c r="P485" s="483">
        <v>0</v>
      </c>
      <c r="Q485" s="733"/>
      <c r="R485" s="450"/>
    </row>
    <row r="486" spans="1:18" s="189" customFormat="1" ht="14.1" customHeight="1">
      <c r="A486" s="797"/>
      <c r="B486" s="798" t="s">
        <v>58</v>
      </c>
      <c r="C486" s="798" t="s">
        <v>849</v>
      </c>
      <c r="D486" s="798" t="s">
        <v>440</v>
      </c>
      <c r="E486" s="798" t="s">
        <v>438</v>
      </c>
      <c r="F486" s="799"/>
      <c r="G486" s="801" t="s">
        <v>165</v>
      </c>
      <c r="H486" s="801"/>
      <c r="I486" s="804" t="s">
        <v>1038</v>
      </c>
      <c r="J486" s="807">
        <f>J487</f>
        <v>450000</v>
      </c>
      <c r="K486" s="808">
        <f>K487</f>
        <v>0</v>
      </c>
      <c r="L486" s="808">
        <f>+L488</f>
        <v>0</v>
      </c>
      <c r="M486" s="808">
        <f>+M488</f>
        <v>0</v>
      </c>
      <c r="N486" s="808">
        <f>+M486+L486</f>
        <v>0</v>
      </c>
      <c r="O486" s="808">
        <f>N486-K486</f>
        <v>0</v>
      </c>
      <c r="P486" s="809" t="e">
        <f>N486/K486*100</f>
        <v>#DIV/0!</v>
      </c>
      <c r="Q486" s="820"/>
      <c r="R486" s="422"/>
    </row>
    <row r="487" spans="1:18" s="189" customFormat="1" ht="14.1" customHeight="1">
      <c r="A487" s="706"/>
      <c r="B487" s="707">
        <v>4</v>
      </c>
      <c r="C487" s="707">
        <v>1</v>
      </c>
      <c r="D487" s="707"/>
      <c r="E487" s="707"/>
      <c r="F487" s="707"/>
      <c r="G487" s="288" t="s">
        <v>180</v>
      </c>
      <c r="H487" s="288"/>
      <c r="I487" s="288"/>
      <c r="J487" s="342">
        <f>J488</f>
        <v>450000</v>
      </c>
      <c r="K487" s="343">
        <f>K488</f>
        <v>0</v>
      </c>
      <c r="L487" s="343">
        <f>L488</f>
        <v>0</v>
      </c>
      <c r="M487" s="343">
        <f>M488</f>
        <v>0</v>
      </c>
      <c r="N487" s="343">
        <f>N488</f>
        <v>0</v>
      </c>
      <c r="O487" s="386">
        <f>N487-K487</f>
        <v>0</v>
      </c>
      <c r="P487" s="344" t="e">
        <f>N487/K487*100</f>
        <v>#DIV/0!</v>
      </c>
      <c r="Q487" s="437"/>
      <c r="R487" s="422"/>
    </row>
    <row r="488" spans="1:18" s="189" customFormat="1" ht="14.1" customHeight="1">
      <c r="A488" s="303"/>
      <c r="B488" s="290">
        <v>4</v>
      </c>
      <c r="C488" s="290">
        <v>1</v>
      </c>
      <c r="D488" s="290">
        <v>4</v>
      </c>
      <c r="E488" s="290"/>
      <c r="F488" s="290"/>
      <c r="G488" s="291" t="s">
        <v>71</v>
      </c>
      <c r="H488" s="291"/>
      <c r="I488" s="291"/>
      <c r="J488" s="397">
        <f>J489+J494</f>
        <v>450000</v>
      </c>
      <c r="K488" s="398">
        <f>K489+K494</f>
        <v>0</v>
      </c>
      <c r="L488" s="398">
        <f>L489+L494</f>
        <v>0</v>
      </c>
      <c r="M488" s="398">
        <f>M489+M494</f>
        <v>0</v>
      </c>
      <c r="N488" s="398">
        <f>N489+N494</f>
        <v>0</v>
      </c>
      <c r="O488" s="367">
        <f>N488-K488</f>
        <v>0</v>
      </c>
      <c r="P488" s="347" t="e">
        <f>N488/K488*100</f>
        <v>#DIV/0!</v>
      </c>
      <c r="Q488" s="699"/>
      <c r="R488" s="422"/>
    </row>
    <row r="489" spans="1:18" s="189" customFormat="1" ht="14.1" customHeight="1">
      <c r="A489" s="303"/>
      <c r="B489" s="292">
        <v>4</v>
      </c>
      <c r="C489" s="292">
        <v>1</v>
      </c>
      <c r="D489" s="292">
        <v>4</v>
      </c>
      <c r="E489" s="292" t="s">
        <v>444</v>
      </c>
      <c r="F489" s="292"/>
      <c r="G489" s="253" t="s">
        <v>222</v>
      </c>
      <c r="H489" s="253"/>
      <c r="I489" s="253"/>
      <c r="J489" s="484">
        <v>0</v>
      </c>
      <c r="K489" s="485">
        <v>0</v>
      </c>
      <c r="L489" s="485">
        <f>SUM(L490:L492)</f>
        <v>0</v>
      </c>
      <c r="M489" s="485">
        <f>SUM(M490:M492)</f>
        <v>0</v>
      </c>
      <c r="N489" s="485">
        <f>SUM(N490:N492)</f>
        <v>0</v>
      </c>
      <c r="O489" s="485"/>
      <c r="P489" s="597"/>
      <c r="Q489" s="541"/>
      <c r="R489" s="422"/>
    </row>
    <row r="490" spans="1:18" s="189" customFormat="1" ht="14.1" customHeight="1">
      <c r="A490" s="303"/>
      <c r="B490" s="292">
        <v>4</v>
      </c>
      <c r="C490" s="292">
        <v>1</v>
      </c>
      <c r="D490" s="292">
        <v>4</v>
      </c>
      <c r="E490" s="292" t="s">
        <v>444</v>
      </c>
      <c r="F490" s="292" t="s">
        <v>440</v>
      </c>
      <c r="G490" s="253" t="s">
        <v>73</v>
      </c>
      <c r="H490" s="253"/>
      <c r="I490" s="253"/>
      <c r="J490" s="354">
        <v>0</v>
      </c>
      <c r="K490" s="355">
        <v>0</v>
      </c>
      <c r="L490" s="355">
        <v>0</v>
      </c>
      <c r="M490" s="355">
        <v>0</v>
      </c>
      <c r="N490" s="355">
        <f>M490+L490</f>
        <v>0</v>
      </c>
      <c r="O490" s="355">
        <f>N490-K490</f>
        <v>0</v>
      </c>
      <c r="P490" s="388"/>
      <c r="Q490" s="441"/>
      <c r="R490" s="422"/>
    </row>
    <row r="491" spans="1:18" s="189" customFormat="1" ht="14.1" customHeight="1">
      <c r="A491" s="303"/>
      <c r="B491" s="292">
        <v>4</v>
      </c>
      <c r="C491" s="292">
        <v>1</v>
      </c>
      <c r="D491" s="292">
        <v>4</v>
      </c>
      <c r="E491" s="292" t="s">
        <v>444</v>
      </c>
      <c r="F491" s="292" t="s">
        <v>445</v>
      </c>
      <c r="G491" s="253" t="s">
        <v>74</v>
      </c>
      <c r="H491" s="253"/>
      <c r="I491" s="253"/>
      <c r="J491" s="354">
        <v>0</v>
      </c>
      <c r="K491" s="355">
        <v>0</v>
      </c>
      <c r="L491" s="355">
        <v>0</v>
      </c>
      <c r="M491" s="355">
        <v>0</v>
      </c>
      <c r="N491" s="355">
        <f>M491+L491</f>
        <v>0</v>
      </c>
      <c r="O491" s="355">
        <f>N491-K491</f>
        <v>0</v>
      </c>
      <c r="P491" s="388"/>
      <c r="Q491" s="441"/>
      <c r="R491" s="422"/>
    </row>
    <row r="492" spans="1:18" s="189" customFormat="1" ht="14.1" customHeight="1">
      <c r="A492" s="303"/>
      <c r="B492" s="292">
        <v>4</v>
      </c>
      <c r="C492" s="292">
        <v>1</v>
      </c>
      <c r="D492" s="292">
        <v>4</v>
      </c>
      <c r="E492" s="292" t="s">
        <v>444</v>
      </c>
      <c r="F492" s="292" t="s">
        <v>441</v>
      </c>
      <c r="G492" s="253" t="s">
        <v>75</v>
      </c>
      <c r="H492" s="253"/>
      <c r="I492" s="253"/>
      <c r="J492" s="374">
        <v>0</v>
      </c>
      <c r="K492" s="375">
        <v>0</v>
      </c>
      <c r="L492" s="375"/>
      <c r="M492" s="375">
        <v>0</v>
      </c>
      <c r="N492" s="355">
        <f>M492+L492</f>
        <v>0</v>
      </c>
      <c r="O492" s="355">
        <f>N492-K492</f>
        <v>0</v>
      </c>
      <c r="P492" s="388"/>
      <c r="Q492" s="548"/>
      <c r="R492" s="422"/>
    </row>
    <row r="493" spans="1:18" s="189" customFormat="1" ht="7.55" customHeight="1">
      <c r="A493" s="303"/>
      <c r="B493" s="292"/>
      <c r="C493" s="292"/>
      <c r="D493" s="292"/>
      <c r="E493" s="292"/>
      <c r="F493" s="292"/>
      <c r="G493" s="253"/>
      <c r="H493" s="253"/>
      <c r="I493" s="253"/>
      <c r="J493" s="494"/>
      <c r="K493" s="495"/>
      <c r="L493" s="495"/>
      <c r="M493" s="495"/>
      <c r="N493" s="334"/>
      <c r="O493" s="334"/>
      <c r="P493" s="335"/>
      <c r="Q493" s="548"/>
      <c r="R493" s="422"/>
    </row>
    <row r="494" spans="1:18" s="189" customFormat="1" ht="14.1" customHeight="1">
      <c r="A494" s="303"/>
      <c r="B494" s="292" t="s">
        <v>443</v>
      </c>
      <c r="C494" s="292" t="s">
        <v>58</v>
      </c>
      <c r="D494" s="292" t="s">
        <v>443</v>
      </c>
      <c r="E494" s="292" t="s">
        <v>948</v>
      </c>
      <c r="F494" s="292"/>
      <c r="G494" s="253" t="s">
        <v>981</v>
      </c>
      <c r="H494" s="253"/>
      <c r="I494" s="253"/>
      <c r="J494" s="526">
        <f>J495</f>
        <v>450000</v>
      </c>
      <c r="K494" s="527">
        <f>K495</f>
        <v>0</v>
      </c>
      <c r="L494" s="527">
        <f>SUM(L495:L495)</f>
        <v>0</v>
      </c>
      <c r="M494" s="527">
        <f>SUM(M495:M495)</f>
        <v>0</v>
      </c>
      <c r="N494" s="527">
        <f>M494+L494</f>
        <v>0</v>
      </c>
      <c r="O494" s="527">
        <f>N494-K494</f>
        <v>0</v>
      </c>
      <c r="P494" s="671">
        <v>0</v>
      </c>
      <c r="Q494" s="733"/>
      <c r="R494" s="422"/>
    </row>
    <row r="495" spans="1:18" s="245" customFormat="1" ht="14.1" customHeight="1">
      <c r="A495" s="805"/>
      <c r="B495" s="305" t="s">
        <v>443</v>
      </c>
      <c r="C495" s="305" t="s">
        <v>58</v>
      </c>
      <c r="D495" s="305" t="s">
        <v>443</v>
      </c>
      <c r="E495" s="305" t="s">
        <v>948</v>
      </c>
      <c r="F495" s="305" t="s">
        <v>437</v>
      </c>
      <c r="G495" s="306" t="s">
        <v>50</v>
      </c>
      <c r="H495" s="306"/>
      <c r="I495" s="306" t="s">
        <v>85</v>
      </c>
      <c r="J495" s="482">
        <v>450000</v>
      </c>
      <c r="K495" s="404">
        <f>'[57]TARGET MURNI DAN PERUBAHAN'!$E$271</f>
        <v>0</v>
      </c>
      <c r="L495" s="404"/>
      <c r="M495" s="404">
        <v>0</v>
      </c>
      <c r="N495" s="404">
        <f>M495+L495</f>
        <v>0</v>
      </c>
      <c r="O495" s="404">
        <f>N495-K495</f>
        <v>0</v>
      </c>
      <c r="P495" s="483">
        <v>0</v>
      </c>
      <c r="Q495" s="733"/>
      <c r="R495" s="450"/>
    </row>
    <row r="496" spans="1:18" s="189" customFormat="1" ht="12.05" customHeight="1">
      <c r="A496" s="797"/>
      <c r="B496" s="798" t="s">
        <v>58</v>
      </c>
      <c r="C496" s="798" t="s">
        <v>849</v>
      </c>
      <c r="D496" s="798" t="s">
        <v>440</v>
      </c>
      <c r="E496" s="798" t="s">
        <v>438</v>
      </c>
      <c r="F496" s="799"/>
      <c r="G496" s="801" t="s">
        <v>1039</v>
      </c>
      <c r="H496" s="801"/>
      <c r="I496" s="804" t="s">
        <v>1040</v>
      </c>
      <c r="J496" s="807">
        <f>J497</f>
        <v>5000000000</v>
      </c>
      <c r="K496" s="808">
        <f>K497</f>
        <v>0</v>
      </c>
      <c r="L496" s="808">
        <f>+L501</f>
        <v>0</v>
      </c>
      <c r="M496" s="808">
        <f>+M501</f>
        <v>0</v>
      </c>
      <c r="N496" s="808">
        <f>+M496+L496</f>
        <v>0</v>
      </c>
      <c r="O496" s="808">
        <f>N496-K496</f>
        <v>0</v>
      </c>
      <c r="P496" s="809" t="e">
        <f>N496/K496*100</f>
        <v>#DIV/0!</v>
      </c>
      <c r="Q496" s="820"/>
      <c r="R496" s="422"/>
    </row>
    <row r="497" spans="1:18" s="189" customFormat="1" ht="12.05" customHeight="1">
      <c r="A497" s="706"/>
      <c r="B497" s="707">
        <v>4</v>
      </c>
      <c r="C497" s="707">
        <v>1</v>
      </c>
      <c r="D497" s="707"/>
      <c r="E497" s="707"/>
      <c r="F497" s="707"/>
      <c r="G497" s="288" t="s">
        <v>180</v>
      </c>
      <c r="H497" s="288"/>
      <c r="I497" s="288"/>
      <c r="J497" s="342">
        <f>J498+J501</f>
        <v>5000000000</v>
      </c>
      <c r="K497" s="343">
        <f>K498+K501</f>
        <v>0</v>
      </c>
      <c r="L497" s="343"/>
      <c r="M497" s="343"/>
      <c r="N497" s="343"/>
      <c r="O497" s="343">
        <f>N497-K497</f>
        <v>0</v>
      </c>
      <c r="P497" s="344" t="e">
        <f>N497/K497*100</f>
        <v>#DIV/0!</v>
      </c>
      <c r="Q497" s="437"/>
      <c r="R497" s="422"/>
    </row>
    <row r="498" spans="1:18" s="189" customFormat="1" ht="12.05" customHeight="1">
      <c r="A498" s="303"/>
      <c r="B498" s="292">
        <v>4</v>
      </c>
      <c r="C498" s="292">
        <v>1</v>
      </c>
      <c r="D498" s="292">
        <v>2</v>
      </c>
      <c r="E498" s="292" t="s">
        <v>438</v>
      </c>
      <c r="F498" s="292"/>
      <c r="G498" s="253" t="s">
        <v>109</v>
      </c>
      <c r="H498" s="253"/>
      <c r="I498" s="253"/>
      <c r="J498" s="484">
        <f t="shared" ref="J498:N499" si="75">J499</f>
        <v>5000000000</v>
      </c>
      <c r="K498" s="485">
        <f t="shared" si="75"/>
        <v>0</v>
      </c>
      <c r="L498" s="485">
        <f t="shared" si="75"/>
        <v>0</v>
      </c>
      <c r="M498" s="485">
        <f t="shared" si="75"/>
        <v>0</v>
      </c>
      <c r="N498" s="485">
        <f t="shared" si="75"/>
        <v>0</v>
      </c>
      <c r="O498" s="412">
        <f>N498-K498</f>
        <v>0</v>
      </c>
      <c r="P498" s="487" t="e">
        <f>N498/K498*100</f>
        <v>#DIV/0!</v>
      </c>
      <c r="Q498" s="430"/>
      <c r="R498" s="422"/>
    </row>
    <row r="499" spans="1:18" s="189" customFormat="1" ht="12.05" customHeight="1">
      <c r="A499" s="294"/>
      <c r="B499" s="292">
        <v>4</v>
      </c>
      <c r="C499" s="292">
        <v>1</v>
      </c>
      <c r="D499" s="292">
        <v>2</v>
      </c>
      <c r="E499" s="292" t="s">
        <v>437</v>
      </c>
      <c r="F499" s="292" t="s">
        <v>437</v>
      </c>
      <c r="G499" s="253" t="s">
        <v>64</v>
      </c>
      <c r="H499" s="253"/>
      <c r="I499" s="253"/>
      <c r="J499" s="627">
        <f t="shared" si="75"/>
        <v>5000000000</v>
      </c>
      <c r="K499" s="396">
        <f t="shared" si="75"/>
        <v>0</v>
      </c>
      <c r="L499" s="396">
        <f t="shared" si="75"/>
        <v>0</v>
      </c>
      <c r="M499" s="396">
        <f t="shared" si="75"/>
        <v>0</v>
      </c>
      <c r="N499" s="396">
        <f t="shared" si="75"/>
        <v>0</v>
      </c>
      <c r="O499" s="396">
        <f>O500</f>
        <v>0</v>
      </c>
      <c r="P499" s="827" t="e">
        <f>P500</f>
        <v>#DIV/0!</v>
      </c>
      <c r="Q499" s="642"/>
      <c r="R499" s="422"/>
    </row>
    <row r="500" spans="1:18" s="189" customFormat="1" ht="12.05" customHeight="1">
      <c r="A500" s="303"/>
      <c r="B500" s="292"/>
      <c r="C500" s="292"/>
      <c r="D500" s="292"/>
      <c r="E500" s="292"/>
      <c r="F500" s="292"/>
      <c r="G500" s="253" t="s">
        <v>50</v>
      </c>
      <c r="H500" s="253"/>
      <c r="I500" s="253" t="s">
        <v>1041</v>
      </c>
      <c r="J500" s="354">
        <v>5000000000</v>
      </c>
      <c r="K500" s="355">
        <f>'[57]TARGET MURNI DAN PERUBAHAN'!$E$281</f>
        <v>0</v>
      </c>
      <c r="L500" s="828">
        <v>0</v>
      </c>
      <c r="M500" s="355">
        <v>0</v>
      </c>
      <c r="N500" s="355">
        <f t="shared" ref="N500:N505" si="76">M500+L500</f>
        <v>0</v>
      </c>
      <c r="O500" s="355">
        <f t="shared" ref="O500:O505" si="77">N500-K500</f>
        <v>0</v>
      </c>
      <c r="P500" s="388" t="e">
        <f>N500/K500*100</f>
        <v>#DIV/0!</v>
      </c>
      <c r="Q500" s="441"/>
      <c r="R500" s="422"/>
    </row>
    <row r="501" spans="1:18" s="189" customFormat="1" ht="12.05" customHeight="1">
      <c r="A501" s="303"/>
      <c r="B501" s="290">
        <v>4</v>
      </c>
      <c r="C501" s="290">
        <v>1</v>
      </c>
      <c r="D501" s="290">
        <v>4</v>
      </c>
      <c r="E501" s="290"/>
      <c r="F501" s="290"/>
      <c r="G501" s="291" t="s">
        <v>71</v>
      </c>
      <c r="H501" s="291"/>
      <c r="I501" s="291"/>
      <c r="J501" s="397">
        <f>J502+J507</f>
        <v>0</v>
      </c>
      <c r="K501" s="398">
        <f>K502+K507</f>
        <v>0</v>
      </c>
      <c r="L501" s="398">
        <f>L502+L507</f>
        <v>0</v>
      </c>
      <c r="M501" s="398">
        <f>M502+M507</f>
        <v>0</v>
      </c>
      <c r="N501" s="398">
        <f>N502+N507</f>
        <v>0</v>
      </c>
      <c r="O501" s="367">
        <f t="shared" si="77"/>
        <v>0</v>
      </c>
      <c r="P501" s="347"/>
      <c r="Q501" s="699"/>
      <c r="R501" s="422"/>
    </row>
    <row r="502" spans="1:18" s="189" customFormat="1" ht="12.05" customHeight="1">
      <c r="A502" s="303"/>
      <c r="B502" s="292">
        <v>4</v>
      </c>
      <c r="C502" s="292">
        <v>1</v>
      </c>
      <c r="D502" s="292">
        <v>4</v>
      </c>
      <c r="E502" s="292" t="s">
        <v>444</v>
      </c>
      <c r="F502" s="292"/>
      <c r="G502" s="253" t="s">
        <v>222</v>
      </c>
      <c r="H502" s="253"/>
      <c r="I502" s="253"/>
      <c r="J502" s="484">
        <f>SUM(J503:J505)</f>
        <v>0</v>
      </c>
      <c r="K502" s="485">
        <f>SUM(K503:K505)</f>
        <v>0</v>
      </c>
      <c r="L502" s="485">
        <f>SUM(L503:L505)</f>
        <v>0</v>
      </c>
      <c r="M502" s="485">
        <f>SUM(M503:M505)</f>
        <v>0</v>
      </c>
      <c r="N502" s="485">
        <f>SUM(N503:N505)</f>
        <v>0</v>
      </c>
      <c r="O502" s="485"/>
      <c r="P502" s="597"/>
      <c r="Q502" s="541"/>
      <c r="R502" s="422"/>
    </row>
    <row r="503" spans="1:18" s="189" customFormat="1" ht="12.05" customHeight="1">
      <c r="A503" s="303"/>
      <c r="B503" s="292">
        <v>4</v>
      </c>
      <c r="C503" s="292">
        <v>1</v>
      </c>
      <c r="D503" s="292">
        <v>4</v>
      </c>
      <c r="E503" s="292" t="s">
        <v>444</v>
      </c>
      <c r="F503" s="292" t="s">
        <v>440</v>
      </c>
      <c r="G503" s="253" t="s">
        <v>73</v>
      </c>
      <c r="H503" s="253"/>
      <c r="I503" s="253"/>
      <c r="J503" s="354">
        <v>0</v>
      </c>
      <c r="K503" s="355">
        <v>0</v>
      </c>
      <c r="L503" s="355">
        <v>0</v>
      </c>
      <c r="M503" s="355">
        <v>0</v>
      </c>
      <c r="N503" s="355">
        <f t="shared" si="76"/>
        <v>0</v>
      </c>
      <c r="O503" s="355">
        <f t="shared" si="77"/>
        <v>0</v>
      </c>
      <c r="P503" s="388"/>
      <c r="Q503" s="441"/>
      <c r="R503" s="422"/>
    </row>
    <row r="504" spans="1:18" s="189" customFormat="1" ht="12.05" customHeight="1">
      <c r="A504" s="303"/>
      <c r="B504" s="292">
        <v>4</v>
      </c>
      <c r="C504" s="292">
        <v>1</v>
      </c>
      <c r="D504" s="292">
        <v>4</v>
      </c>
      <c r="E504" s="292" t="s">
        <v>444</v>
      </c>
      <c r="F504" s="292" t="s">
        <v>445</v>
      </c>
      <c r="G504" s="253" t="s">
        <v>74</v>
      </c>
      <c r="H504" s="253"/>
      <c r="I504" s="253"/>
      <c r="J504" s="354">
        <v>0</v>
      </c>
      <c r="K504" s="355">
        <v>0</v>
      </c>
      <c r="L504" s="355">
        <v>0</v>
      </c>
      <c r="M504" s="355">
        <v>0</v>
      </c>
      <c r="N504" s="355">
        <f t="shared" si="76"/>
        <v>0</v>
      </c>
      <c r="O504" s="355">
        <f t="shared" si="77"/>
        <v>0</v>
      </c>
      <c r="P504" s="388"/>
      <c r="Q504" s="441"/>
      <c r="R504" s="422"/>
    </row>
    <row r="505" spans="1:18" s="189" customFormat="1" ht="12.05" customHeight="1">
      <c r="A505" s="303"/>
      <c r="B505" s="292">
        <v>4</v>
      </c>
      <c r="C505" s="292">
        <v>1</v>
      </c>
      <c r="D505" s="292">
        <v>4</v>
      </c>
      <c r="E505" s="292" t="s">
        <v>444</v>
      </c>
      <c r="F505" s="292" t="s">
        <v>441</v>
      </c>
      <c r="G505" s="253" t="s">
        <v>75</v>
      </c>
      <c r="H505" s="253"/>
      <c r="I505" s="253"/>
      <c r="J505" s="374">
        <v>0</v>
      </c>
      <c r="K505" s="375">
        <v>0</v>
      </c>
      <c r="L505" s="375"/>
      <c r="M505" s="375">
        <v>0</v>
      </c>
      <c r="N505" s="355">
        <f t="shared" si="76"/>
        <v>0</v>
      </c>
      <c r="O505" s="355">
        <f t="shared" si="77"/>
        <v>0</v>
      </c>
      <c r="P505" s="388"/>
      <c r="Q505" s="548"/>
      <c r="R505" s="422"/>
    </row>
    <row r="506" spans="1:18" s="189" customFormat="1" ht="12.05" customHeight="1">
      <c r="A506" s="303"/>
      <c r="B506" s="292"/>
      <c r="C506" s="292"/>
      <c r="D506" s="292"/>
      <c r="E506" s="292"/>
      <c r="F506" s="292"/>
      <c r="G506" s="253"/>
      <c r="H506" s="253"/>
      <c r="I506" s="253"/>
      <c r="J506" s="494"/>
      <c r="K506" s="495"/>
      <c r="L506" s="495"/>
      <c r="M506" s="495"/>
      <c r="N506" s="334"/>
      <c r="O506" s="334"/>
      <c r="P506" s="335"/>
      <c r="Q506" s="548"/>
      <c r="R506" s="422"/>
    </row>
    <row r="507" spans="1:18" s="189" customFormat="1" ht="12.05" customHeight="1">
      <c r="A507" s="303"/>
      <c r="B507" s="292" t="s">
        <v>443</v>
      </c>
      <c r="C507" s="292" t="s">
        <v>58</v>
      </c>
      <c r="D507" s="292" t="s">
        <v>443</v>
      </c>
      <c r="E507" s="292" t="s">
        <v>948</v>
      </c>
      <c r="F507" s="292"/>
      <c r="G507" s="253" t="s">
        <v>981</v>
      </c>
      <c r="H507" s="253"/>
      <c r="I507" s="253"/>
      <c r="J507" s="526">
        <f>J508</f>
        <v>0</v>
      </c>
      <c r="K507" s="527">
        <f>K508</f>
        <v>0</v>
      </c>
      <c r="L507" s="527">
        <f>L508</f>
        <v>0</v>
      </c>
      <c r="M507" s="527">
        <f>M508</f>
        <v>0</v>
      </c>
      <c r="N507" s="527">
        <f>M507+L507</f>
        <v>0</v>
      </c>
      <c r="O507" s="527">
        <f>N507-K507</f>
        <v>0</v>
      </c>
      <c r="P507" s="671">
        <v>0</v>
      </c>
      <c r="Q507" s="733"/>
      <c r="R507" s="422"/>
    </row>
    <row r="508" spans="1:18" s="245" customFormat="1" ht="12.05" customHeight="1">
      <c r="A508" s="805"/>
      <c r="B508" s="305" t="s">
        <v>443</v>
      </c>
      <c r="C508" s="305" t="s">
        <v>58</v>
      </c>
      <c r="D508" s="305" t="s">
        <v>443</v>
      </c>
      <c r="E508" s="305" t="s">
        <v>948</v>
      </c>
      <c r="F508" s="305" t="s">
        <v>437</v>
      </c>
      <c r="G508" s="306" t="s">
        <v>50</v>
      </c>
      <c r="H508" s="306"/>
      <c r="I508" s="306" t="s">
        <v>76</v>
      </c>
      <c r="J508" s="482">
        <v>0</v>
      </c>
      <c r="K508" s="404">
        <v>0</v>
      </c>
      <c r="L508" s="404">
        <v>0</v>
      </c>
      <c r="M508" s="404">
        <v>0</v>
      </c>
      <c r="N508" s="404">
        <f>M508+L508</f>
        <v>0</v>
      </c>
      <c r="O508" s="404">
        <f>N508-K508</f>
        <v>0</v>
      </c>
      <c r="P508" s="483">
        <v>0</v>
      </c>
      <c r="Q508" s="733"/>
      <c r="R508" s="450"/>
    </row>
    <row r="509" spans="1:18" s="189" customFormat="1" ht="12.05" customHeight="1">
      <c r="A509" s="797"/>
      <c r="B509" s="798" t="s">
        <v>58</v>
      </c>
      <c r="C509" s="798" t="s">
        <v>849</v>
      </c>
      <c r="D509" s="798" t="s">
        <v>440</v>
      </c>
      <c r="E509" s="798" t="s">
        <v>438</v>
      </c>
      <c r="F509" s="799"/>
      <c r="G509" s="801" t="s">
        <v>1042</v>
      </c>
      <c r="H509" s="801"/>
      <c r="I509" s="804" t="s">
        <v>171</v>
      </c>
      <c r="J509" s="808">
        <f t="shared" ref="J509:M510" si="78">J510</f>
        <v>0</v>
      </c>
      <c r="K509" s="808">
        <f t="shared" si="78"/>
        <v>0</v>
      </c>
      <c r="L509" s="808">
        <f t="shared" si="78"/>
        <v>0</v>
      </c>
      <c r="M509" s="808">
        <f t="shared" si="78"/>
        <v>0</v>
      </c>
      <c r="N509" s="808">
        <f>+M509+L509</f>
        <v>0</v>
      </c>
      <c r="O509" s="808">
        <f>N509-K509</f>
        <v>0</v>
      </c>
      <c r="P509" s="809" t="e">
        <f>N509/K509*100</f>
        <v>#DIV/0!</v>
      </c>
      <c r="Q509" s="820"/>
      <c r="R509" s="422"/>
    </row>
    <row r="510" spans="1:18" s="189" customFormat="1" ht="12.05" customHeight="1">
      <c r="A510" s="706"/>
      <c r="B510" s="707">
        <v>4</v>
      </c>
      <c r="C510" s="707">
        <v>1</v>
      </c>
      <c r="D510" s="707"/>
      <c r="E510" s="707"/>
      <c r="F510" s="707"/>
      <c r="G510" s="288" t="s">
        <v>180</v>
      </c>
      <c r="H510" s="288"/>
      <c r="I510" s="288"/>
      <c r="J510" s="343">
        <f t="shared" si="78"/>
        <v>0</v>
      </c>
      <c r="K510" s="343">
        <f t="shared" si="78"/>
        <v>0</v>
      </c>
      <c r="L510" s="343">
        <f t="shared" si="78"/>
        <v>0</v>
      </c>
      <c r="M510" s="343">
        <f t="shared" si="78"/>
        <v>0</v>
      </c>
      <c r="N510" s="343">
        <f>N511</f>
        <v>0</v>
      </c>
      <c r="O510" s="343">
        <f>N510-K510</f>
        <v>0</v>
      </c>
      <c r="P510" s="344" t="e">
        <f>N510/K510*100</f>
        <v>#DIV/0!</v>
      </c>
      <c r="Q510" s="437"/>
      <c r="R510" s="422"/>
    </row>
    <row r="511" spans="1:18" s="189" customFormat="1" ht="12.05" customHeight="1">
      <c r="A511" s="303"/>
      <c r="B511" s="290">
        <v>4</v>
      </c>
      <c r="C511" s="290">
        <v>1</v>
      </c>
      <c r="D511" s="290">
        <v>4</v>
      </c>
      <c r="E511" s="290"/>
      <c r="F511" s="290"/>
      <c r="G511" s="291" t="s">
        <v>71</v>
      </c>
      <c r="H511" s="291"/>
      <c r="I511" s="291"/>
      <c r="J511" s="398">
        <f>J512+J517</f>
        <v>0</v>
      </c>
      <c r="K511" s="398">
        <f>K512+K517</f>
        <v>0</v>
      </c>
      <c r="L511" s="398">
        <f>L512+L517</f>
        <v>0</v>
      </c>
      <c r="M511" s="398">
        <f>M512+M517</f>
        <v>0</v>
      </c>
      <c r="N511" s="398">
        <f>N512+N517</f>
        <v>0</v>
      </c>
      <c r="O511" s="367">
        <f>N511-K511</f>
        <v>0</v>
      </c>
      <c r="P511" s="347" t="e">
        <f>N511/K511*100</f>
        <v>#DIV/0!</v>
      </c>
      <c r="Q511" s="699"/>
      <c r="R511" s="422"/>
    </row>
    <row r="512" spans="1:18" s="189" customFormat="1" ht="12.05" customHeight="1">
      <c r="A512" s="303"/>
      <c r="B512" s="292">
        <v>4</v>
      </c>
      <c r="C512" s="292">
        <v>1</v>
      </c>
      <c r="D512" s="292">
        <v>4</v>
      </c>
      <c r="E512" s="292" t="s">
        <v>444</v>
      </c>
      <c r="F512" s="292"/>
      <c r="G512" s="253" t="s">
        <v>222</v>
      </c>
      <c r="H512" s="253"/>
      <c r="I512" s="253"/>
      <c r="J512" s="484">
        <f>SUM(J513:J515)</f>
        <v>0</v>
      </c>
      <c r="K512" s="485">
        <f>SUM(K513:K515)</f>
        <v>0</v>
      </c>
      <c r="L512" s="485">
        <f>SUM(L513:L515)</f>
        <v>0</v>
      </c>
      <c r="M512" s="485">
        <f>SUM(M513:M515)</f>
        <v>0</v>
      </c>
      <c r="N512" s="485">
        <f>SUM(N513:N515)</f>
        <v>0</v>
      </c>
      <c r="O512" s="485"/>
      <c r="P512" s="597"/>
      <c r="Q512" s="541"/>
      <c r="R512" s="422"/>
    </row>
    <row r="513" spans="1:18" s="189" customFormat="1" ht="12.05" customHeight="1">
      <c r="A513" s="303"/>
      <c r="B513" s="292">
        <v>4</v>
      </c>
      <c r="C513" s="292">
        <v>1</v>
      </c>
      <c r="D513" s="292">
        <v>4</v>
      </c>
      <c r="E513" s="292" t="s">
        <v>444</v>
      </c>
      <c r="F513" s="292" t="s">
        <v>440</v>
      </c>
      <c r="G513" s="253" t="s">
        <v>73</v>
      </c>
      <c r="H513" s="253"/>
      <c r="I513" s="253"/>
      <c r="J513" s="354">
        <v>0</v>
      </c>
      <c r="K513" s="355">
        <v>0</v>
      </c>
      <c r="L513" s="355">
        <v>0</v>
      </c>
      <c r="M513" s="355">
        <v>0</v>
      </c>
      <c r="N513" s="355">
        <f>M513+L513</f>
        <v>0</v>
      </c>
      <c r="O513" s="355">
        <f>N513-K513</f>
        <v>0</v>
      </c>
      <c r="P513" s="388"/>
      <c r="Q513" s="441"/>
      <c r="R513" s="422"/>
    </row>
    <row r="514" spans="1:18" s="189" customFormat="1" ht="12.05" customHeight="1">
      <c r="A514" s="303"/>
      <c r="B514" s="292">
        <v>4</v>
      </c>
      <c r="C514" s="292">
        <v>1</v>
      </c>
      <c r="D514" s="292">
        <v>4</v>
      </c>
      <c r="E514" s="292" t="s">
        <v>444</v>
      </c>
      <c r="F514" s="292" t="s">
        <v>445</v>
      </c>
      <c r="G514" s="253" t="s">
        <v>74</v>
      </c>
      <c r="H514" s="253"/>
      <c r="I514" s="253"/>
      <c r="J514" s="354">
        <v>0</v>
      </c>
      <c r="K514" s="355">
        <v>0</v>
      </c>
      <c r="L514" s="355">
        <v>0</v>
      </c>
      <c r="M514" s="355">
        <v>0</v>
      </c>
      <c r="N514" s="355">
        <f>M514+L514</f>
        <v>0</v>
      </c>
      <c r="O514" s="355">
        <f>N514-K514</f>
        <v>0</v>
      </c>
      <c r="P514" s="388"/>
      <c r="Q514" s="441"/>
      <c r="R514" s="422"/>
    </row>
    <row r="515" spans="1:18" s="189" customFormat="1" ht="12.05" customHeight="1">
      <c r="A515" s="303"/>
      <c r="B515" s="292">
        <v>4</v>
      </c>
      <c r="C515" s="292">
        <v>1</v>
      </c>
      <c r="D515" s="292">
        <v>4</v>
      </c>
      <c r="E515" s="292" t="s">
        <v>444</v>
      </c>
      <c r="F515" s="292" t="s">
        <v>441</v>
      </c>
      <c r="G515" s="253" t="s">
        <v>75</v>
      </c>
      <c r="H515" s="253"/>
      <c r="I515" s="253"/>
      <c r="J515" s="374">
        <v>0</v>
      </c>
      <c r="K515" s="375">
        <v>0</v>
      </c>
      <c r="L515" s="375">
        <v>0</v>
      </c>
      <c r="M515" s="375">
        <v>0</v>
      </c>
      <c r="N515" s="355">
        <f>M515+L515</f>
        <v>0</v>
      </c>
      <c r="O515" s="355">
        <f>N515-K515</f>
        <v>0</v>
      </c>
      <c r="P515" s="388"/>
      <c r="Q515" s="548"/>
      <c r="R515" s="422"/>
    </row>
    <row r="516" spans="1:18" s="189" customFormat="1" ht="12.05" customHeight="1">
      <c r="A516" s="303"/>
      <c r="B516" s="292"/>
      <c r="C516" s="292"/>
      <c r="D516" s="292"/>
      <c r="E516" s="292"/>
      <c r="F516" s="292"/>
      <c r="G516" s="253"/>
      <c r="H516" s="253"/>
      <c r="I516" s="253"/>
      <c r="J516" s="494"/>
      <c r="K516" s="495"/>
      <c r="L516" s="495"/>
      <c r="M516" s="495"/>
      <c r="N516" s="334"/>
      <c r="O516" s="334"/>
      <c r="P516" s="335"/>
      <c r="Q516" s="548"/>
      <c r="R516" s="422"/>
    </row>
    <row r="517" spans="1:18" s="189" customFormat="1" ht="12.05" customHeight="1">
      <c r="A517" s="303"/>
      <c r="B517" s="292" t="s">
        <v>443</v>
      </c>
      <c r="C517" s="292" t="s">
        <v>58</v>
      </c>
      <c r="D517" s="292" t="s">
        <v>443</v>
      </c>
      <c r="E517" s="292" t="s">
        <v>948</v>
      </c>
      <c r="F517" s="292"/>
      <c r="G517" s="253" t="s">
        <v>981</v>
      </c>
      <c r="H517" s="253"/>
      <c r="I517" s="253"/>
      <c r="J517" s="526">
        <f>J518</f>
        <v>0</v>
      </c>
      <c r="K517" s="527">
        <f>K518</f>
        <v>0</v>
      </c>
      <c r="L517" s="527">
        <f>L518</f>
        <v>0</v>
      </c>
      <c r="M517" s="527">
        <f>M518</f>
        <v>0</v>
      </c>
      <c r="N517" s="527">
        <f>M517+L517</f>
        <v>0</v>
      </c>
      <c r="O517" s="527">
        <f t="shared" ref="O517:O522" si="79">N517-K517</f>
        <v>0</v>
      </c>
      <c r="P517" s="671">
        <v>0</v>
      </c>
      <c r="Q517" s="733"/>
      <c r="R517" s="422"/>
    </row>
    <row r="518" spans="1:18" s="189" customFormat="1" ht="12.05" customHeight="1">
      <c r="A518" s="805"/>
      <c r="B518" s="305" t="s">
        <v>443</v>
      </c>
      <c r="C518" s="305" t="s">
        <v>58</v>
      </c>
      <c r="D518" s="305" t="s">
        <v>443</v>
      </c>
      <c r="E518" s="305" t="s">
        <v>948</v>
      </c>
      <c r="F518" s="305" t="s">
        <v>437</v>
      </c>
      <c r="G518" s="306" t="s">
        <v>50</v>
      </c>
      <c r="H518" s="306"/>
      <c r="I518" s="306" t="s">
        <v>640</v>
      </c>
      <c r="J518" s="482">
        <v>0</v>
      </c>
      <c r="K518" s="404">
        <v>0</v>
      </c>
      <c r="L518" s="404">
        <v>0</v>
      </c>
      <c r="M518" s="404">
        <v>0</v>
      </c>
      <c r="N518" s="404">
        <f>M518+L518</f>
        <v>0</v>
      </c>
      <c r="O518" s="404">
        <f t="shared" si="79"/>
        <v>0</v>
      </c>
      <c r="P518" s="483">
        <v>0</v>
      </c>
      <c r="Q518" s="733"/>
      <c r="R518" s="422"/>
    </row>
    <row r="519" spans="1:18" s="189" customFormat="1" ht="12.05" customHeight="1">
      <c r="A519" s="825"/>
      <c r="B519" s="741"/>
      <c r="C519" s="741"/>
      <c r="D519" s="741"/>
      <c r="E519" s="741"/>
      <c r="F519" s="741"/>
      <c r="G519" s="742"/>
      <c r="H519" s="742"/>
      <c r="I519" s="742"/>
      <c r="J519" s="750"/>
      <c r="K519" s="751"/>
      <c r="L519" s="751"/>
      <c r="M519" s="751"/>
      <c r="N519" s="751"/>
      <c r="O519" s="751"/>
      <c r="P519" s="829"/>
      <c r="Q519" s="839"/>
      <c r="R519" s="422"/>
    </row>
    <row r="520" spans="1:18" s="244" customFormat="1" ht="12.05" customHeight="1">
      <c r="A520" s="283" t="s">
        <v>174</v>
      </c>
      <c r="B520" s="284" t="s">
        <v>58</v>
      </c>
      <c r="C520" s="284" t="s">
        <v>849</v>
      </c>
      <c r="D520" s="284" t="s">
        <v>445</v>
      </c>
      <c r="E520" s="284" t="s">
        <v>437</v>
      </c>
      <c r="F520" s="284"/>
      <c r="G520" s="298" t="s">
        <v>175</v>
      </c>
      <c r="H520" s="298"/>
      <c r="I520" s="298"/>
      <c r="J520" s="336">
        <f>+J522</f>
        <v>1347785700</v>
      </c>
      <c r="K520" s="337">
        <f>+K522</f>
        <v>50953800</v>
      </c>
      <c r="L520" s="337">
        <f>+L522</f>
        <v>156274281</v>
      </c>
      <c r="M520" s="337">
        <f>+M522</f>
        <v>1300000</v>
      </c>
      <c r="N520" s="337">
        <f>+N522</f>
        <v>157574281</v>
      </c>
      <c r="O520" s="337">
        <f>+N520-K520</f>
        <v>106620481</v>
      </c>
      <c r="P520" s="338">
        <f>+N520/K520*100</f>
        <v>309.2493219347723</v>
      </c>
      <c r="Q520" s="432"/>
      <c r="R520" s="639"/>
    </row>
    <row r="521" spans="1:18" s="189" customFormat="1" ht="12.05" customHeight="1">
      <c r="A521" s="471"/>
      <c r="B521" s="287"/>
      <c r="C521" s="287"/>
      <c r="D521" s="287"/>
      <c r="E521" s="287"/>
      <c r="F521" s="287"/>
      <c r="G521" s="288"/>
      <c r="H521" s="288"/>
      <c r="I521" s="288"/>
      <c r="J521" s="339"/>
      <c r="K521" s="340"/>
      <c r="L521" s="340"/>
      <c r="M521" s="340"/>
      <c r="N521" s="340"/>
      <c r="O521" s="340"/>
      <c r="P521" s="341"/>
      <c r="Q521" s="840"/>
      <c r="R521" s="422"/>
    </row>
    <row r="522" spans="1:18" s="189" customFormat="1" ht="12.05" customHeight="1">
      <c r="A522" s="293"/>
      <c r="B522" s="290">
        <v>4</v>
      </c>
      <c r="C522" s="290">
        <v>1</v>
      </c>
      <c r="D522" s="290"/>
      <c r="E522" s="290"/>
      <c r="F522" s="290"/>
      <c r="G522" s="291" t="s">
        <v>180</v>
      </c>
      <c r="H522" s="291"/>
      <c r="I522" s="291"/>
      <c r="J522" s="342">
        <f>+J524+J528</f>
        <v>1347785700</v>
      </c>
      <c r="K522" s="343">
        <f>+K524+K528</f>
        <v>50953800</v>
      </c>
      <c r="L522" s="343">
        <f>L524+L528</f>
        <v>156274281</v>
      </c>
      <c r="M522" s="343">
        <f>+M524+M528</f>
        <v>1300000</v>
      </c>
      <c r="N522" s="343">
        <f>+M522+L522</f>
        <v>157574281</v>
      </c>
      <c r="O522" s="343">
        <f t="shared" si="79"/>
        <v>106620481</v>
      </c>
      <c r="P522" s="344">
        <f>N522/K522*100</f>
        <v>309.2493219347723</v>
      </c>
      <c r="Q522" s="841"/>
      <c r="R522" s="422"/>
    </row>
    <row r="523" spans="1:18" s="189" customFormat="1" ht="12.05" customHeight="1">
      <c r="A523" s="293"/>
      <c r="B523" s="292"/>
      <c r="C523" s="292"/>
      <c r="D523" s="292"/>
      <c r="E523" s="292"/>
      <c r="F523" s="292"/>
      <c r="G523" s="253"/>
      <c r="H523" s="253"/>
      <c r="I523" s="291"/>
      <c r="J523" s="345"/>
      <c r="K523" s="346"/>
      <c r="L523" s="346"/>
      <c r="M523" s="346"/>
      <c r="N523" s="346"/>
      <c r="O523" s="346"/>
      <c r="P523" s="347"/>
      <c r="Q523" s="841"/>
      <c r="R523" s="422"/>
    </row>
    <row r="524" spans="1:18" s="189" customFormat="1" ht="12.05" customHeight="1">
      <c r="A524" s="293"/>
      <c r="B524" s="290">
        <v>4</v>
      </c>
      <c r="C524" s="290">
        <v>1</v>
      </c>
      <c r="D524" s="290">
        <v>2</v>
      </c>
      <c r="E524" s="290"/>
      <c r="F524" s="290"/>
      <c r="G524" s="291" t="s">
        <v>106</v>
      </c>
      <c r="H524" s="291"/>
      <c r="I524" s="291"/>
      <c r="J524" s="348">
        <f t="shared" ref="J524:M525" si="80">+J525</f>
        <v>0</v>
      </c>
      <c r="K524" s="349">
        <f t="shared" si="80"/>
        <v>0</v>
      </c>
      <c r="L524" s="349">
        <f t="shared" si="80"/>
        <v>0</v>
      </c>
      <c r="M524" s="349">
        <f t="shared" si="80"/>
        <v>0</v>
      </c>
      <c r="N524" s="349">
        <f>+M524+L524</f>
        <v>0</v>
      </c>
      <c r="O524" s="349">
        <f>N524-K524</f>
        <v>0</v>
      </c>
      <c r="P524" s="350" t="e">
        <f>N524/K524*100</f>
        <v>#DIV/0!</v>
      </c>
      <c r="Q524" s="841"/>
      <c r="R524" s="422"/>
    </row>
    <row r="525" spans="1:18" s="189" customFormat="1" ht="12.05" customHeight="1">
      <c r="A525" s="465"/>
      <c r="B525" s="296">
        <v>4</v>
      </c>
      <c r="C525" s="296">
        <v>1</v>
      </c>
      <c r="D525" s="296">
        <v>2</v>
      </c>
      <c r="E525" s="296" t="s">
        <v>438</v>
      </c>
      <c r="F525" s="296"/>
      <c r="G525" s="297" t="s">
        <v>109</v>
      </c>
      <c r="H525" s="297"/>
      <c r="I525" s="467"/>
      <c r="J525" s="627">
        <f t="shared" si="80"/>
        <v>0</v>
      </c>
      <c r="K525" s="396">
        <f t="shared" si="80"/>
        <v>0</v>
      </c>
      <c r="L525" s="396">
        <f t="shared" si="80"/>
        <v>0</v>
      </c>
      <c r="M525" s="396">
        <f>+M526</f>
        <v>0</v>
      </c>
      <c r="N525" s="396">
        <f>+N526</f>
        <v>0</v>
      </c>
      <c r="O525" s="396">
        <f>N525-K525</f>
        <v>0</v>
      </c>
      <c r="P525" s="344" t="e">
        <f>N525/K525*100</f>
        <v>#DIV/0!</v>
      </c>
      <c r="Q525" s="841"/>
      <c r="R525" s="422"/>
    </row>
    <row r="526" spans="1:18" s="253" customFormat="1" ht="12.05" customHeight="1">
      <c r="A526" s="289"/>
      <c r="B526" s="292">
        <v>4</v>
      </c>
      <c r="C526" s="292">
        <v>1</v>
      </c>
      <c r="D526" s="292">
        <v>2</v>
      </c>
      <c r="E526" s="292" t="s">
        <v>438</v>
      </c>
      <c r="F526" s="292" t="s">
        <v>441</v>
      </c>
      <c r="G526" s="253" t="s">
        <v>64</v>
      </c>
      <c r="J526" s="354"/>
      <c r="K526" s="355"/>
      <c r="L526" s="355"/>
      <c r="M526" s="355">
        <v>0</v>
      </c>
      <c r="N526" s="355">
        <f>M526+L526</f>
        <v>0</v>
      </c>
      <c r="O526" s="355">
        <f>N526-K526</f>
        <v>0</v>
      </c>
      <c r="P526" s="388" t="e">
        <f>N526/K526*100</f>
        <v>#DIV/0!</v>
      </c>
      <c r="Q526" s="841"/>
      <c r="R526" s="842"/>
    </row>
    <row r="527" spans="1:18" s="253" customFormat="1" ht="12.05" customHeight="1">
      <c r="A527" s="293"/>
      <c r="B527" s="292"/>
      <c r="C527" s="292"/>
      <c r="D527" s="292"/>
      <c r="E527" s="292"/>
      <c r="F527" s="292"/>
      <c r="J527" s="354"/>
      <c r="K527" s="355"/>
      <c r="L527" s="355"/>
      <c r="M527" s="355"/>
      <c r="N527" s="355"/>
      <c r="O527" s="355"/>
      <c r="P527" s="388"/>
      <c r="Q527" s="841"/>
      <c r="R527" s="842"/>
    </row>
    <row r="528" spans="1:18" s="253" customFormat="1" ht="12.05" customHeight="1">
      <c r="A528" s="293"/>
      <c r="B528" s="290">
        <v>4</v>
      </c>
      <c r="C528" s="290">
        <v>1</v>
      </c>
      <c r="D528" s="290">
        <v>4</v>
      </c>
      <c r="E528" s="290"/>
      <c r="F528" s="290"/>
      <c r="G528" s="291" t="s">
        <v>71</v>
      </c>
      <c r="H528" s="291"/>
      <c r="I528" s="291"/>
      <c r="J528" s="370">
        <f>J529+J535</f>
        <v>1347785700</v>
      </c>
      <c r="K528" s="371">
        <f>K529+K535</f>
        <v>50953800</v>
      </c>
      <c r="L528" s="371">
        <f>L529+L535</f>
        <v>156274281</v>
      </c>
      <c r="M528" s="371">
        <f>M529+M535</f>
        <v>1300000</v>
      </c>
      <c r="N528" s="371">
        <f>N529+N535</f>
        <v>157574281</v>
      </c>
      <c r="O528" s="367">
        <f t="shared" ref="O528:O533" si="81">N528-K528</f>
        <v>106620481</v>
      </c>
      <c r="P528" s="347">
        <f>N528/K528*100</f>
        <v>309.2493219347723</v>
      </c>
      <c r="Q528" s="841"/>
      <c r="R528" s="842"/>
    </row>
    <row r="529" spans="1:18" s="253" customFormat="1" ht="15.05">
      <c r="A529" s="293"/>
      <c r="B529" s="292">
        <v>4</v>
      </c>
      <c r="C529" s="292">
        <v>1</v>
      </c>
      <c r="D529" s="292">
        <v>4</v>
      </c>
      <c r="E529" s="292" t="s">
        <v>444</v>
      </c>
      <c r="F529" s="292"/>
      <c r="G529" s="253" t="s">
        <v>222</v>
      </c>
      <c r="J529" s="370">
        <f>SUM(J530:J533)</f>
        <v>1340585700</v>
      </c>
      <c r="K529" s="830">
        <f>SUM(K530:K533)</f>
        <v>0</v>
      </c>
      <c r="L529" s="830">
        <f>SUM(L530:L533)</f>
        <v>134620261</v>
      </c>
      <c r="M529" s="830">
        <f>SUM(M530:M533)</f>
        <v>1300000</v>
      </c>
      <c r="N529" s="831">
        <f>+M529+L529</f>
        <v>135920261</v>
      </c>
      <c r="O529" s="831">
        <f t="shared" si="81"/>
        <v>135920261</v>
      </c>
      <c r="P529" s="832" t="e">
        <f>N529/K529*100</f>
        <v>#DIV/0!</v>
      </c>
      <c r="Q529" s="843"/>
      <c r="R529" s="842"/>
    </row>
    <row r="530" spans="1:18" s="253" customFormat="1" ht="12.05" customHeight="1">
      <c r="A530" s="293"/>
      <c r="B530" s="292">
        <v>4</v>
      </c>
      <c r="C530" s="292">
        <v>1</v>
      </c>
      <c r="D530" s="292">
        <v>4</v>
      </c>
      <c r="E530" s="292" t="s">
        <v>444</v>
      </c>
      <c r="F530" s="292" t="s">
        <v>438</v>
      </c>
      <c r="G530" s="253" t="s">
        <v>983</v>
      </c>
      <c r="J530" s="354">
        <v>0</v>
      </c>
      <c r="K530" s="355">
        <v>0</v>
      </c>
      <c r="L530" s="360"/>
      <c r="M530" s="355">
        <v>0</v>
      </c>
      <c r="N530" s="346">
        <f>+M530+L530</f>
        <v>0</v>
      </c>
      <c r="O530" s="346">
        <f t="shared" si="81"/>
        <v>0</v>
      </c>
      <c r="P530" s="347" t="e">
        <f>N530/K530*100</f>
        <v>#DIV/0!</v>
      </c>
      <c r="Q530" s="844"/>
      <c r="R530" s="842"/>
    </row>
    <row r="531" spans="1:18" s="253" customFormat="1" ht="12.05" customHeight="1">
      <c r="A531" s="293"/>
      <c r="B531" s="292">
        <v>4</v>
      </c>
      <c r="C531" s="292">
        <v>1</v>
      </c>
      <c r="D531" s="292">
        <v>4</v>
      </c>
      <c r="E531" s="292" t="s">
        <v>444</v>
      </c>
      <c r="F531" s="292" t="s">
        <v>440</v>
      </c>
      <c r="G531" s="253" t="s">
        <v>73</v>
      </c>
      <c r="J531" s="354">
        <v>40585700</v>
      </c>
      <c r="K531" s="355"/>
      <c r="L531" s="360"/>
      <c r="M531" s="355">
        <f>[55]Perdinas!$E$423</f>
        <v>0</v>
      </c>
      <c r="N531" s="355">
        <f>M531+L531</f>
        <v>0</v>
      </c>
      <c r="O531" s="355">
        <f t="shared" si="81"/>
        <v>0</v>
      </c>
      <c r="P531" s="388"/>
      <c r="Q531" s="841"/>
      <c r="R531" s="842"/>
    </row>
    <row r="532" spans="1:18" s="253" customFormat="1" ht="12.05" customHeight="1">
      <c r="A532" s="293"/>
      <c r="B532" s="292">
        <v>4</v>
      </c>
      <c r="C532" s="292">
        <v>1</v>
      </c>
      <c r="D532" s="292">
        <v>4</v>
      </c>
      <c r="E532" s="292" t="s">
        <v>444</v>
      </c>
      <c r="F532" s="292" t="s">
        <v>445</v>
      </c>
      <c r="G532" s="253" t="s">
        <v>74</v>
      </c>
      <c r="J532" s="354">
        <v>0</v>
      </c>
      <c r="K532" s="355">
        <v>0</v>
      </c>
      <c r="L532" s="360"/>
      <c r="M532" s="355">
        <f>[55]Perdinas!$E$424</f>
        <v>0</v>
      </c>
      <c r="N532" s="355">
        <f>M532+L532</f>
        <v>0</v>
      </c>
      <c r="O532" s="355">
        <f t="shared" si="81"/>
        <v>0</v>
      </c>
      <c r="P532" s="388"/>
      <c r="Q532" s="841"/>
      <c r="R532" s="842"/>
    </row>
    <row r="533" spans="1:18" s="253" customFormat="1" ht="12.05" customHeight="1">
      <c r="A533" s="293"/>
      <c r="B533" s="292">
        <v>4</v>
      </c>
      <c r="C533" s="292">
        <v>1</v>
      </c>
      <c r="D533" s="292">
        <v>4</v>
      </c>
      <c r="E533" s="292" t="s">
        <v>444</v>
      </c>
      <c r="F533" s="292" t="s">
        <v>441</v>
      </c>
      <c r="G533" s="253" t="s">
        <v>75</v>
      </c>
      <c r="J533" s="354">
        <v>1300000000</v>
      </c>
      <c r="K533" s="355">
        <f>'[57]TARGET MURNI DAN PERUBAHAN'!$E$289</f>
        <v>0</v>
      </c>
      <c r="L533" s="360">
        <f>[62]PerDinas!$N$533</f>
        <v>134620261</v>
      </c>
      <c r="M533" s="355">
        <f>[55]Perdinas!$E$425</f>
        <v>1300000</v>
      </c>
      <c r="N533" s="369">
        <f>M533+L533</f>
        <v>135920261</v>
      </c>
      <c r="O533" s="355">
        <f t="shared" si="81"/>
        <v>135920261</v>
      </c>
      <c r="P533" s="347" t="e">
        <f>N533/K533*100</f>
        <v>#DIV/0!</v>
      </c>
      <c r="Q533" s="841"/>
      <c r="R533" s="842"/>
    </row>
    <row r="534" spans="1:18" s="253" customFormat="1" ht="12.05" customHeight="1">
      <c r="A534" s="293"/>
      <c r="B534" s="292"/>
      <c r="C534" s="292"/>
      <c r="D534" s="292"/>
      <c r="E534" s="292"/>
      <c r="F534" s="292"/>
      <c r="J534" s="354"/>
      <c r="K534" s="355"/>
      <c r="L534" s="360"/>
      <c r="M534" s="355"/>
      <c r="N534" s="355"/>
      <c r="O534" s="355"/>
      <c r="P534" s="388"/>
      <c r="Q534" s="841"/>
      <c r="R534" s="842"/>
    </row>
    <row r="535" spans="1:18" s="253" customFormat="1" ht="12.05" customHeight="1">
      <c r="A535" s="303"/>
      <c r="B535" s="292">
        <v>4</v>
      </c>
      <c r="C535" s="292">
        <v>1</v>
      </c>
      <c r="D535" s="292">
        <v>4</v>
      </c>
      <c r="E535" s="292" t="s">
        <v>948</v>
      </c>
      <c r="F535" s="292"/>
      <c r="G535" s="253" t="s">
        <v>321</v>
      </c>
      <c r="J535" s="397">
        <f>+J536+J537</f>
        <v>7200000</v>
      </c>
      <c r="K535" s="398">
        <f>+K536+K537</f>
        <v>50953800</v>
      </c>
      <c r="L535" s="684">
        <f>+L536+L537</f>
        <v>21654020</v>
      </c>
      <c r="M535" s="398">
        <f>+M536+M537</f>
        <v>0</v>
      </c>
      <c r="N535" s="398">
        <f>+N536+N537</f>
        <v>21654020</v>
      </c>
      <c r="O535" s="398">
        <f>N535-K535</f>
        <v>-29299780</v>
      </c>
      <c r="P535" s="347">
        <f>N535/K535*100</f>
        <v>42.497360353889206</v>
      </c>
      <c r="Q535" s="841"/>
      <c r="R535" s="842"/>
    </row>
    <row r="536" spans="1:18" s="253" customFormat="1" ht="12.05" customHeight="1">
      <c r="A536" s="303"/>
      <c r="B536" s="292">
        <v>4</v>
      </c>
      <c r="C536" s="292">
        <v>1</v>
      </c>
      <c r="D536" s="292">
        <v>4</v>
      </c>
      <c r="E536" s="292" t="s">
        <v>948</v>
      </c>
      <c r="F536" s="292" t="s">
        <v>437</v>
      </c>
      <c r="G536" s="253" t="s">
        <v>50</v>
      </c>
      <c r="I536" s="253" t="s">
        <v>76</v>
      </c>
      <c r="J536" s="374">
        <v>2200000</v>
      </c>
      <c r="K536" s="375"/>
      <c r="L536" s="377">
        <v>0</v>
      </c>
      <c r="M536" s="375">
        <v>0</v>
      </c>
      <c r="N536" s="355">
        <f>M536+L536</f>
        <v>0</v>
      </c>
      <c r="O536" s="355">
        <f>N536-K536</f>
        <v>0</v>
      </c>
      <c r="P536" s="347"/>
      <c r="Q536" s="841"/>
      <c r="R536" s="842"/>
    </row>
    <row r="537" spans="1:18" s="253" customFormat="1" ht="12.05" customHeight="1">
      <c r="A537" s="303"/>
      <c r="B537" s="292" t="s">
        <v>984</v>
      </c>
      <c r="C537" s="292" t="s">
        <v>984</v>
      </c>
      <c r="D537" s="292" t="s">
        <v>984</v>
      </c>
      <c r="E537" s="292" t="s">
        <v>984</v>
      </c>
      <c r="F537" s="292" t="s">
        <v>984</v>
      </c>
      <c r="G537" s="253" t="s">
        <v>50</v>
      </c>
      <c r="I537" s="253" t="s">
        <v>632</v>
      </c>
      <c r="J537" s="374">
        <v>5000000</v>
      </c>
      <c r="K537" s="375">
        <f>'[57]TARGET MURNI DAN PERUBAHAN'!$E$290</f>
        <v>50953800</v>
      </c>
      <c r="L537" s="377">
        <f>[62]PerDinas!$N$537</f>
        <v>21654020</v>
      </c>
      <c r="M537" s="375">
        <f>[55]Perdinas!$E$426</f>
        <v>0</v>
      </c>
      <c r="N537" s="369">
        <f>M537+L537</f>
        <v>21654020</v>
      </c>
      <c r="O537" s="355">
        <f>N537-K537</f>
        <v>-29299780</v>
      </c>
      <c r="P537" s="347">
        <f>N537/K537*100</f>
        <v>42.497360353889206</v>
      </c>
      <c r="Q537" s="841"/>
      <c r="R537" s="842"/>
    </row>
    <row r="538" spans="1:18" s="245" customFormat="1" ht="12.7" customHeight="1">
      <c r="A538" s="745"/>
      <c r="B538" s="469"/>
      <c r="C538" s="469"/>
      <c r="D538" s="469"/>
      <c r="E538" s="469"/>
      <c r="F538" s="469"/>
      <c r="J538" s="482"/>
      <c r="K538" s="404"/>
      <c r="L538" s="673"/>
      <c r="M538" s="404"/>
      <c r="N538" s="404">
        <f>M538+L538</f>
        <v>0</v>
      </c>
      <c r="O538" s="404"/>
      <c r="P538" s="483"/>
      <c r="Q538" s="845"/>
      <c r="R538" s="450"/>
    </row>
    <row r="539" spans="1:18" s="244" customFormat="1" ht="12.05" customHeight="1">
      <c r="A539" s="283" t="s">
        <v>176</v>
      </c>
      <c r="B539" s="284" t="s">
        <v>58</v>
      </c>
      <c r="C539" s="284" t="s">
        <v>849</v>
      </c>
      <c r="D539" s="284" t="s">
        <v>451</v>
      </c>
      <c r="E539" s="284" t="s">
        <v>437</v>
      </c>
      <c r="F539" s="796"/>
      <c r="G539" s="298" t="s">
        <v>1069</v>
      </c>
      <c r="H539" s="298"/>
      <c r="I539" s="298"/>
      <c r="J539" s="833">
        <f>J541</f>
        <v>87096920900</v>
      </c>
      <c r="K539" s="834">
        <f>K541</f>
        <v>237715633126</v>
      </c>
      <c r="L539" s="835">
        <f>L541</f>
        <v>111432092404.75</v>
      </c>
      <c r="M539" s="835" t="e">
        <f>M541</f>
        <v>#REF!</v>
      </c>
      <c r="N539" s="337" t="e">
        <f>+M539+L539</f>
        <v>#REF!</v>
      </c>
      <c r="O539" s="337" t="e">
        <f t="shared" ref="O539:O545" si="82">N539-K539</f>
        <v>#REF!</v>
      </c>
      <c r="P539" s="338" t="e">
        <f t="shared" ref="P539:P545" si="83">N539/K539*100</f>
        <v>#REF!</v>
      </c>
      <c r="Q539" s="432"/>
      <c r="R539" s="788" t="e">
        <f>N539-203604619437.55</f>
        <v>#REF!</v>
      </c>
    </row>
    <row r="540" spans="1:18" s="189" customFormat="1" ht="12.05" customHeight="1">
      <c r="A540" s="471"/>
      <c r="B540" s="287"/>
      <c r="C540" s="287"/>
      <c r="D540" s="287"/>
      <c r="E540" s="287"/>
      <c r="F540" s="287"/>
      <c r="G540" s="410"/>
      <c r="H540" s="410"/>
      <c r="I540" s="410"/>
      <c r="J540" s="333"/>
      <c r="K540" s="334"/>
      <c r="L540" s="334"/>
      <c r="M540" s="334"/>
      <c r="N540" s="485"/>
      <c r="O540" s="485"/>
      <c r="P540" s="597"/>
      <c r="Q540" s="430"/>
      <c r="R540" s="422"/>
    </row>
    <row r="541" spans="1:18" s="189" customFormat="1" ht="12.05" customHeight="1">
      <c r="A541" s="303"/>
      <c r="B541" s="290">
        <v>4</v>
      </c>
      <c r="C541" s="290">
        <v>1</v>
      </c>
      <c r="D541" s="290"/>
      <c r="E541" s="290"/>
      <c r="F541" s="290"/>
      <c r="G541" s="291" t="s">
        <v>180</v>
      </c>
      <c r="H541" s="291"/>
      <c r="I541" s="291"/>
      <c r="J541" s="836">
        <f>J543+J547+J559</f>
        <v>87096920900</v>
      </c>
      <c r="K541" s="837">
        <f>K543+K547+K559</f>
        <v>237715633126</v>
      </c>
      <c r="L541" s="837">
        <f>L543+L547+L559</f>
        <v>111432092404.75</v>
      </c>
      <c r="M541" s="837" t="e">
        <f>M543+M547+M559</f>
        <v>#REF!</v>
      </c>
      <c r="N541" s="837" t="e">
        <f>M541+L541</f>
        <v>#REF!</v>
      </c>
      <c r="O541" s="343" t="e">
        <f t="shared" si="82"/>
        <v>#REF!</v>
      </c>
      <c r="P541" s="344" t="e">
        <f t="shared" si="83"/>
        <v>#REF!</v>
      </c>
      <c r="Q541" s="846"/>
      <c r="R541" s="422"/>
    </row>
    <row r="542" spans="1:18" s="189" customFormat="1" ht="12.05" customHeight="1">
      <c r="A542" s="303"/>
      <c r="B542" s="290"/>
      <c r="C542" s="290"/>
      <c r="D542" s="290"/>
      <c r="E542" s="290"/>
      <c r="F542" s="290"/>
      <c r="G542" s="291"/>
      <c r="H542" s="291"/>
      <c r="I542" s="291"/>
      <c r="J542" s="370"/>
      <c r="K542" s="371"/>
      <c r="L542" s="371"/>
      <c r="M542" s="371"/>
      <c r="N542" s="367"/>
      <c r="O542" s="367"/>
      <c r="P542" s="347"/>
      <c r="Q542" s="651"/>
      <c r="R542" s="422"/>
    </row>
    <row r="543" spans="1:18" s="189" customFormat="1" ht="12.05" customHeight="1">
      <c r="A543" s="293"/>
      <c r="B543" s="290">
        <v>4</v>
      </c>
      <c r="C543" s="290">
        <v>1</v>
      </c>
      <c r="D543" s="290">
        <v>2</v>
      </c>
      <c r="E543" s="290"/>
      <c r="F543" s="290"/>
      <c r="G543" s="291" t="s">
        <v>106</v>
      </c>
      <c r="H543" s="291"/>
      <c r="I543" s="291"/>
      <c r="J543" s="348">
        <f t="shared" ref="J543:M544" si="84">+J544</f>
        <v>0</v>
      </c>
      <c r="K543" s="349">
        <f t="shared" si="84"/>
        <v>0</v>
      </c>
      <c r="L543" s="349">
        <f t="shared" si="84"/>
        <v>0</v>
      </c>
      <c r="M543" s="349">
        <f t="shared" si="84"/>
        <v>0</v>
      </c>
      <c r="N543" s="349">
        <f>+M543+L543</f>
        <v>0</v>
      </c>
      <c r="O543" s="349">
        <f t="shared" si="82"/>
        <v>0</v>
      </c>
      <c r="P543" s="350" t="e">
        <f t="shared" si="83"/>
        <v>#DIV/0!</v>
      </c>
      <c r="Q543" s="439"/>
      <c r="R543" s="422"/>
    </row>
    <row r="544" spans="1:18" s="189" customFormat="1" ht="12.05" customHeight="1">
      <c r="A544" s="293"/>
      <c r="B544" s="292">
        <v>4</v>
      </c>
      <c r="C544" s="292">
        <v>1</v>
      </c>
      <c r="D544" s="292">
        <v>2</v>
      </c>
      <c r="E544" s="292" t="s">
        <v>438</v>
      </c>
      <c r="F544" s="292"/>
      <c r="G544" s="253" t="s">
        <v>109</v>
      </c>
      <c r="H544" s="253"/>
      <c r="I544" s="291"/>
      <c r="J544" s="411">
        <f t="shared" si="84"/>
        <v>0</v>
      </c>
      <c r="K544" s="412">
        <f t="shared" si="84"/>
        <v>0</v>
      </c>
      <c r="L544" s="412">
        <f t="shared" si="84"/>
        <v>0</v>
      </c>
      <c r="M544" s="412">
        <f t="shared" si="84"/>
        <v>0</v>
      </c>
      <c r="N544" s="412">
        <f>+N545</f>
        <v>0</v>
      </c>
      <c r="O544" s="412">
        <f t="shared" si="82"/>
        <v>0</v>
      </c>
      <c r="P544" s="487" t="e">
        <f t="shared" si="83"/>
        <v>#DIV/0!</v>
      </c>
      <c r="Q544" s="694"/>
      <c r="R544" s="422"/>
    </row>
    <row r="545" spans="1:18" s="189" customFormat="1" ht="12.05" customHeight="1">
      <c r="A545" s="293"/>
      <c r="B545" s="292">
        <v>4</v>
      </c>
      <c r="C545" s="292">
        <v>1</v>
      </c>
      <c r="D545" s="292">
        <v>2</v>
      </c>
      <c r="E545" s="292" t="s">
        <v>437</v>
      </c>
      <c r="F545" s="292" t="s">
        <v>441</v>
      </c>
      <c r="G545" s="2760" t="s">
        <v>50</v>
      </c>
      <c r="H545" s="253" t="s">
        <v>986</v>
      </c>
      <c r="I545" s="253"/>
      <c r="J545" s="333">
        <v>0</v>
      </c>
      <c r="K545" s="334">
        <v>0</v>
      </c>
      <c r="L545" s="334"/>
      <c r="M545" s="334">
        <v>0</v>
      </c>
      <c r="N545" s="361">
        <f>M545+L545</f>
        <v>0</v>
      </c>
      <c r="O545" s="334">
        <f t="shared" si="82"/>
        <v>0</v>
      </c>
      <c r="P545" s="335" t="e">
        <f t="shared" si="83"/>
        <v>#DIV/0!</v>
      </c>
      <c r="Q545" s="430"/>
      <c r="R545" s="555"/>
    </row>
    <row r="546" spans="1:18" s="189" customFormat="1" ht="12.05" customHeight="1">
      <c r="A546" s="293"/>
      <c r="B546" s="292"/>
      <c r="C546" s="292"/>
      <c r="D546" s="292"/>
      <c r="E546" s="292"/>
      <c r="F546" s="292"/>
      <c r="G546" s="253"/>
      <c r="H546" s="253"/>
      <c r="I546" s="253"/>
      <c r="J546" s="351"/>
      <c r="K546" s="352"/>
      <c r="L546" s="362"/>
      <c r="M546" s="352"/>
      <c r="N546" s="352"/>
      <c r="O546" s="352"/>
      <c r="P546" s="353"/>
      <c r="Q546" s="440"/>
      <c r="R546" s="422"/>
    </row>
    <row r="547" spans="1:18" s="189" customFormat="1" ht="12.05" customHeight="1">
      <c r="A547" s="303"/>
      <c r="B547" s="290">
        <v>4</v>
      </c>
      <c r="C547" s="290">
        <v>1</v>
      </c>
      <c r="D547" s="290">
        <v>3</v>
      </c>
      <c r="E547" s="290"/>
      <c r="F547" s="290"/>
      <c r="G547" s="848" t="s">
        <v>987</v>
      </c>
      <c r="H547" s="848"/>
      <c r="I547" s="291"/>
      <c r="J547" s="863">
        <f>+J549</f>
        <v>77891339800</v>
      </c>
      <c r="K547" s="864">
        <f>+K549</f>
        <v>123837542676</v>
      </c>
      <c r="L547" s="865">
        <f>+L549</f>
        <v>69217461756</v>
      </c>
      <c r="M547" s="864" t="e">
        <f>+M549</f>
        <v>#REF!</v>
      </c>
      <c r="N547" s="866" t="e">
        <f>+M547+L547</f>
        <v>#REF!</v>
      </c>
      <c r="O547" s="866" t="e">
        <f>N547-K547</f>
        <v>#REF!</v>
      </c>
      <c r="P547" s="867" t="e">
        <f>N547/K547*100</f>
        <v>#REF!</v>
      </c>
      <c r="Q547" s="885"/>
      <c r="R547" s="422"/>
    </row>
    <row r="548" spans="1:18" s="189" customFormat="1" ht="12.05" customHeight="1">
      <c r="A548" s="293"/>
      <c r="B548" s="292"/>
      <c r="C548" s="292"/>
      <c r="D548" s="292"/>
      <c r="E548" s="292"/>
      <c r="F548" s="292"/>
      <c r="G548" s="253"/>
      <c r="H548" s="253"/>
      <c r="I548" s="253"/>
      <c r="J548" s="708"/>
      <c r="K548" s="709"/>
      <c r="L548" s="710"/>
      <c r="M548" s="709"/>
      <c r="N548" s="709"/>
      <c r="O548" s="709"/>
      <c r="P548" s="1168"/>
      <c r="Q548" s="732"/>
      <c r="R548" s="422"/>
    </row>
    <row r="549" spans="1:18" s="189" customFormat="1" ht="12.05" customHeight="1">
      <c r="A549" s="303"/>
      <c r="B549" s="292">
        <v>4</v>
      </c>
      <c r="C549" s="292">
        <v>1</v>
      </c>
      <c r="D549" s="292">
        <v>3</v>
      </c>
      <c r="E549" s="292" t="s">
        <v>437</v>
      </c>
      <c r="F549" s="292"/>
      <c r="G549" s="253" t="s">
        <v>767</v>
      </c>
      <c r="H549" s="253"/>
      <c r="I549" s="253"/>
      <c r="J549" s="489">
        <f>+J550</f>
        <v>77891339800</v>
      </c>
      <c r="K549" s="512">
        <f>+K550</f>
        <v>123837542676</v>
      </c>
      <c r="L549" s="616">
        <f>+L550</f>
        <v>69217461756</v>
      </c>
      <c r="M549" s="512" t="e">
        <f>+M550</f>
        <v>#REF!</v>
      </c>
      <c r="N549" s="412" t="e">
        <f>+M549+L549</f>
        <v>#REF!</v>
      </c>
      <c r="O549" s="412" t="e">
        <f t="shared" ref="O549:O557" si="85">N549-K549</f>
        <v>#REF!</v>
      </c>
      <c r="P549" s="487" t="e">
        <f t="shared" ref="P549:P557" si="86">N549/K549*100</f>
        <v>#REF!</v>
      </c>
      <c r="Q549" s="647"/>
      <c r="R549" s="422"/>
    </row>
    <row r="550" spans="1:18" s="189" customFormat="1">
      <c r="A550" s="303"/>
      <c r="B550" s="292">
        <v>4</v>
      </c>
      <c r="C550" s="292">
        <v>1</v>
      </c>
      <c r="D550" s="292">
        <v>3</v>
      </c>
      <c r="E550" s="292" t="s">
        <v>437</v>
      </c>
      <c r="F550" s="292" t="s">
        <v>437</v>
      </c>
      <c r="G550" s="253" t="s">
        <v>195</v>
      </c>
      <c r="H550" s="253"/>
      <c r="I550" s="253"/>
      <c r="J550" s="494">
        <f>SUM(J551:J556)</f>
        <v>77891339800</v>
      </c>
      <c r="K550" s="495">
        <f>SUM(K551:K557)</f>
        <v>123837542676</v>
      </c>
      <c r="L550" s="513">
        <f>SUM(L551:L556)</f>
        <v>69217461756</v>
      </c>
      <c r="M550" s="495" t="e">
        <f>SUM(M551:M556)</f>
        <v>#REF!</v>
      </c>
      <c r="N550" s="495" t="e">
        <f t="shared" ref="N550:N556" si="87">M550+L550</f>
        <v>#REF!</v>
      </c>
      <c r="O550" s="497" t="e">
        <f t="shared" si="85"/>
        <v>#REF!</v>
      </c>
      <c r="P550" s="498" t="e">
        <f t="shared" si="86"/>
        <v>#REF!</v>
      </c>
      <c r="Q550" s="548"/>
      <c r="R550" s="422"/>
    </row>
    <row r="551" spans="1:18" s="189" customFormat="1" ht="12.05" customHeight="1">
      <c r="A551" s="293"/>
      <c r="B551" s="292"/>
      <c r="C551" s="292"/>
      <c r="D551" s="292"/>
      <c r="E551" s="292"/>
      <c r="F551" s="292"/>
      <c r="G551" s="253" t="s">
        <v>50</v>
      </c>
      <c r="H551" s="253"/>
      <c r="I551" s="253" t="s">
        <v>197</v>
      </c>
      <c r="J551" s="374">
        <v>46024029800</v>
      </c>
      <c r="K551" s="376">
        <f>'[57]TARGET MURNI DAN PERUBAHAN'!$E$305</f>
        <v>48904261900</v>
      </c>
      <c r="L551" s="377">
        <f>[62]PerDinas!$N$551</f>
        <v>59771875733</v>
      </c>
      <c r="M551" s="376" t="e">
        <f>[55]Perdinas!#REF!</f>
        <v>#REF!</v>
      </c>
      <c r="N551" s="415" t="e">
        <f t="shared" si="87"/>
        <v>#REF!</v>
      </c>
      <c r="O551" s="357" t="e">
        <f t="shared" si="85"/>
        <v>#REF!</v>
      </c>
      <c r="P551" s="358" t="e">
        <f t="shared" si="86"/>
        <v>#REF!</v>
      </c>
      <c r="Q551" s="448"/>
      <c r="R551" s="422"/>
    </row>
    <row r="552" spans="1:18" s="189" customFormat="1" ht="12.05" customHeight="1">
      <c r="A552" s="293"/>
      <c r="B552" s="705"/>
      <c r="C552" s="705"/>
      <c r="D552" s="705"/>
      <c r="E552" s="705"/>
      <c r="F552" s="292"/>
      <c r="G552" s="253" t="s">
        <v>50</v>
      </c>
      <c r="H552" s="253"/>
      <c r="I552" s="253" t="s">
        <v>988</v>
      </c>
      <c r="J552" s="374">
        <v>3250000000</v>
      </c>
      <c r="K552" s="376">
        <f>'[57]TARGET MURNI DAN PERUBAHAN'!$E$306</f>
        <v>8123179200</v>
      </c>
      <c r="L552" s="377">
        <f>[62]PerDinas!$N$552</f>
        <v>9337100098</v>
      </c>
      <c r="M552" s="376" t="e">
        <f>[55]Perdinas!#REF!</f>
        <v>#REF!</v>
      </c>
      <c r="N552" s="369" t="e">
        <f t="shared" si="87"/>
        <v>#REF!</v>
      </c>
      <c r="O552" s="355" t="e">
        <f t="shared" si="85"/>
        <v>#REF!</v>
      </c>
      <c r="P552" s="388" t="e">
        <f t="shared" si="86"/>
        <v>#REF!</v>
      </c>
      <c r="Q552" s="732"/>
      <c r="R552" s="422"/>
    </row>
    <row r="553" spans="1:18" s="189" customFormat="1" ht="12.05" customHeight="1">
      <c r="A553" s="293"/>
      <c r="B553" s="705"/>
      <c r="C553" s="705"/>
      <c r="D553" s="705"/>
      <c r="E553" s="705"/>
      <c r="F553" s="292"/>
      <c r="G553" s="253" t="s">
        <v>50</v>
      </c>
      <c r="H553" s="253"/>
      <c r="I553" s="253" t="s">
        <v>769</v>
      </c>
      <c r="J553" s="374">
        <v>300000000</v>
      </c>
      <c r="K553" s="376">
        <f>'[57]TARGET MURNI DAN PERUBAHAN'!$E$307</f>
        <v>750000000</v>
      </c>
      <c r="L553" s="377">
        <f>[62]PerDinas!$N$553</f>
        <v>0</v>
      </c>
      <c r="M553" s="376" t="e">
        <f>[55]Perdinas!#REF!</f>
        <v>#REF!</v>
      </c>
      <c r="N553" s="369" t="e">
        <f t="shared" si="87"/>
        <v>#REF!</v>
      </c>
      <c r="O553" s="355" t="e">
        <f t="shared" si="85"/>
        <v>#REF!</v>
      </c>
      <c r="P553" s="388" t="e">
        <f t="shared" si="86"/>
        <v>#REF!</v>
      </c>
      <c r="Q553" s="732"/>
      <c r="R553" s="422"/>
    </row>
    <row r="554" spans="1:18" s="189" customFormat="1" ht="12.05" customHeight="1">
      <c r="A554" s="293"/>
      <c r="B554" s="292"/>
      <c r="C554" s="292"/>
      <c r="D554" s="292"/>
      <c r="E554" s="292"/>
      <c r="F554" s="292"/>
      <c r="G554" s="253" t="s">
        <v>50</v>
      </c>
      <c r="H554" s="253"/>
      <c r="I554" s="253" t="s">
        <v>199</v>
      </c>
      <c r="J554" s="374">
        <v>28000000000</v>
      </c>
      <c r="K554" s="376">
        <f>'[57]TARGET MURNI DAN PERUBAHAN'!$E$308</f>
        <v>65782409997</v>
      </c>
      <c r="L554" s="377">
        <f>[62]PerDinas!$N$554</f>
        <v>0</v>
      </c>
      <c r="M554" s="376" t="e">
        <f>[55]Perdinas!#REF!</f>
        <v>#REF!</v>
      </c>
      <c r="N554" s="355" t="e">
        <f t="shared" si="87"/>
        <v>#REF!</v>
      </c>
      <c r="O554" s="355" t="e">
        <f t="shared" si="85"/>
        <v>#REF!</v>
      </c>
      <c r="P554" s="388" t="e">
        <f t="shared" si="86"/>
        <v>#REF!</v>
      </c>
      <c r="Q554" s="732"/>
      <c r="R554" s="422"/>
    </row>
    <row r="555" spans="1:18" s="189" customFormat="1" ht="12.05" customHeight="1">
      <c r="A555" s="293"/>
      <c r="B555" s="292"/>
      <c r="C555" s="292"/>
      <c r="D555" s="292"/>
      <c r="E555" s="292"/>
      <c r="F555" s="292"/>
      <c r="G555" s="253" t="s">
        <v>50</v>
      </c>
      <c r="H555" s="253"/>
      <c r="I555" s="253" t="s">
        <v>200</v>
      </c>
      <c r="J555" s="374">
        <v>317310000</v>
      </c>
      <c r="K555" s="376">
        <f>'[57]TARGET MURNI DAN PERUBAHAN'!$E$309</f>
        <v>247359679</v>
      </c>
      <c r="L555" s="377">
        <f>[62]PerDinas!$N$555</f>
        <v>0</v>
      </c>
      <c r="M555" s="376" t="e">
        <f>[55]Perdinas!#REF!</f>
        <v>#REF!</v>
      </c>
      <c r="N555" s="355" t="e">
        <f t="shared" si="87"/>
        <v>#REF!</v>
      </c>
      <c r="O555" s="355" t="e">
        <f t="shared" si="85"/>
        <v>#REF!</v>
      </c>
      <c r="P555" s="388" t="e">
        <f t="shared" si="86"/>
        <v>#REF!</v>
      </c>
      <c r="Q555" s="732"/>
      <c r="R555" s="422"/>
    </row>
    <row r="556" spans="1:18" s="189" customFormat="1" ht="12.05" customHeight="1">
      <c r="A556" s="293"/>
      <c r="B556" s="292"/>
      <c r="C556" s="292"/>
      <c r="D556" s="292"/>
      <c r="E556" s="292"/>
      <c r="F556" s="292"/>
      <c r="G556" s="253" t="s">
        <v>50</v>
      </c>
      <c r="H556" s="253"/>
      <c r="I556" s="253" t="s">
        <v>770</v>
      </c>
      <c r="J556" s="374"/>
      <c r="K556" s="376">
        <f>'[57]TARGET MURNI DAN PERUBAHAN'!$E$310</f>
        <v>30331900</v>
      </c>
      <c r="L556" s="377">
        <f>[62]PerDinas!$N$556</f>
        <v>108485925</v>
      </c>
      <c r="M556" s="376" t="e">
        <f>[55]Perdinas!#REF!</f>
        <v>#REF!</v>
      </c>
      <c r="N556" s="369" t="e">
        <f t="shared" si="87"/>
        <v>#REF!</v>
      </c>
      <c r="O556" s="355" t="e">
        <f t="shared" si="85"/>
        <v>#REF!</v>
      </c>
      <c r="P556" s="388" t="e">
        <f t="shared" si="86"/>
        <v>#REF!</v>
      </c>
      <c r="Q556" s="732"/>
      <c r="R556" s="422"/>
    </row>
    <row r="557" spans="1:18" s="189" customFormat="1" ht="12.05" customHeight="1">
      <c r="A557" s="293"/>
      <c r="B557" s="292"/>
      <c r="C557" s="292"/>
      <c r="D557" s="292"/>
      <c r="E557" s="292"/>
      <c r="F557" s="292"/>
      <c r="G557" s="253" t="s">
        <v>50</v>
      </c>
      <c r="H557" s="253"/>
      <c r="I557" s="253" t="s">
        <v>201</v>
      </c>
      <c r="J557" s="374"/>
      <c r="K557" s="376">
        <f>'[57]TARGET MURNI DAN PERUBAHAN'!$E$311</f>
        <v>0</v>
      </c>
      <c r="L557" s="377" t="e">
        <f>[62]PerDinas!$N$557</f>
        <v>#REF!</v>
      </c>
      <c r="M557" s="376" t="e">
        <f>[55]Perdinas!#REF!</f>
        <v>#REF!</v>
      </c>
      <c r="N557" s="355"/>
      <c r="O557" s="355">
        <f t="shared" si="85"/>
        <v>0</v>
      </c>
      <c r="P557" s="388" t="e">
        <f t="shared" si="86"/>
        <v>#DIV/0!</v>
      </c>
      <c r="Q557" s="448"/>
      <c r="R557" s="422"/>
    </row>
    <row r="558" spans="1:18" s="189" customFormat="1" ht="12.05" customHeight="1">
      <c r="A558" s="293"/>
      <c r="B558" s="292"/>
      <c r="C558" s="292"/>
      <c r="D558" s="292"/>
      <c r="E558" s="292"/>
      <c r="F558" s="292"/>
      <c r="G558" s="253"/>
      <c r="H558" s="253"/>
      <c r="I558" s="868"/>
      <c r="J558" s="494"/>
      <c r="K558" s="495"/>
      <c r="L558" s="513"/>
      <c r="M558" s="495"/>
      <c r="N558" s="334"/>
      <c r="O558" s="334"/>
      <c r="P558" s="335"/>
      <c r="Q558" s="548"/>
      <c r="R558" s="422"/>
    </row>
    <row r="559" spans="1:18" s="189" customFormat="1" ht="12.05" customHeight="1">
      <c r="A559" s="303"/>
      <c r="B559" s="290">
        <v>4</v>
      </c>
      <c r="C559" s="290">
        <v>1</v>
      </c>
      <c r="D559" s="290">
        <v>4</v>
      </c>
      <c r="E559" s="290"/>
      <c r="F559" s="290"/>
      <c r="G559" s="291" t="s">
        <v>71</v>
      </c>
      <c r="H559" s="291"/>
      <c r="I559" s="291"/>
      <c r="J559" s="392">
        <f>+J560+J564+J567+J571</f>
        <v>9205581100</v>
      </c>
      <c r="K559" s="393">
        <f>+K560+K564+K567+K571+K577+K562</f>
        <v>113878090450</v>
      </c>
      <c r="L559" s="393">
        <f>+L560+L564+L567+L571+L577+L562</f>
        <v>42214630648.75</v>
      </c>
      <c r="M559" s="393" t="e">
        <f>+M560+M564+M567+M571+M577</f>
        <v>#REF!</v>
      </c>
      <c r="N559" s="393" t="e">
        <f>M559+L559</f>
        <v>#REF!</v>
      </c>
      <c r="O559" s="349" t="e">
        <f>N559-K559</f>
        <v>#REF!</v>
      </c>
      <c r="P559" s="350" t="e">
        <f t="shared" ref="P559:P565" si="88">N559/K559*100</f>
        <v>#REF!</v>
      </c>
      <c r="Q559" s="444"/>
      <c r="R559" s="422"/>
    </row>
    <row r="560" spans="1:18" s="189" customFormat="1" ht="12.05" customHeight="1">
      <c r="A560" s="303"/>
      <c r="B560" s="292">
        <v>4</v>
      </c>
      <c r="C560" s="292">
        <v>1</v>
      </c>
      <c r="D560" s="292">
        <v>4</v>
      </c>
      <c r="E560" s="292" t="s">
        <v>437</v>
      </c>
      <c r="F560" s="292" t="s">
        <v>438</v>
      </c>
      <c r="G560" s="253" t="s">
        <v>989</v>
      </c>
      <c r="H560" s="253"/>
      <c r="I560" s="253"/>
      <c r="J560" s="484">
        <f>+J561+J562</f>
        <v>0</v>
      </c>
      <c r="K560" s="485">
        <v>0</v>
      </c>
      <c r="L560" s="486">
        <v>0</v>
      </c>
      <c r="M560" s="485" t="e">
        <f>+M561+M562</f>
        <v>#REF!</v>
      </c>
      <c r="N560" s="869" t="e">
        <f>M560+L560</f>
        <v>#REF!</v>
      </c>
      <c r="O560" s="870" t="e">
        <f>N560-K560</f>
        <v>#REF!</v>
      </c>
      <c r="P560" s="871" t="e">
        <f t="shared" si="88"/>
        <v>#REF!</v>
      </c>
      <c r="Q560" s="541"/>
      <c r="R560" s="422"/>
    </row>
    <row r="561" spans="1:19" s="189" customFormat="1" ht="12.05" customHeight="1">
      <c r="A561" s="303"/>
      <c r="B561" s="292"/>
      <c r="C561" s="292"/>
      <c r="D561" s="292"/>
      <c r="E561" s="292"/>
      <c r="F561" s="292"/>
      <c r="G561" s="253"/>
      <c r="H561" s="253"/>
      <c r="I561" s="253"/>
      <c r="J561" s="679"/>
      <c r="K561" s="874"/>
      <c r="L561" s="692"/>
      <c r="M561" s="874" t="e">
        <f>[55]Perdinas!#REF!</f>
        <v>#REF!</v>
      </c>
      <c r="N561" s="334"/>
      <c r="O561" s="334"/>
      <c r="P561" s="335"/>
      <c r="Q561" s="449"/>
      <c r="R561" s="422"/>
    </row>
    <row r="562" spans="1:19" s="189" customFormat="1" ht="12.05" customHeight="1">
      <c r="A562" s="293"/>
      <c r="B562" s="292">
        <v>4</v>
      </c>
      <c r="C562" s="292">
        <v>1</v>
      </c>
      <c r="D562" s="292">
        <v>4</v>
      </c>
      <c r="E562" s="292" t="s">
        <v>438</v>
      </c>
      <c r="F562" s="292" t="s">
        <v>438</v>
      </c>
      <c r="G562" s="253" t="s">
        <v>212</v>
      </c>
      <c r="H562" s="253"/>
      <c r="I562" s="253"/>
      <c r="J562" s="354">
        <v>0</v>
      </c>
      <c r="K562" s="373">
        <f>'[57]TARGET MURNI DAN PERUBAHAN'!$E$315</f>
        <v>4500000000</v>
      </c>
      <c r="L562" s="692">
        <f>[62]PerDinas!$N$560</f>
        <v>9591772872.6299992</v>
      </c>
      <c r="M562" s="373" t="e">
        <f>[55]Perdinas!#REF!</f>
        <v>#REF!</v>
      </c>
      <c r="N562" s="361" t="e">
        <f>M562+L562</f>
        <v>#REF!</v>
      </c>
      <c r="O562" s="355" t="e">
        <f>N562-K562</f>
        <v>#REF!</v>
      </c>
      <c r="P562" s="388" t="e">
        <f>N562/K562*100</f>
        <v>#REF!</v>
      </c>
      <c r="Q562" s="441"/>
      <c r="R562" s="555"/>
    </row>
    <row r="563" spans="1:19" s="189" customFormat="1" ht="12.05" customHeight="1">
      <c r="A563" s="293"/>
      <c r="B563" s="292"/>
      <c r="C563" s="292"/>
      <c r="D563" s="292"/>
      <c r="E563" s="292"/>
      <c r="F563" s="292"/>
      <c r="G563" s="253"/>
      <c r="H563" s="253"/>
      <c r="I563" s="253"/>
      <c r="J563" s="333"/>
      <c r="K563" s="334"/>
      <c r="L563" s="356"/>
      <c r="M563" s="334"/>
      <c r="N563" s="334"/>
      <c r="O563" s="334"/>
      <c r="P563" s="335"/>
      <c r="Q563" s="430"/>
      <c r="R563" s="422"/>
    </row>
    <row r="564" spans="1:19" s="189" customFormat="1" ht="12.05" customHeight="1">
      <c r="A564" s="303"/>
      <c r="B564" s="292">
        <v>4</v>
      </c>
      <c r="C564" s="292">
        <v>1</v>
      </c>
      <c r="D564" s="292">
        <v>4</v>
      </c>
      <c r="E564" s="292" t="s">
        <v>440</v>
      </c>
      <c r="F564" s="292"/>
      <c r="G564" s="253" t="s">
        <v>215</v>
      </c>
      <c r="H564" s="253"/>
      <c r="I564" s="253"/>
      <c r="J564" s="484">
        <f>+J565</f>
        <v>9165581100</v>
      </c>
      <c r="K564" s="485">
        <f>+K565</f>
        <v>9000000000</v>
      </c>
      <c r="L564" s="486">
        <f>+L565</f>
        <v>10837037026</v>
      </c>
      <c r="M564" s="485" t="e">
        <f>+M565</f>
        <v>#REF!</v>
      </c>
      <c r="N564" s="412" t="e">
        <f>+M564+L564</f>
        <v>#REF!</v>
      </c>
      <c r="O564" s="412" t="e">
        <f t="shared" ref="O564:O569" si="89">N564-K564</f>
        <v>#REF!</v>
      </c>
      <c r="P564" s="487" t="e">
        <f t="shared" si="88"/>
        <v>#REF!</v>
      </c>
      <c r="Q564" s="541"/>
      <c r="R564" s="422"/>
    </row>
    <row r="565" spans="1:19" s="189" customFormat="1" ht="12.05" customHeight="1">
      <c r="A565" s="303"/>
      <c r="B565" s="292">
        <v>4</v>
      </c>
      <c r="C565" s="292">
        <v>1</v>
      </c>
      <c r="D565" s="292">
        <v>4</v>
      </c>
      <c r="E565" s="292" t="s">
        <v>440</v>
      </c>
      <c r="F565" s="292" t="s">
        <v>437</v>
      </c>
      <c r="G565" s="253" t="s">
        <v>216</v>
      </c>
      <c r="H565" s="253"/>
      <c r="I565" s="253"/>
      <c r="J565" s="494">
        <v>9165581100</v>
      </c>
      <c r="K565" s="874">
        <f>'[57]TARGET MURNI DAN PERUBAHAN'!$E$319</f>
        <v>9000000000</v>
      </c>
      <c r="L565" s="692">
        <f>[62]PerDinas!$N$565</f>
        <v>10837037026</v>
      </c>
      <c r="M565" s="874" t="e">
        <f>[55]Perdinas!#REF!</f>
        <v>#REF!</v>
      </c>
      <c r="N565" s="361" t="e">
        <f>M565+L565</f>
        <v>#REF!</v>
      </c>
      <c r="O565" s="334" t="e">
        <f t="shared" si="89"/>
        <v>#REF!</v>
      </c>
      <c r="P565" s="335" t="e">
        <f t="shared" si="88"/>
        <v>#REF!</v>
      </c>
      <c r="Q565" s="548"/>
      <c r="R565" s="422"/>
    </row>
    <row r="566" spans="1:19" s="189" customFormat="1" ht="12.05" customHeight="1">
      <c r="A566" s="293"/>
      <c r="B566" s="292"/>
      <c r="C566" s="292"/>
      <c r="D566" s="292"/>
      <c r="E566" s="292"/>
      <c r="F566" s="292"/>
      <c r="G566" s="253"/>
      <c r="H566" s="253"/>
      <c r="I566" s="253"/>
      <c r="J566" s="354"/>
      <c r="K566" s="355"/>
      <c r="L566" s="360"/>
      <c r="M566" s="355"/>
      <c r="N566" s="355"/>
      <c r="O566" s="355"/>
      <c r="P566" s="388"/>
      <c r="Q566" s="449"/>
      <c r="R566" s="422"/>
    </row>
    <row r="567" spans="1:19" s="189" customFormat="1">
      <c r="A567" s="303"/>
      <c r="B567" s="292">
        <v>4</v>
      </c>
      <c r="C567" s="292">
        <v>1</v>
      </c>
      <c r="D567" s="292">
        <v>4</v>
      </c>
      <c r="E567" s="292" t="s">
        <v>445</v>
      </c>
      <c r="F567" s="292"/>
      <c r="G567" s="253" t="s">
        <v>217</v>
      </c>
      <c r="H567" s="253"/>
      <c r="I567" s="253"/>
      <c r="J567" s="411">
        <f>SUM(J568:J569)</f>
        <v>10000000</v>
      </c>
      <c r="K567" s="412">
        <f>SUM(K568:K569)</f>
        <v>6015000000</v>
      </c>
      <c r="L567" s="591">
        <f>SUM(L568:L569)</f>
        <v>32731920.120000001</v>
      </c>
      <c r="M567" s="412" t="e">
        <f>SUM(M568:M569)</f>
        <v>#REF!</v>
      </c>
      <c r="N567" s="664" t="e">
        <f>+M567+L567</f>
        <v>#REF!</v>
      </c>
      <c r="O567" s="412" t="e">
        <f t="shared" si="89"/>
        <v>#REF!</v>
      </c>
      <c r="P567" s="487" t="e">
        <f>N567/K567*100</f>
        <v>#REF!</v>
      </c>
      <c r="Q567" s="694"/>
      <c r="R567" s="422"/>
    </row>
    <row r="568" spans="1:19" s="189" customFormat="1" ht="12.05" customHeight="1">
      <c r="A568" s="303"/>
      <c r="B568" s="292">
        <v>4</v>
      </c>
      <c r="C568" s="292">
        <v>1</v>
      </c>
      <c r="D568" s="292">
        <v>4</v>
      </c>
      <c r="E568" s="292" t="s">
        <v>445</v>
      </c>
      <c r="F568" s="292" t="s">
        <v>437</v>
      </c>
      <c r="G568" s="253" t="s">
        <v>218</v>
      </c>
      <c r="H568" s="253"/>
      <c r="I568" s="253"/>
      <c r="J568" s="494">
        <v>0</v>
      </c>
      <c r="K568" s="725">
        <f>'[57]TARGET MURNI DAN PERUBAHAN'!$E$322</f>
        <v>6000000000</v>
      </c>
      <c r="L568" s="513">
        <f>[62]PerDinas!$N$568</f>
        <v>32731920.120000001</v>
      </c>
      <c r="M568" s="725" t="e">
        <f>[55]Perdinas!#REF!</f>
        <v>#REF!</v>
      </c>
      <c r="N568" s="361" t="e">
        <f>M568+L568</f>
        <v>#REF!</v>
      </c>
      <c r="O568" s="334" t="e">
        <f t="shared" si="89"/>
        <v>#REF!</v>
      </c>
      <c r="P568" s="335">
        <v>0</v>
      </c>
      <c r="Q568" s="548"/>
      <c r="R568" s="422"/>
    </row>
    <row r="569" spans="1:19" s="189" customFormat="1">
      <c r="A569" s="303"/>
      <c r="B569" s="292">
        <v>4</v>
      </c>
      <c r="C569" s="292">
        <v>1</v>
      </c>
      <c r="D569" s="292">
        <v>4</v>
      </c>
      <c r="E569" s="292" t="s">
        <v>445</v>
      </c>
      <c r="F569" s="292" t="s">
        <v>438</v>
      </c>
      <c r="G569" s="253" t="s">
        <v>219</v>
      </c>
      <c r="H569" s="253"/>
      <c r="I569" s="253"/>
      <c r="J569" s="374">
        <v>10000000</v>
      </c>
      <c r="K569" s="376">
        <f>'[57]TARGET MURNI DAN PERUBAHAN'!$E$323</f>
        <v>15000000</v>
      </c>
      <c r="L569" s="377">
        <f>[62]PerDinas!$N$569</f>
        <v>0</v>
      </c>
      <c r="M569" s="376" t="e">
        <f>[55]Perdinas!#REF!</f>
        <v>#REF!</v>
      </c>
      <c r="N569" s="375" t="e">
        <f>M569+L569</f>
        <v>#REF!</v>
      </c>
      <c r="O569" s="355" t="e">
        <f t="shared" si="89"/>
        <v>#REF!</v>
      </c>
      <c r="P569" s="388" t="e">
        <f>N569/K569*100</f>
        <v>#REF!</v>
      </c>
      <c r="Q569" s="449"/>
      <c r="R569" s="422"/>
    </row>
    <row r="570" spans="1:19" s="189" customFormat="1">
      <c r="A570" s="293"/>
      <c r="B570" s="292"/>
      <c r="C570" s="292"/>
      <c r="D570" s="292"/>
      <c r="E570" s="292"/>
      <c r="F570" s="292"/>
      <c r="G570" s="253"/>
      <c r="H570" s="253"/>
      <c r="I570" s="253"/>
      <c r="J570" s="354"/>
      <c r="K570" s="355"/>
      <c r="L570" s="360"/>
      <c r="M570" s="355"/>
      <c r="N570" s="355"/>
      <c r="O570" s="355"/>
      <c r="P570" s="388"/>
      <c r="Q570" s="441"/>
      <c r="R570" s="422"/>
    </row>
    <row r="571" spans="1:19" s="189" customFormat="1" ht="12.05" customHeight="1">
      <c r="A571" s="293"/>
      <c r="B571" s="292">
        <v>4</v>
      </c>
      <c r="C571" s="292">
        <v>1</v>
      </c>
      <c r="D571" s="292">
        <v>4</v>
      </c>
      <c r="E571" s="292"/>
      <c r="F571" s="292"/>
      <c r="G571" s="253" t="s">
        <v>990</v>
      </c>
      <c r="H571" s="253"/>
      <c r="I571" s="253"/>
      <c r="J571" s="526">
        <f>+J574</f>
        <v>30000000</v>
      </c>
      <c r="K571" s="527">
        <f>SUM(K572:K575)</f>
        <v>86824290450</v>
      </c>
      <c r="L571" s="670">
        <f>SUM(L572:L575)</f>
        <v>21717390566</v>
      </c>
      <c r="M571" s="527" t="e">
        <f>SUM(M572:M575)</f>
        <v>#REF!</v>
      </c>
      <c r="N571" s="529" t="e">
        <f>+M571+L571</f>
        <v>#REF!</v>
      </c>
      <c r="O571" s="529" t="e">
        <f>N571-K571</f>
        <v>#REF!</v>
      </c>
      <c r="P571" s="478">
        <v>0</v>
      </c>
      <c r="Q571" s="644"/>
      <c r="R571" s="422"/>
    </row>
    <row r="572" spans="1:19" s="189" customFormat="1" ht="12.05" customHeight="1">
      <c r="A572" s="289"/>
      <c r="B572" s="292">
        <v>4</v>
      </c>
      <c r="C572" s="292">
        <v>1</v>
      </c>
      <c r="D572" s="292">
        <v>4</v>
      </c>
      <c r="E572" s="292" t="s">
        <v>448</v>
      </c>
      <c r="F572" s="292"/>
      <c r="G572" s="291" t="s">
        <v>1070</v>
      </c>
      <c r="H572" s="253"/>
      <c r="I572" s="253"/>
      <c r="J572" s="354">
        <v>0</v>
      </c>
      <c r="K572" s="355">
        <v>0</v>
      </c>
      <c r="L572" s="360">
        <f>[62]PerDinas!$N$572</f>
        <v>0</v>
      </c>
      <c r="M572" s="355" t="e">
        <f>[55]Perdinas!#REF!</f>
        <v>#REF!</v>
      </c>
      <c r="N572" s="369" t="e">
        <f>M572+L572</f>
        <v>#REF!</v>
      </c>
      <c r="O572" s="355" t="e">
        <f>N572-K572</f>
        <v>#REF!</v>
      </c>
      <c r="P572" s="388"/>
      <c r="Q572" s="441"/>
      <c r="R572" s="422"/>
      <c r="S572" s="542"/>
    </row>
    <row r="573" spans="1:19" s="189" customFormat="1" ht="12.05" customHeight="1">
      <c r="A573" s="289"/>
      <c r="B573" s="292">
        <v>4</v>
      </c>
      <c r="C573" s="292">
        <v>1</v>
      </c>
      <c r="D573" s="292">
        <v>4</v>
      </c>
      <c r="E573" s="292" t="s">
        <v>459</v>
      </c>
      <c r="F573" s="292"/>
      <c r="G573" s="291" t="s">
        <v>1071</v>
      </c>
      <c r="H573" s="253"/>
      <c r="I573" s="253"/>
      <c r="J573" s="354">
        <v>0</v>
      </c>
      <c r="K573" s="355">
        <v>0</v>
      </c>
      <c r="L573" s="360">
        <f>[62]PerDinas!$N$573</f>
        <v>0</v>
      </c>
      <c r="M573" s="355" t="e">
        <f>[55]Perdinas!#REF!</f>
        <v>#REF!</v>
      </c>
      <c r="N573" s="369" t="e">
        <f>M573+L573</f>
        <v>#REF!</v>
      </c>
      <c r="O573" s="355" t="e">
        <f>N573-K573</f>
        <v>#REF!</v>
      </c>
      <c r="P573" s="388"/>
      <c r="Q573" s="441"/>
      <c r="R573" s="422"/>
    </row>
    <row r="574" spans="1:19" s="189" customFormat="1" ht="12.05" customHeight="1">
      <c r="A574" s="293"/>
      <c r="B574" s="292">
        <v>4</v>
      </c>
      <c r="C574" s="292">
        <v>1</v>
      </c>
      <c r="D574" s="292">
        <v>4</v>
      </c>
      <c r="E574" s="292" t="s">
        <v>444</v>
      </c>
      <c r="F574" s="292" t="s">
        <v>441</v>
      </c>
      <c r="G574" s="253" t="s">
        <v>75</v>
      </c>
      <c r="H574" s="253"/>
      <c r="I574" s="253"/>
      <c r="J574" s="333">
        <v>30000000</v>
      </c>
      <c r="K574" s="661">
        <f>'[57]TARGET MURNI DAN PERUBAHAN'!$E$328</f>
        <v>4824290450</v>
      </c>
      <c r="L574" s="356">
        <f>[62]PerDinas!$N$574</f>
        <v>0</v>
      </c>
      <c r="M574" s="661" t="e">
        <f>[55]Perdinas!#REF!</f>
        <v>#REF!</v>
      </c>
      <c r="N574" s="361" t="e">
        <f>M574+L574</f>
        <v>#REF!</v>
      </c>
      <c r="O574" s="334" t="e">
        <f>N574-K574</f>
        <v>#REF!</v>
      </c>
      <c r="P574" s="388" t="e">
        <f>N574/K574*100</f>
        <v>#REF!</v>
      </c>
      <c r="Q574" s="548"/>
      <c r="R574" s="422"/>
    </row>
    <row r="575" spans="1:19" s="189" customFormat="1" ht="12.05" customHeight="1">
      <c r="A575" s="293"/>
      <c r="B575" s="292">
        <v>4</v>
      </c>
      <c r="C575" s="292">
        <v>1</v>
      </c>
      <c r="D575" s="292">
        <v>4</v>
      </c>
      <c r="E575" s="292" t="s">
        <v>444</v>
      </c>
      <c r="F575" s="292" t="s">
        <v>456</v>
      </c>
      <c r="G575" s="291" t="s">
        <v>574</v>
      </c>
      <c r="H575" s="253"/>
      <c r="I575" s="253"/>
      <c r="J575" s="333"/>
      <c r="K575" s="661">
        <f>'[57]TARGET MURNI DAN PERUBAHAN'!$E$329</f>
        <v>82000000000</v>
      </c>
      <c r="L575" s="356">
        <f>[62]PerDinas!$N$575</f>
        <v>21717390566</v>
      </c>
      <c r="M575" s="661" t="e">
        <f>[55]Perdinas!#REF!</f>
        <v>#REF!</v>
      </c>
      <c r="N575" s="361" t="e">
        <f>M575+L575</f>
        <v>#REF!</v>
      </c>
      <c r="O575" s="334" t="e">
        <f>N575-K575</f>
        <v>#REF!</v>
      </c>
      <c r="P575" s="388" t="e">
        <f>N575/K575*100</f>
        <v>#REF!</v>
      </c>
      <c r="Q575" s="548"/>
      <c r="R575" s="422"/>
      <c r="S575" s="542"/>
    </row>
    <row r="576" spans="1:19" s="189" customFormat="1" ht="12.05" customHeight="1">
      <c r="A576" s="1167"/>
      <c r="B576" s="296"/>
      <c r="C576" s="296"/>
      <c r="D576" s="296"/>
      <c r="E576" s="296"/>
      <c r="F576" s="296"/>
      <c r="G576" s="297"/>
      <c r="H576" s="297"/>
      <c r="I576" s="297"/>
      <c r="J576" s="679"/>
      <c r="K576" s="691"/>
      <c r="L576" s="692"/>
      <c r="M576" s="691"/>
      <c r="N576" s="352"/>
      <c r="O576" s="352"/>
      <c r="P576" s="353"/>
      <c r="Q576" s="1169"/>
      <c r="R576" s="422"/>
    </row>
    <row r="577" spans="1:18" s="189" customFormat="1" ht="12.05" customHeight="1">
      <c r="A577" s="889"/>
      <c r="B577" s="858">
        <v>4</v>
      </c>
      <c r="C577" s="858">
        <v>1</v>
      </c>
      <c r="D577" s="858">
        <v>4</v>
      </c>
      <c r="E577" s="858" t="s">
        <v>948</v>
      </c>
      <c r="F577" s="858"/>
      <c r="G577" s="859" t="s">
        <v>321</v>
      </c>
      <c r="H577" s="859"/>
      <c r="I577" s="859"/>
      <c r="J577" s="875">
        <v>0</v>
      </c>
      <c r="K577" s="876">
        <f>K578</f>
        <v>7538800000</v>
      </c>
      <c r="L577" s="877">
        <f>+L578</f>
        <v>35698264</v>
      </c>
      <c r="M577" s="876" t="e">
        <f>+M578</f>
        <v>#REF!</v>
      </c>
      <c r="N577" s="878" t="e">
        <f t="shared" ref="N577:N584" si="90">M577+L577</f>
        <v>#REF!</v>
      </c>
      <c r="O577" s="878" t="e">
        <f t="shared" ref="O577:O584" si="91">N577-K577</f>
        <v>#REF!</v>
      </c>
      <c r="P577" s="879" t="e">
        <f>N577/K577*100</f>
        <v>#REF!</v>
      </c>
      <c r="Q577" s="897"/>
      <c r="R577" s="555"/>
    </row>
    <row r="578" spans="1:18" s="189" customFormat="1">
      <c r="A578" s="889"/>
      <c r="B578" s="858">
        <v>4</v>
      </c>
      <c r="C578" s="858">
        <v>1</v>
      </c>
      <c r="D578" s="858">
        <v>4</v>
      </c>
      <c r="E578" s="858" t="s">
        <v>948</v>
      </c>
      <c r="F578" s="858" t="s">
        <v>437</v>
      </c>
      <c r="G578" s="859" t="s">
        <v>85</v>
      </c>
      <c r="H578" s="859"/>
      <c r="I578" s="859"/>
      <c r="J578" s="875">
        <v>0</v>
      </c>
      <c r="K578" s="876">
        <f>SUM(K579:K581)</f>
        <v>7538800000</v>
      </c>
      <c r="L578" s="877">
        <f>SUM(L579:L581)</f>
        <v>35698264</v>
      </c>
      <c r="M578" s="876" t="e">
        <f>SUM(M579:M581)</f>
        <v>#REF!</v>
      </c>
      <c r="N578" s="876" t="e">
        <f t="shared" si="90"/>
        <v>#REF!</v>
      </c>
      <c r="O578" s="878" t="e">
        <f t="shared" si="91"/>
        <v>#REF!</v>
      </c>
      <c r="P578" s="879" t="e">
        <f>N578/K578*100</f>
        <v>#REF!</v>
      </c>
      <c r="Q578" s="897"/>
      <c r="R578" s="422"/>
    </row>
    <row r="579" spans="1:18" s="189" customFormat="1" ht="12.05" customHeight="1">
      <c r="A579" s="889"/>
      <c r="B579" s="858"/>
      <c r="C579" s="858"/>
      <c r="D579" s="858"/>
      <c r="E579" s="858"/>
      <c r="F579" s="858"/>
      <c r="G579" s="1170" t="s">
        <v>50</v>
      </c>
      <c r="H579" s="1170"/>
      <c r="I579" s="1174" t="s">
        <v>1072</v>
      </c>
      <c r="J579" s="875">
        <v>0</v>
      </c>
      <c r="K579" s="1175">
        <f>'[57]TARGET MURNI DAN PERUBAHAN'!$E$335</f>
        <v>750000000</v>
      </c>
      <c r="L579" s="877">
        <f>[62]PerDinas!$N$579</f>
        <v>0</v>
      </c>
      <c r="M579" s="1175" t="e">
        <f>[55]Perdinas!#REF!</f>
        <v>#REF!</v>
      </c>
      <c r="N579" s="1176" t="e">
        <f t="shared" si="90"/>
        <v>#REF!</v>
      </c>
      <c r="O579" s="878" t="e">
        <f t="shared" si="91"/>
        <v>#REF!</v>
      </c>
      <c r="P579" s="879">
        <v>0</v>
      </c>
      <c r="Q579" s="897"/>
      <c r="R579" s="422"/>
    </row>
    <row r="580" spans="1:18" s="189" customFormat="1">
      <c r="A580" s="889"/>
      <c r="B580" s="858"/>
      <c r="C580" s="858"/>
      <c r="D580" s="858"/>
      <c r="E580" s="858"/>
      <c r="F580" s="858"/>
      <c r="G580" s="1170" t="s">
        <v>50</v>
      </c>
      <c r="H580" s="1170"/>
      <c r="I580" s="1177" t="s">
        <v>1073</v>
      </c>
      <c r="J580" s="875"/>
      <c r="K580" s="1175">
        <f>'[57]TARGET MURNI DAN PERUBAHAN'!$E$332</f>
        <v>3688800000</v>
      </c>
      <c r="L580" s="877">
        <f>[62]PerDinas!$N$580</f>
        <v>4995834</v>
      </c>
      <c r="M580" s="1175" t="e">
        <f>[55]Perdinas!#REF!</f>
        <v>#REF!</v>
      </c>
      <c r="N580" s="878" t="e">
        <f t="shared" si="90"/>
        <v>#REF!</v>
      </c>
      <c r="O580" s="878" t="e">
        <f t="shared" si="91"/>
        <v>#REF!</v>
      </c>
      <c r="P580" s="879" t="e">
        <f>N580/K580*100</f>
        <v>#REF!</v>
      </c>
      <c r="Q580" s="897"/>
      <c r="R580" s="422"/>
    </row>
    <row r="581" spans="1:18" s="189" customFormat="1" ht="16.45" customHeight="1">
      <c r="A581" s="889"/>
      <c r="B581" s="858"/>
      <c r="C581" s="858"/>
      <c r="D581" s="858"/>
      <c r="E581" s="858"/>
      <c r="F581" s="858"/>
      <c r="G581" s="1170" t="s">
        <v>50</v>
      </c>
      <c r="H581" s="859"/>
      <c r="I581" s="859" t="s">
        <v>85</v>
      </c>
      <c r="J581" s="1178"/>
      <c r="K581" s="878">
        <f>'[57]TARGET MURNI DAN PERUBAHAN'!$E$336</f>
        <v>3100000000</v>
      </c>
      <c r="L581" s="881">
        <f>[62]PerDinas!$N$581</f>
        <v>30702430</v>
      </c>
      <c r="M581" s="878" t="e">
        <f>[55]Perdinas!#REF!</f>
        <v>#REF!</v>
      </c>
      <c r="N581" s="1179" t="e">
        <f t="shared" si="90"/>
        <v>#REF!</v>
      </c>
      <c r="O581" s="878" t="e">
        <f t="shared" si="91"/>
        <v>#REF!</v>
      </c>
      <c r="P581" s="879" t="e">
        <f>N581/K581*100</f>
        <v>#REF!</v>
      </c>
      <c r="Q581" s="897"/>
      <c r="R581" s="422"/>
    </row>
    <row r="582" spans="1:18" s="189" customFormat="1" ht="16.45" customHeight="1">
      <c r="A582" s="1171"/>
      <c r="B582" s="1172"/>
      <c r="C582" s="1172"/>
      <c r="D582" s="1172"/>
      <c r="E582" s="1172"/>
      <c r="F582" s="1172"/>
      <c r="G582" s="1173"/>
      <c r="H582" s="742"/>
      <c r="I582" s="742"/>
      <c r="J582" s="1180"/>
      <c r="K582" s="1181"/>
      <c r="L582" s="1182"/>
      <c r="M582" s="1181"/>
      <c r="N582" s="1181"/>
      <c r="O582" s="1181"/>
      <c r="P582" s="1183"/>
      <c r="Q582" s="1184"/>
      <c r="R582" s="422"/>
    </row>
    <row r="583" spans="1:18" s="189" customFormat="1" ht="16.45" customHeight="1">
      <c r="A583" s="901"/>
      <c r="B583" s="902" t="s">
        <v>58</v>
      </c>
      <c r="C583" s="902" t="s">
        <v>849</v>
      </c>
      <c r="D583" s="902" t="s">
        <v>451</v>
      </c>
      <c r="E583" s="902" t="s">
        <v>437</v>
      </c>
      <c r="F583" s="903"/>
      <c r="G583" s="904" t="s">
        <v>994</v>
      </c>
      <c r="H583" s="905"/>
      <c r="I583" s="905"/>
      <c r="J583" s="916"/>
      <c r="K583" s="917">
        <f>K584</f>
        <v>0</v>
      </c>
      <c r="L583" s="917">
        <f>L584</f>
        <v>0</v>
      </c>
      <c r="M583" s="917" t="e">
        <f>M584</f>
        <v>#REF!</v>
      </c>
      <c r="N583" s="917" t="e">
        <f>M583+L583</f>
        <v>#REF!</v>
      </c>
      <c r="O583" s="917" t="e">
        <f>N583-K583</f>
        <v>#REF!</v>
      </c>
      <c r="P583" s="918"/>
      <c r="Q583" s="983"/>
      <c r="R583" s="422"/>
    </row>
    <row r="584" spans="1:18" s="189" customFormat="1" ht="16.45" customHeight="1">
      <c r="A584" s="906"/>
      <c r="B584" s="287"/>
      <c r="C584" s="287"/>
      <c r="D584" s="287"/>
      <c r="E584" s="287"/>
      <c r="F584" s="287"/>
      <c r="G584" s="851" t="s">
        <v>50</v>
      </c>
      <c r="H584" s="410"/>
      <c r="I584" s="410" t="s">
        <v>995</v>
      </c>
      <c r="J584" s="389"/>
      <c r="K584" s="357">
        <f>'[57]TARGET MURNI DAN PERUBAHAN'!$E$338</f>
        <v>0</v>
      </c>
      <c r="L584" s="391">
        <f>[62]PerDinas!$N$584</f>
        <v>0</v>
      </c>
      <c r="M584" s="357" t="e">
        <f>[55]Perdinas!#REF!</f>
        <v>#REF!</v>
      </c>
      <c r="N584" s="357" t="e">
        <f t="shared" si="90"/>
        <v>#REF!</v>
      </c>
      <c r="O584" s="357" t="e">
        <f t="shared" si="91"/>
        <v>#REF!</v>
      </c>
      <c r="P584" s="358" t="e">
        <f>N584/K584*100</f>
        <v>#REF!</v>
      </c>
      <c r="Q584" s="442"/>
      <c r="R584" s="422"/>
    </row>
    <row r="585" spans="1:18" s="189" customFormat="1" ht="12.05" customHeight="1">
      <c r="A585" s="907"/>
      <c r="B585" s="469"/>
      <c r="C585" s="469"/>
      <c r="D585" s="469"/>
      <c r="E585" s="469"/>
      <c r="F585" s="469"/>
      <c r="G585" s="450"/>
      <c r="H585" s="245"/>
      <c r="I585" s="245"/>
      <c r="J585" s="482"/>
      <c r="K585" s="404"/>
      <c r="L585" s="404"/>
      <c r="M585" s="404"/>
      <c r="N585" s="404"/>
      <c r="O585" s="404"/>
      <c r="P585" s="483"/>
      <c r="Q585" s="456"/>
      <c r="R585" s="422"/>
    </row>
    <row r="586" spans="1:18" s="244" customFormat="1" ht="18" customHeight="1">
      <c r="A586" s="283" t="s">
        <v>300</v>
      </c>
      <c r="B586" s="284" t="s">
        <v>58</v>
      </c>
      <c r="C586" s="284" t="s">
        <v>849</v>
      </c>
      <c r="D586" s="284" t="s">
        <v>448</v>
      </c>
      <c r="E586" s="284"/>
      <c r="F586" s="284"/>
      <c r="G586" s="298" t="s">
        <v>828</v>
      </c>
      <c r="H586" s="298"/>
      <c r="I586" s="298"/>
      <c r="J586" s="336">
        <f>+J588</f>
        <v>750000000</v>
      </c>
      <c r="K586" s="337">
        <f>+K588</f>
        <v>800000000</v>
      </c>
      <c r="L586" s="337">
        <f>+L588</f>
        <v>400015000</v>
      </c>
      <c r="M586" s="337">
        <f>+M588</f>
        <v>36150000</v>
      </c>
      <c r="N586" s="337">
        <f>M586+L586</f>
        <v>436165000</v>
      </c>
      <c r="O586" s="337">
        <f>+N586-K586</f>
        <v>-363835000</v>
      </c>
      <c r="P586" s="919">
        <f>+N586/K586*100</f>
        <v>54.520625000000003</v>
      </c>
      <c r="Q586" s="432"/>
      <c r="R586" s="639"/>
    </row>
    <row r="587" spans="1:18" s="189" customFormat="1" ht="12.05" customHeight="1">
      <c r="A587" s="471"/>
      <c r="B587" s="287"/>
      <c r="C587" s="287"/>
      <c r="D587" s="287"/>
      <c r="E587" s="287"/>
      <c r="F587" s="287"/>
      <c r="G587" s="288"/>
      <c r="H587" s="288"/>
      <c r="I587" s="288"/>
      <c r="J587" s="385"/>
      <c r="K587" s="386"/>
      <c r="L587" s="386"/>
      <c r="M587" s="386"/>
      <c r="N587" s="386"/>
      <c r="O587" s="386"/>
      <c r="P587" s="341"/>
      <c r="Q587" s="453"/>
      <c r="R587" s="422"/>
    </row>
    <row r="588" spans="1:18" s="189" customFormat="1" ht="12.05" customHeight="1">
      <c r="A588" s="293"/>
      <c r="B588" s="290">
        <v>4</v>
      </c>
      <c r="C588" s="290">
        <v>1</v>
      </c>
      <c r="D588" s="290"/>
      <c r="E588" s="290"/>
      <c r="F588" s="290"/>
      <c r="G588" s="291" t="s">
        <v>180</v>
      </c>
      <c r="H588" s="291"/>
      <c r="I588" s="291"/>
      <c r="J588" s="342">
        <f>+J590+J594</f>
        <v>750000000</v>
      </c>
      <c r="K588" s="343">
        <f>+K590+K594</f>
        <v>800000000</v>
      </c>
      <c r="L588" s="343">
        <f>+L590+L594</f>
        <v>400015000</v>
      </c>
      <c r="M588" s="343">
        <f>+M590+M594</f>
        <v>36150000</v>
      </c>
      <c r="N588" s="343">
        <f>+M588+L588</f>
        <v>436165000</v>
      </c>
      <c r="O588" s="343">
        <f>N588-K588</f>
        <v>-363835000</v>
      </c>
      <c r="P588" s="344">
        <f>N588/K588*100</f>
        <v>54.520625000000003</v>
      </c>
      <c r="Q588" s="437"/>
      <c r="R588" s="422"/>
    </row>
    <row r="589" spans="1:18" s="189" customFormat="1" ht="12.05" customHeight="1">
      <c r="A589" s="293"/>
      <c r="B589" s="292"/>
      <c r="C589" s="292"/>
      <c r="D589" s="292"/>
      <c r="E589" s="292"/>
      <c r="F589" s="292"/>
      <c r="G589" s="253"/>
      <c r="H589" s="253"/>
      <c r="I589" s="291"/>
      <c r="J589" s="387"/>
      <c r="K589" s="367"/>
      <c r="L589" s="367"/>
      <c r="M589" s="367"/>
      <c r="N589" s="367"/>
      <c r="O589" s="367"/>
      <c r="P589" s="347"/>
      <c r="Q589" s="454"/>
      <c r="R589" s="422"/>
    </row>
    <row r="590" spans="1:18" s="189" customFormat="1" ht="12.05" customHeight="1">
      <c r="A590" s="293"/>
      <c r="B590" s="290">
        <v>4</v>
      </c>
      <c r="C590" s="290">
        <v>1</v>
      </c>
      <c r="D590" s="290">
        <v>2</v>
      </c>
      <c r="E590" s="290"/>
      <c r="F590" s="290"/>
      <c r="G590" s="291" t="s">
        <v>106</v>
      </c>
      <c r="H590" s="291"/>
      <c r="I590" s="291"/>
      <c r="J590" s="348">
        <f t="shared" ref="J590:M591" si="92">+J591</f>
        <v>750000000</v>
      </c>
      <c r="K590" s="349">
        <f t="shared" si="92"/>
        <v>800000000</v>
      </c>
      <c r="L590" s="349">
        <f t="shared" si="92"/>
        <v>400015000</v>
      </c>
      <c r="M590" s="349">
        <f t="shared" si="92"/>
        <v>36150000</v>
      </c>
      <c r="N590" s="349">
        <f>+M590+L590</f>
        <v>436165000</v>
      </c>
      <c r="O590" s="349">
        <f>N590-K590</f>
        <v>-363835000</v>
      </c>
      <c r="P590" s="350">
        <f>N590/K590*100</f>
        <v>54.520625000000003</v>
      </c>
      <c r="Q590" s="439"/>
      <c r="R590" s="422"/>
    </row>
    <row r="591" spans="1:18" s="189" customFormat="1" ht="12.05" customHeight="1">
      <c r="A591" s="471"/>
      <c r="B591" s="287">
        <v>4</v>
      </c>
      <c r="C591" s="287">
        <v>1</v>
      </c>
      <c r="D591" s="287">
        <v>2</v>
      </c>
      <c r="E591" s="287" t="s">
        <v>438</v>
      </c>
      <c r="F591" s="287"/>
      <c r="G591" s="410" t="s">
        <v>374</v>
      </c>
      <c r="H591" s="410"/>
      <c r="I591" s="410"/>
      <c r="J591" s="484">
        <f t="shared" si="92"/>
        <v>750000000</v>
      </c>
      <c r="K591" s="485">
        <f t="shared" si="92"/>
        <v>800000000</v>
      </c>
      <c r="L591" s="485">
        <f t="shared" si="92"/>
        <v>400015000</v>
      </c>
      <c r="M591" s="485">
        <f t="shared" si="92"/>
        <v>36150000</v>
      </c>
      <c r="N591" s="412">
        <f>+M591+L591</f>
        <v>436165000</v>
      </c>
      <c r="O591" s="412">
        <f>N591-K591</f>
        <v>-363835000</v>
      </c>
      <c r="P591" s="487">
        <f>N591/K591*100</f>
        <v>54.520625000000003</v>
      </c>
      <c r="Q591" s="984"/>
      <c r="R591" s="422"/>
    </row>
    <row r="592" spans="1:18" s="189" customFormat="1" ht="12.05" customHeight="1">
      <c r="A592" s="293"/>
      <c r="B592" s="292">
        <v>4</v>
      </c>
      <c r="C592" s="292">
        <v>1</v>
      </c>
      <c r="D592" s="292">
        <v>2</v>
      </c>
      <c r="E592" s="292" t="s">
        <v>438</v>
      </c>
      <c r="F592" s="292" t="s">
        <v>440</v>
      </c>
      <c r="G592" s="253" t="s">
        <v>304</v>
      </c>
      <c r="H592" s="253"/>
      <c r="I592" s="253"/>
      <c r="J592" s="679">
        <v>750000000</v>
      </c>
      <c r="K592" s="874">
        <f>'[57]TARGET MURNI DAN PERUBAHAN'!$E$342</f>
        <v>800000000</v>
      </c>
      <c r="L592" s="692">
        <f>[62]PerDinas!$N$592</f>
        <v>400015000</v>
      </c>
      <c r="M592" s="874">
        <f>[55]Perdinas!$E$431</f>
        <v>36150000</v>
      </c>
      <c r="N592" s="361">
        <f t="shared" ref="N592:N597" si="93">M592+L592</f>
        <v>436165000</v>
      </c>
      <c r="O592" s="334">
        <f>N592-K592</f>
        <v>-363835000</v>
      </c>
      <c r="P592" s="335">
        <f>N592/K592*100</f>
        <v>54.520625000000003</v>
      </c>
      <c r="Q592" s="985"/>
      <c r="R592" s="431"/>
    </row>
    <row r="593" spans="1:18" s="189" customFormat="1" ht="12.05" customHeight="1">
      <c r="A593" s="293"/>
      <c r="B593" s="292"/>
      <c r="C593" s="292"/>
      <c r="D593" s="292"/>
      <c r="E593" s="292"/>
      <c r="F593" s="292"/>
      <c r="G593" s="253"/>
      <c r="H593" s="253"/>
      <c r="I593" s="253"/>
      <c r="J593" s="374"/>
      <c r="K593" s="375"/>
      <c r="L593" s="377"/>
      <c r="M593" s="375"/>
      <c r="N593" s="355"/>
      <c r="O593" s="355"/>
      <c r="P593" s="388"/>
      <c r="Q593" s="986"/>
      <c r="R593" s="422"/>
    </row>
    <row r="594" spans="1:18" s="189" customFormat="1" ht="12.05" customHeight="1">
      <c r="A594" s="293"/>
      <c r="B594" s="290">
        <v>4</v>
      </c>
      <c r="C594" s="290">
        <v>1</v>
      </c>
      <c r="D594" s="290">
        <v>4</v>
      </c>
      <c r="E594" s="290"/>
      <c r="F594" s="290"/>
      <c r="G594" s="291" t="s">
        <v>71</v>
      </c>
      <c r="H594" s="291"/>
      <c r="I594" s="291"/>
      <c r="J594" s="601">
        <f>+J595</f>
        <v>0</v>
      </c>
      <c r="K594" s="602">
        <f>+K595</f>
        <v>0</v>
      </c>
      <c r="L594" s="602">
        <f>+L595</f>
        <v>0</v>
      </c>
      <c r="M594" s="602">
        <f>+M595</f>
        <v>0</v>
      </c>
      <c r="N594" s="602">
        <f>+N595</f>
        <v>0</v>
      </c>
      <c r="O594" s="349">
        <f>N594-K594</f>
        <v>0</v>
      </c>
      <c r="P594" s="350"/>
      <c r="Q594" s="640"/>
      <c r="R594" s="422"/>
    </row>
    <row r="595" spans="1:18" s="189" customFormat="1" ht="12.05" customHeight="1">
      <c r="A595" s="293"/>
      <c r="B595" s="292">
        <v>4</v>
      </c>
      <c r="C595" s="292">
        <v>1</v>
      </c>
      <c r="D595" s="292">
        <v>4</v>
      </c>
      <c r="E595" s="292" t="s">
        <v>948</v>
      </c>
      <c r="F595" s="292"/>
      <c r="G595" s="253" t="s">
        <v>321</v>
      </c>
      <c r="H595" s="253"/>
      <c r="I595" s="253"/>
      <c r="J595" s="920">
        <f>+J596</f>
        <v>0</v>
      </c>
      <c r="K595" s="921">
        <f>+K596</f>
        <v>0</v>
      </c>
      <c r="L595" s="922">
        <f>+L596+L597</f>
        <v>0</v>
      </c>
      <c r="M595" s="922">
        <f>+M596+M597</f>
        <v>0</v>
      </c>
      <c r="N595" s="509">
        <f>+M595+L595</f>
        <v>0</v>
      </c>
      <c r="O595" s="509">
        <f>N595-K595</f>
        <v>0</v>
      </c>
      <c r="P595" s="585"/>
      <c r="Q595" s="987"/>
      <c r="R595" s="422"/>
    </row>
    <row r="596" spans="1:18" s="189" customFormat="1" ht="12.05" customHeight="1">
      <c r="A596" s="293"/>
      <c r="B596" s="292">
        <v>4</v>
      </c>
      <c r="C596" s="292">
        <v>1</v>
      </c>
      <c r="D596" s="292">
        <v>4</v>
      </c>
      <c r="E596" s="292" t="s">
        <v>948</v>
      </c>
      <c r="F596" s="292" t="s">
        <v>437</v>
      </c>
      <c r="G596" s="253" t="s">
        <v>50</v>
      </c>
      <c r="H596" s="253"/>
      <c r="I596" s="253" t="s">
        <v>471</v>
      </c>
      <c r="J596" s="688">
        <v>0</v>
      </c>
      <c r="K596" s="496">
        <f>'[57]TARGET MURNI DAN PERUBAHAN'!$E$345</f>
        <v>0</v>
      </c>
      <c r="L596" s="375">
        <f>[62]PerDinas!$N$596</f>
        <v>0</v>
      </c>
      <c r="M596" s="375">
        <f>[55]Perdinas!$E$437</f>
        <v>0</v>
      </c>
      <c r="N596" s="355">
        <f t="shared" si="93"/>
        <v>0</v>
      </c>
      <c r="O596" s="355">
        <f>N596-K596</f>
        <v>0</v>
      </c>
      <c r="P596" s="388"/>
      <c r="Q596" s="448"/>
      <c r="R596" s="422"/>
    </row>
    <row r="597" spans="1:18" s="189" customFormat="1" ht="12.05" customHeight="1">
      <c r="A597" s="293"/>
      <c r="B597" s="292" t="s">
        <v>443</v>
      </c>
      <c r="C597" s="292" t="s">
        <v>58</v>
      </c>
      <c r="D597" s="292" t="s">
        <v>443</v>
      </c>
      <c r="E597" s="292" t="s">
        <v>948</v>
      </c>
      <c r="F597" s="292" t="s">
        <v>441</v>
      </c>
      <c r="G597" s="253" t="s">
        <v>50</v>
      </c>
      <c r="H597" s="253"/>
      <c r="I597" s="253" t="s">
        <v>76</v>
      </c>
      <c r="J597" s="708"/>
      <c r="K597" s="709">
        <f>'[57]TARGET MURNI DAN PERUBAHAN'!$E$346</f>
        <v>0</v>
      </c>
      <c r="L597" s="375">
        <f>[62]PerDinas!$N$597</f>
        <v>0</v>
      </c>
      <c r="M597" s="375">
        <f>[55]Perdinas!$E$438</f>
        <v>0</v>
      </c>
      <c r="N597" s="355">
        <f t="shared" si="93"/>
        <v>0</v>
      </c>
      <c r="O597" s="355">
        <f>N597-K597</f>
        <v>0</v>
      </c>
      <c r="P597" s="388"/>
      <c r="Q597" s="5880"/>
      <c r="R597" s="422"/>
    </row>
    <row r="598" spans="1:18" s="245" customFormat="1" ht="12.05" customHeight="1">
      <c r="A598" s="472"/>
      <c r="B598" s="305"/>
      <c r="C598" s="305"/>
      <c r="D598" s="305"/>
      <c r="E598" s="305"/>
      <c r="F598" s="305"/>
      <c r="G598" s="306"/>
      <c r="H598" s="306"/>
      <c r="I598" s="306"/>
      <c r="J598" s="499"/>
      <c r="K598" s="379"/>
      <c r="L598" s="379"/>
      <c r="M598" s="379"/>
      <c r="N598" s="380"/>
      <c r="O598" s="380"/>
      <c r="P598" s="501"/>
      <c r="Q598" s="5898"/>
      <c r="R598" s="450"/>
    </row>
    <row r="599" spans="1:18" s="244" customFormat="1" ht="15.05">
      <c r="A599" s="283" t="s">
        <v>302</v>
      </c>
      <c r="B599" s="284" t="s">
        <v>58</v>
      </c>
      <c r="C599" s="284" t="s">
        <v>849</v>
      </c>
      <c r="D599" s="284" t="s">
        <v>969</v>
      </c>
      <c r="E599" s="284"/>
      <c r="F599" s="284"/>
      <c r="G599" s="5907" t="s">
        <v>830</v>
      </c>
      <c r="H599" s="5908"/>
      <c r="I599" s="5909"/>
      <c r="J599" s="336">
        <f>+J600</f>
        <v>34635781700</v>
      </c>
      <c r="K599" s="337">
        <f>+K600</f>
        <v>28862006200</v>
      </c>
      <c r="L599" s="923">
        <f>+L600</f>
        <v>19178375583.5</v>
      </c>
      <c r="M599" s="923">
        <f>+M600</f>
        <v>1635856737</v>
      </c>
      <c r="N599" s="923">
        <f t="shared" ref="N599:N604" si="94">M599+L599</f>
        <v>20814232320.5</v>
      </c>
      <c r="O599" s="923">
        <f>+N599-K599</f>
        <v>-8047773879.5</v>
      </c>
      <c r="P599" s="924">
        <f>+N599/K599*100</f>
        <v>72.116373949431136</v>
      </c>
      <c r="Q599" s="988"/>
      <c r="R599" s="788"/>
    </row>
    <row r="600" spans="1:18" s="189" customFormat="1" ht="14.1" customHeight="1">
      <c r="A600" s="706"/>
      <c r="B600" s="707">
        <v>4</v>
      </c>
      <c r="C600" s="707">
        <v>1</v>
      </c>
      <c r="D600" s="707"/>
      <c r="E600" s="707"/>
      <c r="F600" s="707"/>
      <c r="G600" s="288" t="s">
        <v>180</v>
      </c>
      <c r="H600" s="288"/>
      <c r="I600" s="288"/>
      <c r="J600" s="348">
        <f>J606</f>
        <v>34635781700</v>
      </c>
      <c r="K600" s="349">
        <f>K606+K602</f>
        <v>28862006200</v>
      </c>
      <c r="L600" s="925">
        <f>L606+L602</f>
        <v>19178375583.5</v>
      </c>
      <c r="M600" s="925">
        <f>M606+M602</f>
        <v>1635856737</v>
      </c>
      <c r="N600" s="925">
        <f>+M600+L600</f>
        <v>20814232320.5</v>
      </c>
      <c r="O600" s="925">
        <f>N600-K600</f>
        <v>-8047773879.5</v>
      </c>
      <c r="P600" s="926">
        <f>N600/K600*100</f>
        <v>72.116373949431136</v>
      </c>
      <c r="Q600" s="439"/>
      <c r="R600" s="422"/>
    </row>
    <row r="601" spans="1:18" s="189" customFormat="1" ht="14.1" customHeight="1">
      <c r="A601" s="706"/>
      <c r="B601" s="707"/>
      <c r="C601" s="707"/>
      <c r="D601" s="707"/>
      <c r="E601" s="707"/>
      <c r="F601" s="707"/>
      <c r="G601" s="288"/>
      <c r="H601" s="288"/>
      <c r="I601" s="288"/>
      <c r="J601" s="342"/>
      <c r="K601" s="343"/>
      <c r="L601" s="927"/>
      <c r="M601" s="927"/>
      <c r="N601" s="927"/>
      <c r="O601" s="927"/>
      <c r="P601" s="928"/>
      <c r="Q601" s="437"/>
      <c r="R601" s="422"/>
    </row>
    <row r="602" spans="1:18" s="189" customFormat="1" ht="14.1" customHeight="1">
      <c r="A602" s="706"/>
      <c r="B602" s="292">
        <v>4</v>
      </c>
      <c r="C602" s="292">
        <v>1</v>
      </c>
      <c r="D602" s="292">
        <v>4</v>
      </c>
      <c r="E602" s="292" t="s">
        <v>948</v>
      </c>
      <c r="F602" s="292"/>
      <c r="G602" s="288" t="s">
        <v>71</v>
      </c>
      <c r="H602" s="288"/>
      <c r="I602" s="288"/>
      <c r="J602" s="342"/>
      <c r="K602" s="343">
        <f t="shared" ref="K602:M603" si="95">K603</f>
        <v>1500000000</v>
      </c>
      <c r="L602" s="927">
        <f t="shared" si="95"/>
        <v>1382176070</v>
      </c>
      <c r="M602" s="927">
        <f t="shared" si="95"/>
        <v>0</v>
      </c>
      <c r="N602" s="929">
        <f t="shared" si="94"/>
        <v>1382176070</v>
      </c>
      <c r="O602" s="930">
        <f>N602-K602</f>
        <v>-117823930</v>
      </c>
      <c r="P602" s="931">
        <f>N602/K602*100</f>
        <v>92.145071333333334</v>
      </c>
      <c r="Q602" s="437"/>
      <c r="R602" s="422"/>
    </row>
    <row r="603" spans="1:18" s="189" customFormat="1" ht="14.1" customHeight="1">
      <c r="A603" s="706"/>
      <c r="B603" s="292">
        <v>4</v>
      </c>
      <c r="C603" s="292">
        <v>1</v>
      </c>
      <c r="D603" s="292">
        <v>4</v>
      </c>
      <c r="E603" s="292" t="s">
        <v>948</v>
      </c>
      <c r="F603" s="292"/>
      <c r="G603" s="288" t="s">
        <v>996</v>
      </c>
      <c r="H603" s="288"/>
      <c r="I603" s="288"/>
      <c r="J603" s="342"/>
      <c r="K603" s="343">
        <f t="shared" si="95"/>
        <v>1500000000</v>
      </c>
      <c r="L603" s="927">
        <f t="shared" si="95"/>
        <v>1382176070</v>
      </c>
      <c r="M603" s="927">
        <f t="shared" si="95"/>
        <v>0</v>
      </c>
      <c r="N603" s="929">
        <f t="shared" si="94"/>
        <v>1382176070</v>
      </c>
      <c r="O603" s="930">
        <f>N603-K603</f>
        <v>-117823930</v>
      </c>
      <c r="P603" s="931">
        <f>N603/K603*100</f>
        <v>92.145071333333334</v>
      </c>
      <c r="Q603" s="437"/>
      <c r="R603" s="422"/>
    </row>
    <row r="604" spans="1:18" s="254" customFormat="1" ht="14.1" customHeight="1">
      <c r="A604" s="303"/>
      <c r="B604" s="292">
        <v>4</v>
      </c>
      <c r="C604" s="292">
        <v>1</v>
      </c>
      <c r="D604" s="292">
        <v>4</v>
      </c>
      <c r="E604" s="292" t="s">
        <v>948</v>
      </c>
      <c r="F604" s="292"/>
      <c r="G604" s="2761" t="s">
        <v>50</v>
      </c>
      <c r="H604" s="5867" t="s">
        <v>997</v>
      </c>
      <c r="I604" s="5868"/>
      <c r="J604" s="397">
        <v>0</v>
      </c>
      <c r="K604" s="932">
        <f>'[57]TARGET MURNI DAN PERUBAHAN'!$E$390</f>
        <v>1500000000</v>
      </c>
      <c r="L604" s="932">
        <f>[62]PerDinas!$N$604</f>
        <v>1382176070</v>
      </c>
      <c r="M604" s="932">
        <f>[55]Perdinas!$E$483</f>
        <v>0</v>
      </c>
      <c r="N604" s="933">
        <f t="shared" si="94"/>
        <v>1382176070</v>
      </c>
      <c r="O604" s="934">
        <f>N604-K604</f>
        <v>-117823930</v>
      </c>
      <c r="P604" s="931">
        <f>N604/K604*100</f>
        <v>92.145071333333334</v>
      </c>
      <c r="Q604" s="989"/>
      <c r="R604" s="990"/>
    </row>
    <row r="605" spans="1:18" s="189" customFormat="1" ht="14.1" customHeight="1">
      <c r="A605" s="293"/>
      <c r="B605" s="292"/>
      <c r="C605" s="292"/>
      <c r="D605" s="292"/>
      <c r="E605" s="292"/>
      <c r="F605" s="292"/>
      <c r="G605" s="253"/>
      <c r="H605" s="253"/>
      <c r="I605" s="253"/>
      <c r="J605" s="494"/>
      <c r="K605" s="495"/>
      <c r="L605" s="935"/>
      <c r="M605" s="935"/>
      <c r="N605" s="935"/>
      <c r="O605" s="935"/>
      <c r="P605" s="936"/>
      <c r="Q605" s="548"/>
      <c r="R605" s="422"/>
    </row>
    <row r="606" spans="1:18" s="254" customFormat="1" ht="14.1" customHeight="1">
      <c r="A606" s="303"/>
      <c r="B606" s="290">
        <v>4</v>
      </c>
      <c r="C606" s="290">
        <v>1</v>
      </c>
      <c r="D606" s="290">
        <v>4</v>
      </c>
      <c r="E606" s="290"/>
      <c r="F606" s="290"/>
      <c r="G606" s="291" t="s">
        <v>71</v>
      </c>
      <c r="H606" s="291"/>
      <c r="I606" s="291"/>
      <c r="J606" s="601">
        <f>+J610+J631+J645</f>
        <v>34635781700</v>
      </c>
      <c r="K606" s="602">
        <f>+K610+K631+K645+K607</f>
        <v>27362006200</v>
      </c>
      <c r="L606" s="937">
        <f>+L610+L631+L645+L607</f>
        <v>17796199513.5</v>
      </c>
      <c r="M606" s="937">
        <f>+M610+M631+M645+M607</f>
        <v>1635856737</v>
      </c>
      <c r="N606" s="937">
        <f>+N610+N631+N645+N607</f>
        <v>19432056250.5</v>
      </c>
      <c r="O606" s="925">
        <f t="shared" ref="O606:O642" si="96">N606-K606</f>
        <v>-7929949949.5</v>
      </c>
      <c r="P606" s="926">
        <f t="shared" ref="P606:P630" si="97">N606/K606*100</f>
        <v>71.018389910678408</v>
      </c>
      <c r="Q606" s="640"/>
      <c r="R606" s="990"/>
    </row>
    <row r="607" spans="1:18" s="254" customFormat="1" ht="14.1" customHeight="1">
      <c r="A607" s="303"/>
      <c r="B607" s="292">
        <v>4</v>
      </c>
      <c r="C607" s="292">
        <v>1</v>
      </c>
      <c r="D607" s="292">
        <v>4</v>
      </c>
      <c r="E607" s="292" t="s">
        <v>441</v>
      </c>
      <c r="F607" s="292"/>
      <c r="G607" s="253" t="s">
        <v>557</v>
      </c>
      <c r="H607" s="291"/>
      <c r="I607" s="291"/>
      <c r="J607" s="603"/>
      <c r="K607" s="604">
        <f t="shared" ref="K607:P607" si="98">K608</f>
        <v>0</v>
      </c>
      <c r="L607" s="938">
        <f t="shared" si="98"/>
        <v>0</v>
      </c>
      <c r="M607" s="939">
        <f t="shared" si="98"/>
        <v>0</v>
      </c>
      <c r="N607" s="939">
        <f t="shared" si="98"/>
        <v>0</v>
      </c>
      <c r="O607" s="939">
        <f t="shared" si="98"/>
        <v>0</v>
      </c>
      <c r="P607" s="940">
        <f t="shared" si="98"/>
        <v>0</v>
      </c>
      <c r="Q607" s="641"/>
      <c r="R607" s="990"/>
    </row>
    <row r="608" spans="1:18" s="254" customFormat="1" ht="14.1" customHeight="1">
      <c r="A608" s="303"/>
      <c r="B608" s="292">
        <v>4</v>
      </c>
      <c r="C608" s="292">
        <v>1</v>
      </c>
      <c r="D608" s="292">
        <v>4</v>
      </c>
      <c r="E608" s="292" t="s">
        <v>441</v>
      </c>
      <c r="F608" s="292" t="s">
        <v>437</v>
      </c>
      <c r="G608" s="253" t="s">
        <v>72</v>
      </c>
      <c r="H608" s="291"/>
      <c r="I608" s="291"/>
      <c r="J608" s="603"/>
      <c r="K608" s="495">
        <f>'[57]TARGET MURNI DAN PERUBAHAN'!$E$403</f>
        <v>0</v>
      </c>
      <c r="L608" s="941">
        <f>[62]PerDinas!$N$608</f>
        <v>0</v>
      </c>
      <c r="M608" s="935">
        <f>[55]Perdinas!$E$466</f>
        <v>0</v>
      </c>
      <c r="N608" s="935">
        <f>M608+L608</f>
        <v>0</v>
      </c>
      <c r="O608" s="942">
        <f>N608-K608</f>
        <v>0</v>
      </c>
      <c r="P608" s="928"/>
      <c r="Q608" s="548"/>
      <c r="R608" s="990"/>
    </row>
    <row r="609" spans="1:19" s="254" customFormat="1" ht="14.1" customHeight="1">
      <c r="A609" s="303"/>
      <c r="B609" s="290"/>
      <c r="C609" s="290"/>
      <c r="D609" s="290"/>
      <c r="E609" s="290"/>
      <c r="F609" s="290"/>
      <c r="G609" s="291"/>
      <c r="H609" s="291"/>
      <c r="I609" s="291"/>
      <c r="J609" s="603"/>
      <c r="K609" s="604"/>
      <c r="L609" s="938"/>
      <c r="M609" s="939"/>
      <c r="N609" s="939"/>
      <c r="O609" s="927"/>
      <c r="P609" s="928"/>
      <c r="Q609" s="641"/>
      <c r="R609" s="990"/>
    </row>
    <row r="610" spans="1:19" s="254" customFormat="1" ht="14.1" customHeight="1">
      <c r="A610" s="303"/>
      <c r="B610" s="292">
        <v>4</v>
      </c>
      <c r="C610" s="292">
        <v>1</v>
      </c>
      <c r="D610" s="292">
        <v>4</v>
      </c>
      <c r="E610" s="292" t="s">
        <v>456</v>
      </c>
      <c r="F610" s="292"/>
      <c r="G610" s="253" t="s">
        <v>307</v>
      </c>
      <c r="H610" s="253"/>
      <c r="I610" s="253"/>
      <c r="J610" s="678">
        <f>+J611+J621</f>
        <v>10708903900</v>
      </c>
      <c r="K610" s="490">
        <f>+K611+K621</f>
        <v>24238987800</v>
      </c>
      <c r="L610" s="943">
        <f>+L611+L621</f>
        <v>14942098989.5</v>
      </c>
      <c r="M610" s="944">
        <f>+M611+M621</f>
        <v>1629556737</v>
      </c>
      <c r="N610" s="944">
        <f>+N611+N621</f>
        <v>16571655726.5</v>
      </c>
      <c r="O610" s="945">
        <f t="shared" si="96"/>
        <v>-7667332073.5</v>
      </c>
      <c r="P610" s="946">
        <f t="shared" si="97"/>
        <v>68.367771225578977</v>
      </c>
      <c r="Q610" s="647"/>
      <c r="R610" s="990"/>
    </row>
    <row r="611" spans="1:19" s="255" customFormat="1" ht="14.1" customHeight="1">
      <c r="A611" s="303"/>
      <c r="B611" s="908">
        <v>4</v>
      </c>
      <c r="C611" s="908">
        <v>1</v>
      </c>
      <c r="D611" s="908">
        <v>4</v>
      </c>
      <c r="E611" s="908" t="s">
        <v>456</v>
      </c>
      <c r="F611" s="908" t="s">
        <v>437</v>
      </c>
      <c r="G611" s="909" t="s">
        <v>309</v>
      </c>
      <c r="H611" s="909"/>
      <c r="I611" s="909"/>
      <c r="J611" s="947">
        <f>SUM(J612:J620)</f>
        <v>10552554700</v>
      </c>
      <c r="K611" s="948">
        <f>SUM(K612:K620)</f>
        <v>24138987800</v>
      </c>
      <c r="L611" s="949">
        <f>SUM(L612:L620)</f>
        <v>14710656092.700001</v>
      </c>
      <c r="M611" s="950">
        <f>SUM(M612:M620)</f>
        <v>1574913460</v>
      </c>
      <c r="N611" s="951">
        <f>M611+L611</f>
        <v>16285569552.700001</v>
      </c>
      <c r="O611" s="951">
        <f t="shared" si="96"/>
        <v>-7853418247.2999992</v>
      </c>
      <c r="P611" s="952">
        <f t="shared" si="97"/>
        <v>67.4658344733908</v>
      </c>
      <c r="Q611" s="991"/>
      <c r="R611" s="992"/>
      <c r="S611" s="993"/>
    </row>
    <row r="612" spans="1:19" s="254" customFormat="1" ht="14.1" customHeight="1">
      <c r="A612" s="303"/>
      <c r="B612" s="292"/>
      <c r="C612" s="292"/>
      <c r="D612" s="292"/>
      <c r="E612" s="292"/>
      <c r="F612" s="292"/>
      <c r="G612" s="253">
        <v>1</v>
      </c>
      <c r="H612" s="842"/>
      <c r="I612" s="253" t="s">
        <v>310</v>
      </c>
      <c r="J612" s="354">
        <v>3667244553</v>
      </c>
      <c r="K612" s="932">
        <f>'[57]TARGET MURNI DAN PERUBAHAN'!$E$354</f>
        <v>24138987800</v>
      </c>
      <c r="L612" s="953">
        <f>[62]PerDinas!$N$612</f>
        <v>4542824734</v>
      </c>
      <c r="M612" s="932">
        <f>[55]Perdinas!$E$446</f>
        <v>443861406</v>
      </c>
      <c r="N612" s="954">
        <f t="shared" ref="N612:N620" si="99">M612+L612</f>
        <v>4986686140</v>
      </c>
      <c r="O612" s="934">
        <f t="shared" si="96"/>
        <v>-19152301660</v>
      </c>
      <c r="P612" s="955">
        <f t="shared" si="97"/>
        <v>20.658223871342276</v>
      </c>
      <c r="Q612" s="994"/>
      <c r="R612" s="995"/>
    </row>
    <row r="613" spans="1:19" s="254" customFormat="1" ht="14.1" customHeight="1">
      <c r="A613" s="303"/>
      <c r="B613" s="292"/>
      <c r="C613" s="292"/>
      <c r="D613" s="292"/>
      <c r="E613" s="292"/>
      <c r="F613" s="292"/>
      <c r="G613" s="253">
        <v>2</v>
      </c>
      <c r="H613" s="842"/>
      <c r="I613" s="253" t="s">
        <v>311</v>
      </c>
      <c r="J613" s="354">
        <v>1312341769</v>
      </c>
      <c r="K613" s="932">
        <f>'[57]TARGET MURNI DAN PERUBAHAN'!$E$355</f>
        <v>0</v>
      </c>
      <c r="L613" s="953">
        <f>[62]PerDinas!$N$613</f>
        <v>2109524088</v>
      </c>
      <c r="M613" s="932">
        <f>[55]Perdinas!$E$447</f>
        <v>193258575</v>
      </c>
      <c r="N613" s="954">
        <f t="shared" si="99"/>
        <v>2302782663</v>
      </c>
      <c r="O613" s="934">
        <f t="shared" si="96"/>
        <v>2302782663</v>
      </c>
      <c r="P613" s="955" t="e">
        <f t="shared" si="97"/>
        <v>#DIV/0!</v>
      </c>
      <c r="Q613" s="448"/>
      <c r="R613" s="990"/>
    </row>
    <row r="614" spans="1:19" s="254" customFormat="1" ht="14.1" customHeight="1">
      <c r="A614" s="303"/>
      <c r="B614" s="292"/>
      <c r="C614" s="292"/>
      <c r="D614" s="292"/>
      <c r="E614" s="292"/>
      <c r="F614" s="292"/>
      <c r="G614" s="253">
        <v>3</v>
      </c>
      <c r="H614" s="842"/>
      <c r="I614" s="253" t="s">
        <v>312</v>
      </c>
      <c r="J614" s="354">
        <v>1709560379</v>
      </c>
      <c r="K614" s="932">
        <f>'[57]TARGET MURNI DAN PERUBAHAN'!$E$356</f>
        <v>0</v>
      </c>
      <c r="L614" s="953">
        <f>[62]PerDinas!$N$614</f>
        <v>2427740986</v>
      </c>
      <c r="M614" s="932">
        <f>[55]Perdinas!$E$448</f>
        <v>247579964</v>
      </c>
      <c r="N614" s="954">
        <f t="shared" si="99"/>
        <v>2675320950</v>
      </c>
      <c r="O614" s="934">
        <f t="shared" si="96"/>
        <v>2675320950</v>
      </c>
      <c r="P614" s="955" t="e">
        <f t="shared" si="97"/>
        <v>#DIV/0!</v>
      </c>
      <c r="Q614" s="448"/>
      <c r="R614" s="990"/>
    </row>
    <row r="615" spans="1:19" s="254" customFormat="1" ht="14.1" customHeight="1">
      <c r="A615" s="303"/>
      <c r="B615" s="292"/>
      <c r="C615" s="292"/>
      <c r="D615" s="292"/>
      <c r="E615" s="292"/>
      <c r="F615" s="292"/>
      <c r="G615" s="253">
        <v>4</v>
      </c>
      <c r="H615" s="842"/>
      <c r="I615" s="253" t="s">
        <v>313</v>
      </c>
      <c r="J615" s="354">
        <v>839251662</v>
      </c>
      <c r="K615" s="932">
        <f>'[57]TARGET MURNI DAN PERUBAHAN'!$E$357</f>
        <v>0</v>
      </c>
      <c r="L615" s="953">
        <f>[62]PerDinas!$N$615</f>
        <v>1308652085</v>
      </c>
      <c r="M615" s="932">
        <f>[55]Perdinas!$E$449</f>
        <v>90850585</v>
      </c>
      <c r="N615" s="954">
        <f t="shared" si="99"/>
        <v>1399502670</v>
      </c>
      <c r="O615" s="934">
        <f t="shared" si="96"/>
        <v>1399502670</v>
      </c>
      <c r="P615" s="955" t="e">
        <f t="shared" si="97"/>
        <v>#DIV/0!</v>
      </c>
      <c r="Q615" s="448"/>
      <c r="R615" s="990"/>
    </row>
    <row r="616" spans="1:19" s="254" customFormat="1" ht="14.1" customHeight="1">
      <c r="A616" s="303"/>
      <c r="B616" s="292"/>
      <c r="C616" s="292"/>
      <c r="D616" s="292"/>
      <c r="E616" s="292"/>
      <c r="F616" s="292"/>
      <c r="G616" s="253">
        <v>5</v>
      </c>
      <c r="H616" s="842"/>
      <c r="I616" s="253" t="s">
        <v>314</v>
      </c>
      <c r="J616" s="354">
        <v>956450612</v>
      </c>
      <c r="K616" s="932">
        <f>'[57]TARGET MURNI DAN PERUBAHAN'!$E$358</f>
        <v>0</v>
      </c>
      <c r="L616" s="953">
        <f>[62]PerDinas!$N$616</f>
        <v>1170577238</v>
      </c>
      <c r="M616" s="932">
        <f>[55]Perdinas!$E$450</f>
        <v>110304287</v>
      </c>
      <c r="N616" s="954">
        <f t="shared" si="99"/>
        <v>1280881525</v>
      </c>
      <c r="O616" s="934">
        <f t="shared" si="96"/>
        <v>1280881525</v>
      </c>
      <c r="P616" s="955" t="e">
        <f t="shared" si="97"/>
        <v>#DIV/0!</v>
      </c>
      <c r="Q616" s="448"/>
      <c r="R616" s="990"/>
    </row>
    <row r="617" spans="1:19" s="254" customFormat="1" ht="14.1" customHeight="1">
      <c r="A617" s="303"/>
      <c r="B617" s="292"/>
      <c r="C617" s="292"/>
      <c r="D617" s="292"/>
      <c r="E617" s="292"/>
      <c r="F617" s="292"/>
      <c r="G617" s="253">
        <v>6</v>
      </c>
      <c r="H617" s="842"/>
      <c r="I617" s="253" t="s">
        <v>315</v>
      </c>
      <c r="J617" s="354">
        <v>400997431</v>
      </c>
      <c r="K617" s="932">
        <f>'[57]TARGET MURNI DAN PERUBAHAN'!$E$359</f>
        <v>0</v>
      </c>
      <c r="L617" s="953">
        <f>[62]PerDinas!$N$617</f>
        <v>504081973</v>
      </c>
      <c r="M617" s="932">
        <f>[55]Perdinas!$E$451</f>
        <v>31104130</v>
      </c>
      <c r="N617" s="954">
        <f t="shared" si="99"/>
        <v>535186103</v>
      </c>
      <c r="O617" s="934">
        <f t="shared" si="96"/>
        <v>535186103</v>
      </c>
      <c r="P617" s="955" t="e">
        <f t="shared" si="97"/>
        <v>#DIV/0!</v>
      </c>
      <c r="Q617" s="448"/>
      <c r="R617" s="990"/>
    </row>
    <row r="618" spans="1:19" s="254" customFormat="1" ht="14.1" customHeight="1">
      <c r="A618" s="303"/>
      <c r="B618" s="292"/>
      <c r="C618" s="292"/>
      <c r="D618" s="292"/>
      <c r="E618" s="292"/>
      <c r="F618" s="292"/>
      <c r="G618" s="253">
        <v>7</v>
      </c>
      <c r="H618" s="842"/>
      <c r="I618" s="253" t="s">
        <v>316</v>
      </c>
      <c r="J618" s="354">
        <v>790415493</v>
      </c>
      <c r="K618" s="932">
        <f>'[57]TARGET MURNI DAN PERUBAHAN'!$E$360</f>
        <v>0</v>
      </c>
      <c r="L618" s="953">
        <f>[62]PerDinas!$N$618</f>
        <v>1492733414</v>
      </c>
      <c r="M618" s="932">
        <f>[55]Perdinas!$E$452</f>
        <v>148938755</v>
      </c>
      <c r="N618" s="954">
        <f t="shared" si="99"/>
        <v>1641672169</v>
      </c>
      <c r="O618" s="934">
        <f t="shared" si="96"/>
        <v>1641672169</v>
      </c>
      <c r="P618" s="955" t="e">
        <f t="shared" si="97"/>
        <v>#DIV/0!</v>
      </c>
      <c r="Q618" s="448"/>
      <c r="R618" s="990"/>
    </row>
    <row r="619" spans="1:19" s="254" customFormat="1" ht="14.1" customHeight="1">
      <c r="A619" s="303"/>
      <c r="B619" s="292"/>
      <c r="C619" s="292"/>
      <c r="D619" s="292"/>
      <c r="E619" s="292"/>
      <c r="F619" s="292"/>
      <c r="G619" s="253">
        <v>8</v>
      </c>
      <c r="H619" s="842"/>
      <c r="I619" s="253" t="s">
        <v>317</v>
      </c>
      <c r="J619" s="354">
        <v>528455525</v>
      </c>
      <c r="K619" s="932">
        <f>'[57]TARGET MURNI DAN PERUBAHAN'!$E$361</f>
        <v>0</v>
      </c>
      <c r="L619" s="953">
        <f>[62]PerDinas!$N$619</f>
        <v>601473385.70000005</v>
      </c>
      <c r="M619" s="932">
        <f>[55]Perdinas!$E$453</f>
        <v>266327748</v>
      </c>
      <c r="N619" s="954">
        <f t="shared" si="99"/>
        <v>867801133.70000005</v>
      </c>
      <c r="O619" s="934">
        <f t="shared" si="96"/>
        <v>867801133.70000005</v>
      </c>
      <c r="P619" s="955" t="e">
        <f t="shared" si="97"/>
        <v>#DIV/0!</v>
      </c>
      <c r="Q619" s="448"/>
      <c r="R619" s="990"/>
    </row>
    <row r="620" spans="1:19" s="254" customFormat="1" ht="14.1" customHeight="1">
      <c r="A620" s="303"/>
      <c r="B620" s="292"/>
      <c r="C620" s="292"/>
      <c r="D620" s="292"/>
      <c r="E620" s="292"/>
      <c r="F620" s="292"/>
      <c r="G620" s="910">
        <v>9</v>
      </c>
      <c r="H620" s="910"/>
      <c r="I620" s="910" t="s">
        <v>318</v>
      </c>
      <c r="J620" s="956">
        <v>347837276</v>
      </c>
      <c r="K620" s="932">
        <f>'[57]TARGET MURNI DAN PERUBAHAN'!$E$362</f>
        <v>0</v>
      </c>
      <c r="L620" s="953">
        <f>[62]PerDinas!$N$620</f>
        <v>553048189</v>
      </c>
      <c r="M620" s="932">
        <f>[55]Perdinas!$E$454</f>
        <v>42688010</v>
      </c>
      <c r="N620" s="954">
        <f t="shared" si="99"/>
        <v>595736199</v>
      </c>
      <c r="O620" s="957">
        <f t="shared" si="96"/>
        <v>595736199</v>
      </c>
      <c r="P620" s="958" t="e">
        <f t="shared" si="97"/>
        <v>#DIV/0!</v>
      </c>
      <c r="Q620" s="448"/>
      <c r="R620" s="990"/>
    </row>
    <row r="621" spans="1:19" s="255" customFormat="1" ht="14.1" customHeight="1">
      <c r="A621" s="303"/>
      <c r="B621" s="290">
        <v>4</v>
      </c>
      <c r="C621" s="290">
        <v>1</v>
      </c>
      <c r="D621" s="290">
        <v>4</v>
      </c>
      <c r="E621" s="290" t="s">
        <v>456</v>
      </c>
      <c r="F621" s="290" t="s">
        <v>438</v>
      </c>
      <c r="G621" s="291" t="s">
        <v>319</v>
      </c>
      <c r="H621" s="291"/>
      <c r="I621" s="291"/>
      <c r="J621" s="678">
        <f>SUM(J622:J630)</f>
        <v>156349200</v>
      </c>
      <c r="K621" s="490">
        <f>SUM(K622:K630)</f>
        <v>100000000</v>
      </c>
      <c r="L621" s="943">
        <f>SUM(L622:L630)</f>
        <v>231442896.80000001</v>
      </c>
      <c r="M621" s="944">
        <f>SUM(M622:M630)</f>
        <v>54643277</v>
      </c>
      <c r="N621" s="944">
        <f>SUM(N622:N630)</f>
        <v>286086173.80000001</v>
      </c>
      <c r="O621" s="945">
        <f t="shared" si="96"/>
        <v>186086173.80000001</v>
      </c>
      <c r="P621" s="946">
        <f t="shared" si="97"/>
        <v>286.08617379999998</v>
      </c>
      <c r="Q621" s="700"/>
      <c r="R621" s="996"/>
    </row>
    <row r="622" spans="1:19" s="254" customFormat="1" ht="14.1" customHeight="1">
      <c r="A622" s="303"/>
      <c r="B622" s="292"/>
      <c r="C622" s="292"/>
      <c r="D622" s="292"/>
      <c r="E622" s="292"/>
      <c r="F622" s="292"/>
      <c r="G622" s="253">
        <v>1</v>
      </c>
      <c r="H622" s="842"/>
      <c r="I622" s="253" t="s">
        <v>310</v>
      </c>
      <c r="J622" s="628">
        <v>54731264</v>
      </c>
      <c r="K622" s="959">
        <f>'[57]TARGET MURNI DAN PERUBAHAN'!$E$364</f>
        <v>100000000</v>
      </c>
      <c r="L622" s="953">
        <f>[62]PerDinas!$N$622</f>
        <v>88769590</v>
      </c>
      <c r="M622" s="959">
        <f>[55]Perdinas!$E$456</f>
        <v>16581156</v>
      </c>
      <c r="N622" s="960">
        <f t="shared" ref="N622:N630" si="100">M622+L622</f>
        <v>105350746</v>
      </c>
      <c r="O622" s="961">
        <f t="shared" si="96"/>
        <v>5350746</v>
      </c>
      <c r="P622" s="962">
        <f t="shared" si="97"/>
        <v>105.350746</v>
      </c>
      <c r="Q622" s="701"/>
      <c r="R622" s="995"/>
    </row>
    <row r="623" spans="1:19" s="254" customFormat="1" ht="14.1" customHeight="1">
      <c r="A623" s="303"/>
      <c r="B623" s="292"/>
      <c r="C623" s="292"/>
      <c r="D623" s="292"/>
      <c r="E623" s="292"/>
      <c r="F623" s="292"/>
      <c r="G623" s="253">
        <v>2</v>
      </c>
      <c r="H623" s="842"/>
      <c r="I623" s="253" t="s">
        <v>311</v>
      </c>
      <c r="J623" s="354">
        <v>40152038</v>
      </c>
      <c r="K623" s="932">
        <f>'[57]TARGET MURNI DAN PERUBAHAN'!$E$365</f>
        <v>0</v>
      </c>
      <c r="L623" s="953">
        <f>[62]PerDinas!$N$623</f>
        <v>14302266</v>
      </c>
      <c r="M623" s="932">
        <f>[55]Perdinas!$E$457</f>
        <v>11698118</v>
      </c>
      <c r="N623" s="954">
        <f t="shared" si="100"/>
        <v>26000384</v>
      </c>
      <c r="O623" s="934">
        <f t="shared" si="96"/>
        <v>26000384</v>
      </c>
      <c r="P623" s="955" t="e">
        <f t="shared" si="97"/>
        <v>#DIV/0!</v>
      </c>
      <c r="Q623" s="448"/>
      <c r="R623" s="990"/>
    </row>
    <row r="624" spans="1:19" s="254" customFormat="1" ht="14.1" customHeight="1">
      <c r="A624" s="303"/>
      <c r="B624" s="292"/>
      <c r="C624" s="292"/>
      <c r="D624" s="292"/>
      <c r="E624" s="292"/>
      <c r="F624" s="292"/>
      <c r="G624" s="253">
        <v>3</v>
      </c>
      <c r="H624" s="842"/>
      <c r="I624" s="253" t="s">
        <v>312</v>
      </c>
      <c r="J624" s="354">
        <v>20587022</v>
      </c>
      <c r="K624" s="932">
        <f>'[57]TARGET MURNI DAN PERUBAHAN'!$E$366</f>
        <v>0</v>
      </c>
      <c r="L624" s="953">
        <f>[62]PerDinas!$N$624</f>
        <v>26013610</v>
      </c>
      <c r="M624" s="932">
        <f>[55]Perdinas!$E$458</f>
        <v>6323755</v>
      </c>
      <c r="N624" s="954">
        <f t="shared" si="100"/>
        <v>32337365</v>
      </c>
      <c r="O624" s="934">
        <f t="shared" si="96"/>
        <v>32337365</v>
      </c>
      <c r="P624" s="955" t="e">
        <f t="shared" si="97"/>
        <v>#DIV/0!</v>
      </c>
      <c r="Q624" s="448"/>
      <c r="R624" s="990"/>
    </row>
    <row r="625" spans="1:18" s="254" customFormat="1" ht="14.1" customHeight="1">
      <c r="A625" s="303"/>
      <c r="B625" s="292"/>
      <c r="C625" s="292"/>
      <c r="D625" s="292"/>
      <c r="E625" s="292"/>
      <c r="F625" s="292"/>
      <c r="G625" s="253">
        <v>4</v>
      </c>
      <c r="H625" s="842"/>
      <c r="I625" s="253" t="s">
        <v>313</v>
      </c>
      <c r="J625" s="354">
        <v>11483003</v>
      </c>
      <c r="K625" s="932">
        <f>'[57]TARGET MURNI DAN PERUBAHAN'!$E$367</f>
        <v>0</v>
      </c>
      <c r="L625" s="953">
        <f>[62]PerDinas!$N$625</f>
        <v>18998539</v>
      </c>
      <c r="M625" s="932">
        <f>[55]Perdinas!$E$459</f>
        <v>3810125</v>
      </c>
      <c r="N625" s="954">
        <f t="shared" si="100"/>
        <v>22808664</v>
      </c>
      <c r="O625" s="934">
        <f t="shared" si="96"/>
        <v>22808664</v>
      </c>
      <c r="P625" s="955" t="e">
        <f t="shared" si="97"/>
        <v>#DIV/0!</v>
      </c>
      <c r="Q625" s="448"/>
      <c r="R625" s="990"/>
    </row>
    <row r="626" spans="1:18" s="254" customFormat="1" ht="14.1" customHeight="1">
      <c r="A626" s="303"/>
      <c r="B626" s="292"/>
      <c r="C626" s="292"/>
      <c r="D626" s="292"/>
      <c r="E626" s="292"/>
      <c r="F626" s="292"/>
      <c r="G626" s="253">
        <v>5</v>
      </c>
      <c r="H626" s="842"/>
      <c r="I626" s="253" t="s">
        <v>314</v>
      </c>
      <c r="J626" s="354">
        <v>17764328</v>
      </c>
      <c r="K626" s="932">
        <f>'[57]TARGET MURNI DAN PERUBAHAN'!$E$368</f>
        <v>0</v>
      </c>
      <c r="L626" s="953">
        <f>[62]PerDinas!$N$626</f>
        <v>21404794</v>
      </c>
      <c r="M626" s="932">
        <f>[55]Perdinas!$E$460</f>
        <v>6694750</v>
      </c>
      <c r="N626" s="954">
        <f t="shared" si="100"/>
        <v>28099544</v>
      </c>
      <c r="O626" s="934">
        <f t="shared" si="96"/>
        <v>28099544</v>
      </c>
      <c r="P626" s="955" t="e">
        <f t="shared" si="97"/>
        <v>#DIV/0!</v>
      </c>
      <c r="Q626" s="448"/>
      <c r="R626" s="990"/>
    </row>
    <row r="627" spans="1:18" s="254" customFormat="1" ht="14.1" customHeight="1">
      <c r="A627" s="303"/>
      <c r="B627" s="292"/>
      <c r="C627" s="292"/>
      <c r="D627" s="292"/>
      <c r="E627" s="292"/>
      <c r="F627" s="292"/>
      <c r="G627" s="253">
        <v>6</v>
      </c>
      <c r="H627" s="842"/>
      <c r="I627" s="253" t="s">
        <v>315</v>
      </c>
      <c r="J627" s="354">
        <v>2326181</v>
      </c>
      <c r="K627" s="932">
        <f>'[57]TARGET MURNI DAN PERUBAHAN'!$E$369</f>
        <v>0</v>
      </c>
      <c r="L627" s="953">
        <f>[62]PerDinas!$N$627</f>
        <v>4315464</v>
      </c>
      <c r="M627" s="932">
        <f>[55]Perdinas!$E$461</f>
        <v>660000</v>
      </c>
      <c r="N627" s="954">
        <f t="shared" si="100"/>
        <v>4975464</v>
      </c>
      <c r="O627" s="934">
        <f t="shared" si="96"/>
        <v>4975464</v>
      </c>
      <c r="P627" s="955" t="e">
        <f t="shared" si="97"/>
        <v>#DIV/0!</v>
      </c>
      <c r="Q627" s="448"/>
      <c r="R627" s="990"/>
    </row>
    <row r="628" spans="1:18" s="254" customFormat="1" ht="14.1" customHeight="1">
      <c r="A628" s="303"/>
      <c r="B628" s="292"/>
      <c r="C628" s="292"/>
      <c r="D628" s="292"/>
      <c r="E628" s="292"/>
      <c r="F628" s="292"/>
      <c r="G628" s="253">
        <v>7</v>
      </c>
      <c r="H628" s="842"/>
      <c r="I628" s="253" t="s">
        <v>316</v>
      </c>
      <c r="J628" s="354">
        <v>8119057</v>
      </c>
      <c r="K628" s="932">
        <f>'[57]TARGET MURNI DAN PERUBAHAN'!$E$370</f>
        <v>0</v>
      </c>
      <c r="L628" s="953">
        <f>[62]PerDinas!$N$628</f>
        <v>24775154</v>
      </c>
      <c r="M628" s="932">
        <f>[55]Perdinas!$E$462</f>
        <v>7013500</v>
      </c>
      <c r="N628" s="954">
        <f t="shared" si="100"/>
        <v>31788654</v>
      </c>
      <c r="O628" s="934">
        <f t="shared" si="96"/>
        <v>31788654</v>
      </c>
      <c r="P628" s="955" t="e">
        <f t="shared" si="97"/>
        <v>#DIV/0!</v>
      </c>
      <c r="Q628" s="448"/>
      <c r="R628" s="990"/>
    </row>
    <row r="629" spans="1:18" s="254" customFormat="1" ht="14.1" customHeight="1">
      <c r="A629" s="303"/>
      <c r="B629" s="292"/>
      <c r="C629" s="292"/>
      <c r="D629" s="292"/>
      <c r="E629" s="292"/>
      <c r="F629" s="292"/>
      <c r="G629" s="253">
        <v>8</v>
      </c>
      <c r="H629" s="842"/>
      <c r="I629" s="253" t="s">
        <v>317</v>
      </c>
      <c r="J629" s="354">
        <v>1186307</v>
      </c>
      <c r="K629" s="932">
        <f>'[57]TARGET MURNI DAN PERUBAHAN'!$E$371</f>
        <v>0</v>
      </c>
      <c r="L629" s="953">
        <f>[62]PerDinas!$N$629</f>
        <v>31999217.800000001</v>
      </c>
      <c r="M629" s="932">
        <f>[55]Perdinas!$E$463</f>
        <v>1861873</v>
      </c>
      <c r="N629" s="954">
        <f t="shared" si="100"/>
        <v>33861090.799999997</v>
      </c>
      <c r="O629" s="934">
        <f t="shared" si="96"/>
        <v>33861090.799999997</v>
      </c>
      <c r="P629" s="955" t="e">
        <f t="shared" si="97"/>
        <v>#DIV/0!</v>
      </c>
      <c r="Q629" s="448"/>
      <c r="R629" s="990"/>
    </row>
    <row r="630" spans="1:18" s="254" customFormat="1" ht="14.1" customHeight="1">
      <c r="A630" s="303"/>
      <c r="B630" s="292"/>
      <c r="C630" s="292"/>
      <c r="D630" s="292"/>
      <c r="E630" s="292"/>
      <c r="F630" s="292"/>
      <c r="G630" s="253">
        <v>9</v>
      </c>
      <c r="H630" s="253"/>
      <c r="I630" s="253" t="s">
        <v>318</v>
      </c>
      <c r="J630" s="374">
        <v>0</v>
      </c>
      <c r="K630" s="932">
        <f>'[57]TARGET MURNI DAN PERUBAHAN'!$E$372</f>
        <v>0</v>
      </c>
      <c r="L630" s="953">
        <f>[62]PerDinas!$N$630</f>
        <v>864262</v>
      </c>
      <c r="M630" s="932">
        <f>[55]Perdinas!$E$464</f>
        <v>0</v>
      </c>
      <c r="N630" s="934">
        <f t="shared" si="100"/>
        <v>864262</v>
      </c>
      <c r="O630" s="934">
        <f t="shared" si="96"/>
        <v>864262</v>
      </c>
      <c r="P630" s="955" t="e">
        <f t="shared" si="97"/>
        <v>#DIV/0!</v>
      </c>
      <c r="Q630" s="448"/>
      <c r="R630" s="990"/>
    </row>
    <row r="631" spans="1:18" s="255" customFormat="1" ht="14.1" customHeight="1">
      <c r="A631" s="465"/>
      <c r="B631" s="466">
        <v>4</v>
      </c>
      <c r="C631" s="466">
        <v>1</v>
      </c>
      <c r="D631" s="466">
        <v>4</v>
      </c>
      <c r="E631" s="466" t="s">
        <v>444</v>
      </c>
      <c r="F631" s="466"/>
      <c r="G631" s="467" t="s">
        <v>222</v>
      </c>
      <c r="H631" s="467"/>
      <c r="I631" s="467"/>
      <c r="J631" s="370">
        <f>+J634</f>
        <v>0</v>
      </c>
      <c r="K631" s="371">
        <f>+K634</f>
        <v>0</v>
      </c>
      <c r="L631" s="963">
        <f>SUM(L632:L634)</f>
        <v>34029381</v>
      </c>
      <c r="M631" s="930">
        <f>SUM(M632:M634)</f>
        <v>6300000</v>
      </c>
      <c r="N631" s="930">
        <f>SUM(N632:N634)</f>
        <v>40329381</v>
      </c>
      <c r="O631" s="964">
        <f t="shared" si="96"/>
        <v>40329381</v>
      </c>
      <c r="P631" s="965">
        <v>0</v>
      </c>
      <c r="Q631" s="651"/>
      <c r="R631" s="996"/>
    </row>
    <row r="632" spans="1:18" s="254" customFormat="1" ht="14.1" customHeight="1">
      <c r="A632" s="564"/>
      <c r="B632" s="565">
        <v>4</v>
      </c>
      <c r="C632" s="565">
        <v>1</v>
      </c>
      <c r="D632" s="565">
        <v>4</v>
      </c>
      <c r="E632" s="565" t="s">
        <v>444</v>
      </c>
      <c r="F632" s="565" t="s">
        <v>440</v>
      </c>
      <c r="G632" s="566" t="s">
        <v>73</v>
      </c>
      <c r="H632" s="566"/>
      <c r="I632" s="566"/>
      <c r="J632" s="484">
        <v>0</v>
      </c>
      <c r="K632" s="485">
        <v>0</v>
      </c>
      <c r="L632" s="966">
        <v>0</v>
      </c>
      <c r="M632" s="967">
        <f>[55]Perdinas!$E$467</f>
        <v>0</v>
      </c>
      <c r="N632" s="967">
        <f>M632+L632</f>
        <v>0</v>
      </c>
      <c r="O632" s="967">
        <f t="shared" si="96"/>
        <v>0</v>
      </c>
      <c r="P632" s="968"/>
      <c r="Q632" s="541"/>
      <c r="R632" s="990"/>
    </row>
    <row r="633" spans="1:18" s="254" customFormat="1" ht="14.1" customHeight="1">
      <c r="A633" s="286"/>
      <c r="B633" s="287">
        <v>4</v>
      </c>
      <c r="C633" s="287">
        <v>1</v>
      </c>
      <c r="D633" s="287">
        <v>4</v>
      </c>
      <c r="E633" s="287" t="s">
        <v>444</v>
      </c>
      <c r="F633" s="287" t="s">
        <v>445</v>
      </c>
      <c r="G633" s="410" t="s">
        <v>74</v>
      </c>
      <c r="H633" s="410"/>
      <c r="I633" s="410"/>
      <c r="J633" s="389">
        <v>0</v>
      </c>
      <c r="K633" s="357">
        <v>0</v>
      </c>
      <c r="L633" s="969">
        <v>0</v>
      </c>
      <c r="M633" s="970">
        <f>[55]Perdinas!$E$468</f>
        <v>0</v>
      </c>
      <c r="N633" s="970">
        <f>M633+L633</f>
        <v>0</v>
      </c>
      <c r="O633" s="970">
        <f t="shared" si="96"/>
        <v>0</v>
      </c>
      <c r="P633" s="971"/>
      <c r="Q633" s="442"/>
      <c r="R633" s="990"/>
    </row>
    <row r="634" spans="1:18" s="255" customFormat="1" ht="14.1" customHeight="1">
      <c r="A634" s="293"/>
      <c r="B634" s="908">
        <v>4</v>
      </c>
      <c r="C634" s="908">
        <v>1</v>
      </c>
      <c r="D634" s="908">
        <v>4</v>
      </c>
      <c r="E634" s="908" t="s">
        <v>444</v>
      </c>
      <c r="F634" s="908" t="s">
        <v>441</v>
      </c>
      <c r="G634" s="909" t="s">
        <v>75</v>
      </c>
      <c r="H634" s="909"/>
      <c r="I634" s="909"/>
      <c r="J634" s="972">
        <f>SUM(J635:J644)</f>
        <v>0</v>
      </c>
      <c r="K634" s="973">
        <f>SUM(K635:K644)</f>
        <v>0</v>
      </c>
      <c r="L634" s="974">
        <f>SUM(L635:L644)</f>
        <v>34029381</v>
      </c>
      <c r="M634" s="975">
        <f>SUM(M635:M644)</f>
        <v>6300000</v>
      </c>
      <c r="N634" s="976">
        <f>SUM(N635:N644)</f>
        <v>40329381</v>
      </c>
      <c r="O634" s="975">
        <f t="shared" si="96"/>
        <v>40329381</v>
      </c>
      <c r="P634" s="977"/>
      <c r="Q634" s="997"/>
      <c r="R634" s="996"/>
    </row>
    <row r="635" spans="1:18" s="254" customFormat="1" ht="14.1" customHeight="1">
      <c r="A635" s="289"/>
      <c r="B635" s="292"/>
      <c r="C635" s="292"/>
      <c r="D635" s="292"/>
      <c r="E635" s="292"/>
      <c r="F635" s="292"/>
      <c r="G635" s="253">
        <v>1</v>
      </c>
      <c r="H635" s="253"/>
      <c r="I635" s="253" t="s">
        <v>320</v>
      </c>
      <c r="J635" s="354"/>
      <c r="K635" s="934">
        <f>'[57]TARGET MURNI DAN PERUBAHAN'!$E$377</f>
        <v>0</v>
      </c>
      <c r="L635" s="969">
        <f>[62]PerDinas!$N$635</f>
        <v>20455556</v>
      </c>
      <c r="M635" s="934">
        <f>[55]Perdinas!$E$470</f>
        <v>6300000</v>
      </c>
      <c r="N635" s="934">
        <f t="shared" ref="N635:N644" si="101">M635+L635</f>
        <v>26755556</v>
      </c>
      <c r="O635" s="934">
        <f t="shared" si="96"/>
        <v>26755556</v>
      </c>
      <c r="P635" s="955"/>
      <c r="Q635" s="441"/>
      <c r="R635" s="990"/>
    </row>
    <row r="636" spans="1:18" s="254" customFormat="1" ht="14.1" customHeight="1">
      <c r="A636" s="289"/>
      <c r="B636" s="292"/>
      <c r="C636" s="292"/>
      <c r="D636" s="292"/>
      <c r="E636" s="292"/>
      <c r="F636" s="292"/>
      <c r="G636" s="253">
        <v>2</v>
      </c>
      <c r="H636" s="253"/>
      <c r="I636" s="253" t="s">
        <v>310</v>
      </c>
      <c r="J636" s="354"/>
      <c r="K636" s="934">
        <f>'[57]TARGET MURNI DAN PERUBAHAN'!$E$378</f>
        <v>0</v>
      </c>
      <c r="L636" s="969">
        <f>[62]PerDinas!$N$636</f>
        <v>5229550</v>
      </c>
      <c r="M636" s="934">
        <f>[55]Perdinas!$E$471</f>
        <v>0</v>
      </c>
      <c r="N636" s="934">
        <f t="shared" si="101"/>
        <v>5229550</v>
      </c>
      <c r="O636" s="934">
        <f t="shared" si="96"/>
        <v>5229550</v>
      </c>
      <c r="P636" s="955"/>
      <c r="Q636" s="441"/>
      <c r="R636" s="995"/>
    </row>
    <row r="637" spans="1:18" s="254" customFormat="1" ht="14.1" customHeight="1">
      <c r="A637" s="289"/>
      <c r="B637" s="292"/>
      <c r="C637" s="292"/>
      <c r="D637" s="292"/>
      <c r="E637" s="292"/>
      <c r="F637" s="292"/>
      <c r="G637" s="253">
        <v>3</v>
      </c>
      <c r="H637" s="253"/>
      <c r="I637" s="253" t="s">
        <v>311</v>
      </c>
      <c r="J637" s="354"/>
      <c r="K637" s="934">
        <f>'[57]TARGET MURNI DAN PERUBAHAN'!$E$379</f>
        <v>0</v>
      </c>
      <c r="L637" s="969">
        <f>[62]PerDinas!$N$637</f>
        <v>0</v>
      </c>
      <c r="M637" s="934">
        <f>[55]Perdinas!$E$472</f>
        <v>0</v>
      </c>
      <c r="N637" s="934">
        <f t="shared" si="101"/>
        <v>0</v>
      </c>
      <c r="O637" s="934">
        <f t="shared" si="96"/>
        <v>0</v>
      </c>
      <c r="P637" s="955"/>
      <c r="Q637" s="441"/>
      <c r="R637" s="990"/>
    </row>
    <row r="638" spans="1:18" s="254" customFormat="1" ht="14.1" customHeight="1">
      <c r="A638" s="289"/>
      <c r="B638" s="292"/>
      <c r="C638" s="292"/>
      <c r="D638" s="292"/>
      <c r="E638" s="292"/>
      <c r="F638" s="292"/>
      <c r="G638" s="253">
        <v>4</v>
      </c>
      <c r="H638" s="253"/>
      <c r="I638" s="253" t="s">
        <v>312</v>
      </c>
      <c r="J638" s="354"/>
      <c r="K638" s="934">
        <f>'[57]TARGET MURNI DAN PERUBAHAN'!$E$380</f>
        <v>0</v>
      </c>
      <c r="L638" s="969">
        <f>[62]PerDinas!$N$638</f>
        <v>0</v>
      </c>
      <c r="M638" s="934">
        <f>[55]Perdinas!$E$473</f>
        <v>0</v>
      </c>
      <c r="N638" s="934">
        <f t="shared" si="101"/>
        <v>0</v>
      </c>
      <c r="O638" s="934">
        <f t="shared" si="96"/>
        <v>0</v>
      </c>
      <c r="P638" s="955"/>
      <c r="Q638" s="441"/>
      <c r="R638" s="990"/>
    </row>
    <row r="639" spans="1:18" s="254" customFormat="1" ht="14.1" customHeight="1">
      <c r="A639" s="289"/>
      <c r="B639" s="292"/>
      <c r="C639" s="292"/>
      <c r="D639" s="292"/>
      <c r="E639" s="292"/>
      <c r="F639" s="292"/>
      <c r="G639" s="253">
        <v>5</v>
      </c>
      <c r="H639" s="253"/>
      <c r="I639" s="253" t="s">
        <v>313</v>
      </c>
      <c r="J639" s="354"/>
      <c r="K639" s="934">
        <f>'[57]TARGET MURNI DAN PERUBAHAN'!$E$381</f>
        <v>0</v>
      </c>
      <c r="L639" s="969">
        <f>[62]PerDinas!$N$639</f>
        <v>1178000</v>
      </c>
      <c r="M639" s="934">
        <f>[55]Perdinas!$E$474</f>
        <v>0</v>
      </c>
      <c r="N639" s="934">
        <f t="shared" si="101"/>
        <v>1178000</v>
      </c>
      <c r="O639" s="934">
        <f t="shared" si="96"/>
        <v>1178000</v>
      </c>
      <c r="P639" s="955"/>
      <c r="Q639" s="441"/>
      <c r="R639" s="990"/>
    </row>
    <row r="640" spans="1:18" s="254" customFormat="1" ht="14.1" customHeight="1">
      <c r="A640" s="289"/>
      <c r="B640" s="292"/>
      <c r="C640" s="292"/>
      <c r="D640" s="292"/>
      <c r="E640" s="292"/>
      <c r="F640" s="292"/>
      <c r="G640" s="253">
        <v>6</v>
      </c>
      <c r="H640" s="253"/>
      <c r="I640" s="253" t="s">
        <v>314</v>
      </c>
      <c r="J640" s="354"/>
      <c r="K640" s="934">
        <f>'[57]TARGET MURNI DAN PERUBAHAN'!$E$382</f>
        <v>0</v>
      </c>
      <c r="L640" s="969">
        <f>[62]PerDinas!$N$640</f>
        <v>7166275</v>
      </c>
      <c r="M640" s="934">
        <f>[55]Perdinas!$E$475</f>
        <v>0</v>
      </c>
      <c r="N640" s="934">
        <f t="shared" si="101"/>
        <v>7166275</v>
      </c>
      <c r="O640" s="934">
        <f t="shared" si="96"/>
        <v>7166275</v>
      </c>
      <c r="P640" s="955"/>
      <c r="Q640" s="441"/>
      <c r="R640" s="990"/>
    </row>
    <row r="641" spans="1:18" s="254" customFormat="1" ht="14.1" customHeight="1">
      <c r="A641" s="293"/>
      <c r="B641" s="292"/>
      <c r="C641" s="292"/>
      <c r="D641" s="292"/>
      <c r="E641" s="292"/>
      <c r="F641" s="292"/>
      <c r="G641" s="253">
        <v>7</v>
      </c>
      <c r="H641" s="253"/>
      <c r="I641" s="253" t="s">
        <v>315</v>
      </c>
      <c r="J641" s="374"/>
      <c r="K641" s="934">
        <f>'[57]TARGET MURNI DAN PERUBAHAN'!$E$383</f>
        <v>0</v>
      </c>
      <c r="L641" s="969">
        <f>[62]PerDinas!$N$641</f>
        <v>0</v>
      </c>
      <c r="M641" s="934">
        <f>[55]Perdinas!$E$476</f>
        <v>0</v>
      </c>
      <c r="N641" s="934">
        <f t="shared" si="101"/>
        <v>0</v>
      </c>
      <c r="O641" s="934">
        <f t="shared" si="96"/>
        <v>0</v>
      </c>
      <c r="P641" s="978"/>
      <c r="Q641" s="448"/>
      <c r="R641" s="990"/>
    </row>
    <row r="642" spans="1:18" s="254" customFormat="1" ht="14.1" customHeight="1">
      <c r="A642" s="465"/>
      <c r="B642" s="296"/>
      <c r="C642" s="296"/>
      <c r="D642" s="296"/>
      <c r="E642" s="296"/>
      <c r="F642" s="296"/>
      <c r="G642" s="297">
        <v>8</v>
      </c>
      <c r="H642" s="297"/>
      <c r="I642" s="297" t="s">
        <v>316</v>
      </c>
      <c r="J642" s="679"/>
      <c r="K642" s="934">
        <f>'[57]TARGET MURNI DAN PERUBAHAN'!$E$384</f>
        <v>0</v>
      </c>
      <c r="L642" s="969">
        <f>[62]PerDinas!$N$642</f>
        <v>0</v>
      </c>
      <c r="M642" s="934">
        <f>[55]Perdinas!$E$477</f>
        <v>0</v>
      </c>
      <c r="N642" s="979">
        <f t="shared" si="101"/>
        <v>0</v>
      </c>
      <c r="O642" s="934">
        <f t="shared" si="96"/>
        <v>0</v>
      </c>
      <c r="P642" s="980"/>
      <c r="Q642" s="449"/>
      <c r="R642" s="990"/>
    </row>
    <row r="643" spans="1:18" s="254" customFormat="1" ht="14.1" customHeight="1">
      <c r="A643" s="293"/>
      <c r="B643" s="292"/>
      <c r="C643" s="292"/>
      <c r="D643" s="292"/>
      <c r="E643" s="292"/>
      <c r="F643" s="292"/>
      <c r="G643" s="253">
        <v>9</v>
      </c>
      <c r="H643" s="253"/>
      <c r="I643" s="253" t="s">
        <v>317</v>
      </c>
      <c r="J643" s="374"/>
      <c r="K643" s="934">
        <f>'[57]TARGET MURNI DAN PERUBAHAN'!$E$385</f>
        <v>0</v>
      </c>
      <c r="L643" s="969">
        <f>[62]PerDinas!$N$643</f>
        <v>0</v>
      </c>
      <c r="M643" s="934">
        <f>[55]Perdinas!$E$478</f>
        <v>0</v>
      </c>
      <c r="N643" s="934">
        <f t="shared" si="101"/>
        <v>0</v>
      </c>
      <c r="O643" s="934"/>
      <c r="P643" s="978"/>
      <c r="Q643" s="448"/>
      <c r="R643" s="990"/>
    </row>
    <row r="644" spans="1:18" s="254" customFormat="1" ht="14.1" customHeight="1">
      <c r="A644" s="293"/>
      <c r="B644" s="292"/>
      <c r="C644" s="292"/>
      <c r="D644" s="292"/>
      <c r="E644" s="292"/>
      <c r="F644" s="292"/>
      <c r="G644" s="253">
        <v>10</v>
      </c>
      <c r="H644" s="253"/>
      <c r="I644" s="253" t="s">
        <v>318</v>
      </c>
      <c r="J644" s="374"/>
      <c r="K644" s="934">
        <f>'[57]TARGET MURNI DAN PERUBAHAN'!$E$386</f>
        <v>0</v>
      </c>
      <c r="L644" s="969">
        <f>[62]PerDinas!$N$644</f>
        <v>0</v>
      </c>
      <c r="M644" s="934">
        <f>[55]Perdinas!$E$479</f>
        <v>0</v>
      </c>
      <c r="N644" s="934">
        <f t="shared" si="101"/>
        <v>0</v>
      </c>
      <c r="O644" s="934"/>
      <c r="P644" s="978"/>
      <c r="Q644" s="448"/>
      <c r="R644" s="990"/>
    </row>
    <row r="645" spans="1:18" s="254" customFormat="1" ht="14.1" customHeight="1">
      <c r="A645" s="303"/>
      <c r="B645" s="292">
        <v>4</v>
      </c>
      <c r="C645" s="292">
        <v>1</v>
      </c>
      <c r="D645" s="292">
        <v>4</v>
      </c>
      <c r="E645" s="292" t="s">
        <v>948</v>
      </c>
      <c r="F645" s="292"/>
      <c r="G645" s="291" t="s">
        <v>321</v>
      </c>
      <c r="H645" s="253"/>
      <c r="I645" s="253"/>
      <c r="J645" s="397">
        <f>J604+J647+J657+J670</f>
        <v>23926877800</v>
      </c>
      <c r="K645" s="398">
        <f>K647+K657+K670</f>
        <v>3123018400</v>
      </c>
      <c r="L645" s="981">
        <f>L647+L670</f>
        <v>2820071143</v>
      </c>
      <c r="M645" s="929">
        <f>M647+M657+M670</f>
        <v>0</v>
      </c>
      <c r="N645" s="929">
        <f>L645+M645</f>
        <v>2820071143</v>
      </c>
      <c r="O645" s="964">
        <f>N645-K645</f>
        <v>-302947257</v>
      </c>
      <c r="P645" s="931">
        <f t="shared" ref="P645:P656" si="102">N645/K645*100</f>
        <v>90.299536595749814</v>
      </c>
      <c r="Q645" s="448"/>
      <c r="R645" s="990"/>
    </row>
    <row r="646" spans="1:18" s="254" customFormat="1" ht="14.1" customHeight="1">
      <c r="A646" s="303"/>
      <c r="B646" s="292"/>
      <c r="C646" s="292"/>
      <c r="D646" s="292"/>
      <c r="E646" s="292"/>
      <c r="F646" s="292"/>
      <c r="G646" s="291"/>
      <c r="H646" s="253"/>
      <c r="I646" s="253"/>
      <c r="J646" s="397"/>
      <c r="K646" s="398"/>
      <c r="L646" s="981"/>
      <c r="M646" s="929"/>
      <c r="N646" s="929"/>
      <c r="O646" s="964"/>
      <c r="P646" s="931"/>
      <c r="Q646" s="448"/>
      <c r="R646" s="990"/>
    </row>
    <row r="647" spans="1:18" s="254" customFormat="1" ht="14.1" customHeight="1">
      <c r="A647" s="303"/>
      <c r="B647" s="292"/>
      <c r="C647" s="292"/>
      <c r="D647" s="292"/>
      <c r="E647" s="292"/>
      <c r="F647" s="292"/>
      <c r="G647" s="5843" t="s">
        <v>323</v>
      </c>
      <c r="H647" s="5869"/>
      <c r="I647" s="5869"/>
      <c r="J647" s="1004">
        <f>SUM(J648:J656)</f>
        <v>23926877800</v>
      </c>
      <c r="K647" s="1005">
        <f>SUM(K648:K656)</f>
        <v>3123018400</v>
      </c>
      <c r="L647" s="1006">
        <f>SUM(L648:L656)</f>
        <v>2820071143</v>
      </c>
      <c r="M647" s="1007">
        <f>SUM(M648:M656)</f>
        <v>0</v>
      </c>
      <c r="N647" s="1007">
        <f>SUM(N648:N656)</f>
        <v>2820071143</v>
      </c>
      <c r="O647" s="975">
        <f t="shared" ref="O647:O668" si="103">N647-K647</f>
        <v>-302947257</v>
      </c>
      <c r="P647" s="1008">
        <f t="shared" si="102"/>
        <v>90.299536595749814</v>
      </c>
      <c r="Q647" s="448"/>
      <c r="R647" s="990"/>
    </row>
    <row r="648" spans="1:18" s="254" customFormat="1" ht="14.1" customHeight="1">
      <c r="A648" s="303"/>
      <c r="B648" s="292"/>
      <c r="C648" s="292"/>
      <c r="D648" s="292"/>
      <c r="E648" s="292"/>
      <c r="F648" s="292"/>
      <c r="G648" s="842"/>
      <c r="H648" s="998" t="s">
        <v>50</v>
      </c>
      <c r="I648" s="253" t="s">
        <v>310</v>
      </c>
      <c r="J648" s="374">
        <v>3262174200</v>
      </c>
      <c r="K648" s="932">
        <f>'[57]TARGET MURNI DAN PERUBAHAN'!$E$393</f>
        <v>3123018400</v>
      </c>
      <c r="L648" s="1009">
        <f>[62]PerDinas!$N$648</f>
        <v>667260000</v>
      </c>
      <c r="M648" s="932">
        <f>[55]Perdinas!$E$486</f>
        <v>0</v>
      </c>
      <c r="N648" s="954">
        <f>M648+L648</f>
        <v>667260000</v>
      </c>
      <c r="O648" s="934">
        <f t="shared" si="103"/>
        <v>-2455758400</v>
      </c>
      <c r="P648" s="955">
        <f t="shared" si="102"/>
        <v>21.365868353513385</v>
      </c>
      <c r="Q648" s="448"/>
      <c r="R648" s="995"/>
    </row>
    <row r="649" spans="1:18" s="254" customFormat="1" ht="14.1" customHeight="1">
      <c r="A649" s="303"/>
      <c r="B649" s="292"/>
      <c r="C649" s="292"/>
      <c r="D649" s="292"/>
      <c r="E649" s="292"/>
      <c r="F649" s="292"/>
      <c r="G649" s="842" t="s">
        <v>700</v>
      </c>
      <c r="H649" s="998" t="s">
        <v>50</v>
      </c>
      <c r="I649" s="253" t="s">
        <v>311</v>
      </c>
      <c r="J649" s="374">
        <v>3744139500</v>
      </c>
      <c r="K649" s="932">
        <f>'[57]TARGET MURNI DAN PERUBAHAN'!$E$394</f>
        <v>0</v>
      </c>
      <c r="L649" s="1009">
        <f>[62]PerDinas!$N$649</f>
        <v>483120000</v>
      </c>
      <c r="M649" s="932">
        <f>[55]Perdinas!$E$487</f>
        <v>0</v>
      </c>
      <c r="N649" s="954">
        <f t="shared" ref="N649:N656" si="104">M649+L649</f>
        <v>483120000</v>
      </c>
      <c r="O649" s="934">
        <f t="shared" si="103"/>
        <v>483120000</v>
      </c>
      <c r="P649" s="955" t="e">
        <f t="shared" si="102"/>
        <v>#DIV/0!</v>
      </c>
      <c r="Q649" s="1020"/>
      <c r="R649" s="990"/>
    </row>
    <row r="650" spans="1:18" s="254" customFormat="1" ht="14.1" customHeight="1">
      <c r="A650" s="303"/>
      <c r="B650" s="292"/>
      <c r="C650" s="292"/>
      <c r="D650" s="292"/>
      <c r="E650" s="292"/>
      <c r="F650" s="292"/>
      <c r="G650" s="842"/>
      <c r="H650" s="998" t="s">
        <v>50</v>
      </c>
      <c r="I650" s="253" t="s">
        <v>312</v>
      </c>
      <c r="J650" s="374">
        <v>4579282945</v>
      </c>
      <c r="K650" s="932">
        <f>'[57]TARGET MURNI DAN PERUBAHAN'!$E$395</f>
        <v>0</v>
      </c>
      <c r="L650" s="1009">
        <f>[62]PerDinas!$N$650</f>
        <v>565317500</v>
      </c>
      <c r="M650" s="932">
        <f>[55]Perdinas!$E$488</f>
        <v>0</v>
      </c>
      <c r="N650" s="954">
        <f t="shared" si="104"/>
        <v>565317500</v>
      </c>
      <c r="O650" s="934">
        <f t="shared" si="103"/>
        <v>565317500</v>
      </c>
      <c r="P650" s="955" t="e">
        <f t="shared" si="102"/>
        <v>#DIV/0!</v>
      </c>
      <c r="Q650" s="1020"/>
      <c r="R650" s="990"/>
    </row>
    <row r="651" spans="1:18" s="254" customFormat="1" ht="14.1" customHeight="1">
      <c r="A651" s="303"/>
      <c r="B651" s="292"/>
      <c r="C651" s="292"/>
      <c r="D651" s="292"/>
      <c r="E651" s="292"/>
      <c r="F651" s="292"/>
      <c r="G651" s="842"/>
      <c r="H651" s="998" t="s">
        <v>50</v>
      </c>
      <c r="I651" s="253" t="s">
        <v>313</v>
      </c>
      <c r="J651" s="374">
        <v>2681813070</v>
      </c>
      <c r="K651" s="932">
        <f>'[57]TARGET MURNI DAN PERUBAHAN'!$E$396</f>
        <v>0</v>
      </c>
      <c r="L651" s="1009">
        <f>[62]PerDinas!$N$651</f>
        <v>219368600</v>
      </c>
      <c r="M651" s="932">
        <f>[55]Perdinas!$E$489</f>
        <v>0</v>
      </c>
      <c r="N651" s="954">
        <f t="shared" si="104"/>
        <v>219368600</v>
      </c>
      <c r="O651" s="934">
        <f t="shared" si="103"/>
        <v>219368600</v>
      </c>
      <c r="P651" s="955" t="e">
        <f t="shared" si="102"/>
        <v>#DIV/0!</v>
      </c>
      <c r="Q651" s="1020"/>
      <c r="R651" s="990"/>
    </row>
    <row r="652" spans="1:18" s="254" customFormat="1" ht="14.1" customHeight="1">
      <c r="A652" s="303"/>
      <c r="B652" s="292"/>
      <c r="C652" s="292"/>
      <c r="D652" s="292"/>
      <c r="E652" s="292"/>
      <c r="F652" s="292"/>
      <c r="G652" s="842"/>
      <c r="H652" s="998" t="s">
        <v>50</v>
      </c>
      <c r="I652" s="253" t="s">
        <v>314</v>
      </c>
      <c r="J652" s="374">
        <v>3172873200</v>
      </c>
      <c r="K652" s="932">
        <f>'[57]TARGET MURNI DAN PERUBAHAN'!$E$397</f>
        <v>0</v>
      </c>
      <c r="L652" s="1009">
        <f>[62]PerDinas!$N$652</f>
        <v>189007500</v>
      </c>
      <c r="M652" s="932">
        <f>[55]Perdinas!$E$490</f>
        <v>0</v>
      </c>
      <c r="N652" s="954">
        <f t="shared" si="104"/>
        <v>189007500</v>
      </c>
      <c r="O652" s="934">
        <f t="shared" si="103"/>
        <v>189007500</v>
      </c>
      <c r="P652" s="955" t="e">
        <f t="shared" si="102"/>
        <v>#DIV/0!</v>
      </c>
      <c r="Q652" s="1020"/>
      <c r="R652" s="990"/>
    </row>
    <row r="653" spans="1:18" s="254" customFormat="1" ht="14.1" customHeight="1">
      <c r="A653" s="303"/>
      <c r="B653" s="292"/>
      <c r="C653" s="292"/>
      <c r="D653" s="292"/>
      <c r="E653" s="292"/>
      <c r="F653" s="292"/>
      <c r="G653" s="842"/>
      <c r="H653" s="998" t="s">
        <v>50</v>
      </c>
      <c r="I653" s="253" t="s">
        <v>315</v>
      </c>
      <c r="J653" s="374">
        <v>934279200</v>
      </c>
      <c r="K653" s="932">
        <f>'[57]TARGET MURNI DAN PERUBAHAN'!$E$398</f>
        <v>0</v>
      </c>
      <c r="L653" s="1009">
        <f>[62]PerDinas!$N$653</f>
        <v>73205040</v>
      </c>
      <c r="M653" s="932">
        <f>[55]Perdinas!$E$491</f>
        <v>0</v>
      </c>
      <c r="N653" s="954">
        <f t="shared" si="104"/>
        <v>73205040</v>
      </c>
      <c r="O653" s="934">
        <f t="shared" si="103"/>
        <v>73205040</v>
      </c>
      <c r="P653" s="955" t="e">
        <f t="shared" si="102"/>
        <v>#DIV/0!</v>
      </c>
      <c r="Q653" s="1020"/>
      <c r="R653" s="990"/>
    </row>
    <row r="654" spans="1:18" s="254" customFormat="1" ht="14.1" customHeight="1">
      <c r="A654" s="303"/>
      <c r="B654" s="292"/>
      <c r="C654" s="292"/>
      <c r="D654" s="292"/>
      <c r="E654" s="292"/>
      <c r="F654" s="292"/>
      <c r="G654" s="842"/>
      <c r="H654" s="998" t="s">
        <v>50</v>
      </c>
      <c r="I654" s="253" t="s">
        <v>316</v>
      </c>
      <c r="J654" s="374">
        <v>4033153950</v>
      </c>
      <c r="K654" s="932">
        <f>'[57]TARGET MURNI DAN PERUBAHAN'!$E$399</f>
        <v>0</v>
      </c>
      <c r="L654" s="1009">
        <f>[62]PerDinas!$N$654</f>
        <v>549587500</v>
      </c>
      <c r="M654" s="932">
        <f>[55]Perdinas!$E$492</f>
        <v>0</v>
      </c>
      <c r="N654" s="954">
        <f t="shared" si="104"/>
        <v>549587500</v>
      </c>
      <c r="O654" s="934">
        <f t="shared" si="103"/>
        <v>549587500</v>
      </c>
      <c r="P654" s="955" t="e">
        <f t="shared" si="102"/>
        <v>#DIV/0!</v>
      </c>
      <c r="Q654" s="1020"/>
      <c r="R654" s="990"/>
    </row>
    <row r="655" spans="1:18" s="254" customFormat="1" ht="14.1" customHeight="1">
      <c r="A655" s="706"/>
      <c r="B655" s="287"/>
      <c r="C655" s="287"/>
      <c r="D655" s="287"/>
      <c r="E655" s="287"/>
      <c r="F655" s="287"/>
      <c r="G655" s="851"/>
      <c r="H655" s="999" t="s">
        <v>50</v>
      </c>
      <c r="I655" s="410" t="s">
        <v>317</v>
      </c>
      <c r="J655" s="708">
        <v>1080108600</v>
      </c>
      <c r="K655" s="932">
        <f>'[57]TARGET MURNI DAN PERUBAHAN'!$E$400</f>
        <v>0</v>
      </c>
      <c r="L655" s="1009">
        <f>[62]PerDinas!$N$655</f>
        <v>73205003</v>
      </c>
      <c r="M655" s="932">
        <f>[55]Perdinas!$E$493</f>
        <v>0</v>
      </c>
      <c r="N655" s="1010">
        <f t="shared" si="104"/>
        <v>73205003</v>
      </c>
      <c r="O655" s="970">
        <f t="shared" si="103"/>
        <v>73205003</v>
      </c>
      <c r="P655" s="971" t="e">
        <f t="shared" si="102"/>
        <v>#DIV/0!</v>
      </c>
      <c r="Q655" s="1021"/>
      <c r="R655" s="990"/>
    </row>
    <row r="656" spans="1:18" s="254" customFormat="1" ht="14.1" customHeight="1">
      <c r="A656" s="303"/>
      <c r="B656" s="292"/>
      <c r="C656" s="292"/>
      <c r="D656" s="292"/>
      <c r="E656" s="292"/>
      <c r="F656" s="292"/>
      <c r="G656" s="842"/>
      <c r="H656" s="998" t="s">
        <v>50</v>
      </c>
      <c r="I656" s="253" t="s">
        <v>318</v>
      </c>
      <c r="J656" s="374">
        <v>439053135</v>
      </c>
      <c r="K656" s="932">
        <f>'[57]TARGET MURNI DAN PERUBAHAN'!$E$401</f>
        <v>0</v>
      </c>
      <c r="L656" s="1009">
        <f>[62]PerDinas!$N$656</f>
        <v>0</v>
      </c>
      <c r="M656" s="932">
        <f>[55]Perdinas!$E$494</f>
        <v>0</v>
      </c>
      <c r="N656" s="934">
        <f t="shared" si="104"/>
        <v>0</v>
      </c>
      <c r="O656" s="934">
        <f t="shared" si="103"/>
        <v>0</v>
      </c>
      <c r="P656" s="955" t="e">
        <f t="shared" si="102"/>
        <v>#DIV/0!</v>
      </c>
      <c r="Q656" s="1022"/>
      <c r="R656" s="990"/>
    </row>
    <row r="657" spans="1:18" s="255" customFormat="1" ht="14.1" customHeight="1">
      <c r="A657" s="303"/>
      <c r="B657" s="290">
        <v>4</v>
      </c>
      <c r="C657" s="290">
        <v>1</v>
      </c>
      <c r="D657" s="290">
        <v>4</v>
      </c>
      <c r="E657" s="290" t="s">
        <v>948</v>
      </c>
      <c r="F657" s="290" t="s">
        <v>437</v>
      </c>
      <c r="G657" s="291" t="s">
        <v>1047</v>
      </c>
      <c r="H657" s="291"/>
      <c r="I657" s="291"/>
      <c r="J657" s="603">
        <v>0</v>
      </c>
      <c r="K657" s="604">
        <v>0</v>
      </c>
      <c r="L657" s="1009">
        <v>0</v>
      </c>
      <c r="M657" s="939"/>
      <c r="N657" s="939">
        <f>SUM(N658:N669)</f>
        <v>0</v>
      </c>
      <c r="O657" s="1011">
        <f t="shared" si="103"/>
        <v>0</v>
      </c>
      <c r="P657" s="1012"/>
      <c r="Q657" s="1023"/>
      <c r="R657" s="996"/>
    </row>
    <row r="658" spans="1:18" s="254" customFormat="1" ht="14.1" customHeight="1">
      <c r="A658" s="303"/>
      <c r="B658" s="292"/>
      <c r="C658" s="292"/>
      <c r="D658" s="292"/>
      <c r="E658" s="292"/>
      <c r="F658" s="292"/>
      <c r="G658" s="842" t="s">
        <v>50</v>
      </c>
      <c r="H658" s="842"/>
      <c r="I658" s="253" t="s">
        <v>1048</v>
      </c>
      <c r="J658" s="374"/>
      <c r="K658" s="375"/>
      <c r="L658" s="1009">
        <v>0</v>
      </c>
      <c r="M658" s="932">
        <v>0</v>
      </c>
      <c r="N658" s="934">
        <f t="shared" ref="N658:N670" si="105">M658+L658</f>
        <v>0</v>
      </c>
      <c r="O658" s="934">
        <f t="shared" si="103"/>
        <v>0</v>
      </c>
      <c r="P658" s="978"/>
      <c r="Q658" s="1021"/>
      <c r="R658" s="990"/>
    </row>
    <row r="659" spans="1:18" s="254" customFormat="1" ht="14.1" customHeight="1">
      <c r="A659" s="303"/>
      <c r="B659" s="292"/>
      <c r="C659" s="292"/>
      <c r="D659" s="292"/>
      <c r="E659" s="292"/>
      <c r="F659" s="292"/>
      <c r="G659" s="842" t="s">
        <v>50</v>
      </c>
      <c r="H659" s="842"/>
      <c r="I659" s="253" t="s">
        <v>1049</v>
      </c>
      <c r="J659" s="374"/>
      <c r="K659" s="375"/>
      <c r="L659" s="1009">
        <v>0</v>
      </c>
      <c r="M659" s="932">
        <v>0</v>
      </c>
      <c r="N659" s="934">
        <f t="shared" si="105"/>
        <v>0</v>
      </c>
      <c r="O659" s="934">
        <f t="shared" si="103"/>
        <v>0</v>
      </c>
      <c r="P659" s="978"/>
      <c r="Q659" s="1021"/>
      <c r="R659" s="990"/>
    </row>
    <row r="660" spans="1:18" s="254" customFormat="1" ht="14.1" customHeight="1">
      <c r="A660" s="303"/>
      <c r="B660" s="292"/>
      <c r="C660" s="292"/>
      <c r="D660" s="292"/>
      <c r="E660" s="292"/>
      <c r="F660" s="292"/>
      <c r="G660" s="842" t="s">
        <v>50</v>
      </c>
      <c r="H660" s="842"/>
      <c r="I660" s="253" t="s">
        <v>1050</v>
      </c>
      <c r="J660" s="374"/>
      <c r="K660" s="375"/>
      <c r="L660" s="1009">
        <v>0</v>
      </c>
      <c r="M660" s="932">
        <v>0</v>
      </c>
      <c r="N660" s="934">
        <f t="shared" si="105"/>
        <v>0</v>
      </c>
      <c r="O660" s="934">
        <f t="shared" si="103"/>
        <v>0</v>
      </c>
      <c r="P660" s="978"/>
      <c r="Q660" s="548"/>
      <c r="R660" s="990"/>
    </row>
    <row r="661" spans="1:18" s="254" customFormat="1" ht="14.1" customHeight="1">
      <c r="A661" s="303"/>
      <c r="B661" s="292"/>
      <c r="C661" s="292"/>
      <c r="D661" s="292"/>
      <c r="E661" s="292"/>
      <c r="F661" s="292"/>
      <c r="G661" s="842" t="s">
        <v>50</v>
      </c>
      <c r="H661" s="842"/>
      <c r="I661" s="253" t="s">
        <v>310</v>
      </c>
      <c r="J661" s="374"/>
      <c r="K661" s="375"/>
      <c r="L661" s="1009">
        <v>0</v>
      </c>
      <c r="M661" s="932">
        <v>0</v>
      </c>
      <c r="N661" s="934">
        <f t="shared" si="105"/>
        <v>0</v>
      </c>
      <c r="O661" s="934">
        <f t="shared" si="103"/>
        <v>0</v>
      </c>
      <c r="P661" s="955"/>
      <c r="Q661" s="548"/>
      <c r="R661" s="990"/>
    </row>
    <row r="662" spans="1:18" s="254" customFormat="1" ht="14.1" customHeight="1">
      <c r="A662" s="303"/>
      <c r="B662" s="292"/>
      <c r="C662" s="292"/>
      <c r="D662" s="292"/>
      <c r="E662" s="292"/>
      <c r="F662" s="292"/>
      <c r="G662" s="842" t="s">
        <v>50</v>
      </c>
      <c r="H662" s="842"/>
      <c r="I662" s="253" t="s">
        <v>311</v>
      </c>
      <c r="J662" s="374"/>
      <c r="K662" s="375"/>
      <c r="L662" s="1009">
        <v>0</v>
      </c>
      <c r="M662" s="932">
        <v>0</v>
      </c>
      <c r="N662" s="934">
        <f t="shared" si="105"/>
        <v>0</v>
      </c>
      <c r="O662" s="934">
        <f t="shared" si="103"/>
        <v>0</v>
      </c>
      <c r="P662" s="955"/>
      <c r="Q662" s="548"/>
      <c r="R662" s="990"/>
    </row>
    <row r="663" spans="1:18" s="254" customFormat="1" ht="14.1" customHeight="1">
      <c r="A663" s="303"/>
      <c r="B663" s="292"/>
      <c r="C663" s="292"/>
      <c r="D663" s="292"/>
      <c r="E663" s="292"/>
      <c r="F663" s="292"/>
      <c r="G663" s="842" t="s">
        <v>50</v>
      </c>
      <c r="H663" s="842"/>
      <c r="I663" s="253" t="s">
        <v>312</v>
      </c>
      <c r="J663" s="374"/>
      <c r="K663" s="375"/>
      <c r="L663" s="1009">
        <v>0</v>
      </c>
      <c r="M663" s="932">
        <v>0</v>
      </c>
      <c r="N663" s="934">
        <f t="shared" si="105"/>
        <v>0</v>
      </c>
      <c r="O663" s="934">
        <f t="shared" si="103"/>
        <v>0</v>
      </c>
      <c r="P663" s="955"/>
      <c r="Q663" s="548"/>
      <c r="R663" s="990"/>
    </row>
    <row r="664" spans="1:18" s="254" customFormat="1" ht="14.1" customHeight="1">
      <c r="A664" s="303"/>
      <c r="B664" s="292"/>
      <c r="C664" s="292"/>
      <c r="D664" s="292"/>
      <c r="E664" s="292"/>
      <c r="F664" s="292"/>
      <c r="G664" s="842" t="s">
        <v>50</v>
      </c>
      <c r="H664" s="842"/>
      <c r="I664" s="253" t="s">
        <v>313</v>
      </c>
      <c r="J664" s="374"/>
      <c r="K664" s="375"/>
      <c r="L664" s="1009">
        <v>0</v>
      </c>
      <c r="M664" s="932">
        <v>0</v>
      </c>
      <c r="N664" s="934">
        <f t="shared" si="105"/>
        <v>0</v>
      </c>
      <c r="O664" s="934">
        <f t="shared" si="103"/>
        <v>0</v>
      </c>
      <c r="P664" s="955"/>
      <c r="Q664" s="548"/>
      <c r="R664" s="990"/>
    </row>
    <row r="665" spans="1:18" s="254" customFormat="1" ht="14.1" customHeight="1">
      <c r="A665" s="303"/>
      <c r="B665" s="292"/>
      <c r="C665" s="292"/>
      <c r="D665" s="292"/>
      <c r="E665" s="292"/>
      <c r="F665" s="292"/>
      <c r="G665" s="842" t="s">
        <v>50</v>
      </c>
      <c r="H665" s="842"/>
      <c r="I665" s="253" t="s">
        <v>314</v>
      </c>
      <c r="J665" s="374"/>
      <c r="K665" s="375"/>
      <c r="L665" s="1009">
        <v>0</v>
      </c>
      <c r="M665" s="932">
        <v>0</v>
      </c>
      <c r="N665" s="934">
        <f t="shared" si="105"/>
        <v>0</v>
      </c>
      <c r="O665" s="934">
        <f t="shared" si="103"/>
        <v>0</v>
      </c>
      <c r="P665" s="955"/>
      <c r="Q665" s="548"/>
      <c r="R665" s="990"/>
    </row>
    <row r="666" spans="1:18" s="254" customFormat="1" ht="14.1" customHeight="1">
      <c r="A666" s="303"/>
      <c r="B666" s="292"/>
      <c r="C666" s="292"/>
      <c r="D666" s="292"/>
      <c r="E666" s="292"/>
      <c r="F666" s="292"/>
      <c r="G666" s="842" t="s">
        <v>50</v>
      </c>
      <c r="H666" s="842"/>
      <c r="I666" s="253" t="s">
        <v>315</v>
      </c>
      <c r="J666" s="374"/>
      <c r="K666" s="375"/>
      <c r="L666" s="1009">
        <v>0</v>
      </c>
      <c r="M666" s="932">
        <v>0</v>
      </c>
      <c r="N666" s="934">
        <f t="shared" si="105"/>
        <v>0</v>
      </c>
      <c r="O666" s="934">
        <f t="shared" si="103"/>
        <v>0</v>
      </c>
      <c r="P666" s="955"/>
      <c r="Q666" s="548"/>
      <c r="R666" s="990"/>
    </row>
    <row r="667" spans="1:18" s="254" customFormat="1" ht="14.1" customHeight="1">
      <c r="A667" s="303"/>
      <c r="B667" s="292"/>
      <c r="C667" s="292"/>
      <c r="D667" s="292"/>
      <c r="E667" s="292"/>
      <c r="F667" s="292"/>
      <c r="G667" s="842" t="s">
        <v>50</v>
      </c>
      <c r="H667" s="842"/>
      <c r="I667" s="253" t="s">
        <v>316</v>
      </c>
      <c r="J667" s="374"/>
      <c r="K667" s="375"/>
      <c r="L667" s="1009">
        <v>0</v>
      </c>
      <c r="M667" s="932">
        <v>0</v>
      </c>
      <c r="N667" s="934">
        <f t="shared" si="105"/>
        <v>0</v>
      </c>
      <c r="O667" s="934">
        <f t="shared" si="103"/>
        <v>0</v>
      </c>
      <c r="P667" s="955"/>
      <c r="Q667" s="548"/>
      <c r="R667" s="990"/>
    </row>
    <row r="668" spans="1:18" s="254" customFormat="1" ht="14.1" customHeight="1">
      <c r="A668" s="303"/>
      <c r="B668" s="292"/>
      <c r="C668" s="292"/>
      <c r="D668" s="292"/>
      <c r="E668" s="292"/>
      <c r="F668" s="292"/>
      <c r="G668" s="842" t="s">
        <v>50</v>
      </c>
      <c r="H668" s="842"/>
      <c r="I668" s="253" t="s">
        <v>317</v>
      </c>
      <c r="J668" s="374"/>
      <c r="K668" s="375"/>
      <c r="L668" s="1009">
        <v>0</v>
      </c>
      <c r="M668" s="932">
        <v>0</v>
      </c>
      <c r="N668" s="930">
        <f t="shared" si="105"/>
        <v>0</v>
      </c>
      <c r="O668" s="934">
        <f t="shared" si="103"/>
        <v>0</v>
      </c>
      <c r="P668" s="955"/>
      <c r="Q668" s="548"/>
      <c r="R668" s="990"/>
    </row>
    <row r="669" spans="1:18" s="254" customFormat="1" ht="14.1" customHeight="1">
      <c r="A669" s="293"/>
      <c r="B669" s="292"/>
      <c r="C669" s="292"/>
      <c r="D669" s="292"/>
      <c r="E669" s="292"/>
      <c r="F669" s="292"/>
      <c r="G669" s="842" t="s">
        <v>50</v>
      </c>
      <c r="H669" s="253"/>
      <c r="I669" s="253" t="s">
        <v>318</v>
      </c>
      <c r="J669" s="374"/>
      <c r="K669" s="375"/>
      <c r="L669" s="1009">
        <v>0</v>
      </c>
      <c r="M669" s="932">
        <v>0</v>
      </c>
      <c r="N669" s="934">
        <f t="shared" si="105"/>
        <v>0</v>
      </c>
      <c r="O669" s="932"/>
      <c r="P669" s="978"/>
      <c r="Q669" s="448"/>
      <c r="R669" s="990"/>
    </row>
    <row r="670" spans="1:18" s="254" customFormat="1" ht="14.1" customHeight="1">
      <c r="A670" s="303"/>
      <c r="B670" s="292"/>
      <c r="C670" s="292"/>
      <c r="D670" s="292"/>
      <c r="E670" s="292"/>
      <c r="F670" s="292"/>
      <c r="G670" s="5870" t="s">
        <v>76</v>
      </c>
      <c r="H670" s="5842"/>
      <c r="I670" s="5842"/>
      <c r="J670" s="397">
        <v>0</v>
      </c>
      <c r="K670" s="398">
        <v>0</v>
      </c>
      <c r="L670" s="981">
        <f>SUM(L671:L671)</f>
        <v>0</v>
      </c>
      <c r="M670" s="929">
        <f>SUM(M671:M671)</f>
        <v>0</v>
      </c>
      <c r="N670" s="929">
        <f t="shared" si="105"/>
        <v>0</v>
      </c>
      <c r="O670" s="930">
        <f>N670-K670</f>
        <v>0</v>
      </c>
      <c r="P670" s="955">
        <v>0</v>
      </c>
      <c r="Q670" s="448"/>
      <c r="R670" s="990"/>
    </row>
    <row r="671" spans="1:18" s="254" customFormat="1" ht="14.1" customHeight="1">
      <c r="A671" s="805"/>
      <c r="B671" s="305"/>
      <c r="C671" s="305"/>
      <c r="D671" s="305"/>
      <c r="E671" s="305"/>
      <c r="F671" s="305"/>
      <c r="G671" s="1000"/>
      <c r="H671" s="1001" t="s">
        <v>50</v>
      </c>
      <c r="I671" s="306" t="s">
        <v>632</v>
      </c>
      <c r="J671" s="499">
        <v>0</v>
      </c>
      <c r="K671" s="379">
        <v>0</v>
      </c>
      <c r="L671" s="1013">
        <v>0</v>
      </c>
      <c r="M671" s="1014">
        <v>0</v>
      </c>
      <c r="N671" s="1015">
        <v>0</v>
      </c>
      <c r="O671" s="1015">
        <v>0</v>
      </c>
      <c r="P671" s="1016">
        <v>0</v>
      </c>
      <c r="Q671" s="549"/>
      <c r="R671" s="990"/>
    </row>
    <row r="672" spans="1:18" s="245" customFormat="1" ht="14.1" customHeight="1">
      <c r="A672" s="1002"/>
      <c r="B672" s="469"/>
      <c r="C672" s="469"/>
      <c r="D672" s="469"/>
      <c r="E672" s="469"/>
      <c r="F672" s="469"/>
      <c r="J672" s="400"/>
      <c r="K672" s="711"/>
      <c r="L672" s="711"/>
      <c r="M672" s="711"/>
      <c r="N672" s="711"/>
      <c r="O672" s="711"/>
      <c r="P672" s="712"/>
      <c r="Q672" s="733"/>
      <c r="R672" s="450"/>
    </row>
    <row r="673" spans="1:19" s="244" customFormat="1" ht="12.05" customHeight="1">
      <c r="A673" s="283" t="s">
        <v>305</v>
      </c>
      <c r="B673" s="284" t="s">
        <v>58</v>
      </c>
      <c r="C673" s="284" t="s">
        <v>852</v>
      </c>
      <c r="D673" s="284" t="s">
        <v>437</v>
      </c>
      <c r="E673" s="284"/>
      <c r="F673" s="284"/>
      <c r="G673" s="298" t="s">
        <v>405</v>
      </c>
      <c r="H673" s="298"/>
      <c r="I673" s="298"/>
      <c r="J673" s="336">
        <f>+J675</f>
        <v>300000000</v>
      </c>
      <c r="K673" s="337">
        <f>+K675</f>
        <v>6838151500</v>
      </c>
      <c r="L673" s="337">
        <f>+L675</f>
        <v>4381244290</v>
      </c>
      <c r="M673" s="337">
        <f>+M675</f>
        <v>13724929</v>
      </c>
      <c r="N673" s="337">
        <f>M673+L673</f>
        <v>4394969219</v>
      </c>
      <c r="O673" s="337">
        <f>+N673-K673</f>
        <v>-2443182281</v>
      </c>
      <c r="P673" s="338">
        <f>+N673/K673*100</f>
        <v>64.27130517655246</v>
      </c>
      <c r="Q673" s="432"/>
      <c r="R673" s="433"/>
    </row>
    <row r="674" spans="1:19" s="189" customFormat="1" ht="12.05" customHeight="1">
      <c r="A674" s="471"/>
      <c r="B674" s="287"/>
      <c r="C674" s="287"/>
      <c r="D674" s="287"/>
      <c r="E674" s="287"/>
      <c r="F674" s="287"/>
      <c r="G674" s="288"/>
      <c r="H674" s="288"/>
      <c r="I674" s="288"/>
      <c r="J674" s="385"/>
      <c r="K674" s="386"/>
      <c r="L674" s="386"/>
      <c r="M674" s="386"/>
      <c r="N674" s="386"/>
      <c r="O674" s="386"/>
      <c r="P674" s="341"/>
      <c r="Q674" s="1024"/>
      <c r="R674" s="422"/>
    </row>
    <row r="675" spans="1:19" s="189" customFormat="1" ht="12.05" customHeight="1">
      <c r="A675" s="293"/>
      <c r="B675" s="290">
        <v>4</v>
      </c>
      <c r="C675" s="290">
        <v>1</v>
      </c>
      <c r="D675" s="290"/>
      <c r="E675" s="290"/>
      <c r="F675" s="290"/>
      <c r="G675" s="291" t="s">
        <v>180</v>
      </c>
      <c r="H675" s="291"/>
      <c r="I675" s="291"/>
      <c r="J675" s="342">
        <f>+J677+J683</f>
        <v>300000000</v>
      </c>
      <c r="K675" s="343">
        <f>+K677+K683</f>
        <v>6838151500</v>
      </c>
      <c r="L675" s="343">
        <f>+L677+L683</f>
        <v>4381244290</v>
      </c>
      <c r="M675" s="343">
        <f>+M677+M683</f>
        <v>13724929</v>
      </c>
      <c r="N675" s="343">
        <f>+M675+L675</f>
        <v>4394969219</v>
      </c>
      <c r="O675" s="343">
        <f t="shared" ref="O675:O681" si="106">N675-K675</f>
        <v>-2443182281</v>
      </c>
      <c r="P675" s="344">
        <f t="shared" ref="P675:P681" si="107">N675/K675*100</f>
        <v>64.27130517655246</v>
      </c>
      <c r="Q675" s="1025"/>
      <c r="R675" s="422"/>
    </row>
    <row r="676" spans="1:19" s="189" customFormat="1" ht="12.05" customHeight="1">
      <c r="A676" s="293"/>
      <c r="B676" s="292"/>
      <c r="C676" s="292"/>
      <c r="D676" s="292"/>
      <c r="E676" s="292"/>
      <c r="F676" s="292"/>
      <c r="G676" s="253"/>
      <c r="H676" s="253"/>
      <c r="I676" s="291"/>
      <c r="J676" s="345"/>
      <c r="K676" s="346"/>
      <c r="L676" s="660"/>
      <c r="M676" s="346"/>
      <c r="N676" s="346"/>
      <c r="O676" s="346"/>
      <c r="P676" s="347"/>
      <c r="Q676" s="1025"/>
      <c r="R676" s="422"/>
    </row>
    <row r="677" spans="1:19" s="189" customFormat="1" ht="12.05" customHeight="1">
      <c r="A677" s="293"/>
      <c r="B677" s="290">
        <v>4</v>
      </c>
      <c r="C677" s="290">
        <v>1</v>
      </c>
      <c r="D677" s="290">
        <v>2</v>
      </c>
      <c r="E677" s="290"/>
      <c r="F677" s="290"/>
      <c r="G677" s="291" t="s">
        <v>106</v>
      </c>
      <c r="H677" s="291"/>
      <c r="I677" s="291"/>
      <c r="J677" s="348">
        <f>+J679</f>
        <v>300000000</v>
      </c>
      <c r="K677" s="349">
        <f>+K679</f>
        <v>150000000</v>
      </c>
      <c r="L677" s="589">
        <f>+L679</f>
        <v>457180000</v>
      </c>
      <c r="M677" s="349">
        <f>+M679</f>
        <v>7000000</v>
      </c>
      <c r="N677" s="349">
        <f>+M677+L677</f>
        <v>464180000</v>
      </c>
      <c r="O677" s="349">
        <f t="shared" si="106"/>
        <v>314180000</v>
      </c>
      <c r="P677" s="350">
        <f t="shared" si="107"/>
        <v>309.45333333333332</v>
      </c>
      <c r="Q677" s="1025"/>
      <c r="R677" s="422"/>
    </row>
    <row r="678" spans="1:19" s="189" customFormat="1" ht="12.05" customHeight="1">
      <c r="A678" s="293"/>
      <c r="B678" s="292"/>
      <c r="C678" s="292"/>
      <c r="D678" s="292"/>
      <c r="E678" s="292"/>
      <c r="F678" s="292"/>
      <c r="G678" s="253"/>
      <c r="H678" s="253"/>
      <c r="I678" s="253"/>
      <c r="J678" s="354"/>
      <c r="K678" s="355"/>
      <c r="L678" s="360"/>
      <c r="M678" s="355"/>
      <c r="N678" s="355"/>
      <c r="O678" s="355"/>
      <c r="P678" s="388"/>
      <c r="Q678" s="1025"/>
      <c r="R678" s="422"/>
    </row>
    <row r="679" spans="1:19" s="189" customFormat="1" ht="12.05" customHeight="1">
      <c r="A679" s="293"/>
      <c r="B679" s="292">
        <v>4</v>
      </c>
      <c r="C679" s="292">
        <v>1</v>
      </c>
      <c r="D679" s="292">
        <v>2</v>
      </c>
      <c r="E679" s="292" t="s">
        <v>438</v>
      </c>
      <c r="F679" s="292"/>
      <c r="G679" s="253" t="s">
        <v>374</v>
      </c>
      <c r="H679" s="253"/>
      <c r="I679" s="253"/>
      <c r="J679" s="484">
        <f>+J680+J681</f>
        <v>300000000</v>
      </c>
      <c r="K679" s="485">
        <f>+K680+K681</f>
        <v>150000000</v>
      </c>
      <c r="L679" s="486">
        <f>+L680+L681</f>
        <v>457180000</v>
      </c>
      <c r="M679" s="485">
        <f>+M680+M681</f>
        <v>7000000</v>
      </c>
      <c r="N679" s="412">
        <f>+M679+L679</f>
        <v>464180000</v>
      </c>
      <c r="O679" s="412">
        <f t="shared" si="106"/>
        <v>314180000</v>
      </c>
      <c r="P679" s="487">
        <f t="shared" si="107"/>
        <v>309.45333333333332</v>
      </c>
      <c r="Q679" s="1025"/>
      <c r="R679" s="422"/>
    </row>
    <row r="680" spans="1:19" s="189" customFormat="1" ht="12.05" customHeight="1">
      <c r="A680" s="293"/>
      <c r="B680" s="292">
        <v>4</v>
      </c>
      <c r="C680" s="292">
        <v>1</v>
      </c>
      <c r="D680" s="292">
        <v>2</v>
      </c>
      <c r="E680" s="292" t="s">
        <v>438</v>
      </c>
      <c r="F680" s="292" t="s">
        <v>440</v>
      </c>
      <c r="G680" s="253" t="s">
        <v>304</v>
      </c>
      <c r="H680" s="253"/>
      <c r="I680" s="253"/>
      <c r="J680" s="351">
        <v>300000000</v>
      </c>
      <c r="K680" s="1017">
        <f>'[57]TARGET MURNI DAN PERUBAHAN'!$E$407</f>
        <v>70000000</v>
      </c>
      <c r="L680" s="362">
        <f>[62]PerDinas!$N$680</f>
        <v>318900000</v>
      </c>
      <c r="M680" s="1017">
        <f>[55]Perdinas!$E$500</f>
        <v>0</v>
      </c>
      <c r="N680" s="361">
        <f>M680+L680</f>
        <v>318900000</v>
      </c>
      <c r="O680" s="334">
        <f t="shared" si="106"/>
        <v>248900000</v>
      </c>
      <c r="P680" s="335">
        <f t="shared" si="107"/>
        <v>455.57142857142861</v>
      </c>
      <c r="Q680" s="1025"/>
      <c r="R680" s="422"/>
    </row>
    <row r="681" spans="1:19" s="189" customFormat="1" ht="12.05" customHeight="1">
      <c r="A681" s="289"/>
      <c r="B681" s="292">
        <v>4</v>
      </c>
      <c r="C681" s="292">
        <v>1</v>
      </c>
      <c r="D681" s="292">
        <v>2</v>
      </c>
      <c r="E681" s="292" t="s">
        <v>438</v>
      </c>
      <c r="F681" s="292" t="s">
        <v>437</v>
      </c>
      <c r="G681" s="1003" t="s">
        <v>64</v>
      </c>
      <c r="H681" s="253"/>
      <c r="I681" s="253"/>
      <c r="J681" s="351">
        <v>0</v>
      </c>
      <c r="K681" s="352">
        <f>'[57]TARGET MURNI DAN PERUBAHAN'!$E$408</f>
        <v>80000000</v>
      </c>
      <c r="L681" s="362">
        <f>[62]PerDinas!$N$681</f>
        <v>138280000</v>
      </c>
      <c r="M681" s="352">
        <f>[55]Perdinas!$E$501</f>
        <v>7000000</v>
      </c>
      <c r="N681" s="361">
        <f>M681+L681</f>
        <v>145280000</v>
      </c>
      <c r="O681" s="334">
        <f t="shared" si="106"/>
        <v>65280000</v>
      </c>
      <c r="P681" s="335">
        <f t="shared" si="107"/>
        <v>181.6</v>
      </c>
      <c r="Q681" s="1025"/>
      <c r="R681" s="422"/>
    </row>
    <row r="682" spans="1:19" s="189" customFormat="1" ht="12.05" customHeight="1">
      <c r="A682" s="293"/>
      <c r="B682" s="292"/>
      <c r="C682" s="292"/>
      <c r="D682" s="292"/>
      <c r="E682" s="292"/>
      <c r="F682" s="292"/>
      <c r="G682" s="253"/>
      <c r="H682" s="253"/>
      <c r="I682" s="253"/>
      <c r="J682" s="354"/>
      <c r="K682" s="355"/>
      <c r="L682" s="360"/>
      <c r="M682" s="355"/>
      <c r="N682" s="355"/>
      <c r="O682" s="355"/>
      <c r="P682" s="388"/>
      <c r="Q682" s="1025"/>
      <c r="R682" s="422"/>
    </row>
    <row r="683" spans="1:19" s="189" customFormat="1" ht="12.05" customHeight="1">
      <c r="A683" s="293"/>
      <c r="B683" s="290">
        <v>4</v>
      </c>
      <c r="C683" s="290">
        <v>1</v>
      </c>
      <c r="D683" s="290">
        <v>4</v>
      </c>
      <c r="E683" s="290"/>
      <c r="F683" s="290"/>
      <c r="G683" s="291" t="s">
        <v>71</v>
      </c>
      <c r="H683" s="291"/>
      <c r="I683" s="291"/>
      <c r="J683" s="392">
        <f>J684</f>
        <v>0</v>
      </c>
      <c r="K683" s="393">
        <f>K684+K689+K691+K685</f>
        <v>6688151500</v>
      </c>
      <c r="L683" s="393">
        <f>L684+L689+L691+L685</f>
        <v>3924064290</v>
      </c>
      <c r="M683" s="393">
        <f>M684+M689</f>
        <v>6724929</v>
      </c>
      <c r="N683" s="393">
        <f>M683+L683</f>
        <v>3930789219</v>
      </c>
      <c r="O683" s="349">
        <f>N683-K683</f>
        <v>-2757362281</v>
      </c>
      <c r="P683" s="350">
        <f>N683/K683*100</f>
        <v>58.772430902619355</v>
      </c>
      <c r="Q683" s="1025"/>
      <c r="R683" s="422"/>
    </row>
    <row r="684" spans="1:19" s="189" customFormat="1" ht="12.05" customHeight="1">
      <c r="A684" s="289"/>
      <c r="B684" s="292">
        <v>4</v>
      </c>
      <c r="C684" s="292">
        <v>1</v>
      </c>
      <c r="D684" s="292">
        <v>4</v>
      </c>
      <c r="E684" s="292" t="s">
        <v>444</v>
      </c>
      <c r="F684" s="292"/>
      <c r="G684" s="253" t="s">
        <v>222</v>
      </c>
      <c r="H684" s="253"/>
      <c r="I684" s="253"/>
      <c r="J684" s="484">
        <f>+J687</f>
        <v>0</v>
      </c>
      <c r="K684" s="485">
        <f>+K687</f>
        <v>0</v>
      </c>
      <c r="L684" s="485">
        <f>+L687</f>
        <v>0</v>
      </c>
      <c r="M684" s="485">
        <f>SUM(M685:M687)</f>
        <v>6724929</v>
      </c>
      <c r="N684" s="485">
        <f>SUM(N685:N687)</f>
        <v>6724929</v>
      </c>
      <c r="O684" s="412">
        <f>N684-K684</f>
        <v>6724929</v>
      </c>
      <c r="P684" s="478">
        <v>0</v>
      </c>
      <c r="Q684" s="1025"/>
      <c r="R684" s="555">
        <f>M673-[57]Perdinas!$P$458</f>
        <v>-966177802</v>
      </c>
      <c r="S684" s="189" t="s">
        <v>1074</v>
      </c>
    </row>
    <row r="685" spans="1:19" s="189" customFormat="1" ht="12.05" customHeight="1">
      <c r="A685" s="289"/>
      <c r="B685" s="292">
        <v>4</v>
      </c>
      <c r="C685" s="292">
        <v>1</v>
      </c>
      <c r="D685" s="292">
        <v>4</v>
      </c>
      <c r="E685" s="292" t="s">
        <v>441</v>
      </c>
      <c r="F685" s="292" t="s">
        <v>437</v>
      </c>
      <c r="G685" s="253" t="s">
        <v>710</v>
      </c>
      <c r="H685" s="253"/>
      <c r="I685" s="253"/>
      <c r="J685" s="354"/>
      <c r="K685" s="355"/>
      <c r="L685" s="360">
        <v>0</v>
      </c>
      <c r="M685" s="355">
        <f>[55]Perdinas!$E$505</f>
        <v>0</v>
      </c>
      <c r="N685" s="369">
        <f>M685+L685</f>
        <v>0</v>
      </c>
      <c r="O685" s="355">
        <f>N685-K685</f>
        <v>0</v>
      </c>
      <c r="P685" s="388"/>
      <c r="Q685" s="1025"/>
      <c r="R685" s="422"/>
    </row>
    <row r="686" spans="1:19" s="189" customFormat="1" ht="12.05" customHeight="1">
      <c r="A686" s="289"/>
      <c r="B686" s="292">
        <v>4</v>
      </c>
      <c r="C686" s="292">
        <v>1</v>
      </c>
      <c r="D686" s="292">
        <v>4</v>
      </c>
      <c r="E686" s="292" t="s">
        <v>444</v>
      </c>
      <c r="F686" s="292" t="s">
        <v>445</v>
      </c>
      <c r="G686" s="253" t="s">
        <v>74</v>
      </c>
      <c r="H686" s="253"/>
      <c r="I686" s="253"/>
      <c r="J686" s="354">
        <v>0</v>
      </c>
      <c r="K686" s="355">
        <v>0</v>
      </c>
      <c r="L686" s="360">
        <v>0</v>
      </c>
      <c r="M686" s="355">
        <f>[55]Perdinas!$E$506</f>
        <v>0</v>
      </c>
      <c r="N686" s="355">
        <f>M686+L686</f>
        <v>0</v>
      </c>
      <c r="O686" s="355">
        <f>N686-K686</f>
        <v>0</v>
      </c>
      <c r="P686" s="388"/>
      <c r="Q686" s="1025"/>
      <c r="R686" s="422"/>
    </row>
    <row r="687" spans="1:19" s="189" customFormat="1" ht="12.05" customHeight="1">
      <c r="A687" s="289"/>
      <c r="B687" s="292">
        <v>4</v>
      </c>
      <c r="C687" s="292">
        <v>1</v>
      </c>
      <c r="D687" s="292">
        <v>4</v>
      </c>
      <c r="E687" s="292" t="s">
        <v>444</v>
      </c>
      <c r="F687" s="292" t="s">
        <v>441</v>
      </c>
      <c r="G687" s="253" t="s">
        <v>75</v>
      </c>
      <c r="H687" s="253"/>
      <c r="I687" s="253"/>
      <c r="J687" s="354">
        <v>0</v>
      </c>
      <c r="K687" s="373">
        <f>'[57]TARGET MURNI DAN PERUBAHAN'!$E$413</f>
        <v>0</v>
      </c>
      <c r="L687" s="360">
        <f>[62]PerDinas!$N$687</f>
        <v>0</v>
      </c>
      <c r="M687" s="373">
        <f>[55]Perdinas!$E$507</f>
        <v>6724929</v>
      </c>
      <c r="N687" s="369">
        <f>M687+L687</f>
        <v>6724929</v>
      </c>
      <c r="O687" s="355">
        <f>N687-K687</f>
        <v>6724929</v>
      </c>
      <c r="P687" s="388"/>
      <c r="Q687" s="1025"/>
      <c r="R687" s="422"/>
    </row>
    <row r="688" spans="1:19" s="189" customFormat="1" ht="12.05" customHeight="1">
      <c r="A688" s="289"/>
      <c r="B688" s="292"/>
      <c r="C688" s="292"/>
      <c r="D688" s="292"/>
      <c r="E688" s="292"/>
      <c r="F688" s="292"/>
      <c r="G688" s="253"/>
      <c r="H688" s="253"/>
      <c r="I688" s="253"/>
      <c r="J688" s="354"/>
      <c r="K688" s="355"/>
      <c r="L688" s="360"/>
      <c r="M688" s="355"/>
      <c r="N688" s="355"/>
      <c r="O688" s="355"/>
      <c r="P688" s="388"/>
      <c r="Q688" s="1025"/>
      <c r="R688" s="422"/>
    </row>
    <row r="689" spans="1:19" s="189" customFormat="1" ht="12.05" customHeight="1">
      <c r="A689" s="293"/>
      <c r="B689" s="292">
        <v>4</v>
      </c>
      <c r="C689" s="292">
        <v>1</v>
      </c>
      <c r="D689" s="292">
        <v>4</v>
      </c>
      <c r="E689" s="292" t="s">
        <v>948</v>
      </c>
      <c r="F689" s="292"/>
      <c r="G689" s="410" t="s">
        <v>321</v>
      </c>
      <c r="H689" s="410"/>
      <c r="I689" s="410"/>
      <c r="J689" s="489">
        <f>+J690</f>
        <v>0</v>
      </c>
      <c r="K689" s="512">
        <f>K690</f>
        <v>0</v>
      </c>
      <c r="L689" s="512">
        <f>L690</f>
        <v>0</v>
      </c>
      <c r="M689" s="512">
        <f>+M690</f>
        <v>0</v>
      </c>
      <c r="N689" s="1018">
        <f>+M689+L689</f>
        <v>0</v>
      </c>
      <c r="O689" s="412">
        <f>N689-K689</f>
        <v>0</v>
      </c>
      <c r="P689" s="487">
        <v>0</v>
      </c>
      <c r="Q689" s="1025"/>
      <c r="R689" s="422"/>
    </row>
    <row r="690" spans="1:19" s="189" customFormat="1" ht="12.05" customHeight="1">
      <c r="A690" s="293"/>
      <c r="B690" s="292">
        <v>4</v>
      </c>
      <c r="C690" s="292">
        <v>1</v>
      </c>
      <c r="D690" s="292">
        <v>4</v>
      </c>
      <c r="E690" s="292" t="s">
        <v>948</v>
      </c>
      <c r="F690" s="292" t="s">
        <v>437</v>
      </c>
      <c r="G690" s="2760" t="s">
        <v>50</v>
      </c>
      <c r="H690" s="253" t="s">
        <v>631</v>
      </c>
      <c r="I690" s="253"/>
      <c r="J690" s="494">
        <f>+J691</f>
        <v>0</v>
      </c>
      <c r="K690" s="495">
        <v>0</v>
      </c>
      <c r="L690" s="689">
        <v>0</v>
      </c>
      <c r="M690" s="496">
        <f>+M691</f>
        <v>0</v>
      </c>
      <c r="N690" s="523">
        <f>M690+L690</f>
        <v>0</v>
      </c>
      <c r="O690" s="497">
        <f>N690-K690</f>
        <v>0</v>
      </c>
      <c r="P690" s="498">
        <v>0</v>
      </c>
      <c r="Q690" s="1025"/>
      <c r="R690" s="422"/>
    </row>
    <row r="691" spans="1:19" s="189" customFormat="1" ht="12.05" customHeight="1">
      <c r="A691" s="293"/>
      <c r="B691" s="292"/>
      <c r="C691" s="292"/>
      <c r="D691" s="292"/>
      <c r="E691" s="292"/>
      <c r="F691" s="292"/>
      <c r="G691" s="253" t="s">
        <v>50</v>
      </c>
      <c r="H691" s="253" t="s">
        <v>998</v>
      </c>
      <c r="I691" s="253"/>
      <c r="J691" s="374">
        <v>0</v>
      </c>
      <c r="K691" s="1019">
        <f>'[57]TARGET MURNI DAN PERUBAHAN'!$E$414</f>
        <v>6688151500</v>
      </c>
      <c r="L691" s="377">
        <f>[62]PerDinas!$N$691</f>
        <v>3924064290</v>
      </c>
      <c r="M691" s="1019">
        <f>[55]Perdinas!$E$509</f>
        <v>0</v>
      </c>
      <c r="N691" s="369">
        <f>M691+L691</f>
        <v>3924064290</v>
      </c>
      <c r="O691" s="355">
        <f>N691-K691</f>
        <v>-2764087210</v>
      </c>
      <c r="P691" s="388">
        <v>0</v>
      </c>
      <c r="Q691" s="1025"/>
      <c r="R691" s="422"/>
    </row>
    <row r="692" spans="1:19" s="245" customFormat="1" ht="12.05" customHeight="1">
      <c r="A692" s="472"/>
      <c r="B692" s="305"/>
      <c r="C692" s="305"/>
      <c r="D692" s="305"/>
      <c r="E692" s="305"/>
      <c r="F692" s="305"/>
      <c r="G692" s="306"/>
      <c r="H692" s="306"/>
      <c r="I692" s="306"/>
      <c r="J692" s="499"/>
      <c r="K692" s="379"/>
      <c r="L692" s="379"/>
      <c r="M692" s="379"/>
      <c r="N692" s="380"/>
      <c r="O692" s="380"/>
      <c r="P692" s="501"/>
      <c r="Q692" s="1026"/>
      <c r="R692" s="450"/>
    </row>
    <row r="693" spans="1:19" s="244" customFormat="1" ht="12.05" customHeight="1">
      <c r="A693" s="283" t="s">
        <v>325</v>
      </c>
      <c r="B693" s="284" t="s">
        <v>460</v>
      </c>
      <c r="C693" s="284" t="s">
        <v>437</v>
      </c>
      <c r="D693" s="284" t="s">
        <v>445</v>
      </c>
      <c r="E693" s="284"/>
      <c r="F693" s="284"/>
      <c r="G693" s="298" t="s">
        <v>850</v>
      </c>
      <c r="H693" s="298"/>
      <c r="I693" s="298"/>
      <c r="J693" s="336">
        <f>+J695</f>
        <v>33900000</v>
      </c>
      <c r="K693" s="337">
        <f>+K695</f>
        <v>224176362</v>
      </c>
      <c r="L693" s="337">
        <f>+L695</f>
        <v>8937464</v>
      </c>
      <c r="M693" s="337">
        <f>+M695</f>
        <v>0</v>
      </c>
      <c r="N693" s="337">
        <f>M693+L693</f>
        <v>8937464</v>
      </c>
      <c r="O693" s="337">
        <f>+N693-K693</f>
        <v>-215238898</v>
      </c>
      <c r="P693" s="338">
        <f>+N693/K693*100</f>
        <v>3.9868003567655359</v>
      </c>
      <c r="Q693" s="432"/>
      <c r="R693" s="639"/>
      <c r="S693" s="434">
        <v>8937464</v>
      </c>
    </row>
    <row r="694" spans="1:19" s="189" customFormat="1" ht="12.05" customHeight="1">
      <c r="A694" s="471"/>
      <c r="B694" s="287"/>
      <c r="C694" s="287"/>
      <c r="D694" s="287"/>
      <c r="E694" s="287"/>
      <c r="F694" s="287"/>
      <c r="G694" s="288"/>
      <c r="H694" s="288"/>
      <c r="I694" s="288"/>
      <c r="J694" s="385"/>
      <c r="K694" s="386"/>
      <c r="L694" s="386"/>
      <c r="M694" s="386"/>
      <c r="N694" s="386"/>
      <c r="O694" s="386"/>
      <c r="P694" s="341"/>
      <c r="Q694" s="841"/>
      <c r="R694" s="422"/>
      <c r="S694" s="786">
        <f>S693-N693</f>
        <v>0</v>
      </c>
    </row>
    <row r="695" spans="1:19" s="189" customFormat="1" ht="12.05" customHeight="1">
      <c r="A695" s="293"/>
      <c r="B695" s="290">
        <v>4</v>
      </c>
      <c r="C695" s="290">
        <v>1</v>
      </c>
      <c r="D695" s="290"/>
      <c r="E695" s="290"/>
      <c r="F695" s="290"/>
      <c r="G695" s="291" t="s">
        <v>180</v>
      </c>
      <c r="H695" s="291"/>
      <c r="I695" s="291"/>
      <c r="J695" s="342">
        <f>+J698</f>
        <v>33900000</v>
      </c>
      <c r="K695" s="343">
        <f>+K698</f>
        <v>224176362</v>
      </c>
      <c r="L695" s="343">
        <f>+L698</f>
        <v>8937464</v>
      </c>
      <c r="M695" s="343">
        <f>+M698</f>
        <v>0</v>
      </c>
      <c r="N695" s="343">
        <f>+M695+L695</f>
        <v>8937464</v>
      </c>
      <c r="O695" s="343">
        <f t="shared" ref="O695:O702" si="108">N695-K695</f>
        <v>-215238898</v>
      </c>
      <c r="P695" s="344">
        <f>N695/K695*100</f>
        <v>3.9868003567655359</v>
      </c>
      <c r="Q695" s="437"/>
      <c r="R695" s="422"/>
      <c r="S695" s="786"/>
    </row>
    <row r="696" spans="1:19" s="189" customFormat="1" ht="12.05" customHeight="1">
      <c r="A696" s="293"/>
      <c r="B696" s="292"/>
      <c r="C696" s="292"/>
      <c r="D696" s="292"/>
      <c r="E696" s="292"/>
      <c r="F696" s="292"/>
      <c r="G696" s="253"/>
      <c r="H696" s="253"/>
      <c r="I696" s="291"/>
      <c r="J696" s="387"/>
      <c r="K696" s="367"/>
      <c r="L696" s="367"/>
      <c r="M696" s="367"/>
      <c r="N696" s="367"/>
      <c r="O696" s="367"/>
      <c r="P696" s="347"/>
      <c r="Q696" s="454"/>
      <c r="R696" s="422"/>
      <c r="S696" s="786"/>
    </row>
    <row r="697" spans="1:19" s="189" customFormat="1" ht="12.05" customHeight="1">
      <c r="A697" s="293"/>
      <c r="B697" s="292"/>
      <c r="C697" s="292"/>
      <c r="D697" s="292"/>
      <c r="E697" s="292"/>
      <c r="F697" s="292"/>
      <c r="G697" s="253"/>
      <c r="H697" s="253"/>
      <c r="I697" s="253"/>
      <c r="J697" s="354"/>
      <c r="K697" s="355"/>
      <c r="L697" s="355"/>
      <c r="M697" s="355"/>
      <c r="N697" s="355"/>
      <c r="O697" s="355"/>
      <c r="P697" s="388"/>
      <c r="Q697" s="441"/>
      <c r="R697" s="422"/>
    </row>
    <row r="698" spans="1:19" s="189" customFormat="1" ht="12.05" customHeight="1">
      <c r="A698" s="465"/>
      <c r="B698" s="466">
        <v>4</v>
      </c>
      <c r="C698" s="466">
        <v>1</v>
      </c>
      <c r="D698" s="466">
        <v>4</v>
      </c>
      <c r="E698" s="466"/>
      <c r="F698" s="466"/>
      <c r="G698" s="467" t="s">
        <v>71</v>
      </c>
      <c r="H698" s="467"/>
      <c r="I698" s="467"/>
      <c r="J698" s="329">
        <f>+J699+J704</f>
        <v>33900000</v>
      </c>
      <c r="K698" s="330">
        <f>+K699+K704</f>
        <v>224176362</v>
      </c>
      <c r="L698" s="330">
        <f>L699+L704</f>
        <v>8937464</v>
      </c>
      <c r="M698" s="330">
        <f>M699+M704</f>
        <v>0</v>
      </c>
      <c r="N698" s="330">
        <f>N699+N704</f>
        <v>8937464</v>
      </c>
      <c r="O698" s="343">
        <f t="shared" si="108"/>
        <v>-215238898</v>
      </c>
      <c r="P698" s="344">
        <f>N698/K698*100</f>
        <v>3.9868003567655359</v>
      </c>
      <c r="Q698" s="445"/>
      <c r="R698" s="422"/>
    </row>
    <row r="699" spans="1:19" s="189" customFormat="1" ht="12.05" customHeight="1">
      <c r="A699" s="564"/>
      <c r="B699" s="565">
        <v>4</v>
      </c>
      <c r="C699" s="565">
        <v>1</v>
      </c>
      <c r="D699" s="565">
        <v>4</v>
      </c>
      <c r="E699" s="565" t="s">
        <v>444</v>
      </c>
      <c r="F699" s="565"/>
      <c r="G699" s="566" t="s">
        <v>222</v>
      </c>
      <c r="H699" s="566"/>
      <c r="I699" s="566"/>
      <c r="J699" s="484">
        <f>+J702</f>
        <v>0</v>
      </c>
      <c r="K699" s="485">
        <f>+K702</f>
        <v>0</v>
      </c>
      <c r="L699" s="485">
        <f>SUM(L700:L702)</f>
        <v>8137464</v>
      </c>
      <c r="M699" s="485">
        <f>SUM(M700:M702)</f>
        <v>0</v>
      </c>
      <c r="N699" s="485">
        <f>SUM(N700:N702)</f>
        <v>8137464</v>
      </c>
      <c r="O699" s="412">
        <f t="shared" si="108"/>
        <v>8137464</v>
      </c>
      <c r="P699" s="487">
        <v>0</v>
      </c>
      <c r="Q699" s="541"/>
      <c r="R699" s="422"/>
    </row>
    <row r="700" spans="1:19" s="189" customFormat="1" ht="12.05" customHeight="1">
      <c r="A700" s="286"/>
      <c r="B700" s="287">
        <v>4</v>
      </c>
      <c r="C700" s="287">
        <v>1</v>
      </c>
      <c r="D700" s="287">
        <v>4</v>
      </c>
      <c r="E700" s="287" t="s">
        <v>444</v>
      </c>
      <c r="F700" s="287" t="s">
        <v>440</v>
      </c>
      <c r="G700" s="410" t="s">
        <v>73</v>
      </c>
      <c r="H700" s="410"/>
      <c r="I700" s="410"/>
      <c r="J700" s="389">
        <v>0</v>
      </c>
      <c r="K700" s="357">
        <v>0</v>
      </c>
      <c r="L700" s="357">
        <v>0</v>
      </c>
      <c r="M700" s="357">
        <f>[55]Perdinas!$E$514</f>
        <v>0</v>
      </c>
      <c r="N700" s="357">
        <f>M700+L700</f>
        <v>0</v>
      </c>
      <c r="O700" s="357">
        <f t="shared" si="108"/>
        <v>0</v>
      </c>
      <c r="P700" s="358"/>
      <c r="Q700" s="442"/>
      <c r="R700" s="422"/>
    </row>
    <row r="701" spans="1:19" s="189" customFormat="1" ht="12.05" customHeight="1">
      <c r="A701" s="289"/>
      <c r="B701" s="292">
        <v>4</v>
      </c>
      <c r="C701" s="292">
        <v>1</v>
      </c>
      <c r="D701" s="292">
        <v>4</v>
      </c>
      <c r="E701" s="292" t="s">
        <v>444</v>
      </c>
      <c r="F701" s="292" t="s">
        <v>445</v>
      </c>
      <c r="G701" s="253" t="s">
        <v>74</v>
      </c>
      <c r="H701" s="253"/>
      <c r="I701" s="253"/>
      <c r="J701" s="354">
        <v>0</v>
      </c>
      <c r="K701" s="355">
        <v>0</v>
      </c>
      <c r="L701" s="355">
        <v>0</v>
      </c>
      <c r="M701" s="355">
        <f>[55]Perdinas!$E$515</f>
        <v>0</v>
      </c>
      <c r="N701" s="355">
        <f>M701+L701</f>
        <v>0</v>
      </c>
      <c r="O701" s="355">
        <f t="shared" si="108"/>
        <v>0</v>
      </c>
      <c r="P701" s="388"/>
      <c r="Q701" s="441"/>
      <c r="R701" s="422"/>
    </row>
    <row r="702" spans="1:19" s="189" customFormat="1" ht="12.05" customHeight="1">
      <c r="A702" s="289"/>
      <c r="B702" s="292">
        <v>4</v>
      </c>
      <c r="C702" s="292">
        <v>1</v>
      </c>
      <c r="D702" s="292">
        <v>4</v>
      </c>
      <c r="E702" s="292" t="s">
        <v>444</v>
      </c>
      <c r="F702" s="292" t="s">
        <v>441</v>
      </c>
      <c r="G702" s="253" t="s">
        <v>75</v>
      </c>
      <c r="H702" s="253"/>
      <c r="I702" s="253"/>
      <c r="J702" s="354">
        <v>0</v>
      </c>
      <c r="K702" s="355">
        <f>'[57]TARGET MURNI DAN PERUBAHAN'!$E$420</f>
        <v>0</v>
      </c>
      <c r="L702" s="355">
        <f>[62]PerDinas!$N$702</f>
        <v>8137464</v>
      </c>
      <c r="M702" s="355">
        <f>[55]Perdinas!$E$516</f>
        <v>0</v>
      </c>
      <c r="N702" s="369">
        <f>M702+L702</f>
        <v>8137464</v>
      </c>
      <c r="O702" s="355">
        <f t="shared" si="108"/>
        <v>8137464</v>
      </c>
      <c r="P702" s="388"/>
      <c r="Q702" s="441"/>
      <c r="R702" s="422"/>
    </row>
    <row r="703" spans="1:19" s="189" customFormat="1" ht="12.05" customHeight="1">
      <c r="A703" s="289"/>
      <c r="B703" s="292"/>
      <c r="C703" s="292"/>
      <c r="D703" s="292"/>
      <c r="E703" s="292"/>
      <c r="F703" s="292"/>
      <c r="G703" s="253"/>
      <c r="H703" s="253"/>
      <c r="I703" s="253"/>
      <c r="J703" s="354"/>
      <c r="K703" s="355"/>
      <c r="L703" s="355"/>
      <c r="M703" s="355"/>
      <c r="N703" s="355"/>
      <c r="O703" s="355"/>
      <c r="P703" s="388"/>
      <c r="Q703" s="441"/>
      <c r="R703" s="422"/>
    </row>
    <row r="704" spans="1:19" s="189" customFormat="1" ht="12.05" customHeight="1">
      <c r="A704" s="293"/>
      <c r="B704" s="292">
        <v>4</v>
      </c>
      <c r="C704" s="292">
        <v>1</v>
      </c>
      <c r="D704" s="292">
        <v>4</v>
      </c>
      <c r="E704" s="292" t="s">
        <v>948</v>
      </c>
      <c r="F704" s="292"/>
      <c r="G704" s="410" t="s">
        <v>321</v>
      </c>
      <c r="H704" s="410"/>
      <c r="I704" s="410"/>
      <c r="J704" s="494">
        <f>+J705</f>
        <v>33900000</v>
      </c>
      <c r="K704" s="495">
        <f>+K705</f>
        <v>224176362</v>
      </c>
      <c r="L704" s="495">
        <f>+L705</f>
        <v>800000</v>
      </c>
      <c r="M704" s="495">
        <f>+M705</f>
        <v>0</v>
      </c>
      <c r="N704" s="396">
        <f>+M704+L704</f>
        <v>800000</v>
      </c>
      <c r="O704" s="396">
        <f>N704-K704</f>
        <v>-223376362</v>
      </c>
      <c r="P704" s="344">
        <f>N704/K704*100</f>
        <v>0.35686188894438386</v>
      </c>
      <c r="Q704" s="548"/>
      <c r="R704" s="422"/>
    </row>
    <row r="705" spans="1:18" s="189" customFormat="1" ht="12.05" customHeight="1">
      <c r="A705" s="293"/>
      <c r="B705" s="292">
        <v>4</v>
      </c>
      <c r="C705" s="292">
        <v>1</v>
      </c>
      <c r="D705" s="292">
        <v>4</v>
      </c>
      <c r="E705" s="292" t="s">
        <v>948</v>
      </c>
      <c r="F705" s="292" t="s">
        <v>437</v>
      </c>
      <c r="G705" s="253" t="s">
        <v>85</v>
      </c>
      <c r="H705" s="253"/>
      <c r="I705" s="253"/>
      <c r="J705" s="680">
        <f>J706+J707</f>
        <v>33900000</v>
      </c>
      <c r="K705" s="681">
        <f>K706+K707</f>
        <v>224176362</v>
      </c>
      <c r="L705" s="682">
        <f>L706+L707</f>
        <v>800000</v>
      </c>
      <c r="M705" s="681">
        <f>M706+M707</f>
        <v>0</v>
      </c>
      <c r="N705" s="681">
        <f>M705+L705</f>
        <v>800000</v>
      </c>
      <c r="O705" s="527">
        <f>N705-K705</f>
        <v>-223376362</v>
      </c>
      <c r="P705" s="405">
        <f>N705/K705*100</f>
        <v>0.35686188894438386</v>
      </c>
      <c r="Q705" s="698"/>
      <c r="R705" s="422"/>
    </row>
    <row r="706" spans="1:18" s="189" customFormat="1" ht="12.05" customHeight="1">
      <c r="A706" s="293"/>
      <c r="B706" s="292"/>
      <c r="C706" s="292"/>
      <c r="D706" s="292"/>
      <c r="E706" s="292"/>
      <c r="F706" s="292"/>
      <c r="G706" s="253" t="s">
        <v>50</v>
      </c>
      <c r="H706" s="253"/>
      <c r="I706" s="253" t="s">
        <v>999</v>
      </c>
      <c r="J706" s="708">
        <v>14000000</v>
      </c>
      <c r="K706" s="722">
        <f>'[57]TARGET MURNI DAN PERUBAHAN'!$E$421</f>
        <v>220076362</v>
      </c>
      <c r="L706" s="710">
        <f>[62]PerDinas!$N$706</f>
        <v>0</v>
      </c>
      <c r="M706" s="722">
        <f>[55]Perdinas!$E$517</f>
        <v>0</v>
      </c>
      <c r="N706" s="357">
        <f>M706+L706</f>
        <v>0</v>
      </c>
      <c r="O706" s="357">
        <f>N706-K706</f>
        <v>-220076362</v>
      </c>
      <c r="P706" s="344">
        <f>N706/K706*100</f>
        <v>0</v>
      </c>
      <c r="Q706" s="732"/>
      <c r="R706" s="422"/>
    </row>
    <row r="707" spans="1:18" s="189" customFormat="1" ht="12.05" customHeight="1">
      <c r="A707" s="293"/>
      <c r="B707" s="292"/>
      <c r="C707" s="292"/>
      <c r="D707" s="292"/>
      <c r="E707" s="292"/>
      <c r="F707" s="292"/>
      <c r="G707" s="253" t="s">
        <v>50</v>
      </c>
      <c r="H707" s="253"/>
      <c r="I707" s="253" t="s">
        <v>85</v>
      </c>
      <c r="J707" s="494">
        <v>19900000</v>
      </c>
      <c r="K707" s="495">
        <f>'[57]TARGET MURNI DAN PERUBAHAN'!$E$422</f>
        <v>4100000</v>
      </c>
      <c r="L707" s="710">
        <f>[62]PerDinas!$N$707</f>
        <v>800000</v>
      </c>
      <c r="M707" s="495">
        <f>[55]Perdinas!$E$518</f>
        <v>0</v>
      </c>
      <c r="N707" s="415">
        <f>M707+L707</f>
        <v>800000</v>
      </c>
      <c r="O707" s="357">
        <f>N707-K707</f>
        <v>-3300000</v>
      </c>
      <c r="P707" s="344">
        <f>N707/K707*100</f>
        <v>19.512195121951219</v>
      </c>
      <c r="Q707" s="732"/>
      <c r="R707" s="554"/>
    </row>
    <row r="708" spans="1:18" s="245" customFormat="1" ht="12.05" customHeight="1">
      <c r="A708" s="472"/>
      <c r="B708" s="305"/>
      <c r="C708" s="305"/>
      <c r="D708" s="305"/>
      <c r="E708" s="305"/>
      <c r="F708" s="305"/>
      <c r="G708" s="306"/>
      <c r="H708" s="306"/>
      <c r="I708" s="306"/>
      <c r="J708" s="536"/>
      <c r="K708" s="380"/>
      <c r="L708" s="380"/>
      <c r="M708" s="380"/>
      <c r="N708" s="380"/>
      <c r="O708" s="380"/>
      <c r="P708" s="501"/>
      <c r="Q708" s="560"/>
      <c r="R708" s="450"/>
    </row>
    <row r="709" spans="1:18" s="244" customFormat="1" ht="12.05" customHeight="1">
      <c r="A709" s="283" t="s">
        <v>333</v>
      </c>
      <c r="B709" s="284" t="s">
        <v>58</v>
      </c>
      <c r="C709" s="284" t="s">
        <v>437</v>
      </c>
      <c r="D709" s="284" t="s">
        <v>438</v>
      </c>
      <c r="E709" s="284"/>
      <c r="F709" s="284"/>
      <c r="G709" s="298" t="s">
        <v>853</v>
      </c>
      <c r="H709" s="298"/>
      <c r="I709" s="298"/>
      <c r="J709" s="336">
        <f>+J711</f>
        <v>100000000</v>
      </c>
      <c r="K709" s="337">
        <f>+K711</f>
        <v>54165800</v>
      </c>
      <c r="L709" s="337">
        <f>+L711</f>
        <v>25822515</v>
      </c>
      <c r="M709" s="337">
        <f>+M711</f>
        <v>210000</v>
      </c>
      <c r="N709" s="337">
        <f>M709+L709</f>
        <v>26032515</v>
      </c>
      <c r="O709" s="337">
        <f>+N709-K709</f>
        <v>-28133285</v>
      </c>
      <c r="P709" s="338">
        <f>+N709/K709*100</f>
        <v>48.060796665054333</v>
      </c>
      <c r="Q709" s="432"/>
      <c r="R709" s="639"/>
    </row>
    <row r="710" spans="1:18" s="189" customFormat="1" ht="12.05" customHeight="1">
      <c r="A710" s="286"/>
      <c r="B710" s="287"/>
      <c r="C710" s="287"/>
      <c r="D710" s="287"/>
      <c r="E710" s="287"/>
      <c r="F710" s="287"/>
      <c r="G710" s="288"/>
      <c r="H710" s="288"/>
      <c r="I710" s="288"/>
      <c r="J710" s="339"/>
      <c r="K710" s="340"/>
      <c r="L710" s="340"/>
      <c r="M710" s="340"/>
      <c r="N710" s="340"/>
      <c r="O710" s="340"/>
      <c r="P710" s="341"/>
      <c r="Q710" s="435"/>
      <c r="R710" s="422"/>
    </row>
    <row r="711" spans="1:18" s="189" customFormat="1" ht="12.05" customHeight="1">
      <c r="A711" s="289"/>
      <c r="B711" s="290">
        <v>4</v>
      </c>
      <c r="C711" s="290">
        <v>1</v>
      </c>
      <c r="D711" s="290"/>
      <c r="E711" s="290"/>
      <c r="F711" s="290"/>
      <c r="G711" s="291" t="s">
        <v>180</v>
      </c>
      <c r="H711" s="291"/>
      <c r="I711" s="291"/>
      <c r="J711" s="342">
        <f>+J714</f>
        <v>100000000</v>
      </c>
      <c r="K711" s="343">
        <f>+K714</f>
        <v>54165800</v>
      </c>
      <c r="L711" s="343">
        <f>+L714</f>
        <v>25822515</v>
      </c>
      <c r="M711" s="343">
        <f>+M714</f>
        <v>210000</v>
      </c>
      <c r="N711" s="343">
        <f>+M711+L711</f>
        <v>26032515</v>
      </c>
      <c r="O711" s="343">
        <f t="shared" ref="O711:O718" si="109">N711-K711</f>
        <v>-28133285</v>
      </c>
      <c r="P711" s="344">
        <f>N711/K711*100</f>
        <v>48.060796665054333</v>
      </c>
      <c r="Q711" s="437"/>
      <c r="R711" s="422"/>
    </row>
    <row r="712" spans="1:18" s="189" customFormat="1" ht="12.05" customHeight="1">
      <c r="A712" s="289"/>
      <c r="B712" s="292"/>
      <c r="C712" s="292"/>
      <c r="D712" s="292"/>
      <c r="E712" s="292"/>
      <c r="F712" s="292"/>
      <c r="G712" s="253"/>
      <c r="H712" s="253"/>
      <c r="I712" s="291"/>
      <c r="J712" s="345"/>
      <c r="K712" s="346"/>
      <c r="L712" s="346"/>
      <c r="M712" s="346"/>
      <c r="N712" s="346"/>
      <c r="O712" s="346"/>
      <c r="P712" s="347"/>
      <c r="Q712" s="438"/>
      <c r="R712" s="422"/>
    </row>
    <row r="713" spans="1:18" s="189" customFormat="1" ht="12.05" customHeight="1">
      <c r="A713" s="289"/>
      <c r="B713" s="292"/>
      <c r="C713" s="292"/>
      <c r="D713" s="292"/>
      <c r="E713" s="292"/>
      <c r="F713" s="292"/>
      <c r="G713" s="253"/>
      <c r="H713" s="253"/>
      <c r="I713" s="253"/>
      <c r="J713" s="354"/>
      <c r="K713" s="355"/>
      <c r="L713" s="355"/>
      <c r="M713" s="355"/>
      <c r="N713" s="355"/>
      <c r="O713" s="355"/>
      <c r="P713" s="388"/>
      <c r="Q713" s="441"/>
      <c r="R713" s="422"/>
    </row>
    <row r="714" spans="1:18" s="189" customFormat="1" ht="12.05" customHeight="1">
      <c r="A714" s="289"/>
      <c r="B714" s="290">
        <v>4</v>
      </c>
      <c r="C714" s="290">
        <v>1</v>
      </c>
      <c r="D714" s="290">
        <v>4</v>
      </c>
      <c r="E714" s="290"/>
      <c r="F714" s="290"/>
      <c r="G714" s="291" t="s">
        <v>71</v>
      </c>
      <c r="H714" s="291"/>
      <c r="I714" s="291"/>
      <c r="J714" s="363">
        <f>J715+J720</f>
        <v>100000000</v>
      </c>
      <c r="K714" s="364">
        <f>K715+K720</f>
        <v>54165800</v>
      </c>
      <c r="L714" s="393">
        <f>L715+L720</f>
        <v>25822515</v>
      </c>
      <c r="M714" s="393">
        <f>M715+M720</f>
        <v>210000</v>
      </c>
      <c r="N714" s="393">
        <f>N715+N720</f>
        <v>26032515</v>
      </c>
      <c r="O714" s="349">
        <f t="shared" si="109"/>
        <v>-28133285</v>
      </c>
      <c r="P714" s="350">
        <f>N714/K714*100</f>
        <v>48.060796665054333</v>
      </c>
      <c r="Q714" s="444"/>
      <c r="R714" s="422"/>
    </row>
    <row r="715" spans="1:18" s="189" customFormat="1" ht="12.05" customHeight="1">
      <c r="A715" s="289"/>
      <c r="B715" s="292">
        <v>4</v>
      </c>
      <c r="C715" s="292">
        <v>1</v>
      </c>
      <c r="D715" s="292">
        <v>4</v>
      </c>
      <c r="E715" s="292" t="s">
        <v>444</v>
      </c>
      <c r="F715" s="292"/>
      <c r="G715" s="253" t="s">
        <v>222</v>
      </c>
      <c r="H715" s="253"/>
      <c r="I715" s="253"/>
      <c r="J715" s="484">
        <f>+J718</f>
        <v>0</v>
      </c>
      <c r="K715" s="485">
        <f>+K718</f>
        <v>0</v>
      </c>
      <c r="L715" s="527">
        <f>SUM(L716:L718)</f>
        <v>21392515</v>
      </c>
      <c r="M715" s="527">
        <f>SUM(M716:M718)</f>
        <v>210000</v>
      </c>
      <c r="N715" s="527">
        <f>SUM(N716:N718)</f>
        <v>21602515</v>
      </c>
      <c r="O715" s="529">
        <f t="shared" si="109"/>
        <v>21602515</v>
      </c>
      <c r="P715" s="478">
        <v>0</v>
      </c>
      <c r="Q715" s="541"/>
      <c r="R715" s="422"/>
    </row>
    <row r="716" spans="1:18" s="189" customFormat="1" ht="12.05" customHeight="1">
      <c r="A716" s="289"/>
      <c r="B716" s="292">
        <v>4</v>
      </c>
      <c r="C716" s="292">
        <v>1</v>
      </c>
      <c r="D716" s="292">
        <v>4</v>
      </c>
      <c r="E716" s="292" t="s">
        <v>444</v>
      </c>
      <c r="F716" s="292" t="s">
        <v>440</v>
      </c>
      <c r="G716" s="253" t="s">
        <v>73</v>
      </c>
      <c r="H716" s="253"/>
      <c r="I716" s="253"/>
      <c r="J716" s="484">
        <f>+J719</f>
        <v>0</v>
      </c>
      <c r="K716" s="485">
        <f>+K719</f>
        <v>0</v>
      </c>
      <c r="L716" s="360">
        <v>0</v>
      </c>
      <c r="M716" s="355">
        <f>[55]Perdinas!$E$523</f>
        <v>0</v>
      </c>
      <c r="N716" s="355">
        <f>M716+L716</f>
        <v>0</v>
      </c>
      <c r="O716" s="355">
        <f t="shared" si="109"/>
        <v>0</v>
      </c>
      <c r="P716" s="388"/>
      <c r="Q716" s="441"/>
      <c r="R716" s="422"/>
    </row>
    <row r="717" spans="1:18" s="189" customFormat="1" ht="12.05" customHeight="1">
      <c r="A717" s="289"/>
      <c r="B717" s="292">
        <v>4</v>
      </c>
      <c r="C717" s="292">
        <v>1</v>
      </c>
      <c r="D717" s="292">
        <v>4</v>
      </c>
      <c r="E717" s="292" t="s">
        <v>444</v>
      </c>
      <c r="F717" s="292" t="s">
        <v>445</v>
      </c>
      <c r="G717" s="253" t="s">
        <v>74</v>
      </c>
      <c r="H717" s="253"/>
      <c r="I717" s="253"/>
      <c r="J717" s="354"/>
      <c r="K717" s="355"/>
      <c r="L717" s="360">
        <v>0</v>
      </c>
      <c r="M717" s="355">
        <f>[55]Perdinas!$E$524</f>
        <v>0</v>
      </c>
      <c r="N717" s="355">
        <f>M717+L717</f>
        <v>0</v>
      </c>
      <c r="O717" s="355">
        <f t="shared" si="109"/>
        <v>0</v>
      </c>
      <c r="P717" s="388"/>
      <c r="Q717" s="441"/>
      <c r="R717" s="422"/>
    </row>
    <row r="718" spans="1:18" s="189" customFormat="1" ht="12.05" customHeight="1">
      <c r="A718" s="289"/>
      <c r="B718" s="292">
        <v>4</v>
      </c>
      <c r="C718" s="292">
        <v>1</v>
      </c>
      <c r="D718" s="292">
        <v>4</v>
      </c>
      <c r="E718" s="292" t="s">
        <v>444</v>
      </c>
      <c r="F718" s="292" t="s">
        <v>441</v>
      </c>
      <c r="G718" s="253" t="s">
        <v>75</v>
      </c>
      <c r="H718" s="253"/>
      <c r="I718" s="253"/>
      <c r="J718" s="354"/>
      <c r="K718" s="355">
        <f>'[57]TARGET MURNI DAN PERUBAHAN'!$E$428</f>
        <v>0</v>
      </c>
      <c r="L718" s="360">
        <f>[62]PerDinas!$N$718</f>
        <v>21392515</v>
      </c>
      <c r="M718" s="355">
        <f>[55]Perdinas!$E$525</f>
        <v>210000</v>
      </c>
      <c r="N718" s="369">
        <f>M718+L718</f>
        <v>21602515</v>
      </c>
      <c r="O718" s="355">
        <f t="shared" si="109"/>
        <v>21602515</v>
      </c>
      <c r="P718" s="388"/>
      <c r="Q718" s="441"/>
      <c r="R718" s="422"/>
    </row>
    <row r="719" spans="1:18" s="189" customFormat="1" ht="12.05" customHeight="1">
      <c r="A719" s="289"/>
      <c r="B719" s="292"/>
      <c r="C719" s="292"/>
      <c r="D719" s="292"/>
      <c r="E719" s="292"/>
      <c r="F719" s="292"/>
      <c r="G719" s="253"/>
      <c r="H719" s="253"/>
      <c r="I719" s="253"/>
      <c r="J719" s="354"/>
      <c r="K719" s="355"/>
      <c r="L719" s="360"/>
      <c r="M719" s="355"/>
      <c r="N719" s="355"/>
      <c r="O719" s="355"/>
      <c r="P719" s="388"/>
      <c r="Q719" s="441"/>
      <c r="R719" s="422"/>
    </row>
    <row r="720" spans="1:18" s="189" customFormat="1" ht="12.05" customHeight="1">
      <c r="A720" s="289"/>
      <c r="B720" s="292">
        <v>4</v>
      </c>
      <c r="C720" s="292">
        <v>1</v>
      </c>
      <c r="D720" s="292">
        <v>4</v>
      </c>
      <c r="E720" s="292" t="s">
        <v>948</v>
      </c>
      <c r="F720" s="292"/>
      <c r="G720" s="253" t="s">
        <v>321</v>
      </c>
      <c r="H720" s="253"/>
      <c r="I720" s="253"/>
      <c r="J720" s="484">
        <f>+J721</f>
        <v>100000000</v>
      </c>
      <c r="K720" s="485">
        <f>+K721</f>
        <v>54165800</v>
      </c>
      <c r="L720" s="486">
        <f>+L721</f>
        <v>4430000</v>
      </c>
      <c r="M720" s="485">
        <f>+M721</f>
        <v>0</v>
      </c>
      <c r="N720" s="412">
        <f>+M720+L720</f>
        <v>4430000</v>
      </c>
      <c r="O720" s="412">
        <f>N720-K720</f>
        <v>-49735800</v>
      </c>
      <c r="P720" s="487">
        <f>N720/K720*100</f>
        <v>8.178592395939873</v>
      </c>
      <c r="Q720" s="541"/>
      <c r="R720" s="422"/>
    </row>
    <row r="721" spans="1:18" s="189" customFormat="1" ht="12.05" customHeight="1">
      <c r="A721" s="289"/>
      <c r="B721" s="292">
        <v>4</v>
      </c>
      <c r="C721" s="292">
        <v>1</v>
      </c>
      <c r="D721" s="292">
        <v>4</v>
      </c>
      <c r="E721" s="292" t="s">
        <v>948</v>
      </c>
      <c r="F721" s="292" t="s">
        <v>437</v>
      </c>
      <c r="G721" s="253" t="s">
        <v>85</v>
      </c>
      <c r="H721" s="253"/>
      <c r="I721" s="253"/>
      <c r="J721" s="333">
        <f>SUM(J722:J723)</f>
        <v>100000000</v>
      </c>
      <c r="K721" s="334">
        <f>SUM(K722:K723)</f>
        <v>54165800</v>
      </c>
      <c r="L721" s="356">
        <f>SUM(L722:L723)</f>
        <v>4430000</v>
      </c>
      <c r="M721" s="334">
        <f>SUM(M722:M723)</f>
        <v>0</v>
      </c>
      <c r="N721" s="334">
        <f>SUM(N722:N723)</f>
        <v>4430000</v>
      </c>
      <c r="O721" s="334">
        <f>N721-K721</f>
        <v>-49735800</v>
      </c>
      <c r="P721" s="335">
        <f>N721/K721*100</f>
        <v>8.178592395939873</v>
      </c>
      <c r="Q721" s="430"/>
      <c r="R721" s="422"/>
    </row>
    <row r="722" spans="1:18" s="189" customFormat="1" ht="12.05" customHeight="1">
      <c r="A722" s="289"/>
      <c r="B722" s="292"/>
      <c r="C722" s="292"/>
      <c r="D722" s="292"/>
      <c r="E722" s="292"/>
      <c r="F722" s="292"/>
      <c r="G722" s="253" t="s">
        <v>50</v>
      </c>
      <c r="H722" s="253"/>
      <c r="I722" s="253" t="s">
        <v>615</v>
      </c>
      <c r="J722" s="354">
        <v>85000000</v>
      </c>
      <c r="K722" s="373">
        <f>'[57]TARGET MURNI DAN PERUBAHAN'!$E$429</f>
        <v>54165800</v>
      </c>
      <c r="L722" s="360">
        <f>[62]PerDinas!$N$722</f>
        <v>4430000</v>
      </c>
      <c r="M722" s="373">
        <f>[55]Perdinas!$E$526</f>
        <v>0</v>
      </c>
      <c r="N722" s="369">
        <f>M722+L722</f>
        <v>4430000</v>
      </c>
      <c r="O722" s="355">
        <f>N722-K722</f>
        <v>-49735800</v>
      </c>
      <c r="P722" s="388">
        <f>N722/K722*100</f>
        <v>8.178592395939873</v>
      </c>
      <c r="Q722" s="635"/>
      <c r="R722" s="422"/>
    </row>
    <row r="723" spans="1:18" s="189" customFormat="1" ht="12.05" customHeight="1">
      <c r="A723" s="289"/>
      <c r="B723" s="292"/>
      <c r="C723" s="292"/>
      <c r="D723" s="292"/>
      <c r="E723" s="292"/>
      <c r="F723" s="292"/>
      <c r="G723" s="253" t="s">
        <v>50</v>
      </c>
      <c r="H723" s="253"/>
      <c r="I723" s="253" t="s">
        <v>85</v>
      </c>
      <c r="J723" s="354">
        <v>15000000</v>
      </c>
      <c r="K723" s="355">
        <f>'[57]TARGET MURNI DAN PERUBAHAN'!$E$430</f>
        <v>0</v>
      </c>
      <c r="L723" s="360">
        <f>[62]PerDinas!$N$723</f>
        <v>0</v>
      </c>
      <c r="M723" s="355">
        <f>[55]Perdinas!$E$527</f>
        <v>0</v>
      </c>
      <c r="N723" s="355">
        <f>M723+L723</f>
        <v>0</v>
      </c>
      <c r="O723" s="355">
        <f>N723-K723</f>
        <v>0</v>
      </c>
      <c r="P723" s="388" t="e">
        <f>N723/K723*100</f>
        <v>#DIV/0!</v>
      </c>
      <c r="Q723" s="637"/>
      <c r="R723" s="422"/>
    </row>
    <row r="724" spans="1:18" s="245" customFormat="1" ht="12.05" customHeight="1">
      <c r="A724" s="473"/>
      <c r="B724" s="305"/>
      <c r="C724" s="305"/>
      <c r="D724" s="305"/>
      <c r="E724" s="305"/>
      <c r="F724" s="305"/>
      <c r="G724" s="306"/>
      <c r="H724" s="306"/>
      <c r="I724" s="306"/>
      <c r="J724" s="482"/>
      <c r="K724" s="404"/>
      <c r="L724" s="673"/>
      <c r="M724" s="404"/>
      <c r="N724" s="404"/>
      <c r="O724" s="404"/>
      <c r="P724" s="483"/>
      <c r="Q724" s="1054"/>
      <c r="R724" s="450"/>
    </row>
    <row r="725" spans="1:18" s="244" customFormat="1" ht="12.05" customHeight="1">
      <c r="A725" s="283" t="s">
        <v>335</v>
      </c>
      <c r="B725" s="284" t="s">
        <v>460</v>
      </c>
      <c r="C725" s="284" t="s">
        <v>437</v>
      </c>
      <c r="D725" s="284" t="s">
        <v>437</v>
      </c>
      <c r="E725" s="284"/>
      <c r="F725" s="284"/>
      <c r="G725" s="298" t="s">
        <v>857</v>
      </c>
      <c r="H725" s="298"/>
      <c r="I725" s="298"/>
      <c r="J725" s="336" t="e">
        <f>+J727</f>
        <v>#REF!</v>
      </c>
      <c r="K725" s="337">
        <f>+K727</f>
        <v>1364387000</v>
      </c>
      <c r="L725" s="337">
        <f>+L727</f>
        <v>768825038.12</v>
      </c>
      <c r="M725" s="337">
        <f>+M727</f>
        <v>178461000</v>
      </c>
      <c r="N725" s="337">
        <f>M725+L725</f>
        <v>947286038.12</v>
      </c>
      <c r="O725" s="337">
        <f>+N725-K725</f>
        <v>-417100961.88</v>
      </c>
      <c r="P725" s="338">
        <f>+N725/K725*100</f>
        <v>69.429424211752234</v>
      </c>
      <c r="Q725" s="432"/>
      <c r="R725" s="788">
        <f>N725-[57]Perdinas!$Q$489</f>
        <v>-197832315.98999989</v>
      </c>
    </row>
    <row r="726" spans="1:18" s="189" customFormat="1" ht="12.05" customHeight="1">
      <c r="A726" s="471"/>
      <c r="B726" s="287"/>
      <c r="C726" s="287"/>
      <c r="D726" s="287"/>
      <c r="E726" s="287"/>
      <c r="F726" s="287"/>
      <c r="G726" s="288"/>
      <c r="H726" s="288"/>
      <c r="I726" s="288"/>
      <c r="J726" s="339"/>
      <c r="K726" s="340"/>
      <c r="L726" s="340"/>
      <c r="M726" s="340"/>
      <c r="N726" s="340"/>
      <c r="O726" s="340"/>
      <c r="P726" s="341"/>
      <c r="Q726" s="435"/>
      <c r="R726" s="422"/>
    </row>
    <row r="727" spans="1:18" s="189" customFormat="1" ht="12.05" customHeight="1">
      <c r="A727" s="293"/>
      <c r="B727" s="290">
        <v>4</v>
      </c>
      <c r="C727" s="290">
        <v>1</v>
      </c>
      <c r="D727" s="290"/>
      <c r="E727" s="290"/>
      <c r="F727" s="290"/>
      <c r="G727" s="291" t="s">
        <v>180</v>
      </c>
      <c r="H727" s="291"/>
      <c r="I727" s="291"/>
      <c r="J727" s="342" t="e">
        <f>+J729+J747</f>
        <v>#REF!</v>
      </c>
      <c r="K727" s="343">
        <f>+K729+K747</f>
        <v>1364387000</v>
      </c>
      <c r="L727" s="606">
        <f>+L729+L747</f>
        <v>768825038.12</v>
      </c>
      <c r="M727" s="343">
        <f>+M729+M747</f>
        <v>178461000</v>
      </c>
      <c r="N727" s="343">
        <f>+M727+L727</f>
        <v>947286038.12</v>
      </c>
      <c r="O727" s="343">
        <f t="shared" ref="O727:O732" si="110">N727-K727</f>
        <v>-417100961.88</v>
      </c>
      <c r="P727" s="344">
        <f t="shared" ref="P727:P732" si="111">N727/K727*100</f>
        <v>69.429424211752234</v>
      </c>
      <c r="Q727" s="437"/>
      <c r="R727" s="422"/>
    </row>
    <row r="728" spans="1:18" s="189" customFormat="1" ht="12.05" customHeight="1">
      <c r="A728" s="293"/>
      <c r="B728" s="292"/>
      <c r="C728" s="292"/>
      <c r="D728" s="292"/>
      <c r="E728" s="292"/>
      <c r="F728" s="292"/>
      <c r="G728" s="253"/>
      <c r="H728" s="253"/>
      <c r="I728" s="291"/>
      <c r="J728" s="345"/>
      <c r="K728" s="346"/>
      <c r="L728" s="660"/>
      <c r="M728" s="346"/>
      <c r="N728" s="346"/>
      <c r="O728" s="346"/>
      <c r="P728" s="347"/>
      <c r="Q728" s="438"/>
      <c r="R728" s="422"/>
    </row>
    <row r="729" spans="1:18" s="189" customFormat="1" ht="12.05" customHeight="1">
      <c r="A729" s="293"/>
      <c r="B729" s="290">
        <v>4</v>
      </c>
      <c r="C729" s="290">
        <v>1</v>
      </c>
      <c r="D729" s="290">
        <v>2</v>
      </c>
      <c r="E729" s="290"/>
      <c r="F729" s="290"/>
      <c r="G729" s="291" t="s">
        <v>106</v>
      </c>
      <c r="H729" s="291"/>
      <c r="I729" s="291"/>
      <c r="J729" s="348">
        <f>+J731</f>
        <v>2165500000</v>
      </c>
      <c r="K729" s="349">
        <f>+K731</f>
        <v>1364387000</v>
      </c>
      <c r="L729" s="589">
        <f>+L731</f>
        <v>709681200</v>
      </c>
      <c r="M729" s="349">
        <f>+M731</f>
        <v>163210000</v>
      </c>
      <c r="N729" s="349">
        <f>+M729+L729</f>
        <v>872891200</v>
      </c>
      <c r="O729" s="349">
        <f t="shared" si="110"/>
        <v>-491495800</v>
      </c>
      <c r="P729" s="350">
        <f t="shared" si="111"/>
        <v>63.976804235162021</v>
      </c>
      <c r="Q729" s="783"/>
      <c r="R729" s="422"/>
    </row>
    <row r="730" spans="1:18" s="189" customFormat="1" ht="12.05" customHeight="1">
      <c r="A730" s="293"/>
      <c r="B730" s="292"/>
      <c r="C730" s="292"/>
      <c r="D730" s="292"/>
      <c r="E730" s="292"/>
      <c r="F730" s="292"/>
      <c r="G730" s="253"/>
      <c r="H730" s="253"/>
      <c r="I730" s="253"/>
      <c r="J730" s="354"/>
      <c r="K730" s="355"/>
      <c r="L730" s="360"/>
      <c r="M730" s="355"/>
      <c r="N730" s="355"/>
      <c r="O730" s="355"/>
      <c r="P730" s="388"/>
      <c r="Q730" s="441"/>
      <c r="R730" s="422"/>
    </row>
    <row r="731" spans="1:18" s="189" customFormat="1" ht="12.05" customHeight="1">
      <c r="A731" s="293"/>
      <c r="B731" s="292">
        <v>4</v>
      </c>
      <c r="C731" s="292">
        <v>1</v>
      </c>
      <c r="D731" s="292">
        <v>2</v>
      </c>
      <c r="E731" s="292" t="s">
        <v>438</v>
      </c>
      <c r="F731" s="292"/>
      <c r="G731" s="253" t="s">
        <v>374</v>
      </c>
      <c r="H731" s="253"/>
      <c r="I731" s="253"/>
      <c r="J731" s="370">
        <f>+J732+J735</f>
        <v>2165500000</v>
      </c>
      <c r="K731" s="371">
        <f>+K732+K735</f>
        <v>1364387000</v>
      </c>
      <c r="L731" s="372">
        <f>+L732+L735</f>
        <v>709681200</v>
      </c>
      <c r="M731" s="371">
        <f>+M732+M735</f>
        <v>163210000</v>
      </c>
      <c r="N731" s="371">
        <f>+N732+N735</f>
        <v>872891200</v>
      </c>
      <c r="O731" s="367">
        <f t="shared" si="110"/>
        <v>-491495800</v>
      </c>
      <c r="P731" s="399">
        <f t="shared" si="111"/>
        <v>63.976804235162021</v>
      </c>
      <c r="Q731" s="441"/>
      <c r="R731" s="422"/>
    </row>
    <row r="732" spans="1:18" s="189" customFormat="1" ht="12.05" customHeight="1">
      <c r="A732" s="293"/>
      <c r="B732" s="292">
        <v>4</v>
      </c>
      <c r="C732" s="292">
        <v>1</v>
      </c>
      <c r="D732" s="292">
        <v>2</v>
      </c>
      <c r="E732" s="292" t="s">
        <v>438</v>
      </c>
      <c r="F732" s="292" t="s">
        <v>440</v>
      </c>
      <c r="G732" s="253" t="s">
        <v>304</v>
      </c>
      <c r="H732" s="253"/>
      <c r="I732" s="291"/>
      <c r="J732" s="345">
        <f>+J733</f>
        <v>0</v>
      </c>
      <c r="K732" s="346">
        <f>+K733</f>
        <v>0</v>
      </c>
      <c r="L732" s="660">
        <f>+L733</f>
        <v>0</v>
      </c>
      <c r="M732" s="346">
        <f>+M733</f>
        <v>0</v>
      </c>
      <c r="N732" s="355">
        <f>M732+L732</f>
        <v>0</v>
      </c>
      <c r="O732" s="355">
        <f t="shared" si="110"/>
        <v>0</v>
      </c>
      <c r="P732" s="388" t="e">
        <f t="shared" si="111"/>
        <v>#DIV/0!</v>
      </c>
      <c r="Q732" s="438"/>
      <c r="R732" s="422"/>
    </row>
    <row r="733" spans="1:18" s="189" customFormat="1" ht="12.05" customHeight="1">
      <c r="A733" s="293"/>
      <c r="B733" s="292"/>
      <c r="C733" s="292"/>
      <c r="D733" s="292"/>
      <c r="E733" s="292"/>
      <c r="F733" s="292"/>
      <c r="G733" s="1027"/>
      <c r="H733" s="1027"/>
      <c r="I733" s="1027"/>
      <c r="J733" s="1030"/>
      <c r="K733" s="1031"/>
      <c r="L733" s="1032"/>
      <c r="M733" s="1031"/>
      <c r="N733" s="1033"/>
      <c r="O733" s="1033"/>
      <c r="P733" s="1034"/>
      <c r="Q733" s="1055"/>
      <c r="R733" s="422"/>
    </row>
    <row r="734" spans="1:18" s="189" customFormat="1" ht="12.05" customHeight="1">
      <c r="A734" s="293"/>
      <c r="B734" s="292"/>
      <c r="C734" s="292"/>
      <c r="D734" s="292"/>
      <c r="E734" s="292"/>
      <c r="F734" s="292"/>
      <c r="G734" s="253"/>
      <c r="H734" s="253"/>
      <c r="I734" s="253"/>
      <c r="J734" s="345"/>
      <c r="K734" s="346"/>
      <c r="L734" s="660"/>
      <c r="M734" s="346"/>
      <c r="N734" s="355"/>
      <c r="O734" s="355"/>
      <c r="P734" s="388"/>
      <c r="Q734" s="438"/>
      <c r="R734" s="422"/>
    </row>
    <row r="735" spans="1:18" s="189" customFormat="1" ht="15.05">
      <c r="A735" s="293"/>
      <c r="B735" s="292">
        <v>4</v>
      </c>
      <c r="C735" s="292">
        <v>1</v>
      </c>
      <c r="D735" s="292">
        <v>2</v>
      </c>
      <c r="E735" s="292" t="s">
        <v>438</v>
      </c>
      <c r="F735" s="292" t="s">
        <v>448</v>
      </c>
      <c r="G735" s="253" t="s">
        <v>361</v>
      </c>
      <c r="H735" s="253"/>
      <c r="I735" s="253"/>
      <c r="J735" s="1035">
        <f>SUM(J736:J745)</f>
        <v>2165500000</v>
      </c>
      <c r="K735" s="1036">
        <f>SUM(K736:K745)</f>
        <v>1364387000</v>
      </c>
      <c r="L735" s="1037">
        <f>SUM(L736:L745)</f>
        <v>709681200</v>
      </c>
      <c r="M735" s="1036">
        <f>SUM(M736:M745)</f>
        <v>163210000</v>
      </c>
      <c r="N735" s="1038">
        <f>SUM(N736:N745)</f>
        <v>872891200</v>
      </c>
      <c r="O735" s="1039">
        <f t="shared" ref="O735:O744" si="112">N735-K735</f>
        <v>-491495800</v>
      </c>
      <c r="P735" s="1040">
        <f t="shared" ref="P735:P744" si="113">N735/K735*100</f>
        <v>63.976804235162021</v>
      </c>
      <c r="Q735" s="438"/>
      <c r="R735" s="422"/>
    </row>
    <row r="736" spans="1:18" s="189" customFormat="1" ht="12.05" customHeight="1">
      <c r="A736" s="293"/>
      <c r="B736" s="292"/>
      <c r="C736" s="292"/>
      <c r="D736" s="292"/>
      <c r="E736" s="292"/>
      <c r="F736" s="292"/>
      <c r="G736" s="253" t="s">
        <v>50</v>
      </c>
      <c r="H736" s="253"/>
      <c r="I736" s="253" t="s">
        <v>343</v>
      </c>
      <c r="J736" s="354">
        <v>178410000</v>
      </c>
      <c r="K736" s="376">
        <f>'[57]TARGET MURNI DAN PERUBAHAN'!$E$434</f>
        <v>259229500</v>
      </c>
      <c r="L736" s="377">
        <f>[62]PerDinas!$N$736</f>
        <v>222547200</v>
      </c>
      <c r="M736" s="376">
        <f>[55]Perdinas!$E$531</f>
        <v>121770000</v>
      </c>
      <c r="N736" s="771">
        <f t="shared" ref="N736:N744" si="114">M736+L736</f>
        <v>344317200</v>
      </c>
      <c r="O736" s="355">
        <f t="shared" si="112"/>
        <v>85087700</v>
      </c>
      <c r="P736" s="388">
        <f t="shared" si="113"/>
        <v>132.82330907554888</v>
      </c>
      <c r="Q736" s="1056"/>
      <c r="R736" s="422"/>
    </row>
    <row r="737" spans="1:18" s="189" customFormat="1" ht="12.05" customHeight="1">
      <c r="A737" s="293"/>
      <c r="B737" s="292"/>
      <c r="C737" s="292"/>
      <c r="D737" s="292"/>
      <c r="E737" s="292"/>
      <c r="F737" s="292"/>
      <c r="G737" s="253" t="s">
        <v>50</v>
      </c>
      <c r="H737" s="253"/>
      <c r="I737" s="253" t="s">
        <v>344</v>
      </c>
      <c r="J737" s="354">
        <v>267400000</v>
      </c>
      <c r="K737" s="376">
        <f>'[57]TARGET MURNI DAN PERUBAHAN'!$E$435</f>
        <v>374739500</v>
      </c>
      <c r="L737" s="377">
        <f>[62]PerDinas!$N$737</f>
        <v>119736000</v>
      </c>
      <c r="M737" s="376">
        <f>[55]Perdinas!$E$532</f>
        <v>0</v>
      </c>
      <c r="N737" s="355">
        <f t="shared" si="114"/>
        <v>119736000</v>
      </c>
      <c r="O737" s="355">
        <f t="shared" si="112"/>
        <v>-255003500</v>
      </c>
      <c r="P737" s="388">
        <f t="shared" si="113"/>
        <v>31.951795847515406</v>
      </c>
      <c r="Q737" s="1057"/>
      <c r="R737" s="422"/>
    </row>
    <row r="738" spans="1:18" s="189" customFormat="1" ht="12.05" customHeight="1">
      <c r="A738" s="293"/>
      <c r="B738" s="292"/>
      <c r="C738" s="292"/>
      <c r="D738" s="292"/>
      <c r="E738" s="292"/>
      <c r="F738" s="292"/>
      <c r="G738" s="253" t="s">
        <v>50</v>
      </c>
      <c r="H738" s="253"/>
      <c r="I738" s="253" t="s">
        <v>345</v>
      </c>
      <c r="J738" s="354">
        <v>212500000</v>
      </c>
      <c r="K738" s="376">
        <f>'[57]TARGET MURNI DAN PERUBAHAN'!$E$436</f>
        <v>271618000</v>
      </c>
      <c r="L738" s="377">
        <f>[62]PerDinas!$N$738</f>
        <v>196188000</v>
      </c>
      <c r="M738" s="376">
        <f>[55]Perdinas!$E$533</f>
        <v>0</v>
      </c>
      <c r="N738" s="355">
        <f t="shared" si="114"/>
        <v>196188000</v>
      </c>
      <c r="O738" s="355">
        <f t="shared" si="112"/>
        <v>-75430000</v>
      </c>
      <c r="P738" s="388">
        <f t="shared" si="113"/>
        <v>72.229380968860681</v>
      </c>
      <c r="Q738" s="441"/>
      <c r="R738" s="422"/>
    </row>
    <row r="739" spans="1:18" s="189" customFormat="1" ht="12.05" customHeight="1">
      <c r="A739" s="293"/>
      <c r="B739" s="292"/>
      <c r="C739" s="292"/>
      <c r="D739" s="292"/>
      <c r="E739" s="292"/>
      <c r="F739" s="292"/>
      <c r="G739" s="253" t="s">
        <v>50</v>
      </c>
      <c r="H739" s="253"/>
      <c r="I739" s="253" t="s">
        <v>346</v>
      </c>
      <c r="J739" s="354">
        <v>0</v>
      </c>
      <c r="K739" s="376">
        <f>'[57]TARGET MURNI DAN PERUBAHAN'!$E$437</f>
        <v>0</v>
      </c>
      <c r="L739" s="377">
        <f>[62]PerDinas!$N$739</f>
        <v>0</v>
      </c>
      <c r="M739" s="376">
        <f>[55]Perdinas!$E$534</f>
        <v>0</v>
      </c>
      <c r="N739" s="355">
        <f t="shared" si="114"/>
        <v>0</v>
      </c>
      <c r="O739" s="355">
        <f t="shared" si="112"/>
        <v>0</v>
      </c>
      <c r="P739" s="388" t="e">
        <f t="shared" si="113"/>
        <v>#DIV/0!</v>
      </c>
      <c r="Q739" s="441"/>
      <c r="R739" s="422"/>
    </row>
    <row r="740" spans="1:18" s="189" customFormat="1" ht="12.05" customHeight="1">
      <c r="A740" s="293"/>
      <c r="B740" s="292"/>
      <c r="C740" s="292"/>
      <c r="D740" s="292"/>
      <c r="E740" s="292"/>
      <c r="F740" s="292"/>
      <c r="G740" s="253" t="s">
        <v>50</v>
      </c>
      <c r="H740" s="253"/>
      <c r="I740" s="253" t="s">
        <v>347</v>
      </c>
      <c r="J740" s="354">
        <v>0</v>
      </c>
      <c r="K740" s="376">
        <f>'[57]TARGET MURNI DAN PERUBAHAN'!$E$438</f>
        <v>0</v>
      </c>
      <c r="L740" s="377">
        <f>[62]PerDinas!$N$740</f>
        <v>0</v>
      </c>
      <c r="M740" s="376">
        <f>[55]Perdinas!$E$535</f>
        <v>0</v>
      </c>
      <c r="N740" s="355">
        <f t="shared" si="114"/>
        <v>0</v>
      </c>
      <c r="O740" s="355">
        <f t="shared" si="112"/>
        <v>0</v>
      </c>
      <c r="P740" s="388" t="e">
        <f t="shared" si="113"/>
        <v>#DIV/0!</v>
      </c>
      <c r="Q740" s="441"/>
      <c r="R740" s="422"/>
    </row>
    <row r="741" spans="1:18" s="189" customFormat="1" ht="12.05" customHeight="1">
      <c r="A741" s="293"/>
      <c r="B741" s="292"/>
      <c r="C741" s="292"/>
      <c r="D741" s="292"/>
      <c r="E741" s="292"/>
      <c r="F741" s="292"/>
      <c r="G741" s="253" t="s">
        <v>50</v>
      </c>
      <c r="H741" s="253"/>
      <c r="I741" s="253" t="s">
        <v>348</v>
      </c>
      <c r="J741" s="354">
        <v>52400000</v>
      </c>
      <c r="K741" s="376">
        <f>'[57]TARGET MURNI DAN PERUBAHAN'!$E$439</f>
        <v>46200000</v>
      </c>
      <c r="L741" s="377">
        <f>[62]PerDinas!$N$741</f>
        <v>29688000</v>
      </c>
      <c r="M741" s="376">
        <f>[55]Perdinas!$E$536</f>
        <v>0</v>
      </c>
      <c r="N741" s="355">
        <f t="shared" si="114"/>
        <v>29688000</v>
      </c>
      <c r="O741" s="355">
        <f t="shared" si="112"/>
        <v>-16512000</v>
      </c>
      <c r="P741" s="388">
        <f t="shared" si="113"/>
        <v>64.259740259740255</v>
      </c>
      <c r="Q741" s="441"/>
      <c r="R741" s="422"/>
    </row>
    <row r="742" spans="1:18" s="189" customFormat="1" ht="12.05" customHeight="1">
      <c r="A742" s="293"/>
      <c r="B742" s="292"/>
      <c r="C742" s="292"/>
      <c r="D742" s="292"/>
      <c r="E742" s="292"/>
      <c r="F742" s="292"/>
      <c r="G742" s="253" t="s">
        <v>50</v>
      </c>
      <c r="H742" s="253"/>
      <c r="I742" s="253" t="s">
        <v>349</v>
      </c>
      <c r="J742" s="354">
        <v>63990000</v>
      </c>
      <c r="K742" s="376">
        <f>'[57]TARGET MURNI DAN PERUBAHAN'!$E$440</f>
        <v>88200000</v>
      </c>
      <c r="L742" s="377">
        <f>[62]PerDinas!$N$742</f>
        <v>47184000</v>
      </c>
      <c r="M742" s="376">
        <f>[55]Perdinas!$E$537</f>
        <v>41440000</v>
      </c>
      <c r="N742" s="355">
        <f t="shared" si="114"/>
        <v>88624000</v>
      </c>
      <c r="O742" s="355">
        <f t="shared" si="112"/>
        <v>424000</v>
      </c>
      <c r="P742" s="388">
        <f t="shared" si="113"/>
        <v>100.48072562358277</v>
      </c>
      <c r="Q742" s="441"/>
      <c r="R742" s="422"/>
    </row>
    <row r="743" spans="1:18" s="189" customFormat="1" ht="12.05" customHeight="1">
      <c r="A743" s="293"/>
      <c r="B743" s="292"/>
      <c r="C743" s="292"/>
      <c r="D743" s="292"/>
      <c r="E743" s="292"/>
      <c r="F743" s="292"/>
      <c r="G743" s="253" t="s">
        <v>50</v>
      </c>
      <c r="H743" s="253"/>
      <c r="I743" s="253" t="s">
        <v>350</v>
      </c>
      <c r="J743" s="354">
        <v>16000000</v>
      </c>
      <c r="K743" s="376">
        <f>'[57]TARGET MURNI DAN PERUBAHAN'!$E$441</f>
        <v>24400000</v>
      </c>
      <c r="L743" s="377">
        <f>[62]PerDinas!$N$743</f>
        <v>20298000</v>
      </c>
      <c r="M743" s="376">
        <f>[55]Perdinas!$E$538</f>
        <v>0</v>
      </c>
      <c r="N743" s="355">
        <f t="shared" si="114"/>
        <v>20298000</v>
      </c>
      <c r="O743" s="355">
        <f t="shared" si="112"/>
        <v>-4102000</v>
      </c>
      <c r="P743" s="388">
        <f t="shared" si="113"/>
        <v>83.188524590163937</v>
      </c>
      <c r="Q743" s="441"/>
      <c r="R743" s="422"/>
    </row>
    <row r="744" spans="1:18" s="189" customFormat="1" ht="12.05" customHeight="1">
      <c r="A744" s="293"/>
      <c r="B744" s="292"/>
      <c r="C744" s="292"/>
      <c r="D744" s="292"/>
      <c r="E744" s="292"/>
      <c r="F744" s="292"/>
      <c r="G744" s="1003" t="s">
        <v>50</v>
      </c>
      <c r="H744" s="1003"/>
      <c r="I744" s="1003" t="s">
        <v>351</v>
      </c>
      <c r="J744" s="1041">
        <v>1374800000</v>
      </c>
      <c r="K744" s="376">
        <f>'[57]TARGET MURNI DAN PERUBAHAN'!$E$442</f>
        <v>300000000</v>
      </c>
      <c r="L744" s="377">
        <f>[62]PerDinas!$N$744</f>
        <v>74040000</v>
      </c>
      <c r="M744" s="376">
        <f>[55]Perdinas!$E$539</f>
        <v>0</v>
      </c>
      <c r="N744" s="360">
        <f t="shared" si="114"/>
        <v>74040000</v>
      </c>
      <c r="O744" s="360">
        <f t="shared" si="112"/>
        <v>-225960000</v>
      </c>
      <c r="P744" s="1042">
        <f t="shared" si="113"/>
        <v>24.68</v>
      </c>
      <c r="Q744" s="795"/>
      <c r="R744" s="422"/>
    </row>
    <row r="745" spans="1:18" s="189" customFormat="1" ht="12.05" customHeight="1">
      <c r="A745" s="465"/>
      <c r="B745" s="296"/>
      <c r="C745" s="296"/>
      <c r="D745" s="296"/>
      <c r="E745" s="296"/>
      <c r="F745" s="296"/>
      <c r="G745" s="1028"/>
      <c r="H745" s="1028"/>
      <c r="I745" s="1028"/>
      <c r="J745" s="1043"/>
      <c r="K745" s="1044"/>
      <c r="L745" s="1045"/>
      <c r="M745" s="375"/>
      <c r="N745" s="1044"/>
      <c r="O745" s="1044"/>
      <c r="P745" s="1046"/>
      <c r="Q745" s="1058"/>
      <c r="R745" s="555"/>
    </row>
    <row r="746" spans="1:18" s="189" customFormat="1" ht="12.05" customHeight="1">
      <c r="A746" s="1029"/>
      <c r="B746" s="565"/>
      <c r="C746" s="565"/>
      <c r="D746" s="565"/>
      <c r="E746" s="565"/>
      <c r="F746" s="565"/>
      <c r="G746" s="566"/>
      <c r="H746" s="566"/>
      <c r="I746" s="566"/>
      <c r="J746" s="484"/>
      <c r="K746" s="485"/>
      <c r="L746" s="486"/>
      <c r="M746" s="485"/>
      <c r="N746" s="485"/>
      <c r="O746" s="485"/>
      <c r="P746" s="597"/>
      <c r="Q746" s="541"/>
      <c r="R746" s="422"/>
    </row>
    <row r="747" spans="1:18" s="189" customFormat="1" ht="12.05" customHeight="1">
      <c r="A747" s="471"/>
      <c r="B747" s="707">
        <v>4</v>
      </c>
      <c r="C747" s="707">
        <v>1</v>
      </c>
      <c r="D747" s="707">
        <v>4</v>
      </c>
      <c r="E747" s="707"/>
      <c r="F747" s="707"/>
      <c r="G747" s="288" t="s">
        <v>71</v>
      </c>
      <c r="H747" s="288"/>
      <c r="I747" s="288"/>
      <c r="J747" s="392" t="e">
        <f>J748+J753</f>
        <v>#REF!</v>
      </c>
      <c r="K747" s="393">
        <f>K748+K753+K749</f>
        <v>0</v>
      </c>
      <c r="L747" s="393">
        <f>L748+L753+L749</f>
        <v>59143838.119999997</v>
      </c>
      <c r="M747" s="1047">
        <f>M748+M753</f>
        <v>15251000</v>
      </c>
      <c r="N747" s="1047">
        <f>M747+L747</f>
        <v>74394838.120000005</v>
      </c>
      <c r="O747" s="1048">
        <f>N747-K747</f>
        <v>74394838.120000005</v>
      </c>
      <c r="P747" s="1049" t="e">
        <f>N747/K747*100</f>
        <v>#DIV/0!</v>
      </c>
      <c r="Q747" s="444"/>
      <c r="R747" s="422"/>
    </row>
    <row r="748" spans="1:18" s="189" customFormat="1" ht="12.05" customHeight="1">
      <c r="A748" s="289"/>
      <c r="B748" s="292">
        <v>4</v>
      </c>
      <c r="C748" s="292">
        <v>1</v>
      </c>
      <c r="D748" s="292">
        <v>4</v>
      </c>
      <c r="E748" s="292" t="s">
        <v>444</v>
      </c>
      <c r="F748" s="292"/>
      <c r="G748" s="253" t="s">
        <v>222</v>
      </c>
      <c r="H748" s="253"/>
      <c r="I748" s="253"/>
      <c r="J748" s="484">
        <f>+J751</f>
        <v>27000000</v>
      </c>
      <c r="K748" s="485">
        <f>+K751</f>
        <v>0</v>
      </c>
      <c r="L748" s="485">
        <f>+L751</f>
        <v>49899487.119999997</v>
      </c>
      <c r="M748" s="485">
        <f>SUM(M749:M751)</f>
        <v>15251000</v>
      </c>
      <c r="N748" s="485">
        <f>M748+L748</f>
        <v>65150487.119999997</v>
      </c>
      <c r="O748" s="412">
        <f>N748-K748</f>
        <v>65150487.119999997</v>
      </c>
      <c r="P748" s="388" t="e">
        <f>N748/K748*100</f>
        <v>#DIV/0!</v>
      </c>
      <c r="Q748" s="644"/>
      <c r="R748" s="422"/>
    </row>
    <row r="749" spans="1:18" s="189" customFormat="1" ht="12.05" customHeight="1">
      <c r="A749" s="289"/>
      <c r="B749" s="292">
        <v>4</v>
      </c>
      <c r="C749" s="292">
        <v>1</v>
      </c>
      <c r="D749" s="292">
        <v>4</v>
      </c>
      <c r="E749" s="292" t="s">
        <v>444</v>
      </c>
      <c r="F749" s="292" t="s">
        <v>440</v>
      </c>
      <c r="G749" s="253" t="s">
        <v>710</v>
      </c>
      <c r="H749" s="253"/>
      <c r="I749" s="253"/>
      <c r="J749" s="354">
        <v>0</v>
      </c>
      <c r="K749" s="355">
        <v>0</v>
      </c>
      <c r="L749" s="360">
        <f>[62]PerDinas!$N$749</f>
        <v>0</v>
      </c>
      <c r="M749" s="355">
        <f>[55]Perdinas!$E$544</f>
        <v>0</v>
      </c>
      <c r="N749" s="369">
        <f>M749+L749</f>
        <v>0</v>
      </c>
      <c r="O749" s="355">
        <f>N749-K749</f>
        <v>0</v>
      </c>
      <c r="P749" s="388"/>
      <c r="Q749" s="442"/>
      <c r="R749" s="422"/>
    </row>
    <row r="750" spans="1:18" s="189" customFormat="1" ht="12.05" customHeight="1">
      <c r="A750" s="289"/>
      <c r="B750" s="292">
        <v>4</v>
      </c>
      <c r="C750" s="292">
        <v>1</v>
      </c>
      <c r="D750" s="292">
        <v>4</v>
      </c>
      <c r="E750" s="292" t="s">
        <v>444</v>
      </c>
      <c r="F750" s="292" t="s">
        <v>445</v>
      </c>
      <c r="G750" s="253" t="s">
        <v>74</v>
      </c>
      <c r="H750" s="253"/>
      <c r="I750" s="253"/>
      <c r="J750" s="354">
        <v>0</v>
      </c>
      <c r="K750" s="355">
        <v>0</v>
      </c>
      <c r="L750" s="360"/>
      <c r="M750" s="355">
        <f>[55]Perdinas!$E$545</f>
        <v>0</v>
      </c>
      <c r="N750" s="355">
        <f>M750+L750</f>
        <v>0</v>
      </c>
      <c r="O750" s="355">
        <f>N750-K750</f>
        <v>0</v>
      </c>
      <c r="P750" s="388"/>
      <c r="Q750" s="441"/>
      <c r="R750" s="422"/>
    </row>
    <row r="751" spans="1:18" s="189" customFormat="1" ht="12.05" customHeight="1">
      <c r="A751" s="289"/>
      <c r="B751" s="292">
        <v>4</v>
      </c>
      <c r="C751" s="292">
        <v>1</v>
      </c>
      <c r="D751" s="292">
        <v>4</v>
      </c>
      <c r="E751" s="292" t="s">
        <v>444</v>
      </c>
      <c r="F751" s="292" t="s">
        <v>441</v>
      </c>
      <c r="G751" s="253" t="s">
        <v>75</v>
      </c>
      <c r="H751" s="253"/>
      <c r="I751" s="253"/>
      <c r="J751" s="354">
        <v>27000000</v>
      </c>
      <c r="K751" s="373">
        <f>'[57]TARGET MURNI DAN PERUBAHAN'!$E$448</f>
        <v>0</v>
      </c>
      <c r="L751" s="360">
        <f>[62]PerDinas!$N$751</f>
        <v>49899487.119999997</v>
      </c>
      <c r="M751" s="373">
        <f>[55]Perdinas!$E$546</f>
        <v>15251000</v>
      </c>
      <c r="N751" s="369">
        <f>M751+L751</f>
        <v>65150487.119999997</v>
      </c>
      <c r="O751" s="355">
        <f>N751-K751</f>
        <v>65150487.119999997</v>
      </c>
      <c r="P751" s="388" t="e">
        <f>N751/K751*100</f>
        <v>#DIV/0!</v>
      </c>
      <c r="Q751" s="441"/>
      <c r="R751" s="545"/>
    </row>
    <row r="752" spans="1:18" s="189" customFormat="1" ht="12.05" customHeight="1">
      <c r="A752" s="293"/>
      <c r="B752" s="292"/>
      <c r="C752" s="292"/>
      <c r="D752" s="292"/>
      <c r="E752" s="292"/>
      <c r="F752" s="292"/>
      <c r="G752" s="253"/>
      <c r="H752" s="253"/>
      <c r="I752" s="253"/>
      <c r="J752" s="354"/>
      <c r="K752" s="355"/>
      <c r="L752" s="360"/>
      <c r="M752" s="355"/>
      <c r="N752" s="355"/>
      <c r="O752" s="355"/>
      <c r="P752" s="388"/>
      <c r="Q752" s="441"/>
      <c r="R752" s="422"/>
    </row>
    <row r="753" spans="1:18" s="189" customFormat="1" ht="12.05" customHeight="1">
      <c r="A753" s="293"/>
      <c r="B753" s="292">
        <v>4</v>
      </c>
      <c r="C753" s="292">
        <v>1</v>
      </c>
      <c r="D753" s="292">
        <v>4</v>
      </c>
      <c r="E753" s="292" t="s">
        <v>948</v>
      </c>
      <c r="F753" s="292"/>
      <c r="G753" s="253" t="s">
        <v>321</v>
      </c>
      <c r="H753" s="253"/>
      <c r="I753" s="253"/>
      <c r="J753" s="484" t="e">
        <f>+J754</f>
        <v>#REF!</v>
      </c>
      <c r="K753" s="485">
        <f>+K754</f>
        <v>0</v>
      </c>
      <c r="L753" s="486">
        <f>+L754</f>
        <v>9244351</v>
      </c>
      <c r="M753" s="485">
        <f>+M754</f>
        <v>0</v>
      </c>
      <c r="N753" s="412">
        <f>+M753+L753</f>
        <v>9244351</v>
      </c>
      <c r="O753" s="412">
        <f>N753-K753</f>
        <v>9244351</v>
      </c>
      <c r="P753" s="487" t="e">
        <f>N753/K753*100</f>
        <v>#DIV/0!</v>
      </c>
      <c r="Q753" s="541"/>
      <c r="R753" s="422"/>
    </row>
    <row r="754" spans="1:18" s="189" customFormat="1" ht="12.05" customHeight="1">
      <c r="A754" s="293"/>
      <c r="B754" s="292">
        <v>4</v>
      </c>
      <c r="C754" s="292">
        <v>1</v>
      </c>
      <c r="D754" s="292">
        <v>4</v>
      </c>
      <c r="E754" s="292" t="s">
        <v>948</v>
      </c>
      <c r="F754" s="292" t="s">
        <v>437</v>
      </c>
      <c r="G754" s="253" t="s">
        <v>85</v>
      </c>
      <c r="H754" s="253"/>
      <c r="I754" s="253"/>
      <c r="J754" s="333" t="e">
        <f>+J755+#REF!</f>
        <v>#REF!</v>
      </c>
      <c r="K754" s="334">
        <f>SUM(K755)</f>
        <v>0</v>
      </c>
      <c r="L754" s="356">
        <f>SUM(L755)</f>
        <v>9244351</v>
      </c>
      <c r="M754" s="334">
        <f>SUM(M755)</f>
        <v>0</v>
      </c>
      <c r="N754" s="334">
        <f>M754+L754</f>
        <v>9244351</v>
      </c>
      <c r="O754" s="497">
        <f>N754-K754</f>
        <v>9244351</v>
      </c>
      <c r="P754" s="498" t="e">
        <f>N754/K754*100</f>
        <v>#DIV/0!</v>
      </c>
      <c r="Q754" s="430"/>
      <c r="R754" s="422"/>
    </row>
    <row r="755" spans="1:18" s="189" customFormat="1" ht="12.05" customHeight="1">
      <c r="A755" s="293"/>
      <c r="B755" s="292"/>
      <c r="C755" s="292"/>
      <c r="D755" s="292"/>
      <c r="E755" s="292"/>
      <c r="F755" s="292"/>
      <c r="G755" s="253" t="s">
        <v>50</v>
      </c>
      <c r="H755" s="253"/>
      <c r="I755" s="253" t="s">
        <v>85</v>
      </c>
      <c r="J755" s="354">
        <v>5000000</v>
      </c>
      <c r="K755" s="373">
        <f>'[57]TARGET MURNI DAN PERUBAHAN'!$E$449</f>
        <v>0</v>
      </c>
      <c r="L755" s="360">
        <f>[62]PerDinas!$N$755</f>
        <v>9244351</v>
      </c>
      <c r="M755" s="373">
        <f>[55]Perdinas!$E$547</f>
        <v>0</v>
      </c>
      <c r="N755" s="369">
        <f>M755+L755</f>
        <v>9244351</v>
      </c>
      <c r="O755" s="355">
        <f>N755-K755</f>
        <v>9244351</v>
      </c>
      <c r="P755" s="388" t="e">
        <f>N755/K755*100</f>
        <v>#DIV/0!</v>
      </c>
      <c r="Q755" s="438"/>
      <c r="R755" s="422"/>
    </row>
    <row r="756" spans="1:18" s="245" customFormat="1" ht="12.05" customHeight="1">
      <c r="A756" s="472"/>
      <c r="B756" s="305"/>
      <c r="C756" s="305"/>
      <c r="D756" s="305"/>
      <c r="E756" s="305"/>
      <c r="F756" s="305"/>
      <c r="G756" s="306"/>
      <c r="H756" s="306"/>
      <c r="I756" s="306"/>
      <c r="J756" s="482"/>
      <c r="K756" s="404"/>
      <c r="L756" s="673"/>
      <c r="M756" s="404"/>
      <c r="N756" s="404"/>
      <c r="O756" s="404"/>
      <c r="P756" s="483"/>
      <c r="Q756" s="1057"/>
      <c r="R756" s="450"/>
    </row>
    <row r="757" spans="1:18" s="244" customFormat="1" ht="12.05" customHeight="1">
      <c r="A757" s="283" t="s">
        <v>339</v>
      </c>
      <c r="B757" s="284" t="s">
        <v>460</v>
      </c>
      <c r="C757" s="284" t="s">
        <v>437</v>
      </c>
      <c r="D757" s="284" t="s">
        <v>438</v>
      </c>
      <c r="E757" s="284"/>
      <c r="F757" s="284"/>
      <c r="G757" s="298" t="s">
        <v>523</v>
      </c>
      <c r="H757" s="298"/>
      <c r="I757" s="298"/>
      <c r="J757" s="336">
        <f>+J759</f>
        <v>1417000000</v>
      </c>
      <c r="K757" s="337">
        <f>+K759</f>
        <v>221000000</v>
      </c>
      <c r="L757" s="337">
        <f>+L759</f>
        <v>206486248</v>
      </c>
      <c r="M757" s="337">
        <f>+M759</f>
        <v>0</v>
      </c>
      <c r="N757" s="337">
        <f>M757+L757</f>
        <v>206486248</v>
      </c>
      <c r="O757" s="337">
        <f>+N757-K757</f>
        <v>-14513752</v>
      </c>
      <c r="P757" s="338">
        <f>+N757/K757*100</f>
        <v>93.432691402714923</v>
      </c>
      <c r="Q757" s="432"/>
      <c r="R757" s="639"/>
    </row>
    <row r="758" spans="1:18" s="189" customFormat="1" ht="12.05" customHeight="1">
      <c r="A758" s="471"/>
      <c r="B758" s="287"/>
      <c r="C758" s="287"/>
      <c r="D758" s="287"/>
      <c r="E758" s="287"/>
      <c r="F758" s="287"/>
      <c r="G758" s="288"/>
      <c r="H758" s="288"/>
      <c r="I758" s="1050"/>
      <c r="J758" s="339"/>
      <c r="K758" s="340"/>
      <c r="L758" s="340"/>
      <c r="M758" s="340"/>
      <c r="N758" s="340"/>
      <c r="O758" s="340"/>
      <c r="P758" s="341"/>
      <c r="Q758" s="435"/>
      <c r="R758" s="422"/>
    </row>
    <row r="759" spans="1:18" s="189" customFormat="1" ht="12.05" customHeight="1">
      <c r="A759" s="293"/>
      <c r="B759" s="290">
        <v>4</v>
      </c>
      <c r="C759" s="290">
        <v>1</v>
      </c>
      <c r="D759" s="290"/>
      <c r="E759" s="290"/>
      <c r="F759" s="290"/>
      <c r="G759" s="291" t="s">
        <v>180</v>
      </c>
      <c r="H759" s="291"/>
      <c r="I759" s="291"/>
      <c r="J759" s="342">
        <f>+J761+J774</f>
        <v>1417000000</v>
      </c>
      <c r="K759" s="343">
        <f>+K761+K774</f>
        <v>221000000</v>
      </c>
      <c r="L759" s="343">
        <f>+L761+L774</f>
        <v>206486248</v>
      </c>
      <c r="M759" s="343">
        <f>+M761+M774</f>
        <v>0</v>
      </c>
      <c r="N759" s="343">
        <f>+M759+L759</f>
        <v>206486248</v>
      </c>
      <c r="O759" s="343">
        <f t="shared" ref="O759:O766" si="115">N759-K759</f>
        <v>-14513752</v>
      </c>
      <c r="P759" s="344">
        <f t="shared" ref="P759:P766" si="116">N759/K759*100</f>
        <v>93.432691402714923</v>
      </c>
      <c r="Q759" s="437"/>
      <c r="R759" s="422"/>
    </row>
    <row r="760" spans="1:18" s="189" customFormat="1" ht="12.05" customHeight="1">
      <c r="A760" s="293"/>
      <c r="B760" s="292"/>
      <c r="C760" s="292"/>
      <c r="D760" s="292"/>
      <c r="E760" s="292"/>
      <c r="F760" s="292"/>
      <c r="G760" s="253"/>
      <c r="H760" s="253"/>
      <c r="I760" s="291"/>
      <c r="J760" s="345"/>
      <c r="K760" s="346"/>
      <c r="L760" s="346"/>
      <c r="M760" s="346"/>
      <c r="N760" s="346"/>
      <c r="O760" s="346"/>
      <c r="P760" s="347"/>
      <c r="Q760" s="438"/>
      <c r="R760" s="422"/>
    </row>
    <row r="761" spans="1:18" s="189" customFormat="1" ht="12.05" customHeight="1">
      <c r="A761" s="293"/>
      <c r="B761" s="290">
        <v>4</v>
      </c>
      <c r="C761" s="290">
        <v>1</v>
      </c>
      <c r="D761" s="290">
        <v>2</v>
      </c>
      <c r="E761" s="290"/>
      <c r="F761" s="290"/>
      <c r="G761" s="291" t="s">
        <v>106</v>
      </c>
      <c r="H761" s="291"/>
      <c r="I761" s="291"/>
      <c r="J761" s="348">
        <f>+J763</f>
        <v>555000000</v>
      </c>
      <c r="K761" s="349">
        <f>+K763</f>
        <v>37000000</v>
      </c>
      <c r="L761" s="395">
        <f>+L763</f>
        <v>86034406</v>
      </c>
      <c r="M761" s="395">
        <f>+M763</f>
        <v>0</v>
      </c>
      <c r="N761" s="395">
        <f>+M761+L761</f>
        <v>86034406</v>
      </c>
      <c r="O761" s="395">
        <f t="shared" si="115"/>
        <v>49034406</v>
      </c>
      <c r="P761" s="590">
        <f t="shared" si="116"/>
        <v>232.52542162162163</v>
      </c>
      <c r="Q761" s="439"/>
      <c r="R761" s="422"/>
    </row>
    <row r="762" spans="1:18" s="189" customFormat="1" ht="12.05" customHeight="1">
      <c r="A762" s="293"/>
      <c r="B762" s="292"/>
      <c r="C762" s="292"/>
      <c r="D762" s="292"/>
      <c r="E762" s="292"/>
      <c r="F762" s="292"/>
      <c r="G762" s="253"/>
      <c r="H762" s="253"/>
      <c r="I762" s="253"/>
      <c r="J762" s="354"/>
      <c r="K762" s="355"/>
      <c r="L762" s="360"/>
      <c r="M762" s="355"/>
      <c r="N762" s="355"/>
      <c r="O762" s="355"/>
      <c r="P762" s="388"/>
      <c r="Q762" s="441"/>
      <c r="R762" s="422"/>
    </row>
    <row r="763" spans="1:18" s="189" customFormat="1" ht="12.05" customHeight="1">
      <c r="A763" s="293"/>
      <c r="B763" s="292">
        <v>4</v>
      </c>
      <c r="C763" s="292">
        <v>1</v>
      </c>
      <c r="D763" s="292">
        <v>2</v>
      </c>
      <c r="E763" s="292" t="s">
        <v>438</v>
      </c>
      <c r="F763" s="292"/>
      <c r="G763" s="253" t="s">
        <v>374</v>
      </c>
      <c r="H763" s="253"/>
      <c r="I763" s="253"/>
      <c r="J763" s="484">
        <f>+J764+J768</f>
        <v>555000000</v>
      </c>
      <c r="K763" s="485">
        <f>+K764+K768</f>
        <v>37000000</v>
      </c>
      <c r="L763" s="486">
        <f>+L764+L768</f>
        <v>86034406</v>
      </c>
      <c r="M763" s="485">
        <f>+M764+M768</f>
        <v>0</v>
      </c>
      <c r="N763" s="485">
        <f>+N764+N768</f>
        <v>86034406</v>
      </c>
      <c r="O763" s="412">
        <f t="shared" si="115"/>
        <v>49034406</v>
      </c>
      <c r="P763" s="487">
        <f t="shared" si="116"/>
        <v>232.52542162162163</v>
      </c>
      <c r="Q763" s="541"/>
      <c r="R763" s="422"/>
    </row>
    <row r="764" spans="1:18" s="189" customFormat="1" ht="12.05" customHeight="1">
      <c r="A764" s="289"/>
      <c r="B764" s="292">
        <v>4</v>
      </c>
      <c r="C764" s="292">
        <v>1</v>
      </c>
      <c r="D764" s="292">
        <v>2</v>
      </c>
      <c r="E764" s="292" t="s">
        <v>438</v>
      </c>
      <c r="F764" s="292" t="s">
        <v>437</v>
      </c>
      <c r="G764" s="253" t="s">
        <v>64</v>
      </c>
      <c r="H764" s="253"/>
      <c r="I764" s="253"/>
      <c r="J764" s="333">
        <f>+J765+J766</f>
        <v>535900000</v>
      </c>
      <c r="K764" s="334">
        <f>+K765+K766</f>
        <v>0</v>
      </c>
      <c r="L764" s="356">
        <f>+L765+L766</f>
        <v>54900000</v>
      </c>
      <c r="M764" s="334">
        <f>+M765+M766</f>
        <v>0</v>
      </c>
      <c r="N764" s="361">
        <f>M764+L764</f>
        <v>54900000</v>
      </c>
      <c r="O764" s="334">
        <f t="shared" si="115"/>
        <v>54900000</v>
      </c>
      <c r="P764" s="335" t="e">
        <f t="shared" si="116"/>
        <v>#DIV/0!</v>
      </c>
      <c r="Q764" s="430"/>
      <c r="R764" s="422"/>
    </row>
    <row r="765" spans="1:18" s="189" customFormat="1" ht="12.05" customHeight="1">
      <c r="A765" s="293"/>
      <c r="B765" s="292"/>
      <c r="C765" s="292"/>
      <c r="D765" s="292"/>
      <c r="E765" s="292"/>
      <c r="F765" s="292"/>
      <c r="G765" s="253" t="s">
        <v>50</v>
      </c>
      <c r="H765" s="253"/>
      <c r="I765" s="253" t="s">
        <v>524</v>
      </c>
      <c r="J765" s="354">
        <v>15000000</v>
      </c>
      <c r="K765" s="355">
        <f>'[57]TARGET MURNI DAN PERUBAHAN'!$E$455</f>
        <v>0</v>
      </c>
      <c r="L765" s="360">
        <f>[62]PerDinas!$N$765</f>
        <v>6900000</v>
      </c>
      <c r="M765" s="355">
        <f>[55]Perdinas!$E$552</f>
        <v>0</v>
      </c>
      <c r="N765" s="771">
        <f>M765+L765</f>
        <v>6900000</v>
      </c>
      <c r="O765" s="355">
        <f t="shared" si="115"/>
        <v>6900000</v>
      </c>
      <c r="P765" s="388" t="e">
        <f t="shared" si="116"/>
        <v>#DIV/0!</v>
      </c>
      <c r="Q765" s="441"/>
      <c r="R765" s="422"/>
    </row>
    <row r="766" spans="1:18" s="189" customFormat="1" ht="12.05" customHeight="1">
      <c r="A766" s="293"/>
      <c r="B766" s="292"/>
      <c r="C766" s="292"/>
      <c r="D766" s="292"/>
      <c r="E766" s="292"/>
      <c r="F766" s="292"/>
      <c r="G766" s="253" t="s">
        <v>50</v>
      </c>
      <c r="H766" s="253"/>
      <c r="I766" s="253" t="s">
        <v>525</v>
      </c>
      <c r="J766" s="354">
        <v>520900000</v>
      </c>
      <c r="K766" s="373">
        <f>'[57]TARGET MURNI DAN PERUBAHAN'!$E$456</f>
        <v>0</v>
      </c>
      <c r="L766" s="360">
        <f>[62]PerDinas!$N$766</f>
        <v>48000000</v>
      </c>
      <c r="M766" s="373">
        <f>[55]Perdinas!$E$553</f>
        <v>0</v>
      </c>
      <c r="N766" s="355">
        <f>M766+L766</f>
        <v>48000000</v>
      </c>
      <c r="O766" s="355">
        <f t="shared" si="115"/>
        <v>48000000</v>
      </c>
      <c r="P766" s="388" t="e">
        <f t="shared" si="116"/>
        <v>#DIV/0!</v>
      </c>
      <c r="Q766" s="441"/>
      <c r="R766" s="422"/>
    </row>
    <row r="767" spans="1:18" s="189" customFormat="1" ht="12.05" customHeight="1">
      <c r="A767" s="293"/>
      <c r="B767" s="292"/>
      <c r="C767" s="292"/>
      <c r="D767" s="292"/>
      <c r="E767" s="292"/>
      <c r="F767" s="292"/>
      <c r="G767" s="253"/>
      <c r="H767" s="253"/>
      <c r="I767" s="253"/>
      <c r="J767" s="354"/>
      <c r="K767" s="355"/>
      <c r="L767" s="360"/>
      <c r="M767" s="355"/>
      <c r="N767" s="355"/>
      <c r="O767" s="355"/>
      <c r="P767" s="388"/>
      <c r="Q767" s="441"/>
      <c r="R767" s="422"/>
    </row>
    <row r="768" spans="1:18" s="189" customFormat="1" ht="12.05" customHeight="1">
      <c r="A768" s="293"/>
      <c r="B768" s="292">
        <v>4</v>
      </c>
      <c r="C768" s="292">
        <v>1</v>
      </c>
      <c r="D768" s="292">
        <v>2</v>
      </c>
      <c r="E768" s="292" t="s">
        <v>438</v>
      </c>
      <c r="F768" s="292" t="s">
        <v>448</v>
      </c>
      <c r="G768" s="253" t="s">
        <v>361</v>
      </c>
      <c r="H768" s="253"/>
      <c r="I768" s="253"/>
      <c r="J768" s="763">
        <f>SUM(J769:J772)</f>
        <v>19100000</v>
      </c>
      <c r="K768" s="529">
        <f>SUM(K769:K772)</f>
        <v>37000000</v>
      </c>
      <c r="L768" s="764">
        <f>SUM(L769:L772)</f>
        <v>31134406</v>
      </c>
      <c r="M768" s="529">
        <f>SUM(M769:M772)</f>
        <v>0</v>
      </c>
      <c r="N768" s="1051">
        <f>M768+L768</f>
        <v>31134406</v>
      </c>
      <c r="O768" s="527">
        <f>N768-K768</f>
        <v>-5865594</v>
      </c>
      <c r="P768" s="671">
        <f>N768/K768*100</f>
        <v>84.147043243243246</v>
      </c>
      <c r="Q768" s="785"/>
      <c r="R768" s="422"/>
    </row>
    <row r="769" spans="1:18" s="189" customFormat="1" ht="12.05" customHeight="1">
      <c r="A769" s="293"/>
      <c r="B769" s="292"/>
      <c r="C769" s="292"/>
      <c r="D769" s="292"/>
      <c r="E769" s="292"/>
      <c r="F769" s="292"/>
      <c r="G769" s="253" t="s">
        <v>50</v>
      </c>
      <c r="H769" s="253"/>
      <c r="I769" s="253" t="s">
        <v>540</v>
      </c>
      <c r="J769" s="389">
        <v>1800000</v>
      </c>
      <c r="K769" s="357"/>
      <c r="L769" s="391"/>
      <c r="M769" s="357">
        <f>[55]Perdinas!$E$556</f>
        <v>0</v>
      </c>
      <c r="N769" s="357"/>
      <c r="O769" s="357"/>
      <c r="P769" s="358"/>
      <c r="Q769" s="442"/>
      <c r="R769" s="422"/>
    </row>
    <row r="770" spans="1:18" s="189" customFormat="1" ht="12.05" customHeight="1">
      <c r="A770" s="293"/>
      <c r="B770" s="292"/>
      <c r="C770" s="292"/>
      <c r="D770" s="292"/>
      <c r="E770" s="292"/>
      <c r="F770" s="292"/>
      <c r="G770" s="1003" t="s">
        <v>50</v>
      </c>
      <c r="H770" s="1003"/>
      <c r="I770" s="1003" t="s">
        <v>1000</v>
      </c>
      <c r="J770" s="1041">
        <v>3300000</v>
      </c>
      <c r="K770" s="360"/>
      <c r="L770" s="391"/>
      <c r="M770" s="360"/>
      <c r="N770" s="360"/>
      <c r="O770" s="360"/>
      <c r="P770" s="1042"/>
      <c r="Q770" s="795"/>
      <c r="R770" s="422"/>
    </row>
    <row r="771" spans="1:18" s="189" customFormat="1" ht="12.05" customHeight="1">
      <c r="A771" s="293"/>
      <c r="B771" s="292"/>
      <c r="C771" s="292"/>
      <c r="D771" s="292"/>
      <c r="E771" s="292"/>
      <c r="F771" s="292"/>
      <c r="G771" s="1003" t="s">
        <v>50</v>
      </c>
      <c r="H771" s="1003"/>
      <c r="I771" s="1003" t="s">
        <v>1001</v>
      </c>
      <c r="J771" s="1041">
        <v>4000000</v>
      </c>
      <c r="K771" s="360"/>
      <c r="L771" s="391"/>
      <c r="M771" s="360"/>
      <c r="N771" s="360"/>
      <c r="O771" s="360"/>
      <c r="P771" s="1042"/>
      <c r="Q771" s="795"/>
      <c r="R771" s="422"/>
    </row>
    <row r="772" spans="1:18" s="189" customFormat="1" ht="15.05">
      <c r="A772" s="293"/>
      <c r="B772" s="292"/>
      <c r="C772" s="292"/>
      <c r="D772" s="292"/>
      <c r="E772" s="292"/>
      <c r="F772" s="292"/>
      <c r="G772" s="253" t="s">
        <v>50</v>
      </c>
      <c r="H772" s="253"/>
      <c r="I772" s="568" t="s">
        <v>1002</v>
      </c>
      <c r="J772" s="354">
        <v>10000000</v>
      </c>
      <c r="K772" s="1052">
        <f>'[57]TARGET MURNI DAN PERUBAHAN'!$E$462</f>
        <v>37000000</v>
      </c>
      <c r="L772" s="391">
        <f>[62]PerDinas!$N$772</f>
        <v>31134406</v>
      </c>
      <c r="M772" s="1052">
        <f>[55]Perdinas!$E$557</f>
        <v>0</v>
      </c>
      <c r="N772" s="1053">
        <f t="shared" ref="N772:N778" si="117">M772+L772</f>
        <v>31134406</v>
      </c>
      <c r="O772" s="334">
        <f t="shared" ref="O772:O778" si="118">N772-K772</f>
        <v>-5865594</v>
      </c>
      <c r="P772" s="335">
        <f>N772/K772*100</f>
        <v>84.147043243243246</v>
      </c>
      <c r="Q772" s="442"/>
      <c r="R772" s="422"/>
    </row>
    <row r="773" spans="1:18" s="189" customFormat="1" ht="12.05" customHeight="1">
      <c r="A773" s="293"/>
      <c r="B773" s="292"/>
      <c r="C773" s="292"/>
      <c r="D773" s="292"/>
      <c r="E773" s="292"/>
      <c r="F773" s="292"/>
      <c r="G773" s="253"/>
      <c r="H773" s="253"/>
      <c r="I773" s="253"/>
      <c r="J773" s="354"/>
      <c r="K773" s="355"/>
      <c r="L773" s="360"/>
      <c r="M773" s="355"/>
      <c r="N773" s="355"/>
      <c r="O773" s="355"/>
      <c r="P773" s="388"/>
      <c r="Q773" s="441"/>
      <c r="R773" s="422"/>
    </row>
    <row r="774" spans="1:18" s="189" customFormat="1" ht="12.05" customHeight="1">
      <c r="A774" s="293"/>
      <c r="B774" s="290">
        <v>4</v>
      </c>
      <c r="C774" s="290">
        <v>1</v>
      </c>
      <c r="D774" s="290">
        <v>4</v>
      </c>
      <c r="E774" s="290"/>
      <c r="F774" s="290"/>
      <c r="G774" s="291" t="s">
        <v>71</v>
      </c>
      <c r="H774" s="291"/>
      <c r="I774" s="291"/>
      <c r="J774" s="392">
        <f>J775+J780</f>
        <v>862000000</v>
      </c>
      <c r="K774" s="393">
        <f>K775+K780+K782</f>
        <v>184000000</v>
      </c>
      <c r="L774" s="393">
        <f>L775+L780+L782</f>
        <v>120451842</v>
      </c>
      <c r="M774" s="393">
        <f>M775+M780+M782</f>
        <v>0</v>
      </c>
      <c r="N774" s="393">
        <f t="shared" si="117"/>
        <v>120451842</v>
      </c>
      <c r="O774" s="349">
        <f t="shared" si="118"/>
        <v>-63548158</v>
      </c>
      <c r="P774" s="350">
        <f>N774/K774*100</f>
        <v>65.462957608695646</v>
      </c>
      <c r="Q774" s="444"/>
      <c r="R774" s="422"/>
    </row>
    <row r="775" spans="1:18" s="189" customFormat="1" ht="12.05" customHeight="1">
      <c r="A775" s="289"/>
      <c r="B775" s="292">
        <v>4</v>
      </c>
      <c r="C775" s="292">
        <v>1</v>
      </c>
      <c r="D775" s="292">
        <v>4</v>
      </c>
      <c r="E775" s="292" t="s">
        <v>444</v>
      </c>
      <c r="F775" s="292"/>
      <c r="G775" s="253" t="s">
        <v>222</v>
      </c>
      <c r="H775" s="253"/>
      <c r="I775" s="253"/>
      <c r="J775" s="484">
        <f>+J778</f>
        <v>17000000</v>
      </c>
      <c r="K775" s="485">
        <f>+K778</f>
        <v>0</v>
      </c>
      <c r="L775" s="486">
        <f>SUM(L776:L778)</f>
        <v>31157915</v>
      </c>
      <c r="M775" s="485">
        <f>SUM(M776:M778)</f>
        <v>0</v>
      </c>
      <c r="N775" s="485">
        <f>SUM(N776:N778)</f>
        <v>31157915</v>
      </c>
      <c r="O775" s="412">
        <f t="shared" si="118"/>
        <v>31157915</v>
      </c>
      <c r="P775" s="487">
        <v>0</v>
      </c>
      <c r="Q775" s="644"/>
      <c r="R775" s="422"/>
    </row>
    <row r="776" spans="1:18" s="189" customFormat="1" ht="12.05" customHeight="1">
      <c r="A776" s="289"/>
      <c r="B776" s="292">
        <v>4</v>
      </c>
      <c r="C776" s="292">
        <v>1</v>
      </c>
      <c r="D776" s="292">
        <v>4</v>
      </c>
      <c r="E776" s="292" t="s">
        <v>444</v>
      </c>
      <c r="F776" s="292" t="s">
        <v>440</v>
      </c>
      <c r="G776" s="253" t="s">
        <v>73</v>
      </c>
      <c r="H776" s="253"/>
      <c r="I776" s="253"/>
      <c r="J776" s="354">
        <v>0</v>
      </c>
      <c r="K776" s="355">
        <v>0</v>
      </c>
      <c r="L776" s="360">
        <v>0</v>
      </c>
      <c r="M776" s="355">
        <f>[55]Perdinas!$E$561</f>
        <v>0</v>
      </c>
      <c r="N776" s="355">
        <f t="shared" si="117"/>
        <v>0</v>
      </c>
      <c r="O776" s="355">
        <f t="shared" si="118"/>
        <v>0</v>
      </c>
      <c r="P776" s="388"/>
      <c r="Q776" s="442"/>
      <c r="R776" s="422"/>
    </row>
    <row r="777" spans="1:18" s="189" customFormat="1" ht="12.05" customHeight="1">
      <c r="A777" s="289"/>
      <c r="B777" s="292">
        <v>4</v>
      </c>
      <c r="C777" s="292">
        <v>1</v>
      </c>
      <c r="D777" s="292">
        <v>4</v>
      </c>
      <c r="E777" s="292" t="s">
        <v>444</v>
      </c>
      <c r="F777" s="292" t="s">
        <v>445</v>
      </c>
      <c r="G777" s="253" t="s">
        <v>74</v>
      </c>
      <c r="H777" s="253"/>
      <c r="I777" s="253"/>
      <c r="J777" s="354">
        <v>0</v>
      </c>
      <c r="K777" s="355">
        <v>0</v>
      </c>
      <c r="L777" s="360">
        <v>0</v>
      </c>
      <c r="M777" s="355">
        <f>[55]Perdinas!$E$562</f>
        <v>0</v>
      </c>
      <c r="N777" s="355">
        <f t="shared" si="117"/>
        <v>0</v>
      </c>
      <c r="O777" s="355">
        <f t="shared" si="118"/>
        <v>0</v>
      </c>
      <c r="P777" s="388"/>
      <c r="Q777" s="441"/>
      <c r="R777" s="422"/>
    </row>
    <row r="778" spans="1:18" s="189" customFormat="1" ht="12.05" customHeight="1">
      <c r="A778" s="289"/>
      <c r="B778" s="292">
        <v>4</v>
      </c>
      <c r="C778" s="292">
        <v>1</v>
      </c>
      <c r="D778" s="292">
        <v>4</v>
      </c>
      <c r="E778" s="292" t="s">
        <v>444</v>
      </c>
      <c r="F778" s="292" t="s">
        <v>441</v>
      </c>
      <c r="G778" s="253" t="s">
        <v>75</v>
      </c>
      <c r="H778" s="253"/>
      <c r="I778" s="253"/>
      <c r="J778" s="354">
        <v>17000000</v>
      </c>
      <c r="K778" s="373">
        <f>'[57]TARGET MURNI DAN PERUBAHAN'!$E$467</f>
        <v>0</v>
      </c>
      <c r="L778" s="360">
        <f>[62]PerDinas!$N$778</f>
        <v>31157915</v>
      </c>
      <c r="M778" s="373">
        <f>[55]Perdinas!$E$563</f>
        <v>0</v>
      </c>
      <c r="N778" s="369">
        <f t="shared" si="117"/>
        <v>31157915</v>
      </c>
      <c r="O778" s="355">
        <f t="shared" si="118"/>
        <v>31157915</v>
      </c>
      <c r="P778" s="388" t="e">
        <f t="shared" ref="P778:P783" si="119">N778/K778*100</f>
        <v>#DIV/0!</v>
      </c>
      <c r="Q778" s="441"/>
      <c r="R778" s="545"/>
    </row>
    <row r="779" spans="1:18" s="189" customFormat="1" ht="12.05" customHeight="1">
      <c r="A779" s="293"/>
      <c r="B779" s="292"/>
      <c r="C779" s="292"/>
      <c r="D779" s="292"/>
      <c r="E779" s="292"/>
      <c r="F779" s="292"/>
      <c r="G779" s="253"/>
      <c r="H779" s="253"/>
      <c r="I779" s="253"/>
      <c r="J779" s="354"/>
      <c r="K779" s="355"/>
      <c r="L779" s="360"/>
      <c r="M779" s="355"/>
      <c r="N779" s="355"/>
      <c r="O779" s="355"/>
      <c r="P779" s="388"/>
      <c r="Q779" s="441"/>
      <c r="R779" s="422"/>
    </row>
    <row r="780" spans="1:18" s="189" customFormat="1" ht="12.05" customHeight="1">
      <c r="A780" s="293"/>
      <c r="B780" s="292">
        <v>4</v>
      </c>
      <c r="C780" s="292">
        <v>1</v>
      </c>
      <c r="D780" s="292">
        <v>4</v>
      </c>
      <c r="E780" s="292" t="s">
        <v>948</v>
      </c>
      <c r="F780" s="292"/>
      <c r="G780" s="253" t="s">
        <v>321</v>
      </c>
      <c r="H780" s="253"/>
      <c r="I780" s="253"/>
      <c r="J780" s="484">
        <f t="shared" ref="J780:P780" si="120">+J781</f>
        <v>845000000</v>
      </c>
      <c r="K780" s="485">
        <f t="shared" si="120"/>
        <v>184000000</v>
      </c>
      <c r="L780" s="486">
        <f t="shared" si="120"/>
        <v>53984407</v>
      </c>
      <c r="M780" s="485">
        <f t="shared" si="120"/>
        <v>0</v>
      </c>
      <c r="N780" s="485">
        <f t="shared" si="120"/>
        <v>53984407</v>
      </c>
      <c r="O780" s="485">
        <f t="shared" si="120"/>
        <v>-130015593</v>
      </c>
      <c r="P780" s="871">
        <f t="shared" si="120"/>
        <v>29.339351630434784</v>
      </c>
      <c r="Q780" s="541"/>
      <c r="R780" s="422"/>
    </row>
    <row r="781" spans="1:18" s="189" customFormat="1" ht="12.05" customHeight="1">
      <c r="A781" s="293"/>
      <c r="B781" s="292">
        <v>4</v>
      </c>
      <c r="C781" s="292">
        <v>1</v>
      </c>
      <c r="D781" s="292">
        <v>4</v>
      </c>
      <c r="E781" s="292" t="s">
        <v>948</v>
      </c>
      <c r="F781" s="292" t="s">
        <v>437</v>
      </c>
      <c r="G781" s="253" t="s">
        <v>85</v>
      </c>
      <c r="H781" s="253"/>
      <c r="I781" s="253"/>
      <c r="J781" s="333">
        <f>SUM(J782:J783)</f>
        <v>845000000</v>
      </c>
      <c r="K781" s="334">
        <f>K783</f>
        <v>184000000</v>
      </c>
      <c r="L781" s="334">
        <f>L783</f>
        <v>53984407</v>
      </c>
      <c r="M781" s="334">
        <f>M783</f>
        <v>0</v>
      </c>
      <c r="N781" s="334">
        <f>M781+L781</f>
        <v>53984407</v>
      </c>
      <c r="O781" s="334">
        <f>N781-K781</f>
        <v>-130015593</v>
      </c>
      <c r="P781" s="1060">
        <f t="shared" si="119"/>
        <v>29.339351630434784</v>
      </c>
      <c r="Q781" s="430"/>
      <c r="R781" s="422"/>
    </row>
    <row r="782" spans="1:18" s="189" customFormat="1" ht="12.05" customHeight="1">
      <c r="A782" s="293"/>
      <c r="B782" s="292"/>
      <c r="C782" s="292"/>
      <c r="D782" s="292"/>
      <c r="E782" s="292"/>
      <c r="F782" s="292"/>
      <c r="G782" s="2760" t="s">
        <v>50</v>
      </c>
      <c r="H782" s="253"/>
      <c r="I782" s="1061" t="s">
        <v>1003</v>
      </c>
      <c r="J782" s="354">
        <v>0</v>
      </c>
      <c r="K782" s="1062">
        <v>0</v>
      </c>
      <c r="L782" s="1063">
        <f>[62]PerDinas!$N$782</f>
        <v>35309520</v>
      </c>
      <c r="M782" s="1062">
        <f>[55]Perdinas!$E$560</f>
        <v>0</v>
      </c>
      <c r="N782" s="1064">
        <f>M782+L782</f>
        <v>35309520</v>
      </c>
      <c r="O782" s="1062">
        <f>N782-K782</f>
        <v>35309520</v>
      </c>
      <c r="P782" s="1065"/>
      <c r="Q782" s="1074"/>
      <c r="R782" s="422"/>
    </row>
    <row r="783" spans="1:18" s="189" customFormat="1" ht="12.05" customHeight="1">
      <c r="A783" s="293"/>
      <c r="B783" s="292"/>
      <c r="C783" s="292"/>
      <c r="D783" s="292"/>
      <c r="E783" s="292"/>
      <c r="F783" s="292"/>
      <c r="G783" s="2760" t="s">
        <v>50</v>
      </c>
      <c r="H783" s="253"/>
      <c r="I783" s="253" t="s">
        <v>1004</v>
      </c>
      <c r="J783" s="389">
        <v>845000000</v>
      </c>
      <c r="K783" s="373">
        <f>'[57]TARGET MURNI DAN PERUBAHAN'!$E$469</f>
        <v>184000000</v>
      </c>
      <c r="L783" s="360">
        <f>[62]PerDinas!$N$783</f>
        <v>53984407</v>
      </c>
      <c r="M783" s="373">
        <f>[55]Perdinas!$E$564</f>
        <v>0</v>
      </c>
      <c r="N783" s="369">
        <f>M783+L783</f>
        <v>53984407</v>
      </c>
      <c r="O783" s="355">
        <f>N783-K783</f>
        <v>-130015593</v>
      </c>
      <c r="P783" s="388">
        <f t="shared" si="119"/>
        <v>29.339351630434784</v>
      </c>
      <c r="Q783" s="441"/>
      <c r="R783" s="422"/>
    </row>
    <row r="784" spans="1:18" s="189" customFormat="1" ht="12.05" customHeight="1">
      <c r="A784" s="293"/>
      <c r="B784" s="292"/>
      <c r="C784" s="292"/>
      <c r="D784" s="292"/>
      <c r="E784" s="292"/>
      <c r="F784" s="292"/>
      <c r="G784" s="253"/>
      <c r="H784" s="253"/>
      <c r="I784" s="253"/>
      <c r="J784" s="389"/>
      <c r="K784" s="357"/>
      <c r="L784" s="391" t="e">
        <f>[62]PerDinas!$N$784</f>
        <v>#REF!</v>
      </c>
      <c r="M784" s="357"/>
      <c r="N784" s="355"/>
      <c r="O784" s="355"/>
      <c r="P784" s="388"/>
      <c r="Q784" s="441"/>
      <c r="R784" s="422"/>
    </row>
    <row r="785" spans="1:19" s="189" customFormat="1" ht="12.05" customHeight="1">
      <c r="A785" s="1059"/>
      <c r="B785" s="578"/>
      <c r="C785" s="578"/>
      <c r="D785" s="578"/>
      <c r="E785" s="578"/>
      <c r="F785" s="578"/>
      <c r="J785" s="333"/>
      <c r="K785" s="334"/>
      <c r="L785" s="334"/>
      <c r="M785" s="334"/>
      <c r="N785" s="334"/>
      <c r="O785" s="334"/>
      <c r="P785" s="335"/>
      <c r="Q785" s="430"/>
      <c r="R785" s="422"/>
    </row>
    <row r="786" spans="1:19" s="244" customFormat="1" ht="12.05" customHeight="1">
      <c r="A786" s="283" t="s">
        <v>355</v>
      </c>
      <c r="B786" s="284" t="s">
        <v>460</v>
      </c>
      <c r="C786" s="284" t="s">
        <v>437</v>
      </c>
      <c r="D786" s="284" t="s">
        <v>440</v>
      </c>
      <c r="E786" s="284"/>
      <c r="F786" s="284"/>
      <c r="G786" s="298" t="s">
        <v>356</v>
      </c>
      <c r="H786" s="298"/>
      <c r="I786" s="298"/>
      <c r="J786" s="336">
        <f>+J788</f>
        <v>1922500000</v>
      </c>
      <c r="K786" s="337">
        <f>+K788</f>
        <v>1115290000</v>
      </c>
      <c r="L786" s="337">
        <f>+L788</f>
        <v>305862705</v>
      </c>
      <c r="M786" s="337">
        <f>+M788</f>
        <v>21356390</v>
      </c>
      <c r="N786" s="337">
        <f>M786+L786</f>
        <v>327219095</v>
      </c>
      <c r="O786" s="337">
        <f>+N786-K786</f>
        <v>-788070905</v>
      </c>
      <c r="P786" s="338">
        <f>+N786/K786*100</f>
        <v>29.339373167516968</v>
      </c>
      <c r="Q786" s="432"/>
      <c r="R786" s="639"/>
    </row>
    <row r="787" spans="1:19" s="189" customFormat="1" ht="12.05" customHeight="1">
      <c r="A787" s="471"/>
      <c r="B787" s="287"/>
      <c r="C787" s="287"/>
      <c r="D787" s="287"/>
      <c r="E787" s="287"/>
      <c r="F787" s="287"/>
      <c r="G787" s="288"/>
      <c r="H787" s="288"/>
      <c r="I787" s="288"/>
      <c r="J787" s="385"/>
      <c r="K787" s="386"/>
      <c r="L787" s="386"/>
      <c r="M787" s="386"/>
      <c r="N787" s="386"/>
      <c r="O787" s="386"/>
      <c r="P787" s="341"/>
      <c r="Q787" s="453"/>
      <c r="R787" s="422"/>
    </row>
    <row r="788" spans="1:19" s="189" customFormat="1" ht="12.05" customHeight="1">
      <c r="A788" s="293"/>
      <c r="B788" s="290">
        <v>4</v>
      </c>
      <c r="C788" s="290">
        <v>1</v>
      </c>
      <c r="D788" s="290"/>
      <c r="E788" s="290"/>
      <c r="F788" s="290"/>
      <c r="G788" s="291" t="s">
        <v>180</v>
      </c>
      <c r="H788" s="291"/>
      <c r="I788" s="291"/>
      <c r="J788" s="342">
        <f>+J790+J808</f>
        <v>1922500000</v>
      </c>
      <c r="K788" s="343">
        <f>+K790+K808</f>
        <v>1115290000</v>
      </c>
      <c r="L788" s="343">
        <f>+L790+L808</f>
        <v>305862705</v>
      </c>
      <c r="M788" s="343">
        <f>+M790+M808</f>
        <v>21356390</v>
      </c>
      <c r="N788" s="343">
        <f>+M788+L788</f>
        <v>327219095</v>
      </c>
      <c r="O788" s="343">
        <f>N788-K788</f>
        <v>-788070905</v>
      </c>
      <c r="P788" s="344">
        <f>N788/K788*100</f>
        <v>29.339373167516968</v>
      </c>
      <c r="Q788" s="437"/>
      <c r="R788" s="422"/>
    </row>
    <row r="789" spans="1:19" s="189" customFormat="1" ht="12.05" customHeight="1">
      <c r="A789" s="293"/>
      <c r="B789" s="292"/>
      <c r="C789" s="292"/>
      <c r="D789" s="292"/>
      <c r="E789" s="292"/>
      <c r="F789" s="292"/>
      <c r="G789" s="253"/>
      <c r="H789" s="253"/>
      <c r="I789" s="291"/>
      <c r="J789" s="345"/>
      <c r="K789" s="346"/>
      <c r="L789" s="346"/>
      <c r="M789" s="346"/>
      <c r="N789" s="346"/>
      <c r="O789" s="346"/>
      <c r="P789" s="347"/>
      <c r="Q789" s="438"/>
      <c r="R789" s="422"/>
    </row>
    <row r="790" spans="1:19" s="189" customFormat="1" ht="12.05" customHeight="1">
      <c r="A790" s="293"/>
      <c r="B790" s="290">
        <v>4</v>
      </c>
      <c r="C790" s="290">
        <v>1</v>
      </c>
      <c r="D790" s="290">
        <v>2</v>
      </c>
      <c r="E790" s="290"/>
      <c r="F790" s="290"/>
      <c r="G790" s="291" t="s">
        <v>106</v>
      </c>
      <c r="H790" s="291"/>
      <c r="I790" s="291"/>
      <c r="J790" s="348">
        <f>+J792</f>
        <v>617500000</v>
      </c>
      <c r="K790" s="349">
        <f>+K792</f>
        <v>1030500000</v>
      </c>
      <c r="L790" s="589">
        <f>+L792</f>
        <v>264167905</v>
      </c>
      <c r="M790" s="349">
        <f>+M792</f>
        <v>16257380</v>
      </c>
      <c r="N790" s="349">
        <f>+M790+L790</f>
        <v>280425285</v>
      </c>
      <c r="O790" s="349">
        <f>N790-K790</f>
        <v>-750074715</v>
      </c>
      <c r="P790" s="350">
        <f>N790/K790*100</f>
        <v>27.212545851528386</v>
      </c>
      <c r="Q790" s="448"/>
      <c r="R790" s="422"/>
    </row>
    <row r="791" spans="1:19" s="189" customFormat="1" ht="12.05" customHeight="1">
      <c r="A791" s="293"/>
      <c r="B791" s="292"/>
      <c r="C791" s="292"/>
      <c r="D791" s="292"/>
      <c r="E791" s="292"/>
      <c r="F791" s="292"/>
      <c r="G791" s="253"/>
      <c r="H791" s="253"/>
      <c r="I791" s="253"/>
      <c r="J791" s="354"/>
      <c r="K791" s="355"/>
      <c r="L791" s="360"/>
      <c r="M791" s="355"/>
      <c r="N791" s="355"/>
      <c r="O791" s="355"/>
      <c r="P791" s="388"/>
      <c r="Q791" s="441"/>
      <c r="R791" s="422"/>
    </row>
    <row r="792" spans="1:19" s="189" customFormat="1" ht="12.05" customHeight="1">
      <c r="A792" s="465"/>
      <c r="B792" s="296">
        <v>4</v>
      </c>
      <c r="C792" s="296">
        <v>1</v>
      </c>
      <c r="D792" s="296">
        <v>2</v>
      </c>
      <c r="E792" s="296" t="s">
        <v>438</v>
      </c>
      <c r="F792" s="296"/>
      <c r="G792" s="297" t="s">
        <v>374</v>
      </c>
      <c r="H792" s="297"/>
      <c r="I792" s="297"/>
      <c r="J792" s="342">
        <f>+J793+J799</f>
        <v>617500000</v>
      </c>
      <c r="K792" s="343">
        <f>+K793+K799</f>
        <v>1030500000</v>
      </c>
      <c r="L792" s="606">
        <f>+L793+L799</f>
        <v>264167905</v>
      </c>
      <c r="M792" s="343">
        <f>+M793+M799</f>
        <v>16257380</v>
      </c>
      <c r="N792" s="343">
        <f>+M792+L792</f>
        <v>280425285</v>
      </c>
      <c r="O792" s="343">
        <f t="shared" ref="O792:O797" si="121">N792-K792</f>
        <v>-750074715</v>
      </c>
      <c r="P792" s="344">
        <f t="shared" ref="P792:P797" si="122">N792/K792*100</f>
        <v>27.212545851528386</v>
      </c>
      <c r="Q792" s="642"/>
      <c r="R792" s="554"/>
    </row>
    <row r="793" spans="1:19" s="189" customFormat="1" ht="12.05" customHeight="1">
      <c r="A793" s="289"/>
      <c r="B793" s="292">
        <v>4</v>
      </c>
      <c r="C793" s="292">
        <v>1</v>
      </c>
      <c r="D793" s="292">
        <v>2</v>
      </c>
      <c r="E793" s="292" t="s">
        <v>438</v>
      </c>
      <c r="F793" s="292" t="s">
        <v>437</v>
      </c>
      <c r="G793" s="253" t="s">
        <v>64</v>
      </c>
      <c r="H793" s="253"/>
      <c r="I793" s="253"/>
      <c r="J793" s="387">
        <f>SUM(J794:J797)</f>
        <v>262500000</v>
      </c>
      <c r="K793" s="367">
        <f>SUM(K794:K797)</f>
        <v>785500000</v>
      </c>
      <c r="L793" s="1066">
        <f>SUM(L794:L797)</f>
        <v>186214600</v>
      </c>
      <c r="M793" s="367">
        <f>SUM(M794:M797)</f>
        <v>3486600</v>
      </c>
      <c r="N793" s="1067">
        <f>M793+L793</f>
        <v>189701200</v>
      </c>
      <c r="O793" s="371">
        <f t="shared" si="121"/>
        <v>-595798800</v>
      </c>
      <c r="P793" s="388">
        <f t="shared" si="122"/>
        <v>24.150375556970083</v>
      </c>
      <c r="Q793" s="438"/>
      <c r="R793" s="554"/>
      <c r="S793" s="240"/>
    </row>
    <row r="794" spans="1:19" s="189" customFormat="1" ht="12.05" customHeight="1">
      <c r="A794" s="293"/>
      <c r="B794" s="292"/>
      <c r="C794" s="292"/>
      <c r="D794" s="292"/>
      <c r="E794" s="292"/>
      <c r="F794" s="292"/>
      <c r="G794" s="253" t="s">
        <v>50</v>
      </c>
      <c r="H794" s="253"/>
      <c r="I794" s="253" t="s">
        <v>357</v>
      </c>
      <c r="J794" s="354">
        <v>20000000</v>
      </c>
      <c r="K794" s="373">
        <f>'[57]TARGET MURNI DAN PERUBAHAN'!$E$474</f>
        <v>40000000</v>
      </c>
      <c r="L794" s="360">
        <f>[62]PerDinas!$N$794</f>
        <v>43126500</v>
      </c>
      <c r="M794" s="373">
        <f>[55]Perdinas!$E$569</f>
        <v>1721100</v>
      </c>
      <c r="N794" s="771">
        <f>M794+L794</f>
        <v>44847600</v>
      </c>
      <c r="O794" s="355">
        <f t="shared" si="121"/>
        <v>4847600</v>
      </c>
      <c r="P794" s="388">
        <f t="shared" si="122"/>
        <v>112.11899999999999</v>
      </c>
      <c r="Q794" s="441"/>
      <c r="R794" s="554"/>
      <c r="S794" s="240"/>
    </row>
    <row r="795" spans="1:19" s="189" customFormat="1" ht="12.05" customHeight="1">
      <c r="A795" s="293"/>
      <c r="B795" s="292"/>
      <c r="C795" s="292"/>
      <c r="D795" s="292"/>
      <c r="E795" s="292"/>
      <c r="F795" s="292"/>
      <c r="G795" s="253" t="s">
        <v>50</v>
      </c>
      <c r="H795" s="253"/>
      <c r="I795" s="253" t="s">
        <v>1005</v>
      </c>
      <c r="J795" s="354">
        <v>10000000</v>
      </c>
      <c r="K795" s="373">
        <f>'[57]TARGET MURNI DAN PERUBAHAN'!$E$475</f>
        <v>18000000</v>
      </c>
      <c r="L795" s="360">
        <f>[62]PerDinas!$N$795</f>
        <v>22957100</v>
      </c>
      <c r="M795" s="373">
        <f>[55]Perdinas!$E$570</f>
        <v>1765500</v>
      </c>
      <c r="N795" s="771">
        <f>M795+L795</f>
        <v>24722600</v>
      </c>
      <c r="O795" s="355">
        <f t="shared" si="121"/>
        <v>6722600</v>
      </c>
      <c r="P795" s="388">
        <f t="shared" si="122"/>
        <v>137.34777777777779</v>
      </c>
      <c r="Q795" s="441"/>
      <c r="R795" s="554"/>
      <c r="S795" s="240"/>
    </row>
    <row r="796" spans="1:19" s="189" customFormat="1" ht="12.05" customHeight="1">
      <c r="A796" s="293"/>
      <c r="B796" s="292"/>
      <c r="C796" s="292"/>
      <c r="D796" s="292"/>
      <c r="E796" s="292"/>
      <c r="F796" s="292"/>
      <c r="G796" s="253" t="s">
        <v>50</v>
      </c>
      <c r="H796" s="253"/>
      <c r="I796" s="253" t="s">
        <v>359</v>
      </c>
      <c r="J796" s="354">
        <v>232500000</v>
      </c>
      <c r="K796" s="373">
        <f>'[57]TARGET MURNI DAN PERUBAHAN'!$E$476</f>
        <v>722500000</v>
      </c>
      <c r="L796" s="360">
        <f>[62]PerDinas!$N$796</f>
        <v>113306000</v>
      </c>
      <c r="M796" s="373">
        <f>[55]Perdinas!$E$571</f>
        <v>0</v>
      </c>
      <c r="N796" s="771">
        <f>M796+L796</f>
        <v>113306000</v>
      </c>
      <c r="O796" s="355">
        <f t="shared" si="121"/>
        <v>-609194000</v>
      </c>
      <c r="P796" s="388">
        <f t="shared" si="122"/>
        <v>15.682491349480967</v>
      </c>
      <c r="Q796" s="441"/>
      <c r="R796" s="554"/>
      <c r="S796" s="240"/>
    </row>
    <row r="797" spans="1:19" s="189" customFormat="1" ht="12.05" customHeight="1">
      <c r="A797" s="293"/>
      <c r="B797" s="292"/>
      <c r="C797" s="292"/>
      <c r="D797" s="292"/>
      <c r="E797" s="292"/>
      <c r="F797" s="292"/>
      <c r="G797" s="253" t="s">
        <v>50</v>
      </c>
      <c r="H797" s="253"/>
      <c r="I797" s="253" t="s">
        <v>360</v>
      </c>
      <c r="J797" s="354">
        <v>0</v>
      </c>
      <c r="K797" s="373">
        <f>'[57]TARGET MURNI DAN PERUBAHAN'!$E$477</f>
        <v>5000000</v>
      </c>
      <c r="L797" s="360">
        <f>[62]PerDinas!$N$797</f>
        <v>6825000</v>
      </c>
      <c r="M797" s="373">
        <f>[55]Perdinas!$E$572</f>
        <v>0</v>
      </c>
      <c r="N797" s="355">
        <f>M797+L797</f>
        <v>6825000</v>
      </c>
      <c r="O797" s="355">
        <f t="shared" si="121"/>
        <v>1825000</v>
      </c>
      <c r="P797" s="388">
        <f t="shared" si="122"/>
        <v>136.5</v>
      </c>
      <c r="Q797" s="441"/>
      <c r="R797" s="554"/>
      <c r="S797" s="240"/>
    </row>
    <row r="798" spans="1:19" s="189" customFormat="1" ht="12.05" customHeight="1">
      <c r="A798" s="293"/>
      <c r="B798" s="292"/>
      <c r="C798" s="292"/>
      <c r="D798" s="292"/>
      <c r="E798" s="292"/>
      <c r="F798" s="292"/>
      <c r="G798" s="253"/>
      <c r="H798" s="253"/>
      <c r="I798" s="253"/>
      <c r="J798" s="374"/>
      <c r="K798" s="375"/>
      <c r="L798" s="377"/>
      <c r="M798" s="375"/>
      <c r="N798" s="355"/>
      <c r="O798" s="355"/>
      <c r="P798" s="388"/>
      <c r="Q798" s="448"/>
      <c r="R798" s="554"/>
      <c r="S798" s="240"/>
    </row>
    <row r="799" spans="1:19" s="189" customFormat="1" ht="12.05" customHeight="1">
      <c r="A799" s="293"/>
      <c r="B799" s="292">
        <v>4</v>
      </c>
      <c r="C799" s="292">
        <v>1</v>
      </c>
      <c r="D799" s="292">
        <v>2</v>
      </c>
      <c r="E799" s="292" t="s">
        <v>438</v>
      </c>
      <c r="F799" s="292" t="s">
        <v>448</v>
      </c>
      <c r="G799" s="253" t="s">
        <v>361</v>
      </c>
      <c r="H799" s="253"/>
      <c r="I799" s="253"/>
      <c r="J799" s="685">
        <f>SUM(J800:J806)</f>
        <v>355000000</v>
      </c>
      <c r="K799" s="686">
        <f>SUM(K800:K806)</f>
        <v>245000000</v>
      </c>
      <c r="L799" s="687">
        <f>SUM(L800:L806)</f>
        <v>77953305</v>
      </c>
      <c r="M799" s="686">
        <f>SUM(M800:M806)</f>
        <v>12770780</v>
      </c>
      <c r="N799" s="1068">
        <f>SUM(N800:N806)</f>
        <v>90724085</v>
      </c>
      <c r="O799" s="476">
        <f t="shared" ref="O799:O806" si="123">N799-K799</f>
        <v>-154275915</v>
      </c>
      <c r="P799" s="671">
        <f t="shared" ref="P799:P805" si="124">N799/K799*100</f>
        <v>37.030238775510206</v>
      </c>
      <c r="Q799" s="448"/>
      <c r="R799" s="554"/>
      <c r="S799" s="240"/>
    </row>
    <row r="800" spans="1:19" s="189" customFormat="1" ht="12.05" customHeight="1">
      <c r="A800" s="293"/>
      <c r="B800" s="292"/>
      <c r="C800" s="292"/>
      <c r="D800" s="292"/>
      <c r="E800" s="292"/>
      <c r="F800" s="292"/>
      <c r="G800" s="253" t="s">
        <v>50</v>
      </c>
      <c r="H800" s="253"/>
      <c r="I800" s="253" t="s">
        <v>1006</v>
      </c>
      <c r="J800" s="389">
        <v>0</v>
      </c>
      <c r="K800" s="355">
        <v>0</v>
      </c>
      <c r="L800" s="391">
        <f>[62]PerDinas!$N$800</f>
        <v>0</v>
      </c>
      <c r="M800" s="357">
        <f>[55]Perdinas!$E$575</f>
        <v>0</v>
      </c>
      <c r="N800" s="357">
        <f t="shared" ref="N800:N806" si="125">M800+L800</f>
        <v>0</v>
      </c>
      <c r="O800" s="357">
        <f t="shared" si="123"/>
        <v>0</v>
      </c>
      <c r="P800" s="358" t="e">
        <f t="shared" si="124"/>
        <v>#DIV/0!</v>
      </c>
      <c r="Q800" s="442"/>
      <c r="R800" s="554"/>
      <c r="S800" s="240"/>
    </row>
    <row r="801" spans="1:19" s="189" customFormat="1" ht="12.05" customHeight="1">
      <c r="A801" s="293"/>
      <c r="B801" s="292"/>
      <c r="C801" s="292"/>
      <c r="D801" s="292"/>
      <c r="E801" s="292"/>
      <c r="F801" s="292"/>
      <c r="G801" s="253" t="s">
        <v>50</v>
      </c>
      <c r="H801" s="253"/>
      <c r="I801" s="253" t="s">
        <v>1007</v>
      </c>
      <c r="J801" s="354">
        <v>75000000</v>
      </c>
      <c r="K801" s="359">
        <f>'[57]TARGET MURNI DAN PERUBAHAN'!$E$481</f>
        <v>75000000</v>
      </c>
      <c r="L801" s="391">
        <f>[62]PerDinas!$N$801</f>
        <v>47723500</v>
      </c>
      <c r="M801" s="359">
        <f>[55]Perdinas!$E$576</f>
        <v>0</v>
      </c>
      <c r="N801" s="771">
        <f t="shared" si="125"/>
        <v>47723500</v>
      </c>
      <c r="O801" s="355">
        <f t="shared" si="123"/>
        <v>-27276500</v>
      </c>
      <c r="P801" s="388">
        <f t="shared" si="124"/>
        <v>63.63133333333333</v>
      </c>
      <c r="Q801" s="441"/>
      <c r="R801" s="554"/>
      <c r="S801" s="240"/>
    </row>
    <row r="802" spans="1:19" s="189" customFormat="1" ht="12.05" customHeight="1">
      <c r="A802" s="293"/>
      <c r="B802" s="292"/>
      <c r="C802" s="292"/>
      <c r="D802" s="292"/>
      <c r="E802" s="292"/>
      <c r="F802" s="292"/>
      <c r="G802" s="253" t="s">
        <v>50</v>
      </c>
      <c r="H802" s="253"/>
      <c r="I802" s="253" t="s">
        <v>364</v>
      </c>
      <c r="J802" s="354">
        <v>19000000</v>
      </c>
      <c r="K802" s="359">
        <f>'[57]TARGET MURNI DAN PERUBAHAN'!$E$482</f>
        <v>19000000</v>
      </c>
      <c r="L802" s="391">
        <f>[62]PerDinas!$N$802</f>
        <v>25729805</v>
      </c>
      <c r="M802" s="359">
        <f>[55]Perdinas!$E$577</f>
        <v>12770780</v>
      </c>
      <c r="N802" s="771">
        <f t="shared" si="125"/>
        <v>38500585</v>
      </c>
      <c r="O802" s="355">
        <f t="shared" si="123"/>
        <v>19500585</v>
      </c>
      <c r="P802" s="388">
        <f t="shared" si="124"/>
        <v>202.63465789473685</v>
      </c>
      <c r="Q802" s="441"/>
      <c r="R802" s="554"/>
      <c r="S802" s="240"/>
    </row>
    <row r="803" spans="1:19" s="189" customFormat="1" ht="12.05" customHeight="1">
      <c r="A803" s="293"/>
      <c r="B803" s="292"/>
      <c r="C803" s="292"/>
      <c r="D803" s="292"/>
      <c r="E803" s="292"/>
      <c r="F803" s="292"/>
      <c r="G803" s="253" t="s">
        <v>50</v>
      </c>
      <c r="H803" s="253"/>
      <c r="I803" s="253" t="s">
        <v>365</v>
      </c>
      <c r="J803" s="354">
        <v>125000000</v>
      </c>
      <c r="K803" s="359">
        <f>'[57]TARGET MURNI DAN PERUBAHAN'!$E$483</f>
        <v>125000000</v>
      </c>
      <c r="L803" s="391">
        <f>[62]PerDinas!$N$803</f>
        <v>4500000</v>
      </c>
      <c r="M803" s="359">
        <f>[55]Perdinas!$E$578</f>
        <v>0</v>
      </c>
      <c r="N803" s="771">
        <f t="shared" si="125"/>
        <v>4500000</v>
      </c>
      <c r="O803" s="355">
        <f t="shared" si="123"/>
        <v>-120500000</v>
      </c>
      <c r="P803" s="388">
        <f t="shared" si="124"/>
        <v>3.5999999999999996</v>
      </c>
      <c r="Q803" s="441"/>
      <c r="R803" s="554"/>
      <c r="S803" s="240"/>
    </row>
    <row r="804" spans="1:19" s="189" customFormat="1" ht="12.05" customHeight="1">
      <c r="A804" s="293"/>
      <c r="B804" s="292"/>
      <c r="C804" s="292"/>
      <c r="D804" s="292"/>
      <c r="E804" s="292"/>
      <c r="F804" s="292"/>
      <c r="G804" s="253" t="s">
        <v>50</v>
      </c>
      <c r="H804" s="253"/>
      <c r="I804" s="253" t="s">
        <v>366</v>
      </c>
      <c r="J804" s="354">
        <v>26000000</v>
      </c>
      <c r="K804" s="359">
        <f>'[57]TARGET MURNI DAN PERUBAHAN'!$E$484</f>
        <v>26000000</v>
      </c>
      <c r="L804" s="391">
        <f>[62]PerDinas!$N$804</f>
        <v>0</v>
      </c>
      <c r="M804" s="359">
        <f>[55]Perdinas!$E$579</f>
        <v>0</v>
      </c>
      <c r="N804" s="771">
        <f t="shared" si="125"/>
        <v>0</v>
      </c>
      <c r="O804" s="355">
        <f t="shared" si="123"/>
        <v>-26000000</v>
      </c>
      <c r="P804" s="388">
        <f t="shared" si="124"/>
        <v>0</v>
      </c>
      <c r="Q804" s="441"/>
      <c r="R804" s="554"/>
      <c r="S804" s="240"/>
    </row>
    <row r="805" spans="1:19" s="189" customFormat="1" ht="12.05" customHeight="1">
      <c r="A805" s="293"/>
      <c r="B805" s="292"/>
      <c r="C805" s="292"/>
      <c r="D805" s="292"/>
      <c r="E805" s="292"/>
      <c r="F805" s="292"/>
      <c r="G805" s="1003" t="s">
        <v>50</v>
      </c>
      <c r="H805" s="1003"/>
      <c r="I805" s="1003" t="s">
        <v>367</v>
      </c>
      <c r="J805" s="1041">
        <v>110000000</v>
      </c>
      <c r="K805" s="359">
        <f>'[57]TARGET MURNI DAN PERUBAHAN'!$E$485</f>
        <v>0</v>
      </c>
      <c r="L805" s="391">
        <f>[62]PerDinas!$N$805</f>
        <v>0</v>
      </c>
      <c r="M805" s="359">
        <f>[55]Perdinas!$E$580</f>
        <v>0</v>
      </c>
      <c r="N805" s="360">
        <f t="shared" si="125"/>
        <v>0</v>
      </c>
      <c r="O805" s="360">
        <f t="shared" si="123"/>
        <v>0</v>
      </c>
      <c r="P805" s="1042" t="e">
        <f t="shared" si="124"/>
        <v>#DIV/0!</v>
      </c>
      <c r="Q805" s="795"/>
      <c r="R805" s="554"/>
      <c r="S805" s="240"/>
    </row>
    <row r="806" spans="1:19" s="189" customFormat="1" ht="12.05" customHeight="1">
      <c r="A806" s="293"/>
      <c r="B806" s="292"/>
      <c r="C806" s="292"/>
      <c r="D806" s="292"/>
      <c r="E806" s="292"/>
      <c r="F806" s="292"/>
      <c r="G806" s="253" t="s">
        <v>50</v>
      </c>
      <c r="H806" s="253"/>
      <c r="I806" s="253" t="s">
        <v>368</v>
      </c>
      <c r="J806" s="354">
        <v>0</v>
      </c>
      <c r="K806" s="359">
        <f>'[57]TARGET MURNI DAN PERUBAHAN'!$E$486</f>
        <v>0</v>
      </c>
      <c r="L806" s="391">
        <f>[62]PerDinas!$N$806</f>
        <v>0</v>
      </c>
      <c r="M806" s="359">
        <f>[55]Perdinas!$E$581</f>
        <v>0</v>
      </c>
      <c r="N806" s="355">
        <f t="shared" si="125"/>
        <v>0</v>
      </c>
      <c r="O806" s="355">
        <f t="shared" si="123"/>
        <v>0</v>
      </c>
      <c r="P806" s="388"/>
      <c r="Q806" s="441"/>
      <c r="R806" s="554"/>
      <c r="S806" s="240"/>
    </row>
    <row r="807" spans="1:19" s="189" customFormat="1" ht="12.05" customHeight="1">
      <c r="A807" s="293"/>
      <c r="B807" s="292"/>
      <c r="C807" s="292"/>
      <c r="D807" s="292"/>
      <c r="E807" s="292"/>
      <c r="F807" s="292"/>
      <c r="G807" s="253"/>
      <c r="H807" s="253"/>
      <c r="I807" s="253"/>
      <c r="J807" s="374"/>
      <c r="K807" s="375"/>
      <c r="L807" s="377"/>
      <c r="M807" s="375"/>
      <c r="N807" s="375"/>
      <c r="O807" s="375"/>
      <c r="P807" s="600"/>
      <c r="Q807" s="448"/>
      <c r="R807" s="554"/>
      <c r="S807" s="240"/>
    </row>
    <row r="808" spans="1:19" s="189" customFormat="1" ht="12.05" customHeight="1">
      <c r="A808" s="293"/>
      <c r="B808" s="290">
        <v>4</v>
      </c>
      <c r="C808" s="290">
        <v>1</v>
      </c>
      <c r="D808" s="290">
        <v>4</v>
      </c>
      <c r="E808" s="290"/>
      <c r="F808" s="290"/>
      <c r="G808" s="291" t="s">
        <v>71</v>
      </c>
      <c r="H808" s="291"/>
      <c r="I808" s="291"/>
      <c r="J808" s="601">
        <f>J809+J814</f>
        <v>1305000000</v>
      </c>
      <c r="K808" s="602">
        <f>K809+K814+K810+K811</f>
        <v>84790000</v>
      </c>
      <c r="L808" s="602">
        <f>L809+L814+L810+L811</f>
        <v>41694800</v>
      </c>
      <c r="M808" s="602">
        <f>M809+M814+M810+M811</f>
        <v>5099010</v>
      </c>
      <c r="N808" s="1069">
        <f>M808+L808</f>
        <v>46793810</v>
      </c>
      <c r="O808" s="395">
        <f>N808-K808</f>
        <v>-37996190</v>
      </c>
      <c r="P808" s="590">
        <f>N808/K808*100</f>
        <v>55.187887722608799</v>
      </c>
      <c r="Q808" s="1075"/>
      <c r="R808" s="554"/>
      <c r="S808" s="240"/>
    </row>
    <row r="809" spans="1:19" s="189" customFormat="1" ht="12.05" customHeight="1">
      <c r="A809" s="289"/>
      <c r="B809" s="292">
        <v>4</v>
      </c>
      <c r="C809" s="292">
        <v>1</v>
      </c>
      <c r="D809" s="292">
        <v>4</v>
      </c>
      <c r="E809" s="292" t="s">
        <v>444</v>
      </c>
      <c r="F809" s="292"/>
      <c r="G809" s="253" t="s">
        <v>222</v>
      </c>
      <c r="H809" s="253"/>
      <c r="I809" s="253"/>
      <c r="J809" s="484">
        <f>+J812</f>
        <v>0</v>
      </c>
      <c r="K809" s="485">
        <f>+K812</f>
        <v>0</v>
      </c>
      <c r="L809" s="485">
        <f>+L812</f>
        <v>16067500</v>
      </c>
      <c r="M809" s="485">
        <f>+M812</f>
        <v>0</v>
      </c>
      <c r="N809" s="485">
        <f>M809+L809</f>
        <v>16067500</v>
      </c>
      <c r="O809" s="412">
        <f>N809-K809</f>
        <v>16067500</v>
      </c>
      <c r="P809" s="487">
        <v>0</v>
      </c>
      <c r="Q809" s="541"/>
      <c r="R809" s="554"/>
      <c r="S809" s="240"/>
    </row>
    <row r="810" spans="1:19" s="189" customFormat="1" ht="12.05" customHeight="1">
      <c r="A810" s="289"/>
      <c r="B810" s="290">
        <v>4</v>
      </c>
      <c r="C810" s="290">
        <v>1</v>
      </c>
      <c r="D810" s="290">
        <v>4</v>
      </c>
      <c r="E810" s="290" t="s">
        <v>441</v>
      </c>
      <c r="F810" s="290"/>
      <c r="G810" s="291" t="s">
        <v>1008</v>
      </c>
      <c r="H810" s="291"/>
      <c r="I810" s="291"/>
      <c r="J810" s="370">
        <v>0</v>
      </c>
      <c r="K810" s="355">
        <v>0</v>
      </c>
      <c r="L810" s="360">
        <f>[62]PerDinas!$N$810</f>
        <v>11624100</v>
      </c>
      <c r="M810" s="355">
        <f>[55]Perdinas!$E$584</f>
        <v>5099010</v>
      </c>
      <c r="N810" s="369">
        <f>M810+L810</f>
        <v>16723110</v>
      </c>
      <c r="O810" s="355">
        <f>N810-K810</f>
        <v>16723110</v>
      </c>
      <c r="P810" s="388"/>
      <c r="Q810" s="442"/>
      <c r="R810" s="554"/>
      <c r="S810" s="240"/>
    </row>
    <row r="811" spans="1:19" s="189" customFormat="1" ht="12.05" customHeight="1">
      <c r="A811" s="289"/>
      <c r="B811" s="292">
        <v>4</v>
      </c>
      <c r="C811" s="292">
        <v>1</v>
      </c>
      <c r="D811" s="292">
        <v>4</v>
      </c>
      <c r="E811" s="292" t="s">
        <v>444</v>
      </c>
      <c r="F811" s="292" t="s">
        <v>445</v>
      </c>
      <c r="G811" s="909" t="s">
        <v>1009</v>
      </c>
      <c r="H811" s="253"/>
      <c r="I811" s="253"/>
      <c r="J811" s="354">
        <v>0</v>
      </c>
      <c r="K811" s="355">
        <f>'[57]TARGET MURNI DAN PERUBAHAN'!$E$489</f>
        <v>84140000</v>
      </c>
      <c r="L811" s="360">
        <v>0</v>
      </c>
      <c r="M811" s="355">
        <f>[55]Perdinas!$E$586</f>
        <v>0</v>
      </c>
      <c r="N811" s="355">
        <f>M811+L811</f>
        <v>0</v>
      </c>
      <c r="O811" s="355">
        <f>N811-K811</f>
        <v>-84140000</v>
      </c>
      <c r="P811" s="388"/>
      <c r="Q811" s="441"/>
      <c r="R811" s="554"/>
      <c r="S811" s="240"/>
    </row>
    <row r="812" spans="1:19" s="189" customFormat="1" ht="12.05" customHeight="1">
      <c r="A812" s="289"/>
      <c r="B812" s="292">
        <v>4</v>
      </c>
      <c r="C812" s="292">
        <v>1</v>
      </c>
      <c r="D812" s="292">
        <v>4</v>
      </c>
      <c r="E812" s="292" t="s">
        <v>444</v>
      </c>
      <c r="F812" s="292" t="s">
        <v>441</v>
      </c>
      <c r="G812" s="253" t="s">
        <v>75</v>
      </c>
      <c r="H812" s="253"/>
      <c r="I812" s="253"/>
      <c r="J812" s="354">
        <v>0</v>
      </c>
      <c r="K812" s="373">
        <f>'[57]TARGET MURNI DAN PERUBAHAN'!$E$491</f>
        <v>0</v>
      </c>
      <c r="L812" s="360">
        <f>[62]PerDinas!$N$812</f>
        <v>16067500</v>
      </c>
      <c r="M812" s="373">
        <f>[55]Perdinas!$E$587</f>
        <v>0</v>
      </c>
      <c r="N812" s="369">
        <f>M812+L812</f>
        <v>16067500</v>
      </c>
      <c r="O812" s="355">
        <f>N812-K812</f>
        <v>16067500</v>
      </c>
      <c r="P812" s="388"/>
      <c r="Q812" s="1076"/>
      <c r="R812" s="554"/>
      <c r="S812" s="240"/>
    </row>
    <row r="813" spans="1:19" s="189" customFormat="1" ht="12.05" customHeight="1">
      <c r="A813" s="289"/>
      <c r="B813" s="292"/>
      <c r="C813" s="292"/>
      <c r="D813" s="292"/>
      <c r="E813" s="292"/>
      <c r="F813" s="292"/>
      <c r="G813" s="410"/>
      <c r="H813" s="410"/>
      <c r="I813" s="410"/>
      <c r="J813" s="354"/>
      <c r="K813" s="355"/>
      <c r="L813" s="360"/>
      <c r="M813" s="355"/>
      <c r="N813" s="355"/>
      <c r="O813" s="355"/>
      <c r="P813" s="388"/>
      <c r="Q813" s="441"/>
      <c r="R813" s="554"/>
      <c r="S813" s="240"/>
    </row>
    <row r="814" spans="1:19" s="189" customFormat="1" ht="12.05" customHeight="1">
      <c r="A814" s="293"/>
      <c r="B814" s="292">
        <v>4</v>
      </c>
      <c r="C814" s="292">
        <v>1</v>
      </c>
      <c r="D814" s="292">
        <v>4</v>
      </c>
      <c r="E814" s="292" t="s">
        <v>948</v>
      </c>
      <c r="F814" s="292"/>
      <c r="G814" s="410" t="s">
        <v>321</v>
      </c>
      <c r="H814" s="410"/>
      <c r="I814" s="410"/>
      <c r="J814" s="489">
        <f>+J815</f>
        <v>1305000000</v>
      </c>
      <c r="K814" s="512">
        <f>+K815</f>
        <v>650000</v>
      </c>
      <c r="L814" s="616">
        <f>+L815</f>
        <v>14003200</v>
      </c>
      <c r="M814" s="512">
        <f>+M815</f>
        <v>0</v>
      </c>
      <c r="N814" s="412">
        <f>+M814+L814</f>
        <v>14003200</v>
      </c>
      <c r="O814" s="412">
        <f>N814-K814</f>
        <v>13353200</v>
      </c>
      <c r="P814" s="487">
        <v>0</v>
      </c>
      <c r="Q814" s="647"/>
      <c r="R814" s="554"/>
      <c r="S814" s="240"/>
    </row>
    <row r="815" spans="1:19" s="189" customFormat="1" ht="12.05" customHeight="1">
      <c r="A815" s="293"/>
      <c r="B815" s="292">
        <v>4</v>
      </c>
      <c r="C815" s="292">
        <v>1</v>
      </c>
      <c r="D815" s="292">
        <v>4</v>
      </c>
      <c r="E815" s="292" t="s">
        <v>948</v>
      </c>
      <c r="F815" s="292" t="s">
        <v>437</v>
      </c>
      <c r="G815" s="253" t="s">
        <v>85</v>
      </c>
      <c r="H815" s="253"/>
      <c r="I815" s="253"/>
      <c r="J815" s="494">
        <f>+J816</f>
        <v>1305000000</v>
      </c>
      <c r="K815" s="495">
        <f>+K816</f>
        <v>650000</v>
      </c>
      <c r="L815" s="689">
        <f>+L816</f>
        <v>14003200</v>
      </c>
      <c r="M815" s="496">
        <f>+M816+M817</f>
        <v>0</v>
      </c>
      <c r="N815" s="497">
        <f>M815+L815</f>
        <v>14003200</v>
      </c>
      <c r="O815" s="497">
        <f>N815-K815</f>
        <v>13353200</v>
      </c>
      <c r="P815" s="498">
        <v>0</v>
      </c>
      <c r="Q815" s="548"/>
      <c r="R815" s="554"/>
      <c r="S815" s="240"/>
    </row>
    <row r="816" spans="1:19" s="189" customFormat="1" ht="12.05" customHeight="1">
      <c r="A816" s="293"/>
      <c r="B816" s="292"/>
      <c r="C816" s="292"/>
      <c r="D816" s="292"/>
      <c r="E816" s="292"/>
      <c r="F816" s="292"/>
      <c r="G816" s="1003" t="s">
        <v>50</v>
      </c>
      <c r="H816" s="1003"/>
      <c r="I816" s="1070" t="s">
        <v>85</v>
      </c>
      <c r="J816" s="1071">
        <v>1305000000</v>
      </c>
      <c r="K816" s="1019">
        <f>'[57]TARGET MURNI DAN PERUBAHAN'!$E$492</f>
        <v>650000</v>
      </c>
      <c r="L816" s="377">
        <f>[62]PerDinas!$N$816</f>
        <v>14003200</v>
      </c>
      <c r="M816" s="1019">
        <f>[55]Perdinas!$E$588</f>
        <v>0</v>
      </c>
      <c r="N816" s="369">
        <f>M816+L816</f>
        <v>14003200</v>
      </c>
      <c r="O816" s="360">
        <f>N816-K816</f>
        <v>13353200</v>
      </c>
      <c r="P816" s="1072">
        <f>N816/K816*100</f>
        <v>2154.3384615384616</v>
      </c>
      <c r="Q816" s="728"/>
      <c r="R816" s="554"/>
      <c r="S816" s="240"/>
    </row>
    <row r="817" spans="1:18" s="245" customFormat="1" ht="12.05" customHeight="1">
      <c r="A817" s="472"/>
      <c r="B817" s="305"/>
      <c r="C817" s="305"/>
      <c r="D817" s="305"/>
      <c r="E817" s="305"/>
      <c r="F817" s="305"/>
      <c r="G817" s="2776" t="s">
        <v>50</v>
      </c>
      <c r="H817" s="306"/>
      <c r="I817" s="306"/>
      <c r="J817" s="482"/>
      <c r="K817" s="404"/>
      <c r="L817" s="673"/>
      <c r="M817" s="404"/>
      <c r="N817" s="380"/>
      <c r="O817" s="404"/>
      <c r="P817" s="483"/>
      <c r="Q817" s="456"/>
      <c r="R817" s="1077"/>
    </row>
    <row r="818" spans="1:18" s="244" customFormat="1" ht="12.05" customHeight="1">
      <c r="A818" s="283" t="s">
        <v>370</v>
      </c>
      <c r="B818" s="284" t="s">
        <v>460</v>
      </c>
      <c r="C818" s="284" t="s">
        <v>438</v>
      </c>
      <c r="D818" s="284" t="s">
        <v>437</v>
      </c>
      <c r="E818" s="284"/>
      <c r="F818" s="284"/>
      <c r="G818" s="298" t="s">
        <v>887</v>
      </c>
      <c r="H818" s="298"/>
      <c r="I818" s="298"/>
      <c r="J818" s="336">
        <f>+J820</f>
        <v>23000000</v>
      </c>
      <c r="K818" s="337">
        <f>+K820</f>
        <v>25900000</v>
      </c>
      <c r="L818" s="337">
        <f>+L820</f>
        <v>59090401.5</v>
      </c>
      <c r="M818" s="337">
        <f>+M820</f>
        <v>2000000</v>
      </c>
      <c r="N818" s="337">
        <f>M818+L818</f>
        <v>61090401.5</v>
      </c>
      <c r="O818" s="337">
        <f>+N818-K818</f>
        <v>35190401.5</v>
      </c>
      <c r="P818" s="338">
        <f>+N818/K818*100</f>
        <v>235.87027606177605</v>
      </c>
      <c r="Q818" s="432"/>
      <c r="R818" s="1078"/>
    </row>
    <row r="819" spans="1:18" s="189" customFormat="1" ht="12.05" customHeight="1">
      <c r="A819" s="471"/>
      <c r="B819" s="287"/>
      <c r="C819" s="287"/>
      <c r="D819" s="287"/>
      <c r="E819" s="287"/>
      <c r="F819" s="287"/>
      <c r="G819" s="288"/>
      <c r="H819" s="288"/>
      <c r="I819" s="288"/>
      <c r="J819" s="385"/>
      <c r="K819" s="386"/>
      <c r="L819" s="386"/>
      <c r="M819" s="386"/>
      <c r="N819" s="386"/>
      <c r="O819" s="386"/>
      <c r="P819" s="341"/>
      <c r="Q819" s="453"/>
      <c r="R819" s="554"/>
    </row>
    <row r="820" spans="1:18" s="189" customFormat="1" ht="12.05" customHeight="1">
      <c r="A820" s="293"/>
      <c r="B820" s="290">
        <v>4</v>
      </c>
      <c r="C820" s="290">
        <v>1</v>
      </c>
      <c r="D820" s="290"/>
      <c r="E820" s="290"/>
      <c r="F820" s="290"/>
      <c r="G820" s="291" t="s">
        <v>180</v>
      </c>
      <c r="H820" s="291"/>
      <c r="I820" s="291"/>
      <c r="J820" s="342">
        <f>+J822+J826</f>
        <v>23000000</v>
      </c>
      <c r="K820" s="343">
        <f>+K822+K826</f>
        <v>25900000</v>
      </c>
      <c r="L820" s="343">
        <f>+L822+L826</f>
        <v>59090401.5</v>
      </c>
      <c r="M820" s="343">
        <f>+M822+M826</f>
        <v>2000000</v>
      </c>
      <c r="N820" s="343">
        <f>+M820+L820</f>
        <v>61090401.5</v>
      </c>
      <c r="O820" s="343">
        <f>N820-K820</f>
        <v>35190401.5</v>
      </c>
      <c r="P820" s="344">
        <f>N820/K820*100</f>
        <v>235.87027606177605</v>
      </c>
      <c r="Q820" s="437"/>
      <c r="R820" s="554"/>
    </row>
    <row r="821" spans="1:18" s="189" customFormat="1" ht="12.05" customHeight="1">
      <c r="A821" s="293"/>
      <c r="B821" s="292"/>
      <c r="C821" s="292"/>
      <c r="D821" s="292"/>
      <c r="E821" s="292"/>
      <c r="F821" s="292"/>
      <c r="G821" s="253"/>
      <c r="H821" s="253"/>
      <c r="I821" s="291"/>
      <c r="J821" s="345"/>
      <c r="K821" s="346"/>
      <c r="L821" s="660"/>
      <c r="M821" s="346"/>
      <c r="N821" s="346"/>
      <c r="O821" s="346"/>
      <c r="P821" s="347"/>
      <c r="Q821" s="438"/>
      <c r="R821" s="554"/>
    </row>
    <row r="822" spans="1:18" s="189" customFormat="1" ht="12.05" customHeight="1">
      <c r="A822" s="293"/>
      <c r="B822" s="290">
        <v>4</v>
      </c>
      <c r="C822" s="290">
        <v>1</v>
      </c>
      <c r="D822" s="290">
        <v>2</v>
      </c>
      <c r="E822" s="290"/>
      <c r="F822" s="290"/>
      <c r="G822" s="291" t="s">
        <v>106</v>
      </c>
      <c r="H822" s="291"/>
      <c r="I822" s="291"/>
      <c r="J822" s="348">
        <f>+J823</f>
        <v>0</v>
      </c>
      <c r="K822" s="349">
        <f>+K823</f>
        <v>0</v>
      </c>
      <c r="L822" s="589">
        <f>+L823</f>
        <v>0</v>
      </c>
      <c r="M822" s="349">
        <f>+M823</f>
        <v>0</v>
      </c>
      <c r="N822" s="349">
        <f>+N823</f>
        <v>0</v>
      </c>
      <c r="O822" s="349">
        <f>N822-K822</f>
        <v>0</v>
      </c>
      <c r="P822" s="350" t="e">
        <f>N822/K822*100</f>
        <v>#DIV/0!</v>
      </c>
      <c r="Q822" s="439"/>
      <c r="R822" s="554"/>
    </row>
    <row r="823" spans="1:18" s="189" customFormat="1" ht="12.05" customHeight="1">
      <c r="A823" s="293"/>
      <c r="B823" s="292">
        <v>4</v>
      </c>
      <c r="C823" s="292">
        <v>1</v>
      </c>
      <c r="D823" s="292">
        <v>2</v>
      </c>
      <c r="E823" s="292" t="s">
        <v>437</v>
      </c>
      <c r="F823" s="292"/>
      <c r="G823" s="253" t="s">
        <v>107</v>
      </c>
      <c r="H823" s="253"/>
      <c r="I823" s="291"/>
      <c r="J823" s="411">
        <f>+J824</f>
        <v>0</v>
      </c>
      <c r="K823" s="412">
        <f>+K824</f>
        <v>0</v>
      </c>
      <c r="L823" s="591">
        <f>+L824</f>
        <v>0</v>
      </c>
      <c r="M823" s="412">
        <f>+M824</f>
        <v>0</v>
      </c>
      <c r="N823" s="412">
        <f>+M823+L823</f>
        <v>0</v>
      </c>
      <c r="O823" s="412">
        <f>N823-K823</f>
        <v>0</v>
      </c>
      <c r="P823" s="487" t="e">
        <f>N823/K823*100</f>
        <v>#DIV/0!</v>
      </c>
      <c r="Q823" s="694"/>
      <c r="R823" s="554"/>
    </row>
    <row r="824" spans="1:18" s="189" customFormat="1" ht="12.05" customHeight="1">
      <c r="A824" s="293"/>
      <c r="B824" s="292">
        <v>4</v>
      </c>
      <c r="C824" s="292">
        <v>1</v>
      </c>
      <c r="D824" s="292">
        <v>2</v>
      </c>
      <c r="E824" s="292" t="s">
        <v>437</v>
      </c>
      <c r="F824" s="292" t="s">
        <v>441</v>
      </c>
      <c r="G824" s="253" t="s">
        <v>1010</v>
      </c>
      <c r="H824" s="253"/>
      <c r="I824" s="253"/>
      <c r="J824" s="494"/>
      <c r="K824" s="495"/>
      <c r="L824" s="513"/>
      <c r="M824" s="495">
        <v>0</v>
      </c>
      <c r="N824" s="334">
        <f>M824+L824</f>
        <v>0</v>
      </c>
      <c r="O824" s="334">
        <f>N824-K824</f>
        <v>0</v>
      </c>
      <c r="P824" s="335" t="e">
        <f>N824/K824*100</f>
        <v>#DIV/0!</v>
      </c>
      <c r="Q824" s="548"/>
      <c r="R824" s="422"/>
    </row>
    <row r="825" spans="1:18" s="189" customFormat="1" ht="12.05" customHeight="1">
      <c r="A825" s="293"/>
      <c r="B825" s="292"/>
      <c r="C825" s="292"/>
      <c r="D825" s="292"/>
      <c r="E825" s="292"/>
      <c r="F825" s="292"/>
      <c r="G825" s="253"/>
      <c r="H825" s="253"/>
      <c r="I825" s="253"/>
      <c r="J825" s="374"/>
      <c r="K825" s="375"/>
      <c r="L825" s="377"/>
      <c r="M825" s="375"/>
      <c r="N825" s="375"/>
      <c r="O825" s="375"/>
      <c r="P825" s="600"/>
      <c r="Q825" s="448"/>
      <c r="R825" s="422"/>
    </row>
    <row r="826" spans="1:18" s="189" customFormat="1" ht="12.05" customHeight="1">
      <c r="A826" s="293"/>
      <c r="B826" s="290">
        <v>4</v>
      </c>
      <c r="C826" s="290">
        <v>1</v>
      </c>
      <c r="D826" s="290">
        <v>4</v>
      </c>
      <c r="E826" s="290"/>
      <c r="F826" s="290"/>
      <c r="G826" s="291" t="s">
        <v>71</v>
      </c>
      <c r="H826" s="291"/>
      <c r="I826" s="291"/>
      <c r="J826" s="601">
        <f>J827+J830+J835</f>
        <v>23000000</v>
      </c>
      <c r="K826" s="602">
        <f>K827+K830+K835</f>
        <v>25900000</v>
      </c>
      <c r="L826" s="1073">
        <f>L827+L830+L835</f>
        <v>59090401.5</v>
      </c>
      <c r="M826" s="602">
        <f>M827+M830+M835</f>
        <v>2000000</v>
      </c>
      <c r="N826" s="602">
        <f>N827+N830+N835</f>
        <v>61090401.5</v>
      </c>
      <c r="O826" s="349">
        <f>N826-K826</f>
        <v>35190401.5</v>
      </c>
      <c r="P826" s="350">
        <f>N826/K826*100</f>
        <v>235.87027606177605</v>
      </c>
      <c r="Q826" s="640"/>
      <c r="R826" s="422"/>
    </row>
    <row r="827" spans="1:18" s="189" customFormat="1" ht="12.05" customHeight="1">
      <c r="A827" s="303"/>
      <c r="B827" s="292">
        <v>4</v>
      </c>
      <c r="C827" s="292">
        <v>1</v>
      </c>
      <c r="D827" s="292">
        <v>4</v>
      </c>
      <c r="E827" s="292" t="s">
        <v>441</v>
      </c>
      <c r="F827" s="292"/>
      <c r="G827" s="253" t="s">
        <v>557</v>
      </c>
      <c r="H827" s="253"/>
      <c r="I827" s="253"/>
      <c r="J827" s="526"/>
      <c r="K827" s="527"/>
      <c r="L827" s="670">
        <f>L828</f>
        <v>0</v>
      </c>
      <c r="M827" s="527">
        <f>M828</f>
        <v>0</v>
      </c>
      <c r="N827" s="512">
        <f>N828</f>
        <v>0</v>
      </c>
      <c r="O827" s="412">
        <f>N827-K827</f>
        <v>0</v>
      </c>
      <c r="P827" s="487" t="e">
        <f>N827/K827*100</f>
        <v>#DIV/0!</v>
      </c>
      <c r="Q827" s="644"/>
      <c r="R827" s="422"/>
    </row>
    <row r="828" spans="1:18" s="189" customFormat="1" ht="12.05" customHeight="1">
      <c r="A828" s="303"/>
      <c r="B828" s="292">
        <v>4</v>
      </c>
      <c r="C828" s="292">
        <v>1</v>
      </c>
      <c r="D828" s="292">
        <v>4</v>
      </c>
      <c r="E828" s="292" t="s">
        <v>441</v>
      </c>
      <c r="F828" s="292" t="s">
        <v>437</v>
      </c>
      <c r="G828" s="253" t="s">
        <v>72</v>
      </c>
      <c r="H828" s="253"/>
      <c r="I828" s="253"/>
      <c r="J828" s="389"/>
      <c r="K828" s="357">
        <f>'[57]TARGET MURNI DAN PERUBAHAN'!$E$496</f>
        <v>0</v>
      </c>
      <c r="L828" s="391">
        <f>[62]PerDinas!$N$828</f>
        <v>0</v>
      </c>
      <c r="M828" s="357">
        <f>[55]Perdinas!$E$592</f>
        <v>0</v>
      </c>
      <c r="N828" s="334">
        <f t="shared" ref="N828:N833" si="126">M828+L828</f>
        <v>0</v>
      </c>
      <c r="O828" s="334">
        <f>N828-K828</f>
        <v>0</v>
      </c>
      <c r="P828" s="335" t="e">
        <f>N828/K828*100</f>
        <v>#DIV/0!</v>
      </c>
      <c r="Q828" s="442"/>
      <c r="R828" s="422"/>
    </row>
    <row r="829" spans="1:18" s="189" customFormat="1" ht="12.05" customHeight="1">
      <c r="A829" s="303"/>
      <c r="B829" s="292"/>
      <c r="C829" s="292"/>
      <c r="D829" s="292"/>
      <c r="E829" s="292"/>
      <c r="F829" s="292"/>
      <c r="G829" s="253"/>
      <c r="H829" s="253"/>
      <c r="I829" s="253"/>
      <c r="J829" s="333"/>
      <c r="K829" s="334"/>
      <c r="L829" s="356"/>
      <c r="M829" s="334"/>
      <c r="N829" s="355"/>
      <c r="O829" s="355"/>
      <c r="P829" s="388"/>
      <c r="Q829" s="430"/>
      <c r="R829" s="422"/>
    </row>
    <row r="830" spans="1:18" s="189" customFormat="1" ht="12.05" customHeight="1">
      <c r="A830" s="289"/>
      <c r="B830" s="292">
        <v>4</v>
      </c>
      <c r="C830" s="292">
        <v>1</v>
      </c>
      <c r="D830" s="292">
        <v>4</v>
      </c>
      <c r="E830" s="292" t="s">
        <v>444</v>
      </c>
      <c r="F830" s="292"/>
      <c r="G830" s="253" t="s">
        <v>222</v>
      </c>
      <c r="H830" s="253"/>
      <c r="I830" s="253"/>
      <c r="J830" s="526">
        <f>+J833</f>
        <v>0</v>
      </c>
      <c r="K830" s="527">
        <f>+K833</f>
        <v>0</v>
      </c>
      <c r="L830" s="670">
        <f>SUM(L831:L833)</f>
        <v>56190401.5</v>
      </c>
      <c r="M830" s="527">
        <f>SUM(M831:M833)</f>
        <v>2000000</v>
      </c>
      <c r="N830" s="527">
        <f>SUM(N831:N833)</f>
        <v>58190401.5</v>
      </c>
      <c r="O830" s="529">
        <f>N830-K830</f>
        <v>58190401.5</v>
      </c>
      <c r="P830" s="478">
        <v>0</v>
      </c>
      <c r="Q830" s="644"/>
      <c r="R830" s="422"/>
    </row>
    <row r="831" spans="1:18" s="189" customFormat="1" ht="12.05" customHeight="1">
      <c r="A831" s="289"/>
      <c r="B831" s="292">
        <v>4</v>
      </c>
      <c r="C831" s="292">
        <v>1</v>
      </c>
      <c r="D831" s="292">
        <v>4</v>
      </c>
      <c r="E831" s="292" t="s">
        <v>444</v>
      </c>
      <c r="F831" s="292" t="s">
        <v>440</v>
      </c>
      <c r="G831" s="253" t="s">
        <v>73</v>
      </c>
      <c r="H831" s="253"/>
      <c r="I831" s="253"/>
      <c r="J831" s="354">
        <v>0</v>
      </c>
      <c r="K831" s="355">
        <v>0</v>
      </c>
      <c r="L831" s="360"/>
      <c r="M831" s="355">
        <f>[55]Perdinas!$E$593</f>
        <v>0</v>
      </c>
      <c r="N831" s="355">
        <f t="shared" si="126"/>
        <v>0</v>
      </c>
      <c r="O831" s="355">
        <f>N831-K831</f>
        <v>0</v>
      </c>
      <c r="P831" s="388"/>
      <c r="Q831" s="441"/>
      <c r="R831" s="422"/>
    </row>
    <row r="832" spans="1:18" s="189" customFormat="1" ht="12.05" customHeight="1">
      <c r="A832" s="289"/>
      <c r="B832" s="292">
        <v>4</v>
      </c>
      <c r="C832" s="292">
        <v>1</v>
      </c>
      <c r="D832" s="292">
        <v>4</v>
      </c>
      <c r="E832" s="292" t="s">
        <v>444</v>
      </c>
      <c r="F832" s="292" t="s">
        <v>445</v>
      </c>
      <c r="G832" s="253" t="s">
        <v>74</v>
      </c>
      <c r="H832" s="253"/>
      <c r="I832" s="253"/>
      <c r="J832" s="354">
        <v>0</v>
      </c>
      <c r="K832" s="355">
        <v>0</v>
      </c>
      <c r="L832" s="360"/>
      <c r="M832" s="355">
        <f>[55]Perdinas!$E$594</f>
        <v>0</v>
      </c>
      <c r="N832" s="355">
        <f t="shared" si="126"/>
        <v>0</v>
      </c>
      <c r="O832" s="355">
        <f>N832-K832</f>
        <v>0</v>
      </c>
      <c r="P832" s="388"/>
      <c r="Q832" s="441"/>
      <c r="R832" s="422"/>
    </row>
    <row r="833" spans="1:18" s="189" customFormat="1" ht="12.05" customHeight="1">
      <c r="A833" s="289"/>
      <c r="B833" s="292">
        <v>4</v>
      </c>
      <c r="C833" s="292">
        <v>1</v>
      </c>
      <c r="D833" s="292">
        <v>4</v>
      </c>
      <c r="E833" s="292" t="s">
        <v>444</v>
      </c>
      <c r="F833" s="292" t="s">
        <v>441</v>
      </c>
      <c r="G833" s="253" t="s">
        <v>75</v>
      </c>
      <c r="H833" s="253"/>
      <c r="I833" s="253"/>
      <c r="J833" s="354">
        <v>0</v>
      </c>
      <c r="K833" s="373">
        <f>'[57]TARGET MURNI DAN PERUBAHAN'!$E$499</f>
        <v>0</v>
      </c>
      <c r="L833" s="360">
        <f>[62]PerDinas!$N$833</f>
        <v>56190401.5</v>
      </c>
      <c r="M833" s="373">
        <f>[55]Perdinas!$E$595</f>
        <v>2000000</v>
      </c>
      <c r="N833" s="369">
        <f t="shared" si="126"/>
        <v>58190401.5</v>
      </c>
      <c r="O833" s="355">
        <f>N833-K833</f>
        <v>58190401.5</v>
      </c>
      <c r="P833" s="388"/>
      <c r="Q833" s="441"/>
      <c r="R833" s="431"/>
    </row>
    <row r="834" spans="1:18" s="189" customFormat="1" ht="12.05" customHeight="1">
      <c r="A834" s="293"/>
      <c r="B834" s="292"/>
      <c r="C834" s="292"/>
      <c r="D834" s="292"/>
      <c r="E834" s="292"/>
      <c r="F834" s="292"/>
      <c r="G834" s="253"/>
      <c r="H834" s="253"/>
      <c r="I834" s="253"/>
      <c r="J834" s="374"/>
      <c r="K834" s="375"/>
      <c r="L834" s="377"/>
      <c r="M834" s="375"/>
      <c r="N834" s="355"/>
      <c r="O834" s="355"/>
      <c r="P834" s="388"/>
      <c r="Q834" s="448"/>
      <c r="R834" s="422"/>
    </row>
    <row r="835" spans="1:18" s="189" customFormat="1" ht="12.05" customHeight="1">
      <c r="A835" s="293"/>
      <c r="B835" s="292">
        <v>4</v>
      </c>
      <c r="C835" s="292">
        <v>1</v>
      </c>
      <c r="D835" s="292">
        <v>4</v>
      </c>
      <c r="E835" s="292" t="s">
        <v>948</v>
      </c>
      <c r="F835" s="292"/>
      <c r="G835" s="410" t="s">
        <v>321</v>
      </c>
      <c r="H835" s="410"/>
      <c r="I835" s="410"/>
      <c r="J835" s="678">
        <f>+J836</f>
        <v>23000000</v>
      </c>
      <c r="K835" s="490">
        <f>+K836</f>
        <v>25900000</v>
      </c>
      <c r="L835" s="616">
        <f>+L836</f>
        <v>2900000</v>
      </c>
      <c r="M835" s="512">
        <f>+M836</f>
        <v>0</v>
      </c>
      <c r="N835" s="412">
        <f>+M835+L835</f>
        <v>2900000</v>
      </c>
      <c r="O835" s="412">
        <f>N835-K835</f>
        <v>-23000000</v>
      </c>
      <c r="P835" s="487">
        <v>0</v>
      </c>
      <c r="Q835" s="647"/>
      <c r="R835" s="422"/>
    </row>
    <row r="836" spans="1:18" s="189" customFormat="1" ht="12.05" customHeight="1">
      <c r="A836" s="293"/>
      <c r="B836" s="292">
        <v>4</v>
      </c>
      <c r="C836" s="292">
        <v>1</v>
      </c>
      <c r="D836" s="292">
        <v>4</v>
      </c>
      <c r="E836" s="292" t="s">
        <v>948</v>
      </c>
      <c r="F836" s="292" t="s">
        <v>437</v>
      </c>
      <c r="G836" s="253" t="s">
        <v>85</v>
      </c>
      <c r="H836" s="253"/>
      <c r="I836" s="253"/>
      <c r="J836" s="688">
        <f>+J837+J838</f>
        <v>23000000</v>
      </c>
      <c r="K836" s="496">
        <f>+K837+K838</f>
        <v>25900000</v>
      </c>
      <c r="L836" s="689">
        <f>+L837+L838</f>
        <v>2900000</v>
      </c>
      <c r="M836" s="496">
        <f>+M837</f>
        <v>0</v>
      </c>
      <c r="N836" s="497">
        <f>M836+L836</f>
        <v>2900000</v>
      </c>
      <c r="O836" s="497">
        <f>N836-K836</f>
        <v>-23000000</v>
      </c>
      <c r="P836" s="498">
        <v>0</v>
      </c>
      <c r="Q836" s="548"/>
      <c r="R836" s="422"/>
    </row>
    <row r="837" spans="1:18" s="189" customFormat="1" ht="12.05" customHeight="1">
      <c r="A837" s="293"/>
      <c r="B837" s="292"/>
      <c r="C837" s="292"/>
      <c r="D837" s="292"/>
      <c r="E837" s="292"/>
      <c r="F837" s="292"/>
      <c r="G837" s="253" t="s">
        <v>50</v>
      </c>
      <c r="H837" s="253"/>
      <c r="I837" s="253" t="s">
        <v>632</v>
      </c>
      <c r="J837" s="374">
        <v>8000000</v>
      </c>
      <c r="K837" s="376">
        <f>'[57]TARGET MURNI DAN PERUBAHAN'!$E$501</f>
        <v>25900000</v>
      </c>
      <c r="L837" s="377">
        <f>[62]PerDinas!$N$837</f>
        <v>2900000</v>
      </c>
      <c r="M837" s="376">
        <f>[55]Perdinas!$E$596</f>
        <v>0</v>
      </c>
      <c r="N837" s="369">
        <f>M837+L837</f>
        <v>2900000</v>
      </c>
      <c r="O837" s="355">
        <f>N837-K837</f>
        <v>-23000000</v>
      </c>
      <c r="P837" s="388">
        <v>0</v>
      </c>
      <c r="Q837" s="448"/>
      <c r="R837" s="431"/>
    </row>
    <row r="838" spans="1:18" s="245" customFormat="1" ht="12.05" customHeight="1">
      <c r="A838" s="472"/>
      <c r="B838" s="305"/>
      <c r="C838" s="305"/>
      <c r="D838" s="305"/>
      <c r="E838" s="305"/>
      <c r="F838" s="305"/>
      <c r="G838" s="306"/>
      <c r="H838" s="306"/>
      <c r="I838" s="306"/>
      <c r="J838" s="536">
        <v>15000000</v>
      </c>
      <c r="K838" s="379">
        <f>'[57]TARGET MURNI DAN PERUBAHAN'!$E$500</f>
        <v>0</v>
      </c>
      <c r="L838" s="1080"/>
      <c r="M838" s="379">
        <f>[60]Perdinas!$G$500</f>
        <v>0</v>
      </c>
      <c r="N838" s="380">
        <f>M838+L838</f>
        <v>0</v>
      </c>
      <c r="O838" s="380"/>
      <c r="P838" s="501"/>
      <c r="Q838" s="456"/>
      <c r="R838" s="422"/>
    </row>
    <row r="839" spans="1:18" s="244" customFormat="1">
      <c r="A839" s="283" t="s">
        <v>372</v>
      </c>
      <c r="B839" s="284" t="s">
        <v>460</v>
      </c>
      <c r="C839" s="284" t="s">
        <v>440</v>
      </c>
      <c r="D839" s="284" t="s">
        <v>437</v>
      </c>
      <c r="E839" s="284"/>
      <c r="F839" s="284"/>
      <c r="G839" s="298" t="s">
        <v>889</v>
      </c>
      <c r="H839" s="298"/>
      <c r="I839" s="298"/>
      <c r="J839" s="336">
        <f>+J840</f>
        <v>1500000</v>
      </c>
      <c r="K839" s="337">
        <f>+K840</f>
        <v>20783000</v>
      </c>
      <c r="L839" s="337">
        <f>+L840</f>
        <v>158216797</v>
      </c>
      <c r="M839" s="337">
        <f>+M840</f>
        <v>33319348</v>
      </c>
      <c r="N839" s="337">
        <f>M839+L839</f>
        <v>191536145</v>
      </c>
      <c r="O839" s="337">
        <f>+N839-K839</f>
        <v>170753145</v>
      </c>
      <c r="P839" s="338">
        <f>+N839/K839*100</f>
        <v>921.60008179762303</v>
      </c>
      <c r="Q839" s="432"/>
      <c r="R839" s="639"/>
    </row>
    <row r="840" spans="1:18" s="189" customFormat="1" ht="15.85" customHeight="1">
      <c r="A840" s="293"/>
      <c r="B840" s="290">
        <v>4</v>
      </c>
      <c r="C840" s="290">
        <v>1</v>
      </c>
      <c r="D840" s="290"/>
      <c r="E840" s="290"/>
      <c r="F840" s="290"/>
      <c r="G840" s="291" t="s">
        <v>180</v>
      </c>
      <c r="H840" s="291"/>
      <c r="I840" s="291"/>
      <c r="J840" s="342">
        <f>J842+J850</f>
        <v>1500000</v>
      </c>
      <c r="K840" s="343">
        <f>K842+K850</f>
        <v>20783000</v>
      </c>
      <c r="L840" s="343">
        <f>L842+L850</f>
        <v>158216797</v>
      </c>
      <c r="M840" s="343">
        <f>M842+M850</f>
        <v>33319348</v>
      </c>
      <c r="N840" s="343">
        <f>+M840+L840</f>
        <v>191536145</v>
      </c>
      <c r="O840" s="343">
        <f>N840-K840</f>
        <v>170753145</v>
      </c>
      <c r="P840" s="344">
        <f>N840/K840*100</f>
        <v>921.60008179762303</v>
      </c>
      <c r="Q840" s="437"/>
      <c r="R840" s="422"/>
    </row>
    <row r="841" spans="1:18" s="189" customFormat="1" ht="12.05" customHeight="1">
      <c r="A841" s="293"/>
      <c r="B841" s="292"/>
      <c r="C841" s="292"/>
      <c r="D841" s="292"/>
      <c r="E841" s="292"/>
      <c r="F841" s="292"/>
      <c r="G841" s="253"/>
      <c r="H841" s="253"/>
      <c r="I841" s="253"/>
      <c r="J841" s="345"/>
      <c r="K841" s="346"/>
      <c r="L841" s="367"/>
      <c r="M841" s="367"/>
      <c r="N841" s="367"/>
      <c r="O841" s="367"/>
      <c r="P841" s="347"/>
      <c r="Q841" s="454"/>
      <c r="R841" s="422"/>
    </row>
    <row r="842" spans="1:18" s="189" customFormat="1" ht="12.05" customHeight="1">
      <c r="A842" s="293"/>
      <c r="B842" s="290">
        <v>4</v>
      </c>
      <c r="C842" s="290">
        <v>1</v>
      </c>
      <c r="D842" s="290" t="s">
        <v>58</v>
      </c>
      <c r="E842" s="290"/>
      <c r="F842" s="290"/>
      <c r="G842" s="291" t="s">
        <v>106</v>
      </c>
      <c r="H842" s="291"/>
      <c r="I842" s="253"/>
      <c r="J842" s="392">
        <f>+J843+J846</f>
        <v>0</v>
      </c>
      <c r="K842" s="393">
        <f>+K843+K846</f>
        <v>0</v>
      </c>
      <c r="L842" s="393">
        <f>+L843</f>
        <v>0</v>
      </c>
      <c r="M842" s="393">
        <f>+M843</f>
        <v>0</v>
      </c>
      <c r="N842" s="349">
        <f>+M842+L842</f>
        <v>0</v>
      </c>
      <c r="O842" s="349">
        <f>N842-K842</f>
        <v>0</v>
      </c>
      <c r="P842" s="350" t="e">
        <f>N842/K842*100</f>
        <v>#DIV/0!</v>
      </c>
      <c r="Q842" s="444"/>
      <c r="R842" s="422"/>
    </row>
    <row r="843" spans="1:18" s="189" customFormat="1" ht="12.05" customHeight="1">
      <c r="A843" s="293"/>
      <c r="B843" s="292">
        <v>4</v>
      </c>
      <c r="C843" s="292">
        <v>1</v>
      </c>
      <c r="D843" s="292" t="s">
        <v>460</v>
      </c>
      <c r="E843" s="292" t="s">
        <v>437</v>
      </c>
      <c r="F843" s="292"/>
      <c r="G843" s="253" t="s">
        <v>107</v>
      </c>
      <c r="H843" s="253"/>
      <c r="I843" s="253"/>
      <c r="J843" s="484">
        <f>+J844</f>
        <v>0</v>
      </c>
      <c r="K843" s="485">
        <f>+K844</f>
        <v>0</v>
      </c>
      <c r="L843" s="485">
        <f>+L844</f>
        <v>0</v>
      </c>
      <c r="M843" s="485">
        <f>+M844</f>
        <v>0</v>
      </c>
      <c r="N843" s="412">
        <f>+M843+L843</f>
        <v>0</v>
      </c>
      <c r="O843" s="412">
        <f>N843-K843</f>
        <v>0</v>
      </c>
      <c r="P843" s="487" t="e">
        <f>N843/K843*100</f>
        <v>#DIV/0!</v>
      </c>
      <c r="Q843" s="541"/>
      <c r="R843" s="422"/>
    </row>
    <row r="844" spans="1:18" s="189" customFormat="1" ht="12.05" customHeight="1">
      <c r="A844" s="293"/>
      <c r="B844" s="292">
        <v>4</v>
      </c>
      <c r="C844" s="292">
        <v>1</v>
      </c>
      <c r="D844" s="292" t="s">
        <v>58</v>
      </c>
      <c r="E844" s="292" t="s">
        <v>437</v>
      </c>
      <c r="F844" s="292" t="s">
        <v>440</v>
      </c>
      <c r="G844" s="253" t="s">
        <v>1011</v>
      </c>
      <c r="H844" s="253"/>
      <c r="I844" s="253"/>
      <c r="J844" s="333">
        <v>0</v>
      </c>
      <c r="K844" s="497">
        <v>0</v>
      </c>
      <c r="L844" s="334">
        <v>0</v>
      </c>
      <c r="M844" s="497">
        <v>0</v>
      </c>
      <c r="N844" s="497">
        <f>M844+L844</f>
        <v>0</v>
      </c>
      <c r="O844" s="497">
        <f>N844-K844</f>
        <v>0</v>
      </c>
      <c r="P844" s="498" t="e">
        <f>N844/K844*100</f>
        <v>#DIV/0!</v>
      </c>
      <c r="Q844" s="787"/>
      <c r="R844" s="422"/>
    </row>
    <row r="845" spans="1:18" s="189" customFormat="1" ht="12.05" customHeight="1">
      <c r="A845" s="293"/>
      <c r="B845" s="292"/>
      <c r="C845" s="292"/>
      <c r="D845" s="292"/>
      <c r="E845" s="292"/>
      <c r="F845" s="292"/>
      <c r="G845" s="253"/>
      <c r="H845" s="253"/>
      <c r="I845" s="253"/>
      <c r="J845" s="333"/>
      <c r="K845" s="355"/>
      <c r="L845" s="334"/>
      <c r="M845" s="355"/>
      <c r="N845" s="355"/>
      <c r="O845" s="355"/>
      <c r="P845" s="388"/>
      <c r="Q845" s="441"/>
      <c r="R845" s="422"/>
    </row>
    <row r="846" spans="1:18" s="189" customFormat="1" ht="12.05" customHeight="1">
      <c r="A846" s="293"/>
      <c r="B846" s="292">
        <v>4</v>
      </c>
      <c r="C846" s="292">
        <v>1</v>
      </c>
      <c r="D846" s="292" t="s">
        <v>58</v>
      </c>
      <c r="E846" s="292" t="s">
        <v>438</v>
      </c>
      <c r="F846" s="292"/>
      <c r="G846" s="253" t="s">
        <v>109</v>
      </c>
      <c r="H846" s="253"/>
      <c r="I846" s="253"/>
      <c r="J846" s="333">
        <f>J847</f>
        <v>0</v>
      </c>
      <c r="K846" s="355">
        <f>K847</f>
        <v>0</v>
      </c>
      <c r="L846" s="355">
        <f>L847</f>
        <v>0</v>
      </c>
      <c r="M846" s="355">
        <f>M847</f>
        <v>0</v>
      </c>
      <c r="N846" s="355">
        <f>M846+L846</f>
        <v>0</v>
      </c>
      <c r="O846" s="355">
        <f>N846-K846</f>
        <v>0</v>
      </c>
      <c r="P846" s="388" t="e">
        <f t="shared" ref="P846:P852" si="127">N846/K846*100</f>
        <v>#DIV/0!</v>
      </c>
      <c r="Q846" s="441"/>
      <c r="R846" s="422"/>
    </row>
    <row r="847" spans="1:18" s="189" customFormat="1" ht="12.05" customHeight="1">
      <c r="A847" s="289"/>
      <c r="B847" s="292" t="s">
        <v>443</v>
      </c>
      <c r="C847" s="292" t="s">
        <v>58</v>
      </c>
      <c r="D847" s="292" t="s">
        <v>58</v>
      </c>
      <c r="E847" s="292" t="s">
        <v>438</v>
      </c>
      <c r="F847" s="292" t="s">
        <v>437</v>
      </c>
      <c r="G847" s="253" t="s">
        <v>64</v>
      </c>
      <c r="H847" s="253"/>
      <c r="I847" s="253"/>
      <c r="J847" s="333"/>
      <c r="K847" s="355"/>
      <c r="L847" s="355">
        <v>0</v>
      </c>
      <c r="M847" s="355"/>
      <c r="N847" s="355">
        <f>M847+L847</f>
        <v>0</v>
      </c>
      <c r="O847" s="355">
        <f>N847-K847</f>
        <v>0</v>
      </c>
      <c r="P847" s="388" t="e">
        <f t="shared" si="127"/>
        <v>#DIV/0!</v>
      </c>
      <c r="Q847" s="441"/>
      <c r="R847" s="422"/>
    </row>
    <row r="848" spans="1:18" s="189" customFormat="1" ht="12.05" customHeight="1">
      <c r="A848" s="293"/>
      <c r="B848" s="292"/>
      <c r="C848" s="292"/>
      <c r="D848" s="292"/>
      <c r="E848" s="292"/>
      <c r="F848" s="292"/>
      <c r="G848" s="253"/>
      <c r="H848" s="253"/>
      <c r="I848" s="253"/>
      <c r="J848" s="333"/>
      <c r="K848" s="355"/>
      <c r="L848" s="360"/>
      <c r="M848" s="355"/>
      <c r="N848" s="355"/>
      <c r="O848" s="355"/>
      <c r="P848" s="388"/>
      <c r="Q848" s="441"/>
      <c r="R848" s="422"/>
    </row>
    <row r="849" spans="1:18" s="189" customFormat="1" ht="12.05" customHeight="1">
      <c r="A849" s="293"/>
      <c r="B849" s="292"/>
      <c r="C849" s="292"/>
      <c r="D849" s="292"/>
      <c r="E849" s="292"/>
      <c r="F849" s="292"/>
      <c r="G849" s="253"/>
      <c r="H849" s="253"/>
      <c r="I849" s="253"/>
      <c r="J849" s="354"/>
      <c r="K849" s="355"/>
      <c r="L849" s="360"/>
      <c r="M849" s="355"/>
      <c r="N849" s="355"/>
      <c r="O849" s="355"/>
      <c r="P849" s="388"/>
      <c r="Q849" s="441"/>
      <c r="R849" s="422"/>
    </row>
    <row r="850" spans="1:18" s="189" customFormat="1" ht="12.05" customHeight="1">
      <c r="A850" s="465"/>
      <c r="B850" s="466">
        <v>4</v>
      </c>
      <c r="C850" s="466">
        <v>1</v>
      </c>
      <c r="D850" s="466">
        <v>4</v>
      </c>
      <c r="E850" s="466"/>
      <c r="F850" s="466"/>
      <c r="G850" s="467" t="s">
        <v>71</v>
      </c>
      <c r="H850" s="467"/>
      <c r="I850" s="467"/>
      <c r="J850" s="329">
        <f>J853+J858</f>
        <v>1500000</v>
      </c>
      <c r="K850" s="330">
        <f>K853+K858</f>
        <v>20783000</v>
      </c>
      <c r="L850" s="366">
        <f>+L851+L853+L858</f>
        <v>158216797</v>
      </c>
      <c r="M850" s="330">
        <f>+M851+M853+M858</f>
        <v>33319348</v>
      </c>
      <c r="N850" s="330">
        <f>+N851+N853+N858</f>
        <v>191536145</v>
      </c>
      <c r="O850" s="343">
        <f t="shared" ref="O850:O856" si="128">N850-K850</f>
        <v>170753145</v>
      </c>
      <c r="P850" s="344">
        <f t="shared" si="127"/>
        <v>921.60008179762303</v>
      </c>
      <c r="Q850" s="445"/>
      <c r="R850" s="422"/>
    </row>
    <row r="851" spans="1:18" s="189" customFormat="1" ht="12.05" customHeight="1">
      <c r="A851" s="293"/>
      <c r="B851" s="292">
        <v>4</v>
      </c>
      <c r="C851" s="292">
        <v>1</v>
      </c>
      <c r="D851" s="292">
        <v>4</v>
      </c>
      <c r="E851" s="292" t="s">
        <v>441</v>
      </c>
      <c r="F851" s="292"/>
      <c r="G851" s="253" t="s">
        <v>557</v>
      </c>
      <c r="H851" s="253"/>
      <c r="I851" s="253"/>
      <c r="J851" s="354"/>
      <c r="K851" s="355"/>
      <c r="L851" s="360">
        <f>L852</f>
        <v>39017317</v>
      </c>
      <c r="M851" s="355">
        <f>M852</f>
        <v>33319348</v>
      </c>
      <c r="N851" s="618">
        <f>N852</f>
        <v>72336665</v>
      </c>
      <c r="O851" s="346">
        <f t="shared" si="128"/>
        <v>72336665</v>
      </c>
      <c r="P851" s="347" t="e">
        <f t="shared" si="127"/>
        <v>#DIV/0!</v>
      </c>
      <c r="Q851" s="651"/>
      <c r="R851" s="422"/>
    </row>
    <row r="852" spans="1:18" s="189" customFormat="1" ht="12.05" customHeight="1">
      <c r="A852" s="293"/>
      <c r="B852" s="292">
        <v>4</v>
      </c>
      <c r="C852" s="292">
        <v>1</v>
      </c>
      <c r="D852" s="292">
        <v>4</v>
      </c>
      <c r="E852" s="292" t="s">
        <v>441</v>
      </c>
      <c r="F852" s="292" t="s">
        <v>437</v>
      </c>
      <c r="G852" s="253" t="s">
        <v>72</v>
      </c>
      <c r="H852" s="253"/>
      <c r="I852" s="253"/>
      <c r="J852" s="354"/>
      <c r="K852" s="373">
        <f>'[57]TARGET MURNI DAN PERUBAHAN'!$E$506</f>
        <v>0</v>
      </c>
      <c r="L852" s="360">
        <f>[62]PerDinas!$N$852</f>
        <v>39017317</v>
      </c>
      <c r="M852" s="373">
        <f>[55]Perdinas!$E$602</f>
        <v>33319348</v>
      </c>
      <c r="N852" s="355">
        <f>M852+L852</f>
        <v>72336665</v>
      </c>
      <c r="O852" s="355">
        <f t="shared" si="128"/>
        <v>72336665</v>
      </c>
      <c r="P852" s="388" t="e">
        <f t="shared" si="127"/>
        <v>#DIV/0!</v>
      </c>
      <c r="Q852" s="441"/>
      <c r="R852" s="422"/>
    </row>
    <row r="853" spans="1:18" s="189" customFormat="1" ht="12.05" customHeight="1">
      <c r="A853" s="289"/>
      <c r="B853" s="292">
        <v>4</v>
      </c>
      <c r="C853" s="292">
        <v>1</v>
      </c>
      <c r="D853" s="292">
        <v>4</v>
      </c>
      <c r="E853" s="292" t="s">
        <v>444</v>
      </c>
      <c r="F853" s="292"/>
      <c r="G853" s="253" t="s">
        <v>222</v>
      </c>
      <c r="H853" s="253"/>
      <c r="I853" s="253"/>
      <c r="J853" s="354">
        <f>+J856</f>
        <v>0</v>
      </c>
      <c r="K853" s="355">
        <f>+K856</f>
        <v>0</v>
      </c>
      <c r="L853" s="360">
        <f>SUM(L854:L856)</f>
        <v>5373000</v>
      </c>
      <c r="M853" s="355">
        <f>SUM(M854:M856)</f>
        <v>0</v>
      </c>
      <c r="N853" s="355">
        <f>SUM(N854:N856)</f>
        <v>5373000</v>
      </c>
      <c r="O853" s="346">
        <f t="shared" si="128"/>
        <v>5373000</v>
      </c>
      <c r="P853" s="347">
        <v>0</v>
      </c>
      <c r="Q853" s="441"/>
      <c r="R853" s="422"/>
    </row>
    <row r="854" spans="1:18" s="189" customFormat="1" ht="12.05" customHeight="1">
      <c r="A854" s="289"/>
      <c r="B854" s="292">
        <v>4</v>
      </c>
      <c r="C854" s="292">
        <v>1</v>
      </c>
      <c r="D854" s="292">
        <v>4</v>
      </c>
      <c r="E854" s="292" t="s">
        <v>444</v>
      </c>
      <c r="F854" s="292" t="s">
        <v>440</v>
      </c>
      <c r="G854" s="253" t="s">
        <v>73</v>
      </c>
      <c r="H854" s="253"/>
      <c r="I854" s="253"/>
      <c r="J854" s="354">
        <v>0</v>
      </c>
      <c r="K854" s="355">
        <v>0</v>
      </c>
      <c r="L854" s="360">
        <v>0</v>
      </c>
      <c r="M854" s="355">
        <f>[55]Perdinas!$E$603</f>
        <v>0</v>
      </c>
      <c r="N854" s="355">
        <f>M854+L854</f>
        <v>0</v>
      </c>
      <c r="O854" s="355">
        <f t="shared" si="128"/>
        <v>0</v>
      </c>
      <c r="P854" s="388"/>
      <c r="Q854" s="441"/>
      <c r="R854" s="422"/>
    </row>
    <row r="855" spans="1:18" s="189" customFormat="1" ht="12.05" customHeight="1">
      <c r="A855" s="289"/>
      <c r="B855" s="292">
        <v>4</v>
      </c>
      <c r="C855" s="292">
        <v>1</v>
      </c>
      <c r="D855" s="292">
        <v>4</v>
      </c>
      <c r="E855" s="292" t="s">
        <v>444</v>
      </c>
      <c r="F855" s="292" t="s">
        <v>445</v>
      </c>
      <c r="G855" s="253" t="s">
        <v>74</v>
      </c>
      <c r="H855" s="253"/>
      <c r="I855" s="253"/>
      <c r="J855" s="354">
        <v>0</v>
      </c>
      <c r="K855" s="355">
        <v>0</v>
      </c>
      <c r="L855" s="360">
        <v>0</v>
      </c>
      <c r="M855" s="355">
        <f>[55]Perdinas!$E$604</f>
        <v>0</v>
      </c>
      <c r="N855" s="355">
        <f>M855+L855</f>
        <v>0</v>
      </c>
      <c r="O855" s="355">
        <f t="shared" si="128"/>
        <v>0</v>
      </c>
      <c r="P855" s="388"/>
      <c r="Q855" s="441"/>
      <c r="R855" s="422"/>
    </row>
    <row r="856" spans="1:18" s="189" customFormat="1" ht="12.05" customHeight="1">
      <c r="A856" s="289"/>
      <c r="B856" s="292">
        <v>4</v>
      </c>
      <c r="C856" s="292">
        <v>1</v>
      </c>
      <c r="D856" s="292">
        <v>4</v>
      </c>
      <c r="E856" s="292" t="s">
        <v>444</v>
      </c>
      <c r="F856" s="292" t="s">
        <v>441</v>
      </c>
      <c r="G856" s="253" t="s">
        <v>75</v>
      </c>
      <c r="H856" s="253"/>
      <c r="I856" s="253"/>
      <c r="J856" s="354">
        <v>0</v>
      </c>
      <c r="K856" s="355">
        <f>'[57]TARGET MURNI DAN PERUBAHAN'!$E$509</f>
        <v>0</v>
      </c>
      <c r="L856" s="360">
        <f>[62]PerDinas!$N$856</f>
        <v>5373000</v>
      </c>
      <c r="M856" s="355">
        <f>[55]Perdinas!$E$605</f>
        <v>0</v>
      </c>
      <c r="N856" s="369">
        <f>M856+L856</f>
        <v>5373000</v>
      </c>
      <c r="O856" s="355">
        <f t="shared" si="128"/>
        <v>5373000</v>
      </c>
      <c r="P856" s="388"/>
      <c r="Q856" s="441"/>
      <c r="R856" s="422"/>
    </row>
    <row r="857" spans="1:18" s="189" customFormat="1" ht="12.05" customHeight="1">
      <c r="A857" s="289"/>
      <c r="B857" s="292"/>
      <c r="C857" s="292"/>
      <c r="D857" s="292"/>
      <c r="E857" s="292"/>
      <c r="F857" s="292"/>
      <c r="G857" s="253"/>
      <c r="H857" s="253"/>
      <c r="I857" s="253"/>
      <c r="J857" s="354"/>
      <c r="K857" s="355"/>
      <c r="L857" s="360"/>
      <c r="M857" s="355"/>
      <c r="N857" s="355"/>
      <c r="O857" s="355"/>
      <c r="P857" s="388"/>
      <c r="Q857" s="441"/>
      <c r="R857" s="422"/>
    </row>
    <row r="858" spans="1:18" s="189" customFormat="1" ht="12.05" customHeight="1">
      <c r="A858" s="293"/>
      <c r="B858" s="292">
        <v>4</v>
      </c>
      <c r="C858" s="292">
        <v>1</v>
      </c>
      <c r="D858" s="292">
        <v>4</v>
      </c>
      <c r="E858" s="292" t="s">
        <v>451</v>
      </c>
      <c r="F858" s="292"/>
      <c r="G858" s="253" t="s">
        <v>321</v>
      </c>
      <c r="H858" s="253"/>
      <c r="I858" s="253"/>
      <c r="J858" s="374">
        <f>J859</f>
        <v>1500000</v>
      </c>
      <c r="K858" s="375">
        <f>K859</f>
        <v>20783000</v>
      </c>
      <c r="L858" s="377">
        <f>+L859</f>
        <v>113826480</v>
      </c>
      <c r="M858" s="375">
        <f>+M859</f>
        <v>0</v>
      </c>
      <c r="N858" s="346">
        <f>+M858+L858</f>
        <v>113826480</v>
      </c>
      <c r="O858" s="346">
        <f>N858-K858</f>
        <v>93043480</v>
      </c>
      <c r="P858" s="347">
        <v>0</v>
      </c>
      <c r="Q858" s="448"/>
      <c r="R858" s="422"/>
    </row>
    <row r="859" spans="1:18" s="189" customFormat="1" ht="12.05" customHeight="1">
      <c r="A859" s="293"/>
      <c r="B859" s="292">
        <v>4</v>
      </c>
      <c r="C859" s="292">
        <v>1</v>
      </c>
      <c r="D859" s="292">
        <v>4</v>
      </c>
      <c r="E859" s="292" t="s">
        <v>451</v>
      </c>
      <c r="F859" s="292" t="s">
        <v>437</v>
      </c>
      <c r="G859" s="253" t="s">
        <v>85</v>
      </c>
      <c r="H859" s="253"/>
      <c r="I859" s="253"/>
      <c r="J859" s="374">
        <f t="shared" ref="J859:P859" si="129">SUM(J860:J862)</f>
        <v>1500000</v>
      </c>
      <c r="K859" s="375">
        <f t="shared" si="129"/>
        <v>20783000</v>
      </c>
      <c r="L859" s="377">
        <f t="shared" si="129"/>
        <v>113826480</v>
      </c>
      <c r="M859" s="375">
        <f t="shared" si="129"/>
        <v>0</v>
      </c>
      <c r="N859" s="375">
        <f t="shared" si="129"/>
        <v>113826480</v>
      </c>
      <c r="O859" s="375">
        <f t="shared" si="129"/>
        <v>93043480</v>
      </c>
      <c r="P859" s="1081">
        <f t="shared" si="129"/>
        <v>549.6903238223548</v>
      </c>
      <c r="Q859" s="448"/>
      <c r="R859" s="422"/>
    </row>
    <row r="860" spans="1:18" s="189" customFormat="1" ht="12.05" customHeight="1">
      <c r="A860" s="471"/>
      <c r="B860" s="287"/>
      <c r="C860" s="287"/>
      <c r="D860" s="287"/>
      <c r="E860" s="287"/>
      <c r="F860" s="287"/>
      <c r="G860" s="410" t="s">
        <v>50</v>
      </c>
      <c r="H860" s="410"/>
      <c r="I860" s="410" t="s">
        <v>85</v>
      </c>
      <c r="J860" s="708">
        <v>1500000</v>
      </c>
      <c r="K860" s="722">
        <f>'[57]TARGET MURNI DAN PERUBAHAN'!$E$512</f>
        <v>20783000</v>
      </c>
      <c r="L860" s="710">
        <f>[62]PerDinas!$N$860</f>
        <v>113826480</v>
      </c>
      <c r="M860" s="722">
        <f>[55]Perdinas!$E$608</f>
        <v>0</v>
      </c>
      <c r="N860" s="415">
        <f>M860+L860</f>
        <v>113826480</v>
      </c>
      <c r="O860" s="357">
        <f>N860-K860</f>
        <v>93043480</v>
      </c>
      <c r="P860" s="358">
        <f>N860/K860*100</f>
        <v>547.6903238223548</v>
      </c>
      <c r="Q860" s="732"/>
      <c r="R860" s="422"/>
    </row>
    <row r="861" spans="1:18" s="189" customFormat="1" ht="12.05" customHeight="1">
      <c r="A861" s="293"/>
      <c r="B861" s="292"/>
      <c r="C861" s="292"/>
      <c r="D861" s="292"/>
      <c r="E861" s="292"/>
      <c r="F861" s="292"/>
      <c r="G861" s="253" t="s">
        <v>50</v>
      </c>
      <c r="H861" s="253"/>
      <c r="I861" s="253" t="s">
        <v>1012</v>
      </c>
      <c r="J861" s="374">
        <v>0</v>
      </c>
      <c r="K861" s="375">
        <f>'[57]TARGET MURNI DAN PERUBAHAN'!$E$510</f>
        <v>0</v>
      </c>
      <c r="L861" s="710">
        <f>[62]PerDinas!$N$861</f>
        <v>0</v>
      </c>
      <c r="M861" s="375">
        <f>[55]Perdinas!$E$606</f>
        <v>0</v>
      </c>
      <c r="N861" s="355">
        <f>M861+L861</f>
        <v>0</v>
      </c>
      <c r="O861" s="355">
        <f>N861-K861</f>
        <v>0</v>
      </c>
      <c r="P861" s="388">
        <v>1</v>
      </c>
      <c r="Q861" s="448"/>
      <c r="R861" s="422"/>
    </row>
    <row r="862" spans="1:18" s="245" customFormat="1" ht="12.05" customHeight="1">
      <c r="A862" s="472"/>
      <c r="B862" s="305"/>
      <c r="C862" s="305"/>
      <c r="D862" s="305"/>
      <c r="E862" s="305"/>
      <c r="F862" s="305"/>
      <c r="G862" s="306" t="s">
        <v>50</v>
      </c>
      <c r="H862" s="306"/>
      <c r="I862" s="306" t="s">
        <v>1013</v>
      </c>
      <c r="J862" s="499">
        <v>0</v>
      </c>
      <c r="K862" s="379">
        <f>'[57]TARGET MURNI DAN PERUBAHAN'!$E$511</f>
        <v>0</v>
      </c>
      <c r="L862" s="710">
        <f>[62]PerDinas!$N$862</f>
        <v>0</v>
      </c>
      <c r="M862" s="379">
        <f>[55]Perdinas!$E$607</f>
        <v>0</v>
      </c>
      <c r="N862" s="380">
        <f>M862+L862</f>
        <v>0</v>
      </c>
      <c r="O862" s="380">
        <f>N862-K862</f>
        <v>0</v>
      </c>
      <c r="P862" s="501">
        <v>1</v>
      </c>
      <c r="Q862" s="549"/>
      <c r="R862" s="450"/>
    </row>
    <row r="863" spans="1:18" s="244" customFormat="1">
      <c r="A863" s="283" t="s">
        <v>392</v>
      </c>
      <c r="B863" s="284" t="s">
        <v>460</v>
      </c>
      <c r="C863" s="284" t="s">
        <v>451</v>
      </c>
      <c r="D863" s="284" t="s">
        <v>437</v>
      </c>
      <c r="E863" s="284"/>
      <c r="F863" s="284"/>
      <c r="G863" s="298" t="s">
        <v>373</v>
      </c>
      <c r="H863" s="298"/>
      <c r="I863" s="298"/>
      <c r="J863" s="336">
        <f>+J865</f>
        <v>1213190000</v>
      </c>
      <c r="K863" s="337">
        <f>+K865</f>
        <v>1422930000</v>
      </c>
      <c r="L863" s="337">
        <f>+L865</f>
        <v>1131245679</v>
      </c>
      <c r="M863" s="337">
        <f>+M865</f>
        <v>40335000</v>
      </c>
      <c r="N863" s="337">
        <f>M863+L863</f>
        <v>1171580679</v>
      </c>
      <c r="O863" s="337">
        <f>+N863-K863</f>
        <v>-251349321</v>
      </c>
      <c r="P863" s="338">
        <f>+N863/K863*100</f>
        <v>82.335791570913543</v>
      </c>
      <c r="Q863" s="432"/>
      <c r="R863" s="788"/>
    </row>
    <row r="864" spans="1:18" s="189" customFormat="1" ht="12.05" customHeight="1">
      <c r="A864" s="471"/>
      <c r="B864" s="287"/>
      <c r="C864" s="287"/>
      <c r="D864" s="287"/>
      <c r="E864" s="287"/>
      <c r="F864" s="287"/>
      <c r="G864" s="288"/>
      <c r="H864" s="288"/>
      <c r="I864" s="288"/>
      <c r="J864" s="385"/>
      <c r="K864" s="386"/>
      <c r="L864" s="386"/>
      <c r="M864" s="386"/>
      <c r="N864" s="386"/>
      <c r="O864" s="386"/>
      <c r="P864" s="341"/>
      <c r="Q864" s="1092"/>
      <c r="R864" s="422"/>
    </row>
    <row r="865" spans="1:18" s="189" customFormat="1" ht="12.05" customHeight="1">
      <c r="A865" s="293"/>
      <c r="B865" s="290">
        <v>4</v>
      </c>
      <c r="C865" s="290">
        <v>1</v>
      </c>
      <c r="D865" s="290"/>
      <c r="E865" s="290"/>
      <c r="F865" s="290"/>
      <c r="G865" s="291" t="s">
        <v>180</v>
      </c>
      <c r="H865" s="291"/>
      <c r="I865" s="291"/>
      <c r="J865" s="342">
        <f>+J867+J892</f>
        <v>1213190000</v>
      </c>
      <c r="K865" s="343">
        <f>+K867+K892</f>
        <v>1422930000</v>
      </c>
      <c r="L865" s="343">
        <f>+L867+L892</f>
        <v>1131245679</v>
      </c>
      <c r="M865" s="343">
        <f>+M867+M892</f>
        <v>40335000</v>
      </c>
      <c r="N865" s="343">
        <f>+M865+L865</f>
        <v>1171580679</v>
      </c>
      <c r="O865" s="343">
        <f>N865-K865</f>
        <v>-251349321</v>
      </c>
      <c r="P865" s="344">
        <f>N865/K865*100</f>
        <v>82.335791570913543</v>
      </c>
      <c r="Q865" s="1093"/>
      <c r="R865" s="422"/>
    </row>
    <row r="866" spans="1:18" s="189" customFormat="1" ht="12.05" customHeight="1">
      <c r="A866" s="293"/>
      <c r="B866" s="292"/>
      <c r="C866" s="292"/>
      <c r="D866" s="292"/>
      <c r="E866" s="292"/>
      <c r="F866" s="292"/>
      <c r="G866" s="253"/>
      <c r="H866" s="253"/>
      <c r="I866" s="291"/>
      <c r="J866" s="345"/>
      <c r="K866" s="346"/>
      <c r="L866" s="660"/>
      <c r="M866" s="346"/>
      <c r="N866" s="346"/>
      <c r="O866" s="346"/>
      <c r="P866" s="347"/>
      <c r="Q866" s="438"/>
      <c r="R866" s="422"/>
    </row>
    <row r="867" spans="1:18" s="189" customFormat="1" ht="12.05" customHeight="1">
      <c r="A867" s="293"/>
      <c r="B867" s="290">
        <v>4</v>
      </c>
      <c r="C867" s="290">
        <v>1</v>
      </c>
      <c r="D867" s="290">
        <v>2</v>
      </c>
      <c r="E867" s="290"/>
      <c r="F867" s="290"/>
      <c r="G867" s="291" t="s">
        <v>106</v>
      </c>
      <c r="H867" s="291"/>
      <c r="I867" s="291"/>
      <c r="J867" s="348">
        <f>+J869+J890</f>
        <v>1169190000</v>
      </c>
      <c r="K867" s="349">
        <f>+K869</f>
        <v>1406180000</v>
      </c>
      <c r="L867" s="589">
        <f>+L869</f>
        <v>1115162774</v>
      </c>
      <c r="M867" s="349">
        <f>+M869</f>
        <v>38335000</v>
      </c>
      <c r="N867" s="349">
        <f>+M867+L867</f>
        <v>1153497774</v>
      </c>
      <c r="O867" s="349">
        <f>N867-K867</f>
        <v>-252682226</v>
      </c>
      <c r="P867" s="350">
        <f>N867/K867*100</f>
        <v>82.030591673896652</v>
      </c>
      <c r="Q867" s="439"/>
      <c r="R867" s="422"/>
    </row>
    <row r="868" spans="1:18" s="189" customFormat="1" ht="12.05" customHeight="1">
      <c r="A868" s="293"/>
      <c r="B868" s="292"/>
      <c r="C868" s="292"/>
      <c r="D868" s="292"/>
      <c r="E868" s="292"/>
      <c r="F868" s="292"/>
      <c r="G868" s="253"/>
      <c r="H868" s="253"/>
      <c r="I868" s="253"/>
      <c r="J868" s="354"/>
      <c r="K868" s="355"/>
      <c r="L868" s="360"/>
      <c r="M868" s="355"/>
      <c r="N868" s="355"/>
      <c r="O868" s="355"/>
      <c r="P868" s="388"/>
      <c r="Q868" s="441"/>
      <c r="R868" s="422"/>
    </row>
    <row r="869" spans="1:18" s="190" customFormat="1" ht="12.05" customHeight="1">
      <c r="A869" s="293"/>
      <c r="B869" s="290">
        <v>4</v>
      </c>
      <c r="C869" s="290">
        <v>1</v>
      </c>
      <c r="D869" s="290">
        <v>2</v>
      </c>
      <c r="E869" s="290" t="s">
        <v>438</v>
      </c>
      <c r="F869" s="290"/>
      <c r="G869" s="291" t="s">
        <v>374</v>
      </c>
      <c r="H869" s="291"/>
      <c r="I869" s="291"/>
      <c r="J869" s="746">
        <f>+J870+J881</f>
        <v>1169190000</v>
      </c>
      <c r="K869" s="676">
        <f>+K870+K881+K890</f>
        <v>1406180000</v>
      </c>
      <c r="L869" s="675">
        <f>+L870+L881+L889</f>
        <v>1115162774</v>
      </c>
      <c r="M869" s="676">
        <f>+M870+M881+M890</f>
        <v>38335000</v>
      </c>
      <c r="N869" s="492">
        <f>+M869+L869</f>
        <v>1153497774</v>
      </c>
      <c r="O869" s="492">
        <f t="shared" ref="O869:O879" si="130">N869-K869</f>
        <v>-252682226</v>
      </c>
      <c r="P869" s="487">
        <f t="shared" ref="P869:P879" si="131">N869/K869*100</f>
        <v>82.030591673896652</v>
      </c>
      <c r="Q869" s="1094"/>
      <c r="R869" s="446"/>
    </row>
    <row r="870" spans="1:18" s="190" customFormat="1" ht="12.05" customHeight="1">
      <c r="A870" s="289"/>
      <c r="B870" s="290">
        <v>4</v>
      </c>
      <c r="C870" s="290">
        <v>1</v>
      </c>
      <c r="D870" s="290">
        <v>2</v>
      </c>
      <c r="E870" s="290" t="s">
        <v>438</v>
      </c>
      <c r="F870" s="290" t="s">
        <v>437</v>
      </c>
      <c r="G870" s="1079" t="s">
        <v>64</v>
      </c>
      <c r="H870" s="291"/>
      <c r="I870" s="291"/>
      <c r="J870" s="620">
        <f>SUM(J871:J878)</f>
        <v>708190000</v>
      </c>
      <c r="K870" s="621">
        <f>SUM(K871:K878)</f>
        <v>616180000</v>
      </c>
      <c r="L870" s="623">
        <f>SUM(L871:L879)</f>
        <v>463254924</v>
      </c>
      <c r="M870" s="621">
        <f>SUM(M871:M879)</f>
        <v>11255000</v>
      </c>
      <c r="N870" s="1082">
        <f>M870+L870</f>
        <v>474509924</v>
      </c>
      <c r="O870" s="330">
        <f t="shared" si="130"/>
        <v>-141670076</v>
      </c>
      <c r="P870" s="335">
        <f t="shared" si="131"/>
        <v>77.008329384270837</v>
      </c>
      <c r="Q870" s="1093"/>
      <c r="R870" s="1095"/>
    </row>
    <row r="871" spans="1:18" s="189" customFormat="1" ht="12.05" customHeight="1">
      <c r="A871" s="293"/>
      <c r="B871" s="292"/>
      <c r="C871" s="292"/>
      <c r="D871" s="292"/>
      <c r="E871" s="292"/>
      <c r="F871" s="292"/>
      <c r="G871" s="291" t="s">
        <v>50</v>
      </c>
      <c r="H871" s="291"/>
      <c r="I871" s="1083" t="s">
        <v>375</v>
      </c>
      <c r="J871" s="354">
        <v>475000000</v>
      </c>
      <c r="K871" s="373">
        <f>'[57]TARGET MURNI DAN PERUBAHAN'!$E$520</f>
        <v>428430000</v>
      </c>
      <c r="L871" s="360">
        <f>[62]PerDinas!$N$871</f>
        <v>335936920</v>
      </c>
      <c r="M871" s="373">
        <f>[55]Perdinas!$E$616</f>
        <v>10655000</v>
      </c>
      <c r="N871" s="771">
        <f t="shared" ref="N871:N879" si="132">M871+L871</f>
        <v>346591920</v>
      </c>
      <c r="O871" s="355">
        <f t="shared" si="130"/>
        <v>-81838080</v>
      </c>
      <c r="P871" s="388">
        <f t="shared" si="131"/>
        <v>80.898144387647918</v>
      </c>
      <c r="Q871" s="441"/>
      <c r="R871" s="431"/>
    </row>
    <row r="872" spans="1:18" s="189" customFormat="1" ht="12.05" customHeight="1">
      <c r="A872" s="293"/>
      <c r="B872" s="292"/>
      <c r="C872" s="292"/>
      <c r="D872" s="292"/>
      <c r="E872" s="292"/>
      <c r="F872" s="292"/>
      <c r="G872" s="253" t="s">
        <v>50</v>
      </c>
      <c r="H872" s="253"/>
      <c r="I872" s="1083" t="s">
        <v>376</v>
      </c>
      <c r="J872" s="354">
        <v>26190000</v>
      </c>
      <c r="K872" s="373">
        <f>'[57]TARGET MURNI DAN PERUBAHAN'!$E$521</f>
        <v>12500000</v>
      </c>
      <c r="L872" s="360">
        <f>[62]PerDinas!$N$872</f>
        <v>10560000</v>
      </c>
      <c r="M872" s="373">
        <f>[55]Perdinas!$E$617</f>
        <v>0</v>
      </c>
      <c r="N872" s="355">
        <f t="shared" si="132"/>
        <v>10560000</v>
      </c>
      <c r="O872" s="355">
        <f t="shared" si="130"/>
        <v>-1940000</v>
      </c>
      <c r="P872" s="388">
        <f t="shared" si="131"/>
        <v>84.48</v>
      </c>
      <c r="Q872" s="441"/>
      <c r="R872" s="422"/>
    </row>
    <row r="873" spans="1:18" s="189" customFormat="1" ht="12.05" customHeight="1">
      <c r="A873" s="293"/>
      <c r="B873" s="292"/>
      <c r="C873" s="292"/>
      <c r="D873" s="292"/>
      <c r="E873" s="292"/>
      <c r="F873" s="292"/>
      <c r="G873" s="253" t="s">
        <v>50</v>
      </c>
      <c r="H873" s="253"/>
      <c r="I873" s="1083" t="s">
        <v>377</v>
      </c>
      <c r="J873" s="354">
        <v>23000000</v>
      </c>
      <c r="K873" s="373">
        <f>'[57]TARGET MURNI DAN PERUBAHAN'!$E$522</f>
        <v>50000000</v>
      </c>
      <c r="L873" s="360">
        <f>[62]PerDinas!$N$873</f>
        <v>50901004</v>
      </c>
      <c r="M873" s="373">
        <f>[55]Perdinas!$E$618</f>
        <v>0</v>
      </c>
      <c r="N873" s="355">
        <f t="shared" si="132"/>
        <v>50901004</v>
      </c>
      <c r="O873" s="355">
        <f t="shared" si="130"/>
        <v>901004</v>
      </c>
      <c r="P873" s="388">
        <f t="shared" si="131"/>
        <v>101.80200800000001</v>
      </c>
      <c r="Q873" s="441"/>
      <c r="R873" s="422"/>
    </row>
    <row r="874" spans="1:18" s="189" customFormat="1" ht="12.05" customHeight="1">
      <c r="A874" s="293"/>
      <c r="B874" s="292"/>
      <c r="C874" s="292"/>
      <c r="D874" s="292"/>
      <c r="E874" s="292"/>
      <c r="F874" s="292"/>
      <c r="G874" s="291" t="s">
        <v>50</v>
      </c>
      <c r="H874" s="291"/>
      <c r="I874" s="1083" t="s">
        <v>378</v>
      </c>
      <c r="J874" s="354">
        <v>35000000</v>
      </c>
      <c r="K874" s="373">
        <f>'[57]TARGET MURNI DAN PERUBAHAN'!$E$523</f>
        <v>40250000</v>
      </c>
      <c r="L874" s="360">
        <f>[62]PerDinas!$N$874</f>
        <v>29425000</v>
      </c>
      <c r="M874" s="373">
        <f>[55]Perdinas!$E$619</f>
        <v>0</v>
      </c>
      <c r="N874" s="355">
        <f t="shared" si="132"/>
        <v>29425000</v>
      </c>
      <c r="O874" s="355">
        <f t="shared" si="130"/>
        <v>-10825000</v>
      </c>
      <c r="P874" s="388">
        <f t="shared" si="131"/>
        <v>73.105590062111801</v>
      </c>
      <c r="Q874" s="441"/>
      <c r="R874" s="422"/>
    </row>
    <row r="875" spans="1:18" s="189" customFormat="1" ht="12.05" customHeight="1">
      <c r="A875" s="293"/>
      <c r="B875" s="292"/>
      <c r="C875" s="292"/>
      <c r="D875" s="292"/>
      <c r="E875" s="292"/>
      <c r="F875" s="292"/>
      <c r="G875" s="253" t="s">
        <v>50</v>
      </c>
      <c r="H875" s="253"/>
      <c r="I875" s="1083" t="s">
        <v>379</v>
      </c>
      <c r="J875" s="354">
        <v>34000000</v>
      </c>
      <c r="K875" s="373">
        <f>'[57]TARGET MURNI DAN PERUBAHAN'!$E$524</f>
        <v>25000000</v>
      </c>
      <c r="L875" s="360">
        <f>[62]PerDinas!$N$875</f>
        <v>7392000</v>
      </c>
      <c r="M875" s="373">
        <f>[55]Perdinas!$E$620</f>
        <v>600000</v>
      </c>
      <c r="N875" s="355">
        <f t="shared" si="132"/>
        <v>7992000</v>
      </c>
      <c r="O875" s="355">
        <f t="shared" si="130"/>
        <v>-17008000</v>
      </c>
      <c r="P875" s="388">
        <f t="shared" si="131"/>
        <v>31.968000000000004</v>
      </c>
      <c r="Q875" s="441"/>
      <c r="R875" s="422"/>
    </row>
    <row r="876" spans="1:18" s="189" customFormat="1" ht="12.05" customHeight="1">
      <c r="A876" s="293"/>
      <c r="B876" s="292"/>
      <c r="C876" s="292"/>
      <c r="D876" s="292"/>
      <c r="E876" s="292"/>
      <c r="F876" s="292"/>
      <c r="G876" s="253" t="s">
        <v>50</v>
      </c>
      <c r="H876" s="253"/>
      <c r="I876" s="1083" t="s">
        <v>381</v>
      </c>
      <c r="J876" s="354">
        <v>85000000</v>
      </c>
      <c r="K876" s="373">
        <f>'[57]TARGET MURNI DAN PERUBAHAN'!$E$526</f>
        <v>60000000</v>
      </c>
      <c r="L876" s="360">
        <f>[62]PerDinas!$N$876</f>
        <v>29040000</v>
      </c>
      <c r="M876" s="373">
        <f>[55]Perdinas!$E$622</f>
        <v>0</v>
      </c>
      <c r="N876" s="771">
        <f t="shared" si="132"/>
        <v>29040000</v>
      </c>
      <c r="O876" s="355">
        <f t="shared" si="130"/>
        <v>-30960000</v>
      </c>
      <c r="P876" s="388">
        <f t="shared" si="131"/>
        <v>48.4</v>
      </c>
      <c r="Q876" s="441"/>
      <c r="R876" s="422"/>
    </row>
    <row r="877" spans="1:18" s="189" customFormat="1" ht="12.05" customHeight="1">
      <c r="A877" s="293"/>
      <c r="B877" s="292"/>
      <c r="C877" s="292"/>
      <c r="D877" s="292"/>
      <c r="E877" s="292"/>
      <c r="F877" s="292"/>
      <c r="G877" s="253" t="s">
        <v>50</v>
      </c>
      <c r="H877" s="253"/>
      <c r="I877" s="253" t="s">
        <v>382</v>
      </c>
      <c r="J877" s="354">
        <v>30000000</v>
      </c>
      <c r="K877" s="373">
        <f>'[57]TARGET MURNI DAN PERUBAHAN'!$E$527</f>
        <v>0</v>
      </c>
      <c r="L877" s="360">
        <f>[62]PerDinas!$N$877</f>
        <v>0</v>
      </c>
      <c r="M877" s="373">
        <f>[55]Perdinas!$E$623</f>
        <v>0</v>
      </c>
      <c r="N877" s="355">
        <f t="shared" si="132"/>
        <v>0</v>
      </c>
      <c r="O877" s="355">
        <f t="shared" si="130"/>
        <v>0</v>
      </c>
      <c r="P877" s="388" t="e">
        <f t="shared" si="131"/>
        <v>#DIV/0!</v>
      </c>
      <c r="Q877" s="441"/>
      <c r="R877" s="422"/>
    </row>
    <row r="878" spans="1:18" s="189" customFormat="1" ht="12.05" customHeight="1">
      <c r="A878" s="293"/>
      <c r="B878" s="292"/>
      <c r="C878" s="292"/>
      <c r="D878" s="292"/>
      <c r="E878" s="292"/>
      <c r="F878" s="292"/>
      <c r="G878" s="253" t="s">
        <v>50</v>
      </c>
      <c r="H878" s="253"/>
      <c r="I878" s="1083" t="s">
        <v>383</v>
      </c>
      <c r="J878" s="351">
        <v>0</v>
      </c>
      <c r="K878" s="373">
        <f>'[57]TARGET MURNI DAN PERUBAHAN'!$E$528</f>
        <v>0</v>
      </c>
      <c r="L878" s="360">
        <f>[62]PerDinas!$N$878</f>
        <v>0</v>
      </c>
      <c r="M878" s="373">
        <f>[55]Perdinas!$E$624</f>
        <v>0</v>
      </c>
      <c r="N878" s="355">
        <f t="shared" si="132"/>
        <v>0</v>
      </c>
      <c r="O878" s="355">
        <f t="shared" si="130"/>
        <v>0</v>
      </c>
      <c r="P878" s="388" t="e">
        <f t="shared" si="131"/>
        <v>#DIV/0!</v>
      </c>
      <c r="Q878" s="441"/>
      <c r="R878" s="422"/>
    </row>
    <row r="879" spans="1:18" s="189" customFormat="1" ht="12.05" customHeight="1">
      <c r="A879" s="293"/>
      <c r="B879" s="292"/>
      <c r="C879" s="292"/>
      <c r="D879" s="292"/>
      <c r="E879" s="292"/>
      <c r="F879" s="292"/>
      <c r="G879" s="253" t="s">
        <v>50</v>
      </c>
      <c r="H879" s="291"/>
      <c r="I879" s="253" t="s">
        <v>1014</v>
      </c>
      <c r="J879" s="354"/>
      <c r="K879" s="373">
        <f>'[57]TARGET MURNI DAN PERUBAHAN'!$E$529</f>
        <v>0</v>
      </c>
      <c r="L879" s="360">
        <f>[62]PerDinas!$N$879</f>
        <v>0</v>
      </c>
      <c r="M879" s="373">
        <f>[55]Perdinas!$E$625</f>
        <v>0</v>
      </c>
      <c r="N879" s="355">
        <f t="shared" si="132"/>
        <v>0</v>
      </c>
      <c r="O879" s="355">
        <f t="shared" si="130"/>
        <v>0</v>
      </c>
      <c r="P879" s="388" t="e">
        <f t="shared" si="131"/>
        <v>#DIV/0!</v>
      </c>
      <c r="Q879" s="441"/>
      <c r="R879" s="422"/>
    </row>
    <row r="880" spans="1:18" s="189" customFormat="1" ht="12.05" customHeight="1">
      <c r="A880" s="293"/>
      <c r="B880" s="292"/>
      <c r="C880" s="292"/>
      <c r="D880" s="292"/>
      <c r="E880" s="292"/>
      <c r="F880" s="292"/>
      <c r="G880" s="291"/>
      <c r="H880" s="291"/>
      <c r="I880" s="253"/>
      <c r="J880" s="333"/>
      <c r="K880" s="334"/>
      <c r="L880" s="352"/>
      <c r="M880" s="352"/>
      <c r="N880" s="352"/>
      <c r="O880" s="352"/>
      <c r="P880" s="353"/>
      <c r="Q880" s="440"/>
      <c r="R880" s="422"/>
    </row>
    <row r="881" spans="1:18" s="190" customFormat="1" ht="12.05" customHeight="1">
      <c r="A881" s="293"/>
      <c r="B881" s="290">
        <v>4</v>
      </c>
      <c r="C881" s="290">
        <v>1</v>
      </c>
      <c r="D881" s="290">
        <v>2</v>
      </c>
      <c r="E881" s="290" t="s">
        <v>438</v>
      </c>
      <c r="F881" s="290" t="s">
        <v>448</v>
      </c>
      <c r="G881" s="291" t="s">
        <v>361</v>
      </c>
      <c r="H881" s="291"/>
      <c r="I881" s="291"/>
      <c r="J881" s="1084">
        <f>SUM(J882:J887)</f>
        <v>461000000</v>
      </c>
      <c r="K881" s="492">
        <f>SUM(K882:K888)</f>
        <v>790000000</v>
      </c>
      <c r="L881" s="1085">
        <f>SUM(L882:L888)</f>
        <v>651907850</v>
      </c>
      <c r="M881" s="477">
        <f>SUM(M882:M888)</f>
        <v>27080000</v>
      </c>
      <c r="N881" s="1086">
        <f>M881+L881</f>
        <v>678987850</v>
      </c>
      <c r="O881" s="476">
        <f t="shared" ref="O881:O890" si="133">N881-K881</f>
        <v>-111012150</v>
      </c>
      <c r="P881" s="671">
        <f t="shared" ref="P881:P890" si="134">N881/K881*100</f>
        <v>85.947829113924044</v>
      </c>
      <c r="Q881" s="1096"/>
      <c r="R881" s="1095"/>
    </row>
    <row r="882" spans="1:18" s="189" customFormat="1" ht="12.05" customHeight="1">
      <c r="A882" s="293"/>
      <c r="B882" s="292"/>
      <c r="C882" s="292"/>
      <c r="D882" s="292"/>
      <c r="E882" s="292"/>
      <c r="F882" s="292"/>
      <c r="G882" s="253" t="s">
        <v>50</v>
      </c>
      <c r="H882" s="253"/>
      <c r="I882" s="1083" t="s">
        <v>384</v>
      </c>
      <c r="J882" s="389">
        <f>56500000+88500000</f>
        <v>145000000</v>
      </c>
      <c r="K882" s="373">
        <f>'[57]TARGET MURNI DAN PERUBAHAN'!$E$531</f>
        <v>180000000</v>
      </c>
      <c r="L882" s="391">
        <f>[62]PerDinas!$N$882</f>
        <v>151640500</v>
      </c>
      <c r="M882" s="373">
        <f>[55]Perdinas!$E$627</f>
        <v>10000000</v>
      </c>
      <c r="N882" s="357">
        <f t="shared" ref="N882:N890" si="135">M882+L882</f>
        <v>161640500</v>
      </c>
      <c r="O882" s="357">
        <f t="shared" si="133"/>
        <v>-18359500</v>
      </c>
      <c r="P882" s="358">
        <f t="shared" si="134"/>
        <v>89.800277777777779</v>
      </c>
      <c r="Q882" s="442"/>
      <c r="R882" s="422"/>
    </row>
    <row r="883" spans="1:18" s="189" customFormat="1" ht="12.05" customHeight="1">
      <c r="A883" s="293"/>
      <c r="B883" s="292"/>
      <c r="C883" s="292"/>
      <c r="D883" s="292"/>
      <c r="E883" s="292"/>
      <c r="F883" s="292"/>
      <c r="G883" s="253" t="s">
        <v>50</v>
      </c>
      <c r="H883" s="253"/>
      <c r="I883" s="1083" t="s">
        <v>385</v>
      </c>
      <c r="J883" s="354">
        <v>175000000</v>
      </c>
      <c r="K883" s="373">
        <f>'[57]TARGET MURNI DAN PERUBAHAN'!$E$532</f>
        <v>150000000</v>
      </c>
      <c r="L883" s="391">
        <f>[62]PerDinas!$N$883</f>
        <v>121886600</v>
      </c>
      <c r="M883" s="373">
        <f>[55]Perdinas!$E$628</f>
        <v>1140000</v>
      </c>
      <c r="N883" s="771">
        <f t="shared" si="135"/>
        <v>123026600</v>
      </c>
      <c r="O883" s="355">
        <f t="shared" si="133"/>
        <v>-26973400</v>
      </c>
      <c r="P883" s="388">
        <f t="shared" si="134"/>
        <v>82.017733333333325</v>
      </c>
      <c r="Q883" s="441"/>
      <c r="R883" s="422"/>
    </row>
    <row r="884" spans="1:18" s="189" customFormat="1" ht="12.05" customHeight="1">
      <c r="A884" s="293"/>
      <c r="B884" s="292"/>
      <c r="C884" s="292"/>
      <c r="D884" s="292"/>
      <c r="E884" s="292"/>
      <c r="F884" s="292"/>
      <c r="G884" s="253" t="s">
        <v>50</v>
      </c>
      <c r="H884" s="253"/>
      <c r="I884" s="1083" t="s">
        <v>386</v>
      </c>
      <c r="J884" s="354">
        <v>76000000</v>
      </c>
      <c r="K884" s="373">
        <f>'[57]TARGET MURNI DAN PERUBAHAN'!$E$533</f>
        <v>80000000</v>
      </c>
      <c r="L884" s="391">
        <f>[62]PerDinas!$N$884</f>
        <v>73634000</v>
      </c>
      <c r="M884" s="373">
        <f>[55]Perdinas!$E$629</f>
        <v>4600000</v>
      </c>
      <c r="N884" s="355">
        <f t="shared" si="135"/>
        <v>78234000</v>
      </c>
      <c r="O884" s="355">
        <f t="shared" si="133"/>
        <v>-1766000</v>
      </c>
      <c r="P884" s="388">
        <f t="shared" si="134"/>
        <v>97.792500000000004</v>
      </c>
      <c r="Q884" s="441"/>
      <c r="R884" s="422"/>
    </row>
    <row r="885" spans="1:18" s="189" customFormat="1" ht="12.05" customHeight="1">
      <c r="A885" s="293"/>
      <c r="B885" s="292"/>
      <c r="C885" s="292"/>
      <c r="D885" s="292"/>
      <c r="E885" s="292"/>
      <c r="F885" s="292"/>
      <c r="G885" s="253" t="s">
        <v>50</v>
      </c>
      <c r="H885" s="253"/>
      <c r="I885" s="253" t="s">
        <v>1015</v>
      </c>
      <c r="J885" s="354">
        <v>20000000</v>
      </c>
      <c r="K885" s="373">
        <v>0</v>
      </c>
      <c r="L885" s="391">
        <f>[62]PerDinas!$N$885</f>
        <v>0</v>
      </c>
      <c r="M885" s="373">
        <f>[55]Perdinas!$E$630</f>
        <v>0</v>
      </c>
      <c r="N885" s="355">
        <f t="shared" si="135"/>
        <v>0</v>
      </c>
      <c r="O885" s="355">
        <f t="shared" si="133"/>
        <v>0</v>
      </c>
      <c r="P885" s="388" t="e">
        <f t="shared" si="134"/>
        <v>#DIV/0!</v>
      </c>
      <c r="Q885" s="441"/>
      <c r="R885" s="422"/>
    </row>
    <row r="886" spans="1:18" s="189" customFormat="1" ht="12.05" customHeight="1">
      <c r="A886" s="293"/>
      <c r="B886" s="292"/>
      <c r="C886" s="292"/>
      <c r="D886" s="292"/>
      <c r="E886" s="292"/>
      <c r="F886" s="292"/>
      <c r="G886" s="253" t="s">
        <v>50</v>
      </c>
      <c r="H886" s="253"/>
      <c r="I886" s="1083" t="s">
        <v>388</v>
      </c>
      <c r="J886" s="354">
        <v>15000000</v>
      </c>
      <c r="K886" s="373">
        <f>'[57]TARGET MURNI DAN PERUBAHAN'!$E$535</f>
        <v>15000000</v>
      </c>
      <c r="L886" s="391">
        <f>[62]PerDinas!$N$886</f>
        <v>11033000</v>
      </c>
      <c r="M886" s="373">
        <f>[55]Perdinas!$E$631</f>
        <v>900000</v>
      </c>
      <c r="N886" s="355">
        <f t="shared" si="135"/>
        <v>11933000</v>
      </c>
      <c r="O886" s="355">
        <f t="shared" si="133"/>
        <v>-3067000</v>
      </c>
      <c r="P886" s="388">
        <f t="shared" si="134"/>
        <v>79.553333333333327</v>
      </c>
      <c r="Q886" s="441"/>
      <c r="R886" s="422"/>
    </row>
    <row r="887" spans="1:18" s="189" customFormat="1" ht="12.05" customHeight="1">
      <c r="A887" s="293"/>
      <c r="B887" s="292"/>
      <c r="C887" s="292"/>
      <c r="D887" s="292"/>
      <c r="E887" s="292"/>
      <c r="F887" s="292"/>
      <c r="G887" s="253" t="s">
        <v>50</v>
      </c>
      <c r="H887" s="253"/>
      <c r="I887" s="1083" t="s">
        <v>389</v>
      </c>
      <c r="J887" s="354">
        <v>30000000</v>
      </c>
      <c r="K887" s="373">
        <f>'[57]TARGET MURNI DAN PERUBAHAN'!$E$536</f>
        <v>30000000</v>
      </c>
      <c r="L887" s="391">
        <f>[62]PerDinas!$N$887</f>
        <v>19800000</v>
      </c>
      <c r="M887" s="373">
        <f>[55]Perdinas!$E$632</f>
        <v>0</v>
      </c>
      <c r="N887" s="355">
        <f t="shared" si="135"/>
        <v>19800000</v>
      </c>
      <c r="O887" s="355">
        <f t="shared" si="133"/>
        <v>-10200000</v>
      </c>
      <c r="P887" s="388">
        <f t="shared" si="134"/>
        <v>66</v>
      </c>
      <c r="Q887" s="441"/>
      <c r="R887" s="422"/>
    </row>
    <row r="888" spans="1:18" s="189" customFormat="1" ht="12.05" customHeight="1">
      <c r="A888" s="293"/>
      <c r="B888" s="292"/>
      <c r="C888" s="292"/>
      <c r="D888" s="292"/>
      <c r="E888" s="292"/>
      <c r="F888" s="292"/>
      <c r="G888" s="253" t="s">
        <v>50</v>
      </c>
      <c r="H888" s="253"/>
      <c r="I888" s="253" t="s">
        <v>898</v>
      </c>
      <c r="J888" s="351"/>
      <c r="K888" s="352">
        <f>'[57]TARGET MURNI DAN PERUBAHAN'!$E$534</f>
        <v>335000000</v>
      </c>
      <c r="L888" s="391">
        <f>[62]PerDinas!$N$888</f>
        <v>273913750</v>
      </c>
      <c r="M888" s="352">
        <f>[55]Perdinas!$E$633</f>
        <v>10440000</v>
      </c>
      <c r="N888" s="355">
        <f t="shared" si="135"/>
        <v>284353750</v>
      </c>
      <c r="O888" s="355">
        <f t="shared" si="133"/>
        <v>-50646250</v>
      </c>
      <c r="P888" s="388">
        <f t="shared" si="134"/>
        <v>84.88171641791044</v>
      </c>
      <c r="Q888" s="1097"/>
      <c r="R888" s="422"/>
    </row>
    <row r="889" spans="1:18" s="189" customFormat="1" ht="12.05" customHeight="1">
      <c r="A889" s="293"/>
      <c r="B889" s="292"/>
      <c r="C889" s="292"/>
      <c r="D889" s="292"/>
      <c r="E889" s="292"/>
      <c r="F889" s="292"/>
      <c r="G889" s="253"/>
      <c r="H889" s="253"/>
      <c r="I889" s="253"/>
      <c r="J889" s="351"/>
      <c r="K889" s="352"/>
      <c r="L889" s="334"/>
      <c r="M889" s="352"/>
      <c r="N889" s="352"/>
      <c r="O889" s="352"/>
      <c r="P889" s="353"/>
      <c r="Q889" s="1097"/>
      <c r="R889" s="422"/>
    </row>
    <row r="890" spans="1:18" s="189" customFormat="1" ht="12.05" customHeight="1">
      <c r="A890" s="293"/>
      <c r="B890" s="290" t="s">
        <v>443</v>
      </c>
      <c r="C890" s="290" t="s">
        <v>58</v>
      </c>
      <c r="D890" s="290" t="s">
        <v>460</v>
      </c>
      <c r="E890" s="290" t="s">
        <v>440</v>
      </c>
      <c r="F890" s="290" t="s">
        <v>438</v>
      </c>
      <c r="G890" s="291" t="s">
        <v>391</v>
      </c>
      <c r="H890" s="253"/>
      <c r="I890" s="253"/>
      <c r="J890" s="1087"/>
      <c r="K890" s="1088">
        <f>'[57]TARGET MURNI DAN PERUBAHAN'!$E$538</f>
        <v>0</v>
      </c>
      <c r="L890" s="1085">
        <f>[62]PerDinas!$N$890</f>
        <v>0</v>
      </c>
      <c r="M890" s="1088">
        <f>[55]Perdinas!$E$635</f>
        <v>0</v>
      </c>
      <c r="N890" s="693">
        <f t="shared" si="135"/>
        <v>0</v>
      </c>
      <c r="O890" s="693">
        <f t="shared" si="133"/>
        <v>0</v>
      </c>
      <c r="P890" s="1089" t="e">
        <f t="shared" si="134"/>
        <v>#DIV/0!</v>
      </c>
      <c r="Q890" s="441"/>
      <c r="R890" s="422"/>
    </row>
    <row r="891" spans="1:18" s="189" customFormat="1" ht="12.05" customHeight="1">
      <c r="A891" s="293"/>
      <c r="B891" s="292"/>
      <c r="C891" s="292"/>
      <c r="D891" s="292"/>
      <c r="E891" s="292"/>
      <c r="F891" s="292"/>
      <c r="G891" s="253"/>
      <c r="H891" s="253"/>
      <c r="I891" s="253"/>
      <c r="J891" s="333"/>
      <c r="K891" s="334"/>
      <c r="L891" s="356"/>
      <c r="M891" s="334"/>
      <c r="N891" s="334"/>
      <c r="O891" s="334"/>
      <c r="P891" s="335"/>
      <c r="Q891" s="430"/>
      <c r="R891" s="422"/>
    </row>
    <row r="892" spans="1:18" s="189" customFormat="1" ht="12.05" customHeight="1">
      <c r="A892" s="293"/>
      <c r="B892" s="290">
        <v>4</v>
      </c>
      <c r="C892" s="290">
        <v>1</v>
      </c>
      <c r="D892" s="290">
        <v>4</v>
      </c>
      <c r="E892" s="290"/>
      <c r="F892" s="290"/>
      <c r="G892" s="291" t="s">
        <v>71</v>
      </c>
      <c r="H892" s="291"/>
      <c r="I892" s="291"/>
      <c r="J892" s="392">
        <f>J893+J898</f>
        <v>44000000</v>
      </c>
      <c r="K892" s="393">
        <f>K893+K898+K894</f>
        <v>16750000</v>
      </c>
      <c r="L892" s="393">
        <f>L893+L898+L894</f>
        <v>16082905</v>
      </c>
      <c r="M892" s="393">
        <f>M893+M898+M894</f>
        <v>2000000</v>
      </c>
      <c r="N892" s="393">
        <f>M892+L892</f>
        <v>18082905</v>
      </c>
      <c r="O892" s="349">
        <f>N892-K892</f>
        <v>1332905</v>
      </c>
      <c r="P892" s="350">
        <f>N892/K892*100</f>
        <v>107.95764179104476</v>
      </c>
      <c r="Q892" s="444"/>
      <c r="R892" s="422"/>
    </row>
    <row r="893" spans="1:18" s="189" customFormat="1" ht="12.05" customHeight="1">
      <c r="A893" s="289"/>
      <c r="B893" s="292">
        <v>4</v>
      </c>
      <c r="C893" s="292">
        <v>1</v>
      </c>
      <c r="D893" s="292">
        <v>4</v>
      </c>
      <c r="E893" s="292" t="s">
        <v>444</v>
      </c>
      <c r="F893" s="292"/>
      <c r="G893" s="253" t="s">
        <v>222</v>
      </c>
      <c r="H893" s="253"/>
      <c r="I893" s="253"/>
      <c r="J893" s="484">
        <f>+J896</f>
        <v>23000000</v>
      </c>
      <c r="K893" s="485">
        <f>+K896</f>
        <v>0</v>
      </c>
      <c r="L893" s="1090">
        <f>SUM(L894:L896)</f>
        <v>15472185</v>
      </c>
      <c r="M893" s="485">
        <f>SUM(M894:M896)</f>
        <v>2000000</v>
      </c>
      <c r="N893" s="485">
        <f>SUM(N894:N896)</f>
        <v>17472185</v>
      </c>
      <c r="O893" s="412">
        <f>N893-K893</f>
        <v>17472185</v>
      </c>
      <c r="P893" s="487">
        <v>0</v>
      </c>
      <c r="Q893" s="644"/>
      <c r="R893" s="422"/>
    </row>
    <row r="894" spans="1:18" s="189" customFormat="1" ht="12.05" customHeight="1">
      <c r="A894" s="289"/>
      <c r="B894" s="292">
        <v>4</v>
      </c>
      <c r="C894" s="292">
        <v>1</v>
      </c>
      <c r="D894" s="292">
        <v>4</v>
      </c>
      <c r="E894" s="292" t="s">
        <v>441</v>
      </c>
      <c r="F894" s="292" t="s">
        <v>437</v>
      </c>
      <c r="G894" s="909" t="s">
        <v>1016</v>
      </c>
      <c r="H894" s="253"/>
      <c r="I894" s="253"/>
      <c r="J894" s="354">
        <v>0</v>
      </c>
      <c r="K894" s="355">
        <f>'[57]TARGET MURNI DAN PERUBAHAN'!$E$541</f>
        <v>16250000</v>
      </c>
      <c r="L894" s="391">
        <f>L895</f>
        <v>0</v>
      </c>
      <c r="M894" s="355">
        <v>0</v>
      </c>
      <c r="N894" s="355">
        <f>M894+L894</f>
        <v>0</v>
      </c>
      <c r="O894" s="355">
        <f>N894-K894</f>
        <v>-16250000</v>
      </c>
      <c r="P894" s="388"/>
      <c r="Q894" s="442"/>
      <c r="R894" s="422"/>
    </row>
    <row r="895" spans="1:18" s="189" customFormat="1" ht="12.05" customHeight="1">
      <c r="A895" s="289"/>
      <c r="B895" s="287">
        <v>4</v>
      </c>
      <c r="C895" s="287">
        <v>1</v>
      </c>
      <c r="D895" s="287">
        <v>4</v>
      </c>
      <c r="E895" s="287" t="s">
        <v>441</v>
      </c>
      <c r="F895" s="287" t="s">
        <v>1017</v>
      </c>
      <c r="G895" s="291" t="s">
        <v>1018</v>
      </c>
      <c r="H895" s="253"/>
      <c r="I895" s="253"/>
      <c r="J895" s="354">
        <v>0</v>
      </c>
      <c r="K895" s="355">
        <f>'[57]TARGET MURNI DAN PERUBAHAN'!$E$542</f>
        <v>0</v>
      </c>
      <c r="L895" s="372">
        <f>[62]PerDinas!$N$895</f>
        <v>0</v>
      </c>
      <c r="M895" s="371">
        <f>[55]Perdinas!$E$638</f>
        <v>0</v>
      </c>
      <c r="N895" s="371">
        <f>M895+L895</f>
        <v>0</v>
      </c>
      <c r="O895" s="371">
        <f>N895-K895</f>
        <v>0</v>
      </c>
      <c r="P895" s="388" t="e">
        <f>N895/K895*100</f>
        <v>#DIV/0!</v>
      </c>
      <c r="Q895" s="651"/>
      <c r="R895" s="422"/>
    </row>
    <row r="896" spans="1:18" s="189" customFormat="1" ht="12.05" customHeight="1">
      <c r="A896" s="289"/>
      <c r="B896" s="292">
        <v>4</v>
      </c>
      <c r="C896" s="292">
        <v>1</v>
      </c>
      <c r="D896" s="292">
        <v>4</v>
      </c>
      <c r="E896" s="292" t="s">
        <v>444</v>
      </c>
      <c r="F896" s="292" t="s">
        <v>441</v>
      </c>
      <c r="G896" s="253" t="s">
        <v>75</v>
      </c>
      <c r="H896" s="253"/>
      <c r="I896" s="253"/>
      <c r="J896" s="354">
        <v>23000000</v>
      </c>
      <c r="K896" s="373">
        <f>'[57]TARGET MURNI DAN PERUBAHAN'!$E$543</f>
        <v>0</v>
      </c>
      <c r="L896" s="360">
        <f>[62]PerDinas!$N$896</f>
        <v>15472185</v>
      </c>
      <c r="M896" s="373">
        <f>[55]Perdinas!$E$641</f>
        <v>2000000</v>
      </c>
      <c r="N896" s="369">
        <f>M896+L896</f>
        <v>17472185</v>
      </c>
      <c r="O896" s="355">
        <f>N896-K896</f>
        <v>17472185</v>
      </c>
      <c r="P896" s="388" t="e">
        <f>N896/K896*100</f>
        <v>#DIV/0!</v>
      </c>
      <c r="Q896" s="441"/>
      <c r="R896" s="422"/>
    </row>
    <row r="897" spans="1:18" s="189" customFormat="1" ht="12.05" customHeight="1">
      <c r="A897" s="293"/>
      <c r="B897" s="292"/>
      <c r="C897" s="292"/>
      <c r="D897" s="292"/>
      <c r="E897" s="292"/>
      <c r="F897" s="292"/>
      <c r="G897" s="253"/>
      <c r="H897" s="253"/>
      <c r="I897" s="253"/>
      <c r="J897" s="354"/>
      <c r="K897" s="355"/>
      <c r="L897" s="360">
        <v>0</v>
      </c>
      <c r="M897" s="355"/>
      <c r="N897" s="355"/>
      <c r="O897" s="355"/>
      <c r="P897" s="388"/>
      <c r="Q897" s="441"/>
      <c r="R897" s="555"/>
    </row>
    <row r="898" spans="1:18" s="189" customFormat="1" ht="12.05" customHeight="1">
      <c r="A898" s="293"/>
      <c r="B898" s="292">
        <v>4</v>
      </c>
      <c r="C898" s="292">
        <v>1</v>
      </c>
      <c r="D898" s="292">
        <v>4</v>
      </c>
      <c r="E898" s="292" t="s">
        <v>948</v>
      </c>
      <c r="F898" s="292"/>
      <c r="G898" s="253" t="s">
        <v>321</v>
      </c>
      <c r="H898" s="253"/>
      <c r="I898" s="253"/>
      <c r="J898" s="484">
        <f>+J899</f>
        <v>21000000</v>
      </c>
      <c r="K898" s="485">
        <f>+K899</f>
        <v>500000</v>
      </c>
      <c r="L898" s="538">
        <f>+L899</f>
        <v>610720</v>
      </c>
      <c r="M898" s="485">
        <f>+M899</f>
        <v>0</v>
      </c>
      <c r="N898" s="412">
        <f>+M898+L898</f>
        <v>610720</v>
      </c>
      <c r="O898" s="412">
        <f>N898-K898</f>
        <v>110720</v>
      </c>
      <c r="P898" s="388">
        <f>N898/K898*100</f>
        <v>122.14400000000001</v>
      </c>
      <c r="Q898" s="541"/>
      <c r="R898" s="422"/>
    </row>
    <row r="899" spans="1:18" s="189" customFormat="1" ht="12.05" customHeight="1">
      <c r="A899" s="293"/>
      <c r="B899" s="292">
        <v>4</v>
      </c>
      <c r="C899" s="292">
        <v>1</v>
      </c>
      <c r="D899" s="292">
        <v>4</v>
      </c>
      <c r="E899" s="292" t="s">
        <v>948</v>
      </c>
      <c r="F899" s="292" t="s">
        <v>437</v>
      </c>
      <c r="G899" s="253" t="s">
        <v>85</v>
      </c>
      <c r="H899" s="253"/>
      <c r="I899" s="253"/>
      <c r="J899" s="333">
        <f>+J900+J901</f>
        <v>21000000</v>
      </c>
      <c r="K899" s="334">
        <f>+K900+K901</f>
        <v>500000</v>
      </c>
      <c r="L899" s="391">
        <f>L900+L901</f>
        <v>610720</v>
      </c>
      <c r="M899" s="334">
        <f>+M900+M901</f>
        <v>0</v>
      </c>
      <c r="N899" s="334">
        <f>+N900</f>
        <v>610720</v>
      </c>
      <c r="O899" s="334">
        <f>N899-K899</f>
        <v>110720</v>
      </c>
      <c r="P899" s="335">
        <f>N899/K899*100</f>
        <v>122.14400000000001</v>
      </c>
      <c r="Q899" s="430"/>
      <c r="R899" s="464"/>
    </row>
    <row r="900" spans="1:18" s="189" customFormat="1" ht="12.05" customHeight="1">
      <c r="A900" s="293"/>
      <c r="B900" s="292"/>
      <c r="C900" s="292"/>
      <c r="D900" s="292"/>
      <c r="E900" s="292"/>
      <c r="F900" s="292"/>
      <c r="G900" s="253" t="s">
        <v>50</v>
      </c>
      <c r="H900" s="253"/>
      <c r="I900" s="253" t="s">
        <v>85</v>
      </c>
      <c r="J900" s="354">
        <v>15000000</v>
      </c>
      <c r="K900" s="373">
        <f>'[57]TARGET MURNI DAN PERUBAHAN'!$E$545</f>
        <v>500000</v>
      </c>
      <c r="L900" s="360">
        <f>[62]PerDinas!$N$900</f>
        <v>610720</v>
      </c>
      <c r="M900" s="373">
        <f>[55]Perdinas!$E$642</f>
        <v>0</v>
      </c>
      <c r="N900" s="369">
        <f>M900+L900</f>
        <v>610720</v>
      </c>
      <c r="O900" s="355">
        <f>N900-K900</f>
        <v>110720</v>
      </c>
      <c r="P900" s="388">
        <f>N900/K900*100</f>
        <v>122.14400000000001</v>
      </c>
      <c r="Q900" s="441"/>
      <c r="R900" s="555"/>
    </row>
    <row r="901" spans="1:18" s="245" customFormat="1" ht="12.05" customHeight="1">
      <c r="A901" s="472"/>
      <c r="B901" s="305"/>
      <c r="C901" s="305"/>
      <c r="D901" s="305"/>
      <c r="E901" s="305"/>
      <c r="F901" s="305"/>
      <c r="G901" s="306" t="s">
        <v>50</v>
      </c>
      <c r="H901" s="306"/>
      <c r="I901" s="306"/>
      <c r="J901" s="536">
        <v>6000000</v>
      </c>
      <c r="K901" s="380">
        <v>0</v>
      </c>
      <c r="L901" s="355"/>
      <c r="M901" s="1091">
        <v>0</v>
      </c>
      <c r="N901" s="380">
        <f>M901+L901</f>
        <v>0</v>
      </c>
      <c r="O901" s="355">
        <f>N901-K901</f>
        <v>0</v>
      </c>
      <c r="P901" s="501"/>
      <c r="Q901" s="441"/>
      <c r="R901" s="450"/>
    </row>
    <row r="902" spans="1:18" s="244" customFormat="1" ht="13.5" customHeight="1">
      <c r="A902" s="283" t="s">
        <v>396</v>
      </c>
      <c r="B902" s="284" t="s">
        <v>460</v>
      </c>
      <c r="C902" s="284" t="s">
        <v>456</v>
      </c>
      <c r="D902" s="284" t="s">
        <v>437</v>
      </c>
      <c r="E902" s="284"/>
      <c r="F902" s="284"/>
      <c r="G902" s="298" t="s">
        <v>911</v>
      </c>
      <c r="H902" s="298"/>
      <c r="I902" s="298"/>
      <c r="J902" s="336">
        <f>+J904</f>
        <v>241500000</v>
      </c>
      <c r="K902" s="337">
        <f>+K904</f>
        <v>315000000</v>
      </c>
      <c r="L902" s="337" t="e">
        <f>+L904</f>
        <v>#REF!</v>
      </c>
      <c r="M902" s="337">
        <f>+M904</f>
        <v>18004600</v>
      </c>
      <c r="N902" s="337" t="e">
        <f>M902+L902</f>
        <v>#REF!</v>
      </c>
      <c r="O902" s="337" t="e">
        <f>+N902-K902</f>
        <v>#REF!</v>
      </c>
      <c r="P902" s="338" t="e">
        <f>+N902/K902*100</f>
        <v>#REF!</v>
      </c>
      <c r="Q902" s="432"/>
      <c r="R902" s="639"/>
    </row>
    <row r="903" spans="1:18" s="189" customFormat="1" ht="12.05" customHeight="1">
      <c r="A903" s="471"/>
      <c r="B903" s="287"/>
      <c r="C903" s="287"/>
      <c r="D903" s="287"/>
      <c r="E903" s="287"/>
      <c r="F903" s="287"/>
      <c r="G903" s="288"/>
      <c r="H903" s="288"/>
      <c r="I903" s="288"/>
      <c r="J903" s="385"/>
      <c r="K903" s="386"/>
      <c r="L903" s="1102"/>
      <c r="M903" s="386"/>
      <c r="N903" s="386"/>
      <c r="O903" s="386"/>
      <c r="P903" s="341"/>
      <c r="Q903" s="453"/>
      <c r="R903" s="422"/>
    </row>
    <row r="904" spans="1:18" s="189" customFormat="1" ht="12.05" customHeight="1">
      <c r="A904" s="293"/>
      <c r="B904" s="290">
        <v>4</v>
      </c>
      <c r="C904" s="290">
        <v>1</v>
      </c>
      <c r="D904" s="290"/>
      <c r="E904" s="290"/>
      <c r="F904" s="290"/>
      <c r="G904" s="291" t="s">
        <v>180</v>
      </c>
      <c r="H904" s="291"/>
      <c r="I904" s="291"/>
      <c r="J904" s="342">
        <f>+J906+J915</f>
        <v>241500000</v>
      </c>
      <c r="K904" s="343">
        <f>+K906+K915</f>
        <v>315000000</v>
      </c>
      <c r="L904" s="606" t="e">
        <f>+L906+L915</f>
        <v>#REF!</v>
      </c>
      <c r="M904" s="343">
        <f>+M906+M915</f>
        <v>18004600</v>
      </c>
      <c r="N904" s="343" t="e">
        <f>+M904+L904</f>
        <v>#REF!</v>
      </c>
      <c r="O904" s="343" t="e">
        <f t="shared" ref="O904:O909" si="136">N904-K904</f>
        <v>#REF!</v>
      </c>
      <c r="P904" s="344" t="e">
        <f>N904/K904*100</f>
        <v>#REF!</v>
      </c>
      <c r="Q904" s="437"/>
      <c r="R904" s="422"/>
    </row>
    <row r="905" spans="1:18" s="189" customFormat="1" ht="12.05" customHeight="1">
      <c r="A905" s="293"/>
      <c r="B905" s="292"/>
      <c r="C905" s="292"/>
      <c r="D905" s="292"/>
      <c r="E905" s="292"/>
      <c r="F905" s="292"/>
      <c r="G905" s="253"/>
      <c r="H905" s="253"/>
      <c r="I905" s="291"/>
      <c r="J905" s="345"/>
      <c r="K905" s="346"/>
      <c r="L905" s="660"/>
      <c r="M905" s="346"/>
      <c r="N905" s="346"/>
      <c r="O905" s="346"/>
      <c r="P905" s="347"/>
      <c r="Q905" s="438"/>
      <c r="R905" s="422"/>
    </row>
    <row r="906" spans="1:18" s="189" customFormat="1" ht="12.05" customHeight="1">
      <c r="A906" s="293"/>
      <c r="B906" s="290">
        <v>4</v>
      </c>
      <c r="C906" s="290">
        <v>1</v>
      </c>
      <c r="D906" s="290">
        <v>2</v>
      </c>
      <c r="E906" s="290"/>
      <c r="F906" s="290"/>
      <c r="G906" s="291" t="s">
        <v>106</v>
      </c>
      <c r="H906" s="291"/>
      <c r="I906" s="291"/>
      <c r="J906" s="1103">
        <f>+J907+J911</f>
        <v>226500000</v>
      </c>
      <c r="K906" s="395">
        <f>+K907+K911</f>
        <v>315000000</v>
      </c>
      <c r="L906" s="1104">
        <f>+L907+L911</f>
        <v>296098650</v>
      </c>
      <c r="M906" s="395">
        <f>+M907+M911</f>
        <v>18004600</v>
      </c>
      <c r="N906" s="395">
        <f>+M906+L906</f>
        <v>314103250</v>
      </c>
      <c r="O906" s="395">
        <f t="shared" si="136"/>
        <v>-896750</v>
      </c>
      <c r="P906" s="590">
        <f>N906/K906*100</f>
        <v>99.715317460317465</v>
      </c>
      <c r="Q906" s="439"/>
      <c r="R906" s="422"/>
    </row>
    <row r="907" spans="1:18" s="189" customFormat="1" ht="12.05" customHeight="1">
      <c r="A907" s="293"/>
      <c r="B907" s="292">
        <v>4</v>
      </c>
      <c r="C907" s="292">
        <v>1</v>
      </c>
      <c r="D907" s="292">
        <v>2</v>
      </c>
      <c r="E907" s="292" t="s">
        <v>437</v>
      </c>
      <c r="F907" s="292"/>
      <c r="G907" s="253" t="s">
        <v>107</v>
      </c>
      <c r="H907" s="253"/>
      <c r="I907" s="291"/>
      <c r="J907" s="411">
        <f>SUM(J908:J909)</f>
        <v>226500000</v>
      </c>
      <c r="K907" s="412">
        <f>SUM(K908:K909)</f>
        <v>315000000</v>
      </c>
      <c r="L907" s="591">
        <f>SUM(L908:L909)</f>
        <v>296098650</v>
      </c>
      <c r="M907" s="412">
        <f>SUM(M908:M909)</f>
        <v>18004600</v>
      </c>
      <c r="N907" s="412">
        <f>+M907+L907</f>
        <v>314103250</v>
      </c>
      <c r="O907" s="412">
        <f t="shared" si="136"/>
        <v>-896750</v>
      </c>
      <c r="P907" s="487">
        <f>N907/K907*100</f>
        <v>99.715317460317465</v>
      </c>
      <c r="Q907" s="694"/>
      <c r="R907" s="422"/>
    </row>
    <row r="908" spans="1:18" s="189" customFormat="1" ht="12.05" customHeight="1">
      <c r="A908" s="293"/>
      <c r="B908" s="292">
        <v>4</v>
      </c>
      <c r="C908" s="292">
        <v>1</v>
      </c>
      <c r="D908" s="292">
        <v>2</v>
      </c>
      <c r="E908" s="292" t="s">
        <v>437</v>
      </c>
      <c r="F908" s="292" t="s">
        <v>445</v>
      </c>
      <c r="G908" s="253" t="s">
        <v>394</v>
      </c>
      <c r="H908" s="253"/>
      <c r="I908" s="253"/>
      <c r="J908" s="708">
        <v>226500000</v>
      </c>
      <c r="K908" s="373">
        <f>'[57]TARGET MURNI DAN PERUBAHAN'!$E$551</f>
        <v>315000000</v>
      </c>
      <c r="L908" s="689">
        <f>[62]PerDinas!$N$908</f>
        <v>296098650</v>
      </c>
      <c r="M908" s="373">
        <f>[55]Perdinas!$E$648</f>
        <v>18004600</v>
      </c>
      <c r="N908" s="523">
        <f t="shared" ref="N908:N913" si="137">M908+L908</f>
        <v>314103250</v>
      </c>
      <c r="O908" s="497">
        <f t="shared" si="136"/>
        <v>-896750</v>
      </c>
      <c r="P908" s="498">
        <f>N908/K908*100</f>
        <v>99.715317460317465</v>
      </c>
      <c r="Q908" s="732"/>
      <c r="R908" s="422"/>
    </row>
    <row r="909" spans="1:18" s="189" customFormat="1" ht="12.05" customHeight="1">
      <c r="A909" s="293"/>
      <c r="B909" s="292"/>
      <c r="C909" s="292"/>
      <c r="D909" s="292"/>
      <c r="E909" s="292"/>
      <c r="F909" s="292"/>
      <c r="G909" s="253"/>
      <c r="H909" s="253"/>
      <c r="I909" s="253"/>
      <c r="J909" s="679"/>
      <c r="K909" s="691"/>
      <c r="L909" s="513"/>
      <c r="M909" s="495"/>
      <c r="N909" s="334">
        <f t="shared" si="137"/>
        <v>0</v>
      </c>
      <c r="O909" s="334">
        <f t="shared" si="136"/>
        <v>0</v>
      </c>
      <c r="P909" s="335"/>
      <c r="Q909" s="449"/>
      <c r="R909" s="422"/>
    </row>
    <row r="910" spans="1:18" s="189" customFormat="1" ht="12.05" customHeight="1">
      <c r="A910" s="293"/>
      <c r="B910" s="292"/>
      <c r="C910" s="292"/>
      <c r="D910" s="292"/>
      <c r="E910" s="292"/>
      <c r="F910" s="292"/>
      <c r="G910" s="253"/>
      <c r="H910" s="253"/>
      <c r="I910" s="253"/>
      <c r="J910" s="374"/>
      <c r="K910" s="375"/>
      <c r="L910" s="377"/>
      <c r="M910" s="375"/>
      <c r="N910" s="375"/>
      <c r="O910" s="375"/>
      <c r="P910" s="600"/>
      <c r="Q910" s="448"/>
      <c r="R910" s="422"/>
    </row>
    <row r="911" spans="1:18" s="189" customFormat="1" ht="12.05" customHeight="1">
      <c r="A911" s="293"/>
      <c r="B911" s="292">
        <v>4</v>
      </c>
      <c r="C911" s="292">
        <v>1</v>
      </c>
      <c r="D911" s="292">
        <v>2</v>
      </c>
      <c r="E911" s="292" t="s">
        <v>438</v>
      </c>
      <c r="F911" s="292"/>
      <c r="G911" s="253" t="s">
        <v>374</v>
      </c>
      <c r="H911" s="253"/>
      <c r="I911" s="253"/>
      <c r="J911" s="489">
        <f t="shared" ref="J911:M912" si="138">+J912</f>
        <v>0</v>
      </c>
      <c r="K911" s="512">
        <f t="shared" si="138"/>
        <v>0</v>
      </c>
      <c r="L911" s="616">
        <f t="shared" si="138"/>
        <v>0</v>
      </c>
      <c r="M911" s="512">
        <f t="shared" si="138"/>
        <v>0</v>
      </c>
      <c r="N911" s="412">
        <f>+M911+L911</f>
        <v>0</v>
      </c>
      <c r="O911" s="412">
        <f>N911-K911</f>
        <v>0</v>
      </c>
      <c r="P911" s="487" t="e">
        <f>N911/K911*100</f>
        <v>#DIV/0!</v>
      </c>
      <c r="Q911" s="647"/>
      <c r="R911" s="422"/>
    </row>
    <row r="912" spans="1:18" s="189" customFormat="1" ht="12.05" customHeight="1">
      <c r="A912" s="289"/>
      <c r="B912" s="292">
        <v>4</v>
      </c>
      <c r="C912" s="292">
        <v>1</v>
      </c>
      <c r="D912" s="292">
        <v>2</v>
      </c>
      <c r="E912" s="292" t="s">
        <v>438</v>
      </c>
      <c r="F912" s="292" t="s">
        <v>437</v>
      </c>
      <c r="G912" s="253" t="s">
        <v>64</v>
      </c>
      <c r="H912" s="253"/>
      <c r="I912" s="253"/>
      <c r="J912" s="494">
        <f t="shared" si="138"/>
        <v>0</v>
      </c>
      <c r="K912" s="495">
        <f t="shared" si="138"/>
        <v>0</v>
      </c>
      <c r="L912" s="513">
        <f t="shared" si="138"/>
        <v>0</v>
      </c>
      <c r="M912" s="495">
        <f t="shared" si="138"/>
        <v>0</v>
      </c>
      <c r="N912" s="334">
        <f t="shared" si="137"/>
        <v>0</v>
      </c>
      <c r="O912" s="334">
        <f>N912-K912</f>
        <v>0</v>
      </c>
      <c r="P912" s="335" t="e">
        <f>N912/K912*100</f>
        <v>#DIV/0!</v>
      </c>
      <c r="Q912" s="548"/>
      <c r="R912" s="422"/>
    </row>
    <row r="913" spans="1:18" s="189" customFormat="1" ht="12.05" customHeight="1">
      <c r="A913" s="293"/>
      <c r="B913" s="292"/>
      <c r="C913" s="292"/>
      <c r="D913" s="292"/>
      <c r="E913" s="292"/>
      <c r="F913" s="292"/>
      <c r="G913" s="253" t="s">
        <v>50</v>
      </c>
      <c r="H913" s="253"/>
      <c r="I913" s="253" t="s">
        <v>1019</v>
      </c>
      <c r="J913" s="374">
        <v>0</v>
      </c>
      <c r="K913" s="375">
        <v>0</v>
      </c>
      <c r="L913" s="377"/>
      <c r="M913" s="1105">
        <v>0</v>
      </c>
      <c r="N913" s="355">
        <f t="shared" si="137"/>
        <v>0</v>
      </c>
      <c r="O913" s="355">
        <f>N913-K913</f>
        <v>0</v>
      </c>
      <c r="P913" s="388" t="e">
        <f>N913/K913*100</f>
        <v>#DIV/0!</v>
      </c>
      <c r="Q913" s="448"/>
      <c r="R913" s="422"/>
    </row>
    <row r="914" spans="1:18" s="189" customFormat="1" ht="12.05" customHeight="1">
      <c r="A914" s="465"/>
      <c r="B914" s="296"/>
      <c r="C914" s="296"/>
      <c r="D914" s="296"/>
      <c r="E914" s="296"/>
      <c r="F914" s="296"/>
      <c r="G914" s="297"/>
      <c r="H914" s="297"/>
      <c r="I914" s="297"/>
      <c r="J914" s="679"/>
      <c r="K914" s="691"/>
      <c r="L914" s="692"/>
      <c r="M914" s="691"/>
      <c r="N914" s="691"/>
      <c r="O914" s="691"/>
      <c r="P914" s="714"/>
      <c r="Q914" s="449"/>
      <c r="R914" s="422"/>
    </row>
    <row r="915" spans="1:18" s="189" customFormat="1" ht="12.05" customHeight="1">
      <c r="A915" s="1029"/>
      <c r="B915" s="1098">
        <v>4</v>
      </c>
      <c r="C915" s="1098">
        <v>1</v>
      </c>
      <c r="D915" s="1098">
        <v>4</v>
      </c>
      <c r="E915" s="1098"/>
      <c r="F915" s="1098"/>
      <c r="G915" s="1099" t="s">
        <v>71</v>
      </c>
      <c r="H915" s="1099"/>
      <c r="I915" s="1099"/>
      <c r="J915" s="678">
        <f>J916+J921</f>
        <v>15000000</v>
      </c>
      <c r="K915" s="490">
        <f>K916+K921</f>
        <v>0</v>
      </c>
      <c r="L915" s="491" t="e">
        <f>L916+L921</f>
        <v>#REF!</v>
      </c>
      <c r="M915" s="490">
        <f>M916+M921</f>
        <v>0</v>
      </c>
      <c r="N915" s="490">
        <f>N916+N921</f>
        <v>45330853</v>
      </c>
      <c r="O915" s="492">
        <f>N915-K915</f>
        <v>45330853</v>
      </c>
      <c r="P915" s="487" t="e">
        <f>N915/K915*100</f>
        <v>#DIV/0!</v>
      </c>
      <c r="Q915" s="547"/>
      <c r="R915" s="422"/>
    </row>
    <row r="916" spans="1:18" s="189" customFormat="1" ht="12.05" customHeight="1">
      <c r="A916" s="286"/>
      <c r="B916" s="287">
        <v>4</v>
      </c>
      <c r="C916" s="287">
        <v>1</v>
      </c>
      <c r="D916" s="287">
        <v>4</v>
      </c>
      <c r="E916" s="287" t="s">
        <v>444</v>
      </c>
      <c r="F916" s="287"/>
      <c r="G916" s="410" t="s">
        <v>222</v>
      </c>
      <c r="H916" s="410"/>
      <c r="I916" s="410"/>
      <c r="J916" s="484">
        <f>+J919</f>
        <v>0</v>
      </c>
      <c r="K916" s="485">
        <f>+K919</f>
        <v>0</v>
      </c>
      <c r="L916" s="486">
        <f>SUM(L917:L919)</f>
        <v>29696600</v>
      </c>
      <c r="M916" s="485">
        <f>SUM(M917:M919)</f>
        <v>0</v>
      </c>
      <c r="N916" s="485">
        <f>SUM(N917:N919)</f>
        <v>29696600</v>
      </c>
      <c r="O916" s="412">
        <f>N916-K916</f>
        <v>29696600</v>
      </c>
      <c r="P916" s="487">
        <v>0</v>
      </c>
      <c r="Q916" s="541"/>
      <c r="R916" s="422"/>
    </row>
    <row r="917" spans="1:18" s="189" customFormat="1" ht="12.05" customHeight="1">
      <c r="A917" s="289"/>
      <c r="B917" s="292">
        <v>4</v>
      </c>
      <c r="C917" s="292">
        <v>1</v>
      </c>
      <c r="D917" s="292">
        <v>4</v>
      </c>
      <c r="E917" s="292" t="s">
        <v>444</v>
      </c>
      <c r="F917" s="292" t="s">
        <v>440</v>
      </c>
      <c r="G917" s="253" t="s">
        <v>73</v>
      </c>
      <c r="H917" s="253"/>
      <c r="I917" s="253"/>
      <c r="J917" s="354">
        <v>0</v>
      </c>
      <c r="K917" s="355">
        <v>0</v>
      </c>
      <c r="L917" s="360">
        <v>0</v>
      </c>
      <c r="M917" s="355">
        <f>[55]Perdinas!$E$652</f>
        <v>0</v>
      </c>
      <c r="N917" s="334">
        <f>M917+L917</f>
        <v>0</v>
      </c>
      <c r="O917" s="334">
        <f>N917-K917</f>
        <v>0</v>
      </c>
      <c r="P917" s="388"/>
      <c r="Q917" s="442"/>
      <c r="R917" s="422"/>
    </row>
    <row r="918" spans="1:18" s="189" customFormat="1" ht="12.05" customHeight="1">
      <c r="A918" s="289"/>
      <c r="B918" s="292">
        <v>4</v>
      </c>
      <c r="C918" s="292">
        <v>1</v>
      </c>
      <c r="D918" s="292">
        <v>4</v>
      </c>
      <c r="E918" s="292" t="s">
        <v>444</v>
      </c>
      <c r="F918" s="292" t="s">
        <v>445</v>
      </c>
      <c r="G918" s="253" t="s">
        <v>74</v>
      </c>
      <c r="H918" s="253"/>
      <c r="I918" s="253"/>
      <c r="J918" s="354">
        <v>0</v>
      </c>
      <c r="K918" s="355">
        <v>0</v>
      </c>
      <c r="L918" s="360">
        <v>0</v>
      </c>
      <c r="M918" s="355">
        <f>[55]Perdinas!$E$653</f>
        <v>0</v>
      </c>
      <c r="N918" s="355">
        <f>M918+L918</f>
        <v>0</v>
      </c>
      <c r="O918" s="355">
        <f>N918-K918</f>
        <v>0</v>
      </c>
      <c r="P918" s="388"/>
      <c r="Q918" s="441"/>
      <c r="R918" s="422"/>
    </row>
    <row r="919" spans="1:18" s="189" customFormat="1" ht="12.05" customHeight="1">
      <c r="A919" s="289"/>
      <c r="B919" s="292">
        <v>4</v>
      </c>
      <c r="C919" s="292">
        <v>1</v>
      </c>
      <c r="D919" s="292">
        <v>4</v>
      </c>
      <c r="E919" s="292" t="s">
        <v>444</v>
      </c>
      <c r="F919" s="292" t="s">
        <v>441</v>
      </c>
      <c r="G919" s="253" t="s">
        <v>75</v>
      </c>
      <c r="H919" s="253"/>
      <c r="I919" s="253"/>
      <c r="J919" s="354">
        <v>0</v>
      </c>
      <c r="K919" s="373">
        <f>'[57]TARGET MURNI DAN PERUBAHAN'!$E$556</f>
        <v>0</v>
      </c>
      <c r="L919" s="360">
        <f>[62]PerDinas!$N$919</f>
        <v>29696600</v>
      </c>
      <c r="M919" s="373">
        <f>[55]Perdinas!$E$654</f>
        <v>0</v>
      </c>
      <c r="N919" s="361">
        <f>M919+L919</f>
        <v>29696600</v>
      </c>
      <c r="O919" s="334">
        <f>N919-K919</f>
        <v>29696600</v>
      </c>
      <c r="P919" s="388"/>
      <c r="Q919" s="441"/>
      <c r="R919" s="422"/>
    </row>
    <row r="920" spans="1:18" s="189" customFormat="1" ht="12.05" customHeight="1">
      <c r="A920" s="293"/>
      <c r="B920" s="292"/>
      <c r="C920" s="292"/>
      <c r="D920" s="292"/>
      <c r="E920" s="292"/>
      <c r="F920" s="292"/>
      <c r="G920" s="253"/>
      <c r="H920" s="253"/>
      <c r="I920" s="253"/>
      <c r="J920" s="374"/>
      <c r="K920" s="375"/>
      <c r="L920" s="377"/>
      <c r="M920" s="375"/>
      <c r="N920" s="355"/>
      <c r="O920" s="355"/>
      <c r="P920" s="388"/>
      <c r="Q920" s="448"/>
      <c r="R920" s="422"/>
    </row>
    <row r="921" spans="1:18" s="189" customFormat="1" ht="12.05" customHeight="1">
      <c r="A921" s="293"/>
      <c r="B921" s="292">
        <v>4</v>
      </c>
      <c r="C921" s="292">
        <v>1</v>
      </c>
      <c r="D921" s="292">
        <v>4</v>
      </c>
      <c r="E921" s="292" t="s">
        <v>948</v>
      </c>
      <c r="F921" s="292"/>
      <c r="G921" s="253" t="s">
        <v>321</v>
      </c>
      <c r="H921" s="253"/>
      <c r="I921" s="253"/>
      <c r="J921" s="489">
        <f>+J922</f>
        <v>15000000</v>
      </c>
      <c r="K921" s="512">
        <f>+K922</f>
        <v>0</v>
      </c>
      <c r="L921" s="616" t="e">
        <f>+L922+L924</f>
        <v>#REF!</v>
      </c>
      <c r="M921" s="512">
        <f>+M922+M924</f>
        <v>0</v>
      </c>
      <c r="N921" s="512">
        <f>+N922+N924</f>
        <v>15634253</v>
      </c>
      <c r="O921" s="412">
        <f>N921-K921</f>
        <v>15634253</v>
      </c>
      <c r="P921" s="487" t="e">
        <f>N921/K921*100</f>
        <v>#DIV/0!</v>
      </c>
      <c r="Q921" s="647"/>
      <c r="R921" s="422"/>
    </row>
    <row r="922" spans="1:18" s="189" customFormat="1" ht="12.05" customHeight="1">
      <c r="A922" s="293"/>
      <c r="B922" s="292">
        <v>4</v>
      </c>
      <c r="C922" s="292">
        <v>1</v>
      </c>
      <c r="D922" s="292">
        <v>4</v>
      </c>
      <c r="E922" s="292" t="s">
        <v>948</v>
      </c>
      <c r="F922" s="292" t="s">
        <v>437</v>
      </c>
      <c r="G922" s="253" t="s">
        <v>85</v>
      </c>
      <c r="H922" s="253"/>
      <c r="I922" s="253"/>
      <c r="J922" s="494">
        <f>SUM(J923+J924)</f>
        <v>15000000</v>
      </c>
      <c r="K922" s="495">
        <f>SUM(K923+K924)</f>
        <v>0</v>
      </c>
      <c r="L922" s="513">
        <f>L923</f>
        <v>15634253</v>
      </c>
      <c r="M922" s="495">
        <f>M923</f>
        <v>0</v>
      </c>
      <c r="N922" s="495">
        <f>N923</f>
        <v>15634253</v>
      </c>
      <c r="O922" s="334">
        <f>N922-K922</f>
        <v>15634253</v>
      </c>
      <c r="P922" s="335" t="e">
        <f>N922/K922*100</f>
        <v>#DIV/0!</v>
      </c>
      <c r="Q922" s="548"/>
      <c r="R922" s="422"/>
    </row>
    <row r="923" spans="1:18" s="189" customFormat="1" ht="12.05" customHeight="1">
      <c r="A923" s="293"/>
      <c r="B923" s="292"/>
      <c r="C923" s="292"/>
      <c r="D923" s="292"/>
      <c r="E923" s="292"/>
      <c r="F923" s="292"/>
      <c r="G923" s="253" t="s">
        <v>50</v>
      </c>
      <c r="H923" s="253"/>
      <c r="I923" s="253" t="s">
        <v>76</v>
      </c>
      <c r="J923" s="374">
        <v>15000000</v>
      </c>
      <c r="K923" s="376">
        <f>'[57]TARGET MURNI DAN PERUBAHAN'!$E$557</f>
        <v>0</v>
      </c>
      <c r="L923" s="377">
        <f>[62]PerDinas!$N$923</f>
        <v>15634253</v>
      </c>
      <c r="M923" s="376">
        <f>[55]Perdinas!$E$655</f>
        <v>0</v>
      </c>
      <c r="N923" s="369">
        <f>M923+L923</f>
        <v>15634253</v>
      </c>
      <c r="O923" s="355">
        <f>N923-K923</f>
        <v>15634253</v>
      </c>
      <c r="P923" s="388" t="e">
        <f>N923/K923*100</f>
        <v>#DIV/0!</v>
      </c>
      <c r="Q923" s="732"/>
      <c r="R923" s="422"/>
    </row>
    <row r="924" spans="1:18" s="245" customFormat="1" ht="12.05" customHeight="1">
      <c r="A924" s="472"/>
      <c r="B924" s="305"/>
      <c r="C924" s="305"/>
      <c r="D924" s="305"/>
      <c r="E924" s="305"/>
      <c r="F924" s="305"/>
      <c r="G924" s="306"/>
      <c r="H924" s="306"/>
      <c r="I924" s="306"/>
      <c r="J924" s="400"/>
      <c r="K924" s="711"/>
      <c r="L924" s="377" t="e">
        <f>[62]PerDinas!$N$924</f>
        <v>#REF!</v>
      </c>
      <c r="M924" s="711"/>
      <c r="N924" s="380"/>
      <c r="O924" s="380"/>
      <c r="P924" s="501"/>
      <c r="Q924" s="733"/>
      <c r="R924" s="450"/>
    </row>
    <row r="925" spans="1:18" s="244" customFormat="1" ht="12.05" customHeight="1">
      <c r="A925" s="283" t="s">
        <v>915</v>
      </c>
      <c r="B925" s="284"/>
      <c r="C925" s="284"/>
      <c r="D925" s="284"/>
      <c r="E925" s="284"/>
      <c r="F925" s="284"/>
      <c r="G925" s="298" t="s">
        <v>914</v>
      </c>
      <c r="H925" s="298"/>
      <c r="I925" s="298"/>
      <c r="J925" s="336">
        <f>+J927</f>
        <v>0</v>
      </c>
      <c r="K925" s="337">
        <f>+K927</f>
        <v>0</v>
      </c>
      <c r="L925" s="337">
        <f>+L927</f>
        <v>0</v>
      </c>
      <c r="M925" s="337">
        <f>+M927</f>
        <v>0</v>
      </c>
      <c r="N925" s="337">
        <f>M925+L925</f>
        <v>0</v>
      </c>
      <c r="O925" s="337">
        <f>+N925-K925</f>
        <v>0</v>
      </c>
      <c r="P925" s="338" t="e">
        <f>+N925/K925*100</f>
        <v>#DIV/0!</v>
      </c>
      <c r="Q925" s="432"/>
      <c r="R925" s="639"/>
    </row>
    <row r="926" spans="1:18" s="189" customFormat="1" ht="12.05" customHeight="1">
      <c r="A926" s="471"/>
      <c r="B926" s="287"/>
      <c r="C926" s="287"/>
      <c r="D926" s="287"/>
      <c r="E926" s="287"/>
      <c r="F926" s="287"/>
      <c r="G926" s="288"/>
      <c r="H926" s="288"/>
      <c r="I926" s="288"/>
      <c r="J926" s="385"/>
      <c r="K926" s="386"/>
      <c r="L926" s="386"/>
      <c r="M926" s="386"/>
      <c r="N926" s="386"/>
      <c r="O926" s="386"/>
      <c r="P926" s="341"/>
      <c r="Q926" s="1108"/>
      <c r="R926" s="422"/>
    </row>
    <row r="927" spans="1:18" s="189" customFormat="1" ht="12.05" customHeight="1">
      <c r="A927" s="293"/>
      <c r="B927" s="290">
        <v>4</v>
      </c>
      <c r="C927" s="290">
        <v>1</v>
      </c>
      <c r="D927" s="290"/>
      <c r="E927" s="290"/>
      <c r="F927" s="290"/>
      <c r="G927" s="291" t="s">
        <v>180</v>
      </c>
      <c r="H927" s="291"/>
      <c r="I927" s="291"/>
      <c r="J927" s="342">
        <f>+J929</f>
        <v>0</v>
      </c>
      <c r="K927" s="343">
        <f>+K929</f>
        <v>0</v>
      </c>
      <c r="L927" s="343">
        <f>+L929</f>
        <v>0</v>
      </c>
      <c r="M927" s="343">
        <f>+M929</f>
        <v>0</v>
      </c>
      <c r="N927" s="343">
        <f>+M927+L927</f>
        <v>0</v>
      </c>
      <c r="O927" s="343">
        <f t="shared" ref="O927:O933" si="139">N927-K927</f>
        <v>0</v>
      </c>
      <c r="P927" s="344" t="e">
        <f>N927/K927*100</f>
        <v>#DIV/0!</v>
      </c>
      <c r="Q927" s="1108"/>
      <c r="R927" s="422"/>
    </row>
    <row r="928" spans="1:18" s="189" customFormat="1" ht="12.05" customHeight="1">
      <c r="A928" s="293"/>
      <c r="B928" s="292"/>
      <c r="C928" s="292"/>
      <c r="D928" s="292"/>
      <c r="E928" s="292"/>
      <c r="F928" s="292"/>
      <c r="G928" s="253"/>
      <c r="H928" s="253"/>
      <c r="I928" s="253"/>
      <c r="J928" s="345"/>
      <c r="K928" s="346"/>
      <c r="L928" s="367"/>
      <c r="M928" s="367"/>
      <c r="N928" s="367"/>
      <c r="O928" s="367"/>
      <c r="P928" s="347"/>
      <c r="Q928" s="1108"/>
      <c r="R928" s="422"/>
    </row>
    <row r="929" spans="1:18" s="189" customFormat="1" ht="12.05" customHeight="1">
      <c r="A929" s="293"/>
      <c r="B929" s="290">
        <v>4</v>
      </c>
      <c r="C929" s="290">
        <v>1</v>
      </c>
      <c r="D929" s="290">
        <v>4</v>
      </c>
      <c r="E929" s="290"/>
      <c r="F929" s="290"/>
      <c r="G929" s="291" t="s">
        <v>71</v>
      </c>
      <c r="H929" s="291"/>
      <c r="I929" s="291"/>
      <c r="J929" s="392">
        <f>J930+J935</f>
        <v>0</v>
      </c>
      <c r="K929" s="393">
        <f>K930+K935</f>
        <v>0</v>
      </c>
      <c r="L929" s="393">
        <f>L930+L935</f>
        <v>0</v>
      </c>
      <c r="M929" s="393">
        <f>M930+M935</f>
        <v>0</v>
      </c>
      <c r="N929" s="393">
        <f>N930+N935</f>
        <v>0</v>
      </c>
      <c r="O929" s="349">
        <f t="shared" si="139"/>
        <v>0</v>
      </c>
      <c r="P929" s="350" t="e">
        <f>N929/K929*100</f>
        <v>#DIV/0!</v>
      </c>
      <c r="Q929" s="1108"/>
      <c r="R929" s="422"/>
    </row>
    <row r="930" spans="1:18" s="189" customFormat="1" ht="12.05" customHeight="1">
      <c r="A930" s="289"/>
      <c r="B930" s="292">
        <v>4</v>
      </c>
      <c r="C930" s="292">
        <v>1</v>
      </c>
      <c r="D930" s="292">
        <v>4</v>
      </c>
      <c r="E930" s="292" t="s">
        <v>444</v>
      </c>
      <c r="F930" s="292"/>
      <c r="G930" s="253" t="s">
        <v>222</v>
      </c>
      <c r="H930" s="253"/>
      <c r="I930" s="253"/>
      <c r="J930" s="484">
        <f>+J933</f>
        <v>0</v>
      </c>
      <c r="K930" s="485">
        <f>+K933</f>
        <v>0</v>
      </c>
      <c r="L930" s="485">
        <f>SUM(L931:L933)</f>
        <v>0</v>
      </c>
      <c r="M930" s="485">
        <f>SUM(M931:M933)</f>
        <v>0</v>
      </c>
      <c r="N930" s="485">
        <f>SUM(N931:N933)</f>
        <v>0</v>
      </c>
      <c r="O930" s="412">
        <f t="shared" si="139"/>
        <v>0</v>
      </c>
      <c r="P930" s="487">
        <v>0</v>
      </c>
      <c r="Q930" s="1108"/>
      <c r="R930" s="422"/>
    </row>
    <row r="931" spans="1:18" s="189" customFormat="1" ht="12.05" customHeight="1">
      <c r="A931" s="289"/>
      <c r="B931" s="292">
        <v>4</v>
      </c>
      <c r="C931" s="292">
        <v>1</v>
      </c>
      <c r="D931" s="292">
        <v>4</v>
      </c>
      <c r="E931" s="292" t="s">
        <v>444</v>
      </c>
      <c r="F931" s="292" t="s">
        <v>440</v>
      </c>
      <c r="G931" s="253" t="s">
        <v>73</v>
      </c>
      <c r="H931" s="253"/>
      <c r="I931" s="253"/>
      <c r="J931" s="354">
        <v>0</v>
      </c>
      <c r="K931" s="355">
        <v>0</v>
      </c>
      <c r="L931" s="355">
        <v>0</v>
      </c>
      <c r="M931" s="355">
        <f>[55]Perdinas!$E$661</f>
        <v>0</v>
      </c>
      <c r="N931" s="355">
        <f>M931+L931</f>
        <v>0</v>
      </c>
      <c r="O931" s="355">
        <f t="shared" si="139"/>
        <v>0</v>
      </c>
      <c r="P931" s="388"/>
      <c r="Q931" s="1108"/>
      <c r="R931" s="422"/>
    </row>
    <row r="932" spans="1:18" s="189" customFormat="1" ht="12.05" customHeight="1">
      <c r="A932" s="289"/>
      <c r="B932" s="292">
        <v>4</v>
      </c>
      <c r="C932" s="292">
        <v>1</v>
      </c>
      <c r="D932" s="292">
        <v>4</v>
      </c>
      <c r="E932" s="292" t="s">
        <v>444</v>
      </c>
      <c r="F932" s="292" t="s">
        <v>445</v>
      </c>
      <c r="G932" s="253" t="s">
        <v>74</v>
      </c>
      <c r="H932" s="253"/>
      <c r="I932" s="253"/>
      <c r="J932" s="354">
        <v>0</v>
      </c>
      <c r="K932" s="355">
        <v>0</v>
      </c>
      <c r="L932" s="360">
        <v>0</v>
      </c>
      <c r="M932" s="355">
        <f>[55]Perdinas!$E$662</f>
        <v>0</v>
      </c>
      <c r="N932" s="355">
        <f>M932+L932</f>
        <v>0</v>
      </c>
      <c r="O932" s="355">
        <f t="shared" si="139"/>
        <v>0</v>
      </c>
      <c r="P932" s="388"/>
      <c r="Q932" s="1108"/>
      <c r="R932" s="422"/>
    </row>
    <row r="933" spans="1:18" s="189" customFormat="1" ht="12.05" customHeight="1">
      <c r="A933" s="289"/>
      <c r="B933" s="292">
        <v>4</v>
      </c>
      <c r="C933" s="292">
        <v>1</v>
      </c>
      <c r="D933" s="292">
        <v>4</v>
      </c>
      <c r="E933" s="292" t="s">
        <v>444</v>
      </c>
      <c r="F933" s="292" t="s">
        <v>441</v>
      </c>
      <c r="G933" s="253" t="s">
        <v>75</v>
      </c>
      <c r="H933" s="253"/>
      <c r="I933" s="253"/>
      <c r="J933" s="354">
        <v>0</v>
      </c>
      <c r="K933" s="373">
        <f>'[57]TARGET MURNI DAN PERUBAHAN'!$E$565</f>
        <v>0</v>
      </c>
      <c r="L933" s="360">
        <f>[62]PerDinas!$N$933</f>
        <v>0</v>
      </c>
      <c r="M933" s="373">
        <f>[55]Perdinas!$E$663</f>
        <v>0</v>
      </c>
      <c r="N933" s="369">
        <f>M933+L933</f>
        <v>0</v>
      </c>
      <c r="O933" s="355">
        <f t="shared" si="139"/>
        <v>0</v>
      </c>
      <c r="P933" s="344" t="e">
        <f>N933/K933*100</f>
        <v>#DIV/0!</v>
      </c>
      <c r="Q933" s="1108"/>
      <c r="R933" s="422"/>
    </row>
    <row r="934" spans="1:18" s="189" customFormat="1" ht="12.05" customHeight="1">
      <c r="A934" s="289"/>
      <c r="B934" s="292"/>
      <c r="C934" s="292"/>
      <c r="D934" s="292"/>
      <c r="E934" s="292"/>
      <c r="F934" s="292"/>
      <c r="G934" s="253"/>
      <c r="H934" s="253"/>
      <c r="I934" s="253"/>
      <c r="J934" s="354"/>
      <c r="K934" s="355"/>
      <c r="L934" s="360"/>
      <c r="M934" s="355"/>
      <c r="N934" s="355"/>
      <c r="O934" s="355"/>
      <c r="P934" s="388"/>
      <c r="Q934" s="1108"/>
      <c r="R934" s="422"/>
    </row>
    <row r="935" spans="1:18" s="189" customFormat="1" ht="12.05" customHeight="1">
      <c r="A935" s="293"/>
      <c r="B935" s="292">
        <v>4</v>
      </c>
      <c r="C935" s="292">
        <v>1</v>
      </c>
      <c r="D935" s="292">
        <v>4</v>
      </c>
      <c r="E935" s="292" t="s">
        <v>948</v>
      </c>
      <c r="F935" s="292"/>
      <c r="G935" s="410" t="s">
        <v>321</v>
      </c>
      <c r="H935" s="410"/>
      <c r="I935" s="410"/>
      <c r="J935" s="489">
        <f t="shared" ref="J935:M936" si="140">+J936</f>
        <v>0</v>
      </c>
      <c r="K935" s="512">
        <f t="shared" si="140"/>
        <v>0</v>
      </c>
      <c r="L935" s="616">
        <f t="shared" si="140"/>
        <v>0</v>
      </c>
      <c r="M935" s="512">
        <f t="shared" si="140"/>
        <v>0</v>
      </c>
      <c r="N935" s="412">
        <f>+M935+L935</f>
        <v>0</v>
      </c>
      <c r="O935" s="412">
        <f>N935-K935</f>
        <v>0</v>
      </c>
      <c r="P935" s="487">
        <v>0</v>
      </c>
      <c r="Q935" s="1108"/>
      <c r="R935" s="422"/>
    </row>
    <row r="936" spans="1:18" s="189" customFormat="1" ht="12.05" customHeight="1">
      <c r="A936" s="293"/>
      <c r="B936" s="292">
        <v>4</v>
      </c>
      <c r="C936" s="292">
        <v>1</v>
      </c>
      <c r="D936" s="292">
        <v>4</v>
      </c>
      <c r="E936" s="292" t="s">
        <v>948</v>
      </c>
      <c r="F936" s="292" t="s">
        <v>437</v>
      </c>
      <c r="G936" s="253" t="s">
        <v>85</v>
      </c>
      <c r="H936" s="253"/>
      <c r="I936" s="253"/>
      <c r="J936" s="494">
        <f t="shared" si="140"/>
        <v>0</v>
      </c>
      <c r="K936" s="495">
        <f t="shared" si="140"/>
        <v>0</v>
      </c>
      <c r="L936" s="689">
        <f>L937</f>
        <v>0</v>
      </c>
      <c r="M936" s="496">
        <f t="shared" si="140"/>
        <v>0</v>
      </c>
      <c r="N936" s="497">
        <f>M936+L936</f>
        <v>0</v>
      </c>
      <c r="O936" s="497">
        <f>N936-K936</f>
        <v>0</v>
      </c>
      <c r="P936" s="498">
        <v>0</v>
      </c>
      <c r="Q936" s="1109"/>
      <c r="R936" s="422"/>
    </row>
    <row r="937" spans="1:18" s="189" customFormat="1" ht="12.05" customHeight="1">
      <c r="A937" s="293"/>
      <c r="B937" s="292"/>
      <c r="C937" s="292"/>
      <c r="D937" s="292"/>
      <c r="E937" s="292"/>
      <c r="F937" s="292"/>
      <c r="G937" s="253" t="s">
        <v>50</v>
      </c>
      <c r="H937" s="253"/>
      <c r="I937" s="253" t="s">
        <v>76</v>
      </c>
      <c r="J937" s="374"/>
      <c r="K937" s="375">
        <f>'[57]TARGET MURNI DAN PERUBAHAN'!$E$566</f>
        <v>0</v>
      </c>
      <c r="L937" s="377">
        <f>[62]PerDinas!$N$937</f>
        <v>0</v>
      </c>
      <c r="M937" s="375">
        <f>[55]Perdinas!$E$664</f>
        <v>0</v>
      </c>
      <c r="N937" s="369">
        <f>M937+L937</f>
        <v>0</v>
      </c>
      <c r="O937" s="355">
        <f>N937-K937</f>
        <v>0</v>
      </c>
      <c r="P937" s="388">
        <v>0</v>
      </c>
      <c r="Q937" s="448"/>
      <c r="R937" s="422"/>
    </row>
    <row r="938" spans="1:18" s="245" customFormat="1" ht="12.05" customHeight="1">
      <c r="A938" s="472"/>
      <c r="B938" s="305"/>
      <c r="C938" s="305"/>
      <c r="D938" s="305"/>
      <c r="E938" s="305"/>
      <c r="F938" s="305"/>
      <c r="G938" s="306"/>
      <c r="H938" s="306"/>
      <c r="I938" s="306"/>
      <c r="J938" s="400"/>
      <c r="K938" s="711"/>
      <c r="L938" s="711"/>
      <c r="M938" s="711"/>
      <c r="N938" s="404"/>
      <c r="O938" s="404"/>
      <c r="P938" s="483"/>
      <c r="Q938" s="733"/>
      <c r="R938" s="450"/>
    </row>
    <row r="939" spans="1:18" s="244" customFormat="1" ht="12.05" customHeight="1">
      <c r="A939" s="283" t="s">
        <v>919</v>
      </c>
      <c r="B939" s="284"/>
      <c r="C939" s="284"/>
      <c r="D939" s="284"/>
      <c r="E939" s="284"/>
      <c r="F939" s="284"/>
      <c r="G939" s="298" t="s">
        <v>916</v>
      </c>
      <c r="H939" s="298"/>
      <c r="I939" s="298"/>
      <c r="J939" s="336">
        <f>+J940</f>
        <v>0</v>
      </c>
      <c r="K939" s="337">
        <f>+K940</f>
        <v>137900000</v>
      </c>
      <c r="L939" s="337">
        <f>+L940</f>
        <v>36130500</v>
      </c>
      <c r="M939" s="337">
        <f>+M940</f>
        <v>2323200</v>
      </c>
      <c r="N939" s="337">
        <f>M939+L939</f>
        <v>38453700</v>
      </c>
      <c r="O939" s="337">
        <f>+N939-K939</f>
        <v>-99446300</v>
      </c>
      <c r="P939" s="338">
        <f>+N939/K939*100</f>
        <v>27.885206671501088</v>
      </c>
      <c r="Q939" s="432"/>
      <c r="R939" s="639"/>
    </row>
    <row r="940" spans="1:18" s="189" customFormat="1" ht="12.05" customHeight="1">
      <c r="A940" s="471"/>
      <c r="B940" s="707">
        <v>4</v>
      </c>
      <c r="C940" s="707">
        <v>1</v>
      </c>
      <c r="D940" s="707"/>
      <c r="E940" s="707"/>
      <c r="F940" s="707"/>
      <c r="G940" s="288" t="s">
        <v>180</v>
      </c>
      <c r="H940" s="288"/>
      <c r="I940" s="288"/>
      <c r="J940" s="342">
        <f>+J942</f>
        <v>0</v>
      </c>
      <c r="K940" s="343">
        <f>+K942</f>
        <v>137900000</v>
      </c>
      <c r="L940" s="343">
        <f>+L942</f>
        <v>36130500</v>
      </c>
      <c r="M940" s="343">
        <f>+M942</f>
        <v>2323200</v>
      </c>
      <c r="N940" s="343">
        <f>+M940+L940</f>
        <v>38453700</v>
      </c>
      <c r="O940" s="343">
        <f t="shared" ref="O940:O946" si="141">N940-K940</f>
        <v>-99446300</v>
      </c>
      <c r="P940" s="344">
        <f>N940/K940*100</f>
        <v>27.885206671501088</v>
      </c>
      <c r="Q940" s="437"/>
      <c r="R940" s="422"/>
    </row>
    <row r="941" spans="1:18" s="189" customFormat="1" ht="12.05" customHeight="1">
      <c r="A941" s="654"/>
      <c r="B941" s="655"/>
      <c r="C941" s="655"/>
      <c r="D941" s="655"/>
      <c r="E941" s="655"/>
      <c r="F941" s="655"/>
      <c r="G941" s="656"/>
      <c r="H941" s="656"/>
      <c r="I941" s="656"/>
      <c r="J941" s="526"/>
      <c r="K941" s="527"/>
      <c r="L941" s="527"/>
      <c r="M941" s="527"/>
      <c r="N941" s="527"/>
      <c r="O941" s="527"/>
      <c r="P941" s="671"/>
      <c r="Q941" s="644"/>
      <c r="R941" s="422"/>
    </row>
    <row r="942" spans="1:18" s="189" customFormat="1" ht="12.05" customHeight="1">
      <c r="A942" s="471"/>
      <c r="B942" s="707">
        <v>4</v>
      </c>
      <c r="C942" s="707">
        <v>1</v>
      </c>
      <c r="D942" s="707">
        <v>4</v>
      </c>
      <c r="E942" s="707"/>
      <c r="F942" s="707"/>
      <c r="G942" s="288" t="s">
        <v>71</v>
      </c>
      <c r="H942" s="288"/>
      <c r="I942" s="288"/>
      <c r="J942" s="392">
        <f>J943+J948</f>
        <v>0</v>
      </c>
      <c r="K942" s="393">
        <f>K943+K948+K944</f>
        <v>137900000</v>
      </c>
      <c r="L942" s="393">
        <f>L943+L948+L944</f>
        <v>36130500</v>
      </c>
      <c r="M942" s="393">
        <f>M943+M948+M944</f>
        <v>2323200</v>
      </c>
      <c r="N942" s="393">
        <f>M942+L942</f>
        <v>38453700</v>
      </c>
      <c r="O942" s="349">
        <f t="shared" si="141"/>
        <v>-99446300</v>
      </c>
      <c r="P942" s="350">
        <f>N942/K942*100</f>
        <v>27.885206671501088</v>
      </c>
      <c r="Q942" s="444"/>
      <c r="R942" s="422"/>
    </row>
    <row r="943" spans="1:18" s="189" customFormat="1" ht="12.05" customHeight="1">
      <c r="A943" s="289"/>
      <c r="B943" s="292">
        <v>4</v>
      </c>
      <c r="C943" s="292">
        <v>1</v>
      </c>
      <c r="D943" s="292">
        <v>4</v>
      </c>
      <c r="E943" s="292" t="s">
        <v>444</v>
      </c>
      <c r="F943" s="292"/>
      <c r="G943" s="253" t="s">
        <v>222</v>
      </c>
      <c r="H943" s="253"/>
      <c r="I943" s="253"/>
      <c r="J943" s="484">
        <f>+J946</f>
        <v>0</v>
      </c>
      <c r="K943" s="485">
        <f>+K946</f>
        <v>0</v>
      </c>
      <c r="L943" s="486">
        <f>SUM(L944:L946)</f>
        <v>29456000</v>
      </c>
      <c r="M943" s="485">
        <f>SUM(M944:M946)</f>
        <v>2323200</v>
      </c>
      <c r="N943" s="485">
        <f>SUM(N944:N946)</f>
        <v>31779200</v>
      </c>
      <c r="O943" s="412">
        <f t="shared" si="141"/>
        <v>31779200</v>
      </c>
      <c r="P943" s="487">
        <v>0</v>
      </c>
      <c r="Q943" s="541"/>
      <c r="R943" s="422"/>
    </row>
    <row r="944" spans="1:18" s="189" customFormat="1" ht="12.05" customHeight="1">
      <c r="A944" s="289"/>
      <c r="B944" s="292">
        <v>4</v>
      </c>
      <c r="C944" s="292">
        <v>1</v>
      </c>
      <c r="D944" s="292">
        <v>4</v>
      </c>
      <c r="E944" s="292" t="s">
        <v>948</v>
      </c>
      <c r="F944" s="292" t="s">
        <v>437</v>
      </c>
      <c r="G944" s="1100" t="s">
        <v>1020</v>
      </c>
      <c r="H944" s="909"/>
      <c r="I944" s="253"/>
      <c r="J944" s="354">
        <v>0</v>
      </c>
      <c r="K944" s="355">
        <f>'[57]TARGET MURNI DAN PERUBAHAN'!$E$571</f>
        <v>137900000</v>
      </c>
      <c r="L944" s="360">
        <v>0</v>
      </c>
      <c r="M944" s="355">
        <f>[55]Perdinas!$E$674</f>
        <v>0</v>
      </c>
      <c r="N944" s="355">
        <f>M944+L944</f>
        <v>0</v>
      </c>
      <c r="O944" s="355">
        <f t="shared" si="141"/>
        <v>-137900000</v>
      </c>
      <c r="P944" s="388"/>
      <c r="Q944" s="442"/>
      <c r="R944" s="422"/>
    </row>
    <row r="945" spans="1:18" s="189" customFormat="1" ht="12.05" customHeight="1">
      <c r="A945" s="289"/>
      <c r="B945" s="292">
        <v>4</v>
      </c>
      <c r="C945" s="292">
        <v>1</v>
      </c>
      <c r="D945" s="292">
        <v>4</v>
      </c>
      <c r="E945" s="292" t="s">
        <v>444</v>
      </c>
      <c r="F945" s="292" t="s">
        <v>445</v>
      </c>
      <c r="G945" s="253" t="s">
        <v>74</v>
      </c>
      <c r="H945" s="253"/>
      <c r="I945" s="253"/>
      <c r="J945" s="354">
        <v>0</v>
      </c>
      <c r="K945" s="355">
        <v>0</v>
      </c>
      <c r="L945" s="360">
        <v>0</v>
      </c>
      <c r="M945" s="355">
        <f>[55]Perdinas!$E$675</f>
        <v>0</v>
      </c>
      <c r="N945" s="355">
        <f>M945+L945</f>
        <v>0</v>
      </c>
      <c r="O945" s="355">
        <f t="shared" si="141"/>
        <v>0</v>
      </c>
      <c r="P945" s="388"/>
      <c r="Q945" s="441"/>
      <c r="R945" s="422"/>
    </row>
    <row r="946" spans="1:18" s="189" customFormat="1" ht="12.05" customHeight="1">
      <c r="A946" s="289"/>
      <c r="B946" s="292">
        <v>4</v>
      </c>
      <c r="C946" s="292">
        <v>1</v>
      </c>
      <c r="D946" s="292">
        <v>4</v>
      </c>
      <c r="E946" s="292" t="s">
        <v>444</v>
      </c>
      <c r="F946" s="292" t="s">
        <v>441</v>
      </c>
      <c r="G946" s="253" t="s">
        <v>75</v>
      </c>
      <c r="H946" s="253"/>
      <c r="I946" s="253"/>
      <c r="J946" s="354">
        <v>0</v>
      </c>
      <c r="K946" s="373">
        <f>'[57]TARGET MURNI DAN PERUBAHAN'!$E$573</f>
        <v>0</v>
      </c>
      <c r="L946" s="360">
        <f>[62]PerDinas!$N$946</f>
        <v>29456000</v>
      </c>
      <c r="M946" s="373">
        <f>[55]Perdinas!$E$676</f>
        <v>2323200</v>
      </c>
      <c r="N946" s="369">
        <f>M946+L946</f>
        <v>31779200</v>
      </c>
      <c r="O946" s="355">
        <f t="shared" si="141"/>
        <v>31779200</v>
      </c>
      <c r="P946" s="388"/>
      <c r="Q946" s="441"/>
      <c r="R946" s="545"/>
    </row>
    <row r="947" spans="1:18" s="189" customFormat="1" ht="12.05" customHeight="1">
      <c r="A947" s="289"/>
      <c r="B947" s="292"/>
      <c r="C947" s="292"/>
      <c r="D947" s="292"/>
      <c r="E947" s="292"/>
      <c r="F947" s="292"/>
      <c r="G947" s="253"/>
      <c r="H947" s="253"/>
      <c r="I947" s="253"/>
      <c r="J947" s="354"/>
      <c r="K947" s="355"/>
      <c r="L947" s="360"/>
      <c r="M947" s="355"/>
      <c r="N947" s="355"/>
      <c r="O947" s="355"/>
      <c r="P947" s="388"/>
      <c r="Q947" s="441"/>
      <c r="R947" s="422"/>
    </row>
    <row r="948" spans="1:18" s="189" customFormat="1" ht="12.05" customHeight="1">
      <c r="A948" s="293"/>
      <c r="B948" s="292">
        <v>4</v>
      </c>
      <c r="C948" s="292">
        <v>1</v>
      </c>
      <c r="D948" s="292" t="s">
        <v>460</v>
      </c>
      <c r="E948" s="292" t="s">
        <v>438</v>
      </c>
      <c r="F948" s="292"/>
      <c r="G948" s="410" t="s">
        <v>116</v>
      </c>
      <c r="H948" s="410"/>
      <c r="I948" s="410"/>
      <c r="J948" s="489">
        <f t="shared" ref="J948:M949" si="142">+J949</f>
        <v>0</v>
      </c>
      <c r="K948" s="512">
        <f t="shared" si="142"/>
        <v>0</v>
      </c>
      <c r="L948" s="616">
        <f t="shared" si="142"/>
        <v>6674500</v>
      </c>
      <c r="M948" s="512">
        <f t="shared" si="142"/>
        <v>0</v>
      </c>
      <c r="N948" s="412">
        <f>+M948+L948</f>
        <v>6674500</v>
      </c>
      <c r="O948" s="412">
        <f>N948-K948</f>
        <v>6674500</v>
      </c>
      <c r="P948" s="487">
        <v>0</v>
      </c>
      <c r="Q948" s="647"/>
      <c r="R948" s="422"/>
    </row>
    <row r="949" spans="1:18" s="189" customFormat="1" ht="12.05" customHeight="1">
      <c r="A949" s="293"/>
      <c r="B949" s="292">
        <v>4</v>
      </c>
      <c r="C949" s="292">
        <v>1</v>
      </c>
      <c r="D949" s="292" t="s">
        <v>460</v>
      </c>
      <c r="E949" s="292" t="s">
        <v>438</v>
      </c>
      <c r="F949" s="292" t="s">
        <v>440</v>
      </c>
      <c r="G949" s="253" t="s">
        <v>454</v>
      </c>
      <c r="H949" s="253"/>
      <c r="I949" s="253"/>
      <c r="J949" s="494">
        <f t="shared" si="142"/>
        <v>0</v>
      </c>
      <c r="K949" s="495">
        <f t="shared" si="142"/>
        <v>0</v>
      </c>
      <c r="L949" s="689">
        <f t="shared" si="142"/>
        <v>6674500</v>
      </c>
      <c r="M949" s="496">
        <f t="shared" si="142"/>
        <v>0</v>
      </c>
      <c r="N949" s="497">
        <f>M949+L949</f>
        <v>6674500</v>
      </c>
      <c r="O949" s="497">
        <f>N949-K949</f>
        <v>6674500</v>
      </c>
      <c r="P949" s="498">
        <v>0</v>
      </c>
      <c r="Q949" s="548"/>
      <c r="R949" s="422"/>
    </row>
    <row r="950" spans="1:18" s="245" customFormat="1" ht="12.05" customHeight="1">
      <c r="A950" s="472"/>
      <c r="B950" s="305"/>
      <c r="C950" s="305"/>
      <c r="D950" s="305"/>
      <c r="E950" s="305"/>
      <c r="F950" s="305"/>
      <c r="G950" s="1000" t="s">
        <v>50</v>
      </c>
      <c r="H950" s="253" t="s">
        <v>1022</v>
      </c>
      <c r="I950" s="306"/>
      <c r="J950" s="499"/>
      <c r="K950" s="379">
        <f>'[57]TARGET MURNI DAN PERUBAHAN'!$E$574</f>
        <v>0</v>
      </c>
      <c r="L950" s="379">
        <f>[62]PerDinas!$N$950</f>
        <v>6674500</v>
      </c>
      <c r="M950" s="379">
        <f>[55]Perdinas!$E$669</f>
        <v>0</v>
      </c>
      <c r="N950" s="500">
        <f>M950+L950</f>
        <v>6674500</v>
      </c>
      <c r="O950" s="380">
        <f>N950-K950</f>
        <v>6674500</v>
      </c>
      <c r="P950" s="501">
        <v>0</v>
      </c>
      <c r="Q950" s="549"/>
      <c r="R950" s="450"/>
    </row>
    <row r="951" spans="1:18" s="189" customFormat="1" ht="12.05" customHeight="1">
      <c r="A951" s="283" t="s">
        <v>922</v>
      </c>
      <c r="B951" s="284"/>
      <c r="C951" s="284"/>
      <c r="D951" s="284"/>
      <c r="E951" s="284"/>
      <c r="F951" s="284"/>
      <c r="G951" s="298" t="s">
        <v>920</v>
      </c>
      <c r="H951" s="298"/>
      <c r="I951" s="298"/>
      <c r="J951" s="336">
        <f>+J952</f>
        <v>70000000</v>
      </c>
      <c r="K951" s="337">
        <f>+K952</f>
        <v>150000000</v>
      </c>
      <c r="L951" s="337">
        <f>+L952</f>
        <v>313052530</v>
      </c>
      <c r="M951" s="337">
        <f>+M952</f>
        <v>92746000</v>
      </c>
      <c r="N951" s="337">
        <f>M951+L951</f>
        <v>405798530</v>
      </c>
      <c r="O951" s="337">
        <f>+N951-K951</f>
        <v>255798530</v>
      </c>
      <c r="P951" s="338">
        <f>+N951/K951*100</f>
        <v>270.53235333333333</v>
      </c>
      <c r="Q951" s="432"/>
      <c r="R951" s="555">
        <f>N951-[57]Perdinas!$Q$638</f>
        <v>-91484792</v>
      </c>
    </row>
    <row r="952" spans="1:18" s="189" customFormat="1" ht="12.05" customHeight="1">
      <c r="A952" s="471"/>
      <c r="B952" s="707">
        <v>4</v>
      </c>
      <c r="C952" s="707">
        <v>1</v>
      </c>
      <c r="D952" s="707"/>
      <c r="E952" s="707"/>
      <c r="F952" s="707"/>
      <c r="G952" s="288" t="s">
        <v>180</v>
      </c>
      <c r="H952" s="288"/>
      <c r="I952" s="288"/>
      <c r="J952" s="342">
        <f>J955+J956</f>
        <v>70000000</v>
      </c>
      <c r="K952" s="343">
        <f>K954+K957</f>
        <v>150000000</v>
      </c>
      <c r="L952" s="343">
        <f>L954+L957</f>
        <v>313052530</v>
      </c>
      <c r="M952" s="343">
        <f>+M957+M955+M956</f>
        <v>92746000</v>
      </c>
      <c r="N952" s="343">
        <f>+M952+L952</f>
        <v>405798530</v>
      </c>
      <c r="O952" s="343">
        <f t="shared" ref="O952:O957" si="143">N952-K952</f>
        <v>255798530</v>
      </c>
      <c r="P952" s="344">
        <f>N952/K952*100</f>
        <v>270.53235333333333</v>
      </c>
      <c r="Q952" s="1108"/>
      <c r="R952" s="422"/>
    </row>
    <row r="953" spans="1:18" s="189" customFormat="1" ht="12.05" customHeight="1">
      <c r="A953" s="654"/>
      <c r="B953" s="655"/>
      <c r="C953" s="655"/>
      <c r="D953" s="655"/>
      <c r="E953" s="655"/>
      <c r="F953" s="655"/>
      <c r="G953" s="656"/>
      <c r="H953" s="656"/>
      <c r="I953" s="656"/>
      <c r="J953" s="526"/>
      <c r="K953" s="527"/>
      <c r="L953" s="527"/>
      <c r="M953" s="527"/>
      <c r="N953" s="527"/>
      <c r="O953" s="527"/>
      <c r="P953" s="671"/>
      <c r="Q953" s="1108"/>
      <c r="R953" s="422"/>
    </row>
    <row r="954" spans="1:18" s="189" customFormat="1" ht="12.05" customHeight="1">
      <c r="A954" s="657"/>
      <c r="B954" s="292">
        <v>4</v>
      </c>
      <c r="C954" s="292">
        <v>1</v>
      </c>
      <c r="D954" s="292">
        <v>2</v>
      </c>
      <c r="E954" s="292" t="s">
        <v>438</v>
      </c>
      <c r="F954" s="292"/>
      <c r="G954" s="291" t="s">
        <v>109</v>
      </c>
      <c r="H954" s="253"/>
      <c r="I954" s="253"/>
      <c r="J954" s="333"/>
      <c r="K954" s="330">
        <f>SUM(K955:K956)</f>
        <v>150000000</v>
      </c>
      <c r="L954" s="330">
        <f>SUM(L955:L956)</f>
        <v>303052530</v>
      </c>
      <c r="M954" s="334"/>
      <c r="N954" s="372">
        <f>M954+L954</f>
        <v>303052530</v>
      </c>
      <c r="O954" s="372">
        <f t="shared" si="143"/>
        <v>153052530</v>
      </c>
      <c r="P954" s="1106">
        <f>N954/K954*100</f>
        <v>202.03502000000003</v>
      </c>
      <c r="Q954" s="1108"/>
      <c r="R954" s="422"/>
    </row>
    <row r="955" spans="1:18" s="189" customFormat="1" ht="12.05" customHeight="1">
      <c r="A955" s="657"/>
      <c r="B955" s="1101">
        <v>4</v>
      </c>
      <c r="C955" s="1101">
        <v>1</v>
      </c>
      <c r="D955" s="1101">
        <v>2</v>
      </c>
      <c r="E955" s="1101" t="s">
        <v>438</v>
      </c>
      <c r="F955" s="1101" t="s">
        <v>440</v>
      </c>
      <c r="G955" s="1003" t="s">
        <v>50</v>
      </c>
      <c r="H955" s="1003" t="s">
        <v>1024</v>
      </c>
      <c r="I955" s="1003"/>
      <c r="J955" s="1107">
        <v>40000000</v>
      </c>
      <c r="K955" s="660">
        <f>'[57]TARGET MURNI DAN PERUBAHAN'!$E$579</f>
        <v>150000000</v>
      </c>
      <c r="L955" s="660">
        <f>[62]PerDinas!$N$955</f>
        <v>303052530</v>
      </c>
      <c r="M955" s="660">
        <f>[55]Perdinas!$E$682</f>
        <v>91500000</v>
      </c>
      <c r="N955" s="369">
        <f>M955+L955</f>
        <v>394552530</v>
      </c>
      <c r="O955" s="360">
        <f t="shared" si="143"/>
        <v>244552530</v>
      </c>
      <c r="P955" s="1042">
        <f>N955/K955*100</f>
        <v>263.03502000000003</v>
      </c>
      <c r="Q955" s="1110"/>
      <c r="R955" s="422"/>
    </row>
    <row r="956" spans="1:18" s="189" customFormat="1" ht="12.05" customHeight="1">
      <c r="A956" s="657"/>
      <c r="B956" s="292">
        <v>4</v>
      </c>
      <c r="C956" s="292">
        <v>1</v>
      </c>
      <c r="D956" s="292">
        <v>2</v>
      </c>
      <c r="E956" s="292" t="s">
        <v>438</v>
      </c>
      <c r="F956" s="292" t="s">
        <v>448</v>
      </c>
      <c r="G956" s="253" t="s">
        <v>50</v>
      </c>
      <c r="H956" s="189" t="s">
        <v>517</v>
      </c>
      <c r="J956" s="1043">
        <v>30000000</v>
      </c>
      <c r="K956" s="352">
        <v>0</v>
      </c>
      <c r="L956" s="377">
        <f>[62]PerDinas!$N$956</f>
        <v>0</v>
      </c>
      <c r="M956" s="1044">
        <v>0</v>
      </c>
      <c r="N956" s="817">
        <f>M956+L956</f>
        <v>0</v>
      </c>
      <c r="O956" s="352">
        <f t="shared" si="143"/>
        <v>0</v>
      </c>
      <c r="P956" s="388"/>
      <c r="Q956" s="1058"/>
      <c r="R956" s="422"/>
    </row>
    <row r="957" spans="1:18" s="189" customFormat="1" ht="12.05" customHeight="1">
      <c r="A957" s="471"/>
      <c r="B957" s="707">
        <v>4</v>
      </c>
      <c r="C957" s="707">
        <v>1</v>
      </c>
      <c r="D957" s="707">
        <v>4</v>
      </c>
      <c r="E957" s="707"/>
      <c r="F957" s="707"/>
      <c r="G957" s="288" t="s">
        <v>71</v>
      </c>
      <c r="H957" s="288"/>
      <c r="I957" s="288"/>
      <c r="J957" s="392">
        <f>J960+J965</f>
        <v>0</v>
      </c>
      <c r="K957" s="393">
        <f>K960+K965</f>
        <v>0</v>
      </c>
      <c r="L957" s="394">
        <f>L960+L965+L958</f>
        <v>10000000</v>
      </c>
      <c r="M957" s="393">
        <f>M960+M965+M958</f>
        <v>1246000</v>
      </c>
      <c r="N957" s="393">
        <f>M957+L957</f>
        <v>11246000</v>
      </c>
      <c r="O957" s="349">
        <f t="shared" si="143"/>
        <v>11246000</v>
      </c>
      <c r="P957" s="350"/>
      <c r="Q957" s="1108"/>
      <c r="R957" s="422"/>
    </row>
    <row r="958" spans="1:18" s="189" customFormat="1" ht="12.05" customHeight="1">
      <c r="A958" s="471"/>
      <c r="B958" s="707">
        <v>4</v>
      </c>
      <c r="C958" s="707">
        <v>1</v>
      </c>
      <c r="D958" s="707">
        <v>4</v>
      </c>
      <c r="E958" s="707" t="s">
        <v>441</v>
      </c>
      <c r="F958" s="707"/>
      <c r="G958" s="288" t="s">
        <v>324</v>
      </c>
      <c r="H958" s="288"/>
      <c r="I958" s="288"/>
      <c r="J958" s="329">
        <f t="shared" ref="J958:O958" si="144">J959</f>
        <v>0</v>
      </c>
      <c r="K958" s="330">
        <f t="shared" si="144"/>
        <v>0</v>
      </c>
      <c r="L958" s="366">
        <f t="shared" si="144"/>
        <v>0</v>
      </c>
      <c r="M958" s="330">
        <f t="shared" si="144"/>
        <v>0</v>
      </c>
      <c r="N958" s="330">
        <f t="shared" si="144"/>
        <v>0</v>
      </c>
      <c r="O958" s="330">
        <f t="shared" si="144"/>
        <v>0</v>
      </c>
      <c r="P958" s="344"/>
      <c r="Q958" s="1108"/>
      <c r="R958" s="422"/>
    </row>
    <row r="959" spans="1:18" s="189" customFormat="1" ht="12.05" customHeight="1">
      <c r="A959" s="471"/>
      <c r="B959" s="287">
        <v>4</v>
      </c>
      <c r="C959" s="287">
        <v>1</v>
      </c>
      <c r="D959" s="287">
        <v>4</v>
      </c>
      <c r="E959" s="287" t="s">
        <v>441</v>
      </c>
      <c r="F959" s="287" t="s">
        <v>440</v>
      </c>
      <c r="G959" s="410" t="s">
        <v>1025</v>
      </c>
      <c r="H959" s="288"/>
      <c r="I959" s="288"/>
      <c r="J959" s="329">
        <v>0</v>
      </c>
      <c r="K959" s="330">
        <v>0</v>
      </c>
      <c r="L959" s="356">
        <f>[62]PerDinas!$N$959</f>
        <v>0</v>
      </c>
      <c r="M959" s="334">
        <f>[55]Perdinas!$E$685</f>
        <v>0</v>
      </c>
      <c r="N959" s="361">
        <f>M959+L959</f>
        <v>0</v>
      </c>
      <c r="O959" s="396">
        <f>N959-K959</f>
        <v>0</v>
      </c>
      <c r="P959" s="344"/>
      <c r="Q959" s="1108"/>
      <c r="R959" s="422"/>
    </row>
    <row r="960" spans="1:18" s="189" customFormat="1" ht="12.05" customHeight="1">
      <c r="A960" s="289"/>
      <c r="B960" s="290">
        <v>4</v>
      </c>
      <c r="C960" s="290">
        <v>1</v>
      </c>
      <c r="D960" s="290">
        <v>4</v>
      </c>
      <c r="E960" s="290" t="s">
        <v>444</v>
      </c>
      <c r="F960" s="290"/>
      <c r="G960" s="291" t="s">
        <v>222</v>
      </c>
      <c r="H960" s="291"/>
      <c r="I960" s="291"/>
      <c r="J960" s="746">
        <f>+J963</f>
        <v>0</v>
      </c>
      <c r="K960" s="676">
        <f>+K963</f>
        <v>0</v>
      </c>
      <c r="L960" s="675">
        <f>SUM(L961:L963)</f>
        <v>10000000</v>
      </c>
      <c r="M960" s="676">
        <f>SUM(M961:M963)</f>
        <v>1246000</v>
      </c>
      <c r="N960" s="676">
        <f>SUM(N961:N963)</f>
        <v>11246000</v>
      </c>
      <c r="O960" s="492">
        <f>N960-K960</f>
        <v>11246000</v>
      </c>
      <c r="P960" s="493">
        <v>0</v>
      </c>
      <c r="Q960" s="1108"/>
      <c r="R960" s="422"/>
    </row>
    <row r="961" spans="1:18" s="189" customFormat="1" ht="12.05" customHeight="1">
      <c r="A961" s="289"/>
      <c r="B961" s="292">
        <v>4</v>
      </c>
      <c r="C961" s="292">
        <v>1</v>
      </c>
      <c r="D961" s="292">
        <v>4</v>
      </c>
      <c r="E961" s="292" t="s">
        <v>444</v>
      </c>
      <c r="F961" s="292" t="s">
        <v>440</v>
      </c>
      <c r="G961" s="253" t="s">
        <v>73</v>
      </c>
      <c r="H961" s="253"/>
      <c r="I961" s="253"/>
      <c r="J961" s="354">
        <v>0</v>
      </c>
      <c r="K961" s="355">
        <v>0</v>
      </c>
      <c r="L961" s="360">
        <v>0</v>
      </c>
      <c r="M961" s="355">
        <f>[55]Perdinas!$E$683</f>
        <v>0</v>
      </c>
      <c r="N961" s="355">
        <f>M961+L961</f>
        <v>0</v>
      </c>
      <c r="O961" s="355">
        <f>N961-K961</f>
        <v>0</v>
      </c>
      <c r="P961" s="388"/>
      <c r="Q961" s="1108"/>
      <c r="R961" s="422"/>
    </row>
    <row r="962" spans="1:18" s="189" customFormat="1" ht="12.05" customHeight="1">
      <c r="A962" s="289"/>
      <c r="B962" s="292">
        <v>4</v>
      </c>
      <c r="C962" s="292">
        <v>1</v>
      </c>
      <c r="D962" s="292">
        <v>4</v>
      </c>
      <c r="E962" s="292" t="s">
        <v>444</v>
      </c>
      <c r="F962" s="292" t="s">
        <v>445</v>
      </c>
      <c r="G962" s="253" t="s">
        <v>74</v>
      </c>
      <c r="H962" s="253"/>
      <c r="I962" s="253"/>
      <c r="J962" s="354">
        <v>0</v>
      </c>
      <c r="K962" s="355">
        <v>0</v>
      </c>
      <c r="L962" s="360">
        <v>0</v>
      </c>
      <c r="M962" s="355">
        <f>[55]Perdinas!$E$687</f>
        <v>0</v>
      </c>
      <c r="N962" s="355">
        <f>M962+L962</f>
        <v>0</v>
      </c>
      <c r="O962" s="355">
        <f>N962-K962</f>
        <v>0</v>
      </c>
      <c r="P962" s="388"/>
      <c r="Q962" s="5899"/>
      <c r="R962" s="422"/>
    </row>
    <row r="963" spans="1:18" s="189" customFormat="1" ht="12.05" customHeight="1">
      <c r="A963" s="289"/>
      <c r="B963" s="292">
        <v>4</v>
      </c>
      <c r="C963" s="292">
        <v>1</v>
      </c>
      <c r="D963" s="292">
        <v>4</v>
      </c>
      <c r="E963" s="292" t="s">
        <v>444</v>
      </c>
      <c r="F963" s="292" t="s">
        <v>441</v>
      </c>
      <c r="G963" s="253" t="s">
        <v>75</v>
      </c>
      <c r="H963" s="253"/>
      <c r="I963" s="253"/>
      <c r="J963" s="354">
        <v>0</v>
      </c>
      <c r="K963" s="373">
        <f>'[57]TARGET MURNI DAN PERUBAHAN'!$E$584</f>
        <v>0</v>
      </c>
      <c r="L963" s="360">
        <f>[62]PerDinas!$N$963</f>
        <v>10000000</v>
      </c>
      <c r="M963" s="373">
        <f>[55]Perdinas!$E$688</f>
        <v>1246000</v>
      </c>
      <c r="N963" s="369">
        <f>M963+L963</f>
        <v>11246000</v>
      </c>
      <c r="O963" s="355">
        <f>N963-K963</f>
        <v>11246000</v>
      </c>
      <c r="P963" s="388"/>
      <c r="Q963" s="5900"/>
      <c r="R963" s="422"/>
    </row>
    <row r="964" spans="1:18" s="189" customFormat="1" ht="12.05" customHeight="1">
      <c r="A964" s="289"/>
      <c r="B964" s="292"/>
      <c r="C964" s="292"/>
      <c r="D964" s="292"/>
      <c r="E964" s="292"/>
      <c r="F964" s="292"/>
      <c r="G964" s="253"/>
      <c r="H964" s="253"/>
      <c r="I964" s="253"/>
      <c r="J964" s="354"/>
      <c r="K964" s="355"/>
      <c r="L964" s="360"/>
      <c r="M964" s="355"/>
      <c r="N964" s="355"/>
      <c r="O964" s="355"/>
      <c r="P964" s="388"/>
      <c r="Q964" s="441"/>
      <c r="R964" s="422"/>
    </row>
    <row r="965" spans="1:18" s="189" customFormat="1" ht="12.05" customHeight="1">
      <c r="A965" s="293"/>
      <c r="B965" s="292">
        <v>4</v>
      </c>
      <c r="C965" s="292">
        <v>1</v>
      </c>
      <c r="D965" s="292">
        <v>4</v>
      </c>
      <c r="E965" s="292" t="s">
        <v>948</v>
      </c>
      <c r="F965" s="292"/>
      <c r="G965" s="410" t="s">
        <v>321</v>
      </c>
      <c r="H965" s="410"/>
      <c r="I965" s="410"/>
      <c r="J965" s="489">
        <f t="shared" ref="J965:M966" si="145">+J966</f>
        <v>0</v>
      </c>
      <c r="K965" s="512">
        <f t="shared" si="145"/>
        <v>0</v>
      </c>
      <c r="L965" s="616">
        <f t="shared" si="145"/>
        <v>0</v>
      </c>
      <c r="M965" s="512">
        <f t="shared" si="145"/>
        <v>0</v>
      </c>
      <c r="N965" s="412">
        <f>+M965+L965</f>
        <v>0</v>
      </c>
      <c r="O965" s="412">
        <f>N965-K965</f>
        <v>0</v>
      </c>
      <c r="P965" s="487">
        <v>0</v>
      </c>
      <c r="Q965" s="647"/>
      <c r="R965" s="422"/>
    </row>
    <row r="966" spans="1:18" s="189" customFormat="1" ht="12.05" customHeight="1">
      <c r="A966" s="293"/>
      <c r="B966" s="292">
        <v>4</v>
      </c>
      <c r="C966" s="292">
        <v>1</v>
      </c>
      <c r="D966" s="292">
        <v>4</v>
      </c>
      <c r="E966" s="292" t="s">
        <v>948</v>
      </c>
      <c r="F966" s="292" t="s">
        <v>437</v>
      </c>
      <c r="G966" s="253" t="s">
        <v>85</v>
      </c>
      <c r="H966" s="253"/>
      <c r="I966" s="253"/>
      <c r="J966" s="494">
        <f t="shared" si="145"/>
        <v>0</v>
      </c>
      <c r="K966" s="495">
        <f t="shared" si="145"/>
        <v>0</v>
      </c>
      <c r="L966" s="496">
        <f t="shared" si="145"/>
        <v>0</v>
      </c>
      <c r="M966" s="496">
        <f t="shared" si="145"/>
        <v>0</v>
      </c>
      <c r="N966" s="497">
        <f>M966+L966</f>
        <v>0</v>
      </c>
      <c r="O966" s="497">
        <f>N966-K966</f>
        <v>0</v>
      </c>
      <c r="P966" s="498">
        <v>0</v>
      </c>
      <c r="Q966" s="548"/>
      <c r="R966" s="422"/>
    </row>
    <row r="967" spans="1:18" s="189" customFormat="1" ht="12.05" customHeight="1">
      <c r="A967" s="465"/>
      <c r="B967" s="296"/>
      <c r="C967" s="296"/>
      <c r="D967" s="296"/>
      <c r="E967" s="296"/>
      <c r="F967" s="296"/>
      <c r="G967" s="297" t="s">
        <v>50</v>
      </c>
      <c r="H967" s="297"/>
      <c r="I967" s="297" t="s">
        <v>76</v>
      </c>
      <c r="J967" s="679"/>
      <c r="K967" s="691">
        <f>'[57]TARGET MURNI DAN PERUBAHAN'!$E$585</f>
        <v>0</v>
      </c>
      <c r="L967" s="691">
        <f>[62]PerDinas!$N$967</f>
        <v>0</v>
      </c>
      <c r="M967" s="691">
        <f>[55]Perdinas!$E$689</f>
        <v>0</v>
      </c>
      <c r="N967" s="352">
        <f>M967+L967</f>
        <v>0</v>
      </c>
      <c r="O967" s="352">
        <f>N967-K967</f>
        <v>0</v>
      </c>
      <c r="P967" s="353">
        <v>0</v>
      </c>
      <c r="Q967" s="449"/>
      <c r="R967" s="422"/>
    </row>
    <row r="968" spans="1:18" s="189" customFormat="1" ht="12.05" customHeight="1">
      <c r="A968" s="283" t="s">
        <v>404</v>
      </c>
      <c r="B968" s="284"/>
      <c r="C968" s="284"/>
      <c r="D968" s="284"/>
      <c r="E968" s="284"/>
      <c r="F968" s="284"/>
      <c r="G968" s="298" t="s">
        <v>399</v>
      </c>
      <c r="H968" s="298"/>
      <c r="I968" s="298"/>
      <c r="J968" s="336">
        <f>+J969</f>
        <v>0</v>
      </c>
      <c r="K968" s="337">
        <f>+K969</f>
        <v>9972133</v>
      </c>
      <c r="L968" s="337">
        <f>+L969</f>
        <v>0</v>
      </c>
      <c r="M968" s="337">
        <f>+M969</f>
        <v>0</v>
      </c>
      <c r="N968" s="337">
        <f>M968+L968</f>
        <v>0</v>
      </c>
      <c r="O968" s="337">
        <f>+N968-K968</f>
        <v>-9972133</v>
      </c>
      <c r="P968" s="338">
        <f>+N968/K968*100</f>
        <v>0</v>
      </c>
      <c r="Q968" s="432"/>
      <c r="R968" s="422"/>
    </row>
    <row r="969" spans="1:18" s="189" customFormat="1" ht="12.05" customHeight="1">
      <c r="A969" s="1111"/>
      <c r="B969" s="707">
        <v>4</v>
      </c>
      <c r="C969" s="707">
        <v>1</v>
      </c>
      <c r="D969" s="707"/>
      <c r="E969" s="707"/>
      <c r="F969" s="707"/>
      <c r="G969" s="288" t="s">
        <v>180</v>
      </c>
      <c r="H969" s="288"/>
      <c r="I969" s="288"/>
      <c r="J969" s="342">
        <f>+J971</f>
        <v>0</v>
      </c>
      <c r="K969" s="343">
        <f>+K971</f>
        <v>9972133</v>
      </c>
      <c r="L969" s="343">
        <f>+L971</f>
        <v>0</v>
      </c>
      <c r="M969" s="343">
        <f>+M971</f>
        <v>0</v>
      </c>
      <c r="N969" s="343">
        <f>+M969+L969</f>
        <v>0</v>
      </c>
      <c r="O969" s="343">
        <f t="shared" ref="O969:O975" si="146">N969-K969</f>
        <v>-9972133</v>
      </c>
      <c r="P969" s="344">
        <f>N969/K969*100</f>
        <v>0</v>
      </c>
      <c r="Q969" s="548"/>
      <c r="R969" s="422"/>
    </row>
    <row r="970" spans="1:18" s="189" customFormat="1" ht="12.05" customHeight="1">
      <c r="A970" s="1112"/>
      <c r="B970" s="296"/>
      <c r="C970" s="296"/>
      <c r="D970" s="296"/>
      <c r="E970" s="296"/>
      <c r="F970" s="296"/>
      <c r="G970" s="297"/>
      <c r="H970" s="297"/>
      <c r="I970" s="297"/>
      <c r="J970" s="351"/>
      <c r="K970" s="352"/>
      <c r="L970" s="352"/>
      <c r="M970" s="352"/>
      <c r="N970" s="352"/>
      <c r="O970" s="352"/>
      <c r="P970" s="353"/>
      <c r="Q970" s="548"/>
      <c r="R970" s="422"/>
    </row>
    <row r="971" spans="1:18" s="189" customFormat="1" ht="12.05" customHeight="1">
      <c r="A971" s="1113"/>
      <c r="B971" s="1114">
        <v>4</v>
      </c>
      <c r="C971" s="1114">
        <v>1</v>
      </c>
      <c r="D971" s="1114">
        <v>4</v>
      </c>
      <c r="E971" s="1114"/>
      <c r="F971" s="1114"/>
      <c r="G971" s="1115" t="s">
        <v>71</v>
      </c>
      <c r="H971" s="1115"/>
      <c r="I971" s="1115"/>
      <c r="J971" s="1121">
        <f>J972+J977</f>
        <v>0</v>
      </c>
      <c r="K971" s="1122">
        <f>K972+K977+K973</f>
        <v>9972133</v>
      </c>
      <c r="L971" s="1122">
        <f>L972+L977+L973</f>
        <v>0</v>
      </c>
      <c r="M971" s="1122">
        <f>M972+M977+M973</f>
        <v>0</v>
      </c>
      <c r="N971" s="1122">
        <f>M971+L971</f>
        <v>0</v>
      </c>
      <c r="O971" s="1123">
        <f t="shared" si="146"/>
        <v>-9972133</v>
      </c>
      <c r="P971" s="1124">
        <f>N971/K971*100</f>
        <v>0</v>
      </c>
      <c r="Q971" s="548"/>
      <c r="R971" s="422"/>
    </row>
    <row r="972" spans="1:18" s="189" customFormat="1" ht="12.05" customHeight="1">
      <c r="A972" s="1116"/>
      <c r="B972" s="292">
        <v>4</v>
      </c>
      <c r="C972" s="292">
        <v>1</v>
      </c>
      <c r="D972" s="292">
        <v>4</v>
      </c>
      <c r="E972" s="292" t="s">
        <v>444</v>
      </c>
      <c r="F972" s="292"/>
      <c r="G972" s="253" t="s">
        <v>222</v>
      </c>
      <c r="H972" s="253"/>
      <c r="I972" s="253"/>
      <c r="J972" s="333">
        <f>+J975</f>
        <v>0</v>
      </c>
      <c r="K972" s="334">
        <f>+K975</f>
        <v>0</v>
      </c>
      <c r="L972" s="334">
        <f>SUM(L973:L975)</f>
        <v>0</v>
      </c>
      <c r="M972" s="334">
        <f>SUM(M973:M975)</f>
        <v>0</v>
      </c>
      <c r="N972" s="334">
        <f>SUM(N973:N975)</f>
        <v>0</v>
      </c>
      <c r="O972" s="396">
        <f t="shared" si="146"/>
        <v>0</v>
      </c>
      <c r="P972" s="344">
        <v>0</v>
      </c>
      <c r="Q972" s="548"/>
      <c r="R972" s="422"/>
    </row>
    <row r="973" spans="1:18" s="189" customFormat="1" ht="12.05" customHeight="1">
      <c r="A973" s="1116"/>
      <c r="B973" s="292">
        <v>4</v>
      </c>
      <c r="C973" s="292">
        <v>1</v>
      </c>
      <c r="D973" s="292">
        <v>4</v>
      </c>
      <c r="E973" s="292" t="s">
        <v>444</v>
      </c>
      <c r="F973" s="292" t="s">
        <v>440</v>
      </c>
      <c r="G973" s="909" t="s">
        <v>1018</v>
      </c>
      <c r="H973" s="253"/>
      <c r="I973" s="253"/>
      <c r="J973" s="354">
        <v>0</v>
      </c>
      <c r="K973" s="355">
        <f>'[57]TARGET MURNI DAN PERUBAHAN'!$E$590</f>
        <v>7965633</v>
      </c>
      <c r="L973" s="355">
        <f>[62]PerDinas!$N$973</f>
        <v>0</v>
      </c>
      <c r="M973" s="355">
        <f>[55]Perdinas!$E$695</f>
        <v>0</v>
      </c>
      <c r="N973" s="355">
        <f>M973+L973</f>
        <v>0</v>
      </c>
      <c r="O973" s="355">
        <f t="shared" si="146"/>
        <v>-7965633</v>
      </c>
      <c r="P973" s="388"/>
      <c r="Q973" s="548"/>
      <c r="R973" s="422"/>
    </row>
    <row r="974" spans="1:18" s="189" customFormat="1" ht="12.05" customHeight="1">
      <c r="A974" s="1116"/>
      <c r="B974" s="292">
        <v>4</v>
      </c>
      <c r="C974" s="292">
        <v>1</v>
      </c>
      <c r="D974" s="292">
        <v>4</v>
      </c>
      <c r="E974" s="292" t="s">
        <v>444</v>
      </c>
      <c r="F974" s="292" t="s">
        <v>445</v>
      </c>
      <c r="G974" s="253" t="s">
        <v>74</v>
      </c>
      <c r="H974" s="253"/>
      <c r="I974" s="253"/>
      <c r="J974" s="354">
        <v>0</v>
      </c>
      <c r="K974" s="355">
        <v>0</v>
      </c>
      <c r="L974" s="355">
        <f>[62]PerDinas!$N$974</f>
        <v>0</v>
      </c>
      <c r="M974" s="355">
        <f>[55]Perdinas!$E$696</f>
        <v>0</v>
      </c>
      <c r="N974" s="355">
        <f>M974+L974</f>
        <v>0</v>
      </c>
      <c r="O974" s="355">
        <f t="shared" si="146"/>
        <v>0</v>
      </c>
      <c r="P974" s="388"/>
      <c r="Q974" s="548"/>
      <c r="R974" s="422"/>
    </row>
    <row r="975" spans="1:18" s="189" customFormat="1" ht="12.05" customHeight="1">
      <c r="A975" s="1116"/>
      <c r="B975" s="292">
        <v>4</v>
      </c>
      <c r="C975" s="292">
        <v>1</v>
      </c>
      <c r="D975" s="292">
        <v>4</v>
      </c>
      <c r="E975" s="292" t="s">
        <v>444</v>
      </c>
      <c r="F975" s="292" t="s">
        <v>441</v>
      </c>
      <c r="G975" s="253" t="s">
        <v>75</v>
      </c>
      <c r="H975" s="253"/>
      <c r="I975" s="253"/>
      <c r="J975" s="354">
        <v>0</v>
      </c>
      <c r="K975" s="355">
        <f>'[57]TARGET MURNI DAN PERUBAHAN'!$E$592</f>
        <v>0</v>
      </c>
      <c r="L975" s="355">
        <f>[62]PerDinas!$N$975</f>
        <v>0</v>
      </c>
      <c r="M975" s="355">
        <f>[55]Perdinas!$E$697</f>
        <v>0</v>
      </c>
      <c r="N975" s="369">
        <f>M975+L975</f>
        <v>0</v>
      </c>
      <c r="O975" s="355">
        <f t="shared" si="146"/>
        <v>0</v>
      </c>
      <c r="P975" s="388"/>
      <c r="Q975" s="548"/>
      <c r="R975" s="422"/>
    </row>
    <row r="976" spans="1:18" s="189" customFormat="1" ht="12.05" customHeight="1">
      <c r="A976" s="1116"/>
      <c r="B976" s="292"/>
      <c r="C976" s="292"/>
      <c r="D976" s="292"/>
      <c r="E976" s="292"/>
      <c r="F976" s="292"/>
      <c r="G976" s="253"/>
      <c r="H976" s="253"/>
      <c r="I976" s="253"/>
      <c r="J976" s="354"/>
      <c r="K976" s="355"/>
      <c r="L976" s="355"/>
      <c r="M976" s="355"/>
      <c r="N976" s="355"/>
      <c r="O976" s="355"/>
      <c r="P976" s="388"/>
      <c r="Q976" s="548"/>
      <c r="R976" s="422"/>
    </row>
    <row r="977" spans="1:18" s="189" customFormat="1" ht="12.05" customHeight="1">
      <c r="A977" s="1117"/>
      <c r="B977" s="292">
        <v>4</v>
      </c>
      <c r="C977" s="292">
        <v>1</v>
      </c>
      <c r="D977" s="292">
        <v>4</v>
      </c>
      <c r="E977" s="292" t="s">
        <v>948</v>
      </c>
      <c r="F977" s="292"/>
      <c r="G977" s="410" t="s">
        <v>321</v>
      </c>
      <c r="H977" s="410"/>
      <c r="I977" s="410"/>
      <c r="J977" s="494">
        <f t="shared" ref="J977:M978" si="147">+J978</f>
        <v>0</v>
      </c>
      <c r="K977" s="495">
        <f t="shared" si="147"/>
        <v>2006500</v>
      </c>
      <c r="L977" s="495">
        <f t="shared" si="147"/>
        <v>0</v>
      </c>
      <c r="M977" s="495">
        <f t="shared" si="147"/>
        <v>0</v>
      </c>
      <c r="N977" s="396">
        <f>+M977+L977</f>
        <v>0</v>
      </c>
      <c r="O977" s="396">
        <f>N977-K977</f>
        <v>-2006500</v>
      </c>
      <c r="P977" s="344">
        <v>0</v>
      </c>
      <c r="Q977" s="548"/>
      <c r="R977" s="422"/>
    </row>
    <row r="978" spans="1:18" s="189" customFormat="1" ht="12.05" customHeight="1">
      <c r="A978" s="1117"/>
      <c r="B978" s="292">
        <v>4</v>
      </c>
      <c r="C978" s="292">
        <v>1</v>
      </c>
      <c r="D978" s="292">
        <v>4</v>
      </c>
      <c r="E978" s="292" t="s">
        <v>948</v>
      </c>
      <c r="F978" s="292" t="s">
        <v>437</v>
      </c>
      <c r="G978" s="253" t="s">
        <v>85</v>
      </c>
      <c r="H978" s="253"/>
      <c r="I978" s="253"/>
      <c r="J978" s="374">
        <f t="shared" si="147"/>
        <v>0</v>
      </c>
      <c r="K978" s="375">
        <f t="shared" si="147"/>
        <v>2006500</v>
      </c>
      <c r="L978" s="375">
        <f t="shared" si="147"/>
        <v>0</v>
      </c>
      <c r="M978" s="375">
        <f t="shared" si="147"/>
        <v>0</v>
      </c>
      <c r="N978" s="355">
        <f>M978+L978</f>
        <v>0</v>
      </c>
      <c r="O978" s="355">
        <f>N978-K978</f>
        <v>-2006500</v>
      </c>
      <c r="P978" s="388">
        <v>0</v>
      </c>
      <c r="Q978" s="548"/>
      <c r="R978" s="422"/>
    </row>
    <row r="979" spans="1:18" s="189" customFormat="1" ht="12.05" customHeight="1">
      <c r="A979" s="1112"/>
      <c r="B979" s="296"/>
      <c r="C979" s="296"/>
      <c r="D979" s="296"/>
      <c r="E979" s="296"/>
      <c r="F979" s="296"/>
      <c r="G979" s="297" t="s">
        <v>50</v>
      </c>
      <c r="H979" s="297"/>
      <c r="I979" s="297" t="s">
        <v>76</v>
      </c>
      <c r="J979" s="499"/>
      <c r="K979" s="379">
        <f>'[57]TARGET MURNI DAN PERUBAHAN'!$E$593</f>
        <v>2006500</v>
      </c>
      <c r="L979" s="379">
        <f>[62]PerDinas!$N$979</f>
        <v>0</v>
      </c>
      <c r="M979" s="379">
        <f>[55]Perdinas!$E$698</f>
        <v>0</v>
      </c>
      <c r="N979" s="500">
        <f>M979+L979</f>
        <v>0</v>
      </c>
      <c r="O979" s="380">
        <f>N979-K979</f>
        <v>-2006500</v>
      </c>
      <c r="P979" s="501">
        <v>0</v>
      </c>
      <c r="Q979" s="548"/>
      <c r="R979" s="422"/>
    </row>
    <row r="980" spans="1:18" s="189" customFormat="1" ht="12.05" customHeight="1">
      <c r="A980" s="283" t="s">
        <v>406</v>
      </c>
      <c r="B980" s="284"/>
      <c r="C980" s="284"/>
      <c r="D980" s="284"/>
      <c r="E980" s="284"/>
      <c r="F980" s="284"/>
      <c r="G980" s="298" t="s">
        <v>923</v>
      </c>
      <c r="H980" s="298"/>
      <c r="I980" s="298"/>
      <c r="J980" s="336">
        <f>+J981</f>
        <v>0</v>
      </c>
      <c r="K980" s="337">
        <f>+K981</f>
        <v>0</v>
      </c>
      <c r="L980" s="337">
        <f>+L981</f>
        <v>0</v>
      </c>
      <c r="M980" s="337">
        <f>+M981</f>
        <v>0</v>
      </c>
      <c r="N980" s="337">
        <f>M980+L980</f>
        <v>0</v>
      </c>
      <c r="O980" s="337">
        <f>+N980-K980</f>
        <v>0</v>
      </c>
      <c r="P980" s="338" t="e">
        <f>+N980/K980*100</f>
        <v>#DIV/0!</v>
      </c>
      <c r="Q980" s="432"/>
      <c r="R980" s="422"/>
    </row>
    <row r="981" spans="1:18" s="189" customFormat="1" ht="12.05" customHeight="1">
      <c r="A981" s="1111"/>
      <c r="B981" s="707">
        <v>4</v>
      </c>
      <c r="C981" s="707">
        <v>1</v>
      </c>
      <c r="D981" s="707"/>
      <c r="E981" s="707"/>
      <c r="F981" s="707"/>
      <c r="G981" s="288" t="s">
        <v>180</v>
      </c>
      <c r="H981" s="288"/>
      <c r="I981" s="288"/>
      <c r="J981" s="342">
        <f>+J983</f>
        <v>0</v>
      </c>
      <c r="K981" s="343">
        <f>+K983</f>
        <v>0</v>
      </c>
      <c r="L981" s="343">
        <f>+L983</f>
        <v>0</v>
      </c>
      <c r="M981" s="343">
        <f>+M983</f>
        <v>0</v>
      </c>
      <c r="N981" s="343">
        <f>+M981+L981</f>
        <v>0</v>
      </c>
      <c r="O981" s="343">
        <f t="shared" ref="O981:O987" si="148">N981-K981</f>
        <v>0</v>
      </c>
      <c r="P981" s="344" t="e">
        <f>N981/K981*100</f>
        <v>#DIV/0!</v>
      </c>
      <c r="Q981" s="548"/>
      <c r="R981" s="422"/>
    </row>
    <row r="982" spans="1:18" s="189" customFormat="1" ht="12.05" customHeight="1">
      <c r="A982" s="1112"/>
      <c r="B982" s="296"/>
      <c r="C982" s="296"/>
      <c r="D982" s="296"/>
      <c r="E982" s="296"/>
      <c r="F982" s="296"/>
      <c r="G982" s="297"/>
      <c r="H982" s="297"/>
      <c r="I982" s="297"/>
      <c r="J982" s="351"/>
      <c r="K982" s="352"/>
      <c r="L982" s="352"/>
      <c r="M982" s="352"/>
      <c r="N982" s="352"/>
      <c r="O982" s="352"/>
      <c r="P982" s="353"/>
      <c r="Q982" s="548"/>
      <c r="R982" s="422"/>
    </row>
    <row r="983" spans="1:18" s="189" customFormat="1" ht="12.05" customHeight="1">
      <c r="A983" s="1113"/>
      <c r="B983" s="1114">
        <v>4</v>
      </c>
      <c r="C983" s="1114">
        <v>1</v>
      </c>
      <c r="D983" s="1114">
        <v>4</v>
      </c>
      <c r="E983" s="1114"/>
      <c r="F983" s="1114"/>
      <c r="G983" s="1115" t="s">
        <v>71</v>
      </c>
      <c r="H983" s="1115"/>
      <c r="I983" s="1115"/>
      <c r="J983" s="1121">
        <f>J984+J989</f>
        <v>0</v>
      </c>
      <c r="K983" s="1122">
        <f>K984+K989</f>
        <v>0</v>
      </c>
      <c r="L983" s="1122">
        <f>L984+L989</f>
        <v>0</v>
      </c>
      <c r="M983" s="1122">
        <f>M984+M989</f>
        <v>0</v>
      </c>
      <c r="N983" s="1122">
        <f>N984+N989</f>
        <v>0</v>
      </c>
      <c r="O983" s="1123">
        <f t="shared" si="148"/>
        <v>0</v>
      </c>
      <c r="P983" s="1124" t="e">
        <f>N983/K983*100</f>
        <v>#DIV/0!</v>
      </c>
      <c r="Q983" s="548"/>
      <c r="R983" s="422"/>
    </row>
    <row r="984" spans="1:18" s="189" customFormat="1" ht="12.05" customHeight="1">
      <c r="A984" s="1116"/>
      <c r="B984" s="292">
        <v>4</v>
      </c>
      <c r="C984" s="292">
        <v>1</v>
      </c>
      <c r="D984" s="292">
        <v>4</v>
      </c>
      <c r="E984" s="292" t="s">
        <v>444</v>
      </c>
      <c r="F984" s="292"/>
      <c r="G984" s="253" t="s">
        <v>222</v>
      </c>
      <c r="H984" s="253"/>
      <c r="I984" s="253"/>
      <c r="J984" s="333">
        <f>+J987</f>
        <v>0</v>
      </c>
      <c r="K984" s="334">
        <f>+K987</f>
        <v>0</v>
      </c>
      <c r="L984" s="334">
        <f>SUM(L985:L987)</f>
        <v>0</v>
      </c>
      <c r="M984" s="334">
        <f>SUM(M985:M987)</f>
        <v>0</v>
      </c>
      <c r="N984" s="334">
        <f>SUM(N985:N987)</f>
        <v>0</v>
      </c>
      <c r="O984" s="396">
        <f t="shared" si="148"/>
        <v>0</v>
      </c>
      <c r="P984" s="344">
        <v>0</v>
      </c>
      <c r="Q984" s="548"/>
      <c r="R984" s="422"/>
    </row>
    <row r="985" spans="1:18" s="189" customFormat="1" ht="12.05" customHeight="1">
      <c r="A985" s="1116"/>
      <c r="B985" s="292">
        <v>4</v>
      </c>
      <c r="C985" s="292">
        <v>1</v>
      </c>
      <c r="D985" s="292">
        <v>4</v>
      </c>
      <c r="E985" s="292" t="s">
        <v>444</v>
      </c>
      <c r="F985" s="292" t="s">
        <v>440</v>
      </c>
      <c r="G985" s="253" t="s">
        <v>73</v>
      </c>
      <c r="H985" s="253"/>
      <c r="I985" s="253"/>
      <c r="J985" s="354">
        <v>0</v>
      </c>
      <c r="K985" s="355">
        <v>0</v>
      </c>
      <c r="L985" s="360">
        <v>0</v>
      </c>
      <c r="M985" s="355">
        <f>[55]Perdinas!$E$704</f>
        <v>0</v>
      </c>
      <c r="N985" s="355">
        <f>M985+L985</f>
        <v>0</v>
      </c>
      <c r="O985" s="355">
        <f t="shared" si="148"/>
        <v>0</v>
      </c>
      <c r="P985" s="388"/>
      <c r="Q985" s="548"/>
      <c r="R985" s="422"/>
    </row>
    <row r="986" spans="1:18" s="189" customFormat="1" ht="12.05" customHeight="1">
      <c r="A986" s="1116"/>
      <c r="B986" s="292">
        <v>4</v>
      </c>
      <c r="C986" s="292">
        <v>1</v>
      </c>
      <c r="D986" s="292">
        <v>4</v>
      </c>
      <c r="E986" s="292" t="s">
        <v>444</v>
      </c>
      <c r="F986" s="292" t="s">
        <v>445</v>
      </c>
      <c r="G986" s="253" t="s">
        <v>74</v>
      </c>
      <c r="H986" s="253"/>
      <c r="I986" s="253"/>
      <c r="J986" s="354">
        <v>0</v>
      </c>
      <c r="K986" s="355">
        <v>0</v>
      </c>
      <c r="L986" s="360">
        <v>0</v>
      </c>
      <c r="M986" s="355">
        <f>[55]Perdinas!$E$705</f>
        <v>0</v>
      </c>
      <c r="N986" s="355">
        <f>M986+L986</f>
        <v>0</v>
      </c>
      <c r="O986" s="355">
        <f t="shared" si="148"/>
        <v>0</v>
      </c>
      <c r="P986" s="388"/>
      <c r="Q986" s="548"/>
      <c r="R986" s="422"/>
    </row>
    <row r="987" spans="1:18" s="189" customFormat="1" ht="12.05" customHeight="1">
      <c r="A987" s="1116"/>
      <c r="B987" s="292">
        <v>4</v>
      </c>
      <c r="C987" s="292">
        <v>1</v>
      </c>
      <c r="D987" s="292">
        <v>4</v>
      </c>
      <c r="E987" s="292" t="s">
        <v>444</v>
      </c>
      <c r="F987" s="292" t="s">
        <v>441</v>
      </c>
      <c r="G987" s="253" t="s">
        <v>75</v>
      </c>
      <c r="H987" s="253"/>
      <c r="I987" s="253"/>
      <c r="J987" s="354">
        <v>0</v>
      </c>
      <c r="K987" s="373">
        <f>'[57]TARGET MURNI DAN PERUBAHAN'!$E$600</f>
        <v>0</v>
      </c>
      <c r="L987" s="360">
        <f>[62]PerDinas!$N$987</f>
        <v>0</v>
      </c>
      <c r="M987" s="373">
        <f>[55]Perdinas!$E$706</f>
        <v>0</v>
      </c>
      <c r="N987" s="369">
        <f>M987+L987</f>
        <v>0</v>
      </c>
      <c r="O987" s="355">
        <f t="shared" si="148"/>
        <v>0</v>
      </c>
      <c r="P987" s="388"/>
      <c r="Q987" s="548"/>
      <c r="R987" s="422"/>
    </row>
    <row r="988" spans="1:18" s="189" customFormat="1" ht="12.05" customHeight="1">
      <c r="A988" s="1116"/>
      <c r="B988" s="292"/>
      <c r="C988" s="292"/>
      <c r="D988" s="292"/>
      <c r="E988" s="292"/>
      <c r="F988" s="292"/>
      <c r="G988" s="253"/>
      <c r="H988" s="253"/>
      <c r="I988" s="253"/>
      <c r="J988" s="354"/>
      <c r="K988" s="355"/>
      <c r="L988" s="360"/>
      <c r="M988" s="355"/>
      <c r="N988" s="355"/>
      <c r="O988" s="355"/>
      <c r="P988" s="388"/>
      <c r="Q988" s="548"/>
      <c r="R988" s="422"/>
    </row>
    <row r="989" spans="1:18" s="189" customFormat="1" ht="12.05" customHeight="1">
      <c r="A989" s="1117"/>
      <c r="B989" s="292">
        <v>4</v>
      </c>
      <c r="C989" s="292">
        <v>1</v>
      </c>
      <c r="D989" s="292">
        <v>4</v>
      </c>
      <c r="E989" s="292" t="s">
        <v>948</v>
      </c>
      <c r="F989" s="292"/>
      <c r="G989" s="410" t="s">
        <v>321</v>
      </c>
      <c r="H989" s="410"/>
      <c r="I989" s="410"/>
      <c r="J989" s="494">
        <f t="shared" ref="J989:M990" si="149">+J990</f>
        <v>0</v>
      </c>
      <c r="K989" s="495">
        <f t="shared" si="149"/>
        <v>0</v>
      </c>
      <c r="L989" s="513">
        <f t="shared" si="149"/>
        <v>0</v>
      </c>
      <c r="M989" s="495">
        <f t="shared" si="149"/>
        <v>0</v>
      </c>
      <c r="N989" s="396">
        <f>+M989+L989</f>
        <v>0</v>
      </c>
      <c r="O989" s="396">
        <f>N989-K989</f>
        <v>0</v>
      </c>
      <c r="P989" s="344">
        <v>0</v>
      </c>
      <c r="Q989" s="548"/>
      <c r="R989" s="422"/>
    </row>
    <row r="990" spans="1:18" s="189" customFormat="1" ht="12.05" customHeight="1">
      <c r="A990" s="1112"/>
      <c r="B990" s="296">
        <v>4</v>
      </c>
      <c r="C990" s="296">
        <v>1</v>
      </c>
      <c r="D990" s="296">
        <v>4</v>
      </c>
      <c r="E990" s="296" t="s">
        <v>948</v>
      </c>
      <c r="F990" s="296" t="s">
        <v>437</v>
      </c>
      <c r="G990" s="297" t="s">
        <v>85</v>
      </c>
      <c r="H990" s="297"/>
      <c r="I990" s="297"/>
      <c r="J990" s="679">
        <f t="shared" si="149"/>
        <v>0</v>
      </c>
      <c r="K990" s="691">
        <f t="shared" si="149"/>
        <v>0</v>
      </c>
      <c r="L990" s="692">
        <f t="shared" si="149"/>
        <v>0</v>
      </c>
      <c r="M990" s="691">
        <f t="shared" si="149"/>
        <v>0</v>
      </c>
      <c r="N990" s="352">
        <f>M990+L990</f>
        <v>0</v>
      </c>
      <c r="O990" s="352">
        <f>N990-K990</f>
        <v>0</v>
      </c>
      <c r="P990" s="353">
        <v>0</v>
      </c>
      <c r="Q990" s="548"/>
      <c r="R990" s="422"/>
    </row>
    <row r="991" spans="1:18" s="189" customFormat="1" ht="12.05" customHeight="1">
      <c r="A991" s="898"/>
      <c r="B991" s="899"/>
      <c r="C991" s="899"/>
      <c r="D991" s="899"/>
      <c r="E991" s="899"/>
      <c r="F991" s="899"/>
      <c r="G991" s="900" t="s">
        <v>50</v>
      </c>
      <c r="H991" s="900"/>
      <c r="I991" s="900" t="s">
        <v>76</v>
      </c>
      <c r="J991" s="911"/>
      <c r="K991" s="912">
        <f>'[57]TARGET MURNI DAN PERUBAHAN'!$E$601</f>
        <v>0</v>
      </c>
      <c r="L991" s="913">
        <f>[62]PerDinas!$N$991</f>
        <v>0</v>
      </c>
      <c r="M991" s="912">
        <f>[55]Perdinas!$E$707</f>
        <v>0</v>
      </c>
      <c r="N991" s="914">
        <f>M991+L991</f>
        <v>0</v>
      </c>
      <c r="O991" s="914">
        <f>N991-K991</f>
        <v>0</v>
      </c>
      <c r="P991" s="915">
        <v>0</v>
      </c>
      <c r="Q991" s="1133"/>
      <c r="R991" s="422"/>
    </row>
    <row r="992" spans="1:18" s="189" customFormat="1" ht="12.05" customHeight="1">
      <c r="A992" s="1118"/>
      <c r="B992" s="1119"/>
      <c r="C992" s="1119"/>
      <c r="D992" s="1119"/>
      <c r="E992" s="1119"/>
      <c r="F992" s="1119"/>
      <c r="G992" s="1120"/>
      <c r="J992" s="1125"/>
      <c r="K992" s="1126"/>
      <c r="L992" s="1126"/>
      <c r="M992" s="1126"/>
      <c r="N992" s="1127"/>
      <c r="O992" s="1127"/>
      <c r="P992" s="1128"/>
      <c r="Q992" s="548"/>
      <c r="R992" s="422"/>
    </row>
    <row r="993" spans="1:18" s="189" customFormat="1" ht="12.05" customHeight="1">
      <c r="A993" s="283" t="s">
        <v>408</v>
      </c>
      <c r="B993" s="284"/>
      <c r="C993" s="284"/>
      <c r="D993" s="284"/>
      <c r="E993" s="284"/>
      <c r="F993" s="284"/>
      <c r="G993" s="298" t="s">
        <v>924</v>
      </c>
      <c r="H993" s="298"/>
      <c r="I993" s="298"/>
      <c r="J993" s="336">
        <f>+J994</f>
        <v>0</v>
      </c>
      <c r="K993" s="337">
        <f>+K994</f>
        <v>0</v>
      </c>
      <c r="L993" s="337">
        <f>+L994</f>
        <v>0</v>
      </c>
      <c r="M993" s="337">
        <f>+M994</f>
        <v>0</v>
      </c>
      <c r="N993" s="337">
        <f>M993+L993</f>
        <v>0</v>
      </c>
      <c r="O993" s="337">
        <f>+N993-K993</f>
        <v>0</v>
      </c>
      <c r="P993" s="338" t="e">
        <f>+N993/K993*100</f>
        <v>#DIV/0!</v>
      </c>
      <c r="Q993" s="432"/>
      <c r="R993" s="422"/>
    </row>
    <row r="994" spans="1:18" s="189" customFormat="1" ht="12.05" customHeight="1">
      <c r="A994" s="1111"/>
      <c r="B994" s="707">
        <v>4</v>
      </c>
      <c r="C994" s="707">
        <v>1</v>
      </c>
      <c r="D994" s="707"/>
      <c r="E994" s="707"/>
      <c r="F994" s="707"/>
      <c r="G994" s="288" t="s">
        <v>180</v>
      </c>
      <c r="H994" s="288"/>
      <c r="I994" s="288"/>
      <c r="J994" s="342">
        <f>+J996</f>
        <v>0</v>
      </c>
      <c r="K994" s="343">
        <f>+K996</f>
        <v>0</v>
      </c>
      <c r="L994" s="343">
        <f>+L996</f>
        <v>0</v>
      </c>
      <c r="M994" s="343">
        <f>+M996</f>
        <v>0</v>
      </c>
      <c r="N994" s="343">
        <f>+M994+L994</f>
        <v>0</v>
      </c>
      <c r="O994" s="343">
        <f t="shared" ref="O994:O1000" si="150">N994-K994</f>
        <v>0</v>
      </c>
      <c r="P994" s="344" t="e">
        <f>N994/K994*100</f>
        <v>#DIV/0!</v>
      </c>
      <c r="Q994" s="548"/>
      <c r="R994" s="422"/>
    </row>
    <row r="995" spans="1:18" s="189" customFormat="1" ht="12.05" customHeight="1">
      <c r="A995" s="1112"/>
      <c r="B995" s="296"/>
      <c r="C995" s="296"/>
      <c r="D995" s="296"/>
      <c r="E995" s="296"/>
      <c r="F995" s="296"/>
      <c r="G995" s="297"/>
      <c r="H995" s="297"/>
      <c r="I995" s="297"/>
      <c r="J995" s="351"/>
      <c r="K995" s="352"/>
      <c r="L995" s="352"/>
      <c r="M995" s="352"/>
      <c r="N995" s="352"/>
      <c r="O995" s="352"/>
      <c r="P995" s="353"/>
      <c r="Q995" s="548"/>
      <c r="R995" s="422"/>
    </row>
    <row r="996" spans="1:18" s="189" customFormat="1" ht="12.05" customHeight="1">
      <c r="A996" s="1113"/>
      <c r="B996" s="1114">
        <v>4</v>
      </c>
      <c r="C996" s="1114">
        <v>1</v>
      </c>
      <c r="D996" s="1114">
        <v>4</v>
      </c>
      <c r="E996" s="1114"/>
      <c r="F996" s="1114"/>
      <c r="G996" s="1115" t="s">
        <v>71</v>
      </c>
      <c r="H996" s="1115"/>
      <c r="I996" s="1115"/>
      <c r="J996" s="1121">
        <f>J997+J1002</f>
        <v>0</v>
      </c>
      <c r="K996" s="1122">
        <f>K997+K1002+K998</f>
        <v>0</v>
      </c>
      <c r="L996" s="1122">
        <f>L997+L1002+L998</f>
        <v>0</v>
      </c>
      <c r="M996" s="1122">
        <f>M997+M1002</f>
        <v>0</v>
      </c>
      <c r="N996" s="1122">
        <f>M996+L996</f>
        <v>0</v>
      </c>
      <c r="O996" s="1123">
        <f t="shared" si="150"/>
        <v>0</v>
      </c>
      <c r="P996" s="1124" t="e">
        <f>N996/K996*100</f>
        <v>#DIV/0!</v>
      </c>
      <c r="Q996" s="548"/>
      <c r="R996" s="422"/>
    </row>
    <row r="997" spans="1:18" s="189" customFormat="1" ht="12.05" customHeight="1">
      <c r="A997" s="1116"/>
      <c r="B997" s="292">
        <v>4</v>
      </c>
      <c r="C997" s="292">
        <v>1</v>
      </c>
      <c r="D997" s="292">
        <v>4</v>
      </c>
      <c r="E997" s="292" t="s">
        <v>444</v>
      </c>
      <c r="F997" s="292"/>
      <c r="G997" s="253" t="s">
        <v>222</v>
      </c>
      <c r="H997" s="253"/>
      <c r="I997" s="253"/>
      <c r="J997" s="333">
        <f>+J1000</f>
        <v>0</v>
      </c>
      <c r="K997" s="334">
        <f>+K1000</f>
        <v>0</v>
      </c>
      <c r="L997" s="334">
        <f>+L1000</f>
        <v>0</v>
      </c>
      <c r="M997" s="334">
        <f>SUM(M998:M1000)</f>
        <v>0</v>
      </c>
      <c r="N997" s="334">
        <f>M997+L997</f>
        <v>0</v>
      </c>
      <c r="O997" s="396">
        <f t="shared" si="150"/>
        <v>0</v>
      </c>
      <c r="P997" s="344">
        <v>0</v>
      </c>
      <c r="Q997" s="548"/>
      <c r="R997" s="422"/>
    </row>
    <row r="998" spans="1:18" s="189" customFormat="1" ht="12.05" customHeight="1">
      <c r="A998" s="1116"/>
      <c r="B998" s="292">
        <v>4</v>
      </c>
      <c r="C998" s="292">
        <v>1</v>
      </c>
      <c r="D998" s="292">
        <v>4</v>
      </c>
      <c r="E998" s="292" t="s">
        <v>444</v>
      </c>
      <c r="F998" s="292" t="s">
        <v>440</v>
      </c>
      <c r="G998" s="253" t="s">
        <v>710</v>
      </c>
      <c r="H998" s="253"/>
      <c r="I998" s="253"/>
      <c r="J998" s="354">
        <v>0</v>
      </c>
      <c r="K998" s="355">
        <v>0</v>
      </c>
      <c r="L998" s="360">
        <v>0</v>
      </c>
      <c r="M998" s="355">
        <f>[55]Perdinas!$E$713</f>
        <v>0</v>
      </c>
      <c r="N998" s="369">
        <f>M998+L998</f>
        <v>0</v>
      </c>
      <c r="O998" s="355">
        <f t="shared" si="150"/>
        <v>0</v>
      </c>
      <c r="P998" s="388"/>
      <c r="Q998" s="548"/>
      <c r="R998" s="422"/>
    </row>
    <row r="999" spans="1:18" s="189" customFormat="1" ht="12.05" customHeight="1">
      <c r="A999" s="1116"/>
      <c r="B999" s="292">
        <v>4</v>
      </c>
      <c r="C999" s="292">
        <v>1</v>
      </c>
      <c r="D999" s="292">
        <v>4</v>
      </c>
      <c r="E999" s="292" t="s">
        <v>444</v>
      </c>
      <c r="F999" s="292" t="s">
        <v>445</v>
      </c>
      <c r="G999" s="253" t="s">
        <v>74</v>
      </c>
      <c r="H999" s="253"/>
      <c r="I999" s="253"/>
      <c r="J999" s="354">
        <v>0</v>
      </c>
      <c r="K999" s="355">
        <v>0</v>
      </c>
      <c r="L999" s="360">
        <v>0</v>
      </c>
      <c r="M999" s="355">
        <f>[55]Perdinas!$E$714</f>
        <v>0</v>
      </c>
      <c r="N999" s="355">
        <f>M999+L999</f>
        <v>0</v>
      </c>
      <c r="O999" s="355">
        <f t="shared" si="150"/>
        <v>0</v>
      </c>
      <c r="P999" s="388"/>
      <c r="Q999" s="1134"/>
      <c r="R999" s="422"/>
    </row>
    <row r="1000" spans="1:18" s="189" customFormat="1" ht="12.05" customHeight="1">
      <c r="A1000" s="1116"/>
      <c r="B1000" s="292">
        <v>4</v>
      </c>
      <c r="C1000" s="292">
        <v>1</v>
      </c>
      <c r="D1000" s="292">
        <v>4</v>
      </c>
      <c r="E1000" s="292" t="s">
        <v>444</v>
      </c>
      <c r="F1000" s="292" t="s">
        <v>441</v>
      </c>
      <c r="G1000" s="253" t="s">
        <v>75</v>
      </c>
      <c r="H1000" s="253"/>
      <c r="I1000" s="253"/>
      <c r="J1000" s="354">
        <v>0</v>
      </c>
      <c r="K1000" s="373">
        <f>'[57]TARGET MURNI DAN PERUBAHAN'!$E$608</f>
        <v>0</v>
      </c>
      <c r="L1000" s="360">
        <f>[62]PerDinas!$N$1000</f>
        <v>0</v>
      </c>
      <c r="M1000" s="373">
        <f>[55]Perdinas!$E$715</f>
        <v>0</v>
      </c>
      <c r="N1000" s="369">
        <f>M1000+L1000</f>
        <v>0</v>
      </c>
      <c r="O1000" s="355">
        <f t="shared" si="150"/>
        <v>0</v>
      </c>
      <c r="P1000" s="388"/>
      <c r="Q1000" s="548"/>
      <c r="R1000" s="545"/>
    </row>
    <row r="1001" spans="1:18" s="189" customFormat="1" ht="12.05" customHeight="1">
      <c r="A1001" s="1116"/>
      <c r="B1001" s="292"/>
      <c r="C1001" s="292"/>
      <c r="D1001" s="292"/>
      <c r="E1001" s="292"/>
      <c r="F1001" s="292"/>
      <c r="G1001" s="253"/>
      <c r="H1001" s="253"/>
      <c r="I1001" s="253"/>
      <c r="J1001" s="354"/>
      <c r="K1001" s="355"/>
      <c r="L1001" s="360"/>
      <c r="M1001" s="355"/>
      <c r="N1001" s="355"/>
      <c r="O1001" s="355"/>
      <c r="P1001" s="388"/>
      <c r="Q1001" s="548"/>
      <c r="R1001" s="422"/>
    </row>
    <row r="1002" spans="1:18" s="189" customFormat="1" ht="12.05" customHeight="1">
      <c r="A1002" s="1117"/>
      <c r="B1002" s="292">
        <v>4</v>
      </c>
      <c r="C1002" s="292">
        <v>1</v>
      </c>
      <c r="D1002" s="292">
        <v>4</v>
      </c>
      <c r="E1002" s="292" t="s">
        <v>948</v>
      </c>
      <c r="F1002" s="292"/>
      <c r="G1002" s="410" t="s">
        <v>321</v>
      </c>
      <c r="H1002" s="410"/>
      <c r="I1002" s="410"/>
      <c r="J1002" s="494">
        <f t="shared" ref="J1002:M1003" si="151">+J1003</f>
        <v>0</v>
      </c>
      <c r="K1002" s="495">
        <f t="shared" si="151"/>
        <v>0</v>
      </c>
      <c r="L1002" s="513">
        <f t="shared" si="151"/>
        <v>0</v>
      </c>
      <c r="M1002" s="495">
        <f t="shared" si="151"/>
        <v>0</v>
      </c>
      <c r="N1002" s="396">
        <f>+M1002+L1002</f>
        <v>0</v>
      </c>
      <c r="O1002" s="396">
        <f>N1002-K1002</f>
        <v>0</v>
      </c>
      <c r="P1002" s="344">
        <v>0</v>
      </c>
      <c r="Q1002" s="548"/>
      <c r="R1002" s="422"/>
    </row>
    <row r="1003" spans="1:18" s="189" customFormat="1" ht="12.05" customHeight="1">
      <c r="A1003" s="1112"/>
      <c r="B1003" s="296">
        <v>4</v>
      </c>
      <c r="C1003" s="296">
        <v>1</v>
      </c>
      <c r="D1003" s="296">
        <v>4</v>
      </c>
      <c r="E1003" s="296" t="s">
        <v>948</v>
      </c>
      <c r="F1003" s="296" t="s">
        <v>437</v>
      </c>
      <c r="G1003" s="297" t="s">
        <v>85</v>
      </c>
      <c r="H1003" s="297"/>
      <c r="I1003" s="297"/>
      <c r="J1003" s="679">
        <f t="shared" si="151"/>
        <v>0</v>
      </c>
      <c r="K1003" s="691">
        <f t="shared" si="151"/>
        <v>0</v>
      </c>
      <c r="L1003" s="692">
        <f t="shared" si="151"/>
        <v>0</v>
      </c>
      <c r="M1003" s="691">
        <f t="shared" si="151"/>
        <v>0</v>
      </c>
      <c r="N1003" s="352">
        <f>M1003+L1003</f>
        <v>0</v>
      </c>
      <c r="O1003" s="352">
        <f>N1003-K1003</f>
        <v>0</v>
      </c>
      <c r="P1003" s="353">
        <v>0</v>
      </c>
      <c r="Q1003" s="548"/>
      <c r="R1003" s="422"/>
    </row>
    <row r="1004" spans="1:18" s="189" customFormat="1" ht="12.05" customHeight="1">
      <c r="A1004" s="898"/>
      <c r="B1004" s="899"/>
      <c r="C1004" s="899"/>
      <c r="D1004" s="899"/>
      <c r="E1004" s="899"/>
      <c r="F1004" s="899"/>
      <c r="G1004" s="900" t="s">
        <v>50</v>
      </c>
      <c r="H1004" s="900"/>
      <c r="I1004" s="900" t="s">
        <v>76</v>
      </c>
      <c r="J1004" s="911"/>
      <c r="K1004" s="912">
        <f>'[57]TARGET MURNI DAN PERUBAHAN'!$E$609</f>
        <v>0</v>
      </c>
      <c r="L1004" s="912">
        <v>0</v>
      </c>
      <c r="M1004" s="912">
        <f>[55]Perdinas!$E$716</f>
        <v>0</v>
      </c>
      <c r="N1004" s="914">
        <f>M1004+L1004</f>
        <v>0</v>
      </c>
      <c r="O1004" s="914">
        <f>N1004-K1004</f>
        <v>0</v>
      </c>
      <c r="P1004" s="915">
        <v>0</v>
      </c>
      <c r="Q1004" s="839"/>
      <c r="R1004" s="422"/>
    </row>
    <row r="1005" spans="1:18" s="189" customFormat="1" ht="12.05" customHeight="1">
      <c r="A1005" s="283" t="s">
        <v>410</v>
      </c>
      <c r="B1005" s="284"/>
      <c r="C1005" s="284"/>
      <c r="D1005" s="284"/>
      <c r="E1005" s="284"/>
      <c r="F1005" s="284"/>
      <c r="G1005" s="298" t="s">
        <v>1026</v>
      </c>
      <c r="H1005" s="298"/>
      <c r="I1005" s="298"/>
      <c r="J1005" s="336">
        <f>+J1006</f>
        <v>0</v>
      </c>
      <c r="K1005" s="337">
        <f>+K1006</f>
        <v>0</v>
      </c>
      <c r="L1005" s="337">
        <f>+L1006</f>
        <v>0</v>
      </c>
      <c r="M1005" s="337">
        <f>+M1006</f>
        <v>0</v>
      </c>
      <c r="N1005" s="337">
        <f>M1005+L1005</f>
        <v>0</v>
      </c>
      <c r="O1005" s="337">
        <f>+N1005-K1005</f>
        <v>0</v>
      </c>
      <c r="P1005" s="338" t="e">
        <f>+N1005/K1005*100</f>
        <v>#DIV/0!</v>
      </c>
      <c r="Q1005" s="432"/>
      <c r="R1005" s="422"/>
    </row>
    <row r="1006" spans="1:18" s="189" customFormat="1" ht="12.05" customHeight="1">
      <c r="A1006" s="1111"/>
      <c r="B1006" s="707">
        <v>4</v>
      </c>
      <c r="C1006" s="707">
        <v>1</v>
      </c>
      <c r="D1006" s="707"/>
      <c r="E1006" s="707"/>
      <c r="F1006" s="707"/>
      <c r="G1006" s="288" t="s">
        <v>180</v>
      </c>
      <c r="H1006" s="288"/>
      <c r="I1006" s="288"/>
      <c r="J1006" s="342">
        <f>+J1008</f>
        <v>0</v>
      </c>
      <c r="K1006" s="343">
        <f>+K1008</f>
        <v>0</v>
      </c>
      <c r="L1006" s="343">
        <f>+L1008</f>
        <v>0</v>
      </c>
      <c r="M1006" s="343">
        <f>+M1008</f>
        <v>0</v>
      </c>
      <c r="N1006" s="343">
        <f>+M1006+L1006</f>
        <v>0</v>
      </c>
      <c r="O1006" s="343">
        <f t="shared" ref="O1006:O1012" si="152">N1006-K1006</f>
        <v>0</v>
      </c>
      <c r="P1006" s="344" t="e">
        <f>N1006/K1006*100</f>
        <v>#DIV/0!</v>
      </c>
      <c r="Q1006" s="548"/>
      <c r="R1006" s="422"/>
    </row>
    <row r="1007" spans="1:18" s="189" customFormat="1" ht="12.05" customHeight="1">
      <c r="A1007" s="1112"/>
      <c r="B1007" s="296"/>
      <c r="C1007" s="296"/>
      <c r="D1007" s="296"/>
      <c r="E1007" s="296"/>
      <c r="F1007" s="296"/>
      <c r="G1007" s="297"/>
      <c r="H1007" s="297"/>
      <c r="I1007" s="297"/>
      <c r="J1007" s="351"/>
      <c r="K1007" s="352"/>
      <c r="L1007" s="352"/>
      <c r="M1007" s="352"/>
      <c r="N1007" s="352"/>
      <c r="O1007" s="352"/>
      <c r="P1007" s="353"/>
      <c r="Q1007" s="548"/>
      <c r="R1007" s="422"/>
    </row>
    <row r="1008" spans="1:18" s="189" customFormat="1" ht="12.05" customHeight="1">
      <c r="A1008" s="1113"/>
      <c r="B1008" s="1114">
        <v>4</v>
      </c>
      <c r="C1008" s="1114">
        <v>1</v>
      </c>
      <c r="D1008" s="1114">
        <v>4</v>
      </c>
      <c r="E1008" s="1114"/>
      <c r="F1008" s="1114"/>
      <c r="G1008" s="1115" t="s">
        <v>71</v>
      </c>
      <c r="H1008" s="1115"/>
      <c r="I1008" s="1115"/>
      <c r="J1008" s="1121">
        <f>J1009+J1014</f>
        <v>0</v>
      </c>
      <c r="K1008" s="1122">
        <f>K1009+K1014</f>
        <v>0</v>
      </c>
      <c r="L1008" s="1129">
        <f>L1009+L1014</f>
        <v>0</v>
      </c>
      <c r="M1008" s="1122">
        <f>M1009+M1014</f>
        <v>0</v>
      </c>
      <c r="N1008" s="1122">
        <f>N1009+N1014</f>
        <v>0</v>
      </c>
      <c r="O1008" s="1123">
        <f t="shared" si="152"/>
        <v>0</v>
      </c>
      <c r="P1008" s="1124" t="e">
        <f>N1008/K1008*100</f>
        <v>#DIV/0!</v>
      </c>
      <c r="Q1008" s="548"/>
      <c r="R1008" s="422"/>
    </row>
    <row r="1009" spans="1:22" s="189" customFormat="1" ht="12.05" customHeight="1">
      <c r="A1009" s="1116"/>
      <c r="B1009" s="292">
        <v>4</v>
      </c>
      <c r="C1009" s="292">
        <v>1</v>
      </c>
      <c r="D1009" s="292">
        <v>4</v>
      </c>
      <c r="E1009" s="292" t="s">
        <v>444</v>
      </c>
      <c r="F1009" s="292"/>
      <c r="G1009" s="253" t="s">
        <v>222</v>
      </c>
      <c r="H1009" s="253"/>
      <c r="I1009" s="253"/>
      <c r="J1009" s="333">
        <f>+J1012</f>
        <v>0</v>
      </c>
      <c r="K1009" s="334">
        <f>+K1012</f>
        <v>0</v>
      </c>
      <c r="L1009" s="356">
        <f>SUM(L1010:L1012)</f>
        <v>0</v>
      </c>
      <c r="M1009" s="334">
        <f>SUM(M1010:M1012)</f>
        <v>0</v>
      </c>
      <c r="N1009" s="334">
        <f>SUM(N1010:N1012)</f>
        <v>0</v>
      </c>
      <c r="O1009" s="396">
        <f t="shared" si="152"/>
        <v>0</v>
      </c>
      <c r="P1009" s="344">
        <v>0</v>
      </c>
      <c r="Q1009" s="641"/>
      <c r="R1009" s="422"/>
    </row>
    <row r="1010" spans="1:22" s="189" customFormat="1" ht="12.05" customHeight="1">
      <c r="A1010" s="1116"/>
      <c r="B1010" s="292">
        <v>4</v>
      </c>
      <c r="C1010" s="292">
        <v>1</v>
      </c>
      <c r="D1010" s="292">
        <v>4</v>
      </c>
      <c r="E1010" s="292" t="s">
        <v>444</v>
      </c>
      <c r="F1010" s="292" t="s">
        <v>440</v>
      </c>
      <c r="G1010" s="253" t="s">
        <v>73</v>
      </c>
      <c r="H1010" s="253"/>
      <c r="I1010" s="253"/>
      <c r="J1010" s="354">
        <v>0</v>
      </c>
      <c r="K1010" s="355">
        <v>0</v>
      </c>
      <c r="L1010" s="360">
        <v>0</v>
      </c>
      <c r="M1010" s="355">
        <v>0</v>
      </c>
      <c r="N1010" s="355">
        <f>M1010+L1010</f>
        <v>0</v>
      </c>
      <c r="O1010" s="355">
        <f t="shared" si="152"/>
        <v>0</v>
      </c>
      <c r="P1010" s="388"/>
      <c r="Q1010" s="548"/>
      <c r="R1010" s="422"/>
    </row>
    <row r="1011" spans="1:22" s="189" customFormat="1" ht="12.05" customHeight="1">
      <c r="A1011" s="1116"/>
      <c r="B1011" s="292">
        <v>4</v>
      </c>
      <c r="C1011" s="292">
        <v>1</v>
      </c>
      <c r="D1011" s="292">
        <v>4</v>
      </c>
      <c r="E1011" s="292" t="s">
        <v>444</v>
      </c>
      <c r="F1011" s="292" t="s">
        <v>445</v>
      </c>
      <c r="G1011" s="253" t="s">
        <v>74</v>
      </c>
      <c r="H1011" s="253"/>
      <c r="I1011" s="253"/>
      <c r="J1011" s="354">
        <v>0</v>
      </c>
      <c r="K1011" s="355">
        <v>0</v>
      </c>
      <c r="L1011" s="360">
        <v>0</v>
      </c>
      <c r="M1011" s="355">
        <v>0</v>
      </c>
      <c r="N1011" s="355">
        <f>M1011+L1011</f>
        <v>0</v>
      </c>
      <c r="O1011" s="355">
        <f t="shared" si="152"/>
        <v>0</v>
      </c>
      <c r="P1011" s="388"/>
      <c r="Q1011" s="548"/>
      <c r="R1011" s="422"/>
    </row>
    <row r="1012" spans="1:22" s="256" customFormat="1" ht="12.05" customHeight="1">
      <c r="A1012" s="1116"/>
      <c r="B1012" s="292">
        <v>4</v>
      </c>
      <c r="C1012" s="292">
        <v>1</v>
      </c>
      <c r="D1012" s="292">
        <v>4</v>
      </c>
      <c r="E1012" s="292" t="s">
        <v>444</v>
      </c>
      <c r="F1012" s="292" t="s">
        <v>441</v>
      </c>
      <c r="G1012" s="253" t="s">
        <v>75</v>
      </c>
      <c r="H1012" s="253"/>
      <c r="I1012" s="253"/>
      <c r="J1012" s="354">
        <v>0</v>
      </c>
      <c r="K1012" s="355">
        <v>0</v>
      </c>
      <c r="L1012" s="360">
        <v>0</v>
      </c>
      <c r="M1012" s="355"/>
      <c r="N1012" s="369">
        <f>M1012+L1012</f>
        <v>0</v>
      </c>
      <c r="O1012" s="355">
        <f t="shared" si="152"/>
        <v>0</v>
      </c>
      <c r="P1012" s="388"/>
      <c r="Q1012" s="548"/>
      <c r="R1012" s="1135"/>
    </row>
    <row r="1013" spans="1:22" s="189" customFormat="1" ht="12.05" customHeight="1">
      <c r="A1013" s="1116"/>
      <c r="B1013" s="292"/>
      <c r="C1013" s="292"/>
      <c r="D1013" s="292"/>
      <c r="E1013" s="292"/>
      <c r="F1013" s="292"/>
      <c r="G1013" s="253"/>
      <c r="H1013" s="253"/>
      <c r="I1013" s="253"/>
      <c r="J1013" s="354"/>
      <c r="K1013" s="355"/>
      <c r="L1013" s="360"/>
      <c r="M1013" s="355"/>
      <c r="N1013" s="355"/>
      <c r="O1013" s="355"/>
      <c r="P1013" s="388"/>
      <c r="Q1013" s="548"/>
      <c r="R1013" s="422"/>
    </row>
    <row r="1014" spans="1:22" s="189" customFormat="1" ht="12.05" customHeight="1">
      <c r="A1014" s="1117"/>
      <c r="B1014" s="292">
        <v>4</v>
      </c>
      <c r="C1014" s="292">
        <v>1</v>
      </c>
      <c r="D1014" s="292">
        <v>4</v>
      </c>
      <c r="E1014" s="292" t="s">
        <v>948</v>
      </c>
      <c r="F1014" s="292"/>
      <c r="G1014" s="410" t="s">
        <v>321</v>
      </c>
      <c r="H1014" s="410"/>
      <c r="I1014" s="410"/>
      <c r="J1014" s="494">
        <f t="shared" ref="J1014:M1015" si="153">+J1015</f>
        <v>0</v>
      </c>
      <c r="K1014" s="495">
        <f t="shared" si="153"/>
        <v>0</v>
      </c>
      <c r="L1014" s="513">
        <f t="shared" si="153"/>
        <v>0</v>
      </c>
      <c r="M1014" s="495">
        <f t="shared" si="153"/>
        <v>0</v>
      </c>
      <c r="N1014" s="396">
        <f>+M1014+L1014</f>
        <v>0</v>
      </c>
      <c r="O1014" s="396">
        <f>N1014-K1014</f>
        <v>0</v>
      </c>
      <c r="P1014" s="344">
        <v>0</v>
      </c>
      <c r="Q1014" s="548"/>
      <c r="R1014" s="422"/>
    </row>
    <row r="1015" spans="1:22" s="189" customFormat="1" ht="12.05" customHeight="1">
      <c r="A1015" s="1112"/>
      <c r="B1015" s="296">
        <v>4</v>
      </c>
      <c r="C1015" s="296">
        <v>1</v>
      </c>
      <c r="D1015" s="296">
        <v>4</v>
      </c>
      <c r="E1015" s="296" t="s">
        <v>948</v>
      </c>
      <c r="F1015" s="296" t="s">
        <v>437</v>
      </c>
      <c r="G1015" s="297" t="s">
        <v>85</v>
      </c>
      <c r="H1015" s="297"/>
      <c r="I1015" s="297"/>
      <c r="J1015" s="679">
        <f t="shared" si="153"/>
        <v>0</v>
      </c>
      <c r="K1015" s="691">
        <f t="shared" si="153"/>
        <v>0</v>
      </c>
      <c r="L1015" s="692">
        <f t="shared" si="153"/>
        <v>0</v>
      </c>
      <c r="M1015" s="691">
        <f t="shared" si="153"/>
        <v>0</v>
      </c>
      <c r="N1015" s="352">
        <f>M1015+L1015</f>
        <v>0</v>
      </c>
      <c r="O1015" s="352">
        <f>N1015-K1015</f>
        <v>0</v>
      </c>
      <c r="P1015" s="353">
        <v>0</v>
      </c>
      <c r="Q1015" s="548"/>
      <c r="R1015" s="422"/>
    </row>
    <row r="1016" spans="1:22" s="189" customFormat="1" ht="12.05" customHeight="1">
      <c r="A1016" s="898"/>
      <c r="B1016" s="899"/>
      <c r="C1016" s="899"/>
      <c r="D1016" s="899"/>
      <c r="E1016" s="899"/>
      <c r="F1016" s="899"/>
      <c r="G1016" s="900" t="s">
        <v>50</v>
      </c>
      <c r="H1016" s="900"/>
      <c r="I1016" s="900" t="s">
        <v>76</v>
      </c>
      <c r="J1016" s="911"/>
      <c r="K1016" s="912"/>
      <c r="L1016" s="913">
        <f>[62]PerDinas!$N$1016</f>
        <v>0</v>
      </c>
      <c r="M1016" s="912">
        <v>0</v>
      </c>
      <c r="N1016" s="914">
        <f>M1016+L1016</f>
        <v>0</v>
      </c>
      <c r="O1016" s="914">
        <f>N1016-K1016</f>
        <v>0</v>
      </c>
      <c r="P1016" s="915">
        <v>0</v>
      </c>
      <c r="Q1016" s="839"/>
      <c r="R1016" s="422"/>
    </row>
    <row r="1017" spans="1:22" s="189" customFormat="1" ht="12.05" customHeight="1">
      <c r="A1017" s="283" t="s">
        <v>1027</v>
      </c>
      <c r="B1017" s="284"/>
      <c r="C1017" s="284"/>
      <c r="D1017" s="284"/>
      <c r="E1017" s="284"/>
      <c r="F1017" s="284"/>
      <c r="G1017" s="298" t="s">
        <v>1028</v>
      </c>
      <c r="H1017" s="298"/>
      <c r="I1017" s="298"/>
      <c r="J1017" s="336">
        <f>+J1018</f>
        <v>0</v>
      </c>
      <c r="K1017" s="337">
        <f>+K1018</f>
        <v>0</v>
      </c>
      <c r="L1017" s="337">
        <f>+L1018</f>
        <v>0</v>
      </c>
      <c r="M1017" s="337">
        <f>+M1018</f>
        <v>0</v>
      </c>
      <c r="N1017" s="337">
        <f>M1017+L1017</f>
        <v>0</v>
      </c>
      <c r="O1017" s="337">
        <f>+N1017-K1017</f>
        <v>0</v>
      </c>
      <c r="P1017" s="338" t="e">
        <f>+N1017/K1017*100</f>
        <v>#DIV/0!</v>
      </c>
      <c r="Q1017" s="432"/>
      <c r="R1017" s="422"/>
    </row>
    <row r="1018" spans="1:22" s="189" customFormat="1" ht="12.05" customHeight="1">
      <c r="A1018" s="1111"/>
      <c r="B1018" s="707">
        <v>4</v>
      </c>
      <c r="C1018" s="707">
        <v>1</v>
      </c>
      <c r="D1018" s="707"/>
      <c r="E1018" s="707"/>
      <c r="F1018" s="707"/>
      <c r="G1018" s="288" t="s">
        <v>180</v>
      </c>
      <c r="H1018" s="288"/>
      <c r="I1018" s="288"/>
      <c r="J1018" s="342">
        <f>+J1020</f>
        <v>0</v>
      </c>
      <c r="K1018" s="343">
        <f>+K1020</f>
        <v>0</v>
      </c>
      <c r="L1018" s="343">
        <f>+L1020</f>
        <v>0</v>
      </c>
      <c r="M1018" s="343">
        <f>+M1020</f>
        <v>0</v>
      </c>
      <c r="N1018" s="343">
        <f>+M1018+L1018</f>
        <v>0</v>
      </c>
      <c r="O1018" s="343">
        <f t="shared" ref="O1018:O1024" si="154">N1018-K1018</f>
        <v>0</v>
      </c>
      <c r="P1018" s="344" t="e">
        <f>N1018/K1018*100</f>
        <v>#DIV/0!</v>
      </c>
      <c r="Q1018" s="548"/>
      <c r="R1018" s="422"/>
    </row>
    <row r="1019" spans="1:22" s="189" customFormat="1" ht="15.65">
      <c r="A1019" s="1112"/>
      <c r="B1019" s="296"/>
      <c r="C1019" s="296"/>
      <c r="D1019" s="296"/>
      <c r="E1019" s="296"/>
      <c r="F1019" s="296"/>
      <c r="G1019" s="297"/>
      <c r="H1019" s="297"/>
      <c r="I1019" s="297"/>
      <c r="J1019" s="351"/>
      <c r="K1019" s="352"/>
      <c r="L1019" s="362"/>
      <c r="M1019" s="352"/>
      <c r="N1019" s="352"/>
      <c r="O1019" s="352"/>
      <c r="P1019" s="353"/>
      <c r="Q1019" s="548"/>
      <c r="R1019" s="1136"/>
    </row>
    <row r="1020" spans="1:22" s="189" customFormat="1" ht="12.05" customHeight="1">
      <c r="A1020" s="1113"/>
      <c r="B1020" s="1114">
        <v>4</v>
      </c>
      <c r="C1020" s="1114">
        <v>1</v>
      </c>
      <c r="D1020" s="1114">
        <v>4</v>
      </c>
      <c r="E1020" s="1114"/>
      <c r="F1020" s="1114"/>
      <c r="G1020" s="1115" t="s">
        <v>71</v>
      </c>
      <c r="H1020" s="1115"/>
      <c r="I1020" s="1115"/>
      <c r="J1020" s="1121">
        <f>J1021+J1026</f>
        <v>0</v>
      </c>
      <c r="K1020" s="1122">
        <f>K1021+K1026</f>
        <v>0</v>
      </c>
      <c r="L1020" s="1129">
        <f>L1021+L1026</f>
        <v>0</v>
      </c>
      <c r="M1020" s="1122">
        <f>M1021+M1026</f>
        <v>0</v>
      </c>
      <c r="N1020" s="1122">
        <f>N1021+N1026</f>
        <v>0</v>
      </c>
      <c r="O1020" s="1123">
        <f t="shared" si="154"/>
        <v>0</v>
      </c>
      <c r="P1020" s="1124" t="e">
        <f>N1020/K1020*100</f>
        <v>#DIV/0!</v>
      </c>
      <c r="Q1020" s="548"/>
      <c r="R1020" s="422"/>
      <c r="S1020" s="1137"/>
      <c r="T1020" s="1137"/>
      <c r="U1020" s="1137"/>
    </row>
    <row r="1021" spans="1:22" s="189" customFormat="1" ht="12.05" customHeight="1">
      <c r="A1021" s="1116"/>
      <c r="B1021" s="292">
        <v>4</v>
      </c>
      <c r="C1021" s="292">
        <v>1</v>
      </c>
      <c r="D1021" s="292">
        <v>4</v>
      </c>
      <c r="E1021" s="292" t="s">
        <v>444</v>
      </c>
      <c r="F1021" s="292"/>
      <c r="G1021" s="253" t="s">
        <v>222</v>
      </c>
      <c r="H1021" s="253"/>
      <c r="I1021" s="253"/>
      <c r="J1021" s="333">
        <f>+J1024</f>
        <v>0</v>
      </c>
      <c r="K1021" s="334">
        <f>+K1024</f>
        <v>0</v>
      </c>
      <c r="L1021" s="356">
        <f>SUM(L1022:L1024)</f>
        <v>0</v>
      </c>
      <c r="M1021" s="334">
        <f>SUM(M1022:M1024)</f>
        <v>0</v>
      </c>
      <c r="N1021" s="334">
        <f>SUM(N1022:N1024)</f>
        <v>0</v>
      </c>
      <c r="O1021" s="396">
        <f t="shared" si="154"/>
        <v>0</v>
      </c>
      <c r="P1021" s="344">
        <v>0</v>
      </c>
      <c r="Q1021" s="548"/>
      <c r="R1021" s="1138"/>
      <c r="S1021" s="1139"/>
      <c r="T1021" s="1139"/>
      <c r="U1021" s="1139"/>
      <c r="V1021" s="1140"/>
    </row>
    <row r="1022" spans="1:22" s="189" customFormat="1" ht="12.05" customHeight="1">
      <c r="A1022" s="1116"/>
      <c r="B1022" s="292">
        <v>4</v>
      </c>
      <c r="C1022" s="292">
        <v>1</v>
      </c>
      <c r="D1022" s="292">
        <v>4</v>
      </c>
      <c r="E1022" s="292" t="s">
        <v>444</v>
      </c>
      <c r="F1022" s="292" t="s">
        <v>440</v>
      </c>
      <c r="G1022" s="253" t="s">
        <v>73</v>
      </c>
      <c r="H1022" s="253"/>
      <c r="I1022" s="253"/>
      <c r="J1022" s="354">
        <v>0</v>
      </c>
      <c r="K1022" s="355">
        <v>0</v>
      </c>
      <c r="L1022" s="360">
        <v>0</v>
      </c>
      <c r="M1022" s="355">
        <v>0</v>
      </c>
      <c r="N1022" s="355">
        <f>M1022+L1022</f>
        <v>0</v>
      </c>
      <c r="O1022" s="355">
        <f t="shared" si="154"/>
        <v>0</v>
      </c>
      <c r="P1022" s="388"/>
      <c r="Q1022" s="548"/>
      <c r="R1022" s="422"/>
      <c r="S1022" s="1137"/>
      <c r="T1022" s="1137"/>
      <c r="U1022" s="1137"/>
    </row>
    <row r="1023" spans="1:22" s="189" customFormat="1" ht="12.05" customHeight="1">
      <c r="A1023" s="1116"/>
      <c r="B1023" s="292">
        <v>4</v>
      </c>
      <c r="C1023" s="292">
        <v>1</v>
      </c>
      <c r="D1023" s="292">
        <v>4</v>
      </c>
      <c r="E1023" s="292" t="s">
        <v>444</v>
      </c>
      <c r="F1023" s="292" t="s">
        <v>445</v>
      </c>
      <c r="G1023" s="253" t="s">
        <v>74</v>
      </c>
      <c r="H1023" s="253"/>
      <c r="I1023" s="253"/>
      <c r="J1023" s="354">
        <v>0</v>
      </c>
      <c r="K1023" s="355">
        <v>0</v>
      </c>
      <c r="L1023" s="360">
        <v>0</v>
      </c>
      <c r="M1023" s="355">
        <v>0</v>
      </c>
      <c r="N1023" s="355">
        <f>M1023+L1023</f>
        <v>0</v>
      </c>
      <c r="O1023" s="355">
        <f t="shared" si="154"/>
        <v>0</v>
      </c>
      <c r="P1023" s="388"/>
      <c r="Q1023" s="548"/>
      <c r="R1023" s="431"/>
      <c r="S1023" s="1141"/>
      <c r="T1023" s="1141"/>
      <c r="U1023" s="1141"/>
      <c r="V1023" s="1142"/>
    </row>
    <row r="1024" spans="1:22" s="189" customFormat="1" ht="12.05" customHeight="1">
      <c r="A1024" s="1116"/>
      <c r="B1024" s="292">
        <v>4</v>
      </c>
      <c r="C1024" s="292">
        <v>1</v>
      </c>
      <c r="D1024" s="292">
        <v>4</v>
      </c>
      <c r="E1024" s="292" t="s">
        <v>444</v>
      </c>
      <c r="F1024" s="292" t="s">
        <v>441</v>
      </c>
      <c r="G1024" s="253" t="s">
        <v>75</v>
      </c>
      <c r="H1024" s="253"/>
      <c r="I1024" s="253"/>
      <c r="J1024" s="354">
        <v>0</v>
      </c>
      <c r="K1024" s="355">
        <v>0</v>
      </c>
      <c r="L1024" s="360">
        <f>[62]PerDinas!$N$1024</f>
        <v>0</v>
      </c>
      <c r="M1024" s="355"/>
      <c r="N1024" s="369">
        <f>M1024+L1024</f>
        <v>0</v>
      </c>
      <c r="O1024" s="355">
        <f t="shared" si="154"/>
        <v>0</v>
      </c>
      <c r="P1024" s="388"/>
      <c r="Q1024" s="548"/>
      <c r="R1024" s="422"/>
      <c r="V1024" s="422"/>
    </row>
    <row r="1025" spans="1:18" s="189" customFormat="1" ht="12.05" customHeight="1">
      <c r="A1025" s="1116"/>
      <c r="B1025" s="292"/>
      <c r="C1025" s="292"/>
      <c r="D1025" s="292"/>
      <c r="E1025" s="292"/>
      <c r="F1025" s="292"/>
      <c r="G1025" s="253"/>
      <c r="H1025" s="253"/>
      <c r="I1025" s="253"/>
      <c r="J1025" s="354"/>
      <c r="K1025" s="355"/>
      <c r="L1025" s="360"/>
      <c r="M1025" s="355"/>
      <c r="N1025" s="355"/>
      <c r="O1025" s="355"/>
      <c r="P1025" s="388"/>
      <c r="Q1025" s="548"/>
      <c r="R1025" s="422"/>
    </row>
    <row r="1026" spans="1:18" s="189" customFormat="1" ht="12.05" customHeight="1">
      <c r="A1026" s="1117"/>
      <c r="B1026" s="292">
        <v>4</v>
      </c>
      <c r="C1026" s="292">
        <v>1</v>
      </c>
      <c r="D1026" s="292">
        <v>4</v>
      </c>
      <c r="E1026" s="292" t="s">
        <v>948</v>
      </c>
      <c r="F1026" s="292"/>
      <c r="G1026" s="410" t="s">
        <v>321</v>
      </c>
      <c r="H1026" s="410"/>
      <c r="I1026" s="410"/>
      <c r="J1026" s="494">
        <f t="shared" ref="J1026:M1027" si="155">+J1027</f>
        <v>0</v>
      </c>
      <c r="K1026" s="495">
        <f t="shared" si="155"/>
        <v>0</v>
      </c>
      <c r="L1026" s="513">
        <f t="shared" si="155"/>
        <v>0</v>
      </c>
      <c r="M1026" s="495">
        <f t="shared" si="155"/>
        <v>0</v>
      </c>
      <c r="N1026" s="396">
        <f>+M1026+L1026</f>
        <v>0</v>
      </c>
      <c r="O1026" s="396">
        <f>N1026-K1026</f>
        <v>0</v>
      </c>
      <c r="P1026" s="344">
        <v>0</v>
      </c>
      <c r="Q1026" s="548"/>
      <c r="R1026" s="422"/>
    </row>
    <row r="1027" spans="1:18" s="189" customFormat="1" ht="12.05" customHeight="1">
      <c r="A1027" s="1112"/>
      <c r="B1027" s="296">
        <v>4</v>
      </c>
      <c r="C1027" s="296">
        <v>1</v>
      </c>
      <c r="D1027" s="296">
        <v>4</v>
      </c>
      <c r="E1027" s="296" t="s">
        <v>948</v>
      </c>
      <c r="F1027" s="296" t="s">
        <v>437</v>
      </c>
      <c r="G1027" s="297" t="s">
        <v>85</v>
      </c>
      <c r="H1027" s="297"/>
      <c r="I1027" s="297"/>
      <c r="J1027" s="679">
        <f t="shared" si="155"/>
        <v>0</v>
      </c>
      <c r="K1027" s="691">
        <f t="shared" si="155"/>
        <v>0</v>
      </c>
      <c r="L1027" s="692">
        <f t="shared" si="155"/>
        <v>0</v>
      </c>
      <c r="M1027" s="691">
        <f t="shared" si="155"/>
        <v>0</v>
      </c>
      <c r="N1027" s="352">
        <f>M1027+L1027</f>
        <v>0</v>
      </c>
      <c r="O1027" s="352">
        <f>N1027-K1027</f>
        <v>0</v>
      </c>
      <c r="P1027" s="353">
        <v>0</v>
      </c>
      <c r="Q1027" s="548"/>
      <c r="R1027" s="422"/>
    </row>
    <row r="1028" spans="1:18" s="189" customFormat="1" ht="12.05" customHeight="1">
      <c r="A1028" s="898"/>
      <c r="B1028" s="899"/>
      <c r="C1028" s="899"/>
      <c r="D1028" s="899"/>
      <c r="E1028" s="899"/>
      <c r="F1028" s="899"/>
      <c r="G1028" s="900" t="s">
        <v>50</v>
      </c>
      <c r="H1028" s="900"/>
      <c r="I1028" s="900" t="s">
        <v>85</v>
      </c>
      <c r="J1028" s="911"/>
      <c r="K1028" s="912"/>
      <c r="L1028" s="913">
        <f>[62]PerDinas!$N$1028</f>
        <v>0</v>
      </c>
      <c r="M1028" s="912"/>
      <c r="N1028" s="914">
        <f>M1028+L1028</f>
        <v>0</v>
      </c>
      <c r="O1028" s="914">
        <f>N1028-K1028</f>
        <v>0</v>
      </c>
      <c r="P1028" s="915">
        <v>0</v>
      </c>
      <c r="Q1028" s="839"/>
      <c r="R1028" s="422"/>
    </row>
    <row r="1029" spans="1:18" s="257" customFormat="1" ht="12.05" customHeight="1">
      <c r="A1029" s="5887" t="s">
        <v>925</v>
      </c>
      <c r="B1029" s="5888"/>
      <c r="C1029" s="5888"/>
      <c r="D1029" s="5888"/>
      <c r="E1029" s="5888"/>
      <c r="F1029" s="5888"/>
      <c r="G1029" s="5888"/>
      <c r="H1029" s="5888"/>
      <c r="I1029" s="5889"/>
      <c r="J1029" s="1130" t="e">
        <f>J11</f>
        <v>#REF!</v>
      </c>
      <c r="K1029" s="1131">
        <f>K11</f>
        <v>424394908278.44</v>
      </c>
      <c r="L1029" s="1131" t="e">
        <f>L11</f>
        <v>#REF!</v>
      </c>
      <c r="M1029" s="1131" t="e">
        <f>M11</f>
        <v>#REF!</v>
      </c>
      <c r="N1029" s="1131" t="e">
        <f>N11</f>
        <v>#REF!</v>
      </c>
      <c r="O1029" s="1131" t="e">
        <f>N1029-K1029</f>
        <v>#REF!</v>
      </c>
      <c r="P1029" s="1132" t="e">
        <f>N1029/K1029*100</f>
        <v>#REF!</v>
      </c>
      <c r="Q1029" s="1143"/>
      <c r="R1029" s="1144"/>
    </row>
    <row r="1030" spans="1:18" s="189" customFormat="1" ht="12.05" customHeight="1">
      <c r="A1030" s="1145"/>
      <c r="B1030" s="1145"/>
      <c r="C1030" s="1145"/>
      <c r="D1030" s="1145"/>
      <c r="E1030" s="1145"/>
      <c r="F1030" s="1145"/>
      <c r="G1030" s="194"/>
      <c r="H1030" s="194"/>
      <c r="I1030" s="194"/>
      <c r="J1030" s="312"/>
      <c r="K1030" s="315"/>
      <c r="L1030" s="315"/>
      <c r="M1030" s="315"/>
      <c r="N1030" s="315"/>
      <c r="O1030" s="315"/>
      <c r="P1030" s="194"/>
      <c r="Q1030" s="194"/>
      <c r="R1030" s="422"/>
    </row>
    <row r="1031" spans="1:18" s="189" customFormat="1" ht="12.05" customHeight="1">
      <c r="A1031" s="1146" t="s">
        <v>658</v>
      </c>
      <c r="B1031" s="194"/>
      <c r="C1031" s="194"/>
      <c r="D1031" s="226"/>
      <c r="E1031" s="226"/>
      <c r="F1031" s="226"/>
      <c r="G1031" s="226"/>
      <c r="H1031" s="226"/>
      <c r="I1031" s="226"/>
      <c r="J1031" s="1148"/>
      <c r="K1031" s="313" t="s">
        <v>660</v>
      </c>
      <c r="L1031" s="1149" t="e">
        <f>NA()</f>
        <v>#N/A</v>
      </c>
      <c r="M1031" s="315"/>
      <c r="N1031" s="1150"/>
      <c r="O1031" s="316" t="s">
        <v>1075</v>
      </c>
      <c r="P1031" s="194"/>
      <c r="Q1031" s="194"/>
      <c r="R1031" s="422"/>
    </row>
    <row r="1032" spans="1:18" s="189" customFormat="1" ht="12.05" customHeight="1">
      <c r="A1032" s="194"/>
      <c r="B1032" s="194" t="s">
        <v>659</v>
      </c>
      <c r="C1032" s="194"/>
      <c r="D1032" s="226"/>
      <c r="E1032" s="226"/>
      <c r="F1032" s="226"/>
      <c r="G1032" s="226"/>
      <c r="H1032" s="226"/>
      <c r="I1032" s="226"/>
      <c r="J1032" s="1148"/>
      <c r="K1032" s="313" t="s">
        <v>927</v>
      </c>
      <c r="L1032" s="315"/>
      <c r="M1032" s="315"/>
      <c r="N1032" s="315"/>
      <c r="O1032" s="313" t="s">
        <v>928</v>
      </c>
      <c r="P1032" s="194"/>
      <c r="Q1032" s="194"/>
      <c r="R1032" s="422"/>
    </row>
    <row r="1033" spans="1:18" s="189" customFormat="1" ht="12.05" customHeight="1">
      <c r="A1033" s="194"/>
      <c r="B1033" s="194" t="s">
        <v>662</v>
      </c>
      <c r="C1033" s="194"/>
      <c r="D1033" s="226"/>
      <c r="E1033" s="226"/>
      <c r="F1033" s="226"/>
      <c r="G1033" s="226"/>
      <c r="H1033" s="226"/>
      <c r="I1033" s="226"/>
      <c r="J1033" s="1148"/>
      <c r="K1033" s="313" t="s">
        <v>929</v>
      </c>
      <c r="L1033" s="315"/>
      <c r="M1033" s="1151"/>
      <c r="N1033" s="315"/>
      <c r="O1033" s="313"/>
      <c r="P1033" s="194"/>
      <c r="Q1033" s="194"/>
      <c r="R1033" s="422"/>
    </row>
    <row r="1034" spans="1:18" s="189" customFormat="1" ht="12.05" customHeight="1">
      <c r="A1034" s="194"/>
      <c r="B1034" s="194" t="s">
        <v>664</v>
      </c>
      <c r="C1034" s="194"/>
      <c r="D1034" s="226"/>
      <c r="E1034" s="226"/>
      <c r="F1034" s="226"/>
      <c r="G1034" s="226"/>
      <c r="H1034" s="226"/>
      <c r="I1034" s="226"/>
      <c r="J1034" s="1148"/>
      <c r="K1034" s="313"/>
      <c r="L1034" s="315"/>
      <c r="M1034" s="1151"/>
      <c r="N1034" s="315"/>
      <c r="O1034" s="313"/>
      <c r="P1034" s="194"/>
      <c r="Q1034" s="194"/>
      <c r="R1034" s="422"/>
    </row>
    <row r="1035" spans="1:18" s="189" customFormat="1" ht="12.05" customHeight="1">
      <c r="A1035" s="194"/>
      <c r="B1035" s="194"/>
      <c r="C1035" s="194"/>
      <c r="D1035" s="226"/>
      <c r="E1035" s="226"/>
      <c r="F1035" s="226"/>
      <c r="G1035" s="226"/>
      <c r="H1035" s="226"/>
      <c r="I1035" s="226"/>
      <c r="J1035" s="1148"/>
      <c r="K1035" s="313"/>
      <c r="L1035" s="315"/>
      <c r="M1035" s="1151"/>
      <c r="N1035" s="315"/>
      <c r="O1035" s="313"/>
      <c r="P1035" s="194"/>
      <c r="Q1035" s="194"/>
      <c r="R1035" s="422"/>
    </row>
    <row r="1036" spans="1:18" s="189" customFormat="1" ht="12.05" customHeight="1">
      <c r="A1036" s="194"/>
      <c r="B1036" s="194"/>
      <c r="C1036" s="194"/>
      <c r="D1036" s="226"/>
      <c r="E1036" s="226"/>
      <c r="F1036" s="226"/>
      <c r="G1036" s="226"/>
      <c r="H1036" s="226"/>
      <c r="I1036" s="226"/>
      <c r="J1036" s="1148"/>
      <c r="K1036" s="313"/>
      <c r="L1036" s="315"/>
      <c r="M1036" s="1152"/>
      <c r="N1036" s="315"/>
      <c r="O1036" s="313"/>
      <c r="P1036" s="194"/>
      <c r="Q1036" s="194"/>
      <c r="R1036" s="422"/>
    </row>
    <row r="1037" spans="1:18" s="189" customFormat="1" ht="12.05" customHeight="1">
      <c r="A1037" s="194"/>
      <c r="B1037" s="194"/>
      <c r="C1037" s="194"/>
      <c r="D1037" s="226"/>
      <c r="E1037" s="226"/>
      <c r="F1037" s="226"/>
      <c r="G1037" s="226"/>
      <c r="H1037" s="226"/>
      <c r="I1037" s="226"/>
      <c r="J1037" s="1148"/>
      <c r="K1037" s="1153" t="s">
        <v>930</v>
      </c>
      <c r="L1037" s="315"/>
      <c r="M1037" s="1152"/>
      <c r="N1037" s="315"/>
      <c r="O1037" s="1154" t="s">
        <v>1030</v>
      </c>
      <c r="P1037" s="194"/>
      <c r="Q1037" s="194"/>
      <c r="R1037" s="422"/>
    </row>
    <row r="1038" spans="1:18" s="189" customFormat="1" ht="12.05" customHeight="1">
      <c r="A1038" s="194"/>
      <c r="B1038" s="194"/>
      <c r="C1038" s="194"/>
      <c r="D1038" s="194"/>
      <c r="E1038" s="194"/>
      <c r="F1038" s="194"/>
      <c r="G1038" s="194"/>
      <c r="H1038" s="194"/>
      <c r="I1038" s="1155"/>
      <c r="J1038" s="312"/>
      <c r="K1038" s="313" t="s">
        <v>932</v>
      </c>
      <c r="L1038" s="315"/>
      <c r="M1038" s="315"/>
      <c r="N1038" s="315"/>
      <c r="O1038" s="226" t="s">
        <v>1032</v>
      </c>
      <c r="P1038" s="194"/>
      <c r="Q1038" s="194"/>
      <c r="R1038" s="422"/>
    </row>
    <row r="1039" spans="1:18" s="189" customFormat="1" ht="13.5" customHeight="1">
      <c r="A1039" s="1147"/>
      <c r="B1039" s="1147"/>
      <c r="C1039" s="1147"/>
      <c r="D1039" s="1147"/>
      <c r="E1039" s="1147"/>
      <c r="F1039" s="1147"/>
      <c r="J1039" s="260"/>
      <c r="R1039" s="422"/>
    </row>
    <row r="1040" spans="1:18" s="189" customFormat="1" ht="13.5" customHeight="1">
      <c r="A1040" s="1147"/>
      <c r="B1040" s="1147"/>
      <c r="C1040" s="1147"/>
      <c r="D1040" s="1147"/>
      <c r="E1040" s="1147"/>
      <c r="F1040" s="1147"/>
      <c r="J1040" s="260"/>
      <c r="R1040" s="422"/>
    </row>
    <row r="1041" spans="1:17" ht="13.5" customHeight="1">
      <c r="A1041" s="1147"/>
      <c r="B1041" s="1147"/>
      <c r="C1041" s="1147"/>
      <c r="D1041" s="1147"/>
      <c r="E1041" s="1147"/>
      <c r="F1041" s="1147"/>
      <c r="G1041" s="189"/>
      <c r="H1041" s="189"/>
      <c r="I1041" s="189"/>
      <c r="L1041" s="189"/>
      <c r="M1041" s="189"/>
      <c r="N1041" s="189"/>
      <c r="O1041" s="189"/>
      <c r="P1041" s="189"/>
      <c r="Q1041" s="189"/>
    </row>
    <row r="1042" spans="1:17" ht="13.5" customHeight="1">
      <c r="A1042" s="1147"/>
      <c r="B1042" s="1147"/>
      <c r="C1042" s="1147"/>
      <c r="D1042" s="1147"/>
      <c r="E1042" s="1147"/>
      <c r="F1042" s="1147"/>
      <c r="G1042" s="189"/>
      <c r="H1042" s="189"/>
      <c r="I1042" s="189"/>
      <c r="L1042" s="189"/>
      <c r="M1042" s="189"/>
      <c r="N1042" s="189"/>
      <c r="O1042" s="189"/>
      <c r="P1042" s="189"/>
      <c r="Q1042" s="189"/>
    </row>
    <row r="1043" spans="1:17" ht="13.5" customHeight="1">
      <c r="A1043" s="1147"/>
      <c r="B1043" s="1147"/>
      <c r="C1043" s="1147"/>
      <c r="D1043" s="1147"/>
      <c r="E1043" s="1147"/>
      <c r="F1043" s="1147"/>
      <c r="G1043" s="189"/>
      <c r="H1043" s="189"/>
      <c r="I1043" s="189"/>
      <c r="K1043" s="190"/>
      <c r="L1043" s="1156"/>
      <c r="M1043" s="189"/>
      <c r="N1043" s="189"/>
      <c r="O1043" s="189"/>
      <c r="P1043" s="189"/>
      <c r="Q1043" s="189"/>
    </row>
    <row r="1044" spans="1:17" ht="13.5" customHeight="1">
      <c r="A1044" s="1147"/>
      <c r="B1044" s="1147"/>
      <c r="C1044" s="1147"/>
      <c r="D1044" s="1147"/>
      <c r="E1044" s="1147"/>
      <c r="F1044" s="1147"/>
      <c r="G1044" s="189"/>
      <c r="H1044" s="189"/>
      <c r="I1044" s="189"/>
      <c r="L1044" s="189"/>
      <c r="M1044" s="189"/>
      <c r="N1044" s="189"/>
      <c r="O1044" s="189"/>
      <c r="P1044" s="189"/>
      <c r="Q1044" s="189"/>
    </row>
    <row r="1045" spans="1:17" ht="13.5" customHeight="1">
      <c r="A1045" s="1147"/>
      <c r="B1045" s="1147"/>
      <c r="C1045" s="1147"/>
      <c r="D1045" s="1147"/>
      <c r="E1045" s="1147"/>
      <c r="F1045" s="1147"/>
      <c r="G1045" s="189"/>
      <c r="H1045" s="189"/>
      <c r="I1045" s="189"/>
      <c r="L1045" s="189"/>
      <c r="M1045" s="189"/>
      <c r="N1045" s="189"/>
      <c r="O1045" s="189"/>
      <c r="P1045" s="189"/>
      <c r="Q1045" s="189"/>
    </row>
    <row r="1046" spans="1:17" ht="13.5" customHeight="1">
      <c r="A1046" s="1147"/>
      <c r="B1046" s="1147"/>
      <c r="C1046" s="1147"/>
      <c r="D1046" s="1147"/>
      <c r="E1046" s="1147"/>
      <c r="F1046" s="1147"/>
      <c r="G1046" s="189"/>
      <c r="H1046" s="189"/>
      <c r="I1046" s="189"/>
      <c r="L1046" s="189"/>
      <c r="M1046" s="189"/>
      <c r="N1046" s="189"/>
      <c r="O1046" s="189"/>
      <c r="P1046" s="189"/>
      <c r="Q1046" s="189"/>
    </row>
    <row r="1047" spans="1:17" ht="13.5" customHeight="1">
      <c r="A1047" s="1147"/>
      <c r="B1047" s="1147"/>
      <c r="C1047" s="1147"/>
      <c r="D1047" s="1147"/>
      <c r="E1047" s="1147"/>
      <c r="F1047" s="1147"/>
      <c r="G1047" s="189"/>
      <c r="H1047" s="189"/>
      <c r="I1047" s="189"/>
      <c r="L1047" s="189"/>
      <c r="M1047" s="189"/>
      <c r="N1047" s="189"/>
      <c r="O1047" s="189"/>
      <c r="P1047" s="189"/>
      <c r="Q1047" s="189"/>
    </row>
    <row r="1048" spans="1:17" ht="13.5" customHeight="1">
      <c r="A1048" s="1147"/>
      <c r="B1048" s="1147"/>
      <c r="C1048" s="1147"/>
      <c r="D1048" s="1147"/>
      <c r="E1048" s="1147"/>
      <c r="F1048" s="1147"/>
      <c r="G1048" s="189"/>
      <c r="H1048" s="189"/>
      <c r="I1048" s="189"/>
      <c r="L1048" s="189"/>
      <c r="M1048" s="189"/>
      <c r="N1048" s="189"/>
      <c r="O1048" s="189"/>
      <c r="P1048" s="189"/>
      <c r="Q1048" s="189"/>
    </row>
    <row r="1049" spans="1:17" ht="13.5" customHeight="1">
      <c r="A1049" s="1147"/>
      <c r="B1049" s="1147"/>
      <c r="C1049" s="1147"/>
      <c r="D1049" s="1147"/>
      <c r="E1049" s="1147"/>
      <c r="F1049" s="1147"/>
      <c r="G1049" s="189"/>
      <c r="H1049" s="189"/>
      <c r="I1049" s="189"/>
      <c r="L1049" s="189"/>
      <c r="M1049" s="189"/>
      <c r="N1049" s="189"/>
      <c r="O1049" s="189"/>
      <c r="P1049" s="189"/>
      <c r="Q1049" s="189"/>
    </row>
    <row r="1050" spans="1:17" ht="13.5" customHeight="1">
      <c r="A1050" s="1147"/>
      <c r="B1050" s="1147"/>
      <c r="C1050" s="1147"/>
      <c r="D1050" s="1147"/>
      <c r="E1050" s="1147"/>
      <c r="F1050" s="1147"/>
      <c r="G1050" s="189"/>
      <c r="H1050" s="189"/>
      <c r="I1050" s="189"/>
      <c r="L1050" s="189"/>
      <c r="M1050" s="189"/>
      <c r="N1050" s="189"/>
      <c r="O1050" s="189"/>
      <c r="P1050" s="189"/>
      <c r="Q1050" s="189"/>
    </row>
    <row r="1051" spans="1:17" ht="13.5" customHeight="1">
      <c r="A1051" s="1147"/>
      <c r="B1051" s="1147"/>
      <c r="C1051" s="1147"/>
      <c r="D1051" s="1147"/>
      <c r="E1051" s="1147"/>
      <c r="F1051" s="1147"/>
      <c r="G1051" s="189"/>
      <c r="H1051" s="189"/>
      <c r="I1051" s="189"/>
      <c r="L1051" s="189"/>
      <c r="M1051" s="189"/>
      <c r="N1051" s="189"/>
      <c r="O1051" s="189"/>
      <c r="P1051" s="189"/>
      <c r="Q1051" s="189"/>
    </row>
    <row r="1052" spans="1:17" ht="13.5" customHeight="1">
      <c r="A1052" s="1147"/>
      <c r="B1052" s="1147"/>
      <c r="C1052" s="1147"/>
      <c r="D1052" s="1147"/>
      <c r="E1052" s="1147"/>
      <c r="F1052" s="1147"/>
      <c r="G1052" s="189"/>
      <c r="H1052" s="189"/>
      <c r="I1052" s="189"/>
      <c r="L1052" s="189"/>
      <c r="M1052" s="189"/>
      <c r="N1052" s="189"/>
      <c r="O1052" s="189"/>
      <c r="P1052" s="189"/>
      <c r="Q1052" s="189"/>
    </row>
    <row r="1053" spans="1:17" ht="13.5" customHeight="1">
      <c r="A1053" s="1147"/>
      <c r="B1053" s="1147"/>
      <c r="C1053" s="1147"/>
      <c r="D1053" s="1147"/>
      <c r="E1053" s="1147"/>
      <c r="F1053" s="1147"/>
      <c r="G1053" s="189"/>
      <c r="H1053" s="189"/>
      <c r="I1053" s="189"/>
      <c r="L1053" s="189"/>
      <c r="M1053" s="189"/>
      <c r="N1053" s="189"/>
      <c r="O1053" s="189"/>
      <c r="P1053" s="189"/>
      <c r="Q1053" s="189"/>
    </row>
    <row r="1054" spans="1:17" ht="13.5" customHeight="1">
      <c r="A1054" s="1147"/>
      <c r="B1054" s="1147"/>
      <c r="C1054" s="1147"/>
      <c r="D1054" s="1147"/>
      <c r="E1054" s="1147"/>
      <c r="F1054" s="1147"/>
      <c r="G1054" s="189"/>
      <c r="H1054" s="189"/>
      <c r="I1054" s="189"/>
      <c r="L1054" s="189"/>
      <c r="M1054" s="189"/>
      <c r="N1054" s="189"/>
      <c r="O1054" s="189"/>
      <c r="P1054" s="189"/>
      <c r="Q1054" s="189"/>
    </row>
    <row r="1055" spans="1:17" ht="13.5" customHeight="1">
      <c r="A1055" s="1147"/>
      <c r="B1055" s="1147"/>
      <c r="C1055" s="1147"/>
      <c r="D1055" s="1147"/>
      <c r="E1055" s="1147"/>
      <c r="F1055" s="1147"/>
      <c r="G1055" s="189"/>
      <c r="H1055" s="189"/>
      <c r="I1055" s="189"/>
      <c r="L1055" s="189"/>
      <c r="M1055" s="189"/>
      <c r="N1055" s="189"/>
      <c r="O1055" s="189"/>
      <c r="P1055" s="189"/>
      <c r="Q1055" s="189"/>
    </row>
    <row r="1056" spans="1:17" ht="13.5" customHeight="1">
      <c r="A1056" s="1147"/>
      <c r="B1056" s="1147"/>
      <c r="C1056" s="1147"/>
      <c r="D1056" s="1147"/>
      <c r="E1056" s="1147"/>
      <c r="F1056" s="1147"/>
      <c r="G1056" s="189"/>
      <c r="H1056" s="189"/>
      <c r="I1056" s="189"/>
      <c r="L1056" s="189"/>
      <c r="M1056" s="189"/>
      <c r="N1056" s="189"/>
      <c r="O1056" s="189"/>
      <c r="P1056" s="189"/>
      <c r="Q1056" s="189"/>
    </row>
    <row r="1057" spans="1:17" ht="13.5" customHeight="1">
      <c r="A1057" s="1147"/>
      <c r="B1057" s="1147"/>
      <c r="C1057" s="1147"/>
      <c r="D1057" s="1147"/>
      <c r="E1057" s="1147"/>
      <c r="F1057" s="1147"/>
      <c r="G1057" s="189"/>
      <c r="H1057" s="189"/>
      <c r="I1057" s="189"/>
      <c r="L1057" s="189"/>
      <c r="M1057" s="189"/>
      <c r="N1057" s="189"/>
      <c r="O1057" s="189"/>
      <c r="P1057" s="189"/>
      <c r="Q1057" s="189"/>
    </row>
    <row r="1058" spans="1:17" ht="13.5" customHeight="1">
      <c r="A1058" s="1147"/>
      <c r="B1058" s="1147"/>
      <c r="C1058" s="1147"/>
      <c r="D1058" s="1147"/>
      <c r="E1058" s="1147"/>
      <c r="F1058" s="1147"/>
      <c r="G1058" s="189"/>
      <c r="H1058" s="189"/>
      <c r="I1058" s="189"/>
      <c r="L1058" s="189"/>
      <c r="M1058" s="189"/>
      <c r="N1058" s="189"/>
      <c r="O1058" s="189"/>
      <c r="P1058" s="189"/>
      <c r="Q1058" s="189"/>
    </row>
    <row r="1059" spans="1:17" ht="13.5" customHeight="1">
      <c r="A1059" s="1147"/>
      <c r="B1059" s="1147"/>
      <c r="C1059" s="1147"/>
      <c r="D1059" s="1147"/>
      <c r="E1059" s="1147"/>
      <c r="F1059" s="1147"/>
      <c r="G1059" s="189"/>
      <c r="H1059" s="189"/>
      <c r="I1059" s="189"/>
      <c r="L1059" s="189"/>
      <c r="M1059" s="189"/>
      <c r="N1059" s="189"/>
      <c r="O1059" s="189"/>
      <c r="P1059" s="189"/>
      <c r="Q1059" s="189"/>
    </row>
    <row r="1060" spans="1:17" ht="13.5" customHeight="1">
      <c r="A1060" s="1147"/>
      <c r="B1060" s="1147"/>
      <c r="C1060" s="1147"/>
      <c r="D1060" s="1147"/>
      <c r="E1060" s="1147"/>
      <c r="F1060" s="1147"/>
      <c r="G1060" s="189"/>
      <c r="H1060" s="189"/>
      <c r="I1060" s="189"/>
      <c r="L1060" s="189"/>
      <c r="M1060" s="189"/>
      <c r="N1060" s="189"/>
      <c r="O1060" s="189"/>
      <c r="P1060" s="189"/>
      <c r="Q1060" s="189"/>
    </row>
    <row r="1061" spans="1:17" ht="13.5" customHeight="1">
      <c r="A1061" s="1147"/>
      <c r="B1061" s="1147"/>
      <c r="C1061" s="1147"/>
      <c r="D1061" s="1147"/>
      <c r="E1061" s="1147"/>
      <c r="F1061" s="1147"/>
      <c r="G1061" s="189"/>
      <c r="H1061" s="189"/>
      <c r="I1061" s="189"/>
      <c r="L1061" s="189"/>
      <c r="M1061" s="189"/>
      <c r="N1061" s="189"/>
      <c r="O1061" s="189"/>
      <c r="P1061" s="189"/>
      <c r="Q1061" s="189"/>
    </row>
    <row r="1062" spans="1:17" ht="13.5" customHeight="1">
      <c r="A1062" s="1147"/>
      <c r="B1062" s="1147"/>
      <c r="C1062" s="1147"/>
      <c r="D1062" s="1147"/>
      <c r="E1062" s="1147"/>
      <c r="F1062" s="1147"/>
      <c r="G1062" s="189"/>
      <c r="H1062" s="189"/>
      <c r="I1062" s="189"/>
      <c r="L1062" s="189"/>
      <c r="M1062" s="189"/>
      <c r="N1062" s="189"/>
      <c r="O1062" s="189"/>
      <c r="P1062" s="189"/>
      <c r="Q1062" s="189"/>
    </row>
    <row r="1063" spans="1:17" ht="13.5" customHeight="1">
      <c r="A1063" s="1147"/>
      <c r="B1063" s="1147"/>
      <c r="C1063" s="1147"/>
      <c r="D1063" s="1147"/>
      <c r="E1063" s="1147"/>
      <c r="F1063" s="1147"/>
      <c r="G1063" s="189"/>
      <c r="H1063" s="189"/>
      <c r="I1063" s="189"/>
      <c r="L1063" s="189"/>
      <c r="M1063" s="189"/>
      <c r="N1063" s="189"/>
      <c r="O1063" s="189"/>
      <c r="P1063" s="189"/>
      <c r="Q1063" s="189"/>
    </row>
    <row r="1064" spans="1:17" ht="13.5" customHeight="1">
      <c r="A1064" s="1147"/>
      <c r="B1064" s="1147"/>
      <c r="C1064" s="1147"/>
      <c r="D1064" s="1147"/>
      <c r="E1064" s="1147"/>
      <c r="F1064" s="1147"/>
      <c r="G1064" s="189"/>
      <c r="H1064" s="189"/>
      <c r="I1064" s="189"/>
      <c r="L1064" s="189"/>
      <c r="M1064" s="189"/>
      <c r="N1064" s="189"/>
      <c r="O1064" s="189"/>
      <c r="P1064" s="189"/>
      <c r="Q1064" s="189"/>
    </row>
    <row r="1065" spans="1:17" ht="13.5" customHeight="1">
      <c r="A1065" s="1147"/>
      <c r="B1065" s="1147"/>
      <c r="C1065" s="1147"/>
      <c r="D1065" s="1147"/>
      <c r="E1065" s="1147"/>
      <c r="F1065" s="1147"/>
      <c r="G1065" s="189"/>
      <c r="H1065" s="189"/>
      <c r="I1065" s="189"/>
      <c r="L1065" s="189"/>
      <c r="M1065" s="189"/>
      <c r="N1065" s="189"/>
      <c r="O1065" s="189"/>
      <c r="P1065" s="189"/>
      <c r="Q1065" s="189"/>
    </row>
    <row r="1066" spans="1:17" ht="13.5" customHeight="1">
      <c r="A1066" s="1147"/>
      <c r="B1066" s="1147"/>
      <c r="C1066" s="1147"/>
      <c r="D1066" s="1147"/>
      <c r="E1066" s="1147"/>
      <c r="F1066" s="1147"/>
      <c r="G1066" s="189"/>
      <c r="H1066" s="189"/>
      <c r="I1066" s="189"/>
      <c r="L1066" s="189"/>
      <c r="M1066" s="189"/>
      <c r="N1066" s="189"/>
      <c r="O1066" s="189"/>
      <c r="P1066" s="189"/>
      <c r="Q1066" s="189"/>
    </row>
    <row r="1067" spans="1:17" ht="13.5" customHeight="1">
      <c r="A1067" s="1147"/>
      <c r="B1067" s="1147"/>
      <c r="C1067" s="1147"/>
      <c r="D1067" s="1147"/>
      <c r="E1067" s="1147"/>
      <c r="F1067" s="1147"/>
      <c r="G1067" s="189"/>
      <c r="H1067" s="189"/>
      <c r="I1067" s="189"/>
      <c r="L1067" s="189"/>
      <c r="M1067" s="189"/>
      <c r="N1067" s="189"/>
      <c r="O1067" s="189"/>
      <c r="P1067" s="189"/>
      <c r="Q1067" s="189"/>
    </row>
    <row r="1068" spans="1:17" ht="13.5" customHeight="1">
      <c r="A1068" s="1147"/>
      <c r="B1068" s="1147"/>
      <c r="C1068" s="1147"/>
      <c r="D1068" s="1147"/>
      <c r="E1068" s="1147"/>
      <c r="F1068" s="1147"/>
      <c r="G1068" s="189"/>
      <c r="H1068" s="189"/>
      <c r="I1068" s="189"/>
      <c r="L1068" s="189"/>
      <c r="M1068" s="189"/>
      <c r="N1068" s="189"/>
      <c r="O1068" s="189"/>
      <c r="P1068" s="189"/>
      <c r="Q1068" s="189"/>
    </row>
    <row r="1069" spans="1:17" ht="13.5" customHeight="1">
      <c r="A1069" s="1147"/>
      <c r="B1069" s="1147"/>
      <c r="C1069" s="1147"/>
      <c r="D1069" s="1147"/>
      <c r="E1069" s="1147"/>
      <c r="F1069" s="1147"/>
      <c r="G1069" s="189"/>
      <c r="H1069" s="189"/>
      <c r="I1069" s="189"/>
      <c r="L1069" s="189"/>
      <c r="M1069" s="189"/>
      <c r="N1069" s="189"/>
      <c r="O1069" s="189"/>
      <c r="P1069" s="189"/>
      <c r="Q1069" s="189"/>
    </row>
    <row r="1070" spans="1:17" ht="13.5" customHeight="1">
      <c r="A1070" s="1147"/>
      <c r="B1070" s="1147"/>
      <c r="C1070" s="1147"/>
      <c r="D1070" s="1147"/>
      <c r="E1070" s="1147"/>
      <c r="F1070" s="1147"/>
      <c r="G1070" s="189"/>
      <c r="H1070" s="189"/>
      <c r="I1070" s="189"/>
      <c r="L1070" s="189"/>
      <c r="M1070" s="189"/>
      <c r="N1070" s="189"/>
      <c r="O1070" s="189"/>
      <c r="P1070" s="189"/>
      <c r="Q1070" s="189"/>
    </row>
    <row r="1071" spans="1:17" ht="13.5" customHeight="1">
      <c r="A1071" s="1147"/>
      <c r="B1071" s="1147"/>
      <c r="C1071" s="1147"/>
      <c r="D1071" s="1147"/>
      <c r="E1071" s="1147"/>
      <c r="F1071" s="1147"/>
      <c r="G1071" s="189"/>
      <c r="H1071" s="189"/>
      <c r="I1071" s="189"/>
      <c r="L1071" s="189"/>
      <c r="M1071" s="189"/>
      <c r="N1071" s="189"/>
      <c r="O1071" s="189"/>
      <c r="P1071" s="189"/>
      <c r="Q1071" s="189"/>
    </row>
    <row r="1072" spans="1:17" ht="13.5" customHeight="1">
      <c r="A1072" s="1147"/>
      <c r="B1072" s="1147"/>
      <c r="C1072" s="1147"/>
      <c r="D1072" s="1147"/>
      <c r="E1072" s="1147"/>
      <c r="F1072" s="1147"/>
      <c r="G1072" s="189"/>
      <c r="H1072" s="189"/>
      <c r="I1072" s="189"/>
      <c r="L1072" s="189"/>
      <c r="M1072" s="189"/>
      <c r="N1072" s="189"/>
      <c r="O1072" s="189"/>
      <c r="P1072" s="189"/>
      <c r="Q1072" s="189"/>
    </row>
    <row r="1073" spans="1:17" ht="13.5" customHeight="1">
      <c r="A1073" s="1147"/>
      <c r="B1073" s="1147"/>
      <c r="C1073" s="1147"/>
      <c r="D1073" s="1147"/>
      <c r="E1073" s="1147"/>
      <c r="F1073" s="1147"/>
      <c r="G1073" s="189"/>
      <c r="H1073" s="189"/>
      <c r="I1073" s="189"/>
      <c r="L1073" s="189"/>
      <c r="M1073" s="189"/>
      <c r="N1073" s="189"/>
      <c r="O1073" s="189"/>
      <c r="P1073" s="189"/>
      <c r="Q1073" s="189"/>
    </row>
    <row r="1074" spans="1:17" ht="13.5" customHeight="1">
      <c r="A1074" s="1147"/>
      <c r="B1074" s="1147"/>
      <c r="C1074" s="1147"/>
      <c r="D1074" s="1147"/>
      <c r="E1074" s="1147"/>
      <c r="F1074" s="1147"/>
      <c r="G1074" s="189"/>
      <c r="H1074" s="189"/>
      <c r="I1074" s="189"/>
      <c r="L1074" s="189"/>
      <c r="M1074" s="189"/>
      <c r="N1074" s="189"/>
      <c r="O1074" s="189"/>
      <c r="P1074" s="189"/>
      <c r="Q1074" s="189"/>
    </row>
    <row r="1075" spans="1:17" ht="13.5" customHeight="1">
      <c r="A1075" s="1147"/>
      <c r="B1075" s="1147"/>
      <c r="C1075" s="1147"/>
      <c r="D1075" s="1147"/>
      <c r="E1075" s="1147"/>
      <c r="F1075" s="1147"/>
      <c r="G1075" s="189"/>
      <c r="H1075" s="189"/>
      <c r="I1075" s="189"/>
      <c r="L1075" s="189"/>
      <c r="M1075" s="189"/>
      <c r="N1075" s="189"/>
      <c r="O1075" s="189"/>
      <c r="P1075" s="189"/>
      <c r="Q1075" s="189"/>
    </row>
    <row r="1076" spans="1:17" ht="13.5" customHeight="1">
      <c r="A1076" s="1147"/>
      <c r="B1076" s="1147"/>
      <c r="C1076" s="1147"/>
      <c r="D1076" s="1147"/>
      <c r="E1076" s="1147"/>
      <c r="F1076" s="1147"/>
      <c r="G1076" s="189"/>
      <c r="H1076" s="189"/>
      <c r="I1076" s="189"/>
      <c r="L1076" s="189"/>
      <c r="M1076" s="189"/>
      <c r="N1076" s="189"/>
      <c r="O1076" s="189"/>
      <c r="P1076" s="189"/>
      <c r="Q1076" s="189"/>
    </row>
    <row r="1077" spans="1:17" ht="13.5" customHeight="1">
      <c r="A1077" s="1147"/>
      <c r="B1077" s="1147"/>
      <c r="C1077" s="1147"/>
      <c r="D1077" s="1147"/>
      <c r="E1077" s="1147"/>
      <c r="F1077" s="1147"/>
      <c r="G1077" s="189"/>
      <c r="H1077" s="189"/>
      <c r="I1077" s="189"/>
      <c r="L1077" s="189"/>
      <c r="M1077" s="189"/>
      <c r="N1077" s="189"/>
      <c r="O1077" s="189"/>
      <c r="P1077" s="189"/>
      <c r="Q1077" s="189"/>
    </row>
    <row r="1078" spans="1:17" ht="13.5" customHeight="1">
      <c r="A1078" s="1147"/>
      <c r="B1078" s="1147"/>
      <c r="C1078" s="1147"/>
      <c r="D1078" s="1147"/>
      <c r="E1078" s="1147"/>
      <c r="F1078" s="1147"/>
      <c r="G1078" s="189"/>
      <c r="H1078" s="189"/>
      <c r="I1078" s="189"/>
      <c r="L1078" s="189"/>
      <c r="M1078" s="189"/>
      <c r="N1078" s="189"/>
      <c r="O1078" s="189"/>
      <c r="P1078" s="189"/>
      <c r="Q1078" s="189"/>
    </row>
    <row r="1079" spans="1:17" ht="13.5" customHeight="1">
      <c r="A1079" s="1147"/>
      <c r="B1079" s="1147"/>
      <c r="C1079" s="1147"/>
      <c r="D1079" s="1147"/>
      <c r="E1079" s="1147"/>
      <c r="F1079" s="1147"/>
      <c r="G1079" s="189"/>
      <c r="H1079" s="189"/>
      <c r="I1079" s="189"/>
      <c r="L1079" s="189"/>
      <c r="M1079" s="189"/>
      <c r="N1079" s="189"/>
      <c r="O1079" s="189"/>
      <c r="P1079" s="189"/>
      <c r="Q1079" s="189"/>
    </row>
    <row r="1080" spans="1:17" ht="13.5" customHeight="1">
      <c r="A1080" s="1147"/>
      <c r="B1080" s="1147"/>
      <c r="C1080" s="1147"/>
      <c r="D1080" s="1147"/>
      <c r="E1080" s="1147"/>
      <c r="F1080" s="1147"/>
      <c r="G1080" s="189"/>
      <c r="H1080" s="189"/>
      <c r="I1080" s="189"/>
      <c r="L1080" s="189"/>
      <c r="M1080" s="189"/>
      <c r="N1080" s="189"/>
      <c r="O1080" s="189"/>
      <c r="P1080" s="189"/>
      <c r="Q1080" s="189"/>
    </row>
    <row r="1081" spans="1:17" ht="13.5" customHeight="1">
      <c r="A1081" s="1147"/>
      <c r="B1081" s="1147"/>
      <c r="C1081" s="1147"/>
      <c r="D1081" s="1147"/>
      <c r="E1081" s="1147"/>
      <c r="F1081" s="1147"/>
      <c r="G1081" s="189"/>
      <c r="H1081" s="189"/>
      <c r="I1081" s="189"/>
      <c r="L1081" s="189"/>
      <c r="M1081" s="189"/>
      <c r="N1081" s="189"/>
      <c r="O1081" s="189"/>
      <c r="P1081" s="189"/>
      <c r="Q1081" s="189"/>
    </row>
    <row r="1082" spans="1:17" ht="13.5" customHeight="1">
      <c r="A1082" s="1147"/>
      <c r="B1082" s="1147"/>
      <c r="C1082" s="1147"/>
      <c r="D1082" s="1147"/>
      <c r="E1082" s="1147"/>
      <c r="F1082" s="1147"/>
      <c r="G1082" s="189"/>
      <c r="H1082" s="189"/>
      <c r="I1082" s="189"/>
      <c r="L1082" s="189"/>
      <c r="M1082" s="189"/>
      <c r="N1082" s="189"/>
      <c r="O1082" s="189"/>
      <c r="P1082" s="189"/>
      <c r="Q1082" s="189"/>
    </row>
    <row r="1083" spans="1:17" ht="13.5" customHeight="1">
      <c r="A1083" s="1147"/>
      <c r="B1083" s="1147"/>
      <c r="C1083" s="1147"/>
      <c r="D1083" s="1147"/>
      <c r="E1083" s="1147"/>
      <c r="F1083" s="1147"/>
      <c r="G1083" s="189"/>
      <c r="H1083" s="189"/>
      <c r="I1083" s="189"/>
      <c r="L1083" s="189"/>
      <c r="M1083" s="189"/>
      <c r="N1083" s="189"/>
      <c r="O1083" s="189"/>
      <c r="P1083" s="189"/>
      <c r="Q1083" s="189"/>
    </row>
    <row r="1084" spans="1:17" ht="13.5" customHeight="1">
      <c r="A1084" s="1147"/>
      <c r="B1084" s="1147"/>
      <c r="C1084" s="1147"/>
      <c r="D1084" s="1147"/>
      <c r="E1084" s="1147"/>
      <c r="F1084" s="1147"/>
      <c r="G1084" s="189"/>
      <c r="H1084" s="189"/>
      <c r="I1084" s="189"/>
      <c r="L1084" s="189"/>
      <c r="M1084" s="189"/>
      <c r="N1084" s="189"/>
      <c r="O1084" s="189"/>
      <c r="P1084" s="189"/>
      <c r="Q1084" s="189"/>
    </row>
    <row r="1085" spans="1:17" ht="13.5" customHeight="1">
      <c r="A1085" s="1147"/>
      <c r="B1085" s="1147"/>
      <c r="C1085" s="1147"/>
      <c r="D1085" s="1147"/>
      <c r="E1085" s="1147"/>
      <c r="F1085" s="1147"/>
      <c r="G1085" s="189"/>
      <c r="H1085" s="189"/>
      <c r="I1085" s="189"/>
      <c r="L1085" s="189"/>
      <c r="M1085" s="189"/>
      <c r="N1085" s="189"/>
      <c r="O1085" s="189"/>
      <c r="P1085" s="189"/>
      <c r="Q1085" s="189"/>
    </row>
    <row r="1086" spans="1:17" ht="13.5" customHeight="1">
      <c r="A1086" s="1147"/>
      <c r="B1086" s="1147"/>
      <c r="C1086" s="1147"/>
      <c r="D1086" s="1147"/>
      <c r="E1086" s="1147"/>
      <c r="F1086" s="1147"/>
      <c r="G1086" s="189"/>
      <c r="H1086" s="189"/>
      <c r="I1086" s="189"/>
      <c r="L1086" s="189"/>
      <c r="M1086" s="189"/>
      <c r="N1086" s="189"/>
      <c r="O1086" s="189"/>
      <c r="P1086" s="189"/>
      <c r="Q1086" s="189"/>
    </row>
    <row r="1087" spans="1:17" ht="13.5" customHeight="1">
      <c r="A1087" s="1147"/>
      <c r="B1087" s="1147"/>
      <c r="C1087" s="1147"/>
      <c r="D1087" s="1147"/>
      <c r="E1087" s="1147"/>
      <c r="F1087" s="1147"/>
      <c r="G1087" s="189"/>
      <c r="H1087" s="189"/>
      <c r="I1087" s="189"/>
      <c r="L1087" s="189"/>
      <c r="M1087" s="189"/>
      <c r="N1087" s="189"/>
      <c r="O1087" s="189"/>
      <c r="P1087" s="189"/>
      <c r="Q1087" s="189"/>
    </row>
    <row r="1088" spans="1:17" ht="13.5" customHeight="1">
      <c r="A1088" s="1147"/>
      <c r="B1088" s="1147"/>
      <c r="C1088" s="1147"/>
      <c r="D1088" s="1147"/>
      <c r="E1088" s="1147"/>
      <c r="F1088" s="1147"/>
      <c r="G1088" s="189"/>
      <c r="H1088" s="189"/>
      <c r="I1088" s="189"/>
      <c r="L1088" s="189"/>
      <c r="M1088" s="189"/>
      <c r="N1088" s="189"/>
      <c r="O1088" s="189"/>
      <c r="P1088" s="189"/>
      <c r="Q1088" s="189"/>
    </row>
    <row r="1089" spans="1:17" ht="13.5" customHeight="1">
      <c r="A1089" s="1147"/>
      <c r="B1089" s="1147"/>
      <c r="C1089" s="1147"/>
      <c r="D1089" s="1147"/>
      <c r="E1089" s="1147"/>
      <c r="F1089" s="1147"/>
      <c r="G1089" s="189"/>
      <c r="H1089" s="189"/>
      <c r="I1089" s="189"/>
      <c r="L1089" s="189"/>
      <c r="M1089" s="189"/>
      <c r="N1089" s="189"/>
      <c r="O1089" s="189"/>
      <c r="P1089" s="189"/>
      <c r="Q1089" s="189"/>
    </row>
    <row r="1090" spans="1:17" ht="13.5" customHeight="1">
      <c r="A1090" s="1147"/>
      <c r="B1090" s="1147"/>
      <c r="C1090" s="1147"/>
      <c r="D1090" s="1147"/>
      <c r="E1090" s="1147"/>
      <c r="F1090" s="1147"/>
      <c r="G1090" s="189"/>
      <c r="H1090" s="189"/>
      <c r="I1090" s="189"/>
      <c r="L1090" s="189"/>
      <c r="M1090" s="189"/>
      <c r="N1090" s="189"/>
      <c r="O1090" s="189"/>
      <c r="P1090" s="189"/>
      <c r="Q1090" s="189"/>
    </row>
    <row r="1091" spans="1:17" ht="13.5" customHeight="1">
      <c r="A1091" s="1147"/>
      <c r="B1091" s="1147"/>
      <c r="C1091" s="1147"/>
      <c r="D1091" s="1147"/>
      <c r="E1091" s="1147"/>
      <c r="F1091" s="1147"/>
      <c r="G1091" s="189"/>
      <c r="H1091" s="189"/>
      <c r="I1091" s="189"/>
      <c r="L1091" s="189"/>
      <c r="M1091" s="189"/>
      <c r="N1091" s="189"/>
      <c r="O1091" s="189"/>
      <c r="P1091" s="189"/>
      <c r="Q1091" s="189"/>
    </row>
    <row r="1092" spans="1:17" ht="13.5" customHeight="1">
      <c r="A1092" s="1147"/>
      <c r="B1092" s="1147"/>
      <c r="C1092" s="1147"/>
      <c r="D1092" s="1147"/>
      <c r="E1092" s="1147"/>
      <c r="F1092" s="1147"/>
      <c r="G1092" s="189"/>
      <c r="H1092" s="189"/>
      <c r="I1092" s="189"/>
      <c r="L1092" s="189"/>
      <c r="M1092" s="189"/>
      <c r="N1092" s="189"/>
      <c r="O1092" s="189"/>
      <c r="P1092" s="189"/>
      <c r="Q1092" s="189"/>
    </row>
    <row r="1093" spans="1:17" ht="13.5" customHeight="1">
      <c r="A1093" s="1147"/>
      <c r="B1093" s="1147"/>
      <c r="C1093" s="1147"/>
      <c r="D1093" s="1147"/>
      <c r="E1093" s="1147"/>
      <c r="F1093" s="1147"/>
      <c r="G1093" s="189"/>
      <c r="H1093" s="189"/>
      <c r="I1093" s="189"/>
      <c r="L1093" s="189"/>
      <c r="M1093" s="189"/>
      <c r="N1093" s="189"/>
      <c r="O1093" s="189"/>
      <c r="P1093" s="189"/>
      <c r="Q1093" s="189"/>
    </row>
    <row r="1094" spans="1:17" ht="13.5" customHeight="1">
      <c r="A1094" s="1147"/>
      <c r="B1094" s="1147"/>
      <c r="C1094" s="1147"/>
      <c r="D1094" s="1147"/>
      <c r="E1094" s="1147"/>
      <c r="F1094" s="1147"/>
      <c r="G1094" s="189"/>
      <c r="H1094" s="189"/>
      <c r="I1094" s="189"/>
      <c r="L1094" s="189"/>
      <c r="M1094" s="189"/>
      <c r="N1094" s="189"/>
      <c r="O1094" s="189"/>
      <c r="P1094" s="189"/>
      <c r="Q1094" s="189"/>
    </row>
    <row r="1095" spans="1:17" ht="13.5" customHeight="1">
      <c r="A1095" s="1147"/>
      <c r="B1095" s="1147"/>
      <c r="C1095" s="1147"/>
      <c r="D1095" s="1147"/>
      <c r="E1095" s="1147"/>
      <c r="F1095" s="1147"/>
      <c r="G1095" s="189"/>
      <c r="H1095" s="189"/>
      <c r="I1095" s="189"/>
      <c r="L1095" s="189"/>
      <c r="M1095" s="189"/>
      <c r="N1095" s="189"/>
      <c r="O1095" s="189"/>
      <c r="P1095" s="189"/>
      <c r="Q1095" s="189"/>
    </row>
    <row r="1096" spans="1:17" ht="13.5" customHeight="1">
      <c r="A1096" s="1147"/>
      <c r="B1096" s="1147"/>
      <c r="C1096" s="1147"/>
      <c r="D1096" s="1147"/>
      <c r="E1096" s="1147"/>
      <c r="F1096" s="1147"/>
      <c r="G1096" s="189"/>
      <c r="H1096" s="189"/>
      <c r="I1096" s="189"/>
      <c r="L1096" s="189"/>
      <c r="M1096" s="189"/>
      <c r="N1096" s="189"/>
      <c r="O1096" s="189"/>
      <c r="P1096" s="189"/>
      <c r="Q1096" s="189"/>
    </row>
    <row r="1097" spans="1:17" ht="13.5" customHeight="1">
      <c r="A1097" s="1147"/>
      <c r="B1097" s="1147"/>
      <c r="C1097" s="1147"/>
      <c r="D1097" s="1147"/>
      <c r="E1097" s="1147"/>
      <c r="F1097" s="1147"/>
      <c r="G1097" s="189"/>
      <c r="H1097" s="189"/>
      <c r="I1097" s="189"/>
      <c r="L1097" s="189"/>
      <c r="M1097" s="189"/>
      <c r="N1097" s="189"/>
      <c r="O1097" s="189"/>
      <c r="P1097" s="189"/>
      <c r="Q1097" s="189"/>
    </row>
    <row r="1098" spans="1:17" ht="13.5" customHeight="1">
      <c r="A1098" s="1147"/>
      <c r="B1098" s="1147"/>
      <c r="C1098" s="1147"/>
      <c r="D1098" s="1147"/>
      <c r="E1098" s="1147"/>
      <c r="F1098" s="1147"/>
      <c r="G1098" s="189"/>
      <c r="H1098" s="189"/>
      <c r="I1098" s="189"/>
      <c r="L1098" s="189"/>
      <c r="M1098" s="189"/>
      <c r="N1098" s="189"/>
      <c r="O1098" s="189"/>
      <c r="P1098" s="189"/>
      <c r="Q1098" s="189"/>
    </row>
    <row r="1099" spans="1:17" ht="13.5" customHeight="1">
      <c r="A1099" s="1147"/>
      <c r="B1099" s="1147"/>
      <c r="C1099" s="1147"/>
      <c r="D1099" s="1147"/>
      <c r="E1099" s="1147"/>
      <c r="F1099" s="1147"/>
      <c r="G1099" s="189"/>
      <c r="H1099" s="189"/>
      <c r="I1099" s="189"/>
      <c r="L1099" s="189"/>
      <c r="M1099" s="189"/>
      <c r="N1099" s="189"/>
      <c r="O1099" s="189"/>
      <c r="P1099" s="189"/>
      <c r="Q1099" s="189"/>
    </row>
    <row r="1100" spans="1:17" ht="13.5" customHeight="1">
      <c r="A1100" s="1147"/>
      <c r="B1100" s="1147"/>
      <c r="C1100" s="1147"/>
      <c r="D1100" s="1147"/>
      <c r="E1100" s="1147"/>
      <c r="F1100" s="1147"/>
      <c r="G1100" s="189"/>
      <c r="H1100" s="189"/>
      <c r="I1100" s="189"/>
      <c r="L1100" s="189"/>
      <c r="M1100" s="189"/>
      <c r="N1100" s="189"/>
      <c r="O1100" s="189"/>
      <c r="P1100" s="189"/>
      <c r="Q1100" s="189"/>
    </row>
    <row r="1101" spans="1:17" ht="13.5" customHeight="1">
      <c r="A1101" s="1147"/>
      <c r="B1101" s="1147"/>
      <c r="C1101" s="1147"/>
      <c r="D1101" s="1147"/>
      <c r="E1101" s="1147"/>
      <c r="F1101" s="1147"/>
      <c r="G1101" s="189"/>
      <c r="H1101" s="189"/>
      <c r="I1101" s="189"/>
      <c r="L1101" s="189"/>
      <c r="M1101" s="189"/>
      <c r="N1101" s="189"/>
      <c r="O1101" s="189"/>
      <c r="P1101" s="189"/>
      <c r="Q1101" s="189"/>
    </row>
    <row r="1102" spans="1:17" ht="13.5" customHeight="1">
      <c r="A1102" s="1147"/>
      <c r="B1102" s="1147"/>
      <c r="C1102" s="1147"/>
      <c r="D1102" s="1147"/>
      <c r="E1102" s="1147"/>
      <c r="F1102" s="1147"/>
      <c r="G1102" s="189"/>
      <c r="H1102" s="189"/>
      <c r="I1102" s="189"/>
      <c r="L1102" s="189"/>
      <c r="M1102" s="189"/>
      <c r="N1102" s="189"/>
      <c r="O1102" s="189"/>
      <c r="P1102" s="189"/>
      <c r="Q1102" s="189"/>
    </row>
    <row r="1103" spans="1:17" ht="13.5" customHeight="1">
      <c r="A1103" s="1147"/>
      <c r="B1103" s="1147"/>
      <c r="C1103" s="1147"/>
      <c r="D1103" s="1147"/>
      <c r="E1103" s="1147"/>
      <c r="F1103" s="1147"/>
      <c r="G1103" s="189"/>
      <c r="H1103" s="189"/>
      <c r="I1103" s="189"/>
      <c r="L1103" s="189"/>
      <c r="M1103" s="189"/>
      <c r="N1103" s="189"/>
      <c r="O1103" s="189"/>
      <c r="P1103" s="189"/>
      <c r="Q1103" s="189"/>
    </row>
    <row r="1104" spans="1:17" ht="13.5" customHeight="1">
      <c r="A1104" s="1147"/>
      <c r="B1104" s="1147"/>
      <c r="C1104" s="1147"/>
      <c r="D1104" s="1147"/>
      <c r="E1104" s="1147"/>
      <c r="F1104" s="1147"/>
      <c r="G1104" s="189"/>
      <c r="H1104" s="189"/>
      <c r="I1104" s="189"/>
      <c r="L1104" s="189"/>
      <c r="M1104" s="189"/>
      <c r="N1104" s="189"/>
      <c r="O1104" s="189"/>
      <c r="P1104" s="189"/>
      <c r="Q1104" s="189"/>
    </row>
    <row r="1105" spans="1:17" ht="13.5" customHeight="1">
      <c r="A1105" s="1147"/>
      <c r="B1105" s="1147"/>
      <c r="C1105" s="1147"/>
      <c r="D1105" s="1147"/>
      <c r="E1105" s="1147"/>
      <c r="F1105" s="1147"/>
      <c r="G1105" s="189"/>
      <c r="H1105" s="189"/>
      <c r="I1105" s="189"/>
      <c r="L1105" s="189"/>
      <c r="M1105" s="189"/>
      <c r="N1105" s="189"/>
      <c r="O1105" s="189"/>
      <c r="P1105" s="189"/>
      <c r="Q1105" s="189"/>
    </row>
    <row r="1106" spans="1:17" ht="13.5" customHeight="1">
      <c r="A1106" s="1147"/>
      <c r="B1106" s="1147"/>
      <c r="C1106" s="1147"/>
      <c r="D1106" s="1147"/>
      <c r="E1106" s="1147"/>
      <c r="F1106" s="1147"/>
      <c r="G1106" s="189"/>
      <c r="H1106" s="189"/>
      <c r="I1106" s="189"/>
      <c r="L1106" s="189"/>
      <c r="M1106" s="189"/>
      <c r="N1106" s="189"/>
      <c r="O1106" s="189"/>
      <c r="P1106" s="189"/>
      <c r="Q1106" s="189"/>
    </row>
    <row r="1107" spans="1:17" ht="13.5" customHeight="1">
      <c r="A1107" s="1147"/>
      <c r="B1107" s="1147"/>
      <c r="C1107" s="1147"/>
      <c r="D1107" s="1147"/>
      <c r="E1107" s="1147"/>
      <c r="F1107" s="1147"/>
      <c r="G1107" s="189"/>
      <c r="H1107" s="189"/>
      <c r="I1107" s="189"/>
      <c r="L1107" s="189"/>
      <c r="M1107" s="189"/>
      <c r="N1107" s="189"/>
      <c r="O1107" s="189"/>
      <c r="P1107" s="189"/>
      <c r="Q1107" s="189"/>
    </row>
    <row r="1108" spans="1:17" ht="13.5" customHeight="1">
      <c r="A1108" s="1147"/>
      <c r="B1108" s="1147"/>
      <c r="C1108" s="1147"/>
      <c r="D1108" s="1147"/>
      <c r="E1108" s="1147"/>
      <c r="F1108" s="1147"/>
      <c r="G1108" s="189"/>
      <c r="H1108" s="189"/>
      <c r="I1108" s="189"/>
      <c r="L1108" s="189"/>
      <c r="M1108" s="189"/>
      <c r="N1108" s="189"/>
      <c r="O1108" s="189"/>
      <c r="P1108" s="189"/>
      <c r="Q1108" s="189"/>
    </row>
    <row r="1109" spans="1:17" ht="13.5" customHeight="1">
      <c r="A1109" s="1147"/>
      <c r="B1109" s="1147"/>
      <c r="C1109" s="1147"/>
      <c r="D1109" s="1147"/>
      <c r="E1109" s="1147"/>
      <c r="F1109" s="1147"/>
      <c r="G1109" s="189"/>
      <c r="H1109" s="189"/>
      <c r="I1109" s="189"/>
      <c r="L1109" s="189"/>
      <c r="M1109" s="189"/>
      <c r="N1109" s="189"/>
      <c r="O1109" s="189"/>
      <c r="P1109" s="189"/>
      <c r="Q1109" s="189"/>
    </row>
    <row r="1110" spans="1:17" ht="13.5" customHeight="1">
      <c r="A1110" s="1147"/>
      <c r="B1110" s="1147"/>
      <c r="C1110" s="1147"/>
      <c r="D1110" s="1147"/>
      <c r="E1110" s="1147"/>
      <c r="F1110" s="1147"/>
      <c r="G1110" s="189"/>
      <c r="H1110" s="189"/>
      <c r="I1110" s="189"/>
      <c r="L1110" s="189"/>
      <c r="M1110" s="189"/>
      <c r="N1110" s="189"/>
      <c r="O1110" s="189"/>
      <c r="P1110" s="189"/>
      <c r="Q1110" s="189"/>
    </row>
    <row r="1111" spans="1:17" ht="13.5" customHeight="1">
      <c r="A1111" s="1147"/>
      <c r="B1111" s="1147"/>
      <c r="C1111" s="1147"/>
      <c r="D1111" s="1147"/>
      <c r="E1111" s="1147"/>
      <c r="F1111" s="1147"/>
      <c r="G1111" s="189"/>
      <c r="H1111" s="189"/>
      <c r="I1111" s="189"/>
      <c r="L1111" s="189"/>
      <c r="M1111" s="189"/>
      <c r="N1111" s="189"/>
      <c r="O1111" s="189"/>
      <c r="P1111" s="189"/>
      <c r="Q1111" s="189"/>
    </row>
    <row r="1112" spans="1:17" ht="13.5" customHeight="1">
      <c r="A1112" s="1147"/>
      <c r="B1112" s="1147"/>
      <c r="C1112" s="1147"/>
      <c r="D1112" s="1147"/>
      <c r="E1112" s="1147"/>
      <c r="F1112" s="1147"/>
      <c r="G1112" s="189"/>
      <c r="H1112" s="189"/>
      <c r="I1112" s="189"/>
      <c r="L1112" s="189"/>
      <c r="M1112" s="189"/>
      <c r="N1112" s="189"/>
      <c r="O1112" s="189"/>
      <c r="P1112" s="189"/>
      <c r="Q1112" s="189"/>
    </row>
    <row r="1113" spans="1:17" ht="13.5" customHeight="1">
      <c r="A1113" s="1147"/>
      <c r="B1113" s="1147"/>
      <c r="C1113" s="1147"/>
      <c r="D1113" s="1147"/>
      <c r="E1113" s="1147"/>
      <c r="F1113" s="1147"/>
      <c r="G1113" s="189"/>
      <c r="H1113" s="189"/>
      <c r="I1113" s="189"/>
      <c r="L1113" s="189"/>
      <c r="M1113" s="189"/>
      <c r="N1113" s="189"/>
      <c r="O1113" s="189"/>
      <c r="P1113" s="189"/>
      <c r="Q1113" s="189"/>
    </row>
    <row r="1114" spans="1:17" ht="13.5" customHeight="1">
      <c r="A1114" s="1147"/>
      <c r="B1114" s="1147"/>
      <c r="C1114" s="1147"/>
      <c r="D1114" s="1147"/>
      <c r="E1114" s="1147"/>
      <c r="F1114" s="1147"/>
      <c r="G1114" s="189"/>
      <c r="H1114" s="189"/>
      <c r="I1114" s="189"/>
      <c r="L1114" s="189"/>
      <c r="M1114" s="189"/>
      <c r="N1114" s="189"/>
      <c r="O1114" s="189"/>
      <c r="P1114" s="189"/>
      <c r="Q1114" s="189"/>
    </row>
    <row r="1115" spans="1:17" ht="13.5" customHeight="1">
      <c r="A1115" s="1147"/>
      <c r="B1115" s="1147"/>
      <c r="C1115" s="1147"/>
      <c r="D1115" s="1147"/>
      <c r="E1115" s="1147"/>
      <c r="F1115" s="1147"/>
      <c r="G1115" s="189"/>
      <c r="H1115" s="189"/>
      <c r="I1115" s="189"/>
      <c r="L1115" s="189"/>
      <c r="M1115" s="189"/>
      <c r="N1115" s="189"/>
      <c r="O1115" s="189"/>
      <c r="P1115" s="189"/>
      <c r="Q1115" s="189"/>
    </row>
    <row r="1116" spans="1:17" ht="13.5" customHeight="1">
      <c r="A1116" s="1147"/>
      <c r="B1116" s="1147"/>
      <c r="C1116" s="1147"/>
      <c r="D1116" s="1147"/>
      <c r="E1116" s="1147"/>
      <c r="F1116" s="1147"/>
      <c r="G1116" s="189"/>
      <c r="H1116" s="189"/>
      <c r="I1116" s="189"/>
      <c r="L1116" s="189"/>
      <c r="M1116" s="189"/>
      <c r="N1116" s="189"/>
      <c r="O1116" s="189"/>
      <c r="P1116" s="189"/>
      <c r="Q1116" s="189"/>
    </row>
    <row r="1117" spans="1:17" ht="13.5" customHeight="1">
      <c r="A1117" s="1147"/>
      <c r="B1117" s="1147"/>
      <c r="C1117" s="1147"/>
      <c r="D1117" s="1147"/>
      <c r="E1117" s="1147"/>
      <c r="F1117" s="1147"/>
      <c r="G1117" s="189"/>
      <c r="H1117" s="189"/>
      <c r="I1117" s="189"/>
      <c r="L1117" s="189"/>
      <c r="M1117" s="189"/>
      <c r="N1117" s="189"/>
      <c r="O1117" s="189"/>
      <c r="P1117" s="189"/>
      <c r="Q1117" s="189"/>
    </row>
    <row r="1118" spans="1:17" ht="13.5" customHeight="1">
      <c r="A1118" s="1147"/>
      <c r="B1118" s="1147"/>
      <c r="C1118" s="1147"/>
      <c r="D1118" s="1147"/>
      <c r="E1118" s="1147"/>
      <c r="F1118" s="1147"/>
      <c r="G1118" s="189"/>
      <c r="H1118" s="189"/>
      <c r="I1118" s="189"/>
      <c r="L1118" s="189"/>
      <c r="M1118" s="189"/>
      <c r="N1118" s="189"/>
      <c r="O1118" s="189"/>
      <c r="P1118" s="189"/>
      <c r="Q1118" s="189"/>
    </row>
    <row r="1119" spans="1:17" ht="13.5" customHeight="1">
      <c r="A1119" s="1147"/>
      <c r="B1119" s="1147"/>
      <c r="C1119" s="1147"/>
      <c r="D1119" s="1147"/>
      <c r="E1119" s="1147"/>
      <c r="F1119" s="1147"/>
      <c r="G1119" s="189"/>
      <c r="H1119" s="189"/>
      <c r="I1119" s="189"/>
      <c r="L1119" s="189"/>
      <c r="M1119" s="189"/>
      <c r="N1119" s="189"/>
      <c r="O1119" s="189"/>
      <c r="P1119" s="189"/>
      <c r="Q1119" s="189"/>
    </row>
    <row r="1120" spans="1:17" ht="13.5" customHeight="1">
      <c r="A1120" s="1147"/>
      <c r="B1120" s="1147"/>
      <c r="C1120" s="1147"/>
      <c r="D1120" s="1147"/>
      <c r="E1120" s="1147"/>
      <c r="F1120" s="1147"/>
      <c r="G1120" s="189"/>
      <c r="H1120" s="189"/>
      <c r="I1120" s="189"/>
      <c r="L1120" s="189"/>
      <c r="M1120" s="189"/>
      <c r="N1120" s="189"/>
      <c r="O1120" s="189"/>
      <c r="P1120" s="189"/>
      <c r="Q1120" s="189"/>
    </row>
    <row r="1121" spans="1:17" ht="13.5" customHeight="1">
      <c r="A1121" s="1147"/>
      <c r="B1121" s="1147"/>
      <c r="C1121" s="1147"/>
      <c r="D1121" s="1147"/>
      <c r="E1121" s="1147"/>
      <c r="F1121" s="1147"/>
      <c r="G1121" s="189"/>
      <c r="H1121" s="189"/>
      <c r="I1121" s="189"/>
      <c r="L1121" s="189"/>
      <c r="M1121" s="189"/>
      <c r="N1121" s="189"/>
      <c r="O1121" s="189"/>
      <c r="P1121" s="189"/>
      <c r="Q1121" s="189"/>
    </row>
    <row r="1122" spans="1:17" ht="13.5" customHeight="1">
      <c r="A1122" s="1147"/>
      <c r="B1122" s="1147"/>
      <c r="C1122" s="1147"/>
      <c r="D1122" s="1147"/>
      <c r="E1122" s="1147"/>
      <c r="F1122" s="1147"/>
      <c r="G1122" s="189"/>
      <c r="H1122" s="189"/>
      <c r="I1122" s="189"/>
      <c r="L1122" s="189"/>
      <c r="M1122" s="189"/>
      <c r="N1122" s="189"/>
      <c r="O1122" s="189"/>
      <c r="P1122" s="189"/>
      <c r="Q1122" s="189"/>
    </row>
    <row r="1123" spans="1:17" ht="13.5" customHeight="1">
      <c r="A1123" s="1147"/>
      <c r="B1123" s="1147"/>
      <c r="C1123" s="1147"/>
      <c r="D1123" s="1147"/>
      <c r="E1123" s="1147"/>
      <c r="F1123" s="1147"/>
      <c r="G1123" s="189"/>
      <c r="H1123" s="189"/>
      <c r="I1123" s="189"/>
      <c r="L1123" s="189"/>
      <c r="M1123" s="189"/>
      <c r="N1123" s="189"/>
      <c r="O1123" s="189"/>
      <c r="P1123" s="189"/>
      <c r="Q1123" s="189"/>
    </row>
    <row r="1124" spans="1:17" ht="13.5" customHeight="1">
      <c r="A1124" s="1147"/>
      <c r="B1124" s="1147"/>
      <c r="C1124" s="1147"/>
      <c r="D1124" s="1147"/>
      <c r="E1124" s="1147"/>
      <c r="F1124" s="1147"/>
      <c r="G1124" s="189"/>
      <c r="H1124" s="189"/>
      <c r="I1124" s="189"/>
      <c r="L1124" s="189"/>
      <c r="M1124" s="189"/>
      <c r="N1124" s="189"/>
      <c r="O1124" s="189"/>
      <c r="P1124" s="189"/>
      <c r="Q1124" s="189"/>
    </row>
    <row r="1125" spans="1:17" ht="13.5" customHeight="1">
      <c r="A1125" s="1147"/>
      <c r="B1125" s="1147"/>
      <c r="C1125" s="1147"/>
      <c r="D1125" s="1147"/>
      <c r="E1125" s="1147"/>
      <c r="F1125" s="1147"/>
      <c r="G1125" s="189"/>
      <c r="H1125" s="189"/>
      <c r="I1125" s="189"/>
      <c r="L1125" s="189"/>
      <c r="M1125" s="189"/>
      <c r="N1125" s="189"/>
      <c r="O1125" s="189"/>
      <c r="P1125" s="189"/>
      <c r="Q1125" s="189"/>
    </row>
    <row r="1126" spans="1:17" ht="13.5" customHeight="1">
      <c r="A1126" s="1147"/>
      <c r="B1126" s="1147"/>
      <c r="C1126" s="1147"/>
      <c r="D1126" s="1147"/>
      <c r="E1126" s="1147"/>
      <c r="F1126" s="1147"/>
      <c r="G1126" s="189"/>
      <c r="H1126" s="189"/>
      <c r="I1126" s="189"/>
      <c r="L1126" s="189"/>
      <c r="M1126" s="189"/>
      <c r="N1126" s="189"/>
      <c r="O1126" s="189"/>
      <c r="P1126" s="189"/>
      <c r="Q1126" s="189"/>
    </row>
    <row r="1127" spans="1:17" ht="13.5" customHeight="1">
      <c r="A1127" s="1147"/>
      <c r="B1127" s="1147"/>
      <c r="C1127" s="1147"/>
      <c r="D1127" s="1147"/>
      <c r="E1127" s="1147"/>
      <c r="F1127" s="1147"/>
      <c r="G1127" s="189"/>
      <c r="H1127" s="189"/>
      <c r="I1127" s="189"/>
      <c r="L1127" s="189"/>
      <c r="M1127" s="189"/>
      <c r="N1127" s="189"/>
      <c r="O1127" s="189"/>
      <c r="P1127" s="189"/>
      <c r="Q1127" s="189"/>
    </row>
    <row r="1128" spans="1:17" ht="13.5" customHeight="1">
      <c r="A1128" s="1147"/>
      <c r="B1128" s="1147"/>
      <c r="C1128" s="1147"/>
      <c r="D1128" s="1147"/>
      <c r="E1128" s="1147"/>
      <c r="F1128" s="1147"/>
      <c r="G1128" s="189"/>
      <c r="H1128" s="189"/>
      <c r="I1128" s="189"/>
      <c r="L1128" s="189"/>
      <c r="M1128" s="189"/>
      <c r="N1128" s="189"/>
      <c r="O1128" s="189"/>
      <c r="P1128" s="189"/>
      <c r="Q1128" s="189"/>
    </row>
    <row r="1129" spans="1:17" ht="13.5" customHeight="1">
      <c r="A1129" s="1147"/>
      <c r="B1129" s="1147"/>
      <c r="C1129" s="1147"/>
      <c r="D1129" s="1147"/>
      <c r="E1129" s="1147"/>
      <c r="F1129" s="1147"/>
      <c r="G1129" s="189"/>
      <c r="H1129" s="189"/>
      <c r="I1129" s="189"/>
      <c r="L1129" s="189"/>
      <c r="M1129" s="189"/>
      <c r="N1129" s="189"/>
      <c r="O1129" s="189"/>
      <c r="P1129" s="189"/>
      <c r="Q1129" s="189"/>
    </row>
    <row r="1130" spans="1:17" ht="13.5" customHeight="1">
      <c r="A1130" s="1147"/>
      <c r="B1130" s="1147"/>
      <c r="C1130" s="1147"/>
      <c r="D1130" s="1147"/>
      <c r="E1130" s="1147"/>
      <c r="F1130" s="1147"/>
      <c r="G1130" s="189"/>
      <c r="H1130" s="189"/>
      <c r="I1130" s="189"/>
      <c r="L1130" s="189"/>
      <c r="M1130" s="189"/>
      <c r="N1130" s="189"/>
      <c r="O1130" s="189"/>
      <c r="P1130" s="189"/>
      <c r="Q1130" s="189"/>
    </row>
    <row r="1131" spans="1:17" ht="13.5" customHeight="1">
      <c r="A1131" s="1147"/>
      <c r="B1131" s="1147"/>
      <c r="C1131" s="1147"/>
      <c r="D1131" s="1147"/>
      <c r="E1131" s="1147"/>
      <c r="F1131" s="1147"/>
      <c r="G1131" s="189"/>
      <c r="H1131" s="189"/>
      <c r="I1131" s="189"/>
      <c r="L1131" s="189"/>
      <c r="M1131" s="189"/>
      <c r="N1131" s="189"/>
      <c r="O1131" s="189"/>
      <c r="P1131" s="189"/>
      <c r="Q1131" s="189"/>
    </row>
    <row r="1132" spans="1:17" ht="13.5" customHeight="1">
      <c r="A1132" s="1147"/>
      <c r="B1132" s="1147"/>
      <c r="C1132" s="1147"/>
      <c r="D1132" s="1147"/>
      <c r="E1132" s="1147"/>
      <c r="F1132" s="1147"/>
      <c r="G1132" s="189"/>
      <c r="H1132" s="189"/>
      <c r="I1132" s="189"/>
      <c r="L1132" s="189"/>
      <c r="M1132" s="189"/>
      <c r="N1132" s="189"/>
      <c r="O1132" s="189"/>
      <c r="P1132" s="189"/>
      <c r="Q1132" s="189"/>
    </row>
    <row r="1133" spans="1:17" ht="13.5" customHeight="1">
      <c r="A1133" s="1147"/>
      <c r="B1133" s="1147"/>
      <c r="C1133" s="1147"/>
      <c r="D1133" s="1147"/>
      <c r="E1133" s="1147"/>
      <c r="F1133" s="1147"/>
      <c r="G1133" s="189"/>
      <c r="H1133" s="189"/>
      <c r="I1133" s="189"/>
      <c r="L1133" s="189"/>
      <c r="M1133" s="189"/>
      <c r="N1133" s="189"/>
      <c r="O1133" s="189"/>
      <c r="P1133" s="189"/>
      <c r="Q1133" s="189"/>
    </row>
    <row r="1134" spans="1:17" ht="13.5" customHeight="1">
      <c r="A1134" s="1147"/>
      <c r="B1134" s="1147"/>
      <c r="C1134" s="1147"/>
      <c r="D1134" s="1147"/>
      <c r="E1134" s="1147"/>
      <c r="F1134" s="1147"/>
      <c r="G1134" s="189"/>
      <c r="H1134" s="189"/>
      <c r="I1134" s="189"/>
      <c r="L1134" s="189"/>
      <c r="M1134" s="189"/>
      <c r="N1134" s="189"/>
      <c r="O1134" s="189"/>
      <c r="P1134" s="189"/>
      <c r="Q1134" s="189"/>
    </row>
    <row r="1135" spans="1:17" ht="13.5" customHeight="1">
      <c r="A1135" s="1147"/>
      <c r="B1135" s="1147"/>
      <c r="C1135" s="1147"/>
      <c r="D1135" s="1147"/>
      <c r="E1135" s="1147"/>
      <c r="F1135" s="1147"/>
      <c r="G1135" s="189"/>
      <c r="H1135" s="189"/>
      <c r="I1135" s="189"/>
      <c r="L1135" s="189"/>
      <c r="M1135" s="189"/>
      <c r="N1135" s="189"/>
      <c r="O1135" s="189"/>
      <c r="P1135" s="189"/>
      <c r="Q1135" s="189"/>
    </row>
    <row r="1136" spans="1:17" ht="13.5" customHeight="1">
      <c r="A1136" s="1147"/>
      <c r="B1136" s="1147"/>
      <c r="C1136" s="1147"/>
      <c r="D1136" s="1147"/>
      <c r="E1136" s="1147"/>
      <c r="F1136" s="1147"/>
      <c r="G1136" s="189"/>
      <c r="H1136" s="189"/>
      <c r="I1136" s="189"/>
      <c r="L1136" s="189"/>
      <c r="M1136" s="189"/>
      <c r="N1136" s="189"/>
      <c r="O1136" s="189"/>
      <c r="P1136" s="189"/>
      <c r="Q1136" s="189"/>
    </row>
    <row r="1137" spans="1:17" ht="13.5" customHeight="1">
      <c r="A1137" s="1147"/>
      <c r="B1137" s="1147"/>
      <c r="C1137" s="1147"/>
      <c r="D1137" s="1147"/>
      <c r="E1137" s="1147"/>
      <c r="F1137" s="1147"/>
      <c r="G1137" s="189"/>
      <c r="H1137" s="189"/>
      <c r="I1137" s="189"/>
      <c r="L1137" s="189"/>
      <c r="M1137" s="189"/>
      <c r="N1137" s="189"/>
      <c r="O1137" s="189"/>
      <c r="P1137" s="189"/>
      <c r="Q1137" s="189"/>
    </row>
    <row r="1138" spans="1:17" ht="13.5" customHeight="1">
      <c r="A1138" s="1147"/>
      <c r="B1138" s="1147"/>
      <c r="C1138" s="1147"/>
      <c r="D1138" s="1147"/>
      <c r="E1138" s="1147"/>
      <c r="F1138" s="1147"/>
      <c r="G1138" s="189"/>
      <c r="H1138" s="189"/>
      <c r="I1138" s="189"/>
      <c r="L1138" s="189"/>
      <c r="M1138" s="189"/>
      <c r="N1138" s="189"/>
      <c r="O1138" s="189"/>
      <c r="P1138" s="189"/>
      <c r="Q1138" s="189"/>
    </row>
    <row r="1139" spans="1:17" ht="13.5" customHeight="1">
      <c r="A1139" s="1147"/>
      <c r="B1139" s="1147"/>
      <c r="C1139" s="1147"/>
      <c r="D1139" s="1147"/>
      <c r="E1139" s="1147"/>
      <c r="F1139" s="1147"/>
      <c r="G1139" s="189"/>
      <c r="H1139" s="189"/>
      <c r="I1139" s="189"/>
      <c r="L1139" s="189"/>
      <c r="M1139" s="189"/>
      <c r="N1139" s="189"/>
      <c r="O1139" s="189"/>
      <c r="P1139" s="189"/>
      <c r="Q1139" s="189"/>
    </row>
    <row r="1140" spans="1:17" ht="13.5" customHeight="1">
      <c r="A1140" s="1147"/>
      <c r="B1140" s="1147"/>
      <c r="C1140" s="1147"/>
      <c r="D1140" s="1147"/>
      <c r="E1140" s="1147"/>
      <c r="F1140" s="1147"/>
      <c r="G1140" s="189"/>
      <c r="H1140" s="189"/>
      <c r="I1140" s="189"/>
      <c r="L1140" s="189"/>
      <c r="M1140" s="189"/>
      <c r="N1140" s="189"/>
      <c r="O1140" s="189"/>
      <c r="P1140" s="189"/>
      <c r="Q1140" s="189"/>
    </row>
    <row r="1141" spans="1:17" ht="13.5" customHeight="1">
      <c r="A1141" s="1147"/>
      <c r="B1141" s="1147"/>
      <c r="C1141" s="1147"/>
      <c r="D1141" s="1147"/>
      <c r="E1141" s="1147"/>
      <c r="F1141" s="1147"/>
      <c r="G1141" s="189"/>
      <c r="H1141" s="189"/>
      <c r="I1141" s="189"/>
      <c r="L1141" s="189"/>
      <c r="M1141" s="189"/>
      <c r="N1141" s="189"/>
      <c r="O1141" s="189"/>
      <c r="P1141" s="189"/>
      <c r="Q1141" s="189"/>
    </row>
    <row r="1142" spans="1:17" ht="13.5" customHeight="1">
      <c r="A1142" s="1147"/>
      <c r="B1142" s="1147"/>
      <c r="C1142" s="1147"/>
      <c r="D1142" s="1147"/>
      <c r="E1142" s="1147"/>
      <c r="F1142" s="1147"/>
      <c r="G1142" s="189"/>
      <c r="H1142" s="189"/>
      <c r="I1142" s="189"/>
      <c r="L1142" s="189"/>
      <c r="M1142" s="189"/>
      <c r="N1142" s="189"/>
      <c r="O1142" s="189"/>
      <c r="P1142" s="189"/>
      <c r="Q1142" s="189"/>
    </row>
    <row r="1143" spans="1:17" ht="13.5" customHeight="1">
      <c r="A1143" s="1147"/>
      <c r="B1143" s="1147"/>
      <c r="C1143" s="1147"/>
      <c r="D1143" s="1147"/>
      <c r="E1143" s="1147"/>
      <c r="F1143" s="1147"/>
      <c r="G1143" s="189"/>
      <c r="H1143" s="189"/>
      <c r="I1143" s="189"/>
      <c r="L1143" s="189"/>
      <c r="M1143" s="189"/>
      <c r="N1143" s="189"/>
      <c r="O1143" s="189"/>
      <c r="P1143" s="189"/>
      <c r="Q1143" s="189"/>
    </row>
    <row r="1144" spans="1:17" ht="13.5" customHeight="1">
      <c r="A1144" s="1147"/>
      <c r="B1144" s="1147"/>
      <c r="C1144" s="1147"/>
      <c r="D1144" s="1147"/>
      <c r="E1144" s="1147"/>
      <c r="F1144" s="1147"/>
      <c r="G1144" s="189"/>
      <c r="H1144" s="189"/>
      <c r="I1144" s="189"/>
      <c r="L1144" s="189"/>
      <c r="M1144" s="189"/>
      <c r="N1144" s="189"/>
      <c r="O1144" s="189"/>
      <c r="P1144" s="189"/>
      <c r="Q1144" s="189"/>
    </row>
    <row r="1145" spans="1:17" ht="13.5" customHeight="1">
      <c r="A1145" s="1147"/>
      <c r="B1145" s="1147"/>
      <c r="C1145" s="1147"/>
      <c r="D1145" s="1147"/>
      <c r="E1145" s="1147"/>
      <c r="F1145" s="1147"/>
      <c r="G1145" s="189"/>
      <c r="H1145" s="189"/>
      <c r="I1145" s="189"/>
      <c r="L1145" s="189"/>
      <c r="M1145" s="189"/>
      <c r="N1145" s="189"/>
      <c r="O1145" s="189"/>
      <c r="P1145" s="189"/>
      <c r="Q1145" s="189"/>
    </row>
    <row r="1146" spans="1:17" ht="13.5" customHeight="1">
      <c r="A1146" s="1147"/>
      <c r="B1146" s="1147"/>
      <c r="C1146" s="1147"/>
      <c r="D1146" s="1147"/>
      <c r="E1146" s="1147"/>
      <c r="F1146" s="1147"/>
      <c r="G1146" s="189"/>
      <c r="H1146" s="189"/>
      <c r="I1146" s="189"/>
      <c r="L1146" s="189"/>
      <c r="M1146" s="189"/>
      <c r="N1146" s="189"/>
      <c r="O1146" s="189"/>
      <c r="P1146" s="189"/>
      <c r="Q1146" s="189"/>
    </row>
    <row r="1147" spans="1:17" ht="13.5" customHeight="1">
      <c r="A1147" s="1147"/>
      <c r="B1147" s="1147"/>
      <c r="C1147" s="1147"/>
      <c r="D1147" s="1147"/>
      <c r="E1147" s="1147"/>
      <c r="F1147" s="1147"/>
      <c r="G1147" s="189"/>
      <c r="H1147" s="189"/>
      <c r="I1147" s="189"/>
      <c r="L1147" s="189"/>
      <c r="M1147" s="189"/>
      <c r="N1147" s="189"/>
      <c r="O1147" s="189"/>
      <c r="P1147" s="189"/>
      <c r="Q1147" s="189"/>
    </row>
    <row r="1148" spans="1:17" ht="13.5" customHeight="1">
      <c r="A1148" s="1147"/>
      <c r="B1148" s="1147"/>
      <c r="C1148" s="1147"/>
      <c r="D1148" s="1147"/>
      <c r="E1148" s="1147"/>
      <c r="F1148" s="1147"/>
      <c r="G1148" s="189"/>
      <c r="H1148" s="189"/>
      <c r="I1148" s="189"/>
      <c r="L1148" s="189"/>
      <c r="M1148" s="189"/>
      <c r="N1148" s="189"/>
      <c r="O1148" s="189"/>
      <c r="P1148" s="189"/>
      <c r="Q1148" s="189"/>
    </row>
    <row r="1149" spans="1:17" ht="13.5" customHeight="1">
      <c r="A1149" s="1147"/>
      <c r="B1149" s="1147"/>
      <c r="C1149" s="1147"/>
      <c r="D1149" s="1147"/>
      <c r="E1149" s="1147"/>
      <c r="F1149" s="1147"/>
      <c r="G1149" s="189"/>
      <c r="H1149" s="189"/>
      <c r="I1149" s="189"/>
      <c r="L1149" s="189"/>
      <c r="M1149" s="189"/>
      <c r="N1149" s="189"/>
      <c r="O1149" s="189"/>
      <c r="P1149" s="189"/>
      <c r="Q1149" s="189"/>
    </row>
    <row r="1150" spans="1:17" ht="13.5" customHeight="1">
      <c r="A1150" s="1147"/>
      <c r="B1150" s="1147"/>
      <c r="C1150" s="1147"/>
      <c r="D1150" s="1147"/>
      <c r="E1150" s="1147"/>
      <c r="F1150" s="1147"/>
      <c r="G1150" s="189"/>
      <c r="H1150" s="189"/>
      <c r="I1150" s="189"/>
      <c r="L1150" s="189"/>
      <c r="M1150" s="189"/>
      <c r="N1150" s="189"/>
      <c r="O1150" s="189"/>
      <c r="P1150" s="189"/>
      <c r="Q1150" s="189"/>
    </row>
    <row r="1151" spans="1:17" ht="13.5" customHeight="1">
      <c r="A1151" s="1147"/>
      <c r="B1151" s="1147"/>
      <c r="C1151" s="1147"/>
      <c r="D1151" s="1147"/>
      <c r="E1151" s="1147"/>
      <c r="F1151" s="1147"/>
      <c r="G1151" s="189"/>
      <c r="H1151" s="189"/>
      <c r="I1151" s="189"/>
      <c r="L1151" s="189"/>
      <c r="M1151" s="189"/>
      <c r="N1151" s="189"/>
      <c r="O1151" s="189"/>
      <c r="P1151" s="189"/>
      <c r="Q1151" s="189"/>
    </row>
    <row r="1152" spans="1:17" ht="13.5" customHeight="1">
      <c r="A1152" s="1147"/>
      <c r="B1152" s="1147"/>
      <c r="C1152" s="1147"/>
      <c r="D1152" s="1147"/>
      <c r="E1152" s="1147"/>
      <c r="F1152" s="1147"/>
      <c r="G1152" s="189"/>
      <c r="H1152" s="189"/>
      <c r="I1152" s="189"/>
      <c r="L1152" s="189"/>
      <c r="M1152" s="189"/>
      <c r="N1152" s="189"/>
      <c r="O1152" s="189"/>
      <c r="P1152" s="189"/>
      <c r="Q1152" s="189"/>
    </row>
    <row r="1153" spans="1:17" ht="13.5" customHeight="1">
      <c r="A1153" s="1147"/>
      <c r="B1153" s="1147"/>
      <c r="C1153" s="1147"/>
      <c r="D1153" s="1147"/>
      <c r="E1153" s="1147"/>
      <c r="F1153" s="1147"/>
      <c r="G1153" s="189"/>
      <c r="H1153" s="189"/>
      <c r="I1153" s="189"/>
      <c r="L1153" s="189"/>
      <c r="M1153" s="189"/>
      <c r="N1153" s="189"/>
      <c r="O1153" s="189"/>
      <c r="Q1153" s="189"/>
    </row>
    <row r="1154" spans="1:17" ht="13.5" customHeight="1">
      <c r="A1154" s="1147"/>
      <c r="B1154" s="1147"/>
      <c r="C1154" s="1147"/>
      <c r="D1154" s="1147"/>
      <c r="E1154" s="1147"/>
      <c r="F1154" s="1147"/>
      <c r="G1154" s="189"/>
      <c r="H1154" s="189"/>
      <c r="I1154" s="189"/>
      <c r="L1154" s="189"/>
      <c r="M1154" s="189"/>
      <c r="N1154" s="189"/>
      <c r="O1154" s="189"/>
      <c r="Q1154" s="189"/>
    </row>
    <row r="1155" spans="1:17" ht="13.5" customHeight="1">
      <c r="A1155" s="1147"/>
      <c r="B1155" s="1147"/>
      <c r="C1155" s="1147"/>
      <c r="D1155" s="1147"/>
      <c r="E1155" s="1147"/>
      <c r="F1155" s="1147"/>
      <c r="G1155" s="189"/>
      <c r="H1155" s="189"/>
      <c r="I1155" s="189"/>
      <c r="L1155" s="189"/>
      <c r="M1155" s="189"/>
      <c r="N1155" s="189"/>
      <c r="O1155" s="189"/>
      <c r="Q1155" s="189"/>
    </row>
    <row r="1156" spans="1:17" ht="13.5" customHeight="1">
      <c r="A1156" s="1147"/>
      <c r="B1156" s="1147"/>
      <c r="C1156" s="1147"/>
      <c r="D1156" s="1147"/>
      <c r="E1156" s="1147"/>
      <c r="F1156" s="1147"/>
      <c r="G1156" s="189"/>
      <c r="H1156" s="189"/>
      <c r="I1156" s="189"/>
      <c r="L1156" s="189"/>
      <c r="M1156" s="189"/>
      <c r="N1156" s="189"/>
      <c r="O1156" s="189"/>
      <c r="Q1156" s="189"/>
    </row>
    <row r="1157" spans="1:17" ht="13.5" customHeight="1">
      <c r="A1157" s="1147"/>
      <c r="B1157" s="1147"/>
      <c r="C1157" s="1147"/>
      <c r="D1157" s="1147"/>
      <c r="E1157" s="1147"/>
      <c r="F1157" s="1147"/>
      <c r="G1157" s="189"/>
      <c r="H1157" s="189"/>
      <c r="I1157" s="189"/>
      <c r="L1157" s="189"/>
      <c r="M1157" s="189"/>
      <c r="N1157" s="189"/>
      <c r="O1157" s="189"/>
      <c r="Q1157" s="189"/>
    </row>
    <row r="1158" spans="1:17" ht="13.5" customHeight="1">
      <c r="A1158" s="1147"/>
      <c r="B1158" s="1147"/>
      <c r="C1158" s="1147"/>
      <c r="D1158" s="1147"/>
      <c r="E1158" s="1147"/>
      <c r="F1158" s="1147"/>
      <c r="G1158" s="189"/>
      <c r="H1158" s="189"/>
      <c r="I1158" s="189"/>
      <c r="L1158" s="189"/>
      <c r="M1158" s="189"/>
      <c r="N1158" s="189"/>
      <c r="O1158" s="189"/>
      <c r="Q1158" s="189"/>
    </row>
    <row r="1159" spans="1:17" ht="13.5" customHeight="1">
      <c r="A1159" s="1147"/>
      <c r="B1159" s="1147"/>
      <c r="C1159" s="1147"/>
      <c r="D1159" s="1147"/>
      <c r="E1159" s="1147"/>
      <c r="F1159" s="1147"/>
      <c r="G1159" s="189"/>
      <c r="H1159" s="189"/>
      <c r="I1159" s="189"/>
      <c r="L1159" s="189"/>
      <c r="M1159" s="189"/>
      <c r="N1159" s="189"/>
      <c r="O1159" s="189"/>
      <c r="Q1159" s="189"/>
    </row>
    <row r="1160" spans="1:17" ht="13.5" customHeight="1">
      <c r="A1160" s="1147"/>
      <c r="B1160" s="1147"/>
      <c r="C1160" s="1147"/>
      <c r="D1160" s="1147"/>
      <c r="E1160" s="1147"/>
      <c r="F1160" s="1147"/>
      <c r="G1160" s="189"/>
      <c r="H1160" s="189"/>
      <c r="I1160" s="189"/>
      <c r="L1160" s="189"/>
      <c r="M1160" s="189"/>
      <c r="N1160" s="189"/>
      <c r="O1160" s="189"/>
      <c r="Q1160" s="189"/>
    </row>
    <row r="1161" spans="1:17" ht="13.5" customHeight="1"/>
    <row r="1162" spans="1:17" ht="13.5" customHeight="1"/>
    <row r="1163" spans="1:17" ht="13.5" customHeight="1"/>
    <row r="1164" spans="1:17" ht="13.5" customHeight="1"/>
    <row r="1165" spans="1:17" ht="13.5" customHeight="1"/>
    <row r="1166" spans="1:17" ht="13.5" customHeight="1"/>
    <row r="1167" spans="1:17" ht="13.5" customHeight="1"/>
    <row r="1168" spans="1:17" ht="13.5" customHeight="1"/>
    <row r="1169" ht="13.5" customHeight="1"/>
    <row r="1170" ht="13.5" customHeight="1"/>
    <row r="1171" ht="13.5" customHeight="1"/>
    <row r="1172" ht="13.5" customHeight="1"/>
    <row r="1173" ht="13.5" customHeight="1"/>
    <row r="1174" ht="13.5" customHeight="1"/>
    <row r="1175" ht="13.5" customHeight="1"/>
    <row r="1176" ht="13.5" customHeight="1"/>
    <row r="1177" ht="13.5" customHeight="1"/>
    <row r="1178" ht="13.5" customHeight="1"/>
    <row r="1179" ht="13.5" customHeight="1"/>
    <row r="1180" ht="13.5" customHeight="1"/>
    <row r="1181" ht="13.5" customHeight="1"/>
    <row r="1182" ht="13.5" customHeight="1"/>
    <row r="1183" ht="13.5" customHeight="1"/>
    <row r="1184" ht="13.5" customHeight="1"/>
    <row r="1185" ht="13.5" customHeight="1"/>
    <row r="1186" ht="13.5" customHeight="1"/>
    <row r="1187" ht="13.5" customHeight="1"/>
    <row r="1188" ht="13.5" customHeight="1"/>
    <row r="1189" ht="13.5" customHeight="1"/>
    <row r="1190" ht="13.5" customHeight="1"/>
    <row r="1191" ht="13.5" customHeight="1"/>
    <row r="1192" ht="13.5" customHeight="1"/>
    <row r="1193" ht="13.5" customHeight="1"/>
    <row r="1194" ht="13.5" customHeight="1"/>
    <row r="1195" ht="13.5" customHeight="1"/>
    <row r="1196" ht="13.5" customHeight="1"/>
    <row r="1197" ht="13.5" customHeight="1"/>
    <row r="1198" ht="13.5" customHeight="1"/>
    <row r="1199" ht="13.5" customHeight="1"/>
    <row r="1200" ht="13.5" customHeight="1"/>
    <row r="1201" ht="13.5" customHeight="1"/>
    <row r="1202" ht="13.5" customHeight="1"/>
    <row r="1203" ht="13.5" customHeight="1"/>
    <row r="1204" ht="13.5" customHeight="1"/>
    <row r="1205" ht="13.5" customHeight="1"/>
    <row r="1206" ht="13.5" customHeight="1"/>
    <row r="1207" ht="13.5" customHeight="1"/>
    <row r="1208" ht="13.5" customHeight="1"/>
    <row r="1209" ht="13.5" customHeight="1"/>
    <row r="1210" ht="13.5" customHeight="1"/>
    <row r="1211" ht="13.5" customHeight="1"/>
    <row r="1212" ht="13.5" customHeight="1"/>
    <row r="1213" ht="13.5" customHeight="1"/>
    <row r="1214" ht="13.5" customHeight="1"/>
    <row r="1215" ht="13.5" customHeight="1"/>
    <row r="1216" ht="13.5" customHeight="1"/>
    <row r="1217" ht="13.5" customHeight="1"/>
    <row r="1218" ht="13.5" customHeight="1"/>
    <row r="1219" ht="13.5" customHeight="1"/>
    <row r="1220" ht="13.5" customHeight="1"/>
    <row r="1221" ht="13.5" customHeight="1"/>
    <row r="1222" ht="13.5" customHeight="1"/>
    <row r="1223" ht="13.5" customHeight="1"/>
    <row r="1224" ht="13.5" customHeight="1"/>
    <row r="1225" ht="13.5" customHeight="1"/>
    <row r="1226" ht="13.5" customHeight="1"/>
    <row r="1227" ht="13.5" customHeight="1"/>
    <row r="1228" ht="13.5" customHeight="1"/>
    <row r="1229" ht="13.5" customHeight="1"/>
    <row r="1230" ht="13.5" customHeight="1"/>
    <row r="1231" ht="13.5" customHeight="1"/>
    <row r="1232" ht="13.5" customHeight="1"/>
    <row r="1233" ht="13.5" customHeight="1"/>
    <row r="1234" ht="13.5" customHeight="1"/>
    <row r="1235" ht="13.5" customHeight="1"/>
    <row r="1236" ht="13.5" customHeight="1"/>
    <row r="1237" ht="13.5" customHeight="1"/>
    <row r="1238" ht="13.5" customHeight="1"/>
    <row r="1239" ht="13.5" customHeight="1"/>
    <row r="1240" ht="13.5" customHeight="1"/>
    <row r="1241" ht="13.5" customHeight="1"/>
    <row r="1242" ht="13.5" customHeight="1"/>
    <row r="1243" ht="13.5" customHeight="1"/>
    <row r="1244" ht="13.5" customHeight="1"/>
    <row r="1245" ht="13.5" customHeight="1"/>
    <row r="1246" ht="13.5" customHeight="1"/>
    <row r="1247" ht="13.5" customHeight="1"/>
    <row r="1248" ht="13.5" customHeight="1"/>
    <row r="1249" ht="13.5" customHeight="1"/>
    <row r="1250" ht="13.5" customHeight="1"/>
    <row r="1251" ht="13.5" customHeight="1"/>
    <row r="1252" ht="13.5" customHeight="1"/>
    <row r="1253" ht="13.5" customHeight="1"/>
    <row r="1254" ht="13.5" customHeight="1"/>
    <row r="1255" ht="13.5" customHeight="1"/>
    <row r="1256" ht="13.5" customHeight="1"/>
    <row r="1257" ht="13.5" customHeight="1"/>
    <row r="1258" ht="13.5" customHeight="1"/>
    <row r="1259" ht="13.5" customHeight="1"/>
    <row r="1260" ht="13.5" customHeight="1"/>
    <row r="1261" ht="13.5" customHeight="1"/>
    <row r="1262" ht="13.5" customHeight="1"/>
    <row r="1263" ht="13.5" customHeight="1"/>
    <row r="1264" ht="13.5" customHeight="1"/>
    <row r="1265" ht="13.5" customHeight="1"/>
    <row r="1266" ht="13.5" customHeight="1"/>
    <row r="1267" ht="13.5" customHeight="1"/>
    <row r="1268" ht="13.5" customHeight="1"/>
    <row r="1269" ht="13.5" customHeight="1"/>
    <row r="1270" ht="13.5" customHeight="1"/>
    <row r="1271" ht="13.5" customHeight="1"/>
    <row r="1272" ht="13.5" customHeight="1"/>
    <row r="1273" ht="13.5" customHeight="1"/>
    <row r="1274" ht="13.5" customHeight="1"/>
    <row r="1275" ht="13.5" customHeight="1"/>
    <row r="1276" ht="13.5" customHeight="1"/>
    <row r="1277" ht="13.5" customHeight="1"/>
    <row r="1278" ht="13.5" customHeight="1"/>
    <row r="1279" ht="13.5" customHeight="1"/>
    <row r="1280" ht="13.5" customHeight="1"/>
    <row r="1281" ht="13.5" customHeight="1"/>
    <row r="1282" ht="13.5" customHeight="1"/>
    <row r="1283" ht="13.5" customHeight="1"/>
    <row r="1284" ht="13.5" customHeight="1"/>
    <row r="1285" ht="13.5" customHeight="1"/>
    <row r="1286" ht="13.5" customHeight="1"/>
    <row r="1287" ht="13.5" customHeight="1"/>
    <row r="1288" ht="13.5" customHeight="1"/>
    <row r="1289" ht="13.5" customHeight="1"/>
    <row r="1290" ht="13.5" customHeight="1"/>
    <row r="1291" ht="13.5" customHeight="1"/>
    <row r="1292" ht="13.5" customHeight="1"/>
    <row r="1293" ht="13.5" customHeight="1"/>
    <row r="1294" ht="13.5" customHeight="1"/>
    <row r="1295" ht="13.5" customHeight="1"/>
    <row r="1296" ht="13.5" customHeight="1"/>
    <row r="1297" ht="13.5" customHeight="1"/>
    <row r="1298" ht="13.5" customHeight="1"/>
    <row r="1299" ht="13.5" customHeight="1"/>
    <row r="1300" ht="13.5" customHeight="1"/>
    <row r="1301" ht="13.5" customHeight="1"/>
    <row r="1302" ht="13.5" customHeight="1"/>
    <row r="1303" ht="13.5" customHeight="1"/>
    <row r="1304" ht="13.5" customHeight="1"/>
    <row r="1305" ht="13.5" customHeight="1"/>
    <row r="1306" ht="13.5" customHeight="1"/>
    <row r="1307" ht="13.5" customHeight="1"/>
    <row r="1308" ht="13.5" customHeight="1"/>
    <row r="1309" ht="13.5" customHeight="1"/>
    <row r="1310" ht="13.5" customHeight="1"/>
    <row r="1311" ht="13.5" customHeight="1"/>
    <row r="1312" ht="13.5" customHeight="1"/>
    <row r="1313" ht="13.5" customHeight="1"/>
    <row r="1314" ht="13.5" customHeight="1"/>
    <row r="1315" ht="13.5" customHeight="1"/>
    <row r="1316" ht="13.5" customHeight="1"/>
    <row r="1317" ht="13.5" customHeight="1"/>
    <row r="1318" ht="13.5" customHeight="1"/>
    <row r="1319" ht="13.5" customHeight="1"/>
    <row r="1320" ht="13.5" customHeight="1"/>
    <row r="1321" ht="13.5" customHeight="1"/>
    <row r="1322" ht="13.5" customHeight="1"/>
    <row r="1323" ht="13.5" customHeight="1"/>
    <row r="1324" ht="13.5" customHeight="1"/>
    <row r="1325" ht="13.5" customHeight="1"/>
    <row r="1326" ht="13.5" customHeight="1"/>
    <row r="1327" ht="13.5" customHeight="1"/>
    <row r="1328" ht="13.5" customHeight="1"/>
    <row r="1329" ht="13.5" customHeight="1"/>
    <row r="1330" ht="13.5" customHeight="1"/>
    <row r="1331" ht="13.5" customHeight="1"/>
    <row r="1332" ht="13.5" customHeight="1"/>
    <row r="1333" ht="13.5" customHeight="1"/>
    <row r="1334" ht="13.5" customHeight="1"/>
    <row r="1335" ht="13.5" customHeight="1"/>
    <row r="1336" ht="13.5" customHeight="1"/>
    <row r="1337" ht="13.5" customHeight="1"/>
    <row r="1338" ht="13.5" customHeight="1"/>
    <row r="1339" ht="13.5" customHeight="1"/>
    <row r="1340" ht="13.5" customHeight="1"/>
    <row r="1341" ht="13.5" customHeight="1"/>
    <row r="1342" ht="13.5" customHeight="1"/>
    <row r="1343" ht="13.5" customHeight="1"/>
    <row r="1344" ht="13.5" customHeight="1"/>
    <row r="1345" spans="11:11" ht="13.5" customHeight="1"/>
    <row r="1346" spans="11:11" ht="13.5" customHeight="1"/>
    <row r="1347" spans="11:11" ht="13.5" customHeight="1"/>
    <row r="1348" spans="11:11" ht="13.5" customHeight="1"/>
    <row r="1349" spans="11:11" ht="13.5" customHeight="1"/>
    <row r="1350" spans="11:11" ht="13.5" customHeight="1"/>
    <row r="1351" spans="11:11" ht="13.5" customHeight="1"/>
    <row r="1352" spans="11:11" ht="13.5" customHeight="1"/>
    <row r="1355" spans="11:11">
      <c r="K1355" s="786"/>
    </row>
  </sheetData>
  <sheetProtection selectLockedCells="1" selectUnlockedCells="1"/>
  <autoFilter ref="L1:N1355"/>
  <mergeCells count="23">
    <mergeCell ref="A1029:I1029"/>
    <mergeCell ref="J5:J6"/>
    <mergeCell ref="K5:K6"/>
    <mergeCell ref="G139:I139"/>
    <mergeCell ref="R139:S139"/>
    <mergeCell ref="H462:I462"/>
    <mergeCell ref="G599:I599"/>
    <mergeCell ref="H604:I604"/>
    <mergeCell ref="R321:S325"/>
    <mergeCell ref="P5:P6"/>
    <mergeCell ref="Q5:Q6"/>
    <mergeCell ref="Q597:Q598"/>
    <mergeCell ref="Q962:Q963"/>
    <mergeCell ref="B5:F6"/>
    <mergeCell ref="G5:I6"/>
    <mergeCell ref="G647:I647"/>
    <mergeCell ref="G670:I670"/>
    <mergeCell ref="E2:M2"/>
    <mergeCell ref="E3:L3"/>
    <mergeCell ref="A4:H4"/>
    <mergeCell ref="L5:N5"/>
    <mergeCell ref="B7:F7"/>
    <mergeCell ref="G7:I7"/>
  </mergeCells>
  <pageMargins left="0.27500000000000002" right="0.196527777777778" top="0.156944444444444" bottom="0.23611111111111099" header="0.39305555555555599" footer="0.156944444444444"/>
  <pageSetup paperSize="128" scale="76" firstPageNumber="0" orientation="landscape" useFirstPageNumber="1" r:id="rId1"/>
  <headerFooter alignWithMargins="0">
    <oddFooter>&amp;C&amp;7&amp;K02-049&amp;F&amp;D&amp;T&amp;R&amp;8Halaman........&amp;P          .................</oddFooter>
  </headerFooter>
  <rowBreaks count="2" manualBreakCount="2">
    <brk id="304" max="16" man="1"/>
    <brk id="547" max="16" man="1"/>
  </rowBreaks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>
    <tabColor indexed="12"/>
  </sheetPr>
  <dimension ref="A1:V1414"/>
  <sheetViews>
    <sheetView view="pageBreakPreview" topLeftCell="A2" zoomScale="80" zoomScaleNormal="90" zoomScaleSheetLayoutView="80" workbookViewId="0">
      <pane ySplit="1315" topLeftCell="A641" activePane="bottomLeft"/>
      <selection pane="bottomLeft" activeCell="L651" sqref="L651"/>
    </sheetView>
  </sheetViews>
  <sheetFormatPr defaultColWidth="9.109375" defaultRowHeight="13.15"/>
  <cols>
    <col min="1" max="1" width="4.109375" style="258" customWidth="1"/>
    <col min="2" max="4" width="2.6640625" style="258" customWidth="1"/>
    <col min="5" max="6" width="2.88671875" style="258" customWidth="1"/>
    <col min="7" max="7" width="3.5546875" style="259" customWidth="1"/>
    <col min="8" max="8" width="2.88671875" style="259" customWidth="1"/>
    <col min="9" max="9" width="42.33203125" style="259" customWidth="1"/>
    <col min="10" max="10" width="16.6640625" style="260" hidden="1" customWidth="1"/>
    <col min="11" max="11" width="24.6640625" style="189" customWidth="1"/>
    <col min="12" max="12" width="20.109375" style="259" customWidth="1"/>
    <col min="13" max="13" width="19.109375" style="259" customWidth="1"/>
    <col min="14" max="14" width="20.109375" style="259" customWidth="1"/>
    <col min="15" max="15" width="25.109375" style="259" customWidth="1"/>
    <col min="16" max="16" width="12.44140625" style="260" customWidth="1"/>
    <col min="17" max="17" width="26" style="259" customWidth="1"/>
    <col min="18" max="18" width="19.33203125" style="261" customWidth="1"/>
    <col min="19" max="21" width="18.88671875" style="259" customWidth="1"/>
    <col min="22" max="22" width="17.5546875" style="259" customWidth="1"/>
    <col min="23" max="16384" width="9.109375" style="259"/>
  </cols>
  <sheetData>
    <row r="1" spans="1:19" ht="12.7" customHeight="1">
      <c r="A1" s="262"/>
      <c r="B1" s="262"/>
      <c r="C1" s="262"/>
      <c r="D1" s="262"/>
      <c r="E1" s="262"/>
      <c r="F1" s="262"/>
      <c r="G1" s="263"/>
      <c r="H1" s="263"/>
      <c r="I1" s="263"/>
      <c r="J1" s="312"/>
      <c r="K1" s="194"/>
      <c r="L1" s="263"/>
      <c r="M1" s="263"/>
      <c r="N1" s="263"/>
      <c r="O1" s="263"/>
      <c r="P1" s="263"/>
      <c r="Q1" s="416"/>
    </row>
    <row r="2" spans="1:19" ht="15.05" customHeight="1">
      <c r="A2" s="264" t="s">
        <v>934</v>
      </c>
      <c r="B2" s="265"/>
      <c r="C2" s="264"/>
      <c r="D2" s="265"/>
      <c r="E2" s="5857" t="s">
        <v>1033</v>
      </c>
      <c r="F2" s="5857"/>
      <c r="G2" s="5857"/>
      <c r="H2" s="5857"/>
      <c r="I2" s="5857"/>
      <c r="J2" s="5857"/>
      <c r="K2" s="5857"/>
      <c r="L2" s="5857"/>
      <c r="M2" s="5857"/>
      <c r="N2" s="313"/>
      <c r="O2" s="313"/>
      <c r="P2" s="226"/>
      <c r="Q2" s="226"/>
    </row>
    <row r="3" spans="1:19" ht="14.25" customHeight="1">
      <c r="A3" s="264"/>
      <c r="B3" s="265"/>
      <c r="C3" s="265"/>
      <c r="D3" s="265"/>
      <c r="E3" s="5857" t="s">
        <v>1051</v>
      </c>
      <c r="F3" s="5857"/>
      <c r="G3" s="5857"/>
      <c r="H3" s="5857"/>
      <c r="I3" s="5857"/>
      <c r="J3" s="5857"/>
      <c r="K3" s="5857"/>
      <c r="L3" s="5857"/>
      <c r="M3" s="313"/>
      <c r="N3" s="313"/>
      <c r="O3" s="313"/>
      <c r="P3" s="226"/>
      <c r="Q3" s="226"/>
    </row>
    <row r="4" spans="1:19" ht="15.85" customHeight="1">
      <c r="A4" s="5858"/>
      <c r="B4" s="5858"/>
      <c r="C4" s="5858"/>
      <c r="D4" s="5858"/>
      <c r="E4" s="5858"/>
      <c r="F4" s="5858"/>
      <c r="G4" s="5858"/>
      <c r="H4" s="5858"/>
      <c r="I4" s="194"/>
      <c r="J4" s="314"/>
      <c r="K4" s="315"/>
      <c r="L4" s="316"/>
      <c r="M4" s="315"/>
      <c r="N4" s="315"/>
      <c r="O4" s="315"/>
      <c r="P4" s="194"/>
      <c r="Q4" s="194"/>
    </row>
    <row r="5" spans="1:19" s="241" customFormat="1">
      <c r="A5" s="266" t="s">
        <v>937</v>
      </c>
      <c r="B5" s="5883" t="s">
        <v>938</v>
      </c>
      <c r="C5" s="5883"/>
      <c r="D5" s="5883"/>
      <c r="E5" s="5883"/>
      <c r="F5" s="5883"/>
      <c r="G5" s="5855" t="s">
        <v>56</v>
      </c>
      <c r="H5" s="5884"/>
      <c r="I5" s="5884"/>
      <c r="J5" s="5876" t="s">
        <v>939</v>
      </c>
      <c r="K5" s="5878" t="s">
        <v>1052</v>
      </c>
      <c r="L5" s="5859" t="s">
        <v>5</v>
      </c>
      <c r="M5" s="5859"/>
      <c r="N5" s="5859"/>
      <c r="O5" s="318" t="s">
        <v>941</v>
      </c>
      <c r="P5" s="5854" t="s">
        <v>6</v>
      </c>
      <c r="Q5" s="5851" t="s">
        <v>7</v>
      </c>
      <c r="R5" s="417"/>
    </row>
    <row r="6" spans="1:19" s="241" customFormat="1" ht="21" customHeight="1">
      <c r="A6" s="267" t="s">
        <v>942</v>
      </c>
      <c r="B6" s="5883"/>
      <c r="C6" s="5883"/>
      <c r="D6" s="5883"/>
      <c r="E6" s="5883"/>
      <c r="F6" s="5883"/>
      <c r="G6" s="5885"/>
      <c r="H6" s="5886"/>
      <c r="I6" s="5886"/>
      <c r="J6" s="5877"/>
      <c r="K6" s="5879"/>
      <c r="L6" s="317" t="s">
        <v>479</v>
      </c>
      <c r="M6" s="317" t="s">
        <v>433</v>
      </c>
      <c r="N6" s="317" t="s">
        <v>434</v>
      </c>
      <c r="O6" s="319" t="s">
        <v>430</v>
      </c>
      <c r="P6" s="5854"/>
      <c r="Q6" s="5851"/>
      <c r="R6" s="418"/>
    </row>
    <row r="7" spans="1:19" s="242" customFormat="1">
      <c r="A7" s="268" t="s">
        <v>58</v>
      </c>
      <c r="B7" s="5860" t="s">
        <v>460</v>
      </c>
      <c r="C7" s="5860"/>
      <c r="D7" s="5860"/>
      <c r="E7" s="5860"/>
      <c r="F7" s="5860"/>
      <c r="G7" s="5861" t="s">
        <v>457</v>
      </c>
      <c r="H7" s="5862"/>
      <c r="I7" s="5862"/>
      <c r="J7" s="320"/>
      <c r="K7" s="320" t="s">
        <v>443</v>
      </c>
      <c r="L7" s="321" t="s">
        <v>482</v>
      </c>
      <c r="M7" s="321" t="s">
        <v>483</v>
      </c>
      <c r="N7" s="321" t="s">
        <v>484</v>
      </c>
      <c r="O7" s="322" t="s">
        <v>485</v>
      </c>
      <c r="P7" s="269" t="s">
        <v>486</v>
      </c>
      <c r="Q7" s="419" t="s">
        <v>444</v>
      </c>
      <c r="R7" s="420"/>
    </row>
    <row r="8" spans="1:19" s="189" customFormat="1" ht="12.05" customHeight="1">
      <c r="A8" s="270"/>
      <c r="B8" s="271"/>
      <c r="C8" s="272"/>
      <c r="D8" s="272"/>
      <c r="E8" s="272"/>
      <c r="F8" s="273"/>
      <c r="G8" s="274"/>
      <c r="H8" s="275"/>
      <c r="I8" s="275"/>
      <c r="J8" s="323"/>
      <c r="K8" s="324"/>
      <c r="L8" s="324"/>
      <c r="M8" s="324"/>
      <c r="N8" s="324"/>
      <c r="O8" s="324"/>
      <c r="P8" s="325"/>
      <c r="Q8" s="421"/>
      <c r="R8" s="422"/>
    </row>
    <row r="9" spans="1:19" s="243" customFormat="1" ht="12.05" customHeight="1">
      <c r="A9" s="276"/>
      <c r="B9" s="277" t="s">
        <v>483</v>
      </c>
      <c r="C9" s="277" t="s">
        <v>58</v>
      </c>
      <c r="D9" s="277" t="s">
        <v>58</v>
      </c>
      <c r="E9" s="277" t="s">
        <v>445</v>
      </c>
      <c r="F9" s="277" t="s">
        <v>440</v>
      </c>
      <c r="G9" s="278" t="s">
        <v>59</v>
      </c>
      <c r="H9" s="278"/>
      <c r="I9" s="278"/>
      <c r="J9" s="326" t="e">
        <f>J11</f>
        <v>#REF!</v>
      </c>
      <c r="K9" s="327" t="e">
        <f>K11</f>
        <v>#REF!</v>
      </c>
      <c r="L9" s="327" t="e">
        <f>L11</f>
        <v>#REF!</v>
      </c>
      <c r="M9" s="327" t="e">
        <f>M11</f>
        <v>#REF!</v>
      </c>
      <c r="N9" s="327" t="e">
        <f>M9+L9</f>
        <v>#REF!</v>
      </c>
      <c r="O9" s="327" t="e">
        <f>+N9-K9</f>
        <v>#REF!</v>
      </c>
      <c r="P9" s="328" t="e">
        <f>+N9/K9*100</f>
        <v>#REF!</v>
      </c>
      <c r="Q9" s="423"/>
      <c r="R9" s="424"/>
    </row>
    <row r="10" spans="1:19" s="189" customFormat="1" ht="12.05" customHeight="1">
      <c r="A10" s="279"/>
      <c r="B10" s="280"/>
      <c r="C10" s="280"/>
      <c r="D10" s="280"/>
      <c r="E10" s="280"/>
      <c r="F10" s="280"/>
      <c r="G10" s="190"/>
      <c r="H10" s="190"/>
      <c r="I10" s="190"/>
      <c r="J10" s="329"/>
      <c r="K10" s="330"/>
      <c r="L10" s="330"/>
      <c r="M10" s="330"/>
      <c r="N10" s="330"/>
      <c r="O10" s="330"/>
      <c r="P10" s="331"/>
      <c r="Q10" s="425"/>
      <c r="R10" s="426"/>
      <c r="S10" s="427"/>
    </row>
    <row r="11" spans="1:19" s="243" customFormat="1" ht="12.05" customHeight="1">
      <c r="A11" s="281"/>
      <c r="B11" s="282"/>
      <c r="C11" s="282"/>
      <c r="D11" s="282"/>
      <c r="E11" s="282"/>
      <c r="F11" s="282"/>
      <c r="G11" s="278" t="s">
        <v>60</v>
      </c>
      <c r="H11" s="278"/>
      <c r="I11" s="278"/>
      <c r="J11" s="326" t="e">
        <f>SUM(J13+J36+J157+J174+J190+J214+J232+J260+J273+J288+J310+J338+J363+J390+J403+J481+J500+J645+J658+J732+J752+J768+J784+J816+J845+J877+J898+J922+J961+J984+J998+J1010+J1027+J1039+J1052)</f>
        <v>#REF!</v>
      </c>
      <c r="K11" s="327" t="e">
        <f>SUM(K13+K36+K157+K174+K190+K214+K232+K260+K273+K288+K310+K338+K363+K390+K481+K500+K645+K658+K732+K752+K768+K784+K816+K845+K877+K898+K922+K961+K984+K998+K1010+K1027+K1039+K1052+K1064+K1076+K642+K405+K424+K436+K447+K457+K470)</f>
        <v>#REF!</v>
      </c>
      <c r="L11" s="327" t="e">
        <f>SUM(L13+L36+L157+L174+L190+L214+L232+L260+L273+L288+L310+L338+L363+L390+L481+L500+L645+L658+L732+L752+L768+L784+L816+L845+L877+L898+L922+L961+L984+L998+L1010+L1027+L1039+L1052+L1064+L1076+L642+L405+L424+L436+L447+L457+L470)</f>
        <v>#REF!</v>
      </c>
      <c r="M11" s="327" t="e">
        <f>SUM(M13+M36+M157+M174+M190+M214+M232+M260+M273+M288+M310+M338+M363+M390+M481+M500+M645+M658+M732+M752+M768+M784+M816+M845+M877+M898+M922+M961+M984+M998+M1010+M1027+M1039+M1052+M1064+M1076+M642+M405+M424+M436+M447+M457+M470)</f>
        <v>#REF!</v>
      </c>
      <c r="N11" s="327" t="e">
        <f>SUM(N13+N36+N157+N174+N190+N214+N232+N260+N273+N288+N310+N338+N363+N390+N481+N500+N645+N658+N732+N752+N768+N784+N816+N845+N877+N898+N922+N961+N984+N998+N1010+N1027+N1039+N1052+N1064+N1076+N642+N405+N424+N436+N447+N457+N470)</f>
        <v>#REF!</v>
      </c>
      <c r="O11" s="327" t="e">
        <f>+N11-K11</f>
        <v>#REF!</v>
      </c>
      <c r="P11" s="332" t="e">
        <f>+N11/K11*100</f>
        <v>#REF!</v>
      </c>
      <c r="Q11" s="423"/>
      <c r="R11" s="428"/>
      <c r="S11" s="429"/>
    </row>
    <row r="12" spans="1:19" s="189" customFormat="1" ht="12.05" customHeight="1">
      <c r="A12" s="279"/>
      <c r="B12" s="280"/>
      <c r="C12" s="280"/>
      <c r="D12" s="280"/>
      <c r="E12" s="280"/>
      <c r="F12" s="280"/>
      <c r="G12" s="190"/>
      <c r="H12" s="190"/>
      <c r="I12" s="190"/>
      <c r="J12" s="333"/>
      <c r="K12" s="334"/>
      <c r="L12" s="334"/>
      <c r="M12" s="334"/>
      <c r="N12" s="334"/>
      <c r="O12" s="334"/>
      <c r="P12" s="335"/>
      <c r="Q12" s="430"/>
      <c r="R12" s="431"/>
    </row>
    <row r="13" spans="1:19" s="244" customFormat="1" ht="12.05" customHeight="1">
      <c r="A13" s="283" t="s">
        <v>61</v>
      </c>
      <c r="B13" s="284" t="s">
        <v>58</v>
      </c>
      <c r="C13" s="284" t="s">
        <v>437</v>
      </c>
      <c r="D13" s="284" t="s">
        <v>437</v>
      </c>
      <c r="E13" s="284"/>
      <c r="F13" s="284"/>
      <c r="G13" s="285" t="s">
        <v>707</v>
      </c>
      <c r="H13" s="285"/>
      <c r="I13" s="285"/>
      <c r="J13" s="336">
        <f>+J15</f>
        <v>83320000</v>
      </c>
      <c r="K13" s="337">
        <f>+K15</f>
        <v>69750000</v>
      </c>
      <c r="L13" s="337">
        <f>+L15</f>
        <v>0</v>
      </c>
      <c r="M13" s="337">
        <f>+M15</f>
        <v>6616275</v>
      </c>
      <c r="N13" s="337">
        <f>+N15</f>
        <v>6616275</v>
      </c>
      <c r="O13" s="337">
        <f>+N13-K13</f>
        <v>-63133725</v>
      </c>
      <c r="P13" s="338">
        <f>+N13/K13*100</f>
        <v>9.4856989247311834</v>
      </c>
      <c r="Q13" s="432"/>
      <c r="R13" s="433"/>
      <c r="S13" s="434"/>
    </row>
    <row r="14" spans="1:19" s="189" customFormat="1" ht="12.05" customHeight="1">
      <c r="A14" s="286"/>
      <c r="B14" s="287"/>
      <c r="C14" s="287"/>
      <c r="D14" s="287"/>
      <c r="E14" s="287"/>
      <c r="F14" s="287"/>
      <c r="G14" s="288"/>
      <c r="H14" s="288"/>
      <c r="I14" s="288"/>
      <c r="J14" s="339"/>
      <c r="K14" s="340"/>
      <c r="L14" s="340"/>
      <c r="M14" s="340"/>
      <c r="N14" s="340"/>
      <c r="O14" s="340"/>
      <c r="P14" s="341"/>
      <c r="Q14" s="435"/>
      <c r="R14" s="431"/>
      <c r="S14" s="436"/>
    </row>
    <row r="15" spans="1:19" s="189" customFormat="1" ht="12.05" customHeight="1">
      <c r="A15" s="289"/>
      <c r="B15" s="290">
        <v>4</v>
      </c>
      <c r="C15" s="290">
        <v>1</v>
      </c>
      <c r="D15" s="290"/>
      <c r="E15" s="290"/>
      <c r="F15" s="290"/>
      <c r="G15" s="291" t="s">
        <v>180</v>
      </c>
      <c r="H15" s="291"/>
      <c r="I15" s="291"/>
      <c r="J15" s="342">
        <f>+J17+J24</f>
        <v>83320000</v>
      </c>
      <c r="K15" s="343">
        <f>+K17+K24</f>
        <v>69750000</v>
      </c>
      <c r="L15" s="343">
        <f>+L17+L24</f>
        <v>0</v>
      </c>
      <c r="M15" s="343">
        <f>+M17+M24</f>
        <v>6616275</v>
      </c>
      <c r="N15" s="343">
        <f>+N17+N24</f>
        <v>6616275</v>
      </c>
      <c r="O15" s="343">
        <f t="shared" ref="O15:O22" si="0">N15-K15</f>
        <v>-63133725</v>
      </c>
      <c r="P15" s="344">
        <f t="shared" ref="P15:P22" si="1">N15/K15*100</f>
        <v>9.4856989247311834</v>
      </c>
      <c r="Q15" s="437"/>
      <c r="R15" s="431"/>
    </row>
    <row r="16" spans="1:19" s="189" customFormat="1" ht="12.05" customHeight="1">
      <c r="A16" s="289"/>
      <c r="B16" s="292"/>
      <c r="C16" s="292"/>
      <c r="D16" s="292"/>
      <c r="E16" s="292"/>
      <c r="F16" s="292"/>
      <c r="G16" s="253"/>
      <c r="H16" s="253"/>
      <c r="I16" s="291"/>
      <c r="J16" s="345"/>
      <c r="K16" s="346"/>
      <c r="L16" s="346"/>
      <c r="M16" s="346"/>
      <c r="N16" s="346"/>
      <c r="O16" s="346"/>
      <c r="P16" s="347"/>
      <c r="Q16" s="438"/>
      <c r="R16" s="422"/>
    </row>
    <row r="17" spans="1:18" s="189" customFormat="1" ht="12.05" customHeight="1">
      <c r="A17" s="289"/>
      <c r="B17" s="290">
        <v>4</v>
      </c>
      <c r="C17" s="290">
        <v>1</v>
      </c>
      <c r="D17" s="290">
        <v>2</v>
      </c>
      <c r="E17" s="290"/>
      <c r="F17" s="290"/>
      <c r="G17" s="291" t="s">
        <v>106</v>
      </c>
      <c r="H17" s="291"/>
      <c r="I17" s="291"/>
      <c r="J17" s="348">
        <f>J19</f>
        <v>50000000</v>
      </c>
      <c r="K17" s="349">
        <f>K19</f>
        <v>68500000</v>
      </c>
      <c r="L17" s="349">
        <f>L19</f>
        <v>0</v>
      </c>
      <c r="M17" s="349">
        <f>M19</f>
        <v>0</v>
      </c>
      <c r="N17" s="349">
        <f>N19</f>
        <v>0</v>
      </c>
      <c r="O17" s="349">
        <f t="shared" si="0"/>
        <v>-68500000</v>
      </c>
      <c r="P17" s="350">
        <f t="shared" si="1"/>
        <v>0</v>
      </c>
      <c r="Q17" s="439"/>
      <c r="R17" s="422"/>
    </row>
    <row r="18" spans="1:18" s="189" customFormat="1" ht="12.05" customHeight="1">
      <c r="A18" s="289"/>
      <c r="B18" s="292"/>
      <c r="C18" s="292"/>
      <c r="D18" s="292"/>
      <c r="E18" s="292"/>
      <c r="F18" s="292"/>
      <c r="G18" s="253"/>
      <c r="H18" s="253"/>
      <c r="I18" s="253"/>
      <c r="J18" s="351"/>
      <c r="K18" s="352"/>
      <c r="L18" s="352"/>
      <c r="M18" s="352"/>
      <c r="N18" s="352"/>
      <c r="O18" s="352"/>
      <c r="P18" s="353"/>
      <c r="Q18" s="440"/>
      <c r="R18" s="422"/>
    </row>
    <row r="19" spans="1:18" s="189" customFormat="1" ht="12.05" customHeight="1">
      <c r="A19" s="289"/>
      <c r="B19" s="292">
        <v>4</v>
      </c>
      <c r="C19" s="292">
        <v>1</v>
      </c>
      <c r="D19" s="292">
        <v>2</v>
      </c>
      <c r="E19" s="292" t="s">
        <v>438</v>
      </c>
      <c r="F19" s="292"/>
      <c r="G19" s="253" t="s">
        <v>374</v>
      </c>
      <c r="H19" s="253"/>
      <c r="I19" s="253"/>
      <c r="J19" s="354">
        <f t="shared" ref="J19:M20" si="2">+J20</f>
        <v>50000000</v>
      </c>
      <c r="K19" s="355">
        <f t="shared" si="2"/>
        <v>68500000</v>
      </c>
      <c r="L19" s="355">
        <f t="shared" si="2"/>
        <v>0</v>
      </c>
      <c r="M19" s="355">
        <f t="shared" si="2"/>
        <v>0</v>
      </c>
      <c r="N19" s="346">
        <f>+M19+L19</f>
        <v>0</v>
      </c>
      <c r="O19" s="346">
        <f t="shared" si="0"/>
        <v>-68500000</v>
      </c>
      <c r="P19" s="347">
        <f t="shared" si="1"/>
        <v>0</v>
      </c>
      <c r="Q19" s="441"/>
      <c r="R19" s="422"/>
    </row>
    <row r="20" spans="1:18" s="189" customFormat="1" ht="12.05" customHeight="1">
      <c r="A20" s="289"/>
      <c r="B20" s="292">
        <v>4</v>
      </c>
      <c r="C20" s="292">
        <v>1</v>
      </c>
      <c r="D20" s="292">
        <v>2</v>
      </c>
      <c r="E20" s="292" t="s">
        <v>438</v>
      </c>
      <c r="F20" s="292" t="s">
        <v>440</v>
      </c>
      <c r="G20" s="253" t="s">
        <v>304</v>
      </c>
      <c r="H20" s="253"/>
      <c r="I20" s="253"/>
      <c r="J20" s="333">
        <f t="shared" si="2"/>
        <v>50000000</v>
      </c>
      <c r="K20" s="334">
        <f>SUM(K21:K22)</f>
        <v>68500000</v>
      </c>
      <c r="L20" s="356">
        <f>SUM(L21:L22)</f>
        <v>0</v>
      </c>
      <c r="M20" s="334">
        <f>SUM(M21:M22)</f>
        <v>0</v>
      </c>
      <c r="N20" s="357">
        <f>M20+L20</f>
        <v>0</v>
      </c>
      <c r="O20" s="357">
        <f t="shared" si="0"/>
        <v>-68500000</v>
      </c>
      <c r="P20" s="358">
        <f t="shared" si="1"/>
        <v>0</v>
      </c>
      <c r="Q20" s="442"/>
      <c r="R20" s="422"/>
    </row>
    <row r="21" spans="1:18" s="189" customFormat="1" ht="12.05" customHeight="1">
      <c r="A21" s="289"/>
      <c r="B21" s="292"/>
      <c r="C21" s="292"/>
      <c r="D21" s="292"/>
      <c r="E21" s="292"/>
      <c r="F21" s="292"/>
      <c r="G21" s="253" t="s">
        <v>50</v>
      </c>
      <c r="H21" s="253"/>
      <c r="I21" s="253" t="s">
        <v>69</v>
      </c>
      <c r="J21" s="354">
        <v>50000000</v>
      </c>
      <c r="K21" s="359">
        <f>'[57]TARGET MURNI DAN PERUBAHAN'!$E$15</f>
        <v>60000000</v>
      </c>
      <c r="L21" s="360">
        <v>0</v>
      </c>
      <c r="M21" s="359">
        <f>[55]Perdinas!$E$15</f>
        <v>0</v>
      </c>
      <c r="N21" s="361">
        <f>M21+L21</f>
        <v>0</v>
      </c>
      <c r="O21" s="334">
        <f t="shared" si="0"/>
        <v>-60000000</v>
      </c>
      <c r="P21" s="335">
        <f t="shared" si="1"/>
        <v>0</v>
      </c>
      <c r="Q21" s="442"/>
      <c r="R21" s="422"/>
    </row>
    <row r="22" spans="1:18" s="189" customFormat="1" ht="12.05" customHeight="1">
      <c r="A22" s="289"/>
      <c r="B22" s="292"/>
      <c r="C22" s="292"/>
      <c r="D22" s="292"/>
      <c r="E22" s="292"/>
      <c r="F22" s="292"/>
      <c r="G22" s="253" t="s">
        <v>50</v>
      </c>
      <c r="H22" s="253"/>
      <c r="I22" s="253" t="s">
        <v>709</v>
      </c>
      <c r="J22" s="354"/>
      <c r="K22" s="359">
        <f>'[57]TARGET MURNI DAN PERUBAHAN'!$E$16</f>
        <v>8500000</v>
      </c>
      <c r="L22" s="360">
        <v>0</v>
      </c>
      <c r="M22" s="359">
        <f>[55]Perdinas!$E$16</f>
        <v>0</v>
      </c>
      <c r="N22" s="361">
        <f>M22+L22</f>
        <v>0</v>
      </c>
      <c r="O22" s="334">
        <f t="shared" si="0"/>
        <v>-8500000</v>
      </c>
      <c r="P22" s="335">
        <f t="shared" si="1"/>
        <v>0</v>
      </c>
      <c r="Q22" s="443"/>
      <c r="R22" s="422"/>
    </row>
    <row r="23" spans="1:18" s="189" customFormat="1" ht="12.05" customHeight="1">
      <c r="A23" s="289"/>
      <c r="B23" s="292"/>
      <c r="C23" s="292"/>
      <c r="D23" s="292"/>
      <c r="E23" s="292"/>
      <c r="F23" s="292"/>
      <c r="G23" s="253"/>
      <c r="H23" s="253"/>
      <c r="I23" s="253"/>
      <c r="J23" s="351"/>
      <c r="K23" s="352"/>
      <c r="L23" s="362"/>
      <c r="M23" s="352"/>
      <c r="N23" s="352"/>
      <c r="O23" s="334"/>
      <c r="P23" s="335"/>
      <c r="Q23" s="430"/>
      <c r="R23" s="422"/>
    </row>
    <row r="24" spans="1:18" s="189" customFormat="1" ht="12.05" customHeight="1">
      <c r="A24" s="289"/>
      <c r="B24" s="290">
        <v>4</v>
      </c>
      <c r="C24" s="290">
        <v>1</v>
      </c>
      <c r="D24" s="290">
        <v>4</v>
      </c>
      <c r="E24" s="290"/>
      <c r="F24" s="290"/>
      <c r="G24" s="291" t="s">
        <v>71</v>
      </c>
      <c r="H24" s="291"/>
      <c r="I24" s="291"/>
      <c r="J24" s="363">
        <f>J25+J27+J32</f>
        <v>33320000</v>
      </c>
      <c r="K24" s="364">
        <f>K25+K27+K32</f>
        <v>1250000</v>
      </c>
      <c r="L24" s="365">
        <f>L25+L27+L32</f>
        <v>0</v>
      </c>
      <c r="M24" s="364">
        <f>M25+M27+M32</f>
        <v>6616275</v>
      </c>
      <c r="N24" s="364">
        <f>N25+N27+N32</f>
        <v>6616275</v>
      </c>
      <c r="O24" s="349">
        <f t="shared" ref="O24:O30" si="3">N24-K24</f>
        <v>5366275</v>
      </c>
      <c r="P24" s="350">
        <f>N24/K24*100</f>
        <v>529.30200000000002</v>
      </c>
      <c r="Q24" s="444"/>
      <c r="R24" s="422"/>
    </row>
    <row r="25" spans="1:18" s="190" customFormat="1" ht="12.05" customHeight="1">
      <c r="A25" s="293"/>
      <c r="B25" s="290">
        <v>4</v>
      </c>
      <c r="C25" s="290">
        <v>1</v>
      </c>
      <c r="D25" s="290">
        <v>4</v>
      </c>
      <c r="E25" s="290" t="s">
        <v>441</v>
      </c>
      <c r="F25" s="290"/>
      <c r="G25" s="291" t="s">
        <v>557</v>
      </c>
      <c r="H25" s="291"/>
      <c r="I25" s="291"/>
      <c r="J25" s="329">
        <f>J26</f>
        <v>0</v>
      </c>
      <c r="K25" s="330">
        <f>K26</f>
        <v>0</v>
      </c>
      <c r="L25" s="366">
        <f>L26</f>
        <v>0</v>
      </c>
      <c r="M25" s="330">
        <f>M26</f>
        <v>1078800</v>
      </c>
      <c r="N25" s="330">
        <f>N26</f>
        <v>1078800</v>
      </c>
      <c r="O25" s="367">
        <f t="shared" si="3"/>
        <v>1078800</v>
      </c>
      <c r="P25" s="368"/>
      <c r="Q25" s="445"/>
      <c r="R25" s="446"/>
    </row>
    <row r="26" spans="1:18" s="189" customFormat="1" ht="12.05" customHeight="1">
      <c r="A26" s="289"/>
      <c r="B26" s="292">
        <v>4</v>
      </c>
      <c r="C26" s="292">
        <v>1</v>
      </c>
      <c r="D26" s="292">
        <v>4</v>
      </c>
      <c r="E26" s="292" t="s">
        <v>441</v>
      </c>
      <c r="F26" s="292" t="s">
        <v>440</v>
      </c>
      <c r="G26" s="253" t="s">
        <v>72</v>
      </c>
      <c r="H26" s="253"/>
      <c r="I26" s="253"/>
      <c r="J26" s="354"/>
      <c r="K26" s="355"/>
      <c r="L26" s="360">
        <v>0</v>
      </c>
      <c r="M26" s="355">
        <f>[55]Perdinas!$E$19</f>
        <v>1078800</v>
      </c>
      <c r="N26" s="369">
        <f>M26+L26</f>
        <v>1078800</v>
      </c>
      <c r="O26" s="346">
        <f t="shared" si="3"/>
        <v>1078800</v>
      </c>
      <c r="P26" s="347"/>
      <c r="Q26" s="445"/>
      <c r="R26" s="422"/>
    </row>
    <row r="27" spans="1:18" s="190" customFormat="1" ht="12.05" customHeight="1">
      <c r="A27" s="293"/>
      <c r="B27" s="290">
        <v>4</v>
      </c>
      <c r="C27" s="290">
        <v>1</v>
      </c>
      <c r="D27" s="290">
        <v>4</v>
      </c>
      <c r="E27" s="290" t="s">
        <v>444</v>
      </c>
      <c r="F27" s="290"/>
      <c r="G27" s="291" t="s">
        <v>222</v>
      </c>
      <c r="H27" s="291"/>
      <c r="I27" s="291"/>
      <c r="J27" s="370">
        <f>+J30</f>
        <v>30000000</v>
      </c>
      <c r="K27" s="371">
        <f>SUM(K28:K30)</f>
        <v>0</v>
      </c>
      <c r="L27" s="372">
        <f>SUM(L28:L30)</f>
        <v>0</v>
      </c>
      <c r="M27" s="371">
        <f>SUM(M28:M30)</f>
        <v>5537475</v>
      </c>
      <c r="N27" s="371">
        <f>SUM(N28:N30)</f>
        <v>5537475</v>
      </c>
      <c r="O27" s="367">
        <f t="shared" si="3"/>
        <v>5537475</v>
      </c>
      <c r="P27" s="335" t="e">
        <f t="shared" ref="P27:P33" si="4">N27/K27*100</f>
        <v>#DIV/0!</v>
      </c>
      <c r="Q27" s="447"/>
      <c r="R27" s="446"/>
    </row>
    <row r="28" spans="1:18" s="189" customFormat="1" ht="12.05" customHeight="1">
      <c r="A28" s="289"/>
      <c r="B28" s="292">
        <v>4</v>
      </c>
      <c r="C28" s="292">
        <v>1</v>
      </c>
      <c r="D28" s="292">
        <v>4</v>
      </c>
      <c r="E28" s="292" t="s">
        <v>444</v>
      </c>
      <c r="F28" s="292" t="s">
        <v>440</v>
      </c>
      <c r="G28" s="253" t="s">
        <v>73</v>
      </c>
      <c r="H28" s="253"/>
      <c r="I28" s="253"/>
      <c r="J28" s="354">
        <v>0</v>
      </c>
      <c r="K28" s="355">
        <v>0</v>
      </c>
      <c r="L28" s="360">
        <v>0</v>
      </c>
      <c r="M28" s="355">
        <f>[57]Perdinas!$D$20</f>
        <v>0</v>
      </c>
      <c r="N28" s="355">
        <f t="shared" ref="N28:N36" si="5">M28+L28</f>
        <v>0</v>
      </c>
      <c r="O28" s="355">
        <f t="shared" si="3"/>
        <v>0</v>
      </c>
      <c r="P28" s="335"/>
      <c r="Q28" s="441"/>
      <c r="R28" s="422"/>
    </row>
    <row r="29" spans="1:18" s="189" customFormat="1" ht="12.05" customHeight="1">
      <c r="A29" s="289"/>
      <c r="B29" s="292">
        <v>4</v>
      </c>
      <c r="C29" s="292">
        <v>1</v>
      </c>
      <c r="D29" s="292">
        <v>4</v>
      </c>
      <c r="E29" s="292" t="s">
        <v>444</v>
      </c>
      <c r="F29" s="292" t="s">
        <v>445</v>
      </c>
      <c r="G29" s="253" t="s">
        <v>74</v>
      </c>
      <c r="H29" s="253"/>
      <c r="I29" s="253"/>
      <c r="J29" s="354">
        <v>0</v>
      </c>
      <c r="K29" s="355">
        <v>0</v>
      </c>
      <c r="L29" s="360">
        <v>0</v>
      </c>
      <c r="M29" s="355">
        <f>[55]Perdinas!$E$21</f>
        <v>0</v>
      </c>
      <c r="N29" s="355">
        <f t="shared" si="5"/>
        <v>0</v>
      </c>
      <c r="O29" s="355">
        <f t="shared" si="3"/>
        <v>0</v>
      </c>
      <c r="P29" s="335"/>
      <c r="Q29" s="442"/>
      <c r="R29" s="422"/>
    </row>
    <row r="30" spans="1:18" s="189" customFormat="1" ht="12.05" customHeight="1">
      <c r="A30" s="289"/>
      <c r="B30" s="292">
        <v>4</v>
      </c>
      <c r="C30" s="292">
        <v>1</v>
      </c>
      <c r="D30" s="292">
        <v>4</v>
      </c>
      <c r="E30" s="292" t="s">
        <v>444</v>
      </c>
      <c r="F30" s="292" t="s">
        <v>441</v>
      </c>
      <c r="G30" s="253" t="s">
        <v>75</v>
      </c>
      <c r="H30" s="253"/>
      <c r="I30" s="253"/>
      <c r="J30" s="354">
        <v>30000000</v>
      </c>
      <c r="K30" s="373">
        <f>'[57]TARGET MURNI DAN PERUBAHAN'!$E$19</f>
        <v>0</v>
      </c>
      <c r="L30" s="360">
        <v>0</v>
      </c>
      <c r="M30" s="373">
        <f>[55]Perdinas!$E$22</f>
        <v>5537475</v>
      </c>
      <c r="N30" s="369">
        <f t="shared" si="5"/>
        <v>5537475</v>
      </c>
      <c r="O30" s="355">
        <f t="shared" si="3"/>
        <v>5537475</v>
      </c>
      <c r="P30" s="335" t="e">
        <f t="shared" si="4"/>
        <v>#DIV/0!</v>
      </c>
      <c r="Q30" s="441"/>
      <c r="R30" s="422"/>
    </row>
    <row r="31" spans="1:18" s="189" customFormat="1" ht="12.05" customHeight="1">
      <c r="A31" s="289"/>
      <c r="B31" s="292"/>
      <c r="C31" s="292"/>
      <c r="D31" s="292"/>
      <c r="E31" s="292"/>
      <c r="F31" s="292"/>
      <c r="G31" s="253"/>
      <c r="H31" s="253"/>
      <c r="I31" s="253"/>
      <c r="J31" s="354"/>
      <c r="K31" s="355"/>
      <c r="L31" s="360"/>
      <c r="M31" s="355"/>
      <c r="N31" s="355">
        <f t="shared" si="5"/>
        <v>0</v>
      </c>
      <c r="O31" s="355"/>
      <c r="P31" s="335"/>
      <c r="Q31" s="440"/>
      <c r="R31" s="422"/>
    </row>
    <row r="32" spans="1:18" s="189" customFormat="1" ht="12.05" customHeight="1">
      <c r="A32" s="294"/>
      <c r="B32" s="292">
        <v>4</v>
      </c>
      <c r="C32" s="292">
        <v>1</v>
      </c>
      <c r="D32" s="292">
        <v>4</v>
      </c>
      <c r="E32" s="292" t="s">
        <v>948</v>
      </c>
      <c r="F32" s="292"/>
      <c r="G32" s="253" t="s">
        <v>321</v>
      </c>
      <c r="H32" s="253"/>
      <c r="I32" s="253"/>
      <c r="J32" s="374">
        <f>J33</f>
        <v>3320000</v>
      </c>
      <c r="K32" s="375">
        <f>K33</f>
        <v>1250000</v>
      </c>
      <c r="L32" s="360">
        <f>L33</f>
        <v>0</v>
      </c>
      <c r="M32" s="355">
        <f>M33</f>
        <v>0</v>
      </c>
      <c r="N32" s="355">
        <f t="shared" si="5"/>
        <v>0</v>
      </c>
      <c r="O32" s="355">
        <f>N32-K32</f>
        <v>-1250000</v>
      </c>
      <c r="P32" s="335">
        <f t="shared" si="4"/>
        <v>0</v>
      </c>
      <c r="Q32" s="448"/>
      <c r="R32" s="422"/>
    </row>
    <row r="33" spans="1:18" s="189" customFormat="1" ht="12.05" customHeight="1">
      <c r="A33" s="294"/>
      <c r="B33" s="292"/>
      <c r="C33" s="292"/>
      <c r="D33" s="292"/>
      <c r="E33" s="292"/>
      <c r="F33" s="292"/>
      <c r="G33" s="253" t="s">
        <v>50</v>
      </c>
      <c r="H33" s="253"/>
      <c r="I33" s="253" t="s">
        <v>145</v>
      </c>
      <c r="J33" s="374">
        <v>3320000</v>
      </c>
      <c r="K33" s="376">
        <f>'[57]TARGET MURNI DAN PERUBAHAN'!$E$21</f>
        <v>1250000</v>
      </c>
      <c r="L33" s="377">
        <v>0</v>
      </c>
      <c r="M33" s="376">
        <f>[55]Perdinas!$E$23</f>
        <v>0</v>
      </c>
      <c r="N33" s="355">
        <f t="shared" si="5"/>
        <v>0</v>
      </c>
      <c r="O33" s="355">
        <f>N33-K33</f>
        <v>-1250000</v>
      </c>
      <c r="P33" s="335">
        <f t="shared" si="4"/>
        <v>0</v>
      </c>
      <c r="Q33" s="449"/>
      <c r="R33" s="422"/>
    </row>
    <row r="34" spans="1:18" s="189" customFormat="1" ht="12.05" customHeight="1">
      <c r="A34" s="289"/>
      <c r="B34" s="292"/>
      <c r="C34" s="292"/>
      <c r="D34" s="292"/>
      <c r="E34" s="292"/>
      <c r="F34" s="292"/>
      <c r="G34" s="253"/>
      <c r="H34" s="253"/>
      <c r="I34" s="253"/>
      <c r="J34" s="374">
        <v>0</v>
      </c>
      <c r="K34" s="375">
        <v>0</v>
      </c>
      <c r="L34" s="375">
        <v>0</v>
      </c>
      <c r="M34" s="375"/>
      <c r="N34" s="355">
        <f t="shared" si="5"/>
        <v>0</v>
      </c>
      <c r="O34" s="355">
        <f>N34-K34</f>
        <v>0</v>
      </c>
      <c r="P34" s="347"/>
      <c r="Q34" s="440"/>
      <c r="R34" s="422"/>
    </row>
    <row r="35" spans="1:18" s="245" customFormat="1" ht="12.05" customHeight="1">
      <c r="A35" s="295"/>
      <c r="B35" s="296"/>
      <c r="C35" s="296"/>
      <c r="D35" s="296"/>
      <c r="E35" s="296"/>
      <c r="F35" s="296"/>
      <c r="G35" s="297"/>
      <c r="H35" s="297"/>
      <c r="I35" s="297"/>
      <c r="J35" s="378"/>
      <c r="K35" s="379">
        <v>0</v>
      </c>
      <c r="L35" s="379">
        <v>0</v>
      </c>
      <c r="M35" s="379"/>
      <c r="N35" s="380">
        <f t="shared" si="5"/>
        <v>0</v>
      </c>
      <c r="O35" s="380">
        <f>N35-K35</f>
        <v>0</v>
      </c>
      <c r="P35" s="381"/>
      <c r="Q35" s="440"/>
      <c r="R35" s="450"/>
    </row>
    <row r="36" spans="1:18" s="244" customFormat="1" ht="12.05" customHeight="1">
      <c r="A36" s="283" t="s">
        <v>78</v>
      </c>
      <c r="B36" s="284" t="s">
        <v>58</v>
      </c>
      <c r="C36" s="284" t="s">
        <v>438</v>
      </c>
      <c r="D36" s="284" t="s">
        <v>437</v>
      </c>
      <c r="E36" s="284"/>
      <c r="F36" s="284"/>
      <c r="G36" s="298" t="s">
        <v>79</v>
      </c>
      <c r="H36" s="298"/>
      <c r="I36" s="298"/>
      <c r="J36" s="336" t="e">
        <f>J38+J57+J108+J125+J139+J75+J91</f>
        <v>#REF!</v>
      </c>
      <c r="K36" s="337">
        <f>K38+K57+K108+K125+K139+K75+K91</f>
        <v>15465159922.440001</v>
      </c>
      <c r="L36" s="337" t="e">
        <f>SUM(L38+L75+L91+L139+L125+L57+L108)</f>
        <v>#REF!</v>
      </c>
      <c r="M36" s="337">
        <f>SUM(M38+M75+M91+M139+M125+M57+M108)</f>
        <v>375149663</v>
      </c>
      <c r="N36" s="337" t="e">
        <f t="shared" si="5"/>
        <v>#REF!</v>
      </c>
      <c r="O36" s="337" t="e">
        <f>+N36-K36</f>
        <v>#REF!</v>
      </c>
      <c r="P36" s="338" t="e">
        <f>+N36/K36*100</f>
        <v>#REF!</v>
      </c>
      <c r="Q36" s="432"/>
      <c r="R36" s="433"/>
    </row>
    <row r="37" spans="1:18" s="189" customFormat="1" ht="12.05" customHeight="1">
      <c r="A37" s="299"/>
      <c r="B37" s="280"/>
      <c r="C37" s="280"/>
      <c r="D37" s="280"/>
      <c r="E37" s="280"/>
      <c r="F37" s="280"/>
      <c r="G37" s="190"/>
      <c r="H37" s="190"/>
      <c r="I37" s="190"/>
      <c r="J37" s="342"/>
      <c r="K37" s="343"/>
      <c r="L37" s="343"/>
      <c r="M37" s="343"/>
      <c r="N37" s="343"/>
      <c r="O37" s="343"/>
      <c r="P37" s="344"/>
      <c r="Q37" s="437"/>
      <c r="R37" s="422"/>
    </row>
    <row r="38" spans="1:18" s="246" customFormat="1" ht="19.600000000000001" customHeight="1">
      <c r="A38" s="300"/>
      <c r="B38" s="301" t="s">
        <v>58</v>
      </c>
      <c r="C38" s="301" t="s">
        <v>438</v>
      </c>
      <c r="D38" s="301" t="s">
        <v>437</v>
      </c>
      <c r="E38" s="301" t="s">
        <v>437</v>
      </c>
      <c r="F38" s="301"/>
      <c r="G38" s="302" t="s">
        <v>79</v>
      </c>
      <c r="H38" s="302"/>
      <c r="I38" s="302"/>
      <c r="J38" s="382">
        <f>+J40</f>
        <v>4000000</v>
      </c>
      <c r="K38" s="383">
        <f>+K40</f>
        <v>0</v>
      </c>
      <c r="L38" s="383">
        <f>+L40</f>
        <v>8350000</v>
      </c>
      <c r="M38" s="383">
        <f>+M40</f>
        <v>0</v>
      </c>
      <c r="N38" s="383">
        <f>+M38+L38</f>
        <v>8350000</v>
      </c>
      <c r="O38" s="383">
        <f>N38-K38</f>
        <v>8350000</v>
      </c>
      <c r="P38" s="384" t="e">
        <f>N38/K38*100</f>
        <v>#DIV/0!</v>
      </c>
      <c r="Q38" s="451"/>
      <c r="R38" s="452"/>
    </row>
    <row r="39" spans="1:18" s="189" customFormat="1" ht="12.05" customHeight="1">
      <c r="A39" s="286"/>
      <c r="B39" s="287"/>
      <c r="C39" s="287"/>
      <c r="D39" s="287"/>
      <c r="E39" s="287"/>
      <c r="F39" s="287"/>
      <c r="G39" s="288"/>
      <c r="H39" s="288"/>
      <c r="I39" s="288"/>
      <c r="J39" s="385"/>
      <c r="K39" s="386"/>
      <c r="L39" s="386"/>
      <c r="M39" s="386"/>
      <c r="N39" s="386"/>
      <c r="O39" s="386"/>
      <c r="P39" s="341"/>
      <c r="Q39" s="453"/>
      <c r="R39" s="422"/>
    </row>
    <row r="40" spans="1:18" s="189" customFormat="1" ht="12.05" customHeight="1">
      <c r="A40" s="294"/>
      <c r="B40" s="290">
        <v>4</v>
      </c>
      <c r="C40" s="290">
        <v>1</v>
      </c>
      <c r="D40" s="290"/>
      <c r="E40" s="290"/>
      <c r="F40" s="290"/>
      <c r="G40" s="291" t="s">
        <v>180</v>
      </c>
      <c r="H40" s="291"/>
      <c r="I40" s="291"/>
      <c r="J40" s="342">
        <f>+J42+J48</f>
        <v>4000000</v>
      </c>
      <c r="K40" s="343">
        <f>+K42+K48</f>
        <v>0</v>
      </c>
      <c r="L40" s="343">
        <f>+L42+L48</f>
        <v>8350000</v>
      </c>
      <c r="M40" s="343">
        <f>+M42+M48</f>
        <v>0</v>
      </c>
      <c r="N40" s="343">
        <f>+M40+L40</f>
        <v>8350000</v>
      </c>
      <c r="O40" s="343">
        <f>N40-K40</f>
        <v>8350000</v>
      </c>
      <c r="P40" s="344" t="e">
        <f>N40/K40*100</f>
        <v>#DIV/0!</v>
      </c>
      <c r="Q40" s="437"/>
      <c r="R40" s="422"/>
    </row>
    <row r="41" spans="1:18" s="189" customFormat="1" ht="12.05" customHeight="1">
      <c r="A41" s="289"/>
      <c r="B41" s="292"/>
      <c r="C41" s="292"/>
      <c r="D41" s="292"/>
      <c r="E41" s="292"/>
      <c r="F41" s="292"/>
      <c r="G41" s="253"/>
      <c r="H41" s="253"/>
      <c r="I41" s="291"/>
      <c r="J41" s="387"/>
      <c r="K41" s="367"/>
      <c r="L41" s="367"/>
      <c r="M41" s="367"/>
      <c r="N41" s="367"/>
      <c r="O41" s="367"/>
      <c r="P41" s="347"/>
      <c r="Q41" s="454"/>
      <c r="R41" s="422"/>
    </row>
    <row r="42" spans="1:18" s="189" customFormat="1" ht="12.05" customHeight="1">
      <c r="A42" s="294"/>
      <c r="B42" s="290">
        <v>4</v>
      </c>
      <c r="C42" s="290">
        <v>1</v>
      </c>
      <c r="D42" s="290">
        <v>2</v>
      </c>
      <c r="E42" s="290"/>
      <c r="F42" s="290"/>
      <c r="G42" s="291" t="s">
        <v>106</v>
      </c>
      <c r="H42" s="291"/>
      <c r="I42" s="291"/>
      <c r="J42" s="348">
        <f>+J44</f>
        <v>4000000</v>
      </c>
      <c r="K42" s="349">
        <f>+K44</f>
        <v>0</v>
      </c>
      <c r="L42" s="349">
        <f>+L44</f>
        <v>0</v>
      </c>
      <c r="M42" s="349">
        <f>+M44</f>
        <v>0</v>
      </c>
      <c r="N42" s="349">
        <f>+M42+L42</f>
        <v>0</v>
      </c>
      <c r="O42" s="349">
        <f>N42-K42</f>
        <v>0</v>
      </c>
      <c r="P42" s="350" t="e">
        <f>N42/K42*100</f>
        <v>#DIV/0!</v>
      </c>
      <c r="Q42" s="439"/>
      <c r="R42" s="422"/>
    </row>
    <row r="43" spans="1:18" s="189" customFormat="1" ht="12.05" customHeight="1">
      <c r="A43" s="289"/>
      <c r="B43" s="292"/>
      <c r="C43" s="292"/>
      <c r="D43" s="292"/>
      <c r="E43" s="292"/>
      <c r="F43" s="292"/>
      <c r="G43" s="253"/>
      <c r="H43" s="253"/>
      <c r="I43" s="253"/>
      <c r="J43" s="351"/>
      <c r="K43" s="352"/>
      <c r="L43" s="352"/>
      <c r="M43" s="352"/>
      <c r="N43" s="352"/>
      <c r="O43" s="352"/>
      <c r="P43" s="353"/>
      <c r="Q43" s="440"/>
      <c r="R43" s="422"/>
    </row>
    <row r="44" spans="1:18" s="189" customFormat="1" ht="12.05" customHeight="1">
      <c r="A44" s="294"/>
      <c r="B44" s="292">
        <v>4</v>
      </c>
      <c r="C44" s="292">
        <v>1</v>
      </c>
      <c r="D44" s="292">
        <v>2</v>
      </c>
      <c r="E44" s="292" t="s">
        <v>438</v>
      </c>
      <c r="F44" s="292"/>
      <c r="G44" s="253" t="s">
        <v>374</v>
      </c>
      <c r="H44" s="253"/>
      <c r="I44" s="253"/>
      <c r="J44" s="354">
        <f>J45</f>
        <v>4000000</v>
      </c>
      <c r="K44" s="355">
        <f>K45</f>
        <v>0</v>
      </c>
      <c r="L44" s="355">
        <f>L45</f>
        <v>0</v>
      </c>
      <c r="M44" s="355">
        <f>M45</f>
        <v>0</v>
      </c>
      <c r="N44" s="346">
        <f>+M44+L44</f>
        <v>0</v>
      </c>
      <c r="O44" s="346">
        <f>N44-K44</f>
        <v>0</v>
      </c>
      <c r="P44" s="347" t="e">
        <f>N44/K44*100</f>
        <v>#DIV/0!</v>
      </c>
      <c r="Q44" s="441"/>
      <c r="R44" s="422"/>
    </row>
    <row r="45" spans="1:18" s="189" customFormat="1" ht="12.05" customHeight="1">
      <c r="A45" s="294"/>
      <c r="B45" s="292">
        <v>4</v>
      </c>
      <c r="C45" s="292">
        <v>1</v>
      </c>
      <c r="D45" s="292">
        <v>2</v>
      </c>
      <c r="E45" s="292" t="s">
        <v>438</v>
      </c>
      <c r="F45" s="292" t="s">
        <v>448</v>
      </c>
      <c r="G45" s="253" t="s">
        <v>361</v>
      </c>
      <c r="H45" s="253"/>
      <c r="I45" s="253"/>
      <c r="J45" s="354">
        <f>+J46</f>
        <v>4000000</v>
      </c>
      <c r="K45" s="355">
        <f>+K46</f>
        <v>0</v>
      </c>
      <c r="L45" s="360">
        <f>+L46</f>
        <v>0</v>
      </c>
      <c r="M45" s="355">
        <f>+M46</f>
        <v>0</v>
      </c>
      <c r="N45" s="355">
        <f>M45+L45</f>
        <v>0</v>
      </c>
      <c r="O45" s="355">
        <f>N45-K45</f>
        <v>0</v>
      </c>
      <c r="P45" s="388" t="e">
        <f>N45/K45*100</f>
        <v>#DIV/0!</v>
      </c>
      <c r="Q45" s="441"/>
      <c r="R45" s="422"/>
    </row>
    <row r="46" spans="1:18" s="189" customFormat="1" ht="12.05" customHeight="1">
      <c r="A46" s="289"/>
      <c r="B46" s="292"/>
      <c r="C46" s="292"/>
      <c r="D46" s="292"/>
      <c r="E46" s="292"/>
      <c r="F46" s="292"/>
      <c r="G46" s="253" t="s">
        <v>50</v>
      </c>
      <c r="H46" s="253"/>
      <c r="I46" s="253" t="s">
        <v>949</v>
      </c>
      <c r="J46" s="389">
        <v>4000000</v>
      </c>
      <c r="K46" s="390">
        <f>'[57]TARGET MURNI DAN PERUBAHAN'!$E$27</f>
        <v>0</v>
      </c>
      <c r="L46" s="391">
        <f>[62]PerDinas!$N$46</f>
        <v>0</v>
      </c>
      <c r="M46" s="390">
        <f>[55]Perdinas!$E$29</f>
        <v>0</v>
      </c>
      <c r="N46" s="357">
        <f>M46+L46</f>
        <v>0</v>
      </c>
      <c r="O46" s="357">
        <f>N46-K46</f>
        <v>0</v>
      </c>
      <c r="P46" s="358" t="e">
        <f>N46/K46*100</f>
        <v>#DIV/0!</v>
      </c>
      <c r="Q46" s="442"/>
      <c r="R46" s="422"/>
    </row>
    <row r="47" spans="1:18" s="189" customFormat="1" ht="12.05" customHeight="1">
      <c r="A47" s="289"/>
      <c r="B47" s="292"/>
      <c r="C47" s="292"/>
      <c r="D47" s="292"/>
      <c r="E47" s="292"/>
      <c r="F47" s="292"/>
      <c r="G47" s="253"/>
      <c r="H47" s="253"/>
      <c r="I47" s="253"/>
      <c r="J47" s="354"/>
      <c r="K47" s="355"/>
      <c r="L47" s="360"/>
      <c r="M47" s="355"/>
      <c r="N47" s="355"/>
      <c r="O47" s="355"/>
      <c r="P47" s="388"/>
      <c r="Q47" s="441"/>
      <c r="R47" s="422"/>
    </row>
    <row r="48" spans="1:18" s="189" customFormat="1" ht="12.05" customHeight="1">
      <c r="A48" s="294"/>
      <c r="B48" s="290">
        <v>4</v>
      </c>
      <c r="C48" s="290">
        <v>1</v>
      </c>
      <c r="D48" s="290">
        <v>4</v>
      </c>
      <c r="E48" s="290"/>
      <c r="F48" s="290"/>
      <c r="G48" s="291" t="s">
        <v>71</v>
      </c>
      <c r="H48" s="291"/>
      <c r="I48" s="291"/>
      <c r="J48" s="392"/>
      <c r="K48" s="393"/>
      <c r="L48" s="394">
        <f>L51+L55+L49</f>
        <v>8350000</v>
      </c>
      <c r="M48" s="393">
        <f>M51+M55+M49</f>
        <v>0</v>
      </c>
      <c r="N48" s="364">
        <f>M48+L48</f>
        <v>8350000</v>
      </c>
      <c r="O48" s="395">
        <f>N48-K48</f>
        <v>8350000</v>
      </c>
      <c r="P48" s="350"/>
      <c r="Q48" s="444"/>
      <c r="R48" s="422"/>
    </row>
    <row r="49" spans="1:19" s="189" customFormat="1" ht="12.05" customHeight="1">
      <c r="A49" s="294"/>
      <c r="B49" s="292">
        <v>4</v>
      </c>
      <c r="C49" s="292">
        <v>1</v>
      </c>
      <c r="D49" s="292">
        <v>4</v>
      </c>
      <c r="E49" s="292" t="s">
        <v>441</v>
      </c>
      <c r="F49" s="292"/>
      <c r="G49" s="253" t="s">
        <v>557</v>
      </c>
      <c r="H49" s="253"/>
      <c r="I49" s="253"/>
      <c r="J49" s="333">
        <f>+J50</f>
        <v>0</v>
      </c>
      <c r="K49" s="334">
        <f>+K50</f>
        <v>0</v>
      </c>
      <c r="L49" s="356">
        <f>+L50</f>
        <v>0</v>
      </c>
      <c r="M49" s="334">
        <f>+M50</f>
        <v>0</v>
      </c>
      <c r="N49" s="396">
        <f>+M49+L49</f>
        <v>0</v>
      </c>
      <c r="O49" s="396">
        <f>N49-K49</f>
        <v>0</v>
      </c>
      <c r="P49" s="344"/>
      <c r="Q49" s="445"/>
      <c r="R49" s="422"/>
    </row>
    <row r="50" spans="1:19" s="189" customFormat="1" ht="12.05" customHeight="1">
      <c r="A50" s="294"/>
      <c r="B50" s="292">
        <v>4</v>
      </c>
      <c r="C50" s="292">
        <v>1</v>
      </c>
      <c r="D50" s="292">
        <v>4</v>
      </c>
      <c r="E50" s="292" t="s">
        <v>441</v>
      </c>
      <c r="F50" s="292" t="s">
        <v>437</v>
      </c>
      <c r="G50" s="253" t="s">
        <v>72</v>
      </c>
      <c r="H50" s="253"/>
      <c r="I50" s="253"/>
      <c r="J50" s="354">
        <v>0</v>
      </c>
      <c r="K50" s="373">
        <f>'[57]TARGET MURNI DAN PERUBAHAN'!$E$30</f>
        <v>0</v>
      </c>
      <c r="L50" s="360">
        <f>[62]PerDinas!$N$50</f>
        <v>0</v>
      </c>
      <c r="M50" s="373">
        <f>[55]Perdinas!$E$32</f>
        <v>0</v>
      </c>
      <c r="N50" s="355">
        <f t="shared" ref="N50:N56" si="6">M50+L50</f>
        <v>0</v>
      </c>
      <c r="O50" s="355">
        <f>N50-K50</f>
        <v>0</v>
      </c>
      <c r="P50" s="388"/>
      <c r="Q50" s="445"/>
      <c r="R50" s="422"/>
    </row>
    <row r="51" spans="1:19" s="189" customFormat="1" ht="12.05" customHeight="1">
      <c r="A51" s="289"/>
      <c r="B51" s="292">
        <v>4</v>
      </c>
      <c r="C51" s="292">
        <v>1</v>
      </c>
      <c r="D51" s="292">
        <v>4</v>
      </c>
      <c r="E51" s="292" t="s">
        <v>444</v>
      </c>
      <c r="F51" s="292"/>
      <c r="G51" s="253" t="s">
        <v>222</v>
      </c>
      <c r="H51" s="253"/>
      <c r="I51" s="253"/>
      <c r="J51" s="333">
        <f>+J54</f>
        <v>0</v>
      </c>
      <c r="K51" s="334">
        <f>SUM(K52:K54)</f>
        <v>0</v>
      </c>
      <c r="L51" s="356">
        <f>SUM(L52:L54)</f>
        <v>8350000</v>
      </c>
      <c r="M51" s="334">
        <f>SUM(M52:M54)</f>
        <v>0</v>
      </c>
      <c r="N51" s="361">
        <f>N54</f>
        <v>8350000</v>
      </c>
      <c r="O51" s="334">
        <f>SUM(O52:O55)</f>
        <v>8350000</v>
      </c>
      <c r="P51" s="335">
        <f>SUM(P52:P55)</f>
        <v>0</v>
      </c>
      <c r="Q51" s="430"/>
      <c r="R51" s="422"/>
    </row>
    <row r="52" spans="1:19" s="189" customFormat="1" ht="12.05" customHeight="1">
      <c r="A52" s="289"/>
      <c r="B52" s="292">
        <v>4</v>
      </c>
      <c r="C52" s="292">
        <v>1</v>
      </c>
      <c r="D52" s="292">
        <v>4</v>
      </c>
      <c r="E52" s="292" t="s">
        <v>444</v>
      </c>
      <c r="F52" s="292" t="s">
        <v>440</v>
      </c>
      <c r="G52" s="253" t="s">
        <v>73</v>
      </c>
      <c r="H52" s="253"/>
      <c r="I52" s="253"/>
      <c r="J52" s="354">
        <v>0</v>
      </c>
      <c r="K52" s="355">
        <v>0</v>
      </c>
      <c r="L52" s="355"/>
      <c r="M52" s="355">
        <f>[55]Perdinas!$E$33</f>
        <v>0</v>
      </c>
      <c r="N52" s="355">
        <f t="shared" si="6"/>
        <v>0</v>
      </c>
      <c r="O52" s="355">
        <f t="shared" ref="O52:O57" si="7">N52-K52</f>
        <v>0</v>
      </c>
      <c r="P52" s="388"/>
      <c r="Q52" s="441"/>
      <c r="R52" s="422"/>
    </row>
    <row r="53" spans="1:19" s="189" customFormat="1" ht="12.05" customHeight="1">
      <c r="A53" s="289"/>
      <c r="B53" s="292">
        <v>4</v>
      </c>
      <c r="C53" s="292">
        <v>1</v>
      </c>
      <c r="D53" s="292">
        <v>4</v>
      </c>
      <c r="E53" s="292" t="s">
        <v>444</v>
      </c>
      <c r="F53" s="292" t="s">
        <v>445</v>
      </c>
      <c r="G53" s="253" t="s">
        <v>74</v>
      </c>
      <c r="H53" s="253"/>
      <c r="I53" s="253"/>
      <c r="J53" s="389">
        <v>0</v>
      </c>
      <c r="K53" s="357">
        <v>0</v>
      </c>
      <c r="L53" s="357">
        <v>0</v>
      </c>
      <c r="M53" s="357">
        <f>[55]Perdinas!$E$34</f>
        <v>0</v>
      </c>
      <c r="N53" s="357">
        <f t="shared" si="6"/>
        <v>0</v>
      </c>
      <c r="O53" s="357">
        <f t="shared" si="7"/>
        <v>0</v>
      </c>
      <c r="P53" s="358"/>
      <c r="Q53" s="442"/>
      <c r="R53" s="422"/>
    </row>
    <row r="54" spans="1:19" s="189" customFormat="1" ht="12.05" customHeight="1">
      <c r="A54" s="289"/>
      <c r="B54" s="292">
        <v>4</v>
      </c>
      <c r="C54" s="292">
        <v>1</v>
      </c>
      <c r="D54" s="292">
        <v>4</v>
      </c>
      <c r="E54" s="292" t="s">
        <v>444</v>
      </c>
      <c r="F54" s="292" t="s">
        <v>441</v>
      </c>
      <c r="G54" s="253" t="s">
        <v>75</v>
      </c>
      <c r="H54" s="253"/>
      <c r="I54" s="253"/>
      <c r="J54" s="351">
        <v>0</v>
      </c>
      <c r="K54" s="352">
        <f>'[57]TARGET MURNI DAN PERUBAHAN'!$E$31</f>
        <v>0</v>
      </c>
      <c r="L54" s="352">
        <f>[62]PerDinas!$N$54</f>
        <v>8350000</v>
      </c>
      <c r="M54" s="352">
        <f>[55]Perdinas!$E$35</f>
        <v>0</v>
      </c>
      <c r="N54" s="352">
        <f t="shared" si="6"/>
        <v>8350000</v>
      </c>
      <c r="O54" s="352">
        <f t="shared" si="7"/>
        <v>8350000</v>
      </c>
      <c r="P54" s="353"/>
      <c r="Q54" s="441"/>
      <c r="R54" s="422"/>
    </row>
    <row r="55" spans="1:19" s="190" customFormat="1" ht="12.05" customHeight="1">
      <c r="A55" s="303"/>
      <c r="B55" s="290">
        <v>4</v>
      </c>
      <c r="C55" s="290">
        <v>1</v>
      </c>
      <c r="D55" s="290">
        <v>4</v>
      </c>
      <c r="E55" s="290" t="s">
        <v>948</v>
      </c>
      <c r="F55" s="290" t="s">
        <v>437</v>
      </c>
      <c r="G55" s="291" t="s">
        <v>321</v>
      </c>
      <c r="H55" s="291"/>
      <c r="I55" s="291"/>
      <c r="J55" s="397">
        <v>0</v>
      </c>
      <c r="K55" s="398">
        <v>0</v>
      </c>
      <c r="L55" s="371">
        <f>L56</f>
        <v>0</v>
      </c>
      <c r="M55" s="371">
        <f>M56</f>
        <v>0</v>
      </c>
      <c r="N55" s="371">
        <f t="shared" si="6"/>
        <v>0</v>
      </c>
      <c r="O55" s="371">
        <f t="shared" si="7"/>
        <v>0</v>
      </c>
      <c r="P55" s="399"/>
      <c r="Q55" s="455"/>
      <c r="R55" s="446"/>
    </row>
    <row r="56" spans="1:19" s="245" customFormat="1" ht="12.05" customHeight="1">
      <c r="A56" s="304"/>
      <c r="B56" s="305"/>
      <c r="C56" s="305"/>
      <c r="D56" s="305"/>
      <c r="E56" s="305"/>
      <c r="F56" s="305"/>
      <c r="G56" s="306" t="s">
        <v>50</v>
      </c>
      <c r="H56" s="306"/>
      <c r="I56" s="306" t="s">
        <v>76</v>
      </c>
      <c r="J56" s="400">
        <v>0</v>
      </c>
      <c r="K56" s="401">
        <f>'[57]TARGET MURNI DAN PERUBAHAN'!$E$32</f>
        <v>0</v>
      </c>
      <c r="L56" s="402">
        <f>[62]PerDinas!$N$56</f>
        <v>0</v>
      </c>
      <c r="M56" s="401">
        <f>[55]Perdinas!$E$36</f>
        <v>0</v>
      </c>
      <c r="N56" s="403">
        <f t="shared" si="6"/>
        <v>0</v>
      </c>
      <c r="O56" s="404">
        <f t="shared" si="7"/>
        <v>0</v>
      </c>
      <c r="P56" s="405"/>
      <c r="Q56" s="456"/>
      <c r="R56" s="450"/>
    </row>
    <row r="57" spans="1:19" s="247" customFormat="1" ht="22.55" customHeight="1">
      <c r="A57" s="307"/>
      <c r="B57" s="308" t="s">
        <v>58</v>
      </c>
      <c r="C57" s="308" t="s">
        <v>438</v>
      </c>
      <c r="D57" s="308" t="s">
        <v>437</v>
      </c>
      <c r="E57" s="308" t="s">
        <v>438</v>
      </c>
      <c r="F57" s="309"/>
      <c r="G57" s="310" t="s">
        <v>950</v>
      </c>
      <c r="H57" s="311"/>
      <c r="I57" s="406"/>
      <c r="J57" s="407">
        <f>+J59</f>
        <v>650250000</v>
      </c>
      <c r="K57" s="408">
        <f>+K59</f>
        <v>1000000000</v>
      </c>
      <c r="L57" s="408">
        <f>+L59</f>
        <v>1062436240</v>
      </c>
      <c r="M57" s="408">
        <f>+M59</f>
        <v>70874000</v>
      </c>
      <c r="N57" s="408">
        <f t="shared" ref="N57:N62" si="8">+M57+L57</f>
        <v>1133310240</v>
      </c>
      <c r="O57" s="408">
        <f t="shared" si="7"/>
        <v>133310240</v>
      </c>
      <c r="P57" s="409">
        <f t="shared" ref="P57:P63" si="9">N57/K57*100</f>
        <v>113.33102399999999</v>
      </c>
      <c r="Q57" s="457"/>
      <c r="R57" s="458"/>
    </row>
    <row r="58" spans="1:19" s="189" customFormat="1" ht="12.05" customHeight="1">
      <c r="A58" s="286"/>
      <c r="B58" s="287"/>
      <c r="C58" s="287"/>
      <c r="D58" s="287"/>
      <c r="E58" s="287"/>
      <c r="F58" s="287"/>
      <c r="G58" s="288"/>
      <c r="H58" s="288"/>
      <c r="I58" s="410"/>
      <c r="J58" s="385"/>
      <c r="K58" s="386"/>
      <c r="L58" s="386"/>
      <c r="M58" s="386"/>
      <c r="N58" s="386"/>
      <c r="O58" s="386"/>
      <c r="P58" s="341"/>
      <c r="Q58" s="453"/>
      <c r="R58" s="422"/>
    </row>
    <row r="59" spans="1:19" s="189" customFormat="1" ht="12.05" customHeight="1">
      <c r="A59" s="294"/>
      <c r="B59" s="290">
        <v>4</v>
      </c>
      <c r="C59" s="290">
        <v>1</v>
      </c>
      <c r="D59" s="290"/>
      <c r="E59" s="290"/>
      <c r="F59" s="290"/>
      <c r="G59" s="291" t="s">
        <v>180</v>
      </c>
      <c r="H59" s="291"/>
      <c r="I59" s="291"/>
      <c r="J59" s="387">
        <f>+J61+J66</f>
        <v>650250000</v>
      </c>
      <c r="K59" s="367">
        <f>+K61+K66</f>
        <v>1000000000</v>
      </c>
      <c r="L59" s="367">
        <f>+L61+L66</f>
        <v>1062436240</v>
      </c>
      <c r="M59" s="367">
        <f>+M61+M66</f>
        <v>70874000</v>
      </c>
      <c r="N59" s="367">
        <f t="shared" si="8"/>
        <v>1133310240</v>
      </c>
      <c r="O59" s="367">
        <f t="shared" ref="O59:O64" si="10">N59-K59</f>
        <v>133310240</v>
      </c>
      <c r="P59" s="347">
        <f t="shared" si="9"/>
        <v>113.33102399999999</v>
      </c>
      <c r="Q59" s="454"/>
      <c r="R59" s="422"/>
    </row>
    <row r="60" spans="1:19" s="189" customFormat="1" ht="12.05" customHeight="1">
      <c r="A60" s="289"/>
      <c r="B60" s="292"/>
      <c r="C60" s="292"/>
      <c r="D60" s="292"/>
      <c r="E60" s="292"/>
      <c r="F60" s="292"/>
      <c r="G60" s="253"/>
      <c r="H60" s="253"/>
      <c r="I60" s="253"/>
      <c r="J60" s="387"/>
      <c r="K60" s="367"/>
      <c r="L60" s="367"/>
      <c r="M60" s="367"/>
      <c r="N60" s="367"/>
      <c r="O60" s="367"/>
      <c r="P60" s="347"/>
      <c r="Q60" s="454"/>
      <c r="R60" s="422"/>
    </row>
    <row r="61" spans="1:19" s="189" customFormat="1" ht="12.05" customHeight="1">
      <c r="A61" s="294"/>
      <c r="B61" s="290">
        <v>4</v>
      </c>
      <c r="C61" s="290">
        <v>1</v>
      </c>
      <c r="D61" s="290">
        <v>2</v>
      </c>
      <c r="E61" s="290"/>
      <c r="F61" s="290"/>
      <c r="G61" s="291" t="s">
        <v>106</v>
      </c>
      <c r="H61" s="291"/>
      <c r="I61" s="253"/>
      <c r="J61" s="348">
        <f>+J62</f>
        <v>650000000</v>
      </c>
      <c r="K61" s="349">
        <f>+K62</f>
        <v>1000000000</v>
      </c>
      <c r="L61" s="349">
        <f>+L62</f>
        <v>1059100240</v>
      </c>
      <c r="M61" s="349">
        <f>+M62</f>
        <v>70874000</v>
      </c>
      <c r="N61" s="349">
        <f t="shared" si="8"/>
        <v>1129974240</v>
      </c>
      <c r="O61" s="349">
        <f t="shared" si="10"/>
        <v>129974240</v>
      </c>
      <c r="P61" s="350">
        <f t="shared" si="9"/>
        <v>112.997424</v>
      </c>
      <c r="Q61" s="459"/>
      <c r="R61" s="460"/>
    </row>
    <row r="62" spans="1:19" s="189" customFormat="1" ht="12.05" customHeight="1">
      <c r="A62" s="294"/>
      <c r="B62" s="292">
        <v>4</v>
      </c>
      <c r="C62" s="292">
        <v>1</v>
      </c>
      <c r="D62" s="292">
        <v>2</v>
      </c>
      <c r="E62" s="292" t="s">
        <v>437</v>
      </c>
      <c r="F62" s="292"/>
      <c r="G62" s="253" t="s">
        <v>107</v>
      </c>
      <c r="H62" s="253"/>
      <c r="I62" s="253"/>
      <c r="J62" s="411">
        <f>+J63+J64</f>
        <v>650000000</v>
      </c>
      <c r="K62" s="412">
        <f>+K63+K64</f>
        <v>1000000000</v>
      </c>
      <c r="L62" s="412">
        <f>+L63+L64</f>
        <v>1059100240</v>
      </c>
      <c r="M62" s="412">
        <f>+M63+M64</f>
        <v>70874000</v>
      </c>
      <c r="N62" s="413">
        <f t="shared" si="8"/>
        <v>1129974240</v>
      </c>
      <c r="O62" s="413">
        <f t="shared" si="10"/>
        <v>129974240</v>
      </c>
      <c r="P62" s="414">
        <f t="shared" si="9"/>
        <v>112.997424</v>
      </c>
      <c r="Q62" s="461"/>
      <c r="R62" s="422"/>
    </row>
    <row r="63" spans="1:19" s="189" customFormat="1" ht="12.05" customHeight="1">
      <c r="A63" s="294"/>
      <c r="B63" s="292">
        <v>4</v>
      </c>
      <c r="C63" s="292">
        <v>1</v>
      </c>
      <c r="D63" s="292">
        <v>2</v>
      </c>
      <c r="E63" s="292" t="s">
        <v>437</v>
      </c>
      <c r="F63" s="292" t="s">
        <v>437</v>
      </c>
      <c r="G63" s="253" t="s">
        <v>84</v>
      </c>
      <c r="H63" s="253"/>
      <c r="I63" s="253"/>
      <c r="J63" s="389">
        <v>650000000</v>
      </c>
      <c r="K63" s="390">
        <f>'[57]TARGET MURNI DAN PERUBAHAN'!$E$36</f>
        <v>1000000000</v>
      </c>
      <c r="L63" s="391">
        <f>[62]PerDinas!$N$63</f>
        <v>1059100240</v>
      </c>
      <c r="M63" s="390">
        <f>[55]Perdinas!$E$40</f>
        <v>70874000</v>
      </c>
      <c r="N63" s="415">
        <f>M63+L63</f>
        <v>1129974240</v>
      </c>
      <c r="O63" s="357">
        <f t="shared" si="10"/>
        <v>129974240</v>
      </c>
      <c r="P63" s="358">
        <f t="shared" si="9"/>
        <v>112.997424</v>
      </c>
      <c r="Q63" s="462"/>
      <c r="R63" s="463"/>
      <c r="S63" s="436"/>
    </row>
    <row r="64" spans="1:19" s="189" customFormat="1" ht="12.05" customHeight="1">
      <c r="A64" s="294"/>
      <c r="B64" s="292">
        <v>4</v>
      </c>
      <c r="C64" s="292">
        <v>1</v>
      </c>
      <c r="D64" s="292">
        <v>2</v>
      </c>
      <c r="E64" s="292" t="s">
        <v>437</v>
      </c>
      <c r="F64" s="292" t="s">
        <v>441</v>
      </c>
      <c r="G64" s="253" t="s">
        <v>951</v>
      </c>
      <c r="H64" s="253"/>
      <c r="I64" s="253"/>
      <c r="J64" s="333"/>
      <c r="K64" s="334"/>
      <c r="L64" s="356">
        <v>0</v>
      </c>
      <c r="M64" s="334"/>
      <c r="N64" s="330">
        <f>M64+L64</f>
        <v>0</v>
      </c>
      <c r="O64" s="334">
        <f t="shared" si="10"/>
        <v>0</v>
      </c>
      <c r="P64" s="335"/>
      <c r="Q64" s="430"/>
      <c r="R64" s="464"/>
    </row>
    <row r="65" spans="1:20" s="189" customFormat="1" ht="12.05" customHeight="1">
      <c r="A65" s="289"/>
      <c r="B65" s="292"/>
      <c r="C65" s="292"/>
      <c r="D65" s="292"/>
      <c r="E65" s="292"/>
      <c r="F65" s="292"/>
      <c r="G65" s="253"/>
      <c r="H65" s="253"/>
      <c r="I65" s="253"/>
      <c r="J65" s="354"/>
      <c r="K65" s="355"/>
      <c r="L65" s="355"/>
      <c r="M65" s="355"/>
      <c r="N65" s="355"/>
      <c r="O65" s="355"/>
      <c r="P65" s="388"/>
      <c r="Q65" s="441"/>
      <c r="R65" s="539"/>
      <c r="S65" s="540"/>
    </row>
    <row r="66" spans="1:20" s="189" customFormat="1" ht="12.05" customHeight="1">
      <c r="A66" s="294"/>
      <c r="B66" s="290">
        <v>4</v>
      </c>
      <c r="C66" s="290">
        <v>1</v>
      </c>
      <c r="D66" s="290">
        <v>4</v>
      </c>
      <c r="E66" s="290"/>
      <c r="F66" s="290"/>
      <c r="G66" s="291" t="s">
        <v>71</v>
      </c>
      <c r="H66" s="291"/>
      <c r="I66" s="291"/>
      <c r="J66" s="392">
        <f>J67+J72</f>
        <v>250000</v>
      </c>
      <c r="K66" s="393">
        <f>K67+K72</f>
        <v>0</v>
      </c>
      <c r="L66" s="393">
        <f>L67+L72</f>
        <v>3336000</v>
      </c>
      <c r="M66" s="393">
        <f>M67+M72</f>
        <v>0</v>
      </c>
      <c r="N66" s="393">
        <f>N67+N72</f>
        <v>3336000</v>
      </c>
      <c r="O66" s="349">
        <f t="shared" ref="O66:O73" si="11">N66-K66</f>
        <v>3336000</v>
      </c>
      <c r="P66" s="350" t="e">
        <f>N66/K66*100</f>
        <v>#DIV/0!</v>
      </c>
      <c r="Q66" s="444"/>
      <c r="R66" s="422"/>
      <c r="T66" s="63"/>
    </row>
    <row r="67" spans="1:20" s="189" customFormat="1" ht="12.05" customHeight="1">
      <c r="A67" s="289"/>
      <c r="B67" s="292">
        <v>4</v>
      </c>
      <c r="C67" s="292">
        <v>1</v>
      </c>
      <c r="D67" s="292">
        <v>4</v>
      </c>
      <c r="E67" s="292" t="s">
        <v>444</v>
      </c>
      <c r="F67" s="292"/>
      <c r="G67" s="253" t="s">
        <v>222</v>
      </c>
      <c r="H67" s="253"/>
      <c r="I67" s="253"/>
      <c r="J67" s="475">
        <f>+J70</f>
        <v>0</v>
      </c>
      <c r="K67" s="476">
        <f>+K70</f>
        <v>0</v>
      </c>
      <c r="L67" s="476">
        <f>SUM(L68:L70)</f>
        <v>3336000</v>
      </c>
      <c r="M67" s="476">
        <f>SUM(M68:M70)</f>
        <v>0</v>
      </c>
      <c r="N67" s="476">
        <f>SUM(N68:N70)</f>
        <v>3336000</v>
      </c>
      <c r="O67" s="477">
        <f t="shared" si="11"/>
        <v>3336000</v>
      </c>
      <c r="P67" s="478">
        <v>0</v>
      </c>
      <c r="Q67" s="541"/>
      <c r="R67" s="422"/>
      <c r="T67" s="542"/>
    </row>
    <row r="68" spans="1:20" s="189" customFormat="1" ht="12.05" customHeight="1">
      <c r="A68" s="289"/>
      <c r="B68" s="292">
        <v>4</v>
      </c>
      <c r="C68" s="292">
        <v>1</v>
      </c>
      <c r="D68" s="292">
        <v>4</v>
      </c>
      <c r="E68" s="292" t="s">
        <v>444</v>
      </c>
      <c r="F68" s="292" t="s">
        <v>440</v>
      </c>
      <c r="G68" s="253" t="s">
        <v>73</v>
      </c>
      <c r="H68" s="253"/>
      <c r="I68" s="253"/>
      <c r="J68" s="354">
        <v>0</v>
      </c>
      <c r="K68" s="355">
        <v>0</v>
      </c>
      <c r="L68" s="360">
        <v>0</v>
      </c>
      <c r="M68" s="355">
        <f>[55]Perdinas!$E$44</f>
        <v>0</v>
      </c>
      <c r="N68" s="355">
        <f t="shared" ref="N68:N73" si="12">M68+L68</f>
        <v>0</v>
      </c>
      <c r="O68" s="355">
        <f t="shared" si="11"/>
        <v>0</v>
      </c>
      <c r="P68" s="388"/>
      <c r="Q68" s="441"/>
      <c r="R68" s="422"/>
    </row>
    <row r="69" spans="1:20" s="189" customFormat="1" ht="12.05" customHeight="1">
      <c r="A69" s="289"/>
      <c r="B69" s="292">
        <v>4</v>
      </c>
      <c r="C69" s="292">
        <v>1</v>
      </c>
      <c r="D69" s="292">
        <v>4</v>
      </c>
      <c r="E69" s="292" t="s">
        <v>444</v>
      </c>
      <c r="F69" s="292" t="s">
        <v>445</v>
      </c>
      <c r="G69" s="253" t="s">
        <v>74</v>
      </c>
      <c r="H69" s="253"/>
      <c r="I69" s="253"/>
      <c r="J69" s="354">
        <v>0</v>
      </c>
      <c r="K69" s="355">
        <v>0</v>
      </c>
      <c r="L69" s="360">
        <v>0</v>
      </c>
      <c r="M69" s="355">
        <f>[55]Perdinas!$E$45</f>
        <v>0</v>
      </c>
      <c r="N69" s="355">
        <f t="shared" si="12"/>
        <v>0</v>
      </c>
      <c r="O69" s="355">
        <f t="shared" si="11"/>
        <v>0</v>
      </c>
      <c r="P69" s="388"/>
      <c r="Q69" s="441"/>
      <c r="R69" s="422"/>
    </row>
    <row r="70" spans="1:20" s="189" customFormat="1" ht="12.05" customHeight="1">
      <c r="A70" s="289"/>
      <c r="B70" s="292">
        <v>4</v>
      </c>
      <c r="C70" s="292">
        <v>1</v>
      </c>
      <c r="D70" s="292">
        <v>4</v>
      </c>
      <c r="E70" s="292" t="s">
        <v>444</v>
      </c>
      <c r="F70" s="292" t="s">
        <v>441</v>
      </c>
      <c r="G70" s="253" t="s">
        <v>75</v>
      </c>
      <c r="H70" s="253"/>
      <c r="I70" s="253"/>
      <c r="J70" s="354">
        <v>0</v>
      </c>
      <c r="K70" s="390">
        <f>'[57]TARGET MURNI DAN PERUBAHAN'!$E$39</f>
        <v>0</v>
      </c>
      <c r="L70" s="360">
        <f>[62]PerDinas!$N$70</f>
        <v>3336000</v>
      </c>
      <c r="M70" s="390">
        <f>[55]Perdinas!$E$46</f>
        <v>0</v>
      </c>
      <c r="N70" s="369">
        <f t="shared" si="12"/>
        <v>3336000</v>
      </c>
      <c r="O70" s="355">
        <f t="shared" si="11"/>
        <v>3336000</v>
      </c>
      <c r="P70" s="388"/>
      <c r="Q70" s="441"/>
      <c r="R70" s="422"/>
    </row>
    <row r="71" spans="1:20" s="189" customFormat="1" ht="12.05" customHeight="1">
      <c r="A71" s="289"/>
      <c r="B71" s="292"/>
      <c r="C71" s="292"/>
      <c r="D71" s="292"/>
      <c r="E71" s="292"/>
      <c r="F71" s="292"/>
      <c r="G71" s="253"/>
      <c r="H71" s="253"/>
      <c r="I71" s="253"/>
      <c r="J71" s="354">
        <v>0</v>
      </c>
      <c r="K71" s="355">
        <v>0</v>
      </c>
      <c r="L71" s="360">
        <v>0</v>
      </c>
      <c r="M71" s="355">
        <v>0</v>
      </c>
      <c r="N71" s="355">
        <f t="shared" si="12"/>
        <v>0</v>
      </c>
      <c r="O71" s="355">
        <f t="shared" si="11"/>
        <v>0</v>
      </c>
      <c r="P71" s="388"/>
      <c r="Q71" s="461"/>
      <c r="R71" s="422"/>
    </row>
    <row r="72" spans="1:20" s="190" customFormat="1" ht="12.05" customHeight="1">
      <c r="A72" s="465"/>
      <c r="B72" s="466">
        <v>4</v>
      </c>
      <c r="C72" s="466">
        <v>1</v>
      </c>
      <c r="D72" s="466">
        <v>4</v>
      </c>
      <c r="E72" s="466" t="s">
        <v>948</v>
      </c>
      <c r="F72" s="466"/>
      <c r="G72" s="467" t="s">
        <v>321</v>
      </c>
      <c r="H72" s="467"/>
      <c r="I72" s="467"/>
      <c r="J72" s="479">
        <f>+J73</f>
        <v>250000</v>
      </c>
      <c r="K72" s="480">
        <f>+K73</f>
        <v>0</v>
      </c>
      <c r="L72" s="481">
        <f>+L73</f>
        <v>0</v>
      </c>
      <c r="M72" s="480">
        <f>+M73</f>
        <v>0</v>
      </c>
      <c r="N72" s="480">
        <f t="shared" si="12"/>
        <v>0</v>
      </c>
      <c r="O72" s="480">
        <f t="shared" si="11"/>
        <v>0</v>
      </c>
      <c r="P72" s="353"/>
      <c r="Q72" s="447"/>
      <c r="R72" s="543"/>
    </row>
    <row r="73" spans="1:20" s="245" customFormat="1" ht="12.05" customHeight="1">
      <c r="A73" s="289"/>
      <c r="B73" s="292">
        <v>4</v>
      </c>
      <c r="C73" s="292">
        <v>1</v>
      </c>
      <c r="D73" s="292">
        <v>4</v>
      </c>
      <c r="E73" s="292" t="s">
        <v>948</v>
      </c>
      <c r="F73" s="292" t="s">
        <v>437</v>
      </c>
      <c r="G73" s="253" t="s">
        <v>50</v>
      </c>
      <c r="H73" s="253"/>
      <c r="I73" s="253" t="s">
        <v>85</v>
      </c>
      <c r="J73" s="354">
        <v>250000</v>
      </c>
      <c r="K73" s="373">
        <f>'[57]TARGET MURNI DAN PERUBAHAN'!$E$48</f>
        <v>0</v>
      </c>
      <c r="L73" s="360">
        <f>[62]PerDinas!$N$73</f>
        <v>0</v>
      </c>
      <c r="M73" s="373">
        <f>[55]Perdinas!$E$47</f>
        <v>0</v>
      </c>
      <c r="N73" s="369">
        <f t="shared" si="12"/>
        <v>0</v>
      </c>
      <c r="O73" s="355">
        <f t="shared" si="11"/>
        <v>0</v>
      </c>
      <c r="P73" s="388"/>
      <c r="Q73" s="441"/>
      <c r="R73" s="544"/>
      <c r="S73" s="436"/>
    </row>
    <row r="74" spans="1:20" s="189" customFormat="1" ht="12.05" customHeight="1">
      <c r="A74" s="468"/>
      <c r="B74" s="469"/>
      <c r="C74" s="469"/>
      <c r="D74" s="469"/>
      <c r="E74" s="469"/>
      <c r="F74" s="469"/>
      <c r="G74" s="245"/>
      <c r="H74" s="245"/>
      <c r="I74" s="245"/>
      <c r="J74" s="482"/>
      <c r="K74" s="404"/>
      <c r="L74" s="404"/>
      <c r="M74" s="404"/>
      <c r="N74" s="404"/>
      <c r="O74" s="404"/>
      <c r="P74" s="483"/>
      <c r="Q74" s="456"/>
      <c r="R74" s="422"/>
    </row>
    <row r="75" spans="1:20" s="247" customFormat="1" ht="21.8" customHeight="1">
      <c r="A75" s="470"/>
      <c r="B75" s="308" t="s">
        <v>58</v>
      </c>
      <c r="C75" s="308" t="s">
        <v>438</v>
      </c>
      <c r="D75" s="308" t="s">
        <v>437</v>
      </c>
      <c r="E75" s="308" t="s">
        <v>451</v>
      </c>
      <c r="F75" s="308"/>
      <c r="G75" s="310" t="s">
        <v>952</v>
      </c>
      <c r="H75" s="310"/>
      <c r="I75" s="310"/>
      <c r="J75" s="407">
        <f>+J77</f>
        <v>150000000</v>
      </c>
      <c r="K75" s="408">
        <f>+K77</f>
        <v>110000000</v>
      </c>
      <c r="L75" s="408">
        <f>+L77</f>
        <v>142897500</v>
      </c>
      <c r="M75" s="408">
        <f>+M77</f>
        <v>26386500</v>
      </c>
      <c r="N75" s="408">
        <f>M75+L75</f>
        <v>169284000</v>
      </c>
      <c r="O75" s="408">
        <f>+N75-K75</f>
        <v>59284000</v>
      </c>
      <c r="P75" s="409">
        <f>+N75/K75*100</f>
        <v>153.89454545454547</v>
      </c>
      <c r="Q75" s="457"/>
      <c r="R75" s="458"/>
    </row>
    <row r="76" spans="1:20" s="189" customFormat="1" ht="12.05" customHeight="1">
      <c r="A76" s="471"/>
      <c r="B76" s="287"/>
      <c r="C76" s="287"/>
      <c r="D76" s="287"/>
      <c r="E76" s="287"/>
      <c r="F76" s="287"/>
      <c r="G76" s="288"/>
      <c r="H76" s="288"/>
      <c r="I76" s="288"/>
      <c r="J76" s="385"/>
      <c r="K76" s="386"/>
      <c r="L76" s="386"/>
      <c r="M76" s="386"/>
      <c r="N76" s="386"/>
      <c r="O76" s="386"/>
      <c r="P76" s="341"/>
      <c r="Q76" s="453"/>
      <c r="R76" s="422"/>
    </row>
    <row r="77" spans="1:20" s="189" customFormat="1" ht="12.05" customHeight="1">
      <c r="A77" s="293"/>
      <c r="B77" s="290">
        <v>4</v>
      </c>
      <c r="C77" s="290">
        <v>1</v>
      </c>
      <c r="D77" s="290"/>
      <c r="E77" s="290"/>
      <c r="F77" s="290"/>
      <c r="G77" s="291" t="s">
        <v>180</v>
      </c>
      <c r="H77" s="291"/>
      <c r="I77" s="291"/>
      <c r="J77" s="342">
        <f>J78+J82</f>
        <v>150000000</v>
      </c>
      <c r="K77" s="343">
        <f>K78+K82</f>
        <v>110000000</v>
      </c>
      <c r="L77" s="343">
        <f>L78+L82</f>
        <v>142897500</v>
      </c>
      <c r="M77" s="343">
        <f>M78+M82</f>
        <v>26386500</v>
      </c>
      <c r="N77" s="343">
        <f>+M77+L77</f>
        <v>169284000</v>
      </c>
      <c r="O77" s="343">
        <f>N77-K77</f>
        <v>59284000</v>
      </c>
      <c r="P77" s="344">
        <f>N77/K77*100</f>
        <v>153.89454545454547</v>
      </c>
      <c r="Q77" s="437"/>
      <c r="R77" s="422"/>
    </row>
    <row r="78" spans="1:20" s="189" customFormat="1" ht="12.05" customHeight="1">
      <c r="A78" s="293"/>
      <c r="B78" s="290">
        <v>4</v>
      </c>
      <c r="C78" s="290">
        <v>1</v>
      </c>
      <c r="D78" s="290">
        <v>2</v>
      </c>
      <c r="E78" s="290"/>
      <c r="F78" s="290"/>
      <c r="G78" s="291" t="s">
        <v>106</v>
      </c>
      <c r="H78" s="291"/>
      <c r="I78" s="253"/>
      <c r="J78" s="392">
        <f>+J79</f>
        <v>150000000</v>
      </c>
      <c r="K78" s="393">
        <f>+K79</f>
        <v>110000000</v>
      </c>
      <c r="L78" s="393">
        <f>+L79</f>
        <v>142666500</v>
      </c>
      <c r="M78" s="393">
        <f>+M79</f>
        <v>26386500</v>
      </c>
      <c r="N78" s="349">
        <f>+M78+L78</f>
        <v>169053000</v>
      </c>
      <c r="O78" s="349">
        <f>N78-K78</f>
        <v>59053000</v>
      </c>
      <c r="P78" s="350">
        <f>N78/K78*100</f>
        <v>153.68454545454546</v>
      </c>
      <c r="Q78" s="444"/>
      <c r="R78" s="422"/>
    </row>
    <row r="79" spans="1:20" s="189" customFormat="1" ht="12.05" customHeight="1">
      <c r="A79" s="293"/>
      <c r="B79" s="292">
        <v>4</v>
      </c>
      <c r="C79" s="292">
        <v>1</v>
      </c>
      <c r="D79" s="292">
        <v>2</v>
      </c>
      <c r="E79" s="292" t="s">
        <v>437</v>
      </c>
      <c r="F79" s="292"/>
      <c r="G79" s="253" t="s">
        <v>107</v>
      </c>
      <c r="H79" s="253"/>
      <c r="I79" s="253"/>
      <c r="J79" s="484">
        <f>+J80</f>
        <v>150000000</v>
      </c>
      <c r="K79" s="485">
        <f>+K80</f>
        <v>110000000</v>
      </c>
      <c r="L79" s="486">
        <f>L80</f>
        <v>142666500</v>
      </c>
      <c r="M79" s="485">
        <f>M80</f>
        <v>26386500</v>
      </c>
      <c r="N79" s="485">
        <f>N80</f>
        <v>169053000</v>
      </c>
      <c r="O79" s="412">
        <f>N79-K79</f>
        <v>59053000</v>
      </c>
      <c r="P79" s="487">
        <f>N79/K79*100</f>
        <v>153.68454545454546</v>
      </c>
      <c r="Q79" s="461"/>
      <c r="R79" s="422"/>
    </row>
    <row r="80" spans="1:20" s="189" customFormat="1" ht="12.05" customHeight="1">
      <c r="A80" s="293"/>
      <c r="B80" s="292">
        <v>4</v>
      </c>
      <c r="C80" s="292">
        <v>1</v>
      </c>
      <c r="D80" s="292">
        <v>2</v>
      </c>
      <c r="E80" s="292" t="s">
        <v>438</v>
      </c>
      <c r="F80" s="292" t="s">
        <v>437</v>
      </c>
      <c r="G80" s="253" t="s">
        <v>84</v>
      </c>
      <c r="H80" s="253"/>
      <c r="I80" s="253"/>
      <c r="J80" s="354">
        <v>150000000</v>
      </c>
      <c r="K80" s="373">
        <f>'[57]TARGET MURNI DAN PERUBAHAN'!$E$44</f>
        <v>110000000</v>
      </c>
      <c r="L80" s="360">
        <f>[62]PerDinas!$N$80</f>
        <v>142666500</v>
      </c>
      <c r="M80" s="373">
        <f>[55]Perdinas!$E$51</f>
        <v>26386500</v>
      </c>
      <c r="N80" s="369">
        <f t="shared" ref="N80:N86" si="13">M80+L80</f>
        <v>169053000</v>
      </c>
      <c r="O80" s="355">
        <f>N80-K80</f>
        <v>59053000</v>
      </c>
      <c r="P80" s="388">
        <f>N80/K80*100</f>
        <v>153.68454545454546</v>
      </c>
      <c r="Q80" s="441"/>
      <c r="R80" s="545"/>
      <c r="S80" s="546"/>
    </row>
    <row r="81" spans="1:18" s="189" customFormat="1" ht="12.05" customHeight="1">
      <c r="A81" s="293"/>
      <c r="B81" s="292"/>
      <c r="C81" s="292"/>
      <c r="D81" s="292"/>
      <c r="E81" s="292"/>
      <c r="F81" s="292"/>
      <c r="G81" s="253"/>
      <c r="H81" s="253"/>
      <c r="I81" s="253"/>
      <c r="J81" s="354"/>
      <c r="K81" s="355"/>
      <c r="L81" s="355"/>
      <c r="M81" s="355"/>
      <c r="N81" s="355"/>
      <c r="O81" s="355"/>
      <c r="P81" s="388"/>
      <c r="Q81" s="441"/>
      <c r="R81" s="422"/>
    </row>
    <row r="82" spans="1:18" s="189" customFormat="1" ht="12.05" customHeight="1">
      <c r="A82" s="293"/>
      <c r="B82" s="290">
        <v>4</v>
      </c>
      <c r="C82" s="290">
        <v>1</v>
      </c>
      <c r="D82" s="290">
        <v>4</v>
      </c>
      <c r="E82" s="290"/>
      <c r="F82" s="290"/>
      <c r="G82" s="291" t="s">
        <v>71</v>
      </c>
      <c r="H82" s="291"/>
      <c r="I82" s="291"/>
      <c r="J82" s="392">
        <f>J83+J88</f>
        <v>0</v>
      </c>
      <c r="K82" s="393">
        <f>K83+K88</f>
        <v>0</v>
      </c>
      <c r="L82" s="393">
        <f>L83+L88</f>
        <v>231000</v>
      </c>
      <c r="M82" s="393">
        <f>M83+M88</f>
        <v>0</v>
      </c>
      <c r="N82" s="393">
        <f>N83+N88</f>
        <v>231000</v>
      </c>
      <c r="O82" s="349">
        <f>N82-K82</f>
        <v>231000</v>
      </c>
      <c r="P82" s="350"/>
      <c r="Q82" s="444"/>
      <c r="R82" s="422"/>
    </row>
    <row r="83" spans="1:18" s="189" customFormat="1" ht="12.05" customHeight="1">
      <c r="A83" s="289"/>
      <c r="B83" s="292">
        <v>4</v>
      </c>
      <c r="C83" s="292">
        <v>1</v>
      </c>
      <c r="D83" s="292">
        <v>4</v>
      </c>
      <c r="E83" s="292" t="s">
        <v>444</v>
      </c>
      <c r="F83" s="292"/>
      <c r="G83" s="253" t="s">
        <v>222</v>
      </c>
      <c r="H83" s="253"/>
      <c r="I83" s="253"/>
      <c r="J83" s="484">
        <f>+J86</f>
        <v>0</v>
      </c>
      <c r="K83" s="485">
        <f>+K86</f>
        <v>0</v>
      </c>
      <c r="L83" s="485">
        <f>SUM(L84:L86)</f>
        <v>224000</v>
      </c>
      <c r="M83" s="485">
        <f>SUM(M84:M86)</f>
        <v>0</v>
      </c>
      <c r="N83" s="485">
        <f>SUM(N84:N86)</f>
        <v>224000</v>
      </c>
      <c r="O83" s="412">
        <f>N83-K83</f>
        <v>224000</v>
      </c>
      <c r="P83" s="488">
        <v>0</v>
      </c>
      <c r="Q83" s="541"/>
      <c r="R83" s="422"/>
    </row>
    <row r="84" spans="1:18" s="189" customFormat="1" ht="12.05" customHeight="1">
      <c r="A84" s="289"/>
      <c r="B84" s="292">
        <v>4</v>
      </c>
      <c r="C84" s="292" t="s">
        <v>700</v>
      </c>
      <c r="D84" s="292">
        <v>4</v>
      </c>
      <c r="E84" s="292" t="s">
        <v>444</v>
      </c>
      <c r="F84" s="292" t="s">
        <v>440</v>
      </c>
      <c r="G84" s="253" t="s">
        <v>73</v>
      </c>
      <c r="H84" s="253"/>
      <c r="I84" s="253"/>
      <c r="J84" s="354">
        <v>0</v>
      </c>
      <c r="K84" s="355">
        <v>0</v>
      </c>
      <c r="L84" s="355">
        <v>0</v>
      </c>
      <c r="M84" s="355">
        <f>[55]Perdinas!$E$55</f>
        <v>0</v>
      </c>
      <c r="N84" s="355">
        <f t="shared" si="13"/>
        <v>0</v>
      </c>
      <c r="O84" s="355">
        <f>N84-K84</f>
        <v>0</v>
      </c>
      <c r="P84" s="388"/>
      <c r="Q84" s="442"/>
      <c r="R84" s="422"/>
    </row>
    <row r="85" spans="1:18" s="189" customFormat="1" ht="12.05" customHeight="1">
      <c r="A85" s="289"/>
      <c r="B85" s="292">
        <v>4</v>
      </c>
      <c r="C85" s="292">
        <v>1</v>
      </c>
      <c r="D85" s="292">
        <v>4</v>
      </c>
      <c r="E85" s="292" t="s">
        <v>444</v>
      </c>
      <c r="F85" s="292" t="s">
        <v>445</v>
      </c>
      <c r="G85" s="253" t="s">
        <v>74</v>
      </c>
      <c r="H85" s="253"/>
      <c r="I85" s="253"/>
      <c r="J85" s="354">
        <v>0</v>
      </c>
      <c r="K85" s="355">
        <v>0</v>
      </c>
      <c r="L85" s="360">
        <v>0</v>
      </c>
      <c r="M85" s="355">
        <f>[55]Perdinas!$E$56</f>
        <v>0</v>
      </c>
      <c r="N85" s="355">
        <f t="shared" si="13"/>
        <v>0</v>
      </c>
      <c r="O85" s="355">
        <f>N85-K85</f>
        <v>0</v>
      </c>
      <c r="P85" s="388"/>
      <c r="Q85" s="441"/>
      <c r="R85" s="422"/>
    </row>
    <row r="86" spans="1:18" s="189" customFormat="1" ht="12.05" customHeight="1">
      <c r="A86" s="289"/>
      <c r="B86" s="292">
        <v>4</v>
      </c>
      <c r="C86" s="292">
        <v>1</v>
      </c>
      <c r="D86" s="292">
        <v>4</v>
      </c>
      <c r="E86" s="292" t="s">
        <v>444</v>
      </c>
      <c r="F86" s="292" t="s">
        <v>441</v>
      </c>
      <c r="G86" s="253" t="s">
        <v>75</v>
      </c>
      <c r="H86" s="253"/>
      <c r="I86" s="253"/>
      <c r="J86" s="354">
        <v>0</v>
      </c>
      <c r="K86" s="355">
        <f>'[57]TARGET MURNI DAN PERUBAHAN'!$E$47</f>
        <v>0</v>
      </c>
      <c r="L86" s="360">
        <f>[62]PerDinas!$N$86</f>
        <v>224000</v>
      </c>
      <c r="M86" s="359">
        <f>[55]Perdinas!$E$57</f>
        <v>0</v>
      </c>
      <c r="N86" s="369">
        <f t="shared" si="13"/>
        <v>224000</v>
      </c>
      <c r="O86" s="355">
        <f>N86-K86</f>
        <v>224000</v>
      </c>
      <c r="P86" s="2769" t="s">
        <v>50</v>
      </c>
      <c r="Q86" s="441"/>
      <c r="R86" s="422"/>
    </row>
    <row r="87" spans="1:18" s="189" customFormat="1" ht="12.05" customHeight="1">
      <c r="A87" s="289"/>
      <c r="B87" s="292"/>
      <c r="C87" s="292"/>
      <c r="D87" s="292"/>
      <c r="E87" s="292"/>
      <c r="F87" s="292"/>
      <c r="G87" s="253"/>
      <c r="H87" s="253"/>
      <c r="I87" s="253"/>
      <c r="J87" s="354"/>
      <c r="K87" s="355"/>
      <c r="L87" s="360"/>
      <c r="M87" s="355"/>
      <c r="N87" s="355"/>
      <c r="O87" s="355"/>
      <c r="P87" s="388"/>
      <c r="Q87" s="441"/>
      <c r="R87" s="422"/>
    </row>
    <row r="88" spans="1:18" s="189" customFormat="1" ht="12.05" customHeight="1">
      <c r="A88" s="293"/>
      <c r="B88" s="292">
        <v>4</v>
      </c>
      <c r="C88" s="292">
        <v>1</v>
      </c>
      <c r="D88" s="292">
        <v>4</v>
      </c>
      <c r="E88" s="292" t="s">
        <v>948</v>
      </c>
      <c r="F88" s="292"/>
      <c r="G88" s="410" t="s">
        <v>321</v>
      </c>
      <c r="H88" s="410"/>
      <c r="I88" s="410"/>
      <c r="J88" s="489">
        <f t="shared" ref="J88:M89" si="14">+J89</f>
        <v>0</v>
      </c>
      <c r="K88" s="490">
        <f t="shared" si="14"/>
        <v>0</v>
      </c>
      <c r="L88" s="491">
        <f t="shared" si="14"/>
        <v>7000</v>
      </c>
      <c r="M88" s="490">
        <f t="shared" si="14"/>
        <v>0</v>
      </c>
      <c r="N88" s="492">
        <f>+M88+L88</f>
        <v>7000</v>
      </c>
      <c r="O88" s="492">
        <f>N88-K88</f>
        <v>7000</v>
      </c>
      <c r="P88" s="493">
        <v>0</v>
      </c>
      <c r="Q88" s="547"/>
      <c r="R88" s="422"/>
    </row>
    <row r="89" spans="1:18" s="189" customFormat="1" ht="12.05" customHeight="1">
      <c r="A89" s="293"/>
      <c r="B89" s="292">
        <v>4</v>
      </c>
      <c r="C89" s="292">
        <v>1</v>
      </c>
      <c r="D89" s="292">
        <v>4</v>
      </c>
      <c r="E89" s="292" t="s">
        <v>948</v>
      </c>
      <c r="F89" s="292" t="s">
        <v>437</v>
      </c>
      <c r="G89" s="253" t="s">
        <v>85</v>
      </c>
      <c r="H89" s="253"/>
      <c r="I89" s="253"/>
      <c r="J89" s="494">
        <f t="shared" si="14"/>
        <v>0</v>
      </c>
      <c r="K89" s="495">
        <f t="shared" si="14"/>
        <v>0</v>
      </c>
      <c r="L89" s="496">
        <f t="shared" si="14"/>
        <v>7000</v>
      </c>
      <c r="M89" s="496">
        <f>M90</f>
        <v>0</v>
      </c>
      <c r="N89" s="497">
        <f>M89+L89</f>
        <v>7000</v>
      </c>
      <c r="O89" s="497">
        <f>N89-K89</f>
        <v>7000</v>
      </c>
      <c r="P89" s="498">
        <v>0</v>
      </c>
      <c r="Q89" s="548"/>
      <c r="R89" s="422"/>
    </row>
    <row r="90" spans="1:18" s="245" customFormat="1" ht="12.05" customHeight="1">
      <c r="A90" s="472"/>
      <c r="B90" s="305"/>
      <c r="C90" s="305"/>
      <c r="D90" s="305"/>
      <c r="E90" s="305"/>
      <c r="F90" s="305"/>
      <c r="G90" s="306" t="s">
        <v>50</v>
      </c>
      <c r="H90" s="306"/>
      <c r="I90" s="306" t="s">
        <v>76</v>
      </c>
      <c r="J90" s="499"/>
      <c r="K90" s="379">
        <f>'[57]TARGET MURNI DAN PERUBAHAN'!$E$48</f>
        <v>0</v>
      </c>
      <c r="L90" s="379">
        <f>[62]PerDinas!$N$90</f>
        <v>7000</v>
      </c>
      <c r="M90" s="379">
        <f>[55]Perdinas!$E$58</f>
        <v>0</v>
      </c>
      <c r="N90" s="500">
        <f>M90+L90</f>
        <v>7000</v>
      </c>
      <c r="O90" s="380">
        <f>N90-K90</f>
        <v>7000</v>
      </c>
      <c r="P90" s="501">
        <v>0</v>
      </c>
      <c r="Q90" s="549"/>
      <c r="R90" s="450"/>
    </row>
    <row r="91" spans="1:18" s="247" customFormat="1" ht="22.55" customHeight="1">
      <c r="A91" s="470"/>
      <c r="B91" s="308" t="s">
        <v>58</v>
      </c>
      <c r="C91" s="308" t="s">
        <v>438</v>
      </c>
      <c r="D91" s="308" t="s">
        <v>437</v>
      </c>
      <c r="E91" s="308" t="s">
        <v>441</v>
      </c>
      <c r="F91" s="308"/>
      <c r="G91" s="310" t="s">
        <v>953</v>
      </c>
      <c r="H91" s="310"/>
      <c r="I91" s="310"/>
      <c r="J91" s="407">
        <f>+J93</f>
        <v>0</v>
      </c>
      <c r="K91" s="408">
        <f>+K93</f>
        <v>9004043272.4400005</v>
      </c>
      <c r="L91" s="408" t="e">
        <f>+L93</f>
        <v>#REF!</v>
      </c>
      <c r="M91" s="408">
        <f>+M93</f>
        <v>243202163</v>
      </c>
      <c r="N91" s="408" t="e">
        <f>M91+L91</f>
        <v>#REF!</v>
      </c>
      <c r="O91" s="408" t="e">
        <f>+N91-K91</f>
        <v>#REF!</v>
      </c>
      <c r="P91" s="409" t="e">
        <f>+N91/K91*100</f>
        <v>#REF!</v>
      </c>
      <c r="Q91" s="550"/>
      <c r="R91" s="458"/>
    </row>
    <row r="92" spans="1:18" s="189" customFormat="1" ht="12.05" customHeight="1">
      <c r="A92" s="471"/>
      <c r="B92" s="287"/>
      <c r="C92" s="287"/>
      <c r="D92" s="287"/>
      <c r="E92" s="287"/>
      <c r="F92" s="287"/>
      <c r="G92" s="288"/>
      <c r="H92" s="288"/>
      <c r="I92" s="288"/>
      <c r="J92" s="385"/>
      <c r="K92" s="386"/>
      <c r="L92" s="386"/>
      <c r="M92" s="386"/>
      <c r="N92" s="386"/>
      <c r="O92" s="386"/>
      <c r="P92" s="502"/>
      <c r="Q92" s="551"/>
      <c r="R92" s="422"/>
    </row>
    <row r="93" spans="1:18" s="189" customFormat="1" ht="12.05" customHeight="1">
      <c r="A93" s="293"/>
      <c r="B93" s="290">
        <v>4</v>
      </c>
      <c r="C93" s="290">
        <v>1</v>
      </c>
      <c r="D93" s="290"/>
      <c r="E93" s="290"/>
      <c r="F93" s="290"/>
      <c r="G93" s="291" t="s">
        <v>180</v>
      </c>
      <c r="H93" s="291"/>
      <c r="I93" s="291"/>
      <c r="J93" s="342">
        <f>J94+J98</f>
        <v>0</v>
      </c>
      <c r="K93" s="343">
        <f>K94+K98</f>
        <v>9004043272.4400005</v>
      </c>
      <c r="L93" s="343" t="e">
        <f>L94+L98</f>
        <v>#REF!</v>
      </c>
      <c r="M93" s="343">
        <f>M94+M98</f>
        <v>243202163</v>
      </c>
      <c r="N93" s="343" t="e">
        <f>+M93+L93</f>
        <v>#REF!</v>
      </c>
      <c r="O93" s="343" t="e">
        <f>N93-K93</f>
        <v>#REF!</v>
      </c>
      <c r="P93" s="503" t="e">
        <f>N93/K93*100</f>
        <v>#REF!</v>
      </c>
      <c r="Q93" s="551"/>
      <c r="R93" s="422"/>
    </row>
    <row r="94" spans="1:18" s="189" customFormat="1" ht="12.05" customHeight="1">
      <c r="A94" s="293"/>
      <c r="B94" s="290">
        <v>4</v>
      </c>
      <c r="C94" s="290">
        <v>1</v>
      </c>
      <c r="D94" s="290">
        <v>2</v>
      </c>
      <c r="E94" s="290"/>
      <c r="F94" s="290"/>
      <c r="G94" s="291" t="s">
        <v>106</v>
      </c>
      <c r="H94" s="291"/>
      <c r="I94" s="253"/>
      <c r="J94" s="392">
        <f>+J95</f>
        <v>0</v>
      </c>
      <c r="K94" s="393">
        <f>+K95</f>
        <v>9001557650</v>
      </c>
      <c r="L94" s="393">
        <f>+L95</f>
        <v>7646411489.8599997</v>
      </c>
      <c r="M94" s="393">
        <f>+M95</f>
        <v>242894763</v>
      </c>
      <c r="N94" s="349">
        <f>+M94+L94</f>
        <v>7889306252.8599997</v>
      </c>
      <c r="O94" s="349">
        <f>N94-K94</f>
        <v>-1112251397.1400003</v>
      </c>
      <c r="P94" s="504">
        <f>N94/K94*100</f>
        <v>87.64378965967073</v>
      </c>
      <c r="Q94" s="551"/>
      <c r="R94" s="422"/>
    </row>
    <row r="95" spans="1:18" s="189" customFormat="1" ht="12.05" customHeight="1">
      <c r="A95" s="293"/>
      <c r="B95" s="292">
        <v>4</v>
      </c>
      <c r="C95" s="292">
        <v>1</v>
      </c>
      <c r="D95" s="292">
        <v>2</v>
      </c>
      <c r="E95" s="292" t="s">
        <v>437</v>
      </c>
      <c r="F95" s="292"/>
      <c r="G95" s="253" t="s">
        <v>107</v>
      </c>
      <c r="H95" s="253"/>
      <c r="I95" s="253"/>
      <c r="J95" s="484">
        <f>+J96</f>
        <v>0</v>
      </c>
      <c r="K95" s="485">
        <f>+K96</f>
        <v>9001557650</v>
      </c>
      <c r="L95" s="486">
        <f>L96</f>
        <v>7646411489.8599997</v>
      </c>
      <c r="M95" s="485">
        <f>M96</f>
        <v>242894763</v>
      </c>
      <c r="N95" s="485">
        <f>N96</f>
        <v>7889306252.8599997</v>
      </c>
      <c r="O95" s="412">
        <f>N95-K95</f>
        <v>-1112251397.1400003</v>
      </c>
      <c r="P95" s="505">
        <f>N95/K95*100</f>
        <v>87.64378965967073</v>
      </c>
      <c r="Q95" s="551"/>
      <c r="R95" s="422"/>
    </row>
    <row r="96" spans="1:18" s="189" customFormat="1" ht="12.05" customHeight="1">
      <c r="A96" s="293"/>
      <c r="B96" s="292">
        <v>4</v>
      </c>
      <c r="C96" s="292">
        <v>1</v>
      </c>
      <c r="D96" s="292">
        <v>2</v>
      </c>
      <c r="E96" s="292" t="s">
        <v>438</v>
      </c>
      <c r="F96" s="292" t="s">
        <v>437</v>
      </c>
      <c r="G96" s="253" t="s">
        <v>84</v>
      </c>
      <c r="H96" s="253"/>
      <c r="I96" s="253"/>
      <c r="J96" s="354"/>
      <c r="K96" s="373">
        <f>'[57]TARGET MURNI DAN PERUBAHAN'!$E$52</f>
        <v>9001557650</v>
      </c>
      <c r="L96" s="360">
        <f>[62]PerDinas!$N$96</f>
        <v>7646411489.8599997</v>
      </c>
      <c r="M96" s="373">
        <f>[55]Perdinas!$E$62</f>
        <v>242894763</v>
      </c>
      <c r="N96" s="369">
        <f t="shared" ref="N96:N102" si="15">M96+L96</f>
        <v>7889306252.8599997</v>
      </c>
      <c r="O96" s="355">
        <f>N96-K96</f>
        <v>-1112251397.1400003</v>
      </c>
      <c r="P96" s="506">
        <f>N96/K96*100</f>
        <v>87.64378965967073</v>
      </c>
      <c r="Q96" s="551"/>
      <c r="R96" s="552"/>
    </row>
    <row r="97" spans="1:19" s="189" customFormat="1" ht="12.05" customHeight="1">
      <c r="A97" s="293"/>
      <c r="B97" s="292"/>
      <c r="C97" s="292"/>
      <c r="D97" s="292"/>
      <c r="E97" s="292"/>
      <c r="F97" s="292"/>
      <c r="G97" s="253"/>
      <c r="H97" s="253"/>
      <c r="I97" s="253"/>
      <c r="J97" s="354"/>
      <c r="K97" s="355"/>
      <c r="L97" s="355"/>
      <c r="M97" s="355"/>
      <c r="N97" s="355"/>
      <c r="O97" s="355"/>
      <c r="P97" s="506"/>
      <c r="Q97" s="551"/>
      <c r="R97" s="553"/>
      <c r="S97" s="540"/>
    </row>
    <row r="98" spans="1:19" s="189" customFormat="1" ht="12.05" customHeight="1">
      <c r="A98" s="293"/>
      <c r="B98" s="290">
        <v>4</v>
      </c>
      <c r="C98" s="290">
        <v>1</v>
      </c>
      <c r="D98" s="290">
        <v>4</v>
      </c>
      <c r="E98" s="290"/>
      <c r="F98" s="290"/>
      <c r="G98" s="291" t="s">
        <v>71</v>
      </c>
      <c r="H98" s="291"/>
      <c r="I98" s="291"/>
      <c r="J98" s="392">
        <f>J99+J104</f>
        <v>0</v>
      </c>
      <c r="K98" s="393">
        <f>K99+K100+K101+K102+K104</f>
        <v>2485622.44</v>
      </c>
      <c r="L98" s="393" t="e">
        <f>L99+L100+L101+L102+L104</f>
        <v>#REF!</v>
      </c>
      <c r="M98" s="393">
        <f>M99+M100+M101+M102+M104</f>
        <v>307400</v>
      </c>
      <c r="N98" s="393" t="e">
        <f t="shared" si="15"/>
        <v>#REF!</v>
      </c>
      <c r="O98" s="349" t="e">
        <f>N98-K98</f>
        <v>#REF!</v>
      </c>
      <c r="P98" s="504" t="e">
        <f>N98/K98*100</f>
        <v>#REF!</v>
      </c>
      <c r="Q98" s="551"/>
      <c r="R98" s="422"/>
    </row>
    <row r="99" spans="1:19" s="189" customFormat="1" ht="12.05" customHeight="1">
      <c r="A99" s="289"/>
      <c r="B99" s="292">
        <v>4</v>
      </c>
      <c r="C99" s="292">
        <v>1</v>
      </c>
      <c r="D99" s="292">
        <v>4</v>
      </c>
      <c r="E99" s="292" t="s">
        <v>441</v>
      </c>
      <c r="F99" s="292"/>
      <c r="G99" s="253" t="s">
        <v>324</v>
      </c>
      <c r="H99" s="253"/>
      <c r="I99" s="253"/>
      <c r="J99" s="484">
        <f>+J102</f>
        <v>0</v>
      </c>
      <c r="K99" s="507">
        <v>0</v>
      </c>
      <c r="L99" s="507">
        <v>0</v>
      </c>
      <c r="M99" s="507">
        <f>[55]Perdinas!$E$65</f>
        <v>307400</v>
      </c>
      <c r="N99" s="508">
        <f t="shared" si="15"/>
        <v>307400</v>
      </c>
      <c r="O99" s="509">
        <f>N99-K99</f>
        <v>307400</v>
      </c>
      <c r="P99" s="510">
        <v>0</v>
      </c>
      <c r="Q99" s="551"/>
      <c r="R99" s="422"/>
    </row>
    <row r="100" spans="1:19" s="189" customFormat="1" ht="12.05" customHeight="1">
      <c r="A100" s="289"/>
      <c r="B100" s="292">
        <v>4</v>
      </c>
      <c r="C100" s="292">
        <v>1</v>
      </c>
      <c r="D100" s="292">
        <v>4</v>
      </c>
      <c r="E100" s="292" t="s">
        <v>444</v>
      </c>
      <c r="F100" s="292" t="s">
        <v>440</v>
      </c>
      <c r="G100" s="253" t="s">
        <v>73</v>
      </c>
      <c r="H100" s="253"/>
      <c r="I100" s="253"/>
      <c r="J100" s="354">
        <v>0</v>
      </c>
      <c r="K100" s="355">
        <v>0</v>
      </c>
      <c r="L100" s="355">
        <v>0</v>
      </c>
      <c r="M100" s="355">
        <f>[55]Perdinas!$E$66</f>
        <v>0</v>
      </c>
      <c r="N100" s="355">
        <f t="shared" si="15"/>
        <v>0</v>
      </c>
      <c r="O100" s="355">
        <f>N100-K100</f>
        <v>0</v>
      </c>
      <c r="P100" s="511"/>
      <c r="Q100" s="551"/>
      <c r="R100" s="554"/>
    </row>
    <row r="101" spans="1:19" s="189" customFormat="1" ht="12.05" customHeight="1">
      <c r="A101" s="289"/>
      <c r="B101" s="292">
        <v>4</v>
      </c>
      <c r="C101" s="292">
        <v>1</v>
      </c>
      <c r="D101" s="292">
        <v>4</v>
      </c>
      <c r="E101" s="292" t="s">
        <v>444</v>
      </c>
      <c r="F101" s="292" t="s">
        <v>445</v>
      </c>
      <c r="G101" s="253" t="s">
        <v>74</v>
      </c>
      <c r="H101" s="253"/>
      <c r="I101" s="253"/>
      <c r="J101" s="354">
        <v>0</v>
      </c>
      <c r="K101" s="355">
        <v>0</v>
      </c>
      <c r="L101" s="355">
        <v>0</v>
      </c>
      <c r="M101" s="355">
        <f>[55]Perdinas!$E$67</f>
        <v>0</v>
      </c>
      <c r="N101" s="355">
        <f t="shared" si="15"/>
        <v>0</v>
      </c>
      <c r="O101" s="355">
        <f>N101-K101</f>
        <v>0</v>
      </c>
      <c r="P101" s="506"/>
      <c r="Q101" s="551"/>
      <c r="R101" s="555"/>
    </row>
    <row r="102" spans="1:19" s="189" customFormat="1" ht="12.05" customHeight="1">
      <c r="A102" s="289"/>
      <c r="B102" s="292">
        <v>4</v>
      </c>
      <c r="C102" s="292">
        <v>1</v>
      </c>
      <c r="D102" s="292">
        <v>4</v>
      </c>
      <c r="E102" s="292" t="s">
        <v>444</v>
      </c>
      <c r="F102" s="292" t="s">
        <v>441</v>
      </c>
      <c r="G102" s="253" t="s">
        <v>75</v>
      </c>
      <c r="H102" s="253"/>
      <c r="I102" s="253"/>
      <c r="J102" s="354">
        <v>0</v>
      </c>
      <c r="K102" s="355">
        <f>'[57]TARGET MURNI DAN PERUBAHAN'!$E$55</f>
        <v>0</v>
      </c>
      <c r="L102" s="355">
        <f>[62]PerDinas!$N$102</f>
        <v>0</v>
      </c>
      <c r="M102" s="355">
        <f>[55]Perdinas!$E$68</f>
        <v>0</v>
      </c>
      <c r="N102" s="369">
        <f t="shared" si="15"/>
        <v>0</v>
      </c>
      <c r="O102" s="355">
        <f>N102-K102</f>
        <v>0</v>
      </c>
      <c r="P102" s="388"/>
      <c r="Q102" s="556"/>
      <c r="R102" s="422"/>
    </row>
    <row r="103" spans="1:19" s="189" customFormat="1">
      <c r="A103" s="289"/>
      <c r="B103" s="292"/>
      <c r="C103" s="292"/>
      <c r="D103" s="292"/>
      <c r="E103" s="292"/>
      <c r="F103" s="292"/>
      <c r="G103" s="253"/>
      <c r="H103" s="253"/>
      <c r="I103" s="253"/>
      <c r="J103" s="354"/>
      <c r="K103" s="355"/>
      <c r="L103" s="355"/>
      <c r="M103" s="355"/>
      <c r="N103" s="355"/>
      <c r="O103" s="355"/>
      <c r="P103" s="388"/>
      <c r="Q103" s="557"/>
      <c r="R103" s="422"/>
    </row>
    <row r="104" spans="1:19" s="189" customFormat="1" ht="12.05" customHeight="1">
      <c r="A104" s="293"/>
      <c r="B104" s="292">
        <v>4</v>
      </c>
      <c r="C104" s="292">
        <v>1</v>
      </c>
      <c r="D104" s="292">
        <v>4</v>
      </c>
      <c r="E104" s="292" t="s">
        <v>948</v>
      </c>
      <c r="F104" s="292"/>
      <c r="G104" s="410" t="s">
        <v>321</v>
      </c>
      <c r="H104" s="410"/>
      <c r="I104" s="410"/>
      <c r="J104" s="489">
        <f t="shared" ref="J104:M105" si="16">+J105</f>
        <v>0</v>
      </c>
      <c r="K104" s="512">
        <f t="shared" si="16"/>
        <v>2485622.44</v>
      </c>
      <c r="L104" s="512" t="e">
        <f t="shared" si="16"/>
        <v>#REF!</v>
      </c>
      <c r="M104" s="512">
        <f t="shared" si="16"/>
        <v>0</v>
      </c>
      <c r="N104" s="412" t="e">
        <f>+M104+L104</f>
        <v>#REF!</v>
      </c>
      <c r="O104" s="412" t="e">
        <f>N104-K104</f>
        <v>#REF!</v>
      </c>
      <c r="P104" s="487">
        <v>0</v>
      </c>
      <c r="Q104" s="551"/>
      <c r="R104" s="422"/>
    </row>
    <row r="105" spans="1:19" s="189" customFormat="1" ht="12.05" customHeight="1">
      <c r="A105" s="293"/>
      <c r="B105" s="292">
        <v>4</v>
      </c>
      <c r="C105" s="292">
        <v>1</v>
      </c>
      <c r="D105" s="292">
        <v>4</v>
      </c>
      <c r="E105" s="292" t="s">
        <v>948</v>
      </c>
      <c r="F105" s="292" t="s">
        <v>437</v>
      </c>
      <c r="G105" s="253" t="s">
        <v>85</v>
      </c>
      <c r="H105" s="253"/>
      <c r="I105" s="253"/>
      <c r="J105" s="494">
        <f t="shared" si="16"/>
        <v>0</v>
      </c>
      <c r="K105" s="495">
        <f t="shared" si="16"/>
        <v>2485622.44</v>
      </c>
      <c r="L105" s="513" t="e">
        <f>SUM(L106:L107)</f>
        <v>#REF!</v>
      </c>
      <c r="M105" s="495">
        <f>SUM(M106:M107)</f>
        <v>0</v>
      </c>
      <c r="N105" s="495">
        <f>SUM(N106:N107)</f>
        <v>0</v>
      </c>
      <c r="O105" s="495">
        <f>SUM(O106:O107)</f>
        <v>-2485622.44</v>
      </c>
      <c r="P105" s="514">
        <f>SUM(P106:P107)</f>
        <v>0</v>
      </c>
      <c r="Q105" s="551"/>
      <c r="R105" s="422"/>
    </row>
    <row r="106" spans="1:19" s="189" customFormat="1" ht="12.05" customHeight="1">
      <c r="A106" s="293"/>
      <c r="B106" s="292"/>
      <c r="C106" s="292"/>
      <c r="D106" s="292"/>
      <c r="E106" s="292"/>
      <c r="F106" s="292"/>
      <c r="G106" s="253" t="s">
        <v>50</v>
      </c>
      <c r="H106" s="253"/>
      <c r="I106" s="253" t="s">
        <v>954</v>
      </c>
      <c r="J106" s="374"/>
      <c r="K106" s="375">
        <f>'[57]TARGET MURNI DAN PERUBAHAN'!$E$56</f>
        <v>2485622.44</v>
      </c>
      <c r="L106" s="377">
        <f>[62]PerDinas!$N$106</f>
        <v>0</v>
      </c>
      <c r="M106" s="375">
        <f>[55]Perdinas!$E$69</f>
        <v>0</v>
      </c>
      <c r="N106" s="355">
        <f>M106+L106</f>
        <v>0</v>
      </c>
      <c r="O106" s="355">
        <f>N106-K106</f>
        <v>-2485622.44</v>
      </c>
      <c r="P106" s="388">
        <v>0</v>
      </c>
      <c r="Q106" s="551"/>
      <c r="R106" s="422"/>
    </row>
    <row r="107" spans="1:19" s="245" customFormat="1" ht="12.05" customHeight="1">
      <c r="A107" s="473"/>
      <c r="B107" s="305"/>
      <c r="C107" s="305"/>
      <c r="D107" s="305"/>
      <c r="E107" s="305"/>
      <c r="F107" s="305"/>
      <c r="G107" s="306"/>
      <c r="H107" s="306"/>
      <c r="I107" s="515"/>
      <c r="J107" s="482"/>
      <c r="K107" s="516"/>
      <c r="L107" s="377" t="e">
        <f>[62]PerDinas!$N$107</f>
        <v>#REF!</v>
      </c>
      <c r="M107" s="516"/>
      <c r="N107" s="516"/>
      <c r="O107" s="516"/>
      <c r="P107" s="517"/>
      <c r="Q107" s="558"/>
      <c r="R107" s="450"/>
    </row>
    <row r="108" spans="1:19" s="247" customFormat="1" ht="20.2" customHeight="1">
      <c r="A108" s="307"/>
      <c r="B108" s="308" t="s">
        <v>58</v>
      </c>
      <c r="C108" s="308" t="s">
        <v>438</v>
      </c>
      <c r="D108" s="308" t="s">
        <v>437</v>
      </c>
      <c r="E108" s="308" t="s">
        <v>440</v>
      </c>
      <c r="F108" s="309"/>
      <c r="G108" s="310" t="s">
        <v>955</v>
      </c>
      <c r="H108" s="311"/>
      <c r="I108" s="406"/>
      <c r="J108" s="407">
        <f>+J110</f>
        <v>275000000</v>
      </c>
      <c r="K108" s="408">
        <f>+K110</f>
        <v>152950000</v>
      </c>
      <c r="L108" s="408">
        <f>+L110</f>
        <v>170060000</v>
      </c>
      <c r="M108" s="408">
        <f>+M110</f>
        <v>0</v>
      </c>
      <c r="N108" s="408">
        <f>+M108+L108</f>
        <v>170060000</v>
      </c>
      <c r="O108" s="408">
        <f>N108-K108</f>
        <v>17110000</v>
      </c>
      <c r="P108" s="409">
        <f>N108/K108*100</f>
        <v>111.18666230794376</v>
      </c>
      <c r="Q108" s="457"/>
      <c r="R108" s="458"/>
    </row>
    <row r="109" spans="1:19" s="189" customFormat="1" ht="12.05" customHeight="1">
      <c r="A109" s="286"/>
      <c r="B109" s="287"/>
      <c r="C109" s="287"/>
      <c r="D109" s="287"/>
      <c r="E109" s="287"/>
      <c r="F109" s="287"/>
      <c r="G109" s="288"/>
      <c r="H109" s="288"/>
      <c r="I109" s="410"/>
      <c r="J109" s="342"/>
      <c r="K109" s="343"/>
      <c r="L109" s="343"/>
      <c r="M109" s="343"/>
      <c r="N109" s="492"/>
      <c r="O109" s="492"/>
      <c r="P109" s="487"/>
      <c r="Q109" s="437"/>
      <c r="R109" s="422"/>
    </row>
    <row r="110" spans="1:19" s="189" customFormat="1" ht="12.05" customHeight="1">
      <c r="A110" s="294"/>
      <c r="B110" s="290">
        <v>4</v>
      </c>
      <c r="C110" s="290">
        <v>1</v>
      </c>
      <c r="D110" s="290"/>
      <c r="E110" s="290"/>
      <c r="F110" s="290"/>
      <c r="G110" s="291" t="s">
        <v>180</v>
      </c>
      <c r="H110" s="291"/>
      <c r="I110" s="291"/>
      <c r="J110" s="518">
        <f>+J112+J117</f>
        <v>275000000</v>
      </c>
      <c r="K110" s="519">
        <f>+K112+K117</f>
        <v>152950000</v>
      </c>
      <c r="L110" s="519">
        <f>+L112+L117</f>
        <v>170060000</v>
      </c>
      <c r="M110" s="519">
        <f>+M112+M117</f>
        <v>0</v>
      </c>
      <c r="N110" s="343">
        <f>+M110+L110</f>
        <v>170060000</v>
      </c>
      <c r="O110" s="343">
        <f>N110-K110</f>
        <v>17110000</v>
      </c>
      <c r="P110" s="344">
        <f>N110/K110*100</f>
        <v>111.18666230794376</v>
      </c>
      <c r="Q110" s="559"/>
      <c r="R110" s="422"/>
    </row>
    <row r="111" spans="1:19" s="189" customFormat="1" ht="12.05" customHeight="1">
      <c r="A111" s="289"/>
      <c r="B111" s="292"/>
      <c r="C111" s="292"/>
      <c r="D111" s="292"/>
      <c r="E111" s="292"/>
      <c r="F111" s="292"/>
      <c r="G111" s="253"/>
      <c r="H111" s="253"/>
      <c r="I111" s="253"/>
      <c r="J111" s="387"/>
      <c r="K111" s="367"/>
      <c r="L111" s="367"/>
      <c r="M111" s="367"/>
      <c r="N111" s="367"/>
      <c r="O111" s="367"/>
      <c r="P111" s="347"/>
      <c r="Q111" s="454"/>
      <c r="R111" s="422"/>
    </row>
    <row r="112" spans="1:19" s="189" customFormat="1" ht="12.05" customHeight="1">
      <c r="A112" s="294"/>
      <c r="B112" s="290">
        <v>4</v>
      </c>
      <c r="C112" s="290">
        <v>1</v>
      </c>
      <c r="D112" s="290">
        <v>2</v>
      </c>
      <c r="E112" s="290"/>
      <c r="F112" s="290"/>
      <c r="G112" s="291" t="s">
        <v>106</v>
      </c>
      <c r="H112" s="291"/>
      <c r="I112" s="253"/>
      <c r="J112" s="348">
        <f>+J114</f>
        <v>273500000</v>
      </c>
      <c r="K112" s="349">
        <f>+K114</f>
        <v>150000000</v>
      </c>
      <c r="L112" s="349">
        <f>+L114</f>
        <v>170060000</v>
      </c>
      <c r="M112" s="349">
        <f>+M114</f>
        <v>0</v>
      </c>
      <c r="N112" s="349">
        <f>+M112+L112</f>
        <v>170060000</v>
      </c>
      <c r="O112" s="349">
        <f>N112-K112</f>
        <v>20060000</v>
      </c>
      <c r="P112" s="350">
        <f>N112/K112*100</f>
        <v>113.37333333333332</v>
      </c>
      <c r="Q112" s="439"/>
      <c r="R112" s="422"/>
    </row>
    <row r="113" spans="1:18" s="189" customFormat="1" ht="12.05" customHeight="1">
      <c r="A113" s="289"/>
      <c r="B113" s="292"/>
      <c r="C113" s="292"/>
      <c r="D113" s="292"/>
      <c r="E113" s="292"/>
      <c r="F113" s="292"/>
      <c r="G113" s="253"/>
      <c r="H113" s="253"/>
      <c r="I113" s="253"/>
      <c r="J113" s="354"/>
      <c r="K113" s="355"/>
      <c r="L113" s="355"/>
      <c r="M113" s="355"/>
      <c r="N113" s="355"/>
      <c r="O113" s="355"/>
      <c r="P113" s="388"/>
      <c r="Q113" s="441"/>
      <c r="R113" s="422"/>
    </row>
    <row r="114" spans="1:18" s="189" customFormat="1" ht="12.05" customHeight="1">
      <c r="A114" s="294"/>
      <c r="B114" s="292">
        <v>4</v>
      </c>
      <c r="C114" s="292">
        <v>1</v>
      </c>
      <c r="D114" s="292">
        <v>2</v>
      </c>
      <c r="E114" s="292" t="s">
        <v>438</v>
      </c>
      <c r="F114" s="292"/>
      <c r="G114" s="253" t="s">
        <v>374</v>
      </c>
      <c r="H114" s="253"/>
      <c r="I114" s="253"/>
      <c r="J114" s="484">
        <f>+J115</f>
        <v>273500000</v>
      </c>
      <c r="K114" s="485">
        <f>+K115+K119</f>
        <v>150000000</v>
      </c>
      <c r="L114" s="485">
        <f>+L115+L119</f>
        <v>170060000</v>
      </c>
      <c r="M114" s="520">
        <f>+M115</f>
        <v>0</v>
      </c>
      <c r="N114" s="412">
        <f>+M114+L114</f>
        <v>170060000</v>
      </c>
      <c r="O114" s="412">
        <f t="shared" ref="O114:O125" si="17">N114-K114</f>
        <v>20060000</v>
      </c>
      <c r="P114" s="487">
        <f>N114/K114*100</f>
        <v>113.37333333333332</v>
      </c>
      <c r="Q114" s="461"/>
      <c r="R114" s="422"/>
    </row>
    <row r="115" spans="1:18" s="189" customFormat="1" ht="12.05" customHeight="1">
      <c r="A115" s="294"/>
      <c r="B115" s="292">
        <v>4</v>
      </c>
      <c r="C115" s="292">
        <v>1</v>
      </c>
      <c r="D115" s="292">
        <v>2</v>
      </c>
      <c r="E115" s="292" t="s">
        <v>438</v>
      </c>
      <c r="F115" s="292" t="s">
        <v>440</v>
      </c>
      <c r="G115" s="253" t="s">
        <v>304</v>
      </c>
      <c r="H115" s="253"/>
      <c r="I115" s="253"/>
      <c r="J115" s="333">
        <v>273500000</v>
      </c>
      <c r="K115" s="521">
        <f>'[57]TARGET MURNI DAN PERUBAHAN'!$E$60</f>
        <v>150000000</v>
      </c>
      <c r="L115" s="522">
        <f>[62]PerDinas!$N$115</f>
        <v>170060000</v>
      </c>
      <c r="M115" s="521">
        <f>[55]Perdinas!$E$73</f>
        <v>0</v>
      </c>
      <c r="N115" s="523">
        <f t="shared" ref="N115:N122" si="18">M115+L115</f>
        <v>170060000</v>
      </c>
      <c r="O115" s="497">
        <f t="shared" si="17"/>
        <v>20060000</v>
      </c>
      <c r="P115" s="498">
        <f>N115/K115*100</f>
        <v>113.37333333333332</v>
      </c>
      <c r="Q115" s="430"/>
      <c r="R115" s="545"/>
    </row>
    <row r="116" spans="1:18" s="189" customFormat="1" ht="12.05" customHeight="1">
      <c r="A116" s="289"/>
      <c r="B116" s="292"/>
      <c r="C116" s="292"/>
      <c r="D116" s="292"/>
      <c r="E116" s="292"/>
      <c r="F116" s="292"/>
      <c r="G116" s="253"/>
      <c r="H116" s="253"/>
      <c r="I116" s="253"/>
      <c r="J116" s="354"/>
      <c r="K116" s="355"/>
      <c r="L116" s="391"/>
      <c r="M116" s="524"/>
      <c r="N116" s="334">
        <f t="shared" si="18"/>
        <v>0</v>
      </c>
      <c r="O116" s="334">
        <f t="shared" si="17"/>
        <v>0</v>
      </c>
      <c r="P116" s="335"/>
      <c r="Q116" s="441"/>
      <c r="R116" s="422"/>
    </row>
    <row r="117" spans="1:18" s="189" customFormat="1" ht="12.05" customHeight="1">
      <c r="A117" s="294"/>
      <c r="B117" s="290">
        <v>4</v>
      </c>
      <c r="C117" s="290">
        <v>1</v>
      </c>
      <c r="D117" s="290">
        <v>4</v>
      </c>
      <c r="E117" s="290"/>
      <c r="F117" s="290"/>
      <c r="G117" s="291" t="s">
        <v>71</v>
      </c>
      <c r="H117" s="291"/>
      <c r="I117" s="291"/>
      <c r="J117" s="392">
        <f>J118+J123</f>
        <v>1500000</v>
      </c>
      <c r="K117" s="393">
        <f>K118+K123</f>
        <v>2950000</v>
      </c>
      <c r="L117" s="394">
        <f>+L123+L118</f>
        <v>0</v>
      </c>
      <c r="M117" s="525">
        <f>+M123+M118</f>
        <v>0</v>
      </c>
      <c r="N117" s="349">
        <f>+M117+L117</f>
        <v>0</v>
      </c>
      <c r="O117" s="349">
        <f t="shared" si="17"/>
        <v>-2950000</v>
      </c>
      <c r="P117" s="350">
        <v>0</v>
      </c>
      <c r="Q117" s="444"/>
      <c r="R117" s="422"/>
    </row>
    <row r="118" spans="1:18" s="189" customFormat="1" ht="12.05" customHeight="1">
      <c r="A118" s="289"/>
      <c r="B118" s="292">
        <v>4</v>
      </c>
      <c r="C118" s="292">
        <v>1</v>
      </c>
      <c r="D118" s="292">
        <v>4</v>
      </c>
      <c r="E118" s="292" t="s">
        <v>444</v>
      </c>
      <c r="F118" s="292"/>
      <c r="G118" s="253" t="s">
        <v>222</v>
      </c>
      <c r="H118" s="253"/>
      <c r="I118" s="253"/>
      <c r="J118" s="526">
        <f>+J121</f>
        <v>0</v>
      </c>
      <c r="K118" s="527">
        <f>+K121</f>
        <v>0</v>
      </c>
      <c r="L118" s="527">
        <f>+L121</f>
        <v>0</v>
      </c>
      <c r="M118" s="528">
        <f>SUM(M119:M121)</f>
        <v>0</v>
      </c>
      <c r="N118" s="527">
        <f>SUM(N119:N121)</f>
        <v>0</v>
      </c>
      <c r="O118" s="529">
        <f t="shared" si="17"/>
        <v>0</v>
      </c>
      <c r="P118" s="478">
        <v>0</v>
      </c>
      <c r="Q118" s="541"/>
      <c r="R118" s="422"/>
    </row>
    <row r="119" spans="1:18" s="189" customFormat="1" ht="12.05" customHeight="1">
      <c r="A119" s="289"/>
      <c r="B119" s="292">
        <v>4</v>
      </c>
      <c r="C119" s="292">
        <v>1</v>
      </c>
      <c r="D119" s="292" t="s">
        <v>460</v>
      </c>
      <c r="E119" s="292" t="s">
        <v>438</v>
      </c>
      <c r="F119" s="292" t="s">
        <v>438</v>
      </c>
      <c r="G119" s="253" t="s">
        <v>517</v>
      </c>
      <c r="H119" s="253"/>
      <c r="I119" s="253"/>
      <c r="J119" s="354">
        <v>0</v>
      </c>
      <c r="K119" s="355">
        <v>0</v>
      </c>
      <c r="L119" s="360">
        <v>0</v>
      </c>
      <c r="M119" s="530">
        <f>[55]Perdinas!$E$77</f>
        <v>0</v>
      </c>
      <c r="N119" s="369">
        <f t="shared" si="18"/>
        <v>0</v>
      </c>
      <c r="O119" s="355">
        <f t="shared" si="17"/>
        <v>0</v>
      </c>
      <c r="P119" s="531">
        <v>0</v>
      </c>
      <c r="Q119" s="441"/>
      <c r="R119" s="422"/>
    </row>
    <row r="120" spans="1:18" s="189" customFormat="1" ht="12.05" customHeight="1">
      <c r="A120" s="289"/>
      <c r="B120" s="292">
        <v>4</v>
      </c>
      <c r="C120" s="292">
        <v>1</v>
      </c>
      <c r="D120" s="292">
        <v>4</v>
      </c>
      <c r="E120" s="292" t="s">
        <v>444</v>
      </c>
      <c r="F120" s="292" t="s">
        <v>445</v>
      </c>
      <c r="G120" s="253" t="s">
        <v>74</v>
      </c>
      <c r="H120" s="253"/>
      <c r="I120" s="253"/>
      <c r="J120" s="354">
        <v>0</v>
      </c>
      <c r="K120" s="355">
        <v>0</v>
      </c>
      <c r="L120" s="360">
        <v>0</v>
      </c>
      <c r="M120" s="530">
        <f>[55]Perdinas!$E$78</f>
        <v>0</v>
      </c>
      <c r="N120" s="355">
        <f t="shared" si="18"/>
        <v>0</v>
      </c>
      <c r="O120" s="355">
        <f t="shared" si="17"/>
        <v>0</v>
      </c>
      <c r="P120" s="358"/>
      <c r="Q120" s="441"/>
      <c r="R120" s="422"/>
    </row>
    <row r="121" spans="1:18" s="189" customFormat="1" ht="12.05" customHeight="1">
      <c r="A121" s="289"/>
      <c r="B121" s="292">
        <v>4</v>
      </c>
      <c r="C121" s="292">
        <v>1</v>
      </c>
      <c r="D121" s="292">
        <v>4</v>
      </c>
      <c r="E121" s="292" t="s">
        <v>444</v>
      </c>
      <c r="F121" s="292" t="s">
        <v>441</v>
      </c>
      <c r="G121" s="253" t="s">
        <v>75</v>
      </c>
      <c r="H121" s="253"/>
      <c r="I121" s="253"/>
      <c r="J121" s="354">
        <v>0</v>
      </c>
      <c r="K121" s="360">
        <f>'[57]TARGET MURNI DAN PERUBAHAN'!$E$63</f>
        <v>0</v>
      </c>
      <c r="L121" s="360">
        <f>[62]PerDinas!$N$121</f>
        <v>0</v>
      </c>
      <c r="M121" s="530">
        <f>[55]Perdinas!$E$79</f>
        <v>0</v>
      </c>
      <c r="N121" s="355">
        <f t="shared" si="18"/>
        <v>0</v>
      </c>
      <c r="O121" s="355">
        <f t="shared" si="17"/>
        <v>0</v>
      </c>
      <c r="P121" s="388"/>
      <c r="Q121" s="441"/>
      <c r="R121" s="422"/>
    </row>
    <row r="122" spans="1:18" s="189" customFormat="1" ht="12.05" customHeight="1">
      <c r="A122" s="294"/>
      <c r="B122" s="290"/>
      <c r="C122" s="290"/>
      <c r="D122" s="290"/>
      <c r="E122" s="290"/>
      <c r="F122" s="290"/>
      <c r="G122" s="467"/>
      <c r="H122" s="467"/>
      <c r="I122" s="467"/>
      <c r="J122" s="354">
        <v>0</v>
      </c>
      <c r="K122" s="352">
        <v>0</v>
      </c>
      <c r="L122" s="362"/>
      <c r="M122" s="532">
        <v>0</v>
      </c>
      <c r="N122" s="355">
        <f t="shared" si="18"/>
        <v>0</v>
      </c>
      <c r="O122" s="355">
        <f t="shared" si="17"/>
        <v>0</v>
      </c>
      <c r="P122" s="388"/>
      <c r="Q122" s="445"/>
      <c r="R122" s="422"/>
    </row>
    <row r="123" spans="1:18" s="189" customFormat="1" ht="12.05" customHeight="1">
      <c r="A123" s="294"/>
      <c r="B123" s="292">
        <v>4</v>
      </c>
      <c r="C123" s="292">
        <v>1</v>
      </c>
      <c r="D123" s="292">
        <v>4</v>
      </c>
      <c r="E123" s="292" t="s">
        <v>948</v>
      </c>
      <c r="F123" s="292"/>
      <c r="G123" s="297" t="s">
        <v>321</v>
      </c>
      <c r="H123" s="297"/>
      <c r="I123" s="297"/>
      <c r="J123" s="333">
        <f>+J124</f>
        <v>1500000</v>
      </c>
      <c r="K123" s="507">
        <f>+K124</f>
        <v>2950000</v>
      </c>
      <c r="L123" s="507">
        <f>+L124</f>
        <v>0</v>
      </c>
      <c r="M123" s="533">
        <f>+M124</f>
        <v>0</v>
      </c>
      <c r="N123" s="534">
        <f>+M123+L123</f>
        <v>0</v>
      </c>
      <c r="O123" s="534">
        <f t="shared" si="17"/>
        <v>-2950000</v>
      </c>
      <c r="P123" s="535">
        <v>0</v>
      </c>
      <c r="Q123" s="430"/>
      <c r="R123" s="422"/>
    </row>
    <row r="124" spans="1:18" s="245" customFormat="1" ht="12.05" customHeight="1">
      <c r="A124" s="304"/>
      <c r="B124" s="305">
        <v>4</v>
      </c>
      <c r="C124" s="305">
        <v>1</v>
      </c>
      <c r="D124" s="305">
        <v>4</v>
      </c>
      <c r="E124" s="305" t="s">
        <v>948</v>
      </c>
      <c r="F124" s="305" t="s">
        <v>437</v>
      </c>
      <c r="G124" s="306" t="s">
        <v>50</v>
      </c>
      <c r="H124" s="306"/>
      <c r="I124" s="306" t="s">
        <v>85</v>
      </c>
      <c r="J124" s="536">
        <v>1500000</v>
      </c>
      <c r="K124" s="537">
        <f>'[57]TARGET MURNI DAN PERUBAHAN'!$E$64</f>
        <v>2950000</v>
      </c>
      <c r="L124" s="538">
        <f>[62]PerDinas!$N$124</f>
        <v>0</v>
      </c>
      <c r="M124" s="537">
        <f>[55]Perdinas!$E$80</f>
        <v>0</v>
      </c>
      <c r="N124" s="380">
        <f>M124+L124</f>
        <v>0</v>
      </c>
      <c r="O124" s="380">
        <f t="shared" si="17"/>
        <v>-2950000</v>
      </c>
      <c r="P124" s="501">
        <v>0</v>
      </c>
      <c r="Q124" s="560"/>
      <c r="R124" s="450"/>
    </row>
    <row r="125" spans="1:18" s="248" customFormat="1" ht="20.2" customHeight="1">
      <c r="A125" s="474"/>
      <c r="B125" s="308" t="s">
        <v>58</v>
      </c>
      <c r="C125" s="308" t="s">
        <v>438</v>
      </c>
      <c r="D125" s="308" t="s">
        <v>437</v>
      </c>
      <c r="E125" s="308" t="s">
        <v>445</v>
      </c>
      <c r="F125" s="308"/>
      <c r="G125" s="310" t="s">
        <v>722</v>
      </c>
      <c r="H125" s="310"/>
      <c r="I125" s="310"/>
      <c r="J125" s="407" t="e">
        <f>+J127</f>
        <v>#REF!</v>
      </c>
      <c r="K125" s="408">
        <f>+K127</f>
        <v>2197286650</v>
      </c>
      <c r="L125" s="408">
        <f>L127</f>
        <v>2247705750</v>
      </c>
      <c r="M125" s="408">
        <f>+M127</f>
        <v>0</v>
      </c>
      <c r="N125" s="408">
        <f>+M125+L125</f>
        <v>2247705750</v>
      </c>
      <c r="O125" s="408">
        <f t="shared" si="17"/>
        <v>50419100</v>
      </c>
      <c r="P125" s="409">
        <f>N129/K129*100</f>
        <v>102.29460730578781</v>
      </c>
      <c r="Q125" s="457"/>
      <c r="R125" s="561"/>
    </row>
    <row r="126" spans="1:18" s="189" customFormat="1" ht="12.05" customHeight="1">
      <c r="A126" s="286"/>
      <c r="B126" s="287"/>
      <c r="C126" s="287"/>
      <c r="D126" s="287"/>
      <c r="E126" s="287"/>
      <c r="F126" s="287"/>
      <c r="G126" s="288"/>
      <c r="H126" s="288"/>
      <c r="I126" s="410"/>
      <c r="J126" s="342"/>
      <c r="K126" s="343"/>
      <c r="L126" s="343"/>
      <c r="M126" s="343"/>
      <c r="N126" s="492"/>
      <c r="O126" s="492"/>
      <c r="P126" s="487">
        <v>0</v>
      </c>
      <c r="Q126" s="437"/>
      <c r="R126" s="422"/>
    </row>
    <row r="127" spans="1:18" s="189" customFormat="1" ht="12.05" customHeight="1">
      <c r="A127" s="294"/>
      <c r="B127" s="290">
        <v>4</v>
      </c>
      <c r="C127" s="290">
        <v>1</v>
      </c>
      <c r="D127" s="290"/>
      <c r="E127" s="290"/>
      <c r="F127" s="290"/>
      <c r="G127" s="291" t="s">
        <v>180</v>
      </c>
      <c r="H127" s="291"/>
      <c r="I127" s="291"/>
      <c r="J127" s="518" t="e">
        <f>+J129+#REF!</f>
        <v>#REF!</v>
      </c>
      <c r="K127" s="519">
        <f>+K129</f>
        <v>2197286650</v>
      </c>
      <c r="L127" s="519">
        <f>+L129</f>
        <v>2247705750</v>
      </c>
      <c r="M127" s="519">
        <f>+M129</f>
        <v>0</v>
      </c>
      <c r="N127" s="519">
        <f>M127+L127</f>
        <v>2247705750</v>
      </c>
      <c r="O127" s="343">
        <f>N127-K127</f>
        <v>50419100</v>
      </c>
      <c r="P127" s="344">
        <f>N129/K129*100</f>
        <v>102.29460730578781</v>
      </c>
      <c r="Q127" s="559"/>
      <c r="R127" s="422"/>
    </row>
    <row r="128" spans="1:18" s="189" customFormat="1" ht="12.05" customHeight="1">
      <c r="A128" s="289"/>
      <c r="B128" s="292"/>
      <c r="C128" s="292"/>
      <c r="D128" s="292"/>
      <c r="E128" s="292"/>
      <c r="F128" s="292"/>
      <c r="G128" s="253"/>
      <c r="H128" s="253"/>
      <c r="I128" s="253"/>
      <c r="J128" s="387"/>
      <c r="K128" s="367"/>
      <c r="L128" s="367"/>
      <c r="M128" s="367"/>
      <c r="N128" s="367"/>
      <c r="O128" s="367"/>
      <c r="P128" s="347"/>
      <c r="Q128" s="454"/>
      <c r="R128" s="422"/>
    </row>
    <row r="129" spans="1:19" s="190" customFormat="1" ht="12.05" customHeight="1">
      <c r="A129" s="303"/>
      <c r="B129" s="290">
        <v>4</v>
      </c>
      <c r="C129" s="290">
        <v>1</v>
      </c>
      <c r="D129" s="290" t="s">
        <v>443</v>
      </c>
      <c r="E129" s="290"/>
      <c r="F129" s="290"/>
      <c r="G129" s="291" t="s">
        <v>71</v>
      </c>
      <c r="H129" s="291"/>
      <c r="I129" s="291"/>
      <c r="J129" s="348">
        <f>+J130</f>
        <v>0</v>
      </c>
      <c r="K129" s="349">
        <f>K130+K132+K137</f>
        <v>2197286650</v>
      </c>
      <c r="L129" s="349">
        <f>L130+L132+L137</f>
        <v>2247705750</v>
      </c>
      <c r="M129" s="349">
        <f>M130+M132+M137</f>
        <v>0</v>
      </c>
      <c r="N129" s="349">
        <f>+N130</f>
        <v>2247705750</v>
      </c>
      <c r="O129" s="349">
        <f>N129-K129</f>
        <v>50419100</v>
      </c>
      <c r="P129" s="584">
        <f>N129/K129*100</f>
        <v>102.29460730578781</v>
      </c>
      <c r="Q129" s="439"/>
      <c r="R129" s="446"/>
    </row>
    <row r="130" spans="1:19" s="189" customFormat="1" ht="12.05" customHeight="1">
      <c r="A130" s="294"/>
      <c r="B130" s="292">
        <v>4</v>
      </c>
      <c r="C130" s="292">
        <v>1</v>
      </c>
      <c r="D130" s="292" t="s">
        <v>443</v>
      </c>
      <c r="E130" s="292" t="s">
        <v>449</v>
      </c>
      <c r="F130" s="292" t="s">
        <v>437</v>
      </c>
      <c r="G130" s="253" t="s">
        <v>956</v>
      </c>
      <c r="H130" s="253"/>
      <c r="I130" s="253"/>
      <c r="J130" s="411">
        <f>+J131</f>
        <v>0</v>
      </c>
      <c r="K130" s="509">
        <f>'[57]TARGET MURNI DAN PERUBAHAN'!$E$68</f>
        <v>2197286650</v>
      </c>
      <c r="L130" s="509">
        <f>[62]PerDinas!$N$130</f>
        <v>2247705750</v>
      </c>
      <c r="M130" s="509">
        <f>[55]Perdinas!$E$84</f>
        <v>0</v>
      </c>
      <c r="N130" s="509">
        <f>+M130+L130</f>
        <v>2247705750</v>
      </c>
      <c r="O130" s="509">
        <f>N130-K130</f>
        <v>50419100</v>
      </c>
      <c r="P130" s="585">
        <v>0</v>
      </c>
      <c r="Q130" s="632"/>
      <c r="R130" s="554"/>
      <c r="S130" s="542"/>
    </row>
    <row r="131" spans="1:19" s="189" customFormat="1" ht="12.05" customHeight="1">
      <c r="A131" s="294"/>
      <c r="B131" s="292"/>
      <c r="C131" s="292"/>
      <c r="D131" s="292"/>
      <c r="E131" s="292"/>
      <c r="F131" s="292"/>
      <c r="G131" s="253"/>
      <c r="H131" s="253"/>
      <c r="I131" s="253"/>
      <c r="J131" s="333"/>
      <c r="K131" s="355"/>
      <c r="L131" s="355"/>
      <c r="M131" s="355"/>
      <c r="N131" s="355"/>
      <c r="O131" s="355"/>
      <c r="P131" s="388"/>
      <c r="Q131" s="441"/>
      <c r="R131" s="422"/>
    </row>
    <row r="132" spans="1:19" s="189" customFormat="1" ht="12.05" customHeight="1">
      <c r="A132" s="289"/>
      <c r="B132" s="292">
        <v>4</v>
      </c>
      <c r="C132" s="292">
        <v>1</v>
      </c>
      <c r="D132" s="292">
        <v>4</v>
      </c>
      <c r="E132" s="292" t="s">
        <v>444</v>
      </c>
      <c r="F132" s="292"/>
      <c r="G132" s="253" t="s">
        <v>222</v>
      </c>
      <c r="H132" s="253"/>
      <c r="I132" s="253"/>
      <c r="J132" s="526">
        <f>+J135</f>
        <v>0</v>
      </c>
      <c r="K132" s="355">
        <f>+K135</f>
        <v>0</v>
      </c>
      <c r="L132" s="355"/>
      <c r="M132" s="355">
        <f>SUM(M133:M135)</f>
        <v>0</v>
      </c>
      <c r="N132" s="355">
        <f>SUM(N133:N135)</f>
        <v>0</v>
      </c>
      <c r="O132" s="346">
        <f>N132-K132</f>
        <v>0</v>
      </c>
      <c r="P132" s="347">
        <v>0</v>
      </c>
      <c r="Q132" s="441"/>
      <c r="R132" s="422"/>
    </row>
    <row r="133" spans="1:19" s="189" customFormat="1" ht="12.05" customHeight="1">
      <c r="A133" s="289"/>
      <c r="B133" s="292">
        <v>4</v>
      </c>
      <c r="C133" s="292">
        <v>1</v>
      </c>
      <c r="D133" s="292">
        <v>4</v>
      </c>
      <c r="E133" s="292" t="s">
        <v>444</v>
      </c>
      <c r="F133" s="292" t="s">
        <v>440</v>
      </c>
      <c r="G133" s="253" t="s">
        <v>73</v>
      </c>
      <c r="H133" s="253"/>
      <c r="I133" s="253"/>
      <c r="J133" s="354">
        <v>0</v>
      </c>
      <c r="K133" s="355">
        <v>0</v>
      </c>
      <c r="L133" s="355"/>
      <c r="M133" s="355">
        <f>[55]Perdinas!$E$86</f>
        <v>0</v>
      </c>
      <c r="N133" s="355">
        <f>M133+L133</f>
        <v>0</v>
      </c>
      <c r="O133" s="355">
        <f>N133-K133</f>
        <v>0</v>
      </c>
      <c r="P133" s="388"/>
      <c r="Q133" s="441"/>
      <c r="R133" s="422"/>
    </row>
    <row r="134" spans="1:19" s="189" customFormat="1" ht="12.05" customHeight="1">
      <c r="A134" s="289"/>
      <c r="B134" s="292">
        <v>4</v>
      </c>
      <c r="C134" s="292">
        <v>1</v>
      </c>
      <c r="D134" s="292">
        <v>4</v>
      </c>
      <c r="E134" s="292" t="s">
        <v>444</v>
      </c>
      <c r="F134" s="292" t="s">
        <v>445</v>
      </c>
      <c r="G134" s="253" t="s">
        <v>74</v>
      </c>
      <c r="H134" s="253"/>
      <c r="I134" s="253"/>
      <c r="J134" s="354">
        <v>0</v>
      </c>
      <c r="K134" s="355">
        <v>0</v>
      </c>
      <c r="L134" s="355"/>
      <c r="M134" s="355">
        <f>[55]Perdinas!$E$87</f>
        <v>0</v>
      </c>
      <c r="N134" s="355">
        <f>M134+L134</f>
        <v>0</v>
      </c>
      <c r="O134" s="355">
        <f>N134-K134</f>
        <v>0</v>
      </c>
      <c r="P134" s="388"/>
      <c r="Q134" s="441"/>
      <c r="R134" s="422"/>
    </row>
    <row r="135" spans="1:19" s="189" customFormat="1" ht="12.05" customHeight="1">
      <c r="A135" s="289"/>
      <c r="B135" s="292">
        <v>4</v>
      </c>
      <c r="C135" s="292">
        <v>1</v>
      </c>
      <c r="D135" s="292">
        <v>4</v>
      </c>
      <c r="E135" s="292" t="s">
        <v>444</v>
      </c>
      <c r="F135" s="292" t="s">
        <v>441</v>
      </c>
      <c r="G135" s="253" t="s">
        <v>75</v>
      </c>
      <c r="H135" s="253"/>
      <c r="I135" s="253"/>
      <c r="J135" s="354">
        <v>0</v>
      </c>
      <c r="K135" s="355">
        <v>0</v>
      </c>
      <c r="L135" s="355">
        <f>[62]PerDinas!$N$135</f>
        <v>0</v>
      </c>
      <c r="M135" s="373">
        <f>[55]Perdinas!$E$88</f>
        <v>0</v>
      </c>
      <c r="N135" s="369">
        <f>M135+L135</f>
        <v>0</v>
      </c>
      <c r="O135" s="355">
        <f>N135-K135</f>
        <v>0</v>
      </c>
      <c r="P135" s="388"/>
      <c r="Q135" s="633"/>
      <c r="R135" s="422"/>
    </row>
    <row r="136" spans="1:19" s="189" customFormat="1" ht="12.05" customHeight="1">
      <c r="A136" s="289"/>
      <c r="B136" s="292"/>
      <c r="C136" s="292"/>
      <c r="D136" s="292"/>
      <c r="E136" s="292"/>
      <c r="F136" s="292"/>
      <c r="G136" s="297"/>
      <c r="H136" s="297"/>
      <c r="I136" s="297"/>
      <c r="J136" s="333"/>
      <c r="K136" s="355"/>
      <c r="L136" s="355"/>
      <c r="M136" s="355"/>
      <c r="N136" s="355"/>
      <c r="O136" s="355"/>
      <c r="P136" s="388"/>
      <c r="Q136" s="441"/>
      <c r="R136" s="422"/>
    </row>
    <row r="137" spans="1:19" s="189" customFormat="1" ht="12.05" customHeight="1">
      <c r="A137" s="294"/>
      <c r="B137" s="292">
        <v>4</v>
      </c>
      <c r="C137" s="292">
        <v>1</v>
      </c>
      <c r="D137" s="292">
        <v>4</v>
      </c>
      <c r="E137" s="292" t="s">
        <v>948</v>
      </c>
      <c r="F137" s="292"/>
      <c r="G137" s="297" t="s">
        <v>321</v>
      </c>
      <c r="H137" s="297"/>
      <c r="I137" s="297"/>
      <c r="J137" s="333">
        <f>+J138</f>
        <v>0</v>
      </c>
      <c r="K137" s="355">
        <f>+K138</f>
        <v>0</v>
      </c>
      <c r="L137" s="355">
        <f>L138</f>
        <v>0</v>
      </c>
      <c r="M137" s="355">
        <f>M138</f>
        <v>0</v>
      </c>
      <c r="N137" s="355">
        <f>N138</f>
        <v>0</v>
      </c>
      <c r="O137" s="346">
        <f>N137-K137</f>
        <v>0</v>
      </c>
      <c r="P137" s="347">
        <v>0</v>
      </c>
      <c r="Q137" s="441"/>
      <c r="R137" s="422"/>
    </row>
    <row r="138" spans="1:19" s="245" customFormat="1" ht="12.05" customHeight="1">
      <c r="A138" s="304"/>
      <c r="B138" s="305">
        <v>4</v>
      </c>
      <c r="C138" s="305">
        <v>1</v>
      </c>
      <c r="D138" s="305">
        <v>4</v>
      </c>
      <c r="E138" s="305" t="s">
        <v>948</v>
      </c>
      <c r="F138" s="305" t="s">
        <v>437</v>
      </c>
      <c r="G138" s="306" t="s">
        <v>50</v>
      </c>
      <c r="H138" s="306"/>
      <c r="I138" s="306" t="s">
        <v>76</v>
      </c>
      <c r="J138" s="536"/>
      <c r="K138" s="380"/>
      <c r="L138" s="380">
        <f>[62]PerDinas!$N$138</f>
        <v>0</v>
      </c>
      <c r="M138" s="380">
        <f>[55]Perdinas!$E$89</f>
        <v>0</v>
      </c>
      <c r="N138" s="380">
        <f>M138+L138</f>
        <v>0</v>
      </c>
      <c r="O138" s="380">
        <f>N138-K138</f>
        <v>0</v>
      </c>
      <c r="P138" s="501">
        <v>0</v>
      </c>
      <c r="Q138" s="560"/>
      <c r="R138" s="450"/>
    </row>
    <row r="139" spans="1:19" s="249" customFormat="1" ht="20.2" customHeight="1">
      <c r="A139" s="562"/>
      <c r="B139" s="308" t="s">
        <v>58</v>
      </c>
      <c r="C139" s="308" t="s">
        <v>438</v>
      </c>
      <c r="D139" s="308" t="s">
        <v>437</v>
      </c>
      <c r="E139" s="308" t="s">
        <v>451</v>
      </c>
      <c r="F139" s="308"/>
      <c r="G139" s="5902" t="s">
        <v>724</v>
      </c>
      <c r="H139" s="5903"/>
      <c r="I139" s="5904"/>
      <c r="J139" s="586">
        <f>+J141</f>
        <v>1660700000</v>
      </c>
      <c r="K139" s="587">
        <f>+K141</f>
        <v>3000880000</v>
      </c>
      <c r="L139" s="587">
        <f>+L141</f>
        <v>3645496600</v>
      </c>
      <c r="M139" s="587">
        <f>+M141</f>
        <v>34687000</v>
      </c>
      <c r="N139" s="587">
        <f t="shared" ref="N139:N144" si="19">+M139+L139</f>
        <v>3680183600</v>
      </c>
      <c r="O139" s="587">
        <f>N139-K139</f>
        <v>679303600</v>
      </c>
      <c r="P139" s="588">
        <f t="shared" ref="P139:P144" si="20">N139/K139*100</f>
        <v>122.63681320146091</v>
      </c>
      <c r="Q139" s="634"/>
      <c r="R139" s="5863"/>
      <c r="S139" s="5863"/>
    </row>
    <row r="140" spans="1:19" s="189" customFormat="1" ht="12.05" customHeight="1">
      <c r="A140" s="286"/>
      <c r="B140" s="287"/>
      <c r="C140" s="287"/>
      <c r="D140" s="287"/>
      <c r="E140" s="287"/>
      <c r="F140" s="287"/>
      <c r="G140" s="410"/>
      <c r="H140" s="410"/>
      <c r="I140" s="410"/>
      <c r="J140" s="342"/>
      <c r="K140" s="343"/>
      <c r="L140" s="343"/>
      <c r="M140" s="343"/>
      <c r="N140" s="492"/>
      <c r="O140" s="492"/>
      <c r="P140" s="487"/>
      <c r="Q140" s="437"/>
      <c r="R140" s="422"/>
    </row>
    <row r="141" spans="1:19" s="189" customFormat="1" ht="12.05" customHeight="1">
      <c r="A141" s="294"/>
      <c r="B141" s="290">
        <v>4</v>
      </c>
      <c r="C141" s="290">
        <v>1</v>
      </c>
      <c r="D141" s="290"/>
      <c r="E141" s="290"/>
      <c r="F141" s="290"/>
      <c r="G141" s="291" t="s">
        <v>180</v>
      </c>
      <c r="H141" s="291"/>
      <c r="I141" s="291"/>
      <c r="J141" s="518">
        <f>+J143+J147</f>
        <v>1660700000</v>
      </c>
      <c r="K141" s="519">
        <f>+K143+K147</f>
        <v>3000880000</v>
      </c>
      <c r="L141" s="519">
        <f>+L143+L147</f>
        <v>3645496600</v>
      </c>
      <c r="M141" s="519">
        <f>+M143+M147</f>
        <v>34687000</v>
      </c>
      <c r="N141" s="343">
        <f t="shared" si="19"/>
        <v>3680183600</v>
      </c>
      <c r="O141" s="343">
        <f>N141-K141</f>
        <v>679303600</v>
      </c>
      <c r="P141" s="344">
        <f t="shared" si="20"/>
        <v>122.63681320146091</v>
      </c>
      <c r="Q141" s="559"/>
      <c r="R141" s="422"/>
    </row>
    <row r="142" spans="1:19" s="189" customFormat="1" ht="12.05" customHeight="1">
      <c r="A142" s="289"/>
      <c r="B142" s="292"/>
      <c r="C142" s="292"/>
      <c r="D142" s="292"/>
      <c r="E142" s="292"/>
      <c r="F142" s="292"/>
      <c r="G142" s="253"/>
      <c r="H142" s="253"/>
      <c r="I142" s="291"/>
      <c r="J142" s="387"/>
      <c r="K142" s="367"/>
      <c r="L142" s="367"/>
      <c r="M142" s="367"/>
      <c r="N142" s="367"/>
      <c r="O142" s="367"/>
      <c r="P142" s="347"/>
      <c r="Q142" s="454"/>
      <c r="R142" s="422"/>
    </row>
    <row r="143" spans="1:19" s="189" customFormat="1" ht="12.05" customHeight="1">
      <c r="A143" s="294"/>
      <c r="B143" s="290">
        <v>4</v>
      </c>
      <c r="C143" s="290">
        <v>1</v>
      </c>
      <c r="D143" s="290">
        <v>2</v>
      </c>
      <c r="E143" s="290"/>
      <c r="F143" s="290"/>
      <c r="G143" s="291" t="s">
        <v>106</v>
      </c>
      <c r="H143" s="291"/>
      <c r="I143" s="291"/>
      <c r="J143" s="348">
        <f t="shared" ref="J143:M144" si="21">+J144</f>
        <v>1660200000</v>
      </c>
      <c r="K143" s="349">
        <f t="shared" si="21"/>
        <v>3000000000</v>
      </c>
      <c r="L143" s="589">
        <f t="shared" si="21"/>
        <v>3642487600</v>
      </c>
      <c r="M143" s="349">
        <f t="shared" si="21"/>
        <v>34687000</v>
      </c>
      <c r="N143" s="349">
        <f t="shared" si="19"/>
        <v>3677174600</v>
      </c>
      <c r="O143" s="349">
        <f>N143-K143</f>
        <v>677174600</v>
      </c>
      <c r="P143" s="590">
        <f t="shared" si="20"/>
        <v>122.57248666666666</v>
      </c>
      <c r="Q143" s="439"/>
      <c r="R143" s="422"/>
    </row>
    <row r="144" spans="1:19" s="189" customFormat="1" ht="12.05" customHeight="1">
      <c r="A144" s="294"/>
      <c r="B144" s="292">
        <v>4</v>
      </c>
      <c r="C144" s="292">
        <v>1</v>
      </c>
      <c r="D144" s="292">
        <v>2</v>
      </c>
      <c r="E144" s="292" t="s">
        <v>437</v>
      </c>
      <c r="F144" s="292"/>
      <c r="G144" s="253" t="s">
        <v>107</v>
      </c>
      <c r="H144" s="253"/>
      <c r="I144" s="291"/>
      <c r="J144" s="411">
        <f t="shared" si="21"/>
        <v>1660200000</v>
      </c>
      <c r="K144" s="412">
        <f t="shared" si="21"/>
        <v>3000000000</v>
      </c>
      <c r="L144" s="591">
        <f t="shared" si="21"/>
        <v>3642487600</v>
      </c>
      <c r="M144" s="412">
        <f t="shared" si="21"/>
        <v>34687000</v>
      </c>
      <c r="N144" s="412">
        <f t="shared" si="19"/>
        <v>3677174600</v>
      </c>
      <c r="O144" s="412">
        <f>N144-K144</f>
        <v>677174600</v>
      </c>
      <c r="P144" s="487">
        <f t="shared" si="20"/>
        <v>122.57248666666666</v>
      </c>
      <c r="Q144" s="461"/>
      <c r="R144" s="422"/>
    </row>
    <row r="145" spans="1:18" s="189" customFormat="1" ht="12.05" customHeight="1">
      <c r="A145" s="294"/>
      <c r="B145" s="292">
        <v>4</v>
      </c>
      <c r="C145" s="292">
        <v>1</v>
      </c>
      <c r="D145" s="292">
        <v>2</v>
      </c>
      <c r="E145" s="292" t="s">
        <v>437</v>
      </c>
      <c r="F145" s="292" t="s">
        <v>437</v>
      </c>
      <c r="G145" s="253" t="s">
        <v>84</v>
      </c>
      <c r="H145" s="253"/>
      <c r="I145" s="253"/>
      <c r="J145" s="389">
        <v>1660200000</v>
      </c>
      <c r="K145" s="390">
        <f>'[57]TARGET MURNI DAN PERUBAHAN'!$E$73</f>
        <v>3000000000</v>
      </c>
      <c r="L145" s="391">
        <f>[62]PerDinas!$N$145</f>
        <v>3642487600</v>
      </c>
      <c r="M145" s="390">
        <f>[55]Perdinas!$E$93</f>
        <v>34687000</v>
      </c>
      <c r="N145" s="361">
        <f>M145+L145</f>
        <v>3677174600</v>
      </c>
      <c r="O145" s="334">
        <f>N145-K145</f>
        <v>677174600</v>
      </c>
      <c r="P145" s="335" t="s">
        <v>700</v>
      </c>
      <c r="Q145" s="442"/>
      <c r="R145" s="545"/>
    </row>
    <row r="146" spans="1:18" s="189" customFormat="1" ht="12.05" customHeight="1">
      <c r="A146" s="289"/>
      <c r="B146" s="292"/>
      <c r="C146" s="292"/>
      <c r="D146" s="292"/>
      <c r="E146" s="292"/>
      <c r="F146" s="292"/>
      <c r="G146" s="253"/>
      <c r="H146" s="253"/>
      <c r="I146" s="253"/>
      <c r="J146" s="354"/>
      <c r="K146" s="355"/>
      <c r="L146" s="360"/>
      <c r="M146" s="355"/>
      <c r="N146" s="355"/>
      <c r="O146" s="355"/>
      <c r="P146" s="388"/>
      <c r="Q146" s="635"/>
      <c r="R146" s="636"/>
    </row>
    <row r="147" spans="1:18" s="189" customFormat="1" ht="12.05" customHeight="1">
      <c r="A147" s="294"/>
      <c r="B147" s="290">
        <v>4</v>
      </c>
      <c r="C147" s="290">
        <v>1</v>
      </c>
      <c r="D147" s="290">
        <v>4</v>
      </c>
      <c r="E147" s="290"/>
      <c r="F147" s="290"/>
      <c r="G147" s="291" t="s">
        <v>71</v>
      </c>
      <c r="H147" s="291"/>
      <c r="I147" s="291"/>
      <c r="J147" s="392">
        <f>+J155</f>
        <v>500000</v>
      </c>
      <c r="K147" s="393">
        <f>+K155+K151+K148</f>
        <v>880000</v>
      </c>
      <c r="L147" s="394">
        <f>+L155+L151+L148</f>
        <v>3009000</v>
      </c>
      <c r="M147" s="393">
        <f>+M155+M151+M148</f>
        <v>0</v>
      </c>
      <c r="N147" s="393">
        <f>M147+L147</f>
        <v>3009000</v>
      </c>
      <c r="O147" s="349">
        <f t="shared" ref="O147:O156" si="22">N147-K147</f>
        <v>2129000</v>
      </c>
      <c r="P147" s="584">
        <v>0</v>
      </c>
      <c r="Q147" s="637"/>
      <c r="R147" s="545"/>
    </row>
    <row r="148" spans="1:18" s="189" customFormat="1" ht="15.05">
      <c r="A148" s="563"/>
      <c r="B148" s="290">
        <v>4</v>
      </c>
      <c r="C148" s="290">
        <v>1</v>
      </c>
      <c r="D148" s="290">
        <v>4</v>
      </c>
      <c r="E148" s="290" t="s">
        <v>441</v>
      </c>
      <c r="F148" s="290"/>
      <c r="G148" s="291" t="s">
        <v>557</v>
      </c>
      <c r="H148" s="467"/>
      <c r="I148" s="467"/>
      <c r="J148" s="329"/>
      <c r="K148" s="592">
        <f>K149</f>
        <v>0</v>
      </c>
      <c r="L148" s="593">
        <f>L149</f>
        <v>0</v>
      </c>
      <c r="M148" s="592">
        <f>M149</f>
        <v>0</v>
      </c>
      <c r="N148" s="592">
        <f>M148+L148</f>
        <v>0</v>
      </c>
      <c r="O148" s="594">
        <f t="shared" si="22"/>
        <v>0</v>
      </c>
      <c r="P148" s="368"/>
      <c r="Q148" s="637"/>
      <c r="R148" s="422"/>
    </row>
    <row r="149" spans="1:18" s="189" customFormat="1" ht="12.05" customHeight="1">
      <c r="A149" s="563"/>
      <c r="B149" s="292">
        <v>4</v>
      </c>
      <c r="C149" s="292">
        <v>1</v>
      </c>
      <c r="D149" s="292">
        <v>4</v>
      </c>
      <c r="E149" s="292" t="s">
        <v>441</v>
      </c>
      <c r="F149" s="292" t="s">
        <v>437</v>
      </c>
      <c r="G149" s="253" t="s">
        <v>72</v>
      </c>
      <c r="H149" s="467"/>
      <c r="I149" s="467"/>
      <c r="J149" s="329"/>
      <c r="K149" s="334"/>
      <c r="L149" s="356">
        <f>[62]PerDinas!$N$149</f>
        <v>0</v>
      </c>
      <c r="M149" s="334">
        <f>[55]Perdinas!$E$96</f>
        <v>0</v>
      </c>
      <c r="N149" s="334">
        <f>M149+L149</f>
        <v>0</v>
      </c>
      <c r="O149" s="396">
        <f t="shared" si="22"/>
        <v>0</v>
      </c>
      <c r="P149" s="344"/>
      <c r="Q149" s="637"/>
      <c r="R149" s="422"/>
    </row>
    <row r="150" spans="1:18" s="189" customFormat="1" ht="12.05" customHeight="1">
      <c r="A150" s="563"/>
      <c r="B150" s="466"/>
      <c r="C150" s="466"/>
      <c r="D150" s="466"/>
      <c r="E150" s="466"/>
      <c r="F150" s="466"/>
      <c r="G150" s="467"/>
      <c r="H150" s="467"/>
      <c r="I150" s="467"/>
      <c r="J150" s="329"/>
      <c r="K150" s="334"/>
      <c r="L150" s="356"/>
      <c r="M150" s="334"/>
      <c r="N150" s="334"/>
      <c r="O150" s="396"/>
      <c r="P150" s="344"/>
      <c r="Q150" s="637"/>
      <c r="R150" s="422"/>
    </row>
    <row r="151" spans="1:18" s="189" customFormat="1" ht="12.05" customHeight="1">
      <c r="A151" s="465"/>
      <c r="B151" s="296">
        <v>4</v>
      </c>
      <c r="C151" s="296">
        <v>1</v>
      </c>
      <c r="D151" s="296">
        <v>4</v>
      </c>
      <c r="E151" s="296" t="s">
        <v>444</v>
      </c>
      <c r="F151" s="296"/>
      <c r="G151" s="297" t="s">
        <v>222</v>
      </c>
      <c r="H151" s="297"/>
      <c r="I151" s="297"/>
      <c r="J151" s="351">
        <v>0</v>
      </c>
      <c r="K151" s="352">
        <f>+K154</f>
        <v>0</v>
      </c>
      <c r="L151" s="362">
        <f>SUM(L152:L154)</f>
        <v>2659000</v>
      </c>
      <c r="M151" s="352">
        <f>SUM(M152:M154)</f>
        <v>0</v>
      </c>
      <c r="N151" s="352">
        <f>SUM(N152:N154)</f>
        <v>2659000</v>
      </c>
      <c r="O151" s="595">
        <f t="shared" si="22"/>
        <v>2659000</v>
      </c>
      <c r="P151" s="596"/>
      <c r="Q151" s="637"/>
      <c r="R151" s="422"/>
    </row>
    <row r="152" spans="1:18" s="189" customFormat="1" ht="12.05" customHeight="1">
      <c r="A152" s="564"/>
      <c r="B152" s="565">
        <v>4</v>
      </c>
      <c r="C152" s="565">
        <v>1</v>
      </c>
      <c r="D152" s="565">
        <v>4</v>
      </c>
      <c r="E152" s="565" t="s">
        <v>444</v>
      </c>
      <c r="F152" s="565" t="s">
        <v>440</v>
      </c>
      <c r="G152" s="566" t="s">
        <v>73</v>
      </c>
      <c r="H152" s="566"/>
      <c r="I152" s="566"/>
      <c r="J152" s="484"/>
      <c r="K152" s="485"/>
      <c r="L152" s="486">
        <v>0</v>
      </c>
      <c r="M152" s="485">
        <f>[55]Perdinas!$E$97</f>
        <v>0</v>
      </c>
      <c r="N152" s="485">
        <f>M152+L152</f>
        <v>0</v>
      </c>
      <c r="O152" s="485">
        <f t="shared" si="22"/>
        <v>0</v>
      </c>
      <c r="P152" s="597"/>
      <c r="Q152" s="638"/>
      <c r="R152" s="422"/>
    </row>
    <row r="153" spans="1:18" s="189" customFormat="1" ht="12.05" customHeight="1">
      <c r="A153" s="286"/>
      <c r="B153" s="287">
        <v>4</v>
      </c>
      <c r="C153" s="287">
        <v>1</v>
      </c>
      <c r="D153" s="287">
        <v>4</v>
      </c>
      <c r="E153" s="287" t="s">
        <v>444</v>
      </c>
      <c r="F153" s="287" t="s">
        <v>445</v>
      </c>
      <c r="G153" s="410" t="s">
        <v>74</v>
      </c>
      <c r="H153" s="410"/>
      <c r="I153" s="410"/>
      <c r="J153" s="389"/>
      <c r="K153" s="357"/>
      <c r="L153" s="391">
        <v>0</v>
      </c>
      <c r="M153" s="357">
        <f>[55]Perdinas!$E$98</f>
        <v>0</v>
      </c>
      <c r="N153" s="357">
        <f>M153+L153</f>
        <v>0</v>
      </c>
      <c r="O153" s="357">
        <f t="shared" si="22"/>
        <v>0</v>
      </c>
      <c r="P153" s="358"/>
      <c r="Q153" s="442"/>
      <c r="R153" s="422"/>
    </row>
    <row r="154" spans="1:18" s="189" customFormat="1" ht="12.05" customHeight="1">
      <c r="A154" s="293"/>
      <c r="B154" s="292">
        <v>4</v>
      </c>
      <c r="C154" s="292">
        <v>1</v>
      </c>
      <c r="D154" s="292">
        <v>4</v>
      </c>
      <c r="E154" s="292" t="s">
        <v>444</v>
      </c>
      <c r="F154" s="292" t="s">
        <v>441</v>
      </c>
      <c r="G154" s="253" t="s">
        <v>75</v>
      </c>
      <c r="H154" s="253"/>
      <c r="I154" s="253"/>
      <c r="J154" s="354">
        <v>0</v>
      </c>
      <c r="K154" s="355">
        <f>'[57]TARGET MURNI DAN PERUBAHAN'!$E$76</f>
        <v>0</v>
      </c>
      <c r="L154" s="355">
        <f>[62]PerDinas!$N$154</f>
        <v>2659000</v>
      </c>
      <c r="M154" s="355">
        <f>[55]Perdinas!$E$99</f>
        <v>0</v>
      </c>
      <c r="N154" s="369">
        <f>M154+L154</f>
        <v>2659000</v>
      </c>
      <c r="O154" s="355">
        <f t="shared" si="22"/>
        <v>2659000</v>
      </c>
      <c r="P154" s="388"/>
      <c r="Q154" s="441"/>
      <c r="R154" s="422"/>
    </row>
    <row r="155" spans="1:18" s="189" customFormat="1" ht="15.05">
      <c r="A155" s="294"/>
      <c r="B155" s="292">
        <v>4</v>
      </c>
      <c r="C155" s="292">
        <v>1</v>
      </c>
      <c r="D155" s="292">
        <v>4</v>
      </c>
      <c r="E155" s="292" t="s">
        <v>948</v>
      </c>
      <c r="F155" s="292"/>
      <c r="G155" s="297" t="s">
        <v>321</v>
      </c>
      <c r="H155" s="297"/>
      <c r="I155" s="297"/>
      <c r="J155" s="333">
        <f>+J156</f>
        <v>500000</v>
      </c>
      <c r="K155" s="334">
        <f>+K156</f>
        <v>880000</v>
      </c>
      <c r="L155" s="592">
        <f>L156</f>
        <v>350000</v>
      </c>
      <c r="M155" s="592">
        <f>M156</f>
        <v>0</v>
      </c>
      <c r="N155" s="592">
        <f>N156</f>
        <v>350000</v>
      </c>
      <c r="O155" s="594">
        <f t="shared" si="22"/>
        <v>-530000</v>
      </c>
      <c r="P155" s="598">
        <f>N155/K155*100</f>
        <v>39.772727272727273</v>
      </c>
      <c r="Q155" s="430"/>
      <c r="R155" s="422"/>
    </row>
    <row r="156" spans="1:18" s="245" customFormat="1" ht="12.05" customHeight="1">
      <c r="A156" s="304"/>
      <c r="B156" s="305">
        <v>4</v>
      </c>
      <c r="C156" s="305">
        <v>1</v>
      </c>
      <c r="D156" s="305">
        <v>4</v>
      </c>
      <c r="E156" s="305" t="s">
        <v>948</v>
      </c>
      <c r="F156" s="305" t="s">
        <v>437</v>
      </c>
      <c r="G156" s="306" t="s">
        <v>50</v>
      </c>
      <c r="H156" s="306"/>
      <c r="I156" s="306" t="s">
        <v>85</v>
      </c>
      <c r="J156" s="536">
        <v>500000</v>
      </c>
      <c r="K156" s="380">
        <f>'[57]TARGET MURNI DAN PERUBAHAN'!$E$77</f>
        <v>880000</v>
      </c>
      <c r="L156" s="538">
        <f>[62]PerDinas!$N$156</f>
        <v>350000</v>
      </c>
      <c r="M156" s="380">
        <f>[55]Perdinas!$E$100</f>
        <v>0</v>
      </c>
      <c r="N156" s="500">
        <f t="shared" ref="N156:N161" si="23">M156+L156</f>
        <v>350000</v>
      </c>
      <c r="O156" s="380">
        <f t="shared" si="22"/>
        <v>-530000</v>
      </c>
      <c r="P156" s="335">
        <f>N156/K156*100</f>
        <v>39.772727272727273</v>
      </c>
      <c r="Q156" s="560"/>
      <c r="R156" s="450"/>
    </row>
    <row r="157" spans="1:18" s="244" customFormat="1" ht="12.05" customHeight="1">
      <c r="A157" s="567" t="s">
        <v>100</v>
      </c>
      <c r="B157" s="284" t="s">
        <v>58</v>
      </c>
      <c r="C157" s="284" t="s">
        <v>438</v>
      </c>
      <c r="D157" s="284" t="s">
        <v>438</v>
      </c>
      <c r="E157" s="284"/>
      <c r="F157" s="284"/>
      <c r="G157" s="298" t="s">
        <v>99</v>
      </c>
      <c r="H157" s="298"/>
      <c r="I157" s="298"/>
      <c r="J157" s="336" t="e">
        <f>+J159</f>
        <v>#REF!</v>
      </c>
      <c r="K157" s="337">
        <f>+K159</f>
        <v>105181111701</v>
      </c>
      <c r="L157" s="337">
        <f>+L159</f>
        <v>74834002587.880005</v>
      </c>
      <c r="M157" s="337">
        <f>+M159</f>
        <v>7271263070</v>
      </c>
      <c r="N157" s="337">
        <f t="shared" si="23"/>
        <v>82105265657.880005</v>
      </c>
      <c r="O157" s="337">
        <f>+N157-K157</f>
        <v>-23075846043.119995</v>
      </c>
      <c r="P157" s="338">
        <f>+N157/K157*100</f>
        <v>78.060846030304305</v>
      </c>
      <c r="Q157" s="432"/>
      <c r="R157" s="639"/>
    </row>
    <row r="158" spans="1:18" s="189" customFormat="1" ht="7.55" customHeight="1">
      <c r="A158" s="286"/>
      <c r="B158" s="287"/>
      <c r="C158" s="287"/>
      <c r="D158" s="287"/>
      <c r="E158" s="287"/>
      <c r="F158" s="287"/>
      <c r="G158" s="288"/>
      <c r="H158" s="288"/>
      <c r="I158" s="288"/>
      <c r="J158" s="385"/>
      <c r="K158" s="386"/>
      <c r="L158" s="386"/>
      <c r="M158" s="386"/>
      <c r="N158" s="386"/>
      <c r="O158" s="386"/>
      <c r="P158" s="341"/>
      <c r="Q158" s="453"/>
      <c r="R158" s="422"/>
    </row>
    <row r="159" spans="1:18" s="189" customFormat="1" ht="12.05" customHeight="1">
      <c r="A159" s="294"/>
      <c r="B159" s="290">
        <v>4</v>
      </c>
      <c r="C159" s="290">
        <v>1</v>
      </c>
      <c r="D159" s="292"/>
      <c r="E159" s="292"/>
      <c r="F159" s="292"/>
      <c r="G159" s="291" t="s">
        <v>180</v>
      </c>
      <c r="H159" s="291"/>
      <c r="I159" s="291"/>
      <c r="J159" s="342" t="e">
        <f>+J161</f>
        <v>#REF!</v>
      </c>
      <c r="K159" s="599">
        <f>+K161</f>
        <v>105181111701</v>
      </c>
      <c r="L159" s="343">
        <f>+L161</f>
        <v>74834002587.880005</v>
      </c>
      <c r="M159" s="343">
        <f>+M161</f>
        <v>7271263070</v>
      </c>
      <c r="N159" s="343">
        <f>+M159+L159</f>
        <v>82105265657.880005</v>
      </c>
      <c r="O159" s="343">
        <f>N159-K159</f>
        <v>-23075846043.119995</v>
      </c>
      <c r="P159" s="344">
        <f>N159/K159*100</f>
        <v>78.060846030304305</v>
      </c>
      <c r="Q159" s="437"/>
      <c r="R159" s="422"/>
    </row>
    <row r="160" spans="1:18" s="189" customFormat="1" ht="7.55" customHeight="1">
      <c r="A160" s="289"/>
      <c r="B160" s="292"/>
      <c r="C160" s="292"/>
      <c r="D160" s="292"/>
      <c r="E160" s="292"/>
      <c r="F160" s="292"/>
      <c r="G160" s="253"/>
      <c r="H160" s="253"/>
      <c r="I160" s="253"/>
      <c r="J160" s="374"/>
      <c r="K160" s="375"/>
      <c r="L160" s="375"/>
      <c r="M160" s="375"/>
      <c r="N160" s="375"/>
      <c r="O160" s="375"/>
      <c r="P160" s="600"/>
      <c r="Q160" s="448"/>
      <c r="R160" s="422"/>
    </row>
    <row r="161" spans="1:19" s="189" customFormat="1" ht="12.05" customHeight="1">
      <c r="A161" s="294"/>
      <c r="B161" s="290">
        <v>4</v>
      </c>
      <c r="C161" s="290">
        <v>1</v>
      </c>
      <c r="D161" s="290">
        <v>4</v>
      </c>
      <c r="E161" s="290"/>
      <c r="F161" s="290"/>
      <c r="G161" s="291" t="s">
        <v>71</v>
      </c>
      <c r="H161" s="291"/>
      <c r="I161" s="291"/>
      <c r="J161" s="601" t="e">
        <f>J163+J165+J170</f>
        <v>#REF!</v>
      </c>
      <c r="K161" s="602">
        <f>K163+K165+K170+K166+K167</f>
        <v>105181111701</v>
      </c>
      <c r="L161" s="602">
        <f>L163+L165+L170+L166+L167</f>
        <v>74834002587.880005</v>
      </c>
      <c r="M161" s="602">
        <f>M163+M165+M170</f>
        <v>7271263070</v>
      </c>
      <c r="N161" s="602">
        <f t="shared" si="23"/>
        <v>82105265657.880005</v>
      </c>
      <c r="O161" s="349">
        <f>N161-K161</f>
        <v>-23075846043.119995</v>
      </c>
      <c r="P161" s="350"/>
      <c r="Q161" s="640"/>
      <c r="R161" s="422"/>
    </row>
    <row r="162" spans="1:19" s="189" customFormat="1" ht="7.55" customHeight="1">
      <c r="A162" s="294"/>
      <c r="B162" s="290"/>
      <c r="C162" s="290"/>
      <c r="D162" s="290"/>
      <c r="E162" s="290"/>
      <c r="F162" s="290"/>
      <c r="G162" s="291"/>
      <c r="H162" s="291"/>
      <c r="I162" s="291"/>
      <c r="J162" s="603"/>
      <c r="K162" s="604"/>
      <c r="L162" s="605"/>
      <c r="M162" s="604"/>
      <c r="N162" s="604"/>
      <c r="O162" s="343"/>
      <c r="P162" s="344"/>
      <c r="Q162" s="641"/>
      <c r="R162" s="422"/>
    </row>
    <row r="163" spans="1:19" s="189" customFormat="1" ht="15.05">
      <c r="A163" s="294"/>
      <c r="B163" s="292">
        <v>4</v>
      </c>
      <c r="C163" s="292">
        <v>1</v>
      </c>
      <c r="D163" s="292" t="s">
        <v>443</v>
      </c>
      <c r="E163" s="292" t="s">
        <v>449</v>
      </c>
      <c r="F163" s="292" t="s">
        <v>437</v>
      </c>
      <c r="G163" s="568" t="s">
        <v>957</v>
      </c>
      <c r="H163" s="291"/>
      <c r="I163" s="291"/>
      <c r="J163" s="342" t="e">
        <f>#REF!+#REF!+#REF!+#REF!+#REF!+#REF!+#REF!+#REF!+#REF!+#REF!+#REF!+#REF!+#REF!+#REF!+#REF!+#REF!+#REF!+#REF!+#REF!+#REF!+#REF!+#REF!+#REF!+#REF!</f>
        <v>#REF!</v>
      </c>
      <c r="K163" s="343">
        <f>'[57]TARGET MURNI DAN PERUBAHAN'!$E$81</f>
        <v>105181111701</v>
      </c>
      <c r="L163" s="606">
        <f>[62]PerDinas!$N$163</f>
        <v>74834002587.880005</v>
      </c>
      <c r="M163" s="343">
        <f>[55]Perdinas!$E$104</f>
        <v>7271263070</v>
      </c>
      <c r="N163" s="607">
        <f t="shared" ref="N163:N168" si="24">M163+L163</f>
        <v>82105265657.880005</v>
      </c>
      <c r="O163" s="334">
        <f>N163-K163</f>
        <v>-23075846043.119995</v>
      </c>
      <c r="P163" s="335">
        <f>N163/K163*100</f>
        <v>78.060846030304305</v>
      </c>
      <c r="Q163" s="642"/>
      <c r="R163" s="554"/>
      <c r="S163" s="643"/>
    </row>
    <row r="164" spans="1:19" s="189" customFormat="1" ht="7.55" customHeight="1">
      <c r="A164" s="289"/>
      <c r="B164" s="292"/>
      <c r="C164" s="292"/>
      <c r="D164" s="292"/>
      <c r="E164" s="292"/>
      <c r="F164" s="292"/>
      <c r="G164" s="253"/>
      <c r="H164" s="253"/>
      <c r="I164" s="253"/>
      <c r="J164" s="374"/>
      <c r="K164" s="375"/>
      <c r="L164" s="377"/>
      <c r="M164" s="375"/>
      <c r="N164" s="346"/>
      <c r="O164" s="355"/>
      <c r="P164" s="388"/>
      <c r="Q164" s="448"/>
      <c r="R164" s="422"/>
    </row>
    <row r="165" spans="1:19" s="189" customFormat="1" ht="12.05" customHeight="1">
      <c r="A165" s="293"/>
      <c r="B165" s="305">
        <v>4</v>
      </c>
      <c r="C165" s="305">
        <v>1</v>
      </c>
      <c r="D165" s="305">
        <v>4</v>
      </c>
      <c r="E165" s="305" t="s">
        <v>444</v>
      </c>
      <c r="F165" s="305"/>
      <c r="G165" s="306" t="s">
        <v>222</v>
      </c>
      <c r="H165" s="306"/>
      <c r="I165" s="306"/>
      <c r="J165" s="526">
        <f>SUM(J166:J168)</f>
        <v>0</v>
      </c>
      <c r="K165" s="476">
        <f>K168</f>
        <v>0</v>
      </c>
      <c r="L165" s="476">
        <f>L168</f>
        <v>0</v>
      </c>
      <c r="M165" s="476">
        <f>SUM(M166:M168)</f>
        <v>0</v>
      </c>
      <c r="N165" s="477">
        <f>+M165+L165</f>
        <v>0</v>
      </c>
      <c r="O165" s="477">
        <f>N165-K165</f>
        <v>0</v>
      </c>
      <c r="P165" s="608"/>
      <c r="Q165" s="644"/>
      <c r="R165" s="422"/>
    </row>
    <row r="166" spans="1:19" s="189" customFormat="1" ht="12.05" customHeight="1">
      <c r="A166" s="289"/>
      <c r="B166" s="569">
        <v>4</v>
      </c>
      <c r="C166" s="569">
        <v>1</v>
      </c>
      <c r="D166" s="569">
        <v>4</v>
      </c>
      <c r="E166" s="569" t="s">
        <v>441</v>
      </c>
      <c r="F166" s="569" t="s">
        <v>437</v>
      </c>
      <c r="G166" s="570" t="s">
        <v>710</v>
      </c>
      <c r="H166" s="571"/>
      <c r="I166" s="571"/>
      <c r="J166" s="609">
        <v>0</v>
      </c>
      <c r="K166" s="610">
        <v>0</v>
      </c>
      <c r="L166" s="611">
        <v>0</v>
      </c>
      <c r="M166" s="355">
        <f>[55]Perdinas!$E$106</f>
        <v>0</v>
      </c>
      <c r="N166" s="610">
        <f t="shared" si="24"/>
        <v>0</v>
      </c>
      <c r="O166" s="610">
        <f>N166-K166</f>
        <v>0</v>
      </c>
      <c r="P166" s="612"/>
      <c r="Q166" s="645"/>
      <c r="R166" s="422"/>
    </row>
    <row r="167" spans="1:19" s="189" customFormat="1" ht="12.05" customHeight="1">
      <c r="A167" s="289"/>
      <c r="B167" s="572">
        <v>4</v>
      </c>
      <c r="C167" s="572">
        <v>1</v>
      </c>
      <c r="D167" s="572">
        <v>4</v>
      </c>
      <c r="E167" s="572" t="s">
        <v>449</v>
      </c>
      <c r="F167" s="572" t="s">
        <v>437</v>
      </c>
      <c r="G167" s="573" t="s">
        <v>958</v>
      </c>
      <c r="H167" s="574"/>
      <c r="I167" s="574"/>
      <c r="J167" s="613">
        <v>0</v>
      </c>
      <c r="K167" s="614">
        <v>0</v>
      </c>
      <c r="L167" s="614">
        <v>0</v>
      </c>
      <c r="M167" s="355">
        <f>[55]Perdinas!$E$107</f>
        <v>0</v>
      </c>
      <c r="N167" s="614">
        <f t="shared" si="24"/>
        <v>0</v>
      </c>
      <c r="O167" s="614">
        <f>N167-K167</f>
        <v>0</v>
      </c>
      <c r="P167" s="615"/>
      <c r="Q167" s="646"/>
      <c r="R167" s="422"/>
    </row>
    <row r="168" spans="1:19" s="189" customFormat="1" ht="12.05" customHeight="1">
      <c r="A168" s="293"/>
      <c r="B168" s="292">
        <v>4</v>
      </c>
      <c r="C168" s="292">
        <v>1</v>
      </c>
      <c r="D168" s="292">
        <v>4</v>
      </c>
      <c r="E168" s="292" t="s">
        <v>444</v>
      </c>
      <c r="F168" s="292" t="s">
        <v>441</v>
      </c>
      <c r="G168" s="253" t="s">
        <v>75</v>
      </c>
      <c r="H168" s="253"/>
      <c r="I168" s="253"/>
      <c r="J168" s="354">
        <v>0</v>
      </c>
      <c r="K168" s="355">
        <f>'[57]TARGET MURNI DAN PERUBAHAN'!$E$82</f>
        <v>0</v>
      </c>
      <c r="L168" s="360">
        <f>[62]PerDinas!$N$168</f>
        <v>0</v>
      </c>
      <c r="M168" s="355">
        <f>[55]Perdinas!$E$108</f>
        <v>0</v>
      </c>
      <c r="N168" s="369">
        <f t="shared" si="24"/>
        <v>0</v>
      </c>
      <c r="O168" s="355">
        <f>N168-K168</f>
        <v>0</v>
      </c>
      <c r="P168" s="388">
        <v>0</v>
      </c>
      <c r="Q168" s="441"/>
      <c r="R168" s="422"/>
    </row>
    <row r="169" spans="1:19" s="189" customFormat="1" ht="12.05" customHeight="1">
      <c r="A169" s="289"/>
      <c r="B169" s="292"/>
      <c r="C169" s="292"/>
      <c r="D169" s="292"/>
      <c r="E169" s="292"/>
      <c r="F169" s="292"/>
      <c r="G169" s="253"/>
      <c r="H169" s="253"/>
      <c r="I169" s="253"/>
      <c r="J169" s="374"/>
      <c r="K169" s="375"/>
      <c r="L169" s="377"/>
      <c r="M169" s="375"/>
      <c r="N169" s="375"/>
      <c r="O169" s="375"/>
      <c r="P169" s="600"/>
      <c r="Q169" s="448"/>
      <c r="R169" s="422"/>
    </row>
    <row r="170" spans="1:19" s="189" customFormat="1" ht="12.05" customHeight="1">
      <c r="A170" s="294"/>
      <c r="B170" s="292">
        <v>4</v>
      </c>
      <c r="C170" s="292">
        <v>1</v>
      </c>
      <c r="D170" s="292">
        <v>4</v>
      </c>
      <c r="E170" s="292" t="s">
        <v>948</v>
      </c>
      <c r="F170" s="292"/>
      <c r="G170" s="253" t="s">
        <v>321</v>
      </c>
      <c r="H170" s="253"/>
      <c r="I170" s="253"/>
      <c r="J170" s="489">
        <f>+J171</f>
        <v>0</v>
      </c>
      <c r="K170" s="512">
        <f>+K171</f>
        <v>0</v>
      </c>
      <c r="L170" s="616">
        <f>+L171</f>
        <v>0</v>
      </c>
      <c r="M170" s="512">
        <f>+M171</f>
        <v>0</v>
      </c>
      <c r="N170" s="512">
        <f>+N171</f>
        <v>0</v>
      </c>
      <c r="O170" s="412">
        <f>N170-K170</f>
        <v>0</v>
      </c>
      <c r="P170" s="487"/>
      <c r="Q170" s="647"/>
      <c r="R170" s="422"/>
    </row>
    <row r="171" spans="1:19" s="189" customFormat="1" ht="12.05" customHeight="1">
      <c r="A171" s="294"/>
      <c r="B171" s="292">
        <v>4</v>
      </c>
      <c r="C171" s="292">
        <v>1</v>
      </c>
      <c r="D171" s="292">
        <v>4</v>
      </c>
      <c r="E171" s="292" t="s">
        <v>948</v>
      </c>
      <c r="F171" s="292" t="s">
        <v>437</v>
      </c>
      <c r="G171" s="253" t="s">
        <v>85</v>
      </c>
      <c r="H171" s="253"/>
      <c r="I171" s="253"/>
      <c r="J171" s="494">
        <f>SUM(J172:J172)</f>
        <v>0</v>
      </c>
      <c r="K171" s="495">
        <f>SUM(K172:K172)</f>
        <v>0</v>
      </c>
      <c r="L171" s="495">
        <f>SUM(L172:L172)</f>
        <v>0</v>
      </c>
      <c r="M171" s="495">
        <f>SUM(M172:M172)</f>
        <v>0</v>
      </c>
      <c r="N171" s="495">
        <f>SUM(N172:N172)</f>
        <v>0</v>
      </c>
      <c r="O171" s="334">
        <f>N171-K171</f>
        <v>0</v>
      </c>
      <c r="P171" s="335"/>
      <c r="Q171" s="548"/>
      <c r="R171" s="422"/>
    </row>
    <row r="172" spans="1:19" s="189" customFormat="1" ht="12.05" customHeight="1">
      <c r="A172" s="289"/>
      <c r="B172" s="292"/>
      <c r="C172" s="292"/>
      <c r="D172" s="292"/>
      <c r="E172" s="292"/>
      <c r="F172" s="292"/>
      <c r="G172" s="253" t="s">
        <v>50</v>
      </c>
      <c r="H172" s="253" t="s">
        <v>85</v>
      </c>
      <c r="I172" s="253"/>
      <c r="J172" s="374">
        <v>0</v>
      </c>
      <c r="K172" s="375">
        <f>'[57]TARGET MURNI DAN PERUBAHAN'!$E$83</f>
        <v>0</v>
      </c>
      <c r="L172" s="617">
        <f>[62]PerDinas!$N$172</f>
        <v>0</v>
      </c>
      <c r="M172" s="375">
        <f>[55]Perdinas!$E$109</f>
        <v>0</v>
      </c>
      <c r="N172" s="618">
        <f>+M172+L172</f>
        <v>0</v>
      </c>
      <c r="O172" s="355">
        <f>N172-K172</f>
        <v>0</v>
      </c>
      <c r="P172" s="600"/>
      <c r="Q172" s="448"/>
      <c r="R172" s="422"/>
    </row>
    <row r="173" spans="1:19" s="245" customFormat="1" ht="12.05" customHeight="1">
      <c r="A173" s="473"/>
      <c r="B173" s="305"/>
      <c r="C173" s="305"/>
      <c r="D173" s="305"/>
      <c r="E173" s="305"/>
      <c r="F173" s="305"/>
      <c r="G173" s="306"/>
      <c r="H173" s="306"/>
      <c r="I173" s="306"/>
      <c r="J173" s="536"/>
      <c r="K173" s="380"/>
      <c r="L173" s="380"/>
      <c r="M173" s="380"/>
      <c r="N173" s="380"/>
      <c r="O173" s="380"/>
      <c r="P173" s="501"/>
      <c r="Q173" s="560"/>
      <c r="R173" s="450"/>
    </row>
    <row r="174" spans="1:19" s="244" customFormat="1" ht="12.05" customHeight="1">
      <c r="A174" s="283" t="s">
        <v>104</v>
      </c>
      <c r="B174" s="284" t="s">
        <v>58</v>
      </c>
      <c r="C174" s="284" t="s">
        <v>438</v>
      </c>
      <c r="D174" s="284" t="s">
        <v>440</v>
      </c>
      <c r="E174" s="284"/>
      <c r="F174" s="284"/>
      <c r="G174" s="298" t="s">
        <v>725</v>
      </c>
      <c r="H174" s="298"/>
      <c r="I174" s="619"/>
      <c r="J174" s="336">
        <f>+J176</f>
        <v>6040170000</v>
      </c>
      <c r="K174" s="337">
        <f>+K176</f>
        <v>16018941800</v>
      </c>
      <c r="L174" s="337">
        <f>+L176</f>
        <v>9507222743</v>
      </c>
      <c r="M174" s="337">
        <f>+M176</f>
        <v>1016783988</v>
      </c>
      <c r="N174" s="337">
        <f t="shared" ref="N174:N179" si="25">M174+L174</f>
        <v>10524006731</v>
      </c>
      <c r="O174" s="337">
        <f>+N174-K174</f>
        <v>-5494935069</v>
      </c>
      <c r="P174" s="338">
        <f>+N174/K174*100</f>
        <v>65.697265539724981</v>
      </c>
      <c r="Q174" s="432"/>
      <c r="R174" s="433">
        <f>M174-[57]Perdinas!$P$111</f>
        <v>-1625768980</v>
      </c>
    </row>
    <row r="175" spans="1:19" s="189" customFormat="1" ht="12.05" customHeight="1">
      <c r="A175" s="286"/>
      <c r="B175" s="287"/>
      <c r="C175" s="287"/>
      <c r="D175" s="287"/>
      <c r="E175" s="287"/>
      <c r="F175" s="287"/>
      <c r="G175" s="288"/>
      <c r="H175" s="288"/>
      <c r="I175" s="410"/>
      <c r="J175" s="385"/>
      <c r="K175" s="386"/>
      <c r="L175" s="386"/>
      <c r="M175" s="386"/>
      <c r="N175" s="386"/>
      <c r="O175" s="386"/>
      <c r="P175" s="341"/>
      <c r="Q175" s="453"/>
      <c r="R175" s="422"/>
    </row>
    <row r="176" spans="1:19" s="189" customFormat="1" ht="12.05" customHeight="1">
      <c r="A176" s="294"/>
      <c r="B176" s="290">
        <v>4</v>
      </c>
      <c r="C176" s="290">
        <v>1</v>
      </c>
      <c r="D176" s="290"/>
      <c r="E176" s="290"/>
      <c r="F176" s="290"/>
      <c r="G176" s="291" t="s">
        <v>180</v>
      </c>
      <c r="H176" s="291"/>
      <c r="I176" s="291"/>
      <c r="J176" s="342">
        <f>+J181+J187</f>
        <v>6040170000</v>
      </c>
      <c r="K176" s="343">
        <f>+K181+K178</f>
        <v>16018941800</v>
      </c>
      <c r="L176" s="343">
        <f>+L181+L178</f>
        <v>9507222743</v>
      </c>
      <c r="M176" s="343">
        <f>+M181+M178</f>
        <v>1016783988</v>
      </c>
      <c r="N176" s="343">
        <f>+M176+L176</f>
        <v>10524006731</v>
      </c>
      <c r="O176" s="343">
        <f>N176-K176</f>
        <v>-5494935069</v>
      </c>
      <c r="P176" s="344">
        <f>N176/K176*100</f>
        <v>65.697265539724981</v>
      </c>
      <c r="Q176" s="437"/>
      <c r="R176" s="422"/>
    </row>
    <row r="177" spans="1:18" s="189" customFormat="1" ht="12.05" customHeight="1">
      <c r="A177" s="289"/>
      <c r="B177" s="292"/>
      <c r="C177" s="292"/>
      <c r="D177" s="292"/>
      <c r="E177" s="292"/>
      <c r="F177" s="292"/>
      <c r="G177" s="253"/>
      <c r="H177" s="253"/>
      <c r="I177" s="253"/>
      <c r="J177" s="387"/>
      <c r="K177" s="367"/>
      <c r="L177" s="367"/>
      <c r="M177" s="367"/>
      <c r="N177" s="367"/>
      <c r="O177" s="367"/>
      <c r="P177" s="347"/>
      <c r="Q177" s="454"/>
      <c r="R177" s="422"/>
    </row>
    <row r="178" spans="1:18" s="189" customFormat="1" ht="12.05" customHeight="1">
      <c r="A178" s="289"/>
      <c r="B178" s="292">
        <v>4</v>
      </c>
      <c r="C178" s="292">
        <v>1</v>
      </c>
      <c r="D178" s="292" t="s">
        <v>443</v>
      </c>
      <c r="E178" s="292" t="s">
        <v>437</v>
      </c>
      <c r="F178" s="292"/>
      <c r="G178" s="253" t="s">
        <v>959</v>
      </c>
      <c r="H178" s="297"/>
      <c r="I178" s="297"/>
      <c r="J178" s="620"/>
      <c r="K178" s="621">
        <f>K179</f>
        <v>0</v>
      </c>
      <c r="L178" s="621">
        <f>L179</f>
        <v>0</v>
      </c>
      <c r="M178" s="621">
        <f>M179</f>
        <v>0</v>
      </c>
      <c r="N178" s="621">
        <f t="shared" si="25"/>
        <v>0</v>
      </c>
      <c r="O178" s="621">
        <f>N178-K178</f>
        <v>0</v>
      </c>
      <c r="P178" s="344" t="e">
        <f>N178/K178*100</f>
        <v>#DIV/0!</v>
      </c>
      <c r="Q178" s="648"/>
      <c r="R178" s="422"/>
    </row>
    <row r="179" spans="1:18" s="189" customFormat="1" ht="12.05" customHeight="1">
      <c r="A179" s="289"/>
      <c r="B179" s="292">
        <v>4</v>
      </c>
      <c r="C179" s="292">
        <v>1</v>
      </c>
      <c r="D179" s="292">
        <v>2</v>
      </c>
      <c r="E179" s="292" t="s">
        <v>438</v>
      </c>
      <c r="F179" s="292" t="s">
        <v>437</v>
      </c>
      <c r="G179" s="253" t="s">
        <v>960</v>
      </c>
      <c r="H179" s="297"/>
      <c r="I179" s="297"/>
      <c r="J179" s="620"/>
      <c r="K179" s="621">
        <v>0</v>
      </c>
      <c r="L179" s="595">
        <v>0</v>
      </c>
      <c r="M179" s="595"/>
      <c r="N179" s="622">
        <f t="shared" si="25"/>
        <v>0</v>
      </c>
      <c r="O179" s="595">
        <f>N179-K179</f>
        <v>0</v>
      </c>
      <c r="P179" s="344" t="e">
        <f>N179/K179*100</f>
        <v>#DIV/0!</v>
      </c>
      <c r="Q179" s="648"/>
      <c r="R179" s="422"/>
    </row>
    <row r="180" spans="1:18" s="189" customFormat="1" ht="12.05" customHeight="1">
      <c r="A180" s="289"/>
      <c r="B180" s="296"/>
      <c r="C180" s="296"/>
      <c r="D180" s="296"/>
      <c r="E180" s="296"/>
      <c r="F180" s="296"/>
      <c r="G180" s="297"/>
      <c r="H180" s="297"/>
      <c r="I180" s="297"/>
      <c r="J180" s="620"/>
      <c r="K180" s="621"/>
      <c r="L180" s="623"/>
      <c r="M180" s="621"/>
      <c r="N180" s="621"/>
      <c r="O180" s="621"/>
      <c r="P180" s="596"/>
      <c r="Q180" s="648"/>
      <c r="R180" s="422"/>
    </row>
    <row r="181" spans="1:18" s="189" customFormat="1" ht="12.05" customHeight="1">
      <c r="A181" s="294"/>
      <c r="B181" s="575">
        <v>4</v>
      </c>
      <c r="C181" s="575">
        <v>1</v>
      </c>
      <c r="D181" s="575">
        <v>4</v>
      </c>
      <c r="E181" s="575"/>
      <c r="F181" s="575"/>
      <c r="G181" s="576" t="s">
        <v>71</v>
      </c>
      <c r="H181" s="576"/>
      <c r="I181" s="576"/>
      <c r="J181" s="624">
        <f>+J184</f>
        <v>6000000000</v>
      </c>
      <c r="K181" s="625">
        <f>+K184+K182+K187</f>
        <v>16018941800</v>
      </c>
      <c r="L181" s="625">
        <f>+L184+L182+L187</f>
        <v>9507222743</v>
      </c>
      <c r="M181" s="625">
        <f>+M184+M182+M187</f>
        <v>1016783988</v>
      </c>
      <c r="N181" s="625">
        <f>+M181+L181</f>
        <v>10524006731</v>
      </c>
      <c r="O181" s="625">
        <f>N181-K181</f>
        <v>-5494935069</v>
      </c>
      <c r="P181" s="381">
        <f>N181/K181*100</f>
        <v>65.697265539724981</v>
      </c>
      <c r="Q181" s="649"/>
      <c r="R181" s="422"/>
    </row>
    <row r="182" spans="1:18" s="189" customFormat="1" ht="12.05" customHeight="1">
      <c r="A182" s="563"/>
      <c r="B182" s="287">
        <v>4</v>
      </c>
      <c r="C182" s="287">
        <v>1</v>
      </c>
      <c r="D182" s="287">
        <v>4</v>
      </c>
      <c r="E182" s="287" t="s">
        <v>441</v>
      </c>
      <c r="F182" s="287" t="s">
        <v>437</v>
      </c>
      <c r="G182" s="410" t="s">
        <v>324</v>
      </c>
      <c r="H182" s="190"/>
      <c r="I182" s="190"/>
      <c r="J182" s="342"/>
      <c r="K182" s="340">
        <f>'[57]TARGET MURNI DAN PERUBAHAN'!$E$88</f>
        <v>0</v>
      </c>
      <c r="L182" s="340">
        <f>[62]PerDinas!$N$182</f>
        <v>0</v>
      </c>
      <c r="M182" s="340">
        <f>[55]Perdinas!$E$114</f>
        <v>0</v>
      </c>
      <c r="N182" s="626">
        <f>M182+L182</f>
        <v>0</v>
      </c>
      <c r="O182" s="340">
        <f>N182-K182</f>
        <v>0</v>
      </c>
      <c r="P182" s="341"/>
      <c r="Q182" s="435"/>
      <c r="R182" s="422"/>
    </row>
    <row r="183" spans="1:18" s="189" customFormat="1" ht="12.05" customHeight="1">
      <c r="A183" s="563"/>
      <c r="B183" s="466"/>
      <c r="C183" s="466"/>
      <c r="D183" s="466"/>
      <c r="E183" s="466"/>
      <c r="F183" s="466"/>
      <c r="G183" s="467"/>
      <c r="H183" s="467"/>
      <c r="I183" s="467"/>
      <c r="J183" s="342"/>
      <c r="K183" s="367"/>
      <c r="L183" s="367"/>
      <c r="M183" s="367"/>
      <c r="N183" s="367"/>
      <c r="O183" s="367"/>
      <c r="P183" s="347"/>
      <c r="Q183" s="454"/>
      <c r="R183" s="422"/>
    </row>
    <row r="184" spans="1:18" s="189" customFormat="1" ht="12.05" customHeight="1">
      <c r="A184" s="563"/>
      <c r="B184" s="296">
        <v>4</v>
      </c>
      <c r="C184" s="296">
        <v>1</v>
      </c>
      <c r="D184" s="296" t="s">
        <v>443</v>
      </c>
      <c r="E184" s="296" t="s">
        <v>449</v>
      </c>
      <c r="F184" s="296"/>
      <c r="G184" s="297" t="s">
        <v>102</v>
      </c>
      <c r="H184" s="297"/>
      <c r="I184" s="297"/>
      <c r="J184" s="627">
        <f t="shared" ref="J184:O184" si="26">+J185</f>
        <v>6000000000</v>
      </c>
      <c r="K184" s="346">
        <f t="shared" si="26"/>
        <v>16016065500</v>
      </c>
      <c r="L184" s="346">
        <f>L185</f>
        <v>9021267945</v>
      </c>
      <c r="M184" s="346">
        <f>M185</f>
        <v>1016783988</v>
      </c>
      <c r="N184" s="346">
        <f>N185</f>
        <v>10038051933</v>
      </c>
      <c r="O184" s="346">
        <f t="shared" si="26"/>
        <v>-5978013567</v>
      </c>
      <c r="P184" s="347">
        <f>N184/K184*100</f>
        <v>62.674893112793526</v>
      </c>
      <c r="Q184" s="650"/>
      <c r="R184" s="422"/>
    </row>
    <row r="185" spans="1:18" s="189" customFormat="1" ht="12.05" customHeight="1">
      <c r="A185" s="577"/>
      <c r="B185" s="578">
        <v>4</v>
      </c>
      <c r="C185" s="578">
        <v>1</v>
      </c>
      <c r="D185" s="578" t="s">
        <v>443</v>
      </c>
      <c r="E185" s="578" t="s">
        <v>449</v>
      </c>
      <c r="F185" s="578" t="s">
        <v>437</v>
      </c>
      <c r="G185" s="189" t="s">
        <v>957</v>
      </c>
      <c r="J185" s="333">
        <v>6000000000</v>
      </c>
      <c r="K185" s="373">
        <f>'[57]TARGET MURNI DAN PERUBAHAN'!$E$87</f>
        <v>16016065500</v>
      </c>
      <c r="L185" s="355">
        <f>[62]PerDinas!$N$185</f>
        <v>9021267945</v>
      </c>
      <c r="M185" s="373">
        <f>[55]Perdinas!$E$113</f>
        <v>1016783988</v>
      </c>
      <c r="N185" s="369">
        <f t="shared" ref="N185:N190" si="27">M185+L185</f>
        <v>10038051933</v>
      </c>
      <c r="O185" s="355">
        <f>N185-K185</f>
        <v>-5978013567</v>
      </c>
      <c r="P185" s="388">
        <f>N185/K185*100</f>
        <v>62.674893112793526</v>
      </c>
      <c r="Q185" s="441"/>
      <c r="R185" s="422"/>
    </row>
    <row r="186" spans="1:18" s="189" customFormat="1" ht="12.05" customHeight="1">
      <c r="A186" s="579"/>
      <c r="B186" s="280"/>
      <c r="C186" s="280"/>
      <c r="D186" s="280"/>
      <c r="E186" s="280"/>
      <c r="F186" s="280"/>
      <c r="G186" s="190"/>
      <c r="H186" s="190"/>
      <c r="I186" s="190"/>
      <c r="J186" s="329"/>
      <c r="K186" s="371"/>
      <c r="L186" s="371"/>
      <c r="M186" s="371"/>
      <c r="N186" s="371"/>
      <c r="O186" s="367"/>
      <c r="P186" s="347"/>
      <c r="Q186" s="651"/>
      <c r="R186" s="422"/>
    </row>
    <row r="187" spans="1:18" s="189" customFormat="1" ht="12.05" customHeight="1">
      <c r="A187" s="580"/>
      <c r="B187" s="287">
        <v>4</v>
      </c>
      <c r="C187" s="287">
        <v>1</v>
      </c>
      <c r="D187" s="287">
        <v>4</v>
      </c>
      <c r="E187" s="287" t="s">
        <v>449</v>
      </c>
      <c r="F187" s="287"/>
      <c r="G187" s="410" t="s">
        <v>321</v>
      </c>
      <c r="H187" s="410"/>
      <c r="I187" s="410"/>
      <c r="J187" s="484">
        <f>+J188</f>
        <v>40170000</v>
      </c>
      <c r="K187" s="355">
        <f>+K188</f>
        <v>2876300</v>
      </c>
      <c r="L187" s="355">
        <f>+L188</f>
        <v>485954798</v>
      </c>
      <c r="M187" s="355">
        <f>+M188</f>
        <v>0</v>
      </c>
      <c r="N187" s="346">
        <f>+M187+L187</f>
        <v>485954798</v>
      </c>
      <c r="O187" s="346">
        <f t="shared" ref="O187:O192" si="28">N187-K187</f>
        <v>483078498</v>
      </c>
      <c r="P187" s="347">
        <f t="shared" ref="P187:P192" si="29">N187/K187*100</f>
        <v>16895.136042832804</v>
      </c>
      <c r="Q187" s="441"/>
      <c r="R187" s="422"/>
    </row>
    <row r="188" spans="1:18" s="189" customFormat="1" ht="12.05" customHeight="1">
      <c r="A188" s="294"/>
      <c r="B188" s="292">
        <v>4</v>
      </c>
      <c r="C188" s="292">
        <v>1</v>
      </c>
      <c r="D188" s="292">
        <v>4</v>
      </c>
      <c r="E188" s="292" t="s">
        <v>449</v>
      </c>
      <c r="F188" s="292" t="s">
        <v>437</v>
      </c>
      <c r="G188" s="253" t="s">
        <v>85</v>
      </c>
      <c r="H188" s="253"/>
      <c r="I188" s="253"/>
      <c r="J188" s="628">
        <v>40170000</v>
      </c>
      <c r="K188" s="373">
        <f>'[57]TARGET MURNI DAN PERUBAHAN'!$E$89</f>
        <v>2876300</v>
      </c>
      <c r="L188" s="355">
        <f>[62]PerDinas!$N$188</f>
        <v>485954798</v>
      </c>
      <c r="M188" s="373">
        <f>[55]Perdinas!$E$118</f>
        <v>0</v>
      </c>
      <c r="N188" s="369">
        <f t="shared" si="27"/>
        <v>485954798</v>
      </c>
      <c r="O188" s="355">
        <f t="shared" si="28"/>
        <v>483078498</v>
      </c>
      <c r="P188" s="388">
        <f t="shared" si="29"/>
        <v>16895.136042832804</v>
      </c>
      <c r="Q188" s="441"/>
      <c r="R188" s="422"/>
    </row>
    <row r="189" spans="1:18" s="245" customFormat="1" ht="12.05" customHeight="1">
      <c r="A189" s="473"/>
      <c r="B189" s="305"/>
      <c r="C189" s="305"/>
      <c r="D189" s="305"/>
      <c r="E189" s="305"/>
      <c r="F189" s="305"/>
      <c r="G189" s="576"/>
      <c r="H189" s="576"/>
      <c r="I189" s="306"/>
      <c r="J189" s="536"/>
      <c r="K189" s="380"/>
      <c r="L189" s="538"/>
      <c r="M189" s="380"/>
      <c r="N189" s="380"/>
      <c r="O189" s="380"/>
      <c r="P189" s="501"/>
      <c r="Q189" s="560"/>
      <c r="R189" s="450"/>
    </row>
    <row r="190" spans="1:18" s="244" customFormat="1" ht="12.05" customHeight="1">
      <c r="A190" s="283" t="s">
        <v>112</v>
      </c>
      <c r="B190" s="284" t="s">
        <v>58</v>
      </c>
      <c r="C190" s="284" t="s">
        <v>440</v>
      </c>
      <c r="D190" s="284" t="s">
        <v>437</v>
      </c>
      <c r="E190" s="284"/>
      <c r="F190" s="284"/>
      <c r="G190" s="298" t="s">
        <v>726</v>
      </c>
      <c r="H190" s="298"/>
      <c r="I190" s="298"/>
      <c r="J190" s="336">
        <f>+J192</f>
        <v>1652875000</v>
      </c>
      <c r="K190" s="337">
        <f>+K192</f>
        <v>447845000</v>
      </c>
      <c r="L190" s="337">
        <f>+L192</f>
        <v>994071103.06999993</v>
      </c>
      <c r="M190" s="337">
        <f>+M192</f>
        <v>343670238.08999997</v>
      </c>
      <c r="N190" s="337">
        <f t="shared" si="27"/>
        <v>1337741341.1599998</v>
      </c>
      <c r="O190" s="337">
        <f>+N190-K190</f>
        <v>889896341.15999985</v>
      </c>
      <c r="P190" s="338">
        <f>+N190/K190*100</f>
        <v>298.70632499190566</v>
      </c>
      <c r="Q190" s="432"/>
      <c r="R190" s="639"/>
    </row>
    <row r="191" spans="1:18" s="189" customFormat="1" ht="12.05" customHeight="1">
      <c r="A191" s="581"/>
      <c r="B191" s="582"/>
      <c r="C191" s="582"/>
      <c r="D191" s="582"/>
      <c r="E191" s="582"/>
      <c r="F191" s="582"/>
      <c r="G191" s="583"/>
      <c r="H191" s="583"/>
      <c r="I191" s="583"/>
      <c r="J191" s="629"/>
      <c r="K191" s="630"/>
      <c r="L191" s="630"/>
      <c r="M191" s="630"/>
      <c r="N191" s="630"/>
      <c r="O191" s="630"/>
      <c r="P191" s="631"/>
      <c r="Q191" s="652"/>
      <c r="R191" s="422"/>
    </row>
    <row r="192" spans="1:18" s="189" customFormat="1" ht="12.05" customHeight="1">
      <c r="A192" s="293"/>
      <c r="B192" s="290">
        <v>4</v>
      </c>
      <c r="C192" s="290">
        <v>1</v>
      </c>
      <c r="D192" s="290"/>
      <c r="E192" s="290"/>
      <c r="F192" s="290"/>
      <c r="G192" s="291" t="s">
        <v>180</v>
      </c>
      <c r="H192" s="291"/>
      <c r="I192" s="291"/>
      <c r="J192" s="342">
        <f>+J194+J203</f>
        <v>1652875000</v>
      </c>
      <c r="K192" s="343">
        <f>+K194+K203</f>
        <v>447845000</v>
      </c>
      <c r="L192" s="343">
        <f>+L194+L203</f>
        <v>994071103.06999993</v>
      </c>
      <c r="M192" s="343">
        <f>+M194+M203</f>
        <v>343670238.08999997</v>
      </c>
      <c r="N192" s="343">
        <f>+M192+L192</f>
        <v>1337741341.1599998</v>
      </c>
      <c r="O192" s="343">
        <f t="shared" si="28"/>
        <v>889896341.15999985</v>
      </c>
      <c r="P192" s="344">
        <f t="shared" si="29"/>
        <v>298.70632499190566</v>
      </c>
      <c r="Q192" s="437"/>
      <c r="R192" s="422"/>
    </row>
    <row r="193" spans="1:19" s="189" customFormat="1" ht="12.05" customHeight="1">
      <c r="A193" s="293"/>
      <c r="B193" s="292"/>
      <c r="C193" s="292"/>
      <c r="D193" s="292"/>
      <c r="E193" s="292"/>
      <c r="F193" s="292"/>
      <c r="G193" s="253"/>
      <c r="H193" s="253"/>
      <c r="I193" s="291"/>
      <c r="J193" s="345"/>
      <c r="K193" s="346"/>
      <c r="L193" s="660"/>
      <c r="M193" s="346"/>
      <c r="N193" s="346"/>
      <c r="O193" s="346"/>
      <c r="P193" s="347"/>
      <c r="Q193" s="438"/>
      <c r="R193" s="422"/>
    </row>
    <row r="194" spans="1:19" s="189" customFormat="1" ht="12.05" customHeight="1">
      <c r="A194" s="293"/>
      <c r="B194" s="290">
        <v>4</v>
      </c>
      <c r="C194" s="290">
        <v>1</v>
      </c>
      <c r="D194" s="290">
        <v>2</v>
      </c>
      <c r="E194" s="290"/>
      <c r="F194" s="290"/>
      <c r="G194" s="291" t="s">
        <v>106</v>
      </c>
      <c r="H194" s="291"/>
      <c r="I194" s="291"/>
      <c r="J194" s="348">
        <f>+J195+J198</f>
        <v>282875000</v>
      </c>
      <c r="K194" s="349">
        <f>+K195+K198</f>
        <v>436000000</v>
      </c>
      <c r="L194" s="589">
        <f>+L195+L198</f>
        <v>477388909</v>
      </c>
      <c r="M194" s="349">
        <f>+M195+M198</f>
        <v>9950400</v>
      </c>
      <c r="N194" s="349">
        <f>+M194+L194</f>
        <v>487339309</v>
      </c>
      <c r="O194" s="349">
        <f>N194-K194</f>
        <v>51339309</v>
      </c>
      <c r="P194" s="350">
        <f>N194/K194*100</f>
        <v>111.77507087155962</v>
      </c>
      <c r="Q194" s="439"/>
      <c r="R194" s="422"/>
    </row>
    <row r="195" spans="1:19" s="189" customFormat="1" ht="12.05" customHeight="1">
      <c r="A195" s="293"/>
      <c r="B195" s="292">
        <v>4</v>
      </c>
      <c r="C195" s="292">
        <v>1</v>
      </c>
      <c r="D195" s="292">
        <v>2</v>
      </c>
      <c r="E195" s="292" t="s">
        <v>437</v>
      </c>
      <c r="F195" s="292"/>
      <c r="G195" s="253" t="s">
        <v>107</v>
      </c>
      <c r="H195" s="253"/>
      <c r="I195" s="291"/>
      <c r="J195" s="411">
        <f>+J196</f>
        <v>2875000</v>
      </c>
      <c r="K195" s="412">
        <f>+K196</f>
        <v>19250000</v>
      </c>
      <c r="L195" s="591">
        <f>+L196</f>
        <v>0</v>
      </c>
      <c r="M195" s="412">
        <f>+M196</f>
        <v>0</v>
      </c>
      <c r="N195" s="412">
        <f>+M195+L195</f>
        <v>0</v>
      </c>
      <c r="O195" s="412">
        <f>N195-K195</f>
        <v>-19250000</v>
      </c>
      <c r="P195" s="487">
        <f>N195/K195*100</f>
        <v>0</v>
      </c>
      <c r="Q195" s="694"/>
      <c r="R195" s="422"/>
    </row>
    <row r="196" spans="1:19" s="189" customFormat="1" ht="12.05" customHeight="1">
      <c r="A196" s="293"/>
      <c r="B196" s="292">
        <v>4</v>
      </c>
      <c r="C196" s="292">
        <v>1</v>
      </c>
      <c r="D196" s="292">
        <v>2</v>
      </c>
      <c r="E196" s="292" t="s">
        <v>437</v>
      </c>
      <c r="F196" s="292" t="s">
        <v>440</v>
      </c>
      <c r="G196" s="253" t="s">
        <v>961</v>
      </c>
      <c r="H196" s="253"/>
      <c r="I196" s="253"/>
      <c r="J196" s="333">
        <v>2875000</v>
      </c>
      <c r="K196" s="661">
        <f>'[57]TARGET MURNI DAN PERUBAHAN'!$E$93</f>
        <v>19250000</v>
      </c>
      <c r="L196" s="356">
        <f>[62]PerDinas!$N$196</f>
        <v>0</v>
      </c>
      <c r="M196" s="661">
        <f>[55]Perdinas!$E$122</f>
        <v>0</v>
      </c>
      <c r="N196" s="334">
        <f t="shared" ref="N196:N201" si="30">M196+L196</f>
        <v>0</v>
      </c>
      <c r="O196" s="334">
        <f>N196-K196</f>
        <v>-19250000</v>
      </c>
      <c r="P196" s="335">
        <f>N196/K196*100</f>
        <v>0</v>
      </c>
      <c r="Q196" s="430"/>
      <c r="R196" s="422"/>
    </row>
    <row r="197" spans="1:19" s="189" customFormat="1" ht="12.05" customHeight="1">
      <c r="A197" s="293"/>
      <c r="B197" s="292"/>
      <c r="C197" s="292"/>
      <c r="D197" s="292"/>
      <c r="E197" s="292"/>
      <c r="F197" s="292"/>
      <c r="G197" s="253"/>
      <c r="H197" s="253"/>
      <c r="I197" s="253"/>
      <c r="J197" s="354"/>
      <c r="K197" s="355"/>
      <c r="L197" s="360"/>
      <c r="M197" s="355"/>
      <c r="N197" s="355"/>
      <c r="O197" s="355"/>
      <c r="P197" s="388"/>
      <c r="Q197" s="441"/>
      <c r="R197" s="422"/>
    </row>
    <row r="198" spans="1:19" s="189" customFormat="1" ht="12.05" customHeight="1">
      <c r="A198" s="293"/>
      <c r="B198" s="292">
        <v>4</v>
      </c>
      <c r="C198" s="292">
        <v>1</v>
      </c>
      <c r="D198" s="292">
        <v>2</v>
      </c>
      <c r="E198" s="292" t="s">
        <v>438</v>
      </c>
      <c r="F198" s="292"/>
      <c r="G198" s="253" t="s">
        <v>374</v>
      </c>
      <c r="H198" s="253"/>
      <c r="I198" s="253"/>
      <c r="J198" s="411">
        <f>+J199</f>
        <v>280000000</v>
      </c>
      <c r="K198" s="412">
        <f>+K199</f>
        <v>416750000</v>
      </c>
      <c r="L198" s="662">
        <f>+L199</f>
        <v>477388909</v>
      </c>
      <c r="M198" s="663">
        <f>+M199</f>
        <v>9950400</v>
      </c>
      <c r="N198" s="664">
        <f>+M198+L198</f>
        <v>487339309</v>
      </c>
      <c r="O198" s="412">
        <f>N198-K198</f>
        <v>70589309</v>
      </c>
      <c r="P198" s="487">
        <f>N198/K198*100</f>
        <v>116.93804655068986</v>
      </c>
      <c r="Q198" s="694"/>
      <c r="R198" s="422"/>
    </row>
    <row r="199" spans="1:19" s="189" customFormat="1" ht="12.05" customHeight="1">
      <c r="A199" s="289"/>
      <c r="B199" s="292">
        <v>4</v>
      </c>
      <c r="C199" s="292">
        <v>1</v>
      </c>
      <c r="D199" s="292">
        <v>2</v>
      </c>
      <c r="E199" s="292" t="s">
        <v>438</v>
      </c>
      <c r="F199" s="292" t="s">
        <v>437</v>
      </c>
      <c r="G199" s="253" t="s">
        <v>64</v>
      </c>
      <c r="H199" s="253"/>
      <c r="I199" s="291"/>
      <c r="J199" s="665">
        <f>+J200</f>
        <v>280000000</v>
      </c>
      <c r="K199" s="666">
        <f>+K200+K201</f>
        <v>416750000</v>
      </c>
      <c r="L199" s="667">
        <f>+L200+L201</f>
        <v>477388909</v>
      </c>
      <c r="M199" s="666">
        <f>+M200+M201</f>
        <v>9950400</v>
      </c>
      <c r="N199" s="334">
        <f t="shared" si="30"/>
        <v>487339309</v>
      </c>
      <c r="O199" s="334">
        <f>N199-K199</f>
        <v>70589309</v>
      </c>
      <c r="P199" s="335">
        <f>N199/K199*100</f>
        <v>116.93804655068986</v>
      </c>
      <c r="Q199" s="642"/>
      <c r="R199" s="422"/>
    </row>
    <row r="200" spans="1:19" s="189" customFormat="1" ht="12.05" customHeight="1">
      <c r="A200" s="293"/>
      <c r="B200" s="292"/>
      <c r="C200" s="292"/>
      <c r="D200" s="292"/>
      <c r="E200" s="292"/>
      <c r="F200" s="292"/>
      <c r="G200" s="253" t="s">
        <v>50</v>
      </c>
      <c r="H200" s="253"/>
      <c r="I200" s="253" t="s">
        <v>1035</v>
      </c>
      <c r="J200" s="389">
        <v>280000000</v>
      </c>
      <c r="K200" s="668">
        <f>'[57]TARGET MURNI DAN PERUBAHAN'!$E$96</f>
        <v>216750000</v>
      </c>
      <c r="L200" s="669">
        <f>[62]PerDinas!$N$200</f>
        <v>117676364</v>
      </c>
      <c r="M200" s="668">
        <f>[55]Perdinas!$E$125</f>
        <v>0</v>
      </c>
      <c r="N200" s="355">
        <f t="shared" si="30"/>
        <v>117676364</v>
      </c>
      <c r="O200" s="355">
        <f>N200-K200</f>
        <v>-99073636</v>
      </c>
      <c r="P200" s="335">
        <f>N200/K200*100</f>
        <v>54.291286735870813</v>
      </c>
      <c r="Q200" s="441"/>
      <c r="R200" s="422"/>
    </row>
    <row r="201" spans="1:19" s="189" customFormat="1" ht="12.05" customHeight="1">
      <c r="A201" s="293"/>
      <c r="B201" s="292"/>
      <c r="C201" s="292"/>
      <c r="D201" s="292"/>
      <c r="E201" s="292"/>
      <c r="F201" s="292"/>
      <c r="G201" s="253" t="s">
        <v>50</v>
      </c>
      <c r="H201" s="253"/>
      <c r="I201" s="253" t="s">
        <v>963</v>
      </c>
      <c r="J201" s="354">
        <v>0</v>
      </c>
      <c r="K201" s="373">
        <f>'[57]TARGET MURNI DAN PERUBAHAN'!$E$97</f>
        <v>200000000</v>
      </c>
      <c r="L201" s="360">
        <f>[62]PerDinas!$N$201</f>
        <v>359712545</v>
      </c>
      <c r="M201" s="373">
        <f>[55]Perdinas!$E$126</f>
        <v>9950400</v>
      </c>
      <c r="N201" s="355">
        <f t="shared" si="30"/>
        <v>369662945</v>
      </c>
      <c r="O201" s="355">
        <f>N201-K201</f>
        <v>169662945</v>
      </c>
      <c r="P201" s="335">
        <f>N201/K201*100</f>
        <v>184.83147250000002</v>
      </c>
      <c r="Q201" s="695"/>
      <c r="R201" s="427"/>
    </row>
    <row r="202" spans="1:19" s="189" customFormat="1" ht="12.05" customHeight="1">
      <c r="A202" s="293"/>
      <c r="B202" s="292"/>
      <c r="C202" s="292"/>
      <c r="D202" s="292"/>
      <c r="E202" s="292"/>
      <c r="F202" s="292"/>
      <c r="G202" s="253"/>
      <c r="H202" s="253"/>
      <c r="I202" s="253"/>
      <c r="J202" s="333"/>
      <c r="K202" s="334"/>
      <c r="L202" s="356"/>
      <c r="M202" s="334"/>
      <c r="N202" s="334"/>
      <c r="O202" s="334"/>
      <c r="P202" s="335"/>
      <c r="Q202" s="430"/>
      <c r="R202" s="422"/>
    </row>
    <row r="203" spans="1:19" s="189" customFormat="1" ht="12.05" customHeight="1">
      <c r="A203" s="293"/>
      <c r="B203" s="290">
        <v>4</v>
      </c>
      <c r="C203" s="290">
        <v>1</v>
      </c>
      <c r="D203" s="290">
        <v>4</v>
      </c>
      <c r="E203" s="290"/>
      <c r="F203" s="290"/>
      <c r="G203" s="291" t="s">
        <v>71</v>
      </c>
      <c r="H203" s="291"/>
      <c r="I203" s="291"/>
      <c r="J203" s="392">
        <f>J204+J207+J212</f>
        <v>1370000000</v>
      </c>
      <c r="K203" s="393">
        <f>K204+K207+K212</f>
        <v>11845000</v>
      </c>
      <c r="L203" s="394">
        <f>L204+L207+L212</f>
        <v>516682194.06999999</v>
      </c>
      <c r="M203" s="393">
        <f>M204+M207+M212</f>
        <v>333719838.08999997</v>
      </c>
      <c r="N203" s="393">
        <f>N204+N207+N212</f>
        <v>850402032.15999997</v>
      </c>
      <c r="O203" s="349">
        <f>N203-K203</f>
        <v>838557032.15999997</v>
      </c>
      <c r="P203" s="350">
        <f>N203/K203*100</f>
        <v>7179.4177472351194</v>
      </c>
      <c r="Q203" s="444"/>
      <c r="R203" s="422"/>
      <c r="S203" s="436"/>
    </row>
    <row r="204" spans="1:19" s="189" customFormat="1" ht="12.05" customHeight="1">
      <c r="A204" s="293"/>
      <c r="B204" s="292">
        <v>4</v>
      </c>
      <c r="C204" s="292">
        <v>1</v>
      </c>
      <c r="D204" s="292">
        <v>4</v>
      </c>
      <c r="E204" s="292" t="s">
        <v>441</v>
      </c>
      <c r="F204" s="292"/>
      <c r="G204" s="253" t="s">
        <v>557</v>
      </c>
      <c r="H204" s="253"/>
      <c r="I204" s="253"/>
      <c r="J204" s="333">
        <f>+J205</f>
        <v>0</v>
      </c>
      <c r="K204" s="334">
        <f>+K205</f>
        <v>0</v>
      </c>
      <c r="L204" s="356">
        <f>+L205</f>
        <v>39519520.170000002</v>
      </c>
      <c r="M204" s="334">
        <f>+M205</f>
        <v>56865914.07</v>
      </c>
      <c r="N204" s="396">
        <f>+M204+L204</f>
        <v>96385434.24000001</v>
      </c>
      <c r="O204" s="396">
        <f>N204-K204</f>
        <v>96385434.24000001</v>
      </c>
      <c r="P204" s="344"/>
      <c r="Q204" s="430"/>
      <c r="R204" s="422"/>
    </row>
    <row r="205" spans="1:19" s="189" customFormat="1" ht="12.05" customHeight="1">
      <c r="A205" s="293"/>
      <c r="B205" s="292">
        <v>4</v>
      </c>
      <c r="C205" s="292">
        <v>1</v>
      </c>
      <c r="D205" s="292">
        <v>4</v>
      </c>
      <c r="E205" s="292" t="s">
        <v>441</v>
      </c>
      <c r="F205" s="292" t="s">
        <v>437</v>
      </c>
      <c r="G205" s="253" t="s">
        <v>72</v>
      </c>
      <c r="H205" s="253"/>
      <c r="I205" s="253"/>
      <c r="J205" s="354">
        <v>0</v>
      </c>
      <c r="K205" s="355">
        <f>'[57]TARGET MURNI DAN PERUBAHAN'!$E$100</f>
        <v>0</v>
      </c>
      <c r="L205" s="360">
        <f>[62]PerDinas!$N$205</f>
        <v>39519520.170000002</v>
      </c>
      <c r="M205" s="355">
        <f>[55]Perdinas!$E$129</f>
        <v>56865914.07</v>
      </c>
      <c r="N205" s="369">
        <f t="shared" ref="N205:N210" si="31">M205+L205</f>
        <v>96385434.24000001</v>
      </c>
      <c r="O205" s="355">
        <f>N205-K205</f>
        <v>96385434.24000001</v>
      </c>
      <c r="P205" s="388"/>
      <c r="Q205" s="441"/>
      <c r="R205" s="554"/>
      <c r="S205" s="542"/>
    </row>
    <row r="206" spans="1:19" s="189" customFormat="1" ht="12.05" customHeight="1">
      <c r="A206" s="293"/>
      <c r="B206" s="292"/>
      <c r="C206" s="292"/>
      <c r="D206" s="292"/>
      <c r="E206" s="292"/>
      <c r="F206" s="292"/>
      <c r="G206" s="253"/>
      <c r="H206" s="253"/>
      <c r="I206" s="253"/>
      <c r="J206" s="354"/>
      <c r="K206" s="355"/>
      <c r="L206" s="360"/>
      <c r="M206" s="355"/>
      <c r="N206" s="355"/>
      <c r="O206" s="355"/>
      <c r="P206" s="388"/>
      <c r="Q206" s="441"/>
      <c r="R206" s="422"/>
    </row>
    <row r="207" spans="1:19" s="189" customFormat="1" ht="12.05" customHeight="1">
      <c r="A207" s="293"/>
      <c r="B207" s="292">
        <v>4</v>
      </c>
      <c r="C207" s="292">
        <v>1</v>
      </c>
      <c r="D207" s="292">
        <v>4</v>
      </c>
      <c r="E207" s="292" t="s">
        <v>444</v>
      </c>
      <c r="F207" s="292"/>
      <c r="G207" s="253" t="s">
        <v>222</v>
      </c>
      <c r="H207" s="253"/>
      <c r="I207" s="253"/>
      <c r="J207" s="526">
        <f>+J210</f>
        <v>1300000000</v>
      </c>
      <c r="K207" s="527">
        <f>+K210</f>
        <v>0</v>
      </c>
      <c r="L207" s="670">
        <f>SUM(L208:L210)</f>
        <v>399844491.89999998</v>
      </c>
      <c r="M207" s="527">
        <f>SUM(M208:M210)</f>
        <v>276853924.01999998</v>
      </c>
      <c r="N207" s="527">
        <f>SUM(N208:N210)</f>
        <v>676698415.91999996</v>
      </c>
      <c r="O207" s="529">
        <f>N207-K207</f>
        <v>676698415.91999996</v>
      </c>
      <c r="P207" s="350" t="e">
        <f>N207/K207*100</f>
        <v>#DIV/0!</v>
      </c>
      <c r="Q207" s="644"/>
      <c r="R207" s="422"/>
    </row>
    <row r="208" spans="1:19" s="189" customFormat="1" ht="12.05" customHeight="1">
      <c r="A208" s="289"/>
      <c r="B208" s="292">
        <v>4</v>
      </c>
      <c r="C208" s="292">
        <v>1</v>
      </c>
      <c r="D208" s="292">
        <v>4</v>
      </c>
      <c r="E208" s="292" t="s">
        <v>444</v>
      </c>
      <c r="F208" s="292" t="s">
        <v>440</v>
      </c>
      <c r="G208" s="253" t="s">
        <v>73</v>
      </c>
      <c r="H208" s="253"/>
      <c r="I208" s="253"/>
      <c r="J208" s="354"/>
      <c r="K208" s="355"/>
      <c r="L208" s="360">
        <f>[62]PerDinas!$N$208</f>
        <v>19394618</v>
      </c>
      <c r="M208" s="355">
        <f>[55]Perdinas!$E$130</f>
        <v>0</v>
      </c>
      <c r="N208" s="369">
        <f t="shared" si="31"/>
        <v>19394618</v>
      </c>
      <c r="O208" s="355">
        <f>N208-K208</f>
        <v>19394618</v>
      </c>
      <c r="P208" s="388"/>
      <c r="Q208" s="441"/>
      <c r="R208" s="422"/>
    </row>
    <row r="209" spans="1:19" s="189" customFormat="1" ht="12.05" customHeight="1">
      <c r="A209" s="289"/>
      <c r="B209" s="292">
        <v>4</v>
      </c>
      <c r="C209" s="292">
        <v>1</v>
      </c>
      <c r="D209" s="292">
        <v>4</v>
      </c>
      <c r="E209" s="292" t="s">
        <v>444</v>
      </c>
      <c r="F209" s="292" t="s">
        <v>445</v>
      </c>
      <c r="G209" s="253" t="s">
        <v>74</v>
      </c>
      <c r="H209" s="253"/>
      <c r="I209" s="253"/>
      <c r="J209" s="354"/>
      <c r="K209" s="355"/>
      <c r="L209" s="360">
        <f>[62]PerDinas!$N$209</f>
        <v>0</v>
      </c>
      <c r="M209" s="355">
        <f>[55]Perdinas!$E$131</f>
        <v>0</v>
      </c>
      <c r="N209" s="355">
        <f t="shared" si="31"/>
        <v>0</v>
      </c>
      <c r="O209" s="355">
        <f>N209-K209</f>
        <v>0</v>
      </c>
      <c r="P209" s="388">
        <v>0</v>
      </c>
      <c r="Q209" s="441"/>
      <c r="R209" s="422"/>
    </row>
    <row r="210" spans="1:19" s="189" customFormat="1" ht="12.05" customHeight="1">
      <c r="A210" s="293"/>
      <c r="B210" s="292">
        <v>4</v>
      </c>
      <c r="C210" s="292">
        <v>1</v>
      </c>
      <c r="D210" s="292">
        <v>4</v>
      </c>
      <c r="E210" s="292" t="s">
        <v>444</v>
      </c>
      <c r="F210" s="292" t="s">
        <v>441</v>
      </c>
      <c r="G210" s="253" t="s">
        <v>75</v>
      </c>
      <c r="H210" s="253"/>
      <c r="I210" s="253"/>
      <c r="J210" s="354">
        <v>1300000000</v>
      </c>
      <c r="K210" s="355">
        <f>'[57]TARGET MURNI DAN PERUBAHAN'!$E$101</f>
        <v>0</v>
      </c>
      <c r="L210" s="360">
        <f>[62]PerDinas!$N$210</f>
        <v>380449873.89999998</v>
      </c>
      <c r="M210" s="355">
        <f>[55]Perdinas!$E$132</f>
        <v>276853924.01999998</v>
      </c>
      <c r="N210" s="369">
        <f t="shared" si="31"/>
        <v>657303797.91999996</v>
      </c>
      <c r="O210" s="355">
        <f>N210-K210</f>
        <v>657303797.91999996</v>
      </c>
      <c r="P210" s="350" t="e">
        <f>N210/K210*100</f>
        <v>#DIV/0!</v>
      </c>
      <c r="Q210" s="441"/>
      <c r="R210" s="545"/>
      <c r="S210" s="436"/>
    </row>
    <row r="211" spans="1:19" s="189" customFormat="1" ht="12.05" customHeight="1">
      <c r="A211" s="293"/>
      <c r="B211" s="292"/>
      <c r="C211" s="292"/>
      <c r="D211" s="292"/>
      <c r="E211" s="292"/>
      <c r="F211" s="292"/>
      <c r="G211" s="253"/>
      <c r="H211" s="253"/>
      <c r="I211" s="253"/>
      <c r="J211" s="354"/>
      <c r="K211" s="355"/>
      <c r="L211" s="391"/>
      <c r="M211" s="357"/>
      <c r="N211" s="357"/>
      <c r="O211" s="357"/>
      <c r="P211" s="358"/>
      <c r="Q211" s="441"/>
      <c r="R211" s="422"/>
    </row>
    <row r="212" spans="1:19" s="189" customFormat="1" ht="12.05" customHeight="1">
      <c r="A212" s="293"/>
      <c r="B212" s="292" t="s">
        <v>443</v>
      </c>
      <c r="C212" s="292" t="s">
        <v>58</v>
      </c>
      <c r="D212" s="292" t="s">
        <v>443</v>
      </c>
      <c r="E212" s="292" t="s">
        <v>948</v>
      </c>
      <c r="F212" s="292" t="s">
        <v>437</v>
      </c>
      <c r="G212" s="253" t="s">
        <v>964</v>
      </c>
      <c r="H212" s="253"/>
      <c r="I212" s="253"/>
      <c r="J212" s="526">
        <f>J213</f>
        <v>70000000</v>
      </c>
      <c r="K212" s="527">
        <f>K213</f>
        <v>11845000</v>
      </c>
      <c r="L212" s="670">
        <f>L213</f>
        <v>77318182</v>
      </c>
      <c r="M212" s="527">
        <f>M213</f>
        <v>0</v>
      </c>
      <c r="N212" s="527">
        <f>M212+L212</f>
        <v>77318182</v>
      </c>
      <c r="O212" s="527">
        <f>N212-K212</f>
        <v>65473182</v>
      </c>
      <c r="P212" s="671"/>
      <c r="Q212" s="644"/>
      <c r="R212" s="422"/>
    </row>
    <row r="213" spans="1:19" s="245" customFormat="1" ht="12.05" customHeight="1">
      <c r="A213" s="472"/>
      <c r="B213" s="305"/>
      <c r="C213" s="305"/>
      <c r="D213" s="305"/>
      <c r="E213" s="305"/>
      <c r="F213" s="305"/>
      <c r="G213" s="2776" t="s">
        <v>50</v>
      </c>
      <c r="H213" s="306" t="s">
        <v>85</v>
      </c>
      <c r="I213" s="306"/>
      <c r="J213" s="482">
        <v>70000000</v>
      </c>
      <c r="K213" s="672">
        <f>'[57]TARGET MURNI DAN PERUBAHAN'!$E$102</f>
        <v>11845000</v>
      </c>
      <c r="L213" s="673">
        <f>[62]PerDinas!$N$213</f>
        <v>77318182</v>
      </c>
      <c r="M213" s="672">
        <f>[55]Perdinas!$E$133</f>
        <v>0</v>
      </c>
      <c r="N213" s="674">
        <f>M213+L213</f>
        <v>77318182</v>
      </c>
      <c r="O213" s="404">
        <f>N213-K213</f>
        <v>65473182</v>
      </c>
      <c r="P213" s="483"/>
      <c r="Q213" s="456"/>
      <c r="R213" s="450"/>
    </row>
    <row r="214" spans="1:19" s="244" customFormat="1" ht="12.05" customHeight="1">
      <c r="A214" s="283" t="s">
        <v>483</v>
      </c>
      <c r="B214" s="284" t="s">
        <v>58</v>
      </c>
      <c r="C214" s="284" t="s">
        <v>441</v>
      </c>
      <c r="D214" s="284" t="s">
        <v>437</v>
      </c>
      <c r="E214" s="284"/>
      <c r="F214" s="284"/>
      <c r="G214" s="653" t="s">
        <v>730</v>
      </c>
      <c r="H214" s="298"/>
      <c r="I214" s="298"/>
      <c r="J214" s="336">
        <f>+J222</f>
        <v>4800000</v>
      </c>
      <c r="K214" s="337">
        <f>K216</f>
        <v>4200000</v>
      </c>
      <c r="L214" s="337">
        <f>+L216</f>
        <v>0</v>
      </c>
      <c r="M214" s="337">
        <f>+M216</f>
        <v>200000</v>
      </c>
      <c r="N214" s="337">
        <f>M214+L214</f>
        <v>200000</v>
      </c>
      <c r="O214" s="337">
        <f>+N214-K214</f>
        <v>-4000000</v>
      </c>
      <c r="P214" s="338">
        <f>+N214/K214*100</f>
        <v>4.7619047619047619</v>
      </c>
      <c r="Q214" s="432"/>
      <c r="R214" s="639"/>
    </row>
    <row r="215" spans="1:19" s="189" customFormat="1" ht="12.05" customHeight="1">
      <c r="A215" s="471"/>
      <c r="B215" s="287"/>
      <c r="C215" s="287"/>
      <c r="D215" s="287"/>
      <c r="E215" s="287"/>
      <c r="F215" s="287"/>
      <c r="G215" s="288"/>
      <c r="H215" s="288"/>
      <c r="I215" s="288"/>
      <c r="J215" s="385"/>
      <c r="K215" s="386"/>
      <c r="L215" s="386"/>
      <c r="M215" s="386"/>
      <c r="N215" s="386"/>
      <c r="O215" s="386"/>
      <c r="P215" s="341"/>
      <c r="Q215" s="453"/>
      <c r="R215" s="422"/>
    </row>
    <row r="216" spans="1:19" s="189" customFormat="1" ht="12.05" customHeight="1">
      <c r="A216" s="293"/>
      <c r="B216" s="290">
        <v>4</v>
      </c>
      <c r="C216" s="290">
        <v>1</v>
      </c>
      <c r="D216" s="290"/>
      <c r="E216" s="290"/>
      <c r="F216" s="290"/>
      <c r="G216" s="291" t="s">
        <v>180</v>
      </c>
      <c r="H216" s="291"/>
      <c r="I216" s="291"/>
      <c r="J216" s="342">
        <f>+J218+J222</f>
        <v>4800000</v>
      </c>
      <c r="K216" s="343">
        <f>+K218+K222</f>
        <v>4200000</v>
      </c>
      <c r="L216" s="343">
        <f>+L218+L222</f>
        <v>0</v>
      </c>
      <c r="M216" s="343">
        <f>+M218+M222</f>
        <v>200000</v>
      </c>
      <c r="N216" s="343">
        <f>+M216+L216</f>
        <v>200000</v>
      </c>
      <c r="O216" s="343">
        <f>N216-K216</f>
        <v>-4000000</v>
      </c>
      <c r="P216" s="344">
        <f>N216/K216*100</f>
        <v>4.7619047619047619</v>
      </c>
      <c r="Q216" s="437"/>
      <c r="R216" s="422"/>
    </row>
    <row r="217" spans="1:19" s="189" customFormat="1" ht="12.05" customHeight="1">
      <c r="A217" s="293"/>
      <c r="B217" s="292"/>
      <c r="C217" s="292"/>
      <c r="D217" s="292"/>
      <c r="E217" s="292"/>
      <c r="F217" s="292"/>
      <c r="G217" s="253"/>
      <c r="H217" s="253"/>
      <c r="I217" s="291"/>
      <c r="J217" s="345"/>
      <c r="K217" s="346"/>
      <c r="L217" s="346"/>
      <c r="M217" s="346"/>
      <c r="N217" s="346"/>
      <c r="O217" s="346"/>
      <c r="P217" s="347"/>
      <c r="Q217" s="438"/>
      <c r="R217" s="422"/>
    </row>
    <row r="218" spans="1:19" s="189" customFormat="1" ht="12.05" customHeight="1">
      <c r="A218" s="293"/>
      <c r="B218" s="290">
        <v>4</v>
      </c>
      <c r="C218" s="290">
        <v>1</v>
      </c>
      <c r="D218" s="290">
        <v>2</v>
      </c>
      <c r="E218" s="290"/>
      <c r="F218" s="290"/>
      <c r="G218" s="291" t="s">
        <v>106</v>
      </c>
      <c r="H218" s="291"/>
      <c r="I218" s="291"/>
      <c r="J218" s="348">
        <f t="shared" ref="J218:M219" si="32">+J219</f>
        <v>0</v>
      </c>
      <c r="K218" s="349">
        <f t="shared" si="32"/>
        <v>0</v>
      </c>
      <c r="L218" s="589">
        <f t="shared" si="32"/>
        <v>0</v>
      </c>
      <c r="M218" s="349">
        <f t="shared" si="32"/>
        <v>0</v>
      </c>
      <c r="N218" s="349">
        <f>+M218+L218</f>
        <v>0</v>
      </c>
      <c r="O218" s="349">
        <f>N218-K218</f>
        <v>0</v>
      </c>
      <c r="P218" s="350"/>
      <c r="Q218" s="439"/>
      <c r="R218" s="422"/>
    </row>
    <row r="219" spans="1:19" s="189" customFormat="1" ht="12.05" customHeight="1">
      <c r="A219" s="293"/>
      <c r="B219" s="292">
        <v>4</v>
      </c>
      <c r="C219" s="292">
        <v>1</v>
      </c>
      <c r="D219" s="292">
        <v>2</v>
      </c>
      <c r="E219" s="292" t="s">
        <v>437</v>
      </c>
      <c r="F219" s="292"/>
      <c r="G219" s="253" t="s">
        <v>107</v>
      </c>
      <c r="H219" s="253"/>
      <c r="I219" s="291"/>
      <c r="J219" s="411">
        <f t="shared" si="32"/>
        <v>0</v>
      </c>
      <c r="K219" s="412">
        <f t="shared" si="32"/>
        <v>0</v>
      </c>
      <c r="L219" s="591">
        <f t="shared" si="32"/>
        <v>0</v>
      </c>
      <c r="M219" s="412">
        <f t="shared" si="32"/>
        <v>0</v>
      </c>
      <c r="N219" s="412">
        <f>+M219+L219</f>
        <v>0</v>
      </c>
      <c r="O219" s="412">
        <f>N219-K219</f>
        <v>0</v>
      </c>
      <c r="P219" s="487"/>
      <c r="Q219" s="694"/>
      <c r="R219" s="422"/>
    </row>
    <row r="220" spans="1:19" s="189" customFormat="1" ht="12.05" customHeight="1">
      <c r="A220" s="293"/>
      <c r="B220" s="292">
        <v>4</v>
      </c>
      <c r="C220" s="292">
        <v>1</v>
      </c>
      <c r="D220" s="292">
        <v>2</v>
      </c>
      <c r="E220" s="292" t="s">
        <v>437</v>
      </c>
      <c r="F220" s="292" t="s">
        <v>440</v>
      </c>
      <c r="G220" s="253" t="s">
        <v>961</v>
      </c>
      <c r="H220" s="253"/>
      <c r="I220" s="253"/>
      <c r="J220" s="333">
        <v>0</v>
      </c>
      <c r="K220" s="661">
        <f>'[57]TARGET MURNI DAN PERUBAHAN'!$E$106</f>
        <v>0</v>
      </c>
      <c r="L220" s="356">
        <f>[62]PerDinas!$N$220</f>
        <v>0</v>
      </c>
      <c r="M220" s="661">
        <f>[55]Perdinas!$E$137</f>
        <v>0</v>
      </c>
      <c r="N220" s="334">
        <f>M220+L220</f>
        <v>0</v>
      </c>
      <c r="O220" s="334">
        <f>N220-K220</f>
        <v>0</v>
      </c>
      <c r="P220" s="335"/>
      <c r="Q220" s="430"/>
      <c r="R220" s="422"/>
    </row>
    <row r="221" spans="1:19" s="189" customFormat="1" ht="12.05" customHeight="1">
      <c r="A221" s="293"/>
      <c r="B221" s="292"/>
      <c r="C221" s="292"/>
      <c r="D221" s="292"/>
      <c r="E221" s="292"/>
      <c r="F221" s="292"/>
      <c r="G221" s="253"/>
      <c r="H221" s="253"/>
      <c r="I221" s="253"/>
      <c r="J221" s="354"/>
      <c r="K221" s="355"/>
      <c r="L221" s="360"/>
      <c r="M221" s="355"/>
      <c r="N221" s="355"/>
      <c r="O221" s="355"/>
      <c r="P221" s="388"/>
      <c r="Q221" s="441"/>
      <c r="R221" s="422"/>
    </row>
    <row r="222" spans="1:19" s="189" customFormat="1" ht="12.05" customHeight="1">
      <c r="A222" s="293"/>
      <c r="B222" s="290">
        <v>4</v>
      </c>
      <c r="C222" s="290">
        <v>1</v>
      </c>
      <c r="D222" s="290">
        <v>4</v>
      </c>
      <c r="E222" s="290"/>
      <c r="F222" s="290"/>
      <c r="G222" s="291" t="s">
        <v>71</v>
      </c>
      <c r="H222" s="291"/>
      <c r="I222" s="291"/>
      <c r="J222" s="392">
        <f>J223+J226+J230</f>
        <v>4800000</v>
      </c>
      <c r="K222" s="393">
        <f>K223+K226+K230</f>
        <v>4200000</v>
      </c>
      <c r="L222" s="394">
        <f>L223+L226+L230</f>
        <v>0</v>
      </c>
      <c r="M222" s="393">
        <f>M223+M226+M230</f>
        <v>200000</v>
      </c>
      <c r="N222" s="393">
        <f>L222+M222</f>
        <v>200000</v>
      </c>
      <c r="O222" s="349">
        <f>N222-K222</f>
        <v>-4000000</v>
      </c>
      <c r="P222" s="350">
        <f>N222/K222*100</f>
        <v>4.7619047619047619</v>
      </c>
      <c r="Q222" s="444"/>
      <c r="R222" s="422"/>
    </row>
    <row r="223" spans="1:19" s="189" customFormat="1" ht="12.05" customHeight="1">
      <c r="A223" s="293"/>
      <c r="B223" s="292">
        <v>4</v>
      </c>
      <c r="C223" s="292">
        <v>1</v>
      </c>
      <c r="D223" s="292">
        <v>4</v>
      </c>
      <c r="E223" s="292" t="s">
        <v>441</v>
      </c>
      <c r="F223" s="292"/>
      <c r="G223" s="253" t="s">
        <v>557</v>
      </c>
      <c r="H223" s="253"/>
      <c r="I223" s="253"/>
      <c r="J223" s="333">
        <f>J224</f>
        <v>0</v>
      </c>
      <c r="K223" s="334">
        <f>K224</f>
        <v>0</v>
      </c>
      <c r="L223" s="356">
        <f>+L224</f>
        <v>0</v>
      </c>
      <c r="M223" s="334">
        <f>+M224</f>
        <v>0</v>
      </c>
      <c r="N223" s="396">
        <f>+M223+L223</f>
        <v>0</v>
      </c>
      <c r="O223" s="396">
        <f>N223-K223</f>
        <v>0</v>
      </c>
      <c r="P223" s="344"/>
      <c r="Q223" s="430"/>
      <c r="R223" s="422"/>
    </row>
    <row r="224" spans="1:19" s="189" customFormat="1" ht="12.05" customHeight="1">
      <c r="A224" s="293"/>
      <c r="B224" s="292">
        <v>4</v>
      </c>
      <c r="C224" s="292">
        <v>1</v>
      </c>
      <c r="D224" s="292">
        <v>4</v>
      </c>
      <c r="E224" s="292" t="s">
        <v>441</v>
      </c>
      <c r="F224" s="292" t="s">
        <v>437</v>
      </c>
      <c r="G224" s="253" t="s">
        <v>72</v>
      </c>
      <c r="H224" s="253"/>
      <c r="I224" s="253"/>
      <c r="J224" s="354">
        <v>0</v>
      </c>
      <c r="K224" s="661">
        <f>'[57]TARGET MURNI DAN PERUBAHAN'!$E$109</f>
        <v>0</v>
      </c>
      <c r="L224" s="360">
        <f>[62]PerDinas!$N$224</f>
        <v>0</v>
      </c>
      <c r="M224" s="355">
        <f>[55]Perdinas!$E$140</f>
        <v>0</v>
      </c>
      <c r="N224" s="355">
        <f t="shared" ref="N224:N230" si="33">M224+L224</f>
        <v>0</v>
      </c>
      <c r="O224" s="355">
        <f>N224-K224</f>
        <v>0</v>
      </c>
      <c r="P224" s="388"/>
      <c r="Q224" s="441"/>
      <c r="R224" s="422"/>
    </row>
    <row r="225" spans="1:18" s="189" customFormat="1" ht="12.05" customHeight="1">
      <c r="A225" s="293"/>
      <c r="B225" s="290"/>
      <c r="C225" s="290"/>
      <c r="D225" s="290"/>
      <c r="E225" s="290"/>
      <c r="F225" s="290"/>
      <c r="G225" s="291"/>
      <c r="H225" s="291"/>
      <c r="I225" s="291"/>
      <c r="J225" s="329"/>
      <c r="K225" s="330"/>
      <c r="L225" s="372"/>
      <c r="M225" s="371"/>
      <c r="N225" s="371"/>
      <c r="O225" s="367"/>
      <c r="P225" s="347"/>
      <c r="Q225" s="651"/>
      <c r="R225" s="422"/>
    </row>
    <row r="226" spans="1:18" s="190" customFormat="1" ht="12.05" customHeight="1">
      <c r="A226" s="293"/>
      <c r="B226" s="290">
        <v>4</v>
      </c>
      <c r="C226" s="290">
        <v>1</v>
      </c>
      <c r="D226" s="290">
        <v>4</v>
      </c>
      <c r="E226" s="290" t="s">
        <v>444</v>
      </c>
      <c r="F226" s="290"/>
      <c r="G226" s="291" t="s">
        <v>222</v>
      </c>
      <c r="H226" s="291"/>
      <c r="I226" s="291"/>
      <c r="J226" s="475">
        <f>J227+J228+J229</f>
        <v>0</v>
      </c>
      <c r="K226" s="476">
        <f>K227+K228+K229</f>
        <v>0</v>
      </c>
      <c r="L226" s="675">
        <f>L227+L228+L229</f>
        <v>0</v>
      </c>
      <c r="M226" s="676">
        <f>M227+M228+M229</f>
        <v>200000</v>
      </c>
      <c r="N226" s="492">
        <f>+M226+L226</f>
        <v>200000</v>
      </c>
      <c r="O226" s="492">
        <f>N226-K230</f>
        <v>-4000000</v>
      </c>
      <c r="P226" s="487"/>
      <c r="Q226" s="696"/>
      <c r="R226" s="446"/>
    </row>
    <row r="227" spans="1:18" s="189" customFormat="1" ht="12.05" customHeight="1">
      <c r="A227" s="289"/>
      <c r="B227" s="292">
        <v>4</v>
      </c>
      <c r="C227" s="292">
        <v>1</v>
      </c>
      <c r="D227" s="292">
        <v>4</v>
      </c>
      <c r="E227" s="292" t="s">
        <v>444</v>
      </c>
      <c r="F227" s="292" t="s">
        <v>440</v>
      </c>
      <c r="G227" s="253" t="s">
        <v>73</v>
      </c>
      <c r="H227" s="253"/>
      <c r="I227" s="253"/>
      <c r="J227" s="389">
        <v>0</v>
      </c>
      <c r="K227" s="357">
        <v>0</v>
      </c>
      <c r="L227" s="360">
        <v>0</v>
      </c>
      <c r="M227" s="355">
        <f>[55]Perdinas!$E$141</f>
        <v>0</v>
      </c>
      <c r="N227" s="355">
        <f t="shared" si="33"/>
        <v>0</v>
      </c>
      <c r="O227" s="677">
        <f>N227-K227</f>
        <v>0</v>
      </c>
      <c r="P227" s="388"/>
      <c r="Q227" s="441"/>
      <c r="R227" s="422"/>
    </row>
    <row r="228" spans="1:18" s="189" customFormat="1" ht="12.05" customHeight="1">
      <c r="A228" s="289"/>
      <c r="B228" s="292">
        <v>4</v>
      </c>
      <c r="C228" s="292">
        <v>1</v>
      </c>
      <c r="D228" s="292">
        <v>4</v>
      </c>
      <c r="E228" s="292" t="s">
        <v>444</v>
      </c>
      <c r="F228" s="292" t="s">
        <v>445</v>
      </c>
      <c r="G228" s="253" t="s">
        <v>74</v>
      </c>
      <c r="H228" s="253"/>
      <c r="I228" s="253"/>
      <c r="J228" s="354">
        <v>0</v>
      </c>
      <c r="K228" s="355">
        <v>0</v>
      </c>
      <c r="L228" s="360">
        <v>0</v>
      </c>
      <c r="M228" s="355">
        <f>[55]Perdinas!$E$142</f>
        <v>0</v>
      </c>
      <c r="N228" s="355">
        <f t="shared" si="33"/>
        <v>0</v>
      </c>
      <c r="O228" s="346">
        <f>N228-K228</f>
        <v>0</v>
      </c>
      <c r="P228" s="388"/>
      <c r="Q228" s="697"/>
      <c r="R228" s="422"/>
    </row>
    <row r="229" spans="1:18" s="189" customFormat="1" ht="12.05" customHeight="1">
      <c r="A229" s="289"/>
      <c r="B229" s="292">
        <v>4</v>
      </c>
      <c r="C229" s="292">
        <v>1</v>
      </c>
      <c r="D229" s="292">
        <v>4</v>
      </c>
      <c r="E229" s="292" t="s">
        <v>444</v>
      </c>
      <c r="F229" s="292" t="s">
        <v>441</v>
      </c>
      <c r="G229" s="253" t="s">
        <v>965</v>
      </c>
      <c r="H229" s="253"/>
      <c r="I229" s="253"/>
      <c r="J229" s="354">
        <v>0</v>
      </c>
      <c r="K229" s="373">
        <f>'[57]TARGET MURNI DAN PERUBAHAN'!$E$110</f>
        <v>0</v>
      </c>
      <c r="L229" s="360">
        <f>[62]PerDinas!$N$229</f>
        <v>0</v>
      </c>
      <c r="M229" s="373">
        <f>[55]Perdinas!$E$143</f>
        <v>200000</v>
      </c>
      <c r="N229" s="355">
        <f t="shared" si="33"/>
        <v>200000</v>
      </c>
      <c r="O229" s="346">
        <f>N229-K229</f>
        <v>200000</v>
      </c>
      <c r="P229" s="388"/>
      <c r="Q229" s="441"/>
      <c r="R229" s="545"/>
    </row>
    <row r="230" spans="1:18" s="189" customFormat="1" ht="12.05" customHeight="1">
      <c r="A230" s="293"/>
      <c r="B230" s="292">
        <v>4</v>
      </c>
      <c r="C230" s="292">
        <v>1</v>
      </c>
      <c r="D230" s="292">
        <v>4</v>
      </c>
      <c r="E230" s="292" t="s">
        <v>948</v>
      </c>
      <c r="F230" s="292" t="s">
        <v>437</v>
      </c>
      <c r="G230" s="253" t="s">
        <v>85</v>
      </c>
      <c r="H230" s="253"/>
      <c r="I230" s="253"/>
      <c r="J230" s="354">
        <v>4800000</v>
      </c>
      <c r="K230" s="373">
        <f>'[57]TARGET MURNI DAN PERUBAHAN'!$E$111</f>
        <v>4200000</v>
      </c>
      <c r="L230" s="360">
        <f>[62]PerDinas!$N$230</f>
        <v>0</v>
      </c>
      <c r="M230" s="373">
        <f>[55]Perdinas!$E$144</f>
        <v>0</v>
      </c>
      <c r="N230" s="355">
        <f t="shared" si="33"/>
        <v>0</v>
      </c>
      <c r="O230" s="346">
        <f>N230-K230</f>
        <v>-4200000</v>
      </c>
      <c r="P230" s="388">
        <f>N230/K230*100</f>
        <v>0</v>
      </c>
      <c r="Q230" s="441"/>
      <c r="R230" s="422"/>
    </row>
    <row r="231" spans="1:18" s="245" customFormat="1" ht="12.05" customHeight="1">
      <c r="A231" s="472"/>
      <c r="B231" s="305"/>
      <c r="C231" s="305"/>
      <c r="D231" s="305"/>
      <c r="E231" s="305"/>
      <c r="F231" s="305"/>
      <c r="G231" s="306"/>
      <c r="H231" s="306"/>
      <c r="I231" s="306"/>
      <c r="J231" s="482"/>
      <c r="K231" s="404"/>
      <c r="L231" s="673"/>
      <c r="M231" s="404"/>
      <c r="N231" s="404"/>
      <c r="O231" s="404"/>
      <c r="P231" s="483"/>
      <c r="Q231" s="456"/>
      <c r="R231" s="450"/>
    </row>
    <row r="232" spans="1:18" s="244" customFormat="1" ht="12.05" customHeight="1">
      <c r="A232" s="283" t="s">
        <v>121</v>
      </c>
      <c r="B232" s="284" t="s">
        <v>58</v>
      </c>
      <c r="C232" s="284" t="s">
        <v>456</v>
      </c>
      <c r="D232" s="284" t="s">
        <v>437</v>
      </c>
      <c r="E232" s="284"/>
      <c r="F232" s="284"/>
      <c r="G232" s="653" t="s">
        <v>732</v>
      </c>
      <c r="H232" s="285"/>
      <c r="I232" s="285"/>
      <c r="J232" s="336">
        <f>+J234</f>
        <v>771601000</v>
      </c>
      <c r="K232" s="337">
        <f>+K234</f>
        <v>229671500</v>
      </c>
      <c r="L232" s="337" t="e">
        <f>+L234</f>
        <v>#REF!</v>
      </c>
      <c r="M232" s="337">
        <f>+M234</f>
        <v>3455000</v>
      </c>
      <c r="N232" s="337" t="e">
        <f>M232+L232</f>
        <v>#REF!</v>
      </c>
      <c r="O232" s="337" t="e">
        <f>+N232-K232</f>
        <v>#REF!</v>
      </c>
      <c r="P232" s="338" t="e">
        <f>+N232/K232*100</f>
        <v>#REF!</v>
      </c>
      <c r="Q232" s="432"/>
      <c r="R232" s="639"/>
    </row>
    <row r="233" spans="1:18" s="189" customFormat="1" ht="12.05" customHeight="1">
      <c r="A233" s="471"/>
      <c r="B233" s="287"/>
      <c r="C233" s="287"/>
      <c r="D233" s="287"/>
      <c r="E233" s="287"/>
      <c r="F233" s="287"/>
      <c r="G233" s="288"/>
      <c r="H233" s="288"/>
      <c r="I233" s="288"/>
      <c r="J233" s="339"/>
      <c r="K233" s="340"/>
      <c r="L233" s="340"/>
      <c r="M233" s="340"/>
      <c r="N233" s="340"/>
      <c r="O233" s="340"/>
      <c r="P233" s="341"/>
      <c r="Q233" s="435"/>
      <c r="R233" s="422"/>
    </row>
    <row r="234" spans="1:18" s="189" customFormat="1" ht="12.05" customHeight="1">
      <c r="A234" s="293"/>
      <c r="B234" s="290">
        <v>4</v>
      </c>
      <c r="C234" s="290">
        <v>1</v>
      </c>
      <c r="D234" s="290"/>
      <c r="E234" s="290"/>
      <c r="F234" s="290"/>
      <c r="G234" s="291" t="s">
        <v>180</v>
      </c>
      <c r="H234" s="291"/>
      <c r="I234" s="291"/>
      <c r="J234" s="342">
        <f>+J236+J243</f>
        <v>771601000</v>
      </c>
      <c r="K234" s="343">
        <f>+K236+K243</f>
        <v>229671500</v>
      </c>
      <c r="L234" s="343" t="e">
        <f>+L236+L243</f>
        <v>#REF!</v>
      </c>
      <c r="M234" s="343">
        <f>+M236+M243</f>
        <v>3455000</v>
      </c>
      <c r="N234" s="343" t="e">
        <f>+M234+L234</f>
        <v>#REF!</v>
      </c>
      <c r="O234" s="343" t="e">
        <f t="shared" ref="O234:O241" si="34">N234-K234</f>
        <v>#REF!</v>
      </c>
      <c r="P234" s="344" t="e">
        <f t="shared" ref="P234:P241" si="35">N234/K234*100</f>
        <v>#REF!</v>
      </c>
      <c r="Q234" s="437"/>
      <c r="R234" s="422"/>
    </row>
    <row r="235" spans="1:18" s="189" customFormat="1" ht="12.05" customHeight="1">
      <c r="A235" s="293"/>
      <c r="B235" s="292"/>
      <c r="C235" s="292"/>
      <c r="D235" s="292"/>
      <c r="E235" s="292"/>
      <c r="F235" s="292"/>
      <c r="G235" s="253"/>
      <c r="H235" s="253"/>
      <c r="I235" s="291"/>
      <c r="J235" s="345"/>
      <c r="K235" s="346"/>
      <c r="L235" s="346"/>
      <c r="M235" s="346"/>
      <c r="N235" s="346"/>
      <c r="O235" s="346"/>
      <c r="P235" s="347"/>
      <c r="Q235" s="438"/>
      <c r="R235" s="422"/>
    </row>
    <row r="236" spans="1:18" s="189" customFormat="1" ht="12.05" customHeight="1">
      <c r="A236" s="293"/>
      <c r="B236" s="290">
        <v>4</v>
      </c>
      <c r="C236" s="290">
        <v>1</v>
      </c>
      <c r="D236" s="290">
        <v>2</v>
      </c>
      <c r="E236" s="290"/>
      <c r="F236" s="290"/>
      <c r="G236" s="291" t="s">
        <v>106</v>
      </c>
      <c r="H236" s="291"/>
      <c r="I236" s="291"/>
      <c r="J236" s="348">
        <f>+J238</f>
        <v>100100000</v>
      </c>
      <c r="K236" s="349">
        <f>+K238</f>
        <v>193889500</v>
      </c>
      <c r="L236" s="349">
        <f>+L238</f>
        <v>146840000</v>
      </c>
      <c r="M236" s="349">
        <f>+M238</f>
        <v>3455000</v>
      </c>
      <c r="N236" s="349">
        <f>+M236+L236</f>
        <v>150295000</v>
      </c>
      <c r="O236" s="349">
        <f t="shared" si="34"/>
        <v>-43594500</v>
      </c>
      <c r="P236" s="350">
        <f t="shared" si="35"/>
        <v>77.515801526126992</v>
      </c>
      <c r="Q236" s="439"/>
      <c r="R236" s="422"/>
    </row>
    <row r="237" spans="1:18" s="189" customFormat="1" ht="12.05" customHeight="1">
      <c r="A237" s="293"/>
      <c r="B237" s="292"/>
      <c r="C237" s="292"/>
      <c r="D237" s="292"/>
      <c r="E237" s="292"/>
      <c r="F237" s="292"/>
      <c r="G237" s="253"/>
      <c r="H237" s="253"/>
      <c r="I237" s="253"/>
      <c r="J237" s="374"/>
      <c r="K237" s="375"/>
      <c r="L237" s="377"/>
      <c r="M237" s="375"/>
      <c r="N237" s="375"/>
      <c r="O237" s="375"/>
      <c r="P237" s="600"/>
      <c r="Q237" s="448"/>
      <c r="R237" s="422"/>
    </row>
    <row r="238" spans="1:18" s="189" customFormat="1" ht="12.05" customHeight="1">
      <c r="A238" s="293"/>
      <c r="B238" s="292">
        <v>4</v>
      </c>
      <c r="C238" s="292">
        <v>1</v>
      </c>
      <c r="D238" s="292">
        <v>2</v>
      </c>
      <c r="E238" s="292" t="s">
        <v>440</v>
      </c>
      <c r="F238" s="292"/>
      <c r="G238" s="253" t="s">
        <v>545</v>
      </c>
      <c r="H238" s="253"/>
      <c r="I238" s="253"/>
      <c r="J238" s="678">
        <f>+J239</f>
        <v>100100000</v>
      </c>
      <c r="K238" s="490">
        <f>+K239</f>
        <v>193889500</v>
      </c>
      <c r="L238" s="616">
        <f>+L239</f>
        <v>146840000</v>
      </c>
      <c r="M238" s="512">
        <f>+M239</f>
        <v>3455000</v>
      </c>
      <c r="N238" s="664">
        <f>+M238+L238</f>
        <v>150295000</v>
      </c>
      <c r="O238" s="412">
        <f t="shared" si="34"/>
        <v>-43594500</v>
      </c>
      <c r="P238" s="487">
        <f t="shared" si="35"/>
        <v>77.515801526126992</v>
      </c>
      <c r="Q238" s="647"/>
      <c r="R238" s="422"/>
    </row>
    <row r="239" spans="1:18" s="189" customFormat="1" ht="12.05" customHeight="1">
      <c r="A239" s="293"/>
      <c r="B239" s="292">
        <v>4</v>
      </c>
      <c r="C239" s="292">
        <v>1</v>
      </c>
      <c r="D239" s="292">
        <v>2</v>
      </c>
      <c r="E239" s="292" t="s">
        <v>440</v>
      </c>
      <c r="F239" s="292" t="s">
        <v>437</v>
      </c>
      <c r="G239" s="253" t="s">
        <v>117</v>
      </c>
      <c r="H239" s="253"/>
      <c r="I239" s="253"/>
      <c r="J239" s="494">
        <f>+J240+J241</f>
        <v>100100000</v>
      </c>
      <c r="K239" s="495">
        <f>+K240+K241</f>
        <v>193889500</v>
      </c>
      <c r="L239" s="513">
        <f>+L240+L241</f>
        <v>146840000</v>
      </c>
      <c r="M239" s="495">
        <f>+M240+M241</f>
        <v>3455000</v>
      </c>
      <c r="N239" s="495">
        <f>+N240+N241</f>
        <v>150295000</v>
      </c>
      <c r="O239" s="334">
        <f t="shared" si="34"/>
        <v>-43594500</v>
      </c>
      <c r="P239" s="335">
        <f t="shared" si="35"/>
        <v>77.515801526126992</v>
      </c>
      <c r="Q239" s="548"/>
      <c r="R239" s="422"/>
    </row>
    <row r="240" spans="1:18" s="189" customFormat="1" ht="12.05" customHeight="1">
      <c r="A240" s="293"/>
      <c r="B240" s="292"/>
      <c r="C240" s="292"/>
      <c r="D240" s="292"/>
      <c r="E240" s="292"/>
      <c r="F240" s="292"/>
      <c r="G240" s="253" t="s">
        <v>50</v>
      </c>
      <c r="H240" s="253"/>
      <c r="I240" s="253" t="s">
        <v>118</v>
      </c>
      <c r="J240" s="374">
        <v>60000000</v>
      </c>
      <c r="K240" s="376">
        <f>'[57]TARGET MURNI DAN PERUBAHAN'!$E$116</f>
        <v>103889500</v>
      </c>
      <c r="L240" s="377">
        <f>[62]PerDinas!$N$240</f>
        <v>87940000</v>
      </c>
      <c r="M240" s="376">
        <f>[55]Perdinas!$E$149</f>
        <v>3455000</v>
      </c>
      <c r="N240" s="355">
        <f t="shared" ref="N240:N245" si="36">M240+L240</f>
        <v>91395000</v>
      </c>
      <c r="O240" s="355">
        <f t="shared" si="34"/>
        <v>-12494500</v>
      </c>
      <c r="P240" s="388">
        <f t="shared" si="35"/>
        <v>87.973279301565611</v>
      </c>
      <c r="Q240" s="448"/>
      <c r="R240" s="422"/>
    </row>
    <row r="241" spans="1:18" s="189" customFormat="1" ht="12.05" customHeight="1">
      <c r="A241" s="465"/>
      <c r="B241" s="296"/>
      <c r="C241" s="296"/>
      <c r="D241" s="296"/>
      <c r="E241" s="296"/>
      <c r="F241" s="296"/>
      <c r="G241" s="297" t="s">
        <v>50</v>
      </c>
      <c r="H241" s="297"/>
      <c r="I241" s="297" t="s">
        <v>119</v>
      </c>
      <c r="J241" s="679">
        <v>40100000</v>
      </c>
      <c r="K241" s="495">
        <f>'[57]TARGET MURNI DAN PERUBAHAN'!$E$117</f>
        <v>90000000</v>
      </c>
      <c r="L241" s="513">
        <f>[62]PerDinas!$N$241</f>
        <v>58900000</v>
      </c>
      <c r="M241" s="495">
        <f>[55]Perdinas!$E$150</f>
        <v>0</v>
      </c>
      <c r="N241" s="334">
        <f t="shared" si="36"/>
        <v>58900000</v>
      </c>
      <c r="O241" s="334">
        <f t="shared" si="34"/>
        <v>-31100000</v>
      </c>
      <c r="P241" s="335">
        <f t="shared" si="35"/>
        <v>65.444444444444443</v>
      </c>
      <c r="Q241" s="449"/>
      <c r="R241" s="422"/>
    </row>
    <row r="242" spans="1:18" s="189" customFormat="1" ht="12.05" customHeight="1">
      <c r="A242" s="654"/>
      <c r="B242" s="655"/>
      <c r="C242" s="655"/>
      <c r="D242" s="655"/>
      <c r="E242" s="655"/>
      <c r="F242" s="655"/>
      <c r="G242" s="656"/>
      <c r="H242" s="656"/>
      <c r="I242" s="656"/>
      <c r="J242" s="680"/>
      <c r="K242" s="681"/>
      <c r="L242" s="682"/>
      <c r="M242" s="512"/>
      <c r="N242" s="681"/>
      <c r="O242" s="681"/>
      <c r="P242" s="683"/>
      <c r="Q242" s="698"/>
      <c r="R242" s="422"/>
    </row>
    <row r="243" spans="1:18" s="189" customFormat="1" ht="12.05" customHeight="1">
      <c r="A243" s="657"/>
      <c r="B243" s="280">
        <v>4</v>
      </c>
      <c r="C243" s="280">
        <v>1</v>
      </c>
      <c r="D243" s="280">
        <v>4</v>
      </c>
      <c r="E243" s="280"/>
      <c r="F243" s="280"/>
      <c r="G243" s="190" t="s">
        <v>71</v>
      </c>
      <c r="H243" s="190"/>
      <c r="I243" s="190"/>
      <c r="J243" s="603">
        <f>J247+J251+J256</f>
        <v>671501000</v>
      </c>
      <c r="K243" s="604">
        <f>K247+K251+K256+K244</f>
        <v>35782000</v>
      </c>
      <c r="L243" s="605" t="e">
        <f>L247+L251+L256+L244</f>
        <v>#REF!</v>
      </c>
      <c r="M243" s="602">
        <f>M247+M251+M256+M244</f>
        <v>0</v>
      </c>
      <c r="N243" s="604" t="e">
        <f t="shared" si="36"/>
        <v>#REF!</v>
      </c>
      <c r="O243" s="343" t="e">
        <f>N243-K243</f>
        <v>#REF!</v>
      </c>
      <c r="P243" s="344" t="e">
        <f>N243/K243*100</f>
        <v>#REF!</v>
      </c>
      <c r="Q243" s="641"/>
      <c r="R243" s="422"/>
    </row>
    <row r="244" spans="1:18" s="189" customFormat="1" ht="12.05" customHeight="1">
      <c r="A244" s="293"/>
      <c r="B244" s="292">
        <v>4</v>
      </c>
      <c r="C244" s="292">
        <v>1</v>
      </c>
      <c r="D244" s="292">
        <v>4</v>
      </c>
      <c r="E244" s="292" t="s">
        <v>441</v>
      </c>
      <c r="F244" s="292"/>
      <c r="G244" s="253" t="s">
        <v>966</v>
      </c>
      <c r="H244" s="291"/>
      <c r="I244" s="291"/>
      <c r="J244" s="397"/>
      <c r="K244" s="398">
        <f>K245</f>
        <v>0</v>
      </c>
      <c r="L244" s="684">
        <f>L245</f>
        <v>94500</v>
      </c>
      <c r="M244" s="604">
        <f>M245</f>
        <v>0</v>
      </c>
      <c r="N244" s="398">
        <f t="shared" si="36"/>
        <v>94500</v>
      </c>
      <c r="O244" s="367">
        <f>N244-K244</f>
        <v>94500</v>
      </c>
      <c r="P244" s="347" t="e">
        <f>N244/K244*100</f>
        <v>#DIV/0!</v>
      </c>
      <c r="Q244" s="699"/>
      <c r="R244" s="422"/>
    </row>
    <row r="245" spans="1:18" s="189" customFormat="1" ht="12.05" customHeight="1">
      <c r="A245" s="293"/>
      <c r="B245" s="292">
        <v>4</v>
      </c>
      <c r="C245" s="292">
        <v>1</v>
      </c>
      <c r="D245" s="292">
        <v>4</v>
      </c>
      <c r="E245" s="292" t="s">
        <v>441</v>
      </c>
      <c r="F245" s="292"/>
      <c r="G245" s="2760" t="s">
        <v>50</v>
      </c>
      <c r="H245" s="253" t="s">
        <v>967</v>
      </c>
      <c r="I245" s="291"/>
      <c r="J245" s="397"/>
      <c r="K245" s="375">
        <f>'[57]TARGET MURNI DAN PERUBAHAN'!$E$121</f>
        <v>0</v>
      </c>
      <c r="L245" s="377">
        <f>[62]PerDinas!$N$245</f>
        <v>94500</v>
      </c>
      <c r="M245" s="495">
        <f>[55]Perdinas!$E$154</f>
        <v>0</v>
      </c>
      <c r="N245" s="375">
        <f t="shared" si="36"/>
        <v>94500</v>
      </c>
      <c r="O245" s="346">
        <f>N245-K245</f>
        <v>94500</v>
      </c>
      <c r="P245" s="347" t="e">
        <f>N245/K245*100</f>
        <v>#DIV/0!</v>
      </c>
      <c r="Q245" s="699"/>
      <c r="R245" s="422"/>
    </row>
    <row r="246" spans="1:18" s="189" customFormat="1" ht="12.05" customHeight="1">
      <c r="A246" s="654"/>
      <c r="B246" s="658"/>
      <c r="C246" s="658"/>
      <c r="D246" s="658"/>
      <c r="E246" s="658"/>
      <c r="F246" s="658"/>
      <c r="G246" s="659"/>
      <c r="H246" s="659"/>
      <c r="I246" s="659"/>
      <c r="J246" s="685"/>
      <c r="K246" s="686"/>
      <c r="L246" s="687"/>
      <c r="M246" s="604"/>
      <c r="N246" s="686"/>
      <c r="O246" s="477"/>
      <c r="P246" s="478"/>
      <c r="Q246" s="700"/>
      <c r="R246" s="422"/>
    </row>
    <row r="247" spans="1:18" s="189" customFormat="1" ht="12.05" customHeight="1">
      <c r="A247" s="471"/>
      <c r="B247" s="287">
        <v>4</v>
      </c>
      <c r="C247" s="287">
        <v>1</v>
      </c>
      <c r="D247" s="287">
        <v>4</v>
      </c>
      <c r="E247" s="287" t="s">
        <v>448</v>
      </c>
      <c r="F247" s="287"/>
      <c r="G247" s="410" t="s">
        <v>220</v>
      </c>
      <c r="H247" s="410"/>
      <c r="I247" s="410"/>
      <c r="J247" s="489">
        <f t="shared" ref="J247:M248" si="37">+J248</f>
        <v>1501000</v>
      </c>
      <c r="K247" s="512">
        <f t="shared" si="37"/>
        <v>18000000</v>
      </c>
      <c r="L247" s="616">
        <f t="shared" si="37"/>
        <v>0</v>
      </c>
      <c r="M247" s="512">
        <f t="shared" si="37"/>
        <v>0</v>
      </c>
      <c r="N247" s="412">
        <f>+M247+L247</f>
        <v>0</v>
      </c>
      <c r="O247" s="412">
        <f>N247-K247</f>
        <v>-18000000</v>
      </c>
      <c r="P247" s="487">
        <f>N247/K247*100</f>
        <v>0</v>
      </c>
      <c r="Q247" s="647"/>
      <c r="R247" s="422"/>
    </row>
    <row r="248" spans="1:18" s="189" customFormat="1" ht="12.05" customHeight="1">
      <c r="A248" s="293"/>
      <c r="B248" s="292">
        <v>4</v>
      </c>
      <c r="C248" s="292">
        <v>1</v>
      </c>
      <c r="D248" s="292">
        <v>4</v>
      </c>
      <c r="E248" s="292" t="s">
        <v>448</v>
      </c>
      <c r="F248" s="292" t="s">
        <v>440</v>
      </c>
      <c r="G248" s="253" t="s">
        <v>561</v>
      </c>
      <c r="H248" s="253"/>
      <c r="I248" s="253"/>
      <c r="J248" s="688">
        <f t="shared" si="37"/>
        <v>1501000</v>
      </c>
      <c r="K248" s="496">
        <f t="shared" si="37"/>
        <v>18000000</v>
      </c>
      <c r="L248" s="689">
        <f t="shared" si="37"/>
        <v>0</v>
      </c>
      <c r="M248" s="496">
        <f t="shared" si="37"/>
        <v>0</v>
      </c>
      <c r="N248" s="497">
        <f>M248+L248</f>
        <v>0</v>
      </c>
      <c r="O248" s="497">
        <f>N248-K248</f>
        <v>-18000000</v>
      </c>
      <c r="P248" s="498">
        <f>N248/K248*100</f>
        <v>0</v>
      </c>
      <c r="Q248" s="701"/>
      <c r="R248" s="422"/>
    </row>
    <row r="249" spans="1:18" s="189" customFormat="1" ht="12.05" customHeight="1">
      <c r="A249" s="293"/>
      <c r="B249" s="292"/>
      <c r="C249" s="292"/>
      <c r="D249" s="292"/>
      <c r="E249" s="292"/>
      <c r="F249" s="292"/>
      <c r="G249" s="253" t="s">
        <v>50</v>
      </c>
      <c r="H249" s="253"/>
      <c r="I249" s="253" t="s">
        <v>968</v>
      </c>
      <c r="J249" s="374">
        <v>1501000</v>
      </c>
      <c r="K249" s="375">
        <f>'[57]TARGET MURNI DAN PERUBAHAN'!$E$120</f>
        <v>18000000</v>
      </c>
      <c r="L249" s="377">
        <f>[62]PerDinas!$N$249</f>
        <v>0</v>
      </c>
      <c r="M249" s="375">
        <f>[55]Perdinas!$E$153</f>
        <v>0</v>
      </c>
      <c r="N249" s="369">
        <f>M249+L249</f>
        <v>0</v>
      </c>
      <c r="O249" s="355">
        <f>N249-K249</f>
        <v>-18000000</v>
      </c>
      <c r="P249" s="388">
        <f>N249/K249*100</f>
        <v>0</v>
      </c>
      <c r="Q249" s="448"/>
      <c r="R249" s="422"/>
    </row>
    <row r="250" spans="1:18" s="189" customFormat="1" ht="12.05" customHeight="1">
      <c r="A250" s="293"/>
      <c r="B250" s="292"/>
      <c r="C250" s="292"/>
      <c r="D250" s="292"/>
      <c r="E250" s="292"/>
      <c r="F250" s="292"/>
      <c r="G250" s="253"/>
      <c r="H250" s="253"/>
      <c r="I250" s="253"/>
      <c r="J250" s="374"/>
      <c r="K250" s="375"/>
      <c r="L250" s="377"/>
      <c r="M250" s="375"/>
      <c r="N250" s="355"/>
      <c r="O250" s="355"/>
      <c r="P250" s="388"/>
      <c r="Q250" s="448"/>
      <c r="R250" s="422"/>
    </row>
    <row r="251" spans="1:18" s="189" customFormat="1" ht="12.05" customHeight="1">
      <c r="A251" s="293"/>
      <c r="B251" s="292">
        <v>4</v>
      </c>
      <c r="C251" s="292">
        <v>1</v>
      </c>
      <c r="D251" s="292">
        <v>4</v>
      </c>
      <c r="E251" s="292" t="s">
        <v>444</v>
      </c>
      <c r="F251" s="292"/>
      <c r="G251" s="253" t="s">
        <v>222</v>
      </c>
      <c r="H251" s="253"/>
      <c r="I251" s="253"/>
      <c r="J251" s="475">
        <f>+J254</f>
        <v>150000000</v>
      </c>
      <c r="K251" s="476">
        <f>+K254</f>
        <v>0</v>
      </c>
      <c r="L251" s="670">
        <f>SUM(L252:L254)</f>
        <v>5527500</v>
      </c>
      <c r="M251" s="527">
        <f>SUM(M252:M254)</f>
        <v>0</v>
      </c>
      <c r="N251" s="527">
        <f>SUM(N252:N254)</f>
        <v>5527500</v>
      </c>
      <c r="O251" s="529">
        <f>N251-K251</f>
        <v>5527500</v>
      </c>
      <c r="P251" s="478" t="e">
        <f t="shared" ref="P251:P258" si="38">N251/K251*100</f>
        <v>#DIV/0!</v>
      </c>
      <c r="Q251" s="644"/>
      <c r="R251" s="422"/>
    </row>
    <row r="252" spans="1:18" s="189" customFormat="1" ht="12.05" customHeight="1">
      <c r="A252" s="289"/>
      <c r="B252" s="292">
        <v>4</v>
      </c>
      <c r="C252" s="292">
        <v>1</v>
      </c>
      <c r="D252" s="292">
        <v>4</v>
      </c>
      <c r="E252" s="292" t="s">
        <v>444</v>
      </c>
      <c r="F252" s="292" t="s">
        <v>440</v>
      </c>
      <c r="G252" s="253" t="s">
        <v>73</v>
      </c>
      <c r="H252" s="253"/>
      <c r="I252" s="253"/>
      <c r="J252" s="354">
        <v>0</v>
      </c>
      <c r="K252" s="355">
        <v>0</v>
      </c>
      <c r="L252" s="360">
        <v>0</v>
      </c>
      <c r="M252" s="355">
        <f>[55]Perdinas!$E$155</f>
        <v>0</v>
      </c>
      <c r="N252" s="355">
        <f t="shared" ref="N252:N260" si="39">M252+L252</f>
        <v>0</v>
      </c>
      <c r="O252" s="355">
        <f>N252-K252</f>
        <v>0</v>
      </c>
      <c r="P252" s="690"/>
      <c r="Q252" s="441"/>
      <c r="R252" s="422"/>
    </row>
    <row r="253" spans="1:18" s="189" customFormat="1" ht="12.05" customHeight="1">
      <c r="A253" s="289"/>
      <c r="B253" s="292">
        <v>4</v>
      </c>
      <c r="C253" s="292">
        <v>1</v>
      </c>
      <c r="D253" s="292">
        <v>4</v>
      </c>
      <c r="E253" s="292" t="s">
        <v>444</v>
      </c>
      <c r="F253" s="292" t="s">
        <v>445</v>
      </c>
      <c r="G253" s="253" t="s">
        <v>74</v>
      </c>
      <c r="H253" s="253"/>
      <c r="I253" s="253"/>
      <c r="J253" s="354">
        <v>0</v>
      </c>
      <c r="K253" s="355">
        <v>0</v>
      </c>
      <c r="L253" s="360">
        <f>[63]PerDinas!$M$253</f>
        <v>720000</v>
      </c>
      <c r="M253" s="355">
        <f>[55]Perdinas!$E$156</f>
        <v>0</v>
      </c>
      <c r="N253" s="355">
        <f t="shared" si="39"/>
        <v>720000</v>
      </c>
      <c r="O253" s="355">
        <f>N253-K253</f>
        <v>720000</v>
      </c>
      <c r="P253" s="347"/>
      <c r="Q253" s="441"/>
      <c r="R253" s="422"/>
    </row>
    <row r="254" spans="1:18" s="189" customFormat="1" ht="12.05" customHeight="1">
      <c r="A254" s="293"/>
      <c r="B254" s="292">
        <v>4</v>
      </c>
      <c r="C254" s="292">
        <v>1</v>
      </c>
      <c r="D254" s="292">
        <v>4</v>
      </c>
      <c r="E254" s="292" t="s">
        <v>444</v>
      </c>
      <c r="F254" s="292" t="s">
        <v>441</v>
      </c>
      <c r="G254" s="253" t="s">
        <v>75</v>
      </c>
      <c r="H254" s="253"/>
      <c r="I254" s="253"/>
      <c r="J254" s="354">
        <v>150000000</v>
      </c>
      <c r="K254" s="373">
        <f>'[57]TARGET MURNI DAN PERUBAHAN'!$E$122</f>
        <v>0</v>
      </c>
      <c r="L254" s="360">
        <f>[62]PerDinas!$N$254</f>
        <v>4807500</v>
      </c>
      <c r="M254" s="373">
        <f>[55]Perdinas!$E$157</f>
        <v>0</v>
      </c>
      <c r="N254" s="369">
        <f t="shared" si="39"/>
        <v>4807500</v>
      </c>
      <c r="O254" s="355">
        <f>N254-K254</f>
        <v>4807500</v>
      </c>
      <c r="P254" s="347" t="e">
        <f t="shared" si="38"/>
        <v>#DIV/0!</v>
      </c>
      <c r="Q254" s="441"/>
      <c r="R254" s="422"/>
    </row>
    <row r="255" spans="1:18" s="189" customFormat="1" ht="12.05" customHeight="1">
      <c r="A255" s="293"/>
      <c r="B255" s="292"/>
      <c r="C255" s="292"/>
      <c r="D255" s="292"/>
      <c r="E255" s="292"/>
      <c r="F255" s="292"/>
      <c r="G255" s="253"/>
      <c r="H255" s="253"/>
      <c r="I255" s="253"/>
      <c r="J255" s="679"/>
      <c r="K255" s="691"/>
      <c r="L255" s="692"/>
      <c r="M255" s="691"/>
      <c r="N255" s="355">
        <f t="shared" si="39"/>
        <v>0</v>
      </c>
      <c r="O255" s="691"/>
      <c r="P255" s="347"/>
      <c r="Q255" s="449"/>
      <c r="R255" s="422"/>
    </row>
    <row r="256" spans="1:18" s="189" customFormat="1" ht="12.05" customHeight="1">
      <c r="A256" s="293"/>
      <c r="B256" s="292">
        <v>4</v>
      </c>
      <c r="C256" s="292">
        <v>1</v>
      </c>
      <c r="D256" s="292">
        <v>4</v>
      </c>
      <c r="E256" s="292" t="s">
        <v>948</v>
      </c>
      <c r="F256" s="292"/>
      <c r="G256" s="253" t="s">
        <v>321</v>
      </c>
      <c r="H256" s="253"/>
      <c r="I256" s="253"/>
      <c r="J256" s="685">
        <f>+J257</f>
        <v>520000000</v>
      </c>
      <c r="K256" s="686">
        <f>+K257</f>
        <v>17782000</v>
      </c>
      <c r="L256" s="687" t="e">
        <f>+L257</f>
        <v>#REF!</v>
      </c>
      <c r="M256" s="686">
        <f>+M257</f>
        <v>0</v>
      </c>
      <c r="N256" s="693" t="e">
        <f t="shared" si="39"/>
        <v>#REF!</v>
      </c>
      <c r="O256" s="477" t="e">
        <f>N256-K256</f>
        <v>#REF!</v>
      </c>
      <c r="P256" s="478" t="e">
        <f t="shared" si="38"/>
        <v>#REF!</v>
      </c>
      <c r="Q256" s="698"/>
      <c r="R256" s="422"/>
    </row>
    <row r="257" spans="1:18" s="189" customFormat="1" ht="12.05" customHeight="1">
      <c r="A257" s="293"/>
      <c r="B257" s="292">
        <v>4</v>
      </c>
      <c r="C257" s="292">
        <v>1</v>
      </c>
      <c r="D257" s="292">
        <v>4</v>
      </c>
      <c r="E257" s="292" t="s">
        <v>948</v>
      </c>
      <c r="F257" s="292" t="s">
        <v>437</v>
      </c>
      <c r="G257" s="253" t="s">
        <v>85</v>
      </c>
      <c r="H257" s="253"/>
      <c r="I257" s="253"/>
      <c r="J257" s="708">
        <f>+J258+J259</f>
        <v>520000000</v>
      </c>
      <c r="K257" s="709">
        <f>+K258+K259</f>
        <v>17782000</v>
      </c>
      <c r="L257" s="710" t="e">
        <f>L258+L259</f>
        <v>#REF!</v>
      </c>
      <c r="M257" s="709">
        <f>M258+M259</f>
        <v>0</v>
      </c>
      <c r="N257" s="357" t="e">
        <f t="shared" si="39"/>
        <v>#REF!</v>
      </c>
      <c r="O257" s="357" t="e">
        <f>N257-K257</f>
        <v>#REF!</v>
      </c>
      <c r="P257" s="358" t="e">
        <f t="shared" si="38"/>
        <v>#REF!</v>
      </c>
      <c r="Q257" s="732"/>
      <c r="R257" s="422"/>
    </row>
    <row r="258" spans="1:18" s="189" customFormat="1" ht="12.05" customHeight="1">
      <c r="A258" s="293"/>
      <c r="B258" s="292"/>
      <c r="C258" s="292"/>
      <c r="D258" s="292"/>
      <c r="E258" s="292"/>
      <c r="F258" s="292"/>
      <c r="G258" s="253" t="s">
        <v>50</v>
      </c>
      <c r="H258" s="253"/>
      <c r="I258" s="253" t="s">
        <v>76</v>
      </c>
      <c r="J258" s="374">
        <v>520000000</v>
      </c>
      <c r="K258" s="401">
        <f>'[57]TARGET MURNI DAN PERUBAHAN'!$E$123</f>
        <v>17782000</v>
      </c>
      <c r="L258" s="377">
        <f>[62]PerDinas!$N$258</f>
        <v>21769250</v>
      </c>
      <c r="M258" s="375">
        <f>[55]Perdinas!$E$158</f>
        <v>0</v>
      </c>
      <c r="N258" s="369">
        <f t="shared" si="39"/>
        <v>21769250</v>
      </c>
      <c r="O258" s="355">
        <f>N258-K258</f>
        <v>3987250</v>
      </c>
      <c r="P258" s="388">
        <f t="shared" si="38"/>
        <v>122.42295579799799</v>
      </c>
      <c r="Q258" s="448"/>
      <c r="R258" s="422"/>
    </row>
    <row r="259" spans="1:18" s="245" customFormat="1" ht="12.05" customHeight="1">
      <c r="A259" s="472"/>
      <c r="B259" s="305"/>
      <c r="C259" s="305"/>
      <c r="D259" s="305"/>
      <c r="E259" s="305"/>
      <c r="F259" s="305"/>
      <c r="G259" s="306"/>
      <c r="H259" s="306"/>
      <c r="I259" s="306"/>
      <c r="J259" s="400"/>
      <c r="K259" s="401"/>
      <c r="L259" s="402" t="e">
        <f>[62]PerDinas!$N$259</f>
        <v>#REF!</v>
      </c>
      <c r="M259" s="401"/>
      <c r="N259" s="380"/>
      <c r="O259" s="711"/>
      <c r="P259" s="712"/>
      <c r="Q259" s="733"/>
      <c r="R259" s="450"/>
    </row>
    <row r="260" spans="1:18" s="244" customFormat="1" ht="12.05" customHeight="1">
      <c r="A260" s="283" t="s">
        <v>124</v>
      </c>
      <c r="B260" s="284" t="s">
        <v>58</v>
      </c>
      <c r="C260" s="284" t="s">
        <v>448</v>
      </c>
      <c r="D260" s="284" t="s">
        <v>438</v>
      </c>
      <c r="E260" s="284"/>
      <c r="F260" s="284"/>
      <c r="G260" s="653" t="s">
        <v>737</v>
      </c>
      <c r="H260" s="285"/>
      <c r="I260" s="285"/>
      <c r="J260" s="336">
        <f>+J262</f>
        <v>5750000</v>
      </c>
      <c r="K260" s="337">
        <f>+K262</f>
        <v>0</v>
      </c>
      <c r="L260" s="337">
        <f>+L262</f>
        <v>0</v>
      </c>
      <c r="M260" s="337">
        <f>+M262</f>
        <v>0</v>
      </c>
      <c r="N260" s="337">
        <f t="shared" si="39"/>
        <v>0</v>
      </c>
      <c r="O260" s="337">
        <f>+N260-K260</f>
        <v>0</v>
      </c>
      <c r="P260" s="338" t="e">
        <f>+N260/K260*100</f>
        <v>#DIV/0!</v>
      </c>
      <c r="Q260" s="432"/>
      <c r="R260" s="639"/>
    </row>
    <row r="261" spans="1:18" s="189" customFormat="1" ht="12.05" customHeight="1">
      <c r="A261" s="471"/>
      <c r="B261" s="287"/>
      <c r="C261" s="287"/>
      <c r="D261" s="287"/>
      <c r="E261" s="287"/>
      <c r="F261" s="287"/>
      <c r="G261" s="288"/>
      <c r="H261" s="288"/>
      <c r="I261" s="288"/>
      <c r="J261" s="339"/>
      <c r="K261" s="340"/>
      <c r="L261" s="340"/>
      <c r="M261" s="340"/>
      <c r="N261" s="340"/>
      <c r="O261" s="340"/>
      <c r="P261" s="341"/>
      <c r="Q261" s="435"/>
      <c r="R261" s="422"/>
    </row>
    <row r="262" spans="1:18" s="189" customFormat="1" ht="12.05" customHeight="1">
      <c r="A262" s="293"/>
      <c r="B262" s="290">
        <v>4</v>
      </c>
      <c r="C262" s="290">
        <v>1</v>
      </c>
      <c r="D262" s="290"/>
      <c r="E262" s="290"/>
      <c r="F262" s="290"/>
      <c r="G262" s="291" t="s">
        <v>180</v>
      </c>
      <c r="H262" s="291"/>
      <c r="I262" s="291"/>
      <c r="J262" s="342">
        <f>+J263</f>
        <v>5750000</v>
      </c>
      <c r="K262" s="343">
        <f>+K263</f>
        <v>0</v>
      </c>
      <c r="L262" s="606">
        <f>+L263</f>
        <v>0</v>
      </c>
      <c r="M262" s="343">
        <f>+M263</f>
        <v>0</v>
      </c>
      <c r="N262" s="343">
        <f>+M262+L262</f>
        <v>0</v>
      </c>
      <c r="O262" s="343">
        <f t="shared" ref="O262:O267" si="40">N262-K262</f>
        <v>0</v>
      </c>
      <c r="P262" s="344" t="e">
        <f>N262/K262*100</f>
        <v>#DIV/0!</v>
      </c>
      <c r="Q262" s="437"/>
      <c r="R262" s="422"/>
    </row>
    <row r="263" spans="1:18" s="189" customFormat="1" ht="12.05" customHeight="1">
      <c r="A263" s="293"/>
      <c r="B263" s="290">
        <v>4</v>
      </c>
      <c r="C263" s="290">
        <v>1</v>
      </c>
      <c r="D263" s="290">
        <v>4</v>
      </c>
      <c r="E263" s="290"/>
      <c r="F263" s="290"/>
      <c r="G263" s="291" t="s">
        <v>71</v>
      </c>
      <c r="H263" s="291"/>
      <c r="I263" s="291"/>
      <c r="J263" s="392">
        <f>J264+J269</f>
        <v>5750000</v>
      </c>
      <c r="K263" s="393">
        <f>K264+K269</f>
        <v>0</v>
      </c>
      <c r="L263" s="394">
        <f>L264+L269</f>
        <v>0</v>
      </c>
      <c r="M263" s="393">
        <f>M264+M269</f>
        <v>0</v>
      </c>
      <c r="N263" s="393">
        <f>N264+N269</f>
        <v>0</v>
      </c>
      <c r="O263" s="349">
        <f t="shared" si="40"/>
        <v>0</v>
      </c>
      <c r="P263" s="350" t="e">
        <f>N263/K263*100</f>
        <v>#DIV/0!</v>
      </c>
      <c r="Q263" s="444"/>
      <c r="R263" s="422"/>
    </row>
    <row r="264" spans="1:18" s="189" customFormat="1" ht="12.05" customHeight="1">
      <c r="A264" s="293"/>
      <c r="B264" s="292">
        <v>4</v>
      </c>
      <c r="C264" s="292">
        <v>1</v>
      </c>
      <c r="D264" s="292">
        <v>4</v>
      </c>
      <c r="E264" s="292" t="s">
        <v>444</v>
      </c>
      <c r="F264" s="292"/>
      <c r="G264" s="253" t="s">
        <v>222</v>
      </c>
      <c r="H264" s="253"/>
      <c r="I264" s="253"/>
      <c r="J264" s="484">
        <f>+J267</f>
        <v>0</v>
      </c>
      <c r="K264" s="485">
        <f>+K267</f>
        <v>0</v>
      </c>
      <c r="L264" s="486">
        <f>SUM(L265:L267)</f>
        <v>0</v>
      </c>
      <c r="M264" s="485">
        <f>SUM(M265:M267)</f>
        <v>0</v>
      </c>
      <c r="N264" s="485">
        <f>SUM(N265:N267)</f>
        <v>0</v>
      </c>
      <c r="O264" s="412">
        <f t="shared" si="40"/>
        <v>0</v>
      </c>
      <c r="P264" s="344" t="e">
        <f>N264/K264*100</f>
        <v>#DIV/0!</v>
      </c>
      <c r="Q264" s="541"/>
      <c r="R264" s="422"/>
    </row>
    <row r="265" spans="1:18" s="189" customFormat="1" ht="12.05" customHeight="1">
      <c r="A265" s="289"/>
      <c r="B265" s="292">
        <v>4</v>
      </c>
      <c r="C265" s="292">
        <v>1</v>
      </c>
      <c r="D265" s="292">
        <v>4</v>
      </c>
      <c r="E265" s="292" t="s">
        <v>444</v>
      </c>
      <c r="F265" s="292" t="s">
        <v>440</v>
      </c>
      <c r="G265" s="253" t="s">
        <v>73</v>
      </c>
      <c r="H265" s="253"/>
      <c r="I265" s="253"/>
      <c r="J265" s="354">
        <v>0</v>
      </c>
      <c r="K265" s="355">
        <v>0</v>
      </c>
      <c r="L265" s="360">
        <v>0</v>
      </c>
      <c r="M265" s="355">
        <f>[55]Perdinas!$E$164</f>
        <v>0</v>
      </c>
      <c r="N265" s="355">
        <f>M265+L265</f>
        <v>0</v>
      </c>
      <c r="O265" s="355">
        <f t="shared" si="40"/>
        <v>0</v>
      </c>
      <c r="P265" s="713"/>
      <c r="Q265" s="441"/>
      <c r="R265" s="422"/>
    </row>
    <row r="266" spans="1:18" s="189" customFormat="1" ht="12.05" customHeight="1">
      <c r="A266" s="289"/>
      <c r="B266" s="292">
        <v>4</v>
      </c>
      <c r="C266" s="292">
        <v>1</v>
      </c>
      <c r="D266" s="292">
        <v>4</v>
      </c>
      <c r="E266" s="292" t="s">
        <v>444</v>
      </c>
      <c r="F266" s="292" t="s">
        <v>445</v>
      </c>
      <c r="G266" s="253" t="s">
        <v>74</v>
      </c>
      <c r="H266" s="253"/>
      <c r="I266" s="253"/>
      <c r="J266" s="354">
        <v>0</v>
      </c>
      <c r="K266" s="355">
        <v>0</v>
      </c>
      <c r="L266" s="360">
        <v>0</v>
      </c>
      <c r="M266" s="355">
        <f>[55]Perdinas!$E$165</f>
        <v>0</v>
      </c>
      <c r="N266" s="355">
        <f>M266+L266</f>
        <v>0</v>
      </c>
      <c r="O266" s="355">
        <f t="shared" si="40"/>
        <v>0</v>
      </c>
      <c r="P266" s="388"/>
      <c r="Q266" s="441"/>
      <c r="R266" s="422"/>
    </row>
    <row r="267" spans="1:18" s="189" customFormat="1" ht="12.05" customHeight="1">
      <c r="A267" s="293"/>
      <c r="B267" s="292">
        <v>4</v>
      </c>
      <c r="C267" s="292">
        <v>1</v>
      </c>
      <c r="D267" s="292">
        <v>4</v>
      </c>
      <c r="E267" s="292" t="s">
        <v>444</v>
      </c>
      <c r="F267" s="292" t="s">
        <v>441</v>
      </c>
      <c r="G267" s="253" t="s">
        <v>75</v>
      </c>
      <c r="H267" s="253"/>
      <c r="I267" s="253"/>
      <c r="J267" s="354">
        <v>0</v>
      </c>
      <c r="K267" s="355">
        <f>'[57]TARGET MURNI DAN PERUBAHAN'!$E$129</f>
        <v>0</v>
      </c>
      <c r="L267" s="360">
        <f>[62]PerDinas!$N$267</f>
        <v>0</v>
      </c>
      <c r="M267" s="355">
        <f>[55]Perdinas!$E$166</f>
        <v>0</v>
      </c>
      <c r="N267" s="369">
        <f>M267+L267</f>
        <v>0</v>
      </c>
      <c r="O267" s="355">
        <f t="shared" si="40"/>
        <v>0</v>
      </c>
      <c r="P267" s="388"/>
      <c r="Q267" s="441"/>
      <c r="R267" s="422"/>
    </row>
    <row r="268" spans="1:18" s="189" customFormat="1" ht="12.05" customHeight="1">
      <c r="A268" s="293"/>
      <c r="B268" s="292"/>
      <c r="C268" s="292"/>
      <c r="D268" s="292"/>
      <c r="E268" s="292"/>
      <c r="F268" s="292"/>
      <c r="G268" s="253"/>
      <c r="H268" s="253"/>
      <c r="I268" s="253"/>
      <c r="J268" s="679"/>
      <c r="K268" s="691"/>
      <c r="L268" s="692"/>
      <c r="M268" s="691"/>
      <c r="N268" s="691"/>
      <c r="O268" s="691"/>
      <c r="P268" s="714"/>
      <c r="Q268" s="449"/>
      <c r="R268" s="422"/>
    </row>
    <row r="269" spans="1:18" s="189" customFormat="1" ht="12.05" customHeight="1">
      <c r="A269" s="293"/>
      <c r="B269" s="292">
        <v>4</v>
      </c>
      <c r="C269" s="292">
        <v>1</v>
      </c>
      <c r="D269" s="292">
        <v>4</v>
      </c>
      <c r="E269" s="292" t="s">
        <v>948</v>
      </c>
      <c r="F269" s="292"/>
      <c r="G269" s="253" t="s">
        <v>321</v>
      </c>
      <c r="H269" s="253"/>
      <c r="I269" s="253"/>
      <c r="J269" s="680">
        <f>+J270</f>
        <v>5750000</v>
      </c>
      <c r="K269" s="681">
        <f>+K270</f>
        <v>0</v>
      </c>
      <c r="L269" s="682">
        <f>+L270</f>
        <v>0</v>
      </c>
      <c r="M269" s="681">
        <f>+M270</f>
        <v>0</v>
      </c>
      <c r="N269" s="681">
        <f>+N270</f>
        <v>0</v>
      </c>
      <c r="O269" s="529">
        <f>N269-K269</f>
        <v>0</v>
      </c>
      <c r="P269" s="478" t="e">
        <f>N269/K269*100</f>
        <v>#DIV/0!</v>
      </c>
      <c r="Q269" s="698"/>
      <c r="R269" s="422"/>
    </row>
    <row r="270" spans="1:18" s="189" customFormat="1" ht="12.05" customHeight="1">
      <c r="A270" s="293"/>
      <c r="B270" s="292">
        <v>4</v>
      </c>
      <c r="C270" s="292">
        <v>1</v>
      </c>
      <c r="D270" s="292">
        <v>4</v>
      </c>
      <c r="E270" s="292" t="s">
        <v>948</v>
      </c>
      <c r="F270" s="292" t="s">
        <v>437</v>
      </c>
      <c r="G270" s="253" t="s">
        <v>85</v>
      </c>
      <c r="H270" s="253"/>
      <c r="I270" s="253"/>
      <c r="J270" s="708">
        <f>+J271</f>
        <v>5750000</v>
      </c>
      <c r="K270" s="709">
        <f>+K271</f>
        <v>0</v>
      </c>
      <c r="L270" s="710">
        <f>L271</f>
        <v>0</v>
      </c>
      <c r="M270" s="709">
        <f>M271</f>
        <v>0</v>
      </c>
      <c r="N270" s="709">
        <f>N271</f>
        <v>0</v>
      </c>
      <c r="O270" s="357">
        <f>N270-K270</f>
        <v>0</v>
      </c>
      <c r="P270" s="358" t="e">
        <f>N270/K270*100</f>
        <v>#DIV/0!</v>
      </c>
      <c r="Q270" s="732"/>
      <c r="R270" s="422"/>
    </row>
    <row r="271" spans="1:18" s="189" customFormat="1" ht="12.05" customHeight="1">
      <c r="A271" s="293"/>
      <c r="B271" s="292"/>
      <c r="C271" s="292"/>
      <c r="D271" s="292"/>
      <c r="E271" s="292"/>
      <c r="F271" s="292"/>
      <c r="G271" s="253" t="s">
        <v>50</v>
      </c>
      <c r="H271" s="253"/>
      <c r="I271" s="253" t="s">
        <v>76</v>
      </c>
      <c r="J271" s="374">
        <v>5750000</v>
      </c>
      <c r="K271" s="375">
        <f>'[57]TARGET MURNI DAN PERUBAHAN'!$E$130</f>
        <v>0</v>
      </c>
      <c r="L271" s="375">
        <f>[62]PerDinas!$N$271</f>
        <v>0</v>
      </c>
      <c r="M271" s="375">
        <f>[55]Perdinas!$E$167</f>
        <v>0</v>
      </c>
      <c r="N271" s="355">
        <f>M271+L271</f>
        <v>0</v>
      </c>
      <c r="O271" s="355">
        <f>N271-K271</f>
        <v>0</v>
      </c>
      <c r="P271" s="388" t="e">
        <f>N271/K271*100</f>
        <v>#DIV/0!</v>
      </c>
      <c r="Q271" s="448"/>
      <c r="R271" s="422"/>
    </row>
    <row r="272" spans="1:18" s="245" customFormat="1" ht="12.05" customHeight="1">
      <c r="A272" s="472"/>
      <c r="B272" s="305"/>
      <c r="C272" s="305"/>
      <c r="D272" s="305"/>
      <c r="E272" s="305"/>
      <c r="F272" s="305"/>
      <c r="G272" s="306"/>
      <c r="H272" s="306"/>
      <c r="I272" s="306"/>
      <c r="J272" s="482"/>
      <c r="K272" s="404"/>
      <c r="L272" s="404"/>
      <c r="M272" s="404"/>
      <c r="N272" s="404"/>
      <c r="O272" s="404"/>
      <c r="P272" s="483"/>
      <c r="Q272" s="456"/>
      <c r="R272" s="450"/>
    </row>
    <row r="273" spans="1:18" s="244" customFormat="1" ht="12.05" customHeight="1">
      <c r="A273" s="283" t="s">
        <v>126</v>
      </c>
      <c r="B273" s="284" t="s">
        <v>58</v>
      </c>
      <c r="C273" s="284" t="s">
        <v>969</v>
      </c>
      <c r="D273" s="284" t="s">
        <v>437</v>
      </c>
      <c r="E273" s="284"/>
      <c r="F273" s="284"/>
      <c r="G273" s="285" t="s">
        <v>738</v>
      </c>
      <c r="H273" s="285"/>
      <c r="I273" s="285"/>
      <c r="J273" s="336">
        <f>+J275</f>
        <v>2000000</v>
      </c>
      <c r="K273" s="337">
        <f>+K275</f>
        <v>1100000</v>
      </c>
      <c r="L273" s="337">
        <f>+L275</f>
        <v>334400</v>
      </c>
      <c r="M273" s="337">
        <f>+M275</f>
        <v>0</v>
      </c>
      <c r="N273" s="337">
        <f>M273+L273</f>
        <v>334400</v>
      </c>
      <c r="O273" s="337">
        <f>+N273-K273</f>
        <v>-765600</v>
      </c>
      <c r="P273" s="338">
        <f>+N273/K273*100</f>
        <v>30.4</v>
      </c>
      <c r="Q273" s="432"/>
      <c r="R273" s="639"/>
    </row>
    <row r="274" spans="1:18" s="189" customFormat="1" ht="12.05" customHeight="1">
      <c r="A274" s="471"/>
      <c r="B274" s="287"/>
      <c r="C274" s="287"/>
      <c r="D274" s="287"/>
      <c r="E274" s="287"/>
      <c r="F274" s="287"/>
      <c r="G274" s="288"/>
      <c r="H274" s="288"/>
      <c r="I274" s="288"/>
      <c r="J274" s="339"/>
      <c r="K274" s="340"/>
      <c r="L274" s="340"/>
      <c r="M274" s="340"/>
      <c r="N274" s="340"/>
      <c r="O274" s="340"/>
      <c r="P274" s="341"/>
      <c r="Q274" s="435"/>
      <c r="R274" s="422"/>
    </row>
    <row r="275" spans="1:18" s="189" customFormat="1" ht="12.05" customHeight="1">
      <c r="A275" s="293"/>
      <c r="B275" s="290">
        <v>4</v>
      </c>
      <c r="C275" s="290">
        <v>1</v>
      </c>
      <c r="D275" s="290"/>
      <c r="E275" s="290"/>
      <c r="F275" s="290"/>
      <c r="G275" s="291" t="s">
        <v>180</v>
      </c>
      <c r="H275" s="291"/>
      <c r="I275" s="291"/>
      <c r="J275" s="342">
        <f>+J278</f>
        <v>2000000</v>
      </c>
      <c r="K275" s="343">
        <f>+K278</f>
        <v>1100000</v>
      </c>
      <c r="L275" s="343">
        <f>+L278</f>
        <v>334400</v>
      </c>
      <c r="M275" s="343">
        <f>+M278</f>
        <v>0</v>
      </c>
      <c r="N275" s="343">
        <f>+M275+L275</f>
        <v>334400</v>
      </c>
      <c r="O275" s="343">
        <f t="shared" ref="O275:O282" si="41">N275-K275</f>
        <v>-765600</v>
      </c>
      <c r="P275" s="344">
        <f>N275/K275*100</f>
        <v>30.4</v>
      </c>
      <c r="Q275" s="437"/>
      <c r="R275" s="422"/>
    </row>
    <row r="276" spans="1:18" s="189" customFormat="1" ht="12.05" customHeight="1">
      <c r="A276" s="293"/>
      <c r="B276" s="290"/>
      <c r="C276" s="290"/>
      <c r="D276" s="290"/>
      <c r="E276" s="290"/>
      <c r="F276" s="290"/>
      <c r="G276" s="291"/>
      <c r="H276" s="291"/>
      <c r="I276" s="291"/>
      <c r="J276" s="387"/>
      <c r="K276" s="367"/>
      <c r="L276" s="367"/>
      <c r="M276" s="367"/>
      <c r="N276" s="367"/>
      <c r="O276" s="367"/>
      <c r="P276" s="347"/>
      <c r="Q276" s="454"/>
      <c r="R276" s="422"/>
    </row>
    <row r="277" spans="1:18" s="189" customFormat="1" ht="12.05" customHeight="1">
      <c r="A277" s="293"/>
      <c r="B277" s="292"/>
      <c r="C277" s="292"/>
      <c r="D277" s="292"/>
      <c r="E277" s="292"/>
      <c r="F277" s="292"/>
      <c r="G277" s="253"/>
      <c r="H277" s="253"/>
      <c r="I277" s="253"/>
      <c r="J277" s="354"/>
      <c r="K277" s="355"/>
      <c r="L277" s="355"/>
      <c r="M277" s="355"/>
      <c r="N277" s="355"/>
      <c r="O277" s="355"/>
      <c r="P277" s="388"/>
      <c r="Q277" s="441"/>
      <c r="R277" s="422"/>
    </row>
    <row r="278" spans="1:18" s="189" customFormat="1" ht="12.05" customHeight="1">
      <c r="A278" s="293"/>
      <c r="B278" s="290">
        <v>4</v>
      </c>
      <c r="C278" s="290">
        <v>1</v>
      </c>
      <c r="D278" s="290">
        <v>4</v>
      </c>
      <c r="E278" s="290"/>
      <c r="F278" s="290"/>
      <c r="G278" s="291" t="s">
        <v>71</v>
      </c>
      <c r="H278" s="291"/>
      <c r="I278" s="291"/>
      <c r="J278" s="392">
        <f>J279+J284</f>
        <v>2000000</v>
      </c>
      <c r="K278" s="393">
        <f>K279+K284</f>
        <v>1100000</v>
      </c>
      <c r="L278" s="394">
        <f>L279+L284</f>
        <v>334400</v>
      </c>
      <c r="M278" s="393">
        <f>M279+M284</f>
        <v>0</v>
      </c>
      <c r="N278" s="393">
        <f>N279+N284</f>
        <v>334400</v>
      </c>
      <c r="O278" s="349">
        <f t="shared" si="41"/>
        <v>-765600</v>
      </c>
      <c r="P278" s="350">
        <f>N278/K278*100</f>
        <v>30.4</v>
      </c>
      <c r="Q278" s="444"/>
      <c r="R278" s="422"/>
    </row>
    <row r="279" spans="1:18" s="189" customFormat="1" ht="12.05" customHeight="1">
      <c r="A279" s="293"/>
      <c r="B279" s="292">
        <v>4</v>
      </c>
      <c r="C279" s="292">
        <v>1</v>
      </c>
      <c r="D279" s="292">
        <v>4</v>
      </c>
      <c r="E279" s="292" t="s">
        <v>444</v>
      </c>
      <c r="F279" s="292"/>
      <c r="G279" s="253" t="s">
        <v>222</v>
      </c>
      <c r="H279" s="253"/>
      <c r="I279" s="253"/>
      <c r="J279" s="484">
        <f>+J282</f>
        <v>0</v>
      </c>
      <c r="K279" s="485">
        <f>+K282</f>
        <v>0</v>
      </c>
      <c r="L279" s="486">
        <f>SUM(L280:L282)</f>
        <v>334400</v>
      </c>
      <c r="M279" s="485">
        <f>SUM(M280:M282)</f>
        <v>0</v>
      </c>
      <c r="N279" s="485">
        <f>SUM(N280:N282)</f>
        <v>334400</v>
      </c>
      <c r="O279" s="412">
        <f t="shared" si="41"/>
        <v>334400</v>
      </c>
      <c r="P279" s="487"/>
      <c r="Q279" s="541"/>
      <c r="R279" s="422"/>
    </row>
    <row r="280" spans="1:18" s="189" customFormat="1" ht="12.05" customHeight="1">
      <c r="A280" s="293"/>
      <c r="B280" s="292">
        <v>4</v>
      </c>
      <c r="C280" s="292">
        <v>1</v>
      </c>
      <c r="D280" s="292">
        <v>4</v>
      </c>
      <c r="E280" s="292" t="s">
        <v>444</v>
      </c>
      <c r="F280" s="292" t="s">
        <v>440</v>
      </c>
      <c r="G280" s="253" t="s">
        <v>73</v>
      </c>
      <c r="H280" s="253"/>
      <c r="I280" s="253"/>
      <c r="J280" s="354">
        <v>0</v>
      </c>
      <c r="K280" s="355">
        <v>0</v>
      </c>
      <c r="L280" s="360">
        <v>0</v>
      </c>
      <c r="M280" s="355">
        <f>[55]Perdinas!$E$172</f>
        <v>0</v>
      </c>
      <c r="N280" s="355">
        <f>M280+L280</f>
        <v>0</v>
      </c>
      <c r="O280" s="355">
        <f t="shared" si="41"/>
        <v>0</v>
      </c>
      <c r="P280" s="388"/>
      <c r="Q280" s="441"/>
      <c r="R280" s="422"/>
    </row>
    <row r="281" spans="1:18" s="189" customFormat="1" ht="12.05" customHeight="1">
      <c r="A281" s="293"/>
      <c r="B281" s="292">
        <v>4</v>
      </c>
      <c r="C281" s="292">
        <v>1</v>
      </c>
      <c r="D281" s="292">
        <v>4</v>
      </c>
      <c r="E281" s="292" t="s">
        <v>444</v>
      </c>
      <c r="F281" s="292" t="s">
        <v>445</v>
      </c>
      <c r="G281" s="253" t="s">
        <v>74</v>
      </c>
      <c r="H281" s="253"/>
      <c r="I281" s="253"/>
      <c r="J281" s="354">
        <v>0</v>
      </c>
      <c r="K281" s="355">
        <v>0</v>
      </c>
      <c r="L281" s="360">
        <v>0</v>
      </c>
      <c r="M281" s="355">
        <f>[55]Perdinas!$E$173</f>
        <v>0</v>
      </c>
      <c r="N281" s="355">
        <f>M281+L281</f>
        <v>0</v>
      </c>
      <c r="O281" s="355">
        <f t="shared" si="41"/>
        <v>0</v>
      </c>
      <c r="P281" s="388"/>
      <c r="Q281" s="441"/>
      <c r="R281" s="422"/>
    </row>
    <row r="282" spans="1:18" s="189" customFormat="1" ht="12.05" customHeight="1">
      <c r="A282" s="293"/>
      <c r="B282" s="292">
        <v>4</v>
      </c>
      <c r="C282" s="292">
        <v>1</v>
      </c>
      <c r="D282" s="292">
        <v>4</v>
      </c>
      <c r="E282" s="292" t="s">
        <v>444</v>
      </c>
      <c r="F282" s="292" t="s">
        <v>441</v>
      </c>
      <c r="G282" s="253" t="s">
        <v>75</v>
      </c>
      <c r="H282" s="253"/>
      <c r="I282" s="253"/>
      <c r="J282" s="354">
        <v>0</v>
      </c>
      <c r="K282" s="373">
        <f>'[57]TARGET MURNI DAN PERUBAHAN'!$E$134</f>
        <v>0</v>
      </c>
      <c r="L282" s="360">
        <f>[62]PerDinas!$N$282</f>
        <v>334400</v>
      </c>
      <c r="M282" s="373">
        <f>[55]Perdinas!$E$174</f>
        <v>0</v>
      </c>
      <c r="N282" s="361">
        <f>M282+L282</f>
        <v>334400</v>
      </c>
      <c r="O282" s="334">
        <f t="shared" si="41"/>
        <v>334400</v>
      </c>
      <c r="P282" s="335"/>
      <c r="Q282" s="430"/>
      <c r="R282" s="422"/>
    </row>
    <row r="283" spans="1:18" s="189" customFormat="1" ht="12.05" customHeight="1">
      <c r="A283" s="293"/>
      <c r="B283" s="292"/>
      <c r="C283" s="292"/>
      <c r="D283" s="292"/>
      <c r="E283" s="292"/>
      <c r="F283" s="292"/>
      <c r="G283" s="253"/>
      <c r="H283" s="253"/>
      <c r="I283" s="253"/>
      <c r="J283" s="333"/>
      <c r="K283" s="334"/>
      <c r="L283" s="356"/>
      <c r="M283" s="334"/>
      <c r="N283" s="334"/>
      <c r="O283" s="334"/>
      <c r="P283" s="335"/>
      <c r="Q283" s="430"/>
      <c r="R283" s="422"/>
    </row>
    <row r="284" spans="1:18" s="189" customFormat="1" ht="12.05" customHeight="1">
      <c r="A284" s="293"/>
      <c r="B284" s="292">
        <v>4</v>
      </c>
      <c r="C284" s="292">
        <v>1</v>
      </c>
      <c r="D284" s="292">
        <v>4</v>
      </c>
      <c r="E284" s="292" t="s">
        <v>948</v>
      </c>
      <c r="F284" s="292"/>
      <c r="G284" s="253" t="s">
        <v>321</v>
      </c>
      <c r="H284" s="253"/>
      <c r="I284" s="253"/>
      <c r="J284" s="680">
        <f>+J285</f>
        <v>2000000</v>
      </c>
      <c r="K284" s="681">
        <f>+K285</f>
        <v>1100000</v>
      </c>
      <c r="L284" s="682">
        <f>+L285</f>
        <v>0</v>
      </c>
      <c r="M284" s="681">
        <f>+M285</f>
        <v>0</v>
      </c>
      <c r="N284" s="681">
        <f>+N285</f>
        <v>0</v>
      </c>
      <c r="O284" s="529">
        <f>N284-K284</f>
        <v>-1100000</v>
      </c>
      <c r="P284" s="478">
        <f>N284/K284*100</f>
        <v>0</v>
      </c>
      <c r="Q284" s="698"/>
      <c r="R284" s="422"/>
    </row>
    <row r="285" spans="1:18" s="189" customFormat="1" ht="12.05" customHeight="1">
      <c r="A285" s="293"/>
      <c r="B285" s="292">
        <v>4</v>
      </c>
      <c r="C285" s="292">
        <v>1</v>
      </c>
      <c r="D285" s="292">
        <v>4</v>
      </c>
      <c r="E285" s="292" t="s">
        <v>948</v>
      </c>
      <c r="F285" s="292" t="s">
        <v>437</v>
      </c>
      <c r="G285" s="253" t="s">
        <v>85</v>
      </c>
      <c r="H285" s="253"/>
      <c r="I285" s="253"/>
      <c r="J285" s="708">
        <f>+J286</f>
        <v>2000000</v>
      </c>
      <c r="K285" s="709">
        <f>+K286</f>
        <v>1100000</v>
      </c>
      <c r="L285" s="710">
        <f>L286</f>
        <v>0</v>
      </c>
      <c r="M285" s="709">
        <f>M286</f>
        <v>0</v>
      </c>
      <c r="N285" s="709">
        <f>N286</f>
        <v>0</v>
      </c>
      <c r="O285" s="357">
        <f>N285-K285</f>
        <v>-1100000</v>
      </c>
      <c r="P285" s="358">
        <f>N285/K285*100</f>
        <v>0</v>
      </c>
      <c r="Q285" s="732"/>
      <c r="R285" s="422"/>
    </row>
    <row r="286" spans="1:18" s="189" customFormat="1" ht="12.05" customHeight="1">
      <c r="A286" s="293"/>
      <c r="B286" s="292"/>
      <c r="C286" s="292"/>
      <c r="D286" s="292"/>
      <c r="E286" s="292"/>
      <c r="F286" s="292"/>
      <c r="G286" s="253" t="s">
        <v>50</v>
      </c>
      <c r="H286" s="253"/>
      <c r="I286" s="253" t="s">
        <v>76</v>
      </c>
      <c r="J286" s="374">
        <v>2000000</v>
      </c>
      <c r="K286" s="373">
        <f>'[57]TARGET MURNI DAN PERUBAHAN'!$E$135</f>
        <v>1100000</v>
      </c>
      <c r="L286" s="715">
        <f>[62]PerDinas!$N$286</f>
        <v>0</v>
      </c>
      <c r="M286" s="373">
        <f>[55]Perdinas!$E$175</f>
        <v>0</v>
      </c>
      <c r="N286" s="369">
        <f>M286+L286</f>
        <v>0</v>
      </c>
      <c r="O286" s="355">
        <f>N286-K286</f>
        <v>-1100000</v>
      </c>
      <c r="P286" s="388">
        <f>N286/K286*100</f>
        <v>0</v>
      </c>
      <c r="Q286" s="448"/>
      <c r="R286" s="422"/>
    </row>
    <row r="287" spans="1:18" s="250" customFormat="1" ht="12.05" customHeight="1">
      <c r="A287" s="702"/>
      <c r="B287" s="703"/>
      <c r="C287" s="703"/>
      <c r="D287" s="703"/>
      <c r="E287" s="703"/>
      <c r="F287" s="703"/>
      <c r="G287" s="704"/>
      <c r="H287" s="704"/>
      <c r="I287" s="704"/>
      <c r="J287" s="716"/>
      <c r="K287" s="717"/>
      <c r="L287" s="718"/>
      <c r="M287" s="717"/>
      <c r="N287" s="719"/>
      <c r="O287" s="719"/>
      <c r="P287" s="720"/>
      <c r="Q287" s="734"/>
      <c r="R287" s="735"/>
    </row>
    <row r="288" spans="1:18" s="244" customFormat="1" ht="12.05" customHeight="1">
      <c r="A288" s="283" t="s">
        <v>132</v>
      </c>
      <c r="B288" s="284" t="s">
        <v>58</v>
      </c>
      <c r="C288" s="284" t="s">
        <v>459</v>
      </c>
      <c r="D288" s="284" t="s">
        <v>437</v>
      </c>
      <c r="E288" s="284"/>
      <c r="F288" s="284"/>
      <c r="G288" s="298" t="s">
        <v>739</v>
      </c>
      <c r="H288" s="298"/>
      <c r="I288" s="298"/>
      <c r="J288" s="336">
        <f>+J290</f>
        <v>106900000</v>
      </c>
      <c r="K288" s="337">
        <f>+K290</f>
        <v>53419400</v>
      </c>
      <c r="L288" s="337">
        <f>+L290</f>
        <v>87310676</v>
      </c>
      <c r="M288" s="337">
        <f>+M290</f>
        <v>0</v>
      </c>
      <c r="N288" s="337">
        <f>M288+L288</f>
        <v>87310676</v>
      </c>
      <c r="O288" s="337">
        <f>+N288-K288</f>
        <v>33891276</v>
      </c>
      <c r="P288" s="338">
        <f>+N288/K288*100</f>
        <v>163.44376013208682</v>
      </c>
      <c r="Q288" s="432"/>
      <c r="R288" s="639"/>
    </row>
    <row r="289" spans="1:18" s="189" customFormat="1" ht="12.05" customHeight="1">
      <c r="A289" s="471"/>
      <c r="B289" s="287"/>
      <c r="C289" s="287"/>
      <c r="D289" s="287"/>
      <c r="E289" s="287"/>
      <c r="F289" s="287"/>
      <c r="G289" s="288"/>
      <c r="H289" s="288"/>
      <c r="I289" s="288"/>
      <c r="J289" s="339"/>
      <c r="K289" s="340"/>
      <c r="L289" s="340"/>
      <c r="M289" s="340"/>
      <c r="N289" s="340"/>
      <c r="O289" s="340"/>
      <c r="P289" s="341"/>
      <c r="Q289" s="435"/>
      <c r="R289" s="422"/>
    </row>
    <row r="290" spans="1:18" s="189" customFormat="1" ht="12.05" customHeight="1">
      <c r="A290" s="293"/>
      <c r="B290" s="290">
        <v>4</v>
      </c>
      <c r="C290" s="290">
        <v>1</v>
      </c>
      <c r="D290" s="290"/>
      <c r="E290" s="290"/>
      <c r="F290" s="290"/>
      <c r="G290" s="291" t="s">
        <v>180</v>
      </c>
      <c r="H290" s="291"/>
      <c r="I290" s="291"/>
      <c r="J290" s="342">
        <f>+J292+J298</f>
        <v>106900000</v>
      </c>
      <c r="K290" s="343">
        <f>+K292+K298</f>
        <v>53419400</v>
      </c>
      <c r="L290" s="343">
        <f>+L292+L298</f>
        <v>87310676</v>
      </c>
      <c r="M290" s="343">
        <f>+M292+M298</f>
        <v>0</v>
      </c>
      <c r="N290" s="343">
        <f>+M290+L290</f>
        <v>87310676</v>
      </c>
      <c r="O290" s="343">
        <f t="shared" ref="O290:O296" si="42">N290-K290</f>
        <v>33891276</v>
      </c>
      <c r="P290" s="344">
        <f t="shared" ref="P290:P296" si="43">N290/K290*100</f>
        <v>163.44376013208682</v>
      </c>
      <c r="Q290" s="437"/>
      <c r="R290" s="422"/>
    </row>
    <row r="291" spans="1:18" s="189" customFormat="1" ht="12.05" customHeight="1">
      <c r="A291" s="293"/>
      <c r="B291" s="292"/>
      <c r="C291" s="292"/>
      <c r="D291" s="292"/>
      <c r="E291" s="292"/>
      <c r="F291" s="292"/>
      <c r="G291" s="253"/>
      <c r="H291" s="253"/>
      <c r="I291" s="291"/>
      <c r="J291" s="345"/>
      <c r="K291" s="346"/>
      <c r="L291" s="346"/>
      <c r="M291" s="346"/>
      <c r="N291" s="346"/>
      <c r="O291" s="346"/>
      <c r="P291" s="347"/>
      <c r="Q291" s="438"/>
      <c r="R291" s="422"/>
    </row>
    <row r="292" spans="1:18" s="189" customFormat="1" ht="12.05" customHeight="1">
      <c r="A292" s="293"/>
      <c r="B292" s="290">
        <v>4</v>
      </c>
      <c r="C292" s="290">
        <v>1</v>
      </c>
      <c r="D292" s="290">
        <v>2</v>
      </c>
      <c r="E292" s="290"/>
      <c r="F292" s="290"/>
      <c r="G292" s="291" t="s">
        <v>106</v>
      </c>
      <c r="H292" s="291"/>
      <c r="I292" s="291"/>
      <c r="J292" s="348">
        <f>+J294</f>
        <v>3000000</v>
      </c>
      <c r="K292" s="349">
        <f>+K294</f>
        <v>2000000</v>
      </c>
      <c r="L292" s="349">
        <f>+L294</f>
        <v>0</v>
      </c>
      <c r="M292" s="349">
        <f>+M294</f>
        <v>0</v>
      </c>
      <c r="N292" s="349">
        <f>+M292+L292</f>
        <v>0</v>
      </c>
      <c r="O292" s="349">
        <f t="shared" si="42"/>
        <v>-2000000</v>
      </c>
      <c r="P292" s="350">
        <f t="shared" si="43"/>
        <v>0</v>
      </c>
      <c r="Q292" s="439"/>
      <c r="R292" s="422"/>
    </row>
    <row r="293" spans="1:18" s="189" customFormat="1" ht="12.05" customHeight="1">
      <c r="A293" s="293"/>
      <c r="B293" s="292"/>
      <c r="C293" s="292"/>
      <c r="D293" s="292"/>
      <c r="E293" s="292"/>
      <c r="F293" s="292"/>
      <c r="G293" s="253"/>
      <c r="H293" s="253"/>
      <c r="I293" s="253"/>
      <c r="J293" s="374"/>
      <c r="K293" s="375"/>
      <c r="L293" s="375"/>
      <c r="M293" s="375"/>
      <c r="N293" s="375"/>
      <c r="O293" s="375"/>
      <c r="P293" s="600"/>
      <c r="Q293" s="448"/>
      <c r="R293" s="422"/>
    </row>
    <row r="294" spans="1:18" s="189" customFormat="1" ht="12.05" customHeight="1">
      <c r="A294" s="465"/>
      <c r="B294" s="296">
        <v>4</v>
      </c>
      <c r="C294" s="296">
        <v>1</v>
      </c>
      <c r="D294" s="296">
        <v>2</v>
      </c>
      <c r="E294" s="296" t="s">
        <v>438</v>
      </c>
      <c r="F294" s="296"/>
      <c r="G294" s="297" t="s">
        <v>374</v>
      </c>
      <c r="H294" s="297"/>
      <c r="I294" s="297"/>
      <c r="J294" s="627">
        <f t="shared" ref="J294:M295" si="44">+J295</f>
        <v>3000000</v>
      </c>
      <c r="K294" s="396">
        <f t="shared" si="44"/>
        <v>2000000</v>
      </c>
      <c r="L294" s="721">
        <f t="shared" si="44"/>
        <v>0</v>
      </c>
      <c r="M294" s="396">
        <f t="shared" si="44"/>
        <v>0</v>
      </c>
      <c r="N294" s="396">
        <f>+M294+L294</f>
        <v>0</v>
      </c>
      <c r="O294" s="396">
        <f t="shared" si="42"/>
        <v>-2000000</v>
      </c>
      <c r="P294" s="344">
        <f t="shared" si="43"/>
        <v>0</v>
      </c>
      <c r="Q294" s="642"/>
      <c r="R294" s="422"/>
    </row>
    <row r="295" spans="1:18" s="189" customFormat="1" ht="12.05" customHeight="1">
      <c r="A295" s="564"/>
      <c r="B295" s="565">
        <v>4</v>
      </c>
      <c r="C295" s="565">
        <v>1</v>
      </c>
      <c r="D295" s="565">
        <v>2</v>
      </c>
      <c r="E295" s="565" t="s">
        <v>438</v>
      </c>
      <c r="F295" s="565" t="s">
        <v>437</v>
      </c>
      <c r="G295" s="566" t="s">
        <v>64</v>
      </c>
      <c r="H295" s="566"/>
      <c r="I295" s="566"/>
      <c r="J295" s="411">
        <f t="shared" si="44"/>
        <v>3000000</v>
      </c>
      <c r="K295" s="412">
        <f t="shared" si="44"/>
        <v>2000000</v>
      </c>
      <c r="L295" s="591">
        <f t="shared" si="44"/>
        <v>0</v>
      </c>
      <c r="M295" s="412">
        <f t="shared" si="44"/>
        <v>0</v>
      </c>
      <c r="N295" s="485">
        <f t="shared" ref="N295:N303" si="45">M295+L295</f>
        <v>0</v>
      </c>
      <c r="O295" s="485">
        <f t="shared" si="42"/>
        <v>-2000000</v>
      </c>
      <c r="P295" s="597">
        <f t="shared" si="43"/>
        <v>0</v>
      </c>
      <c r="Q295" s="694"/>
      <c r="R295" s="422"/>
    </row>
    <row r="296" spans="1:18" s="189" customFormat="1" ht="12.05" customHeight="1">
      <c r="A296" s="471"/>
      <c r="B296" s="287"/>
      <c r="C296" s="287"/>
      <c r="D296" s="287"/>
      <c r="E296" s="287"/>
      <c r="F296" s="287"/>
      <c r="G296" s="410" t="s">
        <v>50</v>
      </c>
      <c r="H296" s="410"/>
      <c r="I296" s="410" t="s">
        <v>970</v>
      </c>
      <c r="J296" s="708">
        <v>3000000</v>
      </c>
      <c r="K296" s="722">
        <f>'[57]TARGET MURNI DAN PERUBAHAN'!$E$139</f>
        <v>2000000</v>
      </c>
      <c r="L296" s="710">
        <f>[62]PerDinas!$N$296</f>
        <v>0</v>
      </c>
      <c r="M296" s="722">
        <f>[55]Perdinas!$E$179</f>
        <v>0</v>
      </c>
      <c r="N296" s="357">
        <f t="shared" si="45"/>
        <v>0</v>
      </c>
      <c r="O296" s="357">
        <f t="shared" si="42"/>
        <v>-2000000</v>
      </c>
      <c r="P296" s="358">
        <f t="shared" si="43"/>
        <v>0</v>
      </c>
      <c r="Q296" s="732"/>
      <c r="R296" s="422"/>
    </row>
    <row r="297" spans="1:18" s="189" customFormat="1" ht="12.05" customHeight="1">
      <c r="A297" s="293"/>
      <c r="B297" s="292"/>
      <c r="C297" s="292"/>
      <c r="D297" s="292"/>
      <c r="E297" s="292"/>
      <c r="F297" s="292"/>
      <c r="G297" s="253"/>
      <c r="H297" s="253"/>
      <c r="I297" s="253"/>
      <c r="J297" s="374"/>
      <c r="K297" s="375"/>
      <c r="L297" s="377"/>
      <c r="M297" s="375"/>
      <c r="N297" s="375"/>
      <c r="O297" s="375"/>
      <c r="P297" s="600"/>
      <c r="Q297" s="448"/>
      <c r="R297" s="422"/>
    </row>
    <row r="298" spans="1:18" s="189" customFormat="1" ht="12.05" customHeight="1">
      <c r="A298" s="293"/>
      <c r="B298" s="290">
        <v>4</v>
      </c>
      <c r="C298" s="290">
        <v>1</v>
      </c>
      <c r="D298" s="290">
        <v>4</v>
      </c>
      <c r="E298" s="290"/>
      <c r="F298" s="290"/>
      <c r="G298" s="291" t="s">
        <v>71</v>
      </c>
      <c r="H298" s="291"/>
      <c r="I298" s="291"/>
      <c r="J298" s="723">
        <f>J299+J305</f>
        <v>103900000</v>
      </c>
      <c r="K298" s="724">
        <f>K299+K305+K307</f>
        <v>51419400</v>
      </c>
      <c r="L298" s="724">
        <f>L299+L305+L307</f>
        <v>87310676</v>
      </c>
      <c r="M298" s="724">
        <f>M299+M305</f>
        <v>0</v>
      </c>
      <c r="N298" s="724">
        <f>N299+N305</f>
        <v>87310676</v>
      </c>
      <c r="O298" s="349">
        <f t="shared" ref="O298:O303" si="46">N298-K298</f>
        <v>35891276</v>
      </c>
      <c r="P298" s="350">
        <f>N298/K298*100</f>
        <v>169.80104007436881</v>
      </c>
      <c r="Q298" s="640"/>
      <c r="R298" s="422"/>
    </row>
    <row r="299" spans="1:18" s="189" customFormat="1" ht="12.05" customHeight="1">
      <c r="A299" s="293"/>
      <c r="B299" s="292">
        <v>4</v>
      </c>
      <c r="C299" s="292">
        <v>1</v>
      </c>
      <c r="D299" s="292">
        <v>4</v>
      </c>
      <c r="E299" s="292" t="s">
        <v>444</v>
      </c>
      <c r="F299" s="292"/>
      <c r="G299" s="253" t="s">
        <v>222</v>
      </c>
      <c r="H299" s="253"/>
      <c r="I299" s="253"/>
      <c r="J299" s="680">
        <f>SUM(J300:J303)</f>
        <v>0</v>
      </c>
      <c r="K299" s="681">
        <f>SUM(K300:K303)</f>
        <v>0</v>
      </c>
      <c r="L299" s="682">
        <f>SUM(L300:L303)</f>
        <v>55093076</v>
      </c>
      <c r="M299" s="681">
        <f>SUM(M300:M303)</f>
        <v>0</v>
      </c>
      <c r="N299" s="529">
        <f>+M299+L299</f>
        <v>55093076</v>
      </c>
      <c r="O299" s="529">
        <f t="shared" si="46"/>
        <v>55093076</v>
      </c>
      <c r="P299" s="478">
        <v>0</v>
      </c>
      <c r="Q299" s="698"/>
      <c r="R299" s="422"/>
    </row>
    <row r="300" spans="1:18" s="189" customFormat="1" ht="12.05" customHeight="1">
      <c r="A300" s="289"/>
      <c r="B300" s="292">
        <v>4</v>
      </c>
      <c r="C300" s="292">
        <v>1</v>
      </c>
      <c r="D300" s="292">
        <v>4</v>
      </c>
      <c r="E300" s="292" t="s">
        <v>444</v>
      </c>
      <c r="F300" s="292" t="s">
        <v>440</v>
      </c>
      <c r="G300" s="253" t="s">
        <v>73</v>
      </c>
      <c r="H300" s="253"/>
      <c r="I300" s="253"/>
      <c r="J300" s="354">
        <v>0</v>
      </c>
      <c r="K300" s="355">
        <v>0</v>
      </c>
      <c r="L300" s="360">
        <v>0</v>
      </c>
      <c r="M300" s="355">
        <f>[55]Perdinas!$E$183</f>
        <v>0</v>
      </c>
      <c r="N300" s="355">
        <f t="shared" si="45"/>
        <v>0</v>
      </c>
      <c r="O300" s="355">
        <f t="shared" si="46"/>
        <v>0</v>
      </c>
      <c r="P300" s="388"/>
      <c r="Q300" s="441"/>
      <c r="R300" s="422"/>
    </row>
    <row r="301" spans="1:18" s="189" customFormat="1" ht="12.05" customHeight="1">
      <c r="A301" s="289"/>
      <c r="B301" s="292">
        <v>4</v>
      </c>
      <c r="C301" s="292">
        <v>1</v>
      </c>
      <c r="D301" s="292">
        <v>4</v>
      </c>
      <c r="E301" s="292" t="s">
        <v>444</v>
      </c>
      <c r="F301" s="292" t="s">
        <v>445</v>
      </c>
      <c r="G301" s="253" t="s">
        <v>74</v>
      </c>
      <c r="H301" s="253"/>
      <c r="I301" s="253"/>
      <c r="J301" s="354">
        <v>0</v>
      </c>
      <c r="K301" s="355">
        <v>0</v>
      </c>
      <c r="L301" s="360">
        <v>0</v>
      </c>
      <c r="M301" s="355">
        <f>[55]Perdinas!$E$184</f>
        <v>0</v>
      </c>
      <c r="N301" s="355">
        <f t="shared" si="45"/>
        <v>0</v>
      </c>
      <c r="O301" s="355">
        <f t="shared" si="46"/>
        <v>0</v>
      </c>
      <c r="P301" s="388"/>
      <c r="Q301" s="441"/>
      <c r="R301" s="422"/>
    </row>
    <row r="302" spans="1:18" s="189" customFormat="1" ht="12.05" customHeight="1">
      <c r="A302" s="293"/>
      <c r="B302" s="292">
        <v>4</v>
      </c>
      <c r="C302" s="292">
        <v>1</v>
      </c>
      <c r="D302" s="292">
        <v>4</v>
      </c>
      <c r="E302" s="292" t="s">
        <v>444</v>
      </c>
      <c r="F302" s="292" t="s">
        <v>441</v>
      </c>
      <c r="G302" s="253" t="s">
        <v>75</v>
      </c>
      <c r="H302" s="253"/>
      <c r="I302" s="253"/>
      <c r="J302" s="494">
        <v>0</v>
      </c>
      <c r="K302" s="725">
        <f>'[57]TARGET MURNI DAN PERUBAHAN'!$E$142</f>
        <v>0</v>
      </c>
      <c r="L302" s="513">
        <f>[62]PerDinas!$N$302</f>
        <v>55093076</v>
      </c>
      <c r="M302" s="725">
        <f>[55]Perdinas!$E$185</f>
        <v>0</v>
      </c>
      <c r="N302" s="369">
        <f t="shared" si="45"/>
        <v>55093076</v>
      </c>
      <c r="O302" s="355">
        <f t="shared" si="46"/>
        <v>55093076</v>
      </c>
      <c r="P302" s="388">
        <v>0</v>
      </c>
      <c r="Q302" s="548"/>
      <c r="R302" s="422"/>
    </row>
    <row r="303" spans="1:18" s="189" customFormat="1" ht="12.05" customHeight="1">
      <c r="A303" s="705"/>
      <c r="B303" s="292">
        <v>4</v>
      </c>
      <c r="C303" s="292">
        <v>1</v>
      </c>
      <c r="D303" s="292">
        <v>4</v>
      </c>
      <c r="E303" s="292" t="s">
        <v>438</v>
      </c>
      <c r="F303" s="292" t="s">
        <v>438</v>
      </c>
      <c r="G303" s="199" t="s">
        <v>214</v>
      </c>
      <c r="H303" s="253"/>
      <c r="I303" s="253"/>
      <c r="J303" s="726">
        <v>0</v>
      </c>
      <c r="K303" s="727">
        <v>0</v>
      </c>
      <c r="L303" s="728">
        <v>0</v>
      </c>
      <c r="M303" s="448">
        <v>0</v>
      </c>
      <c r="N303" s="441">
        <f t="shared" si="45"/>
        <v>0</v>
      </c>
      <c r="O303" s="441">
        <f t="shared" si="46"/>
        <v>0</v>
      </c>
      <c r="P303" s="388">
        <v>0</v>
      </c>
      <c r="Q303" s="448"/>
      <c r="R303" s="422"/>
    </row>
    <row r="304" spans="1:18" s="189" customFormat="1" ht="12.05" customHeight="1">
      <c r="A304" s="293"/>
      <c r="B304" s="292"/>
      <c r="C304" s="292"/>
      <c r="D304" s="292"/>
      <c r="E304" s="292"/>
      <c r="F304" s="292"/>
      <c r="G304" s="253"/>
      <c r="H304" s="253"/>
      <c r="I304" s="253"/>
      <c r="J304" s="729"/>
      <c r="K304" s="730"/>
      <c r="L304" s="731"/>
      <c r="M304" s="548"/>
      <c r="N304" s="430"/>
      <c r="O304" s="430"/>
      <c r="P304" s="335"/>
      <c r="Q304" s="548"/>
      <c r="R304" s="422"/>
    </row>
    <row r="305" spans="1:19" s="189" customFormat="1" ht="12.05" customHeight="1">
      <c r="A305" s="293"/>
      <c r="B305" s="292">
        <v>4</v>
      </c>
      <c r="C305" s="292">
        <v>1</v>
      </c>
      <c r="D305" s="292">
        <v>4</v>
      </c>
      <c r="E305" s="292" t="s">
        <v>948</v>
      </c>
      <c r="F305" s="292"/>
      <c r="G305" s="253" t="s">
        <v>321</v>
      </c>
      <c r="H305" s="253"/>
      <c r="I305" s="253"/>
      <c r="J305" s="489">
        <f>+J306</f>
        <v>103900000</v>
      </c>
      <c r="K305" s="512">
        <f>+K306</f>
        <v>51419400</v>
      </c>
      <c r="L305" s="512">
        <f>+L306</f>
        <v>32217600</v>
      </c>
      <c r="M305" s="512">
        <f>+M306</f>
        <v>0</v>
      </c>
      <c r="N305" s="412">
        <f>+M305+L305</f>
        <v>32217600</v>
      </c>
      <c r="O305" s="412">
        <f>N305-K305</f>
        <v>-19201800</v>
      </c>
      <c r="P305" s="487">
        <f>N305/K305*100</f>
        <v>62.656507077095412</v>
      </c>
      <c r="Q305" s="647"/>
      <c r="R305" s="422"/>
    </row>
    <row r="306" spans="1:19" s="189" customFormat="1" ht="12.05" customHeight="1">
      <c r="A306" s="293"/>
      <c r="B306" s="292">
        <v>4</v>
      </c>
      <c r="C306" s="292">
        <v>1</v>
      </c>
      <c r="D306" s="292">
        <v>4</v>
      </c>
      <c r="E306" s="292" t="s">
        <v>948</v>
      </c>
      <c r="F306" s="292" t="s">
        <v>437</v>
      </c>
      <c r="G306" s="253" t="s">
        <v>85</v>
      </c>
      <c r="H306" s="253"/>
      <c r="I306" s="253"/>
      <c r="J306" s="494">
        <f>+J307+J308</f>
        <v>103900000</v>
      </c>
      <c r="K306" s="495">
        <f>K308</f>
        <v>51419400</v>
      </c>
      <c r="L306" s="495">
        <f>L308</f>
        <v>32217600</v>
      </c>
      <c r="M306" s="495">
        <f>SUM(M307:M308)</f>
        <v>0</v>
      </c>
      <c r="N306" s="496">
        <f>SUM(N307:N308)</f>
        <v>32217600</v>
      </c>
      <c r="O306" s="497">
        <f>N306-K306</f>
        <v>-19201800</v>
      </c>
      <c r="P306" s="498">
        <f>N306/K306*100</f>
        <v>62.656507077095412</v>
      </c>
      <c r="Q306" s="548"/>
      <c r="R306" s="422"/>
    </row>
    <row r="307" spans="1:19" s="189" customFormat="1" ht="12.05" customHeight="1">
      <c r="A307" s="293"/>
      <c r="B307" s="292"/>
      <c r="C307" s="292"/>
      <c r="D307" s="292"/>
      <c r="E307" s="292"/>
      <c r="F307" s="292"/>
      <c r="G307" s="253" t="s">
        <v>50</v>
      </c>
      <c r="H307" s="253"/>
      <c r="I307" s="253" t="s">
        <v>710</v>
      </c>
      <c r="J307" s="374">
        <v>89000000</v>
      </c>
      <c r="K307" s="375"/>
      <c r="L307" s="377"/>
      <c r="M307" s="375"/>
      <c r="N307" s="369">
        <f>M307+L307</f>
        <v>0</v>
      </c>
      <c r="O307" s="497">
        <f>N307-K307</f>
        <v>0</v>
      </c>
      <c r="P307" s="388"/>
      <c r="Q307" s="448"/>
      <c r="R307" s="422"/>
    </row>
    <row r="308" spans="1:19" s="189" customFormat="1" ht="12.05" customHeight="1">
      <c r="A308" s="293"/>
      <c r="B308" s="292"/>
      <c r="C308" s="292"/>
      <c r="D308" s="292"/>
      <c r="E308" s="292"/>
      <c r="F308" s="292"/>
      <c r="G308" s="253" t="s">
        <v>50</v>
      </c>
      <c r="H308" s="253"/>
      <c r="I308" s="253" t="s">
        <v>85</v>
      </c>
      <c r="J308" s="374">
        <v>14900000</v>
      </c>
      <c r="K308" s="376">
        <f>'[57]TARGET MURNI DAN PERUBAHAN'!$E$144</f>
        <v>51419400</v>
      </c>
      <c r="L308" s="377">
        <f>[62]PerDinas!$N$308</f>
        <v>32217600</v>
      </c>
      <c r="M308" s="376">
        <f>[55]Perdinas!$E$186</f>
        <v>0</v>
      </c>
      <c r="N308" s="361">
        <f>M308+L308</f>
        <v>32217600</v>
      </c>
      <c r="O308" s="334">
        <f>N308-K308</f>
        <v>-19201800</v>
      </c>
      <c r="P308" s="335">
        <f>N308/K308*100</f>
        <v>62.656507077095412</v>
      </c>
      <c r="Q308" s="448"/>
      <c r="R308" s="422"/>
    </row>
    <row r="309" spans="1:19" s="245" customFormat="1" ht="12.05" customHeight="1">
      <c r="A309" s="472"/>
      <c r="B309" s="305"/>
      <c r="C309" s="305"/>
      <c r="D309" s="305"/>
      <c r="E309" s="305"/>
      <c r="F309" s="305"/>
      <c r="G309" s="306"/>
      <c r="H309" s="306"/>
      <c r="I309" s="306"/>
      <c r="J309" s="536"/>
      <c r="K309" s="380"/>
      <c r="L309" s="538"/>
      <c r="M309" s="380"/>
      <c r="N309" s="380"/>
      <c r="O309" s="380"/>
      <c r="P309" s="501"/>
      <c r="Q309" s="560"/>
      <c r="R309" s="450"/>
    </row>
    <row r="310" spans="1:19" s="251" customFormat="1" ht="12.05" customHeight="1">
      <c r="A310" s="283" t="s">
        <v>141</v>
      </c>
      <c r="B310" s="284" t="s">
        <v>58</v>
      </c>
      <c r="C310" s="284" t="s">
        <v>948</v>
      </c>
      <c r="D310" s="284" t="s">
        <v>437</v>
      </c>
      <c r="E310" s="284"/>
      <c r="F310" s="284"/>
      <c r="G310" s="298" t="s">
        <v>133</v>
      </c>
      <c r="H310" s="298"/>
      <c r="I310" s="298"/>
      <c r="J310" s="336">
        <f>+J312</f>
        <v>601173200</v>
      </c>
      <c r="K310" s="337">
        <f>+K312</f>
        <v>1469449000</v>
      </c>
      <c r="L310" s="337">
        <f>+L312</f>
        <v>1787925315</v>
      </c>
      <c r="M310" s="337">
        <f>+M312</f>
        <v>58272600</v>
      </c>
      <c r="N310" s="337">
        <f>M310+L310</f>
        <v>1846197915</v>
      </c>
      <c r="O310" s="337">
        <f>+N310-K310</f>
        <v>376748915</v>
      </c>
      <c r="P310" s="338">
        <f>+N310/K310*100</f>
        <v>125.63878807634698</v>
      </c>
      <c r="Q310" s="432"/>
      <c r="R310" s="736"/>
      <c r="S310" s="737"/>
    </row>
    <row r="311" spans="1:19" s="252" customFormat="1" ht="12.05" customHeight="1">
      <c r="A311" s="706"/>
      <c r="B311" s="707"/>
      <c r="C311" s="707"/>
      <c r="D311" s="707"/>
      <c r="E311" s="707"/>
      <c r="F311" s="707"/>
      <c r="G311" s="288"/>
      <c r="H311" s="288"/>
      <c r="I311" s="288"/>
      <c r="J311" s="385"/>
      <c r="K311" s="386"/>
      <c r="L311" s="386"/>
      <c r="M311" s="386"/>
      <c r="N311" s="386"/>
      <c r="O311" s="386"/>
      <c r="P311" s="341"/>
      <c r="Q311" s="453"/>
      <c r="R311" s="738"/>
    </row>
    <row r="312" spans="1:19" s="189" customFormat="1" ht="12.05" customHeight="1">
      <c r="A312" s="293"/>
      <c r="B312" s="290">
        <v>4</v>
      </c>
      <c r="C312" s="290">
        <v>1</v>
      </c>
      <c r="D312" s="290"/>
      <c r="E312" s="290"/>
      <c r="F312" s="290"/>
      <c r="G312" s="291" t="s">
        <v>180</v>
      </c>
      <c r="H312" s="291"/>
      <c r="I312" s="291"/>
      <c r="J312" s="342">
        <f>+J314+J325</f>
        <v>601173200</v>
      </c>
      <c r="K312" s="343">
        <f>+K314+K325</f>
        <v>1469449000</v>
      </c>
      <c r="L312" s="343">
        <f>+L314+L325</f>
        <v>1787925315</v>
      </c>
      <c r="M312" s="343">
        <f>+M314+M325</f>
        <v>58272600</v>
      </c>
      <c r="N312" s="343">
        <f>+M312+L312</f>
        <v>1846197915</v>
      </c>
      <c r="O312" s="343">
        <f>N312-K312</f>
        <v>376748915</v>
      </c>
      <c r="P312" s="344">
        <f>N312/K312*100</f>
        <v>125.63878807634698</v>
      </c>
      <c r="Q312" s="437"/>
      <c r="R312" s="422"/>
    </row>
    <row r="313" spans="1:19" s="189" customFormat="1" ht="12.05" customHeight="1">
      <c r="A313" s="293"/>
      <c r="B313" s="290"/>
      <c r="C313" s="290"/>
      <c r="D313" s="290"/>
      <c r="E313" s="290"/>
      <c r="F313" s="290"/>
      <c r="G313" s="291"/>
      <c r="H313" s="291"/>
      <c r="I313" s="291"/>
      <c r="J313" s="387"/>
      <c r="K313" s="367"/>
      <c r="L313" s="367"/>
      <c r="M313" s="367"/>
      <c r="N313" s="367"/>
      <c r="O313" s="367"/>
      <c r="P313" s="347"/>
      <c r="Q313" s="454"/>
      <c r="R313" s="422"/>
    </row>
    <row r="314" spans="1:19" s="189" customFormat="1" ht="12.05" customHeight="1">
      <c r="A314" s="293"/>
      <c r="B314" s="290">
        <v>4</v>
      </c>
      <c r="C314" s="290">
        <v>1</v>
      </c>
      <c r="D314" s="290">
        <v>2</v>
      </c>
      <c r="E314" s="290"/>
      <c r="F314" s="290"/>
      <c r="G314" s="291" t="s">
        <v>106</v>
      </c>
      <c r="H314" s="291"/>
      <c r="I314" s="291"/>
      <c r="J314" s="348">
        <f>+J315+J318</f>
        <v>37942400</v>
      </c>
      <c r="K314" s="349">
        <f>+K315+K318</f>
        <v>783047000</v>
      </c>
      <c r="L314" s="349">
        <f>+L315+L318</f>
        <v>1691092590</v>
      </c>
      <c r="M314" s="349">
        <f>+M315+M318</f>
        <v>58272600</v>
      </c>
      <c r="N314" s="349">
        <f>+M314+L314</f>
        <v>1749365190</v>
      </c>
      <c r="O314" s="349">
        <f>N314-K314</f>
        <v>966318190</v>
      </c>
      <c r="P314" s="350">
        <f>N314/K314*100</f>
        <v>223.40487735729786</v>
      </c>
      <c r="Q314" s="439"/>
      <c r="R314" s="422"/>
    </row>
    <row r="315" spans="1:19" s="189" customFormat="1" ht="12.05" customHeight="1">
      <c r="A315" s="293"/>
      <c r="B315" s="292">
        <v>4</v>
      </c>
      <c r="C315" s="292">
        <v>1</v>
      </c>
      <c r="D315" s="292">
        <v>2</v>
      </c>
      <c r="E315" s="292" t="s">
        <v>440</v>
      </c>
      <c r="F315" s="292"/>
      <c r="G315" s="253" t="s">
        <v>116</v>
      </c>
      <c r="H315" s="253"/>
      <c r="I315" s="291"/>
      <c r="J315" s="411">
        <f>+J316</f>
        <v>0</v>
      </c>
      <c r="K315" s="412">
        <f>+K316</f>
        <v>700000000</v>
      </c>
      <c r="L315" s="591">
        <f>+L316</f>
        <v>1539326800</v>
      </c>
      <c r="M315" s="412">
        <f>+M316</f>
        <v>58272600</v>
      </c>
      <c r="N315" s="412">
        <f>+M315+L315</f>
        <v>1597599400</v>
      </c>
      <c r="O315" s="412">
        <f>N315-K315</f>
        <v>897599400</v>
      </c>
      <c r="P315" s="487"/>
      <c r="Q315" s="694"/>
      <c r="R315" s="422"/>
    </row>
    <row r="316" spans="1:19" s="189" customFormat="1" ht="12.05" customHeight="1">
      <c r="A316" s="293"/>
      <c r="B316" s="292">
        <v>4</v>
      </c>
      <c r="C316" s="292">
        <v>1</v>
      </c>
      <c r="D316" s="292">
        <v>2</v>
      </c>
      <c r="E316" s="292" t="s">
        <v>440</v>
      </c>
      <c r="F316" s="292"/>
      <c r="G316" s="253" t="s">
        <v>971</v>
      </c>
      <c r="H316" s="253"/>
      <c r="I316" s="253"/>
      <c r="J316" s="333"/>
      <c r="K316" s="334">
        <f>'[57]TARGET MURNI DAN PERUBAHAN'!$E$148</f>
        <v>700000000</v>
      </c>
      <c r="L316" s="356">
        <f>[62]PerDinas!$N$316</f>
        <v>1539326800</v>
      </c>
      <c r="M316" s="334">
        <f>[55]Perdinas!$E$190</f>
        <v>58272600</v>
      </c>
      <c r="N316" s="361">
        <f t="shared" ref="N316:N323" si="47">M316+L316</f>
        <v>1597599400</v>
      </c>
      <c r="O316" s="334">
        <f>N316-K316</f>
        <v>897599400</v>
      </c>
      <c r="P316" s="353">
        <f>N316/K316*100</f>
        <v>228.22848571428574</v>
      </c>
      <c r="Q316" s="430"/>
      <c r="R316" s="422"/>
    </row>
    <row r="317" spans="1:19" s="189" customFormat="1" ht="12.05" customHeight="1">
      <c r="A317" s="293"/>
      <c r="B317" s="292"/>
      <c r="C317" s="292"/>
      <c r="D317" s="292"/>
      <c r="E317" s="292"/>
      <c r="F317" s="292"/>
      <c r="G317" s="253"/>
      <c r="H317" s="253"/>
      <c r="I317" s="253"/>
      <c r="J317" s="354"/>
      <c r="K317" s="355"/>
      <c r="L317" s="360"/>
      <c r="M317" s="355"/>
      <c r="N317" s="355"/>
      <c r="O317" s="355"/>
      <c r="P317" s="388"/>
      <c r="Q317" s="441"/>
      <c r="R317" s="422"/>
    </row>
    <row r="318" spans="1:19" s="189" customFormat="1" ht="12.05" customHeight="1">
      <c r="A318" s="293"/>
      <c r="B318" s="292">
        <v>4</v>
      </c>
      <c r="C318" s="292">
        <v>1</v>
      </c>
      <c r="D318" s="292">
        <v>2</v>
      </c>
      <c r="E318" s="292" t="s">
        <v>438</v>
      </c>
      <c r="F318" s="292"/>
      <c r="G318" s="253" t="s">
        <v>374</v>
      </c>
      <c r="H318" s="253"/>
      <c r="I318" s="253"/>
      <c r="J318" s="484">
        <f>J319+J322</f>
        <v>37942400</v>
      </c>
      <c r="K318" s="485">
        <f>K319+K322</f>
        <v>83047000</v>
      </c>
      <c r="L318" s="486">
        <f>L319+L322</f>
        <v>151765790</v>
      </c>
      <c r="M318" s="485">
        <f>M319+M322</f>
        <v>0</v>
      </c>
      <c r="N318" s="485">
        <f>N319+N322</f>
        <v>151765790</v>
      </c>
      <c r="O318" s="412">
        <f t="shared" ref="O318:O323" si="48">N318-K318</f>
        <v>68718790</v>
      </c>
      <c r="P318" s="487">
        <f t="shared" ref="P318:P323" si="49">N318/K318*100</f>
        <v>182.74686623237443</v>
      </c>
      <c r="Q318" s="541"/>
      <c r="R318" s="422"/>
    </row>
    <row r="319" spans="1:19" s="189" customFormat="1" ht="12.05" customHeight="1">
      <c r="A319" s="289"/>
      <c r="B319" s="292">
        <v>4</v>
      </c>
      <c r="C319" s="292">
        <v>1</v>
      </c>
      <c r="D319" s="292">
        <v>2</v>
      </c>
      <c r="E319" s="292" t="s">
        <v>438</v>
      </c>
      <c r="F319" s="292" t="s">
        <v>437</v>
      </c>
      <c r="G319" s="253" t="s">
        <v>64</v>
      </c>
      <c r="H319" s="253"/>
      <c r="I319" s="291"/>
      <c r="J319" s="333">
        <f>J320</f>
        <v>2942400</v>
      </c>
      <c r="K319" s="334">
        <f>SUM(K320:K321)</f>
        <v>28047000</v>
      </c>
      <c r="L319" s="356">
        <f>SUM(L320:L321)</f>
        <v>52769090</v>
      </c>
      <c r="M319" s="334">
        <f>SUM(M320:M321)</f>
        <v>0</v>
      </c>
      <c r="N319" s="361">
        <f>SUM(N320:N321)</f>
        <v>52769090</v>
      </c>
      <c r="O319" s="334">
        <f t="shared" si="48"/>
        <v>24722090</v>
      </c>
      <c r="P319" s="335">
        <f t="shared" si="49"/>
        <v>188.14522052269405</v>
      </c>
      <c r="Q319" s="739"/>
      <c r="R319" s="422"/>
    </row>
    <row r="320" spans="1:19" s="189" customFormat="1" ht="12.05" customHeight="1">
      <c r="A320" s="293"/>
      <c r="B320" s="292">
        <v>4</v>
      </c>
      <c r="C320" s="292">
        <v>1</v>
      </c>
      <c r="D320" s="292">
        <v>2</v>
      </c>
      <c r="E320" s="292" t="s">
        <v>438</v>
      </c>
      <c r="F320" s="292" t="s">
        <v>437</v>
      </c>
      <c r="G320" s="253" t="s">
        <v>50</v>
      </c>
      <c r="H320" s="253"/>
      <c r="I320" s="253" t="s">
        <v>185</v>
      </c>
      <c r="J320" s="354">
        <v>2942400</v>
      </c>
      <c r="K320" s="373">
        <f>'[57]TARGET MURNI DAN PERUBAHAN'!$E$152</f>
        <v>28047000</v>
      </c>
      <c r="L320" s="360">
        <f>[62]PerDinas!$N$320</f>
        <v>30466590</v>
      </c>
      <c r="M320" s="373">
        <f>[55]Perdinas!$E$194</f>
        <v>0</v>
      </c>
      <c r="N320" s="355">
        <f t="shared" si="47"/>
        <v>30466590</v>
      </c>
      <c r="O320" s="355">
        <f t="shared" si="48"/>
        <v>2419590</v>
      </c>
      <c r="P320" s="388">
        <v>0</v>
      </c>
      <c r="Q320" s="441"/>
      <c r="R320" s="545"/>
    </row>
    <row r="321" spans="1:19" s="189" customFormat="1" ht="12.05" customHeight="1">
      <c r="A321" s="293"/>
      <c r="B321" s="292"/>
      <c r="C321" s="292"/>
      <c r="D321" s="292"/>
      <c r="E321" s="292"/>
      <c r="F321" s="292"/>
      <c r="G321" s="253" t="s">
        <v>50</v>
      </c>
      <c r="H321" s="253"/>
      <c r="I321" s="253" t="s">
        <v>1053</v>
      </c>
      <c r="J321" s="354"/>
      <c r="K321" s="355"/>
      <c r="L321" s="360">
        <f>[62]PerDinas!$N$321</f>
        <v>22302500</v>
      </c>
      <c r="M321" s="355">
        <f>[55]Perdinas!$E$195</f>
        <v>0</v>
      </c>
      <c r="N321" s="355">
        <f t="shared" si="47"/>
        <v>22302500</v>
      </c>
      <c r="O321" s="355">
        <f t="shared" si="48"/>
        <v>22302500</v>
      </c>
      <c r="P321" s="388">
        <v>0</v>
      </c>
      <c r="Q321" s="441"/>
      <c r="R321" s="5871"/>
      <c r="S321" s="5872"/>
    </row>
    <row r="322" spans="1:19" s="189" customFormat="1" ht="12.05" customHeight="1">
      <c r="A322" s="293"/>
      <c r="B322" s="292">
        <v>4</v>
      </c>
      <c r="C322" s="292">
        <v>1</v>
      </c>
      <c r="D322" s="292">
        <v>2</v>
      </c>
      <c r="E322" s="292" t="s">
        <v>438</v>
      </c>
      <c r="F322" s="292" t="s">
        <v>440</v>
      </c>
      <c r="G322" s="253" t="s">
        <v>304</v>
      </c>
      <c r="H322" s="253"/>
      <c r="I322" s="253"/>
      <c r="J322" s="526">
        <f>+J323</f>
        <v>35000000</v>
      </c>
      <c r="K322" s="527">
        <f>+K323</f>
        <v>55000000</v>
      </c>
      <c r="L322" s="670">
        <f>+L323+L324</f>
        <v>98996700</v>
      </c>
      <c r="M322" s="527">
        <f>+M323+M324</f>
        <v>0</v>
      </c>
      <c r="N322" s="527">
        <f t="shared" si="47"/>
        <v>98996700</v>
      </c>
      <c r="O322" s="527">
        <f t="shared" si="48"/>
        <v>43996700</v>
      </c>
      <c r="P322" s="671">
        <f t="shared" si="49"/>
        <v>179.994</v>
      </c>
      <c r="Q322" s="739"/>
      <c r="R322" s="5871"/>
      <c r="S322" s="5872"/>
    </row>
    <row r="323" spans="1:19" s="189" customFormat="1" ht="12.05" customHeight="1">
      <c r="A323" s="293"/>
      <c r="B323" s="292"/>
      <c r="C323" s="292"/>
      <c r="D323" s="292"/>
      <c r="E323" s="292"/>
      <c r="F323" s="292"/>
      <c r="G323" s="253" t="s">
        <v>50</v>
      </c>
      <c r="H323" s="253"/>
      <c r="I323" s="253" t="s">
        <v>972</v>
      </c>
      <c r="J323" s="389">
        <v>35000000</v>
      </c>
      <c r="K323" s="390">
        <f>'[57]TARGET MURNI DAN PERUBAHAN'!$E$155</f>
        <v>55000000</v>
      </c>
      <c r="L323" s="391">
        <f>[62]PerDinas!$N$323</f>
        <v>98996700</v>
      </c>
      <c r="M323" s="390">
        <f>[55]Perdinas!$E$198</f>
        <v>0</v>
      </c>
      <c r="N323" s="415">
        <f t="shared" si="47"/>
        <v>98996700</v>
      </c>
      <c r="O323" s="357">
        <f t="shared" si="48"/>
        <v>43996700</v>
      </c>
      <c r="P323" s="358">
        <f t="shared" si="49"/>
        <v>179.994</v>
      </c>
      <c r="Q323" s="442"/>
      <c r="R323" s="5871"/>
      <c r="S323" s="5872"/>
    </row>
    <row r="324" spans="1:19" s="189" customFormat="1" ht="12.05" customHeight="1">
      <c r="A324" s="293"/>
      <c r="B324" s="292"/>
      <c r="C324" s="292"/>
      <c r="D324" s="292"/>
      <c r="E324" s="292"/>
      <c r="F324" s="292"/>
      <c r="G324" s="253"/>
      <c r="H324" s="253"/>
      <c r="I324" s="253"/>
      <c r="J324" s="354"/>
      <c r="K324" s="355"/>
      <c r="L324" s="360">
        <v>0</v>
      </c>
      <c r="M324" s="355">
        <v>0</v>
      </c>
      <c r="N324" s="355">
        <f>+M324+L324</f>
        <v>0</v>
      </c>
      <c r="O324" s="355"/>
      <c r="P324" s="388"/>
      <c r="Q324" s="441"/>
      <c r="R324" s="5871"/>
      <c r="S324" s="5872"/>
    </row>
    <row r="325" spans="1:19" s="189" customFormat="1" ht="12.05" customHeight="1">
      <c r="A325" s="293"/>
      <c r="B325" s="290">
        <v>4</v>
      </c>
      <c r="C325" s="290">
        <v>1</v>
      </c>
      <c r="D325" s="290">
        <v>4</v>
      </c>
      <c r="E325" s="290"/>
      <c r="F325" s="290"/>
      <c r="G325" s="291" t="s">
        <v>71</v>
      </c>
      <c r="H325" s="291"/>
      <c r="I325" s="291"/>
      <c r="J325" s="392">
        <f>J326+J331</f>
        <v>563230800</v>
      </c>
      <c r="K325" s="393">
        <f>K326+K331+K337</f>
        <v>686402000</v>
      </c>
      <c r="L325" s="393">
        <f>L326+L331+L337</f>
        <v>96832725</v>
      </c>
      <c r="M325" s="393">
        <f>M326+M331+M337</f>
        <v>0</v>
      </c>
      <c r="N325" s="364">
        <f>M325+L325</f>
        <v>96832725</v>
      </c>
      <c r="O325" s="395">
        <f>N325-K325</f>
        <v>-589569275</v>
      </c>
      <c r="P325" s="590">
        <f>N325/K325*100</f>
        <v>14.107290625610064</v>
      </c>
      <c r="Q325" s="444"/>
      <c r="R325" s="5871"/>
      <c r="S325" s="5872"/>
    </row>
    <row r="326" spans="1:19" s="189" customFormat="1" ht="12.05" customHeight="1">
      <c r="A326" s="293"/>
      <c r="B326" s="292">
        <v>4</v>
      </c>
      <c r="C326" s="292">
        <v>1</v>
      </c>
      <c r="D326" s="292">
        <v>4</v>
      </c>
      <c r="E326" s="292" t="s">
        <v>444</v>
      </c>
      <c r="F326" s="292"/>
      <c r="G326" s="253" t="s">
        <v>222</v>
      </c>
      <c r="H326" s="253"/>
      <c r="I326" s="253"/>
      <c r="J326" s="680">
        <f>SUM(J327:J329)</f>
        <v>0</v>
      </c>
      <c r="K326" s="681">
        <f>SUM(K327:K329)</f>
        <v>0</v>
      </c>
      <c r="L326" s="682">
        <f>SUM(L327:L329)</f>
        <v>7384300</v>
      </c>
      <c r="M326" s="512">
        <f>SUM(M327:M329)</f>
        <v>0</v>
      </c>
      <c r="N326" s="512">
        <f>SUM(N327:N329)</f>
        <v>7384300</v>
      </c>
      <c r="O326" s="412">
        <f>N326-K326</f>
        <v>7384300</v>
      </c>
      <c r="P326" s="487">
        <v>0</v>
      </c>
      <c r="Q326" s="698"/>
      <c r="R326" s="422"/>
    </row>
    <row r="327" spans="1:19" s="189" customFormat="1" ht="12.05" customHeight="1">
      <c r="A327" s="289"/>
      <c r="B327" s="292">
        <v>4</v>
      </c>
      <c r="C327" s="292">
        <v>1</v>
      </c>
      <c r="D327" s="292">
        <v>4</v>
      </c>
      <c r="E327" s="292" t="s">
        <v>441</v>
      </c>
      <c r="F327" s="292" t="s">
        <v>437</v>
      </c>
      <c r="G327" s="253" t="s">
        <v>72</v>
      </c>
      <c r="H327" s="253"/>
      <c r="I327" s="253"/>
      <c r="J327" s="389">
        <v>0</v>
      </c>
      <c r="K327" s="357">
        <v>0</v>
      </c>
      <c r="L327" s="391">
        <v>0</v>
      </c>
      <c r="M327" s="357">
        <f>[55]Perdinas!$E$201</f>
        <v>0</v>
      </c>
      <c r="N327" s="357">
        <f>M327+L327</f>
        <v>0</v>
      </c>
      <c r="O327" s="357">
        <f>N327-K327</f>
        <v>0</v>
      </c>
      <c r="P327" s="358"/>
      <c r="Q327" s="442"/>
      <c r="R327" s="422"/>
    </row>
    <row r="328" spans="1:19" s="189" customFormat="1" ht="12.05" customHeight="1">
      <c r="A328" s="289"/>
      <c r="B328" s="292">
        <v>4</v>
      </c>
      <c r="C328" s="292">
        <v>1</v>
      </c>
      <c r="D328" s="292">
        <v>4</v>
      </c>
      <c r="E328" s="292" t="s">
        <v>444</v>
      </c>
      <c r="F328" s="292" t="s">
        <v>445</v>
      </c>
      <c r="G328" s="253" t="s">
        <v>74</v>
      </c>
      <c r="H328" s="253"/>
      <c r="I328" s="253"/>
      <c r="J328" s="354">
        <v>0</v>
      </c>
      <c r="K328" s="355">
        <v>0</v>
      </c>
      <c r="L328" s="360">
        <f>[62]PerDinas!$N$328</f>
        <v>0</v>
      </c>
      <c r="M328" s="355">
        <f>[55]Perdinas!$E$203</f>
        <v>0</v>
      </c>
      <c r="N328" s="355">
        <f>M328+L328</f>
        <v>0</v>
      </c>
      <c r="O328" s="355">
        <f>N328-K328</f>
        <v>0</v>
      </c>
      <c r="P328" s="388"/>
      <c r="Q328" s="441"/>
      <c r="R328" s="422"/>
    </row>
    <row r="329" spans="1:19" s="189" customFormat="1" ht="12.05" customHeight="1">
      <c r="A329" s="293"/>
      <c r="B329" s="292">
        <v>4</v>
      </c>
      <c r="C329" s="292">
        <v>1</v>
      </c>
      <c r="D329" s="292">
        <v>4</v>
      </c>
      <c r="E329" s="292" t="s">
        <v>444</v>
      </c>
      <c r="F329" s="292" t="s">
        <v>441</v>
      </c>
      <c r="G329" s="253" t="s">
        <v>75</v>
      </c>
      <c r="H329" s="253"/>
      <c r="I329" s="253"/>
      <c r="J329" s="374">
        <v>0</v>
      </c>
      <c r="K329" s="376">
        <f>'[57]TARGET MURNI DAN PERUBAHAN'!$E$158</f>
        <v>0</v>
      </c>
      <c r="L329" s="377">
        <f>[62]PerDinas!$N$329</f>
        <v>7384300</v>
      </c>
      <c r="M329" s="376">
        <f>[55]Perdinas!$E$204</f>
        <v>0</v>
      </c>
      <c r="N329" s="369">
        <f>M329+L329</f>
        <v>7384300</v>
      </c>
      <c r="O329" s="355">
        <f>N329-K329</f>
        <v>7384300</v>
      </c>
      <c r="P329" s="388"/>
      <c r="Q329" s="448"/>
      <c r="R329" s="422"/>
    </row>
    <row r="330" spans="1:19" s="189" customFormat="1" ht="12.05" customHeight="1">
      <c r="A330" s="293"/>
      <c r="B330" s="292"/>
      <c r="C330" s="292"/>
      <c r="D330" s="292"/>
      <c r="E330" s="292"/>
      <c r="F330" s="292"/>
      <c r="G330" s="253"/>
      <c r="H330" s="253"/>
      <c r="I330" s="253"/>
      <c r="J330" s="374"/>
      <c r="K330" s="375"/>
      <c r="L330" s="377"/>
      <c r="M330" s="375"/>
      <c r="N330" s="355"/>
      <c r="O330" s="355"/>
      <c r="P330" s="388"/>
      <c r="Q330" s="448"/>
      <c r="R330" s="422"/>
    </row>
    <row r="331" spans="1:19" s="189" customFormat="1" ht="12.05" customHeight="1">
      <c r="A331" s="293"/>
      <c r="B331" s="292">
        <v>4</v>
      </c>
      <c r="C331" s="292">
        <v>1</v>
      </c>
      <c r="D331" s="292">
        <v>4</v>
      </c>
      <c r="E331" s="292" t="s">
        <v>948</v>
      </c>
      <c r="F331" s="292"/>
      <c r="G331" s="253" t="s">
        <v>321</v>
      </c>
      <c r="H331" s="253"/>
      <c r="I331" s="253"/>
      <c r="J331" s="746">
        <f>+J332</f>
        <v>563230800</v>
      </c>
      <c r="K331" s="676">
        <f>+K332</f>
        <v>271852000</v>
      </c>
      <c r="L331" s="675">
        <f>+L332</f>
        <v>89448425</v>
      </c>
      <c r="M331" s="676">
        <f>+M332</f>
        <v>0</v>
      </c>
      <c r="N331" s="492">
        <f>+N332</f>
        <v>89448425</v>
      </c>
      <c r="O331" s="492">
        <f t="shared" ref="O331:O337" si="50">N331-K331</f>
        <v>-182403575</v>
      </c>
      <c r="P331" s="487">
        <f t="shared" ref="P331:P337" si="51">N331/K331*100</f>
        <v>32.903353663022529</v>
      </c>
      <c r="Q331" s="541"/>
      <c r="R331" s="422"/>
    </row>
    <row r="332" spans="1:19" s="189" customFormat="1" ht="12.05" customHeight="1">
      <c r="A332" s="293"/>
      <c r="B332" s="292">
        <v>4</v>
      </c>
      <c r="C332" s="292">
        <v>1</v>
      </c>
      <c r="D332" s="292">
        <v>4</v>
      </c>
      <c r="E332" s="292" t="s">
        <v>948</v>
      </c>
      <c r="F332" s="292" t="s">
        <v>437</v>
      </c>
      <c r="G332" s="253" t="s">
        <v>85</v>
      </c>
      <c r="H332" s="253"/>
      <c r="I332" s="253"/>
      <c r="J332" s="333">
        <f t="shared" ref="J332:O332" si="52">SUM(J333:J336)</f>
        <v>563230800</v>
      </c>
      <c r="K332" s="334">
        <f t="shared" si="52"/>
        <v>271852000</v>
      </c>
      <c r="L332" s="356">
        <f>SUM(L333:L336)</f>
        <v>89448425</v>
      </c>
      <c r="M332" s="334">
        <f>SUM(M333:M336)</f>
        <v>0</v>
      </c>
      <c r="N332" s="361">
        <f t="shared" si="52"/>
        <v>89448425</v>
      </c>
      <c r="O332" s="334">
        <f t="shared" si="52"/>
        <v>-182403575</v>
      </c>
      <c r="P332" s="335">
        <f t="shared" si="51"/>
        <v>32.903353663022529</v>
      </c>
      <c r="Q332" s="430"/>
      <c r="R332" s="545"/>
    </row>
    <row r="333" spans="1:19" s="189" customFormat="1" ht="12.05" customHeight="1">
      <c r="A333" s="293"/>
      <c r="B333" s="292"/>
      <c r="C333" s="292"/>
      <c r="D333" s="292"/>
      <c r="E333" s="292"/>
      <c r="F333" s="292"/>
      <c r="G333" s="253" t="s">
        <v>50</v>
      </c>
      <c r="H333" s="253"/>
      <c r="I333" s="747" t="s">
        <v>274</v>
      </c>
      <c r="J333" s="354">
        <v>15780000</v>
      </c>
      <c r="K333" s="373">
        <f>'[57]TARGET MURNI DAN PERUBAHAN'!$E$159</f>
        <v>26880000</v>
      </c>
      <c r="L333" s="360">
        <f>[62]PerDinas!$N$333</f>
        <v>23863675</v>
      </c>
      <c r="M333" s="373">
        <f>[55]Perdinas!$E$205</f>
        <v>0</v>
      </c>
      <c r="N333" s="355">
        <f t="shared" ref="N333:N338" si="53">M333+L333</f>
        <v>23863675</v>
      </c>
      <c r="O333" s="355">
        <f t="shared" si="50"/>
        <v>-3016325</v>
      </c>
      <c r="P333" s="353">
        <f t="shared" si="51"/>
        <v>88.778552827380949</v>
      </c>
      <c r="Q333" s="441"/>
      <c r="R333" s="422"/>
    </row>
    <row r="334" spans="1:19" s="189" customFormat="1" ht="12.05" customHeight="1">
      <c r="A334" s="293"/>
      <c r="B334" s="292"/>
      <c r="C334" s="292"/>
      <c r="D334" s="292"/>
      <c r="E334" s="292"/>
      <c r="F334" s="292"/>
      <c r="G334" s="253" t="s">
        <v>50</v>
      </c>
      <c r="H334" s="253"/>
      <c r="I334" s="747" t="s">
        <v>145</v>
      </c>
      <c r="J334" s="748">
        <v>242580800</v>
      </c>
      <c r="K334" s="373">
        <f>'[57]TARGET MURNI DAN PERUBAHAN'!$E$160</f>
        <v>57136000</v>
      </c>
      <c r="L334" s="360">
        <f>[62]PerDinas!$N$334</f>
        <v>60896000</v>
      </c>
      <c r="M334" s="373">
        <f>[55]Perdinas!$E$206</f>
        <v>0</v>
      </c>
      <c r="N334" s="355">
        <f t="shared" si="53"/>
        <v>60896000</v>
      </c>
      <c r="O334" s="355">
        <f t="shared" si="50"/>
        <v>3760000</v>
      </c>
      <c r="P334" s="353">
        <f t="shared" si="51"/>
        <v>106.58078969476337</v>
      </c>
      <c r="Q334" s="441"/>
      <c r="R334" s="422"/>
    </row>
    <row r="335" spans="1:19" s="189" customFormat="1" ht="12.05" customHeight="1">
      <c r="A335" s="293"/>
      <c r="B335" s="292"/>
      <c r="C335" s="292"/>
      <c r="D335" s="292"/>
      <c r="E335" s="292"/>
      <c r="F335" s="292"/>
      <c r="G335" s="253" t="s">
        <v>50</v>
      </c>
      <c r="H335" s="253"/>
      <c r="I335" s="747" t="s">
        <v>973</v>
      </c>
      <c r="J335" s="354">
        <v>25000000</v>
      </c>
      <c r="K335" s="373">
        <f>'[57]TARGET MURNI DAN PERUBAHAN'!$E$161</f>
        <v>24760000</v>
      </c>
      <c r="L335" s="360">
        <f>[62]PerDinas!$N$335</f>
        <v>4688750</v>
      </c>
      <c r="M335" s="373">
        <f>[55]Perdinas!$E$207</f>
        <v>0</v>
      </c>
      <c r="N335" s="355">
        <f t="shared" si="53"/>
        <v>4688750</v>
      </c>
      <c r="O335" s="355">
        <f t="shared" si="50"/>
        <v>-20071250</v>
      </c>
      <c r="P335" s="353">
        <f t="shared" si="51"/>
        <v>18.936793214862682</v>
      </c>
      <c r="Q335" s="441"/>
      <c r="R335" s="422"/>
    </row>
    <row r="336" spans="1:19" s="245" customFormat="1" ht="12.05" customHeight="1">
      <c r="A336" s="465"/>
      <c r="B336" s="296"/>
      <c r="C336" s="296"/>
      <c r="D336" s="296"/>
      <c r="E336" s="296"/>
      <c r="F336" s="296"/>
      <c r="G336" s="297" t="s">
        <v>50</v>
      </c>
      <c r="H336" s="297"/>
      <c r="I336" s="747" t="s">
        <v>974</v>
      </c>
      <c r="J336" s="351">
        <v>279870000</v>
      </c>
      <c r="K336" s="373">
        <f>'[57]TARGET MURNI DAN PERUBAHAN'!$E$162</f>
        <v>163076000</v>
      </c>
      <c r="L336" s="360">
        <f>[62]PerDinas!$N$336</f>
        <v>0</v>
      </c>
      <c r="M336" s="373">
        <f>[55]Perdinas!$E$208</f>
        <v>0</v>
      </c>
      <c r="N336" s="352">
        <f t="shared" si="53"/>
        <v>0</v>
      </c>
      <c r="O336" s="352">
        <f t="shared" si="50"/>
        <v>-163076000</v>
      </c>
      <c r="P336" s="353">
        <f t="shared" si="51"/>
        <v>0</v>
      </c>
      <c r="Q336" s="440"/>
      <c r="R336" s="450"/>
    </row>
    <row r="337" spans="1:19" s="189" customFormat="1" ht="15.05">
      <c r="A337" s="740"/>
      <c r="B337" s="741"/>
      <c r="C337" s="741"/>
      <c r="D337" s="741"/>
      <c r="E337" s="741"/>
      <c r="F337" s="741"/>
      <c r="G337" s="297" t="s">
        <v>50</v>
      </c>
      <c r="H337" s="742"/>
      <c r="I337" s="749" t="s">
        <v>747</v>
      </c>
      <c r="J337" s="750"/>
      <c r="K337" s="751">
        <f>'[57]TARGET MURNI DAN PERUBAHAN'!$E$163</f>
        <v>414550000</v>
      </c>
      <c r="L337" s="752">
        <v>0</v>
      </c>
      <c r="M337" s="751">
        <f>[55]Perdinas!$E$209</f>
        <v>0</v>
      </c>
      <c r="N337" s="352">
        <f t="shared" si="53"/>
        <v>0</v>
      </c>
      <c r="O337" s="352">
        <f t="shared" si="50"/>
        <v>-414550000</v>
      </c>
      <c r="P337" s="353">
        <f t="shared" si="51"/>
        <v>0</v>
      </c>
      <c r="Q337" s="780"/>
      <c r="R337" s="422"/>
    </row>
    <row r="338" spans="1:19" s="189" customFormat="1" ht="12.05" customHeight="1">
      <c r="A338" s="567" t="s">
        <v>148</v>
      </c>
      <c r="B338" s="743" t="s">
        <v>58</v>
      </c>
      <c r="C338" s="743" t="s">
        <v>447</v>
      </c>
      <c r="D338" s="743" t="s">
        <v>437</v>
      </c>
      <c r="E338" s="743"/>
      <c r="F338" s="743"/>
      <c r="G338" s="744" t="s">
        <v>142</v>
      </c>
      <c r="H338" s="744"/>
      <c r="I338" s="744"/>
      <c r="J338" s="753">
        <f>+J340</f>
        <v>456900000</v>
      </c>
      <c r="K338" s="754">
        <f>+K340</f>
        <v>2177122304</v>
      </c>
      <c r="L338" s="755">
        <f>+L340</f>
        <v>583497120</v>
      </c>
      <c r="M338" s="754">
        <f>+M340</f>
        <v>1000000</v>
      </c>
      <c r="N338" s="754">
        <f t="shared" si="53"/>
        <v>584497120</v>
      </c>
      <c r="O338" s="754">
        <f>+N338-K338</f>
        <v>-1592625184</v>
      </c>
      <c r="P338" s="756">
        <f>+N338/K338*100</f>
        <v>26.847234026591458</v>
      </c>
      <c r="Q338" s="781"/>
      <c r="R338" s="422"/>
    </row>
    <row r="339" spans="1:19" s="189" customFormat="1" ht="12.05" customHeight="1">
      <c r="A339" s="706"/>
      <c r="B339" s="707"/>
      <c r="C339" s="707"/>
      <c r="D339" s="707"/>
      <c r="E339" s="707"/>
      <c r="F339" s="707"/>
      <c r="G339" s="288"/>
      <c r="H339" s="288"/>
      <c r="I339" s="288"/>
      <c r="J339" s="342"/>
      <c r="K339" s="343"/>
      <c r="L339" s="343"/>
      <c r="M339" s="343"/>
      <c r="N339" s="343"/>
      <c r="O339" s="343"/>
      <c r="P339" s="344"/>
      <c r="Q339" s="437"/>
      <c r="R339" s="422"/>
    </row>
    <row r="340" spans="1:19" s="189" customFormat="1" ht="12.05" customHeight="1">
      <c r="A340" s="293"/>
      <c r="B340" s="290">
        <v>4</v>
      </c>
      <c r="C340" s="290">
        <v>1</v>
      </c>
      <c r="D340" s="290"/>
      <c r="E340" s="290"/>
      <c r="F340" s="290"/>
      <c r="G340" s="291" t="s">
        <v>180</v>
      </c>
      <c r="H340" s="291"/>
      <c r="I340" s="291"/>
      <c r="J340" s="757">
        <f>+J342+J350</f>
        <v>456900000</v>
      </c>
      <c r="K340" s="758">
        <f>+K342+K350</f>
        <v>2177122304</v>
      </c>
      <c r="L340" s="758">
        <f>+L342+L350</f>
        <v>583497120</v>
      </c>
      <c r="M340" s="758">
        <f>+M342+M350</f>
        <v>1000000</v>
      </c>
      <c r="N340" s="758">
        <f>+M340+L340</f>
        <v>584497120</v>
      </c>
      <c r="O340" s="758">
        <f t="shared" ref="O340:O345" si="54">N340-K340</f>
        <v>-1592625184</v>
      </c>
      <c r="P340" s="690">
        <f t="shared" ref="P340:P345" si="55">N340/K340*100</f>
        <v>26.847234026591458</v>
      </c>
      <c r="Q340" s="782"/>
      <c r="R340" s="422"/>
    </row>
    <row r="341" spans="1:19" s="189" customFormat="1" ht="12.05" customHeight="1">
      <c r="A341" s="293"/>
      <c r="B341" s="290"/>
      <c r="C341" s="290"/>
      <c r="D341" s="290"/>
      <c r="E341" s="290"/>
      <c r="F341" s="290"/>
      <c r="G341" s="291"/>
      <c r="H341" s="291"/>
      <c r="I341" s="291"/>
      <c r="J341" s="387"/>
      <c r="K341" s="367"/>
      <c r="L341" s="367"/>
      <c r="M341" s="367"/>
      <c r="N341" s="367"/>
      <c r="O341" s="367"/>
      <c r="P341" s="347"/>
      <c r="Q341" s="454"/>
      <c r="R341" s="422"/>
    </row>
    <row r="342" spans="1:19" s="189" customFormat="1" ht="12.05" customHeight="1">
      <c r="A342" s="293"/>
      <c r="B342" s="290">
        <v>4</v>
      </c>
      <c r="C342" s="290">
        <v>1</v>
      </c>
      <c r="D342" s="290">
        <v>2</v>
      </c>
      <c r="E342" s="290"/>
      <c r="F342" s="290"/>
      <c r="G342" s="291" t="s">
        <v>106</v>
      </c>
      <c r="H342" s="291"/>
      <c r="I342" s="291"/>
      <c r="J342" s="759">
        <f>+J343</f>
        <v>78400000</v>
      </c>
      <c r="K342" s="760">
        <f>+K343</f>
        <v>501125000</v>
      </c>
      <c r="L342" s="760">
        <f>+L343</f>
        <v>365400000</v>
      </c>
      <c r="M342" s="760">
        <f>+M343</f>
        <v>1000000</v>
      </c>
      <c r="N342" s="760">
        <f>+M342+L342</f>
        <v>366400000</v>
      </c>
      <c r="O342" s="760">
        <f t="shared" si="54"/>
        <v>-134725000</v>
      </c>
      <c r="P342" s="761">
        <f t="shared" si="55"/>
        <v>73.11549014716887</v>
      </c>
      <c r="Q342" s="783"/>
      <c r="R342" s="422"/>
    </row>
    <row r="343" spans="1:19" s="189" customFormat="1" ht="12.05" customHeight="1">
      <c r="A343" s="293"/>
      <c r="B343" s="292">
        <v>4</v>
      </c>
      <c r="C343" s="292">
        <v>1</v>
      </c>
      <c r="D343" s="292">
        <v>2</v>
      </c>
      <c r="E343" s="292" t="s">
        <v>438</v>
      </c>
      <c r="F343" s="292"/>
      <c r="G343" s="253" t="s">
        <v>374</v>
      </c>
      <c r="H343" s="253"/>
      <c r="I343" s="253"/>
      <c r="J343" s="484">
        <f>+J347+J344</f>
        <v>78400000</v>
      </c>
      <c r="K343" s="485">
        <f>+K347+K344</f>
        <v>501125000</v>
      </c>
      <c r="L343" s="486">
        <f>+L347+L344</f>
        <v>365400000</v>
      </c>
      <c r="M343" s="485">
        <f>+M347+M344</f>
        <v>1000000</v>
      </c>
      <c r="N343" s="485">
        <f>+N347+N344</f>
        <v>366400000</v>
      </c>
      <c r="O343" s="412">
        <f t="shared" si="54"/>
        <v>-134725000</v>
      </c>
      <c r="P343" s="487">
        <f t="shared" si="55"/>
        <v>73.11549014716887</v>
      </c>
      <c r="Q343" s="541"/>
      <c r="R343" s="422"/>
    </row>
    <row r="344" spans="1:19" s="189" customFormat="1" ht="12.05" customHeight="1">
      <c r="A344" s="289"/>
      <c r="B344" s="292">
        <v>4</v>
      </c>
      <c r="C344" s="292">
        <v>1</v>
      </c>
      <c r="D344" s="292">
        <v>2</v>
      </c>
      <c r="E344" s="292" t="s">
        <v>438</v>
      </c>
      <c r="F344" s="292" t="s">
        <v>437</v>
      </c>
      <c r="G344" s="253" t="s">
        <v>64</v>
      </c>
      <c r="H344" s="253"/>
      <c r="I344" s="291"/>
      <c r="J344" s="627">
        <f>+J345</f>
        <v>10000000</v>
      </c>
      <c r="K344" s="396">
        <f>+K345</f>
        <v>152500000</v>
      </c>
      <c r="L344" s="721">
        <f>+L345</f>
        <v>44640000</v>
      </c>
      <c r="M344" s="396">
        <f>+M345</f>
        <v>1000000</v>
      </c>
      <c r="N344" s="334">
        <f>M344+L344</f>
        <v>45640000</v>
      </c>
      <c r="O344" s="334">
        <f t="shared" si="54"/>
        <v>-106860000</v>
      </c>
      <c r="P344" s="335">
        <f t="shared" si="55"/>
        <v>29.927868852459017</v>
      </c>
      <c r="Q344" s="642"/>
      <c r="R344" s="422"/>
    </row>
    <row r="345" spans="1:19" s="189" customFormat="1" ht="12.05" customHeight="1">
      <c r="A345" s="293"/>
      <c r="B345" s="292"/>
      <c r="C345" s="292"/>
      <c r="D345" s="292"/>
      <c r="E345" s="292"/>
      <c r="F345" s="292"/>
      <c r="G345" s="253" t="s">
        <v>50</v>
      </c>
      <c r="H345" s="253"/>
      <c r="I345" s="253" t="s">
        <v>143</v>
      </c>
      <c r="J345" s="354">
        <v>10000000</v>
      </c>
      <c r="K345" s="762">
        <f>'[57]TARGET MURNI DAN PERUBAHAN'!$E$167</f>
        <v>152500000</v>
      </c>
      <c r="L345" s="660">
        <f>[62]PerDinas!$N$345</f>
        <v>44640000</v>
      </c>
      <c r="M345" s="762">
        <f>[55]Perdinas!$E$213</f>
        <v>1000000</v>
      </c>
      <c r="N345" s="369">
        <f>M345+L345</f>
        <v>45640000</v>
      </c>
      <c r="O345" s="355">
        <f t="shared" si="54"/>
        <v>-106860000</v>
      </c>
      <c r="P345" s="388">
        <f t="shared" si="55"/>
        <v>29.927868852459017</v>
      </c>
      <c r="Q345" s="784"/>
      <c r="R345" s="545"/>
    </row>
    <row r="346" spans="1:19" s="189" customFormat="1" ht="12.05" customHeight="1">
      <c r="A346" s="293"/>
      <c r="B346" s="292"/>
      <c r="C346" s="292"/>
      <c r="D346" s="292"/>
      <c r="E346" s="292"/>
      <c r="F346" s="292"/>
      <c r="G346" s="253"/>
      <c r="H346" s="253"/>
      <c r="I346" s="253"/>
      <c r="J346" s="354"/>
      <c r="K346" s="355"/>
      <c r="L346" s="360"/>
      <c r="M346" s="355"/>
      <c r="N346" s="355"/>
      <c r="O346" s="355"/>
      <c r="P346" s="388"/>
      <c r="Q346" s="441"/>
      <c r="R346" s="422"/>
    </row>
    <row r="347" spans="1:19" s="189" customFormat="1" ht="12.05" customHeight="1">
      <c r="A347" s="293"/>
      <c r="B347" s="292">
        <v>4</v>
      </c>
      <c r="C347" s="292">
        <v>1</v>
      </c>
      <c r="D347" s="292">
        <v>2</v>
      </c>
      <c r="E347" s="292" t="s">
        <v>438</v>
      </c>
      <c r="F347" s="292" t="s">
        <v>440</v>
      </c>
      <c r="G347" s="253" t="s">
        <v>304</v>
      </c>
      <c r="H347" s="253"/>
      <c r="I347" s="291"/>
      <c r="J347" s="763">
        <f>+J348</f>
        <v>68400000</v>
      </c>
      <c r="K347" s="529">
        <f>+K348</f>
        <v>348625000</v>
      </c>
      <c r="L347" s="764">
        <f>+L348</f>
        <v>320760000</v>
      </c>
      <c r="M347" s="529">
        <f>M348</f>
        <v>0</v>
      </c>
      <c r="N347" s="527">
        <f>M347+L347</f>
        <v>320760000</v>
      </c>
      <c r="O347" s="527">
        <f t="shared" ref="O347:O355" si="56">N347-K347</f>
        <v>-27865000</v>
      </c>
      <c r="P347" s="671">
        <f>N347/K347*100</f>
        <v>92.007171029042667</v>
      </c>
      <c r="Q347" s="785"/>
      <c r="R347" s="422"/>
    </row>
    <row r="348" spans="1:19" s="189" customFormat="1" ht="12.05" customHeight="1">
      <c r="A348" s="293"/>
      <c r="B348" s="292"/>
      <c r="C348" s="292"/>
      <c r="D348" s="292"/>
      <c r="E348" s="292"/>
      <c r="F348" s="292"/>
      <c r="G348" s="253" t="s">
        <v>50</v>
      </c>
      <c r="H348" s="253"/>
      <c r="I348" s="253" t="s">
        <v>144</v>
      </c>
      <c r="J348" s="389">
        <v>68400000</v>
      </c>
      <c r="K348" s="390">
        <f>'[57]TARGET MURNI DAN PERUBAHAN'!$E$170</f>
        <v>348625000</v>
      </c>
      <c r="L348" s="391">
        <f>[62]PerDinas!$N$348</f>
        <v>320760000</v>
      </c>
      <c r="M348" s="390">
        <f>[55]Perdinas!$E$216</f>
        <v>0</v>
      </c>
      <c r="N348" s="415">
        <f>M348+L348</f>
        <v>320760000</v>
      </c>
      <c r="O348" s="357">
        <f t="shared" si="56"/>
        <v>-27865000</v>
      </c>
      <c r="P348" s="358">
        <f>N348/K348*100</f>
        <v>92.007171029042667</v>
      </c>
      <c r="Q348" s="642"/>
      <c r="R348" s="545"/>
      <c r="S348" s="786"/>
    </row>
    <row r="349" spans="1:19" s="189" customFormat="1" ht="12.05" customHeight="1">
      <c r="A349" s="293"/>
      <c r="B349" s="292"/>
      <c r="C349" s="292"/>
      <c r="D349" s="292"/>
      <c r="E349" s="292"/>
      <c r="F349" s="292"/>
      <c r="G349" s="253"/>
      <c r="H349" s="253"/>
      <c r="I349" s="253"/>
      <c r="J349" s="354"/>
      <c r="K349" s="355"/>
      <c r="L349" s="360"/>
      <c r="M349" s="355"/>
      <c r="N349" s="355"/>
      <c r="O349" s="355"/>
      <c r="P349" s="388"/>
      <c r="Q349" s="441"/>
      <c r="R349" s="422"/>
      <c r="S349" s="786"/>
    </row>
    <row r="350" spans="1:19" s="189" customFormat="1" ht="12.05" customHeight="1">
      <c r="A350" s="293"/>
      <c r="B350" s="290">
        <v>4</v>
      </c>
      <c r="C350" s="290">
        <v>1</v>
      </c>
      <c r="D350" s="290">
        <v>4</v>
      </c>
      <c r="E350" s="290"/>
      <c r="F350" s="290"/>
      <c r="G350" s="291" t="s">
        <v>71</v>
      </c>
      <c r="H350" s="291"/>
      <c r="I350" s="291"/>
      <c r="J350" s="392">
        <f>J351+J356</f>
        <v>378500000</v>
      </c>
      <c r="K350" s="393">
        <f>K351+K356</f>
        <v>1675997304</v>
      </c>
      <c r="L350" s="394">
        <f>L351+L355+L356</f>
        <v>218097120</v>
      </c>
      <c r="M350" s="393">
        <f>SUM(M356,M355,M351)</f>
        <v>0</v>
      </c>
      <c r="N350" s="393">
        <f>SUM(N357,N355,N354)</f>
        <v>218097120</v>
      </c>
      <c r="O350" s="393">
        <f>SUM(O357,O355,O354)</f>
        <v>-1457900184</v>
      </c>
      <c r="P350" s="765">
        <f>N350/K350*100</f>
        <v>13.012975586504883</v>
      </c>
      <c r="Q350" s="444"/>
      <c r="R350" s="422"/>
    </row>
    <row r="351" spans="1:19" s="189" customFormat="1" ht="12.05" customHeight="1">
      <c r="A351" s="293"/>
      <c r="B351" s="292">
        <v>4</v>
      </c>
      <c r="C351" s="292">
        <v>1</v>
      </c>
      <c r="D351" s="292">
        <v>4</v>
      </c>
      <c r="E351" s="292" t="s">
        <v>444</v>
      </c>
      <c r="F351" s="292"/>
      <c r="G351" s="253" t="s">
        <v>222</v>
      </c>
      <c r="H351" s="253"/>
      <c r="I351" s="253"/>
      <c r="J351" s="680">
        <v>0</v>
      </c>
      <c r="K351" s="681">
        <v>0</v>
      </c>
      <c r="L351" s="682">
        <f>SUM(L352:L354)</f>
        <v>8407800</v>
      </c>
      <c r="M351" s="681">
        <f>SUM(M352:M354)</f>
        <v>0</v>
      </c>
      <c r="N351" s="529">
        <f>+M351+L351</f>
        <v>8407800</v>
      </c>
      <c r="O351" s="529">
        <f t="shared" si="56"/>
        <v>8407800</v>
      </c>
      <c r="P351" s="478">
        <v>0</v>
      </c>
      <c r="Q351" s="698"/>
      <c r="R351" s="422"/>
    </row>
    <row r="352" spans="1:19" s="189" customFormat="1" ht="12.05" customHeight="1">
      <c r="A352" s="295"/>
      <c r="B352" s="296">
        <v>4</v>
      </c>
      <c r="C352" s="296">
        <v>1</v>
      </c>
      <c r="D352" s="296">
        <v>4</v>
      </c>
      <c r="E352" s="296" t="s">
        <v>444</v>
      </c>
      <c r="F352" s="296" t="s">
        <v>440</v>
      </c>
      <c r="G352" s="297" t="s">
        <v>73</v>
      </c>
      <c r="H352" s="297"/>
      <c r="I352" s="297"/>
      <c r="J352" s="628">
        <v>0</v>
      </c>
      <c r="K352" s="497">
        <v>0</v>
      </c>
      <c r="L352" s="522">
        <v>0</v>
      </c>
      <c r="M352" s="497">
        <f>[55]Perdinas!$E$220</f>
        <v>0</v>
      </c>
      <c r="N352" s="497">
        <f>M352+L352</f>
        <v>0</v>
      </c>
      <c r="O352" s="497">
        <f t="shared" si="56"/>
        <v>0</v>
      </c>
      <c r="P352" s="498"/>
      <c r="Q352" s="787"/>
      <c r="R352" s="422"/>
    </row>
    <row r="353" spans="1:18" s="189" customFormat="1" ht="12.05" customHeight="1">
      <c r="A353" s="286"/>
      <c r="B353" s="287">
        <v>4</v>
      </c>
      <c r="C353" s="287">
        <v>1</v>
      </c>
      <c r="D353" s="287">
        <v>4</v>
      </c>
      <c r="E353" s="287" t="s">
        <v>444</v>
      </c>
      <c r="F353" s="287" t="s">
        <v>445</v>
      </c>
      <c r="G353" s="410" t="s">
        <v>74</v>
      </c>
      <c r="H353" s="410"/>
      <c r="I353" s="410"/>
      <c r="J353" s="354">
        <v>0</v>
      </c>
      <c r="K353" s="355">
        <v>0</v>
      </c>
      <c r="L353" s="360">
        <v>0</v>
      </c>
      <c r="M353" s="355">
        <f>[55]Perdinas!$E$221</f>
        <v>0</v>
      </c>
      <c r="N353" s="355">
        <f>M353+L353</f>
        <v>0</v>
      </c>
      <c r="O353" s="355">
        <f t="shared" si="56"/>
        <v>0</v>
      </c>
      <c r="P353" s="388"/>
      <c r="Q353" s="441"/>
      <c r="R353" s="422"/>
    </row>
    <row r="354" spans="1:18" s="189" customFormat="1" ht="12.05" customHeight="1">
      <c r="A354" s="293"/>
      <c r="B354" s="292">
        <v>4</v>
      </c>
      <c r="C354" s="292">
        <v>1</v>
      </c>
      <c r="D354" s="292">
        <v>4</v>
      </c>
      <c r="E354" s="292" t="s">
        <v>444</v>
      </c>
      <c r="F354" s="292" t="s">
        <v>441</v>
      </c>
      <c r="G354" s="253" t="s">
        <v>75</v>
      </c>
      <c r="H354" s="253"/>
      <c r="I354" s="253"/>
      <c r="J354" s="374">
        <v>0</v>
      </c>
      <c r="K354" s="375">
        <f>'[57]TARGET MURNI DAN PERUBAHAN'!$E$173</f>
        <v>0</v>
      </c>
      <c r="L354" s="360">
        <f>[62]PerDinas!$N$354</f>
        <v>8407800</v>
      </c>
      <c r="M354" s="375">
        <f>[55]Perdinas!$E$222</f>
        <v>0</v>
      </c>
      <c r="N354" s="369">
        <f>M354+L354</f>
        <v>8407800</v>
      </c>
      <c r="O354" s="355">
        <f t="shared" si="56"/>
        <v>8407800</v>
      </c>
      <c r="P354" s="388">
        <v>0</v>
      </c>
      <c r="Q354" s="448"/>
      <c r="R354" s="422"/>
    </row>
    <row r="355" spans="1:18" s="189" customFormat="1" ht="12.05" customHeight="1">
      <c r="A355" s="293"/>
      <c r="B355" s="292" t="s">
        <v>443</v>
      </c>
      <c r="C355" s="292" t="s">
        <v>58</v>
      </c>
      <c r="D355" s="292" t="s">
        <v>443</v>
      </c>
      <c r="E355" s="292" t="s">
        <v>441</v>
      </c>
      <c r="F355" s="292" t="s">
        <v>437</v>
      </c>
      <c r="G355" s="253" t="s">
        <v>975</v>
      </c>
      <c r="H355" s="253"/>
      <c r="I355" s="253"/>
      <c r="J355" s="374">
        <v>0</v>
      </c>
      <c r="K355" s="373">
        <f>'[57]TARGET MURNI DAN PERUBAHAN'!$E$174</f>
        <v>0</v>
      </c>
      <c r="L355" s="360">
        <f>[62]PerDinas!$N$355</f>
        <v>0</v>
      </c>
      <c r="M355" s="373">
        <f>[55]Perdinas!$E$219</f>
        <v>0</v>
      </c>
      <c r="N355" s="355">
        <f>M355+L355</f>
        <v>0</v>
      </c>
      <c r="O355" s="355">
        <f t="shared" si="56"/>
        <v>0</v>
      </c>
      <c r="P355" s="388"/>
      <c r="Q355" s="784"/>
      <c r="R355" s="545"/>
    </row>
    <row r="356" spans="1:18" s="189" customFormat="1" ht="12.05" customHeight="1">
      <c r="A356" s="293"/>
      <c r="B356" s="292">
        <v>4</v>
      </c>
      <c r="C356" s="292">
        <v>1</v>
      </c>
      <c r="D356" s="292">
        <v>4</v>
      </c>
      <c r="E356" s="292" t="s">
        <v>948</v>
      </c>
      <c r="F356" s="292"/>
      <c r="G356" s="291" t="s">
        <v>321</v>
      </c>
      <c r="H356" s="291"/>
      <c r="I356" s="291"/>
      <c r="J356" s="475">
        <f>+J357</f>
        <v>378500000</v>
      </c>
      <c r="K356" s="476">
        <f>+K357</f>
        <v>1675997304</v>
      </c>
      <c r="L356" s="766">
        <f>+L357</f>
        <v>209689320</v>
      </c>
      <c r="M356" s="476">
        <f>+M357</f>
        <v>0</v>
      </c>
      <c r="N356" s="477">
        <f>+M356+L356</f>
        <v>209689320</v>
      </c>
      <c r="O356" s="477">
        <f t="shared" ref="O356:O361" si="57">N356-K356</f>
        <v>-1466307984</v>
      </c>
      <c r="P356" s="478">
        <f t="shared" ref="P356:P361" si="58">N356/K356*100</f>
        <v>12.511316068322268</v>
      </c>
      <c r="Q356" s="644"/>
      <c r="R356" s="422"/>
    </row>
    <row r="357" spans="1:18" s="189" customFormat="1" ht="12.05" customHeight="1">
      <c r="A357" s="293"/>
      <c r="B357" s="292">
        <v>4</v>
      </c>
      <c r="C357" s="292">
        <v>1</v>
      </c>
      <c r="D357" s="292">
        <v>4</v>
      </c>
      <c r="E357" s="292" t="s">
        <v>948</v>
      </c>
      <c r="F357" s="292" t="s">
        <v>437</v>
      </c>
      <c r="G357" s="291" t="s">
        <v>85</v>
      </c>
      <c r="H357" s="291"/>
      <c r="I357" s="291"/>
      <c r="J357" s="767">
        <f>SUM(J359:J361)</f>
        <v>378500000</v>
      </c>
      <c r="K357" s="768">
        <f>SUM(K358:K361)</f>
        <v>1675997304</v>
      </c>
      <c r="L357" s="769">
        <f>SUM(L358:L361)</f>
        <v>209689320</v>
      </c>
      <c r="M357" s="768">
        <f>SUM(M358:M361)</f>
        <v>0</v>
      </c>
      <c r="N357" s="770">
        <f>SUM(N358:N361)</f>
        <v>209689320</v>
      </c>
      <c r="O357" s="768">
        <f t="shared" si="57"/>
        <v>-1466307984</v>
      </c>
      <c r="P357" s="498">
        <f t="shared" si="58"/>
        <v>12.511316068322268</v>
      </c>
      <c r="Q357" s="787"/>
      <c r="R357" s="422"/>
    </row>
    <row r="358" spans="1:18" s="189" customFormat="1" ht="12.05" customHeight="1">
      <c r="A358" s="293"/>
      <c r="B358" s="292"/>
      <c r="C358" s="292"/>
      <c r="D358" s="292"/>
      <c r="E358" s="292"/>
      <c r="F358" s="292"/>
      <c r="G358" s="253" t="s">
        <v>50</v>
      </c>
      <c r="H358" s="253"/>
      <c r="I358" s="253" t="s">
        <v>85</v>
      </c>
      <c r="J358" s="354">
        <v>0</v>
      </c>
      <c r="K358" s="373">
        <f>'[57]TARGET MURNI DAN PERUBAHAN'!$E$175</f>
        <v>26286000</v>
      </c>
      <c r="L358" s="360">
        <f>[62]PerDinas!$N$358</f>
        <v>24000000</v>
      </c>
      <c r="M358" s="373">
        <f>[55]Perdinas!$E$223</f>
        <v>0</v>
      </c>
      <c r="N358" s="771">
        <f>M358+L358</f>
        <v>24000000</v>
      </c>
      <c r="O358" s="355"/>
      <c r="P358" s="388"/>
      <c r="Q358" s="441"/>
      <c r="R358" s="422"/>
    </row>
    <row r="359" spans="1:18" s="189" customFormat="1" ht="12.05" customHeight="1">
      <c r="A359" s="293"/>
      <c r="B359" s="292"/>
      <c r="C359" s="292"/>
      <c r="D359" s="292"/>
      <c r="E359" s="292"/>
      <c r="F359" s="292"/>
      <c r="G359" s="253" t="s">
        <v>50</v>
      </c>
      <c r="H359" s="253"/>
      <c r="I359" s="772" t="s">
        <v>976</v>
      </c>
      <c r="J359" s="354">
        <v>3500000</v>
      </c>
      <c r="K359" s="373">
        <f>'[57]TARGET MURNI DAN PERUBAHAN'!$E$176</f>
        <v>1477514304</v>
      </c>
      <c r="L359" s="360">
        <f>[62]PerDinas!$N$359</f>
        <v>0</v>
      </c>
      <c r="M359" s="373">
        <v>0</v>
      </c>
      <c r="N359" s="355">
        <f>M359+L359</f>
        <v>0</v>
      </c>
      <c r="O359" s="355">
        <f>N359-K359</f>
        <v>-1477514304</v>
      </c>
      <c r="P359" s="388"/>
      <c r="Q359" s="441"/>
      <c r="R359" s="422"/>
    </row>
    <row r="360" spans="1:18" s="189" customFormat="1" ht="12.05" customHeight="1">
      <c r="A360" s="293"/>
      <c r="B360" s="292"/>
      <c r="C360" s="292"/>
      <c r="D360" s="292"/>
      <c r="E360" s="292"/>
      <c r="F360" s="292"/>
      <c r="G360" s="253" t="s">
        <v>50</v>
      </c>
      <c r="H360" s="253"/>
      <c r="I360" s="253" t="s">
        <v>977</v>
      </c>
      <c r="J360" s="354">
        <v>187000000</v>
      </c>
      <c r="K360" s="373">
        <f>'[57]TARGET MURNI DAN PERUBAHAN'!$E$177</f>
        <v>122639000</v>
      </c>
      <c r="L360" s="360">
        <f>[62]PerDinas!$N$360</f>
        <v>95070000</v>
      </c>
      <c r="M360" s="373">
        <f>[55]Perdinas!$E$224</f>
        <v>0</v>
      </c>
      <c r="N360" s="771">
        <f>M360+L360</f>
        <v>95070000</v>
      </c>
      <c r="O360" s="355">
        <f t="shared" si="57"/>
        <v>-27569000</v>
      </c>
      <c r="P360" s="388">
        <f t="shared" si="58"/>
        <v>77.520201567201298</v>
      </c>
      <c r="Q360" s="441"/>
      <c r="R360" s="422"/>
    </row>
    <row r="361" spans="1:18" s="189" customFormat="1" ht="12.05" customHeight="1">
      <c r="A361" s="465"/>
      <c r="B361" s="296"/>
      <c r="C361" s="296"/>
      <c r="D361" s="296"/>
      <c r="E361" s="296"/>
      <c r="F361" s="296"/>
      <c r="G361" s="297" t="s">
        <v>50</v>
      </c>
      <c r="H361" s="297"/>
      <c r="I361" s="253" t="s">
        <v>147</v>
      </c>
      <c r="J361" s="354">
        <v>188000000</v>
      </c>
      <c r="K361" s="373">
        <f>'[57]TARGET MURNI DAN PERUBAHAN'!$E$178</f>
        <v>49558000</v>
      </c>
      <c r="L361" s="360">
        <f>[62]PerDinas!$N$361</f>
        <v>90619320</v>
      </c>
      <c r="M361" s="373">
        <f>[55]Perdinas!$E$225</f>
        <v>0</v>
      </c>
      <c r="N361" s="771">
        <f>M361+L361</f>
        <v>90619320</v>
      </c>
      <c r="O361" s="355">
        <f t="shared" si="57"/>
        <v>41061320</v>
      </c>
      <c r="P361" s="388">
        <f t="shared" si="58"/>
        <v>182.8550788974535</v>
      </c>
      <c r="Q361" s="441"/>
      <c r="R361" s="422"/>
    </row>
    <row r="362" spans="1:18" s="245" customFormat="1" ht="12.05" customHeight="1">
      <c r="A362" s="745"/>
      <c r="B362" s="469"/>
      <c r="C362" s="469"/>
      <c r="D362" s="469"/>
      <c r="E362" s="469"/>
      <c r="F362" s="469"/>
      <c r="J362" s="482"/>
      <c r="K362" s="404"/>
      <c r="L362" s="673"/>
      <c r="M362" s="404"/>
      <c r="N362" s="404"/>
      <c r="O362" s="404"/>
      <c r="P362" s="483"/>
      <c r="Q362" s="456"/>
      <c r="R362" s="450"/>
    </row>
    <row r="363" spans="1:18" s="244" customFormat="1" ht="12.05" customHeight="1">
      <c r="A363" s="283" t="s">
        <v>150</v>
      </c>
      <c r="B363" s="284" t="s">
        <v>58</v>
      </c>
      <c r="C363" s="284" t="s">
        <v>978</v>
      </c>
      <c r="D363" s="284" t="s">
        <v>437</v>
      </c>
      <c r="E363" s="284"/>
      <c r="F363" s="284"/>
      <c r="G363" s="298" t="s">
        <v>753</v>
      </c>
      <c r="H363" s="298"/>
      <c r="I363" s="298"/>
      <c r="J363" s="336">
        <f>+J365</f>
        <v>70850000</v>
      </c>
      <c r="K363" s="337">
        <f>+K365</f>
        <v>80741600</v>
      </c>
      <c r="L363" s="337">
        <f>+L365</f>
        <v>246459170.76999998</v>
      </c>
      <c r="M363" s="337">
        <f>+M365</f>
        <v>1200000</v>
      </c>
      <c r="N363" s="337">
        <f>M363+L363</f>
        <v>247659170.76999998</v>
      </c>
      <c r="O363" s="337">
        <f>+N363-K363</f>
        <v>166917570.76999998</v>
      </c>
      <c r="P363" s="338">
        <f>+N363/K363*100</f>
        <v>306.73057106869317</v>
      </c>
      <c r="Q363" s="432"/>
      <c r="R363" s="788">
        <f>N363-[57]Perdinas!$Q$227</f>
        <v>-2386198.3200000226</v>
      </c>
    </row>
    <row r="364" spans="1:18" s="189" customFormat="1" ht="12.05" customHeight="1">
      <c r="A364" s="706"/>
      <c r="B364" s="707"/>
      <c r="C364" s="707"/>
      <c r="D364" s="707"/>
      <c r="E364" s="707"/>
      <c r="F364" s="707"/>
      <c r="G364" s="288"/>
      <c r="H364" s="288"/>
      <c r="I364" s="288"/>
      <c r="J364" s="342"/>
      <c r="K364" s="343"/>
      <c r="L364" s="343"/>
      <c r="M364" s="343"/>
      <c r="N364" s="343"/>
      <c r="O364" s="343"/>
      <c r="P364" s="344"/>
      <c r="Q364" s="437"/>
      <c r="R364" s="422"/>
    </row>
    <row r="365" spans="1:18" s="189" customFormat="1" ht="12.05" customHeight="1">
      <c r="A365" s="293"/>
      <c r="B365" s="290">
        <v>4</v>
      </c>
      <c r="C365" s="290">
        <v>1</v>
      </c>
      <c r="D365" s="290"/>
      <c r="E365" s="290"/>
      <c r="F365" s="290"/>
      <c r="G365" s="291" t="s">
        <v>180</v>
      </c>
      <c r="H365" s="291"/>
      <c r="I365" s="291"/>
      <c r="J365" s="620">
        <f>+J367+J377</f>
        <v>70850000</v>
      </c>
      <c r="K365" s="621">
        <f>+K367+K377</f>
        <v>80741600</v>
      </c>
      <c r="L365" s="621">
        <f>+L367+L377</f>
        <v>246459170.76999998</v>
      </c>
      <c r="M365" s="621">
        <f>+M367+M377</f>
        <v>1200000</v>
      </c>
      <c r="N365" s="621">
        <f>+M365+L365</f>
        <v>247659170.76999998</v>
      </c>
      <c r="O365" s="621">
        <f t="shared" ref="O365:O372" si="59">N365-K365</f>
        <v>166917570.76999998</v>
      </c>
      <c r="P365" s="596">
        <f t="shared" ref="P365:P372" si="60">N365/K365*100</f>
        <v>306.73057106869317</v>
      </c>
      <c r="Q365" s="648"/>
      <c r="R365" s="422"/>
    </row>
    <row r="366" spans="1:18" s="189" customFormat="1" ht="12.05" customHeight="1">
      <c r="A366" s="293"/>
      <c r="B366" s="290"/>
      <c r="C366" s="290"/>
      <c r="D366" s="290"/>
      <c r="E366" s="290"/>
      <c r="F366" s="290"/>
      <c r="G366" s="291"/>
      <c r="H366" s="291"/>
      <c r="I366" s="291"/>
      <c r="J366" s="387"/>
      <c r="K366" s="367"/>
      <c r="L366" s="367"/>
      <c r="M366" s="367"/>
      <c r="N366" s="367"/>
      <c r="O366" s="367"/>
      <c r="P366" s="347"/>
      <c r="Q366" s="437"/>
      <c r="R366" s="422"/>
    </row>
    <row r="367" spans="1:18" s="189" customFormat="1" ht="12.05" customHeight="1">
      <c r="A367" s="293"/>
      <c r="B367" s="290">
        <v>4</v>
      </c>
      <c r="C367" s="290">
        <v>1</v>
      </c>
      <c r="D367" s="290">
        <v>2</v>
      </c>
      <c r="E367" s="290"/>
      <c r="F367" s="290"/>
      <c r="G367" s="291" t="s">
        <v>106</v>
      </c>
      <c r="H367" s="291"/>
      <c r="I367" s="291"/>
      <c r="J367" s="348">
        <f>+J369</f>
        <v>7000000</v>
      </c>
      <c r="K367" s="349">
        <f>+K369</f>
        <v>55000000</v>
      </c>
      <c r="L367" s="589">
        <f>+L369</f>
        <v>39129200</v>
      </c>
      <c r="M367" s="349">
        <f>+M369</f>
        <v>1200000</v>
      </c>
      <c r="N367" s="349">
        <f>+M367+L367</f>
        <v>40329200</v>
      </c>
      <c r="O367" s="349">
        <f t="shared" si="59"/>
        <v>-14670800</v>
      </c>
      <c r="P367" s="350">
        <f t="shared" si="60"/>
        <v>73.325818181818178</v>
      </c>
      <c r="Q367" s="439"/>
      <c r="R367" s="422"/>
    </row>
    <row r="368" spans="1:18" s="189" customFormat="1" ht="12.05" customHeight="1">
      <c r="A368" s="293"/>
      <c r="B368" s="292"/>
      <c r="C368" s="292"/>
      <c r="D368" s="292"/>
      <c r="E368" s="292"/>
      <c r="F368" s="292"/>
      <c r="G368" s="253"/>
      <c r="H368" s="253"/>
      <c r="I368" s="253"/>
      <c r="J368" s="374"/>
      <c r="K368" s="375"/>
      <c r="L368" s="377"/>
      <c r="M368" s="375"/>
      <c r="N368" s="375"/>
      <c r="O368" s="375"/>
      <c r="P368" s="600"/>
      <c r="Q368" s="448"/>
      <c r="R368" s="422"/>
    </row>
    <row r="369" spans="1:19" s="189" customFormat="1" ht="15.05">
      <c r="A369" s="293"/>
      <c r="B369" s="292">
        <v>4</v>
      </c>
      <c r="C369" s="292">
        <v>1</v>
      </c>
      <c r="D369" s="292">
        <v>2</v>
      </c>
      <c r="E369" s="292" t="s">
        <v>438</v>
      </c>
      <c r="F369" s="292"/>
      <c r="G369" s="253" t="s">
        <v>374</v>
      </c>
      <c r="H369" s="253"/>
      <c r="I369" s="297"/>
      <c r="J369" s="494">
        <f>+J374+J370</f>
        <v>7000000</v>
      </c>
      <c r="K369" s="773">
        <f>K370+K374</f>
        <v>55000000</v>
      </c>
      <c r="L369" s="774">
        <f>L370+L374</f>
        <v>39129200</v>
      </c>
      <c r="M369" s="773">
        <f>M370+M374</f>
        <v>1200000</v>
      </c>
      <c r="N369" s="775">
        <f>+M369+L369</f>
        <v>40329200</v>
      </c>
      <c r="O369" s="775">
        <f t="shared" si="59"/>
        <v>-14670800</v>
      </c>
      <c r="P369" s="776">
        <f t="shared" si="60"/>
        <v>73.325818181818178</v>
      </c>
      <c r="Q369" s="789"/>
      <c r="R369" s="422"/>
    </row>
    <row r="370" spans="1:19" s="190" customFormat="1" ht="12.05" customHeight="1">
      <c r="A370" s="293"/>
      <c r="B370" s="290">
        <v>4</v>
      </c>
      <c r="C370" s="290">
        <v>1</v>
      </c>
      <c r="D370" s="290">
        <v>2</v>
      </c>
      <c r="E370" s="290" t="s">
        <v>438</v>
      </c>
      <c r="F370" s="290" t="s">
        <v>437</v>
      </c>
      <c r="G370" s="291" t="s">
        <v>64</v>
      </c>
      <c r="H370" s="291"/>
      <c r="I370" s="291"/>
      <c r="J370" s="397">
        <f>SUM(J371:J372)</f>
        <v>0</v>
      </c>
      <c r="K370" s="398">
        <f>SUM(K371:K372)</f>
        <v>51500000</v>
      </c>
      <c r="L370" s="684">
        <f>SUM(L371:L372)</f>
        <v>36379200</v>
      </c>
      <c r="M370" s="398">
        <f>SUM(M371:M372)</f>
        <v>1200000</v>
      </c>
      <c r="N370" s="777">
        <f>M370+L370</f>
        <v>37579200</v>
      </c>
      <c r="O370" s="367">
        <f t="shared" si="59"/>
        <v>-13920800</v>
      </c>
      <c r="P370" s="399">
        <f t="shared" si="60"/>
        <v>72.969320388349516</v>
      </c>
      <c r="Q370" s="790"/>
      <c r="R370" s="554">
        <v>35739000</v>
      </c>
      <c r="S370" s="786">
        <f>R370-N370</f>
        <v>-1840200</v>
      </c>
    </row>
    <row r="371" spans="1:19" s="189" customFormat="1" ht="12.05" customHeight="1">
      <c r="A371" s="293"/>
      <c r="B371" s="292"/>
      <c r="C371" s="292"/>
      <c r="D371" s="292"/>
      <c r="E371" s="292"/>
      <c r="F371" s="292"/>
      <c r="G371" s="253" t="s">
        <v>50</v>
      </c>
      <c r="H371" s="253"/>
      <c r="I371" s="253" t="s">
        <v>498</v>
      </c>
      <c r="J371" s="374"/>
      <c r="K371" s="376">
        <f>'[57]TARGET MURNI DAN PERUBAHAN'!$E$183</f>
        <v>16500000</v>
      </c>
      <c r="L371" s="377">
        <f>[62]PerDinas!$N$371</f>
        <v>6600000</v>
      </c>
      <c r="M371" s="376">
        <f>[55]Perdinas!$E$230</f>
        <v>0</v>
      </c>
      <c r="N371" s="346">
        <f>M371+L371</f>
        <v>6600000</v>
      </c>
      <c r="O371" s="346">
        <f t="shared" si="59"/>
        <v>-9900000</v>
      </c>
      <c r="P371" s="347">
        <f t="shared" si="60"/>
        <v>40</v>
      </c>
      <c r="Q371" s="791"/>
      <c r="R371" s="431"/>
    </row>
    <row r="372" spans="1:19" s="189" customFormat="1" ht="12.05" customHeight="1">
      <c r="A372" s="293"/>
      <c r="B372" s="292"/>
      <c r="C372" s="292"/>
      <c r="D372" s="292"/>
      <c r="E372" s="292"/>
      <c r="F372" s="292"/>
      <c r="G372" s="253" t="s">
        <v>50</v>
      </c>
      <c r="H372" s="253"/>
      <c r="I372" s="253" t="s">
        <v>754</v>
      </c>
      <c r="J372" s="374"/>
      <c r="K372" s="376">
        <f>'[57]TARGET MURNI DAN PERUBAHAN'!$E$184</f>
        <v>35000000</v>
      </c>
      <c r="L372" s="377">
        <f>[62]PerDinas!$N$372</f>
        <v>29779200</v>
      </c>
      <c r="M372" s="376">
        <f>[55]Perdinas!$E$231</f>
        <v>1200000</v>
      </c>
      <c r="N372" s="346">
        <f>M372+L372</f>
        <v>30979200</v>
      </c>
      <c r="O372" s="346">
        <f t="shared" si="59"/>
        <v>-4020800</v>
      </c>
      <c r="P372" s="347">
        <f t="shared" si="60"/>
        <v>88.512</v>
      </c>
      <c r="Q372" s="731"/>
      <c r="R372" s="422"/>
    </row>
    <row r="373" spans="1:19" s="189" customFormat="1" ht="12.05" customHeight="1">
      <c r="A373" s="293"/>
      <c r="B373" s="292"/>
      <c r="C373" s="292"/>
      <c r="D373" s="292"/>
      <c r="E373" s="292"/>
      <c r="F373" s="292"/>
      <c r="G373" s="253"/>
      <c r="H373" s="253"/>
      <c r="I373" s="253"/>
      <c r="J373" s="374"/>
      <c r="K373" s="375"/>
      <c r="L373" s="377"/>
      <c r="M373" s="375"/>
      <c r="N373" s="346"/>
      <c r="O373" s="346"/>
      <c r="P373" s="347"/>
      <c r="Q373" s="731"/>
      <c r="R373" s="422"/>
    </row>
    <row r="374" spans="1:19" s="190" customFormat="1" ht="12.05" customHeight="1">
      <c r="A374" s="293"/>
      <c r="B374" s="290">
        <v>4</v>
      </c>
      <c r="C374" s="290">
        <v>1</v>
      </c>
      <c r="D374" s="290">
        <v>2</v>
      </c>
      <c r="E374" s="290" t="s">
        <v>438</v>
      </c>
      <c r="F374" s="290" t="s">
        <v>440</v>
      </c>
      <c r="G374" s="291" t="s">
        <v>304</v>
      </c>
      <c r="H374" s="291"/>
      <c r="I374" s="291"/>
      <c r="J374" s="397">
        <f>+J375</f>
        <v>7000000</v>
      </c>
      <c r="K374" s="398">
        <f>+K375</f>
        <v>3500000</v>
      </c>
      <c r="L374" s="684">
        <f>+L375</f>
        <v>2750000</v>
      </c>
      <c r="M374" s="398">
        <f>+M375</f>
        <v>0</v>
      </c>
      <c r="N374" s="371">
        <f>M374+L374</f>
        <v>2750000</v>
      </c>
      <c r="O374" s="371">
        <f>N374-K374</f>
        <v>-750000</v>
      </c>
      <c r="P374" s="778">
        <f>N374/K374*100</f>
        <v>78.571428571428569</v>
      </c>
      <c r="Q374" s="792"/>
      <c r="R374" s="446"/>
    </row>
    <row r="375" spans="1:19" s="189" customFormat="1" ht="12.05" customHeight="1">
      <c r="A375" s="293"/>
      <c r="B375" s="292"/>
      <c r="C375" s="292"/>
      <c r="D375" s="292"/>
      <c r="E375" s="292"/>
      <c r="F375" s="292"/>
      <c r="G375" s="253" t="s">
        <v>50</v>
      </c>
      <c r="H375" s="253"/>
      <c r="I375" s="253" t="s">
        <v>500</v>
      </c>
      <c r="J375" s="374">
        <v>7000000</v>
      </c>
      <c r="K375" s="376">
        <f>'[57]TARGET MURNI DAN PERUBAHAN'!$E$187</f>
        <v>3500000</v>
      </c>
      <c r="L375" s="377">
        <f>[62]PerDinas!$N$375</f>
        <v>2750000</v>
      </c>
      <c r="M375" s="376">
        <f>[55]Perdinas!$E$234</f>
        <v>0</v>
      </c>
      <c r="N375" s="369">
        <f>M375+L375</f>
        <v>2750000</v>
      </c>
      <c r="O375" s="355">
        <f>N375-K375</f>
        <v>-750000</v>
      </c>
      <c r="P375" s="388">
        <f>N375/K375*100</f>
        <v>78.571428571428569</v>
      </c>
      <c r="Q375" s="728"/>
      <c r="R375" s="422"/>
    </row>
    <row r="376" spans="1:19" s="189" customFormat="1" ht="12.05" customHeight="1">
      <c r="A376" s="293"/>
      <c r="B376" s="292"/>
      <c r="C376" s="292"/>
      <c r="D376" s="292"/>
      <c r="E376" s="292"/>
      <c r="F376" s="292"/>
      <c r="G376" s="253"/>
      <c r="H376" s="253"/>
      <c r="I376" s="253"/>
      <c r="J376" s="374"/>
      <c r="K376" s="375"/>
      <c r="L376" s="377"/>
      <c r="M376" s="375"/>
      <c r="N376" s="375"/>
      <c r="O376" s="375"/>
      <c r="P376" s="600"/>
      <c r="Q376" s="728"/>
      <c r="R376" s="422"/>
    </row>
    <row r="377" spans="1:19" s="189" customFormat="1" ht="12.05" customHeight="1">
      <c r="A377" s="293"/>
      <c r="B377" s="290">
        <v>4</v>
      </c>
      <c r="C377" s="290">
        <v>1</v>
      </c>
      <c r="D377" s="290">
        <v>4</v>
      </c>
      <c r="E377" s="290"/>
      <c r="F377" s="290"/>
      <c r="G377" s="291" t="s">
        <v>71</v>
      </c>
      <c r="H377" s="291"/>
      <c r="I377" s="291"/>
      <c r="J377" s="397">
        <f>J378+J386</f>
        <v>63850000</v>
      </c>
      <c r="K377" s="398">
        <f>K378+K386+K387</f>
        <v>25741600</v>
      </c>
      <c r="L377" s="398">
        <f>L378+L386+L387</f>
        <v>207329970.76999998</v>
      </c>
      <c r="M377" s="398">
        <f>M378+M386+M387</f>
        <v>0</v>
      </c>
      <c r="N377" s="398">
        <f>M377+L377</f>
        <v>207329970.76999998</v>
      </c>
      <c r="O377" s="398">
        <f t="shared" ref="O377:O382" si="61">N377-K377</f>
        <v>181588370.76999998</v>
      </c>
      <c r="P377" s="600">
        <f>P378+P386</f>
        <v>568.72113015507978</v>
      </c>
      <c r="Q377" s="793"/>
      <c r="R377" s="422"/>
    </row>
    <row r="378" spans="1:19" s="189" customFormat="1" ht="12.05" customHeight="1">
      <c r="A378" s="293"/>
      <c r="B378" s="292">
        <v>4</v>
      </c>
      <c r="C378" s="292">
        <v>1</v>
      </c>
      <c r="D378" s="292">
        <v>4</v>
      </c>
      <c r="E378" s="292" t="s">
        <v>444</v>
      </c>
      <c r="F378" s="292"/>
      <c r="G378" s="410" t="s">
        <v>222</v>
      </c>
      <c r="H378" s="410"/>
      <c r="I378" s="410"/>
      <c r="J378" s="489">
        <f>J379+J380+J381</f>
        <v>60000000</v>
      </c>
      <c r="K378" s="512">
        <f>K379+K380+K381</f>
        <v>0</v>
      </c>
      <c r="L378" s="616">
        <f>SUM(L379:L381)</f>
        <v>3603000</v>
      </c>
      <c r="M378" s="512">
        <f>SUM(M379:M381)</f>
        <v>0</v>
      </c>
      <c r="N378" s="512">
        <f>SUM(N379:N381)</f>
        <v>3603000</v>
      </c>
      <c r="O378" s="412">
        <f t="shared" si="61"/>
        <v>3603000</v>
      </c>
      <c r="P378" s="487">
        <v>0</v>
      </c>
      <c r="Q378" s="794"/>
      <c r="R378" s="422"/>
    </row>
    <row r="379" spans="1:19" s="189" customFormat="1" ht="12.05" customHeight="1">
      <c r="A379" s="289"/>
      <c r="B379" s="292">
        <v>4</v>
      </c>
      <c r="C379" s="292">
        <v>1</v>
      </c>
      <c r="D379" s="292">
        <v>4</v>
      </c>
      <c r="E379" s="292" t="s">
        <v>443</v>
      </c>
      <c r="F379" s="292" t="s">
        <v>441</v>
      </c>
      <c r="G379" s="253" t="s">
        <v>73</v>
      </c>
      <c r="H379" s="253"/>
      <c r="I379" s="253"/>
      <c r="J379" s="354">
        <v>0</v>
      </c>
      <c r="K379" s="355">
        <v>0</v>
      </c>
      <c r="L379" s="360"/>
      <c r="M379" s="355">
        <f>[55]Perdinas!$E$238</f>
        <v>0</v>
      </c>
      <c r="N379" s="355">
        <f t="shared" ref="N379:N384" si="62">M379+L379</f>
        <v>0</v>
      </c>
      <c r="O379" s="677">
        <f t="shared" si="61"/>
        <v>0</v>
      </c>
      <c r="P379" s="388"/>
      <c r="Q379" s="795"/>
      <c r="R379" s="422"/>
    </row>
    <row r="380" spans="1:19" s="189" customFormat="1" ht="12.05" customHeight="1">
      <c r="A380" s="289"/>
      <c r="B380" s="292">
        <v>4</v>
      </c>
      <c r="C380" s="292">
        <v>1</v>
      </c>
      <c r="D380" s="292">
        <v>4</v>
      </c>
      <c r="E380" s="292" t="s">
        <v>444</v>
      </c>
      <c r="F380" s="292" t="s">
        <v>445</v>
      </c>
      <c r="G380" s="253" t="s">
        <v>74</v>
      </c>
      <c r="H380" s="253"/>
      <c r="I380" s="253"/>
      <c r="J380" s="354">
        <v>0</v>
      </c>
      <c r="K380" s="355">
        <v>0</v>
      </c>
      <c r="L380" s="360">
        <v>0</v>
      </c>
      <c r="M380" s="355">
        <f>[55]Perdinas!$E$239</f>
        <v>0</v>
      </c>
      <c r="N380" s="355">
        <f t="shared" si="62"/>
        <v>0</v>
      </c>
      <c r="O380" s="346">
        <f t="shared" si="61"/>
        <v>0</v>
      </c>
      <c r="P380" s="388"/>
      <c r="Q380" s="795"/>
      <c r="R380" s="422"/>
    </row>
    <row r="381" spans="1:19" s="189" customFormat="1" ht="12.05" customHeight="1">
      <c r="A381" s="293"/>
      <c r="B381" s="292">
        <v>4</v>
      </c>
      <c r="C381" s="292">
        <v>1</v>
      </c>
      <c r="D381" s="292">
        <v>4</v>
      </c>
      <c r="E381" s="292" t="s">
        <v>444</v>
      </c>
      <c r="F381" s="292" t="s">
        <v>441</v>
      </c>
      <c r="G381" s="253" t="s">
        <v>75</v>
      </c>
      <c r="H381" s="253"/>
      <c r="I381" s="253"/>
      <c r="J381" s="374">
        <v>60000000</v>
      </c>
      <c r="K381" s="779"/>
      <c r="L381" s="360">
        <f>SUM(L382:L384)</f>
        <v>3603000</v>
      </c>
      <c r="M381" s="375">
        <f>[55]Perdinas!$E$240</f>
        <v>0</v>
      </c>
      <c r="N381" s="375">
        <f t="shared" si="62"/>
        <v>3603000</v>
      </c>
      <c r="O381" s="346">
        <f t="shared" si="61"/>
        <v>3603000</v>
      </c>
      <c r="P381" s="600">
        <f>SUM(P382:P384)</f>
        <v>0</v>
      </c>
      <c r="Q381" s="728"/>
      <c r="R381" s="554">
        <v>19022300</v>
      </c>
      <c r="S381" s="542">
        <f>R381-N381</f>
        <v>15419300</v>
      </c>
    </row>
    <row r="382" spans="1:19" s="189" customFormat="1" ht="12.05" customHeight="1">
      <c r="A382" s="293"/>
      <c r="B382" s="292"/>
      <c r="C382" s="292"/>
      <c r="D382" s="292"/>
      <c r="E382" s="292"/>
      <c r="F382" s="292"/>
      <c r="G382" s="253" t="s">
        <v>50</v>
      </c>
      <c r="H382" s="253"/>
      <c r="I382" s="253" t="s">
        <v>979</v>
      </c>
      <c r="J382" s="374">
        <v>0</v>
      </c>
      <c r="K382" s="376">
        <f>'[57]TARGET MURNI DAN PERUBAHAN'!$E$191</f>
        <v>0</v>
      </c>
      <c r="L382" s="377">
        <f>[62]PerDinas!$N$382</f>
        <v>3603000</v>
      </c>
      <c r="M382" s="376">
        <f>[60]Perdinas!$E$191</f>
        <v>0</v>
      </c>
      <c r="N382" s="369">
        <f t="shared" si="62"/>
        <v>3603000</v>
      </c>
      <c r="O382" s="346">
        <f t="shared" si="61"/>
        <v>3603000</v>
      </c>
      <c r="P382" s="388"/>
      <c r="Q382" s="728"/>
      <c r="R382" s="422"/>
    </row>
    <row r="383" spans="1:19" s="189" customFormat="1" ht="12.05" customHeight="1">
      <c r="A383" s="293"/>
      <c r="B383" s="292"/>
      <c r="C383" s="292"/>
      <c r="D383" s="292"/>
      <c r="E383" s="292"/>
      <c r="F383" s="292"/>
      <c r="G383" s="253" t="s">
        <v>50</v>
      </c>
      <c r="H383" s="253"/>
      <c r="I383" s="253" t="s">
        <v>980</v>
      </c>
      <c r="J383" s="374">
        <v>0</v>
      </c>
      <c r="K383" s="375">
        <v>0</v>
      </c>
      <c r="L383" s="377">
        <f>[62]PerDinas!$N$383</f>
        <v>0</v>
      </c>
      <c r="M383" s="376">
        <f>[60]Perdinas!$E$192</f>
        <v>0</v>
      </c>
      <c r="N383" s="355">
        <f t="shared" si="62"/>
        <v>0</v>
      </c>
      <c r="O383" s="355"/>
      <c r="P383" s="388"/>
      <c r="Q383" s="728"/>
      <c r="R383" s="422"/>
    </row>
    <row r="384" spans="1:19" s="189" customFormat="1" ht="12.05" customHeight="1">
      <c r="A384" s="293"/>
      <c r="B384" s="292"/>
      <c r="C384" s="292"/>
      <c r="D384" s="292"/>
      <c r="E384" s="292"/>
      <c r="F384" s="292"/>
      <c r="G384" s="253" t="s">
        <v>50</v>
      </c>
      <c r="H384" s="253"/>
      <c r="I384" s="253" t="s">
        <v>754</v>
      </c>
      <c r="J384" s="374">
        <v>0</v>
      </c>
      <c r="K384" s="375">
        <v>0</v>
      </c>
      <c r="L384" s="377">
        <f>[62]PerDinas!$N$384</f>
        <v>0</v>
      </c>
      <c r="M384" s="376">
        <f>[60]Perdinas!$E$193</f>
        <v>0</v>
      </c>
      <c r="N384" s="355">
        <f t="shared" si="62"/>
        <v>0</v>
      </c>
      <c r="O384" s="355"/>
      <c r="P384" s="388"/>
      <c r="Q384" s="728"/>
      <c r="R384" s="422"/>
    </row>
    <row r="385" spans="1:19" s="189" customFormat="1" ht="12.05" customHeight="1">
      <c r="A385" s="293"/>
      <c r="B385" s="292"/>
      <c r="C385" s="292"/>
      <c r="D385" s="292"/>
      <c r="E385" s="292"/>
      <c r="F385" s="292"/>
      <c r="G385" s="253"/>
      <c r="H385" s="253"/>
      <c r="I385" s="253"/>
      <c r="J385" s="374"/>
      <c r="K385" s="375"/>
      <c r="L385" s="377"/>
      <c r="M385" s="375"/>
      <c r="N385" s="355"/>
      <c r="O385" s="355"/>
      <c r="P385" s="388"/>
      <c r="Q385" s="728"/>
      <c r="R385" s="422"/>
    </row>
    <row r="386" spans="1:19" s="189" customFormat="1" ht="12.05" customHeight="1">
      <c r="A386" s="293"/>
      <c r="B386" s="290" t="s">
        <v>443</v>
      </c>
      <c r="C386" s="290" t="s">
        <v>58</v>
      </c>
      <c r="D386" s="290" t="s">
        <v>443</v>
      </c>
      <c r="E386" s="290" t="s">
        <v>948</v>
      </c>
      <c r="F386" s="290"/>
      <c r="G386" s="291" t="s">
        <v>981</v>
      </c>
      <c r="H386" s="291"/>
      <c r="I386" s="291"/>
      <c r="J386" s="370">
        <f>J387+J388</f>
        <v>3850000</v>
      </c>
      <c r="K386" s="371">
        <f t="shared" ref="K386:P386" si="63">K388</f>
        <v>25741600</v>
      </c>
      <c r="L386" s="371">
        <f t="shared" si="63"/>
        <v>146397918.44</v>
      </c>
      <c r="M386" s="371">
        <f t="shared" si="63"/>
        <v>0</v>
      </c>
      <c r="N386" s="371">
        <f t="shared" si="63"/>
        <v>146397918.44</v>
      </c>
      <c r="O386" s="371">
        <f t="shared" si="63"/>
        <v>120656318.44</v>
      </c>
      <c r="P386" s="371">
        <f t="shared" si="63"/>
        <v>568.72113015507978</v>
      </c>
      <c r="Q386" s="790"/>
      <c r="R386" s="422"/>
    </row>
    <row r="387" spans="1:19" s="189" customFormat="1" ht="12.05" customHeight="1">
      <c r="A387" s="293"/>
      <c r="B387" s="292"/>
      <c r="C387" s="292"/>
      <c r="D387" s="292"/>
      <c r="E387" s="292"/>
      <c r="F387" s="292"/>
      <c r="G387" s="253" t="s">
        <v>50</v>
      </c>
      <c r="H387" s="253"/>
      <c r="I387" s="253" t="s">
        <v>710</v>
      </c>
      <c r="J387" s="354">
        <v>650000</v>
      </c>
      <c r="K387" s="806"/>
      <c r="L387" s="360">
        <f>[62]PerDinas!$N$387</f>
        <v>57329052.329999998</v>
      </c>
      <c r="M387" s="355"/>
      <c r="N387" s="355">
        <f>M387+L387</f>
        <v>57329052.329999998</v>
      </c>
      <c r="O387" s="355">
        <f t="shared" ref="O387:O392" si="64">N387-K387</f>
        <v>57329052.329999998</v>
      </c>
      <c r="P387" s="388" t="e">
        <f>N387/K387*100</f>
        <v>#DIV/0!</v>
      </c>
      <c r="Q387" s="728"/>
      <c r="R387" s="552">
        <v>57329052.329999998</v>
      </c>
      <c r="S387" s="819">
        <f>R387-N387</f>
        <v>0</v>
      </c>
    </row>
    <row r="388" spans="1:19" s="189" customFormat="1" ht="12.05" customHeight="1">
      <c r="A388" s="293"/>
      <c r="B388" s="292"/>
      <c r="C388" s="292"/>
      <c r="D388" s="292"/>
      <c r="E388" s="292"/>
      <c r="F388" s="292"/>
      <c r="G388" s="253" t="s">
        <v>50</v>
      </c>
      <c r="H388" s="253"/>
      <c r="I388" s="253" t="s">
        <v>982</v>
      </c>
      <c r="J388" s="374">
        <v>3200000</v>
      </c>
      <c r="K388" s="376">
        <f>'[57]TARGET MURNI DAN PERUBAHAN'!$E$197</f>
        <v>25741600</v>
      </c>
      <c r="L388" s="377">
        <f>[62]PerDinas!$N$388</f>
        <v>146397918.44</v>
      </c>
      <c r="M388" s="376">
        <f>[55]Perdinas!$E$241</f>
        <v>0</v>
      </c>
      <c r="N388" s="369">
        <f>M388+L388</f>
        <v>146397918.44</v>
      </c>
      <c r="O388" s="355">
        <f t="shared" si="64"/>
        <v>120656318.44</v>
      </c>
      <c r="P388" s="388">
        <f>N388/K388*100</f>
        <v>568.72113015507978</v>
      </c>
      <c r="Q388" s="448"/>
      <c r="R388" s="422"/>
    </row>
    <row r="389" spans="1:19" s="245" customFormat="1" ht="12.05" customHeight="1">
      <c r="A389" s="472"/>
      <c r="B389" s="305"/>
      <c r="C389" s="305"/>
      <c r="D389" s="305"/>
      <c r="E389" s="305"/>
      <c r="F389" s="305"/>
      <c r="G389" s="306"/>
      <c r="H389" s="306"/>
      <c r="I389" s="306"/>
      <c r="J389" s="482"/>
      <c r="K389" s="404"/>
      <c r="L389" s="673"/>
      <c r="M389" s="404"/>
      <c r="N389" s="404"/>
      <c r="O389" s="404"/>
      <c r="P389" s="483"/>
      <c r="Q389" s="456"/>
      <c r="R389" s="450"/>
    </row>
    <row r="390" spans="1:19" s="244" customFormat="1" ht="12.05" customHeight="1">
      <c r="A390" s="283" t="s">
        <v>152</v>
      </c>
      <c r="B390" s="284" t="s">
        <v>58</v>
      </c>
      <c r="C390" s="284" t="s">
        <v>846</v>
      </c>
      <c r="D390" s="284" t="s">
        <v>440</v>
      </c>
      <c r="E390" s="796"/>
      <c r="F390" s="796"/>
      <c r="G390" s="298" t="s">
        <v>301</v>
      </c>
      <c r="H390" s="298"/>
      <c r="I390" s="298"/>
      <c r="J390" s="336">
        <f>+J392</f>
        <v>2000000</v>
      </c>
      <c r="K390" s="337">
        <f>+K392</f>
        <v>0</v>
      </c>
      <c r="L390" s="337">
        <f>+L392</f>
        <v>0</v>
      </c>
      <c r="M390" s="337">
        <f>+M392</f>
        <v>0</v>
      </c>
      <c r="N390" s="337">
        <f>+M390+L390</f>
        <v>0</v>
      </c>
      <c r="O390" s="337">
        <f>+N390-K390</f>
        <v>0</v>
      </c>
      <c r="P390" s="338" t="e">
        <f>N390/K390*100</f>
        <v>#DIV/0!</v>
      </c>
      <c r="Q390" s="432"/>
      <c r="R390" s="639"/>
    </row>
    <row r="391" spans="1:19" s="189" customFormat="1" ht="12.05" customHeight="1">
      <c r="A391" s="471"/>
      <c r="B391" s="287"/>
      <c r="C391" s="287"/>
      <c r="D391" s="287"/>
      <c r="E391" s="287"/>
      <c r="F391" s="287"/>
      <c r="G391" s="410"/>
      <c r="H391" s="410"/>
      <c r="I391" s="410"/>
      <c r="J391" s="342"/>
      <c r="K391" s="343"/>
      <c r="L391" s="343"/>
      <c r="M391" s="343"/>
      <c r="N391" s="492"/>
      <c r="O391" s="492"/>
      <c r="P391" s="487"/>
      <c r="Q391" s="437"/>
      <c r="R391" s="422"/>
    </row>
    <row r="392" spans="1:19" s="189" customFormat="1" ht="12.05" customHeight="1">
      <c r="A392" s="303"/>
      <c r="B392" s="290">
        <v>4</v>
      </c>
      <c r="C392" s="290">
        <v>1</v>
      </c>
      <c r="D392" s="290"/>
      <c r="E392" s="290"/>
      <c r="F392" s="290"/>
      <c r="G392" s="291" t="s">
        <v>180</v>
      </c>
      <c r="H392" s="291"/>
      <c r="I392" s="291"/>
      <c r="J392" s="518">
        <f>+J394</f>
        <v>2000000</v>
      </c>
      <c r="K392" s="519">
        <f>+K394</f>
        <v>0</v>
      </c>
      <c r="L392" s="519">
        <f>+L394</f>
        <v>0</v>
      </c>
      <c r="M392" s="519">
        <f>+M394</f>
        <v>0</v>
      </c>
      <c r="N392" s="343">
        <f>+M392+L392</f>
        <v>0</v>
      </c>
      <c r="O392" s="343">
        <f t="shared" si="64"/>
        <v>0</v>
      </c>
      <c r="P392" s="344" t="e">
        <f>N392/K392*100</f>
        <v>#DIV/0!</v>
      </c>
      <c r="Q392" s="559"/>
      <c r="R392" s="422"/>
    </row>
    <row r="393" spans="1:19" s="189" customFormat="1" ht="12.05" customHeight="1">
      <c r="A393" s="293"/>
      <c r="B393" s="292"/>
      <c r="C393" s="292"/>
      <c r="D393" s="292"/>
      <c r="E393" s="292"/>
      <c r="F393" s="292"/>
      <c r="G393" s="253"/>
      <c r="H393" s="253"/>
      <c r="I393" s="253"/>
      <c r="J393" s="387"/>
      <c r="K393" s="367"/>
      <c r="L393" s="367"/>
      <c r="M393" s="367"/>
      <c r="N393" s="367"/>
      <c r="O393" s="367"/>
      <c r="P393" s="347"/>
      <c r="Q393" s="454"/>
      <c r="R393" s="422"/>
    </row>
    <row r="394" spans="1:19" s="189" customFormat="1" ht="12.05" customHeight="1">
      <c r="A394" s="303"/>
      <c r="B394" s="290">
        <v>4</v>
      </c>
      <c r="C394" s="290">
        <v>1</v>
      </c>
      <c r="D394" s="290">
        <v>4</v>
      </c>
      <c r="E394" s="290"/>
      <c r="F394" s="290"/>
      <c r="G394" s="291" t="s">
        <v>71</v>
      </c>
      <c r="H394" s="291"/>
      <c r="I394" s="291"/>
      <c r="J394" s="397">
        <f>J395+J400</f>
        <v>2000000</v>
      </c>
      <c r="K394" s="398">
        <f>K395+K400</f>
        <v>0</v>
      </c>
      <c r="L394" s="684">
        <f>L395+L400</f>
        <v>0</v>
      </c>
      <c r="M394" s="398">
        <f>M395+M400</f>
        <v>0</v>
      </c>
      <c r="N394" s="398">
        <f>N395+N400</f>
        <v>0</v>
      </c>
      <c r="O394" s="367">
        <f>N394-K394</f>
        <v>0</v>
      </c>
      <c r="P394" s="347" t="e">
        <f>N394/K394*100</f>
        <v>#DIV/0!</v>
      </c>
      <c r="Q394" s="699"/>
      <c r="R394" s="422"/>
    </row>
    <row r="395" spans="1:19" s="189" customFormat="1" ht="12.05" customHeight="1">
      <c r="A395" s="293"/>
      <c r="B395" s="292">
        <v>4</v>
      </c>
      <c r="C395" s="292">
        <v>1</v>
      </c>
      <c r="D395" s="292">
        <v>4</v>
      </c>
      <c r="E395" s="292" t="s">
        <v>444</v>
      </c>
      <c r="F395" s="292"/>
      <c r="G395" s="253" t="s">
        <v>222</v>
      </c>
      <c r="H395" s="253"/>
      <c r="I395" s="253"/>
      <c r="J395" s="484">
        <v>0</v>
      </c>
      <c r="K395" s="485">
        <v>0</v>
      </c>
      <c r="L395" s="486">
        <f>SUM(L396:L398)</f>
        <v>0</v>
      </c>
      <c r="M395" s="485">
        <f>SUM(M396:M398)</f>
        <v>0</v>
      </c>
      <c r="N395" s="485">
        <f>SUM(N396:N398)</f>
        <v>0</v>
      </c>
      <c r="O395" s="485"/>
      <c r="P395" s="597"/>
      <c r="Q395" s="541"/>
      <c r="R395" s="422"/>
    </row>
    <row r="396" spans="1:19" s="189" customFormat="1" ht="12.05" customHeight="1">
      <c r="A396" s="289"/>
      <c r="B396" s="292">
        <v>4</v>
      </c>
      <c r="C396" s="292">
        <v>1</v>
      </c>
      <c r="D396" s="292">
        <v>4</v>
      </c>
      <c r="E396" s="292" t="s">
        <v>444</v>
      </c>
      <c r="F396" s="292" t="s">
        <v>440</v>
      </c>
      <c r="G396" s="253" t="s">
        <v>73</v>
      </c>
      <c r="H396" s="253"/>
      <c r="I396" s="253"/>
      <c r="J396" s="354">
        <v>0</v>
      </c>
      <c r="K396" s="355">
        <v>0</v>
      </c>
      <c r="L396" s="360">
        <v>0</v>
      </c>
      <c r="M396" s="355">
        <f>[55]Perdinas!$E$246</f>
        <v>0</v>
      </c>
      <c r="N396" s="355">
        <f>M396+L396</f>
        <v>0</v>
      </c>
      <c r="O396" s="355">
        <f>N396-K396</f>
        <v>0</v>
      </c>
      <c r="P396" s="388"/>
      <c r="Q396" s="441"/>
      <c r="R396" s="422"/>
    </row>
    <row r="397" spans="1:19" s="189" customFormat="1" ht="12.05" customHeight="1">
      <c r="A397" s="289"/>
      <c r="B397" s="292">
        <v>4</v>
      </c>
      <c r="C397" s="292">
        <v>1</v>
      </c>
      <c r="D397" s="292">
        <v>4</v>
      </c>
      <c r="E397" s="292" t="s">
        <v>444</v>
      </c>
      <c r="F397" s="292" t="s">
        <v>445</v>
      </c>
      <c r="G397" s="253" t="s">
        <v>74</v>
      </c>
      <c r="H397" s="253"/>
      <c r="I397" s="253"/>
      <c r="J397" s="354">
        <v>0</v>
      </c>
      <c r="K397" s="355">
        <v>0</v>
      </c>
      <c r="L397" s="360">
        <v>0</v>
      </c>
      <c r="M397" s="355">
        <f>[55]Perdinas!$E$247</f>
        <v>0</v>
      </c>
      <c r="N397" s="355">
        <f>M397+L397</f>
        <v>0</v>
      </c>
      <c r="O397" s="355">
        <f>N397-K397</f>
        <v>0</v>
      </c>
      <c r="P397" s="388"/>
      <c r="Q397" s="441"/>
      <c r="R397" s="422"/>
    </row>
    <row r="398" spans="1:19" s="189" customFormat="1" ht="12.05" customHeight="1">
      <c r="A398" s="293"/>
      <c r="B398" s="292">
        <v>4</v>
      </c>
      <c r="C398" s="292">
        <v>1</v>
      </c>
      <c r="D398" s="292">
        <v>4</v>
      </c>
      <c r="E398" s="292" t="s">
        <v>444</v>
      </c>
      <c r="F398" s="292" t="s">
        <v>441</v>
      </c>
      <c r="G398" s="253" t="s">
        <v>75</v>
      </c>
      <c r="H398" s="253"/>
      <c r="I398" s="253"/>
      <c r="J398" s="374">
        <v>0</v>
      </c>
      <c r="K398" s="376">
        <f>'[57]TARGET MURNI DAN PERUBAHAN'!$E$201</f>
        <v>0</v>
      </c>
      <c r="L398" s="377">
        <f>[62]PerDinas!$N$398</f>
        <v>0</v>
      </c>
      <c r="M398" s="376">
        <f>[55]Perdinas!$E$248</f>
        <v>0</v>
      </c>
      <c r="N398" s="369">
        <f>M398+L398</f>
        <v>0</v>
      </c>
      <c r="O398" s="355">
        <f>N398-K398</f>
        <v>0</v>
      </c>
      <c r="P398" s="388"/>
      <c r="Q398" s="548"/>
      <c r="R398" s="422"/>
    </row>
    <row r="399" spans="1:19" s="189" customFormat="1" ht="12.05" customHeight="1">
      <c r="A399" s="293"/>
      <c r="B399" s="292"/>
      <c r="C399" s="292"/>
      <c r="D399" s="292"/>
      <c r="E399" s="292"/>
      <c r="F399" s="292"/>
      <c r="G399" s="253"/>
      <c r="H399" s="253"/>
      <c r="I399" s="253"/>
      <c r="J399" s="494"/>
      <c r="K399" s="495"/>
      <c r="L399" s="513"/>
      <c r="M399" s="495"/>
      <c r="N399" s="334"/>
      <c r="O399" s="334"/>
      <c r="P399" s="335"/>
      <c r="Q399" s="548"/>
      <c r="R399" s="422"/>
    </row>
    <row r="400" spans="1:19" s="189" customFormat="1" ht="12.05" customHeight="1">
      <c r="A400" s="293"/>
      <c r="B400" s="292" t="s">
        <v>443</v>
      </c>
      <c r="C400" s="292" t="s">
        <v>58</v>
      </c>
      <c r="D400" s="292" t="s">
        <v>443</v>
      </c>
      <c r="E400" s="292" t="s">
        <v>948</v>
      </c>
      <c r="F400" s="292"/>
      <c r="G400" s="253" t="s">
        <v>981</v>
      </c>
      <c r="H400" s="253"/>
      <c r="I400" s="253"/>
      <c r="J400" s="526">
        <f>J401</f>
        <v>2000000</v>
      </c>
      <c r="K400" s="527">
        <f>K401</f>
        <v>0</v>
      </c>
      <c r="L400" s="670">
        <f>SUM(L401:L401)</f>
        <v>0</v>
      </c>
      <c r="M400" s="527">
        <f>SUM(M401:M401)</f>
        <v>0</v>
      </c>
      <c r="N400" s="527">
        <f>M400+L400</f>
        <v>0</v>
      </c>
      <c r="O400" s="527">
        <f t="shared" ref="O400:O405" si="65">N400-K400</f>
        <v>0</v>
      </c>
      <c r="P400" s="671">
        <v>0</v>
      </c>
      <c r="Q400" s="548"/>
      <c r="R400" s="422"/>
    </row>
    <row r="401" spans="1:19" s="189" customFormat="1" ht="12.05" customHeight="1">
      <c r="A401" s="293"/>
      <c r="B401" s="292" t="s">
        <v>443</v>
      </c>
      <c r="C401" s="292" t="s">
        <v>58</v>
      </c>
      <c r="D401" s="292" t="s">
        <v>443</v>
      </c>
      <c r="E401" s="292" t="s">
        <v>948</v>
      </c>
      <c r="F401" s="292" t="s">
        <v>437</v>
      </c>
      <c r="G401" s="253" t="s">
        <v>50</v>
      </c>
      <c r="H401" s="253"/>
      <c r="I401" s="253" t="s">
        <v>85</v>
      </c>
      <c r="J401" s="389">
        <v>2000000</v>
      </c>
      <c r="K401" s="357">
        <f>'[57]TARGET MURNI DAN PERUBAHAN'!$E$202</f>
        <v>0</v>
      </c>
      <c r="L401" s="391">
        <f>[62]PerDinas!$N$401</f>
        <v>0</v>
      </c>
      <c r="M401" s="357">
        <f>[55]Perdinas!$E$249</f>
        <v>0</v>
      </c>
      <c r="N401" s="357">
        <f>M401+L401</f>
        <v>0</v>
      </c>
      <c r="O401" s="357">
        <f t="shared" si="65"/>
        <v>0</v>
      </c>
      <c r="P401" s="358">
        <v>0</v>
      </c>
      <c r="Q401" s="548"/>
      <c r="R401" s="422"/>
    </row>
    <row r="402" spans="1:19" s="245" customFormat="1" ht="12.05" customHeight="1">
      <c r="A402" s="465"/>
      <c r="B402" s="296"/>
      <c r="C402" s="296"/>
      <c r="D402" s="296"/>
      <c r="E402" s="296"/>
      <c r="F402" s="296"/>
      <c r="G402" s="297"/>
      <c r="H402" s="297"/>
      <c r="I402" s="297"/>
      <c r="J402" s="333"/>
      <c r="K402" s="334"/>
      <c r="L402" s="334"/>
      <c r="M402" s="334"/>
      <c r="N402" s="334"/>
      <c r="O402" s="334"/>
      <c r="P402" s="335"/>
      <c r="Q402" s="430"/>
      <c r="R402" s="450"/>
    </row>
    <row r="403" spans="1:19" s="244" customFormat="1" ht="12.05" hidden="1" customHeight="1">
      <c r="A403" s="283" t="s">
        <v>154</v>
      </c>
      <c r="B403" s="284" t="s">
        <v>58</v>
      </c>
      <c r="C403" s="284" t="s">
        <v>849</v>
      </c>
      <c r="D403" s="284" t="s">
        <v>440</v>
      </c>
      <c r="E403" s="284"/>
      <c r="F403" s="284"/>
      <c r="G403" s="298" t="s">
        <v>155</v>
      </c>
      <c r="H403" s="298"/>
      <c r="I403" s="619"/>
      <c r="J403" s="336" t="e">
        <f>J405+J424+J436+J447+J457</f>
        <v>#REF!</v>
      </c>
      <c r="K403" s="337" t="e">
        <f>K405+K424+K436+K447+K457+K470</f>
        <v>#REF!</v>
      </c>
      <c r="L403" s="337" t="e">
        <f>L405+L424+L436+L447+L457+L470</f>
        <v>#REF!</v>
      </c>
      <c r="M403" s="337" t="e">
        <f>M405+M424+M436+M447+M457+M470</f>
        <v>#REF!</v>
      </c>
      <c r="N403" s="337" t="e">
        <f>M403+L403</f>
        <v>#REF!</v>
      </c>
      <c r="O403" s="337" t="e">
        <f>+N403-K403</f>
        <v>#REF!</v>
      </c>
      <c r="P403" s="338" t="e">
        <f>+N403/K403*100</f>
        <v>#REF!</v>
      </c>
      <c r="Q403" s="432"/>
      <c r="R403" s="639"/>
    </row>
    <row r="404" spans="1:19" s="189" customFormat="1" ht="12.05" hidden="1" customHeight="1">
      <c r="A404" s="657"/>
      <c r="B404" s="578"/>
      <c r="C404" s="578"/>
      <c r="D404" s="578"/>
      <c r="E404" s="578"/>
      <c r="F404" s="578"/>
      <c r="J404" s="333"/>
      <c r="K404" s="334"/>
      <c r="L404" s="334"/>
      <c r="M404" s="334"/>
      <c r="N404" s="334"/>
      <c r="O404" s="334"/>
      <c r="P404" s="335"/>
      <c r="Q404" s="430"/>
      <c r="R404" s="422"/>
    </row>
    <row r="405" spans="1:19" s="189" customFormat="1" ht="12.05" customHeight="1">
      <c r="A405" s="797"/>
      <c r="B405" s="798" t="s">
        <v>58</v>
      </c>
      <c r="C405" s="798" t="s">
        <v>849</v>
      </c>
      <c r="D405" s="798" t="s">
        <v>440</v>
      </c>
      <c r="E405" s="798" t="s">
        <v>438</v>
      </c>
      <c r="F405" s="799"/>
      <c r="G405" s="800" t="s">
        <v>157</v>
      </c>
      <c r="H405" s="801"/>
      <c r="I405" s="801"/>
      <c r="J405" s="807" t="e">
        <f>+J407</f>
        <v>#REF!</v>
      </c>
      <c r="K405" s="808" t="e">
        <f>+K407</f>
        <v>#REF!</v>
      </c>
      <c r="L405" s="808" t="e">
        <f>+L407</f>
        <v>#REF!</v>
      </c>
      <c r="M405" s="808" t="e">
        <f>+M407</f>
        <v>#REF!</v>
      </c>
      <c r="N405" s="808" t="e">
        <f>+M405+L405</f>
        <v>#REF!</v>
      </c>
      <c r="O405" s="808" t="e">
        <f t="shared" si="65"/>
        <v>#REF!</v>
      </c>
      <c r="P405" s="809" t="e">
        <f>N405/K405*100</f>
        <v>#REF!</v>
      </c>
      <c r="Q405" s="820"/>
      <c r="R405" s="422"/>
    </row>
    <row r="406" spans="1:19" s="189" customFormat="1" ht="12.05" customHeight="1">
      <c r="A406" s="471"/>
      <c r="B406" s="287"/>
      <c r="C406" s="287"/>
      <c r="D406" s="287"/>
      <c r="E406" s="287"/>
      <c r="F406" s="287"/>
      <c r="G406" s="410"/>
      <c r="H406" s="410"/>
      <c r="I406" s="410"/>
      <c r="J406" s="342"/>
      <c r="K406" s="343"/>
      <c r="L406" s="343"/>
      <c r="M406" s="343"/>
      <c r="N406" s="492"/>
      <c r="O406" s="492"/>
      <c r="P406" s="487"/>
      <c r="Q406" s="437"/>
      <c r="R406" s="422"/>
    </row>
    <row r="407" spans="1:19" s="189" customFormat="1" ht="12.05" customHeight="1">
      <c r="A407" s="303"/>
      <c r="B407" s="290">
        <v>4</v>
      </c>
      <c r="C407" s="290">
        <v>1</v>
      </c>
      <c r="D407" s="290"/>
      <c r="E407" s="290"/>
      <c r="F407" s="290"/>
      <c r="G407" s="291" t="s">
        <v>180</v>
      </c>
      <c r="H407" s="291"/>
      <c r="I407" s="291"/>
      <c r="J407" s="518" t="e">
        <f>J409+J417</f>
        <v>#REF!</v>
      </c>
      <c r="K407" s="519" t="e">
        <f>K409+K417</f>
        <v>#REF!</v>
      </c>
      <c r="L407" s="519" t="e">
        <f>L409+L417</f>
        <v>#REF!</v>
      </c>
      <c r="M407" s="519" t="e">
        <f>M409+M417</f>
        <v>#REF!</v>
      </c>
      <c r="N407" s="519" t="e">
        <f>N409+N417</f>
        <v>#REF!</v>
      </c>
      <c r="O407" s="343" t="e">
        <f>N407-K407</f>
        <v>#REF!</v>
      </c>
      <c r="P407" s="344" t="e">
        <f>N407/K407*100</f>
        <v>#REF!</v>
      </c>
      <c r="Q407" s="559"/>
      <c r="R407" s="422"/>
    </row>
    <row r="408" spans="1:19" s="189" customFormat="1" ht="12.05" customHeight="1">
      <c r="A408" s="293"/>
      <c r="B408" s="292"/>
      <c r="C408" s="292"/>
      <c r="D408" s="292"/>
      <c r="E408" s="292"/>
      <c r="F408" s="292"/>
      <c r="G408" s="253"/>
      <c r="H408" s="253"/>
      <c r="I408" s="253"/>
      <c r="J408" s="387"/>
      <c r="K408" s="367"/>
      <c r="L408" s="367"/>
      <c r="M408" s="367"/>
      <c r="N408" s="367"/>
      <c r="O408" s="367"/>
      <c r="P408" s="347"/>
      <c r="Q408" s="454"/>
      <c r="R408" s="422"/>
    </row>
    <row r="409" spans="1:19" s="189" customFormat="1" ht="12.05" customHeight="1">
      <c r="A409" s="303"/>
      <c r="B409" s="290">
        <v>4</v>
      </c>
      <c r="C409" s="290">
        <v>1</v>
      </c>
      <c r="D409" s="290">
        <v>2</v>
      </c>
      <c r="E409" s="290"/>
      <c r="F409" s="290"/>
      <c r="G409" s="291" t="s">
        <v>106</v>
      </c>
      <c r="H409" s="291"/>
      <c r="I409" s="253"/>
      <c r="J409" s="348" t="e">
        <f>+J411</f>
        <v>#REF!</v>
      </c>
      <c r="K409" s="349" t="e">
        <f>+K411</f>
        <v>#REF!</v>
      </c>
      <c r="L409" s="589" t="e">
        <f>+L411</f>
        <v>#REF!</v>
      </c>
      <c r="M409" s="349" t="e">
        <f>+M411</f>
        <v>#REF!</v>
      </c>
      <c r="N409" s="349" t="e">
        <f>+N411</f>
        <v>#REF!</v>
      </c>
      <c r="O409" s="349" t="e">
        <f>N409-K409</f>
        <v>#REF!</v>
      </c>
      <c r="P409" s="350" t="e">
        <f>N409/K409*100</f>
        <v>#REF!</v>
      </c>
      <c r="Q409" s="439"/>
      <c r="R409" s="422"/>
    </row>
    <row r="410" spans="1:19" s="189" customFormat="1" ht="12.05" customHeight="1">
      <c r="A410" s="303"/>
      <c r="B410" s="292"/>
      <c r="C410" s="292"/>
      <c r="D410" s="292"/>
      <c r="E410" s="292"/>
      <c r="F410" s="292"/>
      <c r="G410" s="253"/>
      <c r="H410" s="253"/>
      <c r="I410" s="253"/>
      <c r="J410" s="354"/>
      <c r="K410" s="355"/>
      <c r="L410" s="360"/>
      <c r="M410" s="355"/>
      <c r="N410" s="355"/>
      <c r="O410" s="355"/>
      <c r="P410" s="388"/>
      <c r="Q410" s="441"/>
      <c r="R410" s="422"/>
    </row>
    <row r="411" spans="1:19" s="189" customFormat="1" ht="12.05" customHeight="1">
      <c r="A411" s="303"/>
      <c r="B411" s="292">
        <v>4</v>
      </c>
      <c r="C411" s="292">
        <v>1</v>
      </c>
      <c r="D411" s="292">
        <v>2</v>
      </c>
      <c r="E411" s="292" t="s">
        <v>438</v>
      </c>
      <c r="F411" s="292"/>
      <c r="G411" s="253" t="s">
        <v>109</v>
      </c>
      <c r="H411" s="253"/>
      <c r="I411" s="253"/>
      <c r="J411" s="746" t="e">
        <f>J412</f>
        <v>#REF!</v>
      </c>
      <c r="K411" s="676" t="e">
        <f>K412</f>
        <v>#REF!</v>
      </c>
      <c r="L411" s="675" t="e">
        <f>L412</f>
        <v>#REF!</v>
      </c>
      <c r="M411" s="676" t="e">
        <f>M412</f>
        <v>#REF!</v>
      </c>
      <c r="N411" s="676" t="e">
        <f>N412</f>
        <v>#REF!</v>
      </c>
      <c r="O411" s="492" t="e">
        <f>N411-K411</f>
        <v>#REF!</v>
      </c>
      <c r="P411" s="493" t="e">
        <f>N411/K411*100</f>
        <v>#REF!</v>
      </c>
      <c r="Q411" s="430"/>
      <c r="R411" s="422"/>
    </row>
    <row r="412" spans="1:19" s="252" customFormat="1" ht="15.05">
      <c r="A412" s="294"/>
      <c r="B412" s="292">
        <v>4</v>
      </c>
      <c r="C412" s="292">
        <v>1</v>
      </c>
      <c r="D412" s="292">
        <v>2</v>
      </c>
      <c r="E412" s="292" t="s">
        <v>437</v>
      </c>
      <c r="F412" s="292" t="s">
        <v>437</v>
      </c>
      <c r="G412" s="253" t="s">
        <v>64</v>
      </c>
      <c r="H412" s="253"/>
      <c r="I412" s="253"/>
      <c r="J412" s="810" t="e">
        <f>SUM(J413,J414,J415,#REF!,#REF!,#REF!,#REF!,#REF!,#REF!)</f>
        <v>#REF!</v>
      </c>
      <c r="K412" s="594" t="e">
        <f>SUM(K413,K414,K415,#REF!,#REF!,#REF!,#REF!,#REF!,#REF!)</f>
        <v>#REF!</v>
      </c>
      <c r="L412" s="811" t="e">
        <f>SUM(L413,L414,L415,#REF!,#REF!,#REF!,#REF!,#REF!,#REF!)</f>
        <v>#REF!</v>
      </c>
      <c r="M412" s="594" t="e">
        <f>SUM(M413,M414,M415,#REF!,#REF!,#REF!,#REF!,#REF!,#REF!)</f>
        <v>#REF!</v>
      </c>
      <c r="N412" s="812" t="e">
        <f>SUM(N413:N415,#REF!,#REF!,#REF!:#REF!)</f>
        <v>#REF!</v>
      </c>
      <c r="O412" s="813" t="e">
        <f>N412-K412</f>
        <v>#REF!</v>
      </c>
      <c r="P412" s="814" t="e">
        <f>N412/K412*100</f>
        <v>#REF!</v>
      </c>
      <c r="Q412" s="642"/>
      <c r="R412" s="821"/>
      <c r="S412" s="822"/>
    </row>
    <row r="413" spans="1:19" s="252" customFormat="1" ht="12.05" customHeight="1">
      <c r="A413" s="293"/>
      <c r="B413" s="292"/>
      <c r="C413" s="292"/>
      <c r="D413" s="292"/>
      <c r="E413" s="292"/>
      <c r="F413" s="292"/>
      <c r="G413" s="253" t="s">
        <v>50</v>
      </c>
      <c r="H413" s="253"/>
      <c r="I413" s="253" t="s">
        <v>503</v>
      </c>
      <c r="J413" s="354">
        <v>30000000</v>
      </c>
      <c r="K413" s="373">
        <f>'[57]TARGET MURNI DAN PERUBAHAN'!$E$214</f>
        <v>30000000</v>
      </c>
      <c r="L413" s="360">
        <f>[62]PerDinas!$N$413</f>
        <v>23594831</v>
      </c>
      <c r="M413" s="373">
        <f>[55]Perdinas!$E$261</f>
        <v>1300000</v>
      </c>
      <c r="N413" s="355">
        <f>M413+L413</f>
        <v>24894831</v>
      </c>
      <c r="O413" s="355">
        <f>N413-K413</f>
        <v>-5105169</v>
      </c>
      <c r="P413" s="388">
        <f>N413/K413*100</f>
        <v>82.982769999999988</v>
      </c>
      <c r="Q413" s="441"/>
      <c r="R413" s="738"/>
    </row>
    <row r="414" spans="1:19" s="252" customFormat="1" ht="12.05" customHeight="1">
      <c r="A414" s="293"/>
      <c r="B414" s="292"/>
      <c r="C414" s="292"/>
      <c r="D414" s="292"/>
      <c r="E414" s="292"/>
      <c r="F414" s="292"/>
      <c r="G414" s="253" t="s">
        <v>50</v>
      </c>
      <c r="H414" s="253"/>
      <c r="I414" s="253" t="s">
        <v>504</v>
      </c>
      <c r="J414" s="374">
        <v>20000000</v>
      </c>
      <c r="K414" s="376">
        <f>'[57]TARGET MURNI DAN PERUBAHAN'!$E$215</f>
        <v>20000000</v>
      </c>
      <c r="L414" s="360">
        <f>[62]PerDinas!$N$414</f>
        <v>43030700</v>
      </c>
      <c r="M414" s="376">
        <f>[55]Perdinas!$E$262</f>
        <v>1300000</v>
      </c>
      <c r="N414" s="334">
        <f>M414+L414</f>
        <v>44330700</v>
      </c>
      <c r="O414" s="334">
        <f>N414-K414</f>
        <v>24330700</v>
      </c>
      <c r="P414" s="335">
        <f>N414/K414*100</f>
        <v>221.65349999999998</v>
      </c>
      <c r="Q414" s="449"/>
      <c r="R414" s="738"/>
    </row>
    <row r="415" spans="1:19" s="252" customFormat="1" ht="12.05" customHeight="1">
      <c r="A415" s="293"/>
      <c r="B415" s="292"/>
      <c r="C415" s="292"/>
      <c r="D415" s="292"/>
      <c r="E415" s="292"/>
      <c r="F415" s="292"/>
      <c r="G415" s="253" t="s">
        <v>50</v>
      </c>
      <c r="H415" s="253"/>
      <c r="I415" s="253" t="s">
        <v>505</v>
      </c>
      <c r="J415" s="374">
        <v>75000000</v>
      </c>
      <c r="K415" s="375">
        <f>'[57]TARGET MURNI DAN PERUBAHAN'!$E$216</f>
        <v>75000000</v>
      </c>
      <c r="L415" s="360">
        <f>[62]PerDinas!$N$415</f>
        <v>1137500</v>
      </c>
      <c r="M415" s="375">
        <f>[55]Perdinas!$E$263</f>
        <v>910000</v>
      </c>
      <c r="N415" s="334">
        <f>M415+L415</f>
        <v>2047500</v>
      </c>
      <c r="O415" s="355">
        <f>N415-K415</f>
        <v>-72952500</v>
      </c>
      <c r="P415" s="388">
        <f>N415/K415*100</f>
        <v>2.73</v>
      </c>
      <c r="Q415" s="448"/>
      <c r="R415" s="738"/>
    </row>
    <row r="416" spans="1:19" s="189" customFormat="1" ht="12.05" customHeight="1">
      <c r="A416" s="293"/>
      <c r="B416" s="292"/>
      <c r="C416" s="292"/>
      <c r="D416" s="292"/>
      <c r="E416" s="292"/>
      <c r="F416" s="292"/>
      <c r="G416" s="291"/>
      <c r="H416" s="291"/>
      <c r="I416" s="253"/>
      <c r="J416" s="387"/>
      <c r="K416" s="367"/>
      <c r="L416" s="660"/>
      <c r="M416" s="346"/>
      <c r="N416" s="346"/>
      <c r="O416" s="355"/>
      <c r="P416" s="335"/>
      <c r="Q416" s="437"/>
      <c r="R416" s="554"/>
    </row>
    <row r="417" spans="1:18" s="189" customFormat="1" ht="12.05" customHeight="1">
      <c r="A417" s="303"/>
      <c r="B417" s="290">
        <v>4</v>
      </c>
      <c r="C417" s="290">
        <v>1</v>
      </c>
      <c r="D417" s="290">
        <v>4</v>
      </c>
      <c r="E417" s="290"/>
      <c r="F417" s="290"/>
      <c r="G417" s="291" t="s">
        <v>71</v>
      </c>
      <c r="H417" s="291"/>
      <c r="I417" s="291"/>
      <c r="J417" s="392" t="e">
        <f>J418+#REF!+#REF!+#REF!</f>
        <v>#REF!</v>
      </c>
      <c r="K417" s="393">
        <f>SUM(K418:K422)</f>
        <v>2100000000</v>
      </c>
      <c r="L417" s="393">
        <f>SUM(L418:L422)</f>
        <v>138750000</v>
      </c>
      <c r="M417" s="393">
        <f>SUM(M418:M422)</f>
        <v>0</v>
      </c>
      <c r="N417" s="393">
        <f>M417+L417</f>
        <v>138750000</v>
      </c>
      <c r="O417" s="349">
        <f t="shared" ref="O417:O424" si="66">N417-K417</f>
        <v>-1961250000</v>
      </c>
      <c r="P417" s="350">
        <f>N417/K417*100</f>
        <v>6.6071428571428577</v>
      </c>
      <c r="Q417" s="444"/>
      <c r="R417" s="554"/>
    </row>
    <row r="418" spans="1:18" s="190" customFormat="1" ht="12.05" customHeight="1">
      <c r="A418" s="303"/>
      <c r="B418" s="292">
        <v>4</v>
      </c>
      <c r="C418" s="292">
        <v>1</v>
      </c>
      <c r="D418" s="292">
        <v>4</v>
      </c>
      <c r="E418" s="292" t="s">
        <v>441</v>
      </c>
      <c r="F418" s="292" t="s">
        <v>437</v>
      </c>
      <c r="G418" s="253" t="s">
        <v>324</v>
      </c>
      <c r="H418" s="291"/>
      <c r="I418" s="291"/>
      <c r="J418" s="678">
        <f>SUM(J419:J422)</f>
        <v>221267550</v>
      </c>
      <c r="K418" s="815">
        <f>SUM(K419:K422)</f>
        <v>1050000000</v>
      </c>
      <c r="L418" s="816">
        <f>SUM(L419:L422)</f>
        <v>69375000</v>
      </c>
      <c r="M418" s="815">
        <f>SUM(M419:M422)</f>
        <v>0</v>
      </c>
      <c r="N418" s="815">
        <f t="shared" ref="N418:N423" si="67">M418+L418</f>
        <v>69375000</v>
      </c>
      <c r="O418" s="534">
        <f t="shared" si="66"/>
        <v>-980625000</v>
      </c>
      <c r="P418" s="535">
        <f>N418/K418*100</f>
        <v>6.6071428571428577</v>
      </c>
      <c r="Q418" s="823"/>
      <c r="R418" s="554"/>
    </row>
    <row r="419" spans="1:18" s="189" customFormat="1" ht="12.05" customHeight="1">
      <c r="A419" s="303"/>
      <c r="B419" s="292">
        <v>4</v>
      </c>
      <c r="C419" s="292">
        <v>1</v>
      </c>
      <c r="D419" s="292">
        <v>4</v>
      </c>
      <c r="E419" s="292" t="s">
        <v>444</v>
      </c>
      <c r="F419" s="292" t="s">
        <v>440</v>
      </c>
      <c r="G419" s="253" t="s">
        <v>73</v>
      </c>
      <c r="H419" s="253"/>
      <c r="I419" s="253"/>
      <c r="J419" s="708">
        <v>120000000</v>
      </c>
      <c r="K419" s="661">
        <f>'[57]TARGET MURNI DAN PERUBAHAN'!$E$234</f>
        <v>0</v>
      </c>
      <c r="L419" s="391">
        <f>[62]PerDinas!$N$433</f>
        <v>0</v>
      </c>
      <c r="M419" s="661">
        <f>[55]Perdinas!$E$305</f>
        <v>0</v>
      </c>
      <c r="N419" s="334">
        <f t="shared" si="67"/>
        <v>0</v>
      </c>
      <c r="O419" s="334">
        <f t="shared" si="66"/>
        <v>0</v>
      </c>
      <c r="P419" s="335" t="e">
        <f>N419/K419*100</f>
        <v>#DIV/0!</v>
      </c>
      <c r="Q419" s="732"/>
      <c r="R419" s="554"/>
    </row>
    <row r="420" spans="1:18" s="189" customFormat="1" ht="12.05" customHeight="1">
      <c r="A420" s="303"/>
      <c r="B420" s="292">
        <v>4</v>
      </c>
      <c r="C420" s="292">
        <v>1</v>
      </c>
      <c r="D420" s="292">
        <v>4</v>
      </c>
      <c r="E420" s="292" t="s">
        <v>444</v>
      </c>
      <c r="F420" s="292" t="s">
        <v>445</v>
      </c>
      <c r="G420" s="253" t="s">
        <v>74</v>
      </c>
      <c r="H420" s="253"/>
      <c r="I420" s="253"/>
      <c r="J420" s="708">
        <v>101267550</v>
      </c>
      <c r="K420" s="375">
        <f>'[57]TARGET MURNI DAN PERUBAHAN'!$E$235</f>
        <v>1050000000</v>
      </c>
      <c r="L420" s="360">
        <f>[62]PerDinas!$N$434</f>
        <v>6875000</v>
      </c>
      <c r="M420" s="375">
        <f>[55]Perdinas!$E$306</f>
        <v>0</v>
      </c>
      <c r="N420" s="369">
        <f t="shared" si="67"/>
        <v>6875000</v>
      </c>
      <c r="O420" s="355">
        <f t="shared" si="66"/>
        <v>-1043125000</v>
      </c>
      <c r="P420" s="388">
        <v>0</v>
      </c>
      <c r="Q420" s="732"/>
      <c r="R420" s="554"/>
    </row>
    <row r="421" spans="1:18" s="189" customFormat="1" ht="12.05" customHeight="1">
      <c r="A421" s="303"/>
      <c r="B421" s="292">
        <v>4</v>
      </c>
      <c r="C421" s="292">
        <v>1</v>
      </c>
      <c r="D421" s="292">
        <v>4</v>
      </c>
      <c r="E421" s="292" t="s">
        <v>444</v>
      </c>
      <c r="F421" s="292" t="s">
        <v>441</v>
      </c>
      <c r="G421" s="253" t="s">
        <v>75</v>
      </c>
      <c r="H421" s="253"/>
      <c r="I421" s="253"/>
      <c r="J421" s="374">
        <v>0</v>
      </c>
      <c r="K421" s="375">
        <f>'[57]TARGET MURNI DAN PERUBAHAN'!$E$236</f>
        <v>0</v>
      </c>
      <c r="L421" s="360">
        <f>[62]PerDinas!$N$435</f>
        <v>0</v>
      </c>
      <c r="M421" s="375">
        <f>[55]Perdinas!$E$307</f>
        <v>0</v>
      </c>
      <c r="N421" s="355">
        <f t="shared" si="67"/>
        <v>0</v>
      </c>
      <c r="O421" s="355">
        <f t="shared" si="66"/>
        <v>0</v>
      </c>
      <c r="P421" s="388">
        <v>0</v>
      </c>
      <c r="Q421" s="448"/>
      <c r="R421" s="554"/>
    </row>
    <row r="422" spans="1:18" s="189" customFormat="1" ht="12.05" customHeight="1">
      <c r="A422" s="303"/>
      <c r="B422" s="292">
        <v>4</v>
      </c>
      <c r="C422" s="292">
        <v>1</v>
      </c>
      <c r="D422" s="292">
        <v>4</v>
      </c>
      <c r="E422" s="292" t="s">
        <v>948</v>
      </c>
      <c r="F422" s="292" t="s">
        <v>437</v>
      </c>
      <c r="G422" s="253" t="s">
        <v>321</v>
      </c>
      <c r="H422" s="253"/>
      <c r="I422" s="253"/>
      <c r="J422" s="679">
        <v>0</v>
      </c>
      <c r="K422" s="691">
        <f>'[57]TARGET MURNI DAN PERUBAHAN'!$E$237</f>
        <v>0</v>
      </c>
      <c r="L422" s="360">
        <f>[62]PerDinas!$N$436</f>
        <v>62500000</v>
      </c>
      <c r="M422" s="691">
        <f>[55]Perdinas!$E$308</f>
        <v>0</v>
      </c>
      <c r="N422" s="817">
        <f t="shared" si="67"/>
        <v>62500000</v>
      </c>
      <c r="O422" s="352">
        <f t="shared" si="66"/>
        <v>62500000</v>
      </c>
      <c r="P422" s="388">
        <v>0</v>
      </c>
      <c r="Q422" s="449"/>
      <c r="R422" s="554"/>
    </row>
    <row r="423" spans="1:18" s="245" customFormat="1" ht="12.05" customHeight="1">
      <c r="A423" s="472"/>
      <c r="B423" s="305"/>
      <c r="C423" s="305"/>
      <c r="D423" s="305"/>
      <c r="E423" s="305"/>
      <c r="F423" s="305"/>
      <c r="G423" s="802"/>
      <c r="H423" s="5905"/>
      <c r="I423" s="5906"/>
      <c r="J423" s="499">
        <v>0</v>
      </c>
      <c r="K423" s="379">
        <f>'[57]TARGET MURNI DAN PERUBAHAN'!$E$257</f>
        <v>0</v>
      </c>
      <c r="L423" s="818">
        <f>[62]PerDinas!$N$462</f>
        <v>0</v>
      </c>
      <c r="M423" s="379">
        <f>[60]Perdinas!$E$257</f>
        <v>0</v>
      </c>
      <c r="N423" s="380">
        <f t="shared" si="67"/>
        <v>0</v>
      </c>
      <c r="O423" s="380">
        <f t="shared" si="66"/>
        <v>0</v>
      </c>
      <c r="P423" s="501"/>
      <c r="Q423" s="549"/>
      <c r="R423" s="450"/>
    </row>
    <row r="424" spans="1:18" s="189" customFormat="1" ht="12.05" customHeight="1">
      <c r="A424" s="803"/>
      <c r="B424" s="798" t="s">
        <v>58</v>
      </c>
      <c r="C424" s="798" t="s">
        <v>849</v>
      </c>
      <c r="D424" s="798" t="s">
        <v>440</v>
      </c>
      <c r="E424" s="798" t="s">
        <v>438</v>
      </c>
      <c r="F424" s="799"/>
      <c r="G424" s="804" t="s">
        <v>1037</v>
      </c>
      <c r="H424" s="801"/>
      <c r="I424" s="804"/>
      <c r="J424" s="807">
        <f>+J426</f>
        <v>500000</v>
      </c>
      <c r="K424" s="808">
        <f>+K426</f>
        <v>0</v>
      </c>
      <c r="L424" s="808">
        <f>+L426</f>
        <v>0</v>
      </c>
      <c r="M424" s="808">
        <f>+M426</f>
        <v>0</v>
      </c>
      <c r="N424" s="808">
        <f>+M424+L424</f>
        <v>0</v>
      </c>
      <c r="O424" s="808">
        <f t="shared" si="66"/>
        <v>0</v>
      </c>
      <c r="P424" s="809" t="e">
        <f>N424/K424*100</f>
        <v>#DIV/0!</v>
      </c>
      <c r="Q424" s="820"/>
      <c r="R424" s="422"/>
    </row>
    <row r="425" spans="1:18" s="189" customFormat="1" ht="12.05" customHeight="1">
      <c r="A425" s="471"/>
      <c r="B425" s="287"/>
      <c r="C425" s="287"/>
      <c r="D425" s="287"/>
      <c r="E425" s="287"/>
      <c r="F425" s="287"/>
      <c r="G425" s="410"/>
      <c r="H425" s="410"/>
      <c r="I425" s="410"/>
      <c r="J425" s="342"/>
      <c r="K425" s="343"/>
      <c r="L425" s="343"/>
      <c r="M425" s="343"/>
      <c r="N425" s="492"/>
      <c r="O425" s="492"/>
      <c r="P425" s="487"/>
      <c r="Q425" s="437"/>
      <c r="R425" s="422"/>
    </row>
    <row r="426" spans="1:18" s="189" customFormat="1" ht="12.05" customHeight="1">
      <c r="A426" s="293"/>
      <c r="B426" s="290">
        <v>4</v>
      </c>
      <c r="C426" s="290">
        <v>1</v>
      </c>
      <c r="D426" s="290"/>
      <c r="E426" s="290"/>
      <c r="F426" s="290"/>
      <c r="G426" s="291" t="s">
        <v>180</v>
      </c>
      <c r="H426" s="291"/>
      <c r="I426" s="291"/>
      <c r="J426" s="518">
        <f>J428</f>
        <v>500000</v>
      </c>
      <c r="K426" s="519">
        <f>K428</f>
        <v>0</v>
      </c>
      <c r="L426" s="519">
        <f>L428+L497</f>
        <v>0</v>
      </c>
      <c r="M426" s="519">
        <f>M428+M497</f>
        <v>0</v>
      </c>
      <c r="N426" s="519">
        <f>N428+N497</f>
        <v>0</v>
      </c>
      <c r="O426" s="343">
        <f t="shared" ref="O426:O432" si="68">N426-K426</f>
        <v>0</v>
      </c>
      <c r="P426" s="344" t="e">
        <f>N426/K426*100</f>
        <v>#DIV/0!</v>
      </c>
      <c r="Q426" s="559"/>
      <c r="R426" s="422"/>
    </row>
    <row r="427" spans="1:18" s="189" customFormat="1" ht="12.05" customHeight="1">
      <c r="A427" s="293"/>
      <c r="B427" s="292"/>
      <c r="C427" s="292"/>
      <c r="D427" s="292"/>
      <c r="E427" s="292"/>
      <c r="F427" s="292"/>
      <c r="G427" s="253"/>
      <c r="H427" s="253"/>
      <c r="I427" s="253"/>
      <c r="J427" s="354"/>
      <c r="K427" s="355"/>
      <c r="L427" s="355"/>
      <c r="M427" s="355"/>
      <c r="N427" s="355"/>
      <c r="O427" s="355"/>
      <c r="P427" s="199"/>
      <c r="Q427" s="824"/>
      <c r="R427" s="422"/>
    </row>
    <row r="428" spans="1:18" s="189" customFormat="1" ht="12.05" customHeight="1">
      <c r="A428" s="293"/>
      <c r="B428" s="290">
        <v>4</v>
      </c>
      <c r="C428" s="290">
        <v>1</v>
      </c>
      <c r="D428" s="290">
        <v>4</v>
      </c>
      <c r="E428" s="290"/>
      <c r="F428" s="290"/>
      <c r="G428" s="291" t="s">
        <v>71</v>
      </c>
      <c r="H428" s="291"/>
      <c r="I428" s="291"/>
      <c r="J428" s="397">
        <f>J429+J434</f>
        <v>500000</v>
      </c>
      <c r="K428" s="398">
        <f>K429+K434</f>
        <v>0</v>
      </c>
      <c r="L428" s="398">
        <f>L429+L434</f>
        <v>0</v>
      </c>
      <c r="M428" s="398">
        <f>M429+M434</f>
        <v>0</v>
      </c>
      <c r="N428" s="398">
        <f>N429+N434</f>
        <v>0</v>
      </c>
      <c r="O428" s="367">
        <f t="shared" si="68"/>
        <v>0</v>
      </c>
      <c r="P428" s="347" t="e">
        <f>N428/K428*100</f>
        <v>#DIV/0!</v>
      </c>
      <c r="Q428" s="699"/>
      <c r="R428" s="422"/>
    </row>
    <row r="429" spans="1:18" s="189" customFormat="1" ht="12.05" customHeight="1">
      <c r="A429" s="293"/>
      <c r="B429" s="292">
        <v>4</v>
      </c>
      <c r="C429" s="292">
        <v>1</v>
      </c>
      <c r="D429" s="292">
        <v>4</v>
      </c>
      <c r="E429" s="292" t="s">
        <v>444</v>
      </c>
      <c r="F429" s="292"/>
      <c r="G429" s="253" t="s">
        <v>222</v>
      </c>
      <c r="H429" s="253"/>
      <c r="I429" s="253"/>
      <c r="J429" s="484">
        <v>0</v>
      </c>
      <c r="K429" s="485">
        <v>0</v>
      </c>
      <c r="L429" s="485">
        <f>SUM(L430:L432)</f>
        <v>0</v>
      </c>
      <c r="M429" s="485">
        <f>SUM(M430:M432)</f>
        <v>0</v>
      </c>
      <c r="N429" s="485">
        <f>SUM(N430:N432)</f>
        <v>0</v>
      </c>
      <c r="O429" s="485"/>
      <c r="P429" s="597"/>
      <c r="Q429" s="541"/>
      <c r="R429" s="422"/>
    </row>
    <row r="430" spans="1:18" s="189" customFormat="1" ht="12.05" customHeight="1">
      <c r="A430" s="293"/>
      <c r="B430" s="292">
        <v>4</v>
      </c>
      <c r="C430" s="292">
        <v>1</v>
      </c>
      <c r="D430" s="292">
        <v>4</v>
      </c>
      <c r="E430" s="292" t="s">
        <v>444</v>
      </c>
      <c r="F430" s="292" t="s">
        <v>440</v>
      </c>
      <c r="G430" s="253" t="s">
        <v>73</v>
      </c>
      <c r="H430" s="253"/>
      <c r="I430" s="253"/>
      <c r="J430" s="354">
        <v>0</v>
      </c>
      <c r="K430" s="355">
        <v>0</v>
      </c>
      <c r="L430" s="355">
        <v>0</v>
      </c>
      <c r="M430" s="355">
        <v>0</v>
      </c>
      <c r="N430" s="355">
        <f>M430+L430</f>
        <v>0</v>
      </c>
      <c r="O430" s="355">
        <f t="shared" si="68"/>
        <v>0</v>
      </c>
      <c r="P430" s="388"/>
      <c r="Q430" s="441"/>
      <c r="R430" s="422"/>
    </row>
    <row r="431" spans="1:18" s="189" customFormat="1" ht="12.05" customHeight="1">
      <c r="A431" s="293"/>
      <c r="B431" s="292">
        <v>4</v>
      </c>
      <c r="C431" s="292">
        <v>1</v>
      </c>
      <c r="D431" s="292">
        <v>4</v>
      </c>
      <c r="E431" s="292" t="s">
        <v>444</v>
      </c>
      <c r="F431" s="292" t="s">
        <v>445</v>
      </c>
      <c r="G431" s="253" t="s">
        <v>74</v>
      </c>
      <c r="H431" s="253"/>
      <c r="I431" s="253"/>
      <c r="J431" s="354">
        <v>0</v>
      </c>
      <c r="K431" s="355">
        <v>0</v>
      </c>
      <c r="L431" s="355">
        <v>0</v>
      </c>
      <c r="M431" s="355">
        <v>0</v>
      </c>
      <c r="N431" s="355">
        <f>M431+L431</f>
        <v>0</v>
      </c>
      <c r="O431" s="355">
        <f t="shared" si="68"/>
        <v>0</v>
      </c>
      <c r="P431" s="388"/>
      <c r="Q431" s="441"/>
      <c r="R431" s="422"/>
    </row>
    <row r="432" spans="1:18" s="189" customFormat="1" ht="12.05" customHeight="1">
      <c r="A432" s="293"/>
      <c r="B432" s="292">
        <v>4</v>
      </c>
      <c r="C432" s="292">
        <v>1</v>
      </c>
      <c r="D432" s="292">
        <v>4</v>
      </c>
      <c r="E432" s="292" t="s">
        <v>444</v>
      </c>
      <c r="F432" s="292" t="s">
        <v>441</v>
      </c>
      <c r="G432" s="253" t="s">
        <v>75</v>
      </c>
      <c r="H432" s="253"/>
      <c r="I432" s="253"/>
      <c r="J432" s="374">
        <v>0</v>
      </c>
      <c r="K432" s="375">
        <f>'[57]TARGET MURNI DAN PERUBAHAN'!$E$260</f>
        <v>0</v>
      </c>
      <c r="L432" s="375">
        <v>0</v>
      </c>
      <c r="M432" s="375">
        <v>0</v>
      </c>
      <c r="N432" s="355">
        <f>M432+L432</f>
        <v>0</v>
      </c>
      <c r="O432" s="355">
        <f t="shared" si="68"/>
        <v>0</v>
      </c>
      <c r="P432" s="388"/>
      <c r="Q432" s="548"/>
      <c r="R432" s="422"/>
    </row>
    <row r="433" spans="1:18" s="189" customFormat="1" ht="12.05" customHeight="1">
      <c r="A433" s="293"/>
      <c r="B433" s="292"/>
      <c r="C433" s="292"/>
      <c r="D433" s="292"/>
      <c r="E433" s="292"/>
      <c r="F433" s="292"/>
      <c r="G433" s="253"/>
      <c r="H433" s="253"/>
      <c r="I433" s="253"/>
      <c r="J433" s="494"/>
      <c r="K433" s="495"/>
      <c r="L433" s="495"/>
      <c r="M433" s="495"/>
      <c r="N433" s="334"/>
      <c r="O433" s="334"/>
      <c r="P433" s="335"/>
      <c r="Q433" s="548"/>
      <c r="R433" s="422"/>
    </row>
    <row r="434" spans="1:18" s="189" customFormat="1" ht="12.05" customHeight="1">
      <c r="A434" s="293"/>
      <c r="B434" s="292" t="s">
        <v>443</v>
      </c>
      <c r="C434" s="292" t="s">
        <v>58</v>
      </c>
      <c r="D434" s="292" t="s">
        <v>443</v>
      </c>
      <c r="E434" s="292" t="s">
        <v>948</v>
      </c>
      <c r="F434" s="292"/>
      <c r="G434" s="253" t="s">
        <v>981</v>
      </c>
      <c r="H434" s="253"/>
      <c r="I434" s="253"/>
      <c r="J434" s="526">
        <f>J435</f>
        <v>500000</v>
      </c>
      <c r="K434" s="527">
        <f>K435</f>
        <v>0</v>
      </c>
      <c r="L434" s="527">
        <f>SUM(L435:L435)</f>
        <v>0</v>
      </c>
      <c r="M434" s="527">
        <f>SUM(M435:M435)</f>
        <v>0</v>
      </c>
      <c r="N434" s="527">
        <f>M434+L434</f>
        <v>0</v>
      </c>
      <c r="O434" s="527">
        <f>N434-K434</f>
        <v>0</v>
      </c>
      <c r="P434" s="671">
        <v>0</v>
      </c>
      <c r="Q434" s="548"/>
      <c r="R434" s="422"/>
    </row>
    <row r="435" spans="1:18" s="245" customFormat="1" ht="12.05" customHeight="1">
      <c r="A435" s="805"/>
      <c r="B435" s="305" t="s">
        <v>443</v>
      </c>
      <c r="C435" s="305" t="s">
        <v>58</v>
      </c>
      <c r="D435" s="305" t="s">
        <v>443</v>
      </c>
      <c r="E435" s="305" t="s">
        <v>948</v>
      </c>
      <c r="F435" s="305" t="s">
        <v>437</v>
      </c>
      <c r="G435" s="306" t="s">
        <v>50</v>
      </c>
      <c r="H435" s="306"/>
      <c r="I435" s="306" t="s">
        <v>85</v>
      </c>
      <c r="J435" s="482">
        <v>500000</v>
      </c>
      <c r="K435" s="404">
        <f>'[57]TARGET MURNI DAN PERUBAHAN'!$E$261</f>
        <v>0</v>
      </c>
      <c r="L435" s="404">
        <v>0</v>
      </c>
      <c r="M435" s="404">
        <v>0</v>
      </c>
      <c r="N435" s="404">
        <f>M435+L435</f>
        <v>0</v>
      </c>
      <c r="O435" s="404">
        <f>N435-K435</f>
        <v>0</v>
      </c>
      <c r="P435" s="483">
        <v>0</v>
      </c>
      <c r="Q435" s="733"/>
      <c r="R435" s="450"/>
    </row>
    <row r="436" spans="1:18" s="189" customFormat="1" ht="12.05" customHeight="1">
      <c r="A436" s="797"/>
      <c r="B436" s="798" t="s">
        <v>58</v>
      </c>
      <c r="C436" s="798" t="s">
        <v>849</v>
      </c>
      <c r="D436" s="798" t="s">
        <v>440</v>
      </c>
      <c r="E436" s="798" t="s">
        <v>438</v>
      </c>
      <c r="F436" s="799"/>
      <c r="G436" s="801" t="s">
        <v>163</v>
      </c>
      <c r="H436" s="801"/>
      <c r="I436" s="804" t="s">
        <v>1037</v>
      </c>
      <c r="J436" s="807">
        <f>+J438</f>
        <v>4000000</v>
      </c>
      <c r="K436" s="808">
        <f>+K438</f>
        <v>0</v>
      </c>
      <c r="L436" s="808">
        <f>+L438</f>
        <v>0</v>
      </c>
      <c r="M436" s="808">
        <f>+M438</f>
        <v>0</v>
      </c>
      <c r="N436" s="808">
        <f>+M436+L436</f>
        <v>0</v>
      </c>
      <c r="O436" s="808">
        <f>N436-K436</f>
        <v>0</v>
      </c>
      <c r="P436" s="809" t="e">
        <f>N436/K436*100</f>
        <v>#DIV/0!</v>
      </c>
      <c r="Q436" s="820"/>
      <c r="R436" s="422"/>
    </row>
    <row r="437" spans="1:18" s="189" customFormat="1" ht="12.05" customHeight="1">
      <c r="A437" s="706"/>
      <c r="B437" s="287"/>
      <c r="C437" s="287"/>
      <c r="D437" s="287"/>
      <c r="E437" s="287"/>
      <c r="F437" s="287"/>
      <c r="G437" s="410"/>
      <c r="H437" s="410"/>
      <c r="I437" s="410"/>
      <c r="J437" s="342"/>
      <c r="K437" s="343"/>
      <c r="L437" s="343"/>
      <c r="M437" s="343"/>
      <c r="N437" s="492"/>
      <c r="O437" s="492"/>
      <c r="P437" s="487"/>
      <c r="Q437" s="437"/>
      <c r="R437" s="422"/>
    </row>
    <row r="438" spans="1:18" s="189" customFormat="1" ht="12.05" customHeight="1">
      <c r="A438" s="303"/>
      <c r="B438" s="290">
        <v>4</v>
      </c>
      <c r="C438" s="290">
        <v>1</v>
      </c>
      <c r="D438" s="290"/>
      <c r="E438" s="290"/>
      <c r="F438" s="290"/>
      <c r="G438" s="291" t="s">
        <v>180</v>
      </c>
      <c r="H438" s="291"/>
      <c r="I438" s="291"/>
      <c r="J438" s="518">
        <f>J439</f>
        <v>4000000</v>
      </c>
      <c r="K438" s="519">
        <f>K439</f>
        <v>0</v>
      </c>
      <c r="L438" s="519">
        <f>L439</f>
        <v>0</v>
      </c>
      <c r="M438" s="519">
        <f>M439</f>
        <v>0</v>
      </c>
      <c r="N438" s="519">
        <f>N439</f>
        <v>0</v>
      </c>
      <c r="O438" s="343">
        <f t="shared" ref="O438:O443" si="69">N438-K438</f>
        <v>0</v>
      </c>
      <c r="P438" s="344" t="e">
        <f>N438/K438*100</f>
        <v>#DIV/0!</v>
      </c>
      <c r="Q438" s="559"/>
      <c r="R438" s="422"/>
    </row>
    <row r="439" spans="1:18" s="189" customFormat="1" ht="12.05" customHeight="1">
      <c r="A439" s="303"/>
      <c r="B439" s="290">
        <v>4</v>
      </c>
      <c r="C439" s="290">
        <v>1</v>
      </c>
      <c r="D439" s="290">
        <v>4</v>
      </c>
      <c r="E439" s="290"/>
      <c r="F439" s="290"/>
      <c r="G439" s="291" t="s">
        <v>71</v>
      </c>
      <c r="H439" s="291"/>
      <c r="I439" s="291"/>
      <c r="J439" s="397">
        <f>J440+J445</f>
        <v>4000000</v>
      </c>
      <c r="K439" s="398">
        <f>K440+K445</f>
        <v>0</v>
      </c>
      <c r="L439" s="398">
        <f>L440+L445</f>
        <v>0</v>
      </c>
      <c r="M439" s="398">
        <f>M440+M445</f>
        <v>0</v>
      </c>
      <c r="N439" s="398">
        <f>N440+N445</f>
        <v>0</v>
      </c>
      <c r="O439" s="367">
        <f t="shared" si="69"/>
        <v>0</v>
      </c>
      <c r="P439" s="347" t="e">
        <f>N439/K439*100</f>
        <v>#DIV/0!</v>
      </c>
      <c r="Q439" s="699"/>
      <c r="R439" s="422"/>
    </row>
    <row r="440" spans="1:18" s="189" customFormat="1" ht="12.05" customHeight="1">
      <c r="A440" s="303"/>
      <c r="B440" s="292">
        <v>4</v>
      </c>
      <c r="C440" s="292">
        <v>1</v>
      </c>
      <c r="D440" s="292">
        <v>4</v>
      </c>
      <c r="E440" s="292" t="s">
        <v>444</v>
      </c>
      <c r="F440" s="292"/>
      <c r="G440" s="253" t="s">
        <v>222</v>
      </c>
      <c r="H440" s="253"/>
      <c r="I440" s="253"/>
      <c r="J440" s="484">
        <v>0</v>
      </c>
      <c r="K440" s="485">
        <v>0</v>
      </c>
      <c r="L440" s="485">
        <f>SUM(L441:L443)</f>
        <v>0</v>
      </c>
      <c r="M440" s="485">
        <f>SUM(M441:M443)</f>
        <v>0</v>
      </c>
      <c r="N440" s="485">
        <f>SUM(N441:N443)</f>
        <v>0</v>
      </c>
      <c r="O440" s="485"/>
      <c r="P440" s="597"/>
      <c r="Q440" s="541"/>
      <c r="R440" s="422"/>
    </row>
    <row r="441" spans="1:18" s="189" customFormat="1" ht="12.05" customHeight="1">
      <c r="A441" s="303"/>
      <c r="B441" s="292">
        <v>4</v>
      </c>
      <c r="C441" s="292">
        <v>1</v>
      </c>
      <c r="D441" s="292">
        <v>4</v>
      </c>
      <c r="E441" s="292" t="s">
        <v>444</v>
      </c>
      <c r="F441" s="292" t="s">
        <v>440</v>
      </c>
      <c r="G441" s="253" t="s">
        <v>73</v>
      </c>
      <c r="H441" s="253"/>
      <c r="I441" s="253"/>
      <c r="J441" s="354">
        <v>0</v>
      </c>
      <c r="K441" s="355">
        <v>0</v>
      </c>
      <c r="L441" s="355">
        <v>0</v>
      </c>
      <c r="M441" s="355">
        <v>0</v>
      </c>
      <c r="N441" s="355">
        <f>M441+L441</f>
        <v>0</v>
      </c>
      <c r="O441" s="355">
        <f t="shared" si="69"/>
        <v>0</v>
      </c>
      <c r="P441" s="388"/>
      <c r="Q441" s="441"/>
      <c r="R441" s="422"/>
    </row>
    <row r="442" spans="1:18" s="189" customFormat="1" ht="12.05" customHeight="1">
      <c r="A442" s="303"/>
      <c r="B442" s="292">
        <v>4</v>
      </c>
      <c r="C442" s="292">
        <v>1</v>
      </c>
      <c r="D442" s="292">
        <v>4</v>
      </c>
      <c r="E442" s="292" t="s">
        <v>444</v>
      </c>
      <c r="F442" s="292" t="s">
        <v>445</v>
      </c>
      <c r="G442" s="253" t="s">
        <v>74</v>
      </c>
      <c r="H442" s="253"/>
      <c r="I442" s="253"/>
      <c r="J442" s="354">
        <v>0</v>
      </c>
      <c r="K442" s="355">
        <v>0</v>
      </c>
      <c r="L442" s="355">
        <v>0</v>
      </c>
      <c r="M442" s="355">
        <v>0</v>
      </c>
      <c r="N442" s="355">
        <f>M442+L442</f>
        <v>0</v>
      </c>
      <c r="O442" s="355">
        <f t="shared" si="69"/>
        <v>0</v>
      </c>
      <c r="P442" s="388"/>
      <c r="Q442" s="441"/>
      <c r="R442" s="422"/>
    </row>
    <row r="443" spans="1:18" s="189" customFormat="1" ht="12.05" customHeight="1">
      <c r="A443" s="303"/>
      <c r="B443" s="292">
        <v>4</v>
      </c>
      <c r="C443" s="292">
        <v>1</v>
      </c>
      <c r="D443" s="292">
        <v>4</v>
      </c>
      <c r="E443" s="292" t="s">
        <v>444</v>
      </c>
      <c r="F443" s="292" t="s">
        <v>441</v>
      </c>
      <c r="G443" s="253" t="s">
        <v>75</v>
      </c>
      <c r="H443" s="253"/>
      <c r="I443" s="253"/>
      <c r="J443" s="374">
        <v>0</v>
      </c>
      <c r="K443" s="375">
        <v>0</v>
      </c>
      <c r="L443" s="375">
        <v>0</v>
      </c>
      <c r="M443" s="375">
        <v>0</v>
      </c>
      <c r="N443" s="355">
        <f>M443+L443</f>
        <v>0</v>
      </c>
      <c r="O443" s="355">
        <f t="shared" si="69"/>
        <v>0</v>
      </c>
      <c r="P443" s="388"/>
      <c r="Q443" s="548"/>
      <c r="R443" s="422"/>
    </row>
    <row r="444" spans="1:18" s="189" customFormat="1" ht="12.05" customHeight="1">
      <c r="A444" s="303"/>
      <c r="B444" s="292"/>
      <c r="C444" s="292"/>
      <c r="D444" s="292"/>
      <c r="E444" s="292"/>
      <c r="F444" s="292"/>
      <c r="G444" s="253"/>
      <c r="H444" s="253"/>
      <c r="I444" s="253"/>
      <c r="J444" s="494"/>
      <c r="K444" s="495"/>
      <c r="L444" s="495"/>
      <c r="M444" s="495"/>
      <c r="N444" s="334"/>
      <c r="O444" s="334"/>
      <c r="P444" s="335"/>
      <c r="Q444" s="548"/>
      <c r="R444" s="422"/>
    </row>
    <row r="445" spans="1:18" s="189" customFormat="1" ht="12.05" customHeight="1">
      <c r="A445" s="303"/>
      <c r="B445" s="292" t="s">
        <v>443</v>
      </c>
      <c r="C445" s="292" t="s">
        <v>58</v>
      </c>
      <c r="D445" s="292" t="s">
        <v>443</v>
      </c>
      <c r="E445" s="292" t="s">
        <v>948</v>
      </c>
      <c r="F445" s="292"/>
      <c r="G445" s="253" t="s">
        <v>981</v>
      </c>
      <c r="H445" s="253"/>
      <c r="I445" s="253"/>
      <c r="J445" s="526">
        <f>J446</f>
        <v>4000000</v>
      </c>
      <c r="K445" s="527">
        <f>K446</f>
        <v>0</v>
      </c>
      <c r="L445" s="527">
        <f>SUM(L446:L446)</f>
        <v>0</v>
      </c>
      <c r="M445" s="527">
        <f>SUM(M446:M446)</f>
        <v>0</v>
      </c>
      <c r="N445" s="527">
        <f>M445+L445</f>
        <v>0</v>
      </c>
      <c r="O445" s="527">
        <f>N445-K445</f>
        <v>0</v>
      </c>
      <c r="P445" s="671">
        <v>0</v>
      </c>
      <c r="Q445" s="548"/>
      <c r="R445" s="422"/>
    </row>
    <row r="446" spans="1:18" s="245" customFormat="1" ht="12.05" customHeight="1">
      <c r="A446" s="805"/>
      <c r="B446" s="305" t="s">
        <v>443</v>
      </c>
      <c r="C446" s="305" t="s">
        <v>58</v>
      </c>
      <c r="D446" s="305" t="s">
        <v>443</v>
      </c>
      <c r="E446" s="305" t="s">
        <v>948</v>
      </c>
      <c r="F446" s="305" t="s">
        <v>437</v>
      </c>
      <c r="G446" s="306" t="s">
        <v>50</v>
      </c>
      <c r="H446" s="306"/>
      <c r="I446" s="306" t="s">
        <v>85</v>
      </c>
      <c r="J446" s="482">
        <v>4000000</v>
      </c>
      <c r="K446" s="404">
        <f>'[57]TARGET MURNI DAN PERUBAHAN'!$E$266</f>
        <v>0</v>
      </c>
      <c r="L446" s="673">
        <f>[62]PerDinas!$N$485</f>
        <v>0</v>
      </c>
      <c r="M446" s="404">
        <v>0</v>
      </c>
      <c r="N446" s="404">
        <f>M446+L446</f>
        <v>0</v>
      </c>
      <c r="O446" s="404">
        <f>N446-K446</f>
        <v>0</v>
      </c>
      <c r="P446" s="483">
        <v>0</v>
      </c>
      <c r="Q446" s="733"/>
      <c r="R446" s="450"/>
    </row>
    <row r="447" spans="1:18" s="189" customFormat="1" ht="14.1" customHeight="1">
      <c r="A447" s="797"/>
      <c r="B447" s="798" t="s">
        <v>58</v>
      </c>
      <c r="C447" s="798" t="s">
        <v>849</v>
      </c>
      <c r="D447" s="798" t="s">
        <v>440</v>
      </c>
      <c r="E447" s="798" t="s">
        <v>438</v>
      </c>
      <c r="F447" s="799"/>
      <c r="G447" s="801" t="s">
        <v>165</v>
      </c>
      <c r="H447" s="801"/>
      <c r="I447" s="804" t="s">
        <v>1038</v>
      </c>
      <c r="J447" s="807">
        <f>J448</f>
        <v>450000</v>
      </c>
      <c r="K447" s="808">
        <f>K448</f>
        <v>0</v>
      </c>
      <c r="L447" s="808">
        <f>+L449</f>
        <v>0</v>
      </c>
      <c r="M447" s="808">
        <f>+M449</f>
        <v>0</v>
      </c>
      <c r="N447" s="808">
        <f>+M447+L447</f>
        <v>0</v>
      </c>
      <c r="O447" s="808">
        <f>N447-K447</f>
        <v>0</v>
      </c>
      <c r="P447" s="809" t="e">
        <f>N447/K447*100</f>
        <v>#DIV/0!</v>
      </c>
      <c r="Q447" s="820"/>
      <c r="R447" s="422"/>
    </row>
    <row r="448" spans="1:18" s="189" customFormat="1" ht="14.1" customHeight="1">
      <c r="A448" s="706"/>
      <c r="B448" s="707">
        <v>4</v>
      </c>
      <c r="C448" s="707">
        <v>1</v>
      </c>
      <c r="D448" s="707"/>
      <c r="E448" s="707"/>
      <c r="F448" s="707"/>
      <c r="G448" s="288" t="s">
        <v>180</v>
      </c>
      <c r="H448" s="288"/>
      <c r="I448" s="288"/>
      <c r="J448" s="342">
        <f>J449</f>
        <v>450000</v>
      </c>
      <c r="K448" s="343">
        <f>K449</f>
        <v>0</v>
      </c>
      <c r="L448" s="343">
        <f>L449</f>
        <v>0</v>
      </c>
      <c r="M448" s="343">
        <f>M449</f>
        <v>0</v>
      </c>
      <c r="N448" s="343">
        <f>N449</f>
        <v>0</v>
      </c>
      <c r="O448" s="386">
        <f>N448-K448</f>
        <v>0</v>
      </c>
      <c r="P448" s="344" t="e">
        <f>N448/K448*100</f>
        <v>#DIV/0!</v>
      </c>
      <c r="Q448" s="437"/>
      <c r="R448" s="422"/>
    </row>
    <row r="449" spans="1:18" s="189" customFormat="1" ht="14.1" customHeight="1">
      <c r="A449" s="303"/>
      <c r="B449" s="290">
        <v>4</v>
      </c>
      <c r="C449" s="290">
        <v>1</v>
      </c>
      <c r="D449" s="290">
        <v>4</v>
      </c>
      <c r="E449" s="290"/>
      <c r="F449" s="290"/>
      <c r="G449" s="291" t="s">
        <v>71</v>
      </c>
      <c r="H449" s="291"/>
      <c r="I449" s="291"/>
      <c r="J449" s="397">
        <f>J450+J455</f>
        <v>450000</v>
      </c>
      <c r="K449" s="398">
        <f>K450+K455</f>
        <v>0</v>
      </c>
      <c r="L449" s="398">
        <f>L450+L455</f>
        <v>0</v>
      </c>
      <c r="M449" s="398">
        <f>M450+M455</f>
        <v>0</v>
      </c>
      <c r="N449" s="398">
        <f>N450+N455</f>
        <v>0</v>
      </c>
      <c r="O449" s="367">
        <f>N449-K449</f>
        <v>0</v>
      </c>
      <c r="P449" s="347" t="e">
        <f>N449/K449*100</f>
        <v>#DIV/0!</v>
      </c>
      <c r="Q449" s="699"/>
      <c r="R449" s="422"/>
    </row>
    <row r="450" spans="1:18" s="189" customFormat="1" ht="14.1" customHeight="1">
      <c r="A450" s="303"/>
      <c r="B450" s="292">
        <v>4</v>
      </c>
      <c r="C450" s="292">
        <v>1</v>
      </c>
      <c r="D450" s="292">
        <v>4</v>
      </c>
      <c r="E450" s="292" t="s">
        <v>444</v>
      </c>
      <c r="F450" s="292"/>
      <c r="G450" s="253" t="s">
        <v>222</v>
      </c>
      <c r="H450" s="253"/>
      <c r="I450" s="253"/>
      <c r="J450" s="484">
        <v>0</v>
      </c>
      <c r="K450" s="485">
        <v>0</v>
      </c>
      <c r="L450" s="485">
        <f>SUM(L451:L453)</f>
        <v>0</v>
      </c>
      <c r="M450" s="485">
        <f>SUM(M451:M453)</f>
        <v>0</v>
      </c>
      <c r="N450" s="485">
        <f>SUM(N451:N453)</f>
        <v>0</v>
      </c>
      <c r="O450" s="485"/>
      <c r="P450" s="597"/>
      <c r="Q450" s="541"/>
      <c r="R450" s="422"/>
    </row>
    <row r="451" spans="1:18" s="189" customFormat="1" ht="14.1" customHeight="1">
      <c r="A451" s="303"/>
      <c r="B451" s="292">
        <v>4</v>
      </c>
      <c r="C451" s="292">
        <v>1</v>
      </c>
      <c r="D451" s="292">
        <v>4</v>
      </c>
      <c r="E451" s="292" t="s">
        <v>444</v>
      </c>
      <c r="F451" s="292" t="s">
        <v>440</v>
      </c>
      <c r="G451" s="253" t="s">
        <v>73</v>
      </c>
      <c r="H451" s="253"/>
      <c r="I451" s="253"/>
      <c r="J451" s="354">
        <v>0</v>
      </c>
      <c r="K451" s="355">
        <v>0</v>
      </c>
      <c r="L451" s="355">
        <v>0</v>
      </c>
      <c r="M451" s="355">
        <v>0</v>
      </c>
      <c r="N451" s="355">
        <f>M451+L451</f>
        <v>0</v>
      </c>
      <c r="O451" s="355">
        <f>N451-K451</f>
        <v>0</v>
      </c>
      <c r="P451" s="388"/>
      <c r="Q451" s="441"/>
      <c r="R451" s="422"/>
    </row>
    <row r="452" spans="1:18" s="189" customFormat="1" ht="14.1" customHeight="1">
      <c r="A452" s="303"/>
      <c r="B452" s="292">
        <v>4</v>
      </c>
      <c r="C452" s="292">
        <v>1</v>
      </c>
      <c r="D452" s="292">
        <v>4</v>
      </c>
      <c r="E452" s="292" t="s">
        <v>444</v>
      </c>
      <c r="F452" s="292" t="s">
        <v>445</v>
      </c>
      <c r="G452" s="253" t="s">
        <v>74</v>
      </c>
      <c r="H452" s="253"/>
      <c r="I452" s="253"/>
      <c r="J452" s="354">
        <v>0</v>
      </c>
      <c r="K452" s="355">
        <v>0</v>
      </c>
      <c r="L452" s="355">
        <v>0</v>
      </c>
      <c r="M452" s="355">
        <v>0</v>
      </c>
      <c r="N452" s="355">
        <f>M452+L452</f>
        <v>0</v>
      </c>
      <c r="O452" s="355">
        <f>N452-K452</f>
        <v>0</v>
      </c>
      <c r="P452" s="388"/>
      <c r="Q452" s="441"/>
      <c r="R452" s="422"/>
    </row>
    <row r="453" spans="1:18" s="189" customFormat="1" ht="14.1" customHeight="1">
      <c r="A453" s="303"/>
      <c r="B453" s="292">
        <v>4</v>
      </c>
      <c r="C453" s="292">
        <v>1</v>
      </c>
      <c r="D453" s="292">
        <v>4</v>
      </c>
      <c r="E453" s="292" t="s">
        <v>444</v>
      </c>
      <c r="F453" s="292" t="s">
        <v>441</v>
      </c>
      <c r="G453" s="253" t="s">
        <v>75</v>
      </c>
      <c r="H453" s="253"/>
      <c r="I453" s="253"/>
      <c r="J453" s="374">
        <v>0</v>
      </c>
      <c r="K453" s="375">
        <v>0</v>
      </c>
      <c r="L453" s="375"/>
      <c r="M453" s="375">
        <v>0</v>
      </c>
      <c r="N453" s="355">
        <f>M453+L453</f>
        <v>0</v>
      </c>
      <c r="O453" s="355">
        <f>N453-K453</f>
        <v>0</v>
      </c>
      <c r="P453" s="388"/>
      <c r="Q453" s="548"/>
      <c r="R453" s="422"/>
    </row>
    <row r="454" spans="1:18" s="189" customFormat="1" ht="7.55" customHeight="1">
      <c r="A454" s="303"/>
      <c r="B454" s="292"/>
      <c r="C454" s="292"/>
      <c r="D454" s="292"/>
      <c r="E454" s="292"/>
      <c r="F454" s="292"/>
      <c r="G454" s="253"/>
      <c r="H454" s="253"/>
      <c r="I454" s="253"/>
      <c r="J454" s="494"/>
      <c r="K454" s="495"/>
      <c r="L454" s="495"/>
      <c r="M454" s="495"/>
      <c r="N454" s="334"/>
      <c r="O454" s="334"/>
      <c r="P454" s="335"/>
      <c r="Q454" s="548"/>
      <c r="R454" s="422"/>
    </row>
    <row r="455" spans="1:18" s="189" customFormat="1" ht="14.1" customHeight="1">
      <c r="A455" s="303"/>
      <c r="B455" s="292" t="s">
        <v>443</v>
      </c>
      <c r="C455" s="292" t="s">
        <v>58</v>
      </c>
      <c r="D455" s="292" t="s">
        <v>443</v>
      </c>
      <c r="E455" s="292" t="s">
        <v>948</v>
      </c>
      <c r="F455" s="292"/>
      <c r="G455" s="253" t="s">
        <v>981</v>
      </c>
      <c r="H455" s="253"/>
      <c r="I455" s="253"/>
      <c r="J455" s="526">
        <f>J456</f>
        <v>450000</v>
      </c>
      <c r="K455" s="527">
        <f>K456</f>
        <v>0</v>
      </c>
      <c r="L455" s="527">
        <f>SUM(L456:L456)</f>
        <v>0</v>
      </c>
      <c r="M455" s="527">
        <f>SUM(M456:M456)</f>
        <v>0</v>
      </c>
      <c r="N455" s="527">
        <f>M455+L455</f>
        <v>0</v>
      </c>
      <c r="O455" s="527">
        <f>N455-K455</f>
        <v>0</v>
      </c>
      <c r="P455" s="671">
        <v>0</v>
      </c>
      <c r="Q455" s="733"/>
      <c r="R455" s="422"/>
    </row>
    <row r="456" spans="1:18" s="245" customFormat="1" ht="14.1" customHeight="1">
      <c r="A456" s="805"/>
      <c r="B456" s="305" t="s">
        <v>443</v>
      </c>
      <c r="C456" s="305" t="s">
        <v>58</v>
      </c>
      <c r="D456" s="305" t="s">
        <v>443</v>
      </c>
      <c r="E456" s="305" t="s">
        <v>948</v>
      </c>
      <c r="F456" s="305" t="s">
        <v>437</v>
      </c>
      <c r="G456" s="306" t="s">
        <v>50</v>
      </c>
      <c r="H456" s="306"/>
      <c r="I456" s="306" t="s">
        <v>85</v>
      </c>
      <c r="J456" s="482">
        <v>450000</v>
      </c>
      <c r="K456" s="404">
        <f>'[57]TARGET MURNI DAN PERUBAHAN'!$E$271</f>
        <v>0</v>
      </c>
      <c r="L456" s="404"/>
      <c r="M456" s="404">
        <v>0</v>
      </c>
      <c r="N456" s="404">
        <f>M456+L456</f>
        <v>0</v>
      </c>
      <c r="O456" s="404">
        <f>N456-K456</f>
        <v>0</v>
      </c>
      <c r="P456" s="483">
        <v>0</v>
      </c>
      <c r="Q456" s="733"/>
      <c r="R456" s="450"/>
    </row>
    <row r="457" spans="1:18" s="189" customFormat="1" ht="12.05" customHeight="1">
      <c r="A457" s="797"/>
      <c r="B457" s="798" t="s">
        <v>58</v>
      </c>
      <c r="C457" s="798" t="s">
        <v>849</v>
      </c>
      <c r="D457" s="798" t="s">
        <v>440</v>
      </c>
      <c r="E457" s="798" t="s">
        <v>438</v>
      </c>
      <c r="F457" s="799"/>
      <c r="G457" s="801" t="s">
        <v>1039</v>
      </c>
      <c r="H457" s="801"/>
      <c r="I457" s="804" t="s">
        <v>1040</v>
      </c>
      <c r="J457" s="807">
        <f>J458</f>
        <v>5000000000</v>
      </c>
      <c r="K457" s="808">
        <f>K458</f>
        <v>0</v>
      </c>
      <c r="L457" s="808">
        <f>+L462</f>
        <v>0</v>
      </c>
      <c r="M457" s="808">
        <f>+M462</f>
        <v>0</v>
      </c>
      <c r="N457" s="808">
        <f>+M457+L457</f>
        <v>0</v>
      </c>
      <c r="O457" s="808">
        <f>N457-K457</f>
        <v>0</v>
      </c>
      <c r="P457" s="809" t="e">
        <f>N457/K457*100</f>
        <v>#DIV/0!</v>
      </c>
      <c r="Q457" s="820"/>
      <c r="R457" s="422"/>
    </row>
    <row r="458" spans="1:18" s="189" customFormat="1" ht="12.05" customHeight="1">
      <c r="A458" s="706"/>
      <c r="B458" s="707">
        <v>4</v>
      </c>
      <c r="C458" s="707">
        <v>1</v>
      </c>
      <c r="D458" s="707"/>
      <c r="E458" s="707"/>
      <c r="F458" s="707"/>
      <c r="G458" s="288" t="s">
        <v>180</v>
      </c>
      <c r="H458" s="288"/>
      <c r="I458" s="288"/>
      <c r="J458" s="342">
        <f>J459+J462</f>
        <v>5000000000</v>
      </c>
      <c r="K458" s="343">
        <f>K459+K462</f>
        <v>0</v>
      </c>
      <c r="L458" s="343"/>
      <c r="M458" s="343"/>
      <c r="N458" s="343"/>
      <c r="O458" s="343">
        <f>N458-K458</f>
        <v>0</v>
      </c>
      <c r="P458" s="344" t="e">
        <f>N458/K458*100</f>
        <v>#DIV/0!</v>
      </c>
      <c r="Q458" s="437"/>
      <c r="R458" s="422"/>
    </row>
    <row r="459" spans="1:18" s="189" customFormat="1" ht="12.05" customHeight="1">
      <c r="A459" s="303"/>
      <c r="B459" s="292">
        <v>4</v>
      </c>
      <c r="C459" s="292">
        <v>1</v>
      </c>
      <c r="D459" s="292">
        <v>2</v>
      </c>
      <c r="E459" s="292" t="s">
        <v>438</v>
      </c>
      <c r="F459" s="292"/>
      <c r="G459" s="253" t="s">
        <v>109</v>
      </c>
      <c r="H459" s="253"/>
      <c r="I459" s="253"/>
      <c r="J459" s="484">
        <f t="shared" ref="J459:N460" si="70">J460</f>
        <v>5000000000</v>
      </c>
      <c r="K459" s="485">
        <f t="shared" si="70"/>
        <v>0</v>
      </c>
      <c r="L459" s="485">
        <f t="shared" si="70"/>
        <v>0</v>
      </c>
      <c r="M459" s="485">
        <f t="shared" si="70"/>
        <v>0</v>
      </c>
      <c r="N459" s="485">
        <f t="shared" si="70"/>
        <v>0</v>
      </c>
      <c r="O459" s="412">
        <f>N459-K459</f>
        <v>0</v>
      </c>
      <c r="P459" s="487" t="e">
        <f>N459/K459*100</f>
        <v>#DIV/0!</v>
      </c>
      <c r="Q459" s="430"/>
      <c r="R459" s="422"/>
    </row>
    <row r="460" spans="1:18" s="189" customFormat="1" ht="12.05" customHeight="1">
      <c r="A460" s="294"/>
      <c r="B460" s="292">
        <v>4</v>
      </c>
      <c r="C460" s="292">
        <v>1</v>
      </c>
      <c r="D460" s="292">
        <v>2</v>
      </c>
      <c r="E460" s="292" t="s">
        <v>437</v>
      </c>
      <c r="F460" s="292" t="s">
        <v>437</v>
      </c>
      <c r="G460" s="253" t="s">
        <v>64</v>
      </c>
      <c r="H460" s="253"/>
      <c r="I460" s="253"/>
      <c r="J460" s="627">
        <f t="shared" si="70"/>
        <v>5000000000</v>
      </c>
      <c r="K460" s="396">
        <f t="shared" si="70"/>
        <v>0</v>
      </c>
      <c r="L460" s="396">
        <f t="shared" si="70"/>
        <v>0</v>
      </c>
      <c r="M460" s="396">
        <f t="shared" si="70"/>
        <v>0</v>
      </c>
      <c r="N460" s="396">
        <f t="shared" si="70"/>
        <v>0</v>
      </c>
      <c r="O460" s="396">
        <f>O461</f>
        <v>0</v>
      </c>
      <c r="P460" s="827" t="e">
        <f>P461</f>
        <v>#DIV/0!</v>
      </c>
      <c r="Q460" s="642"/>
      <c r="R460" s="422"/>
    </row>
    <row r="461" spans="1:18" s="189" customFormat="1" ht="12.05" customHeight="1">
      <c r="A461" s="303"/>
      <c r="B461" s="292"/>
      <c r="C461" s="292"/>
      <c r="D461" s="292"/>
      <c r="E461" s="292"/>
      <c r="F461" s="292"/>
      <c r="G461" s="253" t="s">
        <v>50</v>
      </c>
      <c r="H461" s="253"/>
      <c r="I461" s="253" t="s">
        <v>1041</v>
      </c>
      <c r="J461" s="354">
        <v>5000000000</v>
      </c>
      <c r="K461" s="355">
        <f>'[57]TARGET MURNI DAN PERUBAHAN'!$E$281</f>
        <v>0</v>
      </c>
      <c r="L461" s="828">
        <v>0</v>
      </c>
      <c r="M461" s="355">
        <v>0</v>
      </c>
      <c r="N461" s="355">
        <f t="shared" ref="N461:N466" si="71">M461+L461</f>
        <v>0</v>
      </c>
      <c r="O461" s="355">
        <f t="shared" ref="O461:O466" si="72">N461-K461</f>
        <v>0</v>
      </c>
      <c r="P461" s="388" t="e">
        <f>N461/K461*100</f>
        <v>#DIV/0!</v>
      </c>
      <c r="Q461" s="441"/>
      <c r="R461" s="422"/>
    </row>
    <row r="462" spans="1:18" s="189" customFormat="1" ht="12.05" customHeight="1">
      <c r="A462" s="303"/>
      <c r="B462" s="290">
        <v>4</v>
      </c>
      <c r="C462" s="290">
        <v>1</v>
      </c>
      <c r="D462" s="290">
        <v>4</v>
      </c>
      <c r="E462" s="290"/>
      <c r="F462" s="290"/>
      <c r="G462" s="291" t="s">
        <v>71</v>
      </c>
      <c r="H462" s="291"/>
      <c r="I462" s="291"/>
      <c r="J462" s="397">
        <f>J463+J468</f>
        <v>0</v>
      </c>
      <c r="K462" s="398">
        <f>K463+K468</f>
        <v>0</v>
      </c>
      <c r="L462" s="398">
        <f>L463+L468</f>
        <v>0</v>
      </c>
      <c r="M462" s="398">
        <f>M463+M468</f>
        <v>0</v>
      </c>
      <c r="N462" s="398">
        <f>N463+N468</f>
        <v>0</v>
      </c>
      <c r="O462" s="367">
        <f t="shared" si="72"/>
        <v>0</v>
      </c>
      <c r="P462" s="347"/>
      <c r="Q462" s="699"/>
      <c r="R462" s="422"/>
    </row>
    <row r="463" spans="1:18" s="189" customFormat="1" ht="12.05" customHeight="1">
      <c r="A463" s="303"/>
      <c r="B463" s="292">
        <v>4</v>
      </c>
      <c r="C463" s="292">
        <v>1</v>
      </c>
      <c r="D463" s="292">
        <v>4</v>
      </c>
      <c r="E463" s="292" t="s">
        <v>444</v>
      </c>
      <c r="F463" s="292"/>
      <c r="G463" s="253" t="s">
        <v>222</v>
      </c>
      <c r="H463" s="253"/>
      <c r="I463" s="253"/>
      <c r="J463" s="484">
        <f>SUM(J464:J466)</f>
        <v>0</v>
      </c>
      <c r="K463" s="485">
        <f>SUM(K464:K466)</f>
        <v>0</v>
      </c>
      <c r="L463" s="485">
        <f>SUM(L464:L466)</f>
        <v>0</v>
      </c>
      <c r="M463" s="485">
        <f>SUM(M464:M466)</f>
        <v>0</v>
      </c>
      <c r="N463" s="485">
        <f>SUM(N464:N466)</f>
        <v>0</v>
      </c>
      <c r="O463" s="485"/>
      <c r="P463" s="597"/>
      <c r="Q463" s="541"/>
      <c r="R463" s="422"/>
    </row>
    <row r="464" spans="1:18" s="189" customFormat="1" ht="12.05" customHeight="1">
      <c r="A464" s="303"/>
      <c r="B464" s="292">
        <v>4</v>
      </c>
      <c r="C464" s="292">
        <v>1</v>
      </c>
      <c r="D464" s="292">
        <v>4</v>
      </c>
      <c r="E464" s="292" t="s">
        <v>444</v>
      </c>
      <c r="F464" s="292" t="s">
        <v>440</v>
      </c>
      <c r="G464" s="253" t="s">
        <v>73</v>
      </c>
      <c r="H464" s="253"/>
      <c r="I464" s="253"/>
      <c r="J464" s="354">
        <v>0</v>
      </c>
      <c r="K464" s="355">
        <v>0</v>
      </c>
      <c r="L464" s="355">
        <v>0</v>
      </c>
      <c r="M464" s="355">
        <v>0</v>
      </c>
      <c r="N464" s="355">
        <f t="shared" si="71"/>
        <v>0</v>
      </c>
      <c r="O464" s="355">
        <f t="shared" si="72"/>
        <v>0</v>
      </c>
      <c r="P464" s="388"/>
      <c r="Q464" s="441"/>
      <c r="R464" s="422"/>
    </row>
    <row r="465" spans="1:18" s="189" customFormat="1" ht="12.05" customHeight="1">
      <c r="A465" s="303"/>
      <c r="B465" s="292">
        <v>4</v>
      </c>
      <c r="C465" s="292">
        <v>1</v>
      </c>
      <c r="D465" s="292">
        <v>4</v>
      </c>
      <c r="E465" s="292" t="s">
        <v>444</v>
      </c>
      <c r="F465" s="292" t="s">
        <v>445</v>
      </c>
      <c r="G465" s="253" t="s">
        <v>74</v>
      </c>
      <c r="H465" s="253"/>
      <c r="I465" s="253"/>
      <c r="J465" s="354">
        <v>0</v>
      </c>
      <c r="K465" s="355">
        <v>0</v>
      </c>
      <c r="L465" s="355">
        <v>0</v>
      </c>
      <c r="M465" s="355">
        <v>0</v>
      </c>
      <c r="N465" s="355">
        <f t="shared" si="71"/>
        <v>0</v>
      </c>
      <c r="O465" s="355">
        <f t="shared" si="72"/>
        <v>0</v>
      </c>
      <c r="P465" s="388"/>
      <c r="Q465" s="441"/>
      <c r="R465" s="422"/>
    </row>
    <row r="466" spans="1:18" s="189" customFormat="1" ht="12.05" customHeight="1">
      <c r="A466" s="303"/>
      <c r="B466" s="292">
        <v>4</v>
      </c>
      <c r="C466" s="292">
        <v>1</v>
      </c>
      <c r="D466" s="292">
        <v>4</v>
      </c>
      <c r="E466" s="292" t="s">
        <v>444</v>
      </c>
      <c r="F466" s="292" t="s">
        <v>441</v>
      </c>
      <c r="G466" s="253" t="s">
        <v>75</v>
      </c>
      <c r="H466" s="253"/>
      <c r="I466" s="253"/>
      <c r="J466" s="374">
        <v>0</v>
      </c>
      <c r="K466" s="375">
        <v>0</v>
      </c>
      <c r="L466" s="375"/>
      <c r="M466" s="375">
        <v>0</v>
      </c>
      <c r="N466" s="355">
        <f t="shared" si="71"/>
        <v>0</v>
      </c>
      <c r="O466" s="355">
        <f t="shared" si="72"/>
        <v>0</v>
      </c>
      <c r="P466" s="388"/>
      <c r="Q466" s="548"/>
      <c r="R466" s="422"/>
    </row>
    <row r="467" spans="1:18" s="189" customFormat="1" ht="12.05" customHeight="1">
      <c r="A467" s="303"/>
      <c r="B467" s="292"/>
      <c r="C467" s="292"/>
      <c r="D467" s="292"/>
      <c r="E467" s="292"/>
      <c r="F467" s="292"/>
      <c r="G467" s="253"/>
      <c r="H467" s="253"/>
      <c r="I467" s="253"/>
      <c r="J467" s="494"/>
      <c r="K467" s="495"/>
      <c r="L467" s="495"/>
      <c r="M467" s="495"/>
      <c r="N467" s="334"/>
      <c r="O467" s="334"/>
      <c r="P467" s="335"/>
      <c r="Q467" s="548"/>
      <c r="R467" s="422"/>
    </row>
    <row r="468" spans="1:18" s="189" customFormat="1" ht="12.05" customHeight="1">
      <c r="A468" s="303"/>
      <c r="B468" s="292" t="s">
        <v>443</v>
      </c>
      <c r="C468" s="292" t="s">
        <v>58</v>
      </c>
      <c r="D468" s="292" t="s">
        <v>443</v>
      </c>
      <c r="E468" s="292" t="s">
        <v>948</v>
      </c>
      <c r="F468" s="292"/>
      <c r="G468" s="253" t="s">
        <v>981</v>
      </c>
      <c r="H468" s="253"/>
      <c r="I468" s="253"/>
      <c r="J468" s="526">
        <f>J469</f>
        <v>0</v>
      </c>
      <c r="K468" s="527">
        <f>K469</f>
        <v>0</v>
      </c>
      <c r="L468" s="527">
        <f>L469</f>
        <v>0</v>
      </c>
      <c r="M468" s="527">
        <f>M469</f>
        <v>0</v>
      </c>
      <c r="N468" s="527">
        <f>M468+L468</f>
        <v>0</v>
      </c>
      <c r="O468" s="527">
        <f>N468-K468</f>
        <v>0</v>
      </c>
      <c r="P468" s="671">
        <v>0</v>
      </c>
      <c r="Q468" s="733"/>
      <c r="R468" s="422"/>
    </row>
    <row r="469" spans="1:18" s="245" customFormat="1" ht="12.05" customHeight="1">
      <c r="A469" s="805"/>
      <c r="B469" s="305" t="s">
        <v>443</v>
      </c>
      <c r="C469" s="305" t="s">
        <v>58</v>
      </c>
      <c r="D469" s="305" t="s">
        <v>443</v>
      </c>
      <c r="E469" s="305" t="s">
        <v>948</v>
      </c>
      <c r="F469" s="305" t="s">
        <v>437</v>
      </c>
      <c r="G469" s="306" t="s">
        <v>50</v>
      </c>
      <c r="H469" s="306"/>
      <c r="I469" s="306" t="s">
        <v>76</v>
      </c>
      <c r="J469" s="482">
        <v>0</v>
      </c>
      <c r="K469" s="404">
        <v>0</v>
      </c>
      <c r="L469" s="404">
        <v>0</v>
      </c>
      <c r="M469" s="404">
        <v>0</v>
      </c>
      <c r="N469" s="404">
        <f>M469+L469</f>
        <v>0</v>
      </c>
      <c r="O469" s="404">
        <f>N469-K469</f>
        <v>0</v>
      </c>
      <c r="P469" s="483">
        <v>0</v>
      </c>
      <c r="Q469" s="733"/>
      <c r="R469" s="450"/>
    </row>
    <row r="470" spans="1:18" s="189" customFormat="1" ht="12.05" customHeight="1">
      <c r="A470" s="797"/>
      <c r="B470" s="798" t="s">
        <v>58</v>
      </c>
      <c r="C470" s="798" t="s">
        <v>849</v>
      </c>
      <c r="D470" s="798" t="s">
        <v>440</v>
      </c>
      <c r="E470" s="798" t="s">
        <v>438</v>
      </c>
      <c r="F470" s="799"/>
      <c r="G470" s="801" t="s">
        <v>1042</v>
      </c>
      <c r="H470" s="801"/>
      <c r="I470" s="804" t="s">
        <v>171</v>
      </c>
      <c r="J470" s="808">
        <f t="shared" ref="J470:M471" si="73">J471</f>
        <v>0</v>
      </c>
      <c r="K470" s="808">
        <f t="shared" si="73"/>
        <v>0</v>
      </c>
      <c r="L470" s="808">
        <f t="shared" si="73"/>
        <v>0</v>
      </c>
      <c r="M470" s="808">
        <f t="shared" si="73"/>
        <v>0</v>
      </c>
      <c r="N470" s="808">
        <f>+M470+L470</f>
        <v>0</v>
      </c>
      <c r="O470" s="808">
        <f>N470-K470</f>
        <v>0</v>
      </c>
      <c r="P470" s="809" t="e">
        <f>N470/K470*100</f>
        <v>#DIV/0!</v>
      </c>
      <c r="Q470" s="820"/>
      <c r="R470" s="422"/>
    </row>
    <row r="471" spans="1:18" s="189" customFormat="1" ht="12.05" customHeight="1">
      <c r="A471" s="706"/>
      <c r="B471" s="707">
        <v>4</v>
      </c>
      <c r="C471" s="707">
        <v>1</v>
      </c>
      <c r="D471" s="707"/>
      <c r="E471" s="707"/>
      <c r="F471" s="707"/>
      <c r="G471" s="288" t="s">
        <v>180</v>
      </c>
      <c r="H471" s="288"/>
      <c r="I471" s="288"/>
      <c r="J471" s="343">
        <f t="shared" si="73"/>
        <v>0</v>
      </c>
      <c r="K471" s="343">
        <f t="shared" si="73"/>
        <v>0</v>
      </c>
      <c r="L471" s="343">
        <f t="shared" si="73"/>
        <v>0</v>
      </c>
      <c r="M471" s="343">
        <f t="shared" si="73"/>
        <v>0</v>
      </c>
      <c r="N471" s="343">
        <f>N472</f>
        <v>0</v>
      </c>
      <c r="O471" s="343">
        <f>N471-K471</f>
        <v>0</v>
      </c>
      <c r="P471" s="344" t="e">
        <f>N471/K471*100</f>
        <v>#DIV/0!</v>
      </c>
      <c r="Q471" s="437"/>
      <c r="R471" s="422"/>
    </row>
    <row r="472" spans="1:18" s="189" customFormat="1" ht="12.05" customHeight="1">
      <c r="A472" s="303"/>
      <c r="B472" s="290">
        <v>4</v>
      </c>
      <c r="C472" s="290">
        <v>1</v>
      </c>
      <c r="D472" s="290">
        <v>4</v>
      </c>
      <c r="E472" s="290"/>
      <c r="F472" s="290"/>
      <c r="G472" s="291" t="s">
        <v>71</v>
      </c>
      <c r="H472" s="291"/>
      <c r="I472" s="291"/>
      <c r="J472" s="398">
        <f>J473+J478</f>
        <v>0</v>
      </c>
      <c r="K472" s="398">
        <f>K473+K478</f>
        <v>0</v>
      </c>
      <c r="L472" s="398">
        <f>L473+L478</f>
        <v>0</v>
      </c>
      <c r="M472" s="398">
        <f>M473+M478</f>
        <v>0</v>
      </c>
      <c r="N472" s="398">
        <f>N473+N478</f>
        <v>0</v>
      </c>
      <c r="O472" s="367">
        <f>N472-K472</f>
        <v>0</v>
      </c>
      <c r="P472" s="347" t="e">
        <f>N472/K472*100</f>
        <v>#DIV/0!</v>
      </c>
      <c r="Q472" s="699"/>
      <c r="R472" s="422"/>
    </row>
    <row r="473" spans="1:18" s="189" customFormat="1" ht="12.05" customHeight="1">
      <c r="A473" s="303"/>
      <c r="B473" s="292">
        <v>4</v>
      </c>
      <c r="C473" s="292">
        <v>1</v>
      </c>
      <c r="D473" s="292">
        <v>4</v>
      </c>
      <c r="E473" s="292" t="s">
        <v>444</v>
      </c>
      <c r="F473" s="292"/>
      <c r="G473" s="253" t="s">
        <v>222</v>
      </c>
      <c r="H473" s="253"/>
      <c r="I473" s="253"/>
      <c r="J473" s="484">
        <f>SUM(J474:J476)</f>
        <v>0</v>
      </c>
      <c r="K473" s="485">
        <f>SUM(K474:K476)</f>
        <v>0</v>
      </c>
      <c r="L473" s="485">
        <f>SUM(L474:L476)</f>
        <v>0</v>
      </c>
      <c r="M473" s="485">
        <f>SUM(M474:M476)</f>
        <v>0</v>
      </c>
      <c r="N473" s="485">
        <f>SUM(N474:N476)</f>
        <v>0</v>
      </c>
      <c r="O473" s="485"/>
      <c r="P473" s="597"/>
      <c r="Q473" s="541"/>
      <c r="R473" s="422"/>
    </row>
    <row r="474" spans="1:18" s="189" customFormat="1" ht="12.05" customHeight="1">
      <c r="A474" s="303"/>
      <c r="B474" s="292">
        <v>4</v>
      </c>
      <c r="C474" s="292">
        <v>1</v>
      </c>
      <c r="D474" s="292">
        <v>4</v>
      </c>
      <c r="E474" s="292" t="s">
        <v>444</v>
      </c>
      <c r="F474" s="292" t="s">
        <v>440</v>
      </c>
      <c r="G474" s="253" t="s">
        <v>73</v>
      </c>
      <c r="H474" s="253"/>
      <c r="I474" s="253"/>
      <c r="J474" s="354">
        <v>0</v>
      </c>
      <c r="K474" s="355">
        <v>0</v>
      </c>
      <c r="L474" s="355">
        <v>0</v>
      </c>
      <c r="M474" s="355">
        <v>0</v>
      </c>
      <c r="N474" s="355">
        <f>M474+L474</f>
        <v>0</v>
      </c>
      <c r="O474" s="355">
        <f>N474-K474</f>
        <v>0</v>
      </c>
      <c r="P474" s="388"/>
      <c r="Q474" s="441"/>
      <c r="R474" s="422"/>
    </row>
    <row r="475" spans="1:18" s="189" customFormat="1" ht="12.05" customHeight="1">
      <c r="A475" s="303"/>
      <c r="B475" s="292">
        <v>4</v>
      </c>
      <c r="C475" s="292">
        <v>1</v>
      </c>
      <c r="D475" s="292">
        <v>4</v>
      </c>
      <c r="E475" s="292" t="s">
        <v>444</v>
      </c>
      <c r="F475" s="292" t="s">
        <v>445</v>
      </c>
      <c r="G475" s="253" t="s">
        <v>74</v>
      </c>
      <c r="H475" s="253"/>
      <c r="I475" s="253"/>
      <c r="J475" s="354">
        <v>0</v>
      </c>
      <c r="K475" s="355">
        <v>0</v>
      </c>
      <c r="L475" s="355">
        <v>0</v>
      </c>
      <c r="M475" s="355">
        <v>0</v>
      </c>
      <c r="N475" s="355">
        <f>M475+L475</f>
        <v>0</v>
      </c>
      <c r="O475" s="355">
        <f>N475-K475</f>
        <v>0</v>
      </c>
      <c r="P475" s="388"/>
      <c r="Q475" s="441"/>
      <c r="R475" s="422"/>
    </row>
    <row r="476" spans="1:18" s="189" customFormat="1" ht="12.05" customHeight="1">
      <c r="A476" s="303"/>
      <c r="B476" s="292">
        <v>4</v>
      </c>
      <c r="C476" s="292">
        <v>1</v>
      </c>
      <c r="D476" s="292">
        <v>4</v>
      </c>
      <c r="E476" s="292" t="s">
        <v>444</v>
      </c>
      <c r="F476" s="292" t="s">
        <v>441</v>
      </c>
      <c r="G476" s="253" t="s">
        <v>75</v>
      </c>
      <c r="H476" s="253"/>
      <c r="I476" s="253"/>
      <c r="J476" s="374">
        <v>0</v>
      </c>
      <c r="K476" s="375">
        <v>0</v>
      </c>
      <c r="L476" s="375">
        <v>0</v>
      </c>
      <c r="M476" s="375">
        <v>0</v>
      </c>
      <c r="N476" s="355">
        <f>M476+L476</f>
        <v>0</v>
      </c>
      <c r="O476" s="355">
        <f>N476-K476</f>
        <v>0</v>
      </c>
      <c r="P476" s="388"/>
      <c r="Q476" s="548"/>
      <c r="R476" s="422"/>
    </row>
    <row r="477" spans="1:18" s="189" customFormat="1" ht="12.05" customHeight="1">
      <c r="A477" s="303"/>
      <c r="B477" s="292"/>
      <c r="C477" s="292"/>
      <c r="D477" s="292"/>
      <c r="E477" s="292"/>
      <c r="F477" s="292"/>
      <c r="G477" s="253"/>
      <c r="H477" s="253"/>
      <c r="I477" s="253"/>
      <c r="J477" s="494"/>
      <c r="K477" s="495"/>
      <c r="L477" s="495"/>
      <c r="M477" s="495"/>
      <c r="N477" s="334"/>
      <c r="O477" s="334"/>
      <c r="P477" s="335"/>
      <c r="Q477" s="548"/>
      <c r="R477" s="422"/>
    </row>
    <row r="478" spans="1:18" s="189" customFormat="1" ht="12.05" customHeight="1">
      <c r="A478" s="303"/>
      <c r="B478" s="292" t="s">
        <v>443</v>
      </c>
      <c r="C478" s="292" t="s">
        <v>58</v>
      </c>
      <c r="D478" s="292" t="s">
        <v>443</v>
      </c>
      <c r="E478" s="292" t="s">
        <v>948</v>
      </c>
      <c r="F478" s="292"/>
      <c r="G478" s="253" t="s">
        <v>981</v>
      </c>
      <c r="H478" s="253"/>
      <c r="I478" s="253"/>
      <c r="J478" s="526">
        <f>J479</f>
        <v>0</v>
      </c>
      <c r="K478" s="527">
        <f>K479</f>
        <v>0</v>
      </c>
      <c r="L478" s="527">
        <f>L479</f>
        <v>0</v>
      </c>
      <c r="M478" s="527">
        <f>M479</f>
        <v>0</v>
      </c>
      <c r="N478" s="527">
        <f>M478+L478</f>
        <v>0</v>
      </c>
      <c r="O478" s="527">
        <f t="shared" ref="O478:O483" si="74">N478-K478</f>
        <v>0</v>
      </c>
      <c r="P478" s="671">
        <v>0</v>
      </c>
      <c r="Q478" s="733"/>
      <c r="R478" s="422"/>
    </row>
    <row r="479" spans="1:18" s="189" customFormat="1" ht="12.05" customHeight="1">
      <c r="A479" s="805"/>
      <c r="B479" s="305" t="s">
        <v>443</v>
      </c>
      <c r="C479" s="305" t="s">
        <v>58</v>
      </c>
      <c r="D479" s="305" t="s">
        <v>443</v>
      </c>
      <c r="E479" s="305" t="s">
        <v>948</v>
      </c>
      <c r="F479" s="305" t="s">
        <v>437</v>
      </c>
      <c r="G479" s="306" t="s">
        <v>50</v>
      </c>
      <c r="H479" s="306"/>
      <c r="I479" s="306" t="s">
        <v>640</v>
      </c>
      <c r="J479" s="482">
        <v>0</v>
      </c>
      <c r="K479" s="404">
        <v>0</v>
      </c>
      <c r="L479" s="404">
        <v>0</v>
      </c>
      <c r="M479" s="404">
        <v>0</v>
      </c>
      <c r="N479" s="404">
        <f>M479+L479</f>
        <v>0</v>
      </c>
      <c r="O479" s="404">
        <f t="shared" si="74"/>
        <v>0</v>
      </c>
      <c r="P479" s="483">
        <v>0</v>
      </c>
      <c r="Q479" s="733"/>
      <c r="R479" s="422"/>
    </row>
    <row r="480" spans="1:18" s="189" customFormat="1" ht="12.05" customHeight="1">
      <c r="A480" s="825"/>
      <c r="B480" s="741"/>
      <c r="C480" s="741"/>
      <c r="D480" s="741"/>
      <c r="E480" s="741"/>
      <c r="F480" s="741"/>
      <c r="G480" s="742"/>
      <c r="H480" s="742"/>
      <c r="I480" s="742"/>
      <c r="J480" s="750"/>
      <c r="K480" s="751"/>
      <c r="L480" s="751"/>
      <c r="M480" s="751"/>
      <c r="N480" s="751"/>
      <c r="O480" s="751"/>
      <c r="P480" s="829"/>
      <c r="Q480" s="839"/>
      <c r="R480" s="422"/>
    </row>
    <row r="481" spans="1:18" s="244" customFormat="1" ht="12.05" customHeight="1">
      <c r="A481" s="283" t="s">
        <v>174</v>
      </c>
      <c r="B481" s="284" t="s">
        <v>58</v>
      </c>
      <c r="C481" s="284" t="s">
        <v>849</v>
      </c>
      <c r="D481" s="284" t="s">
        <v>445</v>
      </c>
      <c r="E481" s="284" t="s">
        <v>437</v>
      </c>
      <c r="F481" s="284"/>
      <c r="G481" s="298" t="s">
        <v>175</v>
      </c>
      <c r="H481" s="298"/>
      <c r="I481" s="298"/>
      <c r="J481" s="336">
        <f>+J483</f>
        <v>1347785700</v>
      </c>
      <c r="K481" s="337">
        <f>+K483</f>
        <v>50953800</v>
      </c>
      <c r="L481" s="337">
        <f>+L483</f>
        <v>156274281</v>
      </c>
      <c r="M481" s="337">
        <f>+M483</f>
        <v>1300000</v>
      </c>
      <c r="N481" s="337">
        <f>+N483</f>
        <v>157574281</v>
      </c>
      <c r="O481" s="337">
        <f>+N481-K481</f>
        <v>106620481</v>
      </c>
      <c r="P481" s="338">
        <f>+N481/K481*100</f>
        <v>309.2493219347723</v>
      </c>
      <c r="Q481" s="432"/>
      <c r="R481" s="639"/>
    </row>
    <row r="482" spans="1:18" s="189" customFormat="1" ht="12.05" customHeight="1">
      <c r="A482" s="471"/>
      <c r="B482" s="287"/>
      <c r="C482" s="287"/>
      <c r="D482" s="287"/>
      <c r="E482" s="287"/>
      <c r="F482" s="287"/>
      <c r="G482" s="288"/>
      <c r="H482" s="288"/>
      <c r="I482" s="288"/>
      <c r="J482" s="339"/>
      <c r="K482" s="340"/>
      <c r="L482" s="340"/>
      <c r="M482" s="340"/>
      <c r="N482" s="340"/>
      <c r="O482" s="340"/>
      <c r="P482" s="341"/>
      <c r="Q482" s="840"/>
      <c r="R482" s="422"/>
    </row>
    <row r="483" spans="1:18" s="189" customFormat="1" ht="12.05" customHeight="1">
      <c r="A483" s="293"/>
      <c r="B483" s="290">
        <v>4</v>
      </c>
      <c r="C483" s="290">
        <v>1</v>
      </c>
      <c r="D483" s="290"/>
      <c r="E483" s="290"/>
      <c r="F483" s="290"/>
      <c r="G483" s="291" t="s">
        <v>180</v>
      </c>
      <c r="H483" s="291"/>
      <c r="I483" s="291"/>
      <c r="J483" s="342">
        <f>+J485+J489</f>
        <v>1347785700</v>
      </c>
      <c r="K483" s="343">
        <f>+K485+K489</f>
        <v>50953800</v>
      </c>
      <c r="L483" s="343">
        <f>L485+L489</f>
        <v>156274281</v>
      </c>
      <c r="M483" s="343">
        <f>+M485+M489</f>
        <v>1300000</v>
      </c>
      <c r="N483" s="343">
        <f>+M483+L483</f>
        <v>157574281</v>
      </c>
      <c r="O483" s="343">
        <f t="shared" si="74"/>
        <v>106620481</v>
      </c>
      <c r="P483" s="344">
        <f>N483/K483*100</f>
        <v>309.2493219347723</v>
      </c>
      <c r="Q483" s="841"/>
      <c r="R483" s="422"/>
    </row>
    <row r="484" spans="1:18" s="189" customFormat="1" ht="12.05" customHeight="1">
      <c r="A484" s="293"/>
      <c r="B484" s="292"/>
      <c r="C484" s="292"/>
      <c r="D484" s="292"/>
      <c r="E484" s="292"/>
      <c r="F484" s="292"/>
      <c r="G484" s="253"/>
      <c r="H484" s="253"/>
      <c r="I484" s="291"/>
      <c r="J484" s="345"/>
      <c r="K484" s="346"/>
      <c r="L484" s="346"/>
      <c r="M484" s="346"/>
      <c r="N484" s="346"/>
      <c r="O484" s="346"/>
      <c r="P484" s="347"/>
      <c r="Q484" s="841"/>
      <c r="R484" s="422"/>
    </row>
    <row r="485" spans="1:18" s="189" customFormat="1" ht="12.05" customHeight="1">
      <c r="A485" s="293"/>
      <c r="B485" s="290">
        <v>4</v>
      </c>
      <c r="C485" s="290">
        <v>1</v>
      </c>
      <c r="D485" s="290">
        <v>2</v>
      </c>
      <c r="E485" s="290"/>
      <c r="F485" s="290"/>
      <c r="G485" s="291" t="s">
        <v>106</v>
      </c>
      <c r="H485" s="291"/>
      <c r="I485" s="291"/>
      <c r="J485" s="348">
        <f t="shared" ref="J485:M486" si="75">+J486</f>
        <v>0</v>
      </c>
      <c r="K485" s="349">
        <f t="shared" si="75"/>
        <v>0</v>
      </c>
      <c r="L485" s="349">
        <f t="shared" si="75"/>
        <v>0</v>
      </c>
      <c r="M485" s="349">
        <f t="shared" si="75"/>
        <v>0</v>
      </c>
      <c r="N485" s="349">
        <f>+M485+L485</f>
        <v>0</v>
      </c>
      <c r="O485" s="349">
        <f>N485-K485</f>
        <v>0</v>
      </c>
      <c r="P485" s="350" t="e">
        <f>N485/K485*100</f>
        <v>#DIV/0!</v>
      </c>
      <c r="Q485" s="841"/>
      <c r="R485" s="422"/>
    </row>
    <row r="486" spans="1:18" s="189" customFormat="1" ht="12.05" customHeight="1">
      <c r="A486" s="465"/>
      <c r="B486" s="296">
        <v>4</v>
      </c>
      <c r="C486" s="296">
        <v>1</v>
      </c>
      <c r="D486" s="296">
        <v>2</v>
      </c>
      <c r="E486" s="296" t="s">
        <v>438</v>
      </c>
      <c r="F486" s="296"/>
      <c r="G486" s="297" t="s">
        <v>109</v>
      </c>
      <c r="H486" s="297"/>
      <c r="I486" s="467"/>
      <c r="J486" s="627">
        <f t="shared" si="75"/>
        <v>0</v>
      </c>
      <c r="K486" s="396">
        <f t="shared" si="75"/>
        <v>0</v>
      </c>
      <c r="L486" s="396">
        <f t="shared" si="75"/>
        <v>0</v>
      </c>
      <c r="M486" s="396">
        <f>+M487</f>
        <v>0</v>
      </c>
      <c r="N486" s="396">
        <f>+N487</f>
        <v>0</v>
      </c>
      <c r="O486" s="396">
        <f>N486-K486</f>
        <v>0</v>
      </c>
      <c r="P486" s="344" t="e">
        <f>N486/K486*100</f>
        <v>#DIV/0!</v>
      </c>
      <c r="Q486" s="841"/>
      <c r="R486" s="422"/>
    </row>
    <row r="487" spans="1:18" s="253" customFormat="1" ht="12.05" customHeight="1">
      <c r="A487" s="289"/>
      <c r="B487" s="292">
        <v>4</v>
      </c>
      <c r="C487" s="292">
        <v>1</v>
      </c>
      <c r="D487" s="292">
        <v>2</v>
      </c>
      <c r="E487" s="292" t="s">
        <v>438</v>
      </c>
      <c r="F487" s="292" t="s">
        <v>441</v>
      </c>
      <c r="G487" s="253" t="s">
        <v>64</v>
      </c>
      <c r="J487" s="354"/>
      <c r="K487" s="355"/>
      <c r="L487" s="355"/>
      <c r="M487" s="355">
        <v>0</v>
      </c>
      <c r="N487" s="355">
        <f>M487+L487</f>
        <v>0</v>
      </c>
      <c r="O487" s="355">
        <f>N487-K487</f>
        <v>0</v>
      </c>
      <c r="P487" s="388" t="e">
        <f>N487/K487*100</f>
        <v>#DIV/0!</v>
      </c>
      <c r="Q487" s="841"/>
      <c r="R487" s="842"/>
    </row>
    <row r="488" spans="1:18" s="253" customFormat="1" ht="12.05" customHeight="1">
      <c r="A488" s="293"/>
      <c r="B488" s="292"/>
      <c r="C488" s="292"/>
      <c r="D488" s="292"/>
      <c r="E488" s="292"/>
      <c r="F488" s="292"/>
      <c r="J488" s="354"/>
      <c r="K488" s="355"/>
      <c r="L488" s="355"/>
      <c r="M488" s="355"/>
      <c r="N488" s="355"/>
      <c r="O488" s="355"/>
      <c r="P488" s="388"/>
      <c r="Q488" s="841"/>
      <c r="R488" s="842"/>
    </row>
    <row r="489" spans="1:18" s="253" customFormat="1" ht="12.05" customHeight="1">
      <c r="A489" s="293"/>
      <c r="B489" s="290">
        <v>4</v>
      </c>
      <c r="C489" s="290">
        <v>1</v>
      </c>
      <c r="D489" s="290">
        <v>4</v>
      </c>
      <c r="E489" s="290"/>
      <c r="F489" s="290"/>
      <c r="G489" s="291" t="s">
        <v>71</v>
      </c>
      <c r="H489" s="291"/>
      <c r="I489" s="291"/>
      <c r="J489" s="370">
        <f>J490+J496</f>
        <v>1347785700</v>
      </c>
      <c r="K489" s="371">
        <f>K490+K496</f>
        <v>50953800</v>
      </c>
      <c r="L489" s="371">
        <f>L490+L496</f>
        <v>156274281</v>
      </c>
      <c r="M489" s="371">
        <f>M490+M496</f>
        <v>1300000</v>
      </c>
      <c r="N489" s="371">
        <f>N490+N496</f>
        <v>157574281</v>
      </c>
      <c r="O489" s="367">
        <f t="shared" ref="O489:O494" si="76">N489-K489</f>
        <v>106620481</v>
      </c>
      <c r="P489" s="347">
        <f>N489/K489*100</f>
        <v>309.2493219347723</v>
      </c>
      <c r="Q489" s="841"/>
      <c r="R489" s="842"/>
    </row>
    <row r="490" spans="1:18" s="253" customFormat="1" ht="15.05">
      <c r="A490" s="293"/>
      <c r="B490" s="292">
        <v>4</v>
      </c>
      <c r="C490" s="292">
        <v>1</v>
      </c>
      <c r="D490" s="292">
        <v>4</v>
      </c>
      <c r="E490" s="292" t="s">
        <v>444</v>
      </c>
      <c r="F490" s="292"/>
      <c r="G490" s="253" t="s">
        <v>222</v>
      </c>
      <c r="J490" s="370">
        <f>SUM(J491:J494)</f>
        <v>1340585700</v>
      </c>
      <c r="K490" s="830">
        <f>SUM(K491:K494)</f>
        <v>0</v>
      </c>
      <c r="L490" s="830">
        <f>SUM(L491:L494)</f>
        <v>134620261</v>
      </c>
      <c r="M490" s="830">
        <f>SUM(M491:M494)</f>
        <v>1300000</v>
      </c>
      <c r="N490" s="831">
        <f>+M490+L490</f>
        <v>135920261</v>
      </c>
      <c r="O490" s="831">
        <f t="shared" si="76"/>
        <v>135920261</v>
      </c>
      <c r="P490" s="832" t="e">
        <f>N490/K490*100</f>
        <v>#DIV/0!</v>
      </c>
      <c r="Q490" s="843"/>
      <c r="R490" s="842"/>
    </row>
    <row r="491" spans="1:18" s="253" customFormat="1" ht="12.05" customHeight="1">
      <c r="A491" s="293"/>
      <c r="B491" s="292">
        <v>4</v>
      </c>
      <c r="C491" s="292">
        <v>1</v>
      </c>
      <c r="D491" s="292">
        <v>4</v>
      </c>
      <c r="E491" s="292" t="s">
        <v>444</v>
      </c>
      <c r="F491" s="292" t="s">
        <v>438</v>
      </c>
      <c r="G491" s="253" t="s">
        <v>983</v>
      </c>
      <c r="J491" s="354">
        <v>0</v>
      </c>
      <c r="K491" s="355">
        <v>0</v>
      </c>
      <c r="L491" s="360"/>
      <c r="M491" s="355">
        <v>0</v>
      </c>
      <c r="N491" s="346">
        <f>+M491+L491</f>
        <v>0</v>
      </c>
      <c r="O491" s="346">
        <f t="shared" si="76"/>
        <v>0</v>
      </c>
      <c r="P491" s="347" t="e">
        <f>N491/K491*100</f>
        <v>#DIV/0!</v>
      </c>
      <c r="Q491" s="844"/>
      <c r="R491" s="842"/>
    </row>
    <row r="492" spans="1:18" s="253" customFormat="1" ht="12.05" customHeight="1">
      <c r="A492" s="293"/>
      <c r="B492" s="292">
        <v>4</v>
      </c>
      <c r="C492" s="292">
        <v>1</v>
      </c>
      <c r="D492" s="292">
        <v>4</v>
      </c>
      <c r="E492" s="292" t="s">
        <v>444</v>
      </c>
      <c r="F492" s="292" t="s">
        <v>440</v>
      </c>
      <c r="G492" s="253" t="s">
        <v>73</v>
      </c>
      <c r="J492" s="354">
        <v>40585700</v>
      </c>
      <c r="K492" s="355"/>
      <c r="L492" s="360"/>
      <c r="M492" s="355">
        <f>[55]Perdinas!$E$423</f>
        <v>0</v>
      </c>
      <c r="N492" s="355">
        <f>M492+L492</f>
        <v>0</v>
      </c>
      <c r="O492" s="355">
        <f t="shared" si="76"/>
        <v>0</v>
      </c>
      <c r="P492" s="388"/>
      <c r="Q492" s="841"/>
      <c r="R492" s="842"/>
    </row>
    <row r="493" spans="1:18" s="253" customFormat="1" ht="12.05" customHeight="1">
      <c r="A493" s="293"/>
      <c r="B493" s="292">
        <v>4</v>
      </c>
      <c r="C493" s="292">
        <v>1</v>
      </c>
      <c r="D493" s="292">
        <v>4</v>
      </c>
      <c r="E493" s="292" t="s">
        <v>444</v>
      </c>
      <c r="F493" s="292" t="s">
        <v>445</v>
      </c>
      <c r="G493" s="253" t="s">
        <v>74</v>
      </c>
      <c r="J493" s="354">
        <v>0</v>
      </c>
      <c r="K493" s="355">
        <v>0</v>
      </c>
      <c r="L493" s="360"/>
      <c r="M493" s="355">
        <f>[55]Perdinas!$E$424</f>
        <v>0</v>
      </c>
      <c r="N493" s="355">
        <f>M493+L493</f>
        <v>0</v>
      </c>
      <c r="O493" s="355">
        <f t="shared" si="76"/>
        <v>0</v>
      </c>
      <c r="P493" s="388"/>
      <c r="Q493" s="841"/>
      <c r="R493" s="842"/>
    </row>
    <row r="494" spans="1:18" s="253" customFormat="1" ht="12.05" customHeight="1">
      <c r="A494" s="293"/>
      <c r="B494" s="292">
        <v>4</v>
      </c>
      <c r="C494" s="292">
        <v>1</v>
      </c>
      <c r="D494" s="292">
        <v>4</v>
      </c>
      <c r="E494" s="292" t="s">
        <v>444</v>
      </c>
      <c r="F494" s="292" t="s">
        <v>441</v>
      </c>
      <c r="G494" s="253" t="s">
        <v>75</v>
      </c>
      <c r="J494" s="354">
        <v>1300000000</v>
      </c>
      <c r="K494" s="355">
        <f>'[57]TARGET MURNI DAN PERUBAHAN'!$E$289</f>
        <v>0</v>
      </c>
      <c r="L494" s="360">
        <f>[62]PerDinas!$N$533</f>
        <v>134620261</v>
      </c>
      <c r="M494" s="355">
        <f>[55]Perdinas!$E$425</f>
        <v>1300000</v>
      </c>
      <c r="N494" s="369">
        <f>M494+L494</f>
        <v>135920261</v>
      </c>
      <c r="O494" s="355">
        <f t="shared" si="76"/>
        <v>135920261</v>
      </c>
      <c r="P494" s="347" t="e">
        <f>N494/K494*100</f>
        <v>#DIV/0!</v>
      </c>
      <c r="Q494" s="841"/>
      <c r="R494" s="842"/>
    </row>
    <row r="495" spans="1:18" s="253" customFormat="1" ht="12.05" customHeight="1">
      <c r="A495" s="293"/>
      <c r="B495" s="292"/>
      <c r="C495" s="292"/>
      <c r="D495" s="292"/>
      <c r="E495" s="292"/>
      <c r="F495" s="292"/>
      <c r="J495" s="354"/>
      <c r="K495" s="355"/>
      <c r="L495" s="360"/>
      <c r="M495" s="355"/>
      <c r="N495" s="355"/>
      <c r="O495" s="355"/>
      <c r="P495" s="388"/>
      <c r="Q495" s="841"/>
      <c r="R495" s="842"/>
    </row>
    <row r="496" spans="1:18" s="253" customFormat="1" ht="12.05" customHeight="1">
      <c r="A496" s="303"/>
      <c r="B496" s="292">
        <v>4</v>
      </c>
      <c r="C496" s="292">
        <v>1</v>
      </c>
      <c r="D496" s="292">
        <v>4</v>
      </c>
      <c r="E496" s="292" t="s">
        <v>948</v>
      </c>
      <c r="F496" s="292"/>
      <c r="G496" s="253" t="s">
        <v>321</v>
      </c>
      <c r="J496" s="397">
        <f>+J497+J498</f>
        <v>7200000</v>
      </c>
      <c r="K496" s="398">
        <f>+K497+K498</f>
        <v>50953800</v>
      </c>
      <c r="L496" s="684">
        <f>+L497+L498</f>
        <v>21654020</v>
      </c>
      <c r="M496" s="398">
        <f>+M497+M498</f>
        <v>0</v>
      </c>
      <c r="N496" s="398">
        <f>+N497+N498</f>
        <v>21654020</v>
      </c>
      <c r="O496" s="398">
        <f>N496-K496</f>
        <v>-29299780</v>
      </c>
      <c r="P496" s="347">
        <f>N496/K496*100</f>
        <v>42.497360353889206</v>
      </c>
      <c r="Q496" s="841"/>
      <c r="R496" s="842"/>
    </row>
    <row r="497" spans="1:18" s="253" customFormat="1" ht="12.05" customHeight="1">
      <c r="A497" s="303"/>
      <c r="B497" s="292">
        <v>4</v>
      </c>
      <c r="C497" s="292">
        <v>1</v>
      </c>
      <c r="D497" s="292">
        <v>4</v>
      </c>
      <c r="E497" s="292" t="s">
        <v>948</v>
      </c>
      <c r="F497" s="292" t="s">
        <v>437</v>
      </c>
      <c r="G497" s="253" t="s">
        <v>50</v>
      </c>
      <c r="I497" s="253" t="s">
        <v>76</v>
      </c>
      <c r="J497" s="374">
        <v>2200000</v>
      </c>
      <c r="K497" s="375"/>
      <c r="L497" s="377">
        <v>0</v>
      </c>
      <c r="M497" s="375">
        <v>0</v>
      </c>
      <c r="N497" s="355">
        <f>M497+L497</f>
        <v>0</v>
      </c>
      <c r="O497" s="355">
        <f>N497-K497</f>
        <v>0</v>
      </c>
      <c r="P497" s="347"/>
      <c r="Q497" s="841"/>
      <c r="R497" s="842"/>
    </row>
    <row r="498" spans="1:18" s="253" customFormat="1" ht="12.05" customHeight="1">
      <c r="A498" s="303"/>
      <c r="B498" s="292" t="s">
        <v>984</v>
      </c>
      <c r="C498" s="292" t="s">
        <v>984</v>
      </c>
      <c r="D498" s="292" t="s">
        <v>984</v>
      </c>
      <c r="E498" s="292" t="s">
        <v>984</v>
      </c>
      <c r="F498" s="292" t="s">
        <v>984</v>
      </c>
      <c r="G498" s="253" t="s">
        <v>50</v>
      </c>
      <c r="I498" s="253" t="s">
        <v>632</v>
      </c>
      <c r="J498" s="374">
        <v>5000000</v>
      </c>
      <c r="K498" s="375">
        <f>'[57]TARGET MURNI DAN PERUBAHAN'!$E$290</f>
        <v>50953800</v>
      </c>
      <c r="L498" s="377">
        <f>[62]PerDinas!$N$537</f>
        <v>21654020</v>
      </c>
      <c r="M498" s="375">
        <f>[55]Perdinas!$E$426</f>
        <v>0</v>
      </c>
      <c r="N498" s="369">
        <f>M498+L498</f>
        <v>21654020</v>
      </c>
      <c r="O498" s="355">
        <f>N498-K498</f>
        <v>-29299780</v>
      </c>
      <c r="P498" s="347">
        <f>N498/K498*100</f>
        <v>42.497360353889206</v>
      </c>
      <c r="Q498" s="841"/>
      <c r="R498" s="842"/>
    </row>
    <row r="499" spans="1:18" s="245" customFormat="1" ht="12.7" customHeight="1">
      <c r="A499" s="745"/>
      <c r="B499" s="469"/>
      <c r="C499" s="469"/>
      <c r="D499" s="469"/>
      <c r="E499" s="469"/>
      <c r="F499" s="469"/>
      <c r="J499" s="482"/>
      <c r="K499" s="404"/>
      <c r="L499" s="673"/>
      <c r="M499" s="404"/>
      <c r="N499" s="404">
        <f>M499+L499</f>
        <v>0</v>
      </c>
      <c r="O499" s="404"/>
      <c r="P499" s="483"/>
      <c r="Q499" s="845"/>
      <c r="R499" s="450"/>
    </row>
    <row r="500" spans="1:18" s="244" customFormat="1" ht="12.05" customHeight="1">
      <c r="A500" s="283" t="s">
        <v>176</v>
      </c>
      <c r="B500" s="284" t="s">
        <v>58</v>
      </c>
      <c r="C500" s="284" t="s">
        <v>849</v>
      </c>
      <c r="D500" s="284" t="s">
        <v>451</v>
      </c>
      <c r="E500" s="284" t="s">
        <v>437</v>
      </c>
      <c r="F500" s="796"/>
      <c r="G500" s="298" t="s">
        <v>985</v>
      </c>
      <c r="H500" s="298"/>
      <c r="I500" s="298"/>
      <c r="J500" s="833">
        <f>J502</f>
        <v>87096920900</v>
      </c>
      <c r="K500" s="834" t="e">
        <f>K502</f>
        <v>#REF!</v>
      </c>
      <c r="L500" s="835">
        <f>L502</f>
        <v>120988167013.38</v>
      </c>
      <c r="M500" s="835" t="e">
        <f>M502</f>
        <v>#REF!</v>
      </c>
      <c r="N500" s="337" t="e">
        <f>+M500+L500</f>
        <v>#REF!</v>
      </c>
      <c r="O500" s="337" t="e">
        <f t="shared" ref="O500:O506" si="77">N500-K500</f>
        <v>#REF!</v>
      </c>
      <c r="P500" s="338" t="e">
        <f t="shared" ref="P500:P506" si="78">N500/K500*100</f>
        <v>#REF!</v>
      </c>
      <c r="Q500" s="432"/>
      <c r="R500" s="788"/>
    </row>
    <row r="501" spans="1:18" s="189" customFormat="1" ht="12.05" customHeight="1">
      <c r="A501" s="471"/>
      <c r="B501" s="287"/>
      <c r="C501" s="287"/>
      <c r="D501" s="287"/>
      <c r="E501" s="287"/>
      <c r="F501" s="287"/>
      <c r="G501" s="410"/>
      <c r="H501" s="410"/>
      <c r="I501" s="410"/>
      <c r="J501" s="333"/>
      <c r="K501" s="334"/>
      <c r="L501" s="334"/>
      <c r="M501" s="334"/>
      <c r="N501" s="485"/>
      <c r="O501" s="485"/>
      <c r="P501" s="597"/>
      <c r="Q501" s="430"/>
      <c r="R501" s="422"/>
    </row>
    <row r="502" spans="1:18" s="189" customFormat="1" ht="12.05" customHeight="1">
      <c r="A502" s="303"/>
      <c r="B502" s="290">
        <v>4</v>
      </c>
      <c r="C502" s="290">
        <v>1</v>
      </c>
      <c r="D502" s="290"/>
      <c r="E502" s="290"/>
      <c r="F502" s="290"/>
      <c r="G502" s="291" t="s">
        <v>180</v>
      </c>
      <c r="H502" s="291"/>
      <c r="I502" s="291"/>
      <c r="J502" s="836">
        <f>J504+J522+J533</f>
        <v>87096920900</v>
      </c>
      <c r="K502" s="837" t="e">
        <f>K504+K522+K533</f>
        <v>#REF!</v>
      </c>
      <c r="L502" s="837">
        <f>L504+L522+L533</f>
        <v>120988167013.38</v>
      </c>
      <c r="M502" s="837" t="e">
        <f>M504+M522+M533</f>
        <v>#REF!</v>
      </c>
      <c r="N502" s="837" t="e">
        <f>M502+L502</f>
        <v>#REF!</v>
      </c>
      <c r="O502" s="343" t="e">
        <f t="shared" si="77"/>
        <v>#REF!</v>
      </c>
      <c r="P502" s="344" t="e">
        <f t="shared" si="78"/>
        <v>#REF!</v>
      </c>
      <c r="Q502" s="846"/>
      <c r="R502" s="422"/>
    </row>
    <row r="503" spans="1:18" s="189" customFormat="1" ht="12.05" customHeight="1">
      <c r="A503" s="303"/>
      <c r="B503" s="290"/>
      <c r="C503" s="290"/>
      <c r="D503" s="290"/>
      <c r="E503" s="290"/>
      <c r="F503" s="290"/>
      <c r="G503" s="291"/>
      <c r="H503" s="291"/>
      <c r="I503" s="291"/>
      <c r="J503" s="370"/>
      <c r="K503" s="371"/>
      <c r="L503" s="371"/>
      <c r="M503" s="371"/>
      <c r="N503" s="367"/>
      <c r="O503" s="367"/>
      <c r="P503" s="347"/>
      <c r="Q503" s="651"/>
      <c r="R503" s="422"/>
    </row>
    <row r="504" spans="1:18" s="189" customFormat="1" ht="12.05" customHeight="1">
      <c r="A504" s="293"/>
      <c r="B504" s="290">
        <v>4</v>
      </c>
      <c r="C504" s="290">
        <v>1</v>
      </c>
      <c r="D504" s="290">
        <v>2</v>
      </c>
      <c r="E504" s="290"/>
      <c r="F504" s="290"/>
      <c r="G504" s="291" t="s">
        <v>106</v>
      </c>
      <c r="H504" s="291"/>
      <c r="I504" s="291"/>
      <c r="J504" s="348">
        <f t="shared" ref="J504:M505" si="79">+J505</f>
        <v>0</v>
      </c>
      <c r="K504" s="349" t="e">
        <f t="shared" si="79"/>
        <v>#REF!</v>
      </c>
      <c r="L504" s="349">
        <f t="shared" si="79"/>
        <v>0</v>
      </c>
      <c r="M504" s="349">
        <f t="shared" si="79"/>
        <v>0</v>
      </c>
      <c r="N504" s="349">
        <f>+M504+L504</f>
        <v>0</v>
      </c>
      <c r="O504" s="349" t="e">
        <f t="shared" si="77"/>
        <v>#REF!</v>
      </c>
      <c r="P504" s="350" t="e">
        <f t="shared" si="78"/>
        <v>#REF!</v>
      </c>
      <c r="Q504" s="439"/>
      <c r="R504" s="422"/>
    </row>
    <row r="505" spans="1:18" s="189" customFormat="1" ht="12.05" customHeight="1">
      <c r="A505" s="293"/>
      <c r="B505" s="292">
        <v>4</v>
      </c>
      <c r="C505" s="292">
        <v>1</v>
      </c>
      <c r="D505" s="292">
        <v>2</v>
      </c>
      <c r="E505" s="292" t="s">
        <v>438</v>
      </c>
      <c r="F505" s="292"/>
      <c r="G505" s="253" t="s">
        <v>109</v>
      </c>
      <c r="H505" s="253"/>
      <c r="I505" s="291"/>
      <c r="J505" s="411">
        <f t="shared" si="79"/>
        <v>0</v>
      </c>
      <c r="K505" s="412" t="e">
        <f t="shared" si="79"/>
        <v>#REF!</v>
      </c>
      <c r="L505" s="412">
        <f t="shared" si="79"/>
        <v>0</v>
      </c>
      <c r="M505" s="412">
        <f t="shared" si="79"/>
        <v>0</v>
      </c>
      <c r="N505" s="412">
        <f>+N506</f>
        <v>0</v>
      </c>
      <c r="O505" s="412" t="e">
        <f t="shared" si="77"/>
        <v>#REF!</v>
      </c>
      <c r="P505" s="487" t="e">
        <f t="shared" si="78"/>
        <v>#REF!</v>
      </c>
      <c r="Q505" s="694"/>
      <c r="R505" s="422"/>
    </row>
    <row r="506" spans="1:18" s="189" customFormat="1" ht="12.05" customHeight="1">
      <c r="A506" s="293"/>
      <c r="B506" s="292">
        <v>4</v>
      </c>
      <c r="C506" s="292">
        <v>1</v>
      </c>
      <c r="D506" s="292">
        <v>2</v>
      </c>
      <c r="E506" s="292" t="s">
        <v>437</v>
      </c>
      <c r="F506" s="292" t="s">
        <v>441</v>
      </c>
      <c r="G506" s="253" t="s">
        <v>986</v>
      </c>
      <c r="I506" s="253"/>
      <c r="J506" s="333">
        <v>0</v>
      </c>
      <c r="K506" s="334" t="e">
        <f>SUM(K507:K520)</f>
        <v>#REF!</v>
      </c>
      <c r="L506" s="334">
        <f>SUM(L507:L520)</f>
        <v>0</v>
      </c>
      <c r="M506" s="334">
        <f>SUM(M507:M520)</f>
        <v>0</v>
      </c>
      <c r="N506" s="361">
        <f>M506+L506</f>
        <v>0</v>
      </c>
      <c r="O506" s="334" t="e">
        <f t="shared" si="77"/>
        <v>#REF!</v>
      </c>
      <c r="P506" s="335" t="e">
        <f t="shared" si="78"/>
        <v>#REF!</v>
      </c>
      <c r="Q506" s="430"/>
      <c r="R506" s="555"/>
    </row>
    <row r="507" spans="1:18" s="189" customFormat="1" ht="15.05">
      <c r="A507" s="293"/>
      <c r="B507" s="292"/>
      <c r="C507" s="292"/>
      <c r="D507" s="292"/>
      <c r="E507" s="292"/>
      <c r="F507" s="292"/>
      <c r="G507" s="253" t="s">
        <v>50</v>
      </c>
      <c r="H507" s="291" t="s">
        <v>518</v>
      </c>
      <c r="I507" s="291"/>
      <c r="J507" s="830" t="e">
        <f>SUM(J508:J510)</f>
        <v>#REF!</v>
      </c>
      <c r="K507" s="838" t="e">
        <f>'[55]TARGET MURNI DAN PERUBAHAN'!#REF!</f>
        <v>#REF!</v>
      </c>
      <c r="L507" s="334"/>
      <c r="M507" s="334"/>
      <c r="N507" s="361"/>
      <c r="O507" s="334"/>
      <c r="P507" s="335"/>
      <c r="Q507" s="430"/>
      <c r="R507" s="555"/>
    </row>
    <row r="508" spans="1:18" s="189" customFormat="1" ht="12.05" customHeight="1">
      <c r="A508" s="293"/>
      <c r="B508" s="292"/>
      <c r="C508" s="292"/>
      <c r="D508" s="292"/>
      <c r="E508" s="292"/>
      <c r="F508" s="292"/>
      <c r="G508" s="253"/>
      <c r="H508" s="2771" t="s">
        <v>519</v>
      </c>
      <c r="I508" s="826"/>
      <c r="J508" s="838" t="e">
        <f>'[55]TARGET MURNI DAN PERUBAHAN'!#REF!</f>
        <v>#REF!</v>
      </c>
      <c r="K508" s="838" t="e">
        <f>'[55]TARGET MURNI DAN PERUBAHAN'!#REF!</f>
        <v>#REF!</v>
      </c>
      <c r="L508" s="334"/>
      <c r="M508" s="334"/>
      <c r="N508" s="361"/>
      <c r="O508" s="334"/>
      <c r="P508" s="335"/>
      <c r="Q508" s="430"/>
      <c r="R508" s="555"/>
    </row>
    <row r="509" spans="1:18" s="189" customFormat="1" ht="12.05" customHeight="1">
      <c r="A509" s="293"/>
      <c r="B509" s="292"/>
      <c r="C509" s="292"/>
      <c r="D509" s="292"/>
      <c r="E509" s="292"/>
      <c r="F509" s="292"/>
      <c r="G509" s="253"/>
      <c r="H509" s="2771" t="s">
        <v>520</v>
      </c>
      <c r="I509" s="826"/>
      <c r="J509" s="838" t="e">
        <f>'[55]TARGET MURNI DAN PERUBAHAN'!#REF!</f>
        <v>#REF!</v>
      </c>
      <c r="K509" s="838" t="e">
        <f>'[55]TARGET MURNI DAN PERUBAHAN'!#REF!</f>
        <v>#REF!</v>
      </c>
      <c r="L509" s="334"/>
      <c r="M509" s="334"/>
      <c r="N509" s="361"/>
      <c r="O509" s="334"/>
      <c r="P509" s="335"/>
      <c r="Q509" s="430"/>
      <c r="R509" s="555"/>
    </row>
    <row r="510" spans="1:18" s="189" customFormat="1" ht="12.05" customHeight="1">
      <c r="A510" s="293"/>
      <c r="B510" s="292"/>
      <c r="C510" s="292"/>
      <c r="D510" s="292"/>
      <c r="E510" s="292"/>
      <c r="F510" s="292"/>
      <c r="G510" s="253"/>
      <c r="H510" s="2771" t="s">
        <v>521</v>
      </c>
      <c r="I510" s="826"/>
      <c r="J510" s="838" t="e">
        <f>'[55]TARGET MURNI DAN PERUBAHAN'!#REF!</f>
        <v>#REF!</v>
      </c>
      <c r="K510" s="830" t="e">
        <f>SUM(K511:K518)</f>
        <v>#REF!</v>
      </c>
      <c r="L510" s="334"/>
      <c r="M510" s="334"/>
      <c r="N510" s="361"/>
      <c r="O510" s="334"/>
      <c r="P510" s="335"/>
      <c r="Q510" s="430"/>
      <c r="R510" s="555"/>
    </row>
    <row r="511" spans="1:18" s="189" customFormat="1" ht="15.05">
      <c r="A511" s="293"/>
      <c r="B511" s="292"/>
      <c r="C511" s="292"/>
      <c r="D511" s="292"/>
      <c r="E511" s="292"/>
      <c r="F511" s="292"/>
      <c r="G511" s="253" t="s">
        <v>50</v>
      </c>
      <c r="H511" s="202" t="s">
        <v>522</v>
      </c>
      <c r="I511" s="202"/>
      <c r="J511" s="830" t="e">
        <f>SUM(J512:J519)</f>
        <v>#REF!</v>
      </c>
      <c r="K511" s="838" t="e">
        <f>'[55]TARGET MURNI DAN PERUBAHAN'!#REF!</f>
        <v>#REF!</v>
      </c>
      <c r="L511" s="334"/>
      <c r="M511" s="334"/>
      <c r="N511" s="361"/>
      <c r="O511" s="334"/>
      <c r="P511" s="335"/>
      <c r="Q511" s="430"/>
      <c r="R511" s="555"/>
    </row>
    <row r="512" spans="1:18" s="189" customFormat="1" ht="12.05" customHeight="1">
      <c r="A512" s="293"/>
      <c r="B512" s="292"/>
      <c r="C512" s="292"/>
      <c r="D512" s="292"/>
      <c r="E512" s="292"/>
      <c r="F512" s="292"/>
      <c r="G512" s="253"/>
      <c r="H512" s="2771" t="s">
        <v>758</v>
      </c>
      <c r="I512" s="826"/>
      <c r="J512" s="838" t="e">
        <f>'[55]TARGET MURNI DAN PERUBAHAN'!#REF!</f>
        <v>#REF!</v>
      </c>
      <c r="K512" s="838" t="e">
        <f>'[55]TARGET MURNI DAN PERUBAHAN'!#REF!</f>
        <v>#REF!</v>
      </c>
      <c r="L512" s="334"/>
      <c r="M512" s="334"/>
      <c r="N512" s="361"/>
      <c r="O512" s="334"/>
      <c r="P512" s="335"/>
      <c r="Q512" s="430"/>
      <c r="R512" s="555"/>
    </row>
    <row r="513" spans="1:18" s="189" customFormat="1" ht="12.05" customHeight="1">
      <c r="A513" s="293"/>
      <c r="B513" s="292"/>
      <c r="C513" s="292"/>
      <c r="D513" s="292"/>
      <c r="E513" s="292"/>
      <c r="F513" s="292"/>
      <c r="G513" s="253"/>
      <c r="H513" s="2771" t="s">
        <v>759</v>
      </c>
      <c r="I513" s="826"/>
      <c r="J513" s="838" t="e">
        <f>'[55]TARGET MURNI DAN PERUBAHAN'!#REF!</f>
        <v>#REF!</v>
      </c>
      <c r="K513" s="838" t="e">
        <f>'[55]TARGET MURNI DAN PERUBAHAN'!#REF!</f>
        <v>#REF!</v>
      </c>
      <c r="L513" s="334"/>
      <c r="M513" s="334"/>
      <c r="N513" s="361"/>
      <c r="O513" s="334"/>
      <c r="P513" s="335"/>
      <c r="Q513" s="430"/>
      <c r="R513" s="555"/>
    </row>
    <row r="514" spans="1:18" s="189" customFormat="1" ht="12.05" customHeight="1">
      <c r="A514" s="293"/>
      <c r="B514" s="292"/>
      <c r="C514" s="292"/>
      <c r="D514" s="292"/>
      <c r="E514" s="292"/>
      <c r="F514" s="292"/>
      <c r="G514" s="253"/>
      <c r="H514" s="2771" t="s">
        <v>760</v>
      </c>
      <c r="I514" s="826"/>
      <c r="J514" s="838" t="e">
        <f>'[55]TARGET MURNI DAN PERUBAHAN'!#REF!</f>
        <v>#REF!</v>
      </c>
      <c r="K514" s="838" t="e">
        <f>'[55]TARGET MURNI DAN PERUBAHAN'!#REF!</f>
        <v>#REF!</v>
      </c>
      <c r="L514" s="334"/>
      <c r="M514" s="334"/>
      <c r="N514" s="361"/>
      <c r="O514" s="334"/>
      <c r="P514" s="335"/>
      <c r="Q514" s="430"/>
      <c r="R514" s="555"/>
    </row>
    <row r="515" spans="1:18" s="189" customFormat="1" ht="12.05" customHeight="1">
      <c r="A515" s="293"/>
      <c r="B515" s="292"/>
      <c r="C515" s="292"/>
      <c r="D515" s="292"/>
      <c r="E515" s="292"/>
      <c r="F515" s="292"/>
      <c r="G515" s="291"/>
      <c r="H515" s="2771" t="s">
        <v>761</v>
      </c>
      <c r="I515" s="826"/>
      <c r="J515" s="838" t="e">
        <f>'[55]TARGET MURNI DAN PERUBAHAN'!#REF!</f>
        <v>#REF!</v>
      </c>
      <c r="K515" s="838" t="e">
        <f>'[55]TARGET MURNI DAN PERUBAHAN'!#REF!</f>
        <v>#REF!</v>
      </c>
      <c r="L515" s="334"/>
      <c r="M515" s="334"/>
      <c r="N515" s="361"/>
      <c r="O515" s="334"/>
      <c r="P515" s="335"/>
      <c r="Q515" s="430"/>
      <c r="R515" s="555"/>
    </row>
    <row r="516" spans="1:18" s="189" customFormat="1" ht="12.05" customHeight="1">
      <c r="A516" s="293"/>
      <c r="B516" s="292"/>
      <c r="C516" s="292"/>
      <c r="D516" s="292"/>
      <c r="E516" s="292"/>
      <c r="F516" s="292"/>
      <c r="G516" s="291"/>
      <c r="H516" s="2771" t="s">
        <v>762</v>
      </c>
      <c r="I516" s="826"/>
      <c r="J516" s="838" t="e">
        <f>'[55]TARGET MURNI DAN PERUBAHAN'!#REF!</f>
        <v>#REF!</v>
      </c>
      <c r="K516" s="838" t="e">
        <f>'[55]TARGET MURNI DAN PERUBAHAN'!#REF!</f>
        <v>#REF!</v>
      </c>
      <c r="L516" s="334"/>
      <c r="M516" s="334"/>
      <c r="N516" s="361"/>
      <c r="O516" s="334"/>
      <c r="P516" s="335"/>
      <c r="Q516" s="430"/>
      <c r="R516" s="555"/>
    </row>
    <row r="517" spans="1:18" s="189" customFormat="1" ht="12.05" customHeight="1">
      <c r="A517" s="293"/>
      <c r="B517" s="292"/>
      <c r="C517" s="292"/>
      <c r="D517" s="292"/>
      <c r="E517" s="292"/>
      <c r="F517" s="292"/>
      <c r="G517" s="253"/>
      <c r="H517" s="2772" t="s">
        <v>763</v>
      </c>
      <c r="I517" s="847"/>
      <c r="J517" s="838" t="e">
        <f>'[55]TARGET MURNI DAN PERUBAHAN'!#REF!</f>
        <v>#REF!</v>
      </c>
      <c r="K517" s="838" t="e">
        <f>'[55]TARGET MURNI DAN PERUBAHAN'!#REF!</f>
        <v>#REF!</v>
      </c>
      <c r="L517" s="334"/>
      <c r="M517" s="334"/>
      <c r="N517" s="361"/>
      <c r="O517" s="334"/>
      <c r="P517" s="335"/>
      <c r="Q517" s="430"/>
      <c r="R517" s="555"/>
    </row>
    <row r="518" spans="1:18" s="189" customFormat="1" ht="12.05" customHeight="1">
      <c r="A518" s="293"/>
      <c r="B518" s="292"/>
      <c r="C518" s="292"/>
      <c r="D518" s="292"/>
      <c r="E518" s="292"/>
      <c r="F518" s="292"/>
      <c r="G518" s="253"/>
      <c r="H518" s="2772" t="s">
        <v>764</v>
      </c>
      <c r="I518" s="847"/>
      <c r="J518" s="838" t="e">
        <f>'[55]TARGET MURNI DAN PERUBAHAN'!#REF!</f>
        <v>#REF!</v>
      </c>
      <c r="K518" s="838" t="e">
        <f>'[55]TARGET MURNI DAN PERUBAHAN'!#REF!</f>
        <v>#REF!</v>
      </c>
      <c r="L518" s="334"/>
      <c r="M518" s="334"/>
      <c r="N518" s="361"/>
      <c r="O518" s="334"/>
      <c r="P518" s="335"/>
      <c r="Q518" s="430"/>
      <c r="R518" s="555"/>
    </row>
    <row r="519" spans="1:18" s="189" customFormat="1" ht="12.05" customHeight="1">
      <c r="A519" s="293"/>
      <c r="B519" s="292"/>
      <c r="C519" s="292"/>
      <c r="D519" s="292"/>
      <c r="E519" s="292"/>
      <c r="F519" s="292"/>
      <c r="G519" s="253"/>
      <c r="H519" s="2772" t="s">
        <v>765</v>
      </c>
      <c r="I519" s="847"/>
      <c r="J519" s="838" t="e">
        <f>'[55]TARGET MURNI DAN PERUBAHAN'!#REF!</f>
        <v>#REF!</v>
      </c>
      <c r="K519" s="838" t="e">
        <f>'[55]TARGET MURNI DAN PERUBAHAN'!#REF!</f>
        <v>#REF!</v>
      </c>
      <c r="L519" s="334"/>
      <c r="M519" s="334"/>
      <c r="N519" s="361"/>
      <c r="O519" s="334"/>
      <c r="P519" s="335"/>
      <c r="Q519" s="430"/>
      <c r="R519" s="555"/>
    </row>
    <row r="520" spans="1:18" s="189" customFormat="1" ht="12.05" customHeight="1">
      <c r="A520" s="293"/>
      <c r="B520" s="292"/>
      <c r="C520" s="292"/>
      <c r="D520" s="292"/>
      <c r="E520" s="292"/>
      <c r="F520" s="292"/>
      <c r="G520" s="2761" t="s">
        <v>50</v>
      </c>
      <c r="H520" s="202" t="s">
        <v>766</v>
      </c>
      <c r="I520" s="202"/>
      <c r="J520" s="838" t="e">
        <f>'[55]TARGET MURNI DAN PERUBAHAN'!#REF!</f>
        <v>#REF!</v>
      </c>
      <c r="K520" s="334"/>
      <c r="L520" s="334"/>
      <c r="M520" s="334"/>
      <c r="N520" s="361"/>
      <c r="O520" s="334"/>
      <c r="P520" s="335"/>
      <c r="Q520" s="430"/>
      <c r="R520" s="555"/>
    </row>
    <row r="521" spans="1:18" s="189" customFormat="1" ht="12.05" customHeight="1">
      <c r="A521" s="293"/>
      <c r="B521" s="292"/>
      <c r="C521" s="292"/>
      <c r="D521" s="292"/>
      <c r="E521" s="292"/>
      <c r="F521" s="292"/>
      <c r="G521" s="253"/>
      <c r="H521" s="253"/>
      <c r="I521" s="253"/>
      <c r="J521" s="351"/>
      <c r="K521" s="352"/>
      <c r="L521" s="362"/>
      <c r="M521" s="352"/>
      <c r="N521" s="352"/>
      <c r="O521" s="352"/>
      <c r="P521" s="353"/>
      <c r="Q521" s="440"/>
      <c r="R521" s="422"/>
    </row>
    <row r="522" spans="1:18" s="189" customFormat="1" ht="12.05" customHeight="1">
      <c r="A522" s="303"/>
      <c r="B522" s="290">
        <v>4</v>
      </c>
      <c r="C522" s="290">
        <v>1</v>
      </c>
      <c r="D522" s="290">
        <v>3</v>
      </c>
      <c r="E522" s="290"/>
      <c r="F522" s="290"/>
      <c r="G522" s="848" t="s">
        <v>987</v>
      </c>
      <c r="H522" s="848"/>
      <c r="I522" s="291"/>
      <c r="J522" s="863">
        <f t="shared" ref="J522:M523" si="80">+J523</f>
        <v>77891339800</v>
      </c>
      <c r="K522" s="864">
        <f t="shared" si="80"/>
        <v>123837542676</v>
      </c>
      <c r="L522" s="865">
        <f t="shared" si="80"/>
        <v>69217461756</v>
      </c>
      <c r="M522" s="864" t="e">
        <f t="shared" si="80"/>
        <v>#REF!</v>
      </c>
      <c r="N522" s="866" t="e">
        <f>+M522+L522</f>
        <v>#REF!</v>
      </c>
      <c r="O522" s="866" t="e">
        <f>N522-K522</f>
        <v>#REF!</v>
      </c>
      <c r="P522" s="867" t="e">
        <f>N522/K522*100</f>
        <v>#REF!</v>
      </c>
      <c r="Q522" s="885"/>
      <c r="R522" s="422"/>
    </row>
    <row r="523" spans="1:18" s="189" customFormat="1" ht="12.05" customHeight="1">
      <c r="A523" s="303"/>
      <c r="B523" s="292">
        <v>4</v>
      </c>
      <c r="C523" s="292">
        <v>1</v>
      </c>
      <c r="D523" s="292">
        <v>3</v>
      </c>
      <c r="E523" s="292" t="s">
        <v>437</v>
      </c>
      <c r="F523" s="292"/>
      <c r="G523" s="253" t="s">
        <v>767</v>
      </c>
      <c r="H523" s="253"/>
      <c r="I523" s="253"/>
      <c r="J523" s="489">
        <f t="shared" si="80"/>
        <v>77891339800</v>
      </c>
      <c r="K523" s="512">
        <f t="shared" si="80"/>
        <v>123837542676</v>
      </c>
      <c r="L523" s="616">
        <f t="shared" si="80"/>
        <v>69217461756</v>
      </c>
      <c r="M523" s="512" t="e">
        <f t="shared" si="80"/>
        <v>#REF!</v>
      </c>
      <c r="N523" s="412" t="e">
        <f>+M523+L523</f>
        <v>#REF!</v>
      </c>
      <c r="O523" s="412" t="e">
        <f t="shared" ref="O523:O531" si="81">N523-K523</f>
        <v>#REF!</v>
      </c>
      <c r="P523" s="487" t="e">
        <f t="shared" ref="P523:P531" si="82">N523/K523*100</f>
        <v>#REF!</v>
      </c>
      <c r="Q523" s="647"/>
      <c r="R523" s="422"/>
    </row>
    <row r="524" spans="1:18" s="189" customFormat="1">
      <c r="A524" s="303"/>
      <c r="B524" s="292">
        <v>4</v>
      </c>
      <c r="C524" s="292">
        <v>1</v>
      </c>
      <c r="D524" s="292">
        <v>3</v>
      </c>
      <c r="E524" s="292" t="s">
        <v>437</v>
      </c>
      <c r="F524" s="292" t="s">
        <v>437</v>
      </c>
      <c r="G524" s="253" t="s">
        <v>195</v>
      </c>
      <c r="H524" s="253"/>
      <c r="I524" s="253"/>
      <c r="J524" s="494">
        <f>SUM(J525:J530)</f>
        <v>77891339800</v>
      </c>
      <c r="K524" s="495">
        <f>SUM(K525:K531)</f>
        <v>123837542676</v>
      </c>
      <c r="L524" s="513">
        <f>SUM(L525:L530)</f>
        <v>69217461756</v>
      </c>
      <c r="M524" s="495" t="e">
        <f>SUM(M525:M530)</f>
        <v>#REF!</v>
      </c>
      <c r="N524" s="495" t="e">
        <f t="shared" ref="N524:N530" si="83">M524+L524</f>
        <v>#REF!</v>
      </c>
      <c r="O524" s="497" t="e">
        <f t="shared" si="81"/>
        <v>#REF!</v>
      </c>
      <c r="P524" s="498" t="e">
        <f t="shared" si="82"/>
        <v>#REF!</v>
      </c>
      <c r="Q524" s="548"/>
      <c r="R524" s="422"/>
    </row>
    <row r="525" spans="1:18" s="189" customFormat="1" ht="12.05" customHeight="1">
      <c r="A525" s="293"/>
      <c r="B525" s="292"/>
      <c r="C525" s="292"/>
      <c r="D525" s="292"/>
      <c r="E525" s="292"/>
      <c r="F525" s="292"/>
      <c r="G525" s="253" t="s">
        <v>50</v>
      </c>
      <c r="H525" s="253" t="s">
        <v>197</v>
      </c>
      <c r="J525" s="374">
        <v>46024029800</v>
      </c>
      <c r="K525" s="376">
        <f>'[57]TARGET MURNI DAN PERUBAHAN'!$E$305</f>
        <v>48904261900</v>
      </c>
      <c r="L525" s="377">
        <f>[62]PerDinas!$N$551</f>
        <v>59771875733</v>
      </c>
      <c r="M525" s="376" t="e">
        <f>[55]Perdinas!#REF!</f>
        <v>#REF!</v>
      </c>
      <c r="N525" s="415" t="e">
        <f t="shared" si="83"/>
        <v>#REF!</v>
      </c>
      <c r="O525" s="357" t="e">
        <f t="shared" si="81"/>
        <v>#REF!</v>
      </c>
      <c r="P525" s="358" t="e">
        <f t="shared" si="82"/>
        <v>#REF!</v>
      </c>
      <c r="Q525" s="448"/>
      <c r="R525" s="422"/>
    </row>
    <row r="526" spans="1:18" s="189" customFormat="1" ht="12.05" customHeight="1">
      <c r="A526" s="293"/>
      <c r="B526" s="705"/>
      <c r="C526" s="705"/>
      <c r="D526" s="705"/>
      <c r="E526" s="705"/>
      <c r="F526" s="292"/>
      <c r="G526" s="253" t="s">
        <v>50</v>
      </c>
      <c r="H526" s="253" t="s">
        <v>988</v>
      </c>
      <c r="J526" s="374">
        <v>3250000000</v>
      </c>
      <c r="K526" s="376">
        <f>'[57]TARGET MURNI DAN PERUBAHAN'!$E$306</f>
        <v>8123179200</v>
      </c>
      <c r="L526" s="377">
        <f>[62]PerDinas!$N$552</f>
        <v>9337100098</v>
      </c>
      <c r="M526" s="376" t="e">
        <f>[55]Perdinas!#REF!</f>
        <v>#REF!</v>
      </c>
      <c r="N526" s="369" t="e">
        <f t="shared" si="83"/>
        <v>#REF!</v>
      </c>
      <c r="O526" s="355" t="e">
        <f t="shared" si="81"/>
        <v>#REF!</v>
      </c>
      <c r="P526" s="388" t="e">
        <f t="shared" si="82"/>
        <v>#REF!</v>
      </c>
      <c r="Q526" s="732"/>
      <c r="R526" s="422"/>
    </row>
    <row r="527" spans="1:18" s="189" customFormat="1" ht="12.05" customHeight="1">
      <c r="A527" s="293"/>
      <c r="B527" s="705"/>
      <c r="C527" s="705"/>
      <c r="D527" s="705"/>
      <c r="E527" s="705"/>
      <c r="F527" s="292"/>
      <c r="G527" s="253" t="s">
        <v>50</v>
      </c>
      <c r="H527" s="253" t="s">
        <v>769</v>
      </c>
      <c r="J527" s="374">
        <v>300000000</v>
      </c>
      <c r="K527" s="376">
        <f>'[57]TARGET MURNI DAN PERUBAHAN'!$E$307</f>
        <v>750000000</v>
      </c>
      <c r="L527" s="377">
        <f>[62]PerDinas!$N$553</f>
        <v>0</v>
      </c>
      <c r="M527" s="376" t="e">
        <f>[55]Perdinas!#REF!</f>
        <v>#REF!</v>
      </c>
      <c r="N527" s="369" t="e">
        <f t="shared" si="83"/>
        <v>#REF!</v>
      </c>
      <c r="O527" s="355" t="e">
        <f t="shared" si="81"/>
        <v>#REF!</v>
      </c>
      <c r="P527" s="388" t="e">
        <f t="shared" si="82"/>
        <v>#REF!</v>
      </c>
      <c r="Q527" s="732"/>
      <c r="R527" s="422"/>
    </row>
    <row r="528" spans="1:18" s="189" customFormat="1" ht="12.05" customHeight="1">
      <c r="A528" s="293"/>
      <c r="B528" s="292"/>
      <c r="C528" s="292"/>
      <c r="D528" s="292"/>
      <c r="E528" s="292"/>
      <c r="F528" s="292"/>
      <c r="G528" s="253" t="s">
        <v>50</v>
      </c>
      <c r="H528" s="253" t="s">
        <v>199</v>
      </c>
      <c r="J528" s="374">
        <v>28000000000</v>
      </c>
      <c r="K528" s="376">
        <f>'[57]TARGET MURNI DAN PERUBAHAN'!$E$308</f>
        <v>65782409997</v>
      </c>
      <c r="L528" s="377">
        <f>[62]PerDinas!$N$554</f>
        <v>0</v>
      </c>
      <c r="M528" s="376" t="e">
        <f>[55]Perdinas!#REF!</f>
        <v>#REF!</v>
      </c>
      <c r="N528" s="355" t="e">
        <f t="shared" si="83"/>
        <v>#REF!</v>
      </c>
      <c r="O528" s="355" t="e">
        <f t="shared" si="81"/>
        <v>#REF!</v>
      </c>
      <c r="P528" s="388" t="e">
        <f t="shared" si="82"/>
        <v>#REF!</v>
      </c>
      <c r="Q528" s="732"/>
      <c r="R528" s="422"/>
    </row>
    <row r="529" spans="1:18" s="189" customFormat="1" ht="12.05" customHeight="1">
      <c r="A529" s="293"/>
      <c r="B529" s="292"/>
      <c r="C529" s="292"/>
      <c r="D529" s="292"/>
      <c r="E529" s="292"/>
      <c r="F529" s="292"/>
      <c r="G529" s="253" t="s">
        <v>50</v>
      </c>
      <c r="H529" s="253" t="s">
        <v>200</v>
      </c>
      <c r="J529" s="374">
        <v>317310000</v>
      </c>
      <c r="K529" s="376">
        <f>'[57]TARGET MURNI DAN PERUBAHAN'!$E$309</f>
        <v>247359679</v>
      </c>
      <c r="L529" s="377">
        <f>[62]PerDinas!$N$555</f>
        <v>0</v>
      </c>
      <c r="M529" s="376" t="e">
        <f>[55]Perdinas!#REF!</f>
        <v>#REF!</v>
      </c>
      <c r="N529" s="355" t="e">
        <f t="shared" si="83"/>
        <v>#REF!</v>
      </c>
      <c r="O529" s="355" t="e">
        <f t="shared" si="81"/>
        <v>#REF!</v>
      </c>
      <c r="P529" s="388" t="e">
        <f t="shared" si="82"/>
        <v>#REF!</v>
      </c>
      <c r="Q529" s="732"/>
      <c r="R529" s="422"/>
    </row>
    <row r="530" spans="1:18" s="189" customFormat="1" ht="12.05" customHeight="1">
      <c r="A530" s="293"/>
      <c r="B530" s="292"/>
      <c r="C530" s="292"/>
      <c r="D530" s="292"/>
      <c r="E530" s="292"/>
      <c r="F530" s="292"/>
      <c r="G530" s="253" t="s">
        <v>50</v>
      </c>
      <c r="H530" s="253" t="s">
        <v>770</v>
      </c>
      <c r="J530" s="374"/>
      <c r="K530" s="376">
        <f>'[57]TARGET MURNI DAN PERUBAHAN'!$E$310</f>
        <v>30331900</v>
      </c>
      <c r="L530" s="377">
        <f>[62]PerDinas!$N$556</f>
        <v>108485925</v>
      </c>
      <c r="M530" s="376" t="e">
        <f>[55]Perdinas!#REF!</f>
        <v>#REF!</v>
      </c>
      <c r="N530" s="369" t="e">
        <f t="shared" si="83"/>
        <v>#REF!</v>
      </c>
      <c r="O530" s="355" t="e">
        <f t="shared" si="81"/>
        <v>#REF!</v>
      </c>
      <c r="P530" s="388" t="e">
        <f t="shared" si="82"/>
        <v>#REF!</v>
      </c>
      <c r="Q530" s="732"/>
      <c r="R530" s="422"/>
    </row>
    <row r="531" spans="1:18" s="189" customFormat="1" ht="12.05" customHeight="1">
      <c r="A531" s="293"/>
      <c r="B531" s="292"/>
      <c r="C531" s="292"/>
      <c r="D531" s="292"/>
      <c r="E531" s="292"/>
      <c r="F531" s="292"/>
      <c r="G531" s="253" t="s">
        <v>50</v>
      </c>
      <c r="H531" s="253" t="s">
        <v>201</v>
      </c>
      <c r="J531" s="374"/>
      <c r="K531" s="376">
        <f>'[57]TARGET MURNI DAN PERUBAHAN'!$E$311</f>
        <v>0</v>
      </c>
      <c r="L531" s="377" t="e">
        <f>[62]PerDinas!$N$557</f>
        <v>#REF!</v>
      </c>
      <c r="M531" s="376" t="e">
        <f>[55]Perdinas!#REF!</f>
        <v>#REF!</v>
      </c>
      <c r="N531" s="355"/>
      <c r="O531" s="355">
        <f t="shared" si="81"/>
        <v>0</v>
      </c>
      <c r="P531" s="388" t="e">
        <f t="shared" si="82"/>
        <v>#DIV/0!</v>
      </c>
      <c r="Q531" s="448"/>
      <c r="R531" s="422"/>
    </row>
    <row r="532" spans="1:18" s="189" customFormat="1" ht="12.05" customHeight="1">
      <c r="A532" s="293"/>
      <c r="B532" s="292"/>
      <c r="C532" s="292"/>
      <c r="D532" s="292"/>
      <c r="E532" s="292"/>
      <c r="F532" s="292"/>
      <c r="G532" s="253"/>
      <c r="H532" s="253"/>
      <c r="I532" s="868"/>
      <c r="J532" s="494"/>
      <c r="K532" s="375"/>
      <c r="L532" s="377"/>
      <c r="M532" s="375"/>
      <c r="N532" s="355"/>
      <c r="O532" s="355"/>
      <c r="P532" s="388"/>
      <c r="Q532" s="448"/>
      <c r="R532" s="422"/>
    </row>
    <row r="533" spans="1:18" s="189" customFormat="1" ht="12.05" customHeight="1">
      <c r="A533" s="303"/>
      <c r="B533" s="290">
        <v>4</v>
      </c>
      <c r="C533" s="290">
        <v>1</v>
      </c>
      <c r="D533" s="290">
        <v>4</v>
      </c>
      <c r="E533" s="290"/>
      <c r="F533" s="290"/>
      <c r="G533" s="291" t="s">
        <v>71</v>
      </c>
      <c r="H533" s="291"/>
      <c r="I533" s="291"/>
      <c r="J533" s="392">
        <f>+J534+J545+J548+J563</f>
        <v>9205581100</v>
      </c>
      <c r="K533" s="393">
        <f>+K534+K545+K548+K563+K578+K541</f>
        <v>110839290450</v>
      </c>
      <c r="L533" s="393">
        <f>+L534+L545+L548+L563+L578+L541</f>
        <v>51770705257.380005</v>
      </c>
      <c r="M533" s="393" t="e">
        <f>+M534+M545+M548+M563+M578</f>
        <v>#REF!</v>
      </c>
      <c r="N533" s="393" t="e">
        <f>M533+L533</f>
        <v>#REF!</v>
      </c>
      <c r="O533" s="349" t="e">
        <f>N533-K533</f>
        <v>#REF!</v>
      </c>
      <c r="P533" s="350" t="e">
        <f>N533/K533*100</f>
        <v>#REF!</v>
      </c>
      <c r="Q533" s="444"/>
      <c r="R533" s="422"/>
    </row>
    <row r="534" spans="1:18" s="189" customFormat="1" ht="12.05" customHeight="1">
      <c r="A534" s="303"/>
      <c r="B534" s="292">
        <v>4</v>
      </c>
      <c r="C534" s="292">
        <v>1</v>
      </c>
      <c r="D534" s="292">
        <v>4</v>
      </c>
      <c r="E534" s="292" t="s">
        <v>437</v>
      </c>
      <c r="F534" s="292" t="s">
        <v>438</v>
      </c>
      <c r="G534" s="253" t="s">
        <v>989</v>
      </c>
      <c r="H534" s="253"/>
      <c r="I534" s="253"/>
      <c r="J534" s="484">
        <f>+J540+J541</f>
        <v>0</v>
      </c>
      <c r="K534" s="485">
        <v>0</v>
      </c>
      <c r="L534" s="486">
        <v>0</v>
      </c>
      <c r="M534" s="485" t="e">
        <f>+M540+M541</f>
        <v>#REF!</v>
      </c>
      <c r="N534" s="869" t="e">
        <f>M534+L534</f>
        <v>#REF!</v>
      </c>
      <c r="O534" s="870" t="e">
        <f>N534-K534</f>
        <v>#REF!</v>
      </c>
      <c r="P534" s="871" t="e">
        <f>N534/K534*100</f>
        <v>#REF!</v>
      </c>
      <c r="Q534" s="541"/>
      <c r="R534" s="422"/>
    </row>
    <row r="535" spans="1:18" s="189" customFormat="1" ht="12.05" customHeight="1">
      <c r="A535" s="303"/>
      <c r="B535" s="292"/>
      <c r="C535" s="292"/>
      <c r="D535" s="292"/>
      <c r="E535" s="292"/>
      <c r="F535" s="292"/>
      <c r="G535" s="2773" t="s">
        <v>50</v>
      </c>
      <c r="H535" s="849" t="s">
        <v>207</v>
      </c>
      <c r="I535" s="253"/>
      <c r="J535" s="389"/>
      <c r="K535" s="357"/>
      <c r="L535" s="391"/>
      <c r="M535" s="357"/>
      <c r="N535" s="415"/>
      <c r="O535" s="357"/>
      <c r="P535" s="872"/>
      <c r="Q535" s="442"/>
      <c r="R535" s="422"/>
    </row>
    <row r="536" spans="1:18" s="189" customFormat="1" ht="12.05" customHeight="1">
      <c r="A536" s="303"/>
      <c r="B536" s="292"/>
      <c r="C536" s="292"/>
      <c r="D536" s="292"/>
      <c r="E536" s="292"/>
      <c r="F536" s="292"/>
      <c r="G536" s="2773" t="s">
        <v>50</v>
      </c>
      <c r="H536" s="850" t="s">
        <v>208</v>
      </c>
      <c r="I536" s="253"/>
      <c r="J536" s="354"/>
      <c r="K536" s="355"/>
      <c r="L536" s="360"/>
      <c r="M536" s="355"/>
      <c r="N536" s="369"/>
      <c r="O536" s="355"/>
      <c r="P536" s="873"/>
      <c r="Q536" s="441"/>
      <c r="R536" s="422"/>
    </row>
    <row r="537" spans="1:18" s="189" customFormat="1" ht="12.05" customHeight="1">
      <c r="A537" s="303"/>
      <c r="B537" s="292"/>
      <c r="C537" s="292"/>
      <c r="D537" s="292"/>
      <c r="E537" s="292"/>
      <c r="F537" s="292"/>
      <c r="G537" s="2773" t="s">
        <v>50</v>
      </c>
      <c r="H537" s="850" t="s">
        <v>209</v>
      </c>
      <c r="I537" s="253"/>
      <c r="J537" s="354"/>
      <c r="K537" s="355"/>
      <c r="L537" s="360"/>
      <c r="M537" s="355"/>
      <c r="N537" s="369"/>
      <c r="O537" s="355"/>
      <c r="P537" s="873"/>
      <c r="Q537" s="441"/>
      <c r="R537" s="422"/>
    </row>
    <row r="538" spans="1:18" s="189" customFormat="1" ht="12.05" customHeight="1">
      <c r="A538" s="303"/>
      <c r="B538" s="292"/>
      <c r="C538" s="292"/>
      <c r="D538" s="292"/>
      <c r="E538" s="292"/>
      <c r="F538" s="292"/>
      <c r="G538" s="2773" t="s">
        <v>50</v>
      </c>
      <c r="H538" s="850" t="s">
        <v>210</v>
      </c>
      <c r="I538" s="253"/>
      <c r="J538" s="354"/>
      <c r="K538" s="355"/>
      <c r="L538" s="360"/>
      <c r="M538" s="355"/>
      <c r="N538" s="369"/>
      <c r="O538" s="355"/>
      <c r="P538" s="873"/>
      <c r="Q538" s="441"/>
      <c r="R538" s="422"/>
    </row>
    <row r="539" spans="1:18" s="189" customFormat="1" ht="12.05" customHeight="1">
      <c r="A539" s="303"/>
      <c r="B539" s="292"/>
      <c r="C539" s="292"/>
      <c r="D539" s="292"/>
      <c r="E539" s="292"/>
      <c r="F539" s="292"/>
      <c r="G539" s="2773" t="s">
        <v>50</v>
      </c>
      <c r="H539" s="850" t="s">
        <v>211</v>
      </c>
      <c r="I539" s="253"/>
      <c r="J539" s="354"/>
      <c r="K539" s="355"/>
      <c r="L539" s="360"/>
      <c r="M539" s="355"/>
      <c r="N539" s="369"/>
      <c r="O539" s="355"/>
      <c r="P539" s="873"/>
      <c r="Q539" s="441"/>
      <c r="R539" s="422"/>
    </row>
    <row r="540" spans="1:18" s="189" customFormat="1" ht="12.05" customHeight="1">
      <c r="A540" s="303"/>
      <c r="B540" s="292"/>
      <c r="C540" s="292"/>
      <c r="D540" s="292"/>
      <c r="E540" s="292"/>
      <c r="F540" s="292"/>
      <c r="G540" s="199"/>
      <c r="H540" s="253"/>
      <c r="I540" s="253"/>
      <c r="J540" s="374"/>
      <c r="K540" s="376"/>
      <c r="L540" s="377"/>
      <c r="M540" s="376" t="e">
        <f>[55]Perdinas!#REF!</f>
        <v>#REF!</v>
      </c>
      <c r="N540" s="355"/>
      <c r="O540" s="355"/>
      <c r="P540" s="388"/>
      <c r="Q540" s="448"/>
      <c r="R540" s="422"/>
    </row>
    <row r="541" spans="1:18" s="189" customFormat="1" ht="12.05" customHeight="1">
      <c r="A541" s="293"/>
      <c r="B541" s="292">
        <v>4</v>
      </c>
      <c r="C541" s="292">
        <v>1</v>
      </c>
      <c r="D541" s="292">
        <v>4</v>
      </c>
      <c r="E541" s="292" t="s">
        <v>438</v>
      </c>
      <c r="F541" s="292" t="s">
        <v>438</v>
      </c>
      <c r="G541" s="199" t="s">
        <v>212</v>
      </c>
      <c r="H541" s="253"/>
      <c r="I541" s="253"/>
      <c r="J541" s="354">
        <v>0</v>
      </c>
      <c r="K541" s="373">
        <f>SUM(K542:K543)</f>
        <v>9000000000</v>
      </c>
      <c r="L541" s="373">
        <f>SUM(L542:L543)</f>
        <v>19183545745.259998</v>
      </c>
      <c r="M541" s="373" t="e">
        <f>SUM(M542:M543)</f>
        <v>#REF!</v>
      </c>
      <c r="N541" s="369" t="e">
        <f>M541+L541</f>
        <v>#REF!</v>
      </c>
      <c r="O541" s="355" t="e">
        <f>N541-K541</f>
        <v>#REF!</v>
      </c>
      <c r="P541" s="388" t="e">
        <f>N541/K541*100</f>
        <v>#REF!</v>
      </c>
      <c r="Q541" s="441"/>
      <c r="R541" s="555"/>
    </row>
    <row r="542" spans="1:18" s="189" customFormat="1" ht="12.05" customHeight="1">
      <c r="A542" s="293"/>
      <c r="B542" s="292"/>
      <c r="C542" s="292"/>
      <c r="D542" s="292"/>
      <c r="E542" s="292"/>
      <c r="F542" s="292"/>
      <c r="G542" s="851" t="s">
        <v>50</v>
      </c>
      <c r="H542" s="410" t="s">
        <v>213</v>
      </c>
      <c r="I542" s="410"/>
      <c r="J542" s="333"/>
      <c r="K542" s="390">
        <f>'[57]TARGET MURNI DAN PERUBAHAN'!$E$315</f>
        <v>4500000000</v>
      </c>
      <c r="L542" s="513">
        <f>[62]PerDinas!$N$560</f>
        <v>9591772872.6299992</v>
      </c>
      <c r="M542" s="390" t="e">
        <f>[55]Perdinas!#REF!</f>
        <v>#REF!</v>
      </c>
      <c r="N542" s="361" t="e">
        <f>M542+L542</f>
        <v>#REF!</v>
      </c>
      <c r="O542" s="357" t="e">
        <f>N542-K542</f>
        <v>#REF!</v>
      </c>
      <c r="P542" s="358" t="e">
        <f>N542/K542*100</f>
        <v>#REF!</v>
      </c>
      <c r="Q542" s="430"/>
      <c r="R542" s="555"/>
    </row>
    <row r="543" spans="1:18" s="189" customFormat="1" ht="12.05" customHeight="1">
      <c r="A543" s="293"/>
      <c r="B543" s="292"/>
      <c r="C543" s="292"/>
      <c r="D543" s="292"/>
      <c r="E543" s="292"/>
      <c r="F543" s="292"/>
      <c r="G543" s="842" t="s">
        <v>50</v>
      </c>
      <c r="H543" s="253" t="s">
        <v>214</v>
      </c>
      <c r="I543" s="253"/>
      <c r="J543" s="333"/>
      <c r="K543" s="373">
        <f>'[57]TARGET MURNI DAN PERUBAHAN'!$E$315</f>
        <v>4500000000</v>
      </c>
      <c r="L543" s="692">
        <f>[62]PerDinas!$N$560</f>
        <v>9591772872.6299992</v>
      </c>
      <c r="M543" s="373" t="e">
        <f>[55]Perdinas!#REF!</f>
        <v>#REF!</v>
      </c>
      <c r="N543" s="361" t="e">
        <f>M543+L543</f>
        <v>#REF!</v>
      </c>
      <c r="O543" s="355" t="e">
        <f>N543-K543</f>
        <v>#REF!</v>
      </c>
      <c r="P543" s="388" t="e">
        <f>N543/K543*100</f>
        <v>#REF!</v>
      </c>
      <c r="Q543" s="430"/>
      <c r="R543" s="555"/>
    </row>
    <row r="544" spans="1:18" s="189" customFormat="1" ht="12.05" customHeight="1">
      <c r="A544" s="293"/>
      <c r="B544" s="292"/>
      <c r="C544" s="292"/>
      <c r="D544" s="292"/>
      <c r="E544" s="292"/>
      <c r="F544" s="292"/>
      <c r="G544" s="253"/>
      <c r="H544" s="253"/>
      <c r="I544" s="253"/>
      <c r="J544" s="333"/>
      <c r="K544" s="334"/>
      <c r="L544" s="356"/>
      <c r="M544" s="334"/>
      <c r="N544" s="334"/>
      <c r="O544" s="334"/>
      <c r="P544" s="335"/>
      <c r="Q544" s="430"/>
      <c r="R544" s="422"/>
    </row>
    <row r="545" spans="1:18" s="189" customFormat="1" ht="12.05" customHeight="1">
      <c r="A545" s="303"/>
      <c r="B545" s="292">
        <v>4</v>
      </c>
      <c r="C545" s="292">
        <v>1</v>
      </c>
      <c r="D545" s="292">
        <v>4</v>
      </c>
      <c r="E545" s="292" t="s">
        <v>440</v>
      </c>
      <c r="F545" s="292"/>
      <c r="G545" s="253" t="s">
        <v>215</v>
      </c>
      <c r="H545" s="253"/>
      <c r="I545" s="253"/>
      <c r="J545" s="484">
        <f>+J546</f>
        <v>9165581100</v>
      </c>
      <c r="K545" s="485">
        <f>+K546</f>
        <v>9000000000</v>
      </c>
      <c r="L545" s="486">
        <f>+L546</f>
        <v>10837037026</v>
      </c>
      <c r="M545" s="485" t="e">
        <f>+M546</f>
        <v>#REF!</v>
      </c>
      <c r="N545" s="412" t="e">
        <f>+M545+L545</f>
        <v>#REF!</v>
      </c>
      <c r="O545" s="412" t="e">
        <f t="shared" ref="O545:O550" si="84">N545-K545</f>
        <v>#REF!</v>
      </c>
      <c r="P545" s="487" t="e">
        <f>N545/K545*100</f>
        <v>#REF!</v>
      </c>
      <c r="Q545" s="541"/>
      <c r="R545" s="422"/>
    </row>
    <row r="546" spans="1:18" s="189" customFormat="1" ht="12.05" customHeight="1">
      <c r="A546" s="303"/>
      <c r="B546" s="292">
        <v>4</v>
      </c>
      <c r="C546" s="292">
        <v>1</v>
      </c>
      <c r="D546" s="292">
        <v>4</v>
      </c>
      <c r="E546" s="292" t="s">
        <v>440</v>
      </c>
      <c r="F546" s="292" t="s">
        <v>437</v>
      </c>
      <c r="G546" s="253" t="s">
        <v>216</v>
      </c>
      <c r="H546" s="253"/>
      <c r="I546" s="253"/>
      <c r="J546" s="494">
        <v>9165581100</v>
      </c>
      <c r="K546" s="874">
        <f>'[57]TARGET MURNI DAN PERUBAHAN'!$E$319</f>
        <v>9000000000</v>
      </c>
      <c r="L546" s="692">
        <f>[62]PerDinas!$N$565</f>
        <v>10837037026</v>
      </c>
      <c r="M546" s="874" t="e">
        <f>[55]Perdinas!#REF!</f>
        <v>#REF!</v>
      </c>
      <c r="N546" s="361" t="e">
        <f>M546+L546</f>
        <v>#REF!</v>
      </c>
      <c r="O546" s="334" t="e">
        <f t="shared" si="84"/>
        <v>#REF!</v>
      </c>
      <c r="P546" s="335" t="e">
        <f>N546/K546*100</f>
        <v>#REF!</v>
      </c>
      <c r="Q546" s="548"/>
      <c r="R546" s="422"/>
    </row>
    <row r="547" spans="1:18" s="189" customFormat="1" ht="12.05" customHeight="1">
      <c r="A547" s="293"/>
      <c r="B547" s="292"/>
      <c r="C547" s="292"/>
      <c r="D547" s="292"/>
      <c r="E547" s="292"/>
      <c r="F547" s="292"/>
      <c r="G547" s="253"/>
      <c r="H547" s="253"/>
      <c r="I547" s="253"/>
      <c r="J547" s="354"/>
      <c r="K547" s="355"/>
      <c r="L547" s="360"/>
      <c r="M547" s="355"/>
      <c r="N547" s="355"/>
      <c r="O547" s="355"/>
      <c r="P547" s="388"/>
      <c r="Q547" s="449"/>
      <c r="R547" s="422"/>
    </row>
    <row r="548" spans="1:18" s="189" customFormat="1">
      <c r="A548" s="303"/>
      <c r="B548" s="292">
        <v>4</v>
      </c>
      <c r="C548" s="292">
        <v>1</v>
      </c>
      <c r="D548" s="292">
        <v>4</v>
      </c>
      <c r="E548" s="292" t="s">
        <v>445</v>
      </c>
      <c r="F548" s="292"/>
      <c r="G548" s="253" t="s">
        <v>217</v>
      </c>
      <c r="H548" s="253"/>
      <c r="I548" s="253"/>
      <c r="J548" s="411">
        <f>SUM(J549:J550)</f>
        <v>10000000</v>
      </c>
      <c r="K548" s="412">
        <f>SUM(K549:K550)</f>
        <v>6015000000</v>
      </c>
      <c r="L548" s="591">
        <f>SUM(L549:L550)</f>
        <v>32731920.120000001</v>
      </c>
      <c r="M548" s="412" t="e">
        <f>SUM(M549:M550)</f>
        <v>#REF!</v>
      </c>
      <c r="N548" s="664" t="e">
        <f>+M548+L548</f>
        <v>#REF!</v>
      </c>
      <c r="O548" s="412" t="e">
        <f t="shared" si="84"/>
        <v>#REF!</v>
      </c>
      <c r="P548" s="487" t="e">
        <f>N548/K548*100</f>
        <v>#REF!</v>
      </c>
      <c r="Q548" s="694"/>
      <c r="R548" s="422"/>
    </row>
    <row r="549" spans="1:18" s="189" customFormat="1" ht="12.05" customHeight="1">
      <c r="A549" s="303"/>
      <c r="B549" s="292">
        <v>4</v>
      </c>
      <c r="C549" s="292">
        <v>1</v>
      </c>
      <c r="D549" s="292">
        <v>4</v>
      </c>
      <c r="E549" s="292" t="s">
        <v>445</v>
      </c>
      <c r="F549" s="292" t="s">
        <v>437</v>
      </c>
      <c r="G549" s="253" t="s">
        <v>218</v>
      </c>
      <c r="H549" s="253"/>
      <c r="I549" s="253"/>
      <c r="J549" s="494">
        <v>0</v>
      </c>
      <c r="K549" s="725">
        <f>'[57]TARGET MURNI DAN PERUBAHAN'!$E$322</f>
        <v>6000000000</v>
      </c>
      <c r="L549" s="513">
        <f>[62]PerDinas!$N$568</f>
        <v>32731920.120000001</v>
      </c>
      <c r="M549" s="725" t="e">
        <f>[55]Perdinas!#REF!</f>
        <v>#REF!</v>
      </c>
      <c r="N549" s="361" t="e">
        <f>M549+L549</f>
        <v>#REF!</v>
      </c>
      <c r="O549" s="334" t="e">
        <f t="shared" si="84"/>
        <v>#REF!</v>
      </c>
      <c r="P549" s="335">
        <v>0</v>
      </c>
      <c r="Q549" s="548"/>
      <c r="R549" s="422"/>
    </row>
    <row r="550" spans="1:18" s="189" customFormat="1">
      <c r="A550" s="303"/>
      <c r="B550" s="292">
        <v>4</v>
      </c>
      <c r="C550" s="292">
        <v>1</v>
      </c>
      <c r="D550" s="292">
        <v>4</v>
      </c>
      <c r="E550" s="292" t="s">
        <v>445</v>
      </c>
      <c r="F550" s="292" t="s">
        <v>438</v>
      </c>
      <c r="G550" s="253" t="s">
        <v>219</v>
      </c>
      <c r="H550" s="253"/>
      <c r="I550" s="253"/>
      <c r="J550" s="374">
        <v>10000000</v>
      </c>
      <c r="K550" s="376">
        <f>'[57]TARGET MURNI DAN PERUBAHAN'!$E$323</f>
        <v>15000000</v>
      </c>
      <c r="L550" s="377">
        <f>[62]PerDinas!$N$569</f>
        <v>0</v>
      </c>
      <c r="M550" s="376" t="e">
        <f>[55]Perdinas!#REF!</f>
        <v>#REF!</v>
      </c>
      <c r="N550" s="375" t="e">
        <f>M550+L550</f>
        <v>#REF!</v>
      </c>
      <c r="O550" s="355" t="e">
        <f t="shared" si="84"/>
        <v>#REF!</v>
      </c>
      <c r="P550" s="388" t="e">
        <f>N550/K550*100</f>
        <v>#REF!</v>
      </c>
      <c r="Q550" s="449"/>
      <c r="R550" s="422"/>
    </row>
    <row r="551" spans="1:18" s="189" customFormat="1">
      <c r="A551" s="293"/>
      <c r="B551" s="292"/>
      <c r="C551" s="292"/>
      <c r="D551" s="292"/>
      <c r="E551" s="292"/>
      <c r="F551" s="292"/>
      <c r="G551" s="253"/>
      <c r="H551" s="253"/>
      <c r="I551" s="253"/>
      <c r="J551" s="354"/>
      <c r="K551" s="355"/>
      <c r="L551" s="360"/>
      <c r="M551" s="355"/>
      <c r="N551" s="355"/>
      <c r="O551" s="355"/>
      <c r="P551" s="388"/>
      <c r="Q551" s="441"/>
      <c r="R551" s="422"/>
    </row>
    <row r="552" spans="1:18" s="189" customFormat="1">
      <c r="A552" s="293"/>
      <c r="B552" s="292">
        <v>4</v>
      </c>
      <c r="C552" s="292">
        <v>1</v>
      </c>
      <c r="D552" s="292">
        <v>4</v>
      </c>
      <c r="E552" s="292" t="s">
        <v>448</v>
      </c>
      <c r="F552" s="292"/>
      <c r="G552" s="852" t="s">
        <v>220</v>
      </c>
      <c r="H552" s="253"/>
      <c r="I552" s="253"/>
      <c r="J552" s="351"/>
      <c r="K552" s="352">
        <f>SUM(K553:K561)</f>
        <v>0</v>
      </c>
      <c r="L552" s="352">
        <f>SUM(L553:L561)</f>
        <v>0</v>
      </c>
      <c r="M552" s="352" t="e">
        <f>SUM(M553:M561)</f>
        <v>#REF!</v>
      </c>
      <c r="N552" s="375" t="e">
        <f>M552+L552</f>
        <v>#REF!</v>
      </c>
      <c r="O552" s="355" t="e">
        <f>N552-K552</f>
        <v>#REF!</v>
      </c>
      <c r="P552" s="388" t="e">
        <f>N552/K552*100</f>
        <v>#REF!</v>
      </c>
      <c r="Q552" s="440"/>
      <c r="R552" s="422"/>
    </row>
    <row r="553" spans="1:18" s="189" customFormat="1">
      <c r="A553" s="293"/>
      <c r="B553" s="292"/>
      <c r="C553" s="292"/>
      <c r="D553" s="292"/>
      <c r="E553" s="292"/>
      <c r="F553" s="292"/>
      <c r="G553" s="853" t="s">
        <v>50</v>
      </c>
      <c r="H553" s="854" t="s">
        <v>221</v>
      </c>
      <c r="I553" s="253"/>
      <c r="J553" s="351"/>
      <c r="K553" s="355">
        <v>0</v>
      </c>
      <c r="L553" s="360">
        <f>[62]PerDinas!$N$572</f>
        <v>0</v>
      </c>
      <c r="M553" s="355" t="e">
        <f>[55]Perdinas!#REF!</f>
        <v>#REF!</v>
      </c>
      <c r="N553" s="375" t="e">
        <f t="shared" ref="N553:N561" si="85">M553+L553</f>
        <v>#REF!</v>
      </c>
      <c r="O553" s="355" t="e">
        <f t="shared" ref="O553:O561" si="86">N553-K553</f>
        <v>#REF!</v>
      </c>
      <c r="P553" s="388" t="e">
        <f t="shared" ref="P553:P561" si="87">N553/K553*100</f>
        <v>#REF!</v>
      </c>
      <c r="Q553" s="440"/>
      <c r="R553" s="422"/>
    </row>
    <row r="554" spans="1:18" s="189" customFormat="1">
      <c r="A554" s="293"/>
      <c r="B554" s="292"/>
      <c r="C554" s="292"/>
      <c r="D554" s="292"/>
      <c r="E554" s="292"/>
      <c r="F554" s="292"/>
      <c r="G554" s="855" t="s">
        <v>50</v>
      </c>
      <c r="H554" s="854" t="s">
        <v>771</v>
      </c>
      <c r="I554" s="253"/>
      <c r="J554" s="351"/>
      <c r="K554" s="355">
        <v>0</v>
      </c>
      <c r="L554" s="360">
        <f>[62]PerDinas!$N$572</f>
        <v>0</v>
      </c>
      <c r="M554" s="355" t="e">
        <f>[55]Perdinas!#REF!</f>
        <v>#REF!</v>
      </c>
      <c r="N554" s="375" t="e">
        <f t="shared" si="85"/>
        <v>#REF!</v>
      </c>
      <c r="O554" s="355" t="e">
        <f t="shared" si="86"/>
        <v>#REF!</v>
      </c>
      <c r="P554" s="388" t="e">
        <f t="shared" si="87"/>
        <v>#REF!</v>
      </c>
      <c r="Q554" s="440"/>
      <c r="R554" s="422"/>
    </row>
    <row r="555" spans="1:18" s="189" customFormat="1">
      <c r="A555" s="293"/>
      <c r="B555" s="292"/>
      <c r="C555" s="292"/>
      <c r="D555" s="292"/>
      <c r="E555" s="292"/>
      <c r="F555" s="292"/>
      <c r="G555" s="855" t="s">
        <v>50</v>
      </c>
      <c r="H555" s="854" t="s">
        <v>772</v>
      </c>
      <c r="I555" s="253"/>
      <c r="J555" s="351"/>
      <c r="K555" s="355">
        <v>0</v>
      </c>
      <c r="L555" s="360">
        <f>[62]PerDinas!$N$572</f>
        <v>0</v>
      </c>
      <c r="M555" s="355" t="e">
        <f>[55]Perdinas!#REF!</f>
        <v>#REF!</v>
      </c>
      <c r="N555" s="375" t="e">
        <f t="shared" si="85"/>
        <v>#REF!</v>
      </c>
      <c r="O555" s="355" t="e">
        <f t="shared" si="86"/>
        <v>#REF!</v>
      </c>
      <c r="P555" s="388" t="e">
        <f t="shared" si="87"/>
        <v>#REF!</v>
      </c>
      <c r="Q555" s="440"/>
      <c r="R555" s="422"/>
    </row>
    <row r="556" spans="1:18" s="189" customFormat="1">
      <c r="A556" s="293"/>
      <c r="B556" s="292"/>
      <c r="C556" s="292"/>
      <c r="D556" s="292"/>
      <c r="E556" s="292"/>
      <c r="F556" s="292"/>
      <c r="G556" s="855" t="s">
        <v>50</v>
      </c>
      <c r="H556" s="854" t="s">
        <v>773</v>
      </c>
      <c r="I556" s="253"/>
      <c r="J556" s="351"/>
      <c r="K556" s="355">
        <v>0</v>
      </c>
      <c r="L556" s="360">
        <f>[62]PerDinas!$N$572</f>
        <v>0</v>
      </c>
      <c r="M556" s="355" t="e">
        <f>[55]Perdinas!#REF!</f>
        <v>#REF!</v>
      </c>
      <c r="N556" s="375" t="e">
        <f t="shared" si="85"/>
        <v>#REF!</v>
      </c>
      <c r="O556" s="355" t="e">
        <f t="shared" si="86"/>
        <v>#REF!</v>
      </c>
      <c r="P556" s="388" t="e">
        <f t="shared" si="87"/>
        <v>#REF!</v>
      </c>
      <c r="Q556" s="440"/>
      <c r="R556" s="422"/>
    </row>
    <row r="557" spans="1:18" s="189" customFormat="1">
      <c r="A557" s="293"/>
      <c r="B557" s="292"/>
      <c r="C557" s="292"/>
      <c r="D557" s="292"/>
      <c r="E557" s="292"/>
      <c r="F557" s="292"/>
      <c r="G557" s="855" t="s">
        <v>50</v>
      </c>
      <c r="H557" s="854" t="s">
        <v>774</v>
      </c>
      <c r="I557" s="253"/>
      <c r="J557" s="351"/>
      <c r="K557" s="355">
        <v>0</v>
      </c>
      <c r="L557" s="360">
        <f>[62]PerDinas!$N$572</f>
        <v>0</v>
      </c>
      <c r="M557" s="355" t="e">
        <f>[55]Perdinas!#REF!</f>
        <v>#REF!</v>
      </c>
      <c r="N557" s="375" t="e">
        <f t="shared" si="85"/>
        <v>#REF!</v>
      </c>
      <c r="O557" s="355" t="e">
        <f t="shared" si="86"/>
        <v>#REF!</v>
      </c>
      <c r="P557" s="388" t="e">
        <f t="shared" si="87"/>
        <v>#REF!</v>
      </c>
      <c r="Q557" s="440"/>
      <c r="R557" s="422"/>
    </row>
    <row r="558" spans="1:18" s="189" customFormat="1">
      <c r="A558" s="293"/>
      <c r="B558" s="292"/>
      <c r="C558" s="292"/>
      <c r="D558" s="292"/>
      <c r="E558" s="292"/>
      <c r="F558" s="292"/>
      <c r="G558" s="855" t="s">
        <v>50</v>
      </c>
      <c r="H558" s="854" t="s">
        <v>775</v>
      </c>
      <c r="I558" s="253"/>
      <c r="J558" s="351"/>
      <c r="K558" s="355">
        <v>0</v>
      </c>
      <c r="L558" s="360">
        <f>[62]PerDinas!$N$572</f>
        <v>0</v>
      </c>
      <c r="M558" s="355" t="e">
        <f>[55]Perdinas!#REF!</f>
        <v>#REF!</v>
      </c>
      <c r="N558" s="375" t="e">
        <f t="shared" si="85"/>
        <v>#REF!</v>
      </c>
      <c r="O558" s="355" t="e">
        <f t="shared" si="86"/>
        <v>#REF!</v>
      </c>
      <c r="P558" s="388" t="e">
        <f t="shared" si="87"/>
        <v>#REF!</v>
      </c>
      <c r="Q558" s="440"/>
      <c r="R558" s="422"/>
    </row>
    <row r="559" spans="1:18" s="189" customFormat="1">
      <c r="A559" s="293"/>
      <c r="B559" s="292"/>
      <c r="C559" s="292"/>
      <c r="D559" s="292"/>
      <c r="E559" s="292"/>
      <c r="F559" s="292"/>
      <c r="G559" s="855" t="s">
        <v>50</v>
      </c>
      <c r="H559" s="854" t="s">
        <v>776</v>
      </c>
      <c r="I559" s="253"/>
      <c r="J559" s="351"/>
      <c r="K559" s="355">
        <v>0</v>
      </c>
      <c r="L559" s="360">
        <f>[62]PerDinas!$N$572</f>
        <v>0</v>
      </c>
      <c r="M559" s="355" t="e">
        <f>[55]Perdinas!#REF!</f>
        <v>#REF!</v>
      </c>
      <c r="N559" s="375" t="e">
        <f t="shared" si="85"/>
        <v>#REF!</v>
      </c>
      <c r="O559" s="355" t="e">
        <f t="shared" si="86"/>
        <v>#REF!</v>
      </c>
      <c r="P559" s="388" t="e">
        <f t="shared" si="87"/>
        <v>#REF!</v>
      </c>
      <c r="Q559" s="440"/>
      <c r="R559" s="422"/>
    </row>
    <row r="560" spans="1:18" s="189" customFormat="1">
      <c r="A560" s="293"/>
      <c r="B560" s="292"/>
      <c r="C560" s="292"/>
      <c r="D560" s="292"/>
      <c r="E560" s="292"/>
      <c r="F560" s="292"/>
      <c r="G560" s="855" t="s">
        <v>50</v>
      </c>
      <c r="H560" s="854" t="s">
        <v>777</v>
      </c>
      <c r="I560" s="253"/>
      <c r="J560" s="351"/>
      <c r="K560" s="355">
        <v>0</v>
      </c>
      <c r="L560" s="360">
        <f>[62]PerDinas!$N$572</f>
        <v>0</v>
      </c>
      <c r="M560" s="355" t="e">
        <f>[55]Perdinas!#REF!</f>
        <v>#REF!</v>
      </c>
      <c r="N560" s="375" t="e">
        <f t="shared" si="85"/>
        <v>#REF!</v>
      </c>
      <c r="O560" s="355" t="e">
        <f t="shared" si="86"/>
        <v>#REF!</v>
      </c>
      <c r="P560" s="388" t="e">
        <f t="shared" si="87"/>
        <v>#REF!</v>
      </c>
      <c r="Q560" s="440"/>
      <c r="R560" s="422"/>
    </row>
    <row r="561" spans="1:19" s="189" customFormat="1">
      <c r="A561" s="293"/>
      <c r="B561" s="292"/>
      <c r="C561" s="292"/>
      <c r="D561" s="292"/>
      <c r="E561" s="292"/>
      <c r="F561" s="292"/>
      <c r="G561" s="855" t="s">
        <v>50</v>
      </c>
      <c r="H561" s="854" t="s">
        <v>778</v>
      </c>
      <c r="I561" s="253"/>
      <c r="J561" s="351"/>
      <c r="K561" s="355">
        <v>0</v>
      </c>
      <c r="L561" s="360">
        <f>[62]PerDinas!$N$572</f>
        <v>0</v>
      </c>
      <c r="M561" s="355" t="e">
        <f>[55]Perdinas!#REF!</f>
        <v>#REF!</v>
      </c>
      <c r="N561" s="375" t="e">
        <f t="shared" si="85"/>
        <v>#REF!</v>
      </c>
      <c r="O561" s="355" t="e">
        <f t="shared" si="86"/>
        <v>#REF!</v>
      </c>
      <c r="P561" s="388" t="e">
        <f t="shared" si="87"/>
        <v>#REF!</v>
      </c>
      <c r="Q561" s="440"/>
      <c r="R561" s="422"/>
    </row>
    <row r="562" spans="1:19" s="189" customFormat="1">
      <c r="A562" s="293"/>
      <c r="B562" s="292"/>
      <c r="C562" s="292"/>
      <c r="D562" s="292"/>
      <c r="E562" s="292"/>
      <c r="F562" s="292"/>
      <c r="G562" s="253"/>
      <c r="H562" s="253"/>
      <c r="I562" s="253"/>
      <c r="J562" s="351"/>
      <c r="K562" s="352"/>
      <c r="L562" s="362"/>
      <c r="M562" s="352"/>
      <c r="N562" s="352"/>
      <c r="O562" s="352"/>
      <c r="P562" s="353"/>
      <c r="Q562" s="440"/>
      <c r="R562" s="422"/>
    </row>
    <row r="563" spans="1:19" s="189" customFormat="1" ht="12.05" customHeight="1">
      <c r="A563" s="293"/>
      <c r="B563" s="292">
        <v>4</v>
      </c>
      <c r="C563" s="292">
        <v>1</v>
      </c>
      <c r="D563" s="292">
        <v>4</v>
      </c>
      <c r="E563" s="292"/>
      <c r="F563" s="292"/>
      <c r="G563" s="291" t="s">
        <v>990</v>
      </c>
      <c r="H563" s="253"/>
      <c r="I563" s="253"/>
      <c r="J563" s="526">
        <f>+J566</f>
        <v>30000000</v>
      </c>
      <c r="K563" s="527">
        <f>SUM(K564:K567)</f>
        <v>86824290450</v>
      </c>
      <c r="L563" s="670">
        <f>SUM(L564:L567)</f>
        <v>21717390566</v>
      </c>
      <c r="M563" s="527" t="e">
        <f>SUM(M564:M567)</f>
        <v>#REF!</v>
      </c>
      <c r="N563" s="529" t="e">
        <f>+M563+L563</f>
        <v>#REF!</v>
      </c>
      <c r="O563" s="529" t="e">
        <f>N563-K563</f>
        <v>#REF!</v>
      </c>
      <c r="P563" s="478">
        <v>0</v>
      </c>
      <c r="Q563" s="644"/>
      <c r="R563" s="422"/>
    </row>
    <row r="564" spans="1:19" s="189" customFormat="1" ht="12.05" customHeight="1">
      <c r="A564" s="289"/>
      <c r="B564" s="292">
        <v>4</v>
      </c>
      <c r="C564" s="292">
        <v>1</v>
      </c>
      <c r="D564" s="292">
        <v>4</v>
      </c>
      <c r="E564" s="292" t="s">
        <v>444</v>
      </c>
      <c r="F564" s="292" t="s">
        <v>445</v>
      </c>
      <c r="G564" s="253" t="s">
        <v>73</v>
      </c>
      <c r="H564" s="253"/>
      <c r="I564" s="253"/>
      <c r="J564" s="354">
        <v>0</v>
      </c>
      <c r="K564" s="355">
        <v>0</v>
      </c>
      <c r="L564" s="360">
        <f>[62]PerDinas!$N$572</f>
        <v>0</v>
      </c>
      <c r="M564" s="355" t="e">
        <f>[55]Perdinas!#REF!</f>
        <v>#REF!</v>
      </c>
      <c r="N564" s="369" t="e">
        <f>M564+L564</f>
        <v>#REF!</v>
      </c>
      <c r="O564" s="355" t="e">
        <f>N564-K564</f>
        <v>#REF!</v>
      </c>
      <c r="P564" s="388"/>
      <c r="Q564" s="441"/>
      <c r="R564" s="422"/>
      <c r="S564" s="542"/>
    </row>
    <row r="565" spans="1:19" s="189" customFormat="1" ht="12.05" customHeight="1">
      <c r="A565" s="289"/>
      <c r="B565" s="292">
        <v>4</v>
      </c>
      <c r="C565" s="292">
        <v>1</v>
      </c>
      <c r="D565" s="292">
        <v>4</v>
      </c>
      <c r="E565" s="292" t="s">
        <v>444</v>
      </c>
      <c r="F565" s="292" t="s">
        <v>451</v>
      </c>
      <c r="G565" s="253" t="s">
        <v>74</v>
      </c>
      <c r="H565" s="253"/>
      <c r="I565" s="253"/>
      <c r="J565" s="354">
        <v>0</v>
      </c>
      <c r="K565" s="355">
        <v>0</v>
      </c>
      <c r="L565" s="360">
        <f>[62]PerDinas!$N$573</f>
        <v>0</v>
      </c>
      <c r="M565" s="355" t="e">
        <f>[55]Perdinas!#REF!</f>
        <v>#REF!</v>
      </c>
      <c r="N565" s="369" t="e">
        <f>M565+L565</f>
        <v>#REF!</v>
      </c>
      <c r="O565" s="355" t="e">
        <f>N565-K565</f>
        <v>#REF!</v>
      </c>
      <c r="P565" s="388"/>
      <c r="Q565" s="441"/>
      <c r="R565" s="422"/>
    </row>
    <row r="566" spans="1:19" s="189" customFormat="1" ht="12.05" customHeight="1">
      <c r="A566" s="293"/>
      <c r="B566" s="292">
        <v>4</v>
      </c>
      <c r="C566" s="292">
        <v>1</v>
      </c>
      <c r="D566" s="292">
        <v>4</v>
      </c>
      <c r="E566" s="292" t="s">
        <v>444</v>
      </c>
      <c r="F566" s="292" t="s">
        <v>441</v>
      </c>
      <c r="G566" s="253" t="s">
        <v>779</v>
      </c>
      <c r="H566" s="253"/>
      <c r="I566" s="253"/>
      <c r="J566" s="333">
        <v>30000000</v>
      </c>
      <c r="K566" s="661">
        <f>'[57]TARGET MURNI DAN PERUBAHAN'!$E$328</f>
        <v>4824290450</v>
      </c>
      <c r="L566" s="356">
        <f>[62]PerDinas!$N$574</f>
        <v>0</v>
      </c>
      <c r="M566" s="661" t="e">
        <f>[55]Perdinas!#REF!</f>
        <v>#REF!</v>
      </c>
      <c r="N566" s="361" t="e">
        <f>M566+L566</f>
        <v>#REF!</v>
      </c>
      <c r="O566" s="334" t="e">
        <f>N566-K566</f>
        <v>#REF!</v>
      </c>
      <c r="P566" s="388" t="e">
        <f>N566/K566*100</f>
        <v>#REF!</v>
      </c>
      <c r="Q566" s="548"/>
      <c r="R566" s="422"/>
    </row>
    <row r="567" spans="1:19" s="189" customFormat="1" ht="12.05" customHeight="1">
      <c r="A567" s="465"/>
      <c r="B567" s="296">
        <v>4</v>
      </c>
      <c r="C567" s="296">
        <v>1</v>
      </c>
      <c r="D567" s="296">
        <v>4</v>
      </c>
      <c r="E567" s="296" t="s">
        <v>444</v>
      </c>
      <c r="F567" s="296" t="s">
        <v>456</v>
      </c>
      <c r="G567" s="856" t="s">
        <v>226</v>
      </c>
      <c r="H567" s="297"/>
      <c r="I567" s="297"/>
      <c r="J567" s="333"/>
      <c r="K567" s="661">
        <f>'[57]TARGET MURNI DAN PERUBAHAN'!$E$329</f>
        <v>82000000000</v>
      </c>
      <c r="L567" s="356">
        <f>[62]PerDinas!$N$575</f>
        <v>21717390566</v>
      </c>
      <c r="M567" s="661" t="e">
        <f>[55]Perdinas!#REF!</f>
        <v>#REF!</v>
      </c>
      <c r="N567" s="361" t="e">
        <f>M567+L567</f>
        <v>#REF!</v>
      </c>
      <c r="O567" s="334" t="e">
        <f>N567-K567</f>
        <v>#REF!</v>
      </c>
      <c r="P567" s="353" t="e">
        <f>N567/K567*100</f>
        <v>#REF!</v>
      </c>
      <c r="Q567" s="548"/>
      <c r="R567" s="422"/>
      <c r="S567" s="542"/>
    </row>
    <row r="568" spans="1:19" s="189" customFormat="1" ht="12.05" customHeight="1">
      <c r="A568" s="857"/>
      <c r="B568" s="858"/>
      <c r="C568" s="858"/>
      <c r="D568" s="858"/>
      <c r="E568" s="858"/>
      <c r="F568" s="858"/>
      <c r="G568" s="859"/>
      <c r="H568" s="859"/>
      <c r="I568" s="859"/>
      <c r="J568" s="875"/>
      <c r="K568" s="876"/>
      <c r="L568" s="877"/>
      <c r="M568" s="876"/>
      <c r="N568" s="878"/>
      <c r="O568" s="878"/>
      <c r="P568" s="879"/>
      <c r="Q568" s="886"/>
      <c r="R568" s="422"/>
    </row>
    <row r="569" spans="1:19" s="189" customFormat="1" ht="12.05" customHeight="1">
      <c r="A569" s="860"/>
      <c r="B569" s="858">
        <v>4</v>
      </c>
      <c r="C569" s="858">
        <v>1</v>
      </c>
      <c r="D569" s="858">
        <v>4</v>
      </c>
      <c r="E569" s="858" t="s">
        <v>441</v>
      </c>
      <c r="F569" s="858"/>
      <c r="G569" s="861" t="s">
        <v>557</v>
      </c>
      <c r="H569" s="859"/>
      <c r="I569" s="859"/>
      <c r="J569" s="875"/>
      <c r="K569" s="876">
        <f>SUM(K570)</f>
        <v>82000000000</v>
      </c>
      <c r="L569" s="876">
        <f>SUM(L570)</f>
        <v>21717390566</v>
      </c>
      <c r="M569" s="876" t="e">
        <f>SUM(M570)</f>
        <v>#REF!</v>
      </c>
      <c r="N569" s="876" t="e">
        <f t="shared" ref="N569:N576" si="88">M569+L569</f>
        <v>#REF!</v>
      </c>
      <c r="O569" s="878" t="e">
        <f>N569-K569</f>
        <v>#REF!</v>
      </c>
      <c r="P569" s="879" t="e">
        <f>N569/K569*100</f>
        <v>#REF!</v>
      </c>
      <c r="Q569" s="887"/>
      <c r="R569" s="422"/>
    </row>
    <row r="570" spans="1:19" s="189" customFormat="1" ht="12.05" customHeight="1">
      <c r="A570" s="860"/>
      <c r="B570" s="858">
        <v>4</v>
      </c>
      <c r="C570" s="858">
        <v>1</v>
      </c>
      <c r="D570" s="858">
        <v>4</v>
      </c>
      <c r="E570" s="858" t="s">
        <v>441</v>
      </c>
      <c r="F570" s="858" t="s">
        <v>437</v>
      </c>
      <c r="G570" s="2759" t="s">
        <v>50</v>
      </c>
      <c r="H570" s="859" t="s">
        <v>710</v>
      </c>
      <c r="I570" s="859"/>
      <c r="J570" s="875"/>
      <c r="K570" s="880">
        <f>'[57]TARGET MURNI DAN PERUBAHAN'!$E$329</f>
        <v>82000000000</v>
      </c>
      <c r="L570" s="881">
        <f>[62]PerDinas!$N$575</f>
        <v>21717390566</v>
      </c>
      <c r="M570" s="880" t="e">
        <f>[55]Perdinas!#REF!</f>
        <v>#REF!</v>
      </c>
      <c r="N570" s="876" t="e">
        <f t="shared" si="88"/>
        <v>#REF!</v>
      </c>
      <c r="O570" s="878" t="e">
        <f>N570-K570</f>
        <v>#REF!</v>
      </c>
      <c r="P570" s="879" t="e">
        <f>N570/K570*100</f>
        <v>#REF!</v>
      </c>
      <c r="Q570" s="887"/>
      <c r="R570" s="422"/>
    </row>
    <row r="571" spans="1:19" s="189" customFormat="1" ht="12.05" customHeight="1">
      <c r="A571" s="860"/>
      <c r="B571" s="858"/>
      <c r="C571" s="858"/>
      <c r="D571" s="858"/>
      <c r="E571" s="858"/>
      <c r="F571" s="858"/>
      <c r="G571" s="859"/>
      <c r="H571" s="859"/>
      <c r="I571" s="859"/>
      <c r="J571" s="875"/>
      <c r="K571" s="876"/>
      <c r="L571" s="877"/>
      <c r="M571" s="876"/>
      <c r="N571" s="878"/>
      <c r="O571" s="878"/>
      <c r="P571" s="879"/>
      <c r="Q571" s="887"/>
      <c r="R571" s="422"/>
    </row>
    <row r="572" spans="1:19" s="189" customFormat="1" ht="12.05" customHeight="1">
      <c r="A572" s="860"/>
      <c r="B572" s="862">
        <v>4</v>
      </c>
      <c r="C572" s="862">
        <v>1</v>
      </c>
      <c r="D572" s="862">
        <v>4</v>
      </c>
      <c r="E572" s="862" t="s">
        <v>459</v>
      </c>
      <c r="F572" s="858"/>
      <c r="G572" s="861" t="s">
        <v>230</v>
      </c>
      <c r="H572" s="859"/>
      <c r="I572" s="859"/>
      <c r="J572" s="875"/>
      <c r="K572" s="882">
        <f>SUM(K573:K574)</f>
        <v>0</v>
      </c>
      <c r="L572" s="882">
        <f>SUM(L573:L574)</f>
        <v>0</v>
      </c>
      <c r="M572" s="882" t="e">
        <f>SUM(M573:M574)</f>
        <v>#REF!</v>
      </c>
      <c r="N572" s="882" t="e">
        <f t="shared" si="88"/>
        <v>#REF!</v>
      </c>
      <c r="O572" s="883" t="e">
        <f>N572-K572</f>
        <v>#REF!</v>
      </c>
      <c r="P572" s="884" t="e">
        <f>N572/K572*100</f>
        <v>#REF!</v>
      </c>
      <c r="Q572" s="888"/>
      <c r="R572" s="422"/>
    </row>
    <row r="573" spans="1:19" s="189" customFormat="1" ht="12.05" customHeight="1">
      <c r="A573" s="860"/>
      <c r="B573" s="862">
        <v>4</v>
      </c>
      <c r="C573" s="862">
        <v>1</v>
      </c>
      <c r="D573" s="862">
        <v>4</v>
      </c>
      <c r="E573" s="862" t="s">
        <v>459</v>
      </c>
      <c r="F573" s="858" t="s">
        <v>437</v>
      </c>
      <c r="G573" s="2759" t="s">
        <v>50</v>
      </c>
      <c r="H573" s="859" t="s">
        <v>780</v>
      </c>
      <c r="I573" s="859"/>
      <c r="J573" s="875"/>
      <c r="K573" s="355">
        <v>0</v>
      </c>
      <c r="L573" s="360">
        <f>[62]PerDinas!$N$573</f>
        <v>0</v>
      </c>
      <c r="M573" s="355" t="e">
        <f>[55]Perdinas!#REF!</f>
        <v>#REF!</v>
      </c>
      <c r="N573" s="876" t="e">
        <f t="shared" si="88"/>
        <v>#REF!</v>
      </c>
      <c r="O573" s="878" t="e">
        <f>N573-K573</f>
        <v>#REF!</v>
      </c>
      <c r="P573" s="879" t="e">
        <f>N573/K573*100</f>
        <v>#REF!</v>
      </c>
      <c r="Q573" s="887"/>
      <c r="R573" s="422"/>
    </row>
    <row r="574" spans="1:19" s="189" customFormat="1" ht="12.05" customHeight="1">
      <c r="A574" s="860"/>
      <c r="B574" s="862">
        <v>4</v>
      </c>
      <c r="C574" s="862">
        <v>1</v>
      </c>
      <c r="D574" s="862">
        <v>4</v>
      </c>
      <c r="E574" s="862" t="s">
        <v>459</v>
      </c>
      <c r="F574" s="858" t="s">
        <v>438</v>
      </c>
      <c r="G574" s="2759" t="s">
        <v>50</v>
      </c>
      <c r="H574" s="859" t="s">
        <v>781</v>
      </c>
      <c r="I574" s="859"/>
      <c r="J574" s="875"/>
      <c r="K574" s="876">
        <f>SUM(K575:K576)</f>
        <v>0</v>
      </c>
      <c r="L574" s="876">
        <f>SUM(L575:L576)</f>
        <v>0</v>
      </c>
      <c r="M574" s="876" t="e">
        <f>SUM(M575:M576)</f>
        <v>#REF!</v>
      </c>
      <c r="N574" s="876" t="e">
        <f t="shared" si="88"/>
        <v>#REF!</v>
      </c>
      <c r="O574" s="878" t="e">
        <f>N574-K574</f>
        <v>#REF!</v>
      </c>
      <c r="P574" s="879" t="e">
        <f>N574/K574*100</f>
        <v>#REF!</v>
      </c>
      <c r="Q574" s="887"/>
      <c r="R574" s="422"/>
    </row>
    <row r="575" spans="1:19" s="189" customFormat="1" ht="12.05" customHeight="1">
      <c r="A575" s="860"/>
      <c r="B575" s="858"/>
      <c r="C575" s="858"/>
      <c r="D575" s="858"/>
      <c r="E575" s="858"/>
      <c r="F575" s="858"/>
      <c r="G575" s="859"/>
      <c r="H575" s="2766" t="s">
        <v>782</v>
      </c>
      <c r="I575" s="859"/>
      <c r="J575" s="875"/>
      <c r="K575" s="355">
        <v>0</v>
      </c>
      <c r="L575" s="360">
        <f>[62]PerDinas!$N$573</f>
        <v>0</v>
      </c>
      <c r="M575" s="355" t="e">
        <f>[55]Perdinas!#REF!</f>
        <v>#REF!</v>
      </c>
      <c r="N575" s="876" t="e">
        <f t="shared" si="88"/>
        <v>#REF!</v>
      </c>
      <c r="O575" s="878" t="e">
        <f>N575-K575</f>
        <v>#REF!</v>
      </c>
      <c r="P575" s="879" t="e">
        <f>N575/K575*100</f>
        <v>#REF!</v>
      </c>
      <c r="Q575" s="887"/>
      <c r="R575" s="422"/>
    </row>
    <row r="576" spans="1:19" s="189" customFormat="1" ht="12.05" customHeight="1">
      <c r="A576" s="860"/>
      <c r="B576" s="858"/>
      <c r="C576" s="858"/>
      <c r="D576" s="858"/>
      <c r="E576" s="858"/>
      <c r="F576" s="858"/>
      <c r="G576" s="859"/>
      <c r="H576" s="2766" t="s">
        <v>783</v>
      </c>
      <c r="I576" s="859"/>
      <c r="J576" s="875"/>
      <c r="K576" s="355">
        <v>0</v>
      </c>
      <c r="L576" s="360">
        <f>[62]PerDinas!$N$573</f>
        <v>0</v>
      </c>
      <c r="M576" s="355" t="e">
        <f>[55]Perdinas!#REF!</f>
        <v>#REF!</v>
      </c>
      <c r="N576" s="876" t="e">
        <f t="shared" si="88"/>
        <v>#REF!</v>
      </c>
      <c r="O576" s="878" t="e">
        <f>N576-K576</f>
        <v>#REF!</v>
      </c>
      <c r="P576" s="879" t="e">
        <f>N576/K576*100</f>
        <v>#REF!</v>
      </c>
      <c r="Q576" s="887"/>
      <c r="R576" s="422"/>
    </row>
    <row r="577" spans="1:18" s="189" customFormat="1" ht="12.05" customHeight="1">
      <c r="A577" s="860"/>
      <c r="B577" s="858"/>
      <c r="C577" s="858"/>
      <c r="D577" s="858"/>
      <c r="E577" s="858"/>
      <c r="F577" s="858"/>
      <c r="G577" s="859"/>
      <c r="H577" s="859"/>
      <c r="I577" s="859"/>
      <c r="J577" s="875"/>
      <c r="K577" s="876"/>
      <c r="L577" s="877"/>
      <c r="M577" s="876"/>
      <c r="N577" s="878"/>
      <c r="O577" s="878"/>
      <c r="P577" s="879"/>
      <c r="Q577" s="887"/>
      <c r="R577" s="422"/>
    </row>
    <row r="578" spans="1:18" s="189" customFormat="1" ht="12.05" customHeight="1">
      <c r="A578" s="889"/>
      <c r="B578" s="858">
        <v>4</v>
      </c>
      <c r="C578" s="858">
        <v>1</v>
      </c>
      <c r="D578" s="858">
        <v>4</v>
      </c>
      <c r="E578" s="858" t="s">
        <v>948</v>
      </c>
      <c r="F578" s="858"/>
      <c r="G578" s="291" t="s">
        <v>265</v>
      </c>
      <c r="H578" s="859"/>
      <c r="I578" s="859"/>
      <c r="J578" s="875">
        <v>0</v>
      </c>
      <c r="K578" s="876">
        <f>K579</f>
        <v>0</v>
      </c>
      <c r="L578" s="876">
        <f>L579</f>
        <v>0</v>
      </c>
      <c r="M578" s="876">
        <f>M579</f>
        <v>0</v>
      </c>
      <c r="N578" s="878">
        <f>M578+L578</f>
        <v>0</v>
      </c>
      <c r="O578" s="878">
        <f t="shared" ref="O578:O643" si="89">N578-K578</f>
        <v>0</v>
      </c>
      <c r="P578" s="879" t="e">
        <f>N578/K578*100</f>
        <v>#DIV/0!</v>
      </c>
      <c r="Q578" s="897"/>
      <c r="R578" s="555"/>
    </row>
    <row r="579" spans="1:18" s="189" customFormat="1">
      <c r="A579" s="889"/>
      <c r="B579" s="858">
        <v>4</v>
      </c>
      <c r="C579" s="858">
        <v>1</v>
      </c>
      <c r="D579" s="858">
        <v>4</v>
      </c>
      <c r="E579" s="858" t="s">
        <v>948</v>
      </c>
      <c r="F579" s="858" t="s">
        <v>437</v>
      </c>
      <c r="G579" s="890" t="s">
        <v>785</v>
      </c>
      <c r="H579" s="859"/>
      <c r="I579" s="859"/>
      <c r="J579" s="875">
        <v>0</v>
      </c>
      <c r="K579" s="876">
        <f>SUM(K580:K633)-K588-K590-K595-K605-K609-K611-K625</f>
        <v>0</v>
      </c>
      <c r="L579" s="876">
        <f>SUM(L580:L633)-L588-L590-L595-L605-L609-L611-L625</f>
        <v>0</v>
      </c>
      <c r="M579" s="876">
        <f>SUM(M580:M633)-M588-M590-M595-M605-M609-M611-M625</f>
        <v>0</v>
      </c>
      <c r="N579" s="876">
        <f>M579+L579</f>
        <v>0</v>
      </c>
      <c r="O579" s="878">
        <f t="shared" si="89"/>
        <v>0</v>
      </c>
      <c r="P579" s="879" t="e">
        <f>N579/K579*100</f>
        <v>#DIV/0!</v>
      </c>
      <c r="Q579" s="897"/>
      <c r="R579" s="422"/>
    </row>
    <row r="580" spans="1:18" s="189" customFormat="1">
      <c r="A580" s="889"/>
      <c r="B580" s="858"/>
      <c r="C580" s="858"/>
      <c r="D580" s="858"/>
      <c r="E580" s="858"/>
      <c r="F580" s="858"/>
      <c r="G580" s="891" t="s">
        <v>786</v>
      </c>
      <c r="H580" s="890"/>
      <c r="I580" s="859"/>
      <c r="J580" s="875"/>
      <c r="K580" s="876"/>
      <c r="L580" s="877"/>
      <c r="M580" s="876"/>
      <c r="N580" s="876">
        <f t="shared" ref="N580:N640" si="90">M580+L580</f>
        <v>0</v>
      </c>
      <c r="O580" s="878">
        <f t="shared" si="89"/>
        <v>0</v>
      </c>
      <c r="P580" s="879" t="e">
        <f t="shared" ref="P580:P640" si="91">N580/K580*100</f>
        <v>#DIV/0!</v>
      </c>
      <c r="Q580" s="897"/>
      <c r="R580" s="422"/>
    </row>
    <row r="581" spans="1:18" s="189" customFormat="1">
      <c r="A581" s="889"/>
      <c r="B581" s="858"/>
      <c r="C581" s="858"/>
      <c r="D581" s="858"/>
      <c r="E581" s="858"/>
      <c r="F581" s="858"/>
      <c r="G581" s="891" t="s">
        <v>787</v>
      </c>
      <c r="H581" s="890"/>
      <c r="I581" s="859"/>
      <c r="J581" s="875"/>
      <c r="K581" s="876"/>
      <c r="L581" s="877"/>
      <c r="M581" s="876"/>
      <c r="N581" s="876">
        <f t="shared" si="90"/>
        <v>0</v>
      </c>
      <c r="O581" s="878">
        <f t="shared" si="89"/>
        <v>0</v>
      </c>
      <c r="P581" s="879" t="e">
        <f t="shared" si="91"/>
        <v>#DIV/0!</v>
      </c>
      <c r="Q581" s="897"/>
      <c r="R581" s="422"/>
    </row>
    <row r="582" spans="1:18" s="189" customFormat="1">
      <c r="A582" s="889"/>
      <c r="B582" s="858"/>
      <c r="C582" s="858"/>
      <c r="D582" s="858"/>
      <c r="E582" s="858"/>
      <c r="F582" s="858"/>
      <c r="G582" s="891" t="s">
        <v>788</v>
      </c>
      <c r="H582" s="890"/>
      <c r="I582" s="859"/>
      <c r="J582" s="875"/>
      <c r="K582" s="876"/>
      <c r="L582" s="877"/>
      <c r="M582" s="876"/>
      <c r="N582" s="876">
        <f t="shared" si="90"/>
        <v>0</v>
      </c>
      <c r="O582" s="878">
        <f t="shared" si="89"/>
        <v>0</v>
      </c>
      <c r="P582" s="879" t="e">
        <f t="shared" si="91"/>
        <v>#DIV/0!</v>
      </c>
      <c r="Q582" s="897"/>
      <c r="R582" s="422"/>
    </row>
    <row r="583" spans="1:18" s="189" customFormat="1">
      <c r="A583" s="889"/>
      <c r="B583" s="858"/>
      <c r="C583" s="858"/>
      <c r="D583" s="858"/>
      <c r="E583" s="858"/>
      <c r="F583" s="858"/>
      <c r="G583" s="891" t="s">
        <v>789</v>
      </c>
      <c r="H583" s="890"/>
      <c r="I583" s="859"/>
      <c r="J583" s="875"/>
      <c r="K583" s="876"/>
      <c r="L583" s="877"/>
      <c r="M583" s="876"/>
      <c r="N583" s="876">
        <f t="shared" si="90"/>
        <v>0</v>
      </c>
      <c r="O583" s="878">
        <f t="shared" si="89"/>
        <v>0</v>
      </c>
      <c r="P583" s="879" t="e">
        <f t="shared" si="91"/>
        <v>#DIV/0!</v>
      </c>
      <c r="Q583" s="897"/>
      <c r="R583" s="422"/>
    </row>
    <row r="584" spans="1:18" s="189" customFormat="1">
      <c r="A584" s="889"/>
      <c r="B584" s="858"/>
      <c r="C584" s="858"/>
      <c r="D584" s="858"/>
      <c r="E584" s="858"/>
      <c r="F584" s="858"/>
      <c r="G584" s="891" t="s">
        <v>790</v>
      </c>
      <c r="H584" s="890"/>
      <c r="I584" s="859"/>
      <c r="J584" s="875"/>
      <c r="K584" s="876"/>
      <c r="L584" s="877"/>
      <c r="M584" s="876"/>
      <c r="N584" s="876">
        <f t="shared" si="90"/>
        <v>0</v>
      </c>
      <c r="O584" s="878">
        <f t="shared" si="89"/>
        <v>0</v>
      </c>
      <c r="P584" s="879" t="e">
        <f t="shared" si="91"/>
        <v>#DIV/0!</v>
      </c>
      <c r="Q584" s="897"/>
      <c r="R584" s="422"/>
    </row>
    <row r="585" spans="1:18" s="189" customFormat="1">
      <c r="A585" s="889"/>
      <c r="B585" s="858"/>
      <c r="C585" s="858"/>
      <c r="D585" s="858"/>
      <c r="E585" s="858"/>
      <c r="F585" s="858"/>
      <c r="G585" s="891" t="s">
        <v>791</v>
      </c>
      <c r="H585" s="890"/>
      <c r="I585" s="859"/>
      <c r="J585" s="875"/>
      <c r="K585" s="876"/>
      <c r="L585" s="877"/>
      <c r="M585" s="876"/>
      <c r="N585" s="876">
        <f t="shared" si="90"/>
        <v>0</v>
      </c>
      <c r="O585" s="878">
        <f t="shared" si="89"/>
        <v>0</v>
      </c>
      <c r="P585" s="879" t="e">
        <f t="shared" si="91"/>
        <v>#DIV/0!</v>
      </c>
      <c r="Q585" s="897"/>
      <c r="R585" s="422"/>
    </row>
    <row r="586" spans="1:18" s="189" customFormat="1">
      <c r="A586" s="889"/>
      <c r="B586" s="858"/>
      <c r="C586" s="858"/>
      <c r="D586" s="858"/>
      <c r="E586" s="858"/>
      <c r="F586" s="858"/>
      <c r="G586" s="891" t="s">
        <v>792</v>
      </c>
      <c r="H586" s="890"/>
      <c r="I586" s="859"/>
      <c r="J586" s="875"/>
      <c r="K586" s="876"/>
      <c r="L586" s="877"/>
      <c r="M586" s="876"/>
      <c r="N586" s="876">
        <f t="shared" si="90"/>
        <v>0</v>
      </c>
      <c r="O586" s="878">
        <f t="shared" si="89"/>
        <v>0</v>
      </c>
      <c r="P586" s="879" t="e">
        <f t="shared" si="91"/>
        <v>#DIV/0!</v>
      </c>
      <c r="Q586" s="897"/>
      <c r="R586" s="422"/>
    </row>
    <row r="587" spans="1:18" s="189" customFormat="1">
      <c r="A587" s="889"/>
      <c r="B587" s="858"/>
      <c r="C587" s="858"/>
      <c r="D587" s="858"/>
      <c r="E587" s="858"/>
      <c r="F587" s="858"/>
      <c r="G587" s="891" t="s">
        <v>1044</v>
      </c>
      <c r="H587" s="890"/>
      <c r="I587" s="859"/>
      <c r="J587" s="875"/>
      <c r="K587" s="876"/>
      <c r="L587" s="877"/>
      <c r="M587" s="876"/>
      <c r="N587" s="876">
        <f t="shared" si="90"/>
        <v>0</v>
      </c>
      <c r="O587" s="878">
        <f t="shared" si="89"/>
        <v>0</v>
      </c>
      <c r="P587" s="879" t="e">
        <f t="shared" si="91"/>
        <v>#DIV/0!</v>
      </c>
      <c r="Q587" s="897"/>
      <c r="R587" s="422"/>
    </row>
    <row r="588" spans="1:18" s="189" customFormat="1">
      <c r="A588" s="889"/>
      <c r="B588" s="858"/>
      <c r="C588" s="858"/>
      <c r="D588" s="858"/>
      <c r="E588" s="858"/>
      <c r="F588" s="858"/>
      <c r="G588" s="891" t="s">
        <v>794</v>
      </c>
      <c r="H588" s="890"/>
      <c r="I588" s="859"/>
      <c r="J588" s="875"/>
      <c r="K588" s="876"/>
      <c r="L588" s="877"/>
      <c r="M588" s="876"/>
      <c r="N588" s="876">
        <f t="shared" si="90"/>
        <v>0</v>
      </c>
      <c r="O588" s="878">
        <f t="shared" si="89"/>
        <v>0</v>
      </c>
      <c r="P588" s="879" t="e">
        <f t="shared" si="91"/>
        <v>#DIV/0!</v>
      </c>
      <c r="Q588" s="897"/>
      <c r="R588" s="422"/>
    </row>
    <row r="589" spans="1:18" s="189" customFormat="1">
      <c r="A589" s="889"/>
      <c r="B589" s="858"/>
      <c r="C589" s="858"/>
      <c r="D589" s="858"/>
      <c r="E589" s="858"/>
      <c r="F589" s="858"/>
      <c r="G589" s="891" t="s">
        <v>50</v>
      </c>
      <c r="H589" s="892" t="s">
        <v>795</v>
      </c>
      <c r="I589" s="859"/>
      <c r="J589" s="875"/>
      <c r="K589" s="876"/>
      <c r="L589" s="877"/>
      <c r="M589" s="876"/>
      <c r="N589" s="876">
        <f t="shared" si="90"/>
        <v>0</v>
      </c>
      <c r="O589" s="878">
        <f t="shared" si="89"/>
        <v>0</v>
      </c>
      <c r="P589" s="879" t="e">
        <f t="shared" si="91"/>
        <v>#DIV/0!</v>
      </c>
      <c r="Q589" s="897"/>
      <c r="R589" s="422"/>
    </row>
    <row r="590" spans="1:18" s="189" customFormat="1">
      <c r="A590" s="889"/>
      <c r="B590" s="858"/>
      <c r="C590" s="858"/>
      <c r="D590" s="858"/>
      <c r="E590" s="858"/>
      <c r="F590" s="858"/>
      <c r="G590" s="891" t="s">
        <v>796</v>
      </c>
      <c r="H590" s="890"/>
      <c r="I590" s="859"/>
      <c r="J590" s="875"/>
      <c r="K590" s="876"/>
      <c r="L590" s="877"/>
      <c r="M590" s="876"/>
      <c r="N590" s="876">
        <f t="shared" si="90"/>
        <v>0</v>
      </c>
      <c r="O590" s="878">
        <f t="shared" si="89"/>
        <v>0</v>
      </c>
      <c r="P590" s="879" t="e">
        <f t="shared" si="91"/>
        <v>#DIV/0!</v>
      </c>
      <c r="Q590" s="897"/>
      <c r="R590" s="422"/>
    </row>
    <row r="591" spans="1:18" s="189" customFormat="1">
      <c r="A591" s="889"/>
      <c r="B591" s="858"/>
      <c r="C591" s="858"/>
      <c r="D591" s="858"/>
      <c r="E591" s="858"/>
      <c r="F591" s="858"/>
      <c r="G591" s="891" t="s">
        <v>50</v>
      </c>
      <c r="H591" s="892" t="s">
        <v>797</v>
      </c>
      <c r="I591" s="859"/>
      <c r="J591" s="875"/>
      <c r="K591" s="876"/>
      <c r="L591" s="877"/>
      <c r="M591" s="876"/>
      <c r="N591" s="876">
        <f t="shared" si="90"/>
        <v>0</v>
      </c>
      <c r="O591" s="878">
        <f t="shared" si="89"/>
        <v>0</v>
      </c>
      <c r="P591" s="879" t="e">
        <f t="shared" si="91"/>
        <v>#DIV/0!</v>
      </c>
      <c r="Q591" s="897"/>
      <c r="R591" s="422"/>
    </row>
    <row r="592" spans="1:18" s="189" customFormat="1">
      <c r="A592" s="889"/>
      <c r="B592" s="858"/>
      <c r="C592" s="858"/>
      <c r="D592" s="858"/>
      <c r="E592" s="858"/>
      <c r="F592" s="858"/>
      <c r="G592" s="891" t="s">
        <v>50</v>
      </c>
      <c r="H592" s="892" t="s">
        <v>138</v>
      </c>
      <c r="I592" s="859"/>
      <c r="J592" s="875"/>
      <c r="K592" s="876"/>
      <c r="L592" s="877"/>
      <c r="M592" s="876"/>
      <c r="N592" s="876">
        <f t="shared" si="90"/>
        <v>0</v>
      </c>
      <c r="O592" s="878">
        <f t="shared" si="89"/>
        <v>0</v>
      </c>
      <c r="P592" s="879" t="e">
        <f t="shared" si="91"/>
        <v>#DIV/0!</v>
      </c>
      <c r="Q592" s="897"/>
      <c r="R592" s="422"/>
    </row>
    <row r="593" spans="1:18" s="189" customFormat="1">
      <c r="A593" s="889"/>
      <c r="B593" s="858"/>
      <c r="C593" s="858"/>
      <c r="D593" s="858"/>
      <c r="E593" s="858"/>
      <c r="F593" s="858"/>
      <c r="G593" s="891" t="s">
        <v>50</v>
      </c>
      <c r="H593" s="892" t="s">
        <v>798</v>
      </c>
      <c r="I593" s="859"/>
      <c r="J593" s="875"/>
      <c r="K593" s="876"/>
      <c r="L593" s="877"/>
      <c r="M593" s="876"/>
      <c r="N593" s="876">
        <f t="shared" si="90"/>
        <v>0</v>
      </c>
      <c r="O593" s="878">
        <f t="shared" si="89"/>
        <v>0</v>
      </c>
      <c r="P593" s="879" t="e">
        <f t="shared" si="91"/>
        <v>#DIV/0!</v>
      </c>
      <c r="Q593" s="897"/>
      <c r="R593" s="422"/>
    </row>
    <row r="594" spans="1:18" s="189" customFormat="1">
      <c r="A594" s="889"/>
      <c r="B594" s="858"/>
      <c r="C594" s="858"/>
      <c r="D594" s="858"/>
      <c r="E594" s="858"/>
      <c r="F594" s="858"/>
      <c r="G594" s="891" t="s">
        <v>50</v>
      </c>
      <c r="H594" s="892" t="s">
        <v>140</v>
      </c>
      <c r="I594" s="859"/>
      <c r="J594" s="875"/>
      <c r="K594" s="876"/>
      <c r="L594" s="877"/>
      <c r="M594" s="876"/>
      <c r="N594" s="876">
        <f t="shared" si="90"/>
        <v>0</v>
      </c>
      <c r="O594" s="878">
        <f t="shared" si="89"/>
        <v>0</v>
      </c>
      <c r="P594" s="879" t="e">
        <f t="shared" si="91"/>
        <v>#DIV/0!</v>
      </c>
      <c r="Q594" s="897"/>
      <c r="R594" s="422"/>
    </row>
    <row r="595" spans="1:18" s="189" customFormat="1">
      <c r="A595" s="889"/>
      <c r="B595" s="858"/>
      <c r="C595" s="858"/>
      <c r="D595" s="858"/>
      <c r="E595" s="858"/>
      <c r="F595" s="858"/>
      <c r="G595" s="891" t="s">
        <v>799</v>
      </c>
      <c r="H595" s="890"/>
      <c r="I595" s="859"/>
      <c r="J595" s="875"/>
      <c r="K595" s="876"/>
      <c r="L595" s="877"/>
      <c r="M595" s="876"/>
      <c r="N595" s="876">
        <f t="shared" si="90"/>
        <v>0</v>
      </c>
      <c r="O595" s="878">
        <f t="shared" si="89"/>
        <v>0</v>
      </c>
      <c r="P595" s="879" t="e">
        <f t="shared" si="91"/>
        <v>#DIV/0!</v>
      </c>
      <c r="Q595" s="897"/>
      <c r="R595" s="422"/>
    </row>
    <row r="596" spans="1:18" s="189" customFormat="1">
      <c r="A596" s="889"/>
      <c r="B596" s="858"/>
      <c r="C596" s="858"/>
      <c r="D596" s="858"/>
      <c r="E596" s="858"/>
      <c r="F596" s="858"/>
      <c r="G596" s="891" t="s">
        <v>50</v>
      </c>
      <c r="H596" s="892" t="s">
        <v>85</v>
      </c>
      <c r="I596" s="859"/>
      <c r="J596" s="875"/>
      <c r="K596" s="876"/>
      <c r="L596" s="877"/>
      <c r="M596" s="876"/>
      <c r="N596" s="876">
        <f t="shared" si="90"/>
        <v>0</v>
      </c>
      <c r="O596" s="878">
        <f t="shared" si="89"/>
        <v>0</v>
      </c>
      <c r="P596" s="879" t="e">
        <f t="shared" si="91"/>
        <v>#DIV/0!</v>
      </c>
      <c r="Q596" s="897"/>
      <c r="R596" s="422"/>
    </row>
    <row r="597" spans="1:18" s="189" customFormat="1">
      <c r="A597" s="889"/>
      <c r="B597" s="858"/>
      <c r="C597" s="858"/>
      <c r="D597" s="858"/>
      <c r="E597" s="858"/>
      <c r="F597" s="858"/>
      <c r="G597" s="891" t="s">
        <v>50</v>
      </c>
      <c r="H597" s="892" t="s">
        <v>145</v>
      </c>
      <c r="I597" s="859"/>
      <c r="J597" s="875"/>
      <c r="K597" s="876"/>
      <c r="L597" s="877"/>
      <c r="M597" s="876"/>
      <c r="N597" s="876">
        <f t="shared" si="90"/>
        <v>0</v>
      </c>
      <c r="O597" s="878">
        <f t="shared" si="89"/>
        <v>0</v>
      </c>
      <c r="P597" s="879" t="e">
        <f t="shared" si="91"/>
        <v>#DIV/0!</v>
      </c>
      <c r="Q597" s="897"/>
      <c r="R597" s="422"/>
    </row>
    <row r="598" spans="1:18" s="189" customFormat="1">
      <c r="A598" s="889"/>
      <c r="B598" s="858"/>
      <c r="C598" s="858"/>
      <c r="D598" s="858"/>
      <c r="E598" s="858"/>
      <c r="F598" s="858"/>
      <c r="G598" s="891" t="s">
        <v>50</v>
      </c>
      <c r="H598" s="892" t="s">
        <v>146</v>
      </c>
      <c r="I598" s="859"/>
      <c r="J598" s="875"/>
      <c r="K598" s="876"/>
      <c r="L598" s="877"/>
      <c r="M598" s="876"/>
      <c r="N598" s="876">
        <f t="shared" si="90"/>
        <v>0</v>
      </c>
      <c r="O598" s="878">
        <f t="shared" si="89"/>
        <v>0</v>
      </c>
      <c r="P598" s="879" t="e">
        <f t="shared" si="91"/>
        <v>#DIV/0!</v>
      </c>
      <c r="Q598" s="897"/>
      <c r="R598" s="422"/>
    </row>
    <row r="599" spans="1:18" s="189" customFormat="1">
      <c r="A599" s="889"/>
      <c r="B599" s="858"/>
      <c r="C599" s="858"/>
      <c r="D599" s="858"/>
      <c r="E599" s="858"/>
      <c r="F599" s="858"/>
      <c r="G599" s="891" t="s">
        <v>50</v>
      </c>
      <c r="H599" s="892" t="s">
        <v>147</v>
      </c>
      <c r="I599" s="859"/>
      <c r="J599" s="875"/>
      <c r="K599" s="876"/>
      <c r="L599" s="877"/>
      <c r="M599" s="876"/>
      <c r="N599" s="876">
        <f t="shared" si="90"/>
        <v>0</v>
      </c>
      <c r="O599" s="878">
        <f t="shared" si="89"/>
        <v>0</v>
      </c>
      <c r="P599" s="879" t="e">
        <f t="shared" si="91"/>
        <v>#DIV/0!</v>
      </c>
      <c r="Q599" s="897"/>
      <c r="R599" s="422"/>
    </row>
    <row r="600" spans="1:18" s="189" customFormat="1">
      <c r="A600" s="889"/>
      <c r="B600" s="858"/>
      <c r="C600" s="858"/>
      <c r="D600" s="858"/>
      <c r="E600" s="858"/>
      <c r="F600" s="858"/>
      <c r="G600" s="891" t="s">
        <v>1076</v>
      </c>
      <c r="H600" s="890"/>
      <c r="I600" s="859"/>
      <c r="J600" s="875"/>
      <c r="K600" s="876"/>
      <c r="L600" s="877"/>
      <c r="M600" s="876"/>
      <c r="N600" s="876">
        <f t="shared" si="90"/>
        <v>0</v>
      </c>
      <c r="O600" s="878">
        <f t="shared" si="89"/>
        <v>0</v>
      </c>
      <c r="P600" s="879" t="e">
        <f t="shared" si="91"/>
        <v>#DIV/0!</v>
      </c>
      <c r="Q600" s="897"/>
      <c r="R600" s="422"/>
    </row>
    <row r="601" spans="1:18" s="189" customFormat="1">
      <c r="A601" s="889"/>
      <c r="B601" s="858"/>
      <c r="C601" s="858"/>
      <c r="D601" s="858"/>
      <c r="E601" s="858"/>
      <c r="F601" s="858"/>
      <c r="G601" s="891" t="s">
        <v>801</v>
      </c>
      <c r="H601" s="890"/>
      <c r="I601" s="859"/>
      <c r="J601" s="875"/>
      <c r="K601" s="876"/>
      <c r="L601" s="877"/>
      <c r="M601" s="876"/>
      <c r="N601" s="876">
        <f t="shared" si="90"/>
        <v>0</v>
      </c>
      <c r="O601" s="878">
        <f t="shared" si="89"/>
        <v>0</v>
      </c>
      <c r="P601" s="879" t="e">
        <f t="shared" si="91"/>
        <v>#DIV/0!</v>
      </c>
      <c r="Q601" s="897"/>
      <c r="R601" s="422"/>
    </row>
    <row r="602" spans="1:18" s="189" customFormat="1">
      <c r="A602" s="889"/>
      <c r="B602" s="858"/>
      <c r="C602" s="858"/>
      <c r="D602" s="858"/>
      <c r="E602" s="858"/>
      <c r="F602" s="858"/>
      <c r="G602" s="891" t="s">
        <v>802</v>
      </c>
      <c r="H602" s="890"/>
      <c r="I602" s="859"/>
      <c r="J602" s="875"/>
      <c r="K602" s="876"/>
      <c r="L602" s="877"/>
      <c r="M602" s="876"/>
      <c r="N602" s="876">
        <f t="shared" si="90"/>
        <v>0</v>
      </c>
      <c r="O602" s="878">
        <f t="shared" si="89"/>
        <v>0</v>
      </c>
      <c r="P602" s="879" t="e">
        <f t="shared" si="91"/>
        <v>#DIV/0!</v>
      </c>
      <c r="Q602" s="897"/>
      <c r="R602" s="422"/>
    </row>
    <row r="603" spans="1:18" s="189" customFormat="1">
      <c r="A603" s="889"/>
      <c r="B603" s="858"/>
      <c r="C603" s="858"/>
      <c r="D603" s="858"/>
      <c r="E603" s="858"/>
      <c r="F603" s="858"/>
      <c r="G603" s="891" t="s">
        <v>803</v>
      </c>
      <c r="H603" s="890"/>
      <c r="I603" s="859"/>
      <c r="J603" s="875"/>
      <c r="K603" s="876"/>
      <c r="L603" s="877"/>
      <c r="M603" s="876"/>
      <c r="N603" s="876">
        <f t="shared" si="90"/>
        <v>0</v>
      </c>
      <c r="O603" s="878">
        <f t="shared" si="89"/>
        <v>0</v>
      </c>
      <c r="P603" s="879" t="e">
        <f t="shared" si="91"/>
        <v>#DIV/0!</v>
      </c>
      <c r="Q603" s="897"/>
      <c r="R603" s="422"/>
    </row>
    <row r="604" spans="1:18" s="189" customFormat="1">
      <c r="A604" s="889"/>
      <c r="B604" s="858"/>
      <c r="C604" s="858"/>
      <c r="D604" s="858"/>
      <c r="E604" s="858"/>
      <c r="F604" s="858"/>
      <c r="G604" s="891" t="s">
        <v>804</v>
      </c>
      <c r="H604" s="890"/>
      <c r="I604" s="859"/>
      <c r="J604" s="875"/>
      <c r="K604" s="876"/>
      <c r="L604" s="877"/>
      <c r="M604" s="876"/>
      <c r="N604" s="876">
        <f t="shared" si="90"/>
        <v>0</v>
      </c>
      <c r="O604" s="878">
        <f t="shared" si="89"/>
        <v>0</v>
      </c>
      <c r="P604" s="879" t="e">
        <f t="shared" si="91"/>
        <v>#DIV/0!</v>
      </c>
      <c r="Q604" s="897"/>
      <c r="R604" s="422"/>
    </row>
    <row r="605" spans="1:18" s="189" customFormat="1">
      <c r="A605" s="889"/>
      <c r="B605" s="858"/>
      <c r="C605" s="858"/>
      <c r="D605" s="858"/>
      <c r="E605" s="858"/>
      <c r="F605" s="858"/>
      <c r="G605" s="891" t="s">
        <v>805</v>
      </c>
      <c r="H605" s="890"/>
      <c r="I605" s="859"/>
      <c r="J605" s="875"/>
      <c r="K605" s="876"/>
      <c r="L605" s="877"/>
      <c r="M605" s="876"/>
      <c r="N605" s="876">
        <f t="shared" si="90"/>
        <v>0</v>
      </c>
      <c r="O605" s="878">
        <f t="shared" si="89"/>
        <v>0</v>
      </c>
      <c r="P605" s="879" t="e">
        <f t="shared" si="91"/>
        <v>#DIV/0!</v>
      </c>
      <c r="Q605" s="897"/>
      <c r="R605" s="422"/>
    </row>
    <row r="606" spans="1:18" s="189" customFormat="1">
      <c r="A606" s="889"/>
      <c r="B606" s="858"/>
      <c r="C606" s="858"/>
      <c r="D606" s="858"/>
      <c r="E606" s="858"/>
      <c r="F606" s="858"/>
      <c r="G606" s="891" t="s">
        <v>50</v>
      </c>
      <c r="H606" s="892" t="s">
        <v>640</v>
      </c>
      <c r="I606" s="859"/>
      <c r="J606" s="875"/>
      <c r="K606" s="876"/>
      <c r="L606" s="877"/>
      <c r="M606" s="876"/>
      <c r="N606" s="876">
        <f t="shared" si="90"/>
        <v>0</v>
      </c>
      <c r="O606" s="878">
        <f t="shared" si="89"/>
        <v>0</v>
      </c>
      <c r="P606" s="879" t="e">
        <f t="shared" si="91"/>
        <v>#DIV/0!</v>
      </c>
      <c r="Q606" s="897"/>
      <c r="R606" s="422"/>
    </row>
    <row r="607" spans="1:18" s="189" customFormat="1">
      <c r="A607" s="889"/>
      <c r="B607" s="858"/>
      <c r="C607" s="858"/>
      <c r="D607" s="858"/>
      <c r="E607" s="858"/>
      <c r="F607" s="858"/>
      <c r="G607" s="891" t="s">
        <v>806</v>
      </c>
      <c r="H607" s="890"/>
      <c r="I607" s="859"/>
      <c r="J607" s="875"/>
      <c r="K607" s="876"/>
      <c r="L607" s="877"/>
      <c r="M607" s="876"/>
      <c r="N607" s="876">
        <f t="shared" si="90"/>
        <v>0</v>
      </c>
      <c r="O607" s="878">
        <f t="shared" si="89"/>
        <v>0</v>
      </c>
      <c r="P607" s="879" t="e">
        <f t="shared" si="91"/>
        <v>#DIV/0!</v>
      </c>
      <c r="Q607" s="897"/>
      <c r="R607" s="422"/>
    </row>
    <row r="608" spans="1:18" s="189" customFormat="1">
      <c r="A608" s="889"/>
      <c r="B608" s="858"/>
      <c r="C608" s="858"/>
      <c r="D608" s="858"/>
      <c r="E608" s="858"/>
      <c r="F608" s="858"/>
      <c r="G608" s="891" t="s">
        <v>807</v>
      </c>
      <c r="H608" s="890"/>
      <c r="I608" s="859"/>
      <c r="J608" s="875"/>
      <c r="K608" s="876"/>
      <c r="L608" s="877"/>
      <c r="M608" s="876"/>
      <c r="N608" s="876">
        <f t="shared" si="90"/>
        <v>0</v>
      </c>
      <c r="O608" s="878">
        <f t="shared" si="89"/>
        <v>0</v>
      </c>
      <c r="P608" s="879" t="e">
        <f t="shared" si="91"/>
        <v>#DIV/0!</v>
      </c>
      <c r="Q608" s="897"/>
      <c r="R608" s="422"/>
    </row>
    <row r="609" spans="1:18" s="189" customFormat="1">
      <c r="A609" s="889"/>
      <c r="B609" s="858"/>
      <c r="C609" s="858"/>
      <c r="D609" s="858"/>
      <c r="E609" s="858"/>
      <c r="F609" s="858"/>
      <c r="G609" s="891" t="s">
        <v>808</v>
      </c>
      <c r="H609" s="890"/>
      <c r="I609" s="859"/>
      <c r="J609" s="875"/>
      <c r="K609" s="876"/>
      <c r="L609" s="877"/>
      <c r="M609" s="876"/>
      <c r="N609" s="876">
        <f t="shared" si="90"/>
        <v>0</v>
      </c>
      <c r="O609" s="878">
        <f t="shared" si="89"/>
        <v>0</v>
      </c>
      <c r="P609" s="879" t="e">
        <f t="shared" si="91"/>
        <v>#DIV/0!</v>
      </c>
      <c r="Q609" s="897"/>
      <c r="R609" s="422"/>
    </row>
    <row r="610" spans="1:18" s="189" customFormat="1">
      <c r="A610" s="889"/>
      <c r="B610" s="858"/>
      <c r="C610" s="858"/>
      <c r="D610" s="858"/>
      <c r="E610" s="858"/>
      <c r="F610" s="858"/>
      <c r="G610" s="891" t="s">
        <v>50</v>
      </c>
      <c r="H610" s="890" t="s">
        <v>809</v>
      </c>
      <c r="I610" s="859"/>
      <c r="J610" s="875"/>
      <c r="K610" s="876"/>
      <c r="L610" s="877"/>
      <c r="M610" s="876"/>
      <c r="N610" s="876">
        <f t="shared" si="90"/>
        <v>0</v>
      </c>
      <c r="O610" s="878">
        <f t="shared" si="89"/>
        <v>0</v>
      </c>
      <c r="P610" s="879" t="e">
        <f t="shared" si="91"/>
        <v>#DIV/0!</v>
      </c>
      <c r="Q610" s="897"/>
      <c r="R610" s="422"/>
    </row>
    <row r="611" spans="1:18" s="189" customFormat="1">
      <c r="A611" s="889"/>
      <c r="B611" s="858"/>
      <c r="C611" s="858"/>
      <c r="D611" s="858"/>
      <c r="E611" s="858"/>
      <c r="F611" s="858"/>
      <c r="G611" s="891" t="s">
        <v>50</v>
      </c>
      <c r="H611" s="893" t="s">
        <v>810</v>
      </c>
      <c r="I611" s="859"/>
      <c r="J611" s="875"/>
      <c r="K611" s="876"/>
      <c r="L611" s="877"/>
      <c r="M611" s="876"/>
      <c r="N611" s="876">
        <f t="shared" si="90"/>
        <v>0</v>
      </c>
      <c r="O611" s="878">
        <f t="shared" si="89"/>
        <v>0</v>
      </c>
      <c r="P611" s="879" t="e">
        <f t="shared" si="91"/>
        <v>#DIV/0!</v>
      </c>
      <c r="Q611" s="897"/>
      <c r="R611" s="422"/>
    </row>
    <row r="612" spans="1:18" s="189" customFormat="1">
      <c r="A612" s="889"/>
      <c r="B612" s="858"/>
      <c r="C612" s="858"/>
      <c r="D612" s="858"/>
      <c r="E612" s="858"/>
      <c r="F612" s="858"/>
      <c r="G612" s="891"/>
      <c r="H612" s="894" t="s">
        <v>310</v>
      </c>
      <c r="I612" s="859"/>
      <c r="J612" s="875"/>
      <c r="K612" s="876"/>
      <c r="L612" s="877"/>
      <c r="M612" s="876"/>
      <c r="N612" s="876">
        <f t="shared" si="90"/>
        <v>0</v>
      </c>
      <c r="O612" s="878">
        <f t="shared" si="89"/>
        <v>0</v>
      </c>
      <c r="P612" s="879" t="e">
        <f t="shared" si="91"/>
        <v>#DIV/0!</v>
      </c>
      <c r="Q612" s="897"/>
      <c r="R612" s="422"/>
    </row>
    <row r="613" spans="1:18" s="189" customFormat="1">
      <c r="A613" s="889"/>
      <c r="B613" s="858"/>
      <c r="C613" s="858"/>
      <c r="D613" s="858"/>
      <c r="E613" s="858"/>
      <c r="F613" s="858"/>
      <c r="G613" s="891"/>
      <c r="H613" s="894" t="s">
        <v>311</v>
      </c>
      <c r="I613" s="859"/>
      <c r="J613" s="875"/>
      <c r="K613" s="876"/>
      <c r="L613" s="877"/>
      <c r="M613" s="876"/>
      <c r="N613" s="876">
        <f t="shared" si="90"/>
        <v>0</v>
      </c>
      <c r="O613" s="878">
        <f t="shared" si="89"/>
        <v>0</v>
      </c>
      <c r="P613" s="879" t="e">
        <f t="shared" si="91"/>
        <v>#DIV/0!</v>
      </c>
      <c r="Q613" s="897"/>
      <c r="R613" s="422"/>
    </row>
    <row r="614" spans="1:18" s="189" customFormat="1">
      <c r="A614" s="889"/>
      <c r="B614" s="858"/>
      <c r="C614" s="858"/>
      <c r="D614" s="858"/>
      <c r="E614" s="858"/>
      <c r="F614" s="858"/>
      <c r="G614" s="891"/>
      <c r="H614" s="894" t="s">
        <v>312</v>
      </c>
      <c r="I614" s="859"/>
      <c r="J614" s="875"/>
      <c r="K614" s="876"/>
      <c r="L614" s="877"/>
      <c r="M614" s="876"/>
      <c r="N614" s="876">
        <f t="shared" si="90"/>
        <v>0</v>
      </c>
      <c r="O614" s="878">
        <f t="shared" si="89"/>
        <v>0</v>
      </c>
      <c r="P614" s="879" t="e">
        <f t="shared" si="91"/>
        <v>#DIV/0!</v>
      </c>
      <c r="Q614" s="897"/>
      <c r="R614" s="422"/>
    </row>
    <row r="615" spans="1:18" s="189" customFormat="1">
      <c r="A615" s="889"/>
      <c r="B615" s="858"/>
      <c r="C615" s="858"/>
      <c r="D615" s="858"/>
      <c r="E615" s="858"/>
      <c r="F615" s="858"/>
      <c r="G615" s="891"/>
      <c r="H615" s="894" t="s">
        <v>313</v>
      </c>
      <c r="I615" s="859"/>
      <c r="J615" s="875"/>
      <c r="K615" s="876"/>
      <c r="L615" s="877"/>
      <c r="M615" s="876"/>
      <c r="N615" s="876">
        <f t="shared" si="90"/>
        <v>0</v>
      </c>
      <c r="O615" s="878">
        <f t="shared" si="89"/>
        <v>0</v>
      </c>
      <c r="P615" s="879" t="e">
        <f t="shared" si="91"/>
        <v>#DIV/0!</v>
      </c>
      <c r="Q615" s="897"/>
      <c r="R615" s="422"/>
    </row>
    <row r="616" spans="1:18" s="189" customFormat="1">
      <c r="A616" s="889"/>
      <c r="B616" s="858"/>
      <c r="C616" s="858"/>
      <c r="D616" s="858"/>
      <c r="E616" s="858"/>
      <c r="F616" s="858"/>
      <c r="G616" s="891"/>
      <c r="H616" s="894" t="s">
        <v>314</v>
      </c>
      <c r="I616" s="859"/>
      <c r="J616" s="875"/>
      <c r="K616" s="876"/>
      <c r="L616" s="877"/>
      <c r="M616" s="876"/>
      <c r="N616" s="876">
        <f t="shared" si="90"/>
        <v>0</v>
      </c>
      <c r="O616" s="878">
        <f t="shared" si="89"/>
        <v>0</v>
      </c>
      <c r="P616" s="879" t="e">
        <f t="shared" si="91"/>
        <v>#DIV/0!</v>
      </c>
      <c r="Q616" s="897"/>
      <c r="R616" s="422"/>
    </row>
    <row r="617" spans="1:18" s="189" customFormat="1">
      <c r="A617" s="889"/>
      <c r="B617" s="858"/>
      <c r="C617" s="858"/>
      <c r="D617" s="858"/>
      <c r="E617" s="858"/>
      <c r="F617" s="858"/>
      <c r="G617" s="891"/>
      <c r="H617" s="894" t="s">
        <v>315</v>
      </c>
      <c r="I617" s="859"/>
      <c r="J617" s="875"/>
      <c r="K617" s="876"/>
      <c r="L617" s="877"/>
      <c r="M617" s="876"/>
      <c r="N617" s="876">
        <f t="shared" si="90"/>
        <v>0</v>
      </c>
      <c r="O617" s="878">
        <f t="shared" si="89"/>
        <v>0</v>
      </c>
      <c r="P617" s="879" t="e">
        <f t="shared" si="91"/>
        <v>#DIV/0!</v>
      </c>
      <c r="Q617" s="897"/>
      <c r="R617" s="422"/>
    </row>
    <row r="618" spans="1:18" s="189" customFormat="1">
      <c r="A618" s="889"/>
      <c r="B618" s="858"/>
      <c r="C618" s="858"/>
      <c r="D618" s="858"/>
      <c r="E618" s="858"/>
      <c r="F618" s="858"/>
      <c r="G618" s="891"/>
      <c r="H618" s="894" t="s">
        <v>316</v>
      </c>
      <c r="I618" s="859"/>
      <c r="J618" s="875"/>
      <c r="K618" s="876"/>
      <c r="L618" s="877"/>
      <c r="M618" s="876"/>
      <c r="N618" s="876">
        <f t="shared" si="90"/>
        <v>0</v>
      </c>
      <c r="O618" s="878">
        <f t="shared" si="89"/>
        <v>0</v>
      </c>
      <c r="P618" s="879" t="e">
        <f t="shared" si="91"/>
        <v>#DIV/0!</v>
      </c>
      <c r="Q618" s="897"/>
      <c r="R618" s="422"/>
    </row>
    <row r="619" spans="1:18" s="189" customFormat="1">
      <c r="A619" s="889"/>
      <c r="B619" s="858"/>
      <c r="C619" s="858"/>
      <c r="D619" s="858"/>
      <c r="E619" s="858"/>
      <c r="F619" s="858"/>
      <c r="G619" s="891"/>
      <c r="H619" s="894" t="s">
        <v>317</v>
      </c>
      <c r="I619" s="859"/>
      <c r="J619" s="875"/>
      <c r="K619" s="876"/>
      <c r="L619" s="877"/>
      <c r="M619" s="876"/>
      <c r="N619" s="876">
        <f t="shared" si="90"/>
        <v>0</v>
      </c>
      <c r="O619" s="878">
        <f t="shared" si="89"/>
        <v>0</v>
      </c>
      <c r="P619" s="879" t="e">
        <f t="shared" si="91"/>
        <v>#DIV/0!</v>
      </c>
      <c r="Q619" s="897"/>
      <c r="R619" s="422"/>
    </row>
    <row r="620" spans="1:18" s="189" customFormat="1">
      <c r="A620" s="889"/>
      <c r="B620" s="858"/>
      <c r="C620" s="858"/>
      <c r="D620" s="858"/>
      <c r="E620" s="858"/>
      <c r="F620" s="858"/>
      <c r="G620" s="891"/>
      <c r="H620" s="894" t="s">
        <v>318</v>
      </c>
      <c r="I620" s="859"/>
      <c r="J620" s="875"/>
      <c r="K620" s="876"/>
      <c r="L620" s="877"/>
      <c r="M620" s="876"/>
      <c r="N620" s="876">
        <f t="shared" si="90"/>
        <v>0</v>
      </c>
      <c r="O620" s="878">
        <f t="shared" si="89"/>
        <v>0</v>
      </c>
      <c r="P620" s="879" t="e">
        <f t="shared" si="91"/>
        <v>#DIV/0!</v>
      </c>
      <c r="Q620" s="897"/>
      <c r="R620" s="422"/>
    </row>
    <row r="621" spans="1:18" s="189" customFormat="1">
      <c r="A621" s="889"/>
      <c r="B621" s="858"/>
      <c r="C621" s="858"/>
      <c r="D621" s="858"/>
      <c r="E621" s="858"/>
      <c r="F621" s="858"/>
      <c r="G621" s="891" t="s">
        <v>811</v>
      </c>
      <c r="H621" s="890"/>
      <c r="I621" s="859"/>
      <c r="J621" s="875"/>
      <c r="K621" s="876"/>
      <c r="L621" s="877"/>
      <c r="M621" s="876"/>
      <c r="N621" s="876">
        <f t="shared" si="90"/>
        <v>0</v>
      </c>
      <c r="O621" s="878">
        <f t="shared" si="89"/>
        <v>0</v>
      </c>
      <c r="P621" s="879" t="e">
        <f t="shared" si="91"/>
        <v>#DIV/0!</v>
      </c>
      <c r="Q621" s="897"/>
      <c r="R621" s="422"/>
    </row>
    <row r="622" spans="1:18" s="189" customFormat="1">
      <c r="A622" s="889"/>
      <c r="B622" s="858"/>
      <c r="C622" s="858"/>
      <c r="D622" s="858"/>
      <c r="E622" s="858"/>
      <c r="F622" s="858"/>
      <c r="G622" s="891" t="s">
        <v>812</v>
      </c>
      <c r="H622" s="890"/>
      <c r="I622" s="859"/>
      <c r="J622" s="875"/>
      <c r="K622" s="876"/>
      <c r="L622" s="877"/>
      <c r="M622" s="876"/>
      <c r="N622" s="876">
        <f t="shared" si="90"/>
        <v>0</v>
      </c>
      <c r="O622" s="878">
        <f t="shared" si="89"/>
        <v>0</v>
      </c>
      <c r="P622" s="879" t="e">
        <f t="shared" si="91"/>
        <v>#DIV/0!</v>
      </c>
      <c r="Q622" s="897"/>
      <c r="R622" s="422"/>
    </row>
    <row r="623" spans="1:18" s="189" customFormat="1">
      <c r="A623" s="889"/>
      <c r="B623" s="858"/>
      <c r="C623" s="858"/>
      <c r="D623" s="858"/>
      <c r="E623" s="858"/>
      <c r="F623" s="858"/>
      <c r="G623" s="891" t="s">
        <v>813</v>
      </c>
      <c r="H623" s="890"/>
      <c r="I623" s="859"/>
      <c r="J623" s="875"/>
      <c r="K623" s="876"/>
      <c r="L623" s="877"/>
      <c r="M623" s="876"/>
      <c r="N623" s="876">
        <f t="shared" si="90"/>
        <v>0</v>
      </c>
      <c r="O623" s="878">
        <f t="shared" si="89"/>
        <v>0</v>
      </c>
      <c r="P623" s="879" t="e">
        <f t="shared" si="91"/>
        <v>#DIV/0!</v>
      </c>
      <c r="Q623" s="897"/>
      <c r="R623" s="422"/>
    </row>
    <row r="624" spans="1:18" s="189" customFormat="1">
      <c r="A624" s="889"/>
      <c r="B624" s="858"/>
      <c r="C624" s="858"/>
      <c r="D624" s="858"/>
      <c r="E624" s="858"/>
      <c r="F624" s="858"/>
      <c r="G624" s="891" t="s">
        <v>814</v>
      </c>
      <c r="H624" s="890"/>
      <c r="I624" s="859"/>
      <c r="J624" s="875"/>
      <c r="K624" s="876"/>
      <c r="L624" s="877"/>
      <c r="M624" s="876"/>
      <c r="N624" s="876">
        <f t="shared" si="90"/>
        <v>0</v>
      </c>
      <c r="O624" s="878">
        <f t="shared" si="89"/>
        <v>0</v>
      </c>
      <c r="P624" s="879" t="e">
        <f t="shared" si="91"/>
        <v>#DIV/0!</v>
      </c>
      <c r="Q624" s="897"/>
      <c r="R624" s="422"/>
    </row>
    <row r="625" spans="1:18" s="189" customFormat="1">
      <c r="A625" s="889"/>
      <c r="B625" s="858"/>
      <c r="C625" s="858"/>
      <c r="D625" s="858"/>
      <c r="E625" s="858"/>
      <c r="F625" s="858"/>
      <c r="G625" s="891" t="s">
        <v>815</v>
      </c>
      <c r="H625" s="890"/>
      <c r="I625" s="859"/>
      <c r="J625" s="875"/>
      <c r="K625" s="876"/>
      <c r="L625" s="877"/>
      <c r="M625" s="876"/>
      <c r="N625" s="876">
        <f t="shared" si="90"/>
        <v>0</v>
      </c>
      <c r="O625" s="878">
        <f t="shared" si="89"/>
        <v>0</v>
      </c>
      <c r="P625" s="879" t="e">
        <f t="shared" si="91"/>
        <v>#DIV/0!</v>
      </c>
      <c r="Q625" s="897"/>
      <c r="R625" s="422"/>
    </row>
    <row r="626" spans="1:18" s="189" customFormat="1">
      <c r="A626" s="889"/>
      <c r="B626" s="858"/>
      <c r="C626" s="858"/>
      <c r="D626" s="858"/>
      <c r="E626" s="858"/>
      <c r="F626" s="858"/>
      <c r="G626" s="891" t="s">
        <v>50</v>
      </c>
      <c r="H626" s="892" t="s">
        <v>816</v>
      </c>
      <c r="I626" s="859"/>
      <c r="J626" s="875"/>
      <c r="K626" s="876"/>
      <c r="L626" s="877"/>
      <c r="M626" s="876"/>
      <c r="N626" s="876">
        <f t="shared" si="90"/>
        <v>0</v>
      </c>
      <c r="O626" s="878">
        <f t="shared" si="89"/>
        <v>0</v>
      </c>
      <c r="P626" s="879" t="e">
        <f t="shared" si="91"/>
        <v>#DIV/0!</v>
      </c>
      <c r="Q626" s="897"/>
      <c r="R626" s="422"/>
    </row>
    <row r="627" spans="1:18" s="189" customFormat="1">
      <c r="A627" s="889"/>
      <c r="B627" s="858"/>
      <c r="C627" s="858"/>
      <c r="D627" s="858"/>
      <c r="E627" s="858"/>
      <c r="F627" s="858"/>
      <c r="G627" s="891" t="s">
        <v>50</v>
      </c>
      <c r="H627" s="892" t="s">
        <v>817</v>
      </c>
      <c r="I627" s="859"/>
      <c r="J627" s="875"/>
      <c r="K627" s="876"/>
      <c r="L627" s="877"/>
      <c r="M627" s="876"/>
      <c r="N627" s="876">
        <f t="shared" si="90"/>
        <v>0</v>
      </c>
      <c r="O627" s="878">
        <f t="shared" si="89"/>
        <v>0</v>
      </c>
      <c r="P627" s="879" t="e">
        <f t="shared" si="91"/>
        <v>#DIV/0!</v>
      </c>
      <c r="Q627" s="897"/>
      <c r="R627" s="422"/>
    </row>
    <row r="628" spans="1:18" s="189" customFormat="1">
      <c r="A628" s="889"/>
      <c r="B628" s="858"/>
      <c r="C628" s="858"/>
      <c r="D628" s="858"/>
      <c r="E628" s="858"/>
      <c r="F628" s="858"/>
      <c r="G628" s="891" t="s">
        <v>818</v>
      </c>
      <c r="H628" s="890"/>
      <c r="I628" s="859"/>
      <c r="J628" s="875"/>
      <c r="K628" s="876"/>
      <c r="L628" s="877"/>
      <c r="M628" s="876"/>
      <c r="N628" s="876">
        <f t="shared" si="90"/>
        <v>0</v>
      </c>
      <c r="O628" s="878">
        <f t="shared" si="89"/>
        <v>0</v>
      </c>
      <c r="P628" s="879" t="e">
        <f t="shared" si="91"/>
        <v>#DIV/0!</v>
      </c>
      <c r="Q628" s="897"/>
      <c r="R628" s="422"/>
    </row>
    <row r="629" spans="1:18" s="189" customFormat="1">
      <c r="A629" s="889"/>
      <c r="B629" s="858"/>
      <c r="C629" s="858"/>
      <c r="D629" s="858"/>
      <c r="E629" s="858"/>
      <c r="F629" s="858"/>
      <c r="G629" s="891" t="s">
        <v>819</v>
      </c>
      <c r="H629" s="890"/>
      <c r="I629" s="859"/>
      <c r="J629" s="875"/>
      <c r="K629" s="876"/>
      <c r="L629" s="877"/>
      <c r="M629" s="876"/>
      <c r="N629" s="876">
        <f t="shared" si="90"/>
        <v>0</v>
      </c>
      <c r="O629" s="878">
        <f t="shared" si="89"/>
        <v>0</v>
      </c>
      <c r="P629" s="879" t="e">
        <f t="shared" si="91"/>
        <v>#DIV/0!</v>
      </c>
      <c r="Q629" s="897"/>
      <c r="R629" s="422"/>
    </row>
    <row r="630" spans="1:18" s="189" customFormat="1">
      <c r="A630" s="889"/>
      <c r="B630" s="858"/>
      <c r="C630" s="858"/>
      <c r="D630" s="858"/>
      <c r="E630" s="858"/>
      <c r="F630" s="858"/>
      <c r="G630" s="891" t="s">
        <v>820</v>
      </c>
      <c r="H630" s="890"/>
      <c r="I630" s="859"/>
      <c r="J630" s="875"/>
      <c r="K630" s="876"/>
      <c r="L630" s="877"/>
      <c r="M630" s="876"/>
      <c r="N630" s="876">
        <f t="shared" si="90"/>
        <v>0</v>
      </c>
      <c r="O630" s="878">
        <f t="shared" si="89"/>
        <v>0</v>
      </c>
      <c r="P630" s="879" t="e">
        <f t="shared" si="91"/>
        <v>#DIV/0!</v>
      </c>
      <c r="Q630" s="897"/>
      <c r="R630" s="422"/>
    </row>
    <row r="631" spans="1:18" s="189" customFormat="1">
      <c r="A631" s="889"/>
      <c r="B631" s="858"/>
      <c r="C631" s="858"/>
      <c r="D631" s="858"/>
      <c r="E631" s="858"/>
      <c r="F631" s="858"/>
      <c r="G631" s="891" t="s">
        <v>821</v>
      </c>
      <c r="H631" s="890"/>
      <c r="I631" s="859"/>
      <c r="J631" s="875"/>
      <c r="K631" s="876"/>
      <c r="L631" s="877"/>
      <c r="M631" s="876"/>
      <c r="N631" s="876">
        <f t="shared" si="90"/>
        <v>0</v>
      </c>
      <c r="O631" s="878">
        <f t="shared" si="89"/>
        <v>0</v>
      </c>
      <c r="P631" s="879" t="e">
        <f t="shared" si="91"/>
        <v>#DIV/0!</v>
      </c>
      <c r="Q631" s="897"/>
      <c r="R631" s="422"/>
    </row>
    <row r="632" spans="1:18" s="189" customFormat="1">
      <c r="A632" s="889"/>
      <c r="B632" s="858"/>
      <c r="C632" s="858"/>
      <c r="D632" s="858"/>
      <c r="E632" s="858"/>
      <c r="F632" s="858"/>
      <c r="G632" s="891" t="s">
        <v>822</v>
      </c>
      <c r="H632" s="890"/>
      <c r="I632" s="859"/>
      <c r="J632" s="875"/>
      <c r="K632" s="876"/>
      <c r="L632" s="877"/>
      <c r="M632" s="876"/>
      <c r="N632" s="876">
        <f t="shared" si="90"/>
        <v>0</v>
      </c>
      <c r="O632" s="878">
        <f t="shared" si="89"/>
        <v>0</v>
      </c>
      <c r="P632" s="879" t="e">
        <f t="shared" si="91"/>
        <v>#DIV/0!</v>
      </c>
      <c r="Q632" s="897"/>
      <c r="R632" s="422"/>
    </row>
    <row r="633" spans="1:18" s="189" customFormat="1">
      <c r="A633" s="889"/>
      <c r="B633" s="858"/>
      <c r="C633" s="858"/>
      <c r="D633" s="858"/>
      <c r="E633" s="858"/>
      <c r="F633" s="858"/>
      <c r="G633" s="891" t="s">
        <v>823</v>
      </c>
      <c r="H633" s="890"/>
      <c r="I633" s="859"/>
      <c r="J633" s="875"/>
      <c r="K633" s="876"/>
      <c r="L633" s="877"/>
      <c r="M633" s="876"/>
      <c r="N633" s="876">
        <f t="shared" si="90"/>
        <v>0</v>
      </c>
      <c r="O633" s="878">
        <f t="shared" si="89"/>
        <v>0</v>
      </c>
      <c r="P633" s="879" t="e">
        <f t="shared" si="91"/>
        <v>#DIV/0!</v>
      </c>
      <c r="Q633" s="897"/>
      <c r="R633" s="422"/>
    </row>
    <row r="634" spans="1:18" s="189" customFormat="1">
      <c r="A634" s="889"/>
      <c r="B634" s="858"/>
      <c r="C634" s="858"/>
      <c r="D634" s="858"/>
      <c r="E634" s="858"/>
      <c r="F634" s="858"/>
      <c r="G634" s="895"/>
      <c r="H634" s="896"/>
      <c r="I634" s="859"/>
      <c r="J634" s="875"/>
      <c r="K634" s="876"/>
      <c r="L634" s="877"/>
      <c r="M634" s="876"/>
      <c r="N634" s="876">
        <f t="shared" si="90"/>
        <v>0</v>
      </c>
      <c r="O634" s="878">
        <f t="shared" si="89"/>
        <v>0</v>
      </c>
      <c r="P634" s="879" t="e">
        <f t="shared" si="91"/>
        <v>#DIV/0!</v>
      </c>
      <c r="Q634" s="897"/>
      <c r="R634" s="422"/>
    </row>
    <row r="635" spans="1:18" s="189" customFormat="1">
      <c r="A635" s="889"/>
      <c r="B635" s="858"/>
      <c r="C635" s="858"/>
      <c r="D635" s="858"/>
      <c r="E635" s="858"/>
      <c r="F635" s="858"/>
      <c r="G635" s="893" t="s">
        <v>285</v>
      </c>
      <c r="H635" s="896"/>
      <c r="I635" s="859"/>
      <c r="J635" s="875"/>
      <c r="K635" s="876"/>
      <c r="L635" s="877"/>
      <c r="M635" s="876"/>
      <c r="N635" s="876">
        <f t="shared" si="90"/>
        <v>0</v>
      </c>
      <c r="O635" s="878">
        <f t="shared" si="89"/>
        <v>0</v>
      </c>
      <c r="P635" s="879" t="e">
        <f t="shared" si="91"/>
        <v>#DIV/0!</v>
      </c>
      <c r="Q635" s="897"/>
      <c r="R635" s="422"/>
    </row>
    <row r="636" spans="1:18" s="189" customFormat="1">
      <c r="A636" s="889"/>
      <c r="B636" s="858"/>
      <c r="C636" s="858"/>
      <c r="D636" s="858"/>
      <c r="E636" s="858"/>
      <c r="F636" s="858"/>
      <c r="G636" s="891" t="s">
        <v>824</v>
      </c>
      <c r="H636" s="890"/>
      <c r="I636" s="859"/>
      <c r="J636" s="875"/>
      <c r="K636" s="876"/>
      <c r="L636" s="877"/>
      <c r="M636" s="876"/>
      <c r="N636" s="876">
        <f t="shared" si="90"/>
        <v>0</v>
      </c>
      <c r="O636" s="878">
        <f t="shared" si="89"/>
        <v>0</v>
      </c>
      <c r="P636" s="879" t="e">
        <f t="shared" si="91"/>
        <v>#DIV/0!</v>
      </c>
      <c r="Q636" s="897"/>
      <c r="R636" s="422"/>
    </row>
    <row r="637" spans="1:18" s="189" customFormat="1">
      <c r="A637" s="889"/>
      <c r="B637" s="858"/>
      <c r="C637" s="858"/>
      <c r="D637" s="858"/>
      <c r="E637" s="858"/>
      <c r="F637" s="858"/>
      <c r="G637" s="891" t="s">
        <v>50</v>
      </c>
      <c r="H637" s="892" t="s">
        <v>615</v>
      </c>
      <c r="I637" s="859"/>
      <c r="J637" s="875"/>
      <c r="K637" s="876"/>
      <c r="L637" s="877"/>
      <c r="M637" s="876"/>
      <c r="N637" s="876">
        <f t="shared" si="90"/>
        <v>0</v>
      </c>
      <c r="O637" s="878">
        <f t="shared" si="89"/>
        <v>0</v>
      </c>
      <c r="P637" s="879" t="e">
        <f t="shared" si="91"/>
        <v>#DIV/0!</v>
      </c>
      <c r="Q637" s="897"/>
      <c r="R637" s="422"/>
    </row>
    <row r="638" spans="1:18" s="189" customFormat="1">
      <c r="A638" s="889"/>
      <c r="B638" s="858"/>
      <c r="C638" s="858"/>
      <c r="D638" s="858"/>
      <c r="E638" s="858"/>
      <c r="F638" s="858"/>
      <c r="G638" s="891" t="s">
        <v>50</v>
      </c>
      <c r="H638" s="892" t="s">
        <v>85</v>
      </c>
      <c r="I638" s="859"/>
      <c r="J638" s="875"/>
      <c r="K638" s="876"/>
      <c r="L638" s="877"/>
      <c r="M638" s="876"/>
      <c r="N638" s="876">
        <f t="shared" si="90"/>
        <v>0</v>
      </c>
      <c r="O638" s="878">
        <f t="shared" si="89"/>
        <v>0</v>
      </c>
      <c r="P638" s="879" t="e">
        <f t="shared" si="91"/>
        <v>#DIV/0!</v>
      </c>
      <c r="Q638" s="897"/>
      <c r="R638" s="422"/>
    </row>
    <row r="639" spans="1:18" s="189" customFormat="1">
      <c r="A639" s="889"/>
      <c r="B639" s="858"/>
      <c r="C639" s="858"/>
      <c r="D639" s="858"/>
      <c r="E639" s="858"/>
      <c r="F639" s="858"/>
      <c r="G639" s="891" t="s">
        <v>825</v>
      </c>
      <c r="H639" s="890"/>
      <c r="I639" s="859"/>
      <c r="J639" s="875"/>
      <c r="K639" s="876"/>
      <c r="L639" s="877"/>
      <c r="M639" s="876"/>
      <c r="N639" s="876">
        <f t="shared" si="90"/>
        <v>0</v>
      </c>
      <c r="O639" s="878">
        <f t="shared" si="89"/>
        <v>0</v>
      </c>
      <c r="P639" s="879" t="e">
        <f t="shared" si="91"/>
        <v>#DIV/0!</v>
      </c>
      <c r="Q639" s="897"/>
      <c r="R639" s="422"/>
    </row>
    <row r="640" spans="1:18" s="189" customFormat="1">
      <c r="A640" s="889"/>
      <c r="B640" s="858"/>
      <c r="C640" s="858"/>
      <c r="D640" s="858"/>
      <c r="E640" s="858"/>
      <c r="F640" s="858"/>
      <c r="G640" s="891" t="s">
        <v>50</v>
      </c>
      <c r="H640" s="892" t="s">
        <v>826</v>
      </c>
      <c r="I640" s="859"/>
      <c r="J640" s="875"/>
      <c r="K640" s="876"/>
      <c r="L640" s="877"/>
      <c r="M640" s="876"/>
      <c r="N640" s="876">
        <f t="shared" si="90"/>
        <v>0</v>
      </c>
      <c r="O640" s="878">
        <f t="shared" si="89"/>
        <v>0</v>
      </c>
      <c r="P640" s="879" t="e">
        <f t="shared" si="91"/>
        <v>#DIV/0!</v>
      </c>
      <c r="Q640" s="897"/>
      <c r="R640" s="422"/>
    </row>
    <row r="641" spans="1:18" s="189" customFormat="1">
      <c r="A641" s="898"/>
      <c r="B641" s="899"/>
      <c r="C641" s="899"/>
      <c r="D641" s="899"/>
      <c r="E641" s="899"/>
      <c r="F641" s="899"/>
      <c r="G641" s="890"/>
      <c r="H641" s="900"/>
      <c r="I641" s="900"/>
      <c r="J641" s="911"/>
      <c r="K641" s="912"/>
      <c r="L641" s="913"/>
      <c r="M641" s="912"/>
      <c r="N641" s="912"/>
      <c r="O641" s="914"/>
      <c r="P641" s="915"/>
      <c r="Q641" s="982"/>
      <c r="R641" s="422"/>
    </row>
    <row r="642" spans="1:18" s="189" customFormat="1" ht="16.45" customHeight="1">
      <c r="A642" s="901"/>
      <c r="B642" s="902" t="s">
        <v>58</v>
      </c>
      <c r="C642" s="902" t="s">
        <v>849</v>
      </c>
      <c r="D642" s="902" t="s">
        <v>451</v>
      </c>
      <c r="E642" s="902" t="s">
        <v>437</v>
      </c>
      <c r="F642" s="903"/>
      <c r="G642" s="904" t="s">
        <v>994</v>
      </c>
      <c r="H642" s="905"/>
      <c r="I642" s="905"/>
      <c r="J642" s="916"/>
      <c r="K642" s="917">
        <f>K643</f>
        <v>0</v>
      </c>
      <c r="L642" s="917">
        <f>L643</f>
        <v>0</v>
      </c>
      <c r="M642" s="917" t="e">
        <f>M643</f>
        <v>#REF!</v>
      </c>
      <c r="N642" s="917" t="e">
        <f>M642+L642</f>
        <v>#REF!</v>
      </c>
      <c r="O642" s="917" t="e">
        <f>N642-K642</f>
        <v>#REF!</v>
      </c>
      <c r="P642" s="918"/>
      <c r="Q642" s="983"/>
      <c r="R642" s="422"/>
    </row>
    <row r="643" spans="1:18" s="189" customFormat="1" ht="16.45" customHeight="1">
      <c r="A643" s="906"/>
      <c r="B643" s="287"/>
      <c r="C643" s="287"/>
      <c r="D643" s="287"/>
      <c r="E643" s="287"/>
      <c r="F643" s="287"/>
      <c r="G643" s="851" t="s">
        <v>50</v>
      </c>
      <c r="H643" s="410"/>
      <c r="I643" s="410" t="s">
        <v>995</v>
      </c>
      <c r="J643" s="389"/>
      <c r="K643" s="357">
        <f>'[57]TARGET MURNI DAN PERUBAHAN'!$E$338</f>
        <v>0</v>
      </c>
      <c r="L643" s="391">
        <f>[62]PerDinas!$N$584</f>
        <v>0</v>
      </c>
      <c r="M643" s="357" t="e">
        <f>[55]Perdinas!#REF!</f>
        <v>#REF!</v>
      </c>
      <c r="N643" s="357" t="e">
        <f>M643+L643</f>
        <v>#REF!</v>
      </c>
      <c r="O643" s="357" t="e">
        <f t="shared" si="89"/>
        <v>#REF!</v>
      </c>
      <c r="P643" s="358" t="e">
        <f>N643/K643*100</f>
        <v>#REF!</v>
      </c>
      <c r="Q643" s="442"/>
      <c r="R643" s="422"/>
    </row>
    <row r="644" spans="1:18" s="189" customFormat="1" ht="12.05" customHeight="1">
      <c r="A644" s="907"/>
      <c r="B644" s="469"/>
      <c r="C644" s="469"/>
      <c r="D644" s="469"/>
      <c r="E644" s="469"/>
      <c r="F644" s="469"/>
      <c r="G644" s="450"/>
      <c r="H644" s="245"/>
      <c r="I644" s="245"/>
      <c r="J644" s="482"/>
      <c r="K644" s="404"/>
      <c r="L644" s="404"/>
      <c r="M644" s="404"/>
      <c r="N644" s="404"/>
      <c r="O644" s="404"/>
      <c r="P644" s="483"/>
      <c r="Q644" s="456"/>
      <c r="R644" s="422"/>
    </row>
    <row r="645" spans="1:18" s="244" customFormat="1" ht="18" customHeight="1">
      <c r="A645" s="283" t="s">
        <v>300</v>
      </c>
      <c r="B645" s="284" t="s">
        <v>58</v>
      </c>
      <c r="C645" s="284" t="s">
        <v>849</v>
      </c>
      <c r="D645" s="284" t="s">
        <v>448</v>
      </c>
      <c r="E645" s="284"/>
      <c r="F645" s="284"/>
      <c r="G645" s="298" t="s">
        <v>828</v>
      </c>
      <c r="H645" s="298"/>
      <c r="I645" s="298"/>
      <c r="J645" s="336">
        <f>+J647</f>
        <v>750000000</v>
      </c>
      <c r="K645" s="337">
        <f>+K647</f>
        <v>800000000</v>
      </c>
      <c r="L645" s="337">
        <f>+L647</f>
        <v>400015000</v>
      </c>
      <c r="M645" s="337">
        <f>+M647</f>
        <v>36150000</v>
      </c>
      <c r="N645" s="337">
        <f>M645+L645</f>
        <v>436165000</v>
      </c>
      <c r="O645" s="337">
        <f>+N645-K645</f>
        <v>-363835000</v>
      </c>
      <c r="P645" s="919">
        <f>+N645/K645*100</f>
        <v>54.520625000000003</v>
      </c>
      <c r="Q645" s="432"/>
      <c r="R645" s="639"/>
    </row>
    <row r="646" spans="1:18" s="189" customFormat="1" ht="12.05" customHeight="1">
      <c r="A646" s="471"/>
      <c r="B646" s="287"/>
      <c r="C646" s="287"/>
      <c r="D646" s="287"/>
      <c r="E646" s="287"/>
      <c r="F646" s="287"/>
      <c r="G646" s="288"/>
      <c r="H646" s="288"/>
      <c r="I646" s="288"/>
      <c r="J646" s="385"/>
      <c r="K646" s="386"/>
      <c r="L646" s="386"/>
      <c r="M646" s="386"/>
      <c r="N646" s="386"/>
      <c r="O646" s="386"/>
      <c r="P646" s="341"/>
      <c r="Q646" s="453"/>
      <c r="R646" s="422"/>
    </row>
    <row r="647" spans="1:18" s="189" customFormat="1" ht="12.05" customHeight="1">
      <c r="A647" s="293"/>
      <c r="B647" s="290">
        <v>4</v>
      </c>
      <c r="C647" s="290">
        <v>1</v>
      </c>
      <c r="D647" s="290"/>
      <c r="E647" s="290"/>
      <c r="F647" s="290"/>
      <c r="G647" s="291" t="s">
        <v>180</v>
      </c>
      <c r="H647" s="291"/>
      <c r="I647" s="291"/>
      <c r="J647" s="342">
        <f>+J649+J653</f>
        <v>750000000</v>
      </c>
      <c r="K647" s="343">
        <f>+K649+K653</f>
        <v>800000000</v>
      </c>
      <c r="L647" s="343">
        <f>+L649+L653</f>
        <v>400015000</v>
      </c>
      <c r="M647" s="343">
        <f>+M649+M653</f>
        <v>36150000</v>
      </c>
      <c r="N647" s="343">
        <f>+M647+L647</f>
        <v>436165000</v>
      </c>
      <c r="O647" s="343">
        <f>N647-K647</f>
        <v>-363835000</v>
      </c>
      <c r="P647" s="344">
        <f>N647/K647*100</f>
        <v>54.520625000000003</v>
      </c>
      <c r="Q647" s="437"/>
      <c r="R647" s="422"/>
    </row>
    <row r="648" spans="1:18" s="189" customFormat="1" ht="12.05" customHeight="1">
      <c r="A648" s="293"/>
      <c r="B648" s="292"/>
      <c r="C648" s="292"/>
      <c r="D648" s="292"/>
      <c r="E648" s="292"/>
      <c r="F648" s="292"/>
      <c r="G648" s="253"/>
      <c r="H648" s="253"/>
      <c r="I648" s="291"/>
      <c r="J648" s="387"/>
      <c r="K648" s="367"/>
      <c r="L648" s="367"/>
      <c r="M648" s="367"/>
      <c r="N648" s="367"/>
      <c r="O648" s="367"/>
      <c r="P648" s="347"/>
      <c r="Q648" s="454"/>
      <c r="R648" s="422"/>
    </row>
    <row r="649" spans="1:18" s="189" customFormat="1" ht="12.05" customHeight="1">
      <c r="A649" s="293"/>
      <c r="B649" s="290">
        <v>4</v>
      </c>
      <c r="C649" s="290">
        <v>1</v>
      </c>
      <c r="D649" s="290">
        <v>2</v>
      </c>
      <c r="E649" s="290"/>
      <c r="F649" s="290"/>
      <c r="G649" s="291" t="s">
        <v>106</v>
      </c>
      <c r="H649" s="291"/>
      <c r="I649" s="291"/>
      <c r="J649" s="348">
        <f t="shared" ref="J649:M650" si="92">+J650</f>
        <v>750000000</v>
      </c>
      <c r="K649" s="349">
        <f t="shared" si="92"/>
        <v>800000000</v>
      </c>
      <c r="L649" s="349">
        <f t="shared" si="92"/>
        <v>400015000</v>
      </c>
      <c r="M649" s="349">
        <f t="shared" si="92"/>
        <v>36150000</v>
      </c>
      <c r="N649" s="349">
        <f>+M649+L649</f>
        <v>436165000</v>
      </c>
      <c r="O649" s="349">
        <f>N649-K649</f>
        <v>-363835000</v>
      </c>
      <c r="P649" s="350">
        <f>N649/K649*100</f>
        <v>54.520625000000003</v>
      </c>
      <c r="Q649" s="439"/>
      <c r="R649" s="422"/>
    </row>
    <row r="650" spans="1:18" s="189" customFormat="1" ht="12.05" customHeight="1">
      <c r="A650" s="471"/>
      <c r="B650" s="287">
        <v>4</v>
      </c>
      <c r="C650" s="287">
        <v>1</v>
      </c>
      <c r="D650" s="287">
        <v>2</v>
      </c>
      <c r="E650" s="287" t="s">
        <v>438</v>
      </c>
      <c r="F650" s="287"/>
      <c r="G650" s="410" t="s">
        <v>374</v>
      </c>
      <c r="H650" s="410"/>
      <c r="I650" s="410"/>
      <c r="J650" s="484">
        <f t="shared" si="92"/>
        <v>750000000</v>
      </c>
      <c r="K650" s="485">
        <f t="shared" si="92"/>
        <v>800000000</v>
      </c>
      <c r="L650" s="485">
        <f t="shared" si="92"/>
        <v>400015000</v>
      </c>
      <c r="M650" s="485">
        <f t="shared" si="92"/>
        <v>36150000</v>
      </c>
      <c r="N650" s="412">
        <f>+M650+L650</f>
        <v>436165000</v>
      </c>
      <c r="O650" s="412">
        <f>N650-K650</f>
        <v>-363835000</v>
      </c>
      <c r="P650" s="487">
        <f>N650/K650*100</f>
        <v>54.520625000000003</v>
      </c>
      <c r="Q650" s="984"/>
      <c r="R650" s="422"/>
    </row>
    <row r="651" spans="1:18" s="189" customFormat="1" ht="12.05" customHeight="1">
      <c r="A651" s="293"/>
      <c r="B651" s="292">
        <v>4</v>
      </c>
      <c r="C651" s="292">
        <v>1</v>
      </c>
      <c r="D651" s="292">
        <v>2</v>
      </c>
      <c r="E651" s="292" t="s">
        <v>438</v>
      </c>
      <c r="F651" s="292" t="s">
        <v>440</v>
      </c>
      <c r="G651" s="253" t="s">
        <v>304</v>
      </c>
      <c r="H651" s="253"/>
      <c r="I651" s="253"/>
      <c r="J651" s="679">
        <v>750000000</v>
      </c>
      <c r="K651" s="874">
        <f>'[57]TARGET MURNI DAN PERUBAHAN'!$E$342</f>
        <v>800000000</v>
      </c>
      <c r="L651" s="692">
        <f>[62]PerDinas!$N$592</f>
        <v>400015000</v>
      </c>
      <c r="M651" s="874">
        <f>[55]Perdinas!$E$431</f>
        <v>36150000</v>
      </c>
      <c r="N651" s="361">
        <f t="shared" ref="N651:N656" si="93">M651+L651</f>
        <v>436165000</v>
      </c>
      <c r="O651" s="334">
        <f>N651-K651</f>
        <v>-363835000</v>
      </c>
      <c r="P651" s="335">
        <f>N651/K651*100</f>
        <v>54.520625000000003</v>
      </c>
      <c r="Q651" s="985"/>
      <c r="R651" s="431"/>
    </row>
    <row r="652" spans="1:18" s="189" customFormat="1" ht="12.05" customHeight="1">
      <c r="A652" s="293"/>
      <c r="B652" s="292"/>
      <c r="C652" s="292"/>
      <c r="D652" s="292"/>
      <c r="E652" s="292"/>
      <c r="F652" s="292"/>
      <c r="G652" s="253"/>
      <c r="H652" s="253"/>
      <c r="I652" s="253"/>
      <c r="J652" s="374"/>
      <c r="K652" s="375"/>
      <c r="L652" s="377"/>
      <c r="M652" s="375"/>
      <c r="N652" s="355"/>
      <c r="O652" s="355"/>
      <c r="P652" s="388"/>
      <c r="Q652" s="986"/>
      <c r="R652" s="422"/>
    </row>
    <row r="653" spans="1:18" s="189" customFormat="1" ht="12.05" customHeight="1">
      <c r="A653" s="293"/>
      <c r="B653" s="290">
        <v>4</v>
      </c>
      <c r="C653" s="290">
        <v>1</v>
      </c>
      <c r="D653" s="290">
        <v>4</v>
      </c>
      <c r="E653" s="290"/>
      <c r="F653" s="290"/>
      <c r="G653" s="291" t="s">
        <v>71</v>
      </c>
      <c r="H653" s="291"/>
      <c r="I653" s="291"/>
      <c r="J653" s="601">
        <f>+J654</f>
        <v>0</v>
      </c>
      <c r="K653" s="602">
        <f>+K654</f>
        <v>0</v>
      </c>
      <c r="L653" s="602">
        <f>+L654</f>
        <v>0</v>
      </c>
      <c r="M653" s="602">
        <f>+M654</f>
        <v>0</v>
      </c>
      <c r="N653" s="602">
        <f>+N654</f>
        <v>0</v>
      </c>
      <c r="O653" s="349">
        <f>N653-K653</f>
        <v>0</v>
      </c>
      <c r="P653" s="350"/>
      <c r="Q653" s="640"/>
      <c r="R653" s="422"/>
    </row>
    <row r="654" spans="1:18" s="189" customFormat="1" ht="12.05" customHeight="1">
      <c r="A654" s="293"/>
      <c r="B654" s="292">
        <v>4</v>
      </c>
      <c r="C654" s="292">
        <v>1</v>
      </c>
      <c r="D654" s="292">
        <v>4</v>
      </c>
      <c r="E654" s="292" t="s">
        <v>948</v>
      </c>
      <c r="F654" s="292"/>
      <c r="G654" s="253" t="s">
        <v>321</v>
      </c>
      <c r="H654" s="253"/>
      <c r="I654" s="253"/>
      <c r="J654" s="920">
        <f>+J655</f>
        <v>0</v>
      </c>
      <c r="K654" s="921">
        <f>+K655</f>
        <v>0</v>
      </c>
      <c r="L654" s="922">
        <f>+L655+L656</f>
        <v>0</v>
      </c>
      <c r="M654" s="922">
        <f>+M655+M656</f>
        <v>0</v>
      </c>
      <c r="N654" s="509">
        <f>+M654+L654</f>
        <v>0</v>
      </c>
      <c r="O654" s="509">
        <f>N654-K654</f>
        <v>0</v>
      </c>
      <c r="P654" s="585"/>
      <c r="Q654" s="987"/>
      <c r="R654" s="422"/>
    </row>
    <row r="655" spans="1:18" s="189" customFormat="1" ht="12.05" customHeight="1">
      <c r="A655" s="293"/>
      <c r="B655" s="292">
        <v>4</v>
      </c>
      <c r="C655" s="292">
        <v>1</v>
      </c>
      <c r="D655" s="292">
        <v>4</v>
      </c>
      <c r="E655" s="292" t="s">
        <v>948</v>
      </c>
      <c r="F655" s="292" t="s">
        <v>437</v>
      </c>
      <c r="G655" s="253" t="s">
        <v>50</v>
      </c>
      <c r="H655" s="253"/>
      <c r="I655" s="253" t="s">
        <v>471</v>
      </c>
      <c r="J655" s="688">
        <v>0</v>
      </c>
      <c r="K655" s="496">
        <f>'[57]TARGET MURNI DAN PERUBAHAN'!$E$345</f>
        <v>0</v>
      </c>
      <c r="L655" s="375">
        <f>[62]PerDinas!$N$596</f>
        <v>0</v>
      </c>
      <c r="M655" s="375">
        <f>[55]Perdinas!$E$437</f>
        <v>0</v>
      </c>
      <c r="N655" s="355">
        <f t="shared" si="93"/>
        <v>0</v>
      </c>
      <c r="O655" s="355">
        <f>N655-K655</f>
        <v>0</v>
      </c>
      <c r="P655" s="388"/>
      <c r="Q655" s="448"/>
      <c r="R655" s="422"/>
    </row>
    <row r="656" spans="1:18" s="189" customFormat="1" ht="12.05" customHeight="1">
      <c r="A656" s="293"/>
      <c r="B656" s="292" t="s">
        <v>443</v>
      </c>
      <c r="C656" s="292" t="s">
        <v>58</v>
      </c>
      <c r="D656" s="292" t="s">
        <v>443</v>
      </c>
      <c r="E656" s="292" t="s">
        <v>948</v>
      </c>
      <c r="F656" s="292" t="s">
        <v>441</v>
      </c>
      <c r="G656" s="253" t="s">
        <v>50</v>
      </c>
      <c r="H656" s="253"/>
      <c r="I656" s="253" t="s">
        <v>76</v>
      </c>
      <c r="J656" s="708"/>
      <c r="K656" s="709">
        <f>'[57]TARGET MURNI DAN PERUBAHAN'!$E$346</f>
        <v>0</v>
      </c>
      <c r="L656" s="375">
        <f>[62]PerDinas!$N$597</f>
        <v>0</v>
      </c>
      <c r="M656" s="375">
        <f>[55]Perdinas!$E$438</f>
        <v>0</v>
      </c>
      <c r="N656" s="355">
        <f t="shared" si="93"/>
        <v>0</v>
      </c>
      <c r="O656" s="355">
        <f>N656-K656</f>
        <v>0</v>
      </c>
      <c r="P656" s="388"/>
      <c r="Q656" s="5880"/>
      <c r="R656" s="422"/>
    </row>
    <row r="657" spans="1:19" s="245" customFormat="1" ht="12.05" customHeight="1">
      <c r="A657" s="472"/>
      <c r="B657" s="305"/>
      <c r="C657" s="305"/>
      <c r="D657" s="305"/>
      <c r="E657" s="305"/>
      <c r="F657" s="305"/>
      <c r="G657" s="306"/>
      <c r="H657" s="306"/>
      <c r="I657" s="306"/>
      <c r="J657" s="499"/>
      <c r="K657" s="379"/>
      <c r="L657" s="379"/>
      <c r="M657" s="379"/>
      <c r="N657" s="380"/>
      <c r="O657" s="380"/>
      <c r="P657" s="501"/>
      <c r="Q657" s="5898"/>
      <c r="R657" s="450"/>
    </row>
    <row r="658" spans="1:19" s="244" customFormat="1" ht="15.05">
      <c r="A658" s="283" t="s">
        <v>302</v>
      </c>
      <c r="B658" s="284" t="s">
        <v>58</v>
      </c>
      <c r="C658" s="284" t="s">
        <v>849</v>
      </c>
      <c r="D658" s="284" t="s">
        <v>969</v>
      </c>
      <c r="E658" s="284"/>
      <c r="F658" s="284"/>
      <c r="G658" s="5907" t="s">
        <v>830</v>
      </c>
      <c r="H658" s="5908"/>
      <c r="I658" s="5909"/>
      <c r="J658" s="336">
        <f>+J659</f>
        <v>34635781700</v>
      </c>
      <c r="K658" s="337">
        <f>+K659</f>
        <v>28862006200</v>
      </c>
      <c r="L658" s="923">
        <f>+L659</f>
        <v>19178375583.5</v>
      </c>
      <c r="M658" s="923">
        <f>+M659</f>
        <v>1635856737</v>
      </c>
      <c r="N658" s="923">
        <f t="shared" ref="N658:N663" si="94">M658+L658</f>
        <v>20814232320.5</v>
      </c>
      <c r="O658" s="923">
        <f>+N658-K658</f>
        <v>-8047773879.5</v>
      </c>
      <c r="P658" s="924">
        <f>+N658/K658*100</f>
        <v>72.116373949431136</v>
      </c>
      <c r="Q658" s="988"/>
      <c r="R658" s="788"/>
    </row>
    <row r="659" spans="1:19" s="189" customFormat="1" ht="14.1" customHeight="1">
      <c r="A659" s="706"/>
      <c r="B659" s="707">
        <v>4</v>
      </c>
      <c r="C659" s="707">
        <v>1</v>
      </c>
      <c r="D659" s="707"/>
      <c r="E659" s="707"/>
      <c r="F659" s="707"/>
      <c r="G659" s="288" t="s">
        <v>180</v>
      </c>
      <c r="H659" s="288"/>
      <c r="I659" s="288"/>
      <c r="J659" s="348">
        <f>J665</f>
        <v>34635781700</v>
      </c>
      <c r="K659" s="349">
        <f>K665+K661</f>
        <v>28862006200</v>
      </c>
      <c r="L659" s="925">
        <f>L665+L661</f>
        <v>19178375583.5</v>
      </c>
      <c r="M659" s="925">
        <f>M665+M661</f>
        <v>1635856737</v>
      </c>
      <c r="N659" s="925">
        <f>+M659+L659</f>
        <v>20814232320.5</v>
      </c>
      <c r="O659" s="925">
        <f>N659-K659</f>
        <v>-8047773879.5</v>
      </c>
      <c r="P659" s="926">
        <f>N659/K659*100</f>
        <v>72.116373949431136</v>
      </c>
      <c r="Q659" s="439"/>
      <c r="R659" s="422"/>
    </row>
    <row r="660" spans="1:19" s="189" customFormat="1" ht="14.1" customHeight="1">
      <c r="A660" s="706"/>
      <c r="B660" s="707"/>
      <c r="C660" s="707"/>
      <c r="D660" s="707"/>
      <c r="E660" s="707"/>
      <c r="F660" s="707"/>
      <c r="G660" s="288"/>
      <c r="H660" s="288"/>
      <c r="I660" s="288"/>
      <c r="J660" s="342"/>
      <c r="K660" s="343"/>
      <c r="L660" s="927"/>
      <c r="M660" s="927"/>
      <c r="N660" s="927"/>
      <c r="O660" s="927"/>
      <c r="P660" s="928"/>
      <c r="Q660" s="437"/>
      <c r="R660" s="422"/>
    </row>
    <row r="661" spans="1:19" s="189" customFormat="1" ht="14.1" customHeight="1">
      <c r="A661" s="706"/>
      <c r="B661" s="292">
        <v>4</v>
      </c>
      <c r="C661" s="292">
        <v>1</v>
      </c>
      <c r="D661" s="292">
        <v>4</v>
      </c>
      <c r="E661" s="292" t="s">
        <v>948</v>
      </c>
      <c r="F661" s="292"/>
      <c r="G661" s="288" t="s">
        <v>71</v>
      </c>
      <c r="H661" s="288"/>
      <c r="I661" s="288"/>
      <c r="J661" s="342"/>
      <c r="K661" s="343">
        <f t="shared" ref="K661:M662" si="95">K662</f>
        <v>1500000000</v>
      </c>
      <c r="L661" s="927">
        <f t="shared" si="95"/>
        <v>1382176070</v>
      </c>
      <c r="M661" s="927">
        <f t="shared" si="95"/>
        <v>0</v>
      </c>
      <c r="N661" s="929">
        <f t="shared" si="94"/>
        <v>1382176070</v>
      </c>
      <c r="O661" s="930">
        <f>N661-K661</f>
        <v>-117823930</v>
      </c>
      <c r="P661" s="931">
        <f>N661/K661*100</f>
        <v>92.145071333333334</v>
      </c>
      <c r="Q661" s="437"/>
      <c r="R661" s="422"/>
    </row>
    <row r="662" spans="1:19" s="189" customFormat="1" ht="14.1" customHeight="1">
      <c r="A662" s="706"/>
      <c r="B662" s="292">
        <v>4</v>
      </c>
      <c r="C662" s="292">
        <v>1</v>
      </c>
      <c r="D662" s="292">
        <v>4</v>
      </c>
      <c r="E662" s="292" t="s">
        <v>948</v>
      </c>
      <c r="F662" s="292"/>
      <c r="G662" s="288" t="s">
        <v>996</v>
      </c>
      <c r="H662" s="288"/>
      <c r="I662" s="288"/>
      <c r="J662" s="342"/>
      <c r="K662" s="343">
        <f t="shared" si="95"/>
        <v>1500000000</v>
      </c>
      <c r="L662" s="927">
        <f t="shared" si="95"/>
        <v>1382176070</v>
      </c>
      <c r="M662" s="927">
        <f t="shared" si="95"/>
        <v>0</v>
      </c>
      <c r="N662" s="929">
        <f t="shared" si="94"/>
        <v>1382176070</v>
      </c>
      <c r="O662" s="930">
        <f>N662-K662</f>
        <v>-117823930</v>
      </c>
      <c r="P662" s="931">
        <f>N662/K662*100</f>
        <v>92.145071333333334</v>
      </c>
      <c r="Q662" s="437"/>
      <c r="R662" s="422"/>
    </row>
    <row r="663" spans="1:19" s="254" customFormat="1" ht="14.1" customHeight="1">
      <c r="A663" s="303"/>
      <c r="B663" s="292">
        <v>4</v>
      </c>
      <c r="C663" s="292">
        <v>1</v>
      </c>
      <c r="D663" s="292">
        <v>4</v>
      </c>
      <c r="E663" s="292" t="s">
        <v>948</v>
      </c>
      <c r="F663" s="292"/>
      <c r="G663" s="2761" t="s">
        <v>50</v>
      </c>
      <c r="H663" s="5867" t="s">
        <v>997</v>
      </c>
      <c r="I663" s="5868"/>
      <c r="J663" s="397">
        <v>0</v>
      </c>
      <c r="K663" s="932">
        <f>'[57]TARGET MURNI DAN PERUBAHAN'!$E$390</f>
        <v>1500000000</v>
      </c>
      <c r="L663" s="932">
        <f>[62]PerDinas!$N$604</f>
        <v>1382176070</v>
      </c>
      <c r="M663" s="932">
        <f>[55]Perdinas!$E$483</f>
        <v>0</v>
      </c>
      <c r="N663" s="933">
        <f t="shared" si="94"/>
        <v>1382176070</v>
      </c>
      <c r="O663" s="934">
        <f>N663-K663</f>
        <v>-117823930</v>
      </c>
      <c r="P663" s="931">
        <f>N663/K663*100</f>
        <v>92.145071333333334</v>
      </c>
      <c r="Q663" s="989"/>
      <c r="R663" s="990"/>
    </row>
    <row r="664" spans="1:19" s="189" customFormat="1" ht="14.1" customHeight="1">
      <c r="A664" s="293"/>
      <c r="B664" s="292"/>
      <c r="C664" s="292"/>
      <c r="D664" s="292"/>
      <c r="E664" s="292"/>
      <c r="F664" s="292"/>
      <c r="G664" s="253"/>
      <c r="H664" s="253"/>
      <c r="I664" s="253"/>
      <c r="J664" s="494"/>
      <c r="K664" s="495"/>
      <c r="L664" s="935"/>
      <c r="M664" s="935"/>
      <c r="N664" s="935"/>
      <c r="O664" s="935"/>
      <c r="P664" s="936"/>
      <c r="Q664" s="548"/>
      <c r="R664" s="422"/>
    </row>
    <row r="665" spans="1:19" s="254" customFormat="1" ht="14.1" customHeight="1">
      <c r="A665" s="303"/>
      <c r="B665" s="290">
        <v>4</v>
      </c>
      <c r="C665" s="290">
        <v>1</v>
      </c>
      <c r="D665" s="290">
        <v>4</v>
      </c>
      <c r="E665" s="290"/>
      <c r="F665" s="290"/>
      <c r="G665" s="291" t="s">
        <v>71</v>
      </c>
      <c r="H665" s="291"/>
      <c r="I665" s="291"/>
      <c r="J665" s="601">
        <f>+J669+J690+J704</f>
        <v>34635781700</v>
      </c>
      <c r="K665" s="602">
        <f>+K669+K690+K704+K666</f>
        <v>27362006200</v>
      </c>
      <c r="L665" s="937">
        <f>+L669+L690+L704+L666</f>
        <v>17796199513.5</v>
      </c>
      <c r="M665" s="937">
        <f>+M669+M690+M704+M666</f>
        <v>1635856737</v>
      </c>
      <c r="N665" s="937">
        <f>+N669+N690+N704+N666</f>
        <v>19432056250.5</v>
      </c>
      <c r="O665" s="925">
        <f t="shared" ref="O665:O701" si="96">N665-K665</f>
        <v>-7929949949.5</v>
      </c>
      <c r="P665" s="926">
        <f t="shared" ref="P665:P689" si="97">N665/K665*100</f>
        <v>71.018389910678408</v>
      </c>
      <c r="Q665" s="640"/>
      <c r="R665" s="990"/>
    </row>
    <row r="666" spans="1:19" s="254" customFormat="1" ht="14.1" customHeight="1">
      <c r="A666" s="303"/>
      <c r="B666" s="292">
        <v>4</v>
      </c>
      <c r="C666" s="292">
        <v>1</v>
      </c>
      <c r="D666" s="292">
        <v>4</v>
      </c>
      <c r="E666" s="292" t="s">
        <v>441</v>
      </c>
      <c r="F666" s="292"/>
      <c r="G666" s="253" t="s">
        <v>557</v>
      </c>
      <c r="H666" s="291"/>
      <c r="I666" s="291"/>
      <c r="J666" s="603"/>
      <c r="K666" s="604">
        <f t="shared" ref="K666:P666" si="98">K667</f>
        <v>0</v>
      </c>
      <c r="L666" s="938">
        <f t="shared" si="98"/>
        <v>0</v>
      </c>
      <c r="M666" s="939">
        <f t="shared" si="98"/>
        <v>0</v>
      </c>
      <c r="N666" s="939">
        <f t="shared" si="98"/>
        <v>0</v>
      </c>
      <c r="O666" s="939">
        <f t="shared" si="98"/>
        <v>0</v>
      </c>
      <c r="P666" s="940">
        <f t="shared" si="98"/>
        <v>0</v>
      </c>
      <c r="Q666" s="641"/>
      <c r="R666" s="990"/>
    </row>
    <row r="667" spans="1:19" s="254" customFormat="1" ht="14.1" customHeight="1">
      <c r="A667" s="303"/>
      <c r="B667" s="292">
        <v>4</v>
      </c>
      <c r="C667" s="292">
        <v>1</v>
      </c>
      <c r="D667" s="292">
        <v>4</v>
      </c>
      <c r="E667" s="292" t="s">
        <v>441</v>
      </c>
      <c r="F667" s="292" t="s">
        <v>437</v>
      </c>
      <c r="G667" s="253" t="s">
        <v>72</v>
      </c>
      <c r="H667" s="291"/>
      <c r="I667" s="291"/>
      <c r="J667" s="603"/>
      <c r="K667" s="495">
        <f>'[57]TARGET MURNI DAN PERUBAHAN'!$E$403</f>
        <v>0</v>
      </c>
      <c r="L667" s="941">
        <f>[62]PerDinas!$N$608</f>
        <v>0</v>
      </c>
      <c r="M667" s="935">
        <f>[55]Perdinas!$E$466</f>
        <v>0</v>
      </c>
      <c r="N667" s="935">
        <f>M667+L667</f>
        <v>0</v>
      </c>
      <c r="O667" s="942">
        <f>N667-K667</f>
        <v>0</v>
      </c>
      <c r="P667" s="928"/>
      <c r="Q667" s="548"/>
      <c r="R667" s="990"/>
    </row>
    <row r="668" spans="1:19" s="254" customFormat="1" ht="14.1" customHeight="1">
      <c r="A668" s="303"/>
      <c r="B668" s="290"/>
      <c r="C668" s="290"/>
      <c r="D668" s="290"/>
      <c r="E668" s="290"/>
      <c r="F668" s="290"/>
      <c r="G668" s="291"/>
      <c r="H668" s="291"/>
      <c r="I668" s="291"/>
      <c r="J668" s="603"/>
      <c r="K668" s="604"/>
      <c r="L668" s="938"/>
      <c r="M668" s="939"/>
      <c r="N668" s="939"/>
      <c r="O668" s="927"/>
      <c r="P668" s="928"/>
      <c r="Q668" s="641"/>
      <c r="R668" s="990"/>
    </row>
    <row r="669" spans="1:19" s="254" customFormat="1" ht="14.1" customHeight="1">
      <c r="A669" s="303"/>
      <c r="B669" s="292">
        <v>4</v>
      </c>
      <c r="C669" s="292">
        <v>1</v>
      </c>
      <c r="D669" s="292">
        <v>4</v>
      </c>
      <c r="E669" s="292" t="s">
        <v>456</v>
      </c>
      <c r="F669" s="292"/>
      <c r="G669" s="253" t="s">
        <v>307</v>
      </c>
      <c r="H669" s="253"/>
      <c r="I669" s="253"/>
      <c r="J669" s="678">
        <f>+J670+J680</f>
        <v>10708903900</v>
      </c>
      <c r="K669" s="490">
        <f>+K670+K680</f>
        <v>24238987800</v>
      </c>
      <c r="L669" s="943">
        <f>+L670+L680</f>
        <v>14942098989.5</v>
      </c>
      <c r="M669" s="944">
        <f>+M670+M680</f>
        <v>1629556737</v>
      </c>
      <c r="N669" s="944">
        <f>+N670+N680</f>
        <v>16571655726.5</v>
      </c>
      <c r="O669" s="945">
        <f t="shared" si="96"/>
        <v>-7667332073.5</v>
      </c>
      <c r="P669" s="946">
        <f t="shared" si="97"/>
        <v>68.367771225578977</v>
      </c>
      <c r="Q669" s="647"/>
      <c r="R669" s="990"/>
    </row>
    <row r="670" spans="1:19" s="255" customFormat="1" ht="14.1" customHeight="1">
      <c r="A670" s="303"/>
      <c r="B670" s="908">
        <v>4</v>
      </c>
      <c r="C670" s="908">
        <v>1</v>
      </c>
      <c r="D670" s="908">
        <v>4</v>
      </c>
      <c r="E670" s="908" t="s">
        <v>456</v>
      </c>
      <c r="F670" s="908" t="s">
        <v>437</v>
      </c>
      <c r="G670" s="909" t="s">
        <v>309</v>
      </c>
      <c r="H670" s="909"/>
      <c r="I670" s="909"/>
      <c r="J670" s="947">
        <f>SUM(J671:J679)</f>
        <v>10552554700</v>
      </c>
      <c r="K670" s="948">
        <f>SUM(K671:K679)</f>
        <v>24138987800</v>
      </c>
      <c r="L670" s="949">
        <f>SUM(L671:L679)</f>
        <v>14710656092.700001</v>
      </c>
      <c r="M670" s="950">
        <f>SUM(M671:M679)</f>
        <v>1574913460</v>
      </c>
      <c r="N670" s="951">
        <f>M670+L670</f>
        <v>16285569552.700001</v>
      </c>
      <c r="O670" s="951">
        <f t="shared" si="96"/>
        <v>-7853418247.2999992</v>
      </c>
      <c r="P670" s="952">
        <f t="shared" si="97"/>
        <v>67.4658344733908</v>
      </c>
      <c r="Q670" s="991"/>
      <c r="R670" s="992"/>
      <c r="S670" s="993"/>
    </row>
    <row r="671" spans="1:19" s="254" customFormat="1" ht="14.1" customHeight="1">
      <c r="A671" s="303"/>
      <c r="B671" s="292"/>
      <c r="C671" s="292"/>
      <c r="D671" s="292"/>
      <c r="E671" s="292"/>
      <c r="F671" s="292"/>
      <c r="G671" s="253">
        <v>1</v>
      </c>
      <c r="H671" s="842"/>
      <c r="I671" s="253" t="s">
        <v>310</v>
      </c>
      <c r="J671" s="354">
        <v>3667244553</v>
      </c>
      <c r="K671" s="932">
        <f>'[57]TARGET MURNI DAN PERUBAHAN'!$E$354</f>
        <v>24138987800</v>
      </c>
      <c r="L671" s="953">
        <f>[62]PerDinas!$N$612</f>
        <v>4542824734</v>
      </c>
      <c r="M671" s="932">
        <f>[55]Perdinas!$E$446</f>
        <v>443861406</v>
      </c>
      <c r="N671" s="954">
        <f t="shared" ref="N671:N679" si="99">M671+L671</f>
        <v>4986686140</v>
      </c>
      <c r="O671" s="934">
        <f t="shared" si="96"/>
        <v>-19152301660</v>
      </c>
      <c r="P671" s="955">
        <f t="shared" si="97"/>
        <v>20.658223871342276</v>
      </c>
      <c r="Q671" s="994"/>
      <c r="R671" s="995"/>
    </row>
    <row r="672" spans="1:19" s="254" customFormat="1" ht="14.1" customHeight="1">
      <c r="A672" s="303"/>
      <c r="B672" s="292"/>
      <c r="C672" s="292"/>
      <c r="D672" s="292"/>
      <c r="E672" s="292"/>
      <c r="F672" s="292"/>
      <c r="G672" s="253">
        <v>2</v>
      </c>
      <c r="H672" s="842"/>
      <c r="I672" s="253" t="s">
        <v>311</v>
      </c>
      <c r="J672" s="354">
        <v>1312341769</v>
      </c>
      <c r="K672" s="932">
        <f>'[57]TARGET MURNI DAN PERUBAHAN'!$E$355</f>
        <v>0</v>
      </c>
      <c r="L672" s="953">
        <f>[62]PerDinas!$N$613</f>
        <v>2109524088</v>
      </c>
      <c r="M672" s="932">
        <f>[55]Perdinas!$E$447</f>
        <v>193258575</v>
      </c>
      <c r="N672" s="954">
        <f t="shared" si="99"/>
        <v>2302782663</v>
      </c>
      <c r="O672" s="934">
        <f t="shared" si="96"/>
        <v>2302782663</v>
      </c>
      <c r="P672" s="955" t="e">
        <f t="shared" si="97"/>
        <v>#DIV/0!</v>
      </c>
      <c r="Q672" s="448"/>
      <c r="R672" s="990"/>
    </row>
    <row r="673" spans="1:18" s="254" customFormat="1" ht="14.1" customHeight="1">
      <c r="A673" s="303"/>
      <c r="B673" s="292"/>
      <c r="C673" s="292"/>
      <c r="D673" s="292"/>
      <c r="E673" s="292"/>
      <c r="F673" s="292"/>
      <c r="G673" s="253">
        <v>3</v>
      </c>
      <c r="H673" s="842"/>
      <c r="I673" s="253" t="s">
        <v>312</v>
      </c>
      <c r="J673" s="354">
        <v>1709560379</v>
      </c>
      <c r="K673" s="932">
        <f>'[57]TARGET MURNI DAN PERUBAHAN'!$E$356</f>
        <v>0</v>
      </c>
      <c r="L673" s="953">
        <f>[62]PerDinas!$N$614</f>
        <v>2427740986</v>
      </c>
      <c r="M673" s="932">
        <f>[55]Perdinas!$E$448</f>
        <v>247579964</v>
      </c>
      <c r="N673" s="954">
        <f t="shared" si="99"/>
        <v>2675320950</v>
      </c>
      <c r="O673" s="934">
        <f t="shared" si="96"/>
        <v>2675320950</v>
      </c>
      <c r="P673" s="955" t="e">
        <f t="shared" si="97"/>
        <v>#DIV/0!</v>
      </c>
      <c r="Q673" s="448"/>
      <c r="R673" s="990"/>
    </row>
    <row r="674" spans="1:18" s="254" customFormat="1" ht="14.1" customHeight="1">
      <c r="A674" s="303"/>
      <c r="B674" s="292"/>
      <c r="C674" s="292"/>
      <c r="D674" s="292"/>
      <c r="E674" s="292"/>
      <c r="F674" s="292"/>
      <c r="G674" s="253">
        <v>4</v>
      </c>
      <c r="H674" s="842"/>
      <c r="I674" s="253" t="s">
        <v>313</v>
      </c>
      <c r="J674" s="354">
        <v>839251662</v>
      </c>
      <c r="K674" s="932">
        <f>'[57]TARGET MURNI DAN PERUBAHAN'!$E$357</f>
        <v>0</v>
      </c>
      <c r="L674" s="953">
        <f>[62]PerDinas!$N$615</f>
        <v>1308652085</v>
      </c>
      <c r="M674" s="932">
        <f>[55]Perdinas!$E$449</f>
        <v>90850585</v>
      </c>
      <c r="N674" s="954">
        <f t="shared" si="99"/>
        <v>1399502670</v>
      </c>
      <c r="O674" s="934">
        <f t="shared" si="96"/>
        <v>1399502670</v>
      </c>
      <c r="P674" s="955" t="e">
        <f t="shared" si="97"/>
        <v>#DIV/0!</v>
      </c>
      <c r="Q674" s="448"/>
      <c r="R674" s="990"/>
    </row>
    <row r="675" spans="1:18" s="254" customFormat="1" ht="14.1" customHeight="1">
      <c r="A675" s="303"/>
      <c r="B675" s="292"/>
      <c r="C675" s="292"/>
      <c r="D675" s="292"/>
      <c r="E675" s="292"/>
      <c r="F675" s="292"/>
      <c r="G675" s="253">
        <v>5</v>
      </c>
      <c r="H675" s="842"/>
      <c r="I675" s="253" t="s">
        <v>314</v>
      </c>
      <c r="J675" s="354">
        <v>956450612</v>
      </c>
      <c r="K675" s="932">
        <f>'[57]TARGET MURNI DAN PERUBAHAN'!$E$358</f>
        <v>0</v>
      </c>
      <c r="L675" s="953">
        <f>[62]PerDinas!$N$616</f>
        <v>1170577238</v>
      </c>
      <c r="M675" s="932">
        <f>[55]Perdinas!$E$450</f>
        <v>110304287</v>
      </c>
      <c r="N675" s="954">
        <f t="shared" si="99"/>
        <v>1280881525</v>
      </c>
      <c r="O675" s="934">
        <f t="shared" si="96"/>
        <v>1280881525</v>
      </c>
      <c r="P675" s="955" t="e">
        <f t="shared" si="97"/>
        <v>#DIV/0!</v>
      </c>
      <c r="Q675" s="448"/>
      <c r="R675" s="990"/>
    </row>
    <row r="676" spans="1:18" s="254" customFormat="1" ht="14.1" customHeight="1">
      <c r="A676" s="303"/>
      <c r="B676" s="292"/>
      <c r="C676" s="292"/>
      <c r="D676" s="292"/>
      <c r="E676" s="292"/>
      <c r="F676" s="292"/>
      <c r="G676" s="253">
        <v>6</v>
      </c>
      <c r="H676" s="842"/>
      <c r="I676" s="253" t="s">
        <v>315</v>
      </c>
      <c r="J676" s="354">
        <v>400997431</v>
      </c>
      <c r="K676" s="932">
        <f>'[57]TARGET MURNI DAN PERUBAHAN'!$E$359</f>
        <v>0</v>
      </c>
      <c r="L676" s="953">
        <f>[62]PerDinas!$N$617</f>
        <v>504081973</v>
      </c>
      <c r="M676" s="932">
        <f>[55]Perdinas!$E$451</f>
        <v>31104130</v>
      </c>
      <c r="N676" s="954">
        <f t="shared" si="99"/>
        <v>535186103</v>
      </c>
      <c r="O676" s="934">
        <f t="shared" si="96"/>
        <v>535186103</v>
      </c>
      <c r="P676" s="955" t="e">
        <f t="shared" si="97"/>
        <v>#DIV/0!</v>
      </c>
      <c r="Q676" s="448"/>
      <c r="R676" s="990"/>
    </row>
    <row r="677" spans="1:18" s="254" customFormat="1" ht="14.1" customHeight="1">
      <c r="A677" s="303"/>
      <c r="B677" s="292"/>
      <c r="C677" s="292"/>
      <c r="D677" s="292"/>
      <c r="E677" s="292"/>
      <c r="F677" s="292"/>
      <c r="G677" s="253">
        <v>7</v>
      </c>
      <c r="H677" s="842"/>
      <c r="I677" s="253" t="s">
        <v>316</v>
      </c>
      <c r="J677" s="354">
        <v>790415493</v>
      </c>
      <c r="K677" s="932">
        <f>'[57]TARGET MURNI DAN PERUBAHAN'!$E$360</f>
        <v>0</v>
      </c>
      <c r="L677" s="953">
        <f>[62]PerDinas!$N$618</f>
        <v>1492733414</v>
      </c>
      <c r="M677" s="932">
        <f>[55]Perdinas!$E$452</f>
        <v>148938755</v>
      </c>
      <c r="N677" s="954">
        <f t="shared" si="99"/>
        <v>1641672169</v>
      </c>
      <c r="O677" s="934">
        <f t="shared" si="96"/>
        <v>1641672169</v>
      </c>
      <c r="P677" s="955" t="e">
        <f t="shared" si="97"/>
        <v>#DIV/0!</v>
      </c>
      <c r="Q677" s="448"/>
      <c r="R677" s="990"/>
    </row>
    <row r="678" spans="1:18" s="254" customFormat="1" ht="14.1" customHeight="1">
      <c r="A678" s="303"/>
      <c r="B678" s="292"/>
      <c r="C678" s="292"/>
      <c r="D678" s="292"/>
      <c r="E678" s="292"/>
      <c r="F678" s="292"/>
      <c r="G678" s="253">
        <v>8</v>
      </c>
      <c r="H678" s="842"/>
      <c r="I678" s="253" t="s">
        <v>317</v>
      </c>
      <c r="J678" s="354">
        <v>528455525</v>
      </c>
      <c r="K678" s="932">
        <f>'[57]TARGET MURNI DAN PERUBAHAN'!$E$361</f>
        <v>0</v>
      </c>
      <c r="L678" s="953">
        <f>[62]PerDinas!$N$619</f>
        <v>601473385.70000005</v>
      </c>
      <c r="M678" s="932">
        <f>[55]Perdinas!$E$453</f>
        <v>266327748</v>
      </c>
      <c r="N678" s="954">
        <f t="shared" si="99"/>
        <v>867801133.70000005</v>
      </c>
      <c r="O678" s="934">
        <f t="shared" si="96"/>
        <v>867801133.70000005</v>
      </c>
      <c r="P678" s="955" t="e">
        <f t="shared" si="97"/>
        <v>#DIV/0!</v>
      </c>
      <c r="Q678" s="448"/>
      <c r="R678" s="990"/>
    </row>
    <row r="679" spans="1:18" s="254" customFormat="1" ht="14.1" customHeight="1">
      <c r="A679" s="303"/>
      <c r="B679" s="292"/>
      <c r="C679" s="292"/>
      <c r="D679" s="292"/>
      <c r="E679" s="292"/>
      <c r="F679" s="292"/>
      <c r="G679" s="910">
        <v>9</v>
      </c>
      <c r="H679" s="910"/>
      <c r="I679" s="910" t="s">
        <v>318</v>
      </c>
      <c r="J679" s="956">
        <v>347837276</v>
      </c>
      <c r="K679" s="932">
        <f>'[57]TARGET MURNI DAN PERUBAHAN'!$E$362</f>
        <v>0</v>
      </c>
      <c r="L679" s="953">
        <f>[62]PerDinas!$N$620</f>
        <v>553048189</v>
      </c>
      <c r="M679" s="932">
        <f>[55]Perdinas!$E$454</f>
        <v>42688010</v>
      </c>
      <c r="N679" s="954">
        <f t="shared" si="99"/>
        <v>595736199</v>
      </c>
      <c r="O679" s="957">
        <f t="shared" si="96"/>
        <v>595736199</v>
      </c>
      <c r="P679" s="958" t="e">
        <f t="shared" si="97"/>
        <v>#DIV/0!</v>
      </c>
      <c r="Q679" s="448"/>
      <c r="R679" s="990"/>
    </row>
    <row r="680" spans="1:18" s="255" customFormat="1" ht="14.1" customHeight="1">
      <c r="A680" s="303"/>
      <c r="B680" s="290">
        <v>4</v>
      </c>
      <c r="C680" s="290">
        <v>1</v>
      </c>
      <c r="D680" s="290">
        <v>4</v>
      </c>
      <c r="E680" s="290" t="s">
        <v>456</v>
      </c>
      <c r="F680" s="290" t="s">
        <v>438</v>
      </c>
      <c r="G680" s="291" t="s">
        <v>319</v>
      </c>
      <c r="H680" s="291"/>
      <c r="I680" s="291"/>
      <c r="J680" s="678">
        <f>SUM(J681:J689)</f>
        <v>156349200</v>
      </c>
      <c r="K680" s="490">
        <f>SUM(K681:K689)</f>
        <v>100000000</v>
      </c>
      <c r="L680" s="943">
        <f>SUM(L681:L689)</f>
        <v>231442896.80000001</v>
      </c>
      <c r="M680" s="944">
        <f>SUM(M681:M689)</f>
        <v>54643277</v>
      </c>
      <c r="N680" s="944">
        <f>SUM(N681:N689)</f>
        <v>286086173.80000001</v>
      </c>
      <c r="O680" s="945">
        <f t="shared" si="96"/>
        <v>186086173.80000001</v>
      </c>
      <c r="P680" s="946">
        <f t="shared" si="97"/>
        <v>286.08617379999998</v>
      </c>
      <c r="Q680" s="700"/>
      <c r="R680" s="996"/>
    </row>
    <row r="681" spans="1:18" s="254" customFormat="1" ht="14.1" customHeight="1">
      <c r="A681" s="303"/>
      <c r="B681" s="292"/>
      <c r="C681" s="292"/>
      <c r="D681" s="292"/>
      <c r="E681" s="292"/>
      <c r="F681" s="292"/>
      <c r="G681" s="253">
        <v>1</v>
      </c>
      <c r="H681" s="842"/>
      <c r="I681" s="253" t="s">
        <v>310</v>
      </c>
      <c r="J681" s="628">
        <v>54731264</v>
      </c>
      <c r="K681" s="959">
        <f>'[57]TARGET MURNI DAN PERUBAHAN'!$E$364</f>
        <v>100000000</v>
      </c>
      <c r="L681" s="953">
        <f>[62]PerDinas!$N$622</f>
        <v>88769590</v>
      </c>
      <c r="M681" s="959">
        <f>[55]Perdinas!$E$456</f>
        <v>16581156</v>
      </c>
      <c r="N681" s="960">
        <f t="shared" ref="N681:N689" si="100">M681+L681</f>
        <v>105350746</v>
      </c>
      <c r="O681" s="961">
        <f t="shared" si="96"/>
        <v>5350746</v>
      </c>
      <c r="P681" s="962">
        <f t="shared" si="97"/>
        <v>105.350746</v>
      </c>
      <c r="Q681" s="701"/>
      <c r="R681" s="995"/>
    </row>
    <row r="682" spans="1:18" s="254" customFormat="1" ht="14.1" customHeight="1">
      <c r="A682" s="303"/>
      <c r="B682" s="292"/>
      <c r="C682" s="292"/>
      <c r="D682" s="292"/>
      <c r="E682" s="292"/>
      <c r="F682" s="292"/>
      <c r="G682" s="253">
        <v>2</v>
      </c>
      <c r="H682" s="842"/>
      <c r="I682" s="253" t="s">
        <v>311</v>
      </c>
      <c r="J682" s="354">
        <v>40152038</v>
      </c>
      <c r="K682" s="932">
        <f>'[57]TARGET MURNI DAN PERUBAHAN'!$E$365</f>
        <v>0</v>
      </c>
      <c r="L682" s="953">
        <f>[62]PerDinas!$N$623</f>
        <v>14302266</v>
      </c>
      <c r="M682" s="932">
        <f>[55]Perdinas!$E$457</f>
        <v>11698118</v>
      </c>
      <c r="N682" s="954">
        <f t="shared" si="100"/>
        <v>26000384</v>
      </c>
      <c r="O682" s="934">
        <f t="shared" si="96"/>
        <v>26000384</v>
      </c>
      <c r="P682" s="955" t="e">
        <f t="shared" si="97"/>
        <v>#DIV/0!</v>
      </c>
      <c r="Q682" s="448"/>
      <c r="R682" s="990"/>
    </row>
    <row r="683" spans="1:18" s="254" customFormat="1" ht="14.1" customHeight="1">
      <c r="A683" s="303"/>
      <c r="B683" s="292"/>
      <c r="C683" s="292"/>
      <c r="D683" s="292"/>
      <c r="E683" s="292"/>
      <c r="F683" s="292"/>
      <c r="G683" s="253">
        <v>3</v>
      </c>
      <c r="H683" s="842"/>
      <c r="I683" s="253" t="s">
        <v>312</v>
      </c>
      <c r="J683" s="354">
        <v>20587022</v>
      </c>
      <c r="K683" s="932">
        <f>'[57]TARGET MURNI DAN PERUBAHAN'!$E$366</f>
        <v>0</v>
      </c>
      <c r="L683" s="953">
        <f>[62]PerDinas!$N$624</f>
        <v>26013610</v>
      </c>
      <c r="M683" s="932">
        <f>[55]Perdinas!$E$458</f>
        <v>6323755</v>
      </c>
      <c r="N683" s="954">
        <f t="shared" si="100"/>
        <v>32337365</v>
      </c>
      <c r="O683" s="934">
        <f t="shared" si="96"/>
        <v>32337365</v>
      </c>
      <c r="P683" s="955" t="e">
        <f t="shared" si="97"/>
        <v>#DIV/0!</v>
      </c>
      <c r="Q683" s="448"/>
      <c r="R683" s="990"/>
    </row>
    <row r="684" spans="1:18" s="254" customFormat="1" ht="14.1" customHeight="1">
      <c r="A684" s="303"/>
      <c r="B684" s="292"/>
      <c r="C684" s="292"/>
      <c r="D684" s="292"/>
      <c r="E684" s="292"/>
      <c r="F684" s="292"/>
      <c r="G684" s="253">
        <v>4</v>
      </c>
      <c r="H684" s="842"/>
      <c r="I684" s="253" t="s">
        <v>313</v>
      </c>
      <c r="J684" s="354">
        <v>11483003</v>
      </c>
      <c r="K684" s="932">
        <f>'[57]TARGET MURNI DAN PERUBAHAN'!$E$367</f>
        <v>0</v>
      </c>
      <c r="L684" s="953">
        <f>[62]PerDinas!$N$625</f>
        <v>18998539</v>
      </c>
      <c r="M684" s="932">
        <f>[55]Perdinas!$E$459</f>
        <v>3810125</v>
      </c>
      <c r="N684" s="954">
        <f t="shared" si="100"/>
        <v>22808664</v>
      </c>
      <c r="O684" s="934">
        <f t="shared" si="96"/>
        <v>22808664</v>
      </c>
      <c r="P684" s="955" t="e">
        <f t="shared" si="97"/>
        <v>#DIV/0!</v>
      </c>
      <c r="Q684" s="448"/>
      <c r="R684" s="990"/>
    </row>
    <row r="685" spans="1:18" s="254" customFormat="1" ht="14.1" customHeight="1">
      <c r="A685" s="303"/>
      <c r="B685" s="292"/>
      <c r="C685" s="292"/>
      <c r="D685" s="292"/>
      <c r="E685" s="292"/>
      <c r="F685" s="292"/>
      <c r="G685" s="253">
        <v>5</v>
      </c>
      <c r="H685" s="842"/>
      <c r="I685" s="253" t="s">
        <v>314</v>
      </c>
      <c r="J685" s="354">
        <v>17764328</v>
      </c>
      <c r="K685" s="932">
        <f>'[57]TARGET MURNI DAN PERUBAHAN'!$E$368</f>
        <v>0</v>
      </c>
      <c r="L685" s="953">
        <f>[62]PerDinas!$N$626</f>
        <v>21404794</v>
      </c>
      <c r="M685" s="932">
        <f>[55]Perdinas!$E$460</f>
        <v>6694750</v>
      </c>
      <c r="N685" s="954">
        <f t="shared" si="100"/>
        <v>28099544</v>
      </c>
      <c r="O685" s="934">
        <f t="shared" si="96"/>
        <v>28099544</v>
      </c>
      <c r="P685" s="955" t="e">
        <f t="shared" si="97"/>
        <v>#DIV/0!</v>
      </c>
      <c r="Q685" s="448"/>
      <c r="R685" s="990"/>
    </row>
    <row r="686" spans="1:18" s="254" customFormat="1" ht="14.1" customHeight="1">
      <c r="A686" s="303"/>
      <c r="B686" s="292"/>
      <c r="C686" s="292"/>
      <c r="D686" s="292"/>
      <c r="E686" s="292"/>
      <c r="F686" s="292"/>
      <c r="G686" s="253">
        <v>6</v>
      </c>
      <c r="H686" s="842"/>
      <c r="I686" s="253" t="s">
        <v>315</v>
      </c>
      <c r="J686" s="354">
        <v>2326181</v>
      </c>
      <c r="K686" s="932">
        <f>'[57]TARGET MURNI DAN PERUBAHAN'!$E$369</f>
        <v>0</v>
      </c>
      <c r="L686" s="953">
        <f>[62]PerDinas!$N$627</f>
        <v>4315464</v>
      </c>
      <c r="M686" s="932">
        <f>[55]Perdinas!$E$461</f>
        <v>660000</v>
      </c>
      <c r="N686" s="954">
        <f t="shared" si="100"/>
        <v>4975464</v>
      </c>
      <c r="O686" s="934">
        <f t="shared" si="96"/>
        <v>4975464</v>
      </c>
      <c r="P686" s="955" t="e">
        <f t="shared" si="97"/>
        <v>#DIV/0!</v>
      </c>
      <c r="Q686" s="448"/>
      <c r="R686" s="990"/>
    </row>
    <row r="687" spans="1:18" s="254" customFormat="1" ht="14.1" customHeight="1">
      <c r="A687" s="303"/>
      <c r="B687" s="292"/>
      <c r="C687" s="292"/>
      <c r="D687" s="292"/>
      <c r="E687" s="292"/>
      <c r="F687" s="292"/>
      <c r="G687" s="253">
        <v>7</v>
      </c>
      <c r="H687" s="842"/>
      <c r="I687" s="253" t="s">
        <v>316</v>
      </c>
      <c r="J687" s="354">
        <v>8119057</v>
      </c>
      <c r="K687" s="932">
        <f>'[57]TARGET MURNI DAN PERUBAHAN'!$E$370</f>
        <v>0</v>
      </c>
      <c r="L687" s="953">
        <f>[62]PerDinas!$N$628</f>
        <v>24775154</v>
      </c>
      <c r="M687" s="932">
        <f>[55]Perdinas!$E$462</f>
        <v>7013500</v>
      </c>
      <c r="N687" s="954">
        <f t="shared" si="100"/>
        <v>31788654</v>
      </c>
      <c r="O687" s="934">
        <f t="shared" si="96"/>
        <v>31788654</v>
      </c>
      <c r="P687" s="955" t="e">
        <f t="shared" si="97"/>
        <v>#DIV/0!</v>
      </c>
      <c r="Q687" s="448"/>
      <c r="R687" s="990"/>
    </row>
    <row r="688" spans="1:18" s="254" customFormat="1" ht="14.1" customHeight="1">
      <c r="A688" s="303"/>
      <c r="B688" s="292"/>
      <c r="C688" s="292"/>
      <c r="D688" s="292"/>
      <c r="E688" s="292"/>
      <c r="F688" s="292"/>
      <c r="G688" s="253">
        <v>8</v>
      </c>
      <c r="H688" s="842"/>
      <c r="I688" s="253" t="s">
        <v>317</v>
      </c>
      <c r="J688" s="354">
        <v>1186307</v>
      </c>
      <c r="K688" s="932">
        <f>'[57]TARGET MURNI DAN PERUBAHAN'!$E$371</f>
        <v>0</v>
      </c>
      <c r="L688" s="953">
        <f>[62]PerDinas!$N$629</f>
        <v>31999217.800000001</v>
      </c>
      <c r="M688" s="932">
        <f>[55]Perdinas!$E$463</f>
        <v>1861873</v>
      </c>
      <c r="N688" s="954">
        <f t="shared" si="100"/>
        <v>33861090.799999997</v>
      </c>
      <c r="O688" s="934">
        <f t="shared" si="96"/>
        <v>33861090.799999997</v>
      </c>
      <c r="P688" s="955" t="e">
        <f t="shared" si="97"/>
        <v>#DIV/0!</v>
      </c>
      <c r="Q688" s="448"/>
      <c r="R688" s="990"/>
    </row>
    <row r="689" spans="1:18" s="254" customFormat="1" ht="14.1" customHeight="1">
      <c r="A689" s="303"/>
      <c r="B689" s="292"/>
      <c r="C689" s="292"/>
      <c r="D689" s="292"/>
      <c r="E689" s="292"/>
      <c r="F689" s="292"/>
      <c r="G689" s="253">
        <v>9</v>
      </c>
      <c r="H689" s="253"/>
      <c r="I689" s="253" t="s">
        <v>318</v>
      </c>
      <c r="J689" s="374">
        <v>0</v>
      </c>
      <c r="K689" s="932">
        <f>'[57]TARGET MURNI DAN PERUBAHAN'!$E$372</f>
        <v>0</v>
      </c>
      <c r="L689" s="953">
        <f>[62]PerDinas!$N$630</f>
        <v>864262</v>
      </c>
      <c r="M689" s="932">
        <f>[55]Perdinas!$E$464</f>
        <v>0</v>
      </c>
      <c r="N689" s="934">
        <f t="shared" si="100"/>
        <v>864262</v>
      </c>
      <c r="O689" s="934">
        <f t="shared" si="96"/>
        <v>864262</v>
      </c>
      <c r="P689" s="955" t="e">
        <f t="shared" si="97"/>
        <v>#DIV/0!</v>
      </c>
      <c r="Q689" s="448"/>
      <c r="R689" s="990"/>
    </row>
    <row r="690" spans="1:18" s="255" customFormat="1" ht="14.1" customHeight="1">
      <c r="A690" s="465"/>
      <c r="B690" s="466">
        <v>4</v>
      </c>
      <c r="C690" s="466">
        <v>1</v>
      </c>
      <c r="D690" s="466">
        <v>4</v>
      </c>
      <c r="E690" s="466" t="s">
        <v>444</v>
      </c>
      <c r="F690" s="466"/>
      <c r="G690" s="467" t="s">
        <v>222</v>
      </c>
      <c r="H690" s="467"/>
      <c r="I690" s="467"/>
      <c r="J690" s="370">
        <f>+J693</f>
        <v>0</v>
      </c>
      <c r="K690" s="371">
        <f>+K693</f>
        <v>0</v>
      </c>
      <c r="L690" s="963">
        <f>SUM(L691:L693)</f>
        <v>34029381</v>
      </c>
      <c r="M690" s="930">
        <f>SUM(M691:M693)</f>
        <v>6300000</v>
      </c>
      <c r="N690" s="930">
        <f>SUM(N691:N693)</f>
        <v>40329381</v>
      </c>
      <c r="O690" s="964">
        <f t="shared" si="96"/>
        <v>40329381</v>
      </c>
      <c r="P690" s="965">
        <v>0</v>
      </c>
      <c r="Q690" s="651"/>
      <c r="R690" s="996"/>
    </row>
    <row r="691" spans="1:18" s="254" customFormat="1" ht="14.1" customHeight="1">
      <c r="A691" s="564"/>
      <c r="B691" s="565">
        <v>4</v>
      </c>
      <c r="C691" s="565">
        <v>1</v>
      </c>
      <c r="D691" s="565">
        <v>4</v>
      </c>
      <c r="E691" s="565" t="s">
        <v>444</v>
      </c>
      <c r="F691" s="565" t="s">
        <v>440</v>
      </c>
      <c r="G691" s="566" t="s">
        <v>73</v>
      </c>
      <c r="H691" s="566"/>
      <c r="I691" s="566"/>
      <c r="J691" s="484">
        <v>0</v>
      </c>
      <c r="K691" s="485">
        <v>0</v>
      </c>
      <c r="L691" s="966">
        <v>0</v>
      </c>
      <c r="M691" s="967">
        <f>[55]Perdinas!$E$467</f>
        <v>0</v>
      </c>
      <c r="N691" s="967">
        <f>M691+L691</f>
        <v>0</v>
      </c>
      <c r="O691" s="967">
        <f t="shared" si="96"/>
        <v>0</v>
      </c>
      <c r="P691" s="968"/>
      <c r="Q691" s="541"/>
      <c r="R691" s="990"/>
    </row>
    <row r="692" spans="1:18" s="254" customFormat="1" ht="14.1" customHeight="1">
      <c r="A692" s="286"/>
      <c r="B692" s="287">
        <v>4</v>
      </c>
      <c r="C692" s="287">
        <v>1</v>
      </c>
      <c r="D692" s="287">
        <v>4</v>
      </c>
      <c r="E692" s="287" t="s">
        <v>444</v>
      </c>
      <c r="F692" s="287" t="s">
        <v>445</v>
      </c>
      <c r="G692" s="410" t="s">
        <v>74</v>
      </c>
      <c r="H692" s="410"/>
      <c r="I692" s="410"/>
      <c r="J692" s="389">
        <v>0</v>
      </c>
      <c r="K692" s="357">
        <v>0</v>
      </c>
      <c r="L692" s="969">
        <v>0</v>
      </c>
      <c r="M692" s="970">
        <f>[55]Perdinas!$E$468</f>
        <v>0</v>
      </c>
      <c r="N692" s="970">
        <f>M692+L692</f>
        <v>0</v>
      </c>
      <c r="O692" s="970">
        <f t="shared" si="96"/>
        <v>0</v>
      </c>
      <c r="P692" s="971"/>
      <c r="Q692" s="442"/>
      <c r="R692" s="990"/>
    </row>
    <row r="693" spans="1:18" s="255" customFormat="1" ht="14.1" customHeight="1">
      <c r="A693" s="293"/>
      <c r="B693" s="908">
        <v>4</v>
      </c>
      <c r="C693" s="908">
        <v>1</v>
      </c>
      <c r="D693" s="908">
        <v>4</v>
      </c>
      <c r="E693" s="908" t="s">
        <v>444</v>
      </c>
      <c r="F693" s="908" t="s">
        <v>441</v>
      </c>
      <c r="G693" s="909" t="s">
        <v>75</v>
      </c>
      <c r="H693" s="909"/>
      <c r="I693" s="909"/>
      <c r="J693" s="972">
        <f>SUM(J694:J703)</f>
        <v>0</v>
      </c>
      <c r="K693" s="973">
        <f>SUM(K694:K703)</f>
        <v>0</v>
      </c>
      <c r="L693" s="974">
        <f>SUM(L694:L703)</f>
        <v>34029381</v>
      </c>
      <c r="M693" s="975">
        <f>SUM(M694:M703)</f>
        <v>6300000</v>
      </c>
      <c r="N693" s="976">
        <f>SUM(N694:N703)</f>
        <v>40329381</v>
      </c>
      <c r="O693" s="975">
        <f t="shared" si="96"/>
        <v>40329381</v>
      </c>
      <c r="P693" s="977"/>
      <c r="Q693" s="997"/>
      <c r="R693" s="996"/>
    </row>
    <row r="694" spans="1:18" s="254" customFormat="1" ht="14.1" customHeight="1">
      <c r="A694" s="289"/>
      <c r="B694" s="292"/>
      <c r="C694" s="292"/>
      <c r="D694" s="292"/>
      <c r="E694" s="292"/>
      <c r="F694" s="292"/>
      <c r="G694" s="253">
        <v>1</v>
      </c>
      <c r="H694" s="253"/>
      <c r="I694" s="253" t="s">
        <v>320</v>
      </c>
      <c r="J694" s="354"/>
      <c r="K694" s="934">
        <f>'[57]TARGET MURNI DAN PERUBAHAN'!$E$377</f>
        <v>0</v>
      </c>
      <c r="L694" s="969">
        <f>[62]PerDinas!$N$635</f>
        <v>20455556</v>
      </c>
      <c r="M694" s="934">
        <f>[55]Perdinas!$E$470</f>
        <v>6300000</v>
      </c>
      <c r="N694" s="934">
        <f t="shared" ref="N694:N703" si="101">M694+L694</f>
        <v>26755556</v>
      </c>
      <c r="O694" s="934">
        <f t="shared" si="96"/>
        <v>26755556</v>
      </c>
      <c r="P694" s="955"/>
      <c r="Q694" s="441"/>
      <c r="R694" s="990"/>
    </row>
    <row r="695" spans="1:18" s="254" customFormat="1" ht="14.1" customHeight="1">
      <c r="A695" s="289"/>
      <c r="B695" s="292"/>
      <c r="C695" s="292"/>
      <c r="D695" s="292"/>
      <c r="E695" s="292"/>
      <c r="F695" s="292"/>
      <c r="G695" s="253">
        <v>2</v>
      </c>
      <c r="H695" s="253"/>
      <c r="I695" s="253" t="s">
        <v>310</v>
      </c>
      <c r="J695" s="354"/>
      <c r="K695" s="934">
        <f>'[57]TARGET MURNI DAN PERUBAHAN'!$E$378</f>
        <v>0</v>
      </c>
      <c r="L695" s="969">
        <f>[62]PerDinas!$N$636</f>
        <v>5229550</v>
      </c>
      <c r="M695" s="934">
        <f>[55]Perdinas!$E$471</f>
        <v>0</v>
      </c>
      <c r="N695" s="934">
        <f t="shared" si="101"/>
        <v>5229550</v>
      </c>
      <c r="O695" s="934">
        <f t="shared" si="96"/>
        <v>5229550</v>
      </c>
      <c r="P695" s="955"/>
      <c r="Q695" s="441"/>
      <c r="R695" s="995"/>
    </row>
    <row r="696" spans="1:18" s="254" customFormat="1" ht="14.1" customHeight="1">
      <c r="A696" s="289"/>
      <c r="B696" s="292"/>
      <c r="C696" s="292"/>
      <c r="D696" s="292"/>
      <c r="E696" s="292"/>
      <c r="F696" s="292"/>
      <c r="G696" s="253">
        <v>3</v>
      </c>
      <c r="H696" s="253"/>
      <c r="I696" s="253" t="s">
        <v>311</v>
      </c>
      <c r="J696" s="354"/>
      <c r="K696" s="934">
        <f>'[57]TARGET MURNI DAN PERUBAHAN'!$E$379</f>
        <v>0</v>
      </c>
      <c r="L696" s="969">
        <f>[62]PerDinas!$N$637</f>
        <v>0</v>
      </c>
      <c r="M696" s="934">
        <f>[55]Perdinas!$E$472</f>
        <v>0</v>
      </c>
      <c r="N696" s="934">
        <f t="shared" si="101"/>
        <v>0</v>
      </c>
      <c r="O696" s="934">
        <f t="shared" si="96"/>
        <v>0</v>
      </c>
      <c r="P696" s="955"/>
      <c r="Q696" s="441"/>
      <c r="R696" s="990"/>
    </row>
    <row r="697" spans="1:18" s="254" customFormat="1" ht="14.1" customHeight="1">
      <c r="A697" s="289"/>
      <c r="B697" s="292"/>
      <c r="C697" s="292"/>
      <c r="D697" s="292"/>
      <c r="E697" s="292"/>
      <c r="F697" s="292"/>
      <c r="G697" s="253">
        <v>4</v>
      </c>
      <c r="H697" s="253"/>
      <c r="I697" s="253" t="s">
        <v>312</v>
      </c>
      <c r="J697" s="354"/>
      <c r="K697" s="934">
        <f>'[57]TARGET MURNI DAN PERUBAHAN'!$E$380</f>
        <v>0</v>
      </c>
      <c r="L697" s="969">
        <f>[62]PerDinas!$N$638</f>
        <v>0</v>
      </c>
      <c r="M697" s="934">
        <f>[55]Perdinas!$E$473</f>
        <v>0</v>
      </c>
      <c r="N697" s="934">
        <f t="shared" si="101"/>
        <v>0</v>
      </c>
      <c r="O697" s="934">
        <f t="shared" si="96"/>
        <v>0</v>
      </c>
      <c r="P697" s="955"/>
      <c r="Q697" s="441"/>
      <c r="R697" s="990"/>
    </row>
    <row r="698" spans="1:18" s="254" customFormat="1" ht="14.1" customHeight="1">
      <c r="A698" s="289"/>
      <c r="B698" s="292"/>
      <c r="C698" s="292"/>
      <c r="D698" s="292"/>
      <c r="E698" s="292"/>
      <c r="F698" s="292"/>
      <c r="G698" s="253">
        <v>5</v>
      </c>
      <c r="H698" s="253"/>
      <c r="I698" s="253" t="s">
        <v>313</v>
      </c>
      <c r="J698" s="354"/>
      <c r="K698" s="934">
        <f>'[57]TARGET MURNI DAN PERUBAHAN'!$E$381</f>
        <v>0</v>
      </c>
      <c r="L698" s="969">
        <f>[62]PerDinas!$N$639</f>
        <v>1178000</v>
      </c>
      <c r="M698" s="934">
        <f>[55]Perdinas!$E$474</f>
        <v>0</v>
      </c>
      <c r="N698" s="934">
        <f t="shared" si="101"/>
        <v>1178000</v>
      </c>
      <c r="O698" s="934">
        <f t="shared" si="96"/>
        <v>1178000</v>
      </c>
      <c r="P698" s="955"/>
      <c r="Q698" s="441"/>
      <c r="R698" s="990"/>
    </row>
    <row r="699" spans="1:18" s="254" customFormat="1" ht="14.1" customHeight="1">
      <c r="A699" s="289"/>
      <c r="B699" s="292"/>
      <c r="C699" s="292"/>
      <c r="D699" s="292"/>
      <c r="E699" s="292"/>
      <c r="F699" s="292"/>
      <c r="G699" s="253">
        <v>6</v>
      </c>
      <c r="H699" s="253"/>
      <c r="I699" s="253" t="s">
        <v>314</v>
      </c>
      <c r="J699" s="354"/>
      <c r="K699" s="934">
        <f>'[57]TARGET MURNI DAN PERUBAHAN'!$E$382</f>
        <v>0</v>
      </c>
      <c r="L699" s="969">
        <f>[62]PerDinas!$N$640</f>
        <v>7166275</v>
      </c>
      <c r="M699" s="934">
        <f>[55]Perdinas!$E$475</f>
        <v>0</v>
      </c>
      <c r="N699" s="934">
        <f t="shared" si="101"/>
        <v>7166275</v>
      </c>
      <c r="O699" s="934">
        <f t="shared" si="96"/>
        <v>7166275</v>
      </c>
      <c r="P699" s="955"/>
      <c r="Q699" s="441"/>
      <c r="R699" s="990"/>
    </row>
    <row r="700" spans="1:18" s="254" customFormat="1" ht="14.1" customHeight="1">
      <c r="A700" s="293"/>
      <c r="B700" s="292"/>
      <c r="C700" s="292"/>
      <c r="D700" s="292"/>
      <c r="E700" s="292"/>
      <c r="F700" s="292"/>
      <c r="G700" s="253">
        <v>7</v>
      </c>
      <c r="H700" s="253"/>
      <c r="I700" s="253" t="s">
        <v>315</v>
      </c>
      <c r="J700" s="374"/>
      <c r="K700" s="934">
        <f>'[57]TARGET MURNI DAN PERUBAHAN'!$E$383</f>
        <v>0</v>
      </c>
      <c r="L700" s="969">
        <f>[62]PerDinas!$N$641</f>
        <v>0</v>
      </c>
      <c r="M700" s="934">
        <f>[55]Perdinas!$E$476</f>
        <v>0</v>
      </c>
      <c r="N700" s="934">
        <f t="shared" si="101"/>
        <v>0</v>
      </c>
      <c r="O700" s="934">
        <f t="shared" si="96"/>
        <v>0</v>
      </c>
      <c r="P700" s="978"/>
      <c r="Q700" s="448"/>
      <c r="R700" s="990"/>
    </row>
    <row r="701" spans="1:18" s="254" customFormat="1" ht="14.1" customHeight="1">
      <c r="A701" s="465"/>
      <c r="B701" s="296"/>
      <c r="C701" s="296"/>
      <c r="D701" s="296"/>
      <c r="E701" s="296"/>
      <c r="F701" s="296"/>
      <c r="G701" s="297">
        <v>8</v>
      </c>
      <c r="H701" s="297"/>
      <c r="I701" s="297" t="s">
        <v>316</v>
      </c>
      <c r="J701" s="679"/>
      <c r="K701" s="934">
        <f>'[57]TARGET MURNI DAN PERUBAHAN'!$E$384</f>
        <v>0</v>
      </c>
      <c r="L701" s="969">
        <f>[62]PerDinas!$N$642</f>
        <v>0</v>
      </c>
      <c r="M701" s="934">
        <f>[55]Perdinas!$E$477</f>
        <v>0</v>
      </c>
      <c r="N701" s="979">
        <f t="shared" si="101"/>
        <v>0</v>
      </c>
      <c r="O701" s="934">
        <f t="shared" si="96"/>
        <v>0</v>
      </c>
      <c r="P701" s="980"/>
      <c r="Q701" s="449"/>
      <c r="R701" s="990"/>
    </row>
    <row r="702" spans="1:18" s="254" customFormat="1" ht="14.1" customHeight="1">
      <c r="A702" s="293"/>
      <c r="B702" s="292"/>
      <c r="C702" s="292"/>
      <c r="D702" s="292"/>
      <c r="E702" s="292"/>
      <c r="F702" s="292"/>
      <c r="G702" s="253">
        <v>9</v>
      </c>
      <c r="H702" s="253"/>
      <c r="I702" s="253" t="s">
        <v>317</v>
      </c>
      <c r="J702" s="374"/>
      <c r="K702" s="934">
        <f>'[57]TARGET MURNI DAN PERUBAHAN'!$E$385</f>
        <v>0</v>
      </c>
      <c r="L702" s="969">
        <f>[62]PerDinas!$N$643</f>
        <v>0</v>
      </c>
      <c r="M702" s="934">
        <f>[55]Perdinas!$E$478</f>
        <v>0</v>
      </c>
      <c r="N702" s="934">
        <f t="shared" si="101"/>
        <v>0</v>
      </c>
      <c r="O702" s="934"/>
      <c r="P702" s="978"/>
      <c r="Q702" s="448"/>
      <c r="R702" s="990"/>
    </row>
    <row r="703" spans="1:18" s="254" customFormat="1" ht="14.1" customHeight="1">
      <c r="A703" s="293"/>
      <c r="B703" s="292"/>
      <c r="C703" s="292"/>
      <c r="D703" s="292"/>
      <c r="E703" s="292"/>
      <c r="F703" s="292"/>
      <c r="G703" s="253">
        <v>10</v>
      </c>
      <c r="H703" s="253"/>
      <c r="I703" s="253" t="s">
        <v>318</v>
      </c>
      <c r="J703" s="374"/>
      <c r="K703" s="934">
        <f>'[57]TARGET MURNI DAN PERUBAHAN'!$E$386</f>
        <v>0</v>
      </c>
      <c r="L703" s="969">
        <f>[62]PerDinas!$N$644</f>
        <v>0</v>
      </c>
      <c r="M703" s="934">
        <f>[55]Perdinas!$E$479</f>
        <v>0</v>
      </c>
      <c r="N703" s="934">
        <f t="shared" si="101"/>
        <v>0</v>
      </c>
      <c r="O703" s="934"/>
      <c r="P703" s="978"/>
      <c r="Q703" s="448"/>
      <c r="R703" s="990"/>
    </row>
    <row r="704" spans="1:18" s="254" customFormat="1" ht="14.1" customHeight="1">
      <c r="A704" s="303"/>
      <c r="B704" s="292">
        <v>4</v>
      </c>
      <c r="C704" s="292">
        <v>1</v>
      </c>
      <c r="D704" s="292">
        <v>4</v>
      </c>
      <c r="E704" s="292" t="s">
        <v>948</v>
      </c>
      <c r="F704" s="292"/>
      <c r="G704" s="291" t="s">
        <v>321</v>
      </c>
      <c r="H704" s="253"/>
      <c r="I704" s="253"/>
      <c r="J704" s="397">
        <f>J663+J706+J716+J729</f>
        <v>23926877800</v>
      </c>
      <c r="K704" s="398">
        <f>K706+K716+K729</f>
        <v>3123018400</v>
      </c>
      <c r="L704" s="981">
        <f>L706+L729</f>
        <v>2820071143</v>
      </c>
      <c r="M704" s="929">
        <f>M706+M716+M729</f>
        <v>0</v>
      </c>
      <c r="N704" s="929">
        <f>L704+M704</f>
        <v>2820071143</v>
      </c>
      <c r="O704" s="964">
        <f>N704-K704</f>
        <v>-302947257</v>
      </c>
      <c r="P704" s="931">
        <f t="shared" ref="P704:P715" si="102">N704/K704*100</f>
        <v>90.299536595749814</v>
      </c>
      <c r="Q704" s="448"/>
      <c r="R704" s="990"/>
    </row>
    <row r="705" spans="1:18" s="254" customFormat="1" ht="14.1" customHeight="1">
      <c r="A705" s="303"/>
      <c r="B705" s="292"/>
      <c r="C705" s="292"/>
      <c r="D705" s="292"/>
      <c r="E705" s="292"/>
      <c r="F705" s="292"/>
      <c r="G705" s="291"/>
      <c r="H705" s="253"/>
      <c r="I705" s="253"/>
      <c r="J705" s="397"/>
      <c r="K705" s="398"/>
      <c r="L705" s="981"/>
      <c r="M705" s="929"/>
      <c r="N705" s="929"/>
      <c r="O705" s="964"/>
      <c r="P705" s="931"/>
      <c r="Q705" s="448"/>
      <c r="R705" s="990"/>
    </row>
    <row r="706" spans="1:18" s="254" customFormat="1" ht="14.1" customHeight="1">
      <c r="A706" s="303"/>
      <c r="B706" s="292"/>
      <c r="C706" s="292"/>
      <c r="D706" s="292"/>
      <c r="E706" s="292"/>
      <c r="F706" s="292"/>
      <c r="G706" s="5843" t="s">
        <v>323</v>
      </c>
      <c r="H706" s="5869"/>
      <c r="I706" s="5869"/>
      <c r="J706" s="1004">
        <f>SUM(J707:J715)</f>
        <v>23926877800</v>
      </c>
      <c r="K706" s="1005">
        <f>SUM(K707:K715)</f>
        <v>3123018400</v>
      </c>
      <c r="L706" s="1006">
        <f>SUM(L707:L715)</f>
        <v>2820071143</v>
      </c>
      <c r="M706" s="1007">
        <f>SUM(M707:M715)</f>
        <v>0</v>
      </c>
      <c r="N706" s="1007">
        <f>SUM(N707:N715)</f>
        <v>2820071143</v>
      </c>
      <c r="O706" s="975">
        <f t="shared" ref="O706:O727" si="103">N706-K706</f>
        <v>-302947257</v>
      </c>
      <c r="P706" s="1008">
        <f t="shared" si="102"/>
        <v>90.299536595749814</v>
      </c>
      <c r="Q706" s="448"/>
      <c r="R706" s="990"/>
    </row>
    <row r="707" spans="1:18" s="254" customFormat="1" ht="14.1" customHeight="1">
      <c r="A707" s="303"/>
      <c r="B707" s="292"/>
      <c r="C707" s="292"/>
      <c r="D707" s="292"/>
      <c r="E707" s="292"/>
      <c r="F707" s="292"/>
      <c r="G707" s="842"/>
      <c r="H707" s="998" t="s">
        <v>50</v>
      </c>
      <c r="I707" s="253" t="s">
        <v>310</v>
      </c>
      <c r="J707" s="374">
        <v>3262174200</v>
      </c>
      <c r="K707" s="932">
        <f>'[57]TARGET MURNI DAN PERUBAHAN'!$E$393</f>
        <v>3123018400</v>
      </c>
      <c r="L707" s="1009">
        <f>[62]PerDinas!$N$648</f>
        <v>667260000</v>
      </c>
      <c r="M707" s="932">
        <f>[55]Perdinas!$E$486</f>
        <v>0</v>
      </c>
      <c r="N707" s="954">
        <f>M707+L707</f>
        <v>667260000</v>
      </c>
      <c r="O707" s="934">
        <f t="shared" si="103"/>
        <v>-2455758400</v>
      </c>
      <c r="P707" s="955">
        <f t="shared" si="102"/>
        <v>21.365868353513385</v>
      </c>
      <c r="Q707" s="448"/>
      <c r="R707" s="995"/>
    </row>
    <row r="708" spans="1:18" s="254" customFormat="1" ht="14.1" customHeight="1">
      <c r="A708" s="303"/>
      <c r="B708" s="292"/>
      <c r="C708" s="292"/>
      <c r="D708" s="292"/>
      <c r="E708" s="292"/>
      <c r="F708" s="292"/>
      <c r="G708" s="842" t="s">
        <v>700</v>
      </c>
      <c r="H708" s="998" t="s">
        <v>50</v>
      </c>
      <c r="I708" s="253" t="s">
        <v>311</v>
      </c>
      <c r="J708" s="374">
        <v>3744139500</v>
      </c>
      <c r="K708" s="932">
        <f>'[57]TARGET MURNI DAN PERUBAHAN'!$E$394</f>
        <v>0</v>
      </c>
      <c r="L708" s="1009">
        <f>[62]PerDinas!$N$649</f>
        <v>483120000</v>
      </c>
      <c r="M708" s="932">
        <f>[55]Perdinas!$E$487</f>
        <v>0</v>
      </c>
      <c r="N708" s="954">
        <f t="shared" ref="N708:N715" si="104">M708+L708</f>
        <v>483120000</v>
      </c>
      <c r="O708" s="934">
        <f t="shared" si="103"/>
        <v>483120000</v>
      </c>
      <c r="P708" s="955" t="e">
        <f t="shared" si="102"/>
        <v>#DIV/0!</v>
      </c>
      <c r="Q708" s="1020"/>
      <c r="R708" s="990"/>
    </row>
    <row r="709" spans="1:18" s="254" customFormat="1" ht="14.1" customHeight="1">
      <c r="A709" s="303"/>
      <c r="B709" s="292"/>
      <c r="C709" s="292"/>
      <c r="D709" s="292"/>
      <c r="E709" s="292"/>
      <c r="F709" s="292"/>
      <c r="G709" s="842"/>
      <c r="H709" s="998" t="s">
        <v>50</v>
      </c>
      <c r="I709" s="253" t="s">
        <v>312</v>
      </c>
      <c r="J709" s="374">
        <v>4579282945</v>
      </c>
      <c r="K709" s="932">
        <f>'[57]TARGET MURNI DAN PERUBAHAN'!$E$395</f>
        <v>0</v>
      </c>
      <c r="L709" s="1009">
        <f>[62]PerDinas!$N$650</f>
        <v>565317500</v>
      </c>
      <c r="M709" s="932">
        <f>[55]Perdinas!$E$488</f>
        <v>0</v>
      </c>
      <c r="N709" s="954">
        <f t="shared" si="104"/>
        <v>565317500</v>
      </c>
      <c r="O709" s="934">
        <f t="shared" si="103"/>
        <v>565317500</v>
      </c>
      <c r="P709" s="955" t="e">
        <f t="shared" si="102"/>
        <v>#DIV/0!</v>
      </c>
      <c r="Q709" s="1020"/>
      <c r="R709" s="990"/>
    </row>
    <row r="710" spans="1:18" s="254" customFormat="1" ht="14.1" customHeight="1">
      <c r="A710" s="303"/>
      <c r="B710" s="292"/>
      <c r="C710" s="292"/>
      <c r="D710" s="292"/>
      <c r="E710" s="292"/>
      <c r="F710" s="292"/>
      <c r="G710" s="842"/>
      <c r="H710" s="998" t="s">
        <v>50</v>
      </c>
      <c r="I710" s="253" t="s">
        <v>313</v>
      </c>
      <c r="J710" s="374">
        <v>2681813070</v>
      </c>
      <c r="K710" s="932">
        <f>'[57]TARGET MURNI DAN PERUBAHAN'!$E$396</f>
        <v>0</v>
      </c>
      <c r="L710" s="1009">
        <f>[62]PerDinas!$N$651</f>
        <v>219368600</v>
      </c>
      <c r="M710" s="932">
        <f>[55]Perdinas!$E$489</f>
        <v>0</v>
      </c>
      <c r="N710" s="954">
        <f t="shared" si="104"/>
        <v>219368600</v>
      </c>
      <c r="O710" s="934">
        <f t="shared" si="103"/>
        <v>219368600</v>
      </c>
      <c r="P710" s="955" t="e">
        <f t="shared" si="102"/>
        <v>#DIV/0!</v>
      </c>
      <c r="Q710" s="1020"/>
      <c r="R710" s="990"/>
    </row>
    <row r="711" spans="1:18" s="254" customFormat="1" ht="14.1" customHeight="1">
      <c r="A711" s="303"/>
      <c r="B711" s="292"/>
      <c r="C711" s="292"/>
      <c r="D711" s="292"/>
      <c r="E711" s="292"/>
      <c r="F711" s="292"/>
      <c r="G711" s="842"/>
      <c r="H711" s="998" t="s">
        <v>50</v>
      </c>
      <c r="I711" s="253" t="s">
        <v>314</v>
      </c>
      <c r="J711" s="374">
        <v>3172873200</v>
      </c>
      <c r="K711" s="932">
        <f>'[57]TARGET MURNI DAN PERUBAHAN'!$E$397</f>
        <v>0</v>
      </c>
      <c r="L711" s="1009">
        <f>[62]PerDinas!$N$652</f>
        <v>189007500</v>
      </c>
      <c r="M711" s="932">
        <f>[55]Perdinas!$E$490</f>
        <v>0</v>
      </c>
      <c r="N711" s="954">
        <f t="shared" si="104"/>
        <v>189007500</v>
      </c>
      <c r="O711" s="934">
        <f t="shared" si="103"/>
        <v>189007500</v>
      </c>
      <c r="P711" s="955" t="e">
        <f t="shared" si="102"/>
        <v>#DIV/0!</v>
      </c>
      <c r="Q711" s="1020"/>
      <c r="R711" s="990"/>
    </row>
    <row r="712" spans="1:18" s="254" customFormat="1" ht="14.1" customHeight="1">
      <c r="A712" s="303"/>
      <c r="B712" s="292"/>
      <c r="C712" s="292"/>
      <c r="D712" s="292"/>
      <c r="E712" s="292"/>
      <c r="F712" s="292"/>
      <c r="G712" s="842"/>
      <c r="H712" s="998" t="s">
        <v>50</v>
      </c>
      <c r="I712" s="253" t="s">
        <v>315</v>
      </c>
      <c r="J712" s="374">
        <v>934279200</v>
      </c>
      <c r="K712" s="932">
        <f>'[57]TARGET MURNI DAN PERUBAHAN'!$E$398</f>
        <v>0</v>
      </c>
      <c r="L712" s="1009">
        <f>[62]PerDinas!$N$653</f>
        <v>73205040</v>
      </c>
      <c r="M712" s="932">
        <f>[55]Perdinas!$E$491</f>
        <v>0</v>
      </c>
      <c r="N712" s="954">
        <f t="shared" si="104"/>
        <v>73205040</v>
      </c>
      <c r="O712" s="934">
        <f t="shared" si="103"/>
        <v>73205040</v>
      </c>
      <c r="P712" s="955" t="e">
        <f t="shared" si="102"/>
        <v>#DIV/0!</v>
      </c>
      <c r="Q712" s="1020"/>
      <c r="R712" s="990"/>
    </row>
    <row r="713" spans="1:18" s="254" customFormat="1" ht="14.1" customHeight="1">
      <c r="A713" s="303"/>
      <c r="B713" s="292"/>
      <c r="C713" s="292"/>
      <c r="D713" s="292"/>
      <c r="E713" s="292"/>
      <c r="F713" s="292"/>
      <c r="G713" s="842"/>
      <c r="H713" s="998" t="s">
        <v>50</v>
      </c>
      <c r="I713" s="253" t="s">
        <v>316</v>
      </c>
      <c r="J713" s="374">
        <v>4033153950</v>
      </c>
      <c r="K713" s="932">
        <f>'[57]TARGET MURNI DAN PERUBAHAN'!$E$399</f>
        <v>0</v>
      </c>
      <c r="L713" s="1009">
        <f>[62]PerDinas!$N$654</f>
        <v>549587500</v>
      </c>
      <c r="M713" s="932">
        <f>[55]Perdinas!$E$492</f>
        <v>0</v>
      </c>
      <c r="N713" s="954">
        <f t="shared" si="104"/>
        <v>549587500</v>
      </c>
      <c r="O713" s="934">
        <f t="shared" si="103"/>
        <v>549587500</v>
      </c>
      <c r="P713" s="955" t="e">
        <f t="shared" si="102"/>
        <v>#DIV/0!</v>
      </c>
      <c r="Q713" s="1020"/>
      <c r="R713" s="990"/>
    </row>
    <row r="714" spans="1:18" s="254" customFormat="1" ht="14.1" customHeight="1">
      <c r="A714" s="706"/>
      <c r="B714" s="287"/>
      <c r="C714" s="287"/>
      <c r="D714" s="287"/>
      <c r="E714" s="287"/>
      <c r="F714" s="287"/>
      <c r="G714" s="851"/>
      <c r="H714" s="999" t="s">
        <v>50</v>
      </c>
      <c r="I714" s="410" t="s">
        <v>317</v>
      </c>
      <c r="J714" s="708">
        <v>1080108600</v>
      </c>
      <c r="K714" s="932">
        <f>'[57]TARGET MURNI DAN PERUBAHAN'!$E$400</f>
        <v>0</v>
      </c>
      <c r="L714" s="1009">
        <f>[62]PerDinas!$N$655</f>
        <v>73205003</v>
      </c>
      <c r="M714" s="932">
        <f>[55]Perdinas!$E$493</f>
        <v>0</v>
      </c>
      <c r="N714" s="1010">
        <f t="shared" si="104"/>
        <v>73205003</v>
      </c>
      <c r="O714" s="970">
        <f t="shared" si="103"/>
        <v>73205003</v>
      </c>
      <c r="P714" s="971" t="e">
        <f t="shared" si="102"/>
        <v>#DIV/0!</v>
      </c>
      <c r="Q714" s="1021"/>
      <c r="R714" s="990"/>
    </row>
    <row r="715" spans="1:18" s="254" customFormat="1" ht="14.1" customHeight="1">
      <c r="A715" s="303"/>
      <c r="B715" s="292"/>
      <c r="C715" s="292"/>
      <c r="D715" s="292"/>
      <c r="E715" s="292"/>
      <c r="F715" s="292"/>
      <c r="G715" s="842"/>
      <c r="H715" s="998" t="s">
        <v>50</v>
      </c>
      <c r="I715" s="253" t="s">
        <v>318</v>
      </c>
      <c r="J715" s="374">
        <v>439053135</v>
      </c>
      <c r="K715" s="932">
        <f>'[57]TARGET MURNI DAN PERUBAHAN'!$E$401</f>
        <v>0</v>
      </c>
      <c r="L715" s="1009">
        <f>[62]PerDinas!$N$656</f>
        <v>0</v>
      </c>
      <c r="M715" s="932">
        <f>[55]Perdinas!$E$494</f>
        <v>0</v>
      </c>
      <c r="N715" s="934">
        <f t="shared" si="104"/>
        <v>0</v>
      </c>
      <c r="O715" s="934">
        <f t="shared" si="103"/>
        <v>0</v>
      </c>
      <c r="P715" s="955" t="e">
        <f t="shared" si="102"/>
        <v>#DIV/0!</v>
      </c>
      <c r="Q715" s="1022"/>
      <c r="R715" s="990"/>
    </row>
    <row r="716" spans="1:18" s="255" customFormat="1" ht="14.1" customHeight="1">
      <c r="A716" s="303"/>
      <c r="B716" s="290">
        <v>4</v>
      </c>
      <c r="C716" s="290">
        <v>1</v>
      </c>
      <c r="D716" s="290">
        <v>4</v>
      </c>
      <c r="E716" s="290" t="s">
        <v>948</v>
      </c>
      <c r="F716" s="290" t="s">
        <v>437</v>
      </c>
      <c r="G716" s="291" t="s">
        <v>1047</v>
      </c>
      <c r="H716" s="291"/>
      <c r="I716" s="291"/>
      <c r="J716" s="603">
        <v>0</v>
      </c>
      <c r="K716" s="604">
        <v>0</v>
      </c>
      <c r="L716" s="1009">
        <v>0</v>
      </c>
      <c r="M716" s="939"/>
      <c r="N716" s="939">
        <f>SUM(N717:N728)</f>
        <v>0</v>
      </c>
      <c r="O716" s="1011">
        <f t="shared" si="103"/>
        <v>0</v>
      </c>
      <c r="P716" s="1012"/>
      <c r="Q716" s="1023"/>
      <c r="R716" s="996"/>
    </row>
    <row r="717" spans="1:18" s="254" customFormat="1" ht="14.1" customHeight="1">
      <c r="A717" s="303"/>
      <c r="B717" s="292"/>
      <c r="C717" s="292"/>
      <c r="D717" s="292"/>
      <c r="E717" s="292"/>
      <c r="F717" s="292"/>
      <c r="G717" s="842" t="s">
        <v>50</v>
      </c>
      <c r="H717" s="842"/>
      <c r="I717" s="253" t="s">
        <v>1048</v>
      </c>
      <c r="J717" s="374"/>
      <c r="K717" s="375"/>
      <c r="L717" s="1009">
        <v>0</v>
      </c>
      <c r="M717" s="932">
        <v>0</v>
      </c>
      <c r="N717" s="934">
        <f t="shared" ref="N717:N729" si="105">M717+L717</f>
        <v>0</v>
      </c>
      <c r="O717" s="934">
        <f t="shared" si="103"/>
        <v>0</v>
      </c>
      <c r="P717" s="978"/>
      <c r="Q717" s="1021"/>
      <c r="R717" s="990"/>
    </row>
    <row r="718" spans="1:18" s="254" customFormat="1" ht="14.1" customHeight="1">
      <c r="A718" s="303"/>
      <c r="B718" s="292"/>
      <c r="C718" s="292"/>
      <c r="D718" s="292"/>
      <c r="E718" s="292"/>
      <c r="F718" s="292"/>
      <c r="G718" s="842" t="s">
        <v>50</v>
      </c>
      <c r="H718" s="842"/>
      <c r="I718" s="253" t="s">
        <v>1049</v>
      </c>
      <c r="J718" s="374"/>
      <c r="K718" s="375"/>
      <c r="L718" s="1009">
        <v>0</v>
      </c>
      <c r="M718" s="932">
        <v>0</v>
      </c>
      <c r="N718" s="934">
        <f t="shared" si="105"/>
        <v>0</v>
      </c>
      <c r="O718" s="934">
        <f t="shared" si="103"/>
        <v>0</v>
      </c>
      <c r="P718" s="978"/>
      <c r="Q718" s="1021"/>
      <c r="R718" s="990"/>
    </row>
    <row r="719" spans="1:18" s="254" customFormat="1" ht="14.1" customHeight="1">
      <c r="A719" s="303"/>
      <c r="B719" s="292"/>
      <c r="C719" s="292"/>
      <c r="D719" s="292"/>
      <c r="E719" s="292"/>
      <c r="F719" s="292"/>
      <c r="G719" s="842" t="s">
        <v>50</v>
      </c>
      <c r="H719" s="842"/>
      <c r="I719" s="253" t="s">
        <v>1050</v>
      </c>
      <c r="J719" s="374"/>
      <c r="K719" s="375"/>
      <c r="L719" s="1009">
        <v>0</v>
      </c>
      <c r="M719" s="932">
        <v>0</v>
      </c>
      <c r="N719" s="934">
        <f t="shared" si="105"/>
        <v>0</v>
      </c>
      <c r="O719" s="934">
        <f t="shared" si="103"/>
        <v>0</v>
      </c>
      <c r="P719" s="978"/>
      <c r="Q719" s="548"/>
      <c r="R719" s="990"/>
    </row>
    <row r="720" spans="1:18" s="254" customFormat="1" ht="14.1" customHeight="1">
      <c r="A720" s="303"/>
      <c r="B720" s="292"/>
      <c r="C720" s="292"/>
      <c r="D720" s="292"/>
      <c r="E720" s="292"/>
      <c r="F720" s="292"/>
      <c r="G720" s="842" t="s">
        <v>50</v>
      </c>
      <c r="H720" s="842"/>
      <c r="I720" s="253" t="s">
        <v>310</v>
      </c>
      <c r="J720" s="374"/>
      <c r="K720" s="375"/>
      <c r="L720" s="1009">
        <v>0</v>
      </c>
      <c r="M720" s="932">
        <v>0</v>
      </c>
      <c r="N720" s="934">
        <f t="shared" si="105"/>
        <v>0</v>
      </c>
      <c r="O720" s="934">
        <f t="shared" si="103"/>
        <v>0</v>
      </c>
      <c r="P720" s="955"/>
      <c r="Q720" s="548"/>
      <c r="R720" s="990"/>
    </row>
    <row r="721" spans="1:18" s="254" customFormat="1" ht="14.1" customHeight="1">
      <c r="A721" s="303"/>
      <c r="B721" s="292"/>
      <c r="C721" s="292"/>
      <c r="D721" s="292"/>
      <c r="E721" s="292"/>
      <c r="F721" s="292"/>
      <c r="G721" s="842" t="s">
        <v>50</v>
      </c>
      <c r="H721" s="842"/>
      <c r="I721" s="253" t="s">
        <v>311</v>
      </c>
      <c r="J721" s="374"/>
      <c r="K721" s="375"/>
      <c r="L721" s="1009">
        <v>0</v>
      </c>
      <c r="M721" s="932">
        <v>0</v>
      </c>
      <c r="N721" s="934">
        <f t="shared" si="105"/>
        <v>0</v>
      </c>
      <c r="O721" s="934">
        <f t="shared" si="103"/>
        <v>0</v>
      </c>
      <c r="P721" s="955"/>
      <c r="Q721" s="548"/>
      <c r="R721" s="990"/>
    </row>
    <row r="722" spans="1:18" s="254" customFormat="1" ht="14.1" customHeight="1">
      <c r="A722" s="303"/>
      <c r="B722" s="292"/>
      <c r="C722" s="292"/>
      <c r="D722" s="292"/>
      <c r="E722" s="292"/>
      <c r="F722" s="292"/>
      <c r="G722" s="842" t="s">
        <v>50</v>
      </c>
      <c r="H722" s="842"/>
      <c r="I722" s="253" t="s">
        <v>312</v>
      </c>
      <c r="J722" s="374"/>
      <c r="K722" s="375"/>
      <c r="L722" s="1009">
        <v>0</v>
      </c>
      <c r="M722" s="932">
        <v>0</v>
      </c>
      <c r="N722" s="934">
        <f t="shared" si="105"/>
        <v>0</v>
      </c>
      <c r="O722" s="934">
        <f t="shared" si="103"/>
        <v>0</v>
      </c>
      <c r="P722" s="955"/>
      <c r="Q722" s="548"/>
      <c r="R722" s="990"/>
    </row>
    <row r="723" spans="1:18" s="254" customFormat="1" ht="14.1" customHeight="1">
      <c r="A723" s="303"/>
      <c r="B723" s="292"/>
      <c r="C723" s="292"/>
      <c r="D723" s="292"/>
      <c r="E723" s="292"/>
      <c r="F723" s="292"/>
      <c r="G723" s="842" t="s">
        <v>50</v>
      </c>
      <c r="H723" s="842"/>
      <c r="I723" s="253" t="s">
        <v>313</v>
      </c>
      <c r="J723" s="374"/>
      <c r="K723" s="375"/>
      <c r="L723" s="1009">
        <v>0</v>
      </c>
      <c r="M723" s="932">
        <v>0</v>
      </c>
      <c r="N723" s="934">
        <f t="shared" si="105"/>
        <v>0</v>
      </c>
      <c r="O723" s="934">
        <f t="shared" si="103"/>
        <v>0</v>
      </c>
      <c r="P723" s="955"/>
      <c r="Q723" s="548"/>
      <c r="R723" s="990"/>
    </row>
    <row r="724" spans="1:18" s="254" customFormat="1" ht="14.1" customHeight="1">
      <c r="A724" s="303"/>
      <c r="B724" s="292"/>
      <c r="C724" s="292"/>
      <c r="D724" s="292"/>
      <c r="E724" s="292"/>
      <c r="F724" s="292"/>
      <c r="G724" s="842" t="s">
        <v>50</v>
      </c>
      <c r="H724" s="842"/>
      <c r="I724" s="253" t="s">
        <v>314</v>
      </c>
      <c r="J724" s="374"/>
      <c r="K724" s="375"/>
      <c r="L724" s="1009">
        <v>0</v>
      </c>
      <c r="M724" s="932">
        <v>0</v>
      </c>
      <c r="N724" s="934">
        <f t="shared" si="105"/>
        <v>0</v>
      </c>
      <c r="O724" s="934">
        <f t="shared" si="103"/>
        <v>0</v>
      </c>
      <c r="P724" s="955"/>
      <c r="Q724" s="548"/>
      <c r="R724" s="990"/>
    </row>
    <row r="725" spans="1:18" s="254" customFormat="1" ht="14.1" customHeight="1">
      <c r="A725" s="303"/>
      <c r="B725" s="292"/>
      <c r="C725" s="292"/>
      <c r="D725" s="292"/>
      <c r="E725" s="292"/>
      <c r="F725" s="292"/>
      <c r="G725" s="842" t="s">
        <v>50</v>
      </c>
      <c r="H725" s="842"/>
      <c r="I725" s="253" t="s">
        <v>315</v>
      </c>
      <c r="J725" s="374"/>
      <c r="K725" s="375"/>
      <c r="L725" s="1009">
        <v>0</v>
      </c>
      <c r="M725" s="932">
        <v>0</v>
      </c>
      <c r="N725" s="934">
        <f t="shared" si="105"/>
        <v>0</v>
      </c>
      <c r="O725" s="934">
        <f t="shared" si="103"/>
        <v>0</v>
      </c>
      <c r="P725" s="955"/>
      <c r="Q725" s="548"/>
      <c r="R725" s="990"/>
    </row>
    <row r="726" spans="1:18" s="254" customFormat="1" ht="14.1" customHeight="1">
      <c r="A726" s="303"/>
      <c r="B726" s="292"/>
      <c r="C726" s="292"/>
      <c r="D726" s="292"/>
      <c r="E726" s="292"/>
      <c r="F726" s="292"/>
      <c r="G726" s="842" t="s">
        <v>50</v>
      </c>
      <c r="H726" s="842"/>
      <c r="I726" s="253" t="s">
        <v>316</v>
      </c>
      <c r="J726" s="374"/>
      <c r="K726" s="375"/>
      <c r="L726" s="1009">
        <v>0</v>
      </c>
      <c r="M726" s="932">
        <v>0</v>
      </c>
      <c r="N726" s="934">
        <f t="shared" si="105"/>
        <v>0</v>
      </c>
      <c r="O726" s="934">
        <f t="shared" si="103"/>
        <v>0</v>
      </c>
      <c r="P726" s="955"/>
      <c r="Q726" s="548"/>
      <c r="R726" s="990"/>
    </row>
    <row r="727" spans="1:18" s="254" customFormat="1" ht="14.1" customHeight="1">
      <c r="A727" s="303"/>
      <c r="B727" s="292"/>
      <c r="C727" s="292"/>
      <c r="D727" s="292"/>
      <c r="E727" s="292"/>
      <c r="F727" s="292"/>
      <c r="G727" s="842" t="s">
        <v>50</v>
      </c>
      <c r="H727" s="842"/>
      <c r="I727" s="253" t="s">
        <v>317</v>
      </c>
      <c r="J727" s="374"/>
      <c r="K727" s="375"/>
      <c r="L727" s="1009">
        <v>0</v>
      </c>
      <c r="M727" s="932">
        <v>0</v>
      </c>
      <c r="N727" s="930">
        <f t="shared" si="105"/>
        <v>0</v>
      </c>
      <c r="O727" s="934">
        <f t="shared" si="103"/>
        <v>0</v>
      </c>
      <c r="P727" s="955"/>
      <c r="Q727" s="548"/>
      <c r="R727" s="990"/>
    </row>
    <row r="728" spans="1:18" s="254" customFormat="1" ht="14.1" customHeight="1">
      <c r="A728" s="293"/>
      <c r="B728" s="292"/>
      <c r="C728" s="292"/>
      <c r="D728" s="292"/>
      <c r="E728" s="292"/>
      <c r="F728" s="292"/>
      <c r="G728" s="842" t="s">
        <v>50</v>
      </c>
      <c r="H728" s="253"/>
      <c r="I728" s="253" t="s">
        <v>318</v>
      </c>
      <c r="J728" s="374"/>
      <c r="K728" s="375"/>
      <c r="L728" s="1009">
        <v>0</v>
      </c>
      <c r="M728" s="932">
        <v>0</v>
      </c>
      <c r="N728" s="934">
        <f t="shared" si="105"/>
        <v>0</v>
      </c>
      <c r="O728" s="932"/>
      <c r="P728" s="978"/>
      <c r="Q728" s="448"/>
      <c r="R728" s="990"/>
    </row>
    <row r="729" spans="1:18" s="254" customFormat="1" ht="14.1" customHeight="1">
      <c r="A729" s="303"/>
      <c r="B729" s="292"/>
      <c r="C729" s="292"/>
      <c r="D729" s="292"/>
      <c r="E729" s="292"/>
      <c r="F729" s="292"/>
      <c r="G729" s="5870" t="s">
        <v>76</v>
      </c>
      <c r="H729" s="5842"/>
      <c r="I729" s="5842"/>
      <c r="J729" s="397">
        <v>0</v>
      </c>
      <c r="K729" s="398">
        <v>0</v>
      </c>
      <c r="L729" s="981">
        <f>SUM(L730:L730)</f>
        <v>0</v>
      </c>
      <c r="M729" s="929">
        <f>SUM(M730:M730)</f>
        <v>0</v>
      </c>
      <c r="N729" s="929">
        <f t="shared" si="105"/>
        <v>0</v>
      </c>
      <c r="O729" s="930">
        <f>N729-K729</f>
        <v>0</v>
      </c>
      <c r="P729" s="955">
        <v>0</v>
      </c>
      <c r="Q729" s="448"/>
      <c r="R729" s="990"/>
    </row>
    <row r="730" spans="1:18" s="254" customFormat="1" ht="14.1" customHeight="1">
      <c r="A730" s="805"/>
      <c r="B730" s="305"/>
      <c r="C730" s="305"/>
      <c r="D730" s="305"/>
      <c r="E730" s="305"/>
      <c r="F730" s="305"/>
      <c r="G730" s="1000"/>
      <c r="H730" s="1001" t="s">
        <v>50</v>
      </c>
      <c r="I730" s="306" t="s">
        <v>632</v>
      </c>
      <c r="J730" s="499">
        <v>0</v>
      </c>
      <c r="K730" s="379">
        <v>0</v>
      </c>
      <c r="L730" s="1013">
        <v>0</v>
      </c>
      <c r="M730" s="1014">
        <v>0</v>
      </c>
      <c r="N730" s="1015">
        <v>0</v>
      </c>
      <c r="O730" s="1015">
        <v>0</v>
      </c>
      <c r="P730" s="1016">
        <v>0</v>
      </c>
      <c r="Q730" s="549"/>
      <c r="R730" s="990"/>
    </row>
    <row r="731" spans="1:18" s="245" customFormat="1" ht="14.1" customHeight="1">
      <c r="A731" s="1002"/>
      <c r="B731" s="469"/>
      <c r="C731" s="469"/>
      <c r="D731" s="469"/>
      <c r="E731" s="469"/>
      <c r="F731" s="469"/>
      <c r="J731" s="400"/>
      <c r="K731" s="711"/>
      <c r="L731" s="711"/>
      <c r="M731" s="711"/>
      <c r="N731" s="711"/>
      <c r="O731" s="711"/>
      <c r="P731" s="712"/>
      <c r="Q731" s="733"/>
      <c r="R731" s="450"/>
    </row>
    <row r="732" spans="1:18" s="244" customFormat="1" ht="12.05" customHeight="1">
      <c r="A732" s="283" t="s">
        <v>305</v>
      </c>
      <c r="B732" s="284" t="s">
        <v>58</v>
      </c>
      <c r="C732" s="284" t="s">
        <v>852</v>
      </c>
      <c r="D732" s="284" t="s">
        <v>437</v>
      </c>
      <c r="E732" s="284"/>
      <c r="F732" s="284"/>
      <c r="G732" s="298" t="s">
        <v>405</v>
      </c>
      <c r="H732" s="298"/>
      <c r="I732" s="298"/>
      <c r="J732" s="336">
        <f>+J734</f>
        <v>300000000</v>
      </c>
      <c r="K732" s="337">
        <f>+K734</f>
        <v>6838151500</v>
      </c>
      <c r="L732" s="337">
        <f>+L734</f>
        <v>4381244290</v>
      </c>
      <c r="M732" s="337">
        <f>+M734</f>
        <v>13724929</v>
      </c>
      <c r="N732" s="337">
        <f>M732+L732</f>
        <v>4394969219</v>
      </c>
      <c r="O732" s="337">
        <f>+N732-K732</f>
        <v>-2443182281</v>
      </c>
      <c r="P732" s="338">
        <f>+N732/K732*100</f>
        <v>64.27130517655246</v>
      </c>
      <c r="Q732" s="432"/>
      <c r="R732" s="433"/>
    </row>
    <row r="733" spans="1:18" s="189" customFormat="1" ht="12.05" customHeight="1">
      <c r="A733" s="471"/>
      <c r="B733" s="287"/>
      <c r="C733" s="287"/>
      <c r="D733" s="287"/>
      <c r="E733" s="287"/>
      <c r="F733" s="287"/>
      <c r="G733" s="288"/>
      <c r="H733" s="288"/>
      <c r="I733" s="288"/>
      <c r="J733" s="385"/>
      <c r="K733" s="386"/>
      <c r="L733" s="386"/>
      <c r="M733" s="386"/>
      <c r="N733" s="386"/>
      <c r="O733" s="386"/>
      <c r="P733" s="341"/>
      <c r="Q733" s="1024"/>
      <c r="R733" s="422"/>
    </row>
    <row r="734" spans="1:18" s="189" customFormat="1" ht="12.05" customHeight="1">
      <c r="A734" s="293"/>
      <c r="B734" s="290">
        <v>4</v>
      </c>
      <c r="C734" s="290">
        <v>1</v>
      </c>
      <c r="D734" s="290"/>
      <c r="E734" s="290"/>
      <c r="F734" s="290"/>
      <c r="G734" s="291" t="s">
        <v>180</v>
      </c>
      <c r="H734" s="291"/>
      <c r="I734" s="291"/>
      <c r="J734" s="342">
        <f>+J736+J742</f>
        <v>300000000</v>
      </c>
      <c r="K734" s="343">
        <f>+K736+K742</f>
        <v>6838151500</v>
      </c>
      <c r="L734" s="343">
        <f>+L736+L742</f>
        <v>4381244290</v>
      </c>
      <c r="M734" s="343">
        <f>+M736+M742</f>
        <v>13724929</v>
      </c>
      <c r="N734" s="343">
        <f>+M734+L734</f>
        <v>4394969219</v>
      </c>
      <c r="O734" s="343">
        <f t="shared" ref="O734:O740" si="106">N734-K734</f>
        <v>-2443182281</v>
      </c>
      <c r="P734" s="344">
        <f t="shared" ref="P734:P740" si="107">N734/K734*100</f>
        <v>64.27130517655246</v>
      </c>
      <c r="Q734" s="1025"/>
      <c r="R734" s="422"/>
    </row>
    <row r="735" spans="1:18" s="189" customFormat="1" ht="12.05" customHeight="1">
      <c r="A735" s="293"/>
      <c r="B735" s="292"/>
      <c r="C735" s="292"/>
      <c r="D735" s="292"/>
      <c r="E735" s="292"/>
      <c r="F735" s="292"/>
      <c r="G735" s="253"/>
      <c r="H735" s="253"/>
      <c r="I735" s="291"/>
      <c r="J735" s="345"/>
      <c r="K735" s="346"/>
      <c r="L735" s="660"/>
      <c r="M735" s="346"/>
      <c r="N735" s="346"/>
      <c r="O735" s="346"/>
      <c r="P735" s="347"/>
      <c r="Q735" s="1025"/>
      <c r="R735" s="422"/>
    </row>
    <row r="736" spans="1:18" s="189" customFormat="1" ht="12.05" customHeight="1">
      <c r="A736" s="293"/>
      <c r="B736" s="290">
        <v>4</v>
      </c>
      <c r="C736" s="290">
        <v>1</v>
      </c>
      <c r="D736" s="290">
        <v>2</v>
      </c>
      <c r="E736" s="290"/>
      <c r="F736" s="290"/>
      <c r="G736" s="291" t="s">
        <v>106</v>
      </c>
      <c r="H736" s="291"/>
      <c r="I736" s="291"/>
      <c r="J736" s="348">
        <f>+J738</f>
        <v>300000000</v>
      </c>
      <c r="K736" s="349">
        <f>+K738</f>
        <v>150000000</v>
      </c>
      <c r="L736" s="589">
        <f>+L738</f>
        <v>457180000</v>
      </c>
      <c r="M736" s="349">
        <f>+M738</f>
        <v>7000000</v>
      </c>
      <c r="N736" s="349">
        <f>+M736+L736</f>
        <v>464180000</v>
      </c>
      <c r="O736" s="349">
        <f t="shared" si="106"/>
        <v>314180000</v>
      </c>
      <c r="P736" s="350">
        <f t="shared" si="107"/>
        <v>309.45333333333332</v>
      </c>
      <c r="Q736" s="1025"/>
      <c r="R736" s="422"/>
    </row>
    <row r="737" spans="1:19" s="189" customFormat="1" ht="12.05" customHeight="1">
      <c r="A737" s="293"/>
      <c r="B737" s="292"/>
      <c r="C737" s="292"/>
      <c r="D737" s="292"/>
      <c r="E737" s="292"/>
      <c r="F737" s="292"/>
      <c r="G737" s="253"/>
      <c r="H737" s="253"/>
      <c r="I737" s="253"/>
      <c r="J737" s="354"/>
      <c r="K737" s="355"/>
      <c r="L737" s="360"/>
      <c r="M737" s="355"/>
      <c r="N737" s="355"/>
      <c r="O737" s="355"/>
      <c r="P737" s="388"/>
      <c r="Q737" s="1025"/>
      <c r="R737" s="422"/>
    </row>
    <row r="738" spans="1:19" s="189" customFormat="1" ht="12.05" customHeight="1">
      <c r="A738" s="293"/>
      <c r="B738" s="292">
        <v>4</v>
      </c>
      <c r="C738" s="292">
        <v>1</v>
      </c>
      <c r="D738" s="292">
        <v>2</v>
      </c>
      <c r="E738" s="292" t="s">
        <v>438</v>
      </c>
      <c r="F738" s="292"/>
      <c r="G738" s="253" t="s">
        <v>374</v>
      </c>
      <c r="H738" s="253"/>
      <c r="I738" s="253"/>
      <c r="J738" s="484">
        <f>+J739+J740</f>
        <v>300000000</v>
      </c>
      <c r="K738" s="485">
        <f>+K739+K740</f>
        <v>150000000</v>
      </c>
      <c r="L738" s="486">
        <f>+L739+L740</f>
        <v>457180000</v>
      </c>
      <c r="M738" s="485">
        <f>+M739+M740</f>
        <v>7000000</v>
      </c>
      <c r="N738" s="412">
        <f>+M738+L738</f>
        <v>464180000</v>
      </c>
      <c r="O738" s="412">
        <f t="shared" si="106"/>
        <v>314180000</v>
      </c>
      <c r="P738" s="487">
        <f t="shared" si="107"/>
        <v>309.45333333333332</v>
      </c>
      <c r="Q738" s="1025"/>
      <c r="R738" s="422"/>
    </row>
    <row r="739" spans="1:19" s="189" customFormat="1" ht="12.05" customHeight="1">
      <c r="A739" s="293"/>
      <c r="B739" s="292">
        <v>4</v>
      </c>
      <c r="C739" s="292">
        <v>1</v>
      </c>
      <c r="D739" s="292">
        <v>2</v>
      </c>
      <c r="E739" s="292" t="s">
        <v>438</v>
      </c>
      <c r="F739" s="292" t="s">
        <v>440</v>
      </c>
      <c r="G739" s="253" t="s">
        <v>304</v>
      </c>
      <c r="H739" s="253"/>
      <c r="I739" s="253"/>
      <c r="J739" s="351">
        <v>300000000</v>
      </c>
      <c r="K739" s="1017">
        <f>'[57]TARGET MURNI DAN PERUBAHAN'!$E$407</f>
        <v>70000000</v>
      </c>
      <c r="L739" s="362">
        <f>[62]PerDinas!$N$680</f>
        <v>318900000</v>
      </c>
      <c r="M739" s="1017">
        <f>[55]Perdinas!$E$500</f>
        <v>0</v>
      </c>
      <c r="N739" s="361">
        <f>M739+L739</f>
        <v>318900000</v>
      </c>
      <c r="O739" s="334">
        <f t="shared" si="106"/>
        <v>248900000</v>
      </c>
      <c r="P739" s="335">
        <f t="shared" si="107"/>
        <v>455.57142857142861</v>
      </c>
      <c r="Q739" s="1025"/>
      <c r="R739" s="422"/>
    </row>
    <row r="740" spans="1:19" s="189" customFormat="1" ht="12.05" customHeight="1">
      <c r="A740" s="289"/>
      <c r="B740" s="292">
        <v>4</v>
      </c>
      <c r="C740" s="292">
        <v>1</v>
      </c>
      <c r="D740" s="292">
        <v>2</v>
      </c>
      <c r="E740" s="292" t="s">
        <v>438</v>
      </c>
      <c r="F740" s="292" t="s">
        <v>437</v>
      </c>
      <c r="G740" s="1003" t="s">
        <v>64</v>
      </c>
      <c r="H740" s="253"/>
      <c r="I740" s="253"/>
      <c r="J740" s="351">
        <v>0</v>
      </c>
      <c r="K740" s="352">
        <f>'[57]TARGET MURNI DAN PERUBAHAN'!$E$408</f>
        <v>80000000</v>
      </c>
      <c r="L740" s="362">
        <f>[62]PerDinas!$N$681</f>
        <v>138280000</v>
      </c>
      <c r="M740" s="352">
        <f>[55]Perdinas!$E$501</f>
        <v>7000000</v>
      </c>
      <c r="N740" s="361">
        <f>M740+L740</f>
        <v>145280000</v>
      </c>
      <c r="O740" s="334">
        <f t="shared" si="106"/>
        <v>65280000</v>
      </c>
      <c r="P740" s="335">
        <f t="shared" si="107"/>
        <v>181.6</v>
      </c>
      <c r="Q740" s="1025"/>
      <c r="R740" s="422"/>
    </row>
    <row r="741" spans="1:19" s="189" customFormat="1" ht="12.05" customHeight="1">
      <c r="A741" s="293"/>
      <c r="B741" s="292"/>
      <c r="C741" s="292"/>
      <c r="D741" s="292"/>
      <c r="E741" s="292"/>
      <c r="F741" s="292"/>
      <c r="G741" s="253"/>
      <c r="H741" s="253"/>
      <c r="I741" s="253"/>
      <c r="J741" s="354"/>
      <c r="K741" s="355"/>
      <c r="L741" s="360"/>
      <c r="M741" s="355"/>
      <c r="N741" s="355"/>
      <c r="O741" s="355"/>
      <c r="P741" s="388"/>
      <c r="Q741" s="1025"/>
      <c r="R741" s="422"/>
    </row>
    <row r="742" spans="1:19" s="189" customFormat="1" ht="12.05" customHeight="1">
      <c r="A742" s="293"/>
      <c r="B742" s="290">
        <v>4</v>
      </c>
      <c r="C742" s="290">
        <v>1</v>
      </c>
      <c r="D742" s="290">
        <v>4</v>
      </c>
      <c r="E742" s="290"/>
      <c r="F742" s="290"/>
      <c r="G742" s="291" t="s">
        <v>71</v>
      </c>
      <c r="H742" s="291"/>
      <c r="I742" s="291"/>
      <c r="J742" s="392">
        <f>J743</f>
        <v>0</v>
      </c>
      <c r="K742" s="393">
        <f>K743+K748+K750+K744</f>
        <v>6688151500</v>
      </c>
      <c r="L742" s="393">
        <f>L743+L748+L750+L744</f>
        <v>3924064290</v>
      </c>
      <c r="M742" s="393">
        <f>M743+M748</f>
        <v>6724929</v>
      </c>
      <c r="N742" s="393">
        <f>M742+L742</f>
        <v>3930789219</v>
      </c>
      <c r="O742" s="349">
        <f>N742-K742</f>
        <v>-2757362281</v>
      </c>
      <c r="P742" s="350">
        <f>N742/K742*100</f>
        <v>58.772430902619355</v>
      </c>
      <c r="Q742" s="1025"/>
      <c r="R742" s="422"/>
    </row>
    <row r="743" spans="1:19" s="189" customFormat="1" ht="12.05" customHeight="1">
      <c r="A743" s="289"/>
      <c r="B743" s="292">
        <v>4</v>
      </c>
      <c r="C743" s="292">
        <v>1</v>
      </c>
      <c r="D743" s="292">
        <v>4</v>
      </c>
      <c r="E743" s="292" t="s">
        <v>444</v>
      </c>
      <c r="F743" s="292"/>
      <c r="G743" s="253" t="s">
        <v>222</v>
      </c>
      <c r="H743" s="253"/>
      <c r="I743" s="253"/>
      <c r="J743" s="484">
        <f>+J746</f>
        <v>0</v>
      </c>
      <c r="K743" s="485">
        <f>+K746</f>
        <v>0</v>
      </c>
      <c r="L743" s="485">
        <f>+L746</f>
        <v>0</v>
      </c>
      <c r="M743" s="485">
        <f>SUM(M744:M746)</f>
        <v>6724929</v>
      </c>
      <c r="N743" s="485">
        <f>SUM(N744:N746)</f>
        <v>6724929</v>
      </c>
      <c r="O743" s="412">
        <f>N743-K743</f>
        <v>6724929</v>
      </c>
      <c r="P743" s="478">
        <v>0</v>
      </c>
      <c r="Q743" s="1025"/>
      <c r="R743" s="555">
        <f>M732-[57]Perdinas!$P$458</f>
        <v>-966177802</v>
      </c>
      <c r="S743" s="189" t="s">
        <v>1074</v>
      </c>
    </row>
    <row r="744" spans="1:19" s="189" customFormat="1" ht="12.05" customHeight="1">
      <c r="A744" s="289"/>
      <c r="B744" s="292">
        <v>4</v>
      </c>
      <c r="C744" s="292">
        <v>1</v>
      </c>
      <c r="D744" s="292">
        <v>4</v>
      </c>
      <c r="E744" s="292" t="s">
        <v>441</v>
      </c>
      <c r="F744" s="292" t="s">
        <v>437</v>
      </c>
      <c r="G744" s="253" t="s">
        <v>710</v>
      </c>
      <c r="H744" s="253"/>
      <c r="I744" s="253"/>
      <c r="J744" s="354"/>
      <c r="K744" s="355"/>
      <c r="L744" s="360">
        <v>0</v>
      </c>
      <c r="M744" s="355">
        <f>[55]Perdinas!$E$505</f>
        <v>0</v>
      </c>
      <c r="N744" s="369">
        <f>M744+L744</f>
        <v>0</v>
      </c>
      <c r="O744" s="355">
        <f>N744-K744</f>
        <v>0</v>
      </c>
      <c r="P744" s="388"/>
      <c r="Q744" s="1025"/>
      <c r="R744" s="422"/>
    </row>
    <row r="745" spans="1:19" s="189" customFormat="1" ht="12.05" customHeight="1">
      <c r="A745" s="289"/>
      <c r="B745" s="292">
        <v>4</v>
      </c>
      <c r="C745" s="292">
        <v>1</v>
      </c>
      <c r="D745" s="292">
        <v>4</v>
      </c>
      <c r="E745" s="292" t="s">
        <v>444</v>
      </c>
      <c r="F745" s="292" t="s">
        <v>445</v>
      </c>
      <c r="G745" s="253" t="s">
        <v>74</v>
      </c>
      <c r="H745" s="253"/>
      <c r="I745" s="253"/>
      <c r="J745" s="354">
        <v>0</v>
      </c>
      <c r="K745" s="355">
        <v>0</v>
      </c>
      <c r="L745" s="360">
        <v>0</v>
      </c>
      <c r="M745" s="355">
        <f>[55]Perdinas!$E$506</f>
        <v>0</v>
      </c>
      <c r="N745" s="355">
        <f>M745+L745</f>
        <v>0</v>
      </c>
      <c r="O745" s="355">
        <f>N745-K745</f>
        <v>0</v>
      </c>
      <c r="P745" s="388"/>
      <c r="Q745" s="1025"/>
      <c r="R745" s="422"/>
    </row>
    <row r="746" spans="1:19" s="189" customFormat="1" ht="12.05" customHeight="1">
      <c r="A746" s="289"/>
      <c r="B746" s="292">
        <v>4</v>
      </c>
      <c r="C746" s="292">
        <v>1</v>
      </c>
      <c r="D746" s="292">
        <v>4</v>
      </c>
      <c r="E746" s="292" t="s">
        <v>444</v>
      </c>
      <c r="F746" s="292" t="s">
        <v>441</v>
      </c>
      <c r="G746" s="253" t="s">
        <v>75</v>
      </c>
      <c r="H746" s="253"/>
      <c r="I746" s="253"/>
      <c r="J746" s="354">
        <v>0</v>
      </c>
      <c r="K746" s="373">
        <f>'[57]TARGET MURNI DAN PERUBAHAN'!$E$413</f>
        <v>0</v>
      </c>
      <c r="L746" s="360">
        <f>[62]PerDinas!$N$687</f>
        <v>0</v>
      </c>
      <c r="M746" s="373">
        <f>[55]Perdinas!$E$507</f>
        <v>6724929</v>
      </c>
      <c r="N746" s="369">
        <f>M746+L746</f>
        <v>6724929</v>
      </c>
      <c r="O746" s="355">
        <f>N746-K746</f>
        <v>6724929</v>
      </c>
      <c r="P746" s="388"/>
      <c r="Q746" s="1025"/>
      <c r="R746" s="422"/>
    </row>
    <row r="747" spans="1:19" s="189" customFormat="1" ht="12.05" customHeight="1">
      <c r="A747" s="289"/>
      <c r="B747" s="292"/>
      <c r="C747" s="292"/>
      <c r="D747" s="292"/>
      <c r="E747" s="292"/>
      <c r="F747" s="292"/>
      <c r="G747" s="253"/>
      <c r="H747" s="253"/>
      <c r="I747" s="253"/>
      <c r="J747" s="354"/>
      <c r="K747" s="355"/>
      <c r="L747" s="360"/>
      <c r="M747" s="355"/>
      <c r="N747" s="355"/>
      <c r="O747" s="355"/>
      <c r="P747" s="388"/>
      <c r="Q747" s="1025"/>
      <c r="R747" s="422"/>
    </row>
    <row r="748" spans="1:19" s="189" customFormat="1" ht="12.05" customHeight="1">
      <c r="A748" s="293"/>
      <c r="B748" s="292">
        <v>4</v>
      </c>
      <c r="C748" s="292">
        <v>1</v>
      </c>
      <c r="D748" s="292">
        <v>4</v>
      </c>
      <c r="E748" s="292" t="s">
        <v>948</v>
      </c>
      <c r="F748" s="292"/>
      <c r="G748" s="410" t="s">
        <v>321</v>
      </c>
      <c r="H748" s="410"/>
      <c r="I748" s="410"/>
      <c r="J748" s="489">
        <f>+J749</f>
        <v>0</v>
      </c>
      <c r="K748" s="512">
        <f>K749</f>
        <v>0</v>
      </c>
      <c r="L748" s="512">
        <f>L749</f>
        <v>0</v>
      </c>
      <c r="M748" s="512">
        <f>+M749</f>
        <v>0</v>
      </c>
      <c r="N748" s="1018">
        <f>+M748+L748</f>
        <v>0</v>
      </c>
      <c r="O748" s="412">
        <f>N748-K748</f>
        <v>0</v>
      </c>
      <c r="P748" s="487">
        <v>0</v>
      </c>
      <c r="Q748" s="1025"/>
      <c r="R748" s="422"/>
    </row>
    <row r="749" spans="1:19" s="189" customFormat="1" ht="12.05" customHeight="1">
      <c r="A749" s="293"/>
      <c r="B749" s="292">
        <v>4</v>
      </c>
      <c r="C749" s="292">
        <v>1</v>
      </c>
      <c r="D749" s="292">
        <v>4</v>
      </c>
      <c r="E749" s="292" t="s">
        <v>948</v>
      </c>
      <c r="F749" s="292" t="s">
        <v>437</v>
      </c>
      <c r="G749" s="2760" t="s">
        <v>50</v>
      </c>
      <c r="H749" s="253" t="s">
        <v>631</v>
      </c>
      <c r="I749" s="253"/>
      <c r="J749" s="494">
        <f>+J750</f>
        <v>0</v>
      </c>
      <c r="K749" s="495">
        <v>0</v>
      </c>
      <c r="L749" s="689">
        <v>0</v>
      </c>
      <c r="M749" s="496">
        <f>+M750</f>
        <v>0</v>
      </c>
      <c r="N749" s="523">
        <f>M749+L749</f>
        <v>0</v>
      </c>
      <c r="O749" s="497">
        <f>N749-K749</f>
        <v>0</v>
      </c>
      <c r="P749" s="498">
        <v>0</v>
      </c>
      <c r="Q749" s="1025"/>
      <c r="R749" s="422"/>
    </row>
    <row r="750" spans="1:19" s="189" customFormat="1" ht="12.05" customHeight="1">
      <c r="A750" s="293"/>
      <c r="B750" s="292"/>
      <c r="C750" s="292"/>
      <c r="D750" s="292"/>
      <c r="E750" s="292"/>
      <c r="F750" s="292"/>
      <c r="G750" s="253" t="s">
        <v>50</v>
      </c>
      <c r="H750" s="253" t="s">
        <v>998</v>
      </c>
      <c r="I750" s="253"/>
      <c r="J750" s="374">
        <v>0</v>
      </c>
      <c r="K750" s="1019">
        <f>'[57]TARGET MURNI DAN PERUBAHAN'!$E$414</f>
        <v>6688151500</v>
      </c>
      <c r="L750" s="377">
        <f>[62]PerDinas!$N$691</f>
        <v>3924064290</v>
      </c>
      <c r="M750" s="1019">
        <f>[55]Perdinas!$E$509</f>
        <v>0</v>
      </c>
      <c r="N750" s="369">
        <f>M750+L750</f>
        <v>3924064290</v>
      </c>
      <c r="O750" s="355">
        <f>N750-K750</f>
        <v>-2764087210</v>
      </c>
      <c r="P750" s="388">
        <v>0</v>
      </c>
      <c r="Q750" s="1025"/>
      <c r="R750" s="422"/>
    </row>
    <row r="751" spans="1:19" s="245" customFormat="1" ht="12.05" customHeight="1">
      <c r="A751" s="472"/>
      <c r="B751" s="305"/>
      <c r="C751" s="305"/>
      <c r="D751" s="305"/>
      <c r="E751" s="305"/>
      <c r="F751" s="305"/>
      <c r="G751" s="306"/>
      <c r="H751" s="306"/>
      <c r="I751" s="306"/>
      <c r="J751" s="499"/>
      <c r="K751" s="379"/>
      <c r="L751" s="379"/>
      <c r="M751" s="379"/>
      <c r="N751" s="380"/>
      <c r="O751" s="380"/>
      <c r="P751" s="501"/>
      <c r="Q751" s="1026"/>
      <c r="R751" s="450"/>
    </row>
    <row r="752" spans="1:19" s="244" customFormat="1" ht="12.05" customHeight="1">
      <c r="A752" s="283" t="s">
        <v>325</v>
      </c>
      <c r="B752" s="284" t="s">
        <v>460</v>
      </c>
      <c r="C752" s="284" t="s">
        <v>437</v>
      </c>
      <c r="D752" s="284" t="s">
        <v>445</v>
      </c>
      <c r="E752" s="284"/>
      <c r="F752" s="284"/>
      <c r="G752" s="298" t="s">
        <v>850</v>
      </c>
      <c r="H752" s="298"/>
      <c r="I752" s="298"/>
      <c r="J752" s="336">
        <f>+J754</f>
        <v>33900000</v>
      </c>
      <c r="K752" s="337">
        <f>+K754</f>
        <v>224176362</v>
      </c>
      <c r="L752" s="337">
        <f>+L754</f>
        <v>8937464</v>
      </c>
      <c r="M752" s="337">
        <f>+M754</f>
        <v>0</v>
      </c>
      <c r="N752" s="337">
        <f>M752+L752</f>
        <v>8937464</v>
      </c>
      <c r="O752" s="337">
        <f>+N752-K752</f>
        <v>-215238898</v>
      </c>
      <c r="P752" s="338">
        <f>+N752/K752*100</f>
        <v>3.9868003567655359</v>
      </c>
      <c r="Q752" s="432"/>
      <c r="R752" s="639"/>
      <c r="S752" s="434">
        <v>8937464</v>
      </c>
    </row>
    <row r="753" spans="1:19" s="189" customFormat="1" ht="12.05" customHeight="1">
      <c r="A753" s="471"/>
      <c r="B753" s="287"/>
      <c r="C753" s="287"/>
      <c r="D753" s="287"/>
      <c r="E753" s="287"/>
      <c r="F753" s="287"/>
      <c r="G753" s="288"/>
      <c r="H753" s="288"/>
      <c r="I753" s="288"/>
      <c r="J753" s="385"/>
      <c r="K753" s="386"/>
      <c r="L753" s="386"/>
      <c r="M753" s="386"/>
      <c r="N753" s="386"/>
      <c r="O753" s="386"/>
      <c r="P753" s="341"/>
      <c r="Q753" s="841"/>
      <c r="R753" s="422"/>
      <c r="S753" s="786">
        <f>S752-N752</f>
        <v>0</v>
      </c>
    </row>
    <row r="754" spans="1:19" s="189" customFormat="1" ht="12.05" customHeight="1">
      <c r="A754" s="293"/>
      <c r="B754" s="290">
        <v>4</v>
      </c>
      <c r="C754" s="290">
        <v>1</v>
      </c>
      <c r="D754" s="290"/>
      <c r="E754" s="290"/>
      <c r="F754" s="290"/>
      <c r="G754" s="291" t="s">
        <v>180</v>
      </c>
      <c r="H754" s="291"/>
      <c r="I754" s="291"/>
      <c r="J754" s="342">
        <f>+J757</f>
        <v>33900000</v>
      </c>
      <c r="K754" s="343">
        <f>+K757</f>
        <v>224176362</v>
      </c>
      <c r="L754" s="343">
        <f>+L757</f>
        <v>8937464</v>
      </c>
      <c r="M754" s="343">
        <f>+M757</f>
        <v>0</v>
      </c>
      <c r="N754" s="343">
        <f>+M754+L754</f>
        <v>8937464</v>
      </c>
      <c r="O754" s="343">
        <f t="shared" ref="O754:O761" si="108">N754-K754</f>
        <v>-215238898</v>
      </c>
      <c r="P754" s="344">
        <f>N754/K754*100</f>
        <v>3.9868003567655359</v>
      </c>
      <c r="Q754" s="437"/>
      <c r="R754" s="422"/>
      <c r="S754" s="786"/>
    </row>
    <row r="755" spans="1:19" s="189" customFormat="1" ht="12.05" customHeight="1">
      <c r="A755" s="293"/>
      <c r="B755" s="292"/>
      <c r="C755" s="292"/>
      <c r="D755" s="292"/>
      <c r="E755" s="292"/>
      <c r="F755" s="292"/>
      <c r="G755" s="253"/>
      <c r="H755" s="253"/>
      <c r="I755" s="291"/>
      <c r="J755" s="387"/>
      <c r="K755" s="367"/>
      <c r="L755" s="367"/>
      <c r="M755" s="367"/>
      <c r="N755" s="367"/>
      <c r="O755" s="367"/>
      <c r="P755" s="347"/>
      <c r="Q755" s="454"/>
      <c r="R755" s="422"/>
      <c r="S755" s="786"/>
    </row>
    <row r="756" spans="1:19" s="189" customFormat="1" ht="12.05" customHeight="1">
      <c r="A756" s="293"/>
      <c r="B756" s="292"/>
      <c r="C756" s="292"/>
      <c r="D756" s="292"/>
      <c r="E756" s="292"/>
      <c r="F756" s="292"/>
      <c r="G756" s="253"/>
      <c r="H756" s="253"/>
      <c r="I756" s="253"/>
      <c r="J756" s="354"/>
      <c r="K756" s="355"/>
      <c r="L756" s="355"/>
      <c r="M756" s="355"/>
      <c r="N756" s="355"/>
      <c r="O756" s="355"/>
      <c r="P756" s="388"/>
      <c r="Q756" s="441"/>
      <c r="R756" s="422"/>
    </row>
    <row r="757" spans="1:19" s="189" customFormat="1" ht="12.05" customHeight="1">
      <c r="A757" s="465"/>
      <c r="B757" s="466">
        <v>4</v>
      </c>
      <c r="C757" s="466">
        <v>1</v>
      </c>
      <c r="D757" s="466">
        <v>4</v>
      </c>
      <c r="E757" s="466"/>
      <c r="F757" s="466"/>
      <c r="G757" s="467" t="s">
        <v>71</v>
      </c>
      <c r="H757" s="467"/>
      <c r="I757" s="467"/>
      <c r="J757" s="329">
        <f>+J758+J763</f>
        <v>33900000</v>
      </c>
      <c r="K757" s="330">
        <f>+K758+K763</f>
        <v>224176362</v>
      </c>
      <c r="L757" s="330">
        <f>L758+L763</f>
        <v>8937464</v>
      </c>
      <c r="M757" s="330">
        <f>M758+M763</f>
        <v>0</v>
      </c>
      <c r="N757" s="330">
        <f>N758+N763</f>
        <v>8937464</v>
      </c>
      <c r="O757" s="343">
        <f t="shared" si="108"/>
        <v>-215238898</v>
      </c>
      <c r="P757" s="344">
        <f>N757/K757*100</f>
        <v>3.9868003567655359</v>
      </c>
      <c r="Q757" s="445"/>
      <c r="R757" s="422"/>
    </row>
    <row r="758" spans="1:19" s="189" customFormat="1" ht="12.05" customHeight="1">
      <c r="A758" s="564"/>
      <c r="B758" s="565">
        <v>4</v>
      </c>
      <c r="C758" s="565">
        <v>1</v>
      </c>
      <c r="D758" s="565">
        <v>4</v>
      </c>
      <c r="E758" s="565" t="s">
        <v>444</v>
      </c>
      <c r="F758" s="565"/>
      <c r="G758" s="566" t="s">
        <v>222</v>
      </c>
      <c r="H758" s="566"/>
      <c r="I758" s="566"/>
      <c r="J758" s="484">
        <f>+J761</f>
        <v>0</v>
      </c>
      <c r="K758" s="485">
        <f>+K761</f>
        <v>0</v>
      </c>
      <c r="L758" s="485">
        <f>SUM(L759:L761)</f>
        <v>8137464</v>
      </c>
      <c r="M758" s="485">
        <f>SUM(M759:M761)</f>
        <v>0</v>
      </c>
      <c r="N758" s="485">
        <f>SUM(N759:N761)</f>
        <v>8137464</v>
      </c>
      <c r="O758" s="412">
        <f t="shared" si="108"/>
        <v>8137464</v>
      </c>
      <c r="P758" s="487">
        <v>0</v>
      </c>
      <c r="Q758" s="541"/>
      <c r="R758" s="422"/>
    </row>
    <row r="759" spans="1:19" s="189" customFormat="1" ht="12.05" customHeight="1">
      <c r="A759" s="286"/>
      <c r="B759" s="287">
        <v>4</v>
      </c>
      <c r="C759" s="287">
        <v>1</v>
      </c>
      <c r="D759" s="287">
        <v>4</v>
      </c>
      <c r="E759" s="287" t="s">
        <v>444</v>
      </c>
      <c r="F759" s="287" t="s">
        <v>440</v>
      </c>
      <c r="G759" s="410" t="s">
        <v>73</v>
      </c>
      <c r="H759" s="410"/>
      <c r="I759" s="410"/>
      <c r="J759" s="389">
        <v>0</v>
      </c>
      <c r="K759" s="357">
        <v>0</v>
      </c>
      <c r="L759" s="357">
        <v>0</v>
      </c>
      <c r="M759" s="357">
        <f>[55]Perdinas!$E$514</f>
        <v>0</v>
      </c>
      <c r="N759" s="357">
        <f>M759+L759</f>
        <v>0</v>
      </c>
      <c r="O759" s="357">
        <f t="shared" si="108"/>
        <v>0</v>
      </c>
      <c r="P759" s="358"/>
      <c r="Q759" s="442"/>
      <c r="R759" s="422"/>
    </row>
    <row r="760" spans="1:19" s="189" customFormat="1" ht="12.05" customHeight="1">
      <c r="A760" s="289"/>
      <c r="B760" s="292">
        <v>4</v>
      </c>
      <c r="C760" s="292">
        <v>1</v>
      </c>
      <c r="D760" s="292">
        <v>4</v>
      </c>
      <c r="E760" s="292" t="s">
        <v>444</v>
      </c>
      <c r="F760" s="292" t="s">
        <v>445</v>
      </c>
      <c r="G760" s="253" t="s">
        <v>74</v>
      </c>
      <c r="H760" s="253"/>
      <c r="I760" s="253"/>
      <c r="J760" s="354">
        <v>0</v>
      </c>
      <c r="K760" s="355">
        <v>0</v>
      </c>
      <c r="L760" s="355">
        <v>0</v>
      </c>
      <c r="M760" s="355">
        <f>[55]Perdinas!$E$515</f>
        <v>0</v>
      </c>
      <c r="N760" s="355">
        <f>M760+L760</f>
        <v>0</v>
      </c>
      <c r="O760" s="355">
        <f t="shared" si="108"/>
        <v>0</v>
      </c>
      <c r="P760" s="388"/>
      <c r="Q760" s="441"/>
      <c r="R760" s="422"/>
    </row>
    <row r="761" spans="1:19" s="189" customFormat="1" ht="12.05" customHeight="1">
      <c r="A761" s="289"/>
      <c r="B761" s="292">
        <v>4</v>
      </c>
      <c r="C761" s="292">
        <v>1</v>
      </c>
      <c r="D761" s="292">
        <v>4</v>
      </c>
      <c r="E761" s="292" t="s">
        <v>444</v>
      </c>
      <c r="F761" s="292" t="s">
        <v>441</v>
      </c>
      <c r="G761" s="253" t="s">
        <v>75</v>
      </c>
      <c r="H761" s="253"/>
      <c r="I761" s="253"/>
      <c r="J761" s="354">
        <v>0</v>
      </c>
      <c r="K761" s="355">
        <f>'[57]TARGET MURNI DAN PERUBAHAN'!$E$420</f>
        <v>0</v>
      </c>
      <c r="L761" s="355">
        <f>[62]PerDinas!$N$702</f>
        <v>8137464</v>
      </c>
      <c r="M761" s="355">
        <f>[55]Perdinas!$E$516</f>
        <v>0</v>
      </c>
      <c r="N761" s="369">
        <f>M761+L761</f>
        <v>8137464</v>
      </c>
      <c r="O761" s="355">
        <f t="shared" si="108"/>
        <v>8137464</v>
      </c>
      <c r="P761" s="388"/>
      <c r="Q761" s="441"/>
      <c r="R761" s="422"/>
    </row>
    <row r="762" spans="1:19" s="189" customFormat="1" ht="12.05" customHeight="1">
      <c r="A762" s="289"/>
      <c r="B762" s="292"/>
      <c r="C762" s="292"/>
      <c r="D762" s="292"/>
      <c r="E762" s="292"/>
      <c r="F762" s="292"/>
      <c r="G762" s="253"/>
      <c r="H762" s="253"/>
      <c r="I762" s="253"/>
      <c r="J762" s="354"/>
      <c r="K762" s="355"/>
      <c r="L762" s="355"/>
      <c r="M762" s="355"/>
      <c r="N762" s="355"/>
      <c r="O762" s="355"/>
      <c r="P762" s="388"/>
      <c r="Q762" s="441"/>
      <c r="R762" s="422"/>
    </row>
    <row r="763" spans="1:19" s="189" customFormat="1" ht="12.05" customHeight="1">
      <c r="A763" s="293"/>
      <c r="B763" s="292">
        <v>4</v>
      </c>
      <c r="C763" s="292">
        <v>1</v>
      </c>
      <c r="D763" s="292">
        <v>4</v>
      </c>
      <c r="E763" s="292" t="s">
        <v>948</v>
      </c>
      <c r="F763" s="292"/>
      <c r="G763" s="410" t="s">
        <v>321</v>
      </c>
      <c r="H763" s="410"/>
      <c r="I763" s="410"/>
      <c r="J763" s="494">
        <f>+J764</f>
        <v>33900000</v>
      </c>
      <c r="K763" s="495">
        <f>+K764</f>
        <v>224176362</v>
      </c>
      <c r="L763" s="495">
        <f>+L764</f>
        <v>800000</v>
      </c>
      <c r="M763" s="495">
        <f>+M764</f>
        <v>0</v>
      </c>
      <c r="N763" s="396">
        <f>+M763+L763</f>
        <v>800000</v>
      </c>
      <c r="O763" s="396">
        <f>N763-K763</f>
        <v>-223376362</v>
      </c>
      <c r="P763" s="344">
        <f>N763/K763*100</f>
        <v>0.35686188894438386</v>
      </c>
      <c r="Q763" s="548"/>
      <c r="R763" s="422"/>
    </row>
    <row r="764" spans="1:19" s="189" customFormat="1" ht="12.05" customHeight="1">
      <c r="A764" s="293"/>
      <c r="B764" s="292">
        <v>4</v>
      </c>
      <c r="C764" s="292">
        <v>1</v>
      </c>
      <c r="D764" s="292">
        <v>4</v>
      </c>
      <c r="E764" s="292" t="s">
        <v>948</v>
      </c>
      <c r="F764" s="292" t="s">
        <v>437</v>
      </c>
      <c r="G764" s="253" t="s">
        <v>85</v>
      </c>
      <c r="H764" s="253"/>
      <c r="I764" s="253"/>
      <c r="J764" s="680">
        <f>J765+J766</f>
        <v>33900000</v>
      </c>
      <c r="K764" s="681">
        <f>K765+K766</f>
        <v>224176362</v>
      </c>
      <c r="L764" s="682">
        <f>L765+L766</f>
        <v>800000</v>
      </c>
      <c r="M764" s="681">
        <f>M765+M766</f>
        <v>0</v>
      </c>
      <c r="N764" s="681">
        <f>M764+L764</f>
        <v>800000</v>
      </c>
      <c r="O764" s="527">
        <f>N764-K764</f>
        <v>-223376362</v>
      </c>
      <c r="P764" s="405">
        <f>N764/K764*100</f>
        <v>0.35686188894438386</v>
      </c>
      <c r="Q764" s="698"/>
      <c r="R764" s="422"/>
    </row>
    <row r="765" spans="1:19" s="189" customFormat="1" ht="12.05" customHeight="1">
      <c r="A765" s="293"/>
      <c r="B765" s="292"/>
      <c r="C765" s="292"/>
      <c r="D765" s="292"/>
      <c r="E765" s="292"/>
      <c r="F765" s="292"/>
      <c r="G765" s="253" t="s">
        <v>50</v>
      </c>
      <c r="H765" s="253"/>
      <c r="I765" s="253" t="s">
        <v>999</v>
      </c>
      <c r="J765" s="708">
        <v>14000000</v>
      </c>
      <c r="K765" s="722">
        <f>'[57]TARGET MURNI DAN PERUBAHAN'!$E$421</f>
        <v>220076362</v>
      </c>
      <c r="L765" s="710">
        <f>[62]PerDinas!$N$706</f>
        <v>0</v>
      </c>
      <c r="M765" s="722">
        <f>[55]Perdinas!$E$517</f>
        <v>0</v>
      </c>
      <c r="N765" s="357">
        <f>M765+L765</f>
        <v>0</v>
      </c>
      <c r="O765" s="357">
        <f>N765-K765</f>
        <v>-220076362</v>
      </c>
      <c r="P765" s="344">
        <f>N765/K765*100</f>
        <v>0</v>
      </c>
      <c r="Q765" s="732"/>
      <c r="R765" s="422"/>
    </row>
    <row r="766" spans="1:19" s="189" customFormat="1" ht="12.05" customHeight="1">
      <c r="A766" s="293"/>
      <c r="B766" s="292"/>
      <c r="C766" s="292"/>
      <c r="D766" s="292"/>
      <c r="E766" s="292"/>
      <c r="F766" s="292"/>
      <c r="G766" s="253" t="s">
        <v>50</v>
      </c>
      <c r="H766" s="253"/>
      <c r="I766" s="253" t="s">
        <v>85</v>
      </c>
      <c r="J766" s="494">
        <v>19900000</v>
      </c>
      <c r="K766" s="495">
        <f>'[57]TARGET MURNI DAN PERUBAHAN'!$E$422</f>
        <v>4100000</v>
      </c>
      <c r="L766" s="710">
        <f>[62]PerDinas!$N$707</f>
        <v>800000</v>
      </c>
      <c r="M766" s="495">
        <f>[55]Perdinas!$E$518</f>
        <v>0</v>
      </c>
      <c r="N766" s="415">
        <f>M766+L766</f>
        <v>800000</v>
      </c>
      <c r="O766" s="357">
        <f>N766-K766</f>
        <v>-3300000</v>
      </c>
      <c r="P766" s="344">
        <f>N766/K766*100</f>
        <v>19.512195121951219</v>
      </c>
      <c r="Q766" s="732"/>
      <c r="R766" s="554"/>
    </row>
    <row r="767" spans="1:19" s="245" customFormat="1" ht="12.05" customHeight="1">
      <c r="A767" s="472"/>
      <c r="B767" s="305"/>
      <c r="C767" s="305"/>
      <c r="D767" s="305"/>
      <c r="E767" s="305"/>
      <c r="F767" s="305"/>
      <c r="G767" s="306"/>
      <c r="H767" s="306"/>
      <c r="I767" s="306"/>
      <c r="J767" s="536"/>
      <c r="K767" s="380"/>
      <c r="L767" s="380"/>
      <c r="M767" s="380"/>
      <c r="N767" s="380"/>
      <c r="O767" s="380"/>
      <c r="P767" s="501"/>
      <c r="Q767" s="560"/>
      <c r="R767" s="450"/>
    </row>
    <row r="768" spans="1:19" s="244" customFormat="1" ht="12.05" customHeight="1">
      <c r="A768" s="283" t="s">
        <v>333</v>
      </c>
      <c r="B768" s="284" t="s">
        <v>58</v>
      </c>
      <c r="C768" s="284" t="s">
        <v>437</v>
      </c>
      <c r="D768" s="284" t="s">
        <v>438</v>
      </c>
      <c r="E768" s="284"/>
      <c r="F768" s="284"/>
      <c r="G768" s="298" t="s">
        <v>853</v>
      </c>
      <c r="H768" s="298"/>
      <c r="I768" s="298"/>
      <c r="J768" s="336">
        <f>+J770</f>
        <v>100000000</v>
      </c>
      <c r="K768" s="337">
        <f>+K770</f>
        <v>54165800</v>
      </c>
      <c r="L768" s="337">
        <f>+L770</f>
        <v>25822515</v>
      </c>
      <c r="M768" s="337">
        <f>+M770</f>
        <v>210000</v>
      </c>
      <c r="N768" s="337">
        <f>M768+L768</f>
        <v>26032515</v>
      </c>
      <c r="O768" s="337">
        <f>+N768-K768</f>
        <v>-28133285</v>
      </c>
      <c r="P768" s="338">
        <f>+N768/K768*100</f>
        <v>48.060796665054333</v>
      </c>
      <c r="Q768" s="432"/>
      <c r="R768" s="639"/>
    </row>
    <row r="769" spans="1:18" s="189" customFormat="1" ht="12.05" customHeight="1">
      <c r="A769" s="286"/>
      <c r="B769" s="287"/>
      <c r="C769" s="287"/>
      <c r="D769" s="287"/>
      <c r="E769" s="287"/>
      <c r="F769" s="287"/>
      <c r="G769" s="288"/>
      <c r="H769" s="288"/>
      <c r="I769" s="288"/>
      <c r="J769" s="339"/>
      <c r="K769" s="340"/>
      <c r="L769" s="340"/>
      <c r="M769" s="340"/>
      <c r="N769" s="340"/>
      <c r="O769" s="340"/>
      <c r="P769" s="341"/>
      <c r="Q769" s="435"/>
      <c r="R769" s="422"/>
    </row>
    <row r="770" spans="1:18" s="189" customFormat="1" ht="12.05" customHeight="1">
      <c r="A770" s="289"/>
      <c r="B770" s="290">
        <v>4</v>
      </c>
      <c r="C770" s="290">
        <v>1</v>
      </c>
      <c r="D770" s="290"/>
      <c r="E770" s="290"/>
      <c r="F770" s="290"/>
      <c r="G770" s="291" t="s">
        <v>180</v>
      </c>
      <c r="H770" s="291"/>
      <c r="I770" s="291"/>
      <c r="J770" s="342">
        <f>+J773</f>
        <v>100000000</v>
      </c>
      <c r="K770" s="343">
        <f>+K773</f>
        <v>54165800</v>
      </c>
      <c r="L770" s="343">
        <f>+L773</f>
        <v>25822515</v>
      </c>
      <c r="M770" s="343">
        <f>+M773</f>
        <v>210000</v>
      </c>
      <c r="N770" s="343">
        <f>+M770+L770</f>
        <v>26032515</v>
      </c>
      <c r="O770" s="343">
        <f t="shared" ref="O770:O777" si="109">N770-K770</f>
        <v>-28133285</v>
      </c>
      <c r="P770" s="344">
        <f>N770/K770*100</f>
        <v>48.060796665054333</v>
      </c>
      <c r="Q770" s="437"/>
      <c r="R770" s="422"/>
    </row>
    <row r="771" spans="1:18" s="189" customFormat="1" ht="12.05" customHeight="1">
      <c r="A771" s="289"/>
      <c r="B771" s="292"/>
      <c r="C771" s="292"/>
      <c r="D771" s="292"/>
      <c r="E771" s="292"/>
      <c r="F771" s="292"/>
      <c r="G771" s="253"/>
      <c r="H771" s="253"/>
      <c r="I771" s="291"/>
      <c r="J771" s="345"/>
      <c r="K771" s="346"/>
      <c r="L771" s="346"/>
      <c r="M771" s="346"/>
      <c r="N771" s="346"/>
      <c r="O771" s="346"/>
      <c r="P771" s="347"/>
      <c r="Q771" s="438"/>
      <c r="R771" s="422"/>
    </row>
    <row r="772" spans="1:18" s="189" customFormat="1" ht="12.05" customHeight="1">
      <c r="A772" s="289"/>
      <c r="B772" s="292"/>
      <c r="C772" s="292"/>
      <c r="D772" s="292"/>
      <c r="E772" s="292"/>
      <c r="F772" s="292"/>
      <c r="G772" s="253"/>
      <c r="H772" s="253"/>
      <c r="I772" s="253"/>
      <c r="J772" s="354"/>
      <c r="K772" s="355"/>
      <c r="L772" s="355"/>
      <c r="M772" s="355"/>
      <c r="N772" s="355"/>
      <c r="O772" s="355"/>
      <c r="P772" s="388"/>
      <c r="Q772" s="441"/>
      <c r="R772" s="422"/>
    </row>
    <row r="773" spans="1:18" s="189" customFormat="1" ht="12.05" customHeight="1">
      <c r="A773" s="289"/>
      <c r="B773" s="290">
        <v>4</v>
      </c>
      <c r="C773" s="290">
        <v>1</v>
      </c>
      <c r="D773" s="290">
        <v>4</v>
      </c>
      <c r="E773" s="290"/>
      <c r="F773" s="290"/>
      <c r="G773" s="291" t="s">
        <v>71</v>
      </c>
      <c r="H773" s="291"/>
      <c r="I773" s="291"/>
      <c r="J773" s="363">
        <f>J774+J779</f>
        <v>100000000</v>
      </c>
      <c r="K773" s="364">
        <f>K774+K779</f>
        <v>54165800</v>
      </c>
      <c r="L773" s="393">
        <f>L774+L779</f>
        <v>25822515</v>
      </c>
      <c r="M773" s="393">
        <f>M774+M779</f>
        <v>210000</v>
      </c>
      <c r="N773" s="393">
        <f>N774+N779</f>
        <v>26032515</v>
      </c>
      <c r="O773" s="349">
        <f t="shared" si="109"/>
        <v>-28133285</v>
      </c>
      <c r="P773" s="350">
        <f>N773/K773*100</f>
        <v>48.060796665054333</v>
      </c>
      <c r="Q773" s="444"/>
      <c r="R773" s="422"/>
    </row>
    <row r="774" spans="1:18" s="189" customFormat="1" ht="12.05" customHeight="1">
      <c r="A774" s="289"/>
      <c r="B774" s="292">
        <v>4</v>
      </c>
      <c r="C774" s="292">
        <v>1</v>
      </c>
      <c r="D774" s="292">
        <v>4</v>
      </c>
      <c r="E774" s="292" t="s">
        <v>444</v>
      </c>
      <c r="F774" s="292"/>
      <c r="G774" s="253" t="s">
        <v>222</v>
      </c>
      <c r="H774" s="253"/>
      <c r="I774" s="253"/>
      <c r="J774" s="484">
        <f>+J777</f>
        <v>0</v>
      </c>
      <c r="K774" s="485">
        <f>+K777</f>
        <v>0</v>
      </c>
      <c r="L774" s="527">
        <f>SUM(L775:L777)</f>
        <v>21392515</v>
      </c>
      <c r="M774" s="527">
        <f>SUM(M775:M777)</f>
        <v>210000</v>
      </c>
      <c r="N774" s="527">
        <f>SUM(N775:N777)</f>
        <v>21602515</v>
      </c>
      <c r="O774" s="529">
        <f t="shared" si="109"/>
        <v>21602515</v>
      </c>
      <c r="P774" s="478">
        <v>0</v>
      </c>
      <c r="Q774" s="541"/>
      <c r="R774" s="422"/>
    </row>
    <row r="775" spans="1:18" s="189" customFormat="1" ht="12.05" customHeight="1">
      <c r="A775" s="289"/>
      <c r="B775" s="292">
        <v>4</v>
      </c>
      <c r="C775" s="292">
        <v>1</v>
      </c>
      <c r="D775" s="292">
        <v>4</v>
      </c>
      <c r="E775" s="292" t="s">
        <v>444</v>
      </c>
      <c r="F775" s="292" t="s">
        <v>440</v>
      </c>
      <c r="G775" s="253" t="s">
        <v>73</v>
      </c>
      <c r="H775" s="253"/>
      <c r="I775" s="253"/>
      <c r="J775" s="484">
        <f>+J778</f>
        <v>0</v>
      </c>
      <c r="K775" s="485">
        <f>+K778</f>
        <v>0</v>
      </c>
      <c r="L775" s="360">
        <v>0</v>
      </c>
      <c r="M775" s="355">
        <f>[55]Perdinas!$E$523</f>
        <v>0</v>
      </c>
      <c r="N775" s="355">
        <f>M775+L775</f>
        <v>0</v>
      </c>
      <c r="O775" s="355">
        <f t="shared" si="109"/>
        <v>0</v>
      </c>
      <c r="P775" s="388"/>
      <c r="Q775" s="441"/>
      <c r="R775" s="422"/>
    </row>
    <row r="776" spans="1:18" s="189" customFormat="1" ht="12.05" customHeight="1">
      <c r="A776" s="289"/>
      <c r="B776" s="292">
        <v>4</v>
      </c>
      <c r="C776" s="292">
        <v>1</v>
      </c>
      <c r="D776" s="292">
        <v>4</v>
      </c>
      <c r="E776" s="292" t="s">
        <v>444</v>
      </c>
      <c r="F776" s="292" t="s">
        <v>445</v>
      </c>
      <c r="G776" s="253" t="s">
        <v>74</v>
      </c>
      <c r="H776" s="253"/>
      <c r="I776" s="253"/>
      <c r="J776" s="354"/>
      <c r="K776" s="355"/>
      <c r="L776" s="360">
        <v>0</v>
      </c>
      <c r="M776" s="355">
        <f>[55]Perdinas!$E$524</f>
        <v>0</v>
      </c>
      <c r="N776" s="355">
        <f>M776+L776</f>
        <v>0</v>
      </c>
      <c r="O776" s="355">
        <f t="shared" si="109"/>
        <v>0</v>
      </c>
      <c r="P776" s="388"/>
      <c r="Q776" s="441"/>
      <c r="R776" s="422"/>
    </row>
    <row r="777" spans="1:18" s="189" customFormat="1" ht="12.05" customHeight="1">
      <c r="A777" s="289"/>
      <c r="B777" s="292">
        <v>4</v>
      </c>
      <c r="C777" s="292">
        <v>1</v>
      </c>
      <c r="D777" s="292">
        <v>4</v>
      </c>
      <c r="E777" s="292" t="s">
        <v>444</v>
      </c>
      <c r="F777" s="292" t="s">
        <v>441</v>
      </c>
      <c r="G777" s="253" t="s">
        <v>75</v>
      </c>
      <c r="H777" s="253"/>
      <c r="I777" s="253"/>
      <c r="J777" s="354"/>
      <c r="K777" s="355">
        <f>'[57]TARGET MURNI DAN PERUBAHAN'!$E$428</f>
        <v>0</v>
      </c>
      <c r="L777" s="360">
        <f>[62]PerDinas!$N$718</f>
        <v>21392515</v>
      </c>
      <c r="M777" s="355">
        <f>[55]Perdinas!$E$525</f>
        <v>210000</v>
      </c>
      <c r="N777" s="369">
        <f>M777+L777</f>
        <v>21602515</v>
      </c>
      <c r="O777" s="355">
        <f t="shared" si="109"/>
        <v>21602515</v>
      </c>
      <c r="P777" s="388"/>
      <c r="Q777" s="441"/>
      <c r="R777" s="422"/>
    </row>
    <row r="778" spans="1:18" s="189" customFormat="1" ht="12.05" customHeight="1">
      <c r="A778" s="289"/>
      <c r="B778" s="292"/>
      <c r="C778" s="292"/>
      <c r="D778" s="292"/>
      <c r="E778" s="292"/>
      <c r="F778" s="292"/>
      <c r="G778" s="253"/>
      <c r="H778" s="253"/>
      <c r="I778" s="253"/>
      <c r="J778" s="354"/>
      <c r="K778" s="355"/>
      <c r="L778" s="360"/>
      <c r="M778" s="355"/>
      <c r="N778" s="355"/>
      <c r="O778" s="355"/>
      <c r="P778" s="388"/>
      <c r="Q778" s="441"/>
      <c r="R778" s="422"/>
    </row>
    <row r="779" spans="1:18" s="189" customFormat="1" ht="12.05" customHeight="1">
      <c r="A779" s="289"/>
      <c r="B779" s="292">
        <v>4</v>
      </c>
      <c r="C779" s="292">
        <v>1</v>
      </c>
      <c r="D779" s="292">
        <v>4</v>
      </c>
      <c r="E779" s="292" t="s">
        <v>948</v>
      </c>
      <c r="F779" s="292"/>
      <c r="G779" s="253" t="s">
        <v>321</v>
      </c>
      <c r="H779" s="253"/>
      <c r="I779" s="253"/>
      <c r="J779" s="484">
        <f>+J780</f>
        <v>100000000</v>
      </c>
      <c r="K779" s="485">
        <f>+K780</f>
        <v>54165800</v>
      </c>
      <c r="L779" s="486">
        <f>+L780</f>
        <v>4430000</v>
      </c>
      <c r="M779" s="485">
        <f>+M780</f>
        <v>0</v>
      </c>
      <c r="N779" s="412">
        <f>+M779+L779</f>
        <v>4430000</v>
      </c>
      <c r="O779" s="412">
        <f>N779-K779</f>
        <v>-49735800</v>
      </c>
      <c r="P779" s="487">
        <f>N779/K779*100</f>
        <v>8.178592395939873</v>
      </c>
      <c r="Q779" s="541"/>
      <c r="R779" s="422"/>
    </row>
    <row r="780" spans="1:18" s="189" customFormat="1" ht="12.05" customHeight="1">
      <c r="A780" s="289"/>
      <c r="B780" s="292">
        <v>4</v>
      </c>
      <c r="C780" s="292">
        <v>1</v>
      </c>
      <c r="D780" s="292">
        <v>4</v>
      </c>
      <c r="E780" s="292" t="s">
        <v>948</v>
      </c>
      <c r="F780" s="292" t="s">
        <v>437</v>
      </c>
      <c r="G780" s="253" t="s">
        <v>85</v>
      </c>
      <c r="H780" s="253"/>
      <c r="I780" s="253"/>
      <c r="J780" s="333">
        <f>SUM(J781:J782)</f>
        <v>100000000</v>
      </c>
      <c r="K780" s="334">
        <f>SUM(K781:K782)</f>
        <v>54165800</v>
      </c>
      <c r="L780" s="356">
        <f>SUM(L781:L782)</f>
        <v>4430000</v>
      </c>
      <c r="M780" s="334">
        <f>SUM(M781:M782)</f>
        <v>0</v>
      </c>
      <c r="N780" s="334">
        <f>SUM(N781:N782)</f>
        <v>4430000</v>
      </c>
      <c r="O780" s="334">
        <f>N780-K780</f>
        <v>-49735800</v>
      </c>
      <c r="P780" s="335">
        <f>N780/K780*100</f>
        <v>8.178592395939873</v>
      </c>
      <c r="Q780" s="430"/>
      <c r="R780" s="422"/>
    </row>
    <row r="781" spans="1:18" s="189" customFormat="1" ht="12.05" customHeight="1">
      <c r="A781" s="289"/>
      <c r="B781" s="292"/>
      <c r="C781" s="292"/>
      <c r="D781" s="292"/>
      <c r="E781" s="292"/>
      <c r="F781" s="292"/>
      <c r="G781" s="253" t="s">
        <v>50</v>
      </c>
      <c r="H781" s="253"/>
      <c r="I781" s="253" t="s">
        <v>615</v>
      </c>
      <c r="J781" s="354">
        <v>85000000</v>
      </c>
      <c r="K781" s="373">
        <f>'[57]TARGET MURNI DAN PERUBAHAN'!$E$429</f>
        <v>54165800</v>
      </c>
      <c r="L781" s="360">
        <f>[62]PerDinas!$N$722</f>
        <v>4430000</v>
      </c>
      <c r="M781" s="373">
        <f>[55]Perdinas!$E$526</f>
        <v>0</v>
      </c>
      <c r="N781" s="369">
        <f>M781+L781</f>
        <v>4430000</v>
      </c>
      <c r="O781" s="355">
        <f>N781-K781</f>
        <v>-49735800</v>
      </c>
      <c r="P781" s="388">
        <f>N781/K781*100</f>
        <v>8.178592395939873</v>
      </c>
      <c r="Q781" s="635"/>
      <c r="R781" s="422"/>
    </row>
    <row r="782" spans="1:18" s="189" customFormat="1" ht="12.05" customHeight="1">
      <c r="A782" s="289"/>
      <c r="B782" s="292"/>
      <c r="C782" s="292"/>
      <c r="D782" s="292"/>
      <c r="E782" s="292"/>
      <c r="F782" s="292"/>
      <c r="G782" s="253" t="s">
        <v>50</v>
      </c>
      <c r="H782" s="253"/>
      <c r="I782" s="253" t="s">
        <v>85</v>
      </c>
      <c r="J782" s="354">
        <v>15000000</v>
      </c>
      <c r="K782" s="355">
        <f>'[57]TARGET MURNI DAN PERUBAHAN'!$E$430</f>
        <v>0</v>
      </c>
      <c r="L782" s="360">
        <f>[62]PerDinas!$N$723</f>
        <v>0</v>
      </c>
      <c r="M782" s="355">
        <f>[55]Perdinas!$E$527</f>
        <v>0</v>
      </c>
      <c r="N782" s="355">
        <f>M782+L782</f>
        <v>0</v>
      </c>
      <c r="O782" s="355">
        <f>N782-K782</f>
        <v>0</v>
      </c>
      <c r="P782" s="388" t="e">
        <f>N782/K782*100</f>
        <v>#DIV/0!</v>
      </c>
      <c r="Q782" s="637"/>
      <c r="R782" s="422"/>
    </row>
    <row r="783" spans="1:18" s="245" customFormat="1" ht="12.05" customHeight="1">
      <c r="A783" s="473"/>
      <c r="B783" s="305"/>
      <c r="C783" s="305"/>
      <c r="D783" s="305"/>
      <c r="E783" s="305"/>
      <c r="F783" s="305"/>
      <c r="G783" s="306"/>
      <c r="H783" s="306"/>
      <c r="I783" s="306"/>
      <c r="J783" s="482"/>
      <c r="K783" s="404"/>
      <c r="L783" s="673"/>
      <c r="M783" s="404"/>
      <c r="N783" s="404"/>
      <c r="O783" s="404"/>
      <c r="P783" s="483"/>
      <c r="Q783" s="1054"/>
      <c r="R783" s="450"/>
    </row>
    <row r="784" spans="1:18" s="244" customFormat="1" ht="12.05" customHeight="1">
      <c r="A784" s="283" t="s">
        <v>335</v>
      </c>
      <c r="B784" s="284" t="s">
        <v>460</v>
      </c>
      <c r="C784" s="284" t="s">
        <v>437</v>
      </c>
      <c r="D784" s="284" t="s">
        <v>437</v>
      </c>
      <c r="E784" s="284"/>
      <c r="F784" s="284"/>
      <c r="G784" s="298" t="s">
        <v>857</v>
      </c>
      <c r="H784" s="298"/>
      <c r="I784" s="298"/>
      <c r="J784" s="336" t="e">
        <f>+J786</f>
        <v>#REF!</v>
      </c>
      <c r="K784" s="337">
        <f>+K786</f>
        <v>1364387000</v>
      </c>
      <c r="L784" s="337">
        <f>+L786</f>
        <v>768825038.12</v>
      </c>
      <c r="M784" s="337">
        <f>+M786</f>
        <v>178461000</v>
      </c>
      <c r="N784" s="337">
        <f>M784+L784</f>
        <v>947286038.12</v>
      </c>
      <c r="O784" s="337">
        <f>+N784-K784</f>
        <v>-417100961.88</v>
      </c>
      <c r="P784" s="338">
        <f>+N784/K784*100</f>
        <v>69.429424211752234</v>
      </c>
      <c r="Q784" s="432"/>
      <c r="R784" s="788">
        <f>N784-[57]Perdinas!$Q$489</f>
        <v>-197832315.98999989</v>
      </c>
    </row>
    <row r="785" spans="1:18" s="189" customFormat="1" ht="12.05" customHeight="1">
      <c r="A785" s="471"/>
      <c r="B785" s="287"/>
      <c r="C785" s="287"/>
      <c r="D785" s="287"/>
      <c r="E785" s="287"/>
      <c r="F785" s="287"/>
      <c r="G785" s="288"/>
      <c r="H785" s="288"/>
      <c r="I785" s="288"/>
      <c r="J785" s="339"/>
      <c r="K785" s="340"/>
      <c r="L785" s="340"/>
      <c r="M785" s="340"/>
      <c r="N785" s="340"/>
      <c r="O785" s="340"/>
      <c r="P785" s="341"/>
      <c r="Q785" s="435"/>
      <c r="R785" s="422"/>
    </row>
    <row r="786" spans="1:18" s="189" customFormat="1" ht="12.05" customHeight="1">
      <c r="A786" s="293"/>
      <c r="B786" s="290">
        <v>4</v>
      </c>
      <c r="C786" s="290">
        <v>1</v>
      </c>
      <c r="D786" s="290"/>
      <c r="E786" s="290"/>
      <c r="F786" s="290"/>
      <c r="G786" s="291" t="s">
        <v>180</v>
      </c>
      <c r="H786" s="291"/>
      <c r="I786" s="291"/>
      <c r="J786" s="342" t="e">
        <f>+J788+J806</f>
        <v>#REF!</v>
      </c>
      <c r="K786" s="343">
        <f>+K788+K806</f>
        <v>1364387000</v>
      </c>
      <c r="L786" s="606">
        <f>+L788+L806</f>
        <v>768825038.12</v>
      </c>
      <c r="M786" s="343">
        <f>+M788+M806</f>
        <v>178461000</v>
      </c>
      <c r="N786" s="343">
        <f>+M786+L786</f>
        <v>947286038.12</v>
      </c>
      <c r="O786" s="343">
        <f t="shared" ref="O786:O791" si="110">N786-K786</f>
        <v>-417100961.88</v>
      </c>
      <c r="P786" s="344">
        <f t="shared" ref="P786:P791" si="111">N786/K786*100</f>
        <v>69.429424211752234</v>
      </c>
      <c r="Q786" s="437"/>
      <c r="R786" s="422"/>
    </row>
    <row r="787" spans="1:18" s="189" customFormat="1" ht="12.05" customHeight="1">
      <c r="A787" s="293"/>
      <c r="B787" s="292"/>
      <c r="C787" s="292"/>
      <c r="D787" s="292"/>
      <c r="E787" s="292"/>
      <c r="F787" s="292"/>
      <c r="G787" s="253"/>
      <c r="H787" s="253"/>
      <c r="I787" s="291"/>
      <c r="J787" s="345"/>
      <c r="K787" s="346"/>
      <c r="L787" s="660"/>
      <c r="M787" s="346"/>
      <c r="N787" s="346"/>
      <c r="O787" s="346"/>
      <c r="P787" s="347"/>
      <c r="Q787" s="438"/>
      <c r="R787" s="422"/>
    </row>
    <row r="788" spans="1:18" s="189" customFormat="1" ht="12.05" customHeight="1">
      <c r="A788" s="293"/>
      <c r="B788" s="290">
        <v>4</v>
      </c>
      <c r="C788" s="290">
        <v>1</v>
      </c>
      <c r="D788" s="290">
        <v>2</v>
      </c>
      <c r="E788" s="290"/>
      <c r="F788" s="290"/>
      <c r="G788" s="291" t="s">
        <v>106</v>
      </c>
      <c r="H788" s="291"/>
      <c r="I788" s="291"/>
      <c r="J788" s="348">
        <f>+J790</f>
        <v>2165500000</v>
      </c>
      <c r="K788" s="349">
        <f>+K790</f>
        <v>1364387000</v>
      </c>
      <c r="L788" s="589">
        <f>+L790</f>
        <v>709681200</v>
      </c>
      <c r="M788" s="349">
        <f>+M790</f>
        <v>163210000</v>
      </c>
      <c r="N788" s="349">
        <f>+M788+L788</f>
        <v>872891200</v>
      </c>
      <c r="O788" s="349">
        <f t="shared" si="110"/>
        <v>-491495800</v>
      </c>
      <c r="P788" s="350">
        <f t="shared" si="111"/>
        <v>63.976804235162021</v>
      </c>
      <c r="Q788" s="783"/>
      <c r="R788" s="422"/>
    </row>
    <row r="789" spans="1:18" s="189" customFormat="1" ht="12.05" customHeight="1">
      <c r="A789" s="293"/>
      <c r="B789" s="292"/>
      <c r="C789" s="292"/>
      <c r="D789" s="292"/>
      <c r="E789" s="292"/>
      <c r="F789" s="292"/>
      <c r="G789" s="253"/>
      <c r="H789" s="253"/>
      <c r="I789" s="253"/>
      <c r="J789" s="354"/>
      <c r="K789" s="355"/>
      <c r="L789" s="360"/>
      <c r="M789" s="355"/>
      <c r="N789" s="355"/>
      <c r="O789" s="355"/>
      <c r="P789" s="388"/>
      <c r="Q789" s="441"/>
      <c r="R789" s="422"/>
    </row>
    <row r="790" spans="1:18" s="189" customFormat="1" ht="12.05" customHeight="1">
      <c r="A790" s="293"/>
      <c r="B790" s="292">
        <v>4</v>
      </c>
      <c r="C790" s="292">
        <v>1</v>
      </c>
      <c r="D790" s="292">
        <v>2</v>
      </c>
      <c r="E790" s="292" t="s">
        <v>438</v>
      </c>
      <c r="F790" s="292"/>
      <c r="G790" s="253" t="s">
        <v>374</v>
      </c>
      <c r="H790" s="253"/>
      <c r="I790" s="253"/>
      <c r="J790" s="370">
        <f>+J791+J794</f>
        <v>2165500000</v>
      </c>
      <c r="K790" s="371">
        <f>+K791+K794</f>
        <v>1364387000</v>
      </c>
      <c r="L790" s="372">
        <f>+L791+L794</f>
        <v>709681200</v>
      </c>
      <c r="M790" s="371">
        <f>+M791+M794</f>
        <v>163210000</v>
      </c>
      <c r="N790" s="371">
        <f>+N791+N794</f>
        <v>872891200</v>
      </c>
      <c r="O790" s="367">
        <f t="shared" si="110"/>
        <v>-491495800</v>
      </c>
      <c r="P790" s="399">
        <f t="shared" si="111"/>
        <v>63.976804235162021</v>
      </c>
      <c r="Q790" s="441"/>
      <c r="R790" s="422"/>
    </row>
    <row r="791" spans="1:18" s="189" customFormat="1" ht="12.05" customHeight="1">
      <c r="A791" s="293"/>
      <c r="B791" s="292">
        <v>4</v>
      </c>
      <c r="C791" s="292">
        <v>1</v>
      </c>
      <c r="D791" s="292">
        <v>2</v>
      </c>
      <c r="E791" s="292" t="s">
        <v>438</v>
      </c>
      <c r="F791" s="292" t="s">
        <v>440</v>
      </c>
      <c r="G791" s="253" t="s">
        <v>304</v>
      </c>
      <c r="H791" s="253"/>
      <c r="I791" s="291"/>
      <c r="J791" s="345">
        <f>+J792</f>
        <v>0</v>
      </c>
      <c r="K791" s="346">
        <f>+K792</f>
        <v>0</v>
      </c>
      <c r="L791" s="660">
        <f>+L792</f>
        <v>0</v>
      </c>
      <c r="M791" s="346">
        <f>+M792</f>
        <v>0</v>
      </c>
      <c r="N791" s="355">
        <f>M791+L791</f>
        <v>0</v>
      </c>
      <c r="O791" s="355">
        <f t="shared" si="110"/>
        <v>0</v>
      </c>
      <c r="P791" s="388" t="e">
        <f t="shared" si="111"/>
        <v>#DIV/0!</v>
      </c>
      <c r="Q791" s="438"/>
      <c r="R791" s="422"/>
    </row>
    <row r="792" spans="1:18" s="189" customFormat="1" ht="12.05" customHeight="1">
      <c r="A792" s="293"/>
      <c r="B792" s="292"/>
      <c r="C792" s="292"/>
      <c r="D792" s="292"/>
      <c r="E792" s="292"/>
      <c r="F792" s="292"/>
      <c r="G792" s="1027"/>
      <c r="H792" s="1027"/>
      <c r="I792" s="1027"/>
      <c r="J792" s="1030"/>
      <c r="K792" s="1031"/>
      <c r="L792" s="1032"/>
      <c r="M792" s="1031"/>
      <c r="N792" s="1033"/>
      <c r="O792" s="1033"/>
      <c r="P792" s="1034"/>
      <c r="Q792" s="1055"/>
      <c r="R792" s="422"/>
    </row>
    <row r="793" spans="1:18" s="189" customFormat="1" ht="12.05" customHeight="1">
      <c r="A793" s="293"/>
      <c r="B793" s="292"/>
      <c r="C793" s="292"/>
      <c r="D793" s="292"/>
      <c r="E793" s="292"/>
      <c r="F793" s="292"/>
      <c r="G793" s="253"/>
      <c r="H793" s="253"/>
      <c r="I793" s="253"/>
      <c r="J793" s="345"/>
      <c r="K793" s="346"/>
      <c r="L793" s="660"/>
      <c r="M793" s="346"/>
      <c r="N793" s="355"/>
      <c r="O793" s="355"/>
      <c r="P793" s="388"/>
      <c r="Q793" s="438"/>
      <c r="R793" s="422"/>
    </row>
    <row r="794" spans="1:18" s="189" customFormat="1" ht="15.05">
      <c r="A794" s="293"/>
      <c r="B794" s="292">
        <v>4</v>
      </c>
      <c r="C794" s="292">
        <v>1</v>
      </c>
      <c r="D794" s="292">
        <v>2</v>
      </c>
      <c r="E794" s="292" t="s">
        <v>438</v>
      </c>
      <c r="F794" s="292" t="s">
        <v>448</v>
      </c>
      <c r="G794" s="253" t="s">
        <v>361</v>
      </c>
      <c r="H794" s="253"/>
      <c r="I794" s="253"/>
      <c r="J794" s="1035">
        <f>SUM(J795:J804)</f>
        <v>2165500000</v>
      </c>
      <c r="K794" s="1036">
        <f>SUM(K795:K804)</f>
        <v>1364387000</v>
      </c>
      <c r="L794" s="1037">
        <f>SUM(L795:L804)</f>
        <v>709681200</v>
      </c>
      <c r="M794" s="1036">
        <f>SUM(M795:M804)</f>
        <v>163210000</v>
      </c>
      <c r="N794" s="1038">
        <f>SUM(N795:N804)</f>
        <v>872891200</v>
      </c>
      <c r="O794" s="1039">
        <f t="shared" ref="O794:O803" si="112">N794-K794</f>
        <v>-491495800</v>
      </c>
      <c r="P794" s="1040">
        <f t="shared" ref="P794:P803" si="113">N794/K794*100</f>
        <v>63.976804235162021</v>
      </c>
      <c r="Q794" s="438"/>
      <c r="R794" s="422"/>
    </row>
    <row r="795" spans="1:18" s="189" customFormat="1" ht="12.05" customHeight="1">
      <c r="A795" s="293"/>
      <c r="B795" s="292"/>
      <c r="C795" s="292"/>
      <c r="D795" s="292"/>
      <c r="E795" s="292"/>
      <c r="F795" s="292"/>
      <c r="G795" s="253" t="s">
        <v>50</v>
      </c>
      <c r="H795" s="253"/>
      <c r="I795" s="253" t="s">
        <v>343</v>
      </c>
      <c r="J795" s="354">
        <v>178410000</v>
      </c>
      <c r="K795" s="376">
        <f>'[57]TARGET MURNI DAN PERUBAHAN'!$E$434</f>
        <v>259229500</v>
      </c>
      <c r="L795" s="377">
        <f>[62]PerDinas!$N$736</f>
        <v>222547200</v>
      </c>
      <c r="M795" s="376">
        <f>[55]Perdinas!$E$531</f>
        <v>121770000</v>
      </c>
      <c r="N795" s="771">
        <f t="shared" ref="N795:N803" si="114">M795+L795</f>
        <v>344317200</v>
      </c>
      <c r="O795" s="355">
        <f t="shared" si="112"/>
        <v>85087700</v>
      </c>
      <c r="P795" s="388">
        <f t="shared" si="113"/>
        <v>132.82330907554888</v>
      </c>
      <c r="Q795" s="1056"/>
      <c r="R795" s="422"/>
    </row>
    <row r="796" spans="1:18" s="189" customFormat="1" ht="12.05" customHeight="1">
      <c r="A796" s="293"/>
      <c r="B796" s="292"/>
      <c r="C796" s="292"/>
      <c r="D796" s="292"/>
      <c r="E796" s="292"/>
      <c r="F796" s="292"/>
      <c r="G796" s="253" t="s">
        <v>50</v>
      </c>
      <c r="H796" s="253"/>
      <c r="I796" s="253" t="s">
        <v>344</v>
      </c>
      <c r="J796" s="354">
        <v>267400000</v>
      </c>
      <c r="K796" s="376">
        <f>'[57]TARGET MURNI DAN PERUBAHAN'!$E$435</f>
        <v>374739500</v>
      </c>
      <c r="L796" s="377">
        <f>[62]PerDinas!$N$737</f>
        <v>119736000</v>
      </c>
      <c r="M796" s="376">
        <f>[55]Perdinas!$E$532</f>
        <v>0</v>
      </c>
      <c r="N796" s="355">
        <f t="shared" si="114"/>
        <v>119736000</v>
      </c>
      <c r="O796" s="355">
        <f t="shared" si="112"/>
        <v>-255003500</v>
      </c>
      <c r="P796" s="388">
        <f t="shared" si="113"/>
        <v>31.951795847515406</v>
      </c>
      <c r="Q796" s="1057"/>
      <c r="R796" s="422"/>
    </row>
    <row r="797" spans="1:18" s="189" customFormat="1" ht="12.05" customHeight="1">
      <c r="A797" s="293"/>
      <c r="B797" s="292"/>
      <c r="C797" s="292"/>
      <c r="D797" s="292"/>
      <c r="E797" s="292"/>
      <c r="F797" s="292"/>
      <c r="G797" s="253" t="s">
        <v>50</v>
      </c>
      <c r="H797" s="253"/>
      <c r="I797" s="253" t="s">
        <v>345</v>
      </c>
      <c r="J797" s="354">
        <v>212500000</v>
      </c>
      <c r="K797" s="376">
        <f>'[57]TARGET MURNI DAN PERUBAHAN'!$E$436</f>
        <v>271618000</v>
      </c>
      <c r="L797" s="377">
        <f>[62]PerDinas!$N$738</f>
        <v>196188000</v>
      </c>
      <c r="M797" s="376">
        <f>[55]Perdinas!$E$533</f>
        <v>0</v>
      </c>
      <c r="N797" s="355">
        <f t="shared" si="114"/>
        <v>196188000</v>
      </c>
      <c r="O797" s="355">
        <f t="shared" si="112"/>
        <v>-75430000</v>
      </c>
      <c r="P797" s="388">
        <f t="shared" si="113"/>
        <v>72.229380968860681</v>
      </c>
      <c r="Q797" s="441"/>
      <c r="R797" s="422"/>
    </row>
    <row r="798" spans="1:18" s="189" customFormat="1" ht="12.05" customHeight="1">
      <c r="A798" s="293"/>
      <c r="B798" s="292"/>
      <c r="C798" s="292"/>
      <c r="D798" s="292"/>
      <c r="E798" s="292"/>
      <c r="F798" s="292"/>
      <c r="G798" s="253" t="s">
        <v>50</v>
      </c>
      <c r="H798" s="253"/>
      <c r="I798" s="253" t="s">
        <v>346</v>
      </c>
      <c r="J798" s="354">
        <v>0</v>
      </c>
      <c r="K798" s="376">
        <f>'[57]TARGET MURNI DAN PERUBAHAN'!$E$437</f>
        <v>0</v>
      </c>
      <c r="L798" s="377">
        <f>[62]PerDinas!$N$739</f>
        <v>0</v>
      </c>
      <c r="M798" s="376">
        <f>[55]Perdinas!$E$534</f>
        <v>0</v>
      </c>
      <c r="N798" s="355">
        <f t="shared" si="114"/>
        <v>0</v>
      </c>
      <c r="O798" s="355">
        <f t="shared" si="112"/>
        <v>0</v>
      </c>
      <c r="P798" s="388" t="e">
        <f t="shared" si="113"/>
        <v>#DIV/0!</v>
      </c>
      <c r="Q798" s="441"/>
      <c r="R798" s="422"/>
    </row>
    <row r="799" spans="1:18" s="189" customFormat="1" ht="12.05" customHeight="1">
      <c r="A799" s="293"/>
      <c r="B799" s="292"/>
      <c r="C799" s="292"/>
      <c r="D799" s="292"/>
      <c r="E799" s="292"/>
      <c r="F799" s="292"/>
      <c r="G799" s="253" t="s">
        <v>50</v>
      </c>
      <c r="H799" s="253"/>
      <c r="I799" s="253" t="s">
        <v>347</v>
      </c>
      <c r="J799" s="354">
        <v>0</v>
      </c>
      <c r="K799" s="376">
        <f>'[57]TARGET MURNI DAN PERUBAHAN'!$E$438</f>
        <v>0</v>
      </c>
      <c r="L799" s="377">
        <f>[62]PerDinas!$N$740</f>
        <v>0</v>
      </c>
      <c r="M799" s="376">
        <f>[55]Perdinas!$E$535</f>
        <v>0</v>
      </c>
      <c r="N799" s="355">
        <f t="shared" si="114"/>
        <v>0</v>
      </c>
      <c r="O799" s="355">
        <f t="shared" si="112"/>
        <v>0</v>
      </c>
      <c r="P799" s="388" t="e">
        <f t="shared" si="113"/>
        <v>#DIV/0!</v>
      </c>
      <c r="Q799" s="441"/>
      <c r="R799" s="422"/>
    </row>
    <row r="800" spans="1:18" s="189" customFormat="1" ht="12.05" customHeight="1">
      <c r="A800" s="293"/>
      <c r="B800" s="292"/>
      <c r="C800" s="292"/>
      <c r="D800" s="292"/>
      <c r="E800" s="292"/>
      <c r="F800" s="292"/>
      <c r="G800" s="253" t="s">
        <v>50</v>
      </c>
      <c r="H800" s="253"/>
      <c r="I800" s="253" t="s">
        <v>348</v>
      </c>
      <c r="J800" s="354">
        <v>52400000</v>
      </c>
      <c r="K800" s="376">
        <f>'[57]TARGET MURNI DAN PERUBAHAN'!$E$439</f>
        <v>46200000</v>
      </c>
      <c r="L800" s="377">
        <f>[62]PerDinas!$N$741</f>
        <v>29688000</v>
      </c>
      <c r="M800" s="376">
        <f>[55]Perdinas!$E$536</f>
        <v>0</v>
      </c>
      <c r="N800" s="355">
        <f t="shared" si="114"/>
        <v>29688000</v>
      </c>
      <c r="O800" s="355">
        <f t="shared" si="112"/>
        <v>-16512000</v>
      </c>
      <c r="P800" s="388">
        <f t="shared" si="113"/>
        <v>64.259740259740255</v>
      </c>
      <c r="Q800" s="441"/>
      <c r="R800" s="422"/>
    </row>
    <row r="801" spans="1:18" s="189" customFormat="1" ht="12.05" customHeight="1">
      <c r="A801" s="293"/>
      <c r="B801" s="292"/>
      <c r="C801" s="292"/>
      <c r="D801" s="292"/>
      <c r="E801" s="292"/>
      <c r="F801" s="292"/>
      <c r="G801" s="253" t="s">
        <v>50</v>
      </c>
      <c r="H801" s="253"/>
      <c r="I801" s="253" t="s">
        <v>349</v>
      </c>
      <c r="J801" s="354">
        <v>63990000</v>
      </c>
      <c r="K801" s="376">
        <f>'[57]TARGET MURNI DAN PERUBAHAN'!$E$440</f>
        <v>88200000</v>
      </c>
      <c r="L801" s="377">
        <f>[62]PerDinas!$N$742</f>
        <v>47184000</v>
      </c>
      <c r="M801" s="376">
        <f>[55]Perdinas!$E$537</f>
        <v>41440000</v>
      </c>
      <c r="N801" s="355">
        <f t="shared" si="114"/>
        <v>88624000</v>
      </c>
      <c r="O801" s="355">
        <f t="shared" si="112"/>
        <v>424000</v>
      </c>
      <c r="P801" s="388">
        <f t="shared" si="113"/>
        <v>100.48072562358277</v>
      </c>
      <c r="Q801" s="441"/>
      <c r="R801" s="422"/>
    </row>
    <row r="802" spans="1:18" s="189" customFormat="1" ht="12.05" customHeight="1">
      <c r="A802" s="293"/>
      <c r="B802" s="292"/>
      <c r="C802" s="292"/>
      <c r="D802" s="292"/>
      <c r="E802" s="292"/>
      <c r="F802" s="292"/>
      <c r="G802" s="253" t="s">
        <v>50</v>
      </c>
      <c r="H802" s="253"/>
      <c r="I802" s="253" t="s">
        <v>350</v>
      </c>
      <c r="J802" s="354">
        <v>16000000</v>
      </c>
      <c r="K802" s="376">
        <f>'[57]TARGET MURNI DAN PERUBAHAN'!$E$441</f>
        <v>24400000</v>
      </c>
      <c r="L802" s="377">
        <f>[62]PerDinas!$N$743</f>
        <v>20298000</v>
      </c>
      <c r="M802" s="376">
        <f>[55]Perdinas!$E$538</f>
        <v>0</v>
      </c>
      <c r="N802" s="355">
        <f t="shared" si="114"/>
        <v>20298000</v>
      </c>
      <c r="O802" s="355">
        <f t="shared" si="112"/>
        <v>-4102000</v>
      </c>
      <c r="P802" s="388">
        <f t="shared" si="113"/>
        <v>83.188524590163937</v>
      </c>
      <c r="Q802" s="441"/>
      <c r="R802" s="422"/>
    </row>
    <row r="803" spans="1:18" s="189" customFormat="1" ht="12.05" customHeight="1">
      <c r="A803" s="293"/>
      <c r="B803" s="292"/>
      <c r="C803" s="292"/>
      <c r="D803" s="292"/>
      <c r="E803" s="292"/>
      <c r="F803" s="292"/>
      <c r="G803" s="1003" t="s">
        <v>50</v>
      </c>
      <c r="H803" s="1003"/>
      <c r="I803" s="1003" t="s">
        <v>351</v>
      </c>
      <c r="J803" s="1041">
        <v>1374800000</v>
      </c>
      <c r="K803" s="376">
        <f>'[57]TARGET MURNI DAN PERUBAHAN'!$E$442</f>
        <v>300000000</v>
      </c>
      <c r="L803" s="377">
        <f>[62]PerDinas!$N$744</f>
        <v>74040000</v>
      </c>
      <c r="M803" s="376">
        <f>[55]Perdinas!$E$539</f>
        <v>0</v>
      </c>
      <c r="N803" s="360">
        <f t="shared" si="114"/>
        <v>74040000</v>
      </c>
      <c r="O803" s="360">
        <f t="shared" si="112"/>
        <v>-225960000</v>
      </c>
      <c r="P803" s="1042">
        <f t="shared" si="113"/>
        <v>24.68</v>
      </c>
      <c r="Q803" s="795"/>
      <c r="R803" s="422"/>
    </row>
    <row r="804" spans="1:18" s="189" customFormat="1" ht="12.05" customHeight="1">
      <c r="A804" s="465"/>
      <c r="B804" s="296"/>
      <c r="C804" s="296"/>
      <c r="D804" s="296"/>
      <c r="E804" s="296"/>
      <c r="F804" s="296"/>
      <c r="G804" s="1028"/>
      <c r="H804" s="1028"/>
      <c r="I804" s="1028"/>
      <c r="J804" s="1043"/>
      <c r="K804" s="1044"/>
      <c r="L804" s="1045"/>
      <c r="M804" s="375"/>
      <c r="N804" s="1044"/>
      <c r="O804" s="1044"/>
      <c r="P804" s="1046"/>
      <c r="Q804" s="1058"/>
      <c r="R804" s="555"/>
    </row>
    <row r="805" spans="1:18" s="189" customFormat="1" ht="12.05" customHeight="1">
      <c r="A805" s="1029"/>
      <c r="B805" s="565"/>
      <c r="C805" s="565"/>
      <c r="D805" s="565"/>
      <c r="E805" s="565"/>
      <c r="F805" s="565"/>
      <c r="G805" s="566"/>
      <c r="H805" s="566"/>
      <c r="I805" s="566"/>
      <c r="J805" s="484"/>
      <c r="K805" s="485"/>
      <c r="L805" s="486"/>
      <c r="M805" s="485"/>
      <c r="N805" s="485"/>
      <c r="O805" s="485"/>
      <c r="P805" s="597"/>
      <c r="Q805" s="541"/>
      <c r="R805" s="422"/>
    </row>
    <row r="806" spans="1:18" s="189" customFormat="1" ht="12.05" customHeight="1">
      <c r="A806" s="471"/>
      <c r="B806" s="707">
        <v>4</v>
      </c>
      <c r="C806" s="707">
        <v>1</v>
      </c>
      <c r="D806" s="707">
        <v>4</v>
      </c>
      <c r="E806" s="707"/>
      <c r="F806" s="707"/>
      <c r="G806" s="288" t="s">
        <v>71</v>
      </c>
      <c r="H806" s="288"/>
      <c r="I806" s="288"/>
      <c r="J806" s="392" t="e">
        <f>J807+J812</f>
        <v>#REF!</v>
      </c>
      <c r="K806" s="393">
        <f>K807+K812+K808</f>
        <v>0</v>
      </c>
      <c r="L806" s="393">
        <f>L807+L812+L808</f>
        <v>59143838.119999997</v>
      </c>
      <c r="M806" s="1047">
        <f>M807+M812</f>
        <v>15251000</v>
      </c>
      <c r="N806" s="1047">
        <f>M806+L806</f>
        <v>74394838.120000005</v>
      </c>
      <c r="O806" s="1048">
        <f>N806-K806</f>
        <v>74394838.120000005</v>
      </c>
      <c r="P806" s="1049" t="e">
        <f>N806/K806*100</f>
        <v>#DIV/0!</v>
      </c>
      <c r="Q806" s="444"/>
      <c r="R806" s="422"/>
    </row>
    <row r="807" spans="1:18" s="189" customFormat="1" ht="12.05" customHeight="1">
      <c r="A807" s="289"/>
      <c r="B807" s="292">
        <v>4</v>
      </c>
      <c r="C807" s="292">
        <v>1</v>
      </c>
      <c r="D807" s="292">
        <v>4</v>
      </c>
      <c r="E807" s="292" t="s">
        <v>444</v>
      </c>
      <c r="F807" s="292"/>
      <c r="G807" s="253" t="s">
        <v>222</v>
      </c>
      <c r="H807" s="253"/>
      <c r="I807" s="253"/>
      <c r="J807" s="484">
        <f>+J810</f>
        <v>27000000</v>
      </c>
      <c r="K807" s="485">
        <f>+K810</f>
        <v>0</v>
      </c>
      <c r="L807" s="485">
        <f>+L810</f>
        <v>49899487.119999997</v>
      </c>
      <c r="M807" s="485">
        <f>SUM(M808:M810)</f>
        <v>15251000</v>
      </c>
      <c r="N807" s="485">
        <f>M807+L807</f>
        <v>65150487.119999997</v>
      </c>
      <c r="O807" s="412">
        <f>N807-K807</f>
        <v>65150487.119999997</v>
      </c>
      <c r="P807" s="388" t="e">
        <f>N807/K807*100</f>
        <v>#DIV/0!</v>
      </c>
      <c r="Q807" s="644"/>
      <c r="R807" s="422"/>
    </row>
    <row r="808" spans="1:18" s="189" customFormat="1" ht="12.05" customHeight="1">
      <c r="A808" s="289"/>
      <c r="B808" s="292">
        <v>4</v>
      </c>
      <c r="C808" s="292">
        <v>1</v>
      </c>
      <c r="D808" s="292">
        <v>4</v>
      </c>
      <c r="E808" s="292" t="s">
        <v>444</v>
      </c>
      <c r="F808" s="292" t="s">
        <v>440</v>
      </c>
      <c r="G808" s="253" t="s">
        <v>710</v>
      </c>
      <c r="H808" s="253"/>
      <c r="I808" s="253"/>
      <c r="J808" s="354">
        <v>0</v>
      </c>
      <c r="K808" s="355">
        <v>0</v>
      </c>
      <c r="L808" s="360">
        <f>[62]PerDinas!$N$749</f>
        <v>0</v>
      </c>
      <c r="M808" s="355">
        <f>[55]Perdinas!$E$544</f>
        <v>0</v>
      </c>
      <c r="N808" s="369">
        <f>M808+L808</f>
        <v>0</v>
      </c>
      <c r="O808" s="355">
        <f>N808-K808</f>
        <v>0</v>
      </c>
      <c r="P808" s="388"/>
      <c r="Q808" s="442"/>
      <c r="R808" s="422"/>
    </row>
    <row r="809" spans="1:18" s="189" customFormat="1" ht="12.05" customHeight="1">
      <c r="A809" s="289"/>
      <c r="B809" s="292">
        <v>4</v>
      </c>
      <c r="C809" s="292">
        <v>1</v>
      </c>
      <c r="D809" s="292">
        <v>4</v>
      </c>
      <c r="E809" s="292" t="s">
        <v>444</v>
      </c>
      <c r="F809" s="292" t="s">
        <v>445</v>
      </c>
      <c r="G809" s="253" t="s">
        <v>74</v>
      </c>
      <c r="H809" s="253"/>
      <c r="I809" s="253"/>
      <c r="J809" s="354">
        <v>0</v>
      </c>
      <c r="K809" s="355">
        <v>0</v>
      </c>
      <c r="L809" s="360"/>
      <c r="M809" s="355">
        <f>[55]Perdinas!$E$545</f>
        <v>0</v>
      </c>
      <c r="N809" s="355">
        <f>M809+L809</f>
        <v>0</v>
      </c>
      <c r="O809" s="355">
        <f>N809-K809</f>
        <v>0</v>
      </c>
      <c r="P809" s="388"/>
      <c r="Q809" s="441"/>
      <c r="R809" s="422"/>
    </row>
    <row r="810" spans="1:18" s="189" customFormat="1" ht="12.05" customHeight="1">
      <c r="A810" s="289"/>
      <c r="B810" s="292">
        <v>4</v>
      </c>
      <c r="C810" s="292">
        <v>1</v>
      </c>
      <c r="D810" s="292">
        <v>4</v>
      </c>
      <c r="E810" s="292" t="s">
        <v>444</v>
      </c>
      <c r="F810" s="292" t="s">
        <v>441</v>
      </c>
      <c r="G810" s="253" t="s">
        <v>75</v>
      </c>
      <c r="H810" s="253"/>
      <c r="I810" s="253"/>
      <c r="J810" s="354">
        <v>27000000</v>
      </c>
      <c r="K810" s="373">
        <f>'[57]TARGET MURNI DAN PERUBAHAN'!$E$448</f>
        <v>0</v>
      </c>
      <c r="L810" s="360">
        <f>[62]PerDinas!$N$751</f>
        <v>49899487.119999997</v>
      </c>
      <c r="M810" s="373">
        <f>[55]Perdinas!$E$546</f>
        <v>15251000</v>
      </c>
      <c r="N810" s="369">
        <f>M810+L810</f>
        <v>65150487.119999997</v>
      </c>
      <c r="O810" s="355">
        <f>N810-K810</f>
        <v>65150487.119999997</v>
      </c>
      <c r="P810" s="388" t="e">
        <f>N810/K810*100</f>
        <v>#DIV/0!</v>
      </c>
      <c r="Q810" s="441"/>
      <c r="R810" s="545"/>
    </row>
    <row r="811" spans="1:18" s="189" customFormat="1" ht="12.05" customHeight="1">
      <c r="A811" s="293"/>
      <c r="B811" s="292"/>
      <c r="C811" s="292"/>
      <c r="D811" s="292"/>
      <c r="E811" s="292"/>
      <c r="F811" s="292"/>
      <c r="G811" s="253"/>
      <c r="H811" s="253"/>
      <c r="I811" s="253"/>
      <c r="J811" s="354"/>
      <c r="K811" s="355"/>
      <c r="L811" s="360"/>
      <c r="M811" s="355"/>
      <c r="N811" s="355"/>
      <c r="O811" s="355"/>
      <c r="P811" s="388"/>
      <c r="Q811" s="441"/>
      <c r="R811" s="422"/>
    </row>
    <row r="812" spans="1:18" s="189" customFormat="1" ht="12.05" customHeight="1">
      <c r="A812" s="293"/>
      <c r="B812" s="292">
        <v>4</v>
      </c>
      <c r="C812" s="292">
        <v>1</v>
      </c>
      <c r="D812" s="292">
        <v>4</v>
      </c>
      <c r="E812" s="292" t="s">
        <v>948</v>
      </c>
      <c r="F812" s="292"/>
      <c r="G812" s="253" t="s">
        <v>321</v>
      </c>
      <c r="H812" s="253"/>
      <c r="I812" s="253"/>
      <c r="J812" s="484" t="e">
        <f>+J813</f>
        <v>#REF!</v>
      </c>
      <c r="K812" s="485">
        <f>+K813</f>
        <v>0</v>
      </c>
      <c r="L812" s="486">
        <f>+L813</f>
        <v>9244351</v>
      </c>
      <c r="M812" s="485">
        <f>+M813</f>
        <v>0</v>
      </c>
      <c r="N812" s="412">
        <f>+M812+L812</f>
        <v>9244351</v>
      </c>
      <c r="O812" s="412">
        <f>N812-K812</f>
        <v>9244351</v>
      </c>
      <c r="P812" s="487" t="e">
        <f>N812/K812*100</f>
        <v>#DIV/0!</v>
      </c>
      <c r="Q812" s="541"/>
      <c r="R812" s="422"/>
    </row>
    <row r="813" spans="1:18" s="189" customFormat="1" ht="12.05" customHeight="1">
      <c r="A813" s="293"/>
      <c r="B813" s="292">
        <v>4</v>
      </c>
      <c r="C813" s="292">
        <v>1</v>
      </c>
      <c r="D813" s="292">
        <v>4</v>
      </c>
      <c r="E813" s="292" t="s">
        <v>948</v>
      </c>
      <c r="F813" s="292" t="s">
        <v>437</v>
      </c>
      <c r="G813" s="253" t="s">
        <v>85</v>
      </c>
      <c r="H813" s="253"/>
      <c r="I813" s="253"/>
      <c r="J813" s="333" t="e">
        <f>+J814+#REF!</f>
        <v>#REF!</v>
      </c>
      <c r="K813" s="334">
        <f>SUM(K814)</f>
        <v>0</v>
      </c>
      <c r="L813" s="356">
        <f>SUM(L814)</f>
        <v>9244351</v>
      </c>
      <c r="M813" s="334">
        <f>SUM(M814)</f>
        <v>0</v>
      </c>
      <c r="N813" s="334">
        <f>M813+L813</f>
        <v>9244351</v>
      </c>
      <c r="O813" s="497">
        <f>N813-K813</f>
        <v>9244351</v>
      </c>
      <c r="P813" s="498" t="e">
        <f>N813/K813*100</f>
        <v>#DIV/0!</v>
      </c>
      <c r="Q813" s="430"/>
      <c r="R813" s="422"/>
    </row>
    <row r="814" spans="1:18" s="189" customFormat="1" ht="12.05" customHeight="1">
      <c r="A814" s="293"/>
      <c r="B814" s="292"/>
      <c r="C814" s="292"/>
      <c r="D814" s="292"/>
      <c r="E814" s="292"/>
      <c r="F814" s="292"/>
      <c r="G814" s="253" t="s">
        <v>50</v>
      </c>
      <c r="H814" s="253"/>
      <c r="I814" s="253" t="s">
        <v>85</v>
      </c>
      <c r="J814" s="354">
        <v>5000000</v>
      </c>
      <c r="K814" s="373">
        <f>'[57]TARGET MURNI DAN PERUBAHAN'!$E$449</f>
        <v>0</v>
      </c>
      <c r="L814" s="360">
        <f>[62]PerDinas!$N$755</f>
        <v>9244351</v>
      </c>
      <c r="M814" s="373">
        <f>[55]Perdinas!$E$547</f>
        <v>0</v>
      </c>
      <c r="N814" s="369">
        <f>M814+L814</f>
        <v>9244351</v>
      </c>
      <c r="O814" s="355">
        <f>N814-K814</f>
        <v>9244351</v>
      </c>
      <c r="P814" s="388" t="e">
        <f>N814/K814*100</f>
        <v>#DIV/0!</v>
      </c>
      <c r="Q814" s="438"/>
      <c r="R814" s="422"/>
    </row>
    <row r="815" spans="1:18" s="245" customFormat="1" ht="12.05" customHeight="1">
      <c r="A815" s="472"/>
      <c r="B815" s="305"/>
      <c r="C815" s="305"/>
      <c r="D815" s="305"/>
      <c r="E815" s="305"/>
      <c r="F815" s="305"/>
      <c r="G815" s="306"/>
      <c r="H815" s="306"/>
      <c r="I815" s="306"/>
      <c r="J815" s="482"/>
      <c r="K815" s="404"/>
      <c r="L815" s="673"/>
      <c r="M815" s="404"/>
      <c r="N815" s="404"/>
      <c r="O815" s="404"/>
      <c r="P815" s="483"/>
      <c r="Q815" s="1057"/>
      <c r="R815" s="450"/>
    </row>
    <row r="816" spans="1:18" s="244" customFormat="1" ht="12.05" customHeight="1">
      <c r="A816" s="283" t="s">
        <v>339</v>
      </c>
      <c r="B816" s="284" t="s">
        <v>460</v>
      </c>
      <c r="C816" s="284" t="s">
        <v>437</v>
      </c>
      <c r="D816" s="284" t="s">
        <v>438</v>
      </c>
      <c r="E816" s="284"/>
      <c r="F816" s="284"/>
      <c r="G816" s="298" t="s">
        <v>523</v>
      </c>
      <c r="H816" s="298"/>
      <c r="I816" s="298"/>
      <c r="J816" s="336">
        <f>+J818</f>
        <v>1417000000</v>
      </c>
      <c r="K816" s="337">
        <f>+K818</f>
        <v>221000000</v>
      </c>
      <c r="L816" s="337">
        <f>+L818</f>
        <v>206486248</v>
      </c>
      <c r="M816" s="337">
        <f>+M818</f>
        <v>0</v>
      </c>
      <c r="N816" s="337">
        <f>M816+L816</f>
        <v>206486248</v>
      </c>
      <c r="O816" s="337">
        <f>+N816-K816</f>
        <v>-14513752</v>
      </c>
      <c r="P816" s="338">
        <f>+N816/K816*100</f>
        <v>93.432691402714923</v>
      </c>
      <c r="Q816" s="432"/>
      <c r="R816" s="639"/>
    </row>
    <row r="817" spans="1:18" s="189" customFormat="1" ht="12.05" customHeight="1">
      <c r="A817" s="471"/>
      <c r="B817" s="287"/>
      <c r="C817" s="287"/>
      <c r="D817" s="287"/>
      <c r="E817" s="287"/>
      <c r="F817" s="287"/>
      <c r="G817" s="288"/>
      <c r="H817" s="288"/>
      <c r="I817" s="1050"/>
      <c r="J817" s="339"/>
      <c r="K817" s="340"/>
      <c r="L817" s="340"/>
      <c r="M817" s="340"/>
      <c r="N817" s="340"/>
      <c r="O817" s="340"/>
      <c r="P817" s="341"/>
      <c r="Q817" s="435"/>
      <c r="R817" s="422"/>
    </row>
    <row r="818" spans="1:18" s="189" customFormat="1" ht="12.05" customHeight="1">
      <c r="A818" s="293"/>
      <c r="B818" s="290">
        <v>4</v>
      </c>
      <c r="C818" s="290">
        <v>1</v>
      </c>
      <c r="D818" s="290"/>
      <c r="E818" s="290"/>
      <c r="F818" s="290"/>
      <c r="G818" s="291" t="s">
        <v>180</v>
      </c>
      <c r="H818" s="291"/>
      <c r="I818" s="291"/>
      <c r="J818" s="342">
        <f>+J820+J833</f>
        <v>1417000000</v>
      </c>
      <c r="K818" s="343">
        <f>+K820+K833</f>
        <v>221000000</v>
      </c>
      <c r="L818" s="343">
        <f>+L820+L833</f>
        <v>206486248</v>
      </c>
      <c r="M818" s="343">
        <f>+M820+M833</f>
        <v>0</v>
      </c>
      <c r="N818" s="343">
        <f>+M818+L818</f>
        <v>206486248</v>
      </c>
      <c r="O818" s="343">
        <f t="shared" ref="O818:O825" si="115">N818-K818</f>
        <v>-14513752</v>
      </c>
      <c r="P818" s="344">
        <f t="shared" ref="P818:P825" si="116">N818/K818*100</f>
        <v>93.432691402714923</v>
      </c>
      <c r="Q818" s="437"/>
      <c r="R818" s="422"/>
    </row>
    <row r="819" spans="1:18" s="189" customFormat="1" ht="12.05" customHeight="1">
      <c r="A819" s="293"/>
      <c r="B819" s="292"/>
      <c r="C819" s="292"/>
      <c r="D819" s="292"/>
      <c r="E819" s="292"/>
      <c r="F819" s="292"/>
      <c r="G819" s="253"/>
      <c r="H819" s="253"/>
      <c r="I819" s="291"/>
      <c r="J819" s="345"/>
      <c r="K819" s="346"/>
      <c r="L819" s="346"/>
      <c r="M819" s="346"/>
      <c r="N819" s="346"/>
      <c r="O819" s="346"/>
      <c r="P819" s="347"/>
      <c r="Q819" s="438"/>
      <c r="R819" s="422"/>
    </row>
    <row r="820" spans="1:18" s="189" customFormat="1" ht="12.05" customHeight="1">
      <c r="A820" s="293"/>
      <c r="B820" s="290">
        <v>4</v>
      </c>
      <c r="C820" s="290">
        <v>1</v>
      </c>
      <c r="D820" s="290">
        <v>2</v>
      </c>
      <c r="E820" s="290"/>
      <c r="F820" s="290"/>
      <c r="G820" s="291" t="s">
        <v>106</v>
      </c>
      <c r="H820" s="291"/>
      <c r="I820" s="291"/>
      <c r="J820" s="348">
        <f>+J822</f>
        <v>555000000</v>
      </c>
      <c r="K820" s="349">
        <f>+K822</f>
        <v>37000000</v>
      </c>
      <c r="L820" s="395">
        <f>+L822</f>
        <v>86034406</v>
      </c>
      <c r="M820" s="395">
        <f>+M822</f>
        <v>0</v>
      </c>
      <c r="N820" s="395">
        <f>+M820+L820</f>
        <v>86034406</v>
      </c>
      <c r="O820" s="395">
        <f t="shared" si="115"/>
        <v>49034406</v>
      </c>
      <c r="P820" s="590">
        <f t="shared" si="116"/>
        <v>232.52542162162163</v>
      </c>
      <c r="Q820" s="439"/>
      <c r="R820" s="422"/>
    </row>
    <row r="821" spans="1:18" s="189" customFormat="1" ht="12.05" customHeight="1">
      <c r="A821" s="293"/>
      <c r="B821" s="292"/>
      <c r="C821" s="292"/>
      <c r="D821" s="292"/>
      <c r="E821" s="292"/>
      <c r="F821" s="292"/>
      <c r="G821" s="253"/>
      <c r="H821" s="253"/>
      <c r="I821" s="253"/>
      <c r="J821" s="354"/>
      <c r="K821" s="355"/>
      <c r="L821" s="360"/>
      <c r="M821" s="355"/>
      <c r="N821" s="355"/>
      <c r="O821" s="355"/>
      <c r="P821" s="388"/>
      <c r="Q821" s="441"/>
      <c r="R821" s="422"/>
    </row>
    <row r="822" spans="1:18" s="189" customFormat="1" ht="12.05" customHeight="1">
      <c r="A822" s="293"/>
      <c r="B822" s="292">
        <v>4</v>
      </c>
      <c r="C822" s="292">
        <v>1</v>
      </c>
      <c r="D822" s="292">
        <v>2</v>
      </c>
      <c r="E822" s="292" t="s">
        <v>438</v>
      </c>
      <c r="F822" s="292"/>
      <c r="G822" s="253" t="s">
        <v>374</v>
      </c>
      <c r="H822" s="253"/>
      <c r="I822" s="253"/>
      <c r="J822" s="484">
        <f>+J823+J827</f>
        <v>555000000</v>
      </c>
      <c r="K822" s="485">
        <f>+K823+K827</f>
        <v>37000000</v>
      </c>
      <c r="L822" s="486">
        <f>+L823+L827</f>
        <v>86034406</v>
      </c>
      <c r="M822" s="485">
        <f>+M823+M827</f>
        <v>0</v>
      </c>
      <c r="N822" s="485">
        <f>+N823+N827</f>
        <v>86034406</v>
      </c>
      <c r="O822" s="412">
        <f t="shared" si="115"/>
        <v>49034406</v>
      </c>
      <c r="P822" s="487">
        <f t="shared" si="116"/>
        <v>232.52542162162163</v>
      </c>
      <c r="Q822" s="541"/>
      <c r="R822" s="422"/>
    </row>
    <row r="823" spans="1:18" s="189" customFormat="1" ht="12.05" customHeight="1">
      <c r="A823" s="289"/>
      <c r="B823" s="292">
        <v>4</v>
      </c>
      <c r="C823" s="292">
        <v>1</v>
      </c>
      <c r="D823" s="292">
        <v>2</v>
      </c>
      <c r="E823" s="292" t="s">
        <v>438</v>
      </c>
      <c r="F823" s="292" t="s">
        <v>437</v>
      </c>
      <c r="G823" s="253" t="s">
        <v>64</v>
      </c>
      <c r="H823" s="253"/>
      <c r="I823" s="253"/>
      <c r="J823" s="333">
        <f>+J824+J825</f>
        <v>535900000</v>
      </c>
      <c r="K823" s="334">
        <f>+K824+K825</f>
        <v>0</v>
      </c>
      <c r="L823" s="356">
        <f>+L824+L825</f>
        <v>54900000</v>
      </c>
      <c r="M823" s="334">
        <f>+M824+M825</f>
        <v>0</v>
      </c>
      <c r="N823" s="361">
        <f>M823+L823</f>
        <v>54900000</v>
      </c>
      <c r="O823" s="334">
        <f t="shared" si="115"/>
        <v>54900000</v>
      </c>
      <c r="P823" s="335" t="e">
        <f t="shared" si="116"/>
        <v>#DIV/0!</v>
      </c>
      <c r="Q823" s="430"/>
      <c r="R823" s="422"/>
    </row>
    <row r="824" spans="1:18" s="189" customFormat="1" ht="12.05" customHeight="1">
      <c r="A824" s="293"/>
      <c r="B824" s="292"/>
      <c r="C824" s="292"/>
      <c r="D824" s="292"/>
      <c r="E824" s="292"/>
      <c r="F824" s="292"/>
      <c r="G824" s="253" t="s">
        <v>50</v>
      </c>
      <c r="H824" s="253"/>
      <c r="I824" s="253" t="s">
        <v>524</v>
      </c>
      <c r="J824" s="354">
        <v>15000000</v>
      </c>
      <c r="K824" s="355">
        <f>'[57]TARGET MURNI DAN PERUBAHAN'!$E$455</f>
        <v>0</v>
      </c>
      <c r="L824" s="360">
        <f>[62]PerDinas!$N$765</f>
        <v>6900000</v>
      </c>
      <c r="M824" s="355">
        <f>[55]Perdinas!$E$552</f>
        <v>0</v>
      </c>
      <c r="N824" s="771">
        <f>M824+L824</f>
        <v>6900000</v>
      </c>
      <c r="O824" s="355">
        <f t="shared" si="115"/>
        <v>6900000</v>
      </c>
      <c r="P824" s="388" t="e">
        <f t="shared" si="116"/>
        <v>#DIV/0!</v>
      </c>
      <c r="Q824" s="441"/>
      <c r="R824" s="422"/>
    </row>
    <row r="825" spans="1:18" s="189" customFormat="1" ht="12.05" customHeight="1">
      <c r="A825" s="293"/>
      <c r="B825" s="292"/>
      <c r="C825" s="292"/>
      <c r="D825" s="292"/>
      <c r="E825" s="292"/>
      <c r="F825" s="292"/>
      <c r="G825" s="253" t="s">
        <v>50</v>
      </c>
      <c r="H825" s="253"/>
      <c r="I825" s="253" t="s">
        <v>525</v>
      </c>
      <c r="J825" s="354">
        <v>520900000</v>
      </c>
      <c r="K825" s="373">
        <f>'[57]TARGET MURNI DAN PERUBAHAN'!$E$456</f>
        <v>0</v>
      </c>
      <c r="L825" s="360">
        <f>[62]PerDinas!$N$766</f>
        <v>48000000</v>
      </c>
      <c r="M825" s="373">
        <f>[55]Perdinas!$E$553</f>
        <v>0</v>
      </c>
      <c r="N825" s="355">
        <f>M825+L825</f>
        <v>48000000</v>
      </c>
      <c r="O825" s="355">
        <f t="shared" si="115"/>
        <v>48000000</v>
      </c>
      <c r="P825" s="388" t="e">
        <f t="shared" si="116"/>
        <v>#DIV/0!</v>
      </c>
      <c r="Q825" s="441"/>
      <c r="R825" s="422"/>
    </row>
    <row r="826" spans="1:18" s="189" customFormat="1" ht="12.05" customHeight="1">
      <c r="A826" s="293"/>
      <c r="B826" s="292"/>
      <c r="C826" s="292"/>
      <c r="D826" s="292"/>
      <c r="E826" s="292"/>
      <c r="F826" s="292"/>
      <c r="G826" s="253"/>
      <c r="H826" s="253"/>
      <c r="I826" s="253"/>
      <c r="J826" s="354"/>
      <c r="K826" s="355"/>
      <c r="L826" s="360"/>
      <c r="M826" s="355"/>
      <c r="N826" s="355"/>
      <c r="O826" s="355"/>
      <c r="P826" s="388"/>
      <c r="Q826" s="441"/>
      <c r="R826" s="422"/>
    </row>
    <row r="827" spans="1:18" s="189" customFormat="1" ht="12.05" customHeight="1">
      <c r="A827" s="293"/>
      <c r="B827" s="292">
        <v>4</v>
      </c>
      <c r="C827" s="292">
        <v>1</v>
      </c>
      <c r="D827" s="292">
        <v>2</v>
      </c>
      <c r="E827" s="292" t="s">
        <v>438</v>
      </c>
      <c r="F827" s="292" t="s">
        <v>448</v>
      </c>
      <c r="G827" s="253" t="s">
        <v>361</v>
      </c>
      <c r="H827" s="253"/>
      <c r="I827" s="253"/>
      <c r="J827" s="763">
        <f>SUM(J828:J831)</f>
        <v>19100000</v>
      </c>
      <c r="K827" s="529">
        <f>SUM(K828:K831)</f>
        <v>37000000</v>
      </c>
      <c r="L827" s="764">
        <f>SUM(L828:L831)</f>
        <v>31134406</v>
      </c>
      <c r="M827" s="529">
        <f>SUM(M828:M831)</f>
        <v>0</v>
      </c>
      <c r="N827" s="1051">
        <f>M827+L827</f>
        <v>31134406</v>
      </c>
      <c r="O827" s="527">
        <f>N827-K827</f>
        <v>-5865594</v>
      </c>
      <c r="P827" s="671">
        <f>N827/K827*100</f>
        <v>84.147043243243246</v>
      </c>
      <c r="Q827" s="785"/>
      <c r="R827" s="422"/>
    </row>
    <row r="828" spans="1:18" s="189" customFormat="1" ht="12.05" customHeight="1">
      <c r="A828" s="293"/>
      <c r="B828" s="292"/>
      <c r="C828" s="292"/>
      <c r="D828" s="292"/>
      <c r="E828" s="292"/>
      <c r="F828" s="292"/>
      <c r="G828" s="253" t="s">
        <v>50</v>
      </c>
      <c r="H828" s="253"/>
      <c r="I828" s="253" t="s">
        <v>540</v>
      </c>
      <c r="J828" s="389">
        <v>1800000</v>
      </c>
      <c r="K828" s="357"/>
      <c r="L828" s="391"/>
      <c r="M828" s="357">
        <f>[55]Perdinas!$E$556</f>
        <v>0</v>
      </c>
      <c r="N828" s="357"/>
      <c r="O828" s="357"/>
      <c r="P828" s="358"/>
      <c r="Q828" s="442"/>
      <c r="R828" s="422"/>
    </row>
    <row r="829" spans="1:18" s="189" customFormat="1" ht="12.05" customHeight="1">
      <c r="A829" s="293"/>
      <c r="B829" s="292"/>
      <c r="C829" s="292"/>
      <c r="D829" s="292"/>
      <c r="E829" s="292"/>
      <c r="F829" s="292"/>
      <c r="G829" s="1003" t="s">
        <v>50</v>
      </c>
      <c r="H829" s="1003"/>
      <c r="I829" s="1003" t="s">
        <v>1000</v>
      </c>
      <c r="J829" s="1041">
        <v>3300000</v>
      </c>
      <c r="K829" s="360"/>
      <c r="L829" s="391"/>
      <c r="M829" s="360"/>
      <c r="N829" s="360"/>
      <c r="O829" s="360"/>
      <c r="P829" s="1042"/>
      <c r="Q829" s="795"/>
      <c r="R829" s="422"/>
    </row>
    <row r="830" spans="1:18" s="189" customFormat="1" ht="12.05" customHeight="1">
      <c r="A830" s="293"/>
      <c r="B830" s="292"/>
      <c r="C830" s="292"/>
      <c r="D830" s="292"/>
      <c r="E830" s="292"/>
      <c r="F830" s="292"/>
      <c r="G830" s="1003" t="s">
        <v>50</v>
      </c>
      <c r="H830" s="1003"/>
      <c r="I830" s="1003" t="s">
        <v>1001</v>
      </c>
      <c r="J830" s="1041">
        <v>4000000</v>
      </c>
      <c r="K830" s="360"/>
      <c r="L830" s="391"/>
      <c r="M830" s="360"/>
      <c r="N830" s="360"/>
      <c r="O830" s="360"/>
      <c r="P830" s="1042"/>
      <c r="Q830" s="795"/>
      <c r="R830" s="422"/>
    </row>
    <row r="831" spans="1:18" s="189" customFormat="1" ht="15.05">
      <c r="A831" s="293"/>
      <c r="B831" s="292"/>
      <c r="C831" s="292"/>
      <c r="D831" s="292"/>
      <c r="E831" s="292"/>
      <c r="F831" s="292"/>
      <c r="G831" s="253" t="s">
        <v>50</v>
      </c>
      <c r="H831" s="253"/>
      <c r="I831" s="568" t="s">
        <v>1002</v>
      </c>
      <c r="J831" s="354">
        <v>10000000</v>
      </c>
      <c r="K831" s="1052">
        <f>'[57]TARGET MURNI DAN PERUBAHAN'!$E$462</f>
        <v>37000000</v>
      </c>
      <c r="L831" s="391">
        <f>[62]PerDinas!$N$772</f>
        <v>31134406</v>
      </c>
      <c r="M831" s="1052">
        <f>[55]Perdinas!$E$557</f>
        <v>0</v>
      </c>
      <c r="N831" s="1053">
        <f t="shared" ref="N831:N837" si="117">M831+L831</f>
        <v>31134406</v>
      </c>
      <c r="O831" s="334">
        <f t="shared" ref="O831:O837" si="118">N831-K831</f>
        <v>-5865594</v>
      </c>
      <c r="P831" s="335">
        <f>N831/K831*100</f>
        <v>84.147043243243246</v>
      </c>
      <c r="Q831" s="442"/>
      <c r="R831" s="422"/>
    </row>
    <row r="832" spans="1:18" s="189" customFormat="1" ht="12.05" customHeight="1">
      <c r="A832" s="293"/>
      <c r="B832" s="292"/>
      <c r="C832" s="292"/>
      <c r="D832" s="292"/>
      <c r="E832" s="292"/>
      <c r="F832" s="292"/>
      <c r="G832" s="253"/>
      <c r="H832" s="253"/>
      <c r="I832" s="253"/>
      <c r="J832" s="354"/>
      <c r="K832" s="355"/>
      <c r="L832" s="360"/>
      <c r="M832" s="355"/>
      <c r="N832" s="355"/>
      <c r="O832" s="355"/>
      <c r="P832" s="388"/>
      <c r="Q832" s="441"/>
      <c r="R832" s="422"/>
    </row>
    <row r="833" spans="1:18" s="189" customFormat="1" ht="12.05" customHeight="1">
      <c r="A833" s="293"/>
      <c r="B833" s="290">
        <v>4</v>
      </c>
      <c r="C833" s="290">
        <v>1</v>
      </c>
      <c r="D833" s="290">
        <v>4</v>
      </c>
      <c r="E833" s="290"/>
      <c r="F833" s="290"/>
      <c r="G833" s="291" t="s">
        <v>71</v>
      </c>
      <c r="H833" s="291"/>
      <c r="I833" s="291"/>
      <c r="J833" s="392">
        <f>J834+J839</f>
        <v>862000000</v>
      </c>
      <c r="K833" s="393">
        <f>K834+K839+K841</f>
        <v>184000000</v>
      </c>
      <c r="L833" s="393">
        <f>L834+L839+L841</f>
        <v>120451842</v>
      </c>
      <c r="M833" s="393">
        <f>M834+M839+M841</f>
        <v>0</v>
      </c>
      <c r="N833" s="393">
        <f t="shared" si="117"/>
        <v>120451842</v>
      </c>
      <c r="O833" s="349">
        <f t="shared" si="118"/>
        <v>-63548158</v>
      </c>
      <c r="P833" s="350">
        <f>N833/K833*100</f>
        <v>65.462957608695646</v>
      </c>
      <c r="Q833" s="444"/>
      <c r="R833" s="422"/>
    </row>
    <row r="834" spans="1:18" s="189" customFormat="1" ht="12.05" customHeight="1">
      <c r="A834" s="289"/>
      <c r="B834" s="292">
        <v>4</v>
      </c>
      <c r="C834" s="292">
        <v>1</v>
      </c>
      <c r="D834" s="292">
        <v>4</v>
      </c>
      <c r="E834" s="292" t="s">
        <v>444</v>
      </c>
      <c r="F834" s="292"/>
      <c r="G834" s="253" t="s">
        <v>222</v>
      </c>
      <c r="H834" s="253"/>
      <c r="I834" s="253"/>
      <c r="J834" s="484">
        <f>+J837</f>
        <v>17000000</v>
      </c>
      <c r="K834" s="485">
        <f>+K837</f>
        <v>0</v>
      </c>
      <c r="L834" s="486">
        <f>SUM(L835:L837)</f>
        <v>31157915</v>
      </c>
      <c r="M834" s="485">
        <f>SUM(M835:M837)</f>
        <v>0</v>
      </c>
      <c r="N834" s="485">
        <f>SUM(N835:N837)</f>
        <v>31157915</v>
      </c>
      <c r="O834" s="412">
        <f t="shared" si="118"/>
        <v>31157915</v>
      </c>
      <c r="P834" s="487">
        <v>0</v>
      </c>
      <c r="Q834" s="644"/>
      <c r="R834" s="422"/>
    </row>
    <row r="835" spans="1:18" s="189" customFormat="1" ht="12.05" customHeight="1">
      <c r="A835" s="289"/>
      <c r="B835" s="292">
        <v>4</v>
      </c>
      <c r="C835" s="292">
        <v>1</v>
      </c>
      <c r="D835" s="292">
        <v>4</v>
      </c>
      <c r="E835" s="292" t="s">
        <v>444</v>
      </c>
      <c r="F835" s="292" t="s">
        <v>440</v>
      </c>
      <c r="G835" s="253" t="s">
        <v>73</v>
      </c>
      <c r="H835" s="253"/>
      <c r="I835" s="253"/>
      <c r="J835" s="354">
        <v>0</v>
      </c>
      <c r="K835" s="355">
        <v>0</v>
      </c>
      <c r="L835" s="360">
        <v>0</v>
      </c>
      <c r="M835" s="355">
        <f>[55]Perdinas!$E$561</f>
        <v>0</v>
      </c>
      <c r="N835" s="355">
        <f t="shared" si="117"/>
        <v>0</v>
      </c>
      <c r="O835" s="355">
        <f t="shared" si="118"/>
        <v>0</v>
      </c>
      <c r="P835" s="388"/>
      <c r="Q835" s="442"/>
      <c r="R835" s="422"/>
    </row>
    <row r="836" spans="1:18" s="189" customFormat="1" ht="12.05" customHeight="1">
      <c r="A836" s="289"/>
      <c r="B836" s="292">
        <v>4</v>
      </c>
      <c r="C836" s="292">
        <v>1</v>
      </c>
      <c r="D836" s="292">
        <v>4</v>
      </c>
      <c r="E836" s="292" t="s">
        <v>444</v>
      </c>
      <c r="F836" s="292" t="s">
        <v>445</v>
      </c>
      <c r="G836" s="253" t="s">
        <v>74</v>
      </c>
      <c r="H836" s="253"/>
      <c r="I836" s="253"/>
      <c r="J836" s="354">
        <v>0</v>
      </c>
      <c r="K836" s="355">
        <v>0</v>
      </c>
      <c r="L836" s="360">
        <v>0</v>
      </c>
      <c r="M836" s="355">
        <f>[55]Perdinas!$E$562</f>
        <v>0</v>
      </c>
      <c r="N836" s="355">
        <f t="shared" si="117"/>
        <v>0</v>
      </c>
      <c r="O836" s="355">
        <f t="shared" si="118"/>
        <v>0</v>
      </c>
      <c r="P836" s="388"/>
      <c r="Q836" s="441"/>
      <c r="R836" s="422"/>
    </row>
    <row r="837" spans="1:18" s="189" customFormat="1" ht="12.05" customHeight="1">
      <c r="A837" s="289"/>
      <c r="B837" s="292">
        <v>4</v>
      </c>
      <c r="C837" s="292">
        <v>1</v>
      </c>
      <c r="D837" s="292">
        <v>4</v>
      </c>
      <c r="E837" s="292" t="s">
        <v>444</v>
      </c>
      <c r="F837" s="292" t="s">
        <v>441</v>
      </c>
      <c r="G837" s="253" t="s">
        <v>75</v>
      </c>
      <c r="H837" s="253"/>
      <c r="I837" s="253"/>
      <c r="J837" s="354">
        <v>17000000</v>
      </c>
      <c r="K837" s="373">
        <f>'[57]TARGET MURNI DAN PERUBAHAN'!$E$467</f>
        <v>0</v>
      </c>
      <c r="L837" s="360">
        <f>[62]PerDinas!$N$778</f>
        <v>31157915</v>
      </c>
      <c r="M837" s="373">
        <f>[55]Perdinas!$E$563</f>
        <v>0</v>
      </c>
      <c r="N837" s="369">
        <f t="shared" si="117"/>
        <v>31157915</v>
      </c>
      <c r="O837" s="355">
        <f t="shared" si="118"/>
        <v>31157915</v>
      </c>
      <c r="P837" s="388" t="e">
        <f t="shared" ref="P837:P842" si="119">N837/K837*100</f>
        <v>#DIV/0!</v>
      </c>
      <c r="Q837" s="441"/>
      <c r="R837" s="545"/>
    </row>
    <row r="838" spans="1:18" s="189" customFormat="1" ht="12.05" customHeight="1">
      <c r="A838" s="293"/>
      <c r="B838" s="292"/>
      <c r="C838" s="292"/>
      <c r="D838" s="292"/>
      <c r="E838" s="292"/>
      <c r="F838" s="292"/>
      <c r="G838" s="253"/>
      <c r="H838" s="253"/>
      <c r="I838" s="253"/>
      <c r="J838" s="354"/>
      <c r="K838" s="355"/>
      <c r="L838" s="360"/>
      <c r="M838" s="355"/>
      <c r="N838" s="355"/>
      <c r="O838" s="355"/>
      <c r="P838" s="388"/>
      <c r="Q838" s="441"/>
      <c r="R838" s="422"/>
    </row>
    <row r="839" spans="1:18" s="189" customFormat="1" ht="12.05" customHeight="1">
      <c r="A839" s="293"/>
      <c r="B839" s="292">
        <v>4</v>
      </c>
      <c r="C839" s="292">
        <v>1</v>
      </c>
      <c r="D839" s="292">
        <v>4</v>
      </c>
      <c r="E839" s="292" t="s">
        <v>948</v>
      </c>
      <c r="F839" s="292"/>
      <c r="G839" s="253" t="s">
        <v>321</v>
      </c>
      <c r="H839" s="253"/>
      <c r="I839" s="253"/>
      <c r="J839" s="484">
        <f t="shared" ref="J839:P839" si="120">+J840</f>
        <v>845000000</v>
      </c>
      <c r="K839" s="485">
        <f t="shared" si="120"/>
        <v>184000000</v>
      </c>
      <c r="L839" s="486">
        <f t="shared" si="120"/>
        <v>53984407</v>
      </c>
      <c r="M839" s="485">
        <f t="shared" si="120"/>
        <v>0</v>
      </c>
      <c r="N839" s="485">
        <f t="shared" si="120"/>
        <v>53984407</v>
      </c>
      <c r="O839" s="485">
        <f t="shared" si="120"/>
        <v>-130015593</v>
      </c>
      <c r="P839" s="871">
        <f t="shared" si="120"/>
        <v>29.339351630434784</v>
      </c>
      <c r="Q839" s="541"/>
      <c r="R839" s="422"/>
    </row>
    <row r="840" spans="1:18" s="189" customFormat="1" ht="12.05" customHeight="1">
      <c r="A840" s="293"/>
      <c r="B840" s="292">
        <v>4</v>
      </c>
      <c r="C840" s="292">
        <v>1</v>
      </c>
      <c r="D840" s="292">
        <v>4</v>
      </c>
      <c r="E840" s="292" t="s">
        <v>948</v>
      </c>
      <c r="F840" s="292" t="s">
        <v>437</v>
      </c>
      <c r="G840" s="253" t="s">
        <v>85</v>
      </c>
      <c r="H840" s="253"/>
      <c r="I840" s="253"/>
      <c r="J840" s="333">
        <f>SUM(J841:J842)</f>
        <v>845000000</v>
      </c>
      <c r="K840" s="334">
        <f>K842</f>
        <v>184000000</v>
      </c>
      <c r="L840" s="334">
        <f>L842</f>
        <v>53984407</v>
      </c>
      <c r="M840" s="334">
        <f>M842</f>
        <v>0</v>
      </c>
      <c r="N840" s="334">
        <f>M840+L840</f>
        <v>53984407</v>
      </c>
      <c r="O840" s="334">
        <f>N840-K840</f>
        <v>-130015593</v>
      </c>
      <c r="P840" s="1060">
        <f t="shared" si="119"/>
        <v>29.339351630434784</v>
      </c>
      <c r="Q840" s="430"/>
      <c r="R840" s="422"/>
    </row>
    <row r="841" spans="1:18" s="189" customFormat="1" ht="12.05" customHeight="1">
      <c r="A841" s="293"/>
      <c r="B841" s="292"/>
      <c r="C841" s="292"/>
      <c r="D841" s="292"/>
      <c r="E841" s="292"/>
      <c r="F841" s="292"/>
      <c r="G841" s="2760" t="s">
        <v>50</v>
      </c>
      <c r="H841" s="253"/>
      <c r="I841" s="1061" t="s">
        <v>1003</v>
      </c>
      <c r="J841" s="354">
        <v>0</v>
      </c>
      <c r="K841" s="1062">
        <v>0</v>
      </c>
      <c r="L841" s="1063">
        <f>[62]PerDinas!$N$782</f>
        <v>35309520</v>
      </c>
      <c r="M841" s="1062">
        <f>[55]Perdinas!$E$560</f>
        <v>0</v>
      </c>
      <c r="N841" s="1064">
        <f>M841+L841</f>
        <v>35309520</v>
      </c>
      <c r="O841" s="1062">
        <f>N841-K841</f>
        <v>35309520</v>
      </c>
      <c r="P841" s="1065"/>
      <c r="Q841" s="1074"/>
      <c r="R841" s="422"/>
    </row>
    <row r="842" spans="1:18" s="189" customFormat="1" ht="12.05" customHeight="1">
      <c r="A842" s="293"/>
      <c r="B842" s="292"/>
      <c r="C842" s="292"/>
      <c r="D842" s="292"/>
      <c r="E842" s="292"/>
      <c r="F842" s="292"/>
      <c r="G842" s="2760" t="s">
        <v>50</v>
      </c>
      <c r="H842" s="253"/>
      <c r="I842" s="253" t="s">
        <v>1004</v>
      </c>
      <c r="J842" s="389">
        <v>845000000</v>
      </c>
      <c r="K842" s="373">
        <f>'[57]TARGET MURNI DAN PERUBAHAN'!$E$469</f>
        <v>184000000</v>
      </c>
      <c r="L842" s="360">
        <f>[62]PerDinas!$N$783</f>
        <v>53984407</v>
      </c>
      <c r="M842" s="373">
        <f>[55]Perdinas!$E$564</f>
        <v>0</v>
      </c>
      <c r="N842" s="369">
        <f>M842+L842</f>
        <v>53984407</v>
      </c>
      <c r="O842" s="355">
        <f>N842-K842</f>
        <v>-130015593</v>
      </c>
      <c r="P842" s="388">
        <f t="shared" si="119"/>
        <v>29.339351630434784</v>
      </c>
      <c r="Q842" s="441"/>
      <c r="R842" s="422"/>
    </row>
    <row r="843" spans="1:18" s="189" customFormat="1" ht="12.05" customHeight="1">
      <c r="A843" s="293"/>
      <c r="B843" s="292"/>
      <c r="C843" s="292"/>
      <c r="D843" s="292"/>
      <c r="E843" s="292"/>
      <c r="F843" s="292"/>
      <c r="G843" s="253"/>
      <c r="H843" s="253"/>
      <c r="I843" s="253"/>
      <c r="J843" s="389"/>
      <c r="K843" s="357"/>
      <c r="L843" s="391" t="e">
        <f>[62]PerDinas!$N$784</f>
        <v>#REF!</v>
      </c>
      <c r="M843" s="357"/>
      <c r="N843" s="355"/>
      <c r="O843" s="355"/>
      <c r="P843" s="388"/>
      <c r="Q843" s="441"/>
      <c r="R843" s="422"/>
    </row>
    <row r="844" spans="1:18" s="189" customFormat="1" ht="12.05" customHeight="1">
      <c r="A844" s="1059"/>
      <c r="B844" s="578"/>
      <c r="C844" s="578"/>
      <c r="D844" s="578"/>
      <c r="E844" s="578"/>
      <c r="F844" s="578"/>
      <c r="J844" s="333"/>
      <c r="K844" s="334"/>
      <c r="L844" s="334"/>
      <c r="M844" s="334"/>
      <c r="N844" s="334"/>
      <c r="O844" s="334"/>
      <c r="P844" s="335"/>
      <c r="Q844" s="430"/>
      <c r="R844" s="422"/>
    </row>
    <row r="845" spans="1:18" s="244" customFormat="1" ht="12.05" customHeight="1">
      <c r="A845" s="283" t="s">
        <v>355</v>
      </c>
      <c r="B845" s="284" t="s">
        <v>460</v>
      </c>
      <c r="C845" s="284" t="s">
        <v>437</v>
      </c>
      <c r="D845" s="284" t="s">
        <v>440</v>
      </c>
      <c r="E845" s="284"/>
      <c r="F845" s="284"/>
      <c r="G845" s="298" t="s">
        <v>356</v>
      </c>
      <c r="H845" s="298"/>
      <c r="I845" s="298"/>
      <c r="J845" s="336">
        <f>+J847</f>
        <v>1922500000</v>
      </c>
      <c r="K845" s="337">
        <f>+K847</f>
        <v>1115290000</v>
      </c>
      <c r="L845" s="337">
        <f>+L847</f>
        <v>305862705</v>
      </c>
      <c r="M845" s="337">
        <f>+M847</f>
        <v>21356390</v>
      </c>
      <c r="N845" s="337">
        <f>M845+L845</f>
        <v>327219095</v>
      </c>
      <c r="O845" s="337">
        <f>+N845-K845</f>
        <v>-788070905</v>
      </c>
      <c r="P845" s="338">
        <f>+N845/K845*100</f>
        <v>29.339373167516968</v>
      </c>
      <c r="Q845" s="432"/>
      <c r="R845" s="639"/>
    </row>
    <row r="846" spans="1:18" s="189" customFormat="1" ht="12.05" customHeight="1">
      <c r="A846" s="471"/>
      <c r="B846" s="287"/>
      <c r="C846" s="287"/>
      <c r="D846" s="287"/>
      <c r="E846" s="287"/>
      <c r="F846" s="287"/>
      <c r="G846" s="288"/>
      <c r="H846" s="288"/>
      <c r="I846" s="288"/>
      <c r="J846" s="385"/>
      <c r="K846" s="386"/>
      <c r="L846" s="386"/>
      <c r="M846" s="386"/>
      <c r="N846" s="386"/>
      <c r="O846" s="386"/>
      <c r="P846" s="341"/>
      <c r="Q846" s="453"/>
      <c r="R846" s="422"/>
    </row>
    <row r="847" spans="1:18" s="189" customFormat="1" ht="12.05" customHeight="1">
      <c r="A847" s="293"/>
      <c r="B847" s="290">
        <v>4</v>
      </c>
      <c r="C847" s="290">
        <v>1</v>
      </c>
      <c r="D847" s="290"/>
      <c r="E847" s="290"/>
      <c r="F847" s="290"/>
      <c r="G847" s="291" t="s">
        <v>180</v>
      </c>
      <c r="H847" s="291"/>
      <c r="I847" s="291"/>
      <c r="J847" s="342">
        <f>+J849+J867</f>
        <v>1922500000</v>
      </c>
      <c r="K847" s="343">
        <f>+K849+K867</f>
        <v>1115290000</v>
      </c>
      <c r="L847" s="343">
        <f>+L849+L867</f>
        <v>305862705</v>
      </c>
      <c r="M847" s="343">
        <f>+M849+M867</f>
        <v>21356390</v>
      </c>
      <c r="N847" s="343">
        <f>+M847+L847</f>
        <v>327219095</v>
      </c>
      <c r="O847" s="343">
        <f>N847-K847</f>
        <v>-788070905</v>
      </c>
      <c r="P847" s="344">
        <f>N847/K847*100</f>
        <v>29.339373167516968</v>
      </c>
      <c r="Q847" s="437"/>
      <c r="R847" s="422"/>
    </row>
    <row r="848" spans="1:18" s="189" customFormat="1" ht="12.05" customHeight="1">
      <c r="A848" s="293"/>
      <c r="B848" s="292"/>
      <c r="C848" s="292"/>
      <c r="D848" s="292"/>
      <c r="E848" s="292"/>
      <c r="F848" s="292"/>
      <c r="G848" s="253"/>
      <c r="H848" s="253"/>
      <c r="I848" s="291"/>
      <c r="J848" s="345"/>
      <c r="K848" s="346"/>
      <c r="L848" s="346"/>
      <c r="M848" s="346"/>
      <c r="N848" s="346"/>
      <c r="O848" s="346"/>
      <c r="P848" s="347"/>
      <c r="Q848" s="438"/>
      <c r="R848" s="422"/>
    </row>
    <row r="849" spans="1:19" s="189" customFormat="1" ht="12.05" customHeight="1">
      <c r="A849" s="293"/>
      <c r="B849" s="290">
        <v>4</v>
      </c>
      <c r="C849" s="290">
        <v>1</v>
      </c>
      <c r="D849" s="290">
        <v>2</v>
      </c>
      <c r="E849" s="290"/>
      <c r="F849" s="290"/>
      <c r="G849" s="291" t="s">
        <v>106</v>
      </c>
      <c r="H849" s="291"/>
      <c r="I849" s="291"/>
      <c r="J849" s="348">
        <f>+J851</f>
        <v>617500000</v>
      </c>
      <c r="K849" s="349">
        <f>+K851</f>
        <v>1030500000</v>
      </c>
      <c r="L849" s="589">
        <f>+L851</f>
        <v>264167905</v>
      </c>
      <c r="M849" s="349">
        <f>+M851</f>
        <v>16257380</v>
      </c>
      <c r="N849" s="349">
        <f>+M849+L849</f>
        <v>280425285</v>
      </c>
      <c r="O849" s="349">
        <f>N849-K849</f>
        <v>-750074715</v>
      </c>
      <c r="P849" s="350">
        <f>N849/K849*100</f>
        <v>27.212545851528386</v>
      </c>
      <c r="Q849" s="448"/>
      <c r="R849" s="422"/>
    </row>
    <row r="850" spans="1:19" s="189" customFormat="1" ht="12.05" customHeight="1">
      <c r="A850" s="293"/>
      <c r="B850" s="292"/>
      <c r="C850" s="292"/>
      <c r="D850" s="292"/>
      <c r="E850" s="292"/>
      <c r="F850" s="292"/>
      <c r="G850" s="253"/>
      <c r="H850" s="253"/>
      <c r="I850" s="253"/>
      <c r="J850" s="354"/>
      <c r="K850" s="355"/>
      <c r="L850" s="360"/>
      <c r="M850" s="355"/>
      <c r="N850" s="355"/>
      <c r="O850" s="355"/>
      <c r="P850" s="388"/>
      <c r="Q850" s="441"/>
      <c r="R850" s="422"/>
    </row>
    <row r="851" spans="1:19" s="189" customFormat="1" ht="12.05" customHeight="1">
      <c r="A851" s="465"/>
      <c r="B851" s="296">
        <v>4</v>
      </c>
      <c r="C851" s="296">
        <v>1</v>
      </c>
      <c r="D851" s="296">
        <v>2</v>
      </c>
      <c r="E851" s="296" t="s">
        <v>438</v>
      </c>
      <c r="F851" s="296"/>
      <c r="G851" s="297" t="s">
        <v>374</v>
      </c>
      <c r="H851" s="297"/>
      <c r="I851" s="297"/>
      <c r="J851" s="342">
        <f>+J852+J858</f>
        <v>617500000</v>
      </c>
      <c r="K851" s="343">
        <f>+K852+K858</f>
        <v>1030500000</v>
      </c>
      <c r="L851" s="606">
        <f>+L852+L858</f>
        <v>264167905</v>
      </c>
      <c r="M851" s="343">
        <f>+M852+M858</f>
        <v>16257380</v>
      </c>
      <c r="N851" s="343">
        <f>+M851+L851</f>
        <v>280425285</v>
      </c>
      <c r="O851" s="343">
        <f t="shared" ref="O851:O856" si="121">N851-K851</f>
        <v>-750074715</v>
      </c>
      <c r="P851" s="344">
        <f t="shared" ref="P851:P856" si="122">N851/K851*100</f>
        <v>27.212545851528386</v>
      </c>
      <c r="Q851" s="642"/>
      <c r="R851" s="554"/>
    </row>
    <row r="852" spans="1:19" s="189" customFormat="1" ht="12.05" customHeight="1">
      <c r="A852" s="289"/>
      <c r="B852" s="292">
        <v>4</v>
      </c>
      <c r="C852" s="292">
        <v>1</v>
      </c>
      <c r="D852" s="292">
        <v>2</v>
      </c>
      <c r="E852" s="292" t="s">
        <v>438</v>
      </c>
      <c r="F852" s="292" t="s">
        <v>437</v>
      </c>
      <c r="G852" s="253" t="s">
        <v>64</v>
      </c>
      <c r="H852" s="253"/>
      <c r="I852" s="253"/>
      <c r="J852" s="387">
        <f>SUM(J853:J856)</f>
        <v>262500000</v>
      </c>
      <c r="K852" s="367">
        <f>SUM(K853:K856)</f>
        <v>785500000</v>
      </c>
      <c r="L852" s="1066">
        <f>SUM(L853:L856)</f>
        <v>186214600</v>
      </c>
      <c r="M852" s="367">
        <f>SUM(M853:M856)</f>
        <v>3486600</v>
      </c>
      <c r="N852" s="1067">
        <f>M852+L852</f>
        <v>189701200</v>
      </c>
      <c r="O852" s="371">
        <f t="shared" si="121"/>
        <v>-595798800</v>
      </c>
      <c r="P852" s="388">
        <f t="shared" si="122"/>
        <v>24.150375556970083</v>
      </c>
      <c r="Q852" s="438"/>
      <c r="R852" s="554"/>
      <c r="S852" s="240"/>
    </row>
    <row r="853" spans="1:19" s="189" customFormat="1" ht="12.05" customHeight="1">
      <c r="A853" s="293"/>
      <c r="B853" s="292"/>
      <c r="C853" s="292"/>
      <c r="D853" s="292"/>
      <c r="E853" s="292"/>
      <c r="F853" s="292"/>
      <c r="G853" s="253" t="s">
        <v>50</v>
      </c>
      <c r="H853" s="253"/>
      <c r="I853" s="253" t="s">
        <v>357</v>
      </c>
      <c r="J853" s="354">
        <v>20000000</v>
      </c>
      <c r="K853" s="373">
        <f>'[57]TARGET MURNI DAN PERUBAHAN'!$E$474</f>
        <v>40000000</v>
      </c>
      <c r="L853" s="360">
        <f>[62]PerDinas!$N$794</f>
        <v>43126500</v>
      </c>
      <c r="M853" s="373">
        <f>[55]Perdinas!$E$569</f>
        <v>1721100</v>
      </c>
      <c r="N853" s="771">
        <f>M853+L853</f>
        <v>44847600</v>
      </c>
      <c r="O853" s="355">
        <f t="shared" si="121"/>
        <v>4847600</v>
      </c>
      <c r="P853" s="388">
        <f t="shared" si="122"/>
        <v>112.11899999999999</v>
      </c>
      <c r="Q853" s="441"/>
      <c r="R853" s="554"/>
      <c r="S853" s="240"/>
    </row>
    <row r="854" spans="1:19" s="189" customFormat="1" ht="12.05" customHeight="1">
      <c r="A854" s="293"/>
      <c r="B854" s="292"/>
      <c r="C854" s="292"/>
      <c r="D854" s="292"/>
      <c r="E854" s="292"/>
      <c r="F854" s="292"/>
      <c r="G854" s="253" t="s">
        <v>50</v>
      </c>
      <c r="H854" s="253"/>
      <c r="I854" s="253" t="s">
        <v>1005</v>
      </c>
      <c r="J854" s="354">
        <v>10000000</v>
      </c>
      <c r="K854" s="373">
        <f>'[57]TARGET MURNI DAN PERUBAHAN'!$E$475</f>
        <v>18000000</v>
      </c>
      <c r="L854" s="360">
        <f>[62]PerDinas!$N$795</f>
        <v>22957100</v>
      </c>
      <c r="M854" s="373">
        <f>[55]Perdinas!$E$570</f>
        <v>1765500</v>
      </c>
      <c r="N854" s="771">
        <f>M854+L854</f>
        <v>24722600</v>
      </c>
      <c r="O854" s="355">
        <f t="shared" si="121"/>
        <v>6722600</v>
      </c>
      <c r="P854" s="388">
        <f t="shared" si="122"/>
        <v>137.34777777777779</v>
      </c>
      <c r="Q854" s="441"/>
      <c r="R854" s="554"/>
      <c r="S854" s="240"/>
    </row>
    <row r="855" spans="1:19" s="189" customFormat="1" ht="12.05" customHeight="1">
      <c r="A855" s="293"/>
      <c r="B855" s="292"/>
      <c r="C855" s="292"/>
      <c r="D855" s="292"/>
      <c r="E855" s="292"/>
      <c r="F855" s="292"/>
      <c r="G855" s="253" t="s">
        <v>50</v>
      </c>
      <c r="H855" s="253"/>
      <c r="I855" s="253" t="s">
        <v>359</v>
      </c>
      <c r="J855" s="354">
        <v>232500000</v>
      </c>
      <c r="K855" s="373">
        <f>'[57]TARGET MURNI DAN PERUBAHAN'!$E$476</f>
        <v>722500000</v>
      </c>
      <c r="L855" s="360">
        <f>[62]PerDinas!$N$796</f>
        <v>113306000</v>
      </c>
      <c r="M855" s="373">
        <f>[55]Perdinas!$E$571</f>
        <v>0</v>
      </c>
      <c r="N855" s="771">
        <f>M855+L855</f>
        <v>113306000</v>
      </c>
      <c r="O855" s="355">
        <f t="shared" si="121"/>
        <v>-609194000</v>
      </c>
      <c r="P855" s="388">
        <f t="shared" si="122"/>
        <v>15.682491349480967</v>
      </c>
      <c r="Q855" s="441"/>
      <c r="R855" s="554"/>
      <c r="S855" s="240"/>
    </row>
    <row r="856" spans="1:19" s="189" customFormat="1" ht="12.05" customHeight="1">
      <c r="A856" s="293"/>
      <c r="B856" s="292"/>
      <c r="C856" s="292"/>
      <c r="D856" s="292"/>
      <c r="E856" s="292"/>
      <c r="F856" s="292"/>
      <c r="G856" s="253" t="s">
        <v>50</v>
      </c>
      <c r="H856" s="253"/>
      <c r="I856" s="253" t="s">
        <v>360</v>
      </c>
      <c r="J856" s="354">
        <v>0</v>
      </c>
      <c r="K856" s="373">
        <f>'[57]TARGET MURNI DAN PERUBAHAN'!$E$477</f>
        <v>5000000</v>
      </c>
      <c r="L856" s="360">
        <f>[62]PerDinas!$N$797</f>
        <v>6825000</v>
      </c>
      <c r="M856" s="373">
        <f>[55]Perdinas!$E$572</f>
        <v>0</v>
      </c>
      <c r="N856" s="355">
        <f>M856+L856</f>
        <v>6825000</v>
      </c>
      <c r="O856" s="355">
        <f t="shared" si="121"/>
        <v>1825000</v>
      </c>
      <c r="P856" s="388">
        <f t="shared" si="122"/>
        <v>136.5</v>
      </c>
      <c r="Q856" s="441"/>
      <c r="R856" s="554"/>
      <c r="S856" s="240"/>
    </row>
    <row r="857" spans="1:19" s="189" customFormat="1" ht="12.05" customHeight="1">
      <c r="A857" s="293"/>
      <c r="B857" s="292"/>
      <c r="C857" s="292"/>
      <c r="D857" s="292"/>
      <c r="E857" s="292"/>
      <c r="F857" s="292"/>
      <c r="G857" s="253"/>
      <c r="H857" s="253"/>
      <c r="I857" s="253"/>
      <c r="J857" s="374"/>
      <c r="K857" s="375"/>
      <c r="L857" s="377"/>
      <c r="M857" s="375"/>
      <c r="N857" s="355"/>
      <c r="O857" s="355"/>
      <c r="P857" s="388"/>
      <c r="Q857" s="448"/>
      <c r="R857" s="554"/>
      <c r="S857" s="240"/>
    </row>
    <row r="858" spans="1:19" s="189" customFormat="1" ht="12.05" customHeight="1">
      <c r="A858" s="293"/>
      <c r="B858" s="292">
        <v>4</v>
      </c>
      <c r="C858" s="292">
        <v>1</v>
      </c>
      <c r="D858" s="292">
        <v>2</v>
      </c>
      <c r="E858" s="292" t="s">
        <v>438</v>
      </c>
      <c r="F858" s="292" t="s">
        <v>448</v>
      </c>
      <c r="G858" s="253" t="s">
        <v>361</v>
      </c>
      <c r="H858" s="253"/>
      <c r="I858" s="253"/>
      <c r="J858" s="685">
        <f>SUM(J859:J865)</f>
        <v>355000000</v>
      </c>
      <c r="K858" s="686">
        <f>SUM(K859:K865)</f>
        <v>245000000</v>
      </c>
      <c r="L858" s="687">
        <f>SUM(L859:L865)</f>
        <v>77953305</v>
      </c>
      <c r="M858" s="686">
        <f>SUM(M859:M865)</f>
        <v>12770780</v>
      </c>
      <c r="N858" s="1068">
        <f>SUM(N859:N865)</f>
        <v>90724085</v>
      </c>
      <c r="O858" s="476">
        <f t="shared" ref="O858:O865" si="123">N858-K858</f>
        <v>-154275915</v>
      </c>
      <c r="P858" s="671">
        <f t="shared" ref="P858:P864" si="124">N858/K858*100</f>
        <v>37.030238775510206</v>
      </c>
      <c r="Q858" s="448"/>
      <c r="R858" s="554"/>
      <c r="S858" s="240"/>
    </row>
    <row r="859" spans="1:19" s="189" customFormat="1" ht="12.05" customHeight="1">
      <c r="A859" s="293"/>
      <c r="B859" s="292"/>
      <c r="C859" s="292"/>
      <c r="D859" s="292"/>
      <c r="E859" s="292"/>
      <c r="F859" s="292"/>
      <c r="G859" s="253" t="s">
        <v>50</v>
      </c>
      <c r="H859" s="253"/>
      <c r="I859" s="253" t="s">
        <v>1006</v>
      </c>
      <c r="J859" s="389">
        <v>0</v>
      </c>
      <c r="K859" s="355">
        <v>0</v>
      </c>
      <c r="L859" s="391">
        <f>[62]PerDinas!$N$800</f>
        <v>0</v>
      </c>
      <c r="M859" s="357">
        <f>[55]Perdinas!$E$575</f>
        <v>0</v>
      </c>
      <c r="N859" s="357">
        <f t="shared" ref="N859:N865" si="125">M859+L859</f>
        <v>0</v>
      </c>
      <c r="O859" s="357">
        <f t="shared" si="123"/>
        <v>0</v>
      </c>
      <c r="P859" s="358" t="e">
        <f t="shared" si="124"/>
        <v>#DIV/0!</v>
      </c>
      <c r="Q859" s="442"/>
      <c r="R859" s="554"/>
      <c r="S859" s="240"/>
    </row>
    <row r="860" spans="1:19" s="189" customFormat="1" ht="12.05" customHeight="1">
      <c r="A860" s="293"/>
      <c r="B860" s="292"/>
      <c r="C860" s="292"/>
      <c r="D860" s="292"/>
      <c r="E860" s="292"/>
      <c r="F860" s="292"/>
      <c r="G860" s="253" t="s">
        <v>50</v>
      </c>
      <c r="H860" s="253"/>
      <c r="I860" s="253" t="s">
        <v>1007</v>
      </c>
      <c r="J860" s="354">
        <v>75000000</v>
      </c>
      <c r="K860" s="359">
        <f>'[57]TARGET MURNI DAN PERUBAHAN'!$E$481</f>
        <v>75000000</v>
      </c>
      <c r="L860" s="391">
        <f>[62]PerDinas!$N$801</f>
        <v>47723500</v>
      </c>
      <c r="M860" s="359">
        <f>[55]Perdinas!$E$576</f>
        <v>0</v>
      </c>
      <c r="N860" s="771">
        <f t="shared" si="125"/>
        <v>47723500</v>
      </c>
      <c r="O860" s="355">
        <f t="shared" si="123"/>
        <v>-27276500</v>
      </c>
      <c r="P860" s="388">
        <f t="shared" si="124"/>
        <v>63.63133333333333</v>
      </c>
      <c r="Q860" s="441"/>
      <c r="R860" s="554"/>
      <c r="S860" s="240"/>
    </row>
    <row r="861" spans="1:19" s="189" customFormat="1" ht="12.05" customHeight="1">
      <c r="A861" s="293"/>
      <c r="B861" s="292"/>
      <c r="C861" s="292"/>
      <c r="D861" s="292"/>
      <c r="E861" s="292"/>
      <c r="F861" s="292"/>
      <c r="G861" s="253" t="s">
        <v>50</v>
      </c>
      <c r="H861" s="253"/>
      <c r="I861" s="253" t="s">
        <v>364</v>
      </c>
      <c r="J861" s="354">
        <v>19000000</v>
      </c>
      <c r="K861" s="359">
        <f>'[57]TARGET MURNI DAN PERUBAHAN'!$E$482</f>
        <v>19000000</v>
      </c>
      <c r="L861" s="391">
        <f>[62]PerDinas!$N$802</f>
        <v>25729805</v>
      </c>
      <c r="M861" s="359">
        <f>[55]Perdinas!$E$577</f>
        <v>12770780</v>
      </c>
      <c r="N861" s="771">
        <f t="shared" si="125"/>
        <v>38500585</v>
      </c>
      <c r="O861" s="355">
        <f t="shared" si="123"/>
        <v>19500585</v>
      </c>
      <c r="P861" s="388">
        <f t="shared" si="124"/>
        <v>202.63465789473685</v>
      </c>
      <c r="Q861" s="441"/>
      <c r="R861" s="554"/>
      <c r="S861" s="240"/>
    </row>
    <row r="862" spans="1:19" s="189" customFormat="1" ht="12.05" customHeight="1">
      <c r="A862" s="293"/>
      <c r="B862" s="292"/>
      <c r="C862" s="292"/>
      <c r="D862" s="292"/>
      <c r="E862" s="292"/>
      <c r="F862" s="292"/>
      <c r="G862" s="253" t="s">
        <v>50</v>
      </c>
      <c r="H862" s="253"/>
      <c r="I862" s="253" t="s">
        <v>365</v>
      </c>
      <c r="J862" s="354">
        <v>125000000</v>
      </c>
      <c r="K862" s="359">
        <f>'[57]TARGET MURNI DAN PERUBAHAN'!$E$483</f>
        <v>125000000</v>
      </c>
      <c r="L862" s="391">
        <f>[62]PerDinas!$N$803</f>
        <v>4500000</v>
      </c>
      <c r="M862" s="359">
        <f>[55]Perdinas!$E$578</f>
        <v>0</v>
      </c>
      <c r="N862" s="771">
        <f t="shared" si="125"/>
        <v>4500000</v>
      </c>
      <c r="O862" s="355">
        <f t="shared" si="123"/>
        <v>-120500000</v>
      </c>
      <c r="P862" s="388">
        <f t="shared" si="124"/>
        <v>3.5999999999999996</v>
      </c>
      <c r="Q862" s="441"/>
      <c r="R862" s="554"/>
      <c r="S862" s="240"/>
    </row>
    <row r="863" spans="1:19" s="189" customFormat="1" ht="12.05" customHeight="1">
      <c r="A863" s="293"/>
      <c r="B863" s="292"/>
      <c r="C863" s="292"/>
      <c r="D863" s="292"/>
      <c r="E863" s="292"/>
      <c r="F863" s="292"/>
      <c r="G863" s="253" t="s">
        <v>50</v>
      </c>
      <c r="H863" s="253"/>
      <c r="I863" s="253" t="s">
        <v>366</v>
      </c>
      <c r="J863" s="354">
        <v>26000000</v>
      </c>
      <c r="K863" s="359">
        <f>'[57]TARGET MURNI DAN PERUBAHAN'!$E$484</f>
        <v>26000000</v>
      </c>
      <c r="L863" s="391">
        <f>[62]PerDinas!$N$804</f>
        <v>0</v>
      </c>
      <c r="M863" s="359">
        <f>[55]Perdinas!$E$579</f>
        <v>0</v>
      </c>
      <c r="N863" s="771">
        <f t="shared" si="125"/>
        <v>0</v>
      </c>
      <c r="O863" s="355">
        <f t="shared" si="123"/>
        <v>-26000000</v>
      </c>
      <c r="P863" s="388">
        <f t="shared" si="124"/>
        <v>0</v>
      </c>
      <c r="Q863" s="441"/>
      <c r="R863" s="554"/>
      <c r="S863" s="240"/>
    </row>
    <row r="864" spans="1:19" s="189" customFormat="1" ht="12.05" customHeight="1">
      <c r="A864" s="293"/>
      <c r="B864" s="292"/>
      <c r="C864" s="292"/>
      <c r="D864" s="292"/>
      <c r="E864" s="292"/>
      <c r="F864" s="292"/>
      <c r="G864" s="1003" t="s">
        <v>50</v>
      </c>
      <c r="H864" s="1003"/>
      <c r="I864" s="1003" t="s">
        <v>367</v>
      </c>
      <c r="J864" s="1041">
        <v>110000000</v>
      </c>
      <c r="K864" s="359">
        <f>'[57]TARGET MURNI DAN PERUBAHAN'!$E$485</f>
        <v>0</v>
      </c>
      <c r="L864" s="391">
        <f>[62]PerDinas!$N$805</f>
        <v>0</v>
      </c>
      <c r="M864" s="359">
        <f>[55]Perdinas!$E$580</f>
        <v>0</v>
      </c>
      <c r="N864" s="360">
        <f t="shared" si="125"/>
        <v>0</v>
      </c>
      <c r="O864" s="360">
        <f t="shared" si="123"/>
        <v>0</v>
      </c>
      <c r="P864" s="1042" t="e">
        <f t="shared" si="124"/>
        <v>#DIV/0!</v>
      </c>
      <c r="Q864" s="795"/>
      <c r="R864" s="554"/>
      <c r="S864" s="240"/>
    </row>
    <row r="865" spans="1:19" s="189" customFormat="1" ht="12.05" customHeight="1">
      <c r="A865" s="293"/>
      <c r="B865" s="292"/>
      <c r="C865" s="292"/>
      <c r="D865" s="292"/>
      <c r="E865" s="292"/>
      <c r="F865" s="292"/>
      <c r="G865" s="253" t="s">
        <v>50</v>
      </c>
      <c r="H865" s="253"/>
      <c r="I865" s="253" t="s">
        <v>368</v>
      </c>
      <c r="J865" s="354">
        <v>0</v>
      </c>
      <c r="K865" s="359">
        <f>'[57]TARGET MURNI DAN PERUBAHAN'!$E$486</f>
        <v>0</v>
      </c>
      <c r="L865" s="391">
        <f>[62]PerDinas!$N$806</f>
        <v>0</v>
      </c>
      <c r="M865" s="359">
        <f>[55]Perdinas!$E$581</f>
        <v>0</v>
      </c>
      <c r="N865" s="355">
        <f t="shared" si="125"/>
        <v>0</v>
      </c>
      <c r="O865" s="355">
        <f t="shared" si="123"/>
        <v>0</v>
      </c>
      <c r="P865" s="388"/>
      <c r="Q865" s="441"/>
      <c r="R865" s="554"/>
      <c r="S865" s="240"/>
    </row>
    <row r="866" spans="1:19" s="189" customFormat="1" ht="12.05" customHeight="1">
      <c r="A866" s="293"/>
      <c r="B866" s="292"/>
      <c r="C866" s="292"/>
      <c r="D866" s="292"/>
      <c r="E866" s="292"/>
      <c r="F866" s="292"/>
      <c r="G866" s="253"/>
      <c r="H866" s="253"/>
      <c r="I866" s="253"/>
      <c r="J866" s="374"/>
      <c r="K866" s="375"/>
      <c r="L866" s="377"/>
      <c r="M866" s="375"/>
      <c r="N866" s="375"/>
      <c r="O866" s="375"/>
      <c r="P866" s="600"/>
      <c r="Q866" s="448"/>
      <c r="R866" s="554"/>
      <c r="S866" s="240"/>
    </row>
    <row r="867" spans="1:19" s="189" customFormat="1" ht="12.05" customHeight="1">
      <c r="A867" s="293"/>
      <c r="B867" s="290">
        <v>4</v>
      </c>
      <c r="C867" s="290">
        <v>1</v>
      </c>
      <c r="D867" s="290">
        <v>4</v>
      </c>
      <c r="E867" s="290"/>
      <c r="F867" s="290"/>
      <c r="G867" s="291" t="s">
        <v>71</v>
      </c>
      <c r="H867" s="291"/>
      <c r="I867" s="291"/>
      <c r="J867" s="601">
        <f>J868+J873</f>
        <v>1305000000</v>
      </c>
      <c r="K867" s="602">
        <f>K868+K873+K869+K870</f>
        <v>84790000</v>
      </c>
      <c r="L867" s="602">
        <f>L868+L873+L869+L870</f>
        <v>41694800</v>
      </c>
      <c r="M867" s="602">
        <f>M868+M873+M869+M870</f>
        <v>5099010</v>
      </c>
      <c r="N867" s="1069">
        <f>M867+L867</f>
        <v>46793810</v>
      </c>
      <c r="O867" s="395">
        <f>N867-K867</f>
        <v>-37996190</v>
      </c>
      <c r="P867" s="590">
        <f>N867/K867*100</f>
        <v>55.187887722608799</v>
      </c>
      <c r="Q867" s="1075"/>
      <c r="R867" s="554"/>
      <c r="S867" s="240"/>
    </row>
    <row r="868" spans="1:19" s="189" customFormat="1" ht="12.05" customHeight="1">
      <c r="A868" s="289"/>
      <c r="B868" s="292">
        <v>4</v>
      </c>
      <c r="C868" s="292">
        <v>1</v>
      </c>
      <c r="D868" s="292">
        <v>4</v>
      </c>
      <c r="E868" s="292" t="s">
        <v>444</v>
      </c>
      <c r="F868" s="292"/>
      <c r="G868" s="253" t="s">
        <v>222</v>
      </c>
      <c r="H868" s="253"/>
      <c r="I868" s="253"/>
      <c r="J868" s="484">
        <f>+J871</f>
        <v>0</v>
      </c>
      <c r="K868" s="485">
        <f>+K871</f>
        <v>0</v>
      </c>
      <c r="L868" s="485">
        <f>+L871</f>
        <v>16067500</v>
      </c>
      <c r="M868" s="485">
        <f>+M871</f>
        <v>0</v>
      </c>
      <c r="N868" s="485">
        <f>M868+L868</f>
        <v>16067500</v>
      </c>
      <c r="O868" s="412">
        <f>N868-K868</f>
        <v>16067500</v>
      </c>
      <c r="P868" s="487">
        <v>0</v>
      </c>
      <c r="Q868" s="541"/>
      <c r="R868" s="554"/>
      <c r="S868" s="240"/>
    </row>
    <row r="869" spans="1:19" s="189" customFormat="1" ht="12.05" customHeight="1">
      <c r="A869" s="289"/>
      <c r="B869" s="290">
        <v>4</v>
      </c>
      <c r="C869" s="290">
        <v>1</v>
      </c>
      <c r="D869" s="290">
        <v>4</v>
      </c>
      <c r="E869" s="290" t="s">
        <v>441</v>
      </c>
      <c r="F869" s="290"/>
      <c r="G869" s="291" t="s">
        <v>1008</v>
      </c>
      <c r="H869" s="291"/>
      <c r="I869" s="291"/>
      <c r="J869" s="370">
        <v>0</v>
      </c>
      <c r="K869" s="355">
        <v>0</v>
      </c>
      <c r="L869" s="360">
        <f>[62]PerDinas!$N$810</f>
        <v>11624100</v>
      </c>
      <c r="M869" s="355">
        <f>[55]Perdinas!$E$584</f>
        <v>5099010</v>
      </c>
      <c r="N869" s="369">
        <f>M869+L869</f>
        <v>16723110</v>
      </c>
      <c r="O869" s="355">
        <f>N869-K869</f>
        <v>16723110</v>
      </c>
      <c r="P869" s="388"/>
      <c r="Q869" s="442"/>
      <c r="R869" s="554"/>
      <c r="S869" s="240"/>
    </row>
    <row r="870" spans="1:19" s="189" customFormat="1" ht="12.05" customHeight="1">
      <c r="A870" s="289"/>
      <c r="B870" s="292">
        <v>4</v>
      </c>
      <c r="C870" s="292">
        <v>1</v>
      </c>
      <c r="D870" s="292">
        <v>4</v>
      </c>
      <c r="E870" s="292" t="s">
        <v>444</v>
      </c>
      <c r="F870" s="292" t="s">
        <v>445</v>
      </c>
      <c r="G870" s="909" t="s">
        <v>1009</v>
      </c>
      <c r="H870" s="253"/>
      <c r="I870" s="253"/>
      <c r="J870" s="354">
        <v>0</v>
      </c>
      <c r="K870" s="355">
        <f>'[57]TARGET MURNI DAN PERUBAHAN'!$E$489</f>
        <v>84140000</v>
      </c>
      <c r="L870" s="360">
        <v>0</v>
      </c>
      <c r="M870" s="355">
        <f>[55]Perdinas!$E$586</f>
        <v>0</v>
      </c>
      <c r="N870" s="355">
        <f>M870+L870</f>
        <v>0</v>
      </c>
      <c r="O870" s="355">
        <f>N870-K870</f>
        <v>-84140000</v>
      </c>
      <c r="P870" s="388"/>
      <c r="Q870" s="441"/>
      <c r="R870" s="554"/>
      <c r="S870" s="240"/>
    </row>
    <row r="871" spans="1:19" s="189" customFormat="1" ht="12.05" customHeight="1">
      <c r="A871" s="289"/>
      <c r="B871" s="292">
        <v>4</v>
      </c>
      <c r="C871" s="292">
        <v>1</v>
      </c>
      <c r="D871" s="292">
        <v>4</v>
      </c>
      <c r="E871" s="292" t="s">
        <v>444</v>
      </c>
      <c r="F871" s="292" t="s">
        <v>441</v>
      </c>
      <c r="G871" s="253" t="s">
        <v>75</v>
      </c>
      <c r="H871" s="253"/>
      <c r="I871" s="253"/>
      <c r="J871" s="354">
        <v>0</v>
      </c>
      <c r="K871" s="373">
        <f>'[57]TARGET MURNI DAN PERUBAHAN'!$E$491</f>
        <v>0</v>
      </c>
      <c r="L871" s="360">
        <f>[62]PerDinas!$N$812</f>
        <v>16067500</v>
      </c>
      <c r="M871" s="373">
        <f>[55]Perdinas!$E$587</f>
        <v>0</v>
      </c>
      <c r="N871" s="369">
        <f>M871+L871</f>
        <v>16067500</v>
      </c>
      <c r="O871" s="355">
        <f>N871-K871</f>
        <v>16067500</v>
      </c>
      <c r="P871" s="388"/>
      <c r="Q871" s="1076"/>
      <c r="R871" s="554"/>
      <c r="S871" s="240"/>
    </row>
    <row r="872" spans="1:19" s="189" customFormat="1" ht="12.05" customHeight="1">
      <c r="A872" s="289"/>
      <c r="B872" s="292"/>
      <c r="C872" s="292"/>
      <c r="D872" s="292"/>
      <c r="E872" s="292"/>
      <c r="F872" s="292"/>
      <c r="G872" s="410"/>
      <c r="H872" s="410"/>
      <c r="I872" s="410"/>
      <c r="J872" s="354"/>
      <c r="K872" s="355"/>
      <c r="L872" s="360"/>
      <c r="M872" s="355"/>
      <c r="N872" s="355"/>
      <c r="O872" s="355"/>
      <c r="P872" s="388"/>
      <c r="Q872" s="441"/>
      <c r="R872" s="554"/>
      <c r="S872" s="240"/>
    </row>
    <row r="873" spans="1:19" s="189" customFormat="1" ht="12.05" customHeight="1">
      <c r="A873" s="293"/>
      <c r="B873" s="292">
        <v>4</v>
      </c>
      <c r="C873" s="292">
        <v>1</v>
      </c>
      <c r="D873" s="292">
        <v>4</v>
      </c>
      <c r="E873" s="292" t="s">
        <v>948</v>
      </c>
      <c r="F873" s="292"/>
      <c r="G873" s="410" t="s">
        <v>321</v>
      </c>
      <c r="H873" s="410"/>
      <c r="I873" s="410"/>
      <c r="J873" s="489">
        <f>+J874</f>
        <v>1305000000</v>
      </c>
      <c r="K873" s="512">
        <f>+K874</f>
        <v>650000</v>
      </c>
      <c r="L873" s="616">
        <f>+L874</f>
        <v>14003200</v>
      </c>
      <c r="M873" s="512">
        <f>+M874</f>
        <v>0</v>
      </c>
      <c r="N873" s="412">
        <f>+M873+L873</f>
        <v>14003200</v>
      </c>
      <c r="O873" s="412">
        <f>N873-K873</f>
        <v>13353200</v>
      </c>
      <c r="P873" s="487">
        <v>0</v>
      </c>
      <c r="Q873" s="647"/>
      <c r="R873" s="554"/>
      <c r="S873" s="240"/>
    </row>
    <row r="874" spans="1:19" s="189" customFormat="1" ht="12.05" customHeight="1">
      <c r="A874" s="293"/>
      <c r="B874" s="292">
        <v>4</v>
      </c>
      <c r="C874" s="292">
        <v>1</v>
      </c>
      <c r="D874" s="292">
        <v>4</v>
      </c>
      <c r="E874" s="292" t="s">
        <v>948</v>
      </c>
      <c r="F874" s="292" t="s">
        <v>437</v>
      </c>
      <c r="G874" s="253" t="s">
        <v>85</v>
      </c>
      <c r="H874" s="253"/>
      <c r="I874" s="253"/>
      <c r="J874" s="494">
        <f>+J875</f>
        <v>1305000000</v>
      </c>
      <c r="K874" s="495">
        <f>+K875</f>
        <v>650000</v>
      </c>
      <c r="L874" s="689">
        <f>+L875</f>
        <v>14003200</v>
      </c>
      <c r="M874" s="496">
        <f>+M875+M876</f>
        <v>0</v>
      </c>
      <c r="N874" s="497">
        <f>M874+L874</f>
        <v>14003200</v>
      </c>
      <c r="O874" s="497">
        <f>N874-K874</f>
        <v>13353200</v>
      </c>
      <c r="P874" s="498">
        <v>0</v>
      </c>
      <c r="Q874" s="548"/>
      <c r="R874" s="554"/>
      <c r="S874" s="240"/>
    </row>
    <row r="875" spans="1:19" s="189" customFormat="1" ht="12.05" customHeight="1">
      <c r="A875" s="293"/>
      <c r="B875" s="292"/>
      <c r="C875" s="292"/>
      <c r="D875" s="292"/>
      <c r="E875" s="292"/>
      <c r="F875" s="292"/>
      <c r="G875" s="1003" t="s">
        <v>50</v>
      </c>
      <c r="H875" s="1003"/>
      <c r="I875" s="1070" t="s">
        <v>85</v>
      </c>
      <c r="J875" s="1071">
        <v>1305000000</v>
      </c>
      <c r="K875" s="1019">
        <f>'[57]TARGET MURNI DAN PERUBAHAN'!$E$492</f>
        <v>650000</v>
      </c>
      <c r="L875" s="377">
        <f>[62]PerDinas!$N$816</f>
        <v>14003200</v>
      </c>
      <c r="M875" s="1019">
        <f>[55]Perdinas!$E$588</f>
        <v>0</v>
      </c>
      <c r="N875" s="369">
        <f>M875+L875</f>
        <v>14003200</v>
      </c>
      <c r="O875" s="360">
        <f>N875-K875</f>
        <v>13353200</v>
      </c>
      <c r="P875" s="1072">
        <f>N875/K875*100</f>
        <v>2154.3384615384616</v>
      </c>
      <c r="Q875" s="728"/>
      <c r="R875" s="554"/>
      <c r="S875" s="240"/>
    </row>
    <row r="876" spans="1:19" s="245" customFormat="1" ht="12.05" customHeight="1">
      <c r="A876" s="472"/>
      <c r="B876" s="305"/>
      <c r="C876" s="305"/>
      <c r="D876" s="305"/>
      <c r="E876" s="305"/>
      <c r="F876" s="305"/>
      <c r="G876" s="2776" t="s">
        <v>50</v>
      </c>
      <c r="H876" s="306"/>
      <c r="I876" s="306"/>
      <c r="J876" s="482"/>
      <c r="K876" s="404"/>
      <c r="L876" s="673"/>
      <c r="M876" s="404"/>
      <c r="N876" s="380"/>
      <c r="O876" s="404"/>
      <c r="P876" s="483"/>
      <c r="Q876" s="456"/>
      <c r="R876" s="1077"/>
    </row>
    <row r="877" spans="1:19" s="244" customFormat="1" ht="12.05" customHeight="1">
      <c r="A877" s="283" t="s">
        <v>370</v>
      </c>
      <c r="B877" s="284" t="s">
        <v>460</v>
      </c>
      <c r="C877" s="284" t="s">
        <v>438</v>
      </c>
      <c r="D877" s="284" t="s">
        <v>437</v>
      </c>
      <c r="E877" s="284"/>
      <c r="F877" s="284"/>
      <c r="G877" s="298" t="s">
        <v>887</v>
      </c>
      <c r="H877" s="298"/>
      <c r="I877" s="298"/>
      <c r="J877" s="336">
        <f>+J879</f>
        <v>23000000</v>
      </c>
      <c r="K877" s="337">
        <f>+K879</f>
        <v>25900000</v>
      </c>
      <c r="L877" s="337">
        <f>+L879</f>
        <v>59090401.5</v>
      </c>
      <c r="M877" s="337">
        <f>+M879</f>
        <v>2000000</v>
      </c>
      <c r="N877" s="337">
        <f>M877+L877</f>
        <v>61090401.5</v>
      </c>
      <c r="O877" s="337">
        <f>+N877-K877</f>
        <v>35190401.5</v>
      </c>
      <c r="P877" s="338">
        <f>+N877/K877*100</f>
        <v>235.87027606177605</v>
      </c>
      <c r="Q877" s="432"/>
      <c r="R877" s="1078"/>
    </row>
    <row r="878" spans="1:19" s="189" customFormat="1" ht="12.05" customHeight="1">
      <c r="A878" s="471"/>
      <c r="B878" s="287"/>
      <c r="C878" s="287"/>
      <c r="D878" s="287"/>
      <c r="E878" s="287"/>
      <c r="F878" s="287"/>
      <c r="G878" s="288"/>
      <c r="H878" s="288"/>
      <c r="I878" s="288"/>
      <c r="J878" s="385"/>
      <c r="K878" s="386"/>
      <c r="L878" s="386"/>
      <c r="M878" s="386"/>
      <c r="N878" s="386"/>
      <c r="O878" s="386"/>
      <c r="P878" s="341"/>
      <c r="Q878" s="453"/>
      <c r="R878" s="554"/>
    </row>
    <row r="879" spans="1:19" s="189" customFormat="1" ht="12.05" customHeight="1">
      <c r="A879" s="293"/>
      <c r="B879" s="290">
        <v>4</v>
      </c>
      <c r="C879" s="290">
        <v>1</v>
      </c>
      <c r="D879" s="290"/>
      <c r="E879" s="290"/>
      <c r="F879" s="290"/>
      <c r="G879" s="291" t="s">
        <v>180</v>
      </c>
      <c r="H879" s="291"/>
      <c r="I879" s="291"/>
      <c r="J879" s="342">
        <f>+J881+J885</f>
        <v>23000000</v>
      </c>
      <c r="K879" s="343">
        <f>+K881+K885</f>
        <v>25900000</v>
      </c>
      <c r="L879" s="343">
        <f>+L881+L885</f>
        <v>59090401.5</v>
      </c>
      <c r="M879" s="343">
        <f>+M881+M885</f>
        <v>2000000</v>
      </c>
      <c r="N879" s="343">
        <f>+M879+L879</f>
        <v>61090401.5</v>
      </c>
      <c r="O879" s="343">
        <f>N879-K879</f>
        <v>35190401.5</v>
      </c>
      <c r="P879" s="344">
        <f>N879/K879*100</f>
        <v>235.87027606177605</v>
      </c>
      <c r="Q879" s="437"/>
      <c r="R879" s="554"/>
    </row>
    <row r="880" spans="1:19" s="189" customFormat="1" ht="12.05" customHeight="1">
      <c r="A880" s="293"/>
      <c r="B880" s="292"/>
      <c r="C880" s="292"/>
      <c r="D880" s="292"/>
      <c r="E880" s="292"/>
      <c r="F880" s="292"/>
      <c r="G880" s="253"/>
      <c r="H880" s="253"/>
      <c r="I880" s="291"/>
      <c r="J880" s="345"/>
      <c r="K880" s="346"/>
      <c r="L880" s="660"/>
      <c r="M880" s="346"/>
      <c r="N880" s="346"/>
      <c r="O880" s="346"/>
      <c r="P880" s="347"/>
      <c r="Q880" s="438"/>
      <c r="R880" s="554"/>
    </row>
    <row r="881" spans="1:18" s="189" customFormat="1" ht="12.05" customHeight="1">
      <c r="A881" s="293"/>
      <c r="B881" s="290">
        <v>4</v>
      </c>
      <c r="C881" s="290">
        <v>1</v>
      </c>
      <c r="D881" s="290">
        <v>2</v>
      </c>
      <c r="E881" s="290"/>
      <c r="F881" s="290"/>
      <c r="G881" s="291" t="s">
        <v>106</v>
      </c>
      <c r="H881" s="291"/>
      <c r="I881" s="291"/>
      <c r="J881" s="348">
        <f>+J882</f>
        <v>0</v>
      </c>
      <c r="K881" s="349">
        <f>+K882</f>
        <v>0</v>
      </c>
      <c r="L881" s="589">
        <f>+L882</f>
        <v>0</v>
      </c>
      <c r="M881" s="349">
        <f>+M882</f>
        <v>0</v>
      </c>
      <c r="N881" s="349">
        <f>+N882</f>
        <v>0</v>
      </c>
      <c r="O881" s="349">
        <f>N881-K881</f>
        <v>0</v>
      </c>
      <c r="P881" s="350" t="e">
        <f>N881/K881*100</f>
        <v>#DIV/0!</v>
      </c>
      <c r="Q881" s="439"/>
      <c r="R881" s="554"/>
    </row>
    <row r="882" spans="1:18" s="189" customFormat="1" ht="12.05" customHeight="1">
      <c r="A882" s="293"/>
      <c r="B882" s="292">
        <v>4</v>
      </c>
      <c r="C882" s="292">
        <v>1</v>
      </c>
      <c r="D882" s="292">
        <v>2</v>
      </c>
      <c r="E882" s="292" t="s">
        <v>437</v>
      </c>
      <c r="F882" s="292"/>
      <c r="G882" s="253" t="s">
        <v>107</v>
      </c>
      <c r="H882" s="253"/>
      <c r="I882" s="291"/>
      <c r="J882" s="411">
        <f>+J883</f>
        <v>0</v>
      </c>
      <c r="K882" s="412">
        <f>+K883</f>
        <v>0</v>
      </c>
      <c r="L882" s="591">
        <f>+L883</f>
        <v>0</v>
      </c>
      <c r="M882" s="412">
        <f>+M883</f>
        <v>0</v>
      </c>
      <c r="N882" s="412">
        <f>+M882+L882</f>
        <v>0</v>
      </c>
      <c r="O882" s="412">
        <f>N882-K882</f>
        <v>0</v>
      </c>
      <c r="P882" s="487" t="e">
        <f>N882/K882*100</f>
        <v>#DIV/0!</v>
      </c>
      <c r="Q882" s="694"/>
      <c r="R882" s="554"/>
    </row>
    <row r="883" spans="1:18" s="189" customFormat="1" ht="12.05" customHeight="1">
      <c r="A883" s="293"/>
      <c r="B883" s="292">
        <v>4</v>
      </c>
      <c r="C883" s="292">
        <v>1</v>
      </c>
      <c r="D883" s="292">
        <v>2</v>
      </c>
      <c r="E883" s="292" t="s">
        <v>437</v>
      </c>
      <c r="F883" s="292" t="s">
        <v>441</v>
      </c>
      <c r="G883" s="253" t="s">
        <v>1010</v>
      </c>
      <c r="H883" s="253"/>
      <c r="I883" s="253"/>
      <c r="J883" s="494"/>
      <c r="K883" s="495"/>
      <c r="L883" s="513"/>
      <c r="M883" s="495">
        <v>0</v>
      </c>
      <c r="N883" s="334">
        <f>M883+L883</f>
        <v>0</v>
      </c>
      <c r="O883" s="334">
        <f>N883-K883</f>
        <v>0</v>
      </c>
      <c r="P883" s="335" t="e">
        <f>N883/K883*100</f>
        <v>#DIV/0!</v>
      </c>
      <c r="Q883" s="548"/>
      <c r="R883" s="422"/>
    </row>
    <row r="884" spans="1:18" s="189" customFormat="1" ht="12.05" customHeight="1">
      <c r="A884" s="293"/>
      <c r="B884" s="292"/>
      <c r="C884" s="292"/>
      <c r="D884" s="292"/>
      <c r="E884" s="292"/>
      <c r="F884" s="292"/>
      <c r="G884" s="253"/>
      <c r="H884" s="253"/>
      <c r="I884" s="253"/>
      <c r="J884" s="374"/>
      <c r="K884" s="375"/>
      <c r="L884" s="377"/>
      <c r="M884" s="375"/>
      <c r="N884" s="375"/>
      <c r="O884" s="375"/>
      <c r="P884" s="600"/>
      <c r="Q884" s="448"/>
      <c r="R884" s="422"/>
    </row>
    <row r="885" spans="1:18" s="189" customFormat="1" ht="12.05" customHeight="1">
      <c r="A885" s="293"/>
      <c r="B885" s="290">
        <v>4</v>
      </c>
      <c r="C885" s="290">
        <v>1</v>
      </c>
      <c r="D885" s="290">
        <v>4</v>
      </c>
      <c r="E885" s="290"/>
      <c r="F885" s="290"/>
      <c r="G885" s="291" t="s">
        <v>71</v>
      </c>
      <c r="H885" s="291"/>
      <c r="I885" s="291"/>
      <c r="J885" s="601">
        <f>J886+J889+J894</f>
        <v>23000000</v>
      </c>
      <c r="K885" s="602">
        <f>K886+K889+K894</f>
        <v>25900000</v>
      </c>
      <c r="L885" s="1073">
        <f>L886+L889+L894</f>
        <v>59090401.5</v>
      </c>
      <c r="M885" s="602">
        <f>M886+M889+M894</f>
        <v>2000000</v>
      </c>
      <c r="N885" s="602">
        <f>N886+N889+N894</f>
        <v>61090401.5</v>
      </c>
      <c r="O885" s="349">
        <f>N885-K885</f>
        <v>35190401.5</v>
      </c>
      <c r="P885" s="350">
        <f>N885/K885*100</f>
        <v>235.87027606177605</v>
      </c>
      <c r="Q885" s="640"/>
      <c r="R885" s="422"/>
    </row>
    <row r="886" spans="1:18" s="189" customFormat="1" ht="12.05" customHeight="1">
      <c r="A886" s="303"/>
      <c r="B886" s="292">
        <v>4</v>
      </c>
      <c r="C886" s="292">
        <v>1</v>
      </c>
      <c r="D886" s="292">
        <v>4</v>
      </c>
      <c r="E886" s="292" t="s">
        <v>441</v>
      </c>
      <c r="F886" s="292"/>
      <c r="G886" s="253" t="s">
        <v>557</v>
      </c>
      <c r="H886" s="253"/>
      <c r="I886" s="253"/>
      <c r="J886" s="526"/>
      <c r="K886" s="527"/>
      <c r="L886" s="670">
        <f>L887</f>
        <v>0</v>
      </c>
      <c r="M886" s="527">
        <f>M887</f>
        <v>0</v>
      </c>
      <c r="N886" s="512">
        <f>N887</f>
        <v>0</v>
      </c>
      <c r="O886" s="412">
        <f>N886-K886</f>
        <v>0</v>
      </c>
      <c r="P886" s="487" t="e">
        <f>N886/K886*100</f>
        <v>#DIV/0!</v>
      </c>
      <c r="Q886" s="644"/>
      <c r="R886" s="422"/>
    </row>
    <row r="887" spans="1:18" s="189" customFormat="1" ht="12.05" customHeight="1">
      <c r="A887" s="303"/>
      <c r="B887" s="292">
        <v>4</v>
      </c>
      <c r="C887" s="292">
        <v>1</v>
      </c>
      <c r="D887" s="292">
        <v>4</v>
      </c>
      <c r="E887" s="292" t="s">
        <v>441</v>
      </c>
      <c r="F887" s="292" t="s">
        <v>437</v>
      </c>
      <c r="G887" s="253" t="s">
        <v>72</v>
      </c>
      <c r="H887" s="253"/>
      <c r="I887" s="253"/>
      <c r="J887" s="389"/>
      <c r="K887" s="357">
        <f>'[57]TARGET MURNI DAN PERUBAHAN'!$E$496</f>
        <v>0</v>
      </c>
      <c r="L887" s="391">
        <f>[62]PerDinas!$N$828</f>
        <v>0</v>
      </c>
      <c r="M887" s="357">
        <f>[55]Perdinas!$E$592</f>
        <v>0</v>
      </c>
      <c r="N887" s="334">
        <f t="shared" ref="N887:N892" si="126">M887+L887</f>
        <v>0</v>
      </c>
      <c r="O887" s="334">
        <f>N887-K887</f>
        <v>0</v>
      </c>
      <c r="P887" s="335" t="e">
        <f>N887/K887*100</f>
        <v>#DIV/0!</v>
      </c>
      <c r="Q887" s="442"/>
      <c r="R887" s="422"/>
    </row>
    <row r="888" spans="1:18" s="189" customFormat="1" ht="12.05" customHeight="1">
      <c r="A888" s="303"/>
      <c r="B888" s="292"/>
      <c r="C888" s="292"/>
      <c r="D888" s="292"/>
      <c r="E888" s="292"/>
      <c r="F888" s="292"/>
      <c r="G888" s="253"/>
      <c r="H888" s="253"/>
      <c r="I888" s="253"/>
      <c r="J888" s="333"/>
      <c r="K888" s="334"/>
      <c r="L888" s="356"/>
      <c r="M888" s="334"/>
      <c r="N888" s="355"/>
      <c r="O888" s="355"/>
      <c r="P888" s="388"/>
      <c r="Q888" s="430"/>
      <c r="R888" s="422"/>
    </row>
    <row r="889" spans="1:18" s="189" customFormat="1" ht="12.05" customHeight="1">
      <c r="A889" s="289"/>
      <c r="B889" s="292">
        <v>4</v>
      </c>
      <c r="C889" s="292">
        <v>1</v>
      </c>
      <c r="D889" s="292">
        <v>4</v>
      </c>
      <c r="E889" s="292" t="s">
        <v>444</v>
      </c>
      <c r="F889" s="292"/>
      <c r="G889" s="253" t="s">
        <v>222</v>
      </c>
      <c r="H889" s="253"/>
      <c r="I889" s="253"/>
      <c r="J889" s="526">
        <f>+J892</f>
        <v>0</v>
      </c>
      <c r="K889" s="527">
        <f>+K892</f>
        <v>0</v>
      </c>
      <c r="L889" s="670">
        <f>SUM(L890:L892)</f>
        <v>56190401.5</v>
      </c>
      <c r="M889" s="527">
        <f>SUM(M890:M892)</f>
        <v>2000000</v>
      </c>
      <c r="N889" s="527">
        <f>SUM(N890:N892)</f>
        <v>58190401.5</v>
      </c>
      <c r="O889" s="529">
        <f>N889-K889</f>
        <v>58190401.5</v>
      </c>
      <c r="P889" s="478">
        <v>0</v>
      </c>
      <c r="Q889" s="644"/>
      <c r="R889" s="422"/>
    </row>
    <row r="890" spans="1:18" s="189" customFormat="1" ht="12.05" customHeight="1">
      <c r="A890" s="289"/>
      <c r="B890" s="292">
        <v>4</v>
      </c>
      <c r="C890" s="292">
        <v>1</v>
      </c>
      <c r="D890" s="292">
        <v>4</v>
      </c>
      <c r="E890" s="292" t="s">
        <v>444</v>
      </c>
      <c r="F890" s="292" t="s">
        <v>440</v>
      </c>
      <c r="G890" s="253" t="s">
        <v>73</v>
      </c>
      <c r="H890" s="253"/>
      <c r="I890" s="253"/>
      <c r="J890" s="354">
        <v>0</v>
      </c>
      <c r="K890" s="355">
        <v>0</v>
      </c>
      <c r="L890" s="360"/>
      <c r="M890" s="355">
        <f>[55]Perdinas!$E$593</f>
        <v>0</v>
      </c>
      <c r="N890" s="355">
        <f t="shared" si="126"/>
        <v>0</v>
      </c>
      <c r="O890" s="355">
        <f>N890-K890</f>
        <v>0</v>
      </c>
      <c r="P890" s="388"/>
      <c r="Q890" s="441"/>
      <c r="R890" s="422"/>
    </row>
    <row r="891" spans="1:18" s="189" customFormat="1" ht="12.05" customHeight="1">
      <c r="A891" s="289"/>
      <c r="B891" s="292">
        <v>4</v>
      </c>
      <c r="C891" s="292">
        <v>1</v>
      </c>
      <c r="D891" s="292">
        <v>4</v>
      </c>
      <c r="E891" s="292" t="s">
        <v>444</v>
      </c>
      <c r="F891" s="292" t="s">
        <v>445</v>
      </c>
      <c r="G891" s="253" t="s">
        <v>74</v>
      </c>
      <c r="H891" s="253"/>
      <c r="I891" s="253"/>
      <c r="J891" s="354">
        <v>0</v>
      </c>
      <c r="K891" s="355">
        <v>0</v>
      </c>
      <c r="L891" s="360"/>
      <c r="M891" s="355">
        <f>[55]Perdinas!$E$594</f>
        <v>0</v>
      </c>
      <c r="N891" s="355">
        <f t="shared" si="126"/>
        <v>0</v>
      </c>
      <c r="O891" s="355">
        <f>N891-K891</f>
        <v>0</v>
      </c>
      <c r="P891" s="388"/>
      <c r="Q891" s="441"/>
      <c r="R891" s="422"/>
    </row>
    <row r="892" spans="1:18" s="189" customFormat="1" ht="12.05" customHeight="1">
      <c r="A892" s="289"/>
      <c r="B892" s="292">
        <v>4</v>
      </c>
      <c r="C892" s="292">
        <v>1</v>
      </c>
      <c r="D892" s="292">
        <v>4</v>
      </c>
      <c r="E892" s="292" t="s">
        <v>444</v>
      </c>
      <c r="F892" s="292" t="s">
        <v>441</v>
      </c>
      <c r="G892" s="253" t="s">
        <v>75</v>
      </c>
      <c r="H892" s="253"/>
      <c r="I892" s="253"/>
      <c r="J892" s="354">
        <v>0</v>
      </c>
      <c r="K892" s="373">
        <f>'[57]TARGET MURNI DAN PERUBAHAN'!$E$499</f>
        <v>0</v>
      </c>
      <c r="L892" s="360">
        <f>[62]PerDinas!$N$833</f>
        <v>56190401.5</v>
      </c>
      <c r="M892" s="373">
        <f>[55]Perdinas!$E$595</f>
        <v>2000000</v>
      </c>
      <c r="N892" s="369">
        <f t="shared" si="126"/>
        <v>58190401.5</v>
      </c>
      <c r="O892" s="355">
        <f>N892-K892</f>
        <v>58190401.5</v>
      </c>
      <c r="P892" s="388"/>
      <c r="Q892" s="441"/>
      <c r="R892" s="431"/>
    </row>
    <row r="893" spans="1:18" s="189" customFormat="1" ht="12.05" customHeight="1">
      <c r="A893" s="293"/>
      <c r="B893" s="292"/>
      <c r="C893" s="292"/>
      <c r="D893" s="292"/>
      <c r="E893" s="292"/>
      <c r="F893" s="292"/>
      <c r="G893" s="253"/>
      <c r="H893" s="253"/>
      <c r="I893" s="253"/>
      <c r="J893" s="374"/>
      <c r="K893" s="375"/>
      <c r="L893" s="377"/>
      <c r="M893" s="375"/>
      <c r="N893" s="355"/>
      <c r="O893" s="355"/>
      <c r="P893" s="388"/>
      <c r="Q893" s="448"/>
      <c r="R893" s="422"/>
    </row>
    <row r="894" spans="1:18" s="189" customFormat="1" ht="12.05" customHeight="1">
      <c r="A894" s="293"/>
      <c r="B894" s="292">
        <v>4</v>
      </c>
      <c r="C894" s="292">
        <v>1</v>
      </c>
      <c r="D894" s="292">
        <v>4</v>
      </c>
      <c r="E894" s="292" t="s">
        <v>948</v>
      </c>
      <c r="F894" s="292"/>
      <c r="G894" s="410" t="s">
        <v>321</v>
      </c>
      <c r="H894" s="410"/>
      <c r="I894" s="410"/>
      <c r="J894" s="678">
        <f>+J895</f>
        <v>23000000</v>
      </c>
      <c r="K894" s="490">
        <f>+K895</f>
        <v>25900000</v>
      </c>
      <c r="L894" s="616">
        <f>+L895</f>
        <v>2900000</v>
      </c>
      <c r="M894" s="512">
        <f>+M895</f>
        <v>0</v>
      </c>
      <c r="N894" s="412">
        <f>+M894+L894</f>
        <v>2900000</v>
      </c>
      <c r="O894" s="412">
        <f>N894-K894</f>
        <v>-23000000</v>
      </c>
      <c r="P894" s="487">
        <v>0</v>
      </c>
      <c r="Q894" s="647"/>
      <c r="R894" s="422"/>
    </row>
    <row r="895" spans="1:18" s="189" customFormat="1" ht="12.05" customHeight="1">
      <c r="A895" s="293"/>
      <c r="B895" s="292">
        <v>4</v>
      </c>
      <c r="C895" s="292">
        <v>1</v>
      </c>
      <c r="D895" s="292">
        <v>4</v>
      </c>
      <c r="E895" s="292" t="s">
        <v>948</v>
      </c>
      <c r="F895" s="292" t="s">
        <v>437</v>
      </c>
      <c r="G895" s="253" t="s">
        <v>85</v>
      </c>
      <c r="H895" s="253"/>
      <c r="I895" s="253"/>
      <c r="J895" s="688">
        <f>+J896+J897</f>
        <v>23000000</v>
      </c>
      <c r="K895" s="496">
        <f>+K896+K897</f>
        <v>25900000</v>
      </c>
      <c r="L895" s="689">
        <f>+L896+L897</f>
        <v>2900000</v>
      </c>
      <c r="M895" s="496">
        <f>+M896</f>
        <v>0</v>
      </c>
      <c r="N895" s="497">
        <f>M895+L895</f>
        <v>2900000</v>
      </c>
      <c r="O895" s="497">
        <f>N895-K895</f>
        <v>-23000000</v>
      </c>
      <c r="P895" s="498">
        <v>0</v>
      </c>
      <c r="Q895" s="548"/>
      <c r="R895" s="422"/>
    </row>
    <row r="896" spans="1:18" s="189" customFormat="1" ht="12.05" customHeight="1">
      <c r="A896" s="293"/>
      <c r="B896" s="292"/>
      <c r="C896" s="292"/>
      <c r="D896" s="292"/>
      <c r="E896" s="292"/>
      <c r="F896" s="292"/>
      <c r="G896" s="253" t="s">
        <v>50</v>
      </c>
      <c r="H896" s="253"/>
      <c r="I896" s="253" t="s">
        <v>632</v>
      </c>
      <c r="J896" s="374">
        <v>8000000</v>
      </c>
      <c r="K896" s="376">
        <f>'[57]TARGET MURNI DAN PERUBAHAN'!$E$501</f>
        <v>25900000</v>
      </c>
      <c r="L896" s="377">
        <f>[62]PerDinas!$N$837</f>
        <v>2900000</v>
      </c>
      <c r="M896" s="376">
        <f>[55]Perdinas!$E$596</f>
        <v>0</v>
      </c>
      <c r="N896" s="369">
        <f>M896+L896</f>
        <v>2900000</v>
      </c>
      <c r="O896" s="355">
        <f>N896-K896</f>
        <v>-23000000</v>
      </c>
      <c r="P896" s="388">
        <v>0</v>
      </c>
      <c r="Q896" s="448"/>
      <c r="R896" s="431"/>
    </row>
    <row r="897" spans="1:18" s="245" customFormat="1" ht="12.05" customHeight="1">
      <c r="A897" s="472"/>
      <c r="B897" s="305"/>
      <c r="C897" s="305"/>
      <c r="D897" s="305"/>
      <c r="E897" s="305"/>
      <c r="F897" s="305"/>
      <c r="G897" s="306"/>
      <c r="H897" s="306"/>
      <c r="I897" s="306"/>
      <c r="J897" s="536">
        <v>15000000</v>
      </c>
      <c r="K897" s="379">
        <f>'[57]TARGET MURNI DAN PERUBAHAN'!$E$500</f>
        <v>0</v>
      </c>
      <c r="L897" s="1080"/>
      <c r="M897" s="379">
        <f>[60]Perdinas!$G$500</f>
        <v>0</v>
      </c>
      <c r="N897" s="380">
        <f>M897+L897</f>
        <v>0</v>
      </c>
      <c r="O897" s="380"/>
      <c r="P897" s="501"/>
      <c r="Q897" s="456"/>
      <c r="R897" s="422"/>
    </row>
    <row r="898" spans="1:18" s="244" customFormat="1">
      <c r="A898" s="283" t="s">
        <v>372</v>
      </c>
      <c r="B898" s="284" t="s">
        <v>460</v>
      </c>
      <c r="C898" s="284" t="s">
        <v>440</v>
      </c>
      <c r="D898" s="284" t="s">
        <v>437</v>
      </c>
      <c r="E898" s="284"/>
      <c r="F898" s="284"/>
      <c r="G898" s="298" t="s">
        <v>889</v>
      </c>
      <c r="H898" s="298"/>
      <c r="I898" s="298"/>
      <c r="J898" s="336">
        <f>+J899</f>
        <v>1500000</v>
      </c>
      <c r="K898" s="337">
        <f>+K899</f>
        <v>20783000</v>
      </c>
      <c r="L898" s="337">
        <f>+L899</f>
        <v>158216797</v>
      </c>
      <c r="M898" s="337">
        <f>+M899</f>
        <v>33319348</v>
      </c>
      <c r="N898" s="337">
        <f>M898+L898</f>
        <v>191536145</v>
      </c>
      <c r="O898" s="337">
        <f>+N898-K898</f>
        <v>170753145</v>
      </c>
      <c r="P898" s="338">
        <f>+N898/K898*100</f>
        <v>921.60008179762303</v>
      </c>
      <c r="Q898" s="432"/>
      <c r="R898" s="639"/>
    </row>
    <row r="899" spans="1:18" s="189" customFormat="1" ht="15.85" customHeight="1">
      <c r="A899" s="293"/>
      <c r="B899" s="290">
        <v>4</v>
      </c>
      <c r="C899" s="290">
        <v>1</v>
      </c>
      <c r="D899" s="290"/>
      <c r="E899" s="290"/>
      <c r="F899" s="290"/>
      <c r="G899" s="291" t="s">
        <v>180</v>
      </c>
      <c r="H899" s="291"/>
      <c r="I899" s="291"/>
      <c r="J899" s="342">
        <f>J901+J909</f>
        <v>1500000</v>
      </c>
      <c r="K899" s="343">
        <f>K901+K909</f>
        <v>20783000</v>
      </c>
      <c r="L899" s="343">
        <f>L901+L909</f>
        <v>158216797</v>
      </c>
      <c r="M899" s="343">
        <f>M901+M909</f>
        <v>33319348</v>
      </c>
      <c r="N899" s="343">
        <f>+M899+L899</f>
        <v>191536145</v>
      </c>
      <c r="O899" s="343">
        <f>N899-K899</f>
        <v>170753145</v>
      </c>
      <c r="P899" s="344">
        <f>N899/K899*100</f>
        <v>921.60008179762303</v>
      </c>
      <c r="Q899" s="437"/>
      <c r="R899" s="422"/>
    </row>
    <row r="900" spans="1:18" s="189" customFormat="1" ht="12.05" customHeight="1">
      <c r="A900" s="293"/>
      <c r="B900" s="292"/>
      <c r="C900" s="292"/>
      <c r="D900" s="292"/>
      <c r="E900" s="292"/>
      <c r="F900" s="292"/>
      <c r="G900" s="253"/>
      <c r="H900" s="253"/>
      <c r="I900" s="253"/>
      <c r="J900" s="345"/>
      <c r="K900" s="346"/>
      <c r="L900" s="367"/>
      <c r="M900" s="367"/>
      <c r="N900" s="367"/>
      <c r="O900" s="367"/>
      <c r="P900" s="347"/>
      <c r="Q900" s="454"/>
      <c r="R900" s="422"/>
    </row>
    <row r="901" spans="1:18" s="189" customFormat="1" ht="12.05" customHeight="1">
      <c r="A901" s="293"/>
      <c r="B901" s="290">
        <v>4</v>
      </c>
      <c r="C901" s="290">
        <v>1</v>
      </c>
      <c r="D901" s="290" t="s">
        <v>58</v>
      </c>
      <c r="E901" s="290"/>
      <c r="F901" s="290"/>
      <c r="G901" s="291" t="s">
        <v>106</v>
      </c>
      <c r="H901" s="291"/>
      <c r="I901" s="253"/>
      <c r="J901" s="392">
        <f>+J902+J905</f>
        <v>0</v>
      </c>
      <c r="K901" s="393">
        <f>+K902+K905</f>
        <v>0</v>
      </c>
      <c r="L901" s="393">
        <f>+L902</f>
        <v>0</v>
      </c>
      <c r="M901" s="393">
        <f>+M902</f>
        <v>0</v>
      </c>
      <c r="N901" s="349">
        <f>+M901+L901</f>
        <v>0</v>
      </c>
      <c r="O901" s="349">
        <f>N901-K901</f>
        <v>0</v>
      </c>
      <c r="P901" s="350" t="e">
        <f>N901/K901*100</f>
        <v>#DIV/0!</v>
      </c>
      <c r="Q901" s="444"/>
      <c r="R901" s="422"/>
    </row>
    <row r="902" spans="1:18" s="189" customFormat="1" ht="12.05" customHeight="1">
      <c r="A902" s="293"/>
      <c r="B902" s="292">
        <v>4</v>
      </c>
      <c r="C902" s="292">
        <v>1</v>
      </c>
      <c r="D902" s="292" t="s">
        <v>460</v>
      </c>
      <c r="E902" s="292" t="s">
        <v>437</v>
      </c>
      <c r="F902" s="292"/>
      <c r="G902" s="253" t="s">
        <v>107</v>
      </c>
      <c r="H902" s="253"/>
      <c r="I902" s="253"/>
      <c r="J902" s="484">
        <f>+J903</f>
        <v>0</v>
      </c>
      <c r="K902" s="485">
        <f>+K903</f>
        <v>0</v>
      </c>
      <c r="L902" s="485">
        <f>+L903</f>
        <v>0</v>
      </c>
      <c r="M902" s="485">
        <f>+M903</f>
        <v>0</v>
      </c>
      <c r="N902" s="412">
        <f>+M902+L902</f>
        <v>0</v>
      </c>
      <c r="O902" s="412">
        <f>N902-K902</f>
        <v>0</v>
      </c>
      <c r="P902" s="487" t="e">
        <f>N902/K902*100</f>
        <v>#DIV/0!</v>
      </c>
      <c r="Q902" s="541"/>
      <c r="R902" s="422"/>
    </row>
    <row r="903" spans="1:18" s="189" customFormat="1" ht="12.05" customHeight="1">
      <c r="A903" s="293"/>
      <c r="B903" s="292">
        <v>4</v>
      </c>
      <c r="C903" s="292">
        <v>1</v>
      </c>
      <c r="D903" s="292" t="s">
        <v>58</v>
      </c>
      <c r="E903" s="292" t="s">
        <v>437</v>
      </c>
      <c r="F903" s="292" t="s">
        <v>440</v>
      </c>
      <c r="G903" s="253" t="s">
        <v>1011</v>
      </c>
      <c r="H903" s="253"/>
      <c r="I903" s="253"/>
      <c r="J903" s="333">
        <v>0</v>
      </c>
      <c r="K903" s="497">
        <v>0</v>
      </c>
      <c r="L903" s="334">
        <v>0</v>
      </c>
      <c r="M903" s="497">
        <v>0</v>
      </c>
      <c r="N903" s="497">
        <f>M903+L903</f>
        <v>0</v>
      </c>
      <c r="O903" s="497">
        <f>N903-K903</f>
        <v>0</v>
      </c>
      <c r="P903" s="498" t="e">
        <f>N903/K903*100</f>
        <v>#DIV/0!</v>
      </c>
      <c r="Q903" s="787"/>
      <c r="R903" s="422"/>
    </row>
    <row r="904" spans="1:18" s="189" customFormat="1" ht="12.05" customHeight="1">
      <c r="A904" s="293"/>
      <c r="B904" s="292"/>
      <c r="C904" s="292"/>
      <c r="D904" s="292"/>
      <c r="E904" s="292"/>
      <c r="F904" s="292"/>
      <c r="G904" s="253"/>
      <c r="H904" s="253"/>
      <c r="I904" s="253"/>
      <c r="J904" s="333"/>
      <c r="K904" s="355"/>
      <c r="L904" s="334"/>
      <c r="M904" s="355"/>
      <c r="N904" s="355"/>
      <c r="O904" s="355"/>
      <c r="P904" s="388"/>
      <c r="Q904" s="441"/>
      <c r="R904" s="422"/>
    </row>
    <row r="905" spans="1:18" s="189" customFormat="1" ht="12.05" customHeight="1">
      <c r="A905" s="293"/>
      <c r="B905" s="292">
        <v>4</v>
      </c>
      <c r="C905" s="292">
        <v>1</v>
      </c>
      <c r="D905" s="292" t="s">
        <v>58</v>
      </c>
      <c r="E905" s="292" t="s">
        <v>438</v>
      </c>
      <c r="F905" s="292"/>
      <c r="G905" s="253" t="s">
        <v>109</v>
      </c>
      <c r="H905" s="253"/>
      <c r="I905" s="253"/>
      <c r="J905" s="333">
        <f>J906</f>
        <v>0</v>
      </c>
      <c r="K905" s="355">
        <f>K906</f>
        <v>0</v>
      </c>
      <c r="L905" s="355">
        <f>L906</f>
        <v>0</v>
      </c>
      <c r="M905" s="355">
        <f>M906</f>
        <v>0</v>
      </c>
      <c r="N905" s="355">
        <f>M905+L905</f>
        <v>0</v>
      </c>
      <c r="O905" s="355">
        <f>N905-K905</f>
        <v>0</v>
      </c>
      <c r="P905" s="388" t="e">
        <f t="shared" ref="P905:P911" si="127">N905/K905*100</f>
        <v>#DIV/0!</v>
      </c>
      <c r="Q905" s="441"/>
      <c r="R905" s="422"/>
    </row>
    <row r="906" spans="1:18" s="189" customFormat="1" ht="12.05" customHeight="1">
      <c r="A906" s="289"/>
      <c r="B906" s="292" t="s">
        <v>443</v>
      </c>
      <c r="C906" s="292" t="s">
        <v>58</v>
      </c>
      <c r="D906" s="292" t="s">
        <v>58</v>
      </c>
      <c r="E906" s="292" t="s">
        <v>438</v>
      </c>
      <c r="F906" s="292" t="s">
        <v>437</v>
      </c>
      <c r="G906" s="253" t="s">
        <v>64</v>
      </c>
      <c r="H906" s="253"/>
      <c r="I906" s="253"/>
      <c r="J906" s="333"/>
      <c r="K906" s="355"/>
      <c r="L906" s="355">
        <v>0</v>
      </c>
      <c r="M906" s="355"/>
      <c r="N906" s="355">
        <f>M906+L906</f>
        <v>0</v>
      </c>
      <c r="O906" s="355">
        <f>N906-K906</f>
        <v>0</v>
      </c>
      <c r="P906" s="388" t="e">
        <f t="shared" si="127"/>
        <v>#DIV/0!</v>
      </c>
      <c r="Q906" s="441"/>
      <c r="R906" s="422"/>
    </row>
    <row r="907" spans="1:18" s="189" customFormat="1" ht="12.05" customHeight="1">
      <c r="A907" s="293"/>
      <c r="B907" s="292"/>
      <c r="C907" s="292"/>
      <c r="D907" s="292"/>
      <c r="E907" s="292"/>
      <c r="F907" s="292"/>
      <c r="G907" s="253"/>
      <c r="H907" s="253"/>
      <c r="I907" s="253"/>
      <c r="J907" s="333"/>
      <c r="K907" s="355"/>
      <c r="L907" s="360"/>
      <c r="M907" s="355"/>
      <c r="N907" s="355"/>
      <c r="O907" s="355"/>
      <c r="P907" s="388"/>
      <c r="Q907" s="441"/>
      <c r="R907" s="422"/>
    </row>
    <row r="908" spans="1:18" s="189" customFormat="1" ht="12.05" customHeight="1">
      <c r="A908" s="293"/>
      <c r="B908" s="292"/>
      <c r="C908" s="292"/>
      <c r="D908" s="292"/>
      <c r="E908" s="292"/>
      <c r="F908" s="292"/>
      <c r="G908" s="253"/>
      <c r="H908" s="253"/>
      <c r="I908" s="253"/>
      <c r="J908" s="354"/>
      <c r="K908" s="355"/>
      <c r="L908" s="360"/>
      <c r="M908" s="355"/>
      <c r="N908" s="355"/>
      <c r="O908" s="355"/>
      <c r="P908" s="388"/>
      <c r="Q908" s="441"/>
      <c r="R908" s="422"/>
    </row>
    <row r="909" spans="1:18" s="189" customFormat="1" ht="12.05" customHeight="1">
      <c r="A909" s="465"/>
      <c r="B909" s="466">
        <v>4</v>
      </c>
      <c r="C909" s="466">
        <v>1</v>
      </c>
      <c r="D909" s="466">
        <v>4</v>
      </c>
      <c r="E909" s="466"/>
      <c r="F909" s="466"/>
      <c r="G909" s="467" t="s">
        <v>71</v>
      </c>
      <c r="H909" s="467"/>
      <c r="I909" s="467"/>
      <c r="J909" s="329">
        <f>J912+J917</f>
        <v>1500000</v>
      </c>
      <c r="K909" s="330">
        <f>K912+K917</f>
        <v>20783000</v>
      </c>
      <c r="L909" s="366">
        <f>+L910+L912+L917</f>
        <v>158216797</v>
      </c>
      <c r="M909" s="330">
        <f>+M910+M912+M917</f>
        <v>33319348</v>
      </c>
      <c r="N909" s="330">
        <f>+N910+N912+N917</f>
        <v>191536145</v>
      </c>
      <c r="O909" s="343">
        <f t="shared" ref="O909:O915" si="128">N909-K909</f>
        <v>170753145</v>
      </c>
      <c r="P909" s="344">
        <f t="shared" si="127"/>
        <v>921.60008179762303</v>
      </c>
      <c r="Q909" s="445"/>
      <c r="R909" s="422"/>
    </row>
    <row r="910" spans="1:18" s="189" customFormat="1" ht="12.05" customHeight="1">
      <c r="A910" s="293"/>
      <c r="B910" s="292">
        <v>4</v>
      </c>
      <c r="C910" s="292">
        <v>1</v>
      </c>
      <c r="D910" s="292">
        <v>4</v>
      </c>
      <c r="E910" s="292" t="s">
        <v>441</v>
      </c>
      <c r="F910" s="292"/>
      <c r="G910" s="253" t="s">
        <v>557</v>
      </c>
      <c r="H910" s="253"/>
      <c r="I910" s="253"/>
      <c r="J910" s="354"/>
      <c r="K910" s="355"/>
      <c r="L910" s="360">
        <f>L911</f>
        <v>39017317</v>
      </c>
      <c r="M910" s="355">
        <f>M911</f>
        <v>33319348</v>
      </c>
      <c r="N910" s="618">
        <f>N911</f>
        <v>72336665</v>
      </c>
      <c r="O910" s="346">
        <f t="shared" si="128"/>
        <v>72336665</v>
      </c>
      <c r="P910" s="347" t="e">
        <f t="shared" si="127"/>
        <v>#DIV/0!</v>
      </c>
      <c r="Q910" s="651"/>
      <c r="R910" s="422"/>
    </row>
    <row r="911" spans="1:18" s="189" customFormat="1" ht="12.05" customHeight="1">
      <c r="A911" s="293"/>
      <c r="B911" s="292">
        <v>4</v>
      </c>
      <c r="C911" s="292">
        <v>1</v>
      </c>
      <c r="D911" s="292">
        <v>4</v>
      </c>
      <c r="E911" s="292" t="s">
        <v>441</v>
      </c>
      <c r="F911" s="292" t="s">
        <v>437</v>
      </c>
      <c r="G911" s="253" t="s">
        <v>72</v>
      </c>
      <c r="H911" s="253"/>
      <c r="I911" s="253"/>
      <c r="J911" s="354"/>
      <c r="K911" s="373">
        <f>'[57]TARGET MURNI DAN PERUBAHAN'!$E$506</f>
        <v>0</v>
      </c>
      <c r="L911" s="360">
        <f>[62]PerDinas!$N$852</f>
        <v>39017317</v>
      </c>
      <c r="M911" s="373">
        <f>[55]Perdinas!$E$602</f>
        <v>33319348</v>
      </c>
      <c r="N911" s="355">
        <f>M911+L911</f>
        <v>72336665</v>
      </c>
      <c r="O911" s="355">
        <f t="shared" si="128"/>
        <v>72336665</v>
      </c>
      <c r="P911" s="388" t="e">
        <f t="shared" si="127"/>
        <v>#DIV/0!</v>
      </c>
      <c r="Q911" s="441"/>
      <c r="R911" s="422"/>
    </row>
    <row r="912" spans="1:18" s="189" customFormat="1" ht="12.05" customHeight="1">
      <c r="A912" s="289"/>
      <c r="B912" s="292">
        <v>4</v>
      </c>
      <c r="C912" s="292">
        <v>1</v>
      </c>
      <c r="D912" s="292">
        <v>4</v>
      </c>
      <c r="E912" s="292" t="s">
        <v>444</v>
      </c>
      <c r="F912" s="292"/>
      <c r="G912" s="253" t="s">
        <v>222</v>
      </c>
      <c r="H912" s="253"/>
      <c r="I912" s="253"/>
      <c r="J912" s="354">
        <f>+J915</f>
        <v>0</v>
      </c>
      <c r="K912" s="355">
        <f>+K915</f>
        <v>0</v>
      </c>
      <c r="L912" s="360">
        <f>SUM(L913:L915)</f>
        <v>5373000</v>
      </c>
      <c r="M912" s="355">
        <f>SUM(M913:M915)</f>
        <v>0</v>
      </c>
      <c r="N912" s="355">
        <f>SUM(N913:N915)</f>
        <v>5373000</v>
      </c>
      <c r="O912" s="346">
        <f t="shared" si="128"/>
        <v>5373000</v>
      </c>
      <c r="P912" s="347">
        <v>0</v>
      </c>
      <c r="Q912" s="441"/>
      <c r="R912" s="422"/>
    </row>
    <row r="913" spans="1:18" s="189" customFormat="1" ht="12.05" customHeight="1">
      <c r="A913" s="289"/>
      <c r="B913" s="292">
        <v>4</v>
      </c>
      <c r="C913" s="292">
        <v>1</v>
      </c>
      <c r="D913" s="292">
        <v>4</v>
      </c>
      <c r="E913" s="292" t="s">
        <v>444</v>
      </c>
      <c r="F913" s="292" t="s">
        <v>440</v>
      </c>
      <c r="G913" s="253" t="s">
        <v>73</v>
      </c>
      <c r="H913" s="253"/>
      <c r="I913" s="253"/>
      <c r="J913" s="354">
        <v>0</v>
      </c>
      <c r="K913" s="355">
        <v>0</v>
      </c>
      <c r="L913" s="360">
        <v>0</v>
      </c>
      <c r="M913" s="355">
        <f>[55]Perdinas!$E$603</f>
        <v>0</v>
      </c>
      <c r="N913" s="355">
        <f>M913+L913</f>
        <v>0</v>
      </c>
      <c r="O913" s="355">
        <f t="shared" si="128"/>
        <v>0</v>
      </c>
      <c r="P913" s="388"/>
      <c r="Q913" s="441"/>
      <c r="R913" s="422"/>
    </row>
    <row r="914" spans="1:18" s="189" customFormat="1" ht="12.05" customHeight="1">
      <c r="A914" s="289"/>
      <c r="B914" s="292">
        <v>4</v>
      </c>
      <c r="C914" s="292">
        <v>1</v>
      </c>
      <c r="D914" s="292">
        <v>4</v>
      </c>
      <c r="E914" s="292" t="s">
        <v>444</v>
      </c>
      <c r="F914" s="292" t="s">
        <v>445</v>
      </c>
      <c r="G914" s="253" t="s">
        <v>74</v>
      </c>
      <c r="H914" s="253"/>
      <c r="I914" s="253"/>
      <c r="J914" s="354">
        <v>0</v>
      </c>
      <c r="K914" s="355">
        <v>0</v>
      </c>
      <c r="L914" s="360">
        <v>0</v>
      </c>
      <c r="M914" s="355">
        <f>[55]Perdinas!$E$604</f>
        <v>0</v>
      </c>
      <c r="N914" s="355">
        <f>M914+L914</f>
        <v>0</v>
      </c>
      <c r="O914" s="355">
        <f t="shared" si="128"/>
        <v>0</v>
      </c>
      <c r="P914" s="388"/>
      <c r="Q914" s="441"/>
      <c r="R914" s="422"/>
    </row>
    <row r="915" spans="1:18" s="189" customFormat="1" ht="12.05" customHeight="1">
      <c r="A915" s="289"/>
      <c r="B915" s="292">
        <v>4</v>
      </c>
      <c r="C915" s="292">
        <v>1</v>
      </c>
      <c r="D915" s="292">
        <v>4</v>
      </c>
      <c r="E915" s="292" t="s">
        <v>444</v>
      </c>
      <c r="F915" s="292" t="s">
        <v>441</v>
      </c>
      <c r="G915" s="253" t="s">
        <v>75</v>
      </c>
      <c r="H915" s="253"/>
      <c r="I915" s="253"/>
      <c r="J915" s="354">
        <v>0</v>
      </c>
      <c r="K915" s="355">
        <f>'[57]TARGET MURNI DAN PERUBAHAN'!$E$509</f>
        <v>0</v>
      </c>
      <c r="L915" s="360">
        <f>[62]PerDinas!$N$856</f>
        <v>5373000</v>
      </c>
      <c r="M915" s="355">
        <f>[55]Perdinas!$E$605</f>
        <v>0</v>
      </c>
      <c r="N915" s="369">
        <f>M915+L915</f>
        <v>5373000</v>
      </c>
      <c r="O915" s="355">
        <f t="shared" si="128"/>
        <v>5373000</v>
      </c>
      <c r="P915" s="388"/>
      <c r="Q915" s="441"/>
      <c r="R915" s="422"/>
    </row>
    <row r="916" spans="1:18" s="189" customFormat="1" ht="12.05" customHeight="1">
      <c r="A916" s="289"/>
      <c r="B916" s="292"/>
      <c r="C916" s="292"/>
      <c r="D916" s="292"/>
      <c r="E916" s="292"/>
      <c r="F916" s="292"/>
      <c r="G916" s="253"/>
      <c r="H916" s="253"/>
      <c r="I916" s="253"/>
      <c r="J916" s="354"/>
      <c r="K916" s="355"/>
      <c r="L916" s="360"/>
      <c r="M916" s="355"/>
      <c r="N916" s="355"/>
      <c r="O916" s="355"/>
      <c r="P916" s="388"/>
      <c r="Q916" s="441"/>
      <c r="R916" s="422"/>
    </row>
    <row r="917" spans="1:18" s="189" customFormat="1" ht="12.05" customHeight="1">
      <c r="A917" s="293"/>
      <c r="B917" s="292">
        <v>4</v>
      </c>
      <c r="C917" s="292">
        <v>1</v>
      </c>
      <c r="D917" s="292">
        <v>4</v>
      </c>
      <c r="E917" s="292" t="s">
        <v>451</v>
      </c>
      <c r="F917" s="292"/>
      <c r="G917" s="253" t="s">
        <v>321</v>
      </c>
      <c r="H917" s="253"/>
      <c r="I917" s="253"/>
      <c r="J917" s="374">
        <f>J918</f>
        <v>1500000</v>
      </c>
      <c r="K917" s="375">
        <f>K918</f>
        <v>20783000</v>
      </c>
      <c r="L917" s="377">
        <f>+L918</f>
        <v>113826480</v>
      </c>
      <c r="M917" s="375">
        <f>+M918</f>
        <v>0</v>
      </c>
      <c r="N917" s="346">
        <f>+M917+L917</f>
        <v>113826480</v>
      </c>
      <c r="O917" s="346">
        <f>N917-K917</f>
        <v>93043480</v>
      </c>
      <c r="P917" s="347">
        <v>0</v>
      </c>
      <c r="Q917" s="448"/>
      <c r="R917" s="422"/>
    </row>
    <row r="918" spans="1:18" s="189" customFormat="1" ht="12.05" customHeight="1">
      <c r="A918" s="293"/>
      <c r="B918" s="292">
        <v>4</v>
      </c>
      <c r="C918" s="292">
        <v>1</v>
      </c>
      <c r="D918" s="292">
        <v>4</v>
      </c>
      <c r="E918" s="292" t="s">
        <v>451</v>
      </c>
      <c r="F918" s="292" t="s">
        <v>437</v>
      </c>
      <c r="G918" s="253" t="s">
        <v>85</v>
      </c>
      <c r="H918" s="253"/>
      <c r="I918" s="253"/>
      <c r="J918" s="374">
        <f t="shared" ref="J918:P918" si="129">SUM(J919:J921)</f>
        <v>1500000</v>
      </c>
      <c r="K918" s="375">
        <f t="shared" si="129"/>
        <v>20783000</v>
      </c>
      <c r="L918" s="377">
        <f t="shared" si="129"/>
        <v>113826480</v>
      </c>
      <c r="M918" s="375">
        <f t="shared" si="129"/>
        <v>0</v>
      </c>
      <c r="N918" s="375">
        <f t="shared" si="129"/>
        <v>113826480</v>
      </c>
      <c r="O918" s="375">
        <f t="shared" si="129"/>
        <v>93043480</v>
      </c>
      <c r="P918" s="1081">
        <f t="shared" si="129"/>
        <v>549.6903238223548</v>
      </c>
      <c r="Q918" s="448"/>
      <c r="R918" s="422"/>
    </row>
    <row r="919" spans="1:18" s="189" customFormat="1" ht="12.05" customHeight="1">
      <c r="A919" s="471"/>
      <c r="B919" s="287"/>
      <c r="C919" s="287"/>
      <c r="D919" s="287"/>
      <c r="E919" s="287"/>
      <c r="F919" s="287"/>
      <c r="G919" s="410" t="s">
        <v>50</v>
      </c>
      <c r="H919" s="410"/>
      <c r="I919" s="410" t="s">
        <v>85</v>
      </c>
      <c r="J919" s="708">
        <v>1500000</v>
      </c>
      <c r="K919" s="722">
        <f>'[57]TARGET MURNI DAN PERUBAHAN'!$E$512</f>
        <v>20783000</v>
      </c>
      <c r="L919" s="710">
        <f>[62]PerDinas!$N$860</f>
        <v>113826480</v>
      </c>
      <c r="M919" s="722">
        <f>[55]Perdinas!$E$608</f>
        <v>0</v>
      </c>
      <c r="N919" s="415">
        <f>M919+L919</f>
        <v>113826480</v>
      </c>
      <c r="O919" s="357">
        <f>N919-K919</f>
        <v>93043480</v>
      </c>
      <c r="P919" s="358">
        <f>N919/K919*100</f>
        <v>547.6903238223548</v>
      </c>
      <c r="Q919" s="732"/>
      <c r="R919" s="422"/>
    </row>
    <row r="920" spans="1:18" s="189" customFormat="1" ht="12.05" customHeight="1">
      <c r="A920" s="293"/>
      <c r="B920" s="292"/>
      <c r="C920" s="292"/>
      <c r="D920" s="292"/>
      <c r="E920" s="292"/>
      <c r="F920" s="292"/>
      <c r="G920" s="253" t="s">
        <v>50</v>
      </c>
      <c r="H920" s="253"/>
      <c r="I920" s="253" t="s">
        <v>1012</v>
      </c>
      <c r="J920" s="374">
        <v>0</v>
      </c>
      <c r="K920" s="375">
        <f>'[57]TARGET MURNI DAN PERUBAHAN'!$E$510</f>
        <v>0</v>
      </c>
      <c r="L920" s="710">
        <f>[62]PerDinas!$N$861</f>
        <v>0</v>
      </c>
      <c r="M920" s="375">
        <f>[55]Perdinas!$E$606</f>
        <v>0</v>
      </c>
      <c r="N920" s="355">
        <f>M920+L920</f>
        <v>0</v>
      </c>
      <c r="O920" s="355">
        <f>N920-K920</f>
        <v>0</v>
      </c>
      <c r="P920" s="388">
        <v>1</v>
      </c>
      <c r="Q920" s="448"/>
      <c r="R920" s="422"/>
    </row>
    <row r="921" spans="1:18" s="245" customFormat="1" ht="12.05" customHeight="1">
      <c r="A921" s="472"/>
      <c r="B921" s="305"/>
      <c r="C921" s="305"/>
      <c r="D921" s="305"/>
      <c r="E921" s="305"/>
      <c r="F921" s="305"/>
      <c r="G921" s="306" t="s">
        <v>50</v>
      </c>
      <c r="H921" s="306"/>
      <c r="I921" s="306" t="s">
        <v>1013</v>
      </c>
      <c r="J921" s="499">
        <v>0</v>
      </c>
      <c r="K921" s="379">
        <f>'[57]TARGET MURNI DAN PERUBAHAN'!$E$511</f>
        <v>0</v>
      </c>
      <c r="L921" s="710">
        <f>[62]PerDinas!$N$862</f>
        <v>0</v>
      </c>
      <c r="M921" s="379">
        <f>[55]Perdinas!$E$607</f>
        <v>0</v>
      </c>
      <c r="N921" s="380">
        <f>M921+L921</f>
        <v>0</v>
      </c>
      <c r="O921" s="380">
        <f>N921-K921</f>
        <v>0</v>
      </c>
      <c r="P921" s="501">
        <v>1</v>
      </c>
      <c r="Q921" s="549"/>
      <c r="R921" s="450"/>
    </row>
    <row r="922" spans="1:18" s="244" customFormat="1">
      <c r="A922" s="283" t="s">
        <v>392</v>
      </c>
      <c r="B922" s="284" t="s">
        <v>460</v>
      </c>
      <c r="C922" s="284" t="s">
        <v>451</v>
      </c>
      <c r="D922" s="284" t="s">
        <v>437</v>
      </c>
      <c r="E922" s="284"/>
      <c r="F922" s="284"/>
      <c r="G922" s="298" t="s">
        <v>373</v>
      </c>
      <c r="H922" s="298"/>
      <c r="I922" s="298"/>
      <c r="J922" s="336">
        <f>+J924</f>
        <v>1213190000</v>
      </c>
      <c r="K922" s="337">
        <f>+K924</f>
        <v>1422930000</v>
      </c>
      <c r="L922" s="337">
        <f>+L924</f>
        <v>1131245679</v>
      </c>
      <c r="M922" s="337">
        <f>+M924</f>
        <v>40335000</v>
      </c>
      <c r="N922" s="337">
        <f>M922+L922</f>
        <v>1171580679</v>
      </c>
      <c r="O922" s="337">
        <f>+N922-K922</f>
        <v>-251349321</v>
      </c>
      <c r="P922" s="338">
        <f>+N922/K922*100</f>
        <v>82.335791570913543</v>
      </c>
      <c r="Q922" s="432"/>
      <c r="R922" s="788"/>
    </row>
    <row r="923" spans="1:18" s="189" customFormat="1" ht="12.05" customHeight="1">
      <c r="A923" s="471"/>
      <c r="B923" s="287"/>
      <c r="C923" s="287"/>
      <c r="D923" s="287"/>
      <c r="E923" s="287"/>
      <c r="F923" s="287"/>
      <c r="G923" s="288"/>
      <c r="H923" s="288"/>
      <c r="I923" s="288"/>
      <c r="J923" s="385"/>
      <c r="K923" s="386"/>
      <c r="L923" s="386"/>
      <c r="M923" s="386"/>
      <c r="N923" s="386"/>
      <c r="O923" s="386"/>
      <c r="P923" s="341"/>
      <c r="Q923" s="1092"/>
      <c r="R923" s="422"/>
    </row>
    <row r="924" spans="1:18" s="189" customFormat="1" ht="12.05" customHeight="1">
      <c r="A924" s="293"/>
      <c r="B924" s="290">
        <v>4</v>
      </c>
      <c r="C924" s="290">
        <v>1</v>
      </c>
      <c r="D924" s="290"/>
      <c r="E924" s="290"/>
      <c r="F924" s="290"/>
      <c r="G924" s="291" t="s">
        <v>180</v>
      </c>
      <c r="H924" s="291"/>
      <c r="I924" s="291"/>
      <c r="J924" s="342">
        <f>+J926+J951</f>
        <v>1213190000</v>
      </c>
      <c r="K924" s="343">
        <f>+K926+K951</f>
        <v>1422930000</v>
      </c>
      <c r="L924" s="343">
        <f>+L926+L951</f>
        <v>1131245679</v>
      </c>
      <c r="M924" s="343">
        <f>+M926+M951</f>
        <v>40335000</v>
      </c>
      <c r="N924" s="343">
        <f>+M924+L924</f>
        <v>1171580679</v>
      </c>
      <c r="O924" s="343">
        <f>N924-K924</f>
        <v>-251349321</v>
      </c>
      <c r="P924" s="344">
        <f>N924/K924*100</f>
        <v>82.335791570913543</v>
      </c>
      <c r="Q924" s="1093"/>
      <c r="R924" s="422"/>
    </row>
    <row r="925" spans="1:18" s="189" customFormat="1" ht="12.05" customHeight="1">
      <c r="A925" s="293"/>
      <c r="B925" s="292"/>
      <c r="C925" s="292"/>
      <c r="D925" s="292"/>
      <c r="E925" s="292"/>
      <c r="F925" s="292"/>
      <c r="G925" s="253"/>
      <c r="H925" s="253"/>
      <c r="I925" s="291"/>
      <c r="J925" s="345"/>
      <c r="K925" s="346"/>
      <c r="L925" s="660"/>
      <c r="M925" s="346"/>
      <c r="N925" s="346"/>
      <c r="O925" s="346"/>
      <c r="P925" s="347"/>
      <c r="Q925" s="438"/>
      <c r="R925" s="422"/>
    </row>
    <row r="926" spans="1:18" s="189" customFormat="1" ht="12.05" customHeight="1">
      <c r="A926" s="293"/>
      <c r="B926" s="290">
        <v>4</v>
      </c>
      <c r="C926" s="290">
        <v>1</v>
      </c>
      <c r="D926" s="290">
        <v>2</v>
      </c>
      <c r="E926" s="290"/>
      <c r="F926" s="290"/>
      <c r="G926" s="291" t="s">
        <v>106</v>
      </c>
      <c r="H926" s="291"/>
      <c r="I926" s="291"/>
      <c r="J926" s="348">
        <f>+J928+J949</f>
        <v>1169190000</v>
      </c>
      <c r="K926" s="349">
        <f>+K928</f>
        <v>1406180000</v>
      </c>
      <c r="L926" s="589">
        <f>+L928</f>
        <v>1115162774</v>
      </c>
      <c r="M926" s="349">
        <f>+M928</f>
        <v>38335000</v>
      </c>
      <c r="N926" s="349">
        <f>+M926+L926</f>
        <v>1153497774</v>
      </c>
      <c r="O926" s="349">
        <f>N926-K926</f>
        <v>-252682226</v>
      </c>
      <c r="P926" s="350">
        <f>N926/K926*100</f>
        <v>82.030591673896652</v>
      </c>
      <c r="Q926" s="439"/>
      <c r="R926" s="422"/>
    </row>
    <row r="927" spans="1:18" s="189" customFormat="1" ht="12.05" customHeight="1">
      <c r="A927" s="293"/>
      <c r="B927" s="292"/>
      <c r="C927" s="292"/>
      <c r="D927" s="292"/>
      <c r="E927" s="292"/>
      <c r="F927" s="292"/>
      <c r="G927" s="253"/>
      <c r="H927" s="253"/>
      <c r="I927" s="253"/>
      <c r="J927" s="354"/>
      <c r="K927" s="355"/>
      <c r="L927" s="360"/>
      <c r="M927" s="355"/>
      <c r="N927" s="355"/>
      <c r="O927" s="355"/>
      <c r="P927" s="388"/>
      <c r="Q927" s="441"/>
      <c r="R927" s="422"/>
    </row>
    <row r="928" spans="1:18" s="190" customFormat="1" ht="12.05" customHeight="1">
      <c r="A928" s="293"/>
      <c r="B928" s="290">
        <v>4</v>
      </c>
      <c r="C928" s="290">
        <v>1</v>
      </c>
      <c r="D928" s="290">
        <v>2</v>
      </c>
      <c r="E928" s="290" t="s">
        <v>438</v>
      </c>
      <c r="F928" s="290"/>
      <c r="G928" s="291" t="s">
        <v>374</v>
      </c>
      <c r="H928" s="291"/>
      <c r="I928" s="291"/>
      <c r="J928" s="746">
        <f>+J929+J940</f>
        <v>1169190000</v>
      </c>
      <c r="K928" s="676">
        <f>+K929+K940+K949</f>
        <v>1406180000</v>
      </c>
      <c r="L928" s="675">
        <f>+L929+L940+L948</f>
        <v>1115162774</v>
      </c>
      <c r="M928" s="676">
        <f>+M929+M940+M949</f>
        <v>38335000</v>
      </c>
      <c r="N928" s="492">
        <f>+M928+L928</f>
        <v>1153497774</v>
      </c>
      <c r="O928" s="492">
        <f t="shared" ref="O928:O938" si="130">N928-K928</f>
        <v>-252682226</v>
      </c>
      <c r="P928" s="487">
        <f t="shared" ref="P928:P938" si="131">N928/K928*100</f>
        <v>82.030591673896652</v>
      </c>
      <c r="Q928" s="1094"/>
      <c r="R928" s="446"/>
    </row>
    <row r="929" spans="1:18" s="190" customFormat="1" ht="12.05" customHeight="1">
      <c r="A929" s="289"/>
      <c r="B929" s="290">
        <v>4</v>
      </c>
      <c r="C929" s="290">
        <v>1</v>
      </c>
      <c r="D929" s="290">
        <v>2</v>
      </c>
      <c r="E929" s="290" t="s">
        <v>438</v>
      </c>
      <c r="F929" s="290" t="s">
        <v>437</v>
      </c>
      <c r="G929" s="1079" t="s">
        <v>64</v>
      </c>
      <c r="H929" s="291"/>
      <c r="I929" s="291"/>
      <c r="J929" s="620">
        <f>SUM(J930:J937)</f>
        <v>708190000</v>
      </c>
      <c r="K929" s="621">
        <f>SUM(K930:K937)</f>
        <v>616180000</v>
      </c>
      <c r="L929" s="623">
        <f>SUM(L930:L938)</f>
        <v>463254924</v>
      </c>
      <c r="M929" s="621">
        <f>SUM(M930:M938)</f>
        <v>11255000</v>
      </c>
      <c r="N929" s="1082">
        <f>M929+L929</f>
        <v>474509924</v>
      </c>
      <c r="O929" s="330">
        <f t="shared" si="130"/>
        <v>-141670076</v>
      </c>
      <c r="P929" s="335">
        <f t="shared" si="131"/>
        <v>77.008329384270837</v>
      </c>
      <c r="Q929" s="1093"/>
      <c r="R929" s="1095"/>
    </row>
    <row r="930" spans="1:18" s="189" customFormat="1" ht="12.05" customHeight="1">
      <c r="A930" s="293"/>
      <c r="B930" s="292"/>
      <c r="C930" s="292"/>
      <c r="D930" s="292"/>
      <c r="E930" s="292"/>
      <c r="F930" s="292"/>
      <c r="G930" s="291" t="s">
        <v>50</v>
      </c>
      <c r="H930" s="291"/>
      <c r="I930" s="1083" t="s">
        <v>375</v>
      </c>
      <c r="J930" s="354">
        <v>475000000</v>
      </c>
      <c r="K930" s="373">
        <f>'[57]TARGET MURNI DAN PERUBAHAN'!$E$520</f>
        <v>428430000</v>
      </c>
      <c r="L930" s="360">
        <f>[62]PerDinas!$N$871</f>
        <v>335936920</v>
      </c>
      <c r="M930" s="373">
        <f>[55]Perdinas!$E$616</f>
        <v>10655000</v>
      </c>
      <c r="N930" s="771">
        <f t="shared" ref="N930:N938" si="132">M930+L930</f>
        <v>346591920</v>
      </c>
      <c r="O930" s="355">
        <f t="shared" si="130"/>
        <v>-81838080</v>
      </c>
      <c r="P930" s="388">
        <f t="shared" si="131"/>
        <v>80.898144387647918</v>
      </c>
      <c r="Q930" s="441"/>
      <c r="R930" s="431"/>
    </row>
    <row r="931" spans="1:18" s="189" customFormat="1" ht="12.05" customHeight="1">
      <c r="A931" s="293"/>
      <c r="B931" s="292"/>
      <c r="C931" s="292"/>
      <c r="D931" s="292"/>
      <c r="E931" s="292"/>
      <c r="F931" s="292"/>
      <c r="G931" s="253" t="s">
        <v>50</v>
      </c>
      <c r="H931" s="253"/>
      <c r="I931" s="1083" t="s">
        <v>376</v>
      </c>
      <c r="J931" s="354">
        <v>26190000</v>
      </c>
      <c r="K931" s="373">
        <f>'[57]TARGET MURNI DAN PERUBAHAN'!$E$521</f>
        <v>12500000</v>
      </c>
      <c r="L931" s="360">
        <f>[62]PerDinas!$N$872</f>
        <v>10560000</v>
      </c>
      <c r="M931" s="373">
        <f>[55]Perdinas!$E$617</f>
        <v>0</v>
      </c>
      <c r="N931" s="355">
        <f t="shared" si="132"/>
        <v>10560000</v>
      </c>
      <c r="O931" s="355">
        <f t="shared" si="130"/>
        <v>-1940000</v>
      </c>
      <c r="P931" s="388">
        <f t="shared" si="131"/>
        <v>84.48</v>
      </c>
      <c r="Q931" s="441"/>
      <c r="R931" s="422"/>
    </row>
    <row r="932" spans="1:18" s="189" customFormat="1" ht="12.05" customHeight="1">
      <c r="A932" s="293"/>
      <c r="B932" s="292"/>
      <c r="C932" s="292"/>
      <c r="D932" s="292"/>
      <c r="E932" s="292"/>
      <c r="F932" s="292"/>
      <c r="G932" s="253" t="s">
        <v>50</v>
      </c>
      <c r="H932" s="253"/>
      <c r="I932" s="1083" t="s">
        <v>377</v>
      </c>
      <c r="J932" s="354">
        <v>23000000</v>
      </c>
      <c r="K932" s="373">
        <f>'[57]TARGET MURNI DAN PERUBAHAN'!$E$522</f>
        <v>50000000</v>
      </c>
      <c r="L932" s="360">
        <f>[62]PerDinas!$N$873</f>
        <v>50901004</v>
      </c>
      <c r="M932" s="373">
        <f>[55]Perdinas!$E$618</f>
        <v>0</v>
      </c>
      <c r="N932" s="355">
        <f t="shared" si="132"/>
        <v>50901004</v>
      </c>
      <c r="O932" s="355">
        <f t="shared" si="130"/>
        <v>901004</v>
      </c>
      <c r="P932" s="388">
        <f t="shared" si="131"/>
        <v>101.80200800000001</v>
      </c>
      <c r="Q932" s="441"/>
      <c r="R932" s="422"/>
    </row>
    <row r="933" spans="1:18" s="189" customFormat="1" ht="12.05" customHeight="1">
      <c r="A933" s="293"/>
      <c r="B933" s="292"/>
      <c r="C933" s="292"/>
      <c r="D933" s="292"/>
      <c r="E933" s="292"/>
      <c r="F933" s="292"/>
      <c r="G933" s="291" t="s">
        <v>50</v>
      </c>
      <c r="H933" s="291"/>
      <c r="I933" s="1083" t="s">
        <v>378</v>
      </c>
      <c r="J933" s="354">
        <v>35000000</v>
      </c>
      <c r="K933" s="373">
        <f>'[57]TARGET MURNI DAN PERUBAHAN'!$E$523</f>
        <v>40250000</v>
      </c>
      <c r="L933" s="360">
        <f>[62]PerDinas!$N$874</f>
        <v>29425000</v>
      </c>
      <c r="M933" s="373">
        <f>[55]Perdinas!$E$619</f>
        <v>0</v>
      </c>
      <c r="N933" s="355">
        <f t="shared" si="132"/>
        <v>29425000</v>
      </c>
      <c r="O933" s="355">
        <f t="shared" si="130"/>
        <v>-10825000</v>
      </c>
      <c r="P933" s="388">
        <f t="shared" si="131"/>
        <v>73.105590062111801</v>
      </c>
      <c r="Q933" s="441"/>
      <c r="R933" s="422"/>
    </row>
    <row r="934" spans="1:18" s="189" customFormat="1" ht="12.05" customHeight="1">
      <c r="A934" s="293"/>
      <c r="B934" s="292"/>
      <c r="C934" s="292"/>
      <c r="D934" s="292"/>
      <c r="E934" s="292"/>
      <c r="F934" s="292"/>
      <c r="G934" s="253" t="s">
        <v>50</v>
      </c>
      <c r="H934" s="253"/>
      <c r="I934" s="1083" t="s">
        <v>379</v>
      </c>
      <c r="J934" s="354">
        <v>34000000</v>
      </c>
      <c r="K934" s="373">
        <f>'[57]TARGET MURNI DAN PERUBAHAN'!$E$524</f>
        <v>25000000</v>
      </c>
      <c r="L934" s="360">
        <f>[62]PerDinas!$N$875</f>
        <v>7392000</v>
      </c>
      <c r="M934" s="373">
        <f>[55]Perdinas!$E$620</f>
        <v>600000</v>
      </c>
      <c r="N934" s="355">
        <f t="shared" si="132"/>
        <v>7992000</v>
      </c>
      <c r="O934" s="355">
        <f t="shared" si="130"/>
        <v>-17008000</v>
      </c>
      <c r="P934" s="388">
        <f t="shared" si="131"/>
        <v>31.968000000000004</v>
      </c>
      <c r="Q934" s="441"/>
      <c r="R934" s="422"/>
    </row>
    <row r="935" spans="1:18" s="189" customFormat="1" ht="12.05" customHeight="1">
      <c r="A935" s="293"/>
      <c r="B935" s="292"/>
      <c r="C935" s="292"/>
      <c r="D935" s="292"/>
      <c r="E935" s="292"/>
      <c r="F935" s="292"/>
      <c r="G935" s="253" t="s">
        <v>50</v>
      </c>
      <c r="H935" s="253"/>
      <c r="I935" s="1083" t="s">
        <v>381</v>
      </c>
      <c r="J935" s="354">
        <v>85000000</v>
      </c>
      <c r="K935" s="373">
        <f>'[57]TARGET MURNI DAN PERUBAHAN'!$E$526</f>
        <v>60000000</v>
      </c>
      <c r="L935" s="360">
        <f>[62]PerDinas!$N$876</f>
        <v>29040000</v>
      </c>
      <c r="M935" s="373">
        <f>[55]Perdinas!$E$622</f>
        <v>0</v>
      </c>
      <c r="N935" s="771">
        <f t="shared" si="132"/>
        <v>29040000</v>
      </c>
      <c r="O935" s="355">
        <f t="shared" si="130"/>
        <v>-30960000</v>
      </c>
      <c r="P935" s="388">
        <f t="shared" si="131"/>
        <v>48.4</v>
      </c>
      <c r="Q935" s="441"/>
      <c r="R935" s="422"/>
    </row>
    <row r="936" spans="1:18" s="189" customFormat="1" ht="12.05" customHeight="1">
      <c r="A936" s="293"/>
      <c r="B936" s="292"/>
      <c r="C936" s="292"/>
      <c r="D936" s="292"/>
      <c r="E936" s="292"/>
      <c r="F936" s="292"/>
      <c r="G936" s="253" t="s">
        <v>50</v>
      </c>
      <c r="H936" s="253"/>
      <c r="I936" s="253" t="s">
        <v>382</v>
      </c>
      <c r="J936" s="354">
        <v>30000000</v>
      </c>
      <c r="K936" s="373">
        <f>'[57]TARGET MURNI DAN PERUBAHAN'!$E$527</f>
        <v>0</v>
      </c>
      <c r="L936" s="360">
        <f>[62]PerDinas!$N$877</f>
        <v>0</v>
      </c>
      <c r="M936" s="373">
        <f>[55]Perdinas!$E$623</f>
        <v>0</v>
      </c>
      <c r="N936" s="355">
        <f t="shared" si="132"/>
        <v>0</v>
      </c>
      <c r="O936" s="355">
        <f t="shared" si="130"/>
        <v>0</v>
      </c>
      <c r="P936" s="388" t="e">
        <f t="shared" si="131"/>
        <v>#DIV/0!</v>
      </c>
      <c r="Q936" s="441"/>
      <c r="R936" s="422"/>
    </row>
    <row r="937" spans="1:18" s="189" customFormat="1" ht="12.05" customHeight="1">
      <c r="A937" s="293"/>
      <c r="B937" s="292"/>
      <c r="C937" s="292"/>
      <c r="D937" s="292"/>
      <c r="E937" s="292"/>
      <c r="F937" s="292"/>
      <c r="G937" s="253" t="s">
        <v>50</v>
      </c>
      <c r="H937" s="253"/>
      <c r="I937" s="1083" t="s">
        <v>383</v>
      </c>
      <c r="J937" s="351">
        <v>0</v>
      </c>
      <c r="K937" s="373">
        <f>'[57]TARGET MURNI DAN PERUBAHAN'!$E$528</f>
        <v>0</v>
      </c>
      <c r="L937" s="360">
        <f>[62]PerDinas!$N$878</f>
        <v>0</v>
      </c>
      <c r="M937" s="373">
        <f>[55]Perdinas!$E$624</f>
        <v>0</v>
      </c>
      <c r="N937" s="355">
        <f t="shared" si="132"/>
        <v>0</v>
      </c>
      <c r="O937" s="355">
        <f t="shared" si="130"/>
        <v>0</v>
      </c>
      <c r="P937" s="388" t="e">
        <f t="shared" si="131"/>
        <v>#DIV/0!</v>
      </c>
      <c r="Q937" s="441"/>
      <c r="R937" s="422"/>
    </row>
    <row r="938" spans="1:18" s="189" customFormat="1" ht="12.05" customHeight="1">
      <c r="A938" s="293"/>
      <c r="B938" s="292"/>
      <c r="C938" s="292"/>
      <c r="D938" s="292"/>
      <c r="E938" s="292"/>
      <c r="F938" s="292"/>
      <c r="G938" s="253" t="s">
        <v>50</v>
      </c>
      <c r="H938" s="291"/>
      <c r="I938" s="253" t="s">
        <v>1014</v>
      </c>
      <c r="J938" s="354"/>
      <c r="K938" s="373">
        <f>'[57]TARGET MURNI DAN PERUBAHAN'!$E$529</f>
        <v>0</v>
      </c>
      <c r="L938" s="360">
        <f>[62]PerDinas!$N$879</f>
        <v>0</v>
      </c>
      <c r="M938" s="373">
        <f>[55]Perdinas!$E$625</f>
        <v>0</v>
      </c>
      <c r="N938" s="355">
        <f t="shared" si="132"/>
        <v>0</v>
      </c>
      <c r="O938" s="355">
        <f t="shared" si="130"/>
        <v>0</v>
      </c>
      <c r="P938" s="388" t="e">
        <f t="shared" si="131"/>
        <v>#DIV/0!</v>
      </c>
      <c r="Q938" s="441"/>
      <c r="R938" s="422"/>
    </row>
    <row r="939" spans="1:18" s="189" customFormat="1" ht="12.05" customHeight="1">
      <c r="A939" s="293"/>
      <c r="B939" s="292"/>
      <c r="C939" s="292"/>
      <c r="D939" s="292"/>
      <c r="E939" s="292"/>
      <c r="F939" s="292"/>
      <c r="G939" s="291"/>
      <c r="H939" s="291"/>
      <c r="I939" s="253"/>
      <c r="J939" s="333"/>
      <c r="K939" s="334"/>
      <c r="L939" s="352"/>
      <c r="M939" s="352"/>
      <c r="N939" s="352"/>
      <c r="O939" s="352"/>
      <c r="P939" s="353"/>
      <c r="Q939" s="440"/>
      <c r="R939" s="422"/>
    </row>
    <row r="940" spans="1:18" s="190" customFormat="1" ht="12.05" customHeight="1">
      <c r="A940" s="293"/>
      <c r="B940" s="290">
        <v>4</v>
      </c>
      <c r="C940" s="290">
        <v>1</v>
      </c>
      <c r="D940" s="290">
        <v>2</v>
      </c>
      <c r="E940" s="290" t="s">
        <v>438</v>
      </c>
      <c r="F940" s="290" t="s">
        <v>448</v>
      </c>
      <c r="G940" s="291" t="s">
        <v>361</v>
      </c>
      <c r="H940" s="291"/>
      <c r="I940" s="291"/>
      <c r="J940" s="1084">
        <f>SUM(J941:J946)</f>
        <v>461000000</v>
      </c>
      <c r="K940" s="492">
        <f>SUM(K941:K947)</f>
        <v>790000000</v>
      </c>
      <c r="L940" s="1085">
        <f>SUM(L941:L947)</f>
        <v>651907850</v>
      </c>
      <c r="M940" s="477">
        <f>SUM(M941:M947)</f>
        <v>27080000</v>
      </c>
      <c r="N940" s="1086">
        <f>M940+L940</f>
        <v>678987850</v>
      </c>
      <c r="O940" s="476">
        <f t="shared" ref="O940:O949" si="133">N940-K940</f>
        <v>-111012150</v>
      </c>
      <c r="P940" s="671">
        <f t="shared" ref="P940:P949" si="134">N940/K940*100</f>
        <v>85.947829113924044</v>
      </c>
      <c r="Q940" s="1096"/>
      <c r="R940" s="1095"/>
    </row>
    <row r="941" spans="1:18" s="189" customFormat="1" ht="12.05" customHeight="1">
      <c r="A941" s="293"/>
      <c r="B941" s="292"/>
      <c r="C941" s="292"/>
      <c r="D941" s="292"/>
      <c r="E941" s="292"/>
      <c r="F941" s="292"/>
      <c r="G941" s="253" t="s">
        <v>50</v>
      </c>
      <c r="H941" s="253"/>
      <c r="I941" s="1083" t="s">
        <v>384</v>
      </c>
      <c r="J941" s="389">
        <f>56500000+88500000</f>
        <v>145000000</v>
      </c>
      <c r="K941" s="373">
        <f>'[57]TARGET MURNI DAN PERUBAHAN'!$E$531</f>
        <v>180000000</v>
      </c>
      <c r="L941" s="391">
        <f>[62]PerDinas!$N$882</f>
        <v>151640500</v>
      </c>
      <c r="M941" s="373">
        <f>[55]Perdinas!$E$627</f>
        <v>10000000</v>
      </c>
      <c r="N941" s="357">
        <f t="shared" ref="N941:N949" si="135">M941+L941</f>
        <v>161640500</v>
      </c>
      <c r="O941" s="357">
        <f t="shared" si="133"/>
        <v>-18359500</v>
      </c>
      <c r="P941" s="358">
        <f t="shared" si="134"/>
        <v>89.800277777777779</v>
      </c>
      <c r="Q941" s="442"/>
      <c r="R941" s="422"/>
    </row>
    <row r="942" spans="1:18" s="189" customFormat="1" ht="12.05" customHeight="1">
      <c r="A942" s="293"/>
      <c r="B942" s="292"/>
      <c r="C942" s="292"/>
      <c r="D942" s="292"/>
      <c r="E942" s="292"/>
      <c r="F942" s="292"/>
      <c r="G942" s="253" t="s">
        <v>50</v>
      </c>
      <c r="H942" s="253"/>
      <c r="I942" s="1083" t="s">
        <v>385</v>
      </c>
      <c r="J942" s="354">
        <v>175000000</v>
      </c>
      <c r="K942" s="373">
        <f>'[57]TARGET MURNI DAN PERUBAHAN'!$E$532</f>
        <v>150000000</v>
      </c>
      <c r="L942" s="391">
        <f>[62]PerDinas!$N$883</f>
        <v>121886600</v>
      </c>
      <c r="M942" s="373">
        <f>[55]Perdinas!$E$628</f>
        <v>1140000</v>
      </c>
      <c r="N942" s="771">
        <f t="shared" si="135"/>
        <v>123026600</v>
      </c>
      <c r="O942" s="355">
        <f t="shared" si="133"/>
        <v>-26973400</v>
      </c>
      <c r="P942" s="388">
        <f t="shared" si="134"/>
        <v>82.017733333333325</v>
      </c>
      <c r="Q942" s="441"/>
      <c r="R942" s="422"/>
    </row>
    <row r="943" spans="1:18" s="189" customFormat="1" ht="12.05" customHeight="1">
      <c r="A943" s="293"/>
      <c r="B943" s="292"/>
      <c r="C943" s="292"/>
      <c r="D943" s="292"/>
      <c r="E943" s="292"/>
      <c r="F943" s="292"/>
      <c r="G943" s="253" t="s">
        <v>50</v>
      </c>
      <c r="H943" s="253"/>
      <c r="I943" s="1083" t="s">
        <v>386</v>
      </c>
      <c r="J943" s="354">
        <v>76000000</v>
      </c>
      <c r="K943" s="373">
        <f>'[57]TARGET MURNI DAN PERUBAHAN'!$E$533</f>
        <v>80000000</v>
      </c>
      <c r="L943" s="391">
        <f>[62]PerDinas!$N$884</f>
        <v>73634000</v>
      </c>
      <c r="M943" s="373">
        <f>[55]Perdinas!$E$629</f>
        <v>4600000</v>
      </c>
      <c r="N943" s="355">
        <f t="shared" si="135"/>
        <v>78234000</v>
      </c>
      <c r="O943" s="355">
        <f t="shared" si="133"/>
        <v>-1766000</v>
      </c>
      <c r="P943" s="388">
        <f t="shared" si="134"/>
        <v>97.792500000000004</v>
      </c>
      <c r="Q943" s="441"/>
      <c r="R943" s="422"/>
    </row>
    <row r="944" spans="1:18" s="189" customFormat="1" ht="12.05" customHeight="1">
      <c r="A944" s="293"/>
      <c r="B944" s="292"/>
      <c r="C944" s="292"/>
      <c r="D944" s="292"/>
      <c r="E944" s="292"/>
      <c r="F944" s="292"/>
      <c r="G944" s="253" t="s">
        <v>50</v>
      </c>
      <c r="H944" s="253"/>
      <c r="I944" s="253" t="s">
        <v>1015</v>
      </c>
      <c r="J944" s="354">
        <v>20000000</v>
      </c>
      <c r="K944" s="373">
        <v>0</v>
      </c>
      <c r="L944" s="391">
        <f>[62]PerDinas!$N$885</f>
        <v>0</v>
      </c>
      <c r="M944" s="373">
        <f>[55]Perdinas!$E$630</f>
        <v>0</v>
      </c>
      <c r="N944" s="355">
        <f t="shared" si="135"/>
        <v>0</v>
      </c>
      <c r="O944" s="355">
        <f t="shared" si="133"/>
        <v>0</v>
      </c>
      <c r="P944" s="388" t="e">
        <f t="shared" si="134"/>
        <v>#DIV/0!</v>
      </c>
      <c r="Q944" s="441"/>
      <c r="R944" s="422"/>
    </row>
    <row r="945" spans="1:18" s="189" customFormat="1" ht="12.05" customHeight="1">
      <c r="A945" s="293"/>
      <c r="B945" s="292"/>
      <c r="C945" s="292"/>
      <c r="D945" s="292"/>
      <c r="E945" s="292"/>
      <c r="F945" s="292"/>
      <c r="G945" s="253" t="s">
        <v>50</v>
      </c>
      <c r="H945" s="253"/>
      <c r="I945" s="1083" t="s">
        <v>388</v>
      </c>
      <c r="J945" s="354">
        <v>15000000</v>
      </c>
      <c r="K945" s="373">
        <f>'[57]TARGET MURNI DAN PERUBAHAN'!$E$535</f>
        <v>15000000</v>
      </c>
      <c r="L945" s="391">
        <f>[62]PerDinas!$N$886</f>
        <v>11033000</v>
      </c>
      <c r="M945" s="373">
        <f>[55]Perdinas!$E$631</f>
        <v>900000</v>
      </c>
      <c r="N945" s="355">
        <f t="shared" si="135"/>
        <v>11933000</v>
      </c>
      <c r="O945" s="355">
        <f t="shared" si="133"/>
        <v>-3067000</v>
      </c>
      <c r="P945" s="388">
        <f t="shared" si="134"/>
        <v>79.553333333333327</v>
      </c>
      <c r="Q945" s="441"/>
      <c r="R945" s="422"/>
    </row>
    <row r="946" spans="1:18" s="189" customFormat="1" ht="12.05" customHeight="1">
      <c r="A946" s="293"/>
      <c r="B946" s="292"/>
      <c r="C946" s="292"/>
      <c r="D946" s="292"/>
      <c r="E946" s="292"/>
      <c r="F946" s="292"/>
      <c r="G946" s="253" t="s">
        <v>50</v>
      </c>
      <c r="H946" s="253"/>
      <c r="I946" s="1083" t="s">
        <v>389</v>
      </c>
      <c r="J946" s="354">
        <v>30000000</v>
      </c>
      <c r="K946" s="373">
        <f>'[57]TARGET MURNI DAN PERUBAHAN'!$E$536</f>
        <v>30000000</v>
      </c>
      <c r="L946" s="391">
        <f>[62]PerDinas!$N$887</f>
        <v>19800000</v>
      </c>
      <c r="M946" s="373">
        <f>[55]Perdinas!$E$632</f>
        <v>0</v>
      </c>
      <c r="N946" s="355">
        <f t="shared" si="135"/>
        <v>19800000</v>
      </c>
      <c r="O946" s="355">
        <f t="shared" si="133"/>
        <v>-10200000</v>
      </c>
      <c r="P946" s="388">
        <f t="shared" si="134"/>
        <v>66</v>
      </c>
      <c r="Q946" s="441"/>
      <c r="R946" s="422"/>
    </row>
    <row r="947" spans="1:18" s="189" customFormat="1" ht="12.05" customHeight="1">
      <c r="A947" s="293"/>
      <c r="B947" s="292"/>
      <c r="C947" s="292"/>
      <c r="D947" s="292"/>
      <c r="E947" s="292"/>
      <c r="F947" s="292"/>
      <c r="G947" s="253" t="s">
        <v>50</v>
      </c>
      <c r="H947" s="253"/>
      <c r="I947" s="253" t="s">
        <v>898</v>
      </c>
      <c r="J947" s="351"/>
      <c r="K947" s="352">
        <f>'[57]TARGET MURNI DAN PERUBAHAN'!$E$534</f>
        <v>335000000</v>
      </c>
      <c r="L947" s="391">
        <f>[62]PerDinas!$N$888</f>
        <v>273913750</v>
      </c>
      <c r="M947" s="352">
        <f>[55]Perdinas!$E$633</f>
        <v>10440000</v>
      </c>
      <c r="N947" s="355">
        <f t="shared" si="135"/>
        <v>284353750</v>
      </c>
      <c r="O947" s="355">
        <f t="shared" si="133"/>
        <v>-50646250</v>
      </c>
      <c r="P947" s="388">
        <f t="shared" si="134"/>
        <v>84.88171641791044</v>
      </c>
      <c r="Q947" s="1097"/>
      <c r="R947" s="422"/>
    </row>
    <row r="948" spans="1:18" s="189" customFormat="1" ht="12.05" customHeight="1">
      <c r="A948" s="293"/>
      <c r="B948" s="292"/>
      <c r="C948" s="292"/>
      <c r="D948" s="292"/>
      <c r="E948" s="292"/>
      <c r="F948" s="292"/>
      <c r="G948" s="253"/>
      <c r="H948" s="253"/>
      <c r="I948" s="253"/>
      <c r="J948" s="351"/>
      <c r="K948" s="352"/>
      <c r="L948" s="334"/>
      <c r="M948" s="352"/>
      <c r="N948" s="352"/>
      <c r="O948" s="352"/>
      <c r="P948" s="353"/>
      <c r="Q948" s="1097"/>
      <c r="R948" s="422"/>
    </row>
    <row r="949" spans="1:18" s="189" customFormat="1" ht="12.05" customHeight="1">
      <c r="A949" s="293"/>
      <c r="B949" s="290" t="s">
        <v>443</v>
      </c>
      <c r="C949" s="290" t="s">
        <v>58</v>
      </c>
      <c r="D949" s="290" t="s">
        <v>460</v>
      </c>
      <c r="E949" s="290" t="s">
        <v>440</v>
      </c>
      <c r="F949" s="290" t="s">
        <v>438</v>
      </c>
      <c r="G949" s="291" t="s">
        <v>391</v>
      </c>
      <c r="H949" s="253"/>
      <c r="I949" s="253"/>
      <c r="J949" s="1087"/>
      <c r="K949" s="1088">
        <f>'[57]TARGET MURNI DAN PERUBAHAN'!$E$538</f>
        <v>0</v>
      </c>
      <c r="L949" s="1085">
        <f>[62]PerDinas!$N$890</f>
        <v>0</v>
      </c>
      <c r="M949" s="1088">
        <f>[55]Perdinas!$E$635</f>
        <v>0</v>
      </c>
      <c r="N949" s="693">
        <f t="shared" si="135"/>
        <v>0</v>
      </c>
      <c r="O949" s="693">
        <f t="shared" si="133"/>
        <v>0</v>
      </c>
      <c r="P949" s="1089" t="e">
        <f t="shared" si="134"/>
        <v>#DIV/0!</v>
      </c>
      <c r="Q949" s="441"/>
      <c r="R949" s="422"/>
    </row>
    <row r="950" spans="1:18" s="189" customFormat="1" ht="12.05" customHeight="1">
      <c r="A950" s="293"/>
      <c r="B950" s="292"/>
      <c r="C950" s="292"/>
      <c r="D950" s="292"/>
      <c r="E950" s="292"/>
      <c r="F950" s="292"/>
      <c r="G950" s="253"/>
      <c r="H950" s="253"/>
      <c r="I950" s="253"/>
      <c r="J950" s="333"/>
      <c r="K950" s="334"/>
      <c r="L950" s="356"/>
      <c r="M950" s="334"/>
      <c r="N950" s="334"/>
      <c r="O950" s="334"/>
      <c r="P950" s="335"/>
      <c r="Q950" s="430"/>
      <c r="R950" s="422"/>
    </row>
    <row r="951" spans="1:18" s="189" customFormat="1" ht="12.05" customHeight="1">
      <c r="A951" s="293"/>
      <c r="B951" s="290">
        <v>4</v>
      </c>
      <c r="C951" s="290">
        <v>1</v>
      </c>
      <c r="D951" s="290">
        <v>4</v>
      </c>
      <c r="E951" s="290"/>
      <c r="F951" s="290"/>
      <c r="G951" s="291" t="s">
        <v>71</v>
      </c>
      <c r="H951" s="291"/>
      <c r="I951" s="291"/>
      <c r="J951" s="392">
        <f>J952+J957</f>
        <v>44000000</v>
      </c>
      <c r="K951" s="393">
        <f>K952+K957+K953</f>
        <v>16750000</v>
      </c>
      <c r="L951" s="393">
        <f>L952+L957+L953</f>
        <v>16082905</v>
      </c>
      <c r="M951" s="393">
        <f>M952+M957+M953</f>
        <v>2000000</v>
      </c>
      <c r="N951" s="393">
        <f>M951+L951</f>
        <v>18082905</v>
      </c>
      <c r="O951" s="349">
        <f>N951-K951</f>
        <v>1332905</v>
      </c>
      <c r="P951" s="350">
        <f>N951/K951*100</f>
        <v>107.95764179104476</v>
      </c>
      <c r="Q951" s="444"/>
      <c r="R951" s="422"/>
    </row>
    <row r="952" spans="1:18" s="189" customFormat="1" ht="12.05" customHeight="1">
      <c r="A952" s="289"/>
      <c r="B952" s="292">
        <v>4</v>
      </c>
      <c r="C952" s="292">
        <v>1</v>
      </c>
      <c r="D952" s="292">
        <v>4</v>
      </c>
      <c r="E952" s="292" t="s">
        <v>444</v>
      </c>
      <c r="F952" s="292"/>
      <c r="G952" s="253" t="s">
        <v>222</v>
      </c>
      <c r="H952" s="253"/>
      <c r="I952" s="253"/>
      <c r="J952" s="484">
        <f>+J955</f>
        <v>23000000</v>
      </c>
      <c r="K952" s="485">
        <f>+K955</f>
        <v>0</v>
      </c>
      <c r="L952" s="1090">
        <f>SUM(L953:L955)</f>
        <v>15472185</v>
      </c>
      <c r="M952" s="485">
        <f>SUM(M953:M955)</f>
        <v>2000000</v>
      </c>
      <c r="N952" s="485">
        <f>SUM(N953:N955)</f>
        <v>17472185</v>
      </c>
      <c r="O952" s="412">
        <f>N952-K952</f>
        <v>17472185</v>
      </c>
      <c r="P952" s="487">
        <v>0</v>
      </c>
      <c r="Q952" s="644"/>
      <c r="R952" s="422"/>
    </row>
    <row r="953" spans="1:18" s="189" customFormat="1" ht="12.05" customHeight="1">
      <c r="A953" s="289"/>
      <c r="B953" s="292">
        <v>4</v>
      </c>
      <c r="C953" s="292">
        <v>1</v>
      </c>
      <c r="D953" s="292">
        <v>4</v>
      </c>
      <c r="E953" s="292" t="s">
        <v>441</v>
      </c>
      <c r="F953" s="292" t="s">
        <v>437</v>
      </c>
      <c r="G953" s="909" t="s">
        <v>1016</v>
      </c>
      <c r="H953" s="253"/>
      <c r="I953" s="253"/>
      <c r="J953" s="354">
        <v>0</v>
      </c>
      <c r="K953" s="355">
        <f>'[57]TARGET MURNI DAN PERUBAHAN'!$E$541</f>
        <v>16250000</v>
      </c>
      <c r="L953" s="391">
        <f>L954</f>
        <v>0</v>
      </c>
      <c r="M953" s="355">
        <v>0</v>
      </c>
      <c r="N953" s="355">
        <f>M953+L953</f>
        <v>0</v>
      </c>
      <c r="O953" s="355">
        <f>N953-K953</f>
        <v>-16250000</v>
      </c>
      <c r="P953" s="388"/>
      <c r="Q953" s="442"/>
      <c r="R953" s="422"/>
    </row>
    <row r="954" spans="1:18" s="189" customFormat="1" ht="12.05" customHeight="1">
      <c r="A954" s="289"/>
      <c r="B954" s="287">
        <v>4</v>
      </c>
      <c r="C954" s="287">
        <v>1</v>
      </c>
      <c r="D954" s="287">
        <v>4</v>
      </c>
      <c r="E954" s="287" t="s">
        <v>441</v>
      </c>
      <c r="F954" s="287" t="s">
        <v>1017</v>
      </c>
      <c r="G954" s="291" t="s">
        <v>1018</v>
      </c>
      <c r="H954" s="253"/>
      <c r="I954" s="253"/>
      <c r="J954" s="354">
        <v>0</v>
      </c>
      <c r="K954" s="355">
        <f>'[57]TARGET MURNI DAN PERUBAHAN'!$E$542</f>
        <v>0</v>
      </c>
      <c r="L954" s="372">
        <f>[62]PerDinas!$N$895</f>
        <v>0</v>
      </c>
      <c r="M954" s="371">
        <f>[55]Perdinas!$E$638</f>
        <v>0</v>
      </c>
      <c r="N954" s="371">
        <f>M954+L954</f>
        <v>0</v>
      </c>
      <c r="O954" s="371">
        <f>N954-K954</f>
        <v>0</v>
      </c>
      <c r="P954" s="388" t="e">
        <f>N954/K954*100</f>
        <v>#DIV/0!</v>
      </c>
      <c r="Q954" s="651"/>
      <c r="R954" s="422"/>
    </row>
    <row r="955" spans="1:18" s="189" customFormat="1" ht="12.05" customHeight="1">
      <c r="A955" s="289"/>
      <c r="B955" s="292">
        <v>4</v>
      </c>
      <c r="C955" s="292">
        <v>1</v>
      </c>
      <c r="D955" s="292">
        <v>4</v>
      </c>
      <c r="E955" s="292" t="s">
        <v>444</v>
      </c>
      <c r="F955" s="292" t="s">
        <v>441</v>
      </c>
      <c r="G955" s="253" t="s">
        <v>75</v>
      </c>
      <c r="H955" s="253"/>
      <c r="I955" s="253"/>
      <c r="J955" s="354">
        <v>23000000</v>
      </c>
      <c r="K955" s="373">
        <f>'[57]TARGET MURNI DAN PERUBAHAN'!$E$543</f>
        <v>0</v>
      </c>
      <c r="L955" s="360">
        <f>[62]PerDinas!$N$896</f>
        <v>15472185</v>
      </c>
      <c r="M955" s="373">
        <f>[55]Perdinas!$E$641</f>
        <v>2000000</v>
      </c>
      <c r="N955" s="369">
        <f>M955+L955</f>
        <v>17472185</v>
      </c>
      <c r="O955" s="355">
        <f>N955-K955</f>
        <v>17472185</v>
      </c>
      <c r="P955" s="388" t="e">
        <f>N955/K955*100</f>
        <v>#DIV/0!</v>
      </c>
      <c r="Q955" s="441"/>
      <c r="R955" s="422"/>
    </row>
    <row r="956" spans="1:18" s="189" customFormat="1" ht="12.05" customHeight="1">
      <c r="A956" s="293"/>
      <c r="B956" s="292"/>
      <c r="C956" s="292"/>
      <c r="D956" s="292"/>
      <c r="E956" s="292"/>
      <c r="F956" s="292"/>
      <c r="G956" s="253"/>
      <c r="H956" s="253"/>
      <c r="I956" s="253"/>
      <c r="J956" s="354"/>
      <c r="K956" s="355"/>
      <c r="L956" s="360">
        <v>0</v>
      </c>
      <c r="M956" s="355"/>
      <c r="N956" s="355"/>
      <c r="O956" s="355"/>
      <c r="P956" s="388"/>
      <c r="Q956" s="441"/>
      <c r="R956" s="555"/>
    </row>
    <row r="957" spans="1:18" s="189" customFormat="1" ht="12.05" customHeight="1">
      <c r="A957" s="293"/>
      <c r="B957" s="292">
        <v>4</v>
      </c>
      <c r="C957" s="292">
        <v>1</v>
      </c>
      <c r="D957" s="292">
        <v>4</v>
      </c>
      <c r="E957" s="292" t="s">
        <v>948</v>
      </c>
      <c r="F957" s="292"/>
      <c r="G957" s="253" t="s">
        <v>321</v>
      </c>
      <c r="H957" s="253"/>
      <c r="I957" s="253"/>
      <c r="J957" s="484">
        <f>+J958</f>
        <v>21000000</v>
      </c>
      <c r="K957" s="485">
        <f>+K958</f>
        <v>500000</v>
      </c>
      <c r="L957" s="538">
        <f>+L958</f>
        <v>610720</v>
      </c>
      <c r="M957" s="485">
        <f>+M958</f>
        <v>0</v>
      </c>
      <c r="N957" s="412">
        <f>+M957+L957</f>
        <v>610720</v>
      </c>
      <c r="O957" s="412">
        <f>N957-K957</f>
        <v>110720</v>
      </c>
      <c r="P957" s="388">
        <f>N957/K957*100</f>
        <v>122.14400000000001</v>
      </c>
      <c r="Q957" s="541"/>
      <c r="R957" s="422"/>
    </row>
    <row r="958" spans="1:18" s="189" customFormat="1" ht="12.05" customHeight="1">
      <c r="A958" s="293"/>
      <c r="B958" s="292">
        <v>4</v>
      </c>
      <c r="C958" s="292">
        <v>1</v>
      </c>
      <c r="D958" s="292">
        <v>4</v>
      </c>
      <c r="E958" s="292" t="s">
        <v>948</v>
      </c>
      <c r="F958" s="292" t="s">
        <v>437</v>
      </c>
      <c r="G958" s="253" t="s">
        <v>85</v>
      </c>
      <c r="H958" s="253"/>
      <c r="I958" s="253"/>
      <c r="J958" s="333">
        <f>+J959+J960</f>
        <v>21000000</v>
      </c>
      <c r="K958" s="334">
        <f>+K959+K960</f>
        <v>500000</v>
      </c>
      <c r="L958" s="391">
        <f>L959+L960</f>
        <v>610720</v>
      </c>
      <c r="M958" s="334">
        <f>+M959+M960</f>
        <v>0</v>
      </c>
      <c r="N958" s="334">
        <f>+N959</f>
        <v>610720</v>
      </c>
      <c r="O958" s="334">
        <f>N958-K958</f>
        <v>110720</v>
      </c>
      <c r="P958" s="335">
        <f>N958/K958*100</f>
        <v>122.14400000000001</v>
      </c>
      <c r="Q958" s="430"/>
      <c r="R958" s="464"/>
    </row>
    <row r="959" spans="1:18" s="189" customFormat="1" ht="12.05" customHeight="1">
      <c r="A959" s="293"/>
      <c r="B959" s="292"/>
      <c r="C959" s="292"/>
      <c r="D959" s="292"/>
      <c r="E959" s="292"/>
      <c r="F959" s="292"/>
      <c r="G959" s="253" t="s">
        <v>50</v>
      </c>
      <c r="H959" s="253"/>
      <c r="I959" s="253" t="s">
        <v>85</v>
      </c>
      <c r="J959" s="354">
        <v>15000000</v>
      </c>
      <c r="K959" s="373">
        <f>'[57]TARGET MURNI DAN PERUBAHAN'!$E$545</f>
        <v>500000</v>
      </c>
      <c r="L959" s="360">
        <f>[62]PerDinas!$N$900</f>
        <v>610720</v>
      </c>
      <c r="M959" s="373">
        <f>[55]Perdinas!$E$642</f>
        <v>0</v>
      </c>
      <c r="N959" s="369">
        <f>M959+L959</f>
        <v>610720</v>
      </c>
      <c r="O959" s="355">
        <f>N959-K959</f>
        <v>110720</v>
      </c>
      <c r="P959" s="388">
        <f>N959/K959*100</f>
        <v>122.14400000000001</v>
      </c>
      <c r="Q959" s="441"/>
      <c r="R959" s="555"/>
    </row>
    <row r="960" spans="1:18" s="245" customFormat="1" ht="12.05" customHeight="1">
      <c r="A960" s="472"/>
      <c r="B960" s="305"/>
      <c r="C960" s="305"/>
      <c r="D960" s="305"/>
      <c r="E960" s="305"/>
      <c r="F960" s="305"/>
      <c r="G960" s="306" t="s">
        <v>50</v>
      </c>
      <c r="H960" s="306"/>
      <c r="I960" s="306"/>
      <c r="J960" s="536">
        <v>6000000</v>
      </c>
      <c r="K960" s="380">
        <v>0</v>
      </c>
      <c r="L960" s="355"/>
      <c r="M960" s="1091">
        <v>0</v>
      </c>
      <c r="N960" s="380">
        <f>M960+L960</f>
        <v>0</v>
      </c>
      <c r="O960" s="355">
        <f>N960-K960</f>
        <v>0</v>
      </c>
      <c r="P960" s="501"/>
      <c r="Q960" s="441"/>
      <c r="R960" s="450"/>
    </row>
    <row r="961" spans="1:18" s="244" customFormat="1" ht="13.5" customHeight="1">
      <c r="A961" s="283" t="s">
        <v>396</v>
      </c>
      <c r="B961" s="284" t="s">
        <v>460</v>
      </c>
      <c r="C961" s="284" t="s">
        <v>456</v>
      </c>
      <c r="D961" s="284" t="s">
        <v>437</v>
      </c>
      <c r="E961" s="284"/>
      <c r="F961" s="284"/>
      <c r="G961" s="298" t="s">
        <v>911</v>
      </c>
      <c r="H961" s="298"/>
      <c r="I961" s="298"/>
      <c r="J961" s="336">
        <f>+J963</f>
        <v>241500000</v>
      </c>
      <c r="K961" s="337">
        <f>+K963</f>
        <v>315000000</v>
      </c>
      <c r="L961" s="337" t="e">
        <f>+L963</f>
        <v>#REF!</v>
      </c>
      <c r="M961" s="337">
        <f>+M963</f>
        <v>18004600</v>
      </c>
      <c r="N961" s="337" t="e">
        <f>M961+L961</f>
        <v>#REF!</v>
      </c>
      <c r="O961" s="337" t="e">
        <f>+N961-K961</f>
        <v>#REF!</v>
      </c>
      <c r="P961" s="338" t="e">
        <f>+N961/K961*100</f>
        <v>#REF!</v>
      </c>
      <c r="Q961" s="432"/>
      <c r="R961" s="639"/>
    </row>
    <row r="962" spans="1:18" s="189" customFormat="1" ht="12.05" customHeight="1">
      <c r="A962" s="471"/>
      <c r="B962" s="287"/>
      <c r="C962" s="287"/>
      <c r="D962" s="287"/>
      <c r="E962" s="287"/>
      <c r="F962" s="287"/>
      <c r="G962" s="288"/>
      <c r="H962" s="288"/>
      <c r="I962" s="288"/>
      <c r="J962" s="385"/>
      <c r="K962" s="386"/>
      <c r="L962" s="1102"/>
      <c r="M962" s="386"/>
      <c r="N962" s="386"/>
      <c r="O962" s="386"/>
      <c r="P962" s="341"/>
      <c r="Q962" s="453"/>
      <c r="R962" s="422"/>
    </row>
    <row r="963" spans="1:18" s="189" customFormat="1" ht="12.05" customHeight="1">
      <c r="A963" s="293"/>
      <c r="B963" s="290">
        <v>4</v>
      </c>
      <c r="C963" s="290">
        <v>1</v>
      </c>
      <c r="D963" s="290"/>
      <c r="E963" s="290"/>
      <c r="F963" s="290"/>
      <c r="G963" s="291" t="s">
        <v>180</v>
      </c>
      <c r="H963" s="291"/>
      <c r="I963" s="291"/>
      <c r="J963" s="342">
        <f>+J965+J974</f>
        <v>241500000</v>
      </c>
      <c r="K963" s="343">
        <f>+K965+K974</f>
        <v>315000000</v>
      </c>
      <c r="L963" s="606" t="e">
        <f>+L965+L974</f>
        <v>#REF!</v>
      </c>
      <c r="M963" s="343">
        <f>+M965+M974</f>
        <v>18004600</v>
      </c>
      <c r="N963" s="343" t="e">
        <f>+M963+L963</f>
        <v>#REF!</v>
      </c>
      <c r="O963" s="343" t="e">
        <f t="shared" ref="O963:O968" si="136">N963-K963</f>
        <v>#REF!</v>
      </c>
      <c r="P963" s="344" t="e">
        <f>N963/K963*100</f>
        <v>#REF!</v>
      </c>
      <c r="Q963" s="437"/>
      <c r="R963" s="422"/>
    </row>
    <row r="964" spans="1:18" s="189" customFormat="1" ht="12.05" customHeight="1">
      <c r="A964" s="293"/>
      <c r="B964" s="292"/>
      <c r="C964" s="292"/>
      <c r="D964" s="292"/>
      <c r="E964" s="292"/>
      <c r="F964" s="292"/>
      <c r="G964" s="253"/>
      <c r="H964" s="253"/>
      <c r="I964" s="291"/>
      <c r="J964" s="345"/>
      <c r="K964" s="346"/>
      <c r="L964" s="660"/>
      <c r="M964" s="346"/>
      <c r="N964" s="346"/>
      <c r="O964" s="346"/>
      <c r="P964" s="347"/>
      <c r="Q964" s="438"/>
      <c r="R964" s="422"/>
    </row>
    <row r="965" spans="1:18" s="189" customFormat="1" ht="12.05" customHeight="1">
      <c r="A965" s="293"/>
      <c r="B965" s="290">
        <v>4</v>
      </c>
      <c r="C965" s="290">
        <v>1</v>
      </c>
      <c r="D965" s="290">
        <v>2</v>
      </c>
      <c r="E965" s="290"/>
      <c r="F965" s="290"/>
      <c r="G965" s="291" t="s">
        <v>106</v>
      </c>
      <c r="H965" s="291"/>
      <c r="I965" s="291"/>
      <c r="J965" s="1103">
        <f>+J966+J970</f>
        <v>226500000</v>
      </c>
      <c r="K965" s="395">
        <f>+K966+K970</f>
        <v>315000000</v>
      </c>
      <c r="L965" s="1104">
        <f>+L966+L970</f>
        <v>296098650</v>
      </c>
      <c r="M965" s="395">
        <f>+M966+M970</f>
        <v>18004600</v>
      </c>
      <c r="N965" s="395">
        <f>+M965+L965</f>
        <v>314103250</v>
      </c>
      <c r="O965" s="395">
        <f t="shared" si="136"/>
        <v>-896750</v>
      </c>
      <c r="P965" s="590">
        <f>N965/K965*100</f>
        <v>99.715317460317465</v>
      </c>
      <c r="Q965" s="439"/>
      <c r="R965" s="422"/>
    </row>
    <row r="966" spans="1:18" s="189" customFormat="1" ht="12.05" customHeight="1">
      <c r="A966" s="293"/>
      <c r="B966" s="292">
        <v>4</v>
      </c>
      <c r="C966" s="292">
        <v>1</v>
      </c>
      <c r="D966" s="292">
        <v>2</v>
      </c>
      <c r="E966" s="292" t="s">
        <v>437</v>
      </c>
      <c r="F966" s="292"/>
      <c r="G966" s="253" t="s">
        <v>107</v>
      </c>
      <c r="H966" s="253"/>
      <c r="I966" s="291"/>
      <c r="J966" s="411">
        <f>SUM(J967:J968)</f>
        <v>226500000</v>
      </c>
      <c r="K966" s="412">
        <f>SUM(K967:K968)</f>
        <v>315000000</v>
      </c>
      <c r="L966" s="591">
        <f>SUM(L967:L968)</f>
        <v>296098650</v>
      </c>
      <c r="M966" s="412">
        <f>SUM(M967:M968)</f>
        <v>18004600</v>
      </c>
      <c r="N966" s="412">
        <f>+M966+L966</f>
        <v>314103250</v>
      </c>
      <c r="O966" s="412">
        <f t="shared" si="136"/>
        <v>-896750</v>
      </c>
      <c r="P966" s="487">
        <f>N966/K966*100</f>
        <v>99.715317460317465</v>
      </c>
      <c r="Q966" s="694"/>
      <c r="R966" s="422"/>
    </row>
    <row r="967" spans="1:18" s="189" customFormat="1" ht="12.05" customHeight="1">
      <c r="A967" s="293"/>
      <c r="B967" s="292">
        <v>4</v>
      </c>
      <c r="C967" s="292">
        <v>1</v>
      </c>
      <c r="D967" s="292">
        <v>2</v>
      </c>
      <c r="E967" s="292" t="s">
        <v>437</v>
      </c>
      <c r="F967" s="292" t="s">
        <v>445</v>
      </c>
      <c r="G967" s="253" t="s">
        <v>394</v>
      </c>
      <c r="H967" s="253"/>
      <c r="I967" s="253"/>
      <c r="J967" s="708">
        <v>226500000</v>
      </c>
      <c r="K967" s="373">
        <f>'[57]TARGET MURNI DAN PERUBAHAN'!$E$551</f>
        <v>315000000</v>
      </c>
      <c r="L967" s="689">
        <f>[62]PerDinas!$N$908</f>
        <v>296098650</v>
      </c>
      <c r="M967" s="373">
        <f>[55]Perdinas!$E$648</f>
        <v>18004600</v>
      </c>
      <c r="N967" s="523">
        <f t="shared" ref="N967:N972" si="137">M967+L967</f>
        <v>314103250</v>
      </c>
      <c r="O967" s="497">
        <f t="shared" si="136"/>
        <v>-896750</v>
      </c>
      <c r="P967" s="498">
        <f>N967/K967*100</f>
        <v>99.715317460317465</v>
      </c>
      <c r="Q967" s="732"/>
      <c r="R967" s="422"/>
    </row>
    <row r="968" spans="1:18" s="189" customFormat="1" ht="12.05" customHeight="1">
      <c r="A968" s="293"/>
      <c r="B968" s="292"/>
      <c r="C968" s="292"/>
      <c r="D968" s="292"/>
      <c r="E968" s="292"/>
      <c r="F968" s="292"/>
      <c r="G968" s="253"/>
      <c r="H968" s="253"/>
      <c r="I968" s="253"/>
      <c r="J968" s="679"/>
      <c r="K968" s="691"/>
      <c r="L968" s="513"/>
      <c r="M968" s="495"/>
      <c r="N968" s="334">
        <f t="shared" si="137"/>
        <v>0</v>
      </c>
      <c r="O968" s="334">
        <f t="shared" si="136"/>
        <v>0</v>
      </c>
      <c r="P968" s="335"/>
      <c r="Q968" s="449"/>
      <c r="R968" s="422"/>
    </row>
    <row r="969" spans="1:18" s="189" customFormat="1" ht="12.05" customHeight="1">
      <c r="A969" s="293"/>
      <c r="B969" s="292"/>
      <c r="C969" s="292"/>
      <c r="D969" s="292"/>
      <c r="E969" s="292"/>
      <c r="F969" s="292"/>
      <c r="G969" s="253"/>
      <c r="H969" s="253"/>
      <c r="I969" s="253"/>
      <c r="J969" s="374"/>
      <c r="K969" s="375"/>
      <c r="L969" s="377"/>
      <c r="M969" s="375"/>
      <c r="N969" s="375"/>
      <c r="O969" s="375"/>
      <c r="P969" s="600"/>
      <c r="Q969" s="448"/>
      <c r="R969" s="422"/>
    </row>
    <row r="970" spans="1:18" s="189" customFormat="1" ht="12.05" customHeight="1">
      <c r="A970" s="293"/>
      <c r="B970" s="292">
        <v>4</v>
      </c>
      <c r="C970" s="292">
        <v>1</v>
      </c>
      <c r="D970" s="292">
        <v>2</v>
      </c>
      <c r="E970" s="292" t="s">
        <v>438</v>
      </c>
      <c r="F970" s="292"/>
      <c r="G970" s="253" t="s">
        <v>374</v>
      </c>
      <c r="H970" s="253"/>
      <c r="I970" s="253"/>
      <c r="J970" s="489">
        <f t="shared" ref="J970:M971" si="138">+J971</f>
        <v>0</v>
      </c>
      <c r="K970" s="512">
        <f t="shared" si="138"/>
        <v>0</v>
      </c>
      <c r="L970" s="616">
        <f t="shared" si="138"/>
        <v>0</v>
      </c>
      <c r="M970" s="512">
        <f t="shared" si="138"/>
        <v>0</v>
      </c>
      <c r="N970" s="412">
        <f>+M970+L970</f>
        <v>0</v>
      </c>
      <c r="O970" s="412">
        <f>N970-K970</f>
        <v>0</v>
      </c>
      <c r="P970" s="487" t="e">
        <f>N970/K970*100</f>
        <v>#DIV/0!</v>
      </c>
      <c r="Q970" s="647"/>
      <c r="R970" s="422"/>
    </row>
    <row r="971" spans="1:18" s="189" customFormat="1" ht="12.05" customHeight="1">
      <c r="A971" s="289"/>
      <c r="B971" s="292">
        <v>4</v>
      </c>
      <c r="C971" s="292">
        <v>1</v>
      </c>
      <c r="D971" s="292">
        <v>2</v>
      </c>
      <c r="E971" s="292" t="s">
        <v>438</v>
      </c>
      <c r="F971" s="292" t="s">
        <v>437</v>
      </c>
      <c r="G971" s="253" t="s">
        <v>64</v>
      </c>
      <c r="H971" s="253"/>
      <c r="I971" s="253"/>
      <c r="J971" s="494">
        <f t="shared" si="138"/>
        <v>0</v>
      </c>
      <c r="K971" s="495">
        <f t="shared" si="138"/>
        <v>0</v>
      </c>
      <c r="L971" s="513">
        <f t="shared" si="138"/>
        <v>0</v>
      </c>
      <c r="M971" s="495">
        <f t="shared" si="138"/>
        <v>0</v>
      </c>
      <c r="N971" s="334">
        <f t="shared" si="137"/>
        <v>0</v>
      </c>
      <c r="O971" s="334">
        <f>N971-K971</f>
        <v>0</v>
      </c>
      <c r="P971" s="335" t="e">
        <f>N971/K971*100</f>
        <v>#DIV/0!</v>
      </c>
      <c r="Q971" s="548"/>
      <c r="R971" s="422"/>
    </row>
    <row r="972" spans="1:18" s="189" customFormat="1" ht="12.05" customHeight="1">
      <c r="A972" s="293"/>
      <c r="B972" s="292"/>
      <c r="C972" s="292"/>
      <c r="D972" s="292"/>
      <c r="E972" s="292"/>
      <c r="F972" s="292"/>
      <c r="G972" s="253" t="s">
        <v>50</v>
      </c>
      <c r="H972" s="253"/>
      <c r="I972" s="253" t="s">
        <v>1019</v>
      </c>
      <c r="J972" s="374">
        <v>0</v>
      </c>
      <c r="K972" s="375">
        <v>0</v>
      </c>
      <c r="L972" s="377"/>
      <c r="M972" s="1105">
        <v>0</v>
      </c>
      <c r="N972" s="355">
        <f t="shared" si="137"/>
        <v>0</v>
      </c>
      <c r="O972" s="355">
        <f>N972-K972</f>
        <v>0</v>
      </c>
      <c r="P972" s="388" t="e">
        <f>N972/K972*100</f>
        <v>#DIV/0!</v>
      </c>
      <c r="Q972" s="448"/>
      <c r="R972" s="422"/>
    </row>
    <row r="973" spans="1:18" s="189" customFormat="1" ht="12.05" customHeight="1">
      <c r="A973" s="465"/>
      <c r="B973" s="296"/>
      <c r="C973" s="296"/>
      <c r="D973" s="296"/>
      <c r="E973" s="296"/>
      <c r="F973" s="296"/>
      <c r="G973" s="297"/>
      <c r="H973" s="297"/>
      <c r="I973" s="297"/>
      <c r="J973" s="679"/>
      <c r="K973" s="691"/>
      <c r="L973" s="692"/>
      <c r="M973" s="691"/>
      <c r="N973" s="691"/>
      <c r="O973" s="691"/>
      <c r="P973" s="714"/>
      <c r="Q973" s="449"/>
      <c r="R973" s="422"/>
    </row>
    <row r="974" spans="1:18" s="189" customFormat="1" ht="12.05" customHeight="1">
      <c r="A974" s="1029"/>
      <c r="B974" s="1098">
        <v>4</v>
      </c>
      <c r="C974" s="1098">
        <v>1</v>
      </c>
      <c r="D974" s="1098">
        <v>4</v>
      </c>
      <c r="E974" s="1098"/>
      <c r="F974" s="1098"/>
      <c r="G974" s="1099" t="s">
        <v>71</v>
      </c>
      <c r="H974" s="1099"/>
      <c r="I974" s="1099"/>
      <c r="J974" s="678">
        <f>J975+J980</f>
        <v>15000000</v>
      </c>
      <c r="K974" s="490">
        <f>K975+K980</f>
        <v>0</v>
      </c>
      <c r="L974" s="491" t="e">
        <f>L975+L980</f>
        <v>#REF!</v>
      </c>
      <c r="M974" s="490">
        <f>M975+M980</f>
        <v>0</v>
      </c>
      <c r="N974" s="490">
        <f>N975+N980</f>
        <v>45330853</v>
      </c>
      <c r="O974" s="492">
        <f>N974-K974</f>
        <v>45330853</v>
      </c>
      <c r="P974" s="487" t="e">
        <f>N974/K974*100</f>
        <v>#DIV/0!</v>
      </c>
      <c r="Q974" s="547"/>
      <c r="R974" s="422"/>
    </row>
    <row r="975" spans="1:18" s="189" customFormat="1" ht="12.05" customHeight="1">
      <c r="A975" s="286"/>
      <c r="B975" s="287">
        <v>4</v>
      </c>
      <c r="C975" s="287">
        <v>1</v>
      </c>
      <c r="D975" s="287">
        <v>4</v>
      </c>
      <c r="E975" s="287" t="s">
        <v>444</v>
      </c>
      <c r="F975" s="287"/>
      <c r="G975" s="410" t="s">
        <v>222</v>
      </c>
      <c r="H975" s="410"/>
      <c r="I975" s="410"/>
      <c r="J975" s="484">
        <f>+J978</f>
        <v>0</v>
      </c>
      <c r="K975" s="485">
        <f>+K978</f>
        <v>0</v>
      </c>
      <c r="L975" s="486">
        <f>SUM(L976:L978)</f>
        <v>29696600</v>
      </c>
      <c r="M975" s="485">
        <f>SUM(M976:M978)</f>
        <v>0</v>
      </c>
      <c r="N975" s="485">
        <f>SUM(N976:N978)</f>
        <v>29696600</v>
      </c>
      <c r="O975" s="412">
        <f>N975-K975</f>
        <v>29696600</v>
      </c>
      <c r="P975" s="487">
        <v>0</v>
      </c>
      <c r="Q975" s="541"/>
      <c r="R975" s="422"/>
    </row>
    <row r="976" spans="1:18" s="189" customFormat="1" ht="12.05" customHeight="1">
      <c r="A976" s="289"/>
      <c r="B976" s="292">
        <v>4</v>
      </c>
      <c r="C976" s="292">
        <v>1</v>
      </c>
      <c r="D976" s="292">
        <v>4</v>
      </c>
      <c r="E976" s="292" t="s">
        <v>444</v>
      </c>
      <c r="F976" s="292" t="s">
        <v>440</v>
      </c>
      <c r="G976" s="253" t="s">
        <v>73</v>
      </c>
      <c r="H976" s="253"/>
      <c r="I976" s="253"/>
      <c r="J976" s="354">
        <v>0</v>
      </c>
      <c r="K976" s="355">
        <v>0</v>
      </c>
      <c r="L976" s="360">
        <v>0</v>
      </c>
      <c r="M976" s="355">
        <f>[55]Perdinas!$E$652</f>
        <v>0</v>
      </c>
      <c r="N976" s="334">
        <f>M976+L976</f>
        <v>0</v>
      </c>
      <c r="O976" s="334">
        <f>N976-K976</f>
        <v>0</v>
      </c>
      <c r="P976" s="388"/>
      <c r="Q976" s="442"/>
      <c r="R976" s="422"/>
    </row>
    <row r="977" spans="1:18" s="189" customFormat="1" ht="12.05" customHeight="1">
      <c r="A977" s="289"/>
      <c r="B977" s="292">
        <v>4</v>
      </c>
      <c r="C977" s="292">
        <v>1</v>
      </c>
      <c r="D977" s="292">
        <v>4</v>
      </c>
      <c r="E977" s="292" t="s">
        <v>444</v>
      </c>
      <c r="F977" s="292" t="s">
        <v>445</v>
      </c>
      <c r="G977" s="253" t="s">
        <v>74</v>
      </c>
      <c r="H977" s="253"/>
      <c r="I977" s="253"/>
      <c r="J977" s="354">
        <v>0</v>
      </c>
      <c r="K977" s="355">
        <v>0</v>
      </c>
      <c r="L977" s="360">
        <v>0</v>
      </c>
      <c r="M977" s="355">
        <f>[55]Perdinas!$E$653</f>
        <v>0</v>
      </c>
      <c r="N977" s="355">
        <f>M977+L977</f>
        <v>0</v>
      </c>
      <c r="O977" s="355">
        <f>N977-K977</f>
        <v>0</v>
      </c>
      <c r="P977" s="388"/>
      <c r="Q977" s="441"/>
      <c r="R977" s="422"/>
    </row>
    <row r="978" spans="1:18" s="189" customFormat="1" ht="12.05" customHeight="1">
      <c r="A978" s="289"/>
      <c r="B978" s="292">
        <v>4</v>
      </c>
      <c r="C978" s="292">
        <v>1</v>
      </c>
      <c r="D978" s="292">
        <v>4</v>
      </c>
      <c r="E978" s="292" t="s">
        <v>444</v>
      </c>
      <c r="F978" s="292" t="s">
        <v>441</v>
      </c>
      <c r="G978" s="253" t="s">
        <v>75</v>
      </c>
      <c r="H978" s="253"/>
      <c r="I978" s="253"/>
      <c r="J978" s="354">
        <v>0</v>
      </c>
      <c r="K978" s="373">
        <f>'[57]TARGET MURNI DAN PERUBAHAN'!$E$556</f>
        <v>0</v>
      </c>
      <c r="L978" s="360">
        <f>[62]PerDinas!$N$919</f>
        <v>29696600</v>
      </c>
      <c r="M978" s="373">
        <f>[55]Perdinas!$E$654</f>
        <v>0</v>
      </c>
      <c r="N978" s="361">
        <f>M978+L978</f>
        <v>29696600</v>
      </c>
      <c r="O978" s="334">
        <f>N978-K978</f>
        <v>29696600</v>
      </c>
      <c r="P978" s="388"/>
      <c r="Q978" s="441"/>
      <c r="R978" s="422"/>
    </row>
    <row r="979" spans="1:18" s="189" customFormat="1" ht="12.05" customHeight="1">
      <c r="A979" s="293"/>
      <c r="B979" s="292"/>
      <c r="C979" s="292"/>
      <c r="D979" s="292"/>
      <c r="E979" s="292"/>
      <c r="F979" s="292"/>
      <c r="G979" s="253"/>
      <c r="H979" s="253"/>
      <c r="I979" s="253"/>
      <c r="J979" s="374"/>
      <c r="K979" s="375"/>
      <c r="L979" s="377"/>
      <c r="M979" s="375"/>
      <c r="N979" s="355"/>
      <c r="O979" s="355"/>
      <c r="P979" s="388"/>
      <c r="Q979" s="448"/>
      <c r="R979" s="422"/>
    </row>
    <row r="980" spans="1:18" s="189" customFormat="1" ht="12.05" customHeight="1">
      <c r="A980" s="293"/>
      <c r="B980" s="292">
        <v>4</v>
      </c>
      <c r="C980" s="292">
        <v>1</v>
      </c>
      <c r="D980" s="292">
        <v>4</v>
      </c>
      <c r="E980" s="292" t="s">
        <v>948</v>
      </c>
      <c r="F980" s="292"/>
      <c r="G980" s="253" t="s">
        <v>321</v>
      </c>
      <c r="H980" s="253"/>
      <c r="I980" s="253"/>
      <c r="J980" s="489">
        <f>+J981</f>
        <v>15000000</v>
      </c>
      <c r="K980" s="512">
        <f>+K981</f>
        <v>0</v>
      </c>
      <c r="L980" s="616" t="e">
        <f>+L981+L983</f>
        <v>#REF!</v>
      </c>
      <c r="M980" s="512">
        <f>+M981+M983</f>
        <v>0</v>
      </c>
      <c r="N980" s="512">
        <f>+N981+N983</f>
        <v>15634253</v>
      </c>
      <c r="O980" s="412">
        <f>N980-K980</f>
        <v>15634253</v>
      </c>
      <c r="P980" s="487" t="e">
        <f>N980/K980*100</f>
        <v>#DIV/0!</v>
      </c>
      <c r="Q980" s="647"/>
      <c r="R980" s="422"/>
    </row>
    <row r="981" spans="1:18" s="189" customFormat="1" ht="12.05" customHeight="1">
      <c r="A981" s="293"/>
      <c r="B981" s="292">
        <v>4</v>
      </c>
      <c r="C981" s="292">
        <v>1</v>
      </c>
      <c r="D981" s="292">
        <v>4</v>
      </c>
      <c r="E981" s="292" t="s">
        <v>948</v>
      </c>
      <c r="F981" s="292" t="s">
        <v>437</v>
      </c>
      <c r="G981" s="253" t="s">
        <v>85</v>
      </c>
      <c r="H981" s="253"/>
      <c r="I981" s="253"/>
      <c r="J981" s="494">
        <f>SUM(J982+J983)</f>
        <v>15000000</v>
      </c>
      <c r="K981" s="495">
        <f>SUM(K982+K983)</f>
        <v>0</v>
      </c>
      <c r="L981" s="513">
        <f>L982</f>
        <v>15634253</v>
      </c>
      <c r="M981" s="495">
        <f>M982</f>
        <v>0</v>
      </c>
      <c r="N981" s="495">
        <f>N982</f>
        <v>15634253</v>
      </c>
      <c r="O981" s="334">
        <f>N981-K981</f>
        <v>15634253</v>
      </c>
      <c r="P981" s="335" t="e">
        <f>N981/K981*100</f>
        <v>#DIV/0!</v>
      </c>
      <c r="Q981" s="548"/>
      <c r="R981" s="422"/>
    </row>
    <row r="982" spans="1:18" s="189" customFormat="1" ht="12.05" customHeight="1">
      <c r="A982" s="293"/>
      <c r="B982" s="292"/>
      <c r="C982" s="292"/>
      <c r="D982" s="292"/>
      <c r="E982" s="292"/>
      <c r="F982" s="292"/>
      <c r="G982" s="253" t="s">
        <v>50</v>
      </c>
      <c r="H982" s="253"/>
      <c r="I982" s="253" t="s">
        <v>76</v>
      </c>
      <c r="J982" s="374">
        <v>15000000</v>
      </c>
      <c r="K982" s="376">
        <f>'[57]TARGET MURNI DAN PERUBAHAN'!$E$557</f>
        <v>0</v>
      </c>
      <c r="L982" s="377">
        <f>[62]PerDinas!$N$923</f>
        <v>15634253</v>
      </c>
      <c r="M982" s="376">
        <f>[55]Perdinas!$E$655</f>
        <v>0</v>
      </c>
      <c r="N982" s="369">
        <f>M982+L982</f>
        <v>15634253</v>
      </c>
      <c r="O982" s="355">
        <f>N982-K982</f>
        <v>15634253</v>
      </c>
      <c r="P982" s="388" t="e">
        <f>N982/K982*100</f>
        <v>#DIV/0!</v>
      </c>
      <c r="Q982" s="732"/>
      <c r="R982" s="422"/>
    </row>
    <row r="983" spans="1:18" s="245" customFormat="1" ht="12.05" customHeight="1">
      <c r="A983" s="472"/>
      <c r="B983" s="305"/>
      <c r="C983" s="305"/>
      <c r="D983" s="305"/>
      <c r="E983" s="305"/>
      <c r="F983" s="305"/>
      <c r="G983" s="306"/>
      <c r="H983" s="306"/>
      <c r="I983" s="306"/>
      <c r="J983" s="400"/>
      <c r="K983" s="711"/>
      <c r="L983" s="377" t="e">
        <f>[62]PerDinas!$N$924</f>
        <v>#REF!</v>
      </c>
      <c r="M983" s="711"/>
      <c r="N983" s="380"/>
      <c r="O983" s="380"/>
      <c r="P983" s="501"/>
      <c r="Q983" s="733"/>
      <c r="R983" s="450"/>
    </row>
    <row r="984" spans="1:18" s="244" customFormat="1" ht="12.05" customHeight="1">
      <c r="A984" s="283" t="s">
        <v>915</v>
      </c>
      <c r="B984" s="284"/>
      <c r="C984" s="284"/>
      <c r="D984" s="284"/>
      <c r="E984" s="284"/>
      <c r="F984" s="284"/>
      <c r="G984" s="298" t="s">
        <v>914</v>
      </c>
      <c r="H984" s="298"/>
      <c r="I984" s="298"/>
      <c r="J984" s="336">
        <f>+J986</f>
        <v>0</v>
      </c>
      <c r="K984" s="337">
        <f>+K986</f>
        <v>0</v>
      </c>
      <c r="L984" s="337">
        <f>+L986</f>
        <v>0</v>
      </c>
      <c r="M984" s="337">
        <f>+M986</f>
        <v>0</v>
      </c>
      <c r="N984" s="337">
        <f>M984+L984</f>
        <v>0</v>
      </c>
      <c r="O984" s="337">
        <f>+N984-K984</f>
        <v>0</v>
      </c>
      <c r="P984" s="338" t="e">
        <f>+N984/K984*100</f>
        <v>#DIV/0!</v>
      </c>
      <c r="Q984" s="432"/>
      <c r="R984" s="639"/>
    </row>
    <row r="985" spans="1:18" s="189" customFormat="1" ht="12.05" customHeight="1">
      <c r="A985" s="471"/>
      <c r="B985" s="287"/>
      <c r="C985" s="287"/>
      <c r="D985" s="287"/>
      <c r="E985" s="287"/>
      <c r="F985" s="287"/>
      <c r="G985" s="288"/>
      <c r="H985" s="288"/>
      <c r="I985" s="288"/>
      <c r="J985" s="385"/>
      <c r="K985" s="386"/>
      <c r="L985" s="386"/>
      <c r="M985" s="386"/>
      <c r="N985" s="386"/>
      <c r="O985" s="386"/>
      <c r="P985" s="341"/>
      <c r="Q985" s="1108"/>
      <c r="R985" s="422"/>
    </row>
    <row r="986" spans="1:18" s="189" customFormat="1" ht="12.05" customHeight="1">
      <c r="A986" s="293"/>
      <c r="B986" s="290">
        <v>4</v>
      </c>
      <c r="C986" s="290">
        <v>1</v>
      </c>
      <c r="D986" s="290"/>
      <c r="E986" s="290"/>
      <c r="F986" s="290"/>
      <c r="G986" s="291" t="s">
        <v>180</v>
      </c>
      <c r="H986" s="291"/>
      <c r="I986" s="291"/>
      <c r="J986" s="342">
        <f>+J988</f>
        <v>0</v>
      </c>
      <c r="K986" s="343">
        <f>+K988</f>
        <v>0</v>
      </c>
      <c r="L986" s="343">
        <f>+L988</f>
        <v>0</v>
      </c>
      <c r="M986" s="343">
        <f>+M988</f>
        <v>0</v>
      </c>
      <c r="N986" s="343">
        <f>+M986+L986</f>
        <v>0</v>
      </c>
      <c r="O986" s="343">
        <f t="shared" ref="O986:O992" si="139">N986-K986</f>
        <v>0</v>
      </c>
      <c r="P986" s="344" t="e">
        <f>N986/K986*100</f>
        <v>#DIV/0!</v>
      </c>
      <c r="Q986" s="1108"/>
      <c r="R986" s="422"/>
    </row>
    <row r="987" spans="1:18" s="189" customFormat="1" ht="12.05" customHeight="1">
      <c r="A987" s="293"/>
      <c r="B987" s="292"/>
      <c r="C987" s="292"/>
      <c r="D987" s="292"/>
      <c r="E987" s="292"/>
      <c r="F987" s="292"/>
      <c r="G987" s="253"/>
      <c r="H987" s="253"/>
      <c r="I987" s="253"/>
      <c r="J987" s="345"/>
      <c r="K987" s="346"/>
      <c r="L987" s="367"/>
      <c r="M987" s="367"/>
      <c r="N987" s="367"/>
      <c r="O987" s="367"/>
      <c r="P987" s="347"/>
      <c r="Q987" s="1108"/>
      <c r="R987" s="422"/>
    </row>
    <row r="988" spans="1:18" s="189" customFormat="1" ht="12.05" customHeight="1">
      <c r="A988" s="293"/>
      <c r="B988" s="290">
        <v>4</v>
      </c>
      <c r="C988" s="290">
        <v>1</v>
      </c>
      <c r="D988" s="290">
        <v>4</v>
      </c>
      <c r="E988" s="290"/>
      <c r="F988" s="290"/>
      <c r="G988" s="291" t="s">
        <v>71</v>
      </c>
      <c r="H988" s="291"/>
      <c r="I988" s="291"/>
      <c r="J988" s="392">
        <f>J989+J994</f>
        <v>0</v>
      </c>
      <c r="K988" s="393">
        <f>K989+K994</f>
        <v>0</v>
      </c>
      <c r="L988" s="393">
        <f>L989+L994</f>
        <v>0</v>
      </c>
      <c r="M988" s="393">
        <f>M989+M994</f>
        <v>0</v>
      </c>
      <c r="N988" s="393">
        <f>N989+N994</f>
        <v>0</v>
      </c>
      <c r="O988" s="349">
        <f t="shared" si="139"/>
        <v>0</v>
      </c>
      <c r="P988" s="350" t="e">
        <f>N988/K988*100</f>
        <v>#DIV/0!</v>
      </c>
      <c r="Q988" s="1108"/>
      <c r="R988" s="422"/>
    </row>
    <row r="989" spans="1:18" s="189" customFormat="1" ht="12.05" customHeight="1">
      <c r="A989" s="289"/>
      <c r="B989" s="292">
        <v>4</v>
      </c>
      <c r="C989" s="292">
        <v>1</v>
      </c>
      <c r="D989" s="292">
        <v>4</v>
      </c>
      <c r="E989" s="292" t="s">
        <v>444</v>
      </c>
      <c r="F989" s="292"/>
      <c r="G989" s="253" t="s">
        <v>222</v>
      </c>
      <c r="H989" s="253"/>
      <c r="I989" s="253"/>
      <c r="J989" s="484">
        <f>+J992</f>
        <v>0</v>
      </c>
      <c r="K989" s="485">
        <f>+K992</f>
        <v>0</v>
      </c>
      <c r="L989" s="485">
        <f>SUM(L990:L992)</f>
        <v>0</v>
      </c>
      <c r="M989" s="485">
        <f>SUM(M990:M992)</f>
        <v>0</v>
      </c>
      <c r="N989" s="485">
        <f>SUM(N990:N992)</f>
        <v>0</v>
      </c>
      <c r="O989" s="412">
        <f t="shared" si="139"/>
        <v>0</v>
      </c>
      <c r="P989" s="487">
        <v>0</v>
      </c>
      <c r="Q989" s="1108"/>
      <c r="R989" s="422"/>
    </row>
    <row r="990" spans="1:18" s="189" customFormat="1" ht="12.05" customHeight="1">
      <c r="A990" s="289"/>
      <c r="B990" s="292">
        <v>4</v>
      </c>
      <c r="C990" s="292">
        <v>1</v>
      </c>
      <c r="D990" s="292">
        <v>4</v>
      </c>
      <c r="E990" s="292" t="s">
        <v>444</v>
      </c>
      <c r="F990" s="292" t="s">
        <v>440</v>
      </c>
      <c r="G990" s="253" t="s">
        <v>73</v>
      </c>
      <c r="H990" s="253"/>
      <c r="I990" s="253"/>
      <c r="J990" s="354">
        <v>0</v>
      </c>
      <c r="K990" s="355">
        <v>0</v>
      </c>
      <c r="L990" s="355">
        <v>0</v>
      </c>
      <c r="M990" s="355">
        <f>[55]Perdinas!$E$661</f>
        <v>0</v>
      </c>
      <c r="N990" s="355">
        <f>M990+L990</f>
        <v>0</v>
      </c>
      <c r="O990" s="355">
        <f t="shared" si="139"/>
        <v>0</v>
      </c>
      <c r="P990" s="388"/>
      <c r="Q990" s="1108"/>
      <c r="R990" s="422"/>
    </row>
    <row r="991" spans="1:18" s="189" customFormat="1" ht="12.05" customHeight="1">
      <c r="A991" s="289"/>
      <c r="B991" s="292">
        <v>4</v>
      </c>
      <c r="C991" s="292">
        <v>1</v>
      </c>
      <c r="D991" s="292">
        <v>4</v>
      </c>
      <c r="E991" s="292" t="s">
        <v>444</v>
      </c>
      <c r="F991" s="292" t="s">
        <v>445</v>
      </c>
      <c r="G991" s="253" t="s">
        <v>74</v>
      </c>
      <c r="H991" s="253"/>
      <c r="I991" s="253"/>
      <c r="J991" s="354">
        <v>0</v>
      </c>
      <c r="K991" s="355">
        <v>0</v>
      </c>
      <c r="L991" s="360">
        <v>0</v>
      </c>
      <c r="M991" s="355">
        <f>[55]Perdinas!$E$662</f>
        <v>0</v>
      </c>
      <c r="N991" s="355">
        <f>M991+L991</f>
        <v>0</v>
      </c>
      <c r="O991" s="355">
        <f t="shared" si="139"/>
        <v>0</v>
      </c>
      <c r="P991" s="388"/>
      <c r="Q991" s="1108"/>
      <c r="R991" s="422"/>
    </row>
    <row r="992" spans="1:18" s="189" customFormat="1" ht="12.05" customHeight="1">
      <c r="A992" s="289"/>
      <c r="B992" s="292">
        <v>4</v>
      </c>
      <c r="C992" s="292">
        <v>1</v>
      </c>
      <c r="D992" s="292">
        <v>4</v>
      </c>
      <c r="E992" s="292" t="s">
        <v>444</v>
      </c>
      <c r="F992" s="292" t="s">
        <v>441</v>
      </c>
      <c r="G992" s="253" t="s">
        <v>75</v>
      </c>
      <c r="H992" s="253"/>
      <c r="I992" s="253"/>
      <c r="J992" s="354">
        <v>0</v>
      </c>
      <c r="K992" s="373">
        <f>'[57]TARGET MURNI DAN PERUBAHAN'!$E$565</f>
        <v>0</v>
      </c>
      <c r="L992" s="360">
        <f>[62]PerDinas!$N$933</f>
        <v>0</v>
      </c>
      <c r="M992" s="373">
        <f>[55]Perdinas!$E$663</f>
        <v>0</v>
      </c>
      <c r="N992" s="369">
        <f>M992+L992</f>
        <v>0</v>
      </c>
      <c r="O992" s="355">
        <f t="shared" si="139"/>
        <v>0</v>
      </c>
      <c r="P992" s="344" t="e">
        <f>N992/K992*100</f>
        <v>#DIV/0!</v>
      </c>
      <c r="Q992" s="1108"/>
      <c r="R992" s="422"/>
    </row>
    <row r="993" spans="1:18" s="189" customFormat="1" ht="12.05" customHeight="1">
      <c r="A993" s="289"/>
      <c r="B993" s="292"/>
      <c r="C993" s="292"/>
      <c r="D993" s="292"/>
      <c r="E993" s="292"/>
      <c r="F993" s="292"/>
      <c r="G993" s="253"/>
      <c r="H993" s="253"/>
      <c r="I993" s="253"/>
      <c r="J993" s="354"/>
      <c r="K993" s="355"/>
      <c r="L993" s="360"/>
      <c r="M993" s="355"/>
      <c r="N993" s="355"/>
      <c r="O993" s="355"/>
      <c r="P993" s="388"/>
      <c r="Q993" s="1108"/>
      <c r="R993" s="422"/>
    </row>
    <row r="994" spans="1:18" s="189" customFormat="1" ht="12.05" customHeight="1">
      <c r="A994" s="293"/>
      <c r="B994" s="292">
        <v>4</v>
      </c>
      <c r="C994" s="292">
        <v>1</v>
      </c>
      <c r="D994" s="292">
        <v>4</v>
      </c>
      <c r="E994" s="292" t="s">
        <v>948</v>
      </c>
      <c r="F994" s="292"/>
      <c r="G994" s="410" t="s">
        <v>321</v>
      </c>
      <c r="H994" s="410"/>
      <c r="I994" s="410"/>
      <c r="J994" s="489">
        <f t="shared" ref="J994:M995" si="140">+J995</f>
        <v>0</v>
      </c>
      <c r="K994" s="512">
        <f t="shared" si="140"/>
        <v>0</v>
      </c>
      <c r="L994" s="616">
        <f t="shared" si="140"/>
        <v>0</v>
      </c>
      <c r="M994" s="512">
        <f t="shared" si="140"/>
        <v>0</v>
      </c>
      <c r="N994" s="412">
        <f>+M994+L994</f>
        <v>0</v>
      </c>
      <c r="O994" s="412">
        <f>N994-K994</f>
        <v>0</v>
      </c>
      <c r="P994" s="487">
        <v>0</v>
      </c>
      <c r="Q994" s="1108"/>
      <c r="R994" s="422"/>
    </row>
    <row r="995" spans="1:18" s="189" customFormat="1" ht="12.05" customHeight="1">
      <c r="A995" s="293"/>
      <c r="B995" s="292">
        <v>4</v>
      </c>
      <c r="C995" s="292">
        <v>1</v>
      </c>
      <c r="D995" s="292">
        <v>4</v>
      </c>
      <c r="E995" s="292" t="s">
        <v>948</v>
      </c>
      <c r="F995" s="292" t="s">
        <v>437</v>
      </c>
      <c r="G995" s="253" t="s">
        <v>85</v>
      </c>
      <c r="H995" s="253"/>
      <c r="I995" s="253"/>
      <c r="J995" s="494">
        <f t="shared" si="140"/>
        <v>0</v>
      </c>
      <c r="K995" s="495">
        <f t="shared" si="140"/>
        <v>0</v>
      </c>
      <c r="L995" s="689">
        <f>L996</f>
        <v>0</v>
      </c>
      <c r="M995" s="496">
        <f t="shared" si="140"/>
        <v>0</v>
      </c>
      <c r="N995" s="497">
        <f>M995+L995</f>
        <v>0</v>
      </c>
      <c r="O995" s="497">
        <f>N995-K995</f>
        <v>0</v>
      </c>
      <c r="P995" s="498">
        <v>0</v>
      </c>
      <c r="Q995" s="1109"/>
      <c r="R995" s="422"/>
    </row>
    <row r="996" spans="1:18" s="189" customFormat="1" ht="12.05" customHeight="1">
      <c r="A996" s="293"/>
      <c r="B996" s="292"/>
      <c r="C996" s="292"/>
      <c r="D996" s="292"/>
      <c r="E996" s="292"/>
      <c r="F996" s="292"/>
      <c r="G996" s="253" t="s">
        <v>50</v>
      </c>
      <c r="H996" s="253"/>
      <c r="I996" s="253" t="s">
        <v>76</v>
      </c>
      <c r="J996" s="374"/>
      <c r="K996" s="375">
        <f>'[57]TARGET MURNI DAN PERUBAHAN'!$E$566</f>
        <v>0</v>
      </c>
      <c r="L996" s="377">
        <f>[62]PerDinas!$N$937</f>
        <v>0</v>
      </c>
      <c r="M996" s="375">
        <f>[55]Perdinas!$E$664</f>
        <v>0</v>
      </c>
      <c r="N996" s="369">
        <f>M996+L996</f>
        <v>0</v>
      </c>
      <c r="O996" s="355">
        <f>N996-K996</f>
        <v>0</v>
      </c>
      <c r="P996" s="388">
        <v>0</v>
      </c>
      <c r="Q996" s="448"/>
      <c r="R996" s="422"/>
    </row>
    <row r="997" spans="1:18" s="245" customFormat="1" ht="12.05" customHeight="1">
      <c r="A997" s="472"/>
      <c r="B997" s="305"/>
      <c r="C997" s="305"/>
      <c r="D997" s="305"/>
      <c r="E997" s="305"/>
      <c r="F997" s="305"/>
      <c r="G997" s="306"/>
      <c r="H997" s="306"/>
      <c r="I997" s="306"/>
      <c r="J997" s="400"/>
      <c r="K997" s="711"/>
      <c r="L997" s="711"/>
      <c r="M997" s="711"/>
      <c r="N997" s="404"/>
      <c r="O997" s="404"/>
      <c r="P997" s="483"/>
      <c r="Q997" s="733"/>
      <c r="R997" s="450"/>
    </row>
    <row r="998" spans="1:18" s="244" customFormat="1" ht="12.05" customHeight="1">
      <c r="A998" s="283" t="s">
        <v>919</v>
      </c>
      <c r="B998" s="284"/>
      <c r="C998" s="284"/>
      <c r="D998" s="284"/>
      <c r="E998" s="284"/>
      <c r="F998" s="284"/>
      <c r="G998" s="298" t="s">
        <v>916</v>
      </c>
      <c r="H998" s="298"/>
      <c r="I998" s="298"/>
      <c r="J998" s="336">
        <f>+J999</f>
        <v>0</v>
      </c>
      <c r="K998" s="337">
        <f>+K999</f>
        <v>137900000</v>
      </c>
      <c r="L998" s="337">
        <f>+L999</f>
        <v>36130500</v>
      </c>
      <c r="M998" s="337">
        <f>+M999</f>
        <v>2323200</v>
      </c>
      <c r="N998" s="337">
        <f>M998+L998</f>
        <v>38453700</v>
      </c>
      <c r="O998" s="337">
        <f>+N998-K998</f>
        <v>-99446300</v>
      </c>
      <c r="P998" s="338">
        <f>+N998/K998*100</f>
        <v>27.885206671501088</v>
      </c>
      <c r="Q998" s="432"/>
      <c r="R998" s="639"/>
    </row>
    <row r="999" spans="1:18" s="189" customFormat="1" ht="12.05" customHeight="1">
      <c r="A999" s="471"/>
      <c r="B999" s="707">
        <v>4</v>
      </c>
      <c r="C999" s="707">
        <v>1</v>
      </c>
      <c r="D999" s="707"/>
      <c r="E999" s="707"/>
      <c r="F999" s="707"/>
      <c r="G999" s="288" t="s">
        <v>180</v>
      </c>
      <c r="H999" s="288"/>
      <c r="I999" s="288"/>
      <c r="J999" s="342">
        <f>+J1001</f>
        <v>0</v>
      </c>
      <c r="K999" s="343">
        <f>+K1001</f>
        <v>137900000</v>
      </c>
      <c r="L999" s="343">
        <f>+L1001</f>
        <v>36130500</v>
      </c>
      <c r="M999" s="343">
        <f>+M1001</f>
        <v>2323200</v>
      </c>
      <c r="N999" s="343">
        <f>+M999+L999</f>
        <v>38453700</v>
      </c>
      <c r="O999" s="343">
        <f t="shared" ref="O999:O1005" si="141">N999-K999</f>
        <v>-99446300</v>
      </c>
      <c r="P999" s="344">
        <f>N999/K999*100</f>
        <v>27.885206671501088</v>
      </c>
      <c r="Q999" s="437"/>
      <c r="R999" s="422"/>
    </row>
    <row r="1000" spans="1:18" s="189" customFormat="1" ht="12.05" customHeight="1">
      <c r="A1000" s="654"/>
      <c r="B1000" s="655"/>
      <c r="C1000" s="655"/>
      <c r="D1000" s="655"/>
      <c r="E1000" s="655"/>
      <c r="F1000" s="655"/>
      <c r="G1000" s="656"/>
      <c r="H1000" s="656"/>
      <c r="I1000" s="656"/>
      <c r="J1000" s="526"/>
      <c r="K1000" s="527"/>
      <c r="L1000" s="527"/>
      <c r="M1000" s="527"/>
      <c r="N1000" s="527"/>
      <c r="O1000" s="527"/>
      <c r="P1000" s="671"/>
      <c r="Q1000" s="644"/>
      <c r="R1000" s="422"/>
    </row>
    <row r="1001" spans="1:18" s="189" customFormat="1" ht="12.05" customHeight="1">
      <c r="A1001" s="471"/>
      <c r="B1001" s="707">
        <v>4</v>
      </c>
      <c r="C1001" s="707">
        <v>1</v>
      </c>
      <c r="D1001" s="707">
        <v>4</v>
      </c>
      <c r="E1001" s="707"/>
      <c r="F1001" s="707"/>
      <c r="G1001" s="288" t="s">
        <v>71</v>
      </c>
      <c r="H1001" s="288"/>
      <c r="I1001" s="288"/>
      <c r="J1001" s="392">
        <f>J1002+J1007</f>
        <v>0</v>
      </c>
      <c r="K1001" s="393">
        <f>K1002+K1007+K1003</f>
        <v>137900000</v>
      </c>
      <c r="L1001" s="393">
        <f>L1002+L1007+L1003</f>
        <v>36130500</v>
      </c>
      <c r="M1001" s="393">
        <f>M1002+M1007+M1003</f>
        <v>2323200</v>
      </c>
      <c r="N1001" s="393">
        <f>M1001+L1001</f>
        <v>38453700</v>
      </c>
      <c r="O1001" s="349">
        <f t="shared" si="141"/>
        <v>-99446300</v>
      </c>
      <c r="P1001" s="350">
        <f>N1001/K1001*100</f>
        <v>27.885206671501088</v>
      </c>
      <c r="Q1001" s="444"/>
      <c r="R1001" s="422"/>
    </row>
    <row r="1002" spans="1:18" s="189" customFormat="1" ht="12.05" customHeight="1">
      <c r="A1002" s="289"/>
      <c r="B1002" s="292">
        <v>4</v>
      </c>
      <c r="C1002" s="292">
        <v>1</v>
      </c>
      <c r="D1002" s="292">
        <v>4</v>
      </c>
      <c r="E1002" s="292" t="s">
        <v>444</v>
      </c>
      <c r="F1002" s="292"/>
      <c r="G1002" s="253" t="s">
        <v>222</v>
      </c>
      <c r="H1002" s="253"/>
      <c r="I1002" s="253"/>
      <c r="J1002" s="484">
        <f>+J1005</f>
        <v>0</v>
      </c>
      <c r="K1002" s="485">
        <f>+K1005</f>
        <v>0</v>
      </c>
      <c r="L1002" s="486">
        <f>SUM(L1003:L1005)</f>
        <v>29456000</v>
      </c>
      <c r="M1002" s="485">
        <f>SUM(M1003:M1005)</f>
        <v>2323200</v>
      </c>
      <c r="N1002" s="485">
        <f>SUM(N1003:N1005)</f>
        <v>31779200</v>
      </c>
      <c r="O1002" s="412">
        <f t="shared" si="141"/>
        <v>31779200</v>
      </c>
      <c r="P1002" s="487">
        <v>0</v>
      </c>
      <c r="Q1002" s="541"/>
      <c r="R1002" s="422"/>
    </row>
    <row r="1003" spans="1:18" s="189" customFormat="1" ht="12.05" customHeight="1">
      <c r="A1003" s="289"/>
      <c r="B1003" s="292">
        <v>4</v>
      </c>
      <c r="C1003" s="292">
        <v>1</v>
      </c>
      <c r="D1003" s="292">
        <v>4</v>
      </c>
      <c r="E1003" s="292" t="s">
        <v>948</v>
      </c>
      <c r="F1003" s="292" t="s">
        <v>437</v>
      </c>
      <c r="G1003" s="1100" t="s">
        <v>1020</v>
      </c>
      <c r="H1003" s="909"/>
      <c r="I1003" s="253"/>
      <c r="J1003" s="354">
        <v>0</v>
      </c>
      <c r="K1003" s="355">
        <f>'[57]TARGET MURNI DAN PERUBAHAN'!$E$571</f>
        <v>137900000</v>
      </c>
      <c r="L1003" s="360">
        <v>0</v>
      </c>
      <c r="M1003" s="355">
        <f>[55]Perdinas!$E$674</f>
        <v>0</v>
      </c>
      <c r="N1003" s="355">
        <f>M1003+L1003</f>
        <v>0</v>
      </c>
      <c r="O1003" s="355">
        <f t="shared" si="141"/>
        <v>-137900000</v>
      </c>
      <c r="P1003" s="388"/>
      <c r="Q1003" s="442"/>
      <c r="R1003" s="422"/>
    </row>
    <row r="1004" spans="1:18" s="189" customFormat="1" ht="12.05" customHeight="1">
      <c r="A1004" s="289"/>
      <c r="B1004" s="292">
        <v>4</v>
      </c>
      <c r="C1004" s="292">
        <v>1</v>
      </c>
      <c r="D1004" s="292">
        <v>4</v>
      </c>
      <c r="E1004" s="292" t="s">
        <v>444</v>
      </c>
      <c r="F1004" s="292" t="s">
        <v>445</v>
      </c>
      <c r="G1004" s="253" t="s">
        <v>74</v>
      </c>
      <c r="H1004" s="253"/>
      <c r="I1004" s="253"/>
      <c r="J1004" s="354">
        <v>0</v>
      </c>
      <c r="K1004" s="355">
        <v>0</v>
      </c>
      <c r="L1004" s="360">
        <v>0</v>
      </c>
      <c r="M1004" s="355">
        <f>[55]Perdinas!$E$675</f>
        <v>0</v>
      </c>
      <c r="N1004" s="355">
        <f>M1004+L1004</f>
        <v>0</v>
      </c>
      <c r="O1004" s="355">
        <f t="shared" si="141"/>
        <v>0</v>
      </c>
      <c r="P1004" s="388"/>
      <c r="Q1004" s="441"/>
      <c r="R1004" s="422"/>
    </row>
    <row r="1005" spans="1:18" s="189" customFormat="1" ht="12.05" customHeight="1">
      <c r="A1005" s="289"/>
      <c r="B1005" s="292">
        <v>4</v>
      </c>
      <c r="C1005" s="292">
        <v>1</v>
      </c>
      <c r="D1005" s="292">
        <v>4</v>
      </c>
      <c r="E1005" s="292" t="s">
        <v>444</v>
      </c>
      <c r="F1005" s="292" t="s">
        <v>441</v>
      </c>
      <c r="G1005" s="253" t="s">
        <v>75</v>
      </c>
      <c r="H1005" s="253"/>
      <c r="I1005" s="253"/>
      <c r="J1005" s="354">
        <v>0</v>
      </c>
      <c r="K1005" s="373">
        <f>'[57]TARGET MURNI DAN PERUBAHAN'!$E$573</f>
        <v>0</v>
      </c>
      <c r="L1005" s="360">
        <f>[62]PerDinas!$N$946</f>
        <v>29456000</v>
      </c>
      <c r="M1005" s="373">
        <f>[55]Perdinas!$E$676</f>
        <v>2323200</v>
      </c>
      <c r="N1005" s="369">
        <f>M1005+L1005</f>
        <v>31779200</v>
      </c>
      <c r="O1005" s="355">
        <f t="shared" si="141"/>
        <v>31779200</v>
      </c>
      <c r="P1005" s="388"/>
      <c r="Q1005" s="441"/>
      <c r="R1005" s="545"/>
    </row>
    <row r="1006" spans="1:18" s="189" customFormat="1" ht="12.05" customHeight="1">
      <c r="A1006" s="289"/>
      <c r="B1006" s="292"/>
      <c r="C1006" s="292"/>
      <c r="D1006" s="292"/>
      <c r="E1006" s="292"/>
      <c r="F1006" s="292"/>
      <c r="G1006" s="253"/>
      <c r="H1006" s="253"/>
      <c r="I1006" s="253"/>
      <c r="J1006" s="354"/>
      <c r="K1006" s="355"/>
      <c r="L1006" s="360"/>
      <c r="M1006" s="355"/>
      <c r="N1006" s="355"/>
      <c r="O1006" s="355"/>
      <c r="P1006" s="388"/>
      <c r="Q1006" s="441"/>
      <c r="R1006" s="422"/>
    </row>
    <row r="1007" spans="1:18" s="189" customFormat="1" ht="12.05" customHeight="1">
      <c r="A1007" s="293"/>
      <c r="B1007" s="292">
        <v>4</v>
      </c>
      <c r="C1007" s="292">
        <v>1</v>
      </c>
      <c r="D1007" s="292" t="s">
        <v>460</v>
      </c>
      <c r="E1007" s="292" t="s">
        <v>438</v>
      </c>
      <c r="F1007" s="292"/>
      <c r="G1007" s="410" t="s">
        <v>116</v>
      </c>
      <c r="H1007" s="410"/>
      <c r="I1007" s="410"/>
      <c r="J1007" s="489">
        <f t="shared" ref="J1007:M1008" si="142">+J1008</f>
        <v>0</v>
      </c>
      <c r="K1007" s="512">
        <f t="shared" si="142"/>
        <v>0</v>
      </c>
      <c r="L1007" s="616">
        <f t="shared" si="142"/>
        <v>6674500</v>
      </c>
      <c r="M1007" s="512">
        <f t="shared" si="142"/>
        <v>0</v>
      </c>
      <c r="N1007" s="412">
        <f>+M1007+L1007</f>
        <v>6674500</v>
      </c>
      <c r="O1007" s="412">
        <f>N1007-K1007</f>
        <v>6674500</v>
      </c>
      <c r="P1007" s="487">
        <v>0</v>
      </c>
      <c r="Q1007" s="647"/>
      <c r="R1007" s="422"/>
    </row>
    <row r="1008" spans="1:18" s="189" customFormat="1" ht="12.05" customHeight="1">
      <c r="A1008" s="293"/>
      <c r="B1008" s="292">
        <v>4</v>
      </c>
      <c r="C1008" s="292">
        <v>1</v>
      </c>
      <c r="D1008" s="292" t="s">
        <v>460</v>
      </c>
      <c r="E1008" s="292" t="s">
        <v>438</v>
      </c>
      <c r="F1008" s="292" t="s">
        <v>440</v>
      </c>
      <c r="G1008" s="253" t="s">
        <v>454</v>
      </c>
      <c r="H1008" s="253"/>
      <c r="I1008" s="253"/>
      <c r="J1008" s="494">
        <f t="shared" si="142"/>
        <v>0</v>
      </c>
      <c r="K1008" s="495">
        <f t="shared" si="142"/>
        <v>0</v>
      </c>
      <c r="L1008" s="689">
        <f t="shared" si="142"/>
        <v>6674500</v>
      </c>
      <c r="M1008" s="496">
        <f t="shared" si="142"/>
        <v>0</v>
      </c>
      <c r="N1008" s="497">
        <f>M1008+L1008</f>
        <v>6674500</v>
      </c>
      <c r="O1008" s="497">
        <f>N1008-K1008</f>
        <v>6674500</v>
      </c>
      <c r="P1008" s="498">
        <v>0</v>
      </c>
      <c r="Q1008" s="548"/>
      <c r="R1008" s="422"/>
    </row>
    <row r="1009" spans="1:18" s="245" customFormat="1" ht="12.05" customHeight="1">
      <c r="A1009" s="472"/>
      <c r="B1009" s="305"/>
      <c r="C1009" s="305"/>
      <c r="D1009" s="305"/>
      <c r="E1009" s="305"/>
      <c r="F1009" s="305"/>
      <c r="G1009" s="1000" t="s">
        <v>50</v>
      </c>
      <c r="H1009" s="253" t="s">
        <v>1022</v>
      </c>
      <c r="I1009" s="306"/>
      <c r="J1009" s="499"/>
      <c r="K1009" s="379">
        <f>'[57]TARGET MURNI DAN PERUBAHAN'!$E$574</f>
        <v>0</v>
      </c>
      <c r="L1009" s="379">
        <f>[62]PerDinas!$N$950</f>
        <v>6674500</v>
      </c>
      <c r="M1009" s="379">
        <f>[55]Perdinas!$E$669</f>
        <v>0</v>
      </c>
      <c r="N1009" s="500">
        <f>M1009+L1009</f>
        <v>6674500</v>
      </c>
      <c r="O1009" s="380">
        <f>N1009-K1009</f>
        <v>6674500</v>
      </c>
      <c r="P1009" s="501">
        <v>0</v>
      </c>
      <c r="Q1009" s="549"/>
      <c r="R1009" s="450"/>
    </row>
    <row r="1010" spans="1:18" s="189" customFormat="1" ht="12.05" customHeight="1">
      <c r="A1010" s="283" t="s">
        <v>922</v>
      </c>
      <c r="B1010" s="284"/>
      <c r="C1010" s="284"/>
      <c r="D1010" s="284"/>
      <c r="E1010" s="284"/>
      <c r="F1010" s="284"/>
      <c r="G1010" s="298" t="s">
        <v>920</v>
      </c>
      <c r="H1010" s="298"/>
      <c r="I1010" s="298"/>
      <c r="J1010" s="336">
        <f>+J1011</f>
        <v>70000000</v>
      </c>
      <c r="K1010" s="337">
        <f>+K1011</f>
        <v>150000000</v>
      </c>
      <c r="L1010" s="337">
        <f>+L1011</f>
        <v>313052530</v>
      </c>
      <c r="M1010" s="337">
        <f>+M1011</f>
        <v>92746000</v>
      </c>
      <c r="N1010" s="337">
        <f>M1010+L1010</f>
        <v>405798530</v>
      </c>
      <c r="O1010" s="337">
        <f>+N1010-K1010</f>
        <v>255798530</v>
      </c>
      <c r="P1010" s="338">
        <f>+N1010/K1010*100</f>
        <v>270.53235333333333</v>
      </c>
      <c r="Q1010" s="432"/>
      <c r="R1010" s="555">
        <f>N1010-[57]Perdinas!$Q$638</f>
        <v>-91484792</v>
      </c>
    </row>
    <row r="1011" spans="1:18" s="189" customFormat="1" ht="12.05" customHeight="1">
      <c r="A1011" s="471"/>
      <c r="B1011" s="707">
        <v>4</v>
      </c>
      <c r="C1011" s="707">
        <v>1</v>
      </c>
      <c r="D1011" s="707"/>
      <c r="E1011" s="707"/>
      <c r="F1011" s="707"/>
      <c r="G1011" s="288" t="s">
        <v>180</v>
      </c>
      <c r="H1011" s="288"/>
      <c r="I1011" s="288"/>
      <c r="J1011" s="342">
        <f>J1014+J1015</f>
        <v>70000000</v>
      </c>
      <c r="K1011" s="343">
        <f>K1013+K1016</f>
        <v>150000000</v>
      </c>
      <c r="L1011" s="343">
        <f>L1013+L1016</f>
        <v>313052530</v>
      </c>
      <c r="M1011" s="343">
        <f>+M1016+M1014+M1015</f>
        <v>92746000</v>
      </c>
      <c r="N1011" s="343">
        <f>+M1011+L1011</f>
        <v>405798530</v>
      </c>
      <c r="O1011" s="343">
        <f t="shared" ref="O1011:O1016" si="143">N1011-K1011</f>
        <v>255798530</v>
      </c>
      <c r="P1011" s="344">
        <f>N1011/K1011*100</f>
        <v>270.53235333333333</v>
      </c>
      <c r="Q1011" s="1108"/>
      <c r="R1011" s="422"/>
    </row>
    <row r="1012" spans="1:18" s="189" customFormat="1" ht="12.05" customHeight="1">
      <c r="A1012" s="654"/>
      <c r="B1012" s="655"/>
      <c r="C1012" s="655"/>
      <c r="D1012" s="655"/>
      <c r="E1012" s="655"/>
      <c r="F1012" s="655"/>
      <c r="G1012" s="656"/>
      <c r="H1012" s="656"/>
      <c r="I1012" s="656"/>
      <c r="J1012" s="526"/>
      <c r="K1012" s="527"/>
      <c r="L1012" s="527"/>
      <c r="M1012" s="527"/>
      <c r="N1012" s="527"/>
      <c r="O1012" s="527"/>
      <c r="P1012" s="671"/>
      <c r="Q1012" s="1108"/>
      <c r="R1012" s="422"/>
    </row>
    <row r="1013" spans="1:18" s="189" customFormat="1" ht="12.05" customHeight="1">
      <c r="A1013" s="657"/>
      <c r="B1013" s="292">
        <v>4</v>
      </c>
      <c r="C1013" s="292">
        <v>1</v>
      </c>
      <c r="D1013" s="292">
        <v>2</v>
      </c>
      <c r="E1013" s="292" t="s">
        <v>438</v>
      </c>
      <c r="F1013" s="292"/>
      <c r="G1013" s="291" t="s">
        <v>109</v>
      </c>
      <c r="H1013" s="253"/>
      <c r="I1013" s="253"/>
      <c r="J1013" s="333"/>
      <c r="K1013" s="330">
        <f>SUM(K1014:K1015)</f>
        <v>150000000</v>
      </c>
      <c r="L1013" s="330">
        <f>SUM(L1014:L1015)</f>
        <v>303052530</v>
      </c>
      <c r="M1013" s="334"/>
      <c r="N1013" s="372">
        <f>M1013+L1013</f>
        <v>303052530</v>
      </c>
      <c r="O1013" s="372">
        <f t="shared" si="143"/>
        <v>153052530</v>
      </c>
      <c r="P1013" s="1106">
        <f>N1013/K1013*100</f>
        <v>202.03502000000003</v>
      </c>
      <c r="Q1013" s="1108"/>
      <c r="R1013" s="422"/>
    </row>
    <row r="1014" spans="1:18" s="189" customFormat="1" ht="12.05" customHeight="1">
      <c r="A1014" s="657"/>
      <c r="B1014" s="1101">
        <v>4</v>
      </c>
      <c r="C1014" s="1101">
        <v>1</v>
      </c>
      <c r="D1014" s="1101">
        <v>2</v>
      </c>
      <c r="E1014" s="1101" t="s">
        <v>438</v>
      </c>
      <c r="F1014" s="1101" t="s">
        <v>440</v>
      </c>
      <c r="G1014" s="1003" t="s">
        <v>50</v>
      </c>
      <c r="H1014" s="1003" t="s">
        <v>1024</v>
      </c>
      <c r="I1014" s="1003"/>
      <c r="J1014" s="1107">
        <v>40000000</v>
      </c>
      <c r="K1014" s="660">
        <f>'[57]TARGET MURNI DAN PERUBAHAN'!$E$579</f>
        <v>150000000</v>
      </c>
      <c r="L1014" s="660">
        <f>[62]PerDinas!$N$955</f>
        <v>303052530</v>
      </c>
      <c r="M1014" s="660">
        <f>[55]Perdinas!$E$682</f>
        <v>91500000</v>
      </c>
      <c r="N1014" s="369">
        <f>M1014+L1014</f>
        <v>394552530</v>
      </c>
      <c r="O1014" s="360">
        <f t="shared" si="143"/>
        <v>244552530</v>
      </c>
      <c r="P1014" s="1042">
        <f>N1014/K1014*100</f>
        <v>263.03502000000003</v>
      </c>
      <c r="Q1014" s="1110"/>
      <c r="R1014" s="422"/>
    </row>
    <row r="1015" spans="1:18" s="189" customFormat="1" ht="12.05" customHeight="1">
      <c r="A1015" s="657"/>
      <c r="B1015" s="292">
        <v>4</v>
      </c>
      <c r="C1015" s="292">
        <v>1</v>
      </c>
      <c r="D1015" s="292">
        <v>2</v>
      </c>
      <c r="E1015" s="292" t="s">
        <v>438</v>
      </c>
      <c r="F1015" s="292" t="s">
        <v>448</v>
      </c>
      <c r="G1015" s="253" t="s">
        <v>50</v>
      </c>
      <c r="H1015" s="189" t="s">
        <v>517</v>
      </c>
      <c r="J1015" s="1043">
        <v>30000000</v>
      </c>
      <c r="K1015" s="352">
        <v>0</v>
      </c>
      <c r="L1015" s="377">
        <f>[62]PerDinas!$N$956</f>
        <v>0</v>
      </c>
      <c r="M1015" s="1044">
        <v>0</v>
      </c>
      <c r="N1015" s="817">
        <f>M1015+L1015</f>
        <v>0</v>
      </c>
      <c r="O1015" s="352">
        <f t="shared" si="143"/>
        <v>0</v>
      </c>
      <c r="P1015" s="388"/>
      <c r="Q1015" s="1058"/>
      <c r="R1015" s="422"/>
    </row>
    <row r="1016" spans="1:18" s="189" customFormat="1" ht="12.05" customHeight="1">
      <c r="A1016" s="471"/>
      <c r="B1016" s="707">
        <v>4</v>
      </c>
      <c r="C1016" s="707">
        <v>1</v>
      </c>
      <c r="D1016" s="707">
        <v>4</v>
      </c>
      <c r="E1016" s="707"/>
      <c r="F1016" s="707"/>
      <c r="G1016" s="288" t="s">
        <v>71</v>
      </c>
      <c r="H1016" s="288"/>
      <c r="I1016" s="288"/>
      <c r="J1016" s="392">
        <f>J1019+J1024</f>
        <v>0</v>
      </c>
      <c r="K1016" s="393">
        <f>K1019+K1024</f>
        <v>0</v>
      </c>
      <c r="L1016" s="394">
        <f>L1019+L1024+L1017</f>
        <v>10000000</v>
      </c>
      <c r="M1016" s="393">
        <f>M1019+M1024+M1017</f>
        <v>1246000</v>
      </c>
      <c r="N1016" s="393">
        <f>M1016+L1016</f>
        <v>11246000</v>
      </c>
      <c r="O1016" s="349">
        <f t="shared" si="143"/>
        <v>11246000</v>
      </c>
      <c r="P1016" s="350"/>
      <c r="Q1016" s="1108"/>
      <c r="R1016" s="422"/>
    </row>
    <row r="1017" spans="1:18" s="189" customFormat="1" ht="12.05" customHeight="1">
      <c r="A1017" s="471"/>
      <c r="B1017" s="707">
        <v>4</v>
      </c>
      <c r="C1017" s="707">
        <v>1</v>
      </c>
      <c r="D1017" s="707">
        <v>4</v>
      </c>
      <c r="E1017" s="707" t="s">
        <v>441</v>
      </c>
      <c r="F1017" s="707"/>
      <c r="G1017" s="288" t="s">
        <v>324</v>
      </c>
      <c r="H1017" s="288"/>
      <c r="I1017" s="288"/>
      <c r="J1017" s="329">
        <f t="shared" ref="J1017:O1017" si="144">J1018</f>
        <v>0</v>
      </c>
      <c r="K1017" s="330">
        <f t="shared" si="144"/>
        <v>0</v>
      </c>
      <c r="L1017" s="366">
        <f t="shared" si="144"/>
        <v>0</v>
      </c>
      <c r="M1017" s="330">
        <f t="shared" si="144"/>
        <v>0</v>
      </c>
      <c r="N1017" s="330">
        <f t="shared" si="144"/>
        <v>0</v>
      </c>
      <c r="O1017" s="330">
        <f t="shared" si="144"/>
        <v>0</v>
      </c>
      <c r="P1017" s="344"/>
      <c r="Q1017" s="1108"/>
      <c r="R1017" s="422"/>
    </row>
    <row r="1018" spans="1:18" s="189" customFormat="1" ht="12.05" customHeight="1">
      <c r="A1018" s="471"/>
      <c r="B1018" s="287">
        <v>4</v>
      </c>
      <c r="C1018" s="287">
        <v>1</v>
      </c>
      <c r="D1018" s="287">
        <v>4</v>
      </c>
      <c r="E1018" s="287" t="s">
        <v>441</v>
      </c>
      <c r="F1018" s="287" t="s">
        <v>440</v>
      </c>
      <c r="G1018" s="410" t="s">
        <v>1025</v>
      </c>
      <c r="H1018" s="288"/>
      <c r="I1018" s="288"/>
      <c r="J1018" s="329">
        <v>0</v>
      </c>
      <c r="K1018" s="330">
        <v>0</v>
      </c>
      <c r="L1018" s="356">
        <f>[62]PerDinas!$N$959</f>
        <v>0</v>
      </c>
      <c r="M1018" s="334">
        <f>[55]Perdinas!$E$685</f>
        <v>0</v>
      </c>
      <c r="N1018" s="361">
        <f>M1018+L1018</f>
        <v>0</v>
      </c>
      <c r="O1018" s="396">
        <f>N1018-K1018</f>
        <v>0</v>
      </c>
      <c r="P1018" s="344"/>
      <c r="Q1018" s="1108"/>
      <c r="R1018" s="422"/>
    </row>
    <row r="1019" spans="1:18" s="189" customFormat="1" ht="12.05" customHeight="1">
      <c r="A1019" s="289"/>
      <c r="B1019" s="290">
        <v>4</v>
      </c>
      <c r="C1019" s="290">
        <v>1</v>
      </c>
      <c r="D1019" s="290">
        <v>4</v>
      </c>
      <c r="E1019" s="290" t="s">
        <v>444</v>
      </c>
      <c r="F1019" s="290"/>
      <c r="G1019" s="291" t="s">
        <v>222</v>
      </c>
      <c r="H1019" s="291"/>
      <c r="I1019" s="291"/>
      <c r="J1019" s="746">
        <f>+J1022</f>
        <v>0</v>
      </c>
      <c r="K1019" s="676">
        <f>+K1022</f>
        <v>0</v>
      </c>
      <c r="L1019" s="675">
        <f>SUM(L1020:L1022)</f>
        <v>10000000</v>
      </c>
      <c r="M1019" s="676">
        <f>SUM(M1020:M1022)</f>
        <v>1246000</v>
      </c>
      <c r="N1019" s="676">
        <f>SUM(N1020:N1022)</f>
        <v>11246000</v>
      </c>
      <c r="O1019" s="492">
        <f>N1019-K1019</f>
        <v>11246000</v>
      </c>
      <c r="P1019" s="493">
        <v>0</v>
      </c>
      <c r="Q1019" s="1108"/>
      <c r="R1019" s="422"/>
    </row>
    <row r="1020" spans="1:18" s="189" customFormat="1" ht="12.05" customHeight="1">
      <c r="A1020" s="289"/>
      <c r="B1020" s="292">
        <v>4</v>
      </c>
      <c r="C1020" s="292">
        <v>1</v>
      </c>
      <c r="D1020" s="292">
        <v>4</v>
      </c>
      <c r="E1020" s="292" t="s">
        <v>444</v>
      </c>
      <c r="F1020" s="292" t="s">
        <v>440</v>
      </c>
      <c r="G1020" s="253" t="s">
        <v>73</v>
      </c>
      <c r="H1020" s="253"/>
      <c r="I1020" s="253"/>
      <c r="J1020" s="354">
        <v>0</v>
      </c>
      <c r="K1020" s="355">
        <v>0</v>
      </c>
      <c r="L1020" s="360">
        <v>0</v>
      </c>
      <c r="M1020" s="355">
        <f>[55]Perdinas!$E$683</f>
        <v>0</v>
      </c>
      <c r="N1020" s="355">
        <f>M1020+L1020</f>
        <v>0</v>
      </c>
      <c r="O1020" s="355">
        <f>N1020-K1020</f>
        <v>0</v>
      </c>
      <c r="P1020" s="388"/>
      <c r="Q1020" s="1108"/>
      <c r="R1020" s="422"/>
    </row>
    <row r="1021" spans="1:18" s="189" customFormat="1" ht="12.05" customHeight="1">
      <c r="A1021" s="289"/>
      <c r="B1021" s="292">
        <v>4</v>
      </c>
      <c r="C1021" s="292">
        <v>1</v>
      </c>
      <c r="D1021" s="292">
        <v>4</v>
      </c>
      <c r="E1021" s="292" t="s">
        <v>444</v>
      </c>
      <c r="F1021" s="292" t="s">
        <v>445</v>
      </c>
      <c r="G1021" s="253" t="s">
        <v>74</v>
      </c>
      <c r="H1021" s="253"/>
      <c r="I1021" s="253"/>
      <c r="J1021" s="354">
        <v>0</v>
      </c>
      <c r="K1021" s="355">
        <v>0</v>
      </c>
      <c r="L1021" s="360">
        <v>0</v>
      </c>
      <c r="M1021" s="355">
        <f>[55]Perdinas!$E$687</f>
        <v>0</v>
      </c>
      <c r="N1021" s="355">
        <f>M1021+L1021</f>
        <v>0</v>
      </c>
      <c r="O1021" s="355">
        <f>N1021-K1021</f>
        <v>0</v>
      </c>
      <c r="P1021" s="388"/>
      <c r="Q1021" s="5899"/>
      <c r="R1021" s="422"/>
    </row>
    <row r="1022" spans="1:18" s="189" customFormat="1" ht="12.05" customHeight="1">
      <c r="A1022" s="289"/>
      <c r="B1022" s="292">
        <v>4</v>
      </c>
      <c r="C1022" s="292">
        <v>1</v>
      </c>
      <c r="D1022" s="292">
        <v>4</v>
      </c>
      <c r="E1022" s="292" t="s">
        <v>444</v>
      </c>
      <c r="F1022" s="292" t="s">
        <v>441</v>
      </c>
      <c r="G1022" s="253" t="s">
        <v>75</v>
      </c>
      <c r="H1022" s="253"/>
      <c r="I1022" s="253"/>
      <c r="J1022" s="354">
        <v>0</v>
      </c>
      <c r="K1022" s="373">
        <f>'[57]TARGET MURNI DAN PERUBAHAN'!$E$584</f>
        <v>0</v>
      </c>
      <c r="L1022" s="360">
        <f>[62]PerDinas!$N$963</f>
        <v>10000000</v>
      </c>
      <c r="M1022" s="373">
        <f>[55]Perdinas!$E$688</f>
        <v>1246000</v>
      </c>
      <c r="N1022" s="369">
        <f>M1022+L1022</f>
        <v>11246000</v>
      </c>
      <c r="O1022" s="355">
        <f>N1022-K1022</f>
        <v>11246000</v>
      </c>
      <c r="P1022" s="388"/>
      <c r="Q1022" s="5900"/>
      <c r="R1022" s="422"/>
    </row>
    <row r="1023" spans="1:18" s="189" customFormat="1" ht="12.05" customHeight="1">
      <c r="A1023" s="289"/>
      <c r="B1023" s="292"/>
      <c r="C1023" s="292"/>
      <c r="D1023" s="292"/>
      <c r="E1023" s="292"/>
      <c r="F1023" s="292"/>
      <c r="G1023" s="253"/>
      <c r="H1023" s="253"/>
      <c r="I1023" s="253"/>
      <c r="J1023" s="354"/>
      <c r="K1023" s="355"/>
      <c r="L1023" s="360"/>
      <c r="M1023" s="355"/>
      <c r="N1023" s="355"/>
      <c r="O1023" s="355"/>
      <c r="P1023" s="388"/>
      <c r="Q1023" s="441"/>
      <c r="R1023" s="422"/>
    </row>
    <row r="1024" spans="1:18" s="189" customFormat="1" ht="12.05" customHeight="1">
      <c r="A1024" s="293"/>
      <c r="B1024" s="292">
        <v>4</v>
      </c>
      <c r="C1024" s="292">
        <v>1</v>
      </c>
      <c r="D1024" s="292">
        <v>4</v>
      </c>
      <c r="E1024" s="292" t="s">
        <v>948</v>
      </c>
      <c r="F1024" s="292"/>
      <c r="G1024" s="410" t="s">
        <v>321</v>
      </c>
      <c r="H1024" s="410"/>
      <c r="I1024" s="410"/>
      <c r="J1024" s="489">
        <f t="shared" ref="J1024:M1025" si="145">+J1025</f>
        <v>0</v>
      </c>
      <c r="K1024" s="512">
        <f t="shared" si="145"/>
        <v>0</v>
      </c>
      <c r="L1024" s="616">
        <f t="shared" si="145"/>
        <v>0</v>
      </c>
      <c r="M1024" s="512">
        <f t="shared" si="145"/>
        <v>0</v>
      </c>
      <c r="N1024" s="412">
        <f>+M1024+L1024</f>
        <v>0</v>
      </c>
      <c r="O1024" s="412">
        <f>N1024-K1024</f>
        <v>0</v>
      </c>
      <c r="P1024" s="487">
        <v>0</v>
      </c>
      <c r="Q1024" s="647"/>
      <c r="R1024" s="422"/>
    </row>
    <row r="1025" spans="1:18" s="189" customFormat="1" ht="12.05" customHeight="1">
      <c r="A1025" s="293"/>
      <c r="B1025" s="292">
        <v>4</v>
      </c>
      <c r="C1025" s="292">
        <v>1</v>
      </c>
      <c r="D1025" s="292">
        <v>4</v>
      </c>
      <c r="E1025" s="292" t="s">
        <v>948</v>
      </c>
      <c r="F1025" s="292" t="s">
        <v>437</v>
      </c>
      <c r="G1025" s="253" t="s">
        <v>85</v>
      </c>
      <c r="H1025" s="253"/>
      <c r="I1025" s="253"/>
      <c r="J1025" s="494">
        <f t="shared" si="145"/>
        <v>0</v>
      </c>
      <c r="K1025" s="495">
        <f t="shared" si="145"/>
        <v>0</v>
      </c>
      <c r="L1025" s="496">
        <f t="shared" si="145"/>
        <v>0</v>
      </c>
      <c r="M1025" s="496">
        <f t="shared" si="145"/>
        <v>0</v>
      </c>
      <c r="N1025" s="497">
        <f>M1025+L1025</f>
        <v>0</v>
      </c>
      <c r="O1025" s="497">
        <f>N1025-K1025</f>
        <v>0</v>
      </c>
      <c r="P1025" s="498">
        <v>0</v>
      </c>
      <c r="Q1025" s="548"/>
      <c r="R1025" s="422"/>
    </row>
    <row r="1026" spans="1:18" s="189" customFormat="1" ht="12.05" customHeight="1">
      <c r="A1026" s="465"/>
      <c r="B1026" s="296"/>
      <c r="C1026" s="296"/>
      <c r="D1026" s="296"/>
      <c r="E1026" s="296"/>
      <c r="F1026" s="296"/>
      <c r="G1026" s="297" t="s">
        <v>50</v>
      </c>
      <c r="H1026" s="297"/>
      <c r="I1026" s="297" t="s">
        <v>76</v>
      </c>
      <c r="J1026" s="679"/>
      <c r="K1026" s="691">
        <f>'[57]TARGET MURNI DAN PERUBAHAN'!$E$585</f>
        <v>0</v>
      </c>
      <c r="L1026" s="691">
        <f>[62]PerDinas!$N$967</f>
        <v>0</v>
      </c>
      <c r="M1026" s="691">
        <f>[55]Perdinas!$E$689</f>
        <v>0</v>
      </c>
      <c r="N1026" s="352">
        <f>M1026+L1026</f>
        <v>0</v>
      </c>
      <c r="O1026" s="352">
        <f>N1026-K1026</f>
        <v>0</v>
      </c>
      <c r="P1026" s="353">
        <v>0</v>
      </c>
      <c r="Q1026" s="449"/>
      <c r="R1026" s="422"/>
    </row>
    <row r="1027" spans="1:18" s="189" customFormat="1" ht="12.05" customHeight="1">
      <c r="A1027" s="283" t="s">
        <v>404</v>
      </c>
      <c r="B1027" s="284"/>
      <c r="C1027" s="284"/>
      <c r="D1027" s="284"/>
      <c r="E1027" s="284"/>
      <c r="F1027" s="284"/>
      <c r="G1027" s="298" t="s">
        <v>399</v>
      </c>
      <c r="H1027" s="298"/>
      <c r="I1027" s="298"/>
      <c r="J1027" s="336">
        <f>+J1028</f>
        <v>0</v>
      </c>
      <c r="K1027" s="337">
        <f>+K1028</f>
        <v>9972133</v>
      </c>
      <c r="L1027" s="337">
        <f>+L1028</f>
        <v>0</v>
      </c>
      <c r="M1027" s="337">
        <f>+M1028</f>
        <v>0</v>
      </c>
      <c r="N1027" s="337">
        <f>M1027+L1027</f>
        <v>0</v>
      </c>
      <c r="O1027" s="337">
        <f>+N1027-K1027</f>
        <v>-9972133</v>
      </c>
      <c r="P1027" s="338">
        <f>+N1027/K1027*100</f>
        <v>0</v>
      </c>
      <c r="Q1027" s="432"/>
      <c r="R1027" s="422"/>
    </row>
    <row r="1028" spans="1:18" s="189" customFormat="1" ht="12.05" customHeight="1">
      <c r="A1028" s="1111"/>
      <c r="B1028" s="707">
        <v>4</v>
      </c>
      <c r="C1028" s="707">
        <v>1</v>
      </c>
      <c r="D1028" s="707"/>
      <c r="E1028" s="707"/>
      <c r="F1028" s="707"/>
      <c r="G1028" s="288" t="s">
        <v>180</v>
      </c>
      <c r="H1028" s="288"/>
      <c r="I1028" s="288"/>
      <c r="J1028" s="342">
        <f>+J1030</f>
        <v>0</v>
      </c>
      <c r="K1028" s="343">
        <f>+K1030</f>
        <v>9972133</v>
      </c>
      <c r="L1028" s="343">
        <f>+L1030</f>
        <v>0</v>
      </c>
      <c r="M1028" s="343">
        <f>+M1030</f>
        <v>0</v>
      </c>
      <c r="N1028" s="343">
        <f>+M1028+L1028</f>
        <v>0</v>
      </c>
      <c r="O1028" s="343">
        <f t="shared" ref="O1028:O1034" si="146">N1028-K1028</f>
        <v>-9972133</v>
      </c>
      <c r="P1028" s="344">
        <f>N1028/K1028*100</f>
        <v>0</v>
      </c>
      <c r="Q1028" s="548"/>
      <c r="R1028" s="422"/>
    </row>
    <row r="1029" spans="1:18" s="189" customFormat="1" ht="12.05" customHeight="1">
      <c r="A1029" s="1112"/>
      <c r="B1029" s="296"/>
      <c r="C1029" s="296"/>
      <c r="D1029" s="296"/>
      <c r="E1029" s="296"/>
      <c r="F1029" s="296"/>
      <c r="G1029" s="297"/>
      <c r="H1029" s="297"/>
      <c r="I1029" s="297"/>
      <c r="J1029" s="351"/>
      <c r="K1029" s="352"/>
      <c r="L1029" s="352"/>
      <c r="M1029" s="352"/>
      <c r="N1029" s="352"/>
      <c r="O1029" s="352"/>
      <c r="P1029" s="353"/>
      <c r="Q1029" s="548"/>
      <c r="R1029" s="422"/>
    </row>
    <row r="1030" spans="1:18" s="189" customFormat="1" ht="12.05" customHeight="1">
      <c r="A1030" s="1113"/>
      <c r="B1030" s="1114">
        <v>4</v>
      </c>
      <c r="C1030" s="1114">
        <v>1</v>
      </c>
      <c r="D1030" s="1114">
        <v>4</v>
      </c>
      <c r="E1030" s="1114"/>
      <c r="F1030" s="1114"/>
      <c r="G1030" s="1115" t="s">
        <v>71</v>
      </c>
      <c r="H1030" s="1115"/>
      <c r="I1030" s="1115"/>
      <c r="J1030" s="1121">
        <f>J1031+J1036</f>
        <v>0</v>
      </c>
      <c r="K1030" s="1122">
        <f>K1031+K1036+K1032</f>
        <v>9972133</v>
      </c>
      <c r="L1030" s="1122">
        <f>L1031+L1036+L1032</f>
        <v>0</v>
      </c>
      <c r="M1030" s="1122">
        <f>M1031+M1036+M1032</f>
        <v>0</v>
      </c>
      <c r="N1030" s="1122">
        <f>M1030+L1030</f>
        <v>0</v>
      </c>
      <c r="O1030" s="1123">
        <f t="shared" si="146"/>
        <v>-9972133</v>
      </c>
      <c r="P1030" s="1124">
        <f>N1030/K1030*100</f>
        <v>0</v>
      </c>
      <c r="Q1030" s="548"/>
      <c r="R1030" s="422"/>
    </row>
    <row r="1031" spans="1:18" s="189" customFormat="1" ht="12.05" customHeight="1">
      <c r="A1031" s="1116"/>
      <c r="B1031" s="292">
        <v>4</v>
      </c>
      <c r="C1031" s="292">
        <v>1</v>
      </c>
      <c r="D1031" s="292">
        <v>4</v>
      </c>
      <c r="E1031" s="292" t="s">
        <v>444</v>
      </c>
      <c r="F1031" s="292"/>
      <c r="G1031" s="253" t="s">
        <v>222</v>
      </c>
      <c r="H1031" s="253"/>
      <c r="I1031" s="253"/>
      <c r="J1031" s="333">
        <f>+J1034</f>
        <v>0</v>
      </c>
      <c r="K1031" s="334">
        <f>+K1034</f>
        <v>0</v>
      </c>
      <c r="L1031" s="334">
        <f>SUM(L1032:L1034)</f>
        <v>0</v>
      </c>
      <c r="M1031" s="334">
        <f>SUM(M1032:M1034)</f>
        <v>0</v>
      </c>
      <c r="N1031" s="334">
        <f>SUM(N1032:N1034)</f>
        <v>0</v>
      </c>
      <c r="O1031" s="396">
        <f t="shared" si="146"/>
        <v>0</v>
      </c>
      <c r="P1031" s="344">
        <v>0</v>
      </c>
      <c r="Q1031" s="548"/>
      <c r="R1031" s="422"/>
    </row>
    <row r="1032" spans="1:18" s="189" customFormat="1" ht="12.05" customHeight="1">
      <c r="A1032" s="1116"/>
      <c r="B1032" s="292">
        <v>4</v>
      </c>
      <c r="C1032" s="292">
        <v>1</v>
      </c>
      <c r="D1032" s="292">
        <v>4</v>
      </c>
      <c r="E1032" s="292" t="s">
        <v>444</v>
      </c>
      <c r="F1032" s="292" t="s">
        <v>440</v>
      </c>
      <c r="G1032" s="909" t="s">
        <v>1018</v>
      </c>
      <c r="H1032" s="253"/>
      <c r="I1032" s="253"/>
      <c r="J1032" s="354">
        <v>0</v>
      </c>
      <c r="K1032" s="355">
        <f>'[57]TARGET MURNI DAN PERUBAHAN'!$E$590</f>
        <v>7965633</v>
      </c>
      <c r="L1032" s="355">
        <f>[62]PerDinas!$N$973</f>
        <v>0</v>
      </c>
      <c r="M1032" s="355">
        <f>[55]Perdinas!$E$695</f>
        <v>0</v>
      </c>
      <c r="N1032" s="355">
        <f>M1032+L1032</f>
        <v>0</v>
      </c>
      <c r="O1032" s="355">
        <f t="shared" si="146"/>
        <v>-7965633</v>
      </c>
      <c r="P1032" s="388"/>
      <c r="Q1032" s="548"/>
      <c r="R1032" s="422"/>
    </row>
    <row r="1033" spans="1:18" s="189" customFormat="1" ht="12.05" customHeight="1">
      <c r="A1033" s="1116"/>
      <c r="B1033" s="292">
        <v>4</v>
      </c>
      <c r="C1033" s="292">
        <v>1</v>
      </c>
      <c r="D1033" s="292">
        <v>4</v>
      </c>
      <c r="E1033" s="292" t="s">
        <v>444</v>
      </c>
      <c r="F1033" s="292" t="s">
        <v>445</v>
      </c>
      <c r="G1033" s="253" t="s">
        <v>74</v>
      </c>
      <c r="H1033" s="253"/>
      <c r="I1033" s="253"/>
      <c r="J1033" s="354">
        <v>0</v>
      </c>
      <c r="K1033" s="355">
        <v>0</v>
      </c>
      <c r="L1033" s="355">
        <f>[62]PerDinas!$N$974</f>
        <v>0</v>
      </c>
      <c r="M1033" s="355">
        <f>[55]Perdinas!$E$696</f>
        <v>0</v>
      </c>
      <c r="N1033" s="355">
        <f>M1033+L1033</f>
        <v>0</v>
      </c>
      <c r="O1033" s="355">
        <f t="shared" si="146"/>
        <v>0</v>
      </c>
      <c r="P1033" s="388"/>
      <c r="Q1033" s="548"/>
      <c r="R1033" s="422"/>
    </row>
    <row r="1034" spans="1:18" s="189" customFormat="1" ht="12.05" customHeight="1">
      <c r="A1034" s="1116"/>
      <c r="B1034" s="292">
        <v>4</v>
      </c>
      <c r="C1034" s="292">
        <v>1</v>
      </c>
      <c r="D1034" s="292">
        <v>4</v>
      </c>
      <c r="E1034" s="292" t="s">
        <v>444</v>
      </c>
      <c r="F1034" s="292" t="s">
        <v>441</v>
      </c>
      <c r="G1034" s="253" t="s">
        <v>75</v>
      </c>
      <c r="H1034" s="253"/>
      <c r="I1034" s="253"/>
      <c r="J1034" s="354">
        <v>0</v>
      </c>
      <c r="K1034" s="355">
        <f>'[57]TARGET MURNI DAN PERUBAHAN'!$E$592</f>
        <v>0</v>
      </c>
      <c r="L1034" s="355">
        <f>[62]PerDinas!$N$975</f>
        <v>0</v>
      </c>
      <c r="M1034" s="355">
        <f>[55]Perdinas!$E$697</f>
        <v>0</v>
      </c>
      <c r="N1034" s="369">
        <f>M1034+L1034</f>
        <v>0</v>
      </c>
      <c r="O1034" s="355">
        <f t="shared" si="146"/>
        <v>0</v>
      </c>
      <c r="P1034" s="388"/>
      <c r="Q1034" s="548"/>
      <c r="R1034" s="422"/>
    </row>
    <row r="1035" spans="1:18" s="189" customFormat="1" ht="12.05" customHeight="1">
      <c r="A1035" s="1116"/>
      <c r="B1035" s="292"/>
      <c r="C1035" s="292"/>
      <c r="D1035" s="292"/>
      <c r="E1035" s="292"/>
      <c r="F1035" s="292"/>
      <c r="G1035" s="253"/>
      <c r="H1035" s="253"/>
      <c r="I1035" s="253"/>
      <c r="J1035" s="354"/>
      <c r="K1035" s="355"/>
      <c r="L1035" s="355"/>
      <c r="M1035" s="355"/>
      <c r="N1035" s="355"/>
      <c r="O1035" s="355"/>
      <c r="P1035" s="388"/>
      <c r="Q1035" s="548"/>
      <c r="R1035" s="422"/>
    </row>
    <row r="1036" spans="1:18" s="189" customFormat="1" ht="12.05" customHeight="1">
      <c r="A1036" s="1117"/>
      <c r="B1036" s="292">
        <v>4</v>
      </c>
      <c r="C1036" s="292">
        <v>1</v>
      </c>
      <c r="D1036" s="292">
        <v>4</v>
      </c>
      <c r="E1036" s="292" t="s">
        <v>948</v>
      </c>
      <c r="F1036" s="292"/>
      <c r="G1036" s="410" t="s">
        <v>321</v>
      </c>
      <c r="H1036" s="410"/>
      <c r="I1036" s="410"/>
      <c r="J1036" s="494">
        <f t="shared" ref="J1036:M1037" si="147">+J1037</f>
        <v>0</v>
      </c>
      <c r="K1036" s="495">
        <f t="shared" si="147"/>
        <v>2006500</v>
      </c>
      <c r="L1036" s="495">
        <f t="shared" si="147"/>
        <v>0</v>
      </c>
      <c r="M1036" s="495">
        <f t="shared" si="147"/>
        <v>0</v>
      </c>
      <c r="N1036" s="396">
        <f>+M1036+L1036</f>
        <v>0</v>
      </c>
      <c r="O1036" s="396">
        <f>N1036-K1036</f>
        <v>-2006500</v>
      </c>
      <c r="P1036" s="344">
        <v>0</v>
      </c>
      <c r="Q1036" s="548"/>
      <c r="R1036" s="422"/>
    </row>
    <row r="1037" spans="1:18" s="189" customFormat="1" ht="12.05" customHeight="1">
      <c r="A1037" s="1117"/>
      <c r="B1037" s="292">
        <v>4</v>
      </c>
      <c r="C1037" s="292">
        <v>1</v>
      </c>
      <c r="D1037" s="292">
        <v>4</v>
      </c>
      <c r="E1037" s="292" t="s">
        <v>948</v>
      </c>
      <c r="F1037" s="292" t="s">
        <v>437</v>
      </c>
      <c r="G1037" s="253" t="s">
        <v>85</v>
      </c>
      <c r="H1037" s="253"/>
      <c r="I1037" s="253"/>
      <c r="J1037" s="374">
        <f t="shared" si="147"/>
        <v>0</v>
      </c>
      <c r="K1037" s="375">
        <f t="shared" si="147"/>
        <v>2006500</v>
      </c>
      <c r="L1037" s="375">
        <f t="shared" si="147"/>
        <v>0</v>
      </c>
      <c r="M1037" s="375">
        <f t="shared" si="147"/>
        <v>0</v>
      </c>
      <c r="N1037" s="355">
        <f>M1037+L1037</f>
        <v>0</v>
      </c>
      <c r="O1037" s="355">
        <f>N1037-K1037</f>
        <v>-2006500</v>
      </c>
      <c r="P1037" s="388">
        <v>0</v>
      </c>
      <c r="Q1037" s="548"/>
      <c r="R1037" s="422"/>
    </row>
    <row r="1038" spans="1:18" s="189" customFormat="1" ht="12.05" customHeight="1">
      <c r="A1038" s="1112"/>
      <c r="B1038" s="296"/>
      <c r="C1038" s="296"/>
      <c r="D1038" s="296"/>
      <c r="E1038" s="296"/>
      <c r="F1038" s="296"/>
      <c r="G1038" s="297" t="s">
        <v>50</v>
      </c>
      <c r="H1038" s="297"/>
      <c r="I1038" s="297" t="s">
        <v>76</v>
      </c>
      <c r="J1038" s="499"/>
      <c r="K1038" s="379">
        <f>'[57]TARGET MURNI DAN PERUBAHAN'!$E$593</f>
        <v>2006500</v>
      </c>
      <c r="L1038" s="379">
        <f>[62]PerDinas!$N$979</f>
        <v>0</v>
      </c>
      <c r="M1038" s="379">
        <f>[55]Perdinas!$E$698</f>
        <v>0</v>
      </c>
      <c r="N1038" s="500">
        <f>M1038+L1038</f>
        <v>0</v>
      </c>
      <c r="O1038" s="380">
        <f>N1038-K1038</f>
        <v>-2006500</v>
      </c>
      <c r="P1038" s="501">
        <v>0</v>
      </c>
      <c r="Q1038" s="548"/>
      <c r="R1038" s="422"/>
    </row>
    <row r="1039" spans="1:18" s="189" customFormat="1" ht="12.05" customHeight="1">
      <c r="A1039" s="283" t="s">
        <v>406</v>
      </c>
      <c r="B1039" s="284"/>
      <c r="C1039" s="284"/>
      <c r="D1039" s="284"/>
      <c r="E1039" s="284"/>
      <c r="F1039" s="284"/>
      <c r="G1039" s="298" t="s">
        <v>923</v>
      </c>
      <c r="H1039" s="298"/>
      <c r="I1039" s="298"/>
      <c r="J1039" s="336">
        <f>+J1040</f>
        <v>0</v>
      </c>
      <c r="K1039" s="337">
        <f>+K1040</f>
        <v>0</v>
      </c>
      <c r="L1039" s="337">
        <f>+L1040</f>
        <v>0</v>
      </c>
      <c r="M1039" s="337">
        <f>+M1040</f>
        <v>0</v>
      </c>
      <c r="N1039" s="337">
        <f>M1039+L1039</f>
        <v>0</v>
      </c>
      <c r="O1039" s="337">
        <f>+N1039-K1039</f>
        <v>0</v>
      </c>
      <c r="P1039" s="338" t="e">
        <f>+N1039/K1039*100</f>
        <v>#DIV/0!</v>
      </c>
      <c r="Q1039" s="432"/>
      <c r="R1039" s="422"/>
    </row>
    <row r="1040" spans="1:18" s="189" customFormat="1" ht="12.05" customHeight="1">
      <c r="A1040" s="1111"/>
      <c r="B1040" s="707">
        <v>4</v>
      </c>
      <c r="C1040" s="707">
        <v>1</v>
      </c>
      <c r="D1040" s="707"/>
      <c r="E1040" s="707"/>
      <c r="F1040" s="707"/>
      <c r="G1040" s="288" t="s">
        <v>180</v>
      </c>
      <c r="H1040" s="288"/>
      <c r="I1040" s="288"/>
      <c r="J1040" s="342">
        <f>+J1042</f>
        <v>0</v>
      </c>
      <c r="K1040" s="343">
        <f>+K1042</f>
        <v>0</v>
      </c>
      <c r="L1040" s="343">
        <f>+L1042</f>
        <v>0</v>
      </c>
      <c r="M1040" s="343">
        <f>+M1042</f>
        <v>0</v>
      </c>
      <c r="N1040" s="343">
        <f>+M1040+L1040</f>
        <v>0</v>
      </c>
      <c r="O1040" s="343">
        <f t="shared" ref="O1040:O1046" si="148">N1040-K1040</f>
        <v>0</v>
      </c>
      <c r="P1040" s="344" t="e">
        <f>N1040/K1040*100</f>
        <v>#DIV/0!</v>
      </c>
      <c r="Q1040" s="548"/>
      <c r="R1040" s="422"/>
    </row>
    <row r="1041" spans="1:18" s="189" customFormat="1" ht="12.05" customHeight="1">
      <c r="A1041" s="1112"/>
      <c r="B1041" s="296"/>
      <c r="C1041" s="296"/>
      <c r="D1041" s="296"/>
      <c r="E1041" s="296"/>
      <c r="F1041" s="296"/>
      <c r="G1041" s="297"/>
      <c r="H1041" s="297"/>
      <c r="I1041" s="297"/>
      <c r="J1041" s="351"/>
      <c r="K1041" s="352"/>
      <c r="L1041" s="352"/>
      <c r="M1041" s="352"/>
      <c r="N1041" s="352"/>
      <c r="O1041" s="352"/>
      <c r="P1041" s="353"/>
      <c r="Q1041" s="548"/>
      <c r="R1041" s="422"/>
    </row>
    <row r="1042" spans="1:18" s="189" customFormat="1" ht="12.05" customHeight="1">
      <c r="A1042" s="1113"/>
      <c r="B1042" s="1114">
        <v>4</v>
      </c>
      <c r="C1042" s="1114">
        <v>1</v>
      </c>
      <c r="D1042" s="1114">
        <v>4</v>
      </c>
      <c r="E1042" s="1114"/>
      <c r="F1042" s="1114"/>
      <c r="G1042" s="1115" t="s">
        <v>71</v>
      </c>
      <c r="H1042" s="1115"/>
      <c r="I1042" s="1115"/>
      <c r="J1042" s="1121">
        <f>J1043+J1048</f>
        <v>0</v>
      </c>
      <c r="K1042" s="1122">
        <f>K1043+K1048</f>
        <v>0</v>
      </c>
      <c r="L1042" s="1122">
        <f>L1043+L1048</f>
        <v>0</v>
      </c>
      <c r="M1042" s="1122">
        <f>M1043+M1048</f>
        <v>0</v>
      </c>
      <c r="N1042" s="1122">
        <f>N1043+N1048</f>
        <v>0</v>
      </c>
      <c r="O1042" s="1123">
        <f t="shared" si="148"/>
        <v>0</v>
      </c>
      <c r="P1042" s="1124" t="e">
        <f>N1042/K1042*100</f>
        <v>#DIV/0!</v>
      </c>
      <c r="Q1042" s="548"/>
      <c r="R1042" s="422"/>
    </row>
    <row r="1043" spans="1:18" s="189" customFormat="1" ht="12.05" customHeight="1">
      <c r="A1043" s="1116"/>
      <c r="B1043" s="292">
        <v>4</v>
      </c>
      <c r="C1043" s="292">
        <v>1</v>
      </c>
      <c r="D1043" s="292">
        <v>4</v>
      </c>
      <c r="E1043" s="292" t="s">
        <v>444</v>
      </c>
      <c r="F1043" s="292"/>
      <c r="G1043" s="253" t="s">
        <v>222</v>
      </c>
      <c r="H1043" s="253"/>
      <c r="I1043" s="253"/>
      <c r="J1043" s="333">
        <f>+J1046</f>
        <v>0</v>
      </c>
      <c r="K1043" s="334">
        <f>+K1046</f>
        <v>0</v>
      </c>
      <c r="L1043" s="334">
        <f>SUM(L1044:L1046)</f>
        <v>0</v>
      </c>
      <c r="M1043" s="334">
        <f>SUM(M1044:M1046)</f>
        <v>0</v>
      </c>
      <c r="N1043" s="334">
        <f>SUM(N1044:N1046)</f>
        <v>0</v>
      </c>
      <c r="O1043" s="396">
        <f t="shared" si="148"/>
        <v>0</v>
      </c>
      <c r="P1043" s="344">
        <v>0</v>
      </c>
      <c r="Q1043" s="548"/>
      <c r="R1043" s="422"/>
    </row>
    <row r="1044" spans="1:18" s="189" customFormat="1" ht="12.05" customHeight="1">
      <c r="A1044" s="1116"/>
      <c r="B1044" s="292">
        <v>4</v>
      </c>
      <c r="C1044" s="292">
        <v>1</v>
      </c>
      <c r="D1044" s="292">
        <v>4</v>
      </c>
      <c r="E1044" s="292" t="s">
        <v>444</v>
      </c>
      <c r="F1044" s="292" t="s">
        <v>440</v>
      </c>
      <c r="G1044" s="253" t="s">
        <v>73</v>
      </c>
      <c r="H1044" s="253"/>
      <c r="I1044" s="253"/>
      <c r="J1044" s="354">
        <v>0</v>
      </c>
      <c r="K1044" s="355">
        <v>0</v>
      </c>
      <c r="L1044" s="360">
        <v>0</v>
      </c>
      <c r="M1044" s="355">
        <f>[55]Perdinas!$E$704</f>
        <v>0</v>
      </c>
      <c r="N1044" s="355">
        <f>M1044+L1044</f>
        <v>0</v>
      </c>
      <c r="O1044" s="355">
        <f t="shared" si="148"/>
        <v>0</v>
      </c>
      <c r="P1044" s="388"/>
      <c r="Q1044" s="548"/>
      <c r="R1044" s="422"/>
    </row>
    <row r="1045" spans="1:18" s="189" customFormat="1" ht="12.05" customHeight="1">
      <c r="A1045" s="1116"/>
      <c r="B1045" s="292">
        <v>4</v>
      </c>
      <c r="C1045" s="292">
        <v>1</v>
      </c>
      <c r="D1045" s="292">
        <v>4</v>
      </c>
      <c r="E1045" s="292" t="s">
        <v>444</v>
      </c>
      <c r="F1045" s="292" t="s">
        <v>445</v>
      </c>
      <c r="G1045" s="253" t="s">
        <v>74</v>
      </c>
      <c r="H1045" s="253"/>
      <c r="I1045" s="253"/>
      <c r="J1045" s="354">
        <v>0</v>
      </c>
      <c r="K1045" s="355">
        <v>0</v>
      </c>
      <c r="L1045" s="360">
        <v>0</v>
      </c>
      <c r="M1045" s="355">
        <f>[55]Perdinas!$E$705</f>
        <v>0</v>
      </c>
      <c r="N1045" s="355">
        <f>M1045+L1045</f>
        <v>0</v>
      </c>
      <c r="O1045" s="355">
        <f t="shared" si="148"/>
        <v>0</v>
      </c>
      <c r="P1045" s="388"/>
      <c r="Q1045" s="548"/>
      <c r="R1045" s="422"/>
    </row>
    <row r="1046" spans="1:18" s="189" customFormat="1" ht="12.05" customHeight="1">
      <c r="A1046" s="1116"/>
      <c r="B1046" s="292">
        <v>4</v>
      </c>
      <c r="C1046" s="292">
        <v>1</v>
      </c>
      <c r="D1046" s="292">
        <v>4</v>
      </c>
      <c r="E1046" s="292" t="s">
        <v>444</v>
      </c>
      <c r="F1046" s="292" t="s">
        <v>441</v>
      </c>
      <c r="G1046" s="253" t="s">
        <v>75</v>
      </c>
      <c r="H1046" s="253"/>
      <c r="I1046" s="253"/>
      <c r="J1046" s="354">
        <v>0</v>
      </c>
      <c r="K1046" s="373">
        <f>'[57]TARGET MURNI DAN PERUBAHAN'!$E$600</f>
        <v>0</v>
      </c>
      <c r="L1046" s="360">
        <f>[62]PerDinas!$N$987</f>
        <v>0</v>
      </c>
      <c r="M1046" s="373">
        <f>[55]Perdinas!$E$706</f>
        <v>0</v>
      </c>
      <c r="N1046" s="369">
        <f>M1046+L1046</f>
        <v>0</v>
      </c>
      <c r="O1046" s="355">
        <f t="shared" si="148"/>
        <v>0</v>
      </c>
      <c r="P1046" s="388"/>
      <c r="Q1046" s="548"/>
      <c r="R1046" s="422"/>
    </row>
    <row r="1047" spans="1:18" s="189" customFormat="1" ht="12.05" customHeight="1">
      <c r="A1047" s="1116"/>
      <c r="B1047" s="292"/>
      <c r="C1047" s="292"/>
      <c r="D1047" s="292"/>
      <c r="E1047" s="292"/>
      <c r="F1047" s="292"/>
      <c r="G1047" s="253"/>
      <c r="H1047" s="253"/>
      <c r="I1047" s="253"/>
      <c r="J1047" s="354"/>
      <c r="K1047" s="355"/>
      <c r="L1047" s="360"/>
      <c r="M1047" s="355"/>
      <c r="N1047" s="355"/>
      <c r="O1047" s="355"/>
      <c r="P1047" s="388"/>
      <c r="Q1047" s="548"/>
      <c r="R1047" s="422"/>
    </row>
    <row r="1048" spans="1:18" s="189" customFormat="1" ht="12.05" customHeight="1">
      <c r="A1048" s="1117"/>
      <c r="B1048" s="292">
        <v>4</v>
      </c>
      <c r="C1048" s="292">
        <v>1</v>
      </c>
      <c r="D1048" s="292">
        <v>4</v>
      </c>
      <c r="E1048" s="292" t="s">
        <v>948</v>
      </c>
      <c r="F1048" s="292"/>
      <c r="G1048" s="410" t="s">
        <v>321</v>
      </c>
      <c r="H1048" s="410"/>
      <c r="I1048" s="410"/>
      <c r="J1048" s="494">
        <f t="shared" ref="J1048:M1049" si="149">+J1049</f>
        <v>0</v>
      </c>
      <c r="K1048" s="495">
        <f t="shared" si="149"/>
        <v>0</v>
      </c>
      <c r="L1048" s="513">
        <f t="shared" si="149"/>
        <v>0</v>
      </c>
      <c r="M1048" s="495">
        <f t="shared" si="149"/>
        <v>0</v>
      </c>
      <c r="N1048" s="396">
        <f>+M1048+L1048</f>
        <v>0</v>
      </c>
      <c r="O1048" s="396">
        <f>N1048-K1048</f>
        <v>0</v>
      </c>
      <c r="P1048" s="344">
        <v>0</v>
      </c>
      <c r="Q1048" s="548"/>
      <c r="R1048" s="422"/>
    </row>
    <row r="1049" spans="1:18" s="189" customFormat="1" ht="12.05" customHeight="1">
      <c r="A1049" s="1112"/>
      <c r="B1049" s="296">
        <v>4</v>
      </c>
      <c r="C1049" s="296">
        <v>1</v>
      </c>
      <c r="D1049" s="296">
        <v>4</v>
      </c>
      <c r="E1049" s="296" t="s">
        <v>948</v>
      </c>
      <c r="F1049" s="296" t="s">
        <v>437</v>
      </c>
      <c r="G1049" s="297" t="s">
        <v>85</v>
      </c>
      <c r="H1049" s="297"/>
      <c r="I1049" s="297"/>
      <c r="J1049" s="679">
        <f t="shared" si="149"/>
        <v>0</v>
      </c>
      <c r="K1049" s="691">
        <f t="shared" si="149"/>
        <v>0</v>
      </c>
      <c r="L1049" s="692">
        <f t="shared" si="149"/>
        <v>0</v>
      </c>
      <c r="M1049" s="691">
        <f t="shared" si="149"/>
        <v>0</v>
      </c>
      <c r="N1049" s="352">
        <f>M1049+L1049</f>
        <v>0</v>
      </c>
      <c r="O1049" s="352">
        <f>N1049-K1049</f>
        <v>0</v>
      </c>
      <c r="P1049" s="353">
        <v>0</v>
      </c>
      <c r="Q1049" s="548"/>
      <c r="R1049" s="422"/>
    </row>
    <row r="1050" spans="1:18" s="189" customFormat="1" ht="12.05" customHeight="1">
      <c r="A1050" s="898"/>
      <c r="B1050" s="899"/>
      <c r="C1050" s="899"/>
      <c r="D1050" s="899"/>
      <c r="E1050" s="899"/>
      <c r="F1050" s="899"/>
      <c r="G1050" s="900" t="s">
        <v>50</v>
      </c>
      <c r="H1050" s="900"/>
      <c r="I1050" s="900" t="s">
        <v>76</v>
      </c>
      <c r="J1050" s="911"/>
      <c r="K1050" s="912">
        <f>'[57]TARGET MURNI DAN PERUBAHAN'!$E$601</f>
        <v>0</v>
      </c>
      <c r="L1050" s="913">
        <f>[62]PerDinas!$N$991</f>
        <v>0</v>
      </c>
      <c r="M1050" s="912">
        <f>[55]Perdinas!$E$707</f>
        <v>0</v>
      </c>
      <c r="N1050" s="914">
        <f>M1050+L1050</f>
        <v>0</v>
      </c>
      <c r="O1050" s="914">
        <f>N1050-K1050</f>
        <v>0</v>
      </c>
      <c r="P1050" s="915">
        <v>0</v>
      </c>
      <c r="Q1050" s="1133"/>
      <c r="R1050" s="422"/>
    </row>
    <row r="1051" spans="1:18" s="189" customFormat="1" ht="12.05" customHeight="1">
      <c r="A1051" s="1118"/>
      <c r="B1051" s="1119"/>
      <c r="C1051" s="1119"/>
      <c r="D1051" s="1119"/>
      <c r="E1051" s="1119"/>
      <c r="F1051" s="1119"/>
      <c r="G1051" s="1120"/>
      <c r="J1051" s="1125"/>
      <c r="K1051" s="1126"/>
      <c r="L1051" s="1126"/>
      <c r="M1051" s="1126"/>
      <c r="N1051" s="1127"/>
      <c r="O1051" s="1127"/>
      <c r="P1051" s="1128"/>
      <c r="Q1051" s="548"/>
      <c r="R1051" s="422"/>
    </row>
    <row r="1052" spans="1:18" s="189" customFormat="1" ht="12.05" customHeight="1">
      <c r="A1052" s="283" t="s">
        <v>408</v>
      </c>
      <c r="B1052" s="284"/>
      <c r="C1052" s="284"/>
      <c r="D1052" s="284"/>
      <c r="E1052" s="284"/>
      <c r="F1052" s="284"/>
      <c r="G1052" s="298" t="s">
        <v>924</v>
      </c>
      <c r="H1052" s="298"/>
      <c r="I1052" s="298"/>
      <c r="J1052" s="336">
        <f>+J1053</f>
        <v>0</v>
      </c>
      <c r="K1052" s="337">
        <f>+K1053</f>
        <v>0</v>
      </c>
      <c r="L1052" s="337">
        <f>+L1053</f>
        <v>0</v>
      </c>
      <c r="M1052" s="337">
        <f>+M1053</f>
        <v>0</v>
      </c>
      <c r="N1052" s="337">
        <f>M1052+L1052</f>
        <v>0</v>
      </c>
      <c r="O1052" s="337">
        <f>+N1052-K1052</f>
        <v>0</v>
      </c>
      <c r="P1052" s="338" t="e">
        <f>+N1052/K1052*100</f>
        <v>#DIV/0!</v>
      </c>
      <c r="Q1052" s="432"/>
      <c r="R1052" s="422"/>
    </row>
    <row r="1053" spans="1:18" s="189" customFormat="1" ht="12.05" customHeight="1">
      <c r="A1053" s="1111"/>
      <c r="B1053" s="707">
        <v>4</v>
      </c>
      <c r="C1053" s="707">
        <v>1</v>
      </c>
      <c r="D1053" s="707"/>
      <c r="E1053" s="707"/>
      <c r="F1053" s="707"/>
      <c r="G1053" s="288" t="s">
        <v>180</v>
      </c>
      <c r="H1053" s="288"/>
      <c r="I1053" s="288"/>
      <c r="J1053" s="342">
        <f>+J1055</f>
        <v>0</v>
      </c>
      <c r="K1053" s="343">
        <f>+K1055</f>
        <v>0</v>
      </c>
      <c r="L1053" s="343">
        <f>+L1055</f>
        <v>0</v>
      </c>
      <c r="M1053" s="343">
        <f>+M1055</f>
        <v>0</v>
      </c>
      <c r="N1053" s="343">
        <f>+M1053+L1053</f>
        <v>0</v>
      </c>
      <c r="O1053" s="343">
        <f t="shared" ref="O1053:O1059" si="150">N1053-K1053</f>
        <v>0</v>
      </c>
      <c r="P1053" s="344" t="e">
        <f>N1053/K1053*100</f>
        <v>#DIV/0!</v>
      </c>
      <c r="Q1053" s="548"/>
      <c r="R1053" s="422"/>
    </row>
    <row r="1054" spans="1:18" s="189" customFormat="1" ht="12.05" customHeight="1">
      <c r="A1054" s="1112"/>
      <c r="B1054" s="296"/>
      <c r="C1054" s="296"/>
      <c r="D1054" s="296"/>
      <c r="E1054" s="296"/>
      <c r="F1054" s="296"/>
      <c r="G1054" s="297"/>
      <c r="H1054" s="297"/>
      <c r="I1054" s="297"/>
      <c r="J1054" s="351"/>
      <c r="K1054" s="352"/>
      <c r="L1054" s="352"/>
      <c r="M1054" s="352"/>
      <c r="N1054" s="352"/>
      <c r="O1054" s="352"/>
      <c r="P1054" s="353"/>
      <c r="Q1054" s="548"/>
      <c r="R1054" s="422"/>
    </row>
    <row r="1055" spans="1:18" s="189" customFormat="1" ht="12.05" customHeight="1">
      <c r="A1055" s="1113"/>
      <c r="B1055" s="1114">
        <v>4</v>
      </c>
      <c r="C1055" s="1114">
        <v>1</v>
      </c>
      <c r="D1055" s="1114">
        <v>4</v>
      </c>
      <c r="E1055" s="1114"/>
      <c r="F1055" s="1114"/>
      <c r="G1055" s="1115" t="s">
        <v>71</v>
      </c>
      <c r="H1055" s="1115"/>
      <c r="I1055" s="1115"/>
      <c r="J1055" s="1121">
        <f>J1056+J1061</f>
        <v>0</v>
      </c>
      <c r="K1055" s="1122">
        <f>K1056+K1061+K1057</f>
        <v>0</v>
      </c>
      <c r="L1055" s="1122">
        <f>L1056+L1061+L1057</f>
        <v>0</v>
      </c>
      <c r="M1055" s="1122">
        <f>M1056+M1061</f>
        <v>0</v>
      </c>
      <c r="N1055" s="1122">
        <f>M1055+L1055</f>
        <v>0</v>
      </c>
      <c r="O1055" s="1123">
        <f t="shared" si="150"/>
        <v>0</v>
      </c>
      <c r="P1055" s="1124" t="e">
        <f>N1055/K1055*100</f>
        <v>#DIV/0!</v>
      </c>
      <c r="Q1055" s="548"/>
      <c r="R1055" s="422"/>
    </row>
    <row r="1056" spans="1:18" s="189" customFormat="1" ht="12.05" customHeight="1">
      <c r="A1056" s="1116"/>
      <c r="B1056" s="292">
        <v>4</v>
      </c>
      <c r="C1056" s="292">
        <v>1</v>
      </c>
      <c r="D1056" s="292">
        <v>4</v>
      </c>
      <c r="E1056" s="292" t="s">
        <v>444</v>
      </c>
      <c r="F1056" s="292"/>
      <c r="G1056" s="253" t="s">
        <v>222</v>
      </c>
      <c r="H1056" s="253"/>
      <c r="I1056" s="253"/>
      <c r="J1056" s="333">
        <f>+J1059</f>
        <v>0</v>
      </c>
      <c r="K1056" s="334">
        <f>+K1059</f>
        <v>0</v>
      </c>
      <c r="L1056" s="334">
        <f>+L1059</f>
        <v>0</v>
      </c>
      <c r="M1056" s="334">
        <f>SUM(M1057:M1059)</f>
        <v>0</v>
      </c>
      <c r="N1056" s="334">
        <f>M1056+L1056</f>
        <v>0</v>
      </c>
      <c r="O1056" s="396">
        <f t="shared" si="150"/>
        <v>0</v>
      </c>
      <c r="P1056" s="344">
        <v>0</v>
      </c>
      <c r="Q1056" s="548"/>
      <c r="R1056" s="422"/>
    </row>
    <row r="1057" spans="1:18" s="189" customFormat="1" ht="12.05" customHeight="1">
      <c r="A1057" s="1116"/>
      <c r="B1057" s="292">
        <v>4</v>
      </c>
      <c r="C1057" s="292">
        <v>1</v>
      </c>
      <c r="D1057" s="292">
        <v>4</v>
      </c>
      <c r="E1057" s="292" t="s">
        <v>444</v>
      </c>
      <c r="F1057" s="292" t="s">
        <v>440</v>
      </c>
      <c r="G1057" s="253" t="s">
        <v>710</v>
      </c>
      <c r="H1057" s="253"/>
      <c r="I1057" s="253"/>
      <c r="J1057" s="354">
        <v>0</v>
      </c>
      <c r="K1057" s="355">
        <v>0</v>
      </c>
      <c r="L1057" s="360">
        <v>0</v>
      </c>
      <c r="M1057" s="355">
        <f>[55]Perdinas!$E$713</f>
        <v>0</v>
      </c>
      <c r="N1057" s="369">
        <f>M1057+L1057</f>
        <v>0</v>
      </c>
      <c r="O1057" s="355">
        <f t="shared" si="150"/>
        <v>0</v>
      </c>
      <c r="P1057" s="388"/>
      <c r="Q1057" s="548"/>
      <c r="R1057" s="422"/>
    </row>
    <row r="1058" spans="1:18" s="189" customFormat="1" ht="12.05" customHeight="1">
      <c r="A1058" s="1116"/>
      <c r="B1058" s="292">
        <v>4</v>
      </c>
      <c r="C1058" s="292">
        <v>1</v>
      </c>
      <c r="D1058" s="292">
        <v>4</v>
      </c>
      <c r="E1058" s="292" t="s">
        <v>444</v>
      </c>
      <c r="F1058" s="292" t="s">
        <v>445</v>
      </c>
      <c r="G1058" s="253" t="s">
        <v>74</v>
      </c>
      <c r="H1058" s="253"/>
      <c r="I1058" s="253"/>
      <c r="J1058" s="354">
        <v>0</v>
      </c>
      <c r="K1058" s="355">
        <v>0</v>
      </c>
      <c r="L1058" s="360">
        <v>0</v>
      </c>
      <c r="M1058" s="355">
        <f>[55]Perdinas!$E$714</f>
        <v>0</v>
      </c>
      <c r="N1058" s="355">
        <f>M1058+L1058</f>
        <v>0</v>
      </c>
      <c r="O1058" s="355">
        <f t="shared" si="150"/>
        <v>0</v>
      </c>
      <c r="P1058" s="388"/>
      <c r="Q1058" s="1134"/>
      <c r="R1058" s="422"/>
    </row>
    <row r="1059" spans="1:18" s="189" customFormat="1" ht="12.05" customHeight="1">
      <c r="A1059" s="1116"/>
      <c r="B1059" s="292">
        <v>4</v>
      </c>
      <c r="C1059" s="292">
        <v>1</v>
      </c>
      <c r="D1059" s="292">
        <v>4</v>
      </c>
      <c r="E1059" s="292" t="s">
        <v>444</v>
      </c>
      <c r="F1059" s="292" t="s">
        <v>441</v>
      </c>
      <c r="G1059" s="253" t="s">
        <v>75</v>
      </c>
      <c r="H1059" s="253"/>
      <c r="I1059" s="253"/>
      <c r="J1059" s="354">
        <v>0</v>
      </c>
      <c r="K1059" s="373">
        <f>'[57]TARGET MURNI DAN PERUBAHAN'!$E$608</f>
        <v>0</v>
      </c>
      <c r="L1059" s="360">
        <f>[62]PerDinas!$N$1000</f>
        <v>0</v>
      </c>
      <c r="M1059" s="373">
        <f>[55]Perdinas!$E$715</f>
        <v>0</v>
      </c>
      <c r="N1059" s="369">
        <f>M1059+L1059</f>
        <v>0</v>
      </c>
      <c r="O1059" s="355">
        <f t="shared" si="150"/>
        <v>0</v>
      </c>
      <c r="P1059" s="388"/>
      <c r="Q1059" s="548"/>
      <c r="R1059" s="545"/>
    </row>
    <row r="1060" spans="1:18" s="189" customFormat="1" ht="12.05" customHeight="1">
      <c r="A1060" s="1116"/>
      <c r="B1060" s="292"/>
      <c r="C1060" s="292"/>
      <c r="D1060" s="292"/>
      <c r="E1060" s="292"/>
      <c r="F1060" s="292"/>
      <c r="G1060" s="253"/>
      <c r="H1060" s="253"/>
      <c r="I1060" s="253"/>
      <c r="J1060" s="354"/>
      <c r="K1060" s="355"/>
      <c r="L1060" s="360"/>
      <c r="M1060" s="355"/>
      <c r="N1060" s="355"/>
      <c r="O1060" s="355"/>
      <c r="P1060" s="388"/>
      <c r="Q1060" s="548"/>
      <c r="R1060" s="422"/>
    </row>
    <row r="1061" spans="1:18" s="189" customFormat="1" ht="12.05" customHeight="1">
      <c r="A1061" s="1117"/>
      <c r="B1061" s="292">
        <v>4</v>
      </c>
      <c r="C1061" s="292">
        <v>1</v>
      </c>
      <c r="D1061" s="292">
        <v>4</v>
      </c>
      <c r="E1061" s="292" t="s">
        <v>948</v>
      </c>
      <c r="F1061" s="292"/>
      <c r="G1061" s="410" t="s">
        <v>321</v>
      </c>
      <c r="H1061" s="410"/>
      <c r="I1061" s="410"/>
      <c r="J1061" s="494">
        <f t="shared" ref="J1061:M1062" si="151">+J1062</f>
        <v>0</v>
      </c>
      <c r="K1061" s="495">
        <f t="shared" si="151"/>
        <v>0</v>
      </c>
      <c r="L1061" s="513">
        <f t="shared" si="151"/>
        <v>0</v>
      </c>
      <c r="M1061" s="495">
        <f t="shared" si="151"/>
        <v>0</v>
      </c>
      <c r="N1061" s="396">
        <f>+M1061+L1061</f>
        <v>0</v>
      </c>
      <c r="O1061" s="396">
        <f>N1061-K1061</f>
        <v>0</v>
      </c>
      <c r="P1061" s="344">
        <v>0</v>
      </c>
      <c r="Q1061" s="548"/>
      <c r="R1061" s="422"/>
    </row>
    <row r="1062" spans="1:18" s="189" customFormat="1" ht="12.05" customHeight="1">
      <c r="A1062" s="1112"/>
      <c r="B1062" s="296">
        <v>4</v>
      </c>
      <c r="C1062" s="296">
        <v>1</v>
      </c>
      <c r="D1062" s="296">
        <v>4</v>
      </c>
      <c r="E1062" s="296" t="s">
        <v>948</v>
      </c>
      <c r="F1062" s="296" t="s">
        <v>437</v>
      </c>
      <c r="G1062" s="297" t="s">
        <v>85</v>
      </c>
      <c r="H1062" s="297"/>
      <c r="I1062" s="297"/>
      <c r="J1062" s="679">
        <f t="shared" si="151"/>
        <v>0</v>
      </c>
      <c r="K1062" s="691">
        <f t="shared" si="151"/>
        <v>0</v>
      </c>
      <c r="L1062" s="692">
        <f t="shared" si="151"/>
        <v>0</v>
      </c>
      <c r="M1062" s="691">
        <f t="shared" si="151"/>
        <v>0</v>
      </c>
      <c r="N1062" s="352">
        <f>M1062+L1062</f>
        <v>0</v>
      </c>
      <c r="O1062" s="352">
        <f>N1062-K1062</f>
        <v>0</v>
      </c>
      <c r="P1062" s="353">
        <v>0</v>
      </c>
      <c r="Q1062" s="548"/>
      <c r="R1062" s="422"/>
    </row>
    <row r="1063" spans="1:18" s="189" customFormat="1" ht="12.05" customHeight="1">
      <c r="A1063" s="898"/>
      <c r="B1063" s="899"/>
      <c r="C1063" s="899"/>
      <c r="D1063" s="899"/>
      <c r="E1063" s="899"/>
      <c r="F1063" s="899"/>
      <c r="G1063" s="900" t="s">
        <v>50</v>
      </c>
      <c r="H1063" s="900"/>
      <c r="I1063" s="900" t="s">
        <v>76</v>
      </c>
      <c r="J1063" s="911"/>
      <c r="K1063" s="912">
        <f>'[57]TARGET MURNI DAN PERUBAHAN'!$E$609</f>
        <v>0</v>
      </c>
      <c r="L1063" s="912">
        <v>0</v>
      </c>
      <c r="M1063" s="912">
        <f>[55]Perdinas!$E$716</f>
        <v>0</v>
      </c>
      <c r="N1063" s="914">
        <f>M1063+L1063</f>
        <v>0</v>
      </c>
      <c r="O1063" s="914">
        <f>N1063-K1063</f>
        <v>0</v>
      </c>
      <c r="P1063" s="915">
        <v>0</v>
      </c>
      <c r="Q1063" s="839"/>
      <c r="R1063" s="422"/>
    </row>
    <row r="1064" spans="1:18" s="189" customFormat="1" ht="12.05" customHeight="1">
      <c r="A1064" s="283" t="s">
        <v>410</v>
      </c>
      <c r="B1064" s="284"/>
      <c r="C1064" s="284"/>
      <c r="D1064" s="284"/>
      <c r="E1064" s="284"/>
      <c r="F1064" s="284"/>
      <c r="G1064" s="298" t="s">
        <v>1026</v>
      </c>
      <c r="H1064" s="298"/>
      <c r="I1064" s="298"/>
      <c r="J1064" s="336">
        <f>+J1065</f>
        <v>0</v>
      </c>
      <c r="K1064" s="337">
        <f>+K1065</f>
        <v>0</v>
      </c>
      <c r="L1064" s="337">
        <f>+L1065</f>
        <v>0</v>
      </c>
      <c r="M1064" s="337">
        <f>+M1065</f>
        <v>0</v>
      </c>
      <c r="N1064" s="337">
        <f>M1064+L1064</f>
        <v>0</v>
      </c>
      <c r="O1064" s="337">
        <f>+N1064-K1064</f>
        <v>0</v>
      </c>
      <c r="P1064" s="338" t="e">
        <f>+N1064/K1064*100</f>
        <v>#DIV/0!</v>
      </c>
      <c r="Q1064" s="432"/>
      <c r="R1064" s="422"/>
    </row>
    <row r="1065" spans="1:18" s="189" customFormat="1" ht="12.05" customHeight="1">
      <c r="A1065" s="1111"/>
      <c r="B1065" s="707">
        <v>4</v>
      </c>
      <c r="C1065" s="707">
        <v>1</v>
      </c>
      <c r="D1065" s="707"/>
      <c r="E1065" s="707"/>
      <c r="F1065" s="707"/>
      <c r="G1065" s="288" t="s">
        <v>180</v>
      </c>
      <c r="H1065" s="288"/>
      <c r="I1065" s="288"/>
      <c r="J1065" s="342">
        <f>+J1067</f>
        <v>0</v>
      </c>
      <c r="K1065" s="343">
        <f>+K1067</f>
        <v>0</v>
      </c>
      <c r="L1065" s="343">
        <f>+L1067</f>
        <v>0</v>
      </c>
      <c r="M1065" s="343">
        <f>+M1067</f>
        <v>0</v>
      </c>
      <c r="N1065" s="343">
        <f>+M1065+L1065</f>
        <v>0</v>
      </c>
      <c r="O1065" s="343">
        <f t="shared" ref="O1065:O1071" si="152">N1065-K1065</f>
        <v>0</v>
      </c>
      <c r="P1065" s="344" t="e">
        <f>N1065/K1065*100</f>
        <v>#DIV/0!</v>
      </c>
      <c r="Q1065" s="548"/>
      <c r="R1065" s="422"/>
    </row>
    <row r="1066" spans="1:18" s="189" customFormat="1" ht="12.05" customHeight="1">
      <c r="A1066" s="1112"/>
      <c r="B1066" s="296"/>
      <c r="C1066" s="296"/>
      <c r="D1066" s="296"/>
      <c r="E1066" s="296"/>
      <c r="F1066" s="296"/>
      <c r="G1066" s="297"/>
      <c r="H1066" s="297"/>
      <c r="I1066" s="297"/>
      <c r="J1066" s="351"/>
      <c r="K1066" s="352"/>
      <c r="L1066" s="352"/>
      <c r="M1066" s="352"/>
      <c r="N1066" s="352"/>
      <c r="O1066" s="352"/>
      <c r="P1066" s="353"/>
      <c r="Q1066" s="548"/>
      <c r="R1066" s="422"/>
    </row>
    <row r="1067" spans="1:18" s="189" customFormat="1" ht="12.05" customHeight="1">
      <c r="A1067" s="1113"/>
      <c r="B1067" s="1114">
        <v>4</v>
      </c>
      <c r="C1067" s="1114">
        <v>1</v>
      </c>
      <c r="D1067" s="1114">
        <v>4</v>
      </c>
      <c r="E1067" s="1114"/>
      <c r="F1067" s="1114"/>
      <c r="G1067" s="1115" t="s">
        <v>71</v>
      </c>
      <c r="H1067" s="1115"/>
      <c r="I1067" s="1115"/>
      <c r="J1067" s="1121">
        <f>J1068+J1073</f>
        <v>0</v>
      </c>
      <c r="K1067" s="1122">
        <f>K1068+K1073</f>
        <v>0</v>
      </c>
      <c r="L1067" s="1129">
        <f>L1068+L1073</f>
        <v>0</v>
      </c>
      <c r="M1067" s="1122">
        <f>M1068+M1073</f>
        <v>0</v>
      </c>
      <c r="N1067" s="1122">
        <f>N1068+N1073</f>
        <v>0</v>
      </c>
      <c r="O1067" s="1123">
        <f t="shared" si="152"/>
        <v>0</v>
      </c>
      <c r="P1067" s="1124" t="e">
        <f>N1067/K1067*100</f>
        <v>#DIV/0!</v>
      </c>
      <c r="Q1067" s="548"/>
      <c r="R1067" s="422"/>
    </row>
    <row r="1068" spans="1:18" s="189" customFormat="1" ht="12.05" customHeight="1">
      <c r="A1068" s="1116"/>
      <c r="B1068" s="292">
        <v>4</v>
      </c>
      <c r="C1068" s="292">
        <v>1</v>
      </c>
      <c r="D1068" s="292">
        <v>4</v>
      </c>
      <c r="E1068" s="292" t="s">
        <v>444</v>
      </c>
      <c r="F1068" s="292"/>
      <c r="G1068" s="253" t="s">
        <v>222</v>
      </c>
      <c r="H1068" s="253"/>
      <c r="I1068" s="253"/>
      <c r="J1068" s="333">
        <f>+J1071</f>
        <v>0</v>
      </c>
      <c r="K1068" s="334">
        <f>+K1071</f>
        <v>0</v>
      </c>
      <c r="L1068" s="356">
        <f>SUM(L1069:L1071)</f>
        <v>0</v>
      </c>
      <c r="M1068" s="334">
        <f>SUM(M1069:M1071)</f>
        <v>0</v>
      </c>
      <c r="N1068" s="334">
        <f>SUM(N1069:N1071)</f>
        <v>0</v>
      </c>
      <c r="O1068" s="396">
        <f t="shared" si="152"/>
        <v>0</v>
      </c>
      <c r="P1068" s="344">
        <v>0</v>
      </c>
      <c r="Q1068" s="641"/>
      <c r="R1068" s="422"/>
    </row>
    <row r="1069" spans="1:18" s="189" customFormat="1" ht="12.05" customHeight="1">
      <c r="A1069" s="1116"/>
      <c r="B1069" s="292">
        <v>4</v>
      </c>
      <c r="C1069" s="292">
        <v>1</v>
      </c>
      <c r="D1069" s="292">
        <v>4</v>
      </c>
      <c r="E1069" s="292" t="s">
        <v>444</v>
      </c>
      <c r="F1069" s="292" t="s">
        <v>440</v>
      </c>
      <c r="G1069" s="253" t="s">
        <v>73</v>
      </c>
      <c r="H1069" s="253"/>
      <c r="I1069" s="253"/>
      <c r="J1069" s="354">
        <v>0</v>
      </c>
      <c r="K1069" s="355">
        <v>0</v>
      </c>
      <c r="L1069" s="360">
        <v>0</v>
      </c>
      <c r="M1069" s="355">
        <v>0</v>
      </c>
      <c r="N1069" s="355">
        <f>M1069+L1069</f>
        <v>0</v>
      </c>
      <c r="O1069" s="355">
        <f t="shared" si="152"/>
        <v>0</v>
      </c>
      <c r="P1069" s="388"/>
      <c r="Q1069" s="548"/>
      <c r="R1069" s="422"/>
    </row>
    <row r="1070" spans="1:18" s="189" customFormat="1" ht="12.05" customHeight="1">
      <c r="A1070" s="1116"/>
      <c r="B1070" s="292">
        <v>4</v>
      </c>
      <c r="C1070" s="292">
        <v>1</v>
      </c>
      <c r="D1070" s="292">
        <v>4</v>
      </c>
      <c r="E1070" s="292" t="s">
        <v>444</v>
      </c>
      <c r="F1070" s="292" t="s">
        <v>445</v>
      </c>
      <c r="G1070" s="253" t="s">
        <v>74</v>
      </c>
      <c r="H1070" s="253"/>
      <c r="I1070" s="253"/>
      <c r="J1070" s="354">
        <v>0</v>
      </c>
      <c r="K1070" s="355">
        <v>0</v>
      </c>
      <c r="L1070" s="360">
        <v>0</v>
      </c>
      <c r="M1070" s="355">
        <v>0</v>
      </c>
      <c r="N1070" s="355">
        <f>M1070+L1070</f>
        <v>0</v>
      </c>
      <c r="O1070" s="355">
        <f t="shared" si="152"/>
        <v>0</v>
      </c>
      <c r="P1070" s="388"/>
      <c r="Q1070" s="548"/>
      <c r="R1070" s="422"/>
    </row>
    <row r="1071" spans="1:18" s="256" customFormat="1" ht="12.05" customHeight="1">
      <c r="A1071" s="1116"/>
      <c r="B1071" s="292">
        <v>4</v>
      </c>
      <c r="C1071" s="292">
        <v>1</v>
      </c>
      <c r="D1071" s="292">
        <v>4</v>
      </c>
      <c r="E1071" s="292" t="s">
        <v>444</v>
      </c>
      <c r="F1071" s="292" t="s">
        <v>441</v>
      </c>
      <c r="G1071" s="253" t="s">
        <v>75</v>
      </c>
      <c r="H1071" s="253"/>
      <c r="I1071" s="253"/>
      <c r="J1071" s="354">
        <v>0</v>
      </c>
      <c r="K1071" s="355">
        <v>0</v>
      </c>
      <c r="L1071" s="360">
        <v>0</v>
      </c>
      <c r="M1071" s="355"/>
      <c r="N1071" s="369">
        <f>M1071+L1071</f>
        <v>0</v>
      </c>
      <c r="O1071" s="355">
        <f t="shared" si="152"/>
        <v>0</v>
      </c>
      <c r="P1071" s="388"/>
      <c r="Q1071" s="548"/>
      <c r="R1071" s="1135"/>
    </row>
    <row r="1072" spans="1:18" s="189" customFormat="1" ht="12.05" customHeight="1">
      <c r="A1072" s="1116"/>
      <c r="B1072" s="292"/>
      <c r="C1072" s="292"/>
      <c r="D1072" s="292"/>
      <c r="E1072" s="292"/>
      <c r="F1072" s="292"/>
      <c r="G1072" s="253"/>
      <c r="H1072" s="253"/>
      <c r="I1072" s="253"/>
      <c r="J1072" s="354"/>
      <c r="K1072" s="355"/>
      <c r="L1072" s="360"/>
      <c r="M1072" s="355"/>
      <c r="N1072" s="355"/>
      <c r="O1072" s="355"/>
      <c r="P1072" s="388"/>
      <c r="Q1072" s="548"/>
      <c r="R1072" s="422"/>
    </row>
    <row r="1073" spans="1:22" s="189" customFormat="1" ht="12.05" customHeight="1">
      <c r="A1073" s="1117"/>
      <c r="B1073" s="292">
        <v>4</v>
      </c>
      <c r="C1073" s="292">
        <v>1</v>
      </c>
      <c r="D1073" s="292">
        <v>4</v>
      </c>
      <c r="E1073" s="292" t="s">
        <v>948</v>
      </c>
      <c r="F1073" s="292"/>
      <c r="G1073" s="410" t="s">
        <v>321</v>
      </c>
      <c r="H1073" s="410"/>
      <c r="I1073" s="410"/>
      <c r="J1073" s="494">
        <f t="shared" ref="J1073:M1074" si="153">+J1074</f>
        <v>0</v>
      </c>
      <c r="K1073" s="495">
        <f t="shared" si="153"/>
        <v>0</v>
      </c>
      <c r="L1073" s="513">
        <f t="shared" si="153"/>
        <v>0</v>
      </c>
      <c r="M1073" s="495">
        <f t="shared" si="153"/>
        <v>0</v>
      </c>
      <c r="N1073" s="396">
        <f>+M1073+L1073</f>
        <v>0</v>
      </c>
      <c r="O1073" s="396">
        <f>N1073-K1073</f>
        <v>0</v>
      </c>
      <c r="P1073" s="344">
        <v>0</v>
      </c>
      <c r="Q1073" s="548"/>
      <c r="R1073" s="422"/>
    </row>
    <row r="1074" spans="1:22" s="189" customFormat="1" ht="12.05" customHeight="1">
      <c r="A1074" s="1112"/>
      <c r="B1074" s="296">
        <v>4</v>
      </c>
      <c r="C1074" s="296">
        <v>1</v>
      </c>
      <c r="D1074" s="296">
        <v>4</v>
      </c>
      <c r="E1074" s="296" t="s">
        <v>948</v>
      </c>
      <c r="F1074" s="296" t="s">
        <v>437</v>
      </c>
      <c r="G1074" s="297" t="s">
        <v>85</v>
      </c>
      <c r="H1074" s="297"/>
      <c r="I1074" s="297"/>
      <c r="J1074" s="679">
        <f t="shared" si="153"/>
        <v>0</v>
      </c>
      <c r="K1074" s="691">
        <f t="shared" si="153"/>
        <v>0</v>
      </c>
      <c r="L1074" s="692">
        <f t="shared" si="153"/>
        <v>0</v>
      </c>
      <c r="M1074" s="691">
        <f t="shared" si="153"/>
        <v>0</v>
      </c>
      <c r="N1074" s="352">
        <f>M1074+L1074</f>
        <v>0</v>
      </c>
      <c r="O1074" s="352">
        <f>N1074-K1074</f>
        <v>0</v>
      </c>
      <c r="P1074" s="353">
        <v>0</v>
      </c>
      <c r="Q1074" s="548"/>
      <c r="R1074" s="422"/>
    </row>
    <row r="1075" spans="1:22" s="189" customFormat="1" ht="12.05" customHeight="1">
      <c r="A1075" s="898"/>
      <c r="B1075" s="899"/>
      <c r="C1075" s="899"/>
      <c r="D1075" s="899"/>
      <c r="E1075" s="899"/>
      <c r="F1075" s="899"/>
      <c r="G1075" s="900" t="s">
        <v>50</v>
      </c>
      <c r="H1075" s="900"/>
      <c r="I1075" s="900" t="s">
        <v>76</v>
      </c>
      <c r="J1075" s="911"/>
      <c r="K1075" s="912"/>
      <c r="L1075" s="913">
        <f>[62]PerDinas!$N$1016</f>
        <v>0</v>
      </c>
      <c r="M1075" s="912">
        <v>0</v>
      </c>
      <c r="N1075" s="914">
        <f>M1075+L1075</f>
        <v>0</v>
      </c>
      <c r="O1075" s="914">
        <f>N1075-K1075</f>
        <v>0</v>
      </c>
      <c r="P1075" s="915">
        <v>0</v>
      </c>
      <c r="Q1075" s="839"/>
      <c r="R1075" s="422"/>
    </row>
    <row r="1076" spans="1:22" s="189" customFormat="1" ht="12.05" customHeight="1">
      <c r="A1076" s="283" t="s">
        <v>1027</v>
      </c>
      <c r="B1076" s="284"/>
      <c r="C1076" s="284"/>
      <c r="D1076" s="284"/>
      <c r="E1076" s="284"/>
      <c r="F1076" s="284"/>
      <c r="G1076" s="298" t="s">
        <v>1028</v>
      </c>
      <c r="H1076" s="298"/>
      <c r="I1076" s="298"/>
      <c r="J1076" s="336">
        <f>+J1077</f>
        <v>0</v>
      </c>
      <c r="K1076" s="337">
        <f>+K1077</f>
        <v>0</v>
      </c>
      <c r="L1076" s="337">
        <f>+L1077</f>
        <v>0</v>
      </c>
      <c r="M1076" s="337">
        <f>+M1077</f>
        <v>0</v>
      </c>
      <c r="N1076" s="337">
        <f>M1076+L1076</f>
        <v>0</v>
      </c>
      <c r="O1076" s="337">
        <f>+N1076-K1076</f>
        <v>0</v>
      </c>
      <c r="P1076" s="338" t="e">
        <f>+N1076/K1076*100</f>
        <v>#DIV/0!</v>
      </c>
      <c r="Q1076" s="432"/>
      <c r="R1076" s="422"/>
    </row>
    <row r="1077" spans="1:22" s="189" customFormat="1" ht="12.05" customHeight="1">
      <c r="A1077" s="1111"/>
      <c r="B1077" s="707">
        <v>4</v>
      </c>
      <c r="C1077" s="707">
        <v>1</v>
      </c>
      <c r="D1077" s="707"/>
      <c r="E1077" s="707"/>
      <c r="F1077" s="707"/>
      <c r="G1077" s="288" t="s">
        <v>180</v>
      </c>
      <c r="H1077" s="288"/>
      <c r="I1077" s="288"/>
      <c r="J1077" s="342">
        <f>+J1079</f>
        <v>0</v>
      </c>
      <c r="K1077" s="343">
        <f>+K1079</f>
        <v>0</v>
      </c>
      <c r="L1077" s="343">
        <f>+L1079</f>
        <v>0</v>
      </c>
      <c r="M1077" s="343">
        <f>+M1079</f>
        <v>0</v>
      </c>
      <c r="N1077" s="343">
        <f>+M1077+L1077</f>
        <v>0</v>
      </c>
      <c r="O1077" s="343">
        <f t="shared" ref="O1077:O1083" si="154">N1077-K1077</f>
        <v>0</v>
      </c>
      <c r="P1077" s="344" t="e">
        <f>N1077/K1077*100</f>
        <v>#DIV/0!</v>
      </c>
      <c r="Q1077" s="548"/>
      <c r="R1077" s="422"/>
    </row>
    <row r="1078" spans="1:22" s="189" customFormat="1" ht="15.65">
      <c r="A1078" s="1112"/>
      <c r="B1078" s="296"/>
      <c r="C1078" s="296"/>
      <c r="D1078" s="296"/>
      <c r="E1078" s="296"/>
      <c r="F1078" s="296"/>
      <c r="G1078" s="297"/>
      <c r="H1078" s="297"/>
      <c r="I1078" s="297"/>
      <c r="J1078" s="351"/>
      <c r="K1078" s="352"/>
      <c r="L1078" s="362"/>
      <c r="M1078" s="352"/>
      <c r="N1078" s="352"/>
      <c r="O1078" s="352"/>
      <c r="P1078" s="353"/>
      <c r="Q1078" s="548"/>
      <c r="R1078" s="1136"/>
    </row>
    <row r="1079" spans="1:22" s="189" customFormat="1" ht="12.05" customHeight="1">
      <c r="A1079" s="1113"/>
      <c r="B1079" s="1114">
        <v>4</v>
      </c>
      <c r="C1079" s="1114">
        <v>1</v>
      </c>
      <c r="D1079" s="1114">
        <v>4</v>
      </c>
      <c r="E1079" s="1114"/>
      <c r="F1079" s="1114"/>
      <c r="G1079" s="1115" t="s">
        <v>71</v>
      </c>
      <c r="H1079" s="1115"/>
      <c r="I1079" s="1115"/>
      <c r="J1079" s="1121">
        <f>J1080+J1085</f>
        <v>0</v>
      </c>
      <c r="K1079" s="1122">
        <f>K1080+K1085</f>
        <v>0</v>
      </c>
      <c r="L1079" s="1129">
        <f>L1080+L1085</f>
        <v>0</v>
      </c>
      <c r="M1079" s="1122">
        <f>M1080+M1085</f>
        <v>0</v>
      </c>
      <c r="N1079" s="1122">
        <f>N1080+N1085</f>
        <v>0</v>
      </c>
      <c r="O1079" s="1123">
        <f t="shared" si="154"/>
        <v>0</v>
      </c>
      <c r="P1079" s="1124" t="e">
        <f>N1079/K1079*100</f>
        <v>#DIV/0!</v>
      </c>
      <c r="Q1079" s="548"/>
      <c r="R1079" s="422"/>
      <c r="S1079" s="1137"/>
      <c r="T1079" s="1137"/>
      <c r="U1079" s="1137"/>
    </row>
    <row r="1080" spans="1:22" s="189" customFormat="1" ht="12.05" customHeight="1">
      <c r="A1080" s="1116"/>
      <c r="B1080" s="292">
        <v>4</v>
      </c>
      <c r="C1080" s="292">
        <v>1</v>
      </c>
      <c r="D1080" s="292">
        <v>4</v>
      </c>
      <c r="E1080" s="292" t="s">
        <v>444</v>
      </c>
      <c r="F1080" s="292"/>
      <c r="G1080" s="253" t="s">
        <v>222</v>
      </c>
      <c r="H1080" s="253"/>
      <c r="I1080" s="253"/>
      <c r="J1080" s="333">
        <f>+J1083</f>
        <v>0</v>
      </c>
      <c r="K1080" s="334">
        <f>+K1083</f>
        <v>0</v>
      </c>
      <c r="L1080" s="356">
        <f>SUM(L1081:L1083)</f>
        <v>0</v>
      </c>
      <c r="M1080" s="334">
        <f>SUM(M1081:M1083)</f>
        <v>0</v>
      </c>
      <c r="N1080" s="334">
        <f>SUM(N1081:N1083)</f>
        <v>0</v>
      </c>
      <c r="O1080" s="396">
        <f t="shared" si="154"/>
        <v>0</v>
      </c>
      <c r="P1080" s="344">
        <v>0</v>
      </c>
      <c r="Q1080" s="548"/>
      <c r="R1080" s="1138"/>
      <c r="S1080" s="1139"/>
      <c r="T1080" s="1139"/>
      <c r="U1080" s="1139"/>
      <c r="V1080" s="1140"/>
    </row>
    <row r="1081" spans="1:22" s="189" customFormat="1" ht="12.05" customHeight="1">
      <c r="A1081" s="1116"/>
      <c r="B1081" s="292">
        <v>4</v>
      </c>
      <c r="C1081" s="292">
        <v>1</v>
      </c>
      <c r="D1081" s="292">
        <v>4</v>
      </c>
      <c r="E1081" s="292" t="s">
        <v>444</v>
      </c>
      <c r="F1081" s="292" t="s">
        <v>440</v>
      </c>
      <c r="G1081" s="253" t="s">
        <v>73</v>
      </c>
      <c r="H1081" s="253"/>
      <c r="I1081" s="253"/>
      <c r="J1081" s="354">
        <v>0</v>
      </c>
      <c r="K1081" s="355">
        <v>0</v>
      </c>
      <c r="L1081" s="360">
        <v>0</v>
      </c>
      <c r="M1081" s="355">
        <v>0</v>
      </c>
      <c r="N1081" s="355">
        <f>M1081+L1081</f>
        <v>0</v>
      </c>
      <c r="O1081" s="355">
        <f t="shared" si="154"/>
        <v>0</v>
      </c>
      <c r="P1081" s="388"/>
      <c r="Q1081" s="548"/>
      <c r="R1081" s="422"/>
      <c r="S1081" s="1137"/>
      <c r="T1081" s="1137"/>
      <c r="U1081" s="1137"/>
    </row>
    <row r="1082" spans="1:22" s="189" customFormat="1" ht="12.05" customHeight="1">
      <c r="A1082" s="1116"/>
      <c r="B1082" s="292">
        <v>4</v>
      </c>
      <c r="C1082" s="292">
        <v>1</v>
      </c>
      <c r="D1082" s="292">
        <v>4</v>
      </c>
      <c r="E1082" s="292" t="s">
        <v>444</v>
      </c>
      <c r="F1082" s="292" t="s">
        <v>445</v>
      </c>
      <c r="G1082" s="253" t="s">
        <v>74</v>
      </c>
      <c r="H1082" s="253"/>
      <c r="I1082" s="253"/>
      <c r="J1082" s="354">
        <v>0</v>
      </c>
      <c r="K1082" s="355">
        <v>0</v>
      </c>
      <c r="L1082" s="360">
        <v>0</v>
      </c>
      <c r="M1082" s="355">
        <v>0</v>
      </c>
      <c r="N1082" s="355">
        <f>M1082+L1082</f>
        <v>0</v>
      </c>
      <c r="O1082" s="355">
        <f t="shared" si="154"/>
        <v>0</v>
      </c>
      <c r="P1082" s="388"/>
      <c r="Q1082" s="548"/>
      <c r="R1082" s="431"/>
      <c r="S1082" s="1141"/>
      <c r="T1082" s="1141"/>
      <c r="U1082" s="1141"/>
      <c r="V1082" s="1142"/>
    </row>
    <row r="1083" spans="1:22" s="189" customFormat="1" ht="12.05" customHeight="1">
      <c r="A1083" s="1116"/>
      <c r="B1083" s="292">
        <v>4</v>
      </c>
      <c r="C1083" s="292">
        <v>1</v>
      </c>
      <c r="D1083" s="292">
        <v>4</v>
      </c>
      <c r="E1083" s="292" t="s">
        <v>444</v>
      </c>
      <c r="F1083" s="292" t="s">
        <v>441</v>
      </c>
      <c r="G1083" s="253" t="s">
        <v>75</v>
      </c>
      <c r="H1083" s="253"/>
      <c r="I1083" s="253"/>
      <c r="J1083" s="354">
        <v>0</v>
      </c>
      <c r="K1083" s="355">
        <v>0</v>
      </c>
      <c r="L1083" s="360">
        <f>[62]PerDinas!$N$1024</f>
        <v>0</v>
      </c>
      <c r="M1083" s="355"/>
      <c r="N1083" s="369">
        <f>M1083+L1083</f>
        <v>0</v>
      </c>
      <c r="O1083" s="355">
        <f t="shared" si="154"/>
        <v>0</v>
      </c>
      <c r="P1083" s="388"/>
      <c r="Q1083" s="548"/>
      <c r="R1083" s="422"/>
      <c r="V1083" s="422"/>
    </row>
    <row r="1084" spans="1:22" s="189" customFormat="1" ht="12.05" customHeight="1">
      <c r="A1084" s="1116"/>
      <c r="B1084" s="292"/>
      <c r="C1084" s="292"/>
      <c r="D1084" s="292"/>
      <c r="E1084" s="292"/>
      <c r="F1084" s="292"/>
      <c r="G1084" s="253"/>
      <c r="H1084" s="253"/>
      <c r="I1084" s="253"/>
      <c r="J1084" s="354"/>
      <c r="K1084" s="355"/>
      <c r="L1084" s="360"/>
      <c r="M1084" s="355"/>
      <c r="N1084" s="355"/>
      <c r="O1084" s="355"/>
      <c r="P1084" s="388"/>
      <c r="Q1084" s="548"/>
      <c r="R1084" s="422"/>
    </row>
    <row r="1085" spans="1:22" s="189" customFormat="1" ht="12.05" customHeight="1">
      <c r="A1085" s="1117"/>
      <c r="B1085" s="292">
        <v>4</v>
      </c>
      <c r="C1085" s="292">
        <v>1</v>
      </c>
      <c r="D1085" s="292">
        <v>4</v>
      </c>
      <c r="E1085" s="292" t="s">
        <v>948</v>
      </c>
      <c r="F1085" s="292"/>
      <c r="G1085" s="410" t="s">
        <v>321</v>
      </c>
      <c r="H1085" s="410"/>
      <c r="I1085" s="410"/>
      <c r="J1085" s="494">
        <f t="shared" ref="J1085:M1086" si="155">+J1086</f>
        <v>0</v>
      </c>
      <c r="K1085" s="495">
        <f t="shared" si="155"/>
        <v>0</v>
      </c>
      <c r="L1085" s="513">
        <f t="shared" si="155"/>
        <v>0</v>
      </c>
      <c r="M1085" s="495">
        <f t="shared" si="155"/>
        <v>0</v>
      </c>
      <c r="N1085" s="396">
        <f>+M1085+L1085</f>
        <v>0</v>
      </c>
      <c r="O1085" s="396">
        <f>N1085-K1085</f>
        <v>0</v>
      </c>
      <c r="P1085" s="344">
        <v>0</v>
      </c>
      <c r="Q1085" s="548"/>
      <c r="R1085" s="422"/>
    </row>
    <row r="1086" spans="1:22" s="189" customFormat="1" ht="12.05" customHeight="1">
      <c r="A1086" s="1112"/>
      <c r="B1086" s="296">
        <v>4</v>
      </c>
      <c r="C1086" s="296">
        <v>1</v>
      </c>
      <c r="D1086" s="296">
        <v>4</v>
      </c>
      <c r="E1086" s="296" t="s">
        <v>948</v>
      </c>
      <c r="F1086" s="296" t="s">
        <v>437</v>
      </c>
      <c r="G1086" s="297" t="s">
        <v>85</v>
      </c>
      <c r="H1086" s="297"/>
      <c r="I1086" s="297"/>
      <c r="J1086" s="679">
        <f t="shared" si="155"/>
        <v>0</v>
      </c>
      <c r="K1086" s="691">
        <f t="shared" si="155"/>
        <v>0</v>
      </c>
      <c r="L1086" s="692">
        <f t="shared" si="155"/>
        <v>0</v>
      </c>
      <c r="M1086" s="691">
        <f t="shared" si="155"/>
        <v>0</v>
      </c>
      <c r="N1086" s="352">
        <f>M1086+L1086</f>
        <v>0</v>
      </c>
      <c r="O1086" s="352">
        <f>N1086-K1086</f>
        <v>0</v>
      </c>
      <c r="P1086" s="353">
        <v>0</v>
      </c>
      <c r="Q1086" s="548"/>
      <c r="R1086" s="422"/>
    </row>
    <row r="1087" spans="1:22" s="189" customFormat="1" ht="12.05" customHeight="1">
      <c r="A1087" s="898"/>
      <c r="B1087" s="899"/>
      <c r="C1087" s="899"/>
      <c r="D1087" s="899"/>
      <c r="E1087" s="899"/>
      <c r="F1087" s="899"/>
      <c r="G1087" s="900" t="s">
        <v>50</v>
      </c>
      <c r="H1087" s="900"/>
      <c r="I1087" s="900" t="s">
        <v>85</v>
      </c>
      <c r="J1087" s="911"/>
      <c r="K1087" s="912"/>
      <c r="L1087" s="913">
        <f>[62]PerDinas!$N$1028</f>
        <v>0</v>
      </c>
      <c r="M1087" s="912"/>
      <c r="N1087" s="914">
        <f>M1087+L1087</f>
        <v>0</v>
      </c>
      <c r="O1087" s="914">
        <f>N1087-K1087</f>
        <v>0</v>
      </c>
      <c r="P1087" s="915">
        <v>0</v>
      </c>
      <c r="Q1087" s="839"/>
      <c r="R1087" s="422"/>
    </row>
    <row r="1088" spans="1:22" s="257" customFormat="1" ht="12.05" customHeight="1">
      <c r="A1088" s="5887" t="s">
        <v>925</v>
      </c>
      <c r="B1088" s="5888"/>
      <c r="C1088" s="5888"/>
      <c r="D1088" s="5888"/>
      <c r="E1088" s="5888"/>
      <c r="F1088" s="5888"/>
      <c r="G1088" s="5888"/>
      <c r="H1088" s="5888"/>
      <c r="I1088" s="5889"/>
      <c r="J1088" s="1130" t="e">
        <f>J11</f>
        <v>#REF!</v>
      </c>
      <c r="K1088" s="1131" t="e">
        <f>K11</f>
        <v>#REF!</v>
      </c>
      <c r="L1088" s="1131" t="e">
        <f>L11</f>
        <v>#REF!</v>
      </c>
      <c r="M1088" s="1131" t="e">
        <f>M11</f>
        <v>#REF!</v>
      </c>
      <c r="N1088" s="1131" t="e">
        <f>N11</f>
        <v>#REF!</v>
      </c>
      <c r="O1088" s="1131" t="e">
        <f>N1088-K1088</f>
        <v>#REF!</v>
      </c>
      <c r="P1088" s="1132" t="e">
        <f>N1088/K1088*100</f>
        <v>#REF!</v>
      </c>
      <c r="Q1088" s="1143"/>
      <c r="R1088" s="1144"/>
    </row>
    <row r="1089" spans="1:18" s="189" customFormat="1" ht="12.05" customHeight="1">
      <c r="A1089" s="1145"/>
      <c r="B1089" s="1145"/>
      <c r="C1089" s="1145"/>
      <c r="D1089" s="1145"/>
      <c r="E1089" s="1145"/>
      <c r="F1089" s="1145"/>
      <c r="G1089" s="194"/>
      <c r="H1089" s="194"/>
      <c r="I1089" s="194"/>
      <c r="J1089" s="312"/>
      <c r="K1089" s="315"/>
      <c r="L1089" s="315"/>
      <c r="M1089" s="315"/>
      <c r="N1089" s="315"/>
      <c r="O1089" s="315"/>
      <c r="P1089" s="194"/>
      <c r="Q1089" s="194"/>
      <c r="R1089" s="422"/>
    </row>
    <row r="1090" spans="1:18" s="189" customFormat="1" ht="12.05" customHeight="1">
      <c r="A1090" s="1146" t="s">
        <v>658</v>
      </c>
      <c r="B1090" s="194"/>
      <c r="C1090" s="194"/>
      <c r="D1090" s="226"/>
      <c r="E1090" s="226"/>
      <c r="F1090" s="226"/>
      <c r="G1090" s="226"/>
      <c r="H1090" s="226"/>
      <c r="I1090" s="226"/>
      <c r="J1090" s="1148"/>
      <c r="K1090" s="313" t="s">
        <v>660</v>
      </c>
      <c r="L1090" s="1149" t="e">
        <f>NA()</f>
        <v>#N/A</v>
      </c>
      <c r="M1090" s="315"/>
      <c r="N1090" s="1150"/>
      <c r="O1090" s="316" t="s">
        <v>1075</v>
      </c>
      <c r="P1090" s="194"/>
      <c r="Q1090" s="194"/>
      <c r="R1090" s="422"/>
    </row>
    <row r="1091" spans="1:18" s="189" customFormat="1" ht="12.05" customHeight="1">
      <c r="A1091" s="194"/>
      <c r="B1091" s="194" t="s">
        <v>659</v>
      </c>
      <c r="C1091" s="194"/>
      <c r="D1091" s="226"/>
      <c r="E1091" s="226"/>
      <c r="F1091" s="226"/>
      <c r="G1091" s="226"/>
      <c r="H1091" s="226"/>
      <c r="I1091" s="226"/>
      <c r="J1091" s="1148"/>
      <c r="K1091" s="313" t="s">
        <v>927</v>
      </c>
      <c r="L1091" s="315"/>
      <c r="M1091" s="315"/>
      <c r="N1091" s="315"/>
      <c r="O1091" s="313" t="s">
        <v>928</v>
      </c>
      <c r="P1091" s="194"/>
      <c r="Q1091" s="194"/>
      <c r="R1091" s="422"/>
    </row>
    <row r="1092" spans="1:18" s="189" customFormat="1" ht="12.05" customHeight="1">
      <c r="A1092" s="194"/>
      <c r="B1092" s="194" t="s">
        <v>662</v>
      </c>
      <c r="C1092" s="194"/>
      <c r="D1092" s="226"/>
      <c r="E1092" s="226"/>
      <c r="F1092" s="226"/>
      <c r="G1092" s="226"/>
      <c r="H1092" s="226"/>
      <c r="I1092" s="226"/>
      <c r="J1092" s="1148"/>
      <c r="K1092" s="313" t="s">
        <v>929</v>
      </c>
      <c r="L1092" s="315"/>
      <c r="M1092" s="1151"/>
      <c r="N1092" s="315"/>
      <c r="O1092" s="313"/>
      <c r="P1092" s="194"/>
      <c r="Q1092" s="194"/>
      <c r="R1092" s="422"/>
    </row>
    <row r="1093" spans="1:18" s="189" customFormat="1" ht="12.05" customHeight="1">
      <c r="A1093" s="194"/>
      <c r="B1093" s="194" t="s">
        <v>664</v>
      </c>
      <c r="C1093" s="194"/>
      <c r="D1093" s="226"/>
      <c r="E1093" s="226"/>
      <c r="F1093" s="226"/>
      <c r="G1093" s="226"/>
      <c r="H1093" s="226"/>
      <c r="I1093" s="226"/>
      <c r="J1093" s="1148"/>
      <c r="K1093" s="313"/>
      <c r="L1093" s="315"/>
      <c r="M1093" s="1151"/>
      <c r="N1093" s="315"/>
      <c r="O1093" s="313"/>
      <c r="P1093" s="194"/>
      <c r="Q1093" s="194"/>
      <c r="R1093" s="422"/>
    </row>
    <row r="1094" spans="1:18" s="189" customFormat="1" ht="12.05" customHeight="1">
      <c r="A1094" s="194"/>
      <c r="B1094" s="194"/>
      <c r="C1094" s="194"/>
      <c r="D1094" s="226"/>
      <c r="E1094" s="226"/>
      <c r="F1094" s="226"/>
      <c r="G1094" s="226"/>
      <c r="H1094" s="226"/>
      <c r="I1094" s="226"/>
      <c r="J1094" s="1148"/>
      <c r="K1094" s="313"/>
      <c r="L1094" s="315"/>
      <c r="M1094" s="1151"/>
      <c r="N1094" s="315"/>
      <c r="O1094" s="313"/>
      <c r="P1094" s="194"/>
      <c r="Q1094" s="194"/>
      <c r="R1094" s="422"/>
    </row>
    <row r="1095" spans="1:18" s="189" customFormat="1" ht="12.05" customHeight="1">
      <c r="A1095" s="194"/>
      <c r="B1095" s="194"/>
      <c r="C1095" s="194"/>
      <c r="D1095" s="226"/>
      <c r="E1095" s="226"/>
      <c r="F1095" s="226"/>
      <c r="G1095" s="226"/>
      <c r="H1095" s="226"/>
      <c r="I1095" s="226"/>
      <c r="J1095" s="1148"/>
      <c r="K1095" s="313"/>
      <c r="L1095" s="315"/>
      <c r="M1095" s="1152"/>
      <c r="N1095" s="315"/>
      <c r="O1095" s="313"/>
      <c r="P1095" s="194"/>
      <c r="Q1095" s="194"/>
      <c r="R1095" s="422"/>
    </row>
    <row r="1096" spans="1:18" s="189" customFormat="1" ht="12.05" customHeight="1">
      <c r="A1096" s="194"/>
      <c r="B1096" s="194"/>
      <c r="C1096" s="194"/>
      <c r="D1096" s="226"/>
      <c r="E1096" s="226"/>
      <c r="F1096" s="226"/>
      <c r="G1096" s="226"/>
      <c r="H1096" s="226"/>
      <c r="I1096" s="226"/>
      <c r="J1096" s="1148"/>
      <c r="K1096" s="1153" t="s">
        <v>930</v>
      </c>
      <c r="L1096" s="315"/>
      <c r="M1096" s="1152"/>
      <c r="N1096" s="315"/>
      <c r="O1096" s="1154" t="s">
        <v>1030</v>
      </c>
      <c r="P1096" s="194"/>
      <c r="Q1096" s="194"/>
      <c r="R1096" s="422"/>
    </row>
    <row r="1097" spans="1:18" s="189" customFormat="1" ht="12.05" customHeight="1">
      <c r="A1097" s="194"/>
      <c r="B1097" s="194"/>
      <c r="C1097" s="194"/>
      <c r="D1097" s="194"/>
      <c r="E1097" s="194"/>
      <c r="F1097" s="194"/>
      <c r="G1097" s="194"/>
      <c r="H1097" s="194"/>
      <c r="I1097" s="1155"/>
      <c r="J1097" s="312"/>
      <c r="K1097" s="313" t="s">
        <v>932</v>
      </c>
      <c r="L1097" s="315"/>
      <c r="M1097" s="315"/>
      <c r="N1097" s="315"/>
      <c r="O1097" s="226" t="s">
        <v>1032</v>
      </c>
      <c r="P1097" s="194"/>
      <c r="Q1097" s="194"/>
      <c r="R1097" s="422"/>
    </row>
    <row r="1098" spans="1:18" s="189" customFormat="1" ht="13.5" customHeight="1">
      <c r="A1098" s="1147"/>
      <c r="B1098" s="1147"/>
      <c r="C1098" s="1147"/>
      <c r="D1098" s="1147"/>
      <c r="E1098" s="1147"/>
      <c r="F1098" s="1147"/>
      <c r="J1098" s="260"/>
      <c r="R1098" s="422"/>
    </row>
    <row r="1099" spans="1:18" s="189" customFormat="1" ht="13.5" customHeight="1">
      <c r="A1099" s="1147"/>
      <c r="B1099" s="1147"/>
      <c r="C1099" s="1147"/>
      <c r="D1099" s="1147"/>
      <c r="E1099" s="1147"/>
      <c r="F1099" s="1147"/>
      <c r="J1099" s="260"/>
      <c r="R1099" s="422"/>
    </row>
    <row r="1100" spans="1:18" ht="13.5" customHeight="1">
      <c r="A1100" s="1147"/>
      <c r="B1100" s="1147"/>
      <c r="C1100" s="1147"/>
      <c r="D1100" s="1147"/>
      <c r="E1100" s="1147"/>
      <c r="F1100" s="1147"/>
      <c r="G1100" s="189"/>
      <c r="H1100" s="189"/>
      <c r="I1100" s="189"/>
      <c r="L1100" s="189"/>
      <c r="M1100" s="189"/>
      <c r="N1100" s="189"/>
      <c r="O1100" s="189"/>
      <c r="P1100" s="189"/>
      <c r="Q1100" s="189"/>
    </row>
    <row r="1101" spans="1:18" ht="13.5" customHeight="1">
      <c r="A1101" s="1147"/>
      <c r="B1101" s="1147"/>
      <c r="C1101" s="1147"/>
      <c r="D1101" s="1147"/>
      <c r="E1101" s="1147"/>
      <c r="F1101" s="1147"/>
      <c r="G1101" s="189"/>
      <c r="H1101" s="189"/>
      <c r="I1101" s="189"/>
      <c r="L1101" s="189"/>
      <c r="M1101" s="189"/>
      <c r="N1101" s="189"/>
      <c r="O1101" s="189"/>
      <c r="P1101" s="189"/>
      <c r="Q1101" s="189"/>
    </row>
    <row r="1102" spans="1:18" ht="13.5" customHeight="1">
      <c r="A1102" s="1147"/>
      <c r="B1102" s="1147"/>
      <c r="C1102" s="1147"/>
      <c r="D1102" s="1147"/>
      <c r="E1102" s="1147"/>
      <c r="F1102" s="1147"/>
      <c r="G1102" s="189"/>
      <c r="H1102" s="189"/>
      <c r="I1102" s="189"/>
      <c r="K1102" s="190"/>
      <c r="L1102" s="1156"/>
      <c r="M1102" s="189"/>
      <c r="N1102" s="189"/>
      <c r="O1102" s="189"/>
      <c r="P1102" s="189"/>
      <c r="Q1102" s="189"/>
    </row>
    <row r="1103" spans="1:18" ht="13.5" customHeight="1">
      <c r="A1103" s="1147"/>
      <c r="B1103" s="1147"/>
      <c r="C1103" s="1147"/>
      <c r="D1103" s="1147"/>
      <c r="E1103" s="1147"/>
      <c r="F1103" s="1147"/>
      <c r="G1103" s="189"/>
      <c r="H1103" s="189"/>
      <c r="I1103" s="189"/>
      <c r="L1103" s="189"/>
      <c r="M1103" s="189"/>
      <c r="N1103" s="189"/>
      <c r="O1103" s="189"/>
      <c r="P1103" s="189"/>
      <c r="Q1103" s="189"/>
    </row>
    <row r="1104" spans="1:18" ht="13.5" customHeight="1">
      <c r="A1104" s="1147"/>
      <c r="B1104" s="1147"/>
      <c r="C1104" s="1147"/>
      <c r="D1104" s="1147"/>
      <c r="E1104" s="1147"/>
      <c r="F1104" s="1147"/>
      <c r="G1104" s="189"/>
      <c r="H1104" s="189"/>
      <c r="I1104" s="189"/>
      <c r="L1104" s="189"/>
      <c r="M1104" s="189"/>
      <c r="N1104" s="189"/>
      <c r="O1104" s="189"/>
      <c r="P1104" s="189"/>
      <c r="Q1104" s="189"/>
    </row>
    <row r="1105" spans="1:17" ht="13.5" customHeight="1">
      <c r="A1105" s="1147"/>
      <c r="B1105" s="1147"/>
      <c r="C1105" s="1147"/>
      <c r="D1105" s="1147"/>
      <c r="E1105" s="1147"/>
      <c r="F1105" s="1147"/>
      <c r="G1105" s="189"/>
      <c r="H1105" s="189"/>
      <c r="I1105" s="189"/>
      <c r="L1105" s="189"/>
      <c r="M1105" s="189"/>
      <c r="N1105" s="189"/>
      <c r="O1105" s="189"/>
      <c r="P1105" s="189"/>
      <c r="Q1105" s="189"/>
    </row>
    <row r="1106" spans="1:17" ht="13.5" customHeight="1">
      <c r="A1106" s="1147"/>
      <c r="B1106" s="1147"/>
      <c r="C1106" s="1147"/>
      <c r="D1106" s="1147"/>
      <c r="E1106" s="1147"/>
      <c r="F1106" s="1147"/>
      <c r="G1106" s="189"/>
      <c r="H1106" s="189"/>
      <c r="I1106" s="189"/>
      <c r="L1106" s="189"/>
      <c r="M1106" s="189"/>
      <c r="N1106" s="189"/>
      <c r="O1106" s="189"/>
      <c r="P1106" s="189"/>
      <c r="Q1106" s="189"/>
    </row>
    <row r="1107" spans="1:17" ht="13.5" customHeight="1">
      <c r="A1107" s="1147"/>
      <c r="B1107" s="1147"/>
      <c r="C1107" s="1147"/>
      <c r="D1107" s="1147"/>
      <c r="E1107" s="1147"/>
      <c r="F1107" s="1147"/>
      <c r="G1107" s="189"/>
      <c r="H1107" s="189"/>
      <c r="I1107" s="189"/>
      <c r="L1107" s="189"/>
      <c r="M1107" s="189"/>
      <c r="N1107" s="189"/>
      <c r="O1107" s="189"/>
      <c r="P1107" s="189"/>
      <c r="Q1107" s="189"/>
    </row>
    <row r="1108" spans="1:17" ht="13.5" customHeight="1">
      <c r="A1108" s="1147"/>
      <c r="B1108" s="1147"/>
      <c r="C1108" s="1147"/>
      <c r="D1108" s="1147"/>
      <c r="E1108" s="1147"/>
      <c r="F1108" s="1147"/>
      <c r="G1108" s="189"/>
      <c r="H1108" s="189"/>
      <c r="I1108" s="189"/>
      <c r="L1108" s="189"/>
      <c r="M1108" s="189"/>
      <c r="N1108" s="189"/>
      <c r="O1108" s="189"/>
      <c r="P1108" s="189"/>
      <c r="Q1108" s="189"/>
    </row>
    <row r="1109" spans="1:17" ht="13.5" customHeight="1">
      <c r="A1109" s="1147"/>
      <c r="B1109" s="1147"/>
      <c r="C1109" s="1147"/>
      <c r="D1109" s="1147"/>
      <c r="E1109" s="1147"/>
      <c r="F1109" s="1147"/>
      <c r="G1109" s="189"/>
      <c r="H1109" s="189"/>
      <c r="I1109" s="189"/>
      <c r="L1109" s="189"/>
      <c r="M1109" s="189"/>
      <c r="N1109" s="189"/>
      <c r="O1109" s="189"/>
      <c r="P1109" s="189"/>
      <c r="Q1109" s="189"/>
    </row>
    <row r="1110" spans="1:17" ht="13.5" customHeight="1">
      <c r="A1110" s="1147"/>
      <c r="B1110" s="1147"/>
      <c r="C1110" s="1147"/>
      <c r="D1110" s="1147"/>
      <c r="E1110" s="1147"/>
      <c r="F1110" s="1147"/>
      <c r="G1110" s="189"/>
      <c r="H1110" s="189"/>
      <c r="I1110" s="189"/>
      <c r="L1110" s="189"/>
      <c r="M1110" s="189"/>
      <c r="N1110" s="189"/>
      <c r="O1110" s="189"/>
      <c r="P1110" s="189"/>
      <c r="Q1110" s="189"/>
    </row>
    <row r="1111" spans="1:17" ht="13.5" customHeight="1">
      <c r="A1111" s="1147"/>
      <c r="B1111" s="1147"/>
      <c r="C1111" s="1147"/>
      <c r="D1111" s="1147"/>
      <c r="E1111" s="1147"/>
      <c r="F1111" s="1147"/>
      <c r="G1111" s="189"/>
      <c r="H1111" s="189"/>
      <c r="I1111" s="189"/>
      <c r="L1111" s="189"/>
      <c r="M1111" s="189"/>
      <c r="N1111" s="189"/>
      <c r="O1111" s="189"/>
      <c r="P1111" s="189"/>
      <c r="Q1111" s="189"/>
    </row>
    <row r="1112" spans="1:17" ht="13.5" customHeight="1">
      <c r="A1112" s="1147"/>
      <c r="B1112" s="1147"/>
      <c r="C1112" s="1147"/>
      <c r="D1112" s="1147"/>
      <c r="E1112" s="1147"/>
      <c r="F1112" s="1147"/>
      <c r="G1112" s="189"/>
      <c r="H1112" s="189"/>
      <c r="I1112" s="189"/>
      <c r="L1112" s="189"/>
      <c r="M1112" s="189"/>
      <c r="N1112" s="189"/>
      <c r="O1112" s="189"/>
      <c r="P1112" s="189"/>
      <c r="Q1112" s="189"/>
    </row>
    <row r="1113" spans="1:17" ht="13.5" customHeight="1">
      <c r="A1113" s="1147"/>
      <c r="B1113" s="1147"/>
      <c r="C1113" s="1147"/>
      <c r="D1113" s="1147"/>
      <c r="E1113" s="1147"/>
      <c r="F1113" s="1147"/>
      <c r="G1113" s="189"/>
      <c r="H1113" s="189"/>
      <c r="I1113" s="189"/>
      <c r="L1113" s="189"/>
      <c r="M1113" s="189"/>
      <c r="N1113" s="189"/>
      <c r="O1113" s="189"/>
      <c r="P1113" s="189"/>
      <c r="Q1113" s="189"/>
    </row>
    <row r="1114" spans="1:17" ht="13.5" customHeight="1">
      <c r="A1114" s="1147"/>
      <c r="B1114" s="1147"/>
      <c r="C1114" s="1147"/>
      <c r="D1114" s="1147"/>
      <c r="E1114" s="1147"/>
      <c r="F1114" s="1147"/>
      <c r="G1114" s="189"/>
      <c r="H1114" s="189"/>
      <c r="I1114" s="189"/>
      <c r="L1114" s="189"/>
      <c r="M1114" s="189"/>
      <c r="N1114" s="189"/>
      <c r="O1114" s="189"/>
      <c r="P1114" s="189"/>
      <c r="Q1114" s="189"/>
    </row>
    <row r="1115" spans="1:17" ht="13.5" customHeight="1">
      <c r="A1115" s="1147"/>
      <c r="B1115" s="1147"/>
      <c r="C1115" s="1147"/>
      <c r="D1115" s="1147"/>
      <c r="E1115" s="1147"/>
      <c r="F1115" s="1147"/>
      <c r="G1115" s="189"/>
      <c r="H1115" s="189"/>
      <c r="I1115" s="189"/>
      <c r="L1115" s="189"/>
      <c r="M1115" s="189"/>
      <c r="N1115" s="189"/>
      <c r="O1115" s="189"/>
      <c r="P1115" s="189"/>
      <c r="Q1115" s="189"/>
    </row>
    <row r="1116" spans="1:17" ht="13.5" customHeight="1">
      <c r="A1116" s="1147"/>
      <c r="B1116" s="1147"/>
      <c r="C1116" s="1147"/>
      <c r="D1116" s="1147"/>
      <c r="E1116" s="1147"/>
      <c r="F1116" s="1147"/>
      <c r="G1116" s="189"/>
      <c r="H1116" s="189"/>
      <c r="I1116" s="189"/>
      <c r="L1116" s="189"/>
      <c r="M1116" s="189"/>
      <c r="N1116" s="189"/>
      <c r="O1116" s="189"/>
      <c r="P1116" s="189"/>
      <c r="Q1116" s="189"/>
    </row>
    <row r="1117" spans="1:17" ht="13.5" customHeight="1">
      <c r="A1117" s="1147"/>
      <c r="B1117" s="1147"/>
      <c r="C1117" s="1147"/>
      <c r="D1117" s="1147"/>
      <c r="E1117" s="1147"/>
      <c r="F1117" s="1147"/>
      <c r="G1117" s="189"/>
      <c r="H1117" s="189"/>
      <c r="I1117" s="189"/>
      <c r="L1117" s="189"/>
      <c r="M1117" s="189"/>
      <c r="N1117" s="189"/>
      <c r="O1117" s="189"/>
      <c r="P1117" s="189"/>
      <c r="Q1117" s="189"/>
    </row>
    <row r="1118" spans="1:17" ht="13.5" customHeight="1">
      <c r="A1118" s="1147"/>
      <c r="B1118" s="1147"/>
      <c r="C1118" s="1147"/>
      <c r="D1118" s="1147"/>
      <c r="E1118" s="1147"/>
      <c r="F1118" s="1147"/>
      <c r="G1118" s="189"/>
      <c r="H1118" s="189"/>
      <c r="I1118" s="189"/>
      <c r="L1118" s="189"/>
      <c r="M1118" s="189"/>
      <c r="N1118" s="189"/>
      <c r="O1118" s="189"/>
      <c r="P1118" s="189"/>
      <c r="Q1118" s="189"/>
    </row>
    <row r="1119" spans="1:17" ht="13.5" customHeight="1">
      <c r="A1119" s="1147"/>
      <c r="B1119" s="1147"/>
      <c r="C1119" s="1147"/>
      <c r="D1119" s="1147"/>
      <c r="E1119" s="1147"/>
      <c r="F1119" s="1147"/>
      <c r="G1119" s="189"/>
      <c r="H1119" s="189"/>
      <c r="I1119" s="189"/>
      <c r="L1119" s="189"/>
      <c r="M1119" s="189"/>
      <c r="N1119" s="189"/>
      <c r="O1119" s="189"/>
      <c r="P1119" s="189"/>
      <c r="Q1119" s="189"/>
    </row>
    <row r="1120" spans="1:17" ht="13.5" customHeight="1">
      <c r="A1120" s="1147"/>
      <c r="B1120" s="1147"/>
      <c r="C1120" s="1147"/>
      <c r="D1120" s="1147"/>
      <c r="E1120" s="1147"/>
      <c r="F1120" s="1147"/>
      <c r="G1120" s="189"/>
      <c r="H1120" s="189"/>
      <c r="I1120" s="189"/>
      <c r="L1120" s="189"/>
      <c r="M1120" s="189"/>
      <c r="N1120" s="189"/>
      <c r="O1120" s="189"/>
      <c r="P1120" s="189"/>
      <c r="Q1120" s="189"/>
    </row>
    <row r="1121" spans="1:17" ht="13.5" customHeight="1">
      <c r="A1121" s="1147"/>
      <c r="B1121" s="1147"/>
      <c r="C1121" s="1147"/>
      <c r="D1121" s="1147"/>
      <c r="E1121" s="1147"/>
      <c r="F1121" s="1147"/>
      <c r="G1121" s="189"/>
      <c r="H1121" s="189"/>
      <c r="I1121" s="189"/>
      <c r="L1121" s="189"/>
      <c r="M1121" s="189"/>
      <c r="N1121" s="189"/>
      <c r="O1121" s="189"/>
      <c r="P1121" s="189"/>
      <c r="Q1121" s="189"/>
    </row>
    <row r="1122" spans="1:17" ht="13.5" customHeight="1">
      <c r="A1122" s="1147"/>
      <c r="B1122" s="1147"/>
      <c r="C1122" s="1147"/>
      <c r="D1122" s="1147"/>
      <c r="E1122" s="1147"/>
      <c r="F1122" s="1147"/>
      <c r="G1122" s="189"/>
      <c r="H1122" s="189"/>
      <c r="I1122" s="189"/>
      <c r="L1122" s="189"/>
      <c r="M1122" s="189"/>
      <c r="N1122" s="189"/>
      <c r="O1122" s="189"/>
      <c r="P1122" s="189"/>
      <c r="Q1122" s="189"/>
    </row>
    <row r="1123" spans="1:17" ht="13.5" customHeight="1">
      <c r="A1123" s="1147"/>
      <c r="B1123" s="1147"/>
      <c r="C1123" s="1147"/>
      <c r="D1123" s="1147"/>
      <c r="E1123" s="1147"/>
      <c r="F1123" s="1147"/>
      <c r="G1123" s="189"/>
      <c r="H1123" s="189"/>
      <c r="I1123" s="189"/>
      <c r="L1123" s="189"/>
      <c r="M1123" s="189"/>
      <c r="N1123" s="189"/>
      <c r="O1123" s="189"/>
      <c r="P1123" s="189"/>
      <c r="Q1123" s="189"/>
    </row>
    <row r="1124" spans="1:17" ht="13.5" customHeight="1">
      <c r="A1124" s="1147"/>
      <c r="B1124" s="1147"/>
      <c r="C1124" s="1147"/>
      <c r="D1124" s="1147"/>
      <c r="E1124" s="1147"/>
      <c r="F1124" s="1147"/>
      <c r="G1124" s="189"/>
      <c r="H1124" s="189"/>
      <c r="I1124" s="189"/>
      <c r="L1124" s="189"/>
      <c r="M1124" s="189"/>
      <c r="N1124" s="189"/>
      <c r="O1124" s="189"/>
      <c r="P1124" s="189"/>
      <c r="Q1124" s="189"/>
    </row>
    <row r="1125" spans="1:17" ht="13.5" customHeight="1">
      <c r="A1125" s="1147"/>
      <c r="B1125" s="1147"/>
      <c r="C1125" s="1147"/>
      <c r="D1125" s="1147"/>
      <c r="E1125" s="1147"/>
      <c r="F1125" s="1147"/>
      <c r="G1125" s="189"/>
      <c r="H1125" s="189"/>
      <c r="I1125" s="189"/>
      <c r="L1125" s="189"/>
      <c r="M1125" s="189"/>
      <c r="N1125" s="189"/>
      <c r="O1125" s="189"/>
      <c r="P1125" s="189"/>
      <c r="Q1125" s="189"/>
    </row>
    <row r="1126" spans="1:17" ht="13.5" customHeight="1">
      <c r="A1126" s="1147"/>
      <c r="B1126" s="1147"/>
      <c r="C1126" s="1147"/>
      <c r="D1126" s="1147"/>
      <c r="E1126" s="1147"/>
      <c r="F1126" s="1147"/>
      <c r="G1126" s="189"/>
      <c r="H1126" s="189"/>
      <c r="I1126" s="189"/>
      <c r="L1126" s="189"/>
      <c r="M1126" s="189"/>
      <c r="N1126" s="189"/>
      <c r="O1126" s="189"/>
      <c r="P1126" s="189"/>
      <c r="Q1126" s="189"/>
    </row>
    <row r="1127" spans="1:17" ht="13.5" customHeight="1">
      <c r="A1127" s="1147"/>
      <c r="B1127" s="1147"/>
      <c r="C1127" s="1147"/>
      <c r="D1127" s="1147"/>
      <c r="E1127" s="1147"/>
      <c r="F1127" s="1147"/>
      <c r="G1127" s="189"/>
      <c r="H1127" s="189"/>
      <c r="I1127" s="189"/>
      <c r="L1127" s="189"/>
      <c r="M1127" s="189"/>
      <c r="N1127" s="189"/>
      <c r="O1127" s="189"/>
      <c r="P1127" s="189"/>
      <c r="Q1127" s="189"/>
    </row>
    <row r="1128" spans="1:17" ht="13.5" customHeight="1">
      <c r="A1128" s="1147"/>
      <c r="B1128" s="1147"/>
      <c r="C1128" s="1147"/>
      <c r="D1128" s="1147"/>
      <c r="E1128" s="1147"/>
      <c r="F1128" s="1147"/>
      <c r="G1128" s="189"/>
      <c r="H1128" s="189"/>
      <c r="I1128" s="189"/>
      <c r="L1128" s="189"/>
      <c r="M1128" s="189"/>
      <c r="N1128" s="189"/>
      <c r="O1128" s="189"/>
      <c r="P1128" s="189"/>
      <c r="Q1128" s="189"/>
    </row>
    <row r="1129" spans="1:17" ht="13.5" customHeight="1">
      <c r="A1129" s="1147"/>
      <c r="B1129" s="1147"/>
      <c r="C1129" s="1147"/>
      <c r="D1129" s="1147"/>
      <c r="E1129" s="1147"/>
      <c r="F1129" s="1147"/>
      <c r="G1129" s="189"/>
      <c r="H1129" s="189"/>
      <c r="I1129" s="189"/>
      <c r="L1129" s="189"/>
      <c r="M1129" s="189"/>
      <c r="N1129" s="189"/>
      <c r="O1129" s="189"/>
      <c r="P1129" s="189"/>
      <c r="Q1129" s="189"/>
    </row>
    <row r="1130" spans="1:17" ht="13.5" customHeight="1">
      <c r="A1130" s="1147"/>
      <c r="B1130" s="1147"/>
      <c r="C1130" s="1147"/>
      <c r="D1130" s="1147"/>
      <c r="E1130" s="1147"/>
      <c r="F1130" s="1147"/>
      <c r="G1130" s="189"/>
      <c r="H1130" s="189"/>
      <c r="I1130" s="189"/>
      <c r="L1130" s="189"/>
      <c r="M1130" s="189"/>
      <c r="N1130" s="189"/>
      <c r="O1130" s="189"/>
      <c r="P1130" s="189"/>
      <c r="Q1130" s="189"/>
    </row>
    <row r="1131" spans="1:17" ht="13.5" customHeight="1">
      <c r="A1131" s="1147"/>
      <c r="B1131" s="1147"/>
      <c r="C1131" s="1147"/>
      <c r="D1131" s="1147"/>
      <c r="E1131" s="1147"/>
      <c r="F1131" s="1147"/>
      <c r="G1131" s="189"/>
      <c r="H1131" s="189"/>
      <c r="I1131" s="189"/>
      <c r="L1131" s="189"/>
      <c r="M1131" s="189"/>
      <c r="N1131" s="189"/>
      <c r="O1131" s="189"/>
      <c r="P1131" s="189"/>
      <c r="Q1131" s="189"/>
    </row>
    <row r="1132" spans="1:17" ht="13.5" customHeight="1">
      <c r="A1132" s="1147"/>
      <c r="B1132" s="1147"/>
      <c r="C1132" s="1147"/>
      <c r="D1132" s="1147"/>
      <c r="E1132" s="1147"/>
      <c r="F1132" s="1147"/>
      <c r="G1132" s="189"/>
      <c r="H1132" s="189"/>
      <c r="I1132" s="189"/>
      <c r="L1132" s="189"/>
      <c r="M1132" s="189"/>
      <c r="N1132" s="189"/>
      <c r="O1132" s="189"/>
      <c r="P1132" s="189"/>
      <c r="Q1132" s="189"/>
    </row>
    <row r="1133" spans="1:17" ht="13.5" customHeight="1">
      <c r="A1133" s="1147"/>
      <c r="B1133" s="1147"/>
      <c r="C1133" s="1147"/>
      <c r="D1133" s="1147"/>
      <c r="E1133" s="1147"/>
      <c r="F1133" s="1147"/>
      <c r="G1133" s="189"/>
      <c r="H1133" s="189"/>
      <c r="I1133" s="189"/>
      <c r="L1133" s="189"/>
      <c r="M1133" s="189"/>
      <c r="N1133" s="189"/>
      <c r="O1133" s="189"/>
      <c r="P1133" s="189"/>
      <c r="Q1133" s="189"/>
    </row>
    <row r="1134" spans="1:17" ht="13.5" customHeight="1">
      <c r="A1134" s="1147"/>
      <c r="B1134" s="1147"/>
      <c r="C1134" s="1147"/>
      <c r="D1134" s="1147"/>
      <c r="E1134" s="1147"/>
      <c r="F1134" s="1147"/>
      <c r="G1134" s="189"/>
      <c r="H1134" s="189"/>
      <c r="I1134" s="189"/>
      <c r="L1134" s="189"/>
      <c r="M1134" s="189"/>
      <c r="N1134" s="189"/>
      <c r="O1134" s="189"/>
      <c r="P1134" s="189"/>
      <c r="Q1134" s="189"/>
    </row>
    <row r="1135" spans="1:17" ht="13.5" customHeight="1">
      <c r="A1135" s="1147"/>
      <c r="B1135" s="1147"/>
      <c r="C1135" s="1147"/>
      <c r="D1135" s="1147"/>
      <c r="E1135" s="1147"/>
      <c r="F1135" s="1147"/>
      <c r="G1135" s="189"/>
      <c r="H1135" s="189"/>
      <c r="I1135" s="189"/>
      <c r="L1135" s="189"/>
      <c r="M1135" s="189"/>
      <c r="N1135" s="189"/>
      <c r="O1135" s="189"/>
      <c r="P1135" s="189"/>
      <c r="Q1135" s="189"/>
    </row>
    <row r="1136" spans="1:17" ht="13.5" customHeight="1">
      <c r="A1136" s="1147"/>
      <c r="B1136" s="1147"/>
      <c r="C1136" s="1147"/>
      <c r="D1136" s="1147"/>
      <c r="E1136" s="1147"/>
      <c r="F1136" s="1147"/>
      <c r="G1136" s="189"/>
      <c r="H1136" s="189"/>
      <c r="I1136" s="189"/>
      <c r="L1136" s="189"/>
      <c r="M1136" s="189"/>
      <c r="N1136" s="189"/>
      <c r="O1136" s="189"/>
      <c r="P1136" s="189"/>
      <c r="Q1136" s="189"/>
    </row>
    <row r="1137" spans="1:17" ht="13.5" customHeight="1">
      <c r="A1137" s="1147"/>
      <c r="B1137" s="1147"/>
      <c r="C1137" s="1147"/>
      <c r="D1137" s="1147"/>
      <c r="E1137" s="1147"/>
      <c r="F1137" s="1147"/>
      <c r="G1137" s="189"/>
      <c r="H1137" s="189"/>
      <c r="I1137" s="189"/>
      <c r="L1137" s="189"/>
      <c r="M1137" s="189"/>
      <c r="N1137" s="189"/>
      <c r="O1137" s="189"/>
      <c r="P1137" s="189"/>
      <c r="Q1137" s="189"/>
    </row>
    <row r="1138" spans="1:17" ht="13.5" customHeight="1">
      <c r="A1138" s="1147"/>
      <c r="B1138" s="1147"/>
      <c r="C1138" s="1147"/>
      <c r="D1138" s="1147"/>
      <c r="E1138" s="1147"/>
      <c r="F1138" s="1147"/>
      <c r="G1138" s="189"/>
      <c r="H1138" s="189"/>
      <c r="I1138" s="189"/>
      <c r="L1138" s="189"/>
      <c r="M1138" s="189"/>
      <c r="N1138" s="189"/>
      <c r="O1138" s="189"/>
      <c r="P1138" s="189"/>
      <c r="Q1138" s="189"/>
    </row>
    <row r="1139" spans="1:17" ht="13.5" customHeight="1">
      <c r="A1139" s="1147"/>
      <c r="B1139" s="1147"/>
      <c r="C1139" s="1147"/>
      <c r="D1139" s="1147"/>
      <c r="E1139" s="1147"/>
      <c r="F1139" s="1147"/>
      <c r="G1139" s="189"/>
      <c r="H1139" s="189"/>
      <c r="I1139" s="189"/>
      <c r="L1139" s="189"/>
      <c r="M1139" s="189"/>
      <c r="N1139" s="189"/>
      <c r="O1139" s="189"/>
      <c r="P1139" s="189"/>
      <c r="Q1139" s="189"/>
    </row>
    <row r="1140" spans="1:17" ht="13.5" customHeight="1">
      <c r="A1140" s="1147"/>
      <c r="B1140" s="1147"/>
      <c r="C1140" s="1147"/>
      <c r="D1140" s="1147"/>
      <c r="E1140" s="1147"/>
      <c r="F1140" s="1147"/>
      <c r="G1140" s="189"/>
      <c r="H1140" s="189"/>
      <c r="I1140" s="189"/>
      <c r="L1140" s="189"/>
      <c r="M1140" s="189"/>
      <c r="N1140" s="189"/>
      <c r="O1140" s="189"/>
      <c r="P1140" s="189"/>
      <c r="Q1140" s="189"/>
    </row>
    <row r="1141" spans="1:17" ht="13.5" customHeight="1">
      <c r="A1141" s="1147"/>
      <c r="B1141" s="1147"/>
      <c r="C1141" s="1147"/>
      <c r="D1141" s="1147"/>
      <c r="E1141" s="1147"/>
      <c r="F1141" s="1147"/>
      <c r="G1141" s="189"/>
      <c r="H1141" s="189"/>
      <c r="I1141" s="189"/>
      <c r="L1141" s="189"/>
      <c r="M1141" s="189"/>
      <c r="N1141" s="189"/>
      <c r="O1141" s="189"/>
      <c r="P1141" s="189"/>
      <c r="Q1141" s="189"/>
    </row>
    <row r="1142" spans="1:17" ht="13.5" customHeight="1">
      <c r="A1142" s="1147"/>
      <c r="B1142" s="1147"/>
      <c r="C1142" s="1147"/>
      <c r="D1142" s="1147"/>
      <c r="E1142" s="1147"/>
      <c r="F1142" s="1147"/>
      <c r="G1142" s="189"/>
      <c r="H1142" s="189"/>
      <c r="I1142" s="189"/>
      <c r="L1142" s="189"/>
      <c r="M1142" s="189"/>
      <c r="N1142" s="189"/>
      <c r="O1142" s="189"/>
      <c r="P1142" s="189"/>
      <c r="Q1142" s="189"/>
    </row>
    <row r="1143" spans="1:17" ht="13.5" customHeight="1">
      <c r="A1143" s="1147"/>
      <c r="B1143" s="1147"/>
      <c r="C1143" s="1147"/>
      <c r="D1143" s="1147"/>
      <c r="E1143" s="1147"/>
      <c r="F1143" s="1147"/>
      <c r="G1143" s="189"/>
      <c r="H1143" s="189"/>
      <c r="I1143" s="189"/>
      <c r="L1143" s="189"/>
      <c r="M1143" s="189"/>
      <c r="N1143" s="189"/>
      <c r="O1143" s="189"/>
      <c r="P1143" s="189"/>
      <c r="Q1143" s="189"/>
    </row>
    <row r="1144" spans="1:17" ht="13.5" customHeight="1">
      <c r="A1144" s="1147"/>
      <c r="B1144" s="1147"/>
      <c r="C1144" s="1147"/>
      <c r="D1144" s="1147"/>
      <c r="E1144" s="1147"/>
      <c r="F1144" s="1147"/>
      <c r="G1144" s="189"/>
      <c r="H1144" s="189"/>
      <c r="I1144" s="189"/>
      <c r="L1144" s="189"/>
      <c r="M1144" s="189"/>
      <c r="N1144" s="189"/>
      <c r="O1144" s="189"/>
      <c r="P1144" s="189"/>
      <c r="Q1144" s="189"/>
    </row>
    <row r="1145" spans="1:17" ht="13.5" customHeight="1">
      <c r="A1145" s="1147"/>
      <c r="B1145" s="1147"/>
      <c r="C1145" s="1147"/>
      <c r="D1145" s="1147"/>
      <c r="E1145" s="1147"/>
      <c r="F1145" s="1147"/>
      <c r="G1145" s="189"/>
      <c r="H1145" s="189"/>
      <c r="I1145" s="189"/>
      <c r="L1145" s="189"/>
      <c r="M1145" s="189"/>
      <c r="N1145" s="189"/>
      <c r="O1145" s="189"/>
      <c r="P1145" s="189"/>
      <c r="Q1145" s="189"/>
    </row>
    <row r="1146" spans="1:17" ht="13.5" customHeight="1">
      <c r="A1146" s="1147"/>
      <c r="B1146" s="1147"/>
      <c r="C1146" s="1147"/>
      <c r="D1146" s="1147"/>
      <c r="E1146" s="1147"/>
      <c r="F1146" s="1147"/>
      <c r="G1146" s="189"/>
      <c r="H1146" s="189"/>
      <c r="I1146" s="189"/>
      <c r="L1146" s="189"/>
      <c r="M1146" s="189"/>
      <c r="N1146" s="189"/>
      <c r="O1146" s="189"/>
      <c r="P1146" s="189"/>
      <c r="Q1146" s="189"/>
    </row>
    <row r="1147" spans="1:17" ht="13.5" customHeight="1">
      <c r="A1147" s="1147"/>
      <c r="B1147" s="1147"/>
      <c r="C1147" s="1147"/>
      <c r="D1147" s="1147"/>
      <c r="E1147" s="1147"/>
      <c r="F1147" s="1147"/>
      <c r="G1147" s="189"/>
      <c r="H1147" s="189"/>
      <c r="I1147" s="189"/>
      <c r="L1147" s="189"/>
      <c r="M1147" s="189"/>
      <c r="N1147" s="189"/>
      <c r="O1147" s="189"/>
      <c r="P1147" s="189"/>
      <c r="Q1147" s="189"/>
    </row>
    <row r="1148" spans="1:17" ht="13.5" customHeight="1">
      <c r="A1148" s="1147"/>
      <c r="B1148" s="1147"/>
      <c r="C1148" s="1147"/>
      <c r="D1148" s="1147"/>
      <c r="E1148" s="1147"/>
      <c r="F1148" s="1147"/>
      <c r="G1148" s="189"/>
      <c r="H1148" s="189"/>
      <c r="I1148" s="189"/>
      <c r="L1148" s="189"/>
      <c r="M1148" s="189"/>
      <c r="N1148" s="189"/>
      <c r="O1148" s="189"/>
      <c r="P1148" s="189"/>
      <c r="Q1148" s="189"/>
    </row>
    <row r="1149" spans="1:17" ht="13.5" customHeight="1">
      <c r="A1149" s="1147"/>
      <c r="B1149" s="1147"/>
      <c r="C1149" s="1147"/>
      <c r="D1149" s="1147"/>
      <c r="E1149" s="1147"/>
      <c r="F1149" s="1147"/>
      <c r="G1149" s="189"/>
      <c r="H1149" s="189"/>
      <c r="I1149" s="189"/>
      <c r="L1149" s="189"/>
      <c r="M1149" s="189"/>
      <c r="N1149" s="189"/>
      <c r="O1149" s="189"/>
      <c r="P1149" s="189"/>
      <c r="Q1149" s="189"/>
    </row>
    <row r="1150" spans="1:17" ht="13.5" customHeight="1">
      <c r="A1150" s="1147"/>
      <c r="B1150" s="1147"/>
      <c r="C1150" s="1147"/>
      <c r="D1150" s="1147"/>
      <c r="E1150" s="1147"/>
      <c r="F1150" s="1147"/>
      <c r="G1150" s="189"/>
      <c r="H1150" s="189"/>
      <c r="I1150" s="189"/>
      <c r="L1150" s="189"/>
      <c r="M1150" s="189"/>
      <c r="N1150" s="189"/>
      <c r="O1150" s="189"/>
      <c r="P1150" s="189"/>
      <c r="Q1150" s="189"/>
    </row>
    <row r="1151" spans="1:17" ht="13.5" customHeight="1">
      <c r="A1151" s="1147"/>
      <c r="B1151" s="1147"/>
      <c r="C1151" s="1147"/>
      <c r="D1151" s="1147"/>
      <c r="E1151" s="1147"/>
      <c r="F1151" s="1147"/>
      <c r="G1151" s="189"/>
      <c r="H1151" s="189"/>
      <c r="I1151" s="189"/>
      <c r="L1151" s="189"/>
      <c r="M1151" s="189"/>
      <c r="N1151" s="189"/>
      <c r="O1151" s="189"/>
      <c r="P1151" s="189"/>
      <c r="Q1151" s="189"/>
    </row>
    <row r="1152" spans="1:17" ht="13.5" customHeight="1">
      <c r="A1152" s="1147"/>
      <c r="B1152" s="1147"/>
      <c r="C1152" s="1147"/>
      <c r="D1152" s="1147"/>
      <c r="E1152" s="1147"/>
      <c r="F1152" s="1147"/>
      <c r="G1152" s="189"/>
      <c r="H1152" s="189"/>
      <c r="I1152" s="189"/>
      <c r="L1152" s="189"/>
      <c r="M1152" s="189"/>
      <c r="N1152" s="189"/>
      <c r="O1152" s="189"/>
      <c r="P1152" s="189"/>
      <c r="Q1152" s="189"/>
    </row>
    <row r="1153" spans="1:17" ht="13.5" customHeight="1">
      <c r="A1153" s="1147"/>
      <c r="B1153" s="1147"/>
      <c r="C1153" s="1147"/>
      <c r="D1153" s="1147"/>
      <c r="E1153" s="1147"/>
      <c r="F1153" s="1147"/>
      <c r="G1153" s="189"/>
      <c r="H1153" s="189"/>
      <c r="I1153" s="189"/>
      <c r="L1153" s="189"/>
      <c r="M1153" s="189"/>
      <c r="N1153" s="189"/>
      <c r="O1153" s="189"/>
      <c r="P1153" s="189"/>
      <c r="Q1153" s="189"/>
    </row>
    <row r="1154" spans="1:17" ht="13.5" customHeight="1">
      <c r="A1154" s="1147"/>
      <c r="B1154" s="1147"/>
      <c r="C1154" s="1147"/>
      <c r="D1154" s="1147"/>
      <c r="E1154" s="1147"/>
      <c r="F1154" s="1147"/>
      <c r="G1154" s="189"/>
      <c r="H1154" s="189"/>
      <c r="I1154" s="189"/>
      <c r="L1154" s="189"/>
      <c r="M1154" s="189"/>
      <c r="N1154" s="189"/>
      <c r="O1154" s="189"/>
      <c r="P1154" s="189"/>
      <c r="Q1154" s="189"/>
    </row>
    <row r="1155" spans="1:17" ht="13.5" customHeight="1">
      <c r="A1155" s="1147"/>
      <c r="B1155" s="1147"/>
      <c r="C1155" s="1147"/>
      <c r="D1155" s="1147"/>
      <c r="E1155" s="1147"/>
      <c r="F1155" s="1147"/>
      <c r="G1155" s="189"/>
      <c r="H1155" s="189"/>
      <c r="I1155" s="189"/>
      <c r="L1155" s="189"/>
      <c r="M1155" s="189"/>
      <c r="N1155" s="189"/>
      <c r="O1155" s="189"/>
      <c r="P1155" s="189"/>
      <c r="Q1155" s="189"/>
    </row>
    <row r="1156" spans="1:17" ht="13.5" customHeight="1">
      <c r="A1156" s="1147"/>
      <c r="B1156" s="1147"/>
      <c r="C1156" s="1147"/>
      <c r="D1156" s="1147"/>
      <c r="E1156" s="1147"/>
      <c r="F1156" s="1147"/>
      <c r="G1156" s="189"/>
      <c r="H1156" s="189"/>
      <c r="I1156" s="189"/>
      <c r="L1156" s="189"/>
      <c r="M1156" s="189"/>
      <c r="N1156" s="189"/>
      <c r="O1156" s="189"/>
      <c r="P1156" s="189"/>
      <c r="Q1156" s="189"/>
    </row>
    <row r="1157" spans="1:17" ht="13.5" customHeight="1">
      <c r="A1157" s="1147"/>
      <c r="B1157" s="1147"/>
      <c r="C1157" s="1147"/>
      <c r="D1157" s="1147"/>
      <c r="E1157" s="1147"/>
      <c r="F1157" s="1147"/>
      <c r="G1157" s="189"/>
      <c r="H1157" s="189"/>
      <c r="I1157" s="189"/>
      <c r="L1157" s="189"/>
      <c r="M1157" s="189"/>
      <c r="N1157" s="189"/>
      <c r="O1157" s="189"/>
      <c r="P1157" s="189"/>
      <c r="Q1157" s="189"/>
    </row>
    <row r="1158" spans="1:17" ht="13.5" customHeight="1">
      <c r="A1158" s="1147"/>
      <c r="B1158" s="1147"/>
      <c r="C1158" s="1147"/>
      <c r="D1158" s="1147"/>
      <c r="E1158" s="1147"/>
      <c r="F1158" s="1147"/>
      <c r="G1158" s="189"/>
      <c r="H1158" s="189"/>
      <c r="I1158" s="189"/>
      <c r="L1158" s="189"/>
      <c r="M1158" s="189"/>
      <c r="N1158" s="189"/>
      <c r="O1158" s="189"/>
      <c r="P1158" s="189"/>
      <c r="Q1158" s="189"/>
    </row>
    <row r="1159" spans="1:17" ht="13.5" customHeight="1">
      <c r="A1159" s="1147"/>
      <c r="B1159" s="1147"/>
      <c r="C1159" s="1147"/>
      <c r="D1159" s="1147"/>
      <c r="E1159" s="1147"/>
      <c r="F1159" s="1147"/>
      <c r="G1159" s="189"/>
      <c r="H1159" s="189"/>
      <c r="I1159" s="189"/>
      <c r="L1159" s="189"/>
      <c r="M1159" s="189"/>
      <c r="N1159" s="189"/>
      <c r="O1159" s="189"/>
      <c r="P1159" s="189"/>
      <c r="Q1159" s="189"/>
    </row>
    <row r="1160" spans="1:17" ht="13.5" customHeight="1">
      <c r="A1160" s="1147"/>
      <c r="B1160" s="1147"/>
      <c r="C1160" s="1147"/>
      <c r="D1160" s="1147"/>
      <c r="E1160" s="1147"/>
      <c r="F1160" s="1147"/>
      <c r="G1160" s="189"/>
      <c r="H1160" s="189"/>
      <c r="I1160" s="189"/>
      <c r="L1160" s="189"/>
      <c r="M1160" s="189"/>
      <c r="N1160" s="189"/>
      <c r="O1160" s="189"/>
      <c r="P1160" s="189"/>
      <c r="Q1160" s="189"/>
    </row>
    <row r="1161" spans="1:17" ht="13.5" customHeight="1">
      <c r="A1161" s="1147"/>
      <c r="B1161" s="1147"/>
      <c r="C1161" s="1147"/>
      <c r="D1161" s="1147"/>
      <c r="E1161" s="1147"/>
      <c r="F1161" s="1147"/>
      <c r="G1161" s="189"/>
      <c r="H1161" s="189"/>
      <c r="I1161" s="189"/>
      <c r="L1161" s="189"/>
      <c r="M1161" s="189"/>
      <c r="N1161" s="189"/>
      <c r="O1161" s="189"/>
      <c r="P1161" s="189"/>
      <c r="Q1161" s="189"/>
    </row>
    <row r="1162" spans="1:17" ht="13.5" customHeight="1">
      <c r="A1162" s="1147"/>
      <c r="B1162" s="1147"/>
      <c r="C1162" s="1147"/>
      <c r="D1162" s="1147"/>
      <c r="E1162" s="1147"/>
      <c r="F1162" s="1147"/>
      <c r="G1162" s="189"/>
      <c r="H1162" s="189"/>
      <c r="I1162" s="189"/>
      <c r="L1162" s="189"/>
      <c r="M1162" s="189"/>
      <c r="N1162" s="189"/>
      <c r="O1162" s="189"/>
      <c r="P1162" s="189"/>
      <c r="Q1162" s="189"/>
    </row>
    <row r="1163" spans="1:17" ht="13.5" customHeight="1">
      <c r="A1163" s="1147"/>
      <c r="B1163" s="1147"/>
      <c r="C1163" s="1147"/>
      <c r="D1163" s="1147"/>
      <c r="E1163" s="1147"/>
      <c r="F1163" s="1147"/>
      <c r="G1163" s="189"/>
      <c r="H1163" s="189"/>
      <c r="I1163" s="189"/>
      <c r="L1163" s="189"/>
      <c r="M1163" s="189"/>
      <c r="N1163" s="189"/>
      <c r="O1163" s="189"/>
      <c r="P1163" s="189"/>
      <c r="Q1163" s="189"/>
    </row>
    <row r="1164" spans="1:17" ht="13.5" customHeight="1">
      <c r="A1164" s="1147"/>
      <c r="B1164" s="1147"/>
      <c r="C1164" s="1147"/>
      <c r="D1164" s="1147"/>
      <c r="E1164" s="1147"/>
      <c r="F1164" s="1147"/>
      <c r="G1164" s="189"/>
      <c r="H1164" s="189"/>
      <c r="I1164" s="189"/>
      <c r="L1164" s="189"/>
      <c r="M1164" s="189"/>
      <c r="N1164" s="189"/>
      <c r="O1164" s="189"/>
      <c r="P1164" s="189"/>
      <c r="Q1164" s="189"/>
    </row>
    <row r="1165" spans="1:17" ht="13.5" customHeight="1">
      <c r="A1165" s="1147"/>
      <c r="B1165" s="1147"/>
      <c r="C1165" s="1147"/>
      <c r="D1165" s="1147"/>
      <c r="E1165" s="1147"/>
      <c r="F1165" s="1147"/>
      <c r="G1165" s="189"/>
      <c r="H1165" s="189"/>
      <c r="I1165" s="189"/>
      <c r="L1165" s="189"/>
      <c r="M1165" s="189"/>
      <c r="N1165" s="189"/>
      <c r="O1165" s="189"/>
      <c r="P1165" s="189"/>
      <c r="Q1165" s="189"/>
    </row>
    <row r="1166" spans="1:17" ht="13.5" customHeight="1">
      <c r="A1166" s="1147"/>
      <c r="B1166" s="1147"/>
      <c r="C1166" s="1147"/>
      <c r="D1166" s="1147"/>
      <c r="E1166" s="1147"/>
      <c r="F1166" s="1147"/>
      <c r="G1166" s="189"/>
      <c r="H1166" s="189"/>
      <c r="I1166" s="189"/>
      <c r="L1166" s="189"/>
      <c r="M1166" s="189"/>
      <c r="N1166" s="189"/>
      <c r="O1166" s="189"/>
      <c r="P1166" s="189"/>
      <c r="Q1166" s="189"/>
    </row>
    <row r="1167" spans="1:17" ht="13.5" customHeight="1">
      <c r="A1167" s="1147"/>
      <c r="B1167" s="1147"/>
      <c r="C1167" s="1147"/>
      <c r="D1167" s="1147"/>
      <c r="E1167" s="1147"/>
      <c r="F1167" s="1147"/>
      <c r="G1167" s="189"/>
      <c r="H1167" s="189"/>
      <c r="I1167" s="189"/>
      <c r="L1167" s="189"/>
      <c r="M1167" s="189"/>
      <c r="N1167" s="189"/>
      <c r="O1167" s="189"/>
      <c r="P1167" s="189"/>
      <c r="Q1167" s="189"/>
    </row>
    <row r="1168" spans="1:17" ht="13.5" customHeight="1">
      <c r="A1168" s="1147"/>
      <c r="B1168" s="1147"/>
      <c r="C1168" s="1147"/>
      <c r="D1168" s="1147"/>
      <c r="E1168" s="1147"/>
      <c r="F1168" s="1147"/>
      <c r="G1168" s="189"/>
      <c r="H1168" s="189"/>
      <c r="I1168" s="189"/>
      <c r="L1168" s="189"/>
      <c r="M1168" s="189"/>
      <c r="N1168" s="189"/>
      <c r="O1168" s="189"/>
      <c r="P1168" s="189"/>
      <c r="Q1168" s="189"/>
    </row>
    <row r="1169" spans="1:17" ht="13.5" customHeight="1">
      <c r="A1169" s="1147"/>
      <c r="B1169" s="1147"/>
      <c r="C1169" s="1147"/>
      <c r="D1169" s="1147"/>
      <c r="E1169" s="1147"/>
      <c r="F1169" s="1147"/>
      <c r="G1169" s="189"/>
      <c r="H1169" s="189"/>
      <c r="I1169" s="189"/>
      <c r="L1169" s="189"/>
      <c r="M1169" s="189"/>
      <c r="N1169" s="189"/>
      <c r="O1169" s="189"/>
      <c r="P1169" s="189"/>
      <c r="Q1169" s="189"/>
    </row>
    <row r="1170" spans="1:17" ht="13.5" customHeight="1">
      <c r="A1170" s="1147"/>
      <c r="B1170" s="1147"/>
      <c r="C1170" s="1147"/>
      <c r="D1170" s="1147"/>
      <c r="E1170" s="1147"/>
      <c r="F1170" s="1147"/>
      <c r="G1170" s="189"/>
      <c r="H1170" s="189"/>
      <c r="I1170" s="189"/>
      <c r="L1170" s="189"/>
      <c r="M1170" s="189"/>
      <c r="N1170" s="189"/>
      <c r="O1170" s="189"/>
      <c r="P1170" s="189"/>
      <c r="Q1170" s="189"/>
    </row>
    <row r="1171" spans="1:17" ht="13.5" customHeight="1">
      <c r="A1171" s="1147"/>
      <c r="B1171" s="1147"/>
      <c r="C1171" s="1147"/>
      <c r="D1171" s="1147"/>
      <c r="E1171" s="1147"/>
      <c r="F1171" s="1147"/>
      <c r="G1171" s="189"/>
      <c r="H1171" s="189"/>
      <c r="I1171" s="189"/>
      <c r="L1171" s="189"/>
      <c r="M1171" s="189"/>
      <c r="N1171" s="189"/>
      <c r="O1171" s="189"/>
      <c r="P1171" s="189"/>
      <c r="Q1171" s="189"/>
    </row>
    <row r="1172" spans="1:17" ht="13.5" customHeight="1">
      <c r="A1172" s="1147"/>
      <c r="B1172" s="1147"/>
      <c r="C1172" s="1147"/>
      <c r="D1172" s="1147"/>
      <c r="E1172" s="1147"/>
      <c r="F1172" s="1147"/>
      <c r="G1172" s="189"/>
      <c r="H1172" s="189"/>
      <c r="I1172" s="189"/>
      <c r="L1172" s="189"/>
      <c r="M1172" s="189"/>
      <c r="N1172" s="189"/>
      <c r="O1172" s="189"/>
      <c r="P1172" s="189"/>
      <c r="Q1172" s="189"/>
    </row>
    <row r="1173" spans="1:17" ht="13.5" customHeight="1">
      <c r="A1173" s="1147"/>
      <c r="B1173" s="1147"/>
      <c r="C1173" s="1147"/>
      <c r="D1173" s="1147"/>
      <c r="E1173" s="1147"/>
      <c r="F1173" s="1147"/>
      <c r="G1173" s="189"/>
      <c r="H1173" s="189"/>
      <c r="I1173" s="189"/>
      <c r="L1173" s="189"/>
      <c r="M1173" s="189"/>
      <c r="N1173" s="189"/>
      <c r="O1173" s="189"/>
      <c r="P1173" s="189"/>
      <c r="Q1173" s="189"/>
    </row>
    <row r="1174" spans="1:17" ht="13.5" customHeight="1">
      <c r="A1174" s="1147"/>
      <c r="B1174" s="1147"/>
      <c r="C1174" s="1147"/>
      <c r="D1174" s="1147"/>
      <c r="E1174" s="1147"/>
      <c r="F1174" s="1147"/>
      <c r="G1174" s="189"/>
      <c r="H1174" s="189"/>
      <c r="I1174" s="189"/>
      <c r="L1174" s="189"/>
      <c r="M1174" s="189"/>
      <c r="N1174" s="189"/>
      <c r="O1174" s="189"/>
      <c r="P1174" s="189"/>
      <c r="Q1174" s="189"/>
    </row>
    <row r="1175" spans="1:17" ht="13.5" customHeight="1">
      <c r="A1175" s="1147"/>
      <c r="B1175" s="1147"/>
      <c r="C1175" s="1147"/>
      <c r="D1175" s="1147"/>
      <c r="E1175" s="1147"/>
      <c r="F1175" s="1147"/>
      <c r="G1175" s="189"/>
      <c r="H1175" s="189"/>
      <c r="I1175" s="189"/>
      <c r="L1175" s="189"/>
      <c r="M1175" s="189"/>
      <c r="N1175" s="189"/>
      <c r="O1175" s="189"/>
      <c r="P1175" s="189"/>
      <c r="Q1175" s="189"/>
    </row>
    <row r="1176" spans="1:17" ht="13.5" customHeight="1">
      <c r="A1176" s="1147"/>
      <c r="B1176" s="1147"/>
      <c r="C1176" s="1147"/>
      <c r="D1176" s="1147"/>
      <c r="E1176" s="1147"/>
      <c r="F1176" s="1147"/>
      <c r="G1176" s="189"/>
      <c r="H1176" s="189"/>
      <c r="I1176" s="189"/>
      <c r="L1176" s="189"/>
      <c r="M1176" s="189"/>
      <c r="N1176" s="189"/>
      <c r="O1176" s="189"/>
      <c r="P1176" s="189"/>
      <c r="Q1176" s="189"/>
    </row>
    <row r="1177" spans="1:17" ht="13.5" customHeight="1">
      <c r="A1177" s="1147"/>
      <c r="B1177" s="1147"/>
      <c r="C1177" s="1147"/>
      <c r="D1177" s="1147"/>
      <c r="E1177" s="1147"/>
      <c r="F1177" s="1147"/>
      <c r="G1177" s="189"/>
      <c r="H1177" s="189"/>
      <c r="I1177" s="189"/>
      <c r="L1177" s="189"/>
      <c r="M1177" s="189"/>
      <c r="N1177" s="189"/>
      <c r="O1177" s="189"/>
      <c r="P1177" s="189"/>
      <c r="Q1177" s="189"/>
    </row>
    <row r="1178" spans="1:17" ht="13.5" customHeight="1">
      <c r="A1178" s="1147"/>
      <c r="B1178" s="1147"/>
      <c r="C1178" s="1147"/>
      <c r="D1178" s="1147"/>
      <c r="E1178" s="1147"/>
      <c r="F1178" s="1147"/>
      <c r="G1178" s="189"/>
      <c r="H1178" s="189"/>
      <c r="I1178" s="189"/>
      <c r="L1178" s="189"/>
      <c r="M1178" s="189"/>
      <c r="N1178" s="189"/>
      <c r="O1178" s="189"/>
      <c r="P1178" s="189"/>
      <c r="Q1178" s="189"/>
    </row>
    <row r="1179" spans="1:17" ht="13.5" customHeight="1">
      <c r="A1179" s="1147"/>
      <c r="B1179" s="1147"/>
      <c r="C1179" s="1147"/>
      <c r="D1179" s="1147"/>
      <c r="E1179" s="1147"/>
      <c r="F1179" s="1147"/>
      <c r="G1179" s="189"/>
      <c r="H1179" s="189"/>
      <c r="I1179" s="189"/>
      <c r="L1179" s="189"/>
      <c r="M1179" s="189"/>
      <c r="N1179" s="189"/>
      <c r="O1179" s="189"/>
      <c r="P1179" s="189"/>
      <c r="Q1179" s="189"/>
    </row>
    <row r="1180" spans="1:17" ht="13.5" customHeight="1">
      <c r="A1180" s="1147"/>
      <c r="B1180" s="1147"/>
      <c r="C1180" s="1147"/>
      <c r="D1180" s="1147"/>
      <c r="E1180" s="1147"/>
      <c r="F1180" s="1147"/>
      <c r="G1180" s="189"/>
      <c r="H1180" s="189"/>
      <c r="I1180" s="189"/>
      <c r="L1180" s="189"/>
      <c r="M1180" s="189"/>
      <c r="N1180" s="189"/>
      <c r="O1180" s="189"/>
      <c r="P1180" s="189"/>
      <c r="Q1180" s="189"/>
    </row>
    <row r="1181" spans="1:17" ht="13.5" customHeight="1">
      <c r="A1181" s="1147"/>
      <c r="B1181" s="1147"/>
      <c r="C1181" s="1147"/>
      <c r="D1181" s="1147"/>
      <c r="E1181" s="1147"/>
      <c r="F1181" s="1147"/>
      <c r="G1181" s="189"/>
      <c r="H1181" s="189"/>
      <c r="I1181" s="189"/>
      <c r="L1181" s="189"/>
      <c r="M1181" s="189"/>
      <c r="N1181" s="189"/>
      <c r="O1181" s="189"/>
      <c r="P1181" s="189"/>
      <c r="Q1181" s="189"/>
    </row>
    <row r="1182" spans="1:17" ht="13.5" customHeight="1">
      <c r="A1182" s="1147"/>
      <c r="B1182" s="1147"/>
      <c r="C1182" s="1147"/>
      <c r="D1182" s="1147"/>
      <c r="E1182" s="1147"/>
      <c r="F1182" s="1147"/>
      <c r="G1182" s="189"/>
      <c r="H1182" s="189"/>
      <c r="I1182" s="189"/>
      <c r="L1182" s="189"/>
      <c r="M1182" s="189"/>
      <c r="N1182" s="189"/>
      <c r="O1182" s="189"/>
      <c r="P1182" s="189"/>
      <c r="Q1182" s="189"/>
    </row>
    <row r="1183" spans="1:17" ht="13.5" customHeight="1">
      <c r="A1183" s="1147"/>
      <c r="B1183" s="1147"/>
      <c r="C1183" s="1147"/>
      <c r="D1183" s="1147"/>
      <c r="E1183" s="1147"/>
      <c r="F1183" s="1147"/>
      <c r="G1183" s="189"/>
      <c r="H1183" s="189"/>
      <c r="I1183" s="189"/>
      <c r="L1183" s="189"/>
      <c r="M1183" s="189"/>
      <c r="N1183" s="189"/>
      <c r="O1183" s="189"/>
      <c r="P1183" s="189"/>
      <c r="Q1183" s="189"/>
    </row>
    <row r="1184" spans="1:17" ht="13.5" customHeight="1">
      <c r="A1184" s="1147"/>
      <c r="B1184" s="1147"/>
      <c r="C1184" s="1147"/>
      <c r="D1184" s="1147"/>
      <c r="E1184" s="1147"/>
      <c r="F1184" s="1147"/>
      <c r="G1184" s="189"/>
      <c r="H1184" s="189"/>
      <c r="I1184" s="189"/>
      <c r="L1184" s="189"/>
      <c r="M1184" s="189"/>
      <c r="N1184" s="189"/>
      <c r="O1184" s="189"/>
      <c r="P1184" s="189"/>
      <c r="Q1184" s="189"/>
    </row>
    <row r="1185" spans="1:17" ht="13.5" customHeight="1">
      <c r="A1185" s="1147"/>
      <c r="B1185" s="1147"/>
      <c r="C1185" s="1147"/>
      <c r="D1185" s="1147"/>
      <c r="E1185" s="1147"/>
      <c r="F1185" s="1147"/>
      <c r="G1185" s="189"/>
      <c r="H1185" s="189"/>
      <c r="I1185" s="189"/>
      <c r="L1185" s="189"/>
      <c r="M1185" s="189"/>
      <c r="N1185" s="189"/>
      <c r="O1185" s="189"/>
      <c r="P1185" s="189"/>
      <c r="Q1185" s="189"/>
    </row>
    <row r="1186" spans="1:17" ht="13.5" customHeight="1">
      <c r="A1186" s="1147"/>
      <c r="B1186" s="1147"/>
      <c r="C1186" s="1147"/>
      <c r="D1186" s="1147"/>
      <c r="E1186" s="1147"/>
      <c r="F1186" s="1147"/>
      <c r="G1186" s="189"/>
      <c r="H1186" s="189"/>
      <c r="I1186" s="189"/>
      <c r="L1186" s="189"/>
      <c r="M1186" s="189"/>
      <c r="N1186" s="189"/>
      <c r="O1186" s="189"/>
      <c r="P1186" s="189"/>
      <c r="Q1186" s="189"/>
    </row>
    <row r="1187" spans="1:17" ht="13.5" customHeight="1">
      <c r="A1187" s="1147"/>
      <c r="B1187" s="1147"/>
      <c r="C1187" s="1147"/>
      <c r="D1187" s="1147"/>
      <c r="E1187" s="1147"/>
      <c r="F1187" s="1147"/>
      <c r="G1187" s="189"/>
      <c r="H1187" s="189"/>
      <c r="I1187" s="189"/>
      <c r="L1187" s="189"/>
      <c r="M1187" s="189"/>
      <c r="N1187" s="189"/>
      <c r="O1187" s="189"/>
      <c r="P1187" s="189"/>
      <c r="Q1187" s="189"/>
    </row>
    <row r="1188" spans="1:17" ht="13.5" customHeight="1">
      <c r="A1188" s="1147"/>
      <c r="B1188" s="1147"/>
      <c r="C1188" s="1147"/>
      <c r="D1188" s="1147"/>
      <c r="E1188" s="1147"/>
      <c r="F1188" s="1147"/>
      <c r="G1188" s="189"/>
      <c r="H1188" s="189"/>
      <c r="I1188" s="189"/>
      <c r="L1188" s="189"/>
      <c r="M1188" s="189"/>
      <c r="N1188" s="189"/>
      <c r="O1188" s="189"/>
      <c r="P1188" s="189"/>
      <c r="Q1188" s="189"/>
    </row>
    <row r="1189" spans="1:17" ht="13.5" customHeight="1">
      <c r="A1189" s="1147"/>
      <c r="B1189" s="1147"/>
      <c r="C1189" s="1147"/>
      <c r="D1189" s="1147"/>
      <c r="E1189" s="1147"/>
      <c r="F1189" s="1147"/>
      <c r="G1189" s="189"/>
      <c r="H1189" s="189"/>
      <c r="I1189" s="189"/>
      <c r="L1189" s="189"/>
      <c r="M1189" s="189"/>
      <c r="N1189" s="189"/>
      <c r="O1189" s="189"/>
      <c r="P1189" s="189"/>
      <c r="Q1189" s="189"/>
    </row>
    <row r="1190" spans="1:17" ht="13.5" customHeight="1">
      <c r="A1190" s="1147"/>
      <c r="B1190" s="1147"/>
      <c r="C1190" s="1147"/>
      <c r="D1190" s="1147"/>
      <c r="E1190" s="1147"/>
      <c r="F1190" s="1147"/>
      <c r="G1190" s="189"/>
      <c r="H1190" s="189"/>
      <c r="I1190" s="189"/>
      <c r="L1190" s="189"/>
      <c r="M1190" s="189"/>
      <c r="N1190" s="189"/>
      <c r="O1190" s="189"/>
      <c r="P1190" s="189"/>
      <c r="Q1190" s="189"/>
    </row>
    <row r="1191" spans="1:17" ht="13.5" customHeight="1">
      <c r="A1191" s="1147"/>
      <c r="B1191" s="1147"/>
      <c r="C1191" s="1147"/>
      <c r="D1191" s="1147"/>
      <c r="E1191" s="1147"/>
      <c r="F1191" s="1147"/>
      <c r="G1191" s="189"/>
      <c r="H1191" s="189"/>
      <c r="I1191" s="189"/>
      <c r="L1191" s="189"/>
      <c r="M1191" s="189"/>
      <c r="N1191" s="189"/>
      <c r="O1191" s="189"/>
      <c r="P1191" s="189"/>
      <c r="Q1191" s="189"/>
    </row>
    <row r="1192" spans="1:17" ht="13.5" customHeight="1">
      <c r="A1192" s="1147"/>
      <c r="B1192" s="1147"/>
      <c r="C1192" s="1147"/>
      <c r="D1192" s="1147"/>
      <c r="E1192" s="1147"/>
      <c r="F1192" s="1147"/>
      <c r="G1192" s="189"/>
      <c r="H1192" s="189"/>
      <c r="I1192" s="189"/>
      <c r="L1192" s="189"/>
      <c r="M1192" s="189"/>
      <c r="N1192" s="189"/>
      <c r="O1192" s="189"/>
      <c r="P1192" s="189"/>
      <c r="Q1192" s="189"/>
    </row>
    <row r="1193" spans="1:17" ht="13.5" customHeight="1">
      <c r="A1193" s="1147"/>
      <c r="B1193" s="1147"/>
      <c r="C1193" s="1147"/>
      <c r="D1193" s="1147"/>
      <c r="E1193" s="1147"/>
      <c r="F1193" s="1147"/>
      <c r="G1193" s="189"/>
      <c r="H1193" s="189"/>
      <c r="I1193" s="189"/>
      <c r="L1193" s="189"/>
      <c r="M1193" s="189"/>
      <c r="N1193" s="189"/>
      <c r="O1193" s="189"/>
      <c r="P1193" s="189"/>
      <c r="Q1193" s="189"/>
    </row>
    <row r="1194" spans="1:17" ht="13.5" customHeight="1">
      <c r="A1194" s="1147"/>
      <c r="B1194" s="1147"/>
      <c r="C1194" s="1147"/>
      <c r="D1194" s="1147"/>
      <c r="E1194" s="1147"/>
      <c r="F1194" s="1147"/>
      <c r="G1194" s="189"/>
      <c r="H1194" s="189"/>
      <c r="I1194" s="189"/>
      <c r="L1194" s="189"/>
      <c r="M1194" s="189"/>
      <c r="N1194" s="189"/>
      <c r="O1194" s="189"/>
      <c r="P1194" s="189"/>
      <c r="Q1194" s="189"/>
    </row>
    <row r="1195" spans="1:17" ht="13.5" customHeight="1">
      <c r="A1195" s="1147"/>
      <c r="B1195" s="1147"/>
      <c r="C1195" s="1147"/>
      <c r="D1195" s="1147"/>
      <c r="E1195" s="1147"/>
      <c r="F1195" s="1147"/>
      <c r="G1195" s="189"/>
      <c r="H1195" s="189"/>
      <c r="I1195" s="189"/>
      <c r="L1195" s="189"/>
      <c r="M1195" s="189"/>
      <c r="N1195" s="189"/>
      <c r="O1195" s="189"/>
      <c r="P1195" s="189"/>
      <c r="Q1195" s="189"/>
    </row>
    <row r="1196" spans="1:17" ht="13.5" customHeight="1">
      <c r="A1196" s="1147"/>
      <c r="B1196" s="1147"/>
      <c r="C1196" s="1147"/>
      <c r="D1196" s="1147"/>
      <c r="E1196" s="1147"/>
      <c r="F1196" s="1147"/>
      <c r="G1196" s="189"/>
      <c r="H1196" s="189"/>
      <c r="I1196" s="189"/>
      <c r="L1196" s="189"/>
      <c r="M1196" s="189"/>
      <c r="N1196" s="189"/>
      <c r="O1196" s="189"/>
      <c r="P1196" s="189"/>
      <c r="Q1196" s="189"/>
    </row>
    <row r="1197" spans="1:17" ht="13.5" customHeight="1">
      <c r="A1197" s="1147"/>
      <c r="B1197" s="1147"/>
      <c r="C1197" s="1147"/>
      <c r="D1197" s="1147"/>
      <c r="E1197" s="1147"/>
      <c r="F1197" s="1147"/>
      <c r="G1197" s="189"/>
      <c r="H1197" s="189"/>
      <c r="I1197" s="189"/>
      <c r="L1197" s="189"/>
      <c r="M1197" s="189"/>
      <c r="N1197" s="189"/>
      <c r="O1197" s="189"/>
      <c r="P1197" s="189"/>
      <c r="Q1197" s="189"/>
    </row>
    <row r="1198" spans="1:17" ht="13.5" customHeight="1">
      <c r="A1198" s="1147"/>
      <c r="B1198" s="1147"/>
      <c r="C1198" s="1147"/>
      <c r="D1198" s="1147"/>
      <c r="E1198" s="1147"/>
      <c r="F1198" s="1147"/>
      <c r="G1198" s="189"/>
      <c r="H1198" s="189"/>
      <c r="I1198" s="189"/>
      <c r="L1198" s="189"/>
      <c r="M1198" s="189"/>
      <c r="N1198" s="189"/>
      <c r="O1198" s="189"/>
      <c r="P1198" s="189"/>
      <c r="Q1198" s="189"/>
    </row>
    <row r="1199" spans="1:17" ht="13.5" customHeight="1">
      <c r="A1199" s="1147"/>
      <c r="B1199" s="1147"/>
      <c r="C1199" s="1147"/>
      <c r="D1199" s="1147"/>
      <c r="E1199" s="1147"/>
      <c r="F1199" s="1147"/>
      <c r="G1199" s="189"/>
      <c r="H1199" s="189"/>
      <c r="I1199" s="189"/>
      <c r="L1199" s="189"/>
      <c r="M1199" s="189"/>
      <c r="N1199" s="189"/>
      <c r="O1199" s="189"/>
      <c r="P1199" s="189"/>
      <c r="Q1199" s="189"/>
    </row>
    <row r="1200" spans="1:17" ht="13.5" customHeight="1">
      <c r="A1200" s="1147"/>
      <c r="B1200" s="1147"/>
      <c r="C1200" s="1147"/>
      <c r="D1200" s="1147"/>
      <c r="E1200" s="1147"/>
      <c r="F1200" s="1147"/>
      <c r="G1200" s="189"/>
      <c r="H1200" s="189"/>
      <c r="I1200" s="189"/>
      <c r="L1200" s="189"/>
      <c r="M1200" s="189"/>
      <c r="N1200" s="189"/>
      <c r="O1200" s="189"/>
      <c r="P1200" s="189"/>
      <c r="Q1200" s="189"/>
    </row>
    <row r="1201" spans="1:17" ht="13.5" customHeight="1">
      <c r="A1201" s="1147"/>
      <c r="B1201" s="1147"/>
      <c r="C1201" s="1147"/>
      <c r="D1201" s="1147"/>
      <c r="E1201" s="1147"/>
      <c r="F1201" s="1147"/>
      <c r="G1201" s="189"/>
      <c r="H1201" s="189"/>
      <c r="I1201" s="189"/>
      <c r="L1201" s="189"/>
      <c r="M1201" s="189"/>
      <c r="N1201" s="189"/>
      <c r="O1201" s="189"/>
      <c r="P1201" s="189"/>
      <c r="Q1201" s="189"/>
    </row>
    <row r="1202" spans="1:17" ht="13.5" customHeight="1">
      <c r="A1202" s="1147"/>
      <c r="B1202" s="1147"/>
      <c r="C1202" s="1147"/>
      <c r="D1202" s="1147"/>
      <c r="E1202" s="1147"/>
      <c r="F1202" s="1147"/>
      <c r="G1202" s="189"/>
      <c r="H1202" s="189"/>
      <c r="I1202" s="189"/>
      <c r="L1202" s="189"/>
      <c r="M1202" s="189"/>
      <c r="N1202" s="189"/>
      <c r="O1202" s="189"/>
      <c r="P1202" s="189"/>
      <c r="Q1202" s="189"/>
    </row>
    <row r="1203" spans="1:17" ht="13.5" customHeight="1">
      <c r="A1203" s="1147"/>
      <c r="B1203" s="1147"/>
      <c r="C1203" s="1147"/>
      <c r="D1203" s="1147"/>
      <c r="E1203" s="1147"/>
      <c r="F1203" s="1147"/>
      <c r="G1203" s="189"/>
      <c r="H1203" s="189"/>
      <c r="I1203" s="189"/>
      <c r="L1203" s="189"/>
      <c r="M1203" s="189"/>
      <c r="N1203" s="189"/>
      <c r="O1203" s="189"/>
      <c r="P1203" s="189"/>
      <c r="Q1203" s="189"/>
    </row>
    <row r="1204" spans="1:17" ht="13.5" customHeight="1">
      <c r="A1204" s="1147"/>
      <c r="B1204" s="1147"/>
      <c r="C1204" s="1147"/>
      <c r="D1204" s="1147"/>
      <c r="E1204" s="1147"/>
      <c r="F1204" s="1147"/>
      <c r="G1204" s="189"/>
      <c r="H1204" s="189"/>
      <c r="I1204" s="189"/>
      <c r="L1204" s="189"/>
      <c r="M1204" s="189"/>
      <c r="N1204" s="189"/>
      <c r="O1204" s="189"/>
      <c r="P1204" s="189"/>
      <c r="Q1204" s="189"/>
    </row>
    <row r="1205" spans="1:17" ht="13.5" customHeight="1">
      <c r="A1205" s="1147"/>
      <c r="B1205" s="1147"/>
      <c r="C1205" s="1147"/>
      <c r="D1205" s="1147"/>
      <c r="E1205" s="1147"/>
      <c r="F1205" s="1147"/>
      <c r="G1205" s="189"/>
      <c r="H1205" s="189"/>
      <c r="I1205" s="189"/>
      <c r="L1205" s="189"/>
      <c r="M1205" s="189"/>
      <c r="N1205" s="189"/>
      <c r="O1205" s="189"/>
      <c r="P1205" s="189"/>
      <c r="Q1205" s="189"/>
    </row>
    <row r="1206" spans="1:17" ht="13.5" customHeight="1">
      <c r="A1206" s="1147"/>
      <c r="B1206" s="1147"/>
      <c r="C1206" s="1147"/>
      <c r="D1206" s="1147"/>
      <c r="E1206" s="1147"/>
      <c r="F1206" s="1147"/>
      <c r="G1206" s="189"/>
      <c r="H1206" s="189"/>
      <c r="I1206" s="189"/>
      <c r="L1206" s="189"/>
      <c r="M1206" s="189"/>
      <c r="N1206" s="189"/>
      <c r="O1206" s="189"/>
      <c r="P1206" s="189"/>
      <c r="Q1206" s="189"/>
    </row>
    <row r="1207" spans="1:17" ht="13.5" customHeight="1">
      <c r="A1207" s="1147"/>
      <c r="B1207" s="1147"/>
      <c r="C1207" s="1147"/>
      <c r="D1207" s="1147"/>
      <c r="E1207" s="1147"/>
      <c r="F1207" s="1147"/>
      <c r="G1207" s="189"/>
      <c r="H1207" s="189"/>
      <c r="I1207" s="189"/>
      <c r="L1207" s="189"/>
      <c r="M1207" s="189"/>
      <c r="N1207" s="189"/>
      <c r="O1207" s="189"/>
      <c r="P1207" s="189"/>
      <c r="Q1207" s="189"/>
    </row>
    <row r="1208" spans="1:17" ht="13.5" customHeight="1">
      <c r="A1208" s="1147"/>
      <c r="B1208" s="1147"/>
      <c r="C1208" s="1147"/>
      <c r="D1208" s="1147"/>
      <c r="E1208" s="1147"/>
      <c r="F1208" s="1147"/>
      <c r="G1208" s="189"/>
      <c r="H1208" s="189"/>
      <c r="I1208" s="189"/>
      <c r="L1208" s="189"/>
      <c r="M1208" s="189"/>
      <c r="N1208" s="189"/>
      <c r="O1208" s="189"/>
      <c r="P1208" s="189"/>
      <c r="Q1208" s="189"/>
    </row>
    <row r="1209" spans="1:17" ht="13.5" customHeight="1">
      <c r="A1209" s="1147"/>
      <c r="B1209" s="1147"/>
      <c r="C1209" s="1147"/>
      <c r="D1209" s="1147"/>
      <c r="E1209" s="1147"/>
      <c r="F1209" s="1147"/>
      <c r="G1209" s="189"/>
      <c r="H1209" s="189"/>
      <c r="I1209" s="189"/>
      <c r="L1209" s="189"/>
      <c r="M1209" s="189"/>
      <c r="N1209" s="189"/>
      <c r="O1209" s="189"/>
      <c r="P1209" s="189"/>
      <c r="Q1209" s="189"/>
    </row>
    <row r="1210" spans="1:17" ht="13.5" customHeight="1">
      <c r="A1210" s="1147"/>
      <c r="B1210" s="1147"/>
      <c r="C1210" s="1147"/>
      <c r="D1210" s="1147"/>
      <c r="E1210" s="1147"/>
      <c r="F1210" s="1147"/>
      <c r="G1210" s="189"/>
      <c r="H1210" s="189"/>
      <c r="I1210" s="189"/>
      <c r="L1210" s="189"/>
      <c r="M1210" s="189"/>
      <c r="N1210" s="189"/>
      <c r="O1210" s="189"/>
      <c r="P1210" s="189"/>
      <c r="Q1210" s="189"/>
    </row>
    <row r="1211" spans="1:17" ht="13.5" customHeight="1">
      <c r="A1211" s="1147"/>
      <c r="B1211" s="1147"/>
      <c r="C1211" s="1147"/>
      <c r="D1211" s="1147"/>
      <c r="E1211" s="1147"/>
      <c r="F1211" s="1147"/>
      <c r="G1211" s="189"/>
      <c r="H1211" s="189"/>
      <c r="I1211" s="189"/>
      <c r="L1211" s="189"/>
      <c r="M1211" s="189"/>
      <c r="N1211" s="189"/>
      <c r="O1211" s="189"/>
      <c r="P1211" s="189"/>
      <c r="Q1211" s="189"/>
    </row>
    <row r="1212" spans="1:17" ht="13.5" customHeight="1">
      <c r="A1212" s="1147"/>
      <c r="B1212" s="1147"/>
      <c r="C1212" s="1147"/>
      <c r="D1212" s="1147"/>
      <c r="E1212" s="1147"/>
      <c r="F1212" s="1147"/>
      <c r="G1212" s="189"/>
      <c r="H1212" s="189"/>
      <c r="I1212" s="189"/>
      <c r="L1212" s="189"/>
      <c r="M1212" s="189"/>
      <c r="N1212" s="189"/>
      <c r="O1212" s="189"/>
      <c r="Q1212" s="189"/>
    </row>
    <row r="1213" spans="1:17" ht="13.5" customHeight="1">
      <c r="A1213" s="1147"/>
      <c r="B1213" s="1147"/>
      <c r="C1213" s="1147"/>
      <c r="D1213" s="1147"/>
      <c r="E1213" s="1147"/>
      <c r="F1213" s="1147"/>
      <c r="G1213" s="189"/>
      <c r="H1213" s="189"/>
      <c r="I1213" s="189"/>
      <c r="L1213" s="189"/>
      <c r="M1213" s="189"/>
      <c r="N1213" s="189"/>
      <c r="O1213" s="189"/>
      <c r="Q1213" s="189"/>
    </row>
    <row r="1214" spans="1:17" ht="13.5" customHeight="1">
      <c r="A1214" s="1147"/>
      <c r="B1214" s="1147"/>
      <c r="C1214" s="1147"/>
      <c r="D1214" s="1147"/>
      <c r="E1214" s="1147"/>
      <c r="F1214" s="1147"/>
      <c r="G1214" s="189"/>
      <c r="H1214" s="189"/>
      <c r="I1214" s="189"/>
      <c r="L1214" s="189"/>
      <c r="M1214" s="189"/>
      <c r="N1214" s="189"/>
      <c r="O1214" s="189"/>
      <c r="Q1214" s="189"/>
    </row>
    <row r="1215" spans="1:17" ht="13.5" customHeight="1">
      <c r="A1215" s="1147"/>
      <c r="B1215" s="1147"/>
      <c r="C1215" s="1147"/>
      <c r="D1215" s="1147"/>
      <c r="E1215" s="1147"/>
      <c r="F1215" s="1147"/>
      <c r="G1215" s="189"/>
      <c r="H1215" s="189"/>
      <c r="I1215" s="189"/>
      <c r="L1215" s="189"/>
      <c r="M1215" s="189"/>
      <c r="N1215" s="189"/>
      <c r="O1215" s="189"/>
      <c r="Q1215" s="189"/>
    </row>
    <row r="1216" spans="1:17" ht="13.5" customHeight="1">
      <c r="A1216" s="1147"/>
      <c r="B1216" s="1147"/>
      <c r="C1216" s="1147"/>
      <c r="D1216" s="1147"/>
      <c r="E1216" s="1147"/>
      <c r="F1216" s="1147"/>
      <c r="G1216" s="189"/>
      <c r="H1216" s="189"/>
      <c r="I1216" s="189"/>
      <c r="L1216" s="189"/>
      <c r="M1216" s="189"/>
      <c r="N1216" s="189"/>
      <c r="O1216" s="189"/>
      <c r="Q1216" s="189"/>
    </row>
    <row r="1217" spans="1:17" ht="13.5" customHeight="1">
      <c r="A1217" s="1147"/>
      <c r="B1217" s="1147"/>
      <c r="C1217" s="1147"/>
      <c r="D1217" s="1147"/>
      <c r="E1217" s="1147"/>
      <c r="F1217" s="1147"/>
      <c r="G1217" s="189"/>
      <c r="H1217" s="189"/>
      <c r="I1217" s="189"/>
      <c r="L1217" s="189"/>
      <c r="M1217" s="189"/>
      <c r="N1217" s="189"/>
      <c r="O1217" s="189"/>
      <c r="Q1217" s="189"/>
    </row>
    <row r="1218" spans="1:17" ht="13.5" customHeight="1">
      <c r="A1218" s="1147"/>
      <c r="B1218" s="1147"/>
      <c r="C1218" s="1147"/>
      <c r="D1218" s="1147"/>
      <c r="E1218" s="1147"/>
      <c r="F1218" s="1147"/>
      <c r="G1218" s="189"/>
      <c r="H1218" s="189"/>
      <c r="I1218" s="189"/>
      <c r="L1218" s="189"/>
      <c r="M1218" s="189"/>
      <c r="N1218" s="189"/>
      <c r="O1218" s="189"/>
      <c r="Q1218" s="189"/>
    </row>
    <row r="1219" spans="1:17" ht="13.5" customHeight="1">
      <c r="A1219" s="1147"/>
      <c r="B1219" s="1147"/>
      <c r="C1219" s="1147"/>
      <c r="D1219" s="1147"/>
      <c r="E1219" s="1147"/>
      <c r="F1219" s="1147"/>
      <c r="G1219" s="189"/>
      <c r="H1219" s="189"/>
      <c r="I1219" s="189"/>
      <c r="L1219" s="189"/>
      <c r="M1219" s="189"/>
      <c r="N1219" s="189"/>
      <c r="O1219" s="189"/>
      <c r="Q1219" s="189"/>
    </row>
    <row r="1220" spans="1:17" ht="13.5" customHeight="1"/>
    <row r="1221" spans="1:17" ht="13.5" customHeight="1"/>
    <row r="1222" spans="1:17" ht="13.5" customHeight="1"/>
    <row r="1223" spans="1:17" ht="13.5" customHeight="1"/>
    <row r="1224" spans="1:17" ht="13.5" customHeight="1"/>
    <row r="1225" spans="1:17" ht="13.5" customHeight="1"/>
    <row r="1226" spans="1:17" ht="13.5" customHeight="1"/>
    <row r="1227" spans="1:17" ht="13.5" customHeight="1"/>
    <row r="1228" spans="1:17" ht="13.5" customHeight="1"/>
    <row r="1229" spans="1:17" ht="13.5" customHeight="1"/>
    <row r="1230" spans="1:17" ht="13.5" customHeight="1"/>
    <row r="1231" spans="1:17" ht="13.5" customHeight="1"/>
    <row r="1232" spans="1:17" ht="13.5" customHeight="1"/>
    <row r="1233" ht="13.5" customHeight="1"/>
    <row r="1234" ht="13.5" customHeight="1"/>
    <row r="1235" ht="13.5" customHeight="1"/>
    <row r="1236" ht="13.5" customHeight="1"/>
    <row r="1237" ht="13.5" customHeight="1"/>
    <row r="1238" ht="13.5" customHeight="1"/>
    <row r="1239" ht="13.5" customHeight="1"/>
    <row r="1240" ht="13.5" customHeight="1"/>
    <row r="1241" ht="13.5" customHeight="1"/>
    <row r="1242" ht="13.5" customHeight="1"/>
    <row r="1243" ht="13.5" customHeight="1"/>
    <row r="1244" ht="13.5" customHeight="1"/>
    <row r="1245" ht="13.5" customHeight="1"/>
    <row r="1246" ht="13.5" customHeight="1"/>
    <row r="1247" ht="13.5" customHeight="1"/>
    <row r="1248" ht="13.5" customHeight="1"/>
    <row r="1249" ht="13.5" customHeight="1"/>
    <row r="1250" ht="13.5" customHeight="1"/>
    <row r="1251" ht="13.5" customHeight="1"/>
    <row r="1252" ht="13.5" customHeight="1"/>
    <row r="1253" ht="13.5" customHeight="1"/>
    <row r="1254" ht="13.5" customHeight="1"/>
    <row r="1255" ht="13.5" customHeight="1"/>
    <row r="1256" ht="13.5" customHeight="1"/>
    <row r="1257" ht="13.5" customHeight="1"/>
    <row r="1258" ht="13.5" customHeight="1"/>
    <row r="1259" ht="13.5" customHeight="1"/>
    <row r="1260" ht="13.5" customHeight="1"/>
    <row r="1261" ht="13.5" customHeight="1"/>
    <row r="1262" ht="13.5" customHeight="1"/>
    <row r="1263" ht="13.5" customHeight="1"/>
    <row r="1264" ht="13.5" customHeight="1"/>
    <row r="1265" ht="13.5" customHeight="1"/>
    <row r="1266" ht="13.5" customHeight="1"/>
    <row r="1267" ht="13.5" customHeight="1"/>
    <row r="1268" ht="13.5" customHeight="1"/>
    <row r="1269" ht="13.5" customHeight="1"/>
    <row r="1270" ht="13.5" customHeight="1"/>
    <row r="1271" ht="13.5" customHeight="1"/>
    <row r="1272" ht="13.5" customHeight="1"/>
    <row r="1273" ht="13.5" customHeight="1"/>
    <row r="1274" ht="13.5" customHeight="1"/>
    <row r="1275" ht="13.5" customHeight="1"/>
    <row r="1276" ht="13.5" customHeight="1"/>
    <row r="1277" ht="13.5" customHeight="1"/>
    <row r="1278" ht="13.5" customHeight="1"/>
    <row r="1279" ht="13.5" customHeight="1"/>
    <row r="1280" ht="13.5" customHeight="1"/>
    <row r="1281" ht="13.5" customHeight="1"/>
    <row r="1282" ht="13.5" customHeight="1"/>
    <row r="1283" ht="13.5" customHeight="1"/>
    <row r="1284" ht="13.5" customHeight="1"/>
    <row r="1285" ht="13.5" customHeight="1"/>
    <row r="1286" ht="13.5" customHeight="1"/>
    <row r="1287" ht="13.5" customHeight="1"/>
    <row r="1288" ht="13.5" customHeight="1"/>
    <row r="1289" ht="13.5" customHeight="1"/>
    <row r="1290" ht="13.5" customHeight="1"/>
    <row r="1291" ht="13.5" customHeight="1"/>
    <row r="1292" ht="13.5" customHeight="1"/>
    <row r="1293" ht="13.5" customHeight="1"/>
    <row r="1294" ht="13.5" customHeight="1"/>
    <row r="1295" ht="13.5" customHeight="1"/>
    <row r="1296" ht="13.5" customHeight="1"/>
    <row r="1297" ht="13.5" customHeight="1"/>
    <row r="1298" ht="13.5" customHeight="1"/>
    <row r="1299" ht="13.5" customHeight="1"/>
    <row r="1300" ht="13.5" customHeight="1"/>
    <row r="1301" ht="13.5" customHeight="1"/>
    <row r="1302" ht="13.5" customHeight="1"/>
    <row r="1303" ht="13.5" customHeight="1"/>
    <row r="1304" ht="13.5" customHeight="1"/>
    <row r="1305" ht="13.5" customHeight="1"/>
    <row r="1306" ht="13.5" customHeight="1"/>
    <row r="1307" ht="13.5" customHeight="1"/>
    <row r="1308" ht="13.5" customHeight="1"/>
    <row r="1309" ht="13.5" customHeight="1"/>
    <row r="1310" ht="13.5" customHeight="1"/>
    <row r="1311" ht="13.5" customHeight="1"/>
    <row r="1312" ht="13.5" customHeight="1"/>
    <row r="1313" ht="13.5" customHeight="1"/>
    <row r="1314" ht="13.5" customHeight="1"/>
    <row r="1315" ht="13.5" customHeight="1"/>
    <row r="1316" ht="13.5" customHeight="1"/>
    <row r="1317" ht="13.5" customHeight="1"/>
    <row r="1318" ht="13.5" customHeight="1"/>
    <row r="1319" ht="13.5" customHeight="1"/>
    <row r="1320" ht="13.5" customHeight="1"/>
    <row r="1321" ht="13.5" customHeight="1"/>
    <row r="1322" ht="13.5" customHeight="1"/>
    <row r="1323" ht="13.5" customHeight="1"/>
    <row r="1324" ht="13.5" customHeight="1"/>
    <row r="1325" ht="13.5" customHeight="1"/>
    <row r="1326" ht="13.5" customHeight="1"/>
    <row r="1327" ht="13.5" customHeight="1"/>
    <row r="1328" ht="13.5" customHeight="1"/>
    <row r="1329" ht="13.5" customHeight="1"/>
    <row r="1330" ht="13.5" customHeight="1"/>
    <row r="1331" ht="13.5" customHeight="1"/>
    <row r="1332" ht="13.5" customHeight="1"/>
    <row r="1333" ht="13.5" customHeight="1"/>
    <row r="1334" ht="13.5" customHeight="1"/>
    <row r="1335" ht="13.5" customHeight="1"/>
    <row r="1336" ht="13.5" customHeight="1"/>
    <row r="1337" ht="13.5" customHeight="1"/>
    <row r="1338" ht="13.5" customHeight="1"/>
    <row r="1339" ht="13.5" customHeight="1"/>
    <row r="1340" ht="13.5" customHeight="1"/>
    <row r="1341" ht="13.5" customHeight="1"/>
    <row r="1342" ht="13.5" customHeight="1"/>
    <row r="1343" ht="13.5" customHeight="1"/>
    <row r="1344" ht="13.5" customHeight="1"/>
    <row r="1345" ht="13.5" customHeight="1"/>
    <row r="1346" ht="13.5" customHeight="1"/>
    <row r="1347" ht="13.5" customHeight="1"/>
    <row r="1348" ht="13.5" customHeight="1"/>
    <row r="1349" ht="13.5" customHeight="1"/>
    <row r="1350" ht="13.5" customHeight="1"/>
    <row r="1351" ht="13.5" customHeight="1"/>
    <row r="1352" ht="13.5" customHeight="1"/>
    <row r="1353" ht="13.5" customHeight="1"/>
    <row r="1354" ht="13.5" customHeight="1"/>
    <row r="1355" ht="13.5" customHeight="1"/>
    <row r="1356" ht="13.5" customHeight="1"/>
    <row r="1357" ht="13.5" customHeight="1"/>
    <row r="1358" ht="13.5" customHeight="1"/>
    <row r="1359" ht="13.5" customHeight="1"/>
    <row r="1360" ht="13.5" customHeight="1"/>
    <row r="1361" ht="13.5" customHeight="1"/>
    <row r="1362" ht="13.5" customHeight="1"/>
    <row r="1363" ht="13.5" customHeight="1"/>
    <row r="1364" ht="13.5" customHeight="1"/>
    <row r="1365" ht="13.5" customHeight="1"/>
    <row r="1366" ht="13.5" customHeight="1"/>
    <row r="1367" ht="13.5" customHeight="1"/>
    <row r="1368" ht="13.5" customHeight="1"/>
    <row r="1369" ht="13.5" customHeight="1"/>
    <row r="1370" ht="13.5" customHeight="1"/>
    <row r="1371" ht="13.5" customHeight="1"/>
    <row r="1372" ht="13.5" customHeight="1"/>
    <row r="1373" ht="13.5" customHeight="1"/>
    <row r="1374" ht="13.5" customHeight="1"/>
    <row r="1375" ht="13.5" customHeight="1"/>
    <row r="1376" ht="13.5" customHeight="1"/>
    <row r="1377" ht="13.5" customHeight="1"/>
    <row r="1378" ht="13.5" customHeight="1"/>
    <row r="1379" ht="13.5" customHeight="1"/>
    <row r="1380" ht="13.5" customHeight="1"/>
    <row r="1381" ht="13.5" customHeight="1"/>
    <row r="1382" ht="13.5" customHeight="1"/>
    <row r="1383" ht="13.5" customHeight="1"/>
    <row r="1384" ht="13.5" customHeight="1"/>
    <row r="1385" ht="13.5" customHeight="1"/>
    <row r="1386" ht="13.5" customHeight="1"/>
    <row r="1387" ht="13.5" customHeight="1"/>
    <row r="1388" ht="13.5" customHeight="1"/>
    <row r="1389" ht="13.5" customHeight="1"/>
    <row r="1390" ht="13.5" customHeight="1"/>
    <row r="1391" ht="13.5" customHeight="1"/>
    <row r="1392" ht="13.5" customHeight="1"/>
    <row r="1393" ht="13.5" customHeight="1"/>
    <row r="1394" ht="13.5" customHeight="1"/>
    <row r="1395" ht="13.5" customHeight="1"/>
    <row r="1396" ht="13.5" customHeight="1"/>
    <row r="1397" ht="13.5" customHeight="1"/>
    <row r="1398" ht="13.5" customHeight="1"/>
    <row r="1399" ht="13.5" customHeight="1"/>
    <row r="1400" ht="13.5" customHeight="1"/>
    <row r="1401" ht="13.5" customHeight="1"/>
    <row r="1402" ht="13.5" customHeight="1"/>
    <row r="1403" ht="13.5" customHeight="1"/>
    <row r="1404" ht="13.5" customHeight="1"/>
    <row r="1405" ht="13.5" customHeight="1"/>
    <row r="1406" ht="13.5" customHeight="1"/>
    <row r="1407" ht="13.5" customHeight="1"/>
    <row r="1408" ht="13.5" customHeight="1"/>
    <row r="1409" spans="11:11" ht="13.5" customHeight="1"/>
    <row r="1410" spans="11:11" ht="13.5" customHeight="1"/>
    <row r="1411" spans="11:11" ht="13.5" customHeight="1"/>
    <row r="1414" spans="11:11">
      <c r="K1414" s="786"/>
    </row>
  </sheetData>
  <sheetProtection selectLockedCells="1" selectUnlockedCells="1"/>
  <autoFilter ref="L1:N1414"/>
  <mergeCells count="23">
    <mergeCell ref="A1088:I1088"/>
    <mergeCell ref="J5:J6"/>
    <mergeCell ref="K5:K6"/>
    <mergeCell ref="G139:I139"/>
    <mergeCell ref="R139:S139"/>
    <mergeCell ref="H423:I423"/>
    <mergeCell ref="G658:I658"/>
    <mergeCell ref="H663:I663"/>
    <mergeCell ref="R321:S325"/>
    <mergeCell ref="P5:P6"/>
    <mergeCell ref="Q5:Q6"/>
    <mergeCell ref="Q656:Q657"/>
    <mergeCell ref="Q1021:Q1022"/>
    <mergeCell ref="B5:F6"/>
    <mergeCell ref="G5:I6"/>
    <mergeCell ref="G706:I706"/>
    <mergeCell ref="G729:I729"/>
    <mergeCell ref="E2:M2"/>
    <mergeCell ref="E3:L3"/>
    <mergeCell ref="A4:H4"/>
    <mergeCell ref="L5:N5"/>
    <mergeCell ref="B7:F7"/>
    <mergeCell ref="G7:I7"/>
  </mergeCells>
  <pageMargins left="0.27500000000000002" right="0.196527777777778" top="0.156944444444444" bottom="0.23611111111111099" header="0.39305555555555599" footer="0.156944444444444"/>
  <pageSetup paperSize="128" scale="76" firstPageNumber="0" orientation="landscape" useFirstPageNumber="1" r:id="rId1"/>
  <headerFooter alignWithMargins="0">
    <oddFooter>&amp;C&amp;7&amp;K02-049&amp;F&amp;D&amp;T&amp;R&amp;8Halaman........&amp;P          .................</oddFooter>
  </headerFooter>
  <rowBreaks count="1" manualBreakCount="1">
    <brk id="304" max="16" man="1"/>
  </rowBreaks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7030A0"/>
  </sheetPr>
  <dimension ref="A1:AL97"/>
  <sheetViews>
    <sheetView view="pageBreakPreview" topLeftCell="A4" zoomScale="98" zoomScaleNormal="120" zoomScaleSheetLayoutView="98" workbookViewId="0">
      <pane ySplit="4" topLeftCell="A8" activePane="bottomLeft" state="frozen"/>
      <selection activeCell="A4" sqref="A4"/>
      <selection pane="bottomLeft" activeCell="J29" sqref="J29"/>
    </sheetView>
  </sheetViews>
  <sheetFormatPr defaultColWidth="9.109375" defaultRowHeight="13.15"/>
  <cols>
    <col min="1" max="1" width="6.44140625" style="189" customWidth="1"/>
    <col min="2" max="7" width="2.6640625" style="193" customWidth="1"/>
    <col min="8" max="8" width="2.33203125" style="189" customWidth="1"/>
    <col min="9" max="9" width="6" style="189" customWidth="1"/>
    <col min="10" max="10" width="34.109375" style="189" customWidth="1"/>
    <col min="11" max="11" width="20.109375" style="189" customWidth="1"/>
    <col min="12" max="12" width="20" style="189" customWidth="1"/>
    <col min="13" max="13" width="19.5546875" style="189" customWidth="1"/>
    <col min="14" max="14" width="18.6640625" style="189" customWidth="1"/>
    <col min="15" max="15" width="20.44140625" style="189" customWidth="1"/>
    <col min="16" max="16" width="18.6640625" style="189" customWidth="1"/>
    <col min="17" max="17" width="8" style="189" customWidth="1"/>
    <col min="18" max="18" width="9.44140625" style="189" customWidth="1"/>
    <col min="19" max="19" width="20.109375" style="189" customWidth="1"/>
    <col min="20" max="20" width="13.5546875" style="189" customWidth="1"/>
    <col min="21" max="16384" width="9.109375" style="189"/>
  </cols>
  <sheetData>
    <row r="1" spans="1:21" ht="18.2">
      <c r="A1" s="5808" t="s">
        <v>1184</v>
      </c>
      <c r="B1" s="5809"/>
      <c r="C1" s="5809"/>
      <c r="D1" s="5809"/>
      <c r="E1" s="5809"/>
      <c r="F1" s="5809"/>
      <c r="G1" s="5809"/>
      <c r="H1" s="5809"/>
      <c r="I1" s="5809"/>
      <c r="J1" s="5809"/>
      <c r="K1" s="5809"/>
      <c r="L1" s="5809"/>
      <c r="M1" s="5809"/>
      <c r="N1" s="5809"/>
      <c r="O1" s="5809"/>
      <c r="P1" s="5809"/>
      <c r="Q1" s="5809"/>
      <c r="R1" s="5809"/>
    </row>
    <row r="2" spans="1:21" ht="18.2">
      <c r="A2" s="5809" t="s">
        <v>1077</v>
      </c>
      <c r="B2" s="5809"/>
      <c r="C2" s="5809"/>
      <c r="D2" s="5809"/>
      <c r="E2" s="5809"/>
      <c r="F2" s="5809"/>
      <c r="G2" s="5809"/>
      <c r="H2" s="5809"/>
      <c r="I2" s="5809"/>
      <c r="J2" s="5809"/>
      <c r="K2" s="5809"/>
      <c r="L2" s="5809"/>
      <c r="M2" s="5809"/>
      <c r="N2" s="5809"/>
      <c r="O2" s="5809"/>
      <c r="P2" s="5809"/>
      <c r="Q2" s="5809"/>
      <c r="R2" s="5809"/>
    </row>
    <row r="3" spans="1:21">
      <c r="A3" s="194"/>
      <c r="B3" s="195"/>
      <c r="C3" s="195"/>
      <c r="D3" s="195"/>
      <c r="E3" s="195"/>
      <c r="F3" s="195"/>
      <c r="G3" s="195"/>
      <c r="H3" s="194"/>
      <c r="I3" s="194"/>
      <c r="J3" s="194"/>
      <c r="K3" s="194"/>
      <c r="L3" s="194"/>
      <c r="M3" s="194"/>
      <c r="N3" s="194"/>
      <c r="O3" s="194"/>
      <c r="P3" s="194"/>
      <c r="Q3" s="5810"/>
      <c r="R3" s="5810"/>
    </row>
    <row r="4" spans="1:21" ht="19.600000000000001" customHeight="1">
      <c r="A4" s="196" t="s">
        <v>937</v>
      </c>
      <c r="B4" s="5811" t="s">
        <v>938</v>
      </c>
      <c r="C4" s="5812"/>
      <c r="D4" s="5812"/>
      <c r="E4" s="5812"/>
      <c r="F4" s="5812"/>
      <c r="G4" s="5813"/>
      <c r="H4" s="5817" t="s">
        <v>56</v>
      </c>
      <c r="I4" s="5817"/>
      <c r="J4" s="5817"/>
      <c r="K4" s="5818" t="s">
        <v>474</v>
      </c>
      <c r="L4" s="5818" t="s">
        <v>475</v>
      </c>
      <c r="M4" s="5818" t="s">
        <v>416</v>
      </c>
      <c r="N4" s="5820" t="s">
        <v>1078</v>
      </c>
      <c r="O4" s="214" t="s">
        <v>476</v>
      </c>
      <c r="P4" s="214" t="s">
        <v>1079</v>
      </c>
      <c r="Q4" s="5823" t="s">
        <v>6</v>
      </c>
      <c r="R4" s="5747" t="s">
        <v>704</v>
      </c>
    </row>
    <row r="5" spans="1:21" ht="16.45" customHeight="1">
      <c r="A5" s="197" t="s">
        <v>942</v>
      </c>
      <c r="B5" s="5814"/>
      <c r="C5" s="5815"/>
      <c r="D5" s="5815"/>
      <c r="E5" s="5815"/>
      <c r="F5" s="5815"/>
      <c r="G5" s="5816"/>
      <c r="H5" s="5824" t="s">
        <v>1080</v>
      </c>
      <c r="I5" s="5824"/>
      <c r="J5" s="5824"/>
      <c r="K5" s="5819"/>
      <c r="L5" s="5819"/>
      <c r="M5" s="5819"/>
      <c r="N5" s="5820"/>
      <c r="O5" s="215" t="s">
        <v>481</v>
      </c>
      <c r="P5" s="215"/>
      <c r="Q5" s="5823"/>
      <c r="R5" s="5748"/>
    </row>
    <row r="6" spans="1:21" ht="12.7" customHeight="1">
      <c r="A6" s="198">
        <v>1</v>
      </c>
      <c r="B6" s="5806">
        <v>2</v>
      </c>
      <c r="C6" s="5806"/>
      <c r="D6" s="5806"/>
      <c r="E6" s="5806"/>
      <c r="F6" s="5806"/>
      <c r="G6" s="5806"/>
      <c r="H6" s="5807">
        <v>3</v>
      </c>
      <c r="I6" s="5807"/>
      <c r="J6" s="5807"/>
      <c r="K6" s="198">
        <v>4</v>
      </c>
      <c r="L6" s="198">
        <v>5</v>
      </c>
      <c r="M6" s="198">
        <v>6</v>
      </c>
      <c r="N6" s="198">
        <v>7</v>
      </c>
      <c r="O6" s="2777" t="s">
        <v>485</v>
      </c>
      <c r="P6" s="2777" t="s">
        <v>486</v>
      </c>
      <c r="Q6" s="2777" t="s">
        <v>444</v>
      </c>
      <c r="R6" s="2777" t="s">
        <v>969</v>
      </c>
      <c r="S6" s="3483"/>
      <c r="T6" s="226"/>
      <c r="U6" s="226"/>
    </row>
    <row r="7" spans="1:21" s="3433" customFormat="1" ht="15.85" customHeight="1">
      <c r="A7" s="3424"/>
      <c r="B7" s="3425">
        <v>6</v>
      </c>
      <c r="C7" s="3425">
        <v>1</v>
      </c>
      <c r="D7" s="3425">
        <v>1</v>
      </c>
      <c r="E7" s="3425" t="s">
        <v>445</v>
      </c>
      <c r="F7" s="3425" t="s">
        <v>440</v>
      </c>
      <c r="G7" s="3426"/>
      <c r="H7" s="3427" t="s">
        <v>1081</v>
      </c>
      <c r="I7" s="3428"/>
      <c r="J7" s="3429"/>
      <c r="K7" s="3519">
        <f t="shared" ref="K7:P7" si="0">K8+K58+K65</f>
        <v>3802519445799</v>
      </c>
      <c r="L7" s="3519">
        <f t="shared" si="0"/>
        <v>3954156416678.9697</v>
      </c>
      <c r="M7" s="3519">
        <f t="shared" si="0"/>
        <v>4791397359569</v>
      </c>
      <c r="N7" s="3519">
        <f t="shared" si="0"/>
        <v>1145356630856.72</v>
      </c>
      <c r="O7" s="3519">
        <f t="shared" si="0"/>
        <v>4856838624052</v>
      </c>
      <c r="P7" s="3519">
        <f t="shared" si="0"/>
        <v>65441264483</v>
      </c>
      <c r="Q7" s="3430">
        <f>O7/M7*100-100</f>
        <v>1.3658074998164267</v>
      </c>
      <c r="R7" s="3431"/>
      <c r="S7" s="436">
        <f>+O7-M7</f>
        <v>65441264483</v>
      </c>
      <c r="T7" s="3432">
        <f>+S7-P7</f>
        <v>0</v>
      </c>
    </row>
    <row r="8" spans="1:21" s="3408" customFormat="1" ht="17.100000000000001" customHeight="1">
      <c r="A8" s="3417" t="s">
        <v>61</v>
      </c>
      <c r="B8" s="3418"/>
      <c r="C8" s="3418"/>
      <c r="D8" s="3418"/>
      <c r="E8" s="3418"/>
      <c r="F8" s="3418"/>
      <c r="G8" s="3419"/>
      <c r="H8" s="3423" t="s">
        <v>180</v>
      </c>
      <c r="I8" s="3420"/>
      <c r="J8" s="3421"/>
      <c r="K8" s="3520">
        <f>K9+K15+K32+K43</f>
        <v>1450044930319</v>
      </c>
      <c r="L8" s="3520">
        <f>L9+L15+L32+L43</f>
        <v>1348970161792.4299</v>
      </c>
      <c r="M8" s="3520">
        <f>M9+M15+M32+M43</f>
        <v>1501611335359</v>
      </c>
      <c r="N8" s="3520">
        <f>N9+N15+N32+N43</f>
        <v>287722965598.72998</v>
      </c>
      <c r="O8" s="3520">
        <f>O9+O15+O32+O43</f>
        <v>1507731170152</v>
      </c>
      <c r="P8" s="3520">
        <f>O8-M8</f>
        <v>6119834793</v>
      </c>
      <c r="Q8" s="3406">
        <f t="shared" ref="Q8:Q71" si="1">O8/M8*100-100</f>
        <v>0.40755118510989519</v>
      </c>
      <c r="R8" s="3422"/>
      <c r="S8" s="436">
        <f>+O8-M8</f>
        <v>6119834793</v>
      </c>
      <c r="T8" s="3407">
        <f>+S8-P8</f>
        <v>0</v>
      </c>
    </row>
    <row r="9" spans="1:21" s="3493" customFormat="1" ht="17.100000000000001" customHeight="1">
      <c r="A9" s="3484" t="s">
        <v>1185</v>
      </c>
      <c r="B9" s="3485">
        <v>4</v>
      </c>
      <c r="C9" s="3485">
        <v>1</v>
      </c>
      <c r="D9" s="3485">
        <v>1</v>
      </c>
      <c r="E9" s="3485"/>
      <c r="F9" s="3485"/>
      <c r="G9" s="3486" t="s">
        <v>1082</v>
      </c>
      <c r="H9" s="3487" t="s">
        <v>1141</v>
      </c>
      <c r="I9" s="3488"/>
      <c r="J9" s="3489"/>
      <c r="K9" s="3521">
        <f t="shared" ref="K9:P9" si="2">SUM(K10:K14)</f>
        <v>1037549599000</v>
      </c>
      <c r="L9" s="3521">
        <f t="shared" si="2"/>
        <v>1003260953668</v>
      </c>
      <c r="M9" s="3521">
        <f t="shared" si="2"/>
        <v>1122139007935</v>
      </c>
      <c r="N9" s="3521">
        <f t="shared" si="2"/>
        <v>233266101062</v>
      </c>
      <c r="O9" s="3521">
        <f t="shared" si="2"/>
        <v>1124031467000</v>
      </c>
      <c r="P9" s="3521">
        <f t="shared" si="2"/>
        <v>1892459065</v>
      </c>
      <c r="Q9" s="3490">
        <f t="shared" si="1"/>
        <v>0.16864747162497906</v>
      </c>
      <c r="R9" s="3491"/>
      <c r="S9" s="436"/>
      <c r="T9" s="3492"/>
    </row>
    <row r="10" spans="1:21" ht="17.100000000000001" customHeight="1">
      <c r="A10" s="3340"/>
      <c r="B10" s="3667">
        <v>4</v>
      </c>
      <c r="C10" s="3667">
        <v>1</v>
      </c>
      <c r="D10" s="3667">
        <v>1</v>
      </c>
      <c r="E10" s="3668" t="s">
        <v>437</v>
      </c>
      <c r="F10" s="3667"/>
      <c r="G10" s="3350"/>
      <c r="H10" s="3669" t="s">
        <v>1142</v>
      </c>
      <c r="I10" s="2113"/>
      <c r="J10" s="3670"/>
      <c r="K10" s="3504">
        <f>'KOM opsi 1'!J14</f>
        <v>248153000000</v>
      </c>
      <c r="L10" s="3504">
        <f>'KOM opsi 1'!K14</f>
        <v>269187973631</v>
      </c>
      <c r="M10" s="3504">
        <f>'KOM opsi 1'!L14</f>
        <v>311893723935</v>
      </c>
      <c r="N10" s="3504">
        <f>'KOM opsi 1'!O14</f>
        <v>69415566816</v>
      </c>
      <c r="O10" s="3671">
        <f>'KOM opsi 1.'!P13</f>
        <v>301732799000</v>
      </c>
      <c r="P10" s="3672">
        <f>O10-M10</f>
        <v>-10160924935</v>
      </c>
      <c r="Q10" s="3673">
        <f t="shared" si="1"/>
        <v>-3.2578164147726056</v>
      </c>
      <c r="R10" s="3674" t="s">
        <v>1188</v>
      </c>
      <c r="S10" s="436"/>
      <c r="T10" s="436"/>
    </row>
    <row r="11" spans="1:21" ht="17.100000000000001" customHeight="1">
      <c r="A11" s="3343"/>
      <c r="B11" s="3343">
        <v>4</v>
      </c>
      <c r="C11" s="3343">
        <v>1</v>
      </c>
      <c r="D11" s="3343">
        <v>1</v>
      </c>
      <c r="E11" s="3675" t="s">
        <v>440</v>
      </c>
      <c r="F11" s="3343"/>
      <c r="G11" s="3352"/>
      <c r="H11" s="3676" t="s">
        <v>1153</v>
      </c>
      <c r="I11" s="202"/>
      <c r="J11" s="218"/>
      <c r="K11" s="3506">
        <f>'KOM opsi 1'!J26</f>
        <v>318503155000</v>
      </c>
      <c r="L11" s="3506">
        <f>'KOM opsi 1'!K26</f>
        <v>322208887701</v>
      </c>
      <c r="M11" s="3506">
        <f>'KOM opsi 1'!L26</f>
        <v>321503155000</v>
      </c>
      <c r="N11" s="3506">
        <f>'KOM opsi 1'!O26</f>
        <v>72721445555</v>
      </c>
      <c r="O11" s="3506">
        <f>'KOM opsi 1'!P26</f>
        <v>322208888000</v>
      </c>
      <c r="P11" s="3677">
        <f>O11-M11</f>
        <v>705733000</v>
      </c>
      <c r="Q11" s="3678">
        <f t="shared" si="1"/>
        <v>0.21951044306236156</v>
      </c>
      <c r="R11" s="3679"/>
      <c r="S11" s="436"/>
      <c r="T11" s="436"/>
    </row>
    <row r="12" spans="1:21" ht="17.100000000000001" customHeight="1">
      <c r="A12" s="3343"/>
      <c r="B12" s="3343">
        <v>4</v>
      </c>
      <c r="C12" s="3343">
        <v>1</v>
      </c>
      <c r="D12" s="3343">
        <v>1</v>
      </c>
      <c r="E12" s="3675" t="s">
        <v>451</v>
      </c>
      <c r="F12" s="3343"/>
      <c r="G12" s="3352"/>
      <c r="H12" s="3676" t="s">
        <v>1154</v>
      </c>
      <c r="I12" s="202"/>
      <c r="J12" s="218"/>
      <c r="K12" s="3506">
        <f>'KOM opsi 1'!J38</f>
        <v>192900000000</v>
      </c>
      <c r="L12" s="3506">
        <f>'KOM opsi 1'!K38</f>
        <v>188945861622</v>
      </c>
      <c r="M12" s="3506">
        <f>'KOM opsi 1'!L38</f>
        <v>192900000000</v>
      </c>
      <c r="N12" s="3506">
        <f>'KOM opsi 1'!O38</f>
        <v>46114131883</v>
      </c>
      <c r="O12" s="3506">
        <f>'KOM opsi 1'!P38</f>
        <v>188945861000</v>
      </c>
      <c r="P12" s="3524">
        <f>O12-M12</f>
        <v>-3954139000</v>
      </c>
      <c r="Q12" s="3678">
        <f t="shared" si="1"/>
        <v>-2.0498387765681656</v>
      </c>
      <c r="R12" s="3679"/>
      <c r="S12" s="436"/>
      <c r="T12" s="436"/>
    </row>
    <row r="13" spans="1:21" ht="15.85" customHeight="1">
      <c r="A13" s="3343"/>
      <c r="B13" s="3343">
        <v>4</v>
      </c>
      <c r="C13" s="3343">
        <v>1</v>
      </c>
      <c r="D13" s="3343">
        <v>1</v>
      </c>
      <c r="E13" s="3675" t="s">
        <v>441</v>
      </c>
      <c r="F13" s="3343"/>
      <c r="G13" s="3352"/>
      <c r="H13" s="3676" t="s">
        <v>1156</v>
      </c>
      <c r="I13" s="202"/>
      <c r="J13" s="218"/>
      <c r="K13" s="3506">
        <f>'KOM opsi 1'!J40</f>
        <v>300000000</v>
      </c>
      <c r="L13" s="3506">
        <f>'KOM opsi 1'!K40</f>
        <v>361290857</v>
      </c>
      <c r="M13" s="3506">
        <f>'KOM opsi 1'!L40</f>
        <v>1000000000</v>
      </c>
      <c r="N13" s="3506">
        <f>'KOM opsi 1'!O40</f>
        <v>228953247</v>
      </c>
      <c r="O13" s="3506">
        <f>'KOM opsi 1'!P40</f>
        <v>1000000000</v>
      </c>
      <c r="P13" s="3677">
        <f>O13-M13</f>
        <v>0</v>
      </c>
      <c r="Q13" s="3678">
        <f t="shared" si="1"/>
        <v>0</v>
      </c>
      <c r="R13" s="3679"/>
      <c r="S13" s="436"/>
      <c r="T13" s="436"/>
    </row>
    <row r="14" spans="1:21" ht="15.85" customHeight="1">
      <c r="A14" s="3680"/>
      <c r="B14" s="3680">
        <v>4</v>
      </c>
      <c r="C14" s="3680">
        <v>1</v>
      </c>
      <c r="D14" s="3680">
        <v>1</v>
      </c>
      <c r="E14" s="3681" t="s">
        <v>1187</v>
      </c>
      <c r="F14" s="3680"/>
      <c r="G14" s="3682"/>
      <c r="H14" s="3683" t="s">
        <v>1157</v>
      </c>
      <c r="I14" s="3684"/>
      <c r="J14" s="3685"/>
      <c r="K14" s="3686">
        <f>'KOM opsi 1'!J42</f>
        <v>277693444000</v>
      </c>
      <c r="L14" s="3686">
        <f>'KOM opsi 1'!K42</f>
        <v>222556939857</v>
      </c>
      <c r="M14" s="3686">
        <f>'KOM opsi 1'!L42</f>
        <v>294842129000</v>
      </c>
      <c r="N14" s="3686">
        <f>'KOM opsi 1'!O42</f>
        <v>44786003561</v>
      </c>
      <c r="O14" s="3686">
        <f>'KOM opsi 1'!P42</f>
        <v>310143919000</v>
      </c>
      <c r="P14" s="3687">
        <f>O14-M14</f>
        <v>15301790000</v>
      </c>
      <c r="Q14" s="3688">
        <f t="shared" si="1"/>
        <v>5.1898248231683368</v>
      </c>
      <c r="R14" s="3689"/>
      <c r="S14" s="436"/>
      <c r="T14" s="436"/>
    </row>
    <row r="15" spans="1:21" s="3493" customFormat="1" ht="16.45" customHeight="1">
      <c r="A15" s="3494" t="s">
        <v>1186</v>
      </c>
      <c r="B15" s="3485">
        <v>4</v>
      </c>
      <c r="C15" s="3485">
        <v>1</v>
      </c>
      <c r="D15" s="3485">
        <v>2</v>
      </c>
      <c r="E15" s="3485"/>
      <c r="F15" s="3485"/>
      <c r="G15" s="3495" t="s">
        <v>1082</v>
      </c>
      <c r="H15" s="3496" t="s">
        <v>106</v>
      </c>
      <c r="I15" s="3488"/>
      <c r="J15" s="3497"/>
      <c r="K15" s="3503">
        <f t="shared" ref="K15:P15" si="3">SUM(K16:K30)-K16-K21-K27</f>
        <v>29890858000</v>
      </c>
      <c r="L15" s="3503">
        <f t="shared" si="3"/>
        <v>29792038549</v>
      </c>
      <c r="M15" s="3503">
        <f t="shared" si="3"/>
        <v>18459358000</v>
      </c>
      <c r="N15" s="3503">
        <f t="shared" si="3"/>
        <v>4448558476</v>
      </c>
      <c r="O15" s="3503">
        <f t="shared" si="3"/>
        <v>19945053500</v>
      </c>
      <c r="P15" s="3503">
        <f t="shared" si="3"/>
        <v>1485695500</v>
      </c>
      <c r="Q15" s="3490">
        <f t="shared" si="1"/>
        <v>8.0484678827941849</v>
      </c>
      <c r="R15" s="3491"/>
      <c r="S15" s="436">
        <f t="shared" ref="S15:S74" si="4">+O15-M15</f>
        <v>1485695500</v>
      </c>
      <c r="T15" s="3492">
        <f t="shared" ref="T15:T74" si="5">+S15-P15</f>
        <v>0</v>
      </c>
    </row>
    <row r="16" spans="1:21">
      <c r="A16" s="3339"/>
      <c r="B16" s="3340">
        <v>4</v>
      </c>
      <c r="C16" s="3340">
        <v>1</v>
      </c>
      <c r="D16" s="3340">
        <v>2</v>
      </c>
      <c r="E16" s="3340" t="s">
        <v>437</v>
      </c>
      <c r="F16" s="3340"/>
      <c r="G16" s="3341"/>
      <c r="H16" s="3089" t="s">
        <v>107</v>
      </c>
      <c r="I16" s="212"/>
      <c r="J16" s="3088"/>
      <c r="K16" s="3504">
        <f>SUM(K17:K19)</f>
        <v>19059250000</v>
      </c>
      <c r="L16" s="3504">
        <f>SUM(L17:L19)</f>
        <v>19214538092</v>
      </c>
      <c r="M16" s="3504">
        <f>SUM(M17:M19)</f>
        <v>7519250000</v>
      </c>
      <c r="N16" s="3504">
        <f>SUM(N17:N19)</f>
        <v>2714722900</v>
      </c>
      <c r="O16" s="3504">
        <f>SUM(O17:O19)</f>
        <v>9000000000</v>
      </c>
      <c r="P16" s="3504">
        <f>O16-M16</f>
        <v>1480750000</v>
      </c>
      <c r="Q16" s="3690">
        <f t="shared" si="1"/>
        <v>19.692788509492303</v>
      </c>
      <c r="R16" s="3083"/>
      <c r="S16" s="436">
        <f t="shared" si="4"/>
        <v>1480750000</v>
      </c>
      <c r="T16" s="436">
        <f t="shared" si="5"/>
        <v>0</v>
      </c>
    </row>
    <row r="17" spans="1:20" ht="12.7" customHeight="1">
      <c r="A17" s="3342"/>
      <c r="B17" s="3343">
        <v>4</v>
      </c>
      <c r="C17" s="3343">
        <v>1</v>
      </c>
      <c r="D17" s="3343">
        <v>2</v>
      </c>
      <c r="E17" s="3343" t="s">
        <v>437</v>
      </c>
      <c r="F17" s="3343" t="s">
        <v>437</v>
      </c>
      <c r="G17" s="3344">
        <v>1</v>
      </c>
      <c r="H17" s="2214" t="s">
        <v>1083</v>
      </c>
      <c r="I17" s="200"/>
      <c r="J17" s="217"/>
      <c r="K17" s="3505">
        <f>+'KOM opsi 1'!J46</f>
        <v>18800000000</v>
      </c>
      <c r="L17" s="3505">
        <f>+'KOM opsi 1'!K46</f>
        <v>18927671342</v>
      </c>
      <c r="M17" s="3505">
        <f>+'KOM opsi 1'!L46</f>
        <v>7500000000</v>
      </c>
      <c r="N17" s="3505">
        <f>'KOM opsi 1'!O46</f>
        <v>2714722900</v>
      </c>
      <c r="O17" s="3505">
        <f>+'KOM opsi 1'!P46</f>
        <v>9000000000</v>
      </c>
      <c r="P17" s="3505">
        <f>O17-M17</f>
        <v>1500000000</v>
      </c>
      <c r="Q17" s="3691">
        <f t="shared" si="1"/>
        <v>20</v>
      </c>
      <c r="R17" s="2842"/>
      <c r="S17" s="436">
        <f t="shared" si="4"/>
        <v>1500000000</v>
      </c>
      <c r="T17" s="436">
        <f t="shared" si="5"/>
        <v>0</v>
      </c>
    </row>
    <row r="18" spans="1:20">
      <c r="A18" s="3342"/>
      <c r="B18" s="3343">
        <v>4</v>
      </c>
      <c r="C18" s="3343">
        <v>1</v>
      </c>
      <c r="D18" s="3343">
        <v>2</v>
      </c>
      <c r="E18" s="3343" t="s">
        <v>437</v>
      </c>
      <c r="F18" s="3343" t="s">
        <v>445</v>
      </c>
      <c r="G18" s="3344">
        <v>2</v>
      </c>
      <c r="H18" s="2214" t="s">
        <v>1084</v>
      </c>
      <c r="I18" s="200"/>
      <c r="J18" s="217"/>
      <c r="K18" s="3505">
        <f>+'KOM opsi 1'!J51</f>
        <v>240000000</v>
      </c>
      <c r="L18" s="3505">
        <f>+'KOM opsi 1'!K51</f>
        <v>286866750</v>
      </c>
      <c r="M18" s="3505">
        <f>+'KOM opsi 1'!L51</f>
        <v>0</v>
      </c>
      <c r="N18" s="3505">
        <f>'KOM opsi 1'!P51</f>
        <v>0</v>
      </c>
      <c r="O18" s="3505">
        <f>+'KOM opsi 1'!P51</f>
        <v>0</v>
      </c>
      <c r="P18" s="3505">
        <f>O18-M18</f>
        <v>0</v>
      </c>
      <c r="Q18" s="3691"/>
      <c r="R18" s="2842"/>
      <c r="S18" s="436">
        <f t="shared" si="4"/>
        <v>0</v>
      </c>
      <c r="T18" s="436">
        <f t="shared" si="5"/>
        <v>0</v>
      </c>
    </row>
    <row r="19" spans="1:20">
      <c r="A19" s="3342"/>
      <c r="B19" s="3343">
        <v>4</v>
      </c>
      <c r="C19" s="3343">
        <v>1</v>
      </c>
      <c r="D19" s="3343">
        <v>2</v>
      </c>
      <c r="E19" s="3343" t="s">
        <v>437</v>
      </c>
      <c r="F19" s="3343" t="s">
        <v>445</v>
      </c>
      <c r="G19" s="3344">
        <v>3</v>
      </c>
      <c r="H19" s="2214" t="s">
        <v>1011</v>
      </c>
      <c r="I19" s="200"/>
      <c r="J19" s="217"/>
      <c r="K19" s="3505">
        <f>+'KOM opsi 1'!J52</f>
        <v>19250000</v>
      </c>
      <c r="L19" s="3505">
        <f>+'KOM opsi 1'!K52</f>
        <v>0</v>
      </c>
      <c r="M19" s="3505">
        <f>+'KOM opsi 1'!L52</f>
        <v>19250000</v>
      </c>
      <c r="N19" s="3505">
        <f>'KOM opsi 1'!P52</f>
        <v>0</v>
      </c>
      <c r="O19" s="3505">
        <f>+'KOM opsi 1'!P52</f>
        <v>0</v>
      </c>
      <c r="P19" s="3862">
        <f>O19-M19</f>
        <v>-19250000</v>
      </c>
      <c r="Q19" s="3691">
        <f t="shared" si="1"/>
        <v>-100</v>
      </c>
      <c r="R19" s="2842"/>
      <c r="S19" s="436">
        <f t="shared" si="4"/>
        <v>-19250000</v>
      </c>
      <c r="T19" s="436">
        <f t="shared" si="5"/>
        <v>0</v>
      </c>
    </row>
    <row r="20" spans="1:20" ht="6.75" customHeight="1">
      <c r="A20" s="3342"/>
      <c r="B20" s="3343"/>
      <c r="C20" s="3343"/>
      <c r="D20" s="3343"/>
      <c r="E20" s="3343"/>
      <c r="F20" s="3343"/>
      <c r="G20" s="3344"/>
      <c r="H20" s="2214"/>
      <c r="I20" s="200"/>
      <c r="J20" s="217"/>
      <c r="K20" s="3505"/>
      <c r="L20" s="3505"/>
      <c r="M20" s="3505"/>
      <c r="N20" s="3505"/>
      <c r="O20" s="3505"/>
      <c r="P20" s="3500"/>
      <c r="Q20" s="3692"/>
      <c r="R20" s="2842"/>
      <c r="S20" s="436">
        <f t="shared" si="4"/>
        <v>0</v>
      </c>
      <c r="T20" s="436">
        <f t="shared" si="5"/>
        <v>0</v>
      </c>
    </row>
    <row r="21" spans="1:20">
      <c r="A21" s="3342"/>
      <c r="B21" s="3343">
        <v>4</v>
      </c>
      <c r="C21" s="3343">
        <v>1</v>
      </c>
      <c r="D21" s="3343">
        <v>2</v>
      </c>
      <c r="E21" s="3343" t="s">
        <v>438</v>
      </c>
      <c r="F21" s="3343"/>
      <c r="G21" s="3344"/>
      <c r="H21" s="1856" t="s">
        <v>109</v>
      </c>
      <c r="I21" s="202"/>
      <c r="J21" s="217"/>
      <c r="K21" s="3506">
        <f>SUM(K22:K25)</f>
        <v>9182718500</v>
      </c>
      <c r="L21" s="3506">
        <f>SUM(L22:L25)</f>
        <v>8816358857</v>
      </c>
      <c r="M21" s="3506">
        <f>SUM(M22:M25)</f>
        <v>9291218500</v>
      </c>
      <c r="N21" s="3506">
        <f>SUM(N22:N25)</f>
        <v>1256530576</v>
      </c>
      <c r="O21" s="3506">
        <f>SUM(O22:O25)</f>
        <v>9081164000</v>
      </c>
      <c r="P21" s="3524">
        <f>O21-M21</f>
        <v>-210054500</v>
      </c>
      <c r="Q21" s="3692">
        <f t="shared" si="1"/>
        <v>-2.2607852780558346</v>
      </c>
      <c r="R21" s="2842"/>
      <c r="S21" s="436">
        <f t="shared" si="4"/>
        <v>-210054500</v>
      </c>
      <c r="T21" s="436">
        <f t="shared" si="5"/>
        <v>0</v>
      </c>
    </row>
    <row r="22" spans="1:20">
      <c r="A22" s="3342"/>
      <c r="B22" s="3343">
        <v>4</v>
      </c>
      <c r="C22" s="3343">
        <v>1</v>
      </c>
      <c r="D22" s="3343">
        <v>2</v>
      </c>
      <c r="E22" s="3343" t="s">
        <v>438</v>
      </c>
      <c r="F22" s="3343" t="s">
        <v>437</v>
      </c>
      <c r="G22" s="3344">
        <v>1</v>
      </c>
      <c r="H22" s="2214" t="s">
        <v>986</v>
      </c>
      <c r="I22" s="200"/>
      <c r="J22" s="217"/>
      <c r="K22" s="3505">
        <f>+'KOM opsi 1'!J57</f>
        <v>4557206500</v>
      </c>
      <c r="L22" s="3505">
        <f>+'KOM opsi 1'!K57</f>
        <v>3676781427</v>
      </c>
      <c r="M22" s="3505">
        <f>+'KOM opsi 1'!L57</f>
        <v>4630706500</v>
      </c>
      <c r="N22" s="3505">
        <f>'KOM opsi 1'!O57</f>
        <v>376759526</v>
      </c>
      <c r="O22" s="3505">
        <f>'KOM opsi 1'!P57</f>
        <v>3804881500</v>
      </c>
      <c r="P22" s="3500">
        <f>O22-M22</f>
        <v>-825825000</v>
      </c>
      <c r="Q22" s="3691">
        <f t="shared" si="1"/>
        <v>-17.83367181660077</v>
      </c>
      <c r="R22" s="2842"/>
      <c r="S22" s="436"/>
      <c r="T22" s="436">
        <f t="shared" si="5"/>
        <v>825825000</v>
      </c>
    </row>
    <row r="23" spans="1:20">
      <c r="A23" s="3342"/>
      <c r="B23" s="3343">
        <v>4</v>
      </c>
      <c r="C23" s="3343">
        <v>1</v>
      </c>
      <c r="D23" s="3343">
        <v>2</v>
      </c>
      <c r="E23" s="3343" t="s">
        <v>438</v>
      </c>
      <c r="F23" s="3343" t="s">
        <v>440</v>
      </c>
      <c r="G23" s="3344">
        <v>2</v>
      </c>
      <c r="H23" s="2214" t="s">
        <v>1085</v>
      </c>
      <c r="I23" s="200"/>
      <c r="J23" s="217"/>
      <c r="K23" s="3505">
        <f>+'KOM opsi 1'!J137</f>
        <v>2512125000</v>
      </c>
      <c r="L23" s="3505">
        <f>+'KOM opsi 1'!K137</f>
        <v>2733928400</v>
      </c>
      <c r="M23" s="3505">
        <f>+'KOM opsi 1'!L137</f>
        <v>2547125000</v>
      </c>
      <c r="N23" s="3505">
        <f>'KOM opsi 1'!O137</f>
        <v>311760000</v>
      </c>
      <c r="O23" s="3505">
        <f>'KOM opsi 1'!P137</f>
        <v>2547125000</v>
      </c>
      <c r="P23" s="3500">
        <f>O23-M23</f>
        <v>0</v>
      </c>
      <c r="Q23" s="3691">
        <f t="shared" si="1"/>
        <v>0</v>
      </c>
      <c r="R23" s="2842"/>
      <c r="S23" s="436">
        <f t="shared" si="4"/>
        <v>0</v>
      </c>
      <c r="T23" s="436">
        <f t="shared" si="5"/>
        <v>0</v>
      </c>
    </row>
    <row r="24" spans="1:20">
      <c r="A24" s="3342"/>
      <c r="B24" s="3343">
        <v>4</v>
      </c>
      <c r="C24" s="3343">
        <v>1</v>
      </c>
      <c r="D24" s="3343">
        <v>2</v>
      </c>
      <c r="E24" s="3343" t="s">
        <v>438</v>
      </c>
      <c r="F24" s="3345" t="s">
        <v>451</v>
      </c>
      <c r="G24" s="3344"/>
      <c r="H24" s="2214" t="s">
        <v>1086</v>
      </c>
      <c r="I24" s="200"/>
      <c r="J24" s="217"/>
      <c r="K24" s="3505"/>
      <c r="L24" s="3505"/>
      <c r="M24" s="3505">
        <v>0</v>
      </c>
      <c r="N24" s="3505">
        <f>'KOM opsi 1'!O156</f>
        <v>97365000</v>
      </c>
      <c r="O24" s="3505">
        <f>'KOM opsi 1'!P156</f>
        <v>375000000</v>
      </c>
      <c r="P24" s="3500">
        <f>O24-M24</f>
        <v>375000000</v>
      </c>
      <c r="Q24" s="3691" t="e">
        <f t="shared" si="1"/>
        <v>#DIV/0!</v>
      </c>
      <c r="R24" s="2842"/>
      <c r="S24" s="436">
        <f t="shared" si="4"/>
        <v>375000000</v>
      </c>
      <c r="T24" s="436">
        <f t="shared" si="5"/>
        <v>0</v>
      </c>
    </row>
    <row r="25" spans="1:20">
      <c r="A25" s="3342"/>
      <c r="B25" s="3343">
        <v>4</v>
      </c>
      <c r="C25" s="3343">
        <v>1</v>
      </c>
      <c r="D25" s="3343">
        <v>2</v>
      </c>
      <c r="E25" s="3343" t="s">
        <v>438</v>
      </c>
      <c r="F25" s="3343" t="s">
        <v>448</v>
      </c>
      <c r="G25" s="3344">
        <v>3</v>
      </c>
      <c r="H25" s="2214" t="s">
        <v>1087</v>
      </c>
      <c r="I25" s="200"/>
      <c r="J25" s="217"/>
      <c r="K25" s="3505">
        <f>+'KOM opsi 1'!J162</f>
        <v>2113387000</v>
      </c>
      <c r="L25" s="3505">
        <f>+'KOM opsi 1'!K162</f>
        <v>2405649030</v>
      </c>
      <c r="M25" s="3505">
        <f>+'KOM opsi 1'!L162</f>
        <v>2113387000</v>
      </c>
      <c r="N25" s="3505">
        <f>'KOM opsi 1'!O162</f>
        <v>470646050</v>
      </c>
      <c r="O25" s="3505">
        <f>'KOM opsi 1'!P162</f>
        <v>2354157500</v>
      </c>
      <c r="P25" s="3500">
        <f>O25-M25</f>
        <v>240770500</v>
      </c>
      <c r="Q25" s="3691">
        <f t="shared" si="1"/>
        <v>11.392636559229331</v>
      </c>
      <c r="R25" s="2842"/>
      <c r="S25" s="436">
        <f t="shared" si="4"/>
        <v>240770500</v>
      </c>
      <c r="T25" s="436">
        <f t="shared" si="5"/>
        <v>0</v>
      </c>
    </row>
    <row r="26" spans="1:20" ht="6.75" customHeight="1">
      <c r="A26" s="3342"/>
      <c r="B26" s="3343"/>
      <c r="C26" s="3343"/>
      <c r="D26" s="3343"/>
      <c r="E26" s="3343"/>
      <c r="F26" s="3343"/>
      <c r="G26" s="3344"/>
      <c r="H26" s="2214"/>
      <c r="I26" s="200"/>
      <c r="J26" s="217"/>
      <c r="K26" s="3505"/>
      <c r="L26" s="3505"/>
      <c r="M26" s="3505"/>
      <c r="N26" s="3505"/>
      <c r="O26" s="3505"/>
      <c r="P26" s="3505"/>
      <c r="Q26" s="3691"/>
      <c r="R26" s="2842"/>
      <c r="S26" s="436">
        <f t="shared" si="4"/>
        <v>0</v>
      </c>
      <c r="T26" s="436">
        <f t="shared" si="5"/>
        <v>0</v>
      </c>
    </row>
    <row r="27" spans="1:20">
      <c r="A27" s="3342"/>
      <c r="B27" s="3343">
        <v>4</v>
      </c>
      <c r="C27" s="3343">
        <v>1</v>
      </c>
      <c r="D27" s="3343">
        <v>2</v>
      </c>
      <c r="E27" s="3343" t="s">
        <v>440</v>
      </c>
      <c r="F27" s="3343"/>
      <c r="G27" s="3344"/>
      <c r="H27" s="1856" t="s">
        <v>116</v>
      </c>
      <c r="I27" s="202"/>
      <c r="J27" s="218"/>
      <c r="K27" s="3506">
        <f>SUM(K28:K30)</f>
        <v>1648889500</v>
      </c>
      <c r="L27" s="3506">
        <f>SUM(L28:L30)</f>
        <v>1761141600</v>
      </c>
      <c r="M27" s="3506">
        <f>SUM(M28:M30)</f>
        <v>1648889500</v>
      </c>
      <c r="N27" s="3506">
        <f>SUM(N28:N30)</f>
        <v>477305000</v>
      </c>
      <c r="O27" s="3506">
        <f>SUM(O28:O30)</f>
        <v>1863889500</v>
      </c>
      <c r="P27" s="3506">
        <f>O27-M27</f>
        <v>215000000</v>
      </c>
      <c r="Q27" s="3692">
        <f t="shared" si="1"/>
        <v>13.039078725408842</v>
      </c>
      <c r="R27" s="2842"/>
      <c r="S27" s="436">
        <f t="shared" si="4"/>
        <v>215000000</v>
      </c>
      <c r="T27" s="436">
        <f t="shared" si="5"/>
        <v>0</v>
      </c>
    </row>
    <row r="28" spans="1:20">
      <c r="A28" s="3342"/>
      <c r="B28" s="3343">
        <v>4</v>
      </c>
      <c r="C28" s="3343">
        <v>1</v>
      </c>
      <c r="D28" s="3343">
        <v>2</v>
      </c>
      <c r="E28" s="3343" t="s">
        <v>440</v>
      </c>
      <c r="F28" s="3343" t="s">
        <v>437</v>
      </c>
      <c r="G28" s="3344">
        <v>1</v>
      </c>
      <c r="H28" s="2214" t="s">
        <v>1088</v>
      </c>
      <c r="I28" s="202"/>
      <c r="J28" s="218"/>
      <c r="K28" s="3505">
        <f>+'KOM opsi 1'!J202</f>
        <v>193889500</v>
      </c>
      <c r="L28" s="3505">
        <f>+'KOM opsi 1'!K202</f>
        <v>122160000</v>
      </c>
      <c r="M28" s="3505">
        <f>+'KOM opsi 1'!L202</f>
        <v>193889500</v>
      </c>
      <c r="N28" s="3505">
        <f>+'KOM opsi 1'!O202</f>
        <v>28565000</v>
      </c>
      <c r="O28" s="3505">
        <f>+'KOM opsi 1'!P202</f>
        <v>193889500</v>
      </c>
      <c r="P28" s="3507">
        <f>O28-M28</f>
        <v>0</v>
      </c>
      <c r="Q28" s="3691">
        <f t="shared" si="1"/>
        <v>0</v>
      </c>
      <c r="R28" s="2842"/>
      <c r="S28" s="436">
        <f t="shared" si="4"/>
        <v>0</v>
      </c>
      <c r="T28" s="436">
        <f t="shared" si="5"/>
        <v>0</v>
      </c>
    </row>
    <row r="29" spans="1:20">
      <c r="A29" s="3342"/>
      <c r="B29" s="3343">
        <v>4</v>
      </c>
      <c r="C29" s="3343">
        <v>1</v>
      </c>
      <c r="D29" s="3343">
        <v>2</v>
      </c>
      <c r="E29" s="3343" t="s">
        <v>440</v>
      </c>
      <c r="F29" s="3343">
        <v>2</v>
      </c>
      <c r="G29" s="3344">
        <v>2</v>
      </c>
      <c r="H29" s="199" t="s">
        <v>1089</v>
      </c>
      <c r="I29" s="202"/>
      <c r="J29" s="218"/>
      <c r="K29" s="3505">
        <f>+'KOM opsi 1'!J207</f>
        <v>0</v>
      </c>
      <c r="L29" s="3505">
        <f>+'KOM opsi 1'!K207</f>
        <v>16404000</v>
      </c>
      <c r="M29" s="3505">
        <f>+'KOM opsi 1'!L207</f>
        <v>0</v>
      </c>
      <c r="N29" s="3505">
        <f>+'KOM opsi 1'!O207</f>
        <v>0</v>
      </c>
      <c r="O29" s="3505">
        <f>+'KOM opsi 1'!P207</f>
        <v>20000000</v>
      </c>
      <c r="P29" s="3507">
        <f>O29-M29</f>
        <v>20000000</v>
      </c>
      <c r="Q29" s="3691" t="e">
        <f t="shared" si="1"/>
        <v>#DIV/0!</v>
      </c>
      <c r="R29" s="2842"/>
      <c r="S29" s="436">
        <f t="shared" si="4"/>
        <v>20000000</v>
      </c>
      <c r="T29" s="436">
        <f t="shared" si="5"/>
        <v>0</v>
      </c>
    </row>
    <row r="30" spans="1:20">
      <c r="A30" s="3346"/>
      <c r="B30" s="3343">
        <v>4</v>
      </c>
      <c r="C30" s="3343">
        <v>1</v>
      </c>
      <c r="D30" s="3343">
        <v>2</v>
      </c>
      <c r="E30" s="3343" t="s">
        <v>437</v>
      </c>
      <c r="F30" s="3343">
        <v>16</v>
      </c>
      <c r="G30" s="3344">
        <v>4</v>
      </c>
      <c r="H30" s="2214" t="s">
        <v>971</v>
      </c>
      <c r="I30" s="200"/>
      <c r="J30" s="217"/>
      <c r="K30" s="3505">
        <f>+'KOM opsi 1'!J210</f>
        <v>1455000000</v>
      </c>
      <c r="L30" s="3505">
        <f>+'KOM opsi 1'!K210</f>
        <v>1622577600</v>
      </c>
      <c r="M30" s="3505">
        <f>+'KOM opsi 1'!L210</f>
        <v>1455000000</v>
      </c>
      <c r="N30" s="3505">
        <f>+'KOM opsi 1'!O210</f>
        <v>448740000</v>
      </c>
      <c r="O30" s="3505">
        <f>+'KOM opsi 1'!P210</f>
        <v>1650000000</v>
      </c>
      <c r="P30" s="3507">
        <f>O30-M30</f>
        <v>195000000</v>
      </c>
      <c r="Q30" s="3691">
        <f t="shared" si="1"/>
        <v>13.402061855670098</v>
      </c>
      <c r="R30" s="2842"/>
      <c r="S30" s="436">
        <f t="shared" si="4"/>
        <v>195000000</v>
      </c>
      <c r="T30" s="436">
        <f t="shared" si="5"/>
        <v>0</v>
      </c>
    </row>
    <row r="31" spans="1:20" ht="7.55" customHeight="1">
      <c r="A31" s="3346"/>
      <c r="B31" s="3347"/>
      <c r="C31" s="3347"/>
      <c r="D31" s="3347"/>
      <c r="E31" s="3347"/>
      <c r="F31" s="3347"/>
      <c r="G31" s="3348"/>
      <c r="H31" s="2853"/>
      <c r="I31" s="1318"/>
      <c r="J31" s="3035"/>
      <c r="K31" s="3508"/>
      <c r="L31" s="3508"/>
      <c r="M31" s="3508"/>
      <c r="N31" s="3508"/>
      <c r="O31" s="3508"/>
      <c r="P31" s="3508"/>
      <c r="Q31" s="3338"/>
      <c r="R31" s="3349"/>
      <c r="S31" s="436">
        <f t="shared" si="4"/>
        <v>0</v>
      </c>
      <c r="T31" s="436">
        <f t="shared" si="5"/>
        <v>0</v>
      </c>
    </row>
    <row r="32" spans="1:20" s="3493" customFormat="1" ht="16.45" customHeight="1">
      <c r="A32" s="3498" t="s">
        <v>78</v>
      </c>
      <c r="B32" s="3485">
        <v>4</v>
      </c>
      <c r="C32" s="3485">
        <v>1</v>
      </c>
      <c r="D32" s="3485">
        <v>3</v>
      </c>
      <c r="E32" s="3485"/>
      <c r="F32" s="3485"/>
      <c r="G32" s="3495" t="s">
        <v>1082</v>
      </c>
      <c r="H32" s="3496" t="s">
        <v>1090</v>
      </c>
      <c r="I32" s="3488"/>
      <c r="J32" s="3489"/>
      <c r="K32" s="3503">
        <f>K33+K41</f>
        <v>157964885190</v>
      </c>
      <c r="L32" s="3503">
        <f>L33+L41</f>
        <v>72827611744</v>
      </c>
      <c r="M32" s="3503">
        <f>M33+M41</f>
        <v>92558485190</v>
      </c>
      <c r="N32" s="3503">
        <f>N33+N41</f>
        <v>0</v>
      </c>
      <c r="O32" s="3503">
        <f>O33+O41</f>
        <v>90943853577</v>
      </c>
      <c r="P32" s="3863">
        <f>O32-M32</f>
        <v>-1614631613</v>
      </c>
      <c r="Q32" s="3490">
        <f t="shared" si="1"/>
        <v>-1.7444447256084175</v>
      </c>
      <c r="R32" s="3499"/>
      <c r="S32" s="436">
        <f t="shared" si="4"/>
        <v>-1614631613</v>
      </c>
      <c r="T32" s="3492">
        <f t="shared" si="5"/>
        <v>0</v>
      </c>
    </row>
    <row r="33" spans="1:20">
      <c r="A33" s="3339"/>
      <c r="B33" s="3340">
        <v>4</v>
      </c>
      <c r="C33" s="3340">
        <v>1</v>
      </c>
      <c r="D33" s="3340">
        <v>3</v>
      </c>
      <c r="E33" s="3340" t="s">
        <v>437</v>
      </c>
      <c r="F33" s="3340"/>
      <c r="G33" s="3350"/>
      <c r="H33" s="3089" t="s">
        <v>1091</v>
      </c>
      <c r="I33" s="212"/>
      <c r="J33" s="225"/>
      <c r="K33" s="3504">
        <f>SUM(K34:K40)</f>
        <v>157964885190</v>
      </c>
      <c r="L33" s="3504">
        <f>SUM(L34:L40)</f>
        <v>72827611744</v>
      </c>
      <c r="M33" s="3504">
        <f>SUM(M34:M40)</f>
        <v>90558485190</v>
      </c>
      <c r="N33" s="3504">
        <f>SUM(N34:N40)</f>
        <v>0</v>
      </c>
      <c r="O33" s="3504">
        <f>SUM(O34:O40)</f>
        <v>88943853577</v>
      </c>
      <c r="P33" s="3864">
        <f>O33-M33</f>
        <v>-1614631613</v>
      </c>
      <c r="Q33" s="3690">
        <f t="shared" si="1"/>
        <v>-1.7829710927831428</v>
      </c>
      <c r="R33" s="3351"/>
      <c r="S33" s="436">
        <f t="shared" si="4"/>
        <v>-1614631613</v>
      </c>
      <c r="T33" s="436">
        <f t="shared" si="5"/>
        <v>0</v>
      </c>
    </row>
    <row r="34" spans="1:20">
      <c r="A34" s="3342"/>
      <c r="B34" s="3343"/>
      <c r="C34" s="3343"/>
      <c r="D34" s="3343"/>
      <c r="E34" s="3343"/>
      <c r="F34" s="3343"/>
      <c r="G34" s="3352">
        <v>1</v>
      </c>
      <c r="H34" s="199" t="s">
        <v>197</v>
      </c>
      <c r="I34" s="200"/>
      <c r="J34" s="217"/>
      <c r="K34" s="3505">
        <f>+'KOM opsi 1'!J217</f>
        <v>59958450102</v>
      </c>
      <c r="L34" s="3505">
        <f>+'KOM opsi 1'!K217</f>
        <v>59958510102</v>
      </c>
      <c r="M34" s="3505">
        <f>+'KOM opsi 1'!L217</f>
        <v>59958450102</v>
      </c>
      <c r="N34" s="3505">
        <f>+'KOM opsi 1'!O217</f>
        <v>0</v>
      </c>
      <c r="O34" s="3505">
        <f>'KOM opsi 2'!P216</f>
        <v>60000000000</v>
      </c>
      <c r="P34" s="3505">
        <f>O34-M34</f>
        <v>41549898</v>
      </c>
      <c r="Q34" s="3692">
        <f t="shared" si="1"/>
        <v>6.9297818621592455E-2</v>
      </c>
      <c r="R34" s="3353"/>
      <c r="S34" s="436">
        <f t="shared" si="4"/>
        <v>41549898</v>
      </c>
      <c r="T34" s="436">
        <f t="shared" si="5"/>
        <v>0</v>
      </c>
    </row>
    <row r="35" spans="1:20">
      <c r="A35" s="3342"/>
      <c r="B35" s="3343"/>
      <c r="C35" s="3343"/>
      <c r="D35" s="3343"/>
      <c r="E35" s="3343"/>
      <c r="F35" s="3343"/>
      <c r="G35" s="3352">
        <v>2</v>
      </c>
      <c r="H35" s="199" t="s">
        <v>1092</v>
      </c>
      <c r="I35" s="200"/>
      <c r="J35" s="217"/>
      <c r="K35" s="3505">
        <f>+'KOM opsi 1'!J216</f>
        <v>11374571865</v>
      </c>
      <c r="L35" s="3505">
        <f>+'KOM opsi 1'!K216</f>
        <v>11631764969</v>
      </c>
      <c r="M35" s="3505">
        <f>+'KOM opsi 1'!L216</f>
        <v>13374571865</v>
      </c>
      <c r="N35" s="3505">
        <f>+'KOM opsi 1'!O216</f>
        <v>0</v>
      </c>
      <c r="O35" s="3505">
        <f>'KOM opsi 2'!P215</f>
        <v>11305220112</v>
      </c>
      <c r="P35" s="3862">
        <f t="shared" ref="P35:P41" si="6">O35-M35</f>
        <v>-2069351753</v>
      </c>
      <c r="Q35" s="3692">
        <f t="shared" si="1"/>
        <v>-15.472284076735946</v>
      </c>
      <c r="R35" s="3353"/>
      <c r="S35" s="436">
        <f t="shared" si="4"/>
        <v>-2069351753</v>
      </c>
      <c r="T35" s="436">
        <f t="shared" si="5"/>
        <v>0</v>
      </c>
    </row>
    <row r="36" spans="1:20">
      <c r="A36" s="3342"/>
      <c r="B36" s="3343"/>
      <c r="C36" s="3343"/>
      <c r="D36" s="3343"/>
      <c r="E36" s="3343"/>
      <c r="F36" s="3343"/>
      <c r="G36" s="3352">
        <v>3</v>
      </c>
      <c r="H36" s="199" t="s">
        <v>769</v>
      </c>
      <c r="I36" s="200"/>
      <c r="J36" s="217"/>
      <c r="K36" s="3505">
        <f>+'KOM opsi 1'!J218</f>
        <v>1000000000</v>
      </c>
      <c r="L36" s="3505">
        <f>+'KOM opsi 1'!K218</f>
        <v>1000000000</v>
      </c>
      <c r="M36" s="3505">
        <f>+'KOM opsi 1'!L218</f>
        <v>1000000000</v>
      </c>
      <c r="N36" s="3505">
        <f>+'KOM opsi 1'!O218</f>
        <v>0</v>
      </c>
      <c r="O36" s="3505">
        <f>'KOM opsi 2'!P217</f>
        <v>1100000000</v>
      </c>
      <c r="P36" s="3505">
        <f t="shared" si="6"/>
        <v>100000000</v>
      </c>
      <c r="Q36" s="3692">
        <f t="shared" si="1"/>
        <v>10.000000000000014</v>
      </c>
      <c r="R36" s="3353"/>
      <c r="S36" s="436">
        <f t="shared" si="4"/>
        <v>100000000</v>
      </c>
      <c r="T36" s="436">
        <f t="shared" si="5"/>
        <v>0</v>
      </c>
    </row>
    <row r="37" spans="1:20">
      <c r="A37" s="3342"/>
      <c r="B37" s="3343"/>
      <c r="C37" s="3343"/>
      <c r="D37" s="3343"/>
      <c r="E37" s="3343"/>
      <c r="F37" s="3343"/>
      <c r="G37" s="3352">
        <v>4</v>
      </c>
      <c r="H37" s="199" t="s">
        <v>199</v>
      </c>
      <c r="I37" s="200"/>
      <c r="J37" s="217"/>
      <c r="K37" s="3505">
        <f>+'KOM opsi 1'!J219</f>
        <v>85406400000</v>
      </c>
      <c r="L37" s="3505">
        <f>+'KOM opsi 1'!K219</f>
        <v>0</v>
      </c>
      <c r="M37" s="3505">
        <f>+'KOM opsi 1'!L219</f>
        <v>16000000000</v>
      </c>
      <c r="N37" s="3505">
        <f>+'KOM opsi 1'!O219</f>
        <v>0</v>
      </c>
      <c r="O37" s="3505">
        <f>'KOM opsi 2'!P218</f>
        <v>16000000000</v>
      </c>
      <c r="P37" s="3505">
        <f t="shared" si="6"/>
        <v>0</v>
      </c>
      <c r="Q37" s="3692">
        <f t="shared" si="1"/>
        <v>0</v>
      </c>
      <c r="R37" s="3353"/>
      <c r="S37" s="436">
        <f t="shared" si="4"/>
        <v>0</v>
      </c>
      <c r="T37" s="436">
        <f t="shared" si="5"/>
        <v>0</v>
      </c>
    </row>
    <row r="38" spans="1:20">
      <c r="A38" s="3342"/>
      <c r="B38" s="3343"/>
      <c r="C38" s="3343"/>
      <c r="D38" s="3343"/>
      <c r="E38" s="3343"/>
      <c r="F38" s="3343"/>
      <c r="G38" s="3352">
        <v>5</v>
      </c>
      <c r="H38" s="199" t="s">
        <v>200</v>
      </c>
      <c r="I38" s="200"/>
      <c r="J38" s="217"/>
      <c r="K38" s="3505" t="str">
        <f>+'KOM opsi 1'!J220</f>
        <v>-</v>
      </c>
      <c r="L38" s="3505">
        <f>+'KOM opsi 1'!K220</f>
        <v>0</v>
      </c>
      <c r="M38" s="3505">
        <f>+'KOM opsi 1'!L220</f>
        <v>0</v>
      </c>
      <c r="N38" s="3505">
        <f>+'KOM opsi 1'!O220</f>
        <v>0</v>
      </c>
      <c r="O38" s="3505">
        <f>'KOM opsi 2'!P219</f>
        <v>0</v>
      </c>
      <c r="P38" s="3505">
        <f t="shared" si="6"/>
        <v>0</v>
      </c>
      <c r="Q38" s="3692"/>
      <c r="R38" s="3353"/>
      <c r="S38" s="436">
        <f t="shared" si="4"/>
        <v>0</v>
      </c>
      <c r="T38" s="436">
        <f t="shared" si="5"/>
        <v>0</v>
      </c>
    </row>
    <row r="39" spans="1:20">
      <c r="A39" s="3342"/>
      <c r="B39" s="3343"/>
      <c r="C39" s="3343"/>
      <c r="D39" s="3343"/>
      <c r="E39" s="3343"/>
      <c r="F39" s="3343"/>
      <c r="G39" s="3352">
        <v>6</v>
      </c>
      <c r="H39" s="199" t="s">
        <v>1093</v>
      </c>
      <c r="I39" s="200"/>
      <c r="J39" s="217"/>
      <c r="K39" s="3505">
        <f>+'KOM opsi 1'!J221</f>
        <v>136702012</v>
      </c>
      <c r="L39" s="3505">
        <f>+'KOM opsi 1'!K221</f>
        <v>136702012</v>
      </c>
      <c r="M39" s="3505">
        <f>+'KOM opsi 1'!L221</f>
        <v>136702012</v>
      </c>
      <c r="N39" s="3505">
        <f>+'KOM opsi 1'!O221</f>
        <v>0</v>
      </c>
      <c r="O39" s="3505">
        <f>'KOM opsi 2'!P220</f>
        <v>437998804</v>
      </c>
      <c r="P39" s="3505">
        <f t="shared" si="6"/>
        <v>301296792</v>
      </c>
      <c r="Q39" s="3692">
        <f t="shared" si="1"/>
        <v>220.40406545003884</v>
      </c>
      <c r="R39" s="3353"/>
      <c r="S39" s="436">
        <f t="shared" si="4"/>
        <v>301296792</v>
      </c>
      <c r="T39" s="436">
        <f t="shared" si="5"/>
        <v>0</v>
      </c>
    </row>
    <row r="40" spans="1:20">
      <c r="A40" s="3342"/>
      <c r="B40" s="3343"/>
      <c r="C40" s="3343"/>
      <c r="D40" s="3343"/>
      <c r="E40" s="3343"/>
      <c r="F40" s="3343"/>
      <c r="G40" s="3352">
        <v>7</v>
      </c>
      <c r="H40" s="199" t="s">
        <v>770</v>
      </c>
      <c r="I40" s="200"/>
      <c r="J40" s="217"/>
      <c r="K40" s="3505">
        <f>+'KOM opsi 1'!J222</f>
        <v>88761211</v>
      </c>
      <c r="L40" s="3505">
        <f>+'KOM opsi 1'!K222</f>
        <v>100634661</v>
      </c>
      <c r="M40" s="3505">
        <f>+'KOM opsi 1'!L222</f>
        <v>88761211</v>
      </c>
      <c r="N40" s="3505">
        <f>+'KOM opsi 1'!O222</f>
        <v>0</v>
      </c>
      <c r="O40" s="3505">
        <f>'KOM opsi 2'!P221</f>
        <v>100634661</v>
      </c>
      <c r="P40" s="3505">
        <f t="shared" si="6"/>
        <v>11873450</v>
      </c>
      <c r="Q40" s="3692">
        <f t="shared" si="1"/>
        <v>13.376845433079993</v>
      </c>
      <c r="R40" s="3353"/>
      <c r="S40" s="436">
        <f t="shared" si="4"/>
        <v>11873450</v>
      </c>
      <c r="T40" s="436">
        <f t="shared" si="5"/>
        <v>0</v>
      </c>
    </row>
    <row r="41" spans="1:20" s="190" customFormat="1">
      <c r="A41" s="3342"/>
      <c r="B41" s="3343"/>
      <c r="C41" s="3343"/>
      <c r="D41" s="3343"/>
      <c r="E41" s="3343"/>
      <c r="F41" s="3343"/>
      <c r="G41" s="3344">
        <v>8</v>
      </c>
      <c r="H41" s="1856" t="s">
        <v>203</v>
      </c>
      <c r="I41" s="202"/>
      <c r="J41" s="218"/>
      <c r="K41" s="3505">
        <v>0</v>
      </c>
      <c r="L41" s="3505">
        <v>0</v>
      </c>
      <c r="M41" s="3505">
        <f>+'KOM opsi 1'!L224</f>
        <v>2000000000</v>
      </c>
      <c r="N41" s="3505">
        <f>+'KOM opsi 1'!O224</f>
        <v>0</v>
      </c>
      <c r="O41" s="3505">
        <f>'KOM opsi 2'!P223</f>
        <v>2000000000</v>
      </c>
      <c r="P41" s="3505">
        <f t="shared" si="6"/>
        <v>0</v>
      </c>
      <c r="Q41" s="3692">
        <f t="shared" si="1"/>
        <v>0</v>
      </c>
      <c r="R41" s="3354"/>
      <c r="S41" s="436">
        <f t="shared" si="4"/>
        <v>0</v>
      </c>
      <c r="T41" s="436">
        <f t="shared" si="5"/>
        <v>0</v>
      </c>
    </row>
    <row r="42" spans="1:20" ht="7.55" customHeight="1">
      <c r="A42" s="3533"/>
      <c r="B42" s="3534"/>
      <c r="C42" s="3534"/>
      <c r="D42" s="3534"/>
      <c r="E42" s="3534"/>
      <c r="F42" s="3534"/>
      <c r="G42" s="3535"/>
      <c r="H42" s="3536"/>
      <c r="I42" s="3537"/>
      <c r="J42" s="3538"/>
      <c r="K42" s="3539"/>
      <c r="L42" s="3539"/>
      <c r="M42" s="3539"/>
      <c r="N42" s="3539"/>
      <c r="O42" s="3539"/>
      <c r="P42" s="3539"/>
      <c r="Q42" s="3540"/>
      <c r="R42" s="3541"/>
      <c r="S42" s="436">
        <f t="shared" si="4"/>
        <v>0</v>
      </c>
      <c r="T42" s="436">
        <f t="shared" si="5"/>
        <v>0</v>
      </c>
    </row>
    <row r="43" spans="1:20" s="3493" customFormat="1" ht="16.45" customHeight="1">
      <c r="A43" s="3526" t="s">
        <v>100</v>
      </c>
      <c r="B43" s="3527">
        <v>4</v>
      </c>
      <c r="C43" s="3527">
        <v>1</v>
      </c>
      <c r="D43" s="3527">
        <v>4</v>
      </c>
      <c r="E43" s="3527"/>
      <c r="F43" s="3527"/>
      <c r="G43" s="3528" t="s">
        <v>1082</v>
      </c>
      <c r="H43" s="3529" t="s">
        <v>71</v>
      </c>
      <c r="I43" s="3530"/>
      <c r="J43" s="3531"/>
      <c r="K43" s="3521">
        <f>SUM(K44:K56)</f>
        <v>224639588129</v>
      </c>
      <c r="L43" s="3521">
        <f>SUM(L44:L56)</f>
        <v>243089557831.42999</v>
      </c>
      <c r="M43" s="3521">
        <f>SUM(M44:M56)</f>
        <v>268454484234</v>
      </c>
      <c r="N43" s="3521">
        <f>SUM(N44:N56)</f>
        <v>50008306060.729996</v>
      </c>
      <c r="O43" s="3521">
        <f>SUM(O44:O56)</f>
        <v>272810796075</v>
      </c>
      <c r="P43" s="3521">
        <f>O43-M43</f>
        <v>4356311841</v>
      </c>
      <c r="Q43" s="3490">
        <f t="shared" si="1"/>
        <v>1.6227375949521559</v>
      </c>
      <c r="R43" s="3532"/>
      <c r="S43" s="436">
        <f t="shared" si="4"/>
        <v>4356311841</v>
      </c>
      <c r="T43" s="3492">
        <f t="shared" si="5"/>
        <v>0</v>
      </c>
    </row>
    <row r="44" spans="1:20">
      <c r="A44" s="3355"/>
      <c r="B44" s="3356">
        <v>4</v>
      </c>
      <c r="C44" s="3356">
        <v>1</v>
      </c>
      <c r="D44" s="3356">
        <v>4</v>
      </c>
      <c r="E44" s="3356" t="s">
        <v>437</v>
      </c>
      <c r="F44" s="3356"/>
      <c r="G44" s="3356">
        <v>1</v>
      </c>
      <c r="H44" s="224" t="s">
        <v>1094</v>
      </c>
      <c r="I44" s="224"/>
      <c r="J44" s="3088"/>
      <c r="K44" s="3509">
        <f>+'KOM opsi 1'!J227</f>
        <v>250000000</v>
      </c>
      <c r="L44" s="3509">
        <f>+'KOM opsi 1'!K227</f>
        <v>25364000</v>
      </c>
      <c r="M44" s="3509">
        <f>+'KOM opsi 1'!L227</f>
        <v>250000000</v>
      </c>
      <c r="N44" s="3509">
        <f>+'KOM opsi 1'!O227</f>
        <v>0</v>
      </c>
      <c r="O44" s="3509">
        <f>+'KOM opsi 1'!P227</f>
        <v>250000000</v>
      </c>
      <c r="P44" s="3509">
        <f>+'KOM opsi 1'!Q227</f>
        <v>0</v>
      </c>
      <c r="Q44" s="3693">
        <f t="shared" si="1"/>
        <v>0</v>
      </c>
      <c r="R44" s="3357"/>
      <c r="S44" s="436">
        <f t="shared" si="4"/>
        <v>0</v>
      </c>
      <c r="T44" s="436">
        <f t="shared" si="5"/>
        <v>0</v>
      </c>
    </row>
    <row r="45" spans="1:20">
      <c r="A45" s="3358"/>
      <c r="B45" s="3359">
        <v>4</v>
      </c>
      <c r="C45" s="3359">
        <v>1</v>
      </c>
      <c r="D45" s="3359">
        <v>4</v>
      </c>
      <c r="E45" s="3359" t="s">
        <v>438</v>
      </c>
      <c r="F45" s="3359"/>
      <c r="G45" s="3359">
        <v>2</v>
      </c>
      <c r="H45" s="200" t="s">
        <v>212</v>
      </c>
      <c r="I45" s="200"/>
      <c r="J45" s="217"/>
      <c r="K45" s="3505">
        <f>+'KOM opsi 1'!J234</f>
        <v>4500000000</v>
      </c>
      <c r="L45" s="3505">
        <f>+'KOM opsi 1'!K234</f>
        <v>12549664258.33</v>
      </c>
      <c r="M45" s="3505">
        <f>+'KOM opsi 1'!L234</f>
        <v>4500000000</v>
      </c>
      <c r="N45" s="3505">
        <f>+'KOM opsi 1'!O234</f>
        <v>3095128647</v>
      </c>
      <c r="O45" s="3505">
        <f>+'KOM opsi 1'!P234</f>
        <v>7037000000</v>
      </c>
      <c r="P45" s="3505">
        <f>+'KOM opsi 1'!Q234</f>
        <v>2537000000</v>
      </c>
      <c r="Q45" s="3691">
        <f t="shared" si="1"/>
        <v>56.377777777777766</v>
      </c>
      <c r="R45" s="3353"/>
      <c r="S45" s="436">
        <f t="shared" si="4"/>
        <v>2537000000</v>
      </c>
      <c r="T45" s="436">
        <f t="shared" si="5"/>
        <v>0</v>
      </c>
    </row>
    <row r="46" spans="1:20">
      <c r="A46" s="3358"/>
      <c r="B46" s="3359">
        <v>4</v>
      </c>
      <c r="C46" s="3359">
        <v>1</v>
      </c>
      <c r="D46" s="3359">
        <v>4</v>
      </c>
      <c r="E46" s="3359" t="s">
        <v>440</v>
      </c>
      <c r="F46" s="3359"/>
      <c r="G46" s="3359">
        <v>3</v>
      </c>
      <c r="H46" s="200" t="s">
        <v>1095</v>
      </c>
      <c r="I46" s="200"/>
      <c r="J46" s="217"/>
      <c r="K46" s="3505">
        <f>+'KOM opsi 1'!J240</f>
        <v>6875000000</v>
      </c>
      <c r="L46" s="3505">
        <f>+'KOM opsi 1'!K240</f>
        <v>9375000000</v>
      </c>
      <c r="M46" s="3505">
        <f>+'KOM opsi 1'!L240</f>
        <v>6875000000</v>
      </c>
      <c r="N46" s="3505">
        <f>+'KOM opsi 1'!O240</f>
        <v>875000000</v>
      </c>
      <c r="O46" s="3505">
        <f>+'KOM opsi 1'!P240</f>
        <v>7000000000</v>
      </c>
      <c r="P46" s="3505">
        <f>+'KOM opsi 1'!Q240</f>
        <v>125000000</v>
      </c>
      <c r="Q46" s="3691">
        <f t="shared" si="1"/>
        <v>1.818181818181813</v>
      </c>
      <c r="R46" s="3353"/>
      <c r="S46" s="436">
        <f t="shared" si="4"/>
        <v>125000000</v>
      </c>
      <c r="T46" s="436">
        <f t="shared" si="5"/>
        <v>0</v>
      </c>
    </row>
    <row r="47" spans="1:20">
      <c r="A47" s="3358"/>
      <c r="B47" s="3359">
        <v>4</v>
      </c>
      <c r="C47" s="3359">
        <v>1</v>
      </c>
      <c r="D47" s="3359">
        <v>4</v>
      </c>
      <c r="E47" s="3359" t="s">
        <v>445</v>
      </c>
      <c r="F47" s="3359"/>
      <c r="G47" s="3359">
        <v>4</v>
      </c>
      <c r="H47" s="200" t="s">
        <v>1096</v>
      </c>
      <c r="I47" s="200"/>
      <c r="J47" s="217"/>
      <c r="K47" s="3505">
        <f>+'KOM opsi 1'!J243</f>
        <v>1205211975</v>
      </c>
      <c r="L47" s="3505">
        <f>+'KOM opsi 1'!K243</f>
        <v>354139064.23000002</v>
      </c>
      <c r="M47" s="3505">
        <f>+'KOM opsi 1'!L243</f>
        <v>1205211975</v>
      </c>
      <c r="N47" s="3505">
        <f>+'KOM opsi 1'!O243</f>
        <v>200000</v>
      </c>
      <c r="O47" s="3505">
        <f>+'KOM opsi 1'!P243</f>
        <v>1205211975</v>
      </c>
      <c r="P47" s="3505">
        <f>+'KOM opsi 1'!Q243</f>
        <v>0</v>
      </c>
      <c r="Q47" s="3691">
        <f t="shared" si="1"/>
        <v>0</v>
      </c>
      <c r="R47" s="3353"/>
      <c r="S47" s="436">
        <f t="shared" si="4"/>
        <v>0</v>
      </c>
      <c r="T47" s="436">
        <f t="shared" si="5"/>
        <v>0</v>
      </c>
    </row>
    <row r="48" spans="1:20">
      <c r="A48" s="3358"/>
      <c r="B48" s="3359">
        <v>4</v>
      </c>
      <c r="C48" s="3359">
        <v>1</v>
      </c>
      <c r="D48" s="3359">
        <v>4</v>
      </c>
      <c r="E48" s="3359" t="s">
        <v>441</v>
      </c>
      <c r="F48" s="3359"/>
      <c r="G48" s="3359">
        <v>6</v>
      </c>
      <c r="H48" s="200" t="s">
        <v>1097</v>
      </c>
      <c r="I48" s="200"/>
      <c r="J48" s="218"/>
      <c r="K48" s="3505">
        <f>+'KOM opsi 1'!J247</f>
        <v>0</v>
      </c>
      <c r="L48" s="3505">
        <f>+'KOM opsi 1'!K247</f>
        <v>810940665.47000003</v>
      </c>
      <c r="M48" s="3505">
        <f>+'KOM opsi 1'!L247</f>
        <v>0</v>
      </c>
      <c r="N48" s="3505">
        <f>+'KOM opsi 1'!O247</f>
        <v>82408456.790000007</v>
      </c>
      <c r="O48" s="3505">
        <f>+'KOM opsi 1'!P247</f>
        <v>82408000</v>
      </c>
      <c r="P48" s="3505">
        <f>+'KOM opsi 1'!Q247</f>
        <v>82408000</v>
      </c>
      <c r="Q48" s="3691"/>
      <c r="R48" s="3353"/>
      <c r="S48" s="436">
        <f t="shared" si="4"/>
        <v>82408000</v>
      </c>
      <c r="T48" s="436">
        <f t="shared" si="5"/>
        <v>0</v>
      </c>
    </row>
    <row r="49" spans="1:38">
      <c r="A49" s="3358"/>
      <c r="B49" s="3359">
        <v>4</v>
      </c>
      <c r="C49" s="3359">
        <v>1</v>
      </c>
      <c r="D49" s="3359">
        <v>4</v>
      </c>
      <c r="E49" s="3359" t="s">
        <v>456</v>
      </c>
      <c r="F49" s="3359"/>
      <c r="G49" s="3359">
        <v>7</v>
      </c>
      <c r="H49" s="200" t="s">
        <v>1098</v>
      </c>
      <c r="I49" s="200"/>
      <c r="J49" s="218"/>
      <c r="K49" s="3505">
        <f>+'KOM opsi 1'!J265</f>
        <v>18548560000</v>
      </c>
      <c r="L49" s="3505">
        <f>+'KOM opsi 1'!K265</f>
        <v>19634060483</v>
      </c>
      <c r="M49" s="3505">
        <f>+'KOM opsi 1'!L265</f>
        <v>18548560000</v>
      </c>
      <c r="N49" s="3505">
        <f>+'KOM opsi 1'!O265</f>
        <v>5482717061</v>
      </c>
      <c r="O49" s="3505">
        <f>+'KOM opsi 1'!P265</f>
        <v>20350000000</v>
      </c>
      <c r="P49" s="3505">
        <f>+'KOM opsi 1'!Q265</f>
        <v>1801440000</v>
      </c>
      <c r="Q49" s="3691">
        <f t="shared" si="1"/>
        <v>9.7120207714237665</v>
      </c>
      <c r="R49" s="3353"/>
      <c r="S49" s="436">
        <f t="shared" si="4"/>
        <v>1801440000</v>
      </c>
      <c r="T49" s="436">
        <f t="shared" si="5"/>
        <v>0</v>
      </c>
    </row>
    <row r="50" spans="1:38">
      <c r="A50" s="3358"/>
      <c r="B50" s="3359">
        <v>4</v>
      </c>
      <c r="C50" s="3359">
        <v>1</v>
      </c>
      <c r="D50" s="3359">
        <v>4</v>
      </c>
      <c r="E50" s="3359" t="s">
        <v>448</v>
      </c>
      <c r="F50" s="3359"/>
      <c r="G50" s="3359">
        <v>9</v>
      </c>
      <c r="H50" s="200" t="s">
        <v>1070</v>
      </c>
      <c r="I50" s="200"/>
      <c r="J50" s="218"/>
      <c r="K50" s="3505">
        <f>+'KOM opsi 1'!J288</f>
        <v>235536159</v>
      </c>
      <c r="L50" s="3505">
        <f>+'KOM opsi 1'!K288</f>
        <v>12930312</v>
      </c>
      <c r="M50" s="3505">
        <f>+'KOM opsi 1'!L288</f>
        <v>235536159</v>
      </c>
      <c r="N50" s="3505">
        <f>+'KOM opsi 1'!O288</f>
        <v>1253496</v>
      </c>
      <c r="O50" s="3505">
        <f>+'KOM opsi 1'!P288</f>
        <v>31000000</v>
      </c>
      <c r="P50" s="3500">
        <f>+'KOM opsi 1'!Q288</f>
        <v>-204536159</v>
      </c>
      <c r="Q50" s="3691">
        <f t="shared" si="1"/>
        <v>-86.838538875892937</v>
      </c>
      <c r="R50" s="3353"/>
      <c r="S50" s="436">
        <f t="shared" si="4"/>
        <v>-204536159</v>
      </c>
      <c r="T50" s="436">
        <f t="shared" si="5"/>
        <v>0</v>
      </c>
    </row>
    <row r="51" spans="1:38">
      <c r="A51" s="3358"/>
      <c r="B51" s="3359">
        <v>4</v>
      </c>
      <c r="C51" s="3359">
        <v>1</v>
      </c>
      <c r="D51" s="3359">
        <v>4</v>
      </c>
      <c r="E51" s="3359">
        <v>12</v>
      </c>
      <c r="F51" s="3359"/>
      <c r="G51" s="3359">
        <v>10</v>
      </c>
      <c r="H51" s="200" t="s">
        <v>564</v>
      </c>
      <c r="I51" s="200"/>
      <c r="J51" s="218"/>
      <c r="K51" s="3505">
        <f>'KOM opsi 1'!L293</f>
        <v>0</v>
      </c>
      <c r="L51" s="3505">
        <f>'KOM opsi 1'!M293</f>
        <v>0</v>
      </c>
      <c r="M51" s="3505">
        <f>'KOM opsi 1'!N293</f>
        <v>0</v>
      </c>
      <c r="N51" s="3505">
        <f>'KOM opsi 1'!P293</f>
        <v>0</v>
      </c>
      <c r="O51" s="3505">
        <f>'KOM opsi 1'!Q293</f>
        <v>0</v>
      </c>
      <c r="P51" s="3505">
        <f>'KOM opsi 1'!R293</f>
        <v>0</v>
      </c>
      <c r="Q51" s="3691"/>
      <c r="R51" s="3353"/>
      <c r="S51" s="436">
        <f t="shared" si="4"/>
        <v>0</v>
      </c>
      <c r="T51" s="436">
        <f t="shared" si="5"/>
        <v>0</v>
      </c>
    </row>
    <row r="52" spans="1:38" s="191" customFormat="1">
      <c r="A52" s="3358"/>
      <c r="B52" s="3359">
        <v>4</v>
      </c>
      <c r="C52" s="3359">
        <v>1</v>
      </c>
      <c r="D52" s="3359">
        <v>4</v>
      </c>
      <c r="E52" s="3359">
        <v>13</v>
      </c>
      <c r="F52" s="3359"/>
      <c r="G52" s="3359">
        <v>11</v>
      </c>
      <c r="H52" s="200" t="s">
        <v>222</v>
      </c>
      <c r="I52" s="200"/>
      <c r="J52" s="218"/>
      <c r="K52" s="3505">
        <f>+'KOM opsi 1'!J296</f>
        <v>68944925050</v>
      </c>
      <c r="L52" s="3505">
        <f>+'KOM opsi 1'!K296</f>
        <v>62912738507.940002</v>
      </c>
      <c r="M52" s="3505">
        <f>+'KOM opsi 1'!L296</f>
        <v>73939763650</v>
      </c>
      <c r="N52" s="3505">
        <f>+'KOM opsi 1'!O296</f>
        <v>50207140</v>
      </c>
      <c r="O52" s="3505">
        <f>+'KOM opsi 1'!P296</f>
        <v>73954763650</v>
      </c>
      <c r="P52" s="3505">
        <f>+'KOM opsi 1'!Q296</f>
        <v>15000000</v>
      </c>
      <c r="Q52" s="3691">
        <f t="shared" si="1"/>
        <v>2.0286783808231235E-2</v>
      </c>
      <c r="R52" s="3360"/>
      <c r="S52" s="436">
        <f t="shared" si="4"/>
        <v>15000000</v>
      </c>
      <c r="T52" s="436">
        <f t="shared" si="5"/>
        <v>0</v>
      </c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</row>
    <row r="53" spans="1:38" s="191" customFormat="1">
      <c r="A53" s="3358"/>
      <c r="B53" s="3359">
        <v>4</v>
      </c>
      <c r="C53" s="3359">
        <v>1</v>
      </c>
      <c r="D53" s="3359">
        <v>4</v>
      </c>
      <c r="E53" s="3359">
        <v>14</v>
      </c>
      <c r="F53" s="3359"/>
      <c r="G53" s="3359">
        <v>12</v>
      </c>
      <c r="H53" s="200" t="s">
        <v>1099</v>
      </c>
      <c r="I53" s="200"/>
      <c r="J53" s="218"/>
      <c r="K53" s="3505">
        <v>7805834000</v>
      </c>
      <c r="L53" s="3505">
        <v>7177429000</v>
      </c>
      <c r="M53" s="3505">
        <f>+'KOM opsi 1'!L381</f>
        <v>4392225000</v>
      </c>
      <c r="N53" s="3505">
        <f>+'KOM opsi 1'!O381</f>
        <v>0</v>
      </c>
      <c r="O53" s="3505">
        <f>+'KOM opsi 1'!P381</f>
        <v>4392225000</v>
      </c>
      <c r="P53" s="3505">
        <f>+'KOM opsi 1'!Q381</f>
        <v>0</v>
      </c>
      <c r="Q53" s="3691">
        <f t="shared" si="1"/>
        <v>0</v>
      </c>
      <c r="R53" s="3360"/>
      <c r="S53" s="436">
        <f t="shared" si="4"/>
        <v>0</v>
      </c>
      <c r="T53" s="436">
        <f t="shared" si="5"/>
        <v>0</v>
      </c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</row>
    <row r="54" spans="1:38">
      <c r="A54" s="3358"/>
      <c r="B54" s="3359">
        <v>4</v>
      </c>
      <c r="C54" s="3359">
        <v>1</v>
      </c>
      <c r="D54" s="3359">
        <v>4</v>
      </c>
      <c r="E54" s="3359">
        <v>15</v>
      </c>
      <c r="F54" s="3359"/>
      <c r="G54" s="3359">
        <v>13</v>
      </c>
      <c r="H54" s="200" t="s">
        <v>230</v>
      </c>
      <c r="I54" s="200"/>
      <c r="J54" s="218"/>
      <c r="K54" s="3505">
        <f>+'KOM opsi 1'!J365</f>
        <v>77234295</v>
      </c>
      <c r="L54" s="3505">
        <f>+'KOM opsi 1'!K365</f>
        <v>0</v>
      </c>
      <c r="M54" s="3505">
        <f>+'KOM opsi 1'!L365</f>
        <v>60900800</v>
      </c>
      <c r="N54" s="3505">
        <f>+'KOM opsi 1'!O365</f>
        <v>0</v>
      </c>
      <c r="O54" s="3505">
        <f>+'KOM opsi 1'!P365</f>
        <v>60900800</v>
      </c>
      <c r="P54" s="3505">
        <f>+'KOM opsi 1'!Q365</f>
        <v>0</v>
      </c>
      <c r="Q54" s="3691">
        <f t="shared" si="1"/>
        <v>0</v>
      </c>
      <c r="R54" s="3353"/>
      <c r="S54" s="436">
        <f t="shared" si="4"/>
        <v>0</v>
      </c>
      <c r="T54" s="436">
        <f t="shared" si="5"/>
        <v>0</v>
      </c>
    </row>
    <row r="55" spans="1:38" ht="14.25" customHeight="1">
      <c r="A55" s="3358"/>
      <c r="B55" s="3359">
        <v>4</v>
      </c>
      <c r="C55" s="3359">
        <v>1</v>
      </c>
      <c r="D55" s="3359">
        <v>4</v>
      </c>
      <c r="E55" s="3359">
        <v>14</v>
      </c>
      <c r="F55" s="3359"/>
      <c r="G55" s="3361" t="s">
        <v>437</v>
      </c>
      <c r="H55" s="202" t="s">
        <v>1100</v>
      </c>
      <c r="I55" s="200"/>
      <c r="J55" s="218"/>
      <c r="K55" s="3506">
        <f>+'KOM opsi 1'!J387</f>
        <v>0</v>
      </c>
      <c r="L55" s="3506">
        <f>+'KOM opsi 1'!K387</f>
        <v>0</v>
      </c>
      <c r="M55" s="3506">
        <f>+'KOM opsi 1'!L387</f>
        <v>0</v>
      </c>
      <c r="N55" s="3506">
        <f>+'KOM opsi 1'!O387</f>
        <v>3135000</v>
      </c>
      <c r="O55" s="3506">
        <f>+'KOM opsi 1'!P387</f>
        <v>0</v>
      </c>
      <c r="P55" s="3506">
        <f>+'KOM opsi 1'!Q387</f>
        <v>0</v>
      </c>
      <c r="Q55" s="3694"/>
      <c r="R55" s="3353"/>
      <c r="S55" s="436">
        <f t="shared" si="4"/>
        <v>0</v>
      </c>
      <c r="T55" s="436">
        <f t="shared" si="5"/>
        <v>0</v>
      </c>
    </row>
    <row r="56" spans="1:38" ht="18.8" customHeight="1">
      <c r="A56" s="3362"/>
      <c r="B56" s="3363">
        <v>4</v>
      </c>
      <c r="C56" s="3363">
        <v>1</v>
      </c>
      <c r="D56" s="3363">
        <v>4</v>
      </c>
      <c r="E56" s="3363">
        <v>16</v>
      </c>
      <c r="F56" s="3363"/>
      <c r="G56" s="3364" t="s">
        <v>437</v>
      </c>
      <c r="H56" s="203" t="s">
        <v>1101</v>
      </c>
      <c r="I56" s="203"/>
      <c r="J56" s="219"/>
      <c r="K56" s="3510">
        <f>+'KOM opsi 1'!J373</f>
        <v>116197286650</v>
      </c>
      <c r="L56" s="3510">
        <f>+'KOM opsi 1'!K373</f>
        <v>130237291540.46001</v>
      </c>
      <c r="M56" s="3510">
        <f>+'KOM opsi 1'!L373</f>
        <v>158447286650</v>
      </c>
      <c r="N56" s="3510">
        <f>+'KOM opsi 1'!O373</f>
        <v>40418256259.939995</v>
      </c>
      <c r="O56" s="3510">
        <f>+'KOM opsi 1'!P373</f>
        <v>158447286650</v>
      </c>
      <c r="P56" s="3510">
        <f>+'KOM opsi 1'!Q373</f>
        <v>0</v>
      </c>
      <c r="Q56" s="3691">
        <f t="shared" si="1"/>
        <v>0</v>
      </c>
      <c r="R56" s="3365"/>
      <c r="S56" s="436">
        <f t="shared" si="4"/>
        <v>0</v>
      </c>
      <c r="T56" s="436">
        <f t="shared" si="5"/>
        <v>0</v>
      </c>
    </row>
    <row r="57" spans="1:38" ht="6.75" customHeight="1">
      <c r="A57" s="3366"/>
      <c r="B57" s="3367"/>
      <c r="C57" s="3367"/>
      <c r="D57" s="3367"/>
      <c r="E57" s="3367"/>
      <c r="F57" s="3367"/>
      <c r="G57" s="3367"/>
      <c r="H57" s="203"/>
      <c r="I57" s="203"/>
      <c r="J57" s="219"/>
      <c r="K57" s="3510"/>
      <c r="L57" s="3510"/>
      <c r="M57" s="3510"/>
      <c r="N57" s="3510"/>
      <c r="O57" s="3510"/>
      <c r="P57" s="3510"/>
      <c r="Q57" s="3338"/>
      <c r="R57" s="3365"/>
      <c r="S57" s="436">
        <f t="shared" si="4"/>
        <v>0</v>
      </c>
      <c r="T57" s="436">
        <f t="shared" si="5"/>
        <v>0</v>
      </c>
    </row>
    <row r="58" spans="1:38" s="3416" customFormat="1" ht="16.45" customHeight="1">
      <c r="A58" s="3409" t="s">
        <v>78</v>
      </c>
      <c r="B58" s="3410" t="s">
        <v>443</v>
      </c>
      <c r="C58" s="3410" t="s">
        <v>460</v>
      </c>
      <c r="D58" s="3410"/>
      <c r="E58" s="3410"/>
      <c r="F58" s="3411"/>
      <c r="G58" s="3412"/>
      <c r="H58" s="3413" t="s">
        <v>236</v>
      </c>
      <c r="I58" s="3414"/>
      <c r="J58" s="3414"/>
      <c r="K58" s="3511">
        <f>K59+K62+K63</f>
        <v>2333604004580</v>
      </c>
      <c r="L58" s="3511">
        <f>L59+L62+L63</f>
        <v>2587184362905</v>
      </c>
      <c r="M58" s="3511">
        <f>M59+M62+M63</f>
        <v>3222521202310</v>
      </c>
      <c r="N58" s="3511">
        <f>N59+N62+N63</f>
        <v>829709441911</v>
      </c>
      <c r="O58" s="3511">
        <f>O59+O62+O63</f>
        <v>3281628996000</v>
      </c>
      <c r="P58" s="3511">
        <f>O58-M58</f>
        <v>59107793690</v>
      </c>
      <c r="Q58" s="3406">
        <f t="shared" si="1"/>
        <v>1.8342096135047825</v>
      </c>
      <c r="R58" s="3415"/>
      <c r="S58" s="436">
        <f t="shared" si="4"/>
        <v>59107793690</v>
      </c>
      <c r="T58" s="3407">
        <f t="shared" si="5"/>
        <v>0</v>
      </c>
    </row>
    <row r="59" spans="1:38">
      <c r="A59" s="3368"/>
      <c r="B59" s="3369">
        <v>4</v>
      </c>
      <c r="C59" s="3369">
        <v>2</v>
      </c>
      <c r="D59" s="3369">
        <v>1</v>
      </c>
      <c r="E59" s="3369"/>
      <c r="F59" s="3369"/>
      <c r="G59" s="3370"/>
      <c r="H59" s="204" t="s">
        <v>1102</v>
      </c>
      <c r="I59" s="204"/>
      <c r="J59" s="220"/>
      <c r="K59" s="3512">
        <f t="shared" ref="K59:P59" si="7">SUM(K60:K61)</f>
        <v>247954406000</v>
      </c>
      <c r="L59" s="3512">
        <f t="shared" si="7"/>
        <v>375036424549</v>
      </c>
      <c r="M59" s="3512">
        <f t="shared" si="7"/>
        <v>353125684600</v>
      </c>
      <c r="N59" s="3512">
        <f t="shared" si="7"/>
        <v>120779891911</v>
      </c>
      <c r="O59" s="3512">
        <f t="shared" si="7"/>
        <v>493184076000</v>
      </c>
      <c r="P59" s="3512">
        <f t="shared" si="7"/>
        <v>140058391400</v>
      </c>
      <c r="Q59" s="3693">
        <f t="shared" si="1"/>
        <v>39.662476423557194</v>
      </c>
      <c r="R59" s="3371"/>
      <c r="S59" s="436">
        <f t="shared" si="4"/>
        <v>140058391400</v>
      </c>
      <c r="T59" s="436">
        <f t="shared" si="5"/>
        <v>0</v>
      </c>
    </row>
    <row r="60" spans="1:38">
      <c r="A60" s="3372"/>
      <c r="B60" s="3373"/>
      <c r="C60" s="3373"/>
      <c r="D60" s="3373"/>
      <c r="E60" s="3373"/>
      <c r="F60" s="3373"/>
      <c r="G60" s="3374"/>
      <c r="H60" s="2740" t="s">
        <v>50</v>
      </c>
      <c r="I60" s="205" t="s">
        <v>1103</v>
      </c>
      <c r="J60" s="221"/>
      <c r="K60" s="3513">
        <f>+'KOM opsi 1'!J399</f>
        <v>165277884000</v>
      </c>
      <c r="L60" s="3513">
        <f>+'KOM opsi 1'!K399</f>
        <v>165676022293</v>
      </c>
      <c r="M60" s="3513">
        <f>+'KOM opsi 1'!L399</f>
        <v>185190481600</v>
      </c>
      <c r="N60" s="3513">
        <f>+'KOM opsi 1'!O399</f>
        <v>58788864800</v>
      </c>
      <c r="O60" s="3513">
        <f>+'KOM opsi 1'!P399</f>
        <v>341748873000</v>
      </c>
      <c r="P60" s="3513">
        <f>+'KOM opsi 1'!Q399</f>
        <v>156558391400</v>
      </c>
      <c r="Q60" s="3691">
        <f t="shared" si="1"/>
        <v>84.539113483249338</v>
      </c>
      <c r="R60" s="3375"/>
      <c r="S60" s="436">
        <f t="shared" si="4"/>
        <v>156558391400</v>
      </c>
      <c r="T60" s="436">
        <f t="shared" si="5"/>
        <v>0</v>
      </c>
    </row>
    <row r="61" spans="1:38">
      <c r="A61" s="3372"/>
      <c r="B61" s="3373"/>
      <c r="C61" s="3373"/>
      <c r="D61" s="3373"/>
      <c r="E61" s="3373"/>
      <c r="F61" s="3373"/>
      <c r="G61" s="3374"/>
      <c r="H61" s="2740" t="s">
        <v>50</v>
      </c>
      <c r="I61" s="205" t="s">
        <v>1104</v>
      </c>
      <c r="J61" s="221"/>
      <c r="K61" s="3514">
        <f>+'KOM opsi 1'!J405</f>
        <v>82676522000</v>
      </c>
      <c r="L61" s="3514">
        <f>+'KOM opsi 1'!K405</f>
        <v>209360402256</v>
      </c>
      <c r="M61" s="3514">
        <f>+'KOM opsi 1'!L405</f>
        <v>167935203000</v>
      </c>
      <c r="N61" s="3514">
        <f>+'KOM opsi 1'!O405</f>
        <v>61991027111</v>
      </c>
      <c r="O61" s="3514">
        <f>+'KOM opsi 1'!P405</f>
        <v>151435203000</v>
      </c>
      <c r="P61" s="3501">
        <f>+'KOM opsi 1'!Q405</f>
        <v>-16500000000</v>
      </c>
      <c r="Q61" s="3691">
        <f t="shared" si="1"/>
        <v>-9.8252181229685362</v>
      </c>
      <c r="R61" s="3375"/>
      <c r="S61" s="436">
        <f t="shared" si="4"/>
        <v>-16500000000</v>
      </c>
      <c r="T61" s="436">
        <f t="shared" si="5"/>
        <v>0</v>
      </c>
    </row>
    <row r="62" spans="1:38">
      <c r="A62" s="3376"/>
      <c r="B62" s="3377">
        <v>4</v>
      </c>
      <c r="C62" s="3377">
        <v>2</v>
      </c>
      <c r="D62" s="3377">
        <v>2</v>
      </c>
      <c r="E62" s="3377"/>
      <c r="F62" s="3377"/>
      <c r="G62" s="3378"/>
      <c r="H62" s="206" t="s">
        <v>1105</v>
      </c>
      <c r="I62" s="206"/>
      <c r="J62" s="222"/>
      <c r="K62" s="3515">
        <f>+'KOM opsi 1'!J410</f>
        <v>955792513580</v>
      </c>
      <c r="L62" s="3515">
        <f>+'KOM opsi 1'!K410</f>
        <v>1117691709000</v>
      </c>
      <c r="M62" s="3515">
        <f>+'KOM opsi 1'!L410</f>
        <v>1496972549710</v>
      </c>
      <c r="N62" s="3515">
        <f>+'KOM opsi 1'!O410</f>
        <v>472007632000</v>
      </c>
      <c r="O62" s="3515">
        <f>+'KOM opsi 1'!P410</f>
        <v>1416022952000</v>
      </c>
      <c r="P62" s="3502">
        <f>+'KOM opsi 1'!Q410</f>
        <v>-80949597710</v>
      </c>
      <c r="Q62" s="3691">
        <f t="shared" si="1"/>
        <v>-5.4075539144443212</v>
      </c>
      <c r="R62" s="3379"/>
      <c r="S62" s="436">
        <f t="shared" si="4"/>
        <v>-80949597710</v>
      </c>
      <c r="T62" s="436">
        <f t="shared" si="5"/>
        <v>0</v>
      </c>
    </row>
    <row r="63" spans="1:38">
      <c r="A63" s="3376"/>
      <c r="B63" s="3377">
        <v>4</v>
      </c>
      <c r="C63" s="3377">
        <v>2</v>
      </c>
      <c r="D63" s="3377">
        <v>3</v>
      </c>
      <c r="E63" s="3377"/>
      <c r="F63" s="3377"/>
      <c r="G63" s="3378"/>
      <c r="H63" s="206" t="s">
        <v>256</v>
      </c>
      <c r="I63" s="206"/>
      <c r="J63" s="222"/>
      <c r="K63" s="3515">
        <f>+'KOM opsi 1'!J415</f>
        <v>1129857085000</v>
      </c>
      <c r="L63" s="3515">
        <f>+'KOM opsi 1'!K415</f>
        <v>1094456229356</v>
      </c>
      <c r="M63" s="3515">
        <f>+'KOM opsi 1'!L415</f>
        <v>1372422968000</v>
      </c>
      <c r="N63" s="3515">
        <f>+'KOM opsi 1'!O415</f>
        <v>236921918000</v>
      </c>
      <c r="O63" s="3515">
        <f>+'KOM opsi 1'!P415</f>
        <v>1372421968000</v>
      </c>
      <c r="P63" s="3502">
        <f>+'KOM opsi 1'!Q415</f>
        <v>-1000000</v>
      </c>
      <c r="Q63" s="3691">
        <f t="shared" si="1"/>
        <v>-7.286383450377798E-5</v>
      </c>
      <c r="R63" s="3379"/>
      <c r="S63" s="436">
        <f t="shared" si="4"/>
        <v>-1000000</v>
      </c>
      <c r="T63" s="436">
        <f t="shared" si="5"/>
        <v>0</v>
      </c>
    </row>
    <row r="64" spans="1:38" s="192" customFormat="1" ht="10.5" customHeight="1">
      <c r="A64" s="207"/>
      <c r="B64" s="208"/>
      <c r="C64" s="208"/>
      <c r="D64" s="208"/>
      <c r="E64" s="208"/>
      <c r="F64" s="208"/>
      <c r="G64" s="209"/>
      <c r="H64" s="210"/>
      <c r="I64" s="210"/>
      <c r="J64" s="223"/>
      <c r="K64" s="3516"/>
      <c r="L64" s="3516"/>
      <c r="M64" s="3516"/>
      <c r="N64" s="3516"/>
      <c r="O64" s="3516"/>
      <c r="P64" s="3516"/>
      <c r="Q64" s="3695"/>
      <c r="R64" s="227"/>
      <c r="S64" s="436">
        <f t="shared" si="4"/>
        <v>0</v>
      </c>
      <c r="T64" s="436">
        <f t="shared" si="5"/>
        <v>0</v>
      </c>
    </row>
    <row r="65" spans="1:20" s="3408" customFormat="1" ht="16.45" customHeight="1">
      <c r="A65" s="3400" t="s">
        <v>100</v>
      </c>
      <c r="B65" s="3401">
        <v>4</v>
      </c>
      <c r="C65" s="3401">
        <v>3</v>
      </c>
      <c r="D65" s="3401"/>
      <c r="E65" s="3401"/>
      <c r="F65" s="3401"/>
      <c r="G65" s="3401"/>
      <c r="H65" s="3402" t="s">
        <v>265</v>
      </c>
      <c r="I65" s="3403"/>
      <c r="J65" s="3404"/>
      <c r="K65" s="3522">
        <f>K66+K71</f>
        <v>18870510900</v>
      </c>
      <c r="L65" s="3522">
        <f>L66+L71</f>
        <v>18001891981.540001</v>
      </c>
      <c r="M65" s="3522">
        <f>M66+M71</f>
        <v>67264821900</v>
      </c>
      <c r="N65" s="3522">
        <f>N66+N71</f>
        <v>27924223346.990002</v>
      </c>
      <c r="O65" s="3522">
        <f>O66+O71</f>
        <v>67478457900</v>
      </c>
      <c r="P65" s="3522">
        <f>O65-M65</f>
        <v>213636000</v>
      </c>
      <c r="Q65" s="3406">
        <f t="shared" si="1"/>
        <v>0.31760434944376925</v>
      </c>
      <c r="R65" s="3405"/>
      <c r="S65" s="436">
        <f t="shared" si="4"/>
        <v>213636000</v>
      </c>
      <c r="T65" s="3407">
        <f t="shared" si="5"/>
        <v>0</v>
      </c>
    </row>
    <row r="66" spans="1:20" ht="15.05" customHeight="1">
      <c r="A66" s="211"/>
      <c r="B66" s="3356">
        <v>4</v>
      </c>
      <c r="C66" s="3356">
        <v>3</v>
      </c>
      <c r="D66" s="3356">
        <v>1</v>
      </c>
      <c r="E66" s="3356"/>
      <c r="F66" s="3356"/>
      <c r="G66" s="3340"/>
      <c r="H66" s="212" t="s">
        <v>1106</v>
      </c>
      <c r="I66" s="224"/>
      <c r="J66" s="225"/>
      <c r="K66" s="3504">
        <f t="shared" ref="K66:P66" si="8">SUM(K67:K69)</f>
        <v>13870510900</v>
      </c>
      <c r="L66" s="3504">
        <f t="shared" si="8"/>
        <v>13001891981.540001</v>
      </c>
      <c r="M66" s="3504">
        <f t="shared" si="8"/>
        <v>13870510900</v>
      </c>
      <c r="N66" s="3504">
        <f t="shared" si="8"/>
        <v>1227068346.99</v>
      </c>
      <c r="O66" s="3504">
        <f t="shared" si="8"/>
        <v>14084146900</v>
      </c>
      <c r="P66" s="3504">
        <f t="shared" si="8"/>
        <v>213636000</v>
      </c>
      <c r="Q66" s="3690">
        <f t="shared" si="1"/>
        <v>1.5402172388617714</v>
      </c>
      <c r="R66" s="3351"/>
      <c r="S66" s="436">
        <f t="shared" si="4"/>
        <v>213636000</v>
      </c>
      <c r="T66" s="436">
        <f t="shared" si="5"/>
        <v>0</v>
      </c>
    </row>
    <row r="67" spans="1:20">
      <c r="A67" s="3380"/>
      <c r="B67" s="3359"/>
      <c r="C67" s="3359"/>
      <c r="D67" s="3359"/>
      <c r="E67" s="3359"/>
      <c r="F67" s="3359"/>
      <c r="G67" s="3343"/>
      <c r="H67" s="2778" t="s">
        <v>50</v>
      </c>
      <c r="I67" s="2727" t="s">
        <v>267</v>
      </c>
      <c r="J67" s="218"/>
      <c r="K67" s="3505">
        <f>'KOM opsi 1'!L430</f>
        <v>0</v>
      </c>
      <c r="L67" s="3505">
        <f>'KOM opsi 1'!M430</f>
        <v>0</v>
      </c>
      <c r="M67" s="3505">
        <f>'KOM opsi 1'!N430</f>
        <v>0</v>
      </c>
      <c r="N67" s="3505">
        <f>'KOM opsi 1'!P430</f>
        <v>0</v>
      </c>
      <c r="O67" s="3505">
        <f>'KOM opsi 1'!Q430</f>
        <v>0</v>
      </c>
      <c r="P67" s="3505">
        <f>'KOM opsi 1'!R430</f>
        <v>0</v>
      </c>
      <c r="Q67" s="3692"/>
      <c r="R67" s="3353"/>
      <c r="S67" s="436">
        <f t="shared" si="4"/>
        <v>0</v>
      </c>
      <c r="T67" s="436">
        <f t="shared" si="5"/>
        <v>0</v>
      </c>
    </row>
    <row r="68" spans="1:20">
      <c r="A68" s="3381"/>
      <c r="B68" s="3359"/>
      <c r="C68" s="3359"/>
      <c r="D68" s="3359"/>
      <c r="E68" s="3359"/>
      <c r="F68" s="3359"/>
      <c r="G68" s="3343"/>
      <c r="H68" s="2778" t="s">
        <v>50</v>
      </c>
      <c r="I68" s="200" t="s">
        <v>1107</v>
      </c>
      <c r="J68" s="218"/>
      <c r="K68" s="3505">
        <f>+'KOM opsi 1'!J429</f>
        <v>13870510900</v>
      </c>
      <c r="L68" s="3505">
        <f>+'KOM opsi 1'!K429</f>
        <v>13001891981.540001</v>
      </c>
      <c r="M68" s="3505">
        <f>+'KOM opsi 1'!L429</f>
        <v>13870510900</v>
      </c>
      <c r="N68" s="3505">
        <f>+'KOM opsi 1'!O431</f>
        <v>1227068346.99</v>
      </c>
      <c r="O68" s="3505">
        <f>+'KOM opsi 1'!P431</f>
        <v>14084146900</v>
      </c>
      <c r="P68" s="3505">
        <f>+'KOM opsi 1'!Q431</f>
        <v>213636000</v>
      </c>
      <c r="Q68" s="3691">
        <f t="shared" si="1"/>
        <v>1.5402172388617714</v>
      </c>
      <c r="R68" s="3353"/>
      <c r="S68" s="436">
        <f t="shared" si="4"/>
        <v>213636000</v>
      </c>
      <c r="T68" s="436">
        <f t="shared" si="5"/>
        <v>0</v>
      </c>
    </row>
    <row r="69" spans="1:20">
      <c r="A69" s="3381"/>
      <c r="B69" s="3359"/>
      <c r="C69" s="3359"/>
      <c r="D69" s="3359"/>
      <c r="E69" s="3359"/>
      <c r="F69" s="3359"/>
      <c r="G69" s="3343"/>
      <c r="H69" s="213"/>
      <c r="I69" s="200" t="s">
        <v>1108</v>
      </c>
      <c r="J69" s="218"/>
      <c r="K69" s="3505"/>
      <c r="L69" s="3505"/>
      <c r="M69" s="3505"/>
      <c r="N69" s="3505"/>
      <c r="O69" s="3505"/>
      <c r="P69" s="3505"/>
      <c r="Q69" s="3692"/>
      <c r="R69" s="3353"/>
      <c r="S69" s="436">
        <f t="shared" si="4"/>
        <v>0</v>
      </c>
      <c r="T69" s="436">
        <f t="shared" si="5"/>
        <v>0</v>
      </c>
    </row>
    <row r="70" spans="1:20" ht="9.1" customHeight="1">
      <c r="A70" s="3382"/>
      <c r="B70" s="3383"/>
      <c r="C70" s="3383"/>
      <c r="D70" s="3383"/>
      <c r="E70" s="3383"/>
      <c r="F70" s="3383"/>
      <c r="G70" s="3384"/>
      <c r="H70" s="2844"/>
      <c r="I70" s="856"/>
      <c r="J70" s="1907"/>
      <c r="K70" s="3517"/>
      <c r="L70" s="3517"/>
      <c r="M70" s="3517"/>
      <c r="N70" s="3517"/>
      <c r="O70" s="3517"/>
      <c r="P70" s="3517"/>
      <c r="Q70" s="3692"/>
      <c r="R70" s="3385"/>
      <c r="S70" s="436">
        <f t="shared" si="4"/>
        <v>0</v>
      </c>
      <c r="T70" s="436">
        <f t="shared" si="5"/>
        <v>0</v>
      </c>
    </row>
    <row r="71" spans="1:20" s="190" customFormat="1" ht="12.7" customHeight="1">
      <c r="A71" s="228"/>
      <c r="B71" s="228" t="s">
        <v>443</v>
      </c>
      <c r="C71" s="228" t="s">
        <v>457</v>
      </c>
      <c r="D71" s="228" t="s">
        <v>443</v>
      </c>
      <c r="E71" s="228"/>
      <c r="F71" s="229"/>
      <c r="G71" s="230"/>
      <c r="H71" s="231" t="s">
        <v>652</v>
      </c>
      <c r="I71" s="202"/>
      <c r="J71" s="218"/>
      <c r="K71" s="3506">
        <f t="shared" ref="K71:P71" si="9">SUM(K72)</f>
        <v>5000000000</v>
      </c>
      <c r="L71" s="3506">
        <f t="shared" si="9"/>
        <v>5000000000</v>
      </c>
      <c r="M71" s="3506">
        <f t="shared" si="9"/>
        <v>53394311000</v>
      </c>
      <c r="N71" s="3506">
        <f t="shared" si="9"/>
        <v>26697155000</v>
      </c>
      <c r="O71" s="3506">
        <f t="shared" si="9"/>
        <v>53394311000</v>
      </c>
      <c r="P71" s="3506">
        <f t="shared" si="9"/>
        <v>0</v>
      </c>
      <c r="Q71" s="3692">
        <f t="shared" si="1"/>
        <v>0</v>
      </c>
      <c r="R71" s="3354"/>
      <c r="S71" s="436">
        <f t="shared" si="4"/>
        <v>0</v>
      </c>
      <c r="T71" s="436">
        <f t="shared" si="5"/>
        <v>0</v>
      </c>
    </row>
    <row r="72" spans="1:20" ht="12.7" customHeight="1">
      <c r="A72" s="232"/>
      <c r="B72" s="232"/>
      <c r="C72" s="232"/>
      <c r="D72" s="232"/>
      <c r="E72" s="232"/>
      <c r="F72" s="232"/>
      <c r="G72" s="230"/>
      <c r="H72" s="233" t="s">
        <v>293</v>
      </c>
      <c r="I72" s="200"/>
      <c r="J72" s="218"/>
      <c r="K72" s="3505">
        <f>+'KOM opsi 1'!J566</f>
        <v>5000000000</v>
      </c>
      <c r="L72" s="3505">
        <f>+'KOM opsi 1'!K566</f>
        <v>5000000000</v>
      </c>
      <c r="M72" s="3505">
        <f>+'KOM opsi 1'!L566</f>
        <v>53394311000</v>
      </c>
      <c r="N72" s="3505">
        <f>+'KOM opsi 1'!O562</f>
        <v>26697155000</v>
      </c>
      <c r="O72" s="3505">
        <f>+'KOM opsi 1'!P562</f>
        <v>53394311000</v>
      </c>
      <c r="P72" s="3505">
        <f>+'KOM opsi 1'!Q562</f>
        <v>0</v>
      </c>
      <c r="Q72" s="3692">
        <f>O72/M72*100-100</f>
        <v>0</v>
      </c>
      <c r="R72" s="3353"/>
      <c r="S72" s="436">
        <f t="shared" si="4"/>
        <v>0</v>
      </c>
      <c r="T72" s="436">
        <f t="shared" si="5"/>
        <v>0</v>
      </c>
    </row>
    <row r="73" spans="1:20" ht="9.1" customHeight="1">
      <c r="A73" s="234"/>
      <c r="B73" s="234"/>
      <c r="C73" s="234"/>
      <c r="D73" s="234"/>
      <c r="E73" s="234"/>
      <c r="F73" s="234"/>
      <c r="G73" s="235"/>
      <c r="H73" s="236"/>
      <c r="I73" s="238"/>
      <c r="J73" s="239"/>
      <c r="K73" s="3518"/>
      <c r="L73" s="3518"/>
      <c r="M73" s="3518"/>
      <c r="N73" s="3518"/>
      <c r="O73" s="3518"/>
      <c r="P73" s="3518"/>
      <c r="Q73" s="3338"/>
      <c r="R73" s="3386"/>
      <c r="S73" s="436">
        <f t="shared" si="4"/>
        <v>0</v>
      </c>
      <c r="T73" s="436">
        <f t="shared" si="5"/>
        <v>0</v>
      </c>
    </row>
    <row r="74" spans="1:20" s="3433" customFormat="1" ht="17.25" customHeight="1">
      <c r="A74" s="3434"/>
      <c r="B74" s="3435"/>
      <c r="C74" s="3435"/>
      <c r="D74" s="3435"/>
      <c r="E74" s="3435"/>
      <c r="F74" s="3435"/>
      <c r="G74" s="3435"/>
      <c r="H74" s="3436" t="s">
        <v>1109</v>
      </c>
      <c r="I74" s="3428"/>
      <c r="J74" s="3429"/>
      <c r="K74" s="3523">
        <f t="shared" ref="K74:P74" si="10">K65+K58+K8</f>
        <v>3802519445799</v>
      </c>
      <c r="L74" s="3523">
        <f t="shared" si="10"/>
        <v>3954156416678.9697</v>
      </c>
      <c r="M74" s="3523">
        <f t="shared" si="10"/>
        <v>4791397359569</v>
      </c>
      <c r="N74" s="3523">
        <f t="shared" si="10"/>
        <v>1145356630856.72</v>
      </c>
      <c r="O74" s="3523">
        <f t="shared" si="10"/>
        <v>4856838624052</v>
      </c>
      <c r="P74" s="3523">
        <f t="shared" si="10"/>
        <v>65441264483</v>
      </c>
      <c r="Q74" s="3430">
        <f>O74/M74*100-100</f>
        <v>1.3658074998164267</v>
      </c>
      <c r="R74" s="3437"/>
      <c r="S74" s="436">
        <f t="shared" si="4"/>
        <v>65441264483</v>
      </c>
      <c r="T74" s="3432">
        <f t="shared" si="5"/>
        <v>0</v>
      </c>
    </row>
    <row r="75" spans="1:20" ht="12.7" customHeight="1">
      <c r="J75" s="436"/>
      <c r="K75" s="3387"/>
      <c r="L75" s="3387"/>
      <c r="M75" s="3387"/>
      <c r="N75" s="240"/>
      <c r="O75" s="240"/>
      <c r="P75" s="240"/>
      <c r="R75" s="3388"/>
    </row>
    <row r="76" spans="1:20">
      <c r="K76" s="3389"/>
      <c r="L76" s="3389"/>
      <c r="M76" s="1142"/>
      <c r="N76" s="1142"/>
      <c r="O76" s="1142"/>
      <c r="P76" s="1142"/>
    </row>
    <row r="77" spans="1:20">
      <c r="K77" s="3387"/>
      <c r="L77" s="3387"/>
      <c r="M77" s="3387"/>
      <c r="N77" s="3390"/>
      <c r="O77" s="3390"/>
      <c r="P77" s="3390"/>
      <c r="Q77" s="3390"/>
    </row>
    <row r="78" spans="1:20">
      <c r="K78" s="436"/>
      <c r="L78" s="436"/>
      <c r="M78" s="436"/>
      <c r="N78" s="422"/>
      <c r="O78" s="422"/>
      <c r="P78" s="422"/>
      <c r="Q78" s="422"/>
    </row>
    <row r="79" spans="1:20">
      <c r="H79" s="819"/>
      <c r="I79" s="819"/>
      <c r="N79" s="422"/>
      <c r="O79" s="422"/>
      <c r="P79" s="422"/>
      <c r="Q79" s="422"/>
    </row>
    <row r="80" spans="1:20">
      <c r="J80" s="190"/>
      <c r="K80" s="3391"/>
      <c r="L80" s="3391"/>
      <c r="M80" s="3391"/>
      <c r="N80" s="3391"/>
      <c r="O80" s="3391"/>
      <c r="P80" s="3391"/>
    </row>
    <row r="81" spans="8:17">
      <c r="N81" s="3392"/>
      <c r="O81" s="3392"/>
      <c r="P81" s="3392"/>
      <c r="Q81" s="3392"/>
    </row>
    <row r="82" spans="8:17">
      <c r="H82" s="3393"/>
      <c r="I82" s="3393"/>
      <c r="N82" s="1829"/>
      <c r="O82" s="1829"/>
      <c r="P82" s="1829"/>
      <c r="Q82" s="1829"/>
    </row>
    <row r="83" spans="8:17">
      <c r="H83" s="3394"/>
      <c r="I83" s="3394"/>
      <c r="N83" s="3395"/>
      <c r="O83" s="3395"/>
      <c r="P83" s="3395"/>
      <c r="Q83" s="3395"/>
    </row>
    <row r="85" spans="8:17">
      <c r="J85" s="3396"/>
      <c r="K85" s="3389"/>
      <c r="L85" s="3389"/>
      <c r="M85" s="3389"/>
      <c r="N85" s="3389"/>
      <c r="O85" s="3389"/>
      <c r="P85" s="3389"/>
      <c r="Q85" s="3397"/>
    </row>
    <row r="88" spans="8:17">
      <c r="K88" s="3398"/>
      <c r="L88" s="3398"/>
      <c r="M88" s="3398"/>
    </row>
    <row r="97" spans="10:10">
      <c r="J97" s="63"/>
    </row>
  </sheetData>
  <sheetProtection selectLockedCells="1" selectUnlockedCells="1"/>
  <mergeCells count="14">
    <mergeCell ref="R4:R5"/>
    <mergeCell ref="H5:J5"/>
    <mergeCell ref="B6:G6"/>
    <mergeCell ref="H6:J6"/>
    <mergeCell ref="A1:R1"/>
    <mergeCell ref="A2:R2"/>
    <mergeCell ref="Q3:R3"/>
    <mergeCell ref="B4:G5"/>
    <mergeCell ref="H4:J4"/>
    <mergeCell ref="K4:K5"/>
    <mergeCell ref="L4:L5"/>
    <mergeCell ref="M4:M5"/>
    <mergeCell ref="N4:N5"/>
    <mergeCell ref="Q4:Q5"/>
  </mergeCells>
  <pageMargins left="0.27559055118110237" right="0.11811023622047245" top="0.6692913385826772" bottom="0.39370078740157483" header="0.43307086614173229" footer="0.31496062992125984"/>
  <pageSetup paperSize="512" scale="79" orientation="landscape" useFirstPageNumber="1" horizontalDpi="1200" verticalDpi="1200" r:id="rId1"/>
  <headerFooter alignWithMargins="0">
    <oddFooter>&amp;LRekapitulasi Rencana Perubahan Target Pendapatan TA 2017&amp;CBAPPENDA PROVINSI NTB&amp;RHal. &amp;P</oddFooter>
  </headerFooter>
  <rowBreaks count="1" manualBreakCount="1">
    <brk id="42" max="17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C1:E36"/>
  <sheetViews>
    <sheetView workbookViewId="0">
      <selection activeCell="T32" sqref="T32"/>
    </sheetView>
  </sheetViews>
  <sheetFormatPr defaultRowHeight="12.55"/>
  <cols>
    <col min="3" max="3" width="42.44140625" bestFit="1" customWidth="1"/>
    <col min="4" max="4" width="16.44140625" bestFit="1" customWidth="1"/>
    <col min="5" max="5" width="20.44140625" bestFit="1" customWidth="1"/>
  </cols>
  <sheetData>
    <row r="1" spans="3:5" ht="13.15">
      <c r="C1" s="2081" t="s">
        <v>1199</v>
      </c>
    </row>
    <row r="3" spans="3:5">
      <c r="C3" t="s">
        <v>56</v>
      </c>
      <c r="D3" t="s">
        <v>1198</v>
      </c>
      <c r="E3" t="s">
        <v>1197</v>
      </c>
    </row>
    <row r="5" spans="3:5">
      <c r="C5" t="str">
        <f>'rekap opsi 1.'!H8</f>
        <v>PENDAPATAN ASLI DAERAH</v>
      </c>
      <c r="D5" s="3868">
        <f>'rekap opsi 1.'!M8</f>
        <v>1501611335359</v>
      </c>
      <c r="E5" s="3868">
        <f>'rekap opsi 1.'!O8</f>
        <v>1507731170152</v>
      </c>
    </row>
    <row r="6" spans="3:5">
      <c r="C6" t="str">
        <f>'rekap opsi 1.'!H58</f>
        <v>DANA PERIMBANGAN</v>
      </c>
      <c r="D6" s="3868">
        <f>'rekap opsi 1.'!M58</f>
        <v>3222521202310</v>
      </c>
      <c r="E6" s="3868">
        <f>'rekap opsi 1.'!O58</f>
        <v>3281628996000</v>
      </c>
    </row>
    <row r="7" spans="3:5">
      <c r="C7" t="str">
        <f>'rekap opsi 1.'!H65</f>
        <v>LAIN-LAIN PENDAPATAN DAERAH YANG SAH</v>
      </c>
      <c r="D7" s="3868">
        <f>'rekap opsi 1.'!M65</f>
        <v>67264821900</v>
      </c>
      <c r="E7" s="3868">
        <f>'rekap opsi 1.'!O65</f>
        <v>67478457900</v>
      </c>
    </row>
    <row r="30" spans="3:5" ht="13.15">
      <c r="C30" s="2081" t="s">
        <v>1200</v>
      </c>
    </row>
    <row r="32" spans="3:5">
      <c r="C32" t="s">
        <v>56</v>
      </c>
      <c r="D32" t="s">
        <v>1198</v>
      </c>
      <c r="E32" t="s">
        <v>1197</v>
      </c>
    </row>
    <row r="34" spans="3:5">
      <c r="C34" t="s">
        <v>180</v>
      </c>
      <c r="D34" s="3868">
        <f>'rekap opsi 2'!M8</f>
        <v>1501611335359</v>
      </c>
      <c r="E34" s="3868">
        <f>'rekap opsi 2'!O8</f>
        <v>1510180371152</v>
      </c>
    </row>
    <row r="35" spans="3:5">
      <c r="C35" t="s">
        <v>236</v>
      </c>
      <c r="D35" s="3868">
        <f>'rekap opsi 2'!M58</f>
        <v>3222521202310</v>
      </c>
      <c r="E35" s="3868">
        <f>'rekap opsi 2'!O58</f>
        <v>3116570908600</v>
      </c>
    </row>
    <row r="36" spans="3:5">
      <c r="C36" t="s">
        <v>265</v>
      </c>
      <c r="D36" s="3868">
        <f>'rekap opsi 2'!M65</f>
        <v>67264821900</v>
      </c>
      <c r="E36" s="3868">
        <f>'rekap opsi 2'!O65</f>
        <v>85598457900</v>
      </c>
    </row>
  </sheetData>
  <pageMargins left="0.7" right="0.7" top="0.75" bottom="0.75" header="0.3" footer="0.3"/>
  <pageSetup paperSize="5" orientation="portrait" horizontalDpi="0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rgb="FF92D050"/>
  </sheetPr>
  <dimension ref="A1:AC721"/>
  <sheetViews>
    <sheetView view="pageBreakPreview" topLeftCell="D1" zoomScale="94" zoomScaleNormal="90" zoomScaleSheetLayoutView="94" workbookViewId="0">
      <pane ySplit="6" topLeftCell="A7" activePane="bottomLeft" state="frozen"/>
      <selection pane="bottomLeft" activeCell="P14" sqref="P14"/>
    </sheetView>
  </sheetViews>
  <sheetFormatPr defaultColWidth="9.109375" defaultRowHeight="13.15"/>
  <cols>
    <col min="1" max="2" width="3.44140625" style="1843" customWidth="1"/>
    <col min="3" max="5" width="3.44140625" style="1844" customWidth="1"/>
    <col min="6" max="6" width="2.5546875" style="1845" customWidth="1"/>
    <col min="7" max="7" width="2.109375" style="1845" customWidth="1"/>
    <col min="8" max="8" width="20.6640625" style="1844" customWidth="1"/>
    <col min="9" max="9" width="19.5546875" style="1844" customWidth="1"/>
    <col min="10" max="10" width="22.5546875" style="1844" customWidth="1"/>
    <col min="11" max="11" width="22.44140625" style="1844" customWidth="1"/>
    <col min="12" max="12" width="22.5546875" style="1844" customWidth="1"/>
    <col min="13" max="13" width="20.33203125" style="1844" hidden="1" customWidth="1"/>
    <col min="14" max="14" width="20.109375" style="1844" hidden="1" customWidth="1"/>
    <col min="15" max="15" width="22.109375" style="1844" customWidth="1"/>
    <col min="16" max="16" width="22.44140625" style="1844" customWidth="1"/>
    <col min="17" max="17" width="21.44140625" style="1844" customWidth="1"/>
    <col min="18" max="18" width="8" style="3649" customWidth="1"/>
    <col min="19" max="19" width="7.44140625" style="1844" customWidth="1"/>
    <col min="20" max="20" width="21.6640625" style="1846" customWidth="1"/>
    <col min="21" max="21" width="20.33203125" style="1844" customWidth="1"/>
    <col min="22" max="16384" width="9.109375" style="1844"/>
  </cols>
  <sheetData>
    <row r="1" spans="1:20" s="1831" customFormat="1" ht="9.6999999999999993" customHeight="1">
      <c r="A1" s="1847"/>
      <c r="B1" s="1847"/>
      <c r="C1" s="1840"/>
      <c r="D1" s="1840"/>
      <c r="E1" s="1840"/>
      <c r="F1" s="1848"/>
      <c r="G1" s="1848"/>
      <c r="H1" s="1840"/>
      <c r="I1" s="1840"/>
      <c r="J1" s="1840"/>
      <c r="K1" s="1840"/>
      <c r="L1" s="1840"/>
      <c r="M1" s="1840"/>
      <c r="N1" s="1840"/>
      <c r="O1" s="1840"/>
      <c r="P1" s="1840"/>
      <c r="Q1" s="1840"/>
      <c r="R1" s="3596"/>
      <c r="S1" s="1840"/>
      <c r="T1" s="1846"/>
    </row>
    <row r="2" spans="1:20" ht="18" customHeight="1">
      <c r="A2" s="5785" t="s">
        <v>1182</v>
      </c>
      <c r="B2" s="5838"/>
      <c r="C2" s="5838"/>
      <c r="D2" s="5838"/>
      <c r="E2" s="5838"/>
      <c r="F2" s="5838"/>
      <c r="G2" s="5838"/>
      <c r="H2" s="5838"/>
      <c r="I2" s="5838"/>
      <c r="J2" s="5838"/>
      <c r="K2" s="5838"/>
      <c r="L2" s="5838"/>
      <c r="M2" s="5838"/>
      <c r="N2" s="5838"/>
      <c r="O2" s="5838"/>
      <c r="P2" s="5838"/>
      <c r="Q2" s="5838"/>
      <c r="R2" s="5838"/>
      <c r="S2" s="5838"/>
    </row>
    <row r="3" spans="1:20" ht="18" customHeight="1">
      <c r="B3" s="1849"/>
      <c r="C3" s="1849"/>
      <c r="D3" s="1849"/>
      <c r="E3" s="1849"/>
      <c r="F3" s="1849"/>
      <c r="G3" s="1849"/>
      <c r="H3" s="1840"/>
      <c r="I3" s="1864"/>
      <c r="J3" s="1864"/>
      <c r="K3" s="1864"/>
      <c r="L3" s="1849"/>
      <c r="M3" s="1865"/>
      <c r="N3" s="1849"/>
      <c r="O3" s="1849"/>
      <c r="P3" s="1849"/>
      <c r="Q3" s="1849"/>
      <c r="R3" s="3597"/>
      <c r="S3" s="1849"/>
    </row>
    <row r="4" spans="1:20" ht="18" customHeight="1">
      <c r="A4" s="1850" t="s">
        <v>473</v>
      </c>
      <c r="B4" s="1847"/>
      <c r="C4" s="1847"/>
      <c r="D4" s="1847"/>
      <c r="E4" s="1847"/>
      <c r="F4" s="1840"/>
      <c r="G4" s="1840"/>
      <c r="H4" s="1840"/>
      <c r="I4" s="1840"/>
      <c r="J4" s="1840"/>
      <c r="K4" s="1840"/>
      <c r="L4" s="1866"/>
      <c r="M4" s="1866"/>
      <c r="N4" s="1866"/>
      <c r="O4" s="1866"/>
      <c r="P4" s="1867"/>
      <c r="Q4" s="1867"/>
      <c r="R4" s="3598"/>
      <c r="S4" s="1878"/>
    </row>
    <row r="5" spans="1:20" s="257" customFormat="1" ht="13" customHeight="1">
      <c r="A5" s="5786" t="s">
        <v>435</v>
      </c>
      <c r="B5" s="5786"/>
      <c r="C5" s="5786"/>
      <c r="D5" s="5786"/>
      <c r="E5" s="5786"/>
      <c r="F5" s="5787" t="s">
        <v>56</v>
      </c>
      <c r="G5" s="5787"/>
      <c r="H5" s="5787"/>
      <c r="I5" s="5787"/>
      <c r="J5" s="5788" t="s">
        <v>474</v>
      </c>
      <c r="K5" s="5788" t="s">
        <v>475</v>
      </c>
      <c r="L5" s="5790" t="str">
        <f>PerDinas!K5</f>
        <v>TARGET 2017</v>
      </c>
      <c r="M5" s="5791" t="s">
        <v>5</v>
      </c>
      <c r="N5" s="5792"/>
      <c r="O5" s="5793"/>
      <c r="P5" s="1869" t="s">
        <v>476</v>
      </c>
      <c r="Q5" s="5910" t="s">
        <v>477</v>
      </c>
      <c r="R5" s="5839" t="s">
        <v>6</v>
      </c>
      <c r="S5" s="5781" t="s">
        <v>478</v>
      </c>
      <c r="T5" s="1846"/>
    </row>
    <row r="6" spans="1:20" s="257" customFormat="1" ht="13" customHeight="1">
      <c r="A6" s="5786"/>
      <c r="B6" s="5786"/>
      <c r="C6" s="5786"/>
      <c r="D6" s="5786"/>
      <c r="E6" s="5786"/>
      <c r="F6" s="5787"/>
      <c r="G6" s="5787"/>
      <c r="H6" s="5787"/>
      <c r="I6" s="5787"/>
      <c r="J6" s="5789"/>
      <c r="K6" s="5789"/>
      <c r="L6" s="5790"/>
      <c r="M6" s="1868" t="s">
        <v>479</v>
      </c>
      <c r="N6" s="1868" t="s">
        <v>433</v>
      </c>
      <c r="O6" s="1868" t="s">
        <v>480</v>
      </c>
      <c r="P6" s="1870" t="s">
        <v>481</v>
      </c>
      <c r="Q6" s="5795"/>
      <c r="R6" s="5840"/>
      <c r="S6" s="5781"/>
      <c r="T6" s="1846"/>
    </row>
    <row r="7" spans="1:20" s="257" customFormat="1" ht="12.05" customHeight="1">
      <c r="A7" s="5782" t="s">
        <v>58</v>
      </c>
      <c r="B7" s="5782"/>
      <c r="C7" s="5782"/>
      <c r="D7" s="5782"/>
      <c r="E7" s="5782"/>
      <c r="F7" s="5783" t="s">
        <v>460</v>
      </c>
      <c r="G7" s="5783"/>
      <c r="H7" s="5783"/>
      <c r="I7" s="5783"/>
      <c r="J7" s="2754" t="s">
        <v>457</v>
      </c>
      <c r="K7" s="2754" t="s">
        <v>443</v>
      </c>
      <c r="L7" s="2755" t="s">
        <v>482</v>
      </c>
      <c r="M7" s="1871" t="s">
        <v>443</v>
      </c>
      <c r="N7" s="1871" t="s">
        <v>482</v>
      </c>
      <c r="O7" s="2755" t="s">
        <v>483</v>
      </c>
      <c r="P7" s="2755" t="s">
        <v>484</v>
      </c>
      <c r="Q7" s="2755" t="s">
        <v>485</v>
      </c>
      <c r="R7" s="3591" t="s">
        <v>486</v>
      </c>
      <c r="S7" s="2755" t="s">
        <v>444</v>
      </c>
      <c r="T7" s="1879"/>
    </row>
    <row r="8" spans="1:20" s="257" customFormat="1" ht="15.05" customHeight="1">
      <c r="A8" s="1851"/>
      <c r="B8" s="1851"/>
      <c r="C8" s="1851"/>
      <c r="D8" s="1851"/>
      <c r="E8" s="1851"/>
      <c r="F8" s="1852"/>
      <c r="G8" s="1853"/>
      <c r="H8" s="1853"/>
      <c r="I8" s="1872"/>
      <c r="J8" s="1873"/>
      <c r="K8" s="1873"/>
      <c r="L8" s="1874"/>
      <c r="M8" s="1875"/>
      <c r="N8" s="1874"/>
      <c r="O8" s="1874"/>
      <c r="P8" s="1874"/>
      <c r="Q8" s="1874"/>
      <c r="R8" s="3599"/>
      <c r="S8" s="1880"/>
      <c r="T8" s="1846"/>
    </row>
    <row r="9" spans="1:20" s="2899" customFormat="1" ht="15.05" customHeight="1">
      <c r="A9" s="2893" t="s">
        <v>443</v>
      </c>
      <c r="B9" s="2893"/>
      <c r="C9" s="2893"/>
      <c r="D9" s="2893"/>
      <c r="E9" s="2893"/>
      <c r="F9" s="2894" t="s">
        <v>60</v>
      </c>
      <c r="G9" s="2895"/>
      <c r="H9" s="2895"/>
      <c r="I9" s="2896"/>
      <c r="J9" s="3121">
        <f t="shared" ref="J9:Q9" si="0">J11+J397+J428</f>
        <v>3802933445799</v>
      </c>
      <c r="K9" s="3121">
        <f t="shared" si="0"/>
        <v>3954156416678.9697</v>
      </c>
      <c r="L9" s="3121">
        <f t="shared" si="0"/>
        <v>4791397359569</v>
      </c>
      <c r="M9" s="3121">
        <f t="shared" si="0"/>
        <v>728312659711.53003</v>
      </c>
      <c r="N9" s="3121">
        <f t="shared" si="0"/>
        <v>274653040527.19</v>
      </c>
      <c r="O9" s="3121">
        <f t="shared" si="0"/>
        <v>1145356630856.72</v>
      </c>
      <c r="P9" s="3121">
        <f t="shared" si="0"/>
        <v>4858453255665</v>
      </c>
      <c r="Q9" s="3121">
        <f t="shared" si="0"/>
        <v>67055896096</v>
      </c>
      <c r="R9" s="3600">
        <f>+P9/L9*100-100</f>
        <v>1.3995060535332442</v>
      </c>
      <c r="S9" s="2897"/>
      <c r="T9" s="2898">
        <f>O9-L9</f>
        <v>-3646040728712.2803</v>
      </c>
    </row>
    <row r="10" spans="1:20" s="257" customFormat="1" ht="15.05" customHeight="1">
      <c r="A10" s="1855"/>
      <c r="B10" s="1855"/>
      <c r="C10" s="1855"/>
      <c r="D10" s="1855"/>
      <c r="E10" s="1855"/>
      <c r="F10" s="1856"/>
      <c r="G10" s="202"/>
      <c r="H10" s="202"/>
      <c r="I10" s="218"/>
      <c r="J10" s="3123"/>
      <c r="K10" s="3123"/>
      <c r="L10" s="3123"/>
      <c r="M10" s="3124"/>
      <c r="N10" s="3125"/>
      <c r="O10" s="3125"/>
      <c r="P10" s="3125"/>
      <c r="Q10" s="3125"/>
      <c r="R10" s="3601"/>
      <c r="S10" s="1881"/>
      <c r="T10" s="1846"/>
    </row>
    <row r="11" spans="1:20" s="2899" customFormat="1" ht="15.05" customHeight="1">
      <c r="A11" s="2893">
        <v>4</v>
      </c>
      <c r="B11" s="2893">
        <v>1</v>
      </c>
      <c r="C11" s="2893"/>
      <c r="D11" s="2893"/>
      <c r="E11" s="2893"/>
      <c r="F11" s="2900" t="s">
        <v>180</v>
      </c>
      <c r="G11" s="2901"/>
      <c r="H11" s="2895"/>
      <c r="I11" s="2896"/>
      <c r="J11" s="3127">
        <f>J13+J44+J213+J226</f>
        <v>1450044930319</v>
      </c>
      <c r="K11" s="3127">
        <f t="shared" ref="K11:P11" si="1">K13+K44+K213+K226</f>
        <v>1348970161792.4299</v>
      </c>
      <c r="L11" s="3127">
        <f t="shared" si="1"/>
        <v>1501611335359</v>
      </c>
      <c r="M11" s="3127">
        <f t="shared" si="1"/>
        <v>124612682553.54001</v>
      </c>
      <c r="N11" s="3127">
        <f t="shared" si="1"/>
        <v>20719352427.190002</v>
      </c>
      <c r="O11" s="3127">
        <f t="shared" si="1"/>
        <v>287722965598.72998</v>
      </c>
      <c r="P11" s="3127">
        <f t="shared" si="1"/>
        <v>1509345801765</v>
      </c>
      <c r="Q11" s="3127">
        <f>Q13+Q44+Q213+Q226</f>
        <v>7734466406</v>
      </c>
      <c r="R11" s="3600">
        <f>+P11/L11*100-100</f>
        <v>0.51507778503490442</v>
      </c>
      <c r="S11" s="2902"/>
      <c r="T11" s="2898"/>
    </row>
    <row r="12" spans="1:20" s="257" customFormat="1" ht="15.05" customHeight="1">
      <c r="A12" s="1854"/>
      <c r="B12" s="1854"/>
      <c r="C12" s="1854"/>
      <c r="D12" s="1854"/>
      <c r="E12" s="1854"/>
      <c r="F12" s="1464"/>
      <c r="G12" s="1860"/>
      <c r="H12" s="202"/>
      <c r="I12" s="218"/>
      <c r="J12" s="3128"/>
      <c r="K12" s="3128"/>
      <c r="L12" s="3123"/>
      <c r="M12" s="3129"/>
      <c r="N12" s="3123"/>
      <c r="O12" s="3123"/>
      <c r="P12" s="3123"/>
      <c r="Q12" s="3123"/>
      <c r="R12" s="3601"/>
      <c r="S12" s="1881"/>
      <c r="T12" s="1846"/>
    </row>
    <row r="13" spans="1:20" s="2905" customFormat="1" ht="15.05" customHeight="1">
      <c r="A13" s="3012" t="s">
        <v>443</v>
      </c>
      <c r="B13" s="3012" t="s">
        <v>58</v>
      </c>
      <c r="C13" s="3012" t="s">
        <v>58</v>
      </c>
      <c r="D13" s="2918"/>
      <c r="E13" s="2918"/>
      <c r="F13" s="3013" t="s">
        <v>1141</v>
      </c>
      <c r="G13" s="3014"/>
      <c r="H13" s="2919"/>
      <c r="I13" s="3015"/>
      <c r="J13" s="3130">
        <f>J14+J26+J38+J40+J42</f>
        <v>1037549599000</v>
      </c>
      <c r="K13" s="3130">
        <f t="shared" ref="K13:Q13" si="2">K14+K26+K38+K40+K42</f>
        <v>1003260953668</v>
      </c>
      <c r="L13" s="3130">
        <f t="shared" si="2"/>
        <v>1122139007935</v>
      </c>
      <c r="M13" s="3130">
        <f t="shared" si="2"/>
        <v>90900135444</v>
      </c>
      <c r="N13" s="3130">
        <f t="shared" si="2"/>
        <v>0</v>
      </c>
      <c r="O13" s="3130">
        <f t="shared" si="2"/>
        <v>233266101062</v>
      </c>
      <c r="P13" s="3130">
        <f t="shared" si="2"/>
        <v>1124031467000</v>
      </c>
      <c r="Q13" s="3130">
        <f t="shared" si="2"/>
        <v>1892459065</v>
      </c>
      <c r="R13" s="3602">
        <f>+P13/L13*100-100</f>
        <v>0.16864747162497906</v>
      </c>
      <c r="S13" s="2903"/>
      <c r="T13" s="2904"/>
    </row>
    <row r="14" spans="1:20" s="2947" customFormat="1" ht="15.05" customHeight="1">
      <c r="A14" s="3021" t="s">
        <v>443</v>
      </c>
      <c r="B14" s="3021" t="s">
        <v>58</v>
      </c>
      <c r="C14" s="3021" t="s">
        <v>58</v>
      </c>
      <c r="D14" s="3022" t="s">
        <v>437</v>
      </c>
      <c r="E14" s="3021"/>
      <c r="F14" s="3023" t="s">
        <v>1142</v>
      </c>
      <c r="G14" s="3024"/>
      <c r="H14" s="3025"/>
      <c r="I14" s="3337" t="s">
        <v>1183</v>
      </c>
      <c r="J14" s="3132">
        <f t="shared" ref="J14:O14" si="3">SUM(J15:J24)</f>
        <v>248153000000</v>
      </c>
      <c r="K14" s="3132">
        <f t="shared" si="3"/>
        <v>269187973631</v>
      </c>
      <c r="L14" s="3132">
        <f t="shared" si="3"/>
        <v>311893723935</v>
      </c>
      <c r="M14" s="3132">
        <f t="shared" si="3"/>
        <v>0</v>
      </c>
      <c r="N14" s="3132">
        <f t="shared" si="3"/>
        <v>0</v>
      </c>
      <c r="O14" s="3132">
        <f t="shared" si="3"/>
        <v>69415566816</v>
      </c>
      <c r="P14" s="3336">
        <v>301732799000</v>
      </c>
      <c r="Q14" s="3335">
        <f>P14-L14</f>
        <v>-10160924935</v>
      </c>
      <c r="R14" s="3603">
        <f>+P14/L14*100-100</f>
        <v>-3.2578164147726056</v>
      </c>
      <c r="S14" s="2943"/>
      <c r="T14" s="2944"/>
    </row>
    <row r="15" spans="1:20" s="2883" customFormat="1" ht="15.05" customHeight="1">
      <c r="A15" s="2984"/>
      <c r="B15" s="2984"/>
      <c r="C15" s="2984"/>
      <c r="D15" s="3016"/>
      <c r="E15" s="2984"/>
      <c r="F15" s="3017" t="s">
        <v>1143</v>
      </c>
      <c r="G15" s="3018"/>
      <c r="H15" s="3019"/>
      <c r="I15" s="3020"/>
      <c r="J15" s="3134">
        <v>86036572000</v>
      </c>
      <c r="K15" s="3134">
        <v>88888793805</v>
      </c>
      <c r="L15" s="3135">
        <v>103905461339</v>
      </c>
      <c r="M15" s="3136"/>
      <c r="N15" s="3135"/>
      <c r="O15" s="3135">
        <v>23394301628</v>
      </c>
      <c r="P15" s="3135"/>
      <c r="Q15" s="3135"/>
      <c r="R15" s="3604"/>
      <c r="S15" s="2881"/>
      <c r="T15" s="2882"/>
    </row>
    <row r="16" spans="1:20" s="2883" customFormat="1" ht="15.05" customHeight="1">
      <c r="A16" s="2875"/>
      <c r="B16" s="2875"/>
      <c r="C16" s="2875"/>
      <c r="D16" s="2876"/>
      <c r="E16" s="2875"/>
      <c r="F16" s="2877" t="s">
        <v>1144</v>
      </c>
      <c r="G16" s="2878"/>
      <c r="H16" s="2879"/>
      <c r="I16" s="2880"/>
      <c r="J16" s="3138">
        <v>28423220000</v>
      </c>
      <c r="K16" s="3138">
        <v>30126889110</v>
      </c>
      <c r="L16" s="3139">
        <v>34714931659</v>
      </c>
      <c r="M16" s="3136"/>
      <c r="N16" s="3139"/>
      <c r="O16" s="3139">
        <v>8078866798</v>
      </c>
      <c r="P16" s="3139"/>
      <c r="Q16" s="3139"/>
      <c r="R16" s="3605"/>
      <c r="S16" s="2881"/>
      <c r="T16" s="2882"/>
    </row>
    <row r="17" spans="1:20" s="2883" customFormat="1" ht="15.05" customHeight="1">
      <c r="A17" s="2875"/>
      <c r="B17" s="2875"/>
      <c r="C17" s="2875"/>
      <c r="D17" s="2876"/>
      <c r="E17" s="2875"/>
      <c r="F17" s="2877" t="s">
        <v>1146</v>
      </c>
      <c r="G17" s="2878"/>
      <c r="H17" s="2879"/>
      <c r="I17" s="2880"/>
      <c r="J17" s="3138">
        <v>6651423000</v>
      </c>
      <c r="K17" s="3138">
        <v>8477225617</v>
      </c>
      <c r="L17" s="3139">
        <v>9610012775</v>
      </c>
      <c r="M17" s="3136"/>
      <c r="N17" s="3139"/>
      <c r="O17" s="3139">
        <v>2157193100</v>
      </c>
      <c r="P17" s="3139"/>
      <c r="Q17" s="3139"/>
      <c r="R17" s="3605"/>
      <c r="S17" s="2881"/>
      <c r="T17" s="2882"/>
    </row>
    <row r="18" spans="1:20" s="2883" customFormat="1" ht="15.05" customHeight="1">
      <c r="A18" s="2875"/>
      <c r="B18" s="2875"/>
      <c r="C18" s="2875"/>
      <c r="D18" s="2876"/>
      <c r="E18" s="2875"/>
      <c r="F18" s="2877" t="s">
        <v>1145</v>
      </c>
      <c r="G18" s="2878"/>
      <c r="H18" s="2879"/>
      <c r="I18" s="2880"/>
      <c r="J18" s="3138">
        <v>33246442000</v>
      </c>
      <c r="K18" s="3138">
        <v>37055803776</v>
      </c>
      <c r="L18" s="3139">
        <v>42614528606</v>
      </c>
      <c r="M18" s="3136"/>
      <c r="N18" s="3139"/>
      <c r="O18" s="3139">
        <v>9536539453</v>
      </c>
      <c r="P18" s="3139"/>
      <c r="Q18" s="3139"/>
      <c r="R18" s="3605"/>
      <c r="S18" s="2881"/>
      <c r="T18" s="2882"/>
    </row>
    <row r="19" spans="1:20" s="2883" customFormat="1" ht="15.05" customHeight="1">
      <c r="A19" s="2875"/>
      <c r="B19" s="2875"/>
      <c r="C19" s="2875"/>
      <c r="D19" s="2876"/>
      <c r="E19" s="2875"/>
      <c r="F19" s="2877" t="s">
        <v>1147</v>
      </c>
      <c r="G19" s="2878"/>
      <c r="H19" s="2879"/>
      <c r="I19" s="2880"/>
      <c r="J19" s="3138">
        <v>36492414000</v>
      </c>
      <c r="K19" s="3138">
        <v>40134619809</v>
      </c>
      <c r="L19" s="3139">
        <v>45159023780</v>
      </c>
      <c r="M19" s="3136"/>
      <c r="N19" s="3139"/>
      <c r="O19" s="3139">
        <v>10944515392</v>
      </c>
      <c r="P19" s="3139"/>
      <c r="Q19" s="3139"/>
      <c r="R19" s="3605"/>
      <c r="S19" s="2881"/>
      <c r="T19" s="2882"/>
    </row>
    <row r="20" spans="1:20" s="2883" customFormat="1" ht="15.05" customHeight="1">
      <c r="A20" s="2875"/>
      <c r="B20" s="2875"/>
      <c r="C20" s="2875"/>
      <c r="D20" s="2876"/>
      <c r="E20" s="2875"/>
      <c r="F20" s="2877" t="s">
        <v>1149</v>
      </c>
      <c r="G20" s="2878"/>
      <c r="H20" s="2879"/>
      <c r="I20" s="2880"/>
      <c r="J20" s="3138">
        <v>19330379000</v>
      </c>
      <c r="K20" s="3138">
        <v>21077352223</v>
      </c>
      <c r="L20" s="3139">
        <v>24602495136</v>
      </c>
      <c r="M20" s="3136"/>
      <c r="N20" s="3139"/>
      <c r="O20" s="3139">
        <v>4726131862</v>
      </c>
      <c r="P20" s="3139"/>
      <c r="Q20" s="3139"/>
      <c r="R20" s="3605"/>
      <c r="S20" s="2881"/>
      <c r="T20" s="2882"/>
    </row>
    <row r="21" spans="1:20" s="2883" customFormat="1" ht="15.05" customHeight="1">
      <c r="A21" s="2875"/>
      <c r="B21" s="2875"/>
      <c r="C21" s="2875"/>
      <c r="D21" s="2876"/>
      <c r="E21" s="2875"/>
      <c r="F21" s="2877" t="s">
        <v>1148</v>
      </c>
      <c r="G21" s="2878"/>
      <c r="H21" s="2879"/>
      <c r="I21" s="2880"/>
      <c r="J21" s="3138">
        <v>13063598000</v>
      </c>
      <c r="K21" s="3138">
        <v>15637707858</v>
      </c>
      <c r="L21" s="3139">
        <v>19282915315</v>
      </c>
      <c r="M21" s="3136"/>
      <c r="N21" s="3139"/>
      <c r="O21" s="3139">
        <v>3363555821</v>
      </c>
      <c r="P21" s="3139"/>
      <c r="Q21" s="3139"/>
      <c r="R21" s="3605"/>
      <c r="S21" s="2881"/>
      <c r="T21" s="2882"/>
    </row>
    <row r="22" spans="1:20" s="2883" customFormat="1" ht="15.05" customHeight="1">
      <c r="A22" s="2875"/>
      <c r="B22" s="2875"/>
      <c r="C22" s="2875"/>
      <c r="D22" s="2876"/>
      <c r="E22" s="2875"/>
      <c r="F22" s="2877" t="s">
        <v>1150</v>
      </c>
      <c r="G22" s="2878"/>
      <c r="H22" s="2879"/>
      <c r="I22" s="2880"/>
      <c r="J22" s="3138">
        <v>7135313000</v>
      </c>
      <c r="K22" s="3138">
        <v>7530942967</v>
      </c>
      <c r="L22" s="3139">
        <v>8832161493</v>
      </c>
      <c r="M22" s="3136"/>
      <c r="N22" s="3139"/>
      <c r="O22" s="3139">
        <v>1894855705</v>
      </c>
      <c r="P22" s="3139"/>
      <c r="Q22" s="3139"/>
      <c r="R22" s="3605"/>
      <c r="S22" s="2881"/>
      <c r="T22" s="2882"/>
    </row>
    <row r="23" spans="1:20" s="2883" customFormat="1" ht="15.05" customHeight="1">
      <c r="A23" s="2875"/>
      <c r="B23" s="2875"/>
      <c r="C23" s="2875"/>
      <c r="D23" s="2876"/>
      <c r="E23" s="2875"/>
      <c r="F23" s="2877" t="s">
        <v>1151</v>
      </c>
      <c r="G23" s="2878"/>
      <c r="H23" s="2879"/>
      <c r="I23" s="2880"/>
      <c r="J23" s="3138">
        <v>7455885000</v>
      </c>
      <c r="K23" s="3138">
        <v>8793651686</v>
      </c>
      <c r="L23" s="3139">
        <v>9908631964</v>
      </c>
      <c r="M23" s="3136"/>
      <c r="N23" s="3139"/>
      <c r="O23" s="3139">
        <v>1892159075</v>
      </c>
      <c r="P23" s="3139"/>
      <c r="Q23" s="3139"/>
      <c r="R23" s="3605"/>
      <c r="S23" s="2881"/>
      <c r="T23" s="2882"/>
    </row>
    <row r="24" spans="1:20" s="2883" customFormat="1" ht="15.05" customHeight="1">
      <c r="A24" s="2875"/>
      <c r="B24" s="2875"/>
      <c r="C24" s="2875"/>
      <c r="D24" s="2876"/>
      <c r="E24" s="2875"/>
      <c r="F24" s="2877" t="s">
        <v>1152</v>
      </c>
      <c r="G24" s="2878"/>
      <c r="H24" s="2879"/>
      <c r="I24" s="2880"/>
      <c r="J24" s="3138">
        <v>10317754000</v>
      </c>
      <c r="K24" s="3138">
        <v>11464986780</v>
      </c>
      <c r="L24" s="3139">
        <v>13263561868</v>
      </c>
      <c r="M24" s="3136"/>
      <c r="N24" s="3139"/>
      <c r="O24" s="3139">
        <v>3427447982</v>
      </c>
      <c r="P24" s="3139"/>
      <c r="Q24" s="3139"/>
      <c r="R24" s="3605"/>
      <c r="S24" s="2881"/>
      <c r="T24" s="2882"/>
    </row>
    <row r="25" spans="1:20" s="257" customFormat="1" ht="15.05" customHeight="1">
      <c r="A25" s="3027"/>
      <c r="B25" s="3027"/>
      <c r="C25" s="3027"/>
      <c r="D25" s="3028"/>
      <c r="E25" s="1902"/>
      <c r="F25" s="3029"/>
      <c r="G25" s="2831"/>
      <c r="H25" s="2322"/>
      <c r="I25" s="1907"/>
      <c r="J25" s="3141"/>
      <c r="K25" s="3141"/>
      <c r="L25" s="3142"/>
      <c r="M25" s="3129"/>
      <c r="N25" s="3142"/>
      <c r="O25" s="3142"/>
      <c r="P25" s="3142"/>
      <c r="Q25" s="3142"/>
      <c r="R25" s="3606"/>
      <c r="S25" s="1881"/>
      <c r="T25" s="1846"/>
    </row>
    <row r="26" spans="1:20" s="2947" customFormat="1" ht="15.05" customHeight="1">
      <c r="A26" s="3021" t="s">
        <v>443</v>
      </c>
      <c r="B26" s="3021" t="s">
        <v>58</v>
      </c>
      <c r="C26" s="3021" t="s">
        <v>58</v>
      </c>
      <c r="D26" s="3022" t="s">
        <v>440</v>
      </c>
      <c r="E26" s="3021"/>
      <c r="F26" s="3023" t="s">
        <v>1153</v>
      </c>
      <c r="G26" s="3024"/>
      <c r="H26" s="3025"/>
      <c r="I26" s="3026"/>
      <c r="J26" s="3132">
        <f t="shared" ref="J26:O26" si="4">SUM(J27:J36)</f>
        <v>318503155000</v>
      </c>
      <c r="K26" s="3132">
        <f t="shared" si="4"/>
        <v>322208887701</v>
      </c>
      <c r="L26" s="3132">
        <f t="shared" si="4"/>
        <v>321503155000</v>
      </c>
      <c r="M26" s="3132">
        <f t="shared" si="4"/>
        <v>0</v>
      </c>
      <c r="N26" s="3132">
        <f t="shared" si="4"/>
        <v>0</v>
      </c>
      <c r="O26" s="3132">
        <f t="shared" si="4"/>
        <v>72721445555</v>
      </c>
      <c r="P26" s="3132">
        <v>322208888000</v>
      </c>
      <c r="Q26" s="3132">
        <f>P26-L26</f>
        <v>705733000</v>
      </c>
      <c r="R26" s="3603">
        <f>+P26/L26*100-100</f>
        <v>0.21951044306236156</v>
      </c>
      <c r="S26" s="2943"/>
      <c r="T26" s="2944"/>
    </row>
    <row r="27" spans="1:20" s="2883" customFormat="1" ht="15.05" customHeight="1">
      <c r="A27" s="2984"/>
      <c r="B27" s="2984"/>
      <c r="C27" s="2984"/>
      <c r="D27" s="3016"/>
      <c r="E27" s="2984"/>
      <c r="F27" s="3017" t="s">
        <v>1143</v>
      </c>
      <c r="G27" s="3018"/>
      <c r="H27" s="3019"/>
      <c r="I27" s="3020"/>
      <c r="J27" s="3134">
        <v>88217042000</v>
      </c>
      <c r="K27" s="3134">
        <v>88750043334</v>
      </c>
      <c r="L27" s="3135">
        <v>89048587600</v>
      </c>
      <c r="M27" s="3136"/>
      <c r="N27" s="3135"/>
      <c r="O27" s="3135">
        <v>21008364305</v>
      </c>
      <c r="P27" s="3135"/>
      <c r="Q27" s="3135"/>
      <c r="R27" s="3604"/>
      <c r="S27" s="2881"/>
      <c r="T27" s="2882"/>
    </row>
    <row r="28" spans="1:20" s="2883" customFormat="1" ht="15.05" customHeight="1">
      <c r="A28" s="2875"/>
      <c r="B28" s="2875"/>
      <c r="C28" s="2875"/>
      <c r="D28" s="2876"/>
      <c r="E28" s="2875"/>
      <c r="F28" s="2877" t="s">
        <v>1144</v>
      </c>
      <c r="G28" s="2878"/>
      <c r="H28" s="2879"/>
      <c r="I28" s="2880"/>
      <c r="J28" s="3138">
        <v>44806080000</v>
      </c>
      <c r="K28" s="3138">
        <v>58359055747</v>
      </c>
      <c r="L28" s="3139">
        <v>43050445200</v>
      </c>
      <c r="M28" s="3136"/>
      <c r="N28" s="3139"/>
      <c r="O28" s="3139">
        <v>12974559000</v>
      </c>
      <c r="P28" s="3139"/>
      <c r="Q28" s="3139"/>
      <c r="R28" s="3605"/>
      <c r="S28" s="2881"/>
      <c r="T28" s="2882"/>
    </row>
    <row r="29" spans="1:20" s="2883" customFormat="1" ht="15.05" customHeight="1">
      <c r="A29" s="2875"/>
      <c r="B29" s="2875"/>
      <c r="C29" s="2875"/>
      <c r="D29" s="2876"/>
      <c r="E29" s="2875"/>
      <c r="F29" s="2877" t="s">
        <v>1145</v>
      </c>
      <c r="G29" s="2878"/>
      <c r="H29" s="2879"/>
      <c r="I29" s="2880"/>
      <c r="J29" s="3138">
        <v>13188012000</v>
      </c>
      <c r="K29" s="3138">
        <v>0</v>
      </c>
      <c r="L29" s="3139">
        <v>15367063100</v>
      </c>
      <c r="M29" s="3136"/>
      <c r="N29" s="3139"/>
      <c r="O29" s="3139">
        <v>0</v>
      </c>
      <c r="P29" s="3139"/>
      <c r="Q29" s="3139"/>
      <c r="R29" s="3605"/>
      <c r="S29" s="2881"/>
      <c r="T29" s="2882"/>
    </row>
    <row r="30" spans="1:20" s="2883" customFormat="1" ht="15.05" customHeight="1">
      <c r="A30" s="2875"/>
      <c r="B30" s="2875"/>
      <c r="C30" s="2875"/>
      <c r="D30" s="2876"/>
      <c r="E30" s="2875"/>
      <c r="F30" s="2877" t="s">
        <v>1146</v>
      </c>
      <c r="G30" s="2878"/>
      <c r="H30" s="2879"/>
      <c r="I30" s="2880"/>
      <c r="J30" s="3138">
        <v>46143610000</v>
      </c>
      <c r="K30" s="3138">
        <v>46642700157</v>
      </c>
      <c r="L30" s="3139">
        <v>46313162500</v>
      </c>
      <c r="M30" s="3136"/>
      <c r="N30" s="3139"/>
      <c r="O30" s="3139">
        <v>10590982300</v>
      </c>
      <c r="P30" s="3139"/>
      <c r="Q30" s="3139"/>
      <c r="R30" s="3605"/>
      <c r="S30" s="2881"/>
      <c r="T30" s="2882"/>
    </row>
    <row r="31" spans="1:20" s="2883" customFormat="1" ht="15.05" customHeight="1">
      <c r="A31" s="2875"/>
      <c r="B31" s="2875"/>
      <c r="C31" s="2875"/>
      <c r="D31" s="2876"/>
      <c r="E31" s="2875"/>
      <c r="F31" s="2877" t="s">
        <v>1147</v>
      </c>
      <c r="G31" s="2878"/>
      <c r="H31" s="2879"/>
      <c r="I31" s="2880"/>
      <c r="J31" s="3138">
        <v>55404156000</v>
      </c>
      <c r="K31" s="3138">
        <v>55757219048</v>
      </c>
      <c r="L31" s="3139">
        <v>54297917400</v>
      </c>
      <c r="M31" s="3136"/>
      <c r="N31" s="3139"/>
      <c r="O31" s="3139">
        <v>13243838750</v>
      </c>
      <c r="P31" s="3139"/>
      <c r="Q31" s="3139"/>
      <c r="R31" s="3605"/>
      <c r="S31" s="2881"/>
      <c r="T31" s="2882"/>
    </row>
    <row r="32" spans="1:20" s="2883" customFormat="1" ht="15.05" customHeight="1">
      <c r="A32" s="2875"/>
      <c r="B32" s="2875"/>
      <c r="C32" s="2875"/>
      <c r="D32" s="2876"/>
      <c r="E32" s="2875"/>
      <c r="F32" s="2877" t="s">
        <v>1148</v>
      </c>
      <c r="G32" s="2878"/>
      <c r="H32" s="2879"/>
      <c r="I32" s="2880"/>
      <c r="J32" s="3138">
        <v>24530826000</v>
      </c>
      <c r="K32" s="3138">
        <v>26280750366</v>
      </c>
      <c r="L32" s="3139">
        <v>26331859300</v>
      </c>
      <c r="M32" s="3136"/>
      <c r="N32" s="3139"/>
      <c r="O32" s="3139">
        <v>4970869900</v>
      </c>
      <c r="P32" s="3139"/>
      <c r="Q32" s="3139"/>
      <c r="R32" s="3605"/>
      <c r="S32" s="2881"/>
      <c r="T32" s="2882"/>
    </row>
    <row r="33" spans="1:20" s="2883" customFormat="1" ht="15.05" customHeight="1">
      <c r="A33" s="2875"/>
      <c r="B33" s="2875"/>
      <c r="C33" s="2875"/>
      <c r="D33" s="2876"/>
      <c r="E33" s="2875"/>
      <c r="F33" s="2877" t="s">
        <v>1149</v>
      </c>
      <c r="G33" s="2878"/>
      <c r="H33" s="2879"/>
      <c r="I33" s="2880"/>
      <c r="J33" s="3138">
        <v>13229500000</v>
      </c>
      <c r="K33" s="3138">
        <v>14055787009</v>
      </c>
      <c r="L33" s="3139">
        <v>14367919300</v>
      </c>
      <c r="M33" s="3136"/>
      <c r="N33" s="3139"/>
      <c r="O33" s="3139">
        <v>2888678800</v>
      </c>
      <c r="P33" s="3139"/>
      <c r="Q33" s="3139"/>
      <c r="R33" s="3605"/>
      <c r="S33" s="2881"/>
      <c r="T33" s="2882"/>
    </row>
    <row r="34" spans="1:20" s="2883" customFormat="1" ht="15.05" customHeight="1">
      <c r="A34" s="2875"/>
      <c r="B34" s="2875"/>
      <c r="C34" s="2875"/>
      <c r="D34" s="2876"/>
      <c r="E34" s="2875"/>
      <c r="F34" s="2877" t="s">
        <v>1150</v>
      </c>
      <c r="G34" s="2878"/>
      <c r="H34" s="2879"/>
      <c r="I34" s="2880"/>
      <c r="J34" s="3138">
        <v>11200800000</v>
      </c>
      <c r="K34" s="3138">
        <v>9869342560</v>
      </c>
      <c r="L34" s="3139">
        <v>10029004300</v>
      </c>
      <c r="M34" s="3136"/>
      <c r="N34" s="3139"/>
      <c r="O34" s="3139">
        <v>1741245300</v>
      </c>
      <c r="P34" s="3139"/>
      <c r="Q34" s="3139"/>
      <c r="R34" s="3605"/>
      <c r="S34" s="2881"/>
      <c r="T34" s="2882"/>
    </row>
    <row r="35" spans="1:20" s="2883" customFormat="1" ht="15.05" customHeight="1">
      <c r="A35" s="2875"/>
      <c r="B35" s="2875"/>
      <c r="C35" s="2875"/>
      <c r="D35" s="2876"/>
      <c r="E35" s="2875"/>
      <c r="F35" s="2877" t="s">
        <v>1151</v>
      </c>
      <c r="G35" s="2878"/>
      <c r="H35" s="2879"/>
      <c r="I35" s="2880"/>
      <c r="J35" s="3138">
        <v>9976046000</v>
      </c>
      <c r="K35" s="3138">
        <v>10667507201</v>
      </c>
      <c r="L35" s="3139">
        <v>10866726200</v>
      </c>
      <c r="M35" s="3136"/>
      <c r="N35" s="3139"/>
      <c r="O35" s="3139">
        <v>2296433100</v>
      </c>
      <c r="P35" s="3139"/>
      <c r="Q35" s="3139"/>
      <c r="R35" s="3605"/>
      <c r="S35" s="2881"/>
      <c r="T35" s="2882"/>
    </row>
    <row r="36" spans="1:20" s="2883" customFormat="1" ht="15.05" customHeight="1">
      <c r="A36" s="2875"/>
      <c r="B36" s="2875"/>
      <c r="C36" s="2875"/>
      <c r="D36" s="2876"/>
      <c r="E36" s="2875"/>
      <c r="F36" s="2877" t="s">
        <v>1152</v>
      </c>
      <c r="G36" s="2878"/>
      <c r="H36" s="2879"/>
      <c r="I36" s="2880"/>
      <c r="J36" s="3138">
        <v>11807083000</v>
      </c>
      <c r="K36" s="3138">
        <v>11826482279</v>
      </c>
      <c r="L36" s="3139">
        <v>11830470100</v>
      </c>
      <c r="M36" s="3136"/>
      <c r="N36" s="3139"/>
      <c r="O36" s="3139">
        <v>3006474100</v>
      </c>
      <c r="P36" s="3139"/>
      <c r="Q36" s="3139"/>
      <c r="R36" s="3605"/>
      <c r="S36" s="2881"/>
      <c r="T36" s="2882"/>
    </row>
    <row r="37" spans="1:20" s="257" customFormat="1" ht="15.05" customHeight="1">
      <c r="A37" s="3027"/>
      <c r="B37" s="3027"/>
      <c r="C37" s="3027"/>
      <c r="D37" s="3028"/>
      <c r="E37" s="1902"/>
      <c r="F37" s="3029"/>
      <c r="G37" s="2831"/>
      <c r="H37" s="2322"/>
      <c r="I37" s="1907"/>
      <c r="J37" s="3141"/>
      <c r="K37" s="3141"/>
      <c r="L37" s="3142"/>
      <c r="M37" s="3129"/>
      <c r="N37" s="3142"/>
      <c r="O37" s="3142"/>
      <c r="P37" s="3142"/>
      <c r="Q37" s="3142"/>
      <c r="R37" s="3606"/>
      <c r="S37" s="1881"/>
      <c r="T37" s="1846"/>
    </row>
    <row r="38" spans="1:20" s="2947" customFormat="1" ht="15.05" customHeight="1">
      <c r="A38" s="3021" t="s">
        <v>443</v>
      </c>
      <c r="B38" s="3021" t="s">
        <v>58</v>
      </c>
      <c r="C38" s="3021" t="s">
        <v>58</v>
      </c>
      <c r="D38" s="3022" t="s">
        <v>451</v>
      </c>
      <c r="E38" s="3021"/>
      <c r="F38" s="3023" t="s">
        <v>1154</v>
      </c>
      <c r="G38" s="3024"/>
      <c r="H38" s="3025"/>
      <c r="I38" s="3026"/>
      <c r="J38" s="3132">
        <v>192900000000</v>
      </c>
      <c r="K38" s="3132">
        <v>188945861622</v>
      </c>
      <c r="L38" s="3144">
        <v>192900000000</v>
      </c>
      <c r="M38" s="3145">
        <v>46114131883</v>
      </c>
      <c r="N38" s="3144"/>
      <c r="O38" s="3144">
        <v>46114131883</v>
      </c>
      <c r="P38" s="3144">
        <v>188945861000</v>
      </c>
      <c r="Q38" s="3334">
        <f>P38-L38</f>
        <v>-3954139000</v>
      </c>
      <c r="R38" s="3603">
        <v>-100</v>
      </c>
      <c r="S38" s="2943"/>
      <c r="T38" s="2944"/>
    </row>
    <row r="39" spans="1:20" s="257" customFormat="1" ht="15.05" customHeight="1">
      <c r="A39" s="3031"/>
      <c r="B39" s="3031"/>
      <c r="C39" s="3031"/>
      <c r="D39" s="3032"/>
      <c r="E39" s="1725"/>
      <c r="F39" s="3033"/>
      <c r="G39" s="3034"/>
      <c r="H39" s="1318"/>
      <c r="I39" s="3035"/>
      <c r="J39" s="3146"/>
      <c r="K39" s="3146"/>
      <c r="L39" s="3147"/>
      <c r="M39" s="3129"/>
      <c r="N39" s="3147"/>
      <c r="O39" s="3147"/>
      <c r="P39" s="3147"/>
      <c r="Q39" s="3147"/>
      <c r="R39" s="3607"/>
      <c r="S39" s="1881"/>
      <c r="T39" s="1846"/>
    </row>
    <row r="40" spans="1:20" s="2947" customFormat="1" ht="15.05" customHeight="1">
      <c r="A40" s="3021" t="s">
        <v>443</v>
      </c>
      <c r="B40" s="3021" t="s">
        <v>58</v>
      </c>
      <c r="C40" s="3021" t="s">
        <v>58</v>
      </c>
      <c r="D40" s="3022" t="s">
        <v>441</v>
      </c>
      <c r="E40" s="3021"/>
      <c r="F40" s="3023" t="s">
        <v>1156</v>
      </c>
      <c r="G40" s="3024"/>
      <c r="H40" s="3025"/>
      <c r="I40" s="3026"/>
      <c r="J40" s="3149">
        <v>300000000</v>
      </c>
      <c r="K40" s="3150">
        <v>361290857</v>
      </c>
      <c r="L40" s="3144">
        <v>1000000000</v>
      </c>
      <c r="M40" s="3145"/>
      <c r="N40" s="3144"/>
      <c r="O40" s="3144">
        <v>228953247</v>
      </c>
      <c r="P40" s="3144">
        <v>1000000000</v>
      </c>
      <c r="Q40" s="3144">
        <f>P40-L40</f>
        <v>0</v>
      </c>
      <c r="R40" s="3603">
        <v>-100</v>
      </c>
      <c r="S40" s="2943"/>
      <c r="T40" s="2944"/>
    </row>
    <row r="41" spans="1:20" s="257" customFormat="1" ht="15.05" customHeight="1">
      <c r="A41" s="3036"/>
      <c r="B41" s="3036"/>
      <c r="C41" s="3036"/>
      <c r="D41" s="3037"/>
      <c r="E41" s="1944"/>
      <c r="F41" s="3038"/>
      <c r="G41" s="3039"/>
      <c r="H41" s="3040"/>
      <c r="I41" s="3041"/>
      <c r="J41" s="3151"/>
      <c r="K41" s="3151"/>
      <c r="L41" s="3152"/>
      <c r="M41" s="3153"/>
      <c r="N41" s="3152"/>
      <c r="O41" s="3152"/>
      <c r="P41" s="3152"/>
      <c r="Q41" s="3152"/>
      <c r="R41" s="3603"/>
      <c r="S41" s="1881"/>
      <c r="T41" s="1846"/>
    </row>
    <row r="42" spans="1:20" s="2947" customFormat="1" ht="15.05" customHeight="1">
      <c r="A42" s="3021" t="s">
        <v>443</v>
      </c>
      <c r="B42" s="3021" t="s">
        <v>58</v>
      </c>
      <c r="C42" s="3021" t="s">
        <v>58</v>
      </c>
      <c r="D42" s="3021" t="s">
        <v>1155</v>
      </c>
      <c r="E42" s="3021"/>
      <c r="F42" s="3023" t="s">
        <v>1157</v>
      </c>
      <c r="G42" s="3024"/>
      <c r="H42" s="3025"/>
      <c r="I42" s="3026"/>
      <c r="J42" s="3132">
        <v>277693444000</v>
      </c>
      <c r="K42" s="3132">
        <v>222556939857</v>
      </c>
      <c r="L42" s="3144">
        <v>294842129000</v>
      </c>
      <c r="M42" s="3145">
        <v>44786003561</v>
      </c>
      <c r="N42" s="3144"/>
      <c r="O42" s="3144">
        <v>44786003561</v>
      </c>
      <c r="P42" s="3144">
        <v>310143919000</v>
      </c>
      <c r="Q42" s="3144">
        <f>P42-L42</f>
        <v>15301790000</v>
      </c>
      <c r="R42" s="3603">
        <v>-100</v>
      </c>
      <c r="S42" s="2943"/>
      <c r="T42" s="2944"/>
    </row>
    <row r="43" spans="1:20" s="257" customFormat="1" ht="15.05" customHeight="1">
      <c r="A43" s="2985"/>
      <c r="B43" s="2985"/>
      <c r="C43" s="2985"/>
      <c r="D43" s="3030"/>
      <c r="E43" s="1905"/>
      <c r="F43" s="2986"/>
      <c r="G43" s="2828"/>
      <c r="H43" s="212"/>
      <c r="I43" s="225"/>
      <c r="J43" s="3154"/>
      <c r="K43" s="3154"/>
      <c r="L43" s="3155"/>
      <c r="M43" s="3129"/>
      <c r="N43" s="3155"/>
      <c r="O43" s="3155"/>
      <c r="P43" s="3155"/>
      <c r="Q43" s="3155"/>
      <c r="R43" s="3608"/>
      <c r="S43" s="1881"/>
      <c r="T43" s="1846"/>
    </row>
    <row r="44" spans="1:20" s="2908" customFormat="1" ht="15.05" customHeight="1">
      <c r="A44" s="3042">
        <v>4</v>
      </c>
      <c r="B44" s="3042">
        <v>1</v>
      </c>
      <c r="C44" s="3042">
        <v>2</v>
      </c>
      <c r="D44" s="3042"/>
      <c r="E44" s="3042"/>
      <c r="F44" s="3043" t="s">
        <v>106</v>
      </c>
      <c r="G44" s="3044"/>
      <c r="H44" s="3045"/>
      <c r="I44" s="3046"/>
      <c r="J44" s="3157">
        <f>J45+J56+J201</f>
        <v>29890858000</v>
      </c>
      <c r="K44" s="3157">
        <f t="shared" ref="K44:P44" si="5">K45+K56+K201</f>
        <v>29792038549</v>
      </c>
      <c r="L44" s="3157">
        <f t="shared" si="5"/>
        <v>18459358000</v>
      </c>
      <c r="M44" s="3157">
        <f t="shared" si="5"/>
        <v>2868914276</v>
      </c>
      <c r="N44" s="3157">
        <f t="shared" si="5"/>
        <v>1482279200</v>
      </c>
      <c r="O44" s="3157">
        <f t="shared" si="5"/>
        <v>4448558476</v>
      </c>
      <c r="P44" s="3157">
        <f t="shared" si="5"/>
        <v>19945053500</v>
      </c>
      <c r="Q44" s="3158">
        <f t="shared" ref="Q44:Q51" si="6">+P44-L44</f>
        <v>1485695500</v>
      </c>
      <c r="R44" s="3609">
        <f>+P44/L44*100-100</f>
        <v>8.0484678827941849</v>
      </c>
      <c r="S44" s="2906"/>
      <c r="T44" s="2907"/>
    </row>
    <row r="45" spans="1:20" s="2947" customFormat="1" ht="15.05" customHeight="1">
      <c r="A45" s="3021">
        <v>4</v>
      </c>
      <c r="B45" s="3021">
        <v>1</v>
      </c>
      <c r="C45" s="3021">
        <v>2</v>
      </c>
      <c r="D45" s="3021" t="s">
        <v>437</v>
      </c>
      <c r="E45" s="3021"/>
      <c r="F45" s="3023" t="s">
        <v>107</v>
      </c>
      <c r="G45" s="3024"/>
      <c r="H45" s="3025"/>
      <c r="I45" s="3026"/>
      <c r="J45" s="3132">
        <f>J46+J51+J52+J54</f>
        <v>19059250000</v>
      </c>
      <c r="K45" s="3132">
        <f t="shared" ref="K45:P45" si="7">K46+K51+K52+K54</f>
        <v>19214538092</v>
      </c>
      <c r="L45" s="3132">
        <f t="shared" si="7"/>
        <v>7519250000</v>
      </c>
      <c r="M45" s="3132">
        <f t="shared" si="7"/>
        <v>1772108700</v>
      </c>
      <c r="N45" s="3132">
        <f t="shared" si="7"/>
        <v>942614200</v>
      </c>
      <c r="O45" s="3132">
        <f t="shared" si="7"/>
        <v>2714722900</v>
      </c>
      <c r="P45" s="3132">
        <f t="shared" si="7"/>
        <v>9000000000</v>
      </c>
      <c r="Q45" s="3160">
        <f t="shared" si="6"/>
        <v>1480750000</v>
      </c>
      <c r="R45" s="3603">
        <f>+P45/L45*100-100</f>
        <v>19.692788509492303</v>
      </c>
      <c r="S45" s="2943"/>
      <c r="T45" s="2944"/>
    </row>
    <row r="46" spans="1:20" s="2932" customFormat="1" ht="15.05" customHeight="1">
      <c r="A46" s="3047">
        <v>4</v>
      </c>
      <c r="B46" s="3047">
        <v>1</v>
      </c>
      <c r="C46" s="3047">
        <v>2</v>
      </c>
      <c r="D46" s="3047" t="s">
        <v>437</v>
      </c>
      <c r="E46" s="3047" t="s">
        <v>437</v>
      </c>
      <c r="F46" s="3048" t="s">
        <v>84</v>
      </c>
      <c r="G46" s="3049"/>
      <c r="H46" s="3050"/>
      <c r="I46" s="3051"/>
      <c r="J46" s="3162">
        <f>SUM(J47:J50)</f>
        <v>18800000000</v>
      </c>
      <c r="K46" s="3162">
        <f t="shared" ref="K46:P46" si="8">SUM(K47:K50)</f>
        <v>18927671342</v>
      </c>
      <c r="L46" s="3162">
        <f t="shared" si="8"/>
        <v>7500000000</v>
      </c>
      <c r="M46" s="3162">
        <f t="shared" si="8"/>
        <v>1772108700</v>
      </c>
      <c r="N46" s="3162">
        <f t="shared" si="8"/>
        <v>942614200</v>
      </c>
      <c r="O46" s="3162">
        <f t="shared" si="8"/>
        <v>2714722900</v>
      </c>
      <c r="P46" s="3162">
        <f t="shared" si="8"/>
        <v>9000000000</v>
      </c>
      <c r="Q46" s="3163">
        <f t="shared" si="6"/>
        <v>1500000000</v>
      </c>
      <c r="R46" s="3610">
        <f>+P46/L46*100-100</f>
        <v>20</v>
      </c>
      <c r="S46" s="2930"/>
      <c r="T46" s="2931"/>
    </row>
    <row r="47" spans="1:20" s="1832" customFormat="1" ht="15.05" customHeight="1">
      <c r="A47" s="1855"/>
      <c r="B47" s="1855"/>
      <c r="C47" s="1855"/>
      <c r="D47" s="1855"/>
      <c r="E47" s="1855"/>
      <c r="F47" s="1857" t="s">
        <v>82</v>
      </c>
      <c r="G47" s="1858"/>
      <c r="H47" s="200"/>
      <c r="I47" s="217"/>
      <c r="J47" s="3165">
        <v>4000000000</v>
      </c>
      <c r="K47" s="3165">
        <v>4571728000</v>
      </c>
      <c r="L47" s="3125">
        <v>4500000000</v>
      </c>
      <c r="M47" s="3124">
        <v>1633527700</v>
      </c>
      <c r="N47" s="3125">
        <v>818193200</v>
      </c>
      <c r="O47" s="3125">
        <v>2451720900</v>
      </c>
      <c r="P47" s="3125">
        <v>7000000000</v>
      </c>
      <c r="Q47" s="3125">
        <f t="shared" si="6"/>
        <v>2500000000</v>
      </c>
      <c r="R47" s="3605">
        <f>+P47/L47*100-100</f>
        <v>55.555555555555571</v>
      </c>
      <c r="S47" s="1881"/>
      <c r="T47" s="1882">
        <f t="shared" ref="T47:T73" si="9">O47*4</f>
        <v>9806883600</v>
      </c>
    </row>
    <row r="48" spans="1:20" s="1832" customFormat="1" ht="15.05" customHeight="1">
      <c r="A48" s="1855"/>
      <c r="B48" s="1855"/>
      <c r="C48" s="1855"/>
      <c r="D48" s="1855"/>
      <c r="E48" s="1855"/>
      <c r="F48" s="1857" t="s">
        <v>487</v>
      </c>
      <c r="G48" s="1858"/>
      <c r="H48" s="200"/>
      <c r="I48" s="217"/>
      <c r="J48" s="3165">
        <v>1100000000</v>
      </c>
      <c r="K48" s="3165">
        <v>1352812500</v>
      </c>
      <c r="L48" s="3125">
        <v>3000000000</v>
      </c>
      <c r="M48" s="3124">
        <v>138581000</v>
      </c>
      <c r="N48" s="3125">
        <v>124421000</v>
      </c>
      <c r="O48" s="3125">
        <v>263002000</v>
      </c>
      <c r="P48" s="3125">
        <v>2000000000</v>
      </c>
      <c r="Q48" s="3125">
        <f t="shared" si="6"/>
        <v>-1000000000</v>
      </c>
      <c r="R48" s="3605">
        <f>+P48/L48*100-100</f>
        <v>-33.333333333333343</v>
      </c>
      <c r="S48" s="1881"/>
      <c r="T48" s="1882">
        <f t="shared" si="9"/>
        <v>1052008000</v>
      </c>
    </row>
    <row r="49" spans="1:20" s="257" customFormat="1" ht="15.05" customHeight="1">
      <c r="A49" s="1855"/>
      <c r="B49" s="1855"/>
      <c r="C49" s="1855"/>
      <c r="D49" s="1855"/>
      <c r="E49" s="1855"/>
      <c r="F49" s="2884" t="s">
        <v>1158</v>
      </c>
      <c r="G49" s="2885"/>
      <c r="H49" s="2886"/>
      <c r="I49" s="217"/>
      <c r="J49" s="3167">
        <v>200000000</v>
      </c>
      <c r="K49" s="3167">
        <v>291113500</v>
      </c>
      <c r="L49" s="3125">
        <v>0</v>
      </c>
      <c r="M49" s="3124">
        <v>0</v>
      </c>
      <c r="N49" s="3125">
        <v>0</v>
      </c>
      <c r="O49" s="3125">
        <v>0</v>
      </c>
      <c r="P49" s="3125">
        <v>0</v>
      </c>
      <c r="Q49" s="3125">
        <f t="shared" si="6"/>
        <v>0</v>
      </c>
      <c r="R49" s="3605">
        <v>0</v>
      </c>
      <c r="S49" s="1881"/>
      <c r="T49" s="1846">
        <f t="shared" si="9"/>
        <v>0</v>
      </c>
    </row>
    <row r="50" spans="1:20" s="257" customFormat="1" ht="15.05" customHeight="1">
      <c r="A50" s="1855"/>
      <c r="B50" s="1855"/>
      <c r="C50" s="1855"/>
      <c r="D50" s="1855"/>
      <c r="E50" s="1855"/>
      <c r="F50" s="2884" t="s">
        <v>1159</v>
      </c>
      <c r="G50" s="2885"/>
      <c r="H50" s="2886"/>
      <c r="I50" s="217"/>
      <c r="J50" s="3167">
        <v>13500000000</v>
      </c>
      <c r="K50" s="3167">
        <v>12712017342</v>
      </c>
      <c r="L50" s="3125">
        <v>0</v>
      </c>
      <c r="M50" s="3124">
        <v>0</v>
      </c>
      <c r="N50" s="3125">
        <v>0</v>
      </c>
      <c r="O50" s="3125">
        <v>0</v>
      </c>
      <c r="P50" s="3125">
        <v>0</v>
      </c>
      <c r="Q50" s="3125">
        <f t="shared" si="6"/>
        <v>0</v>
      </c>
      <c r="R50" s="3605">
        <v>0</v>
      </c>
      <c r="S50" s="1881"/>
      <c r="T50" s="1846">
        <f t="shared" si="9"/>
        <v>0</v>
      </c>
    </row>
    <row r="51" spans="1:20" s="2932" customFormat="1" ht="15.05" customHeight="1">
      <c r="A51" s="2925">
        <v>4</v>
      </c>
      <c r="B51" s="2925">
        <v>1</v>
      </c>
      <c r="C51" s="2925">
        <v>2</v>
      </c>
      <c r="D51" s="2925" t="s">
        <v>437</v>
      </c>
      <c r="E51" s="2925" t="s">
        <v>445</v>
      </c>
      <c r="F51" s="2926" t="s">
        <v>488</v>
      </c>
      <c r="G51" s="2927"/>
      <c r="H51" s="2933"/>
      <c r="I51" s="2934"/>
      <c r="J51" s="3168">
        <v>240000000</v>
      </c>
      <c r="K51" s="3168">
        <v>286866750</v>
      </c>
      <c r="L51" s="3169">
        <v>0</v>
      </c>
      <c r="M51" s="3170">
        <v>0</v>
      </c>
      <c r="N51" s="3169">
        <v>0</v>
      </c>
      <c r="O51" s="3169">
        <v>0</v>
      </c>
      <c r="P51" s="3169">
        <f>MAR!N708</f>
        <v>0</v>
      </c>
      <c r="Q51" s="3169">
        <f t="shared" si="6"/>
        <v>0</v>
      </c>
      <c r="R51" s="3611">
        <v>0</v>
      </c>
      <c r="S51" s="2930"/>
      <c r="T51" s="2931">
        <f t="shared" si="9"/>
        <v>0</v>
      </c>
    </row>
    <row r="52" spans="1:20" s="2932" customFormat="1" ht="15.05" customHeight="1">
      <c r="A52" s="2925" t="s">
        <v>443</v>
      </c>
      <c r="B52" s="2925" t="s">
        <v>58</v>
      </c>
      <c r="C52" s="2925" t="s">
        <v>460</v>
      </c>
      <c r="D52" s="2925" t="s">
        <v>437</v>
      </c>
      <c r="E52" s="2925" t="s">
        <v>440</v>
      </c>
      <c r="F52" s="2926" t="s">
        <v>489</v>
      </c>
      <c r="G52" s="2927"/>
      <c r="H52" s="2928"/>
      <c r="I52" s="2934"/>
      <c r="J52" s="3168">
        <v>19250000</v>
      </c>
      <c r="K52" s="3168">
        <v>0</v>
      </c>
      <c r="L52" s="3169">
        <v>19250000</v>
      </c>
      <c r="M52" s="3170">
        <v>0</v>
      </c>
      <c r="N52" s="3169">
        <v>0</v>
      </c>
      <c r="O52" s="3169">
        <v>0</v>
      </c>
      <c r="P52" s="3169">
        <f>P53</f>
        <v>0</v>
      </c>
      <c r="Q52" s="3169">
        <f>+P52-L52</f>
        <v>-19250000</v>
      </c>
      <c r="R52" s="3611">
        <f>+P52/L52*100-100</f>
        <v>-100</v>
      </c>
      <c r="S52" s="2930"/>
      <c r="T52" s="2931">
        <f t="shared" si="9"/>
        <v>0</v>
      </c>
    </row>
    <row r="53" spans="1:20" s="257" customFormat="1" ht="15.05" customHeight="1">
      <c r="A53" s="1855"/>
      <c r="B53" s="1855"/>
      <c r="C53" s="1855"/>
      <c r="D53" s="1855"/>
      <c r="E53" s="1855"/>
      <c r="F53" s="2756" t="s">
        <v>50</v>
      </c>
      <c r="G53" s="1858" t="s">
        <v>490</v>
      </c>
      <c r="H53" s="200"/>
      <c r="I53" s="217"/>
      <c r="J53" s="3171">
        <v>19250000</v>
      </c>
      <c r="K53" s="3171">
        <v>0</v>
      </c>
      <c r="L53" s="3125">
        <v>19250000</v>
      </c>
      <c r="M53" s="3124">
        <v>0</v>
      </c>
      <c r="N53" s="3125">
        <v>0</v>
      </c>
      <c r="O53" s="3125">
        <v>0</v>
      </c>
      <c r="P53" s="3125">
        <v>0</v>
      </c>
      <c r="Q53" s="3125">
        <f>+P53-L53</f>
        <v>-19250000</v>
      </c>
      <c r="R53" s="3605">
        <f>+P53/L53*100-100</f>
        <v>-100</v>
      </c>
      <c r="S53" s="1881"/>
      <c r="T53" s="1846">
        <f t="shared" si="9"/>
        <v>0</v>
      </c>
    </row>
    <row r="54" spans="1:20" s="2932" customFormat="1" ht="15.05" customHeight="1">
      <c r="A54" s="2925">
        <v>4</v>
      </c>
      <c r="B54" s="2925">
        <v>1</v>
      </c>
      <c r="C54" s="2925">
        <v>2</v>
      </c>
      <c r="D54" s="2925" t="s">
        <v>437</v>
      </c>
      <c r="E54" s="2935" t="s">
        <v>451</v>
      </c>
      <c r="F54" s="2926" t="s">
        <v>1180</v>
      </c>
      <c r="G54" s="2927"/>
      <c r="H54" s="2928"/>
      <c r="I54" s="2929"/>
      <c r="J54" s="3172"/>
      <c r="K54" s="3172">
        <v>0</v>
      </c>
      <c r="L54" s="3169">
        <v>0</v>
      </c>
      <c r="M54" s="3170">
        <v>0</v>
      </c>
      <c r="N54" s="3169">
        <v>0</v>
      </c>
      <c r="O54" s="3169">
        <v>0</v>
      </c>
      <c r="P54" s="3169">
        <f>O54-L54</f>
        <v>0</v>
      </c>
      <c r="Q54" s="3169">
        <f>+P54-L54</f>
        <v>0</v>
      </c>
      <c r="R54" s="3611" t="e">
        <f>+P54/L54*100-100</f>
        <v>#DIV/0!</v>
      </c>
      <c r="S54" s="2930"/>
      <c r="T54" s="2931">
        <f t="shared" si="9"/>
        <v>0</v>
      </c>
    </row>
    <row r="55" spans="1:20" s="257" customFormat="1" ht="15.05" customHeight="1">
      <c r="A55" s="1886"/>
      <c r="B55" s="1886"/>
      <c r="C55" s="1886"/>
      <c r="D55" s="1886"/>
      <c r="E55" s="1886"/>
      <c r="F55" s="1887"/>
      <c r="G55" s="1888"/>
      <c r="H55" s="856"/>
      <c r="I55" s="1894"/>
      <c r="J55" s="3173"/>
      <c r="K55" s="3173">
        <f>K57-3676781427</f>
        <v>0</v>
      </c>
      <c r="L55" s="3174"/>
      <c r="M55" s="3175"/>
      <c r="N55" s="3174"/>
      <c r="O55" s="3174"/>
      <c r="P55" s="3174"/>
      <c r="Q55" s="3174"/>
      <c r="R55" s="3612"/>
      <c r="S55" s="1881"/>
      <c r="T55" s="1846">
        <f t="shared" si="9"/>
        <v>0</v>
      </c>
    </row>
    <row r="56" spans="1:20" s="2947" customFormat="1" ht="15.05" customHeight="1">
      <c r="A56" s="3053">
        <v>4</v>
      </c>
      <c r="B56" s="3054">
        <v>1</v>
      </c>
      <c r="C56" s="3054">
        <v>2</v>
      </c>
      <c r="D56" s="3054" t="s">
        <v>438</v>
      </c>
      <c r="E56" s="3055"/>
      <c r="F56" s="3056" t="s">
        <v>374</v>
      </c>
      <c r="G56" s="3057"/>
      <c r="H56" s="3058"/>
      <c r="I56" s="3059"/>
      <c r="J56" s="3177">
        <f>J57+J137+J156+J162</f>
        <v>9182718500</v>
      </c>
      <c r="K56" s="3177">
        <f t="shared" ref="K56:P56" si="10">K57+K137+K156+K162</f>
        <v>8816358857</v>
      </c>
      <c r="L56" s="3177">
        <f t="shared" si="10"/>
        <v>9291218500</v>
      </c>
      <c r="M56" s="3177">
        <f t="shared" si="10"/>
        <v>773060576</v>
      </c>
      <c r="N56" s="3177">
        <f t="shared" si="10"/>
        <v>386105000</v>
      </c>
      <c r="O56" s="3177">
        <f t="shared" si="10"/>
        <v>1256530576</v>
      </c>
      <c r="P56" s="3177">
        <f t="shared" si="10"/>
        <v>9081164000</v>
      </c>
      <c r="Q56" s="3178">
        <f>+P56-L56</f>
        <v>-210054500</v>
      </c>
      <c r="R56" s="3613">
        <f t="shared" ref="R56:R68" si="11">+P56/L56*100-100</f>
        <v>-2.2607852780558346</v>
      </c>
      <c r="S56" s="2943"/>
      <c r="T56" s="2944">
        <f t="shared" si="9"/>
        <v>5026122304</v>
      </c>
    </row>
    <row r="57" spans="1:20" s="2932" customFormat="1" ht="15.05" customHeight="1">
      <c r="A57" s="3047">
        <v>4</v>
      </c>
      <c r="B57" s="3047">
        <v>1</v>
      </c>
      <c r="C57" s="3047">
        <v>2</v>
      </c>
      <c r="D57" s="3047" t="s">
        <v>438</v>
      </c>
      <c r="E57" s="3047" t="s">
        <v>437</v>
      </c>
      <c r="F57" s="3048" t="s">
        <v>64</v>
      </c>
      <c r="G57" s="3049"/>
      <c r="H57" s="3050"/>
      <c r="I57" s="3052"/>
      <c r="J57" s="3181">
        <f>J58+J62+J65+J67+J73+J76+J93+J110+J113+J118+J128+J131</f>
        <v>4557206500</v>
      </c>
      <c r="K57" s="3181">
        <f>K58+K62+K65+K67+K73+K76+K93+K110+K113+K118+K128+K131+K135</f>
        <v>3676781427</v>
      </c>
      <c r="L57" s="3181">
        <f t="shared" ref="L57:Q57" si="12">L58+L62+L65+L67+L73+L76+L93+L110+L113+L118+L128+L131</f>
        <v>4630706500</v>
      </c>
      <c r="M57" s="3181">
        <f t="shared" si="12"/>
        <v>285659026</v>
      </c>
      <c r="N57" s="3181">
        <f t="shared" si="12"/>
        <v>91100500</v>
      </c>
      <c r="O57" s="3181">
        <f t="shared" si="12"/>
        <v>376759526</v>
      </c>
      <c r="P57" s="3181">
        <f t="shared" si="12"/>
        <v>3804881500</v>
      </c>
      <c r="Q57" s="3163">
        <f t="shared" si="12"/>
        <v>-825825000</v>
      </c>
      <c r="R57" s="3610">
        <f t="shared" si="11"/>
        <v>-17.83367181660077</v>
      </c>
      <c r="S57" s="2930"/>
      <c r="T57" s="2931">
        <f t="shared" si="9"/>
        <v>1507038104</v>
      </c>
    </row>
    <row r="58" spans="1:20" s="1833" customFormat="1" ht="15.05" customHeight="1">
      <c r="A58" s="1854"/>
      <c r="B58" s="1854"/>
      <c r="C58" s="1854"/>
      <c r="D58" s="1854"/>
      <c r="E58" s="1854"/>
      <c r="F58" s="1464" t="s">
        <v>62</v>
      </c>
      <c r="G58" s="1860"/>
      <c r="H58" s="202"/>
      <c r="I58" s="218"/>
      <c r="J58" s="3123">
        <f>SUM(J59:J61)</f>
        <v>89895000</v>
      </c>
      <c r="K58" s="3123">
        <f t="shared" ref="K58:P58" si="13">SUM(K59:K61)</f>
        <v>78988830</v>
      </c>
      <c r="L58" s="3123">
        <f t="shared" si="13"/>
        <v>98395000</v>
      </c>
      <c r="M58" s="3123">
        <f t="shared" si="13"/>
        <v>4949500</v>
      </c>
      <c r="N58" s="3123">
        <f t="shared" si="13"/>
        <v>4782000</v>
      </c>
      <c r="O58" s="3123">
        <f t="shared" si="13"/>
        <v>9731500</v>
      </c>
      <c r="P58" s="3123">
        <f t="shared" si="13"/>
        <v>65000000</v>
      </c>
      <c r="Q58" s="3182">
        <f t="shared" ref="Q58:Q91" si="14">+P58-L58</f>
        <v>-33395000</v>
      </c>
      <c r="R58" s="3601">
        <f t="shared" si="11"/>
        <v>-33.939732709995425</v>
      </c>
      <c r="S58" s="1883"/>
      <c r="T58" s="1882">
        <f t="shared" si="9"/>
        <v>38926000</v>
      </c>
    </row>
    <row r="59" spans="1:20" s="1832" customFormat="1" ht="15.05" customHeight="1">
      <c r="A59" s="1854"/>
      <c r="B59" s="1854"/>
      <c r="C59" s="1854"/>
      <c r="D59" s="1854"/>
      <c r="E59" s="1854"/>
      <c r="F59" s="1857" t="s">
        <v>50</v>
      </c>
      <c r="G59" s="1858"/>
      <c r="H59" s="200" t="str">
        <f>MAR!I13</f>
        <v>Aula BPKBM</v>
      </c>
      <c r="I59" s="217"/>
      <c r="J59" s="3171">
        <v>33395000</v>
      </c>
      <c r="K59" s="3171">
        <v>36456830</v>
      </c>
      <c r="L59" s="3125">
        <v>33395000</v>
      </c>
      <c r="M59" s="3124">
        <v>0</v>
      </c>
      <c r="N59" s="3125">
        <v>750000</v>
      </c>
      <c r="O59" s="3125">
        <v>750000</v>
      </c>
      <c r="P59" s="3125">
        <v>0</v>
      </c>
      <c r="Q59" s="3125">
        <f t="shared" si="14"/>
        <v>-33395000</v>
      </c>
      <c r="R59" s="3605">
        <f t="shared" si="11"/>
        <v>-100</v>
      </c>
      <c r="S59" s="1881"/>
      <c r="T59" s="1882">
        <f t="shared" si="9"/>
        <v>3000000</v>
      </c>
    </row>
    <row r="60" spans="1:20" s="1832" customFormat="1" ht="15.05" customHeight="1">
      <c r="A60" s="1854"/>
      <c r="B60" s="1854"/>
      <c r="C60" s="1854"/>
      <c r="D60" s="1854"/>
      <c r="E60" s="1854"/>
      <c r="F60" s="1857" t="s">
        <v>50</v>
      </c>
      <c r="G60" s="1858"/>
      <c r="H60" s="200" t="str">
        <f>MAR!I14</f>
        <v>Aula Taman Budaya (Eks Dinas Pariwisata)</v>
      </c>
      <c r="I60" s="217"/>
      <c r="J60" s="3171">
        <v>16500000</v>
      </c>
      <c r="K60" s="3171">
        <v>2500000</v>
      </c>
      <c r="L60" s="3125">
        <v>25000000</v>
      </c>
      <c r="M60" s="3124">
        <v>0</v>
      </c>
      <c r="N60" s="3125">
        <v>2000000</v>
      </c>
      <c r="O60" s="3125">
        <v>2000000</v>
      </c>
      <c r="P60" s="3125">
        <v>25000000</v>
      </c>
      <c r="Q60" s="3125">
        <f t="shared" si="14"/>
        <v>0</v>
      </c>
      <c r="R60" s="3605">
        <f t="shared" si="11"/>
        <v>0</v>
      </c>
      <c r="S60" s="1881"/>
      <c r="T60" s="1882">
        <f t="shared" si="9"/>
        <v>8000000</v>
      </c>
    </row>
    <row r="61" spans="1:20" s="1832" customFormat="1" ht="15.05" customHeight="1">
      <c r="A61" s="1854"/>
      <c r="B61" s="1854"/>
      <c r="C61" s="1854"/>
      <c r="D61" s="1854"/>
      <c r="E61" s="1854"/>
      <c r="F61" s="1857" t="s">
        <v>50</v>
      </c>
      <c r="G61" s="1858"/>
      <c r="H61" s="200" t="str">
        <f>MAR!I15</f>
        <v>Museum (Eks Dinas Pariwisata)</v>
      </c>
      <c r="I61" s="217"/>
      <c r="J61" s="3171">
        <v>40000000</v>
      </c>
      <c r="K61" s="3171">
        <v>40032000</v>
      </c>
      <c r="L61" s="3125">
        <v>40000000</v>
      </c>
      <c r="M61" s="3124">
        <v>4949500</v>
      </c>
      <c r="N61" s="3125">
        <v>2032000</v>
      </c>
      <c r="O61" s="3125">
        <v>6981500</v>
      </c>
      <c r="P61" s="3125">
        <v>40000000</v>
      </c>
      <c r="Q61" s="3125">
        <f t="shared" si="14"/>
        <v>0</v>
      </c>
      <c r="R61" s="3605">
        <f t="shared" si="11"/>
        <v>0</v>
      </c>
      <c r="S61" s="1881"/>
      <c r="T61" s="1882">
        <f t="shared" si="9"/>
        <v>27926000</v>
      </c>
    </row>
    <row r="62" spans="1:20" s="1318" customFormat="1" ht="15.05" customHeight="1">
      <c r="A62" s="1854"/>
      <c r="B62" s="1854"/>
      <c r="C62" s="1854"/>
      <c r="D62" s="1854"/>
      <c r="E62" s="1854"/>
      <c r="F62" s="1464" t="s">
        <v>491</v>
      </c>
      <c r="G62" s="1860"/>
      <c r="H62" s="202"/>
      <c r="I62" s="2824"/>
      <c r="J62" s="3185">
        <f>SUM(J63:J64)</f>
        <v>466750000</v>
      </c>
      <c r="K62" s="3185">
        <f t="shared" ref="K62:P62" si="15">SUM(K63:K64)</f>
        <v>411360000</v>
      </c>
      <c r="L62" s="3185">
        <f t="shared" si="15"/>
        <v>466750000</v>
      </c>
      <c r="M62" s="3185">
        <f t="shared" si="15"/>
        <v>22406900</v>
      </c>
      <c r="N62" s="3185">
        <f t="shared" si="15"/>
        <v>26657500</v>
      </c>
      <c r="O62" s="3185">
        <f t="shared" si="15"/>
        <v>49064400</v>
      </c>
      <c r="P62" s="3185">
        <f t="shared" si="15"/>
        <v>466750000</v>
      </c>
      <c r="Q62" s="3182">
        <f t="shared" si="14"/>
        <v>0</v>
      </c>
      <c r="R62" s="3601">
        <f t="shared" si="11"/>
        <v>0</v>
      </c>
      <c r="S62" s="1883"/>
      <c r="T62" s="1846">
        <f t="shared" si="9"/>
        <v>196257600</v>
      </c>
    </row>
    <row r="63" spans="1:20" s="257" customFormat="1" ht="15.05" customHeight="1">
      <c r="A63" s="1855"/>
      <c r="B63" s="1855"/>
      <c r="C63" s="1855"/>
      <c r="D63" s="1855"/>
      <c r="E63" s="1855"/>
      <c r="F63" s="1857" t="s">
        <v>50</v>
      </c>
      <c r="G63" s="1858"/>
      <c r="H63" s="200" t="s">
        <v>492</v>
      </c>
      <c r="I63" s="2823"/>
      <c r="J63" s="3186">
        <v>216750000</v>
      </c>
      <c r="K63" s="3186">
        <v>82166000</v>
      </c>
      <c r="L63" s="3125">
        <v>216750000</v>
      </c>
      <c r="M63" s="3124">
        <v>1400000</v>
      </c>
      <c r="N63" s="3125">
        <v>0</v>
      </c>
      <c r="O63" s="3125">
        <v>1400000</v>
      </c>
      <c r="P63" s="3125">
        <v>216750000</v>
      </c>
      <c r="Q63" s="3125">
        <f t="shared" si="14"/>
        <v>0</v>
      </c>
      <c r="R63" s="3605">
        <f t="shared" si="11"/>
        <v>0</v>
      </c>
      <c r="S63" s="1881"/>
      <c r="T63" s="1846">
        <f t="shared" si="9"/>
        <v>5600000</v>
      </c>
    </row>
    <row r="64" spans="1:20" s="257" customFormat="1" ht="15.05" customHeight="1">
      <c r="A64" s="1855"/>
      <c r="B64" s="1855"/>
      <c r="C64" s="1855"/>
      <c r="D64" s="1855"/>
      <c r="E64" s="1855"/>
      <c r="F64" s="1857" t="s">
        <v>50</v>
      </c>
      <c r="G64" s="1858"/>
      <c r="H64" s="200" t="s">
        <v>493</v>
      </c>
      <c r="I64" s="2823"/>
      <c r="J64" s="3186">
        <v>250000000</v>
      </c>
      <c r="K64" s="3186">
        <v>329194000</v>
      </c>
      <c r="L64" s="3125">
        <v>250000000</v>
      </c>
      <c r="M64" s="3124">
        <v>21006900</v>
      </c>
      <c r="N64" s="3125">
        <v>26657500</v>
      </c>
      <c r="O64" s="3125">
        <v>47664400</v>
      </c>
      <c r="P64" s="3125">
        <v>250000000</v>
      </c>
      <c r="Q64" s="3125">
        <f t="shared" si="14"/>
        <v>0</v>
      </c>
      <c r="R64" s="3605">
        <f t="shared" si="11"/>
        <v>0</v>
      </c>
      <c r="S64" s="1881"/>
      <c r="T64" s="1846">
        <f t="shared" si="9"/>
        <v>190657600</v>
      </c>
    </row>
    <row r="65" spans="1:20" s="1318" customFormat="1" ht="15.05" customHeight="1">
      <c r="A65" s="1854"/>
      <c r="B65" s="1854"/>
      <c r="C65" s="1854"/>
      <c r="D65" s="1854"/>
      <c r="E65" s="1854"/>
      <c r="F65" s="1464" t="s">
        <v>494</v>
      </c>
      <c r="G65" s="1860"/>
      <c r="H65" s="202"/>
      <c r="I65" s="2824"/>
      <c r="J65" s="3185">
        <v>2000000</v>
      </c>
      <c r="K65" s="3185">
        <v>0</v>
      </c>
      <c r="L65" s="3182">
        <v>2000000</v>
      </c>
      <c r="M65" s="3183">
        <v>0</v>
      </c>
      <c r="N65" s="3182">
        <v>200000</v>
      </c>
      <c r="O65" s="3182">
        <v>200000</v>
      </c>
      <c r="P65" s="3182">
        <v>2000000</v>
      </c>
      <c r="Q65" s="3182">
        <f t="shared" si="14"/>
        <v>0</v>
      </c>
      <c r="R65" s="3601">
        <f t="shared" si="11"/>
        <v>0</v>
      </c>
      <c r="S65" s="1883"/>
      <c r="T65" s="1846">
        <f t="shared" si="9"/>
        <v>800000</v>
      </c>
    </row>
    <row r="66" spans="1:20" s="257" customFormat="1" ht="15.05" customHeight="1">
      <c r="A66" s="1855"/>
      <c r="B66" s="1855"/>
      <c r="C66" s="1855"/>
      <c r="D66" s="1855"/>
      <c r="E66" s="1855"/>
      <c r="F66" s="1857" t="s">
        <v>50</v>
      </c>
      <c r="G66" s="1858"/>
      <c r="H66" s="200" t="s">
        <v>495</v>
      </c>
      <c r="I66" s="217"/>
      <c r="J66" s="3171">
        <v>2000000</v>
      </c>
      <c r="K66" s="3171">
        <v>0</v>
      </c>
      <c r="L66" s="3125">
        <v>2000000</v>
      </c>
      <c r="M66" s="3124">
        <v>0</v>
      </c>
      <c r="N66" s="3125">
        <v>200000</v>
      </c>
      <c r="O66" s="3125">
        <v>200000</v>
      </c>
      <c r="P66" s="3125">
        <v>2000000</v>
      </c>
      <c r="Q66" s="3125">
        <f t="shared" si="14"/>
        <v>0</v>
      </c>
      <c r="R66" s="3605">
        <f t="shared" si="11"/>
        <v>0</v>
      </c>
      <c r="S66" s="1881"/>
      <c r="T66" s="1846">
        <f t="shared" si="9"/>
        <v>800000</v>
      </c>
    </row>
    <row r="67" spans="1:20" s="1318" customFormat="1" ht="15.05" customHeight="1">
      <c r="A67" s="1854"/>
      <c r="B67" s="1854"/>
      <c r="C67" s="1854"/>
      <c r="D67" s="1854"/>
      <c r="E67" s="1854"/>
      <c r="F67" s="1464" t="s">
        <v>496</v>
      </c>
      <c r="G67" s="1860"/>
      <c r="H67" s="202"/>
      <c r="I67" s="218"/>
      <c r="J67" s="3123">
        <v>152500000</v>
      </c>
      <c r="K67" s="3123">
        <v>41900000</v>
      </c>
      <c r="L67" s="3182">
        <v>152500000</v>
      </c>
      <c r="M67" s="3183">
        <v>2850000</v>
      </c>
      <c r="N67" s="3182">
        <v>6950000</v>
      </c>
      <c r="O67" s="3182">
        <v>9800000</v>
      </c>
      <c r="P67" s="3182">
        <f>SUM(P68)</f>
        <v>50000000</v>
      </c>
      <c r="Q67" s="3182">
        <f t="shared" si="14"/>
        <v>-102500000</v>
      </c>
      <c r="R67" s="3601">
        <f t="shared" si="11"/>
        <v>-67.21311475409837</v>
      </c>
      <c r="S67" s="1883"/>
      <c r="T67" s="1846">
        <f t="shared" si="9"/>
        <v>39200000</v>
      </c>
    </row>
    <row r="68" spans="1:20" s="257" customFormat="1" ht="15.05" customHeight="1">
      <c r="A68" s="1855"/>
      <c r="B68" s="1855"/>
      <c r="C68" s="1855"/>
      <c r="D68" s="1855"/>
      <c r="E68" s="1855"/>
      <c r="F68" s="1857" t="s">
        <v>50</v>
      </c>
      <c r="G68" s="1858"/>
      <c r="H68" s="200" t="s">
        <v>143</v>
      </c>
      <c r="I68" s="217"/>
      <c r="J68" s="3171">
        <v>152500000</v>
      </c>
      <c r="K68" s="3171">
        <v>41900000</v>
      </c>
      <c r="L68" s="3125">
        <v>152500000</v>
      </c>
      <c r="M68" s="3124">
        <v>2850000</v>
      </c>
      <c r="N68" s="3125">
        <v>6950000</v>
      </c>
      <c r="O68" s="3125">
        <v>9800000</v>
      </c>
      <c r="P68" s="3125">
        <v>50000000</v>
      </c>
      <c r="Q68" s="3125">
        <f t="shared" si="14"/>
        <v>-102500000</v>
      </c>
      <c r="R68" s="3605">
        <f t="shared" si="11"/>
        <v>-67.21311475409837</v>
      </c>
      <c r="S68" s="1881"/>
      <c r="T68" s="1846">
        <f t="shared" si="9"/>
        <v>39200000</v>
      </c>
    </row>
    <row r="69" spans="1:20" s="1318" customFormat="1" ht="15.05" hidden="1" customHeight="1">
      <c r="A69" s="1854"/>
      <c r="B69" s="1854"/>
      <c r="C69" s="1854"/>
      <c r="D69" s="1854"/>
      <c r="E69" s="1854"/>
      <c r="F69" s="1464" t="s">
        <v>497</v>
      </c>
      <c r="G69" s="1860"/>
      <c r="H69" s="202"/>
      <c r="I69" s="218"/>
      <c r="J69" s="3123">
        <v>56500000</v>
      </c>
      <c r="K69" s="3123">
        <v>42532000</v>
      </c>
      <c r="L69" s="3182">
        <v>0</v>
      </c>
      <c r="M69" s="3183">
        <v>0</v>
      </c>
      <c r="N69" s="3182">
        <v>0</v>
      </c>
      <c r="O69" s="3182">
        <v>0</v>
      </c>
      <c r="P69" s="3182">
        <v>0</v>
      </c>
      <c r="Q69" s="3182">
        <f t="shared" si="14"/>
        <v>0</v>
      </c>
      <c r="R69" s="3601">
        <v>0</v>
      </c>
      <c r="S69" s="1883"/>
      <c r="T69" s="1846">
        <f t="shared" si="9"/>
        <v>0</v>
      </c>
    </row>
    <row r="70" spans="1:20" s="257" customFormat="1" ht="15.05" hidden="1" customHeight="1">
      <c r="A70" s="1855"/>
      <c r="B70" s="1855"/>
      <c r="C70" s="1855"/>
      <c r="D70" s="1855"/>
      <c r="E70" s="1855"/>
      <c r="F70" s="2756" t="s">
        <v>50</v>
      </c>
      <c r="G70" s="1858" t="s">
        <v>498</v>
      </c>
      <c r="H70" s="200"/>
      <c r="I70" s="217"/>
      <c r="J70" s="3171">
        <v>16500000</v>
      </c>
      <c r="K70" s="3171">
        <v>2500000</v>
      </c>
      <c r="L70" s="3125">
        <v>0</v>
      </c>
      <c r="M70" s="3124">
        <v>0</v>
      </c>
      <c r="N70" s="3125">
        <v>0</v>
      </c>
      <c r="O70" s="3125">
        <v>0</v>
      </c>
      <c r="P70" s="3125">
        <v>0</v>
      </c>
      <c r="Q70" s="3125">
        <f t="shared" si="14"/>
        <v>0</v>
      </c>
      <c r="R70" s="3605">
        <v>0</v>
      </c>
      <c r="S70" s="1881"/>
      <c r="T70" s="1846">
        <f t="shared" si="9"/>
        <v>0</v>
      </c>
    </row>
    <row r="71" spans="1:20" s="257" customFormat="1" ht="15.05" hidden="1" customHeight="1">
      <c r="A71" s="1855"/>
      <c r="B71" s="1855"/>
      <c r="C71" s="1855"/>
      <c r="D71" s="1855"/>
      <c r="E71" s="1855"/>
      <c r="F71" s="2756" t="s">
        <v>50</v>
      </c>
      <c r="G71" s="1858" t="s">
        <v>499</v>
      </c>
      <c r="H71" s="200"/>
      <c r="I71" s="217"/>
      <c r="J71" s="3171">
        <v>40000000</v>
      </c>
      <c r="K71" s="3171">
        <v>40032000</v>
      </c>
      <c r="L71" s="3125">
        <v>0</v>
      </c>
      <c r="M71" s="3124">
        <v>0</v>
      </c>
      <c r="N71" s="3125">
        <v>0</v>
      </c>
      <c r="O71" s="3125">
        <v>0</v>
      </c>
      <c r="P71" s="3125">
        <v>0</v>
      </c>
      <c r="Q71" s="3125">
        <f t="shared" si="14"/>
        <v>0</v>
      </c>
      <c r="R71" s="3605">
        <v>0</v>
      </c>
      <c r="S71" s="1876">
        <f>PerDinas!Q372</f>
        <v>0</v>
      </c>
      <c r="T71" s="1846">
        <f t="shared" si="9"/>
        <v>0</v>
      </c>
    </row>
    <row r="72" spans="1:20" s="257" customFormat="1" ht="15.05" hidden="1" customHeight="1">
      <c r="A72" s="1855"/>
      <c r="B72" s="1855"/>
      <c r="C72" s="1855"/>
      <c r="D72" s="1855"/>
      <c r="E72" s="1855"/>
      <c r="F72" s="2756" t="s">
        <v>50</v>
      </c>
      <c r="G72" s="1858" t="s">
        <v>500</v>
      </c>
      <c r="H72" s="200"/>
      <c r="I72" s="217"/>
      <c r="J72" s="3171">
        <v>0</v>
      </c>
      <c r="K72" s="3171">
        <v>0</v>
      </c>
      <c r="L72" s="3125">
        <v>0</v>
      </c>
      <c r="M72" s="3124">
        <v>0</v>
      </c>
      <c r="N72" s="3125">
        <v>0</v>
      </c>
      <c r="O72" s="3125">
        <v>0</v>
      </c>
      <c r="P72" s="3125">
        <v>0</v>
      </c>
      <c r="Q72" s="3125">
        <f t="shared" si="14"/>
        <v>0</v>
      </c>
      <c r="R72" s="3605">
        <v>0</v>
      </c>
      <c r="S72" s="1884">
        <v>0</v>
      </c>
      <c r="T72" s="1846">
        <f t="shared" si="9"/>
        <v>0</v>
      </c>
    </row>
    <row r="73" spans="1:20" s="257" customFormat="1" ht="15.05" customHeight="1">
      <c r="A73" s="1855"/>
      <c r="B73" s="1855"/>
      <c r="C73" s="1855"/>
      <c r="D73" s="1855"/>
      <c r="E73" s="1855"/>
      <c r="F73" s="1901" t="s">
        <v>326</v>
      </c>
      <c r="G73" s="1858"/>
      <c r="H73" s="200"/>
      <c r="I73" s="217"/>
      <c r="J73" s="3256">
        <f>SUM(J74:J75)</f>
        <v>100000000</v>
      </c>
      <c r="K73" s="3256">
        <f t="shared" ref="K73:P73" si="16">SUM(K74:K75)</f>
        <v>271265000</v>
      </c>
      <c r="L73" s="3256">
        <f t="shared" si="16"/>
        <v>150000000</v>
      </c>
      <c r="M73" s="3256">
        <f t="shared" si="16"/>
        <v>26950000</v>
      </c>
      <c r="N73" s="3256">
        <f t="shared" si="16"/>
        <v>10625000</v>
      </c>
      <c r="O73" s="3256">
        <f t="shared" si="16"/>
        <v>37575000</v>
      </c>
      <c r="P73" s="3256">
        <f t="shared" si="16"/>
        <v>150000000</v>
      </c>
      <c r="Q73" s="3182">
        <f t="shared" si="14"/>
        <v>0</v>
      </c>
      <c r="R73" s="3601">
        <f t="shared" ref="R73:R79" si="17">+P73/L73*100-100</f>
        <v>0</v>
      </c>
      <c r="S73" s="1881"/>
      <c r="T73" s="1846">
        <f t="shared" si="9"/>
        <v>150300000</v>
      </c>
    </row>
    <row r="74" spans="1:20" s="257" customFormat="1" ht="15.05" customHeight="1">
      <c r="A74" s="1855"/>
      <c r="B74" s="1855"/>
      <c r="C74" s="1855"/>
      <c r="D74" s="1855"/>
      <c r="E74" s="1855"/>
      <c r="F74" s="2756" t="s">
        <v>50</v>
      </c>
      <c r="G74" s="1858" t="s">
        <v>501</v>
      </c>
      <c r="H74" s="200"/>
      <c r="I74" s="217"/>
      <c r="J74" s="3171">
        <v>100000000</v>
      </c>
      <c r="K74" s="3171">
        <v>271265000</v>
      </c>
      <c r="L74" s="3125">
        <v>100000000</v>
      </c>
      <c r="M74" s="3124">
        <v>26950000</v>
      </c>
      <c r="N74" s="3125">
        <v>10625000</v>
      </c>
      <c r="O74" s="3125">
        <v>37575000</v>
      </c>
      <c r="P74" s="3125">
        <v>100000000</v>
      </c>
      <c r="Q74" s="3125">
        <f t="shared" si="14"/>
        <v>0</v>
      </c>
      <c r="R74" s="3605">
        <f t="shared" si="17"/>
        <v>0</v>
      </c>
      <c r="S74" s="1876">
        <f>MAR!P586</f>
        <v>0</v>
      </c>
      <c r="T74" s="1846">
        <f t="shared" ref="T74:T91" si="18">O74*4</f>
        <v>150300000</v>
      </c>
    </row>
    <row r="75" spans="1:20" s="257" customFormat="1" ht="15.05" customHeight="1">
      <c r="A75" s="1855"/>
      <c r="B75" s="1855"/>
      <c r="C75" s="1855"/>
      <c r="D75" s="1855"/>
      <c r="E75" s="1855"/>
      <c r="F75" s="2756" t="s">
        <v>50</v>
      </c>
      <c r="G75" s="1858" t="s">
        <v>502</v>
      </c>
      <c r="H75" s="200"/>
      <c r="I75" s="217"/>
      <c r="J75" s="3171">
        <v>0</v>
      </c>
      <c r="K75" s="3171">
        <v>0</v>
      </c>
      <c r="L75" s="3125">
        <v>50000000</v>
      </c>
      <c r="M75" s="3124">
        <v>0</v>
      </c>
      <c r="N75" s="3125">
        <v>0</v>
      </c>
      <c r="O75" s="3125">
        <v>0</v>
      </c>
      <c r="P75" s="3125">
        <v>50000000</v>
      </c>
      <c r="Q75" s="3125">
        <f t="shared" si="14"/>
        <v>0</v>
      </c>
      <c r="R75" s="3605">
        <f t="shared" si="17"/>
        <v>0</v>
      </c>
      <c r="S75" s="1884"/>
      <c r="T75" s="1846">
        <f t="shared" si="18"/>
        <v>0</v>
      </c>
    </row>
    <row r="76" spans="1:20" s="257" customFormat="1" ht="15.05" customHeight="1">
      <c r="A76" s="1855"/>
      <c r="B76" s="1855"/>
      <c r="C76" s="1855"/>
      <c r="D76" s="1855"/>
      <c r="E76" s="1855"/>
      <c r="F76" s="1464" t="s">
        <v>157</v>
      </c>
      <c r="G76" s="1860"/>
      <c r="H76" s="202"/>
      <c r="I76" s="218"/>
      <c r="J76" s="3123">
        <f>SUM(J77:J79)</f>
        <v>131250000</v>
      </c>
      <c r="K76" s="3123">
        <f t="shared" ref="K76:P76" si="19">SUM(K77:K79)</f>
        <v>45175000</v>
      </c>
      <c r="L76" s="3123">
        <f t="shared" si="19"/>
        <v>131250000</v>
      </c>
      <c r="M76" s="3123">
        <f t="shared" si="19"/>
        <v>2500000</v>
      </c>
      <c r="N76" s="3123">
        <f t="shared" si="19"/>
        <v>5500000</v>
      </c>
      <c r="O76" s="3123">
        <f t="shared" si="19"/>
        <v>8000000</v>
      </c>
      <c r="P76" s="3123">
        <f t="shared" si="19"/>
        <v>131250000</v>
      </c>
      <c r="Q76" s="3182">
        <f t="shared" si="14"/>
        <v>0</v>
      </c>
      <c r="R76" s="3601">
        <f t="shared" si="17"/>
        <v>0</v>
      </c>
      <c r="S76" s="1881"/>
      <c r="T76" s="1846">
        <f t="shared" si="18"/>
        <v>32000000</v>
      </c>
    </row>
    <row r="77" spans="1:20" s="257" customFormat="1" ht="15.05" customHeight="1">
      <c r="A77" s="1855"/>
      <c r="B77" s="1855"/>
      <c r="C77" s="1855"/>
      <c r="D77" s="1855"/>
      <c r="E77" s="1855"/>
      <c r="F77" s="1863" t="s">
        <v>50</v>
      </c>
      <c r="G77" s="200"/>
      <c r="H77" s="200" t="s">
        <v>503</v>
      </c>
      <c r="I77" s="217"/>
      <c r="J77" s="3171">
        <v>30000000</v>
      </c>
      <c r="K77" s="3171">
        <v>23400000</v>
      </c>
      <c r="L77" s="3125">
        <v>30000000</v>
      </c>
      <c r="M77" s="3124">
        <v>0</v>
      </c>
      <c r="N77" s="3125">
        <v>0</v>
      </c>
      <c r="O77" s="3125">
        <v>0</v>
      </c>
      <c r="P77" s="3125">
        <v>30000000</v>
      </c>
      <c r="Q77" s="3125">
        <f t="shared" si="14"/>
        <v>0</v>
      </c>
      <c r="R77" s="3605">
        <f t="shared" si="17"/>
        <v>0</v>
      </c>
      <c r="S77" s="1876">
        <f>MAR!P286</f>
        <v>0</v>
      </c>
      <c r="T77" s="1846">
        <f t="shared" si="18"/>
        <v>0</v>
      </c>
    </row>
    <row r="78" spans="1:20" s="257" customFormat="1" ht="15.05" customHeight="1">
      <c r="A78" s="1855"/>
      <c r="B78" s="1855"/>
      <c r="C78" s="1855"/>
      <c r="D78" s="1855"/>
      <c r="E78" s="1855"/>
      <c r="F78" s="1863" t="s">
        <v>50</v>
      </c>
      <c r="G78" s="200"/>
      <c r="H78" s="200" t="s">
        <v>504</v>
      </c>
      <c r="I78" s="217"/>
      <c r="J78" s="3171">
        <v>26250000</v>
      </c>
      <c r="K78" s="3171">
        <v>14300000</v>
      </c>
      <c r="L78" s="3125">
        <v>26250000</v>
      </c>
      <c r="M78" s="3124">
        <v>1500000</v>
      </c>
      <c r="N78" s="3125">
        <v>0</v>
      </c>
      <c r="O78" s="3125">
        <v>1500000</v>
      </c>
      <c r="P78" s="3125">
        <v>26250000</v>
      </c>
      <c r="Q78" s="3125">
        <f t="shared" si="14"/>
        <v>0</v>
      </c>
      <c r="R78" s="3605">
        <f t="shared" si="17"/>
        <v>0</v>
      </c>
      <c r="S78" s="1876">
        <f>MAR!P287</f>
        <v>0</v>
      </c>
      <c r="T78" s="1846">
        <f t="shared" si="18"/>
        <v>6000000</v>
      </c>
    </row>
    <row r="79" spans="1:20" s="257" customFormat="1" ht="15.05" customHeight="1">
      <c r="A79" s="1855"/>
      <c r="B79" s="1855"/>
      <c r="C79" s="1855"/>
      <c r="D79" s="1855"/>
      <c r="E79" s="1855"/>
      <c r="F79" s="1863" t="s">
        <v>50</v>
      </c>
      <c r="G79" s="200"/>
      <c r="H79" s="200" t="s">
        <v>505</v>
      </c>
      <c r="I79" s="217"/>
      <c r="J79" s="3171">
        <v>75000000</v>
      </c>
      <c r="K79" s="3171">
        <v>7475000</v>
      </c>
      <c r="L79" s="3125">
        <v>75000000</v>
      </c>
      <c r="M79" s="3124">
        <v>1000000</v>
      </c>
      <c r="N79" s="3125">
        <v>5500000</v>
      </c>
      <c r="O79" s="3125">
        <v>6500000</v>
      </c>
      <c r="P79" s="3125">
        <v>75000000</v>
      </c>
      <c r="Q79" s="3125">
        <f t="shared" si="14"/>
        <v>0</v>
      </c>
      <c r="R79" s="3605">
        <f t="shared" si="17"/>
        <v>0</v>
      </c>
      <c r="S79" s="1876">
        <f>MAR!P288</f>
        <v>0</v>
      </c>
      <c r="T79" s="1846">
        <f t="shared" si="18"/>
        <v>26000000</v>
      </c>
    </row>
    <row r="80" spans="1:20" s="257" customFormat="1" ht="15.05" hidden="1" customHeight="1">
      <c r="A80" s="1855"/>
      <c r="B80" s="1855"/>
      <c r="C80" s="1855"/>
      <c r="D80" s="1855"/>
      <c r="E80" s="1855"/>
      <c r="F80" s="1863" t="s">
        <v>50</v>
      </c>
      <c r="G80" s="200"/>
      <c r="H80" s="202" t="s">
        <v>182</v>
      </c>
      <c r="I80" s="217"/>
      <c r="J80" s="3171"/>
      <c r="K80" s="3171"/>
      <c r="L80" s="3125">
        <v>0</v>
      </c>
      <c r="M80" s="3124">
        <v>0</v>
      </c>
      <c r="N80" s="3125">
        <v>0</v>
      </c>
      <c r="O80" s="3125">
        <v>0</v>
      </c>
      <c r="P80" s="3125">
        <v>0</v>
      </c>
      <c r="Q80" s="3125">
        <f t="shared" si="14"/>
        <v>0</v>
      </c>
      <c r="R80" s="3605">
        <v>0</v>
      </c>
      <c r="S80" s="1881"/>
      <c r="T80" s="1846">
        <f t="shared" si="18"/>
        <v>0</v>
      </c>
    </row>
    <row r="81" spans="1:20" s="257" customFormat="1" ht="15.05" hidden="1" customHeight="1">
      <c r="A81" s="1855"/>
      <c r="B81" s="1855"/>
      <c r="C81" s="1855"/>
      <c r="D81" s="1855"/>
      <c r="E81" s="1855"/>
      <c r="F81" s="1863"/>
      <c r="G81" s="2727" t="s">
        <v>50</v>
      </c>
      <c r="H81" s="200" t="s">
        <v>506</v>
      </c>
      <c r="I81" s="217"/>
      <c r="J81" s="3171"/>
      <c r="K81" s="3171"/>
      <c r="L81" s="3125">
        <v>0</v>
      </c>
      <c r="M81" s="3124">
        <v>0</v>
      </c>
      <c r="N81" s="3125">
        <v>0</v>
      </c>
      <c r="O81" s="3125">
        <v>0</v>
      </c>
      <c r="P81" s="3125">
        <v>0</v>
      </c>
      <c r="Q81" s="3125">
        <f t="shared" si="14"/>
        <v>0</v>
      </c>
      <c r="R81" s="3605">
        <v>0</v>
      </c>
      <c r="S81" s="1881"/>
      <c r="T81" s="1846">
        <f t="shared" si="18"/>
        <v>0</v>
      </c>
    </row>
    <row r="82" spans="1:20" s="257" customFormat="1" ht="15.05" hidden="1" customHeight="1">
      <c r="A82" s="1855"/>
      <c r="B82" s="1855"/>
      <c r="C82" s="1855"/>
      <c r="D82" s="1855"/>
      <c r="E82" s="1855"/>
      <c r="F82" s="1863"/>
      <c r="G82" s="2727" t="s">
        <v>50</v>
      </c>
      <c r="H82" s="200" t="s">
        <v>182</v>
      </c>
      <c r="I82" s="217"/>
      <c r="J82" s="3171"/>
      <c r="K82" s="3171"/>
      <c r="L82" s="3125">
        <v>0</v>
      </c>
      <c r="M82" s="3124">
        <v>0</v>
      </c>
      <c r="N82" s="3125">
        <v>0</v>
      </c>
      <c r="O82" s="3125">
        <v>0</v>
      </c>
      <c r="P82" s="3125">
        <v>0</v>
      </c>
      <c r="Q82" s="3125">
        <f t="shared" si="14"/>
        <v>0</v>
      </c>
      <c r="R82" s="3605">
        <v>0</v>
      </c>
      <c r="S82" s="1881"/>
      <c r="T82" s="1846">
        <f t="shared" si="18"/>
        <v>0</v>
      </c>
    </row>
    <row r="83" spans="1:20" s="257" customFormat="1" ht="15.05" hidden="1" customHeight="1">
      <c r="A83" s="1855"/>
      <c r="B83" s="1855"/>
      <c r="C83" s="1855"/>
      <c r="D83" s="1855"/>
      <c r="E83" s="1855"/>
      <c r="F83" s="1863"/>
      <c r="G83" s="2727" t="s">
        <v>50</v>
      </c>
      <c r="H83" s="200" t="s">
        <v>185</v>
      </c>
      <c r="I83" s="217"/>
      <c r="J83" s="3171"/>
      <c r="K83" s="3171"/>
      <c r="L83" s="3125">
        <v>0</v>
      </c>
      <c r="M83" s="3124">
        <v>0</v>
      </c>
      <c r="N83" s="3125">
        <v>0</v>
      </c>
      <c r="O83" s="3125">
        <v>0</v>
      </c>
      <c r="P83" s="3125">
        <v>0</v>
      </c>
      <c r="Q83" s="3125">
        <f t="shared" si="14"/>
        <v>0</v>
      </c>
      <c r="R83" s="3605">
        <v>0</v>
      </c>
      <c r="S83" s="1881"/>
      <c r="T83" s="1846">
        <f t="shared" si="18"/>
        <v>0</v>
      </c>
    </row>
    <row r="84" spans="1:20" s="257" customFormat="1" ht="15.05" hidden="1" customHeight="1">
      <c r="A84" s="1855"/>
      <c r="B84" s="1855"/>
      <c r="C84" s="1855"/>
      <c r="D84" s="1855"/>
      <c r="E84" s="1855"/>
      <c r="F84" s="1863" t="s">
        <v>50</v>
      </c>
      <c r="G84" s="200"/>
      <c r="H84" s="202" t="s">
        <v>507</v>
      </c>
      <c r="I84" s="217"/>
      <c r="J84" s="3171"/>
      <c r="K84" s="3171"/>
      <c r="L84" s="3125">
        <v>0</v>
      </c>
      <c r="M84" s="3124">
        <v>0</v>
      </c>
      <c r="N84" s="3125">
        <v>0</v>
      </c>
      <c r="O84" s="3125">
        <v>0</v>
      </c>
      <c r="P84" s="3125">
        <v>0</v>
      </c>
      <c r="Q84" s="3125">
        <f t="shared" si="14"/>
        <v>0</v>
      </c>
      <c r="R84" s="3605">
        <v>0</v>
      </c>
      <c r="S84" s="1881"/>
      <c r="T84" s="1846">
        <f t="shared" si="18"/>
        <v>0</v>
      </c>
    </row>
    <row r="85" spans="1:20" s="257" customFormat="1" ht="15.05" hidden="1" customHeight="1">
      <c r="A85" s="1855"/>
      <c r="B85" s="1855"/>
      <c r="C85" s="1855"/>
      <c r="D85" s="1855"/>
      <c r="E85" s="1855"/>
      <c r="F85" s="1863"/>
      <c r="G85" s="2727" t="s">
        <v>50</v>
      </c>
      <c r="H85" s="200" t="s">
        <v>508</v>
      </c>
      <c r="I85" s="217"/>
      <c r="J85" s="3171"/>
      <c r="K85" s="3171"/>
      <c r="L85" s="3125">
        <v>0</v>
      </c>
      <c r="M85" s="3124">
        <v>0</v>
      </c>
      <c r="N85" s="3125">
        <v>0</v>
      </c>
      <c r="O85" s="3125">
        <v>0</v>
      </c>
      <c r="P85" s="3125">
        <v>0</v>
      </c>
      <c r="Q85" s="3125">
        <f t="shared" si="14"/>
        <v>0</v>
      </c>
      <c r="R85" s="3605">
        <v>0</v>
      </c>
      <c r="S85" s="1881"/>
      <c r="T85" s="1846">
        <f t="shared" si="18"/>
        <v>0</v>
      </c>
    </row>
    <row r="86" spans="1:20" s="257" customFormat="1" ht="15.05" hidden="1" customHeight="1">
      <c r="A86" s="1855"/>
      <c r="B86" s="1855"/>
      <c r="C86" s="1855"/>
      <c r="D86" s="1855"/>
      <c r="E86" s="1855"/>
      <c r="F86" s="1863"/>
      <c r="G86" s="2727" t="s">
        <v>50</v>
      </c>
      <c r="H86" s="200" t="s">
        <v>509</v>
      </c>
      <c r="I86" s="217"/>
      <c r="J86" s="3171"/>
      <c r="K86" s="3171"/>
      <c r="L86" s="3125">
        <v>0</v>
      </c>
      <c r="M86" s="3124">
        <v>0</v>
      </c>
      <c r="N86" s="3125">
        <v>0</v>
      </c>
      <c r="O86" s="3125">
        <v>0</v>
      </c>
      <c r="P86" s="3125">
        <v>0</v>
      </c>
      <c r="Q86" s="3125">
        <f t="shared" si="14"/>
        <v>0</v>
      </c>
      <c r="R86" s="3605">
        <v>0</v>
      </c>
      <c r="S86" s="1881"/>
      <c r="T86" s="1846">
        <f t="shared" si="18"/>
        <v>0</v>
      </c>
    </row>
    <row r="87" spans="1:20" s="257" customFormat="1" ht="15.05" hidden="1" customHeight="1">
      <c r="A87" s="1855"/>
      <c r="B87" s="1855"/>
      <c r="C87" s="1855"/>
      <c r="D87" s="1855"/>
      <c r="E87" s="1855"/>
      <c r="F87" s="1863"/>
      <c r="G87" s="2727" t="s">
        <v>50</v>
      </c>
      <c r="H87" s="200" t="s">
        <v>510</v>
      </c>
      <c r="I87" s="217"/>
      <c r="J87" s="3171"/>
      <c r="K87" s="3171"/>
      <c r="L87" s="3125">
        <v>0</v>
      </c>
      <c r="M87" s="3124">
        <v>0</v>
      </c>
      <c r="N87" s="3125">
        <v>0</v>
      </c>
      <c r="O87" s="3125">
        <v>0</v>
      </c>
      <c r="P87" s="3125">
        <v>0</v>
      </c>
      <c r="Q87" s="3125">
        <f t="shared" si="14"/>
        <v>0</v>
      </c>
      <c r="R87" s="3605">
        <v>0</v>
      </c>
      <c r="S87" s="1881"/>
      <c r="T87" s="1846">
        <f t="shared" si="18"/>
        <v>0</v>
      </c>
    </row>
    <row r="88" spans="1:20" s="257" customFormat="1" ht="15.05" hidden="1" customHeight="1">
      <c r="A88" s="1855"/>
      <c r="B88" s="1855"/>
      <c r="C88" s="1855"/>
      <c r="D88" s="1855"/>
      <c r="E88" s="1855"/>
      <c r="F88" s="1863"/>
      <c r="G88" s="2727" t="s">
        <v>50</v>
      </c>
      <c r="H88" s="200" t="s">
        <v>511</v>
      </c>
      <c r="I88" s="217"/>
      <c r="J88" s="3171"/>
      <c r="K88" s="3171"/>
      <c r="L88" s="3125">
        <v>0</v>
      </c>
      <c r="M88" s="3124">
        <v>0</v>
      </c>
      <c r="N88" s="3125">
        <v>0</v>
      </c>
      <c r="O88" s="3125">
        <v>0</v>
      </c>
      <c r="P88" s="3125">
        <v>0</v>
      </c>
      <c r="Q88" s="3125">
        <f t="shared" si="14"/>
        <v>0</v>
      </c>
      <c r="R88" s="3605">
        <v>0</v>
      </c>
      <c r="S88" s="1881"/>
      <c r="T88" s="1846">
        <f t="shared" si="18"/>
        <v>0</v>
      </c>
    </row>
    <row r="89" spans="1:20" s="257" customFormat="1" ht="15.05" hidden="1" customHeight="1">
      <c r="A89" s="1855"/>
      <c r="B89" s="1855"/>
      <c r="C89" s="1855"/>
      <c r="D89" s="1855"/>
      <c r="E89" s="1855"/>
      <c r="F89" s="1863"/>
      <c r="G89" s="2727" t="s">
        <v>50</v>
      </c>
      <c r="H89" s="200" t="s">
        <v>512</v>
      </c>
      <c r="I89" s="217"/>
      <c r="J89" s="3171"/>
      <c r="K89" s="3171"/>
      <c r="L89" s="3125">
        <v>0</v>
      </c>
      <c r="M89" s="3124">
        <v>0</v>
      </c>
      <c r="N89" s="3125">
        <v>0</v>
      </c>
      <c r="O89" s="3125">
        <v>0</v>
      </c>
      <c r="P89" s="3125">
        <v>0</v>
      </c>
      <c r="Q89" s="3125">
        <f t="shared" si="14"/>
        <v>0</v>
      </c>
      <c r="R89" s="3605">
        <v>0</v>
      </c>
      <c r="S89" s="1881"/>
      <c r="T89" s="1846">
        <f t="shared" si="18"/>
        <v>0</v>
      </c>
    </row>
    <row r="90" spans="1:20" s="257" customFormat="1" ht="15.05" hidden="1" customHeight="1">
      <c r="A90" s="1855"/>
      <c r="B90" s="1855"/>
      <c r="C90" s="1855"/>
      <c r="D90" s="1855"/>
      <c r="E90" s="1855"/>
      <c r="F90" s="2757" t="s">
        <v>50</v>
      </c>
      <c r="G90" s="202"/>
      <c r="H90" s="200" t="s">
        <v>513</v>
      </c>
      <c r="I90" s="217"/>
      <c r="J90" s="3171"/>
      <c r="K90" s="3171"/>
      <c r="L90" s="3125">
        <v>0</v>
      </c>
      <c r="M90" s="3124">
        <v>0</v>
      </c>
      <c r="N90" s="3125">
        <v>0</v>
      </c>
      <c r="O90" s="3125">
        <v>0</v>
      </c>
      <c r="P90" s="3125">
        <v>0</v>
      </c>
      <c r="Q90" s="3125">
        <f t="shared" si="14"/>
        <v>0</v>
      </c>
      <c r="R90" s="3605">
        <v>0</v>
      </c>
      <c r="S90" s="1881"/>
      <c r="T90" s="1846">
        <f t="shared" si="18"/>
        <v>0</v>
      </c>
    </row>
    <row r="91" spans="1:20" s="257" customFormat="1" ht="15.05" hidden="1" customHeight="1">
      <c r="A91" s="1855"/>
      <c r="B91" s="1855"/>
      <c r="C91" s="1855"/>
      <c r="D91" s="1855"/>
      <c r="E91" s="1855"/>
      <c r="F91" s="2757" t="s">
        <v>50</v>
      </c>
      <c r="G91" s="202"/>
      <c r="H91" s="200" t="s">
        <v>514</v>
      </c>
      <c r="I91" s="217"/>
      <c r="J91" s="3171"/>
      <c r="K91" s="3171"/>
      <c r="L91" s="3125">
        <v>0</v>
      </c>
      <c r="M91" s="3124">
        <v>0</v>
      </c>
      <c r="N91" s="3125">
        <v>0</v>
      </c>
      <c r="O91" s="3125">
        <v>0</v>
      </c>
      <c r="P91" s="3125">
        <v>0</v>
      </c>
      <c r="Q91" s="3125">
        <f t="shared" si="14"/>
        <v>0</v>
      </c>
      <c r="R91" s="3605">
        <v>0</v>
      </c>
      <c r="S91" s="1881"/>
      <c r="T91" s="1846">
        <f t="shared" si="18"/>
        <v>0</v>
      </c>
    </row>
    <row r="92" spans="1:20" s="257" customFormat="1" ht="15.05" hidden="1" customHeight="1">
      <c r="A92" s="1855"/>
      <c r="B92" s="1855"/>
      <c r="C92" s="1855"/>
      <c r="D92" s="1855"/>
      <c r="E92" s="1855"/>
      <c r="F92" s="2757" t="s">
        <v>50</v>
      </c>
      <c r="G92" s="202"/>
      <c r="H92" s="202" t="s">
        <v>515</v>
      </c>
      <c r="I92" s="218"/>
      <c r="J92" s="3123"/>
      <c r="K92" s="3123"/>
      <c r="L92" s="3182">
        <v>0</v>
      </c>
      <c r="M92" s="3183">
        <v>0</v>
      </c>
      <c r="N92" s="3182">
        <v>0</v>
      </c>
      <c r="O92" s="3182">
        <v>0</v>
      </c>
      <c r="P92" s="3182">
        <v>0</v>
      </c>
      <c r="Q92" s="3182">
        <f t="shared" ref="Q92:Q105" si="20">+P92-L92</f>
        <v>0</v>
      </c>
      <c r="R92" s="3601">
        <v>0</v>
      </c>
      <c r="S92" s="1897">
        <v>0</v>
      </c>
      <c r="T92" s="1846">
        <f t="shared" ref="T92:T105" si="21">O92*4</f>
        <v>0</v>
      </c>
    </row>
    <row r="93" spans="1:20" s="1318" customFormat="1" ht="15.05" customHeight="1">
      <c r="A93" s="1854"/>
      <c r="B93" s="1854"/>
      <c r="C93" s="1854"/>
      <c r="D93" s="1854"/>
      <c r="E93" s="1854"/>
      <c r="F93" s="1464" t="s">
        <v>516</v>
      </c>
      <c r="G93" s="1860"/>
      <c r="H93" s="202"/>
      <c r="I93" s="218"/>
      <c r="J93" s="3123">
        <f>J94</f>
        <v>2235631500</v>
      </c>
      <c r="K93" s="3123">
        <f t="shared" ref="K93:P93" si="22">K94</f>
        <v>2302353487</v>
      </c>
      <c r="L93" s="3123">
        <f t="shared" si="22"/>
        <v>2235631500</v>
      </c>
      <c r="M93" s="3123">
        <f t="shared" si="22"/>
        <v>181908726</v>
      </c>
      <c r="N93" s="3123">
        <f t="shared" si="22"/>
        <v>0</v>
      </c>
      <c r="O93" s="3123">
        <f t="shared" si="22"/>
        <v>181908726</v>
      </c>
      <c r="P93" s="3123">
        <f t="shared" si="22"/>
        <v>2235631500</v>
      </c>
      <c r="Q93" s="3182">
        <f t="shared" si="20"/>
        <v>0</v>
      </c>
      <c r="R93" s="3601">
        <f t="shared" ref="R93:R104" si="23">+P93/L93*100-100</f>
        <v>0</v>
      </c>
      <c r="S93" s="1897">
        <v>0</v>
      </c>
      <c r="T93" s="1846">
        <f t="shared" si="21"/>
        <v>727634904</v>
      </c>
    </row>
    <row r="94" spans="1:20" s="2883" customFormat="1" ht="15.05" customHeight="1">
      <c r="A94" s="2875"/>
      <c r="B94" s="2875"/>
      <c r="C94" s="2875"/>
      <c r="D94" s="2875"/>
      <c r="E94" s="2875"/>
      <c r="F94" s="2877" t="s">
        <v>50</v>
      </c>
      <c r="G94" s="2879" t="s">
        <v>517</v>
      </c>
      <c r="I94" s="2880"/>
      <c r="J94" s="3139">
        <f>J95+J99</f>
        <v>2235631500</v>
      </c>
      <c r="K94" s="3139">
        <f t="shared" ref="K94:P94" si="24">K95+K99</f>
        <v>2302353487</v>
      </c>
      <c r="L94" s="3139">
        <f t="shared" si="24"/>
        <v>2235631500</v>
      </c>
      <c r="M94" s="3139">
        <f t="shared" si="24"/>
        <v>181908726</v>
      </c>
      <c r="N94" s="3139">
        <f t="shared" si="24"/>
        <v>0</v>
      </c>
      <c r="O94" s="3139">
        <f t="shared" si="24"/>
        <v>181908726</v>
      </c>
      <c r="P94" s="3139">
        <f t="shared" si="24"/>
        <v>2235631500</v>
      </c>
      <c r="Q94" s="3138">
        <f t="shared" si="20"/>
        <v>0</v>
      </c>
      <c r="R94" s="3605">
        <f t="shared" si="23"/>
        <v>0</v>
      </c>
      <c r="S94" s="2924">
        <f>PerDinas!Q506</f>
        <v>0</v>
      </c>
      <c r="T94" s="2882">
        <f t="shared" si="21"/>
        <v>727634904</v>
      </c>
    </row>
    <row r="95" spans="1:20" s="257" customFormat="1" ht="15.05" customHeight="1">
      <c r="A95" s="1855"/>
      <c r="B95" s="1855"/>
      <c r="C95" s="1855"/>
      <c r="D95" s="1855"/>
      <c r="E95" s="1855"/>
      <c r="F95" s="2879"/>
      <c r="G95" s="202" t="s">
        <v>518</v>
      </c>
      <c r="H95" s="200"/>
      <c r="I95" s="217"/>
      <c r="J95" s="3171">
        <f t="shared" ref="J95:P95" si="25">SUM(J96:J98)</f>
        <v>2075381500</v>
      </c>
      <c r="K95" s="3171">
        <f t="shared" si="25"/>
        <v>2275353487</v>
      </c>
      <c r="L95" s="3171">
        <f t="shared" si="25"/>
        <v>2075381500</v>
      </c>
      <c r="M95" s="3171">
        <f t="shared" si="25"/>
        <v>142158726</v>
      </c>
      <c r="N95" s="3171">
        <f t="shared" si="25"/>
        <v>0</v>
      </c>
      <c r="O95" s="3171">
        <f t="shared" si="25"/>
        <v>142158726</v>
      </c>
      <c r="P95" s="3166">
        <f t="shared" si="25"/>
        <v>2075381500</v>
      </c>
      <c r="Q95" s="3166">
        <f t="shared" si="20"/>
        <v>0</v>
      </c>
      <c r="R95" s="3605">
        <f t="shared" si="23"/>
        <v>0</v>
      </c>
      <c r="S95" s="1876">
        <f>MAR!P358</f>
        <v>0</v>
      </c>
      <c r="T95" s="1846">
        <f t="shared" si="21"/>
        <v>568634904</v>
      </c>
    </row>
    <row r="96" spans="1:20" s="257" customFormat="1" ht="15.05" customHeight="1">
      <c r="A96" s="1855"/>
      <c r="B96" s="1855"/>
      <c r="C96" s="1855"/>
      <c r="D96" s="1855"/>
      <c r="E96" s="1855"/>
      <c r="F96" s="200"/>
      <c r="G96" s="2771" t="s">
        <v>519</v>
      </c>
      <c r="H96" s="200"/>
      <c r="I96" s="217"/>
      <c r="J96" s="3171">
        <v>1043101100</v>
      </c>
      <c r="K96" s="3171">
        <v>885184616</v>
      </c>
      <c r="L96" s="3125">
        <v>1043101100</v>
      </c>
      <c r="M96" s="3124">
        <v>6500000</v>
      </c>
      <c r="N96" s="3125">
        <v>0</v>
      </c>
      <c r="O96" s="3125">
        <v>6500000</v>
      </c>
      <c r="P96" s="3166">
        <v>1043101100</v>
      </c>
      <c r="Q96" s="3166">
        <f t="shared" si="20"/>
        <v>0</v>
      </c>
      <c r="R96" s="3605">
        <f t="shared" si="23"/>
        <v>0</v>
      </c>
      <c r="S96" s="1876">
        <f>MAR!P359</f>
        <v>0</v>
      </c>
      <c r="T96" s="1846">
        <f t="shared" si="21"/>
        <v>26000000</v>
      </c>
    </row>
    <row r="97" spans="1:20" s="257" customFormat="1" ht="15.05" customHeight="1">
      <c r="A97" s="1855"/>
      <c r="B97" s="1855"/>
      <c r="C97" s="1855"/>
      <c r="D97" s="1855"/>
      <c r="E97" s="1855"/>
      <c r="F97" s="200"/>
      <c r="G97" s="2771" t="s">
        <v>520</v>
      </c>
      <c r="H97" s="200"/>
      <c r="I97" s="217"/>
      <c r="J97" s="3171">
        <v>532280400</v>
      </c>
      <c r="K97" s="3171">
        <v>131086220</v>
      </c>
      <c r="L97" s="3125">
        <v>532280400</v>
      </c>
      <c r="M97" s="3124">
        <v>23000000</v>
      </c>
      <c r="N97" s="3125">
        <v>0</v>
      </c>
      <c r="O97" s="3125">
        <v>23000000</v>
      </c>
      <c r="P97" s="3166">
        <v>532280400</v>
      </c>
      <c r="Q97" s="3166">
        <f t="shared" si="20"/>
        <v>0</v>
      </c>
      <c r="R97" s="3605">
        <f t="shared" si="23"/>
        <v>0</v>
      </c>
      <c r="S97" s="1876">
        <f>MAR!P360</f>
        <v>0</v>
      </c>
      <c r="T97" s="1846">
        <f t="shared" si="21"/>
        <v>92000000</v>
      </c>
    </row>
    <row r="98" spans="1:20" s="257" customFormat="1" ht="15.05" customHeight="1">
      <c r="A98" s="1855"/>
      <c r="B98" s="1855"/>
      <c r="C98" s="1855"/>
      <c r="D98" s="1855"/>
      <c r="E98" s="1855"/>
      <c r="F98" s="200"/>
      <c r="G98" s="2771" t="s">
        <v>521</v>
      </c>
      <c r="H98" s="200"/>
      <c r="I98" s="217"/>
      <c r="J98" s="3171">
        <v>500000000</v>
      </c>
      <c r="K98" s="3171">
        <v>1259082651</v>
      </c>
      <c r="L98" s="3125">
        <v>500000000</v>
      </c>
      <c r="M98" s="3124">
        <v>112658726</v>
      </c>
      <c r="N98" s="3125">
        <v>0</v>
      </c>
      <c r="O98" s="3125">
        <v>112658726</v>
      </c>
      <c r="P98" s="3166">
        <v>500000000</v>
      </c>
      <c r="Q98" s="3166">
        <f t="shared" si="20"/>
        <v>0</v>
      </c>
      <c r="R98" s="3605">
        <f t="shared" si="23"/>
        <v>0</v>
      </c>
      <c r="S98" s="1876">
        <f>MAR!P361</f>
        <v>0</v>
      </c>
      <c r="T98" s="1846">
        <f t="shared" si="21"/>
        <v>450634904</v>
      </c>
    </row>
    <row r="99" spans="1:20" s="257" customFormat="1" ht="15.05" customHeight="1">
      <c r="A99" s="1855"/>
      <c r="B99" s="1855"/>
      <c r="C99" s="1855"/>
      <c r="D99" s="1855"/>
      <c r="E99" s="1855"/>
      <c r="F99" s="200"/>
      <c r="G99" s="202" t="s">
        <v>522</v>
      </c>
      <c r="H99" s="200"/>
      <c r="I99" s="217"/>
      <c r="J99" s="3171">
        <f>SUM(J100:J105)</f>
        <v>160250000</v>
      </c>
      <c r="K99" s="3171">
        <v>27000000</v>
      </c>
      <c r="L99" s="3171">
        <f>SUM(L100:L105)</f>
        <v>160250000</v>
      </c>
      <c r="M99" s="3171">
        <f>SUM(M100:M105)</f>
        <v>39750000</v>
      </c>
      <c r="N99" s="3171">
        <f>SUM(N100:N105)</f>
        <v>0</v>
      </c>
      <c r="O99" s="3171">
        <f>SUM(O100:O105)</f>
        <v>39750000</v>
      </c>
      <c r="P99" s="3171">
        <f>SUM(P100:P105)</f>
        <v>160250000</v>
      </c>
      <c r="Q99" s="3166">
        <f t="shared" si="20"/>
        <v>0</v>
      </c>
      <c r="R99" s="3605">
        <f t="shared" si="23"/>
        <v>0</v>
      </c>
      <c r="S99" s="1884"/>
      <c r="T99" s="1846">
        <f t="shared" si="21"/>
        <v>159000000</v>
      </c>
    </row>
    <row r="100" spans="1:20" s="257" customFormat="1" ht="15.05" customHeight="1">
      <c r="A100" s="1855"/>
      <c r="B100" s="1855"/>
      <c r="C100" s="1855"/>
      <c r="D100" s="1855"/>
      <c r="E100" s="1855"/>
      <c r="F100" s="200"/>
      <c r="G100" s="2772" t="s">
        <v>187</v>
      </c>
      <c r="H100" s="200"/>
      <c r="I100" s="217"/>
      <c r="J100" s="3188">
        <v>35000000</v>
      </c>
      <c r="K100" s="3171">
        <v>0</v>
      </c>
      <c r="L100" s="3125">
        <v>35000000</v>
      </c>
      <c r="M100" s="3124">
        <v>22500000</v>
      </c>
      <c r="N100" s="3125">
        <v>0</v>
      </c>
      <c r="O100" s="3125">
        <v>22500000</v>
      </c>
      <c r="P100" s="3125">
        <v>35000000</v>
      </c>
      <c r="Q100" s="3125">
        <f t="shared" si="20"/>
        <v>0</v>
      </c>
      <c r="R100" s="3605">
        <f t="shared" si="23"/>
        <v>0</v>
      </c>
      <c r="S100" s="1876">
        <f>MAR!P363</f>
        <v>0</v>
      </c>
      <c r="T100" s="1846">
        <f t="shared" si="21"/>
        <v>90000000</v>
      </c>
    </row>
    <row r="101" spans="1:20" s="257" customFormat="1" ht="15.05" customHeight="1">
      <c r="A101" s="1855"/>
      <c r="B101" s="1855"/>
      <c r="C101" s="1855"/>
      <c r="D101" s="1855"/>
      <c r="E101" s="1855"/>
      <c r="F101" s="200"/>
      <c r="G101" s="2772" t="s">
        <v>188</v>
      </c>
      <c r="H101" s="200"/>
      <c r="I101" s="217"/>
      <c r="J101" s="3188">
        <v>28000000</v>
      </c>
      <c r="K101" s="3171">
        <v>0</v>
      </c>
      <c r="L101" s="3125">
        <v>28000000</v>
      </c>
      <c r="M101" s="3124">
        <v>0</v>
      </c>
      <c r="N101" s="3125">
        <v>0</v>
      </c>
      <c r="O101" s="3125">
        <v>0</v>
      </c>
      <c r="P101" s="3125">
        <v>28000000</v>
      </c>
      <c r="Q101" s="3125">
        <f t="shared" si="20"/>
        <v>0</v>
      </c>
      <c r="R101" s="3605">
        <f t="shared" si="23"/>
        <v>0</v>
      </c>
      <c r="S101" s="1876">
        <f>MAR!P364</f>
        <v>0</v>
      </c>
      <c r="T101" s="1846">
        <f t="shared" si="21"/>
        <v>0</v>
      </c>
    </row>
    <row r="102" spans="1:20" s="257" customFormat="1" ht="15.05" customHeight="1">
      <c r="A102" s="1855"/>
      <c r="B102" s="1855"/>
      <c r="C102" s="1855"/>
      <c r="D102" s="1855"/>
      <c r="E102" s="1855"/>
      <c r="F102" s="200"/>
      <c r="G102" s="2772" t="s">
        <v>189</v>
      </c>
      <c r="H102" s="200"/>
      <c r="I102" s="217"/>
      <c r="J102" s="3188">
        <v>17250000</v>
      </c>
      <c r="K102" s="3171">
        <v>0</v>
      </c>
      <c r="L102" s="3125">
        <v>17250000</v>
      </c>
      <c r="M102" s="3124">
        <v>17250000</v>
      </c>
      <c r="N102" s="3125">
        <v>0</v>
      </c>
      <c r="O102" s="3125">
        <v>17250000</v>
      </c>
      <c r="P102" s="3125">
        <v>17250000</v>
      </c>
      <c r="Q102" s="3125">
        <f t="shared" si="20"/>
        <v>0</v>
      </c>
      <c r="R102" s="3605">
        <f t="shared" si="23"/>
        <v>0</v>
      </c>
      <c r="S102" s="1876">
        <f>MAR!P365</f>
        <v>0</v>
      </c>
      <c r="T102" s="1846">
        <f t="shared" si="21"/>
        <v>69000000</v>
      </c>
    </row>
    <row r="103" spans="1:20" s="257" customFormat="1" ht="15.05" customHeight="1">
      <c r="A103" s="1855"/>
      <c r="B103" s="1855"/>
      <c r="C103" s="1855"/>
      <c r="D103" s="1855"/>
      <c r="E103" s="1855"/>
      <c r="F103" s="202"/>
      <c r="G103" s="2772" t="s">
        <v>190</v>
      </c>
      <c r="H103" s="200"/>
      <c r="I103" s="217"/>
      <c r="J103" s="3188">
        <v>30000000</v>
      </c>
      <c r="K103" s="3171">
        <v>0</v>
      </c>
      <c r="L103" s="3125">
        <v>30000000</v>
      </c>
      <c r="M103" s="3124">
        <v>0</v>
      </c>
      <c r="N103" s="3125">
        <v>0</v>
      </c>
      <c r="O103" s="3125">
        <v>0</v>
      </c>
      <c r="P103" s="3125">
        <v>30000000</v>
      </c>
      <c r="Q103" s="3125">
        <f t="shared" si="20"/>
        <v>0</v>
      </c>
      <c r="R103" s="3605">
        <f t="shared" si="23"/>
        <v>0</v>
      </c>
      <c r="S103" s="1876">
        <f>MAR!P366</f>
        <v>0</v>
      </c>
      <c r="T103" s="1846">
        <f t="shared" si="21"/>
        <v>0</v>
      </c>
    </row>
    <row r="104" spans="1:20" s="257" customFormat="1" ht="15.05" customHeight="1">
      <c r="A104" s="1855"/>
      <c r="B104" s="1855"/>
      <c r="C104" s="1855"/>
      <c r="D104" s="1855"/>
      <c r="E104" s="1855"/>
      <c r="F104" s="202"/>
      <c r="G104" s="2772" t="s">
        <v>191</v>
      </c>
      <c r="H104" s="200"/>
      <c r="I104" s="217"/>
      <c r="J104" s="3188">
        <v>50000000</v>
      </c>
      <c r="K104" s="3171">
        <v>0</v>
      </c>
      <c r="L104" s="3125">
        <v>50000000</v>
      </c>
      <c r="M104" s="3124">
        <v>0</v>
      </c>
      <c r="N104" s="3125">
        <v>0</v>
      </c>
      <c r="O104" s="3125">
        <v>0</v>
      </c>
      <c r="P104" s="3125">
        <v>50000000</v>
      </c>
      <c r="Q104" s="3125">
        <f t="shared" si="20"/>
        <v>0</v>
      </c>
      <c r="R104" s="3605">
        <f t="shared" si="23"/>
        <v>0</v>
      </c>
      <c r="S104" s="1876">
        <f>MAR!P367</f>
        <v>0</v>
      </c>
      <c r="T104" s="1846">
        <f t="shared" si="21"/>
        <v>0</v>
      </c>
    </row>
    <row r="105" spans="1:20" s="257" customFormat="1" ht="15.05" customHeight="1">
      <c r="A105" s="1855"/>
      <c r="B105" s="1855"/>
      <c r="C105" s="1855"/>
      <c r="D105" s="1855"/>
      <c r="E105" s="1855"/>
      <c r="F105" s="200"/>
      <c r="G105" s="847" t="s">
        <v>192</v>
      </c>
      <c r="H105" s="200"/>
      <c r="I105" s="217"/>
      <c r="J105" s="3171"/>
      <c r="K105" s="3171"/>
      <c r="L105" s="3125">
        <v>0</v>
      </c>
      <c r="M105" s="3124">
        <v>0</v>
      </c>
      <c r="N105" s="3125">
        <v>0</v>
      </c>
      <c r="O105" s="3125">
        <v>0</v>
      </c>
      <c r="P105" s="3125">
        <v>0</v>
      </c>
      <c r="Q105" s="3125">
        <f t="shared" si="20"/>
        <v>0</v>
      </c>
      <c r="R105" s="3605">
        <v>0</v>
      </c>
      <c r="S105" s="1876">
        <f>MAR!P368</f>
        <v>0</v>
      </c>
      <c r="T105" s="1846">
        <f t="shared" si="21"/>
        <v>0</v>
      </c>
    </row>
    <row r="106" spans="1:20" s="257" customFormat="1" ht="15.05" customHeight="1">
      <c r="A106" s="1855"/>
      <c r="B106" s="1855"/>
      <c r="C106" s="1855"/>
      <c r="D106" s="1855"/>
      <c r="E106" s="1855"/>
      <c r="F106" s="200"/>
      <c r="G106" s="847"/>
      <c r="H106" s="200"/>
      <c r="I106" s="217"/>
      <c r="J106" s="3171"/>
      <c r="K106" s="3171"/>
      <c r="L106" s="3125"/>
      <c r="M106" s="3124"/>
      <c r="N106" s="3189"/>
      <c r="O106" s="3125"/>
      <c r="P106" s="3125"/>
      <c r="Q106" s="3125"/>
      <c r="R106" s="3605"/>
      <c r="S106" s="1884"/>
      <c r="T106" s="1846"/>
    </row>
    <row r="107" spans="1:20" s="257" customFormat="1" ht="15.05" hidden="1" customHeight="1">
      <c r="A107" s="1855"/>
      <c r="B107" s="1855"/>
      <c r="C107" s="1855"/>
      <c r="D107" s="1855"/>
      <c r="E107" s="1855"/>
      <c r="F107" s="1856" t="s">
        <v>411</v>
      </c>
      <c r="G107" s="847"/>
      <c r="H107" s="200"/>
      <c r="I107" s="217"/>
      <c r="J107" s="3171"/>
      <c r="K107" s="3171"/>
      <c r="L107" s="3125"/>
      <c r="M107" s="3190">
        <v>9495000</v>
      </c>
      <c r="N107" s="3191">
        <v>15445000</v>
      </c>
      <c r="O107" s="3128">
        <v>24940000</v>
      </c>
      <c r="P107" s="3128">
        <f>+P108</f>
        <v>75000000</v>
      </c>
      <c r="Q107" s="3128">
        <f>+P107-L107</f>
        <v>75000000</v>
      </c>
      <c r="R107" s="3605">
        <v>0</v>
      </c>
      <c r="S107" s="1884"/>
      <c r="T107" s="1846">
        <f t="shared" ref="T107:T139" si="26">O107*4</f>
        <v>99760000</v>
      </c>
    </row>
    <row r="108" spans="1:20" s="257" customFormat="1" ht="15.05" hidden="1" customHeight="1">
      <c r="A108" s="1855"/>
      <c r="B108" s="1855"/>
      <c r="C108" s="1855"/>
      <c r="D108" s="1855"/>
      <c r="E108" s="1855"/>
      <c r="F108" s="2744" t="s">
        <v>50</v>
      </c>
      <c r="G108" s="224" t="s">
        <v>413</v>
      </c>
      <c r="H108" s="200"/>
      <c r="I108" s="217"/>
      <c r="J108" s="3171"/>
      <c r="K108" s="3171"/>
      <c r="L108" s="3125"/>
      <c r="M108" s="3190">
        <v>9495000</v>
      </c>
      <c r="N108" s="3192">
        <v>15445000</v>
      </c>
      <c r="O108" s="3165">
        <v>24940000</v>
      </c>
      <c r="P108" s="3165">
        <v>75000000</v>
      </c>
      <c r="Q108" s="3165">
        <f>+P108-L108</f>
        <v>75000000</v>
      </c>
      <c r="R108" s="3605">
        <v>0</v>
      </c>
      <c r="S108" s="1884"/>
      <c r="T108" s="1846">
        <f t="shared" si="26"/>
        <v>99760000</v>
      </c>
    </row>
    <row r="109" spans="1:20" s="257" customFormat="1" ht="15.05" hidden="1" customHeight="1">
      <c r="A109" s="1855"/>
      <c r="B109" s="1855"/>
      <c r="C109" s="1855"/>
      <c r="D109" s="1855"/>
      <c r="E109" s="1855"/>
      <c r="F109" s="1857"/>
      <c r="G109" s="1858"/>
      <c r="H109" s="200"/>
      <c r="I109" s="217"/>
      <c r="J109" s="3171"/>
      <c r="K109" s="3171"/>
      <c r="L109" s="3125"/>
      <c r="M109" s="3124"/>
      <c r="N109" s="3125"/>
      <c r="O109" s="3125"/>
      <c r="P109" s="3125"/>
      <c r="Q109" s="3125"/>
      <c r="R109" s="3605"/>
      <c r="S109" s="1884"/>
      <c r="T109" s="1846">
        <f t="shared" si="26"/>
        <v>0</v>
      </c>
    </row>
    <row r="110" spans="1:20" s="1318" customFormat="1" ht="15.05" customHeight="1">
      <c r="A110" s="1854"/>
      <c r="B110" s="1854"/>
      <c r="C110" s="1854"/>
      <c r="D110" s="1854"/>
      <c r="E110" s="1854"/>
      <c r="F110" s="2825" t="s">
        <v>523</v>
      </c>
      <c r="G110" s="1860"/>
      <c r="H110" s="202"/>
      <c r="I110" s="218"/>
      <c r="J110" s="3123">
        <f>SUM(J111:J112)</f>
        <v>0</v>
      </c>
      <c r="K110" s="3123">
        <f t="shared" ref="K110:P110" si="27">SUM(K111:K112)</f>
        <v>10063750</v>
      </c>
      <c r="L110" s="3123">
        <f t="shared" si="27"/>
        <v>0</v>
      </c>
      <c r="M110" s="3123">
        <f t="shared" si="27"/>
        <v>0</v>
      </c>
      <c r="N110" s="3123">
        <f t="shared" si="27"/>
        <v>0</v>
      </c>
      <c r="O110" s="3123">
        <f t="shared" si="27"/>
        <v>0</v>
      </c>
      <c r="P110" s="3123">
        <f t="shared" si="27"/>
        <v>0</v>
      </c>
      <c r="Q110" s="3182">
        <f t="shared" ref="Q110:Q134" si="28">+P110-L110</f>
        <v>0</v>
      </c>
      <c r="R110" s="3601">
        <v>0</v>
      </c>
      <c r="S110" s="1883"/>
      <c r="T110" s="1846">
        <f t="shared" si="26"/>
        <v>0</v>
      </c>
    </row>
    <row r="111" spans="1:20" s="257" customFormat="1" ht="15.05" customHeight="1">
      <c r="A111" s="1855"/>
      <c r="B111" s="1855"/>
      <c r="C111" s="1855"/>
      <c r="D111" s="1855"/>
      <c r="E111" s="1855"/>
      <c r="F111" s="1857" t="s">
        <v>50</v>
      </c>
      <c r="G111" s="1858"/>
      <c r="H111" s="200" t="s">
        <v>524</v>
      </c>
      <c r="I111" s="217"/>
      <c r="J111" s="3171">
        <v>0</v>
      </c>
      <c r="K111" s="3171">
        <v>0</v>
      </c>
      <c r="L111" s="3125"/>
      <c r="M111" s="3124"/>
      <c r="N111" s="3125"/>
      <c r="O111" s="3125"/>
      <c r="P111" s="3125"/>
      <c r="Q111" s="3125">
        <f t="shared" si="28"/>
        <v>0</v>
      </c>
      <c r="R111" s="3605">
        <v>0</v>
      </c>
      <c r="S111" s="1881"/>
      <c r="T111" s="1846">
        <f t="shared" si="26"/>
        <v>0</v>
      </c>
    </row>
    <row r="112" spans="1:20" s="257" customFormat="1" ht="15.05" customHeight="1">
      <c r="A112" s="1855"/>
      <c r="B112" s="1855"/>
      <c r="C112" s="1855"/>
      <c r="D112" s="1855"/>
      <c r="E112" s="1855"/>
      <c r="F112" s="1857" t="s">
        <v>50</v>
      </c>
      <c r="G112" s="1858"/>
      <c r="H112" s="200" t="s">
        <v>525</v>
      </c>
      <c r="I112" s="217"/>
      <c r="J112" s="3171">
        <v>0</v>
      </c>
      <c r="K112" s="3171">
        <v>10063750</v>
      </c>
      <c r="L112" s="3125"/>
      <c r="M112" s="3124"/>
      <c r="N112" s="3125"/>
      <c r="O112" s="3125"/>
      <c r="P112" s="3125"/>
      <c r="Q112" s="3125">
        <f t="shared" si="28"/>
        <v>0</v>
      </c>
      <c r="R112" s="3605">
        <v>0</v>
      </c>
      <c r="S112" s="1881"/>
      <c r="T112" s="1846">
        <f t="shared" si="26"/>
        <v>0</v>
      </c>
    </row>
    <row r="113" spans="1:20" s="1318" customFormat="1" ht="15.05" customHeight="1">
      <c r="A113" s="1854"/>
      <c r="B113" s="1854"/>
      <c r="C113" s="1854"/>
      <c r="D113" s="1854"/>
      <c r="E113" s="1854"/>
      <c r="F113" s="1464" t="s">
        <v>356</v>
      </c>
      <c r="G113" s="1860"/>
      <c r="H113" s="202"/>
      <c r="I113" s="218"/>
      <c r="J113" s="3123">
        <f t="shared" ref="J113:P113" si="29">SUM(J114:J117)</f>
        <v>785500000</v>
      </c>
      <c r="K113" s="3123">
        <f t="shared" si="29"/>
        <v>69752160</v>
      </c>
      <c r="L113" s="3123">
        <f t="shared" si="29"/>
        <v>785500000</v>
      </c>
      <c r="M113" s="3123">
        <f t="shared" si="29"/>
        <v>13303900</v>
      </c>
      <c r="N113" s="3123">
        <f t="shared" si="29"/>
        <v>120000</v>
      </c>
      <c r="O113" s="3123">
        <f t="shared" si="29"/>
        <v>13423900</v>
      </c>
      <c r="P113" s="3182">
        <f t="shared" si="29"/>
        <v>133000000</v>
      </c>
      <c r="Q113" s="3182">
        <f t="shared" si="28"/>
        <v>-652500000</v>
      </c>
      <c r="R113" s="3601">
        <f>+P113/L113*100-100</f>
        <v>-83.068109484404829</v>
      </c>
      <c r="S113" s="1883"/>
      <c r="T113" s="1846">
        <f t="shared" si="26"/>
        <v>53695600</v>
      </c>
    </row>
    <row r="114" spans="1:20" s="257" customFormat="1" ht="15.05" customHeight="1">
      <c r="A114" s="1855"/>
      <c r="B114" s="1855"/>
      <c r="C114" s="1855"/>
      <c r="D114" s="1855"/>
      <c r="E114" s="1855"/>
      <c r="F114" s="1857" t="s">
        <v>50</v>
      </c>
      <c r="G114" s="1858"/>
      <c r="H114" s="200" t="s">
        <v>357</v>
      </c>
      <c r="I114" s="217"/>
      <c r="J114" s="3171">
        <v>40000000</v>
      </c>
      <c r="K114" s="3171">
        <v>31988660</v>
      </c>
      <c r="L114" s="3125">
        <v>40000000</v>
      </c>
      <c r="M114" s="3124">
        <v>7487600</v>
      </c>
      <c r="N114" s="3125">
        <v>0</v>
      </c>
      <c r="O114" s="3125">
        <v>7487600</v>
      </c>
      <c r="P114" s="3125">
        <v>40000000</v>
      </c>
      <c r="Q114" s="3125">
        <f t="shared" si="28"/>
        <v>0</v>
      </c>
      <c r="R114" s="3605">
        <f>+P114/L114*100-100</f>
        <v>0</v>
      </c>
      <c r="S114" s="1876">
        <f>MAR!P643</f>
        <v>0</v>
      </c>
      <c r="T114" s="1846">
        <f t="shared" si="26"/>
        <v>29950400</v>
      </c>
    </row>
    <row r="115" spans="1:20" s="257" customFormat="1" ht="15.05" customHeight="1">
      <c r="A115" s="1855"/>
      <c r="B115" s="1855"/>
      <c r="C115" s="1855"/>
      <c r="D115" s="1855"/>
      <c r="E115" s="1855"/>
      <c r="F115" s="1857" t="s">
        <v>50</v>
      </c>
      <c r="G115" s="1858"/>
      <c r="H115" s="200" t="s">
        <v>526</v>
      </c>
      <c r="I115" s="217"/>
      <c r="J115" s="3171">
        <v>23000000</v>
      </c>
      <c r="K115" s="3171">
        <v>17749500</v>
      </c>
      <c r="L115" s="3125">
        <v>23000000</v>
      </c>
      <c r="M115" s="3124">
        <v>2276300</v>
      </c>
      <c r="N115" s="3125">
        <v>0</v>
      </c>
      <c r="O115" s="3125">
        <v>2276300</v>
      </c>
      <c r="P115" s="3125">
        <v>23000000</v>
      </c>
      <c r="Q115" s="3125">
        <f t="shared" si="28"/>
        <v>0</v>
      </c>
      <c r="R115" s="3605">
        <f>+P115/L115*100-100</f>
        <v>0</v>
      </c>
      <c r="S115" s="1876">
        <f>MAR!P644</f>
        <v>0</v>
      </c>
      <c r="T115" s="1846">
        <f t="shared" si="26"/>
        <v>9105200</v>
      </c>
    </row>
    <row r="116" spans="1:20" s="257" customFormat="1" ht="15.05" customHeight="1">
      <c r="A116" s="1855"/>
      <c r="B116" s="1855"/>
      <c r="C116" s="1855"/>
      <c r="D116" s="1855"/>
      <c r="E116" s="1855"/>
      <c r="F116" s="1857" t="s">
        <v>50</v>
      </c>
      <c r="G116" s="1858"/>
      <c r="H116" s="200" t="s">
        <v>527</v>
      </c>
      <c r="I116" s="217"/>
      <c r="J116" s="3171">
        <v>722500000</v>
      </c>
      <c r="K116" s="3171">
        <v>19497000</v>
      </c>
      <c r="L116" s="3125">
        <v>722500000</v>
      </c>
      <c r="M116" s="3124">
        <v>0</v>
      </c>
      <c r="N116" s="3125">
        <v>120000</v>
      </c>
      <c r="O116" s="3125">
        <v>120000</v>
      </c>
      <c r="P116" s="3125">
        <v>50000000</v>
      </c>
      <c r="Q116" s="3125">
        <f t="shared" si="28"/>
        <v>-672500000</v>
      </c>
      <c r="R116" s="3605">
        <f>+P116/L116*100-100</f>
        <v>-93.079584775086502</v>
      </c>
      <c r="S116" s="1876">
        <f>MAR!P645</f>
        <v>0</v>
      </c>
      <c r="T116" s="1846">
        <f t="shared" si="26"/>
        <v>480000</v>
      </c>
    </row>
    <row r="117" spans="1:20" s="257" customFormat="1" ht="15.05" customHeight="1">
      <c r="A117" s="1855"/>
      <c r="B117" s="1855"/>
      <c r="C117" s="1855"/>
      <c r="D117" s="1855"/>
      <c r="E117" s="1855"/>
      <c r="F117" s="1857" t="s">
        <v>50</v>
      </c>
      <c r="G117" s="1858"/>
      <c r="H117" s="200" t="s">
        <v>360</v>
      </c>
      <c r="I117" s="217"/>
      <c r="J117" s="3171">
        <v>0</v>
      </c>
      <c r="K117" s="3171">
        <v>517000</v>
      </c>
      <c r="L117" s="3125">
        <v>0</v>
      </c>
      <c r="M117" s="3124">
        <v>3540000</v>
      </c>
      <c r="N117" s="3125">
        <v>0</v>
      </c>
      <c r="O117" s="3125">
        <v>3540000</v>
      </c>
      <c r="P117" s="3125">
        <v>20000000</v>
      </c>
      <c r="Q117" s="3125">
        <f t="shared" si="28"/>
        <v>20000000</v>
      </c>
      <c r="R117" s="3605">
        <v>0</v>
      </c>
      <c r="S117" s="1876">
        <f>MAR!P646</f>
        <v>0</v>
      </c>
      <c r="T117" s="1846">
        <f t="shared" si="26"/>
        <v>14160000</v>
      </c>
    </row>
    <row r="118" spans="1:20" s="1318" customFormat="1" ht="15.05" customHeight="1">
      <c r="A118" s="1854"/>
      <c r="B118" s="1854"/>
      <c r="C118" s="1854"/>
      <c r="D118" s="1854"/>
      <c r="E118" s="1854"/>
      <c r="F118" s="1464" t="s">
        <v>528</v>
      </c>
      <c r="G118" s="1860"/>
      <c r="H118" s="202"/>
      <c r="I118" s="218"/>
      <c r="J118" s="3123">
        <f t="shared" ref="J118:P118" si="30">SUM(J119:J127)</f>
        <v>518680000</v>
      </c>
      <c r="K118" s="3123">
        <f t="shared" si="30"/>
        <v>348421200</v>
      </c>
      <c r="L118" s="3123">
        <f t="shared" si="30"/>
        <v>518680000</v>
      </c>
      <c r="M118" s="3123">
        <f t="shared" si="30"/>
        <v>26025000</v>
      </c>
      <c r="N118" s="3123">
        <f t="shared" si="30"/>
        <v>27371000</v>
      </c>
      <c r="O118" s="3123">
        <f t="shared" si="30"/>
        <v>53396000</v>
      </c>
      <c r="P118" s="3182">
        <f t="shared" si="30"/>
        <v>431250000</v>
      </c>
      <c r="Q118" s="3182">
        <f t="shared" si="28"/>
        <v>-87430000</v>
      </c>
      <c r="R118" s="3601">
        <f t="shared" ref="R118:R123" si="31">+P118/L118*100-100</f>
        <v>-16.856250481992745</v>
      </c>
      <c r="S118" s="1883"/>
      <c r="T118" s="1846">
        <f t="shared" si="26"/>
        <v>213584000</v>
      </c>
    </row>
    <row r="119" spans="1:20" s="257" customFormat="1" ht="15.05" customHeight="1">
      <c r="A119" s="1855"/>
      <c r="B119" s="1855"/>
      <c r="C119" s="1855"/>
      <c r="D119" s="1855"/>
      <c r="E119" s="1855"/>
      <c r="F119" s="1857" t="s">
        <v>50</v>
      </c>
      <c r="G119" s="1858"/>
      <c r="H119" s="200" t="s">
        <v>375</v>
      </c>
      <c r="I119" s="217"/>
      <c r="J119" s="3171">
        <v>328430000</v>
      </c>
      <c r="K119" s="3171">
        <v>166841200</v>
      </c>
      <c r="L119" s="3125">
        <v>328430000</v>
      </c>
      <c r="M119" s="3124">
        <v>11650000</v>
      </c>
      <c r="N119" s="3125">
        <v>13471000</v>
      </c>
      <c r="O119" s="3125">
        <v>25121000</v>
      </c>
      <c r="P119" s="3125">
        <v>200000000</v>
      </c>
      <c r="Q119" s="3125">
        <f t="shared" si="28"/>
        <v>-128430000</v>
      </c>
      <c r="R119" s="3605">
        <f t="shared" si="31"/>
        <v>-39.104223122126477</v>
      </c>
      <c r="S119" s="1876">
        <f>MAR!P677</f>
        <v>0</v>
      </c>
      <c r="T119" s="1846">
        <f t="shared" si="26"/>
        <v>100484000</v>
      </c>
    </row>
    <row r="120" spans="1:20" s="257" customFormat="1" ht="15.05" customHeight="1">
      <c r="A120" s="1855"/>
      <c r="B120" s="1855"/>
      <c r="C120" s="1855"/>
      <c r="D120" s="1855"/>
      <c r="E120" s="1855"/>
      <c r="F120" s="1857" t="s">
        <v>50</v>
      </c>
      <c r="G120" s="1858"/>
      <c r="H120" s="200" t="s">
        <v>376</v>
      </c>
      <c r="I120" s="217"/>
      <c r="J120" s="3171">
        <v>15000000</v>
      </c>
      <c r="K120" s="3171">
        <v>16000000</v>
      </c>
      <c r="L120" s="3125">
        <v>15000000</v>
      </c>
      <c r="M120" s="3124">
        <v>2000000</v>
      </c>
      <c r="N120" s="3125">
        <v>0</v>
      </c>
      <c r="O120" s="3125">
        <v>2000000</v>
      </c>
      <c r="P120" s="3125">
        <v>16000000</v>
      </c>
      <c r="Q120" s="3125">
        <f t="shared" si="28"/>
        <v>1000000</v>
      </c>
      <c r="R120" s="3605">
        <f t="shared" si="31"/>
        <v>6.6666666666666714</v>
      </c>
      <c r="S120" s="1876">
        <f>MAR!P678</f>
        <v>0</v>
      </c>
      <c r="T120" s="1846">
        <f t="shared" si="26"/>
        <v>8000000</v>
      </c>
    </row>
    <row r="121" spans="1:20" s="257" customFormat="1" ht="15.05" customHeight="1">
      <c r="A121" s="1855"/>
      <c r="B121" s="1855"/>
      <c r="C121" s="1855"/>
      <c r="D121" s="1855"/>
      <c r="E121" s="1855"/>
      <c r="F121" s="1857" t="s">
        <v>50</v>
      </c>
      <c r="G121" s="1858"/>
      <c r="H121" s="200" t="s">
        <v>377</v>
      </c>
      <c r="I121" s="217"/>
      <c r="J121" s="3171">
        <v>50000000</v>
      </c>
      <c r="K121" s="3171">
        <v>54930000</v>
      </c>
      <c r="L121" s="3125">
        <v>50000000</v>
      </c>
      <c r="M121" s="3124">
        <v>0</v>
      </c>
      <c r="N121" s="3125">
        <v>1500000</v>
      </c>
      <c r="O121" s="3125">
        <v>1500000</v>
      </c>
      <c r="P121" s="3125">
        <v>55000000</v>
      </c>
      <c r="Q121" s="3125">
        <f t="shared" si="28"/>
        <v>5000000</v>
      </c>
      <c r="R121" s="3605">
        <f t="shared" si="31"/>
        <v>10.000000000000014</v>
      </c>
      <c r="S121" s="1876">
        <f>MAR!P679</f>
        <v>0</v>
      </c>
      <c r="T121" s="1846">
        <f t="shared" si="26"/>
        <v>6000000</v>
      </c>
    </row>
    <row r="122" spans="1:20" s="257" customFormat="1" ht="15.05" customHeight="1">
      <c r="A122" s="1855"/>
      <c r="B122" s="1855"/>
      <c r="C122" s="1855"/>
      <c r="D122" s="1855"/>
      <c r="E122" s="1855"/>
      <c r="F122" s="1857" t="s">
        <v>50</v>
      </c>
      <c r="G122" s="1858"/>
      <c r="H122" s="200" t="s">
        <v>378</v>
      </c>
      <c r="I122" s="217"/>
      <c r="J122" s="3171">
        <v>40250000</v>
      </c>
      <c r="K122" s="3171">
        <v>33200000</v>
      </c>
      <c r="L122" s="3125">
        <v>40250000</v>
      </c>
      <c r="M122" s="3124">
        <v>1375000</v>
      </c>
      <c r="N122" s="3125">
        <v>0</v>
      </c>
      <c r="O122" s="3125">
        <v>1375000</v>
      </c>
      <c r="P122" s="3125">
        <v>40250000</v>
      </c>
      <c r="Q122" s="3125">
        <f t="shared" si="28"/>
        <v>0</v>
      </c>
      <c r="R122" s="3605">
        <f t="shared" si="31"/>
        <v>0</v>
      </c>
      <c r="S122" s="1876">
        <f>MAR!P680</f>
        <v>0</v>
      </c>
      <c r="T122" s="1846">
        <f t="shared" si="26"/>
        <v>5500000</v>
      </c>
    </row>
    <row r="123" spans="1:20" s="257" customFormat="1" ht="15.05" customHeight="1">
      <c r="A123" s="1855"/>
      <c r="B123" s="1855"/>
      <c r="C123" s="1855"/>
      <c r="D123" s="1855"/>
      <c r="E123" s="1855"/>
      <c r="F123" s="1857" t="s">
        <v>50</v>
      </c>
      <c r="G123" s="1858"/>
      <c r="H123" s="200" t="s">
        <v>379</v>
      </c>
      <c r="I123" s="217"/>
      <c r="J123" s="3171">
        <v>25000000</v>
      </c>
      <c r="K123" s="3171">
        <v>50450000</v>
      </c>
      <c r="L123" s="3125">
        <v>25000000</v>
      </c>
      <c r="M123" s="3124">
        <v>10000000</v>
      </c>
      <c r="N123" s="3125">
        <v>10900000</v>
      </c>
      <c r="O123" s="3125">
        <v>20900000</v>
      </c>
      <c r="P123" s="3125">
        <v>60000000</v>
      </c>
      <c r="Q123" s="3125">
        <f t="shared" si="28"/>
        <v>35000000</v>
      </c>
      <c r="R123" s="3605">
        <f t="shared" si="31"/>
        <v>140</v>
      </c>
      <c r="S123" s="1876">
        <f>MAR!P681</f>
        <v>0</v>
      </c>
      <c r="T123" s="1846">
        <f t="shared" si="26"/>
        <v>83600000</v>
      </c>
    </row>
    <row r="124" spans="1:20" s="257" customFormat="1" ht="15.05" customHeight="1">
      <c r="A124" s="1855"/>
      <c r="B124" s="1855"/>
      <c r="C124" s="1855"/>
      <c r="D124" s="1855"/>
      <c r="E124" s="1855"/>
      <c r="F124" s="1857" t="s">
        <v>50</v>
      </c>
      <c r="G124" s="1858"/>
      <c r="H124" s="200" t="s">
        <v>380</v>
      </c>
      <c r="I124" s="217"/>
      <c r="J124" s="3171">
        <v>0</v>
      </c>
      <c r="K124" s="3171">
        <v>0</v>
      </c>
      <c r="L124" s="3125">
        <v>0</v>
      </c>
      <c r="M124" s="3124">
        <v>0</v>
      </c>
      <c r="N124" s="3125">
        <v>0</v>
      </c>
      <c r="O124" s="3125">
        <v>0</v>
      </c>
      <c r="P124" s="3125">
        <v>0</v>
      </c>
      <c r="Q124" s="3125">
        <f t="shared" si="28"/>
        <v>0</v>
      </c>
      <c r="R124" s="3605">
        <v>0</v>
      </c>
      <c r="S124" s="1876">
        <f>MAR!P682</f>
        <v>0</v>
      </c>
      <c r="T124" s="1846">
        <f t="shared" si="26"/>
        <v>0</v>
      </c>
    </row>
    <row r="125" spans="1:20" s="257" customFormat="1" ht="15.05" customHeight="1">
      <c r="A125" s="1855"/>
      <c r="B125" s="1855"/>
      <c r="C125" s="1855"/>
      <c r="D125" s="1855"/>
      <c r="E125" s="1855"/>
      <c r="F125" s="1857" t="s">
        <v>50</v>
      </c>
      <c r="G125" s="1858"/>
      <c r="H125" s="200" t="s">
        <v>381</v>
      </c>
      <c r="I125" s="217"/>
      <c r="J125" s="3171">
        <v>60000000</v>
      </c>
      <c r="K125" s="3193">
        <v>27000000</v>
      </c>
      <c r="L125" s="3125">
        <v>60000000</v>
      </c>
      <c r="M125" s="3124">
        <v>1000000</v>
      </c>
      <c r="N125" s="3125">
        <v>1500000</v>
      </c>
      <c r="O125" s="3125">
        <v>2500000</v>
      </c>
      <c r="P125" s="3125">
        <v>60000000</v>
      </c>
      <c r="Q125" s="3125">
        <f t="shared" si="28"/>
        <v>0</v>
      </c>
      <c r="R125" s="3605">
        <f>+P125/L125*100-100</f>
        <v>0</v>
      </c>
      <c r="S125" s="1876">
        <f>MAR!P683</f>
        <v>0</v>
      </c>
      <c r="T125" s="1846">
        <f t="shared" si="26"/>
        <v>10000000</v>
      </c>
    </row>
    <row r="126" spans="1:20" s="257" customFormat="1" ht="15.05" customHeight="1">
      <c r="A126" s="1855"/>
      <c r="B126" s="1855"/>
      <c r="C126" s="1855"/>
      <c r="D126" s="1855"/>
      <c r="E126" s="1855"/>
      <c r="F126" s="1857" t="s">
        <v>50</v>
      </c>
      <c r="G126" s="1858"/>
      <c r="H126" s="200" t="s">
        <v>382</v>
      </c>
      <c r="I126" s="217"/>
      <c r="J126" s="3193">
        <v>0</v>
      </c>
      <c r="K126" s="3193">
        <v>0</v>
      </c>
      <c r="L126" s="3125">
        <v>0</v>
      </c>
      <c r="M126" s="3124">
        <v>0</v>
      </c>
      <c r="N126" s="3125">
        <v>0</v>
      </c>
      <c r="O126" s="3125">
        <v>0</v>
      </c>
      <c r="P126" s="3125">
        <v>0</v>
      </c>
      <c r="Q126" s="3125">
        <f t="shared" si="28"/>
        <v>0</v>
      </c>
      <c r="R126" s="3605">
        <v>0</v>
      </c>
      <c r="S126" s="1876">
        <f>MAR!P684</f>
        <v>0</v>
      </c>
      <c r="T126" s="1846">
        <f t="shared" si="26"/>
        <v>0</v>
      </c>
    </row>
    <row r="127" spans="1:20" s="257" customFormat="1" ht="15.05" customHeight="1">
      <c r="A127" s="1855"/>
      <c r="B127" s="1855"/>
      <c r="C127" s="1855"/>
      <c r="D127" s="1855"/>
      <c r="E127" s="1855"/>
      <c r="F127" s="1857" t="s">
        <v>50</v>
      </c>
      <c r="G127" s="1858"/>
      <c r="H127" s="200" t="s">
        <v>383</v>
      </c>
      <c r="I127" s="217"/>
      <c r="J127" s="3193">
        <v>0</v>
      </c>
      <c r="K127" s="3193">
        <v>0</v>
      </c>
      <c r="L127" s="3125">
        <v>0</v>
      </c>
      <c r="M127" s="3124">
        <v>0</v>
      </c>
      <c r="N127" s="3125">
        <v>0</v>
      </c>
      <c r="O127" s="3125">
        <v>0</v>
      </c>
      <c r="P127" s="3125">
        <v>0</v>
      </c>
      <c r="Q127" s="3125">
        <f t="shared" si="28"/>
        <v>0</v>
      </c>
      <c r="R127" s="3605">
        <v>0</v>
      </c>
      <c r="S127" s="1876">
        <f>MAR!P685</f>
        <v>0</v>
      </c>
      <c r="T127" s="1846">
        <f t="shared" si="26"/>
        <v>0</v>
      </c>
    </row>
    <row r="128" spans="1:20" s="1318" customFormat="1" ht="15.05" customHeight="1">
      <c r="A128" s="1854"/>
      <c r="B128" s="1854"/>
      <c r="C128" s="1854"/>
      <c r="D128" s="1854"/>
      <c r="E128" s="1854"/>
      <c r="F128" s="1464" t="s">
        <v>529</v>
      </c>
      <c r="G128" s="1860"/>
      <c r="H128" s="202"/>
      <c r="I128" s="218"/>
      <c r="J128" s="3123">
        <v>0</v>
      </c>
      <c r="K128" s="3123">
        <v>39252000</v>
      </c>
      <c r="L128" s="3182">
        <v>0</v>
      </c>
      <c r="M128" s="3183">
        <v>4765000</v>
      </c>
      <c r="N128" s="3182">
        <v>8895000</v>
      </c>
      <c r="O128" s="3182">
        <v>13660000</v>
      </c>
      <c r="P128" s="3182">
        <f>SUM(P129:P130)</f>
        <v>50000000</v>
      </c>
      <c r="Q128" s="3182">
        <f t="shared" si="28"/>
        <v>50000000</v>
      </c>
      <c r="R128" s="3601">
        <v>0</v>
      </c>
      <c r="S128" s="1883"/>
      <c r="T128" s="1846">
        <f t="shared" si="26"/>
        <v>54640000</v>
      </c>
    </row>
    <row r="129" spans="1:20" s="257" customFormat="1" ht="15.05" customHeight="1">
      <c r="A129" s="1855"/>
      <c r="B129" s="1855"/>
      <c r="C129" s="1855"/>
      <c r="D129" s="1855"/>
      <c r="E129" s="1855"/>
      <c r="F129" s="1857" t="s">
        <v>50</v>
      </c>
      <c r="G129" s="1858"/>
      <c r="H129" s="200" t="s">
        <v>185</v>
      </c>
      <c r="I129" s="217"/>
      <c r="J129" s="3171">
        <v>0</v>
      </c>
      <c r="K129" s="3171"/>
      <c r="L129" s="3125">
        <v>0</v>
      </c>
      <c r="M129" s="3124">
        <v>0</v>
      </c>
      <c r="N129" s="3125">
        <v>0</v>
      </c>
      <c r="O129" s="3125">
        <v>0</v>
      </c>
      <c r="P129" s="3125">
        <v>0</v>
      </c>
      <c r="Q129" s="3125">
        <f t="shared" si="28"/>
        <v>0</v>
      </c>
      <c r="R129" s="3605">
        <v>0</v>
      </c>
      <c r="S129" s="1876">
        <v>0</v>
      </c>
      <c r="T129" s="1846">
        <f t="shared" si="26"/>
        <v>0</v>
      </c>
    </row>
    <row r="130" spans="1:20" s="257" customFormat="1" ht="15.05" customHeight="1">
      <c r="A130" s="1855"/>
      <c r="B130" s="1855"/>
      <c r="C130" s="1855"/>
      <c r="D130" s="1855"/>
      <c r="E130" s="1855"/>
      <c r="F130" s="1857" t="s">
        <v>50</v>
      </c>
      <c r="G130" s="1860"/>
      <c r="H130" s="200" t="s">
        <v>530</v>
      </c>
      <c r="I130" s="218"/>
      <c r="J130" s="3123">
        <v>0</v>
      </c>
      <c r="K130" s="3123"/>
      <c r="L130" s="3125">
        <v>0</v>
      </c>
      <c r="M130" s="3124">
        <v>4765000</v>
      </c>
      <c r="N130" s="3125">
        <v>8895000</v>
      </c>
      <c r="O130" s="3125">
        <v>13660000</v>
      </c>
      <c r="P130" s="3125">
        <v>50000000</v>
      </c>
      <c r="Q130" s="3125">
        <f t="shared" si="28"/>
        <v>50000000</v>
      </c>
      <c r="R130" s="3605">
        <v>0</v>
      </c>
      <c r="S130" s="1876">
        <f>MAR!P217</f>
        <v>0</v>
      </c>
      <c r="T130" s="1846">
        <f t="shared" si="26"/>
        <v>54640000</v>
      </c>
    </row>
    <row r="131" spans="1:20" s="1318" customFormat="1" ht="15.05" customHeight="1">
      <c r="A131" s="1854"/>
      <c r="B131" s="1854"/>
      <c r="C131" s="1854"/>
      <c r="D131" s="1854"/>
      <c r="E131" s="1854"/>
      <c r="F131" s="1464" t="s">
        <v>531</v>
      </c>
      <c r="G131" s="1860"/>
      <c r="H131" s="202"/>
      <c r="I131" s="218"/>
      <c r="J131" s="3123">
        <v>75000000</v>
      </c>
      <c r="K131" s="3123">
        <f>K132</f>
        <v>45800000</v>
      </c>
      <c r="L131" s="3182">
        <f>L132</f>
        <v>90000000</v>
      </c>
      <c r="M131" s="3183">
        <v>0</v>
      </c>
      <c r="N131" s="3182">
        <v>0</v>
      </c>
      <c r="O131" s="3182">
        <v>0</v>
      </c>
      <c r="P131" s="3182">
        <v>90000000</v>
      </c>
      <c r="Q131" s="3182">
        <f t="shared" si="28"/>
        <v>0</v>
      </c>
      <c r="R131" s="3601">
        <f>+P131/L131*100-100</f>
        <v>0</v>
      </c>
      <c r="S131" s="1898"/>
      <c r="T131" s="1846">
        <f t="shared" si="26"/>
        <v>0</v>
      </c>
    </row>
    <row r="132" spans="1:20" s="257" customFormat="1" ht="15.05" customHeight="1">
      <c r="A132" s="1855"/>
      <c r="B132" s="1855"/>
      <c r="C132" s="1855"/>
      <c r="D132" s="1855"/>
      <c r="E132" s="1855"/>
      <c r="F132" s="1857" t="s">
        <v>50</v>
      </c>
      <c r="G132" s="2826"/>
      <c r="H132" s="200" t="s">
        <v>532</v>
      </c>
      <c r="I132" s="217"/>
      <c r="J132" s="3171"/>
      <c r="K132" s="3171">
        <v>45800000</v>
      </c>
      <c r="L132" s="3125">
        <v>90000000</v>
      </c>
      <c r="M132" s="3124">
        <v>0</v>
      </c>
      <c r="N132" s="3125">
        <v>0</v>
      </c>
      <c r="O132" s="3125">
        <v>0</v>
      </c>
      <c r="P132" s="3125">
        <v>90000000</v>
      </c>
      <c r="Q132" s="3125">
        <f t="shared" si="28"/>
        <v>0</v>
      </c>
      <c r="R132" s="3605">
        <f>+P132/L132*100-100</f>
        <v>0</v>
      </c>
      <c r="S132" s="1876">
        <f>MAR!P80</f>
        <v>0</v>
      </c>
      <c r="T132" s="1846">
        <f t="shared" si="26"/>
        <v>0</v>
      </c>
    </row>
    <row r="133" spans="1:20" s="1318" customFormat="1" ht="15.05" hidden="1" customHeight="1">
      <c r="A133" s="1885" t="s">
        <v>443</v>
      </c>
      <c r="B133" s="1885">
        <v>1</v>
      </c>
      <c r="C133" s="1885">
        <v>2</v>
      </c>
      <c r="D133" s="1885" t="s">
        <v>438</v>
      </c>
      <c r="E133" s="1885"/>
      <c r="F133" s="1856" t="str">
        <f>MAR!H169</f>
        <v>DINAS LINGKUNGAN HIDUP DAN KEHUTANAN</v>
      </c>
      <c r="G133" s="1860"/>
      <c r="H133" s="202"/>
      <c r="I133" s="218"/>
      <c r="J133" s="3123"/>
      <c r="K133" s="3123"/>
      <c r="L133" s="3182">
        <v>0</v>
      </c>
      <c r="M133" s="3183">
        <v>72425000</v>
      </c>
      <c r="N133" s="3182">
        <v>0</v>
      </c>
      <c r="O133" s="3182">
        <v>72425000</v>
      </c>
      <c r="P133" s="3182">
        <f>P134</f>
        <v>300000000</v>
      </c>
      <c r="Q133" s="3182">
        <f t="shared" si="28"/>
        <v>300000000</v>
      </c>
      <c r="R133" s="3601">
        <v>0</v>
      </c>
      <c r="S133" s="1898"/>
      <c r="T133" s="1846">
        <f t="shared" si="26"/>
        <v>289700000</v>
      </c>
    </row>
    <row r="134" spans="1:20" s="257" customFormat="1" ht="15.05" hidden="1" customHeight="1">
      <c r="A134" s="3592">
        <v>4</v>
      </c>
      <c r="B134" s="3592">
        <v>1</v>
      </c>
      <c r="C134" s="3592">
        <v>2</v>
      </c>
      <c r="D134" s="3592" t="s">
        <v>438</v>
      </c>
      <c r="E134" s="1885" t="s">
        <v>440</v>
      </c>
      <c r="F134" s="2214" t="str">
        <f>MAR!I173</f>
        <v>- TEMPAT WISATA DAN OLAH RAGA</v>
      </c>
      <c r="G134" s="200"/>
      <c r="H134" s="200"/>
      <c r="I134" s="217"/>
      <c r="J134" s="3171"/>
      <c r="K134" s="3171"/>
      <c r="L134" s="3125">
        <v>0</v>
      </c>
      <c r="M134" s="3124">
        <v>72425000</v>
      </c>
      <c r="N134" s="3125">
        <v>0</v>
      </c>
      <c r="O134" s="3125">
        <v>72425000</v>
      </c>
      <c r="P134" s="3125">
        <v>300000000</v>
      </c>
      <c r="Q134" s="3125">
        <f t="shared" si="28"/>
        <v>300000000</v>
      </c>
      <c r="R134" s="3605">
        <v>0</v>
      </c>
      <c r="S134" s="1876">
        <f>MAR!P618</f>
        <v>0</v>
      </c>
      <c r="T134" s="1846">
        <f t="shared" si="26"/>
        <v>289700000</v>
      </c>
    </row>
    <row r="135" spans="1:20" s="2920" customFormat="1" ht="15.05" customHeight="1">
      <c r="A135" s="3593"/>
      <c r="B135" s="3594"/>
      <c r="C135" s="3594"/>
      <c r="D135" s="3594"/>
      <c r="E135" s="3457"/>
      <c r="F135" s="3458" t="s">
        <v>1189</v>
      </c>
      <c r="G135" s="3459"/>
      <c r="H135" s="3459"/>
      <c r="I135" s="3460"/>
      <c r="J135" s="3461"/>
      <c r="K135" s="3461">
        <v>12450000</v>
      </c>
      <c r="L135" s="3291"/>
      <c r="M135" s="3462"/>
      <c r="N135" s="3291"/>
      <c r="O135" s="3291"/>
      <c r="P135" s="3291"/>
      <c r="Q135" s="3291"/>
      <c r="R135" s="3606"/>
      <c r="S135" s="3463"/>
      <c r="T135" s="2923"/>
    </row>
    <row r="136" spans="1:20" s="257" customFormat="1" ht="15.05" customHeight="1">
      <c r="A136" s="1886"/>
      <c r="B136" s="1886"/>
      <c r="C136" s="1886"/>
      <c r="D136" s="1886"/>
      <c r="E136" s="1886"/>
      <c r="F136" s="3456" t="s">
        <v>50</v>
      </c>
      <c r="G136" s="1888"/>
      <c r="H136" s="3455" t="s">
        <v>1190</v>
      </c>
      <c r="I136" s="1894"/>
      <c r="J136" s="3173"/>
      <c r="K136" s="3173">
        <v>12450000</v>
      </c>
      <c r="L136" s="3174"/>
      <c r="M136" s="3175">
        <v>0</v>
      </c>
      <c r="N136" s="3174"/>
      <c r="O136" s="3174"/>
      <c r="P136" s="3174"/>
      <c r="Q136" s="3174"/>
      <c r="R136" s="3612"/>
      <c r="S136" s="1899"/>
      <c r="T136" s="1846">
        <f t="shared" si="26"/>
        <v>0</v>
      </c>
    </row>
    <row r="137" spans="1:20" s="2932" customFormat="1" ht="15.05" customHeight="1">
      <c r="A137" s="3060">
        <v>4</v>
      </c>
      <c r="B137" s="3060">
        <v>1</v>
      </c>
      <c r="C137" s="3060">
        <v>2</v>
      </c>
      <c r="D137" s="3060" t="s">
        <v>438</v>
      </c>
      <c r="E137" s="3060" t="s">
        <v>440</v>
      </c>
      <c r="F137" s="3061" t="s">
        <v>304</v>
      </c>
      <c r="G137" s="3061"/>
      <c r="H137" s="3062"/>
      <c r="I137" s="3062"/>
      <c r="J137" s="3195">
        <v>2512125000</v>
      </c>
      <c r="K137" s="3195">
        <f t="shared" ref="K137:P137" si="32">K138+K141+K143+K145+K149+K151+K153</f>
        <v>2733928400</v>
      </c>
      <c r="L137" s="3195">
        <f t="shared" si="32"/>
        <v>2547125000</v>
      </c>
      <c r="M137" s="3195">
        <f t="shared" si="32"/>
        <v>174860000</v>
      </c>
      <c r="N137" s="3195">
        <f t="shared" si="32"/>
        <v>136900000</v>
      </c>
      <c r="O137" s="3195">
        <f t="shared" si="32"/>
        <v>311760000</v>
      </c>
      <c r="P137" s="3195">
        <f t="shared" si="32"/>
        <v>2547125000</v>
      </c>
      <c r="Q137" s="3196">
        <f t="shared" ref="Q137:Q155" si="33">+P137-L137</f>
        <v>0</v>
      </c>
      <c r="R137" s="3614">
        <f t="shared" ref="R137:R146" si="34">+P137/L137*100-100</f>
        <v>0</v>
      </c>
      <c r="S137" s="3063"/>
      <c r="T137" s="2931">
        <f t="shared" si="26"/>
        <v>1247040000</v>
      </c>
    </row>
    <row r="138" spans="1:20" s="257" customFormat="1" ht="15.05" customHeight="1">
      <c r="A138" s="1889"/>
      <c r="B138" s="1889"/>
      <c r="C138" s="1889"/>
      <c r="D138" s="1889"/>
      <c r="E138" s="1889"/>
      <c r="F138" s="2827" t="s">
        <v>62</v>
      </c>
      <c r="G138" s="2828"/>
      <c r="H138" s="212"/>
      <c r="I138" s="225"/>
      <c r="J138" s="3155">
        <f>SUM(J139:J140)</f>
        <v>63500000</v>
      </c>
      <c r="K138" s="3155">
        <f t="shared" ref="K138:P138" si="35">SUM(K139:K140)</f>
        <v>66678400</v>
      </c>
      <c r="L138" s="3155">
        <f t="shared" si="35"/>
        <v>63500000</v>
      </c>
      <c r="M138" s="3155">
        <f t="shared" si="35"/>
        <v>3480000</v>
      </c>
      <c r="N138" s="3155">
        <f t="shared" si="35"/>
        <v>0</v>
      </c>
      <c r="O138" s="3155">
        <f t="shared" si="35"/>
        <v>3480000</v>
      </c>
      <c r="P138" s="3155">
        <f t="shared" si="35"/>
        <v>63500000</v>
      </c>
      <c r="Q138" s="3197">
        <f t="shared" si="33"/>
        <v>0</v>
      </c>
      <c r="R138" s="3608">
        <f t="shared" si="34"/>
        <v>0</v>
      </c>
      <c r="S138" s="1900"/>
      <c r="T138" s="1846">
        <f t="shared" si="26"/>
        <v>13920000</v>
      </c>
    </row>
    <row r="139" spans="1:20" s="257" customFormat="1" ht="15.05" customHeight="1">
      <c r="A139" s="1855"/>
      <c r="B139" s="1855"/>
      <c r="C139" s="1855"/>
      <c r="D139" s="1855"/>
      <c r="E139" s="1855"/>
      <c r="F139" s="1857" t="s">
        <v>50</v>
      </c>
      <c r="G139" s="1858"/>
      <c r="H139" s="200" t="str">
        <f>MAR!I18</f>
        <v>Wisma Seruni</v>
      </c>
      <c r="I139" s="217"/>
      <c r="J139" s="3171">
        <v>60000000</v>
      </c>
      <c r="K139" s="3171">
        <v>66678400</v>
      </c>
      <c r="L139" s="3125">
        <v>60000000</v>
      </c>
      <c r="M139" s="3124">
        <v>3480000</v>
      </c>
      <c r="N139" s="3125">
        <v>0</v>
      </c>
      <c r="O139" s="3125">
        <v>3480000</v>
      </c>
      <c r="P139" s="3125">
        <v>60000000</v>
      </c>
      <c r="Q139" s="3125">
        <f t="shared" si="33"/>
        <v>0</v>
      </c>
      <c r="R139" s="3605">
        <f t="shared" si="34"/>
        <v>0</v>
      </c>
      <c r="S139" s="1881"/>
      <c r="T139" s="1846">
        <f t="shared" si="26"/>
        <v>13920000</v>
      </c>
    </row>
    <row r="140" spans="1:20" s="257" customFormat="1" ht="15.05" customHeight="1">
      <c r="A140" s="1855"/>
      <c r="B140" s="1855"/>
      <c r="C140" s="1855"/>
      <c r="D140" s="1855"/>
      <c r="E140" s="1855"/>
      <c r="F140" s="1857" t="s">
        <v>50</v>
      </c>
      <c r="G140" s="1858"/>
      <c r="H140" s="200" t="str">
        <f>MAR!I19</f>
        <v>Penginapan Taman Budaya (Eks Dinas Pariwisata)</v>
      </c>
      <c r="I140" s="217"/>
      <c r="J140" s="3171">
        <v>3500000</v>
      </c>
      <c r="K140" s="3171"/>
      <c r="L140" s="3125">
        <v>3500000</v>
      </c>
      <c r="M140" s="3124">
        <v>0</v>
      </c>
      <c r="N140" s="3125">
        <v>0</v>
      </c>
      <c r="O140" s="3125">
        <v>0</v>
      </c>
      <c r="P140" s="3125">
        <v>3500000</v>
      </c>
      <c r="Q140" s="3125">
        <f t="shared" si="33"/>
        <v>0</v>
      </c>
      <c r="R140" s="3605">
        <f t="shared" si="34"/>
        <v>0</v>
      </c>
      <c r="S140" s="1881"/>
      <c r="T140" s="1846">
        <f t="shared" ref="T140:T175" si="36">O140*4</f>
        <v>0</v>
      </c>
    </row>
    <row r="141" spans="1:20" s="257" customFormat="1" ht="15.05" customHeight="1">
      <c r="A141" s="1855"/>
      <c r="B141" s="1855"/>
      <c r="C141" s="1855"/>
      <c r="D141" s="1855"/>
      <c r="E141" s="1855"/>
      <c r="F141" s="1464" t="s">
        <v>531</v>
      </c>
      <c r="G141" s="1860"/>
      <c r="H141" s="202"/>
      <c r="I141" s="218"/>
      <c r="J141" s="3123">
        <v>175000000</v>
      </c>
      <c r="K141" s="3123">
        <v>148775000</v>
      </c>
      <c r="L141" s="3182">
        <v>210000000</v>
      </c>
      <c r="M141" s="3183">
        <v>0</v>
      </c>
      <c r="N141" s="3182">
        <v>0</v>
      </c>
      <c r="O141" s="3182">
        <v>0</v>
      </c>
      <c r="P141" s="3182">
        <v>210000000</v>
      </c>
      <c r="Q141" s="3182">
        <f t="shared" si="33"/>
        <v>0</v>
      </c>
      <c r="R141" s="3601">
        <f t="shared" si="34"/>
        <v>0</v>
      </c>
      <c r="S141" s="1881"/>
      <c r="T141" s="1846">
        <f t="shared" si="36"/>
        <v>0</v>
      </c>
    </row>
    <row r="142" spans="1:20" s="257" customFormat="1" ht="15.05" customHeight="1">
      <c r="A142" s="1855"/>
      <c r="B142" s="1855"/>
      <c r="C142" s="1855"/>
      <c r="D142" s="1855"/>
      <c r="E142" s="1855"/>
      <c r="F142" s="1857" t="s">
        <v>50</v>
      </c>
      <c r="G142" s="1858"/>
      <c r="H142" s="200" t="str">
        <f>PerDinas!G115</f>
        <v>Retribusi Tempat Penginapan/Pesanggrahan/Villa</v>
      </c>
      <c r="I142" s="217"/>
      <c r="J142" s="3171">
        <v>175000000</v>
      </c>
      <c r="K142" s="3171">
        <v>148775000</v>
      </c>
      <c r="L142" s="3125">
        <v>210000000</v>
      </c>
      <c r="M142" s="3124">
        <v>0</v>
      </c>
      <c r="N142" s="3125">
        <v>0</v>
      </c>
      <c r="O142" s="3125">
        <v>0</v>
      </c>
      <c r="P142" s="3125">
        <v>210000000</v>
      </c>
      <c r="Q142" s="3125">
        <f t="shared" si="33"/>
        <v>0</v>
      </c>
      <c r="R142" s="3605">
        <f t="shared" si="34"/>
        <v>0</v>
      </c>
      <c r="S142" s="1881"/>
      <c r="T142" s="1846">
        <f t="shared" si="36"/>
        <v>0</v>
      </c>
    </row>
    <row r="143" spans="1:20" s="257" customFormat="1" ht="15.05" customHeight="1">
      <c r="A143" s="1855"/>
      <c r="B143" s="1855"/>
      <c r="C143" s="1855"/>
      <c r="D143" s="1855"/>
      <c r="E143" s="1855"/>
      <c r="F143" s="1464" t="s">
        <v>133</v>
      </c>
      <c r="G143" s="1860"/>
      <c r="H143" s="202"/>
      <c r="I143" s="218"/>
      <c r="J143" s="3123">
        <v>75000000</v>
      </c>
      <c r="K143" s="3123">
        <v>83250000</v>
      </c>
      <c r="L143" s="3182">
        <v>75000000</v>
      </c>
      <c r="M143" s="3183">
        <v>9880000</v>
      </c>
      <c r="N143" s="3182">
        <v>0</v>
      </c>
      <c r="O143" s="3182">
        <v>9880000</v>
      </c>
      <c r="P143" s="3182">
        <v>75000000</v>
      </c>
      <c r="Q143" s="3182">
        <f t="shared" si="33"/>
        <v>0</v>
      </c>
      <c r="R143" s="3601">
        <f t="shared" si="34"/>
        <v>0</v>
      </c>
      <c r="S143" s="1881"/>
      <c r="T143" s="1846">
        <f t="shared" si="36"/>
        <v>39520000</v>
      </c>
    </row>
    <row r="144" spans="1:20" s="257" customFormat="1" ht="15.05" customHeight="1">
      <c r="A144" s="1855"/>
      <c r="B144" s="1855"/>
      <c r="C144" s="1855"/>
      <c r="D144" s="1855"/>
      <c r="E144" s="1855"/>
      <c r="F144" s="1857" t="s">
        <v>50</v>
      </c>
      <c r="G144" s="1858"/>
      <c r="H144" s="200" t="s">
        <v>533</v>
      </c>
      <c r="I144" s="217"/>
      <c r="J144" s="3171">
        <v>75000000</v>
      </c>
      <c r="K144" s="3171">
        <v>83250000</v>
      </c>
      <c r="L144" s="3125">
        <v>75000000</v>
      </c>
      <c r="M144" s="3124">
        <v>9880000</v>
      </c>
      <c r="N144" s="3125">
        <v>0</v>
      </c>
      <c r="O144" s="3125">
        <v>9880000</v>
      </c>
      <c r="P144" s="3125">
        <v>75000000</v>
      </c>
      <c r="Q144" s="3125">
        <f t="shared" si="33"/>
        <v>0</v>
      </c>
      <c r="R144" s="3605">
        <f t="shared" si="34"/>
        <v>0</v>
      </c>
      <c r="S144" s="1881"/>
      <c r="T144" s="1846">
        <f t="shared" si="36"/>
        <v>39520000</v>
      </c>
    </row>
    <row r="145" spans="1:20" s="257" customFormat="1" ht="15.05" customHeight="1">
      <c r="A145" s="1855"/>
      <c r="B145" s="1855"/>
      <c r="C145" s="1855"/>
      <c r="D145" s="1855"/>
      <c r="E145" s="1855"/>
      <c r="F145" s="1464" t="s">
        <v>496</v>
      </c>
      <c r="G145" s="1860"/>
      <c r="H145" s="202"/>
      <c r="I145" s="218"/>
      <c r="J145" s="3123">
        <v>348625000</v>
      </c>
      <c r="K145" s="3123">
        <v>494000000</v>
      </c>
      <c r="L145" s="3182">
        <v>348625000</v>
      </c>
      <c r="M145" s="3183">
        <v>16500000</v>
      </c>
      <c r="N145" s="3182">
        <v>67100000</v>
      </c>
      <c r="O145" s="3182">
        <v>83600000</v>
      </c>
      <c r="P145" s="3182">
        <v>348625000</v>
      </c>
      <c r="Q145" s="3182">
        <f t="shared" si="33"/>
        <v>0</v>
      </c>
      <c r="R145" s="3601">
        <f t="shared" si="34"/>
        <v>0</v>
      </c>
      <c r="S145" s="1881"/>
      <c r="T145" s="1846">
        <f t="shared" si="36"/>
        <v>334400000</v>
      </c>
    </row>
    <row r="146" spans="1:20" s="257" customFormat="1" ht="15.05" customHeight="1">
      <c r="A146" s="1855"/>
      <c r="B146" s="1855"/>
      <c r="C146" s="1855"/>
      <c r="D146" s="1855"/>
      <c r="E146" s="1855"/>
      <c r="F146" s="1857" t="s">
        <v>50</v>
      </c>
      <c r="G146" s="1858"/>
      <c r="H146" s="200" t="s">
        <v>144</v>
      </c>
      <c r="I146" s="217"/>
      <c r="J146" s="3171">
        <v>348625000</v>
      </c>
      <c r="K146" s="3171">
        <v>494000000</v>
      </c>
      <c r="L146" s="3125">
        <v>348625000</v>
      </c>
      <c r="M146" s="3124">
        <v>16500000</v>
      </c>
      <c r="N146" s="3125">
        <v>67100000</v>
      </c>
      <c r="O146" s="3125">
        <v>83600000</v>
      </c>
      <c r="P146" s="3125">
        <v>348625000</v>
      </c>
      <c r="Q146" s="3125">
        <f t="shared" si="33"/>
        <v>0</v>
      </c>
      <c r="R146" s="3605">
        <f t="shared" si="34"/>
        <v>0</v>
      </c>
      <c r="S146" s="1876">
        <f>PerDinas!Q348</f>
        <v>0</v>
      </c>
      <c r="T146" s="1846">
        <f t="shared" si="36"/>
        <v>334400000</v>
      </c>
    </row>
    <row r="147" spans="1:20" s="257" customFormat="1" ht="15.05" hidden="1" customHeight="1">
      <c r="A147" s="1855"/>
      <c r="B147" s="1855"/>
      <c r="C147" s="1855"/>
      <c r="D147" s="1855"/>
      <c r="E147" s="1855"/>
      <c r="F147" s="1464" t="s">
        <v>534</v>
      </c>
      <c r="G147" s="1860"/>
      <c r="H147" s="202"/>
      <c r="I147" s="218"/>
      <c r="J147" s="3123" t="s">
        <v>50</v>
      </c>
      <c r="K147" s="3123"/>
      <c r="L147" s="3182">
        <v>0</v>
      </c>
      <c r="M147" s="3183">
        <v>0</v>
      </c>
      <c r="N147" s="3182">
        <v>0</v>
      </c>
      <c r="O147" s="3182">
        <v>0</v>
      </c>
      <c r="P147" s="3182">
        <v>0</v>
      </c>
      <c r="Q147" s="3182">
        <f t="shared" si="33"/>
        <v>0</v>
      </c>
      <c r="R147" s="3601">
        <v>0</v>
      </c>
      <c r="S147" s="1881"/>
      <c r="T147" s="1846">
        <f t="shared" si="36"/>
        <v>0</v>
      </c>
    </row>
    <row r="148" spans="1:20" s="257" customFormat="1" ht="15.05" hidden="1" customHeight="1">
      <c r="A148" s="1855"/>
      <c r="B148" s="1855"/>
      <c r="C148" s="1855"/>
      <c r="D148" s="1855"/>
      <c r="E148" s="1855"/>
      <c r="F148" s="1857" t="s">
        <v>50</v>
      </c>
      <c r="G148" s="1858"/>
      <c r="H148" s="200" t="s">
        <v>500</v>
      </c>
      <c r="I148" s="217"/>
      <c r="J148" s="3171">
        <v>3500000</v>
      </c>
      <c r="K148" s="3171">
        <v>0</v>
      </c>
      <c r="L148" s="3125">
        <v>0</v>
      </c>
      <c r="M148" s="3124">
        <v>0</v>
      </c>
      <c r="N148" s="3125">
        <v>0</v>
      </c>
      <c r="O148" s="3125">
        <v>0</v>
      </c>
      <c r="P148" s="3125">
        <v>0</v>
      </c>
      <c r="Q148" s="3125">
        <f t="shared" si="33"/>
        <v>0</v>
      </c>
      <c r="R148" s="3605">
        <v>0</v>
      </c>
      <c r="S148" s="1876">
        <f>PerDinas!Q375</f>
        <v>0</v>
      </c>
      <c r="T148" s="1846">
        <f t="shared" si="36"/>
        <v>0</v>
      </c>
    </row>
    <row r="149" spans="1:20" s="257" customFormat="1" ht="15.05" customHeight="1">
      <c r="A149" s="1855"/>
      <c r="B149" s="1855"/>
      <c r="C149" s="1855"/>
      <c r="D149" s="1855"/>
      <c r="E149" s="1855"/>
      <c r="F149" s="1464" t="s">
        <v>535</v>
      </c>
      <c r="G149" s="1860"/>
      <c r="H149" s="202"/>
      <c r="I149" s="218"/>
      <c r="J149" s="3123">
        <v>1500000000</v>
      </c>
      <c r="K149" s="3123">
        <v>1073900000</v>
      </c>
      <c r="L149" s="3182">
        <v>1500000000</v>
      </c>
      <c r="M149" s="3183">
        <v>131950000</v>
      </c>
      <c r="N149" s="3182">
        <v>69400000</v>
      </c>
      <c r="O149" s="3182">
        <v>201350000</v>
      </c>
      <c r="P149" s="3182">
        <v>1500000000</v>
      </c>
      <c r="Q149" s="3182">
        <f t="shared" si="33"/>
        <v>0</v>
      </c>
      <c r="R149" s="3601">
        <f t="shared" ref="R149:R154" si="37">+P149/L149*100-100</f>
        <v>0</v>
      </c>
      <c r="S149" s="1881"/>
      <c r="T149" s="1846">
        <f t="shared" si="36"/>
        <v>805400000</v>
      </c>
    </row>
    <row r="150" spans="1:20" s="257" customFormat="1" ht="15.05" customHeight="1">
      <c r="A150" s="1855"/>
      <c r="B150" s="1855"/>
      <c r="C150" s="1855"/>
      <c r="D150" s="1855"/>
      <c r="E150" s="1855"/>
      <c r="F150" s="1857" t="s">
        <v>50</v>
      </c>
      <c r="G150" s="1858"/>
      <c r="H150" s="200" t="str">
        <f>PerDinas!G645</f>
        <v xml:space="preserve">KANTOR PENGHUBUNG PROVINSI NTB  </v>
      </c>
      <c r="I150" s="217"/>
      <c r="J150" s="3171">
        <v>1500000000</v>
      </c>
      <c r="K150" s="3171">
        <v>1073900000</v>
      </c>
      <c r="L150" s="3125">
        <v>1500000000</v>
      </c>
      <c r="M150" s="3124">
        <v>131950000</v>
      </c>
      <c r="N150" s="3125">
        <v>69400000</v>
      </c>
      <c r="O150" s="3125">
        <v>201350000</v>
      </c>
      <c r="P150" s="3125">
        <v>1500000000</v>
      </c>
      <c r="Q150" s="3125">
        <f t="shared" si="33"/>
        <v>0</v>
      </c>
      <c r="R150" s="3605">
        <f t="shared" si="37"/>
        <v>0</v>
      </c>
      <c r="S150" s="1881"/>
      <c r="T150" s="1846">
        <f t="shared" si="36"/>
        <v>805400000</v>
      </c>
    </row>
    <row r="151" spans="1:20" s="257" customFormat="1" ht="15.05" customHeight="1">
      <c r="A151" s="1855"/>
      <c r="B151" s="1855"/>
      <c r="C151" s="1855"/>
      <c r="D151" s="1855"/>
      <c r="E151" s="1855"/>
      <c r="F151" s="1464" t="s">
        <v>326</v>
      </c>
      <c r="G151" s="1860"/>
      <c r="H151" s="202"/>
      <c r="I151" s="218"/>
      <c r="J151" s="3123">
        <f>J152</f>
        <v>150000000</v>
      </c>
      <c r="K151" s="3123">
        <f>K152</f>
        <v>534475000</v>
      </c>
      <c r="L151" s="3182">
        <v>150000000</v>
      </c>
      <c r="M151" s="3183">
        <v>13050000</v>
      </c>
      <c r="N151" s="3182">
        <v>0</v>
      </c>
      <c r="O151" s="3182">
        <v>13050000</v>
      </c>
      <c r="P151" s="3182">
        <v>150000000</v>
      </c>
      <c r="Q151" s="3182">
        <f t="shared" si="33"/>
        <v>0</v>
      </c>
      <c r="R151" s="3601">
        <f t="shared" si="37"/>
        <v>0</v>
      </c>
      <c r="S151" s="1881"/>
      <c r="T151" s="1846">
        <f t="shared" si="36"/>
        <v>52200000</v>
      </c>
    </row>
    <row r="152" spans="1:20" s="257" customFormat="1" ht="15.05" customHeight="1">
      <c r="A152" s="1855"/>
      <c r="B152" s="1855"/>
      <c r="C152" s="1855"/>
      <c r="D152" s="1855"/>
      <c r="E152" s="1855"/>
      <c r="F152" s="1857" t="s">
        <v>50</v>
      </c>
      <c r="G152" s="1858"/>
      <c r="H152" s="200" t="str">
        <f>H142</f>
        <v>Retribusi Tempat Penginapan/Pesanggrahan/Villa</v>
      </c>
      <c r="I152" s="217"/>
      <c r="J152" s="3171">
        <v>150000000</v>
      </c>
      <c r="K152" s="3171">
        <v>534475000</v>
      </c>
      <c r="L152" s="3125">
        <v>150000000</v>
      </c>
      <c r="M152" s="3124">
        <v>13050000</v>
      </c>
      <c r="N152" s="3125">
        <v>0</v>
      </c>
      <c r="O152" s="3125">
        <v>13050000</v>
      </c>
      <c r="P152" s="3125">
        <v>150000000</v>
      </c>
      <c r="Q152" s="3125">
        <f t="shared" si="33"/>
        <v>0</v>
      </c>
      <c r="R152" s="3605">
        <f t="shared" si="37"/>
        <v>0</v>
      </c>
      <c r="S152" s="1881"/>
      <c r="T152" s="1846">
        <f t="shared" si="36"/>
        <v>52200000</v>
      </c>
    </row>
    <row r="153" spans="1:20" s="257" customFormat="1" ht="15.05" customHeight="1">
      <c r="A153" s="1855"/>
      <c r="B153" s="1855"/>
      <c r="C153" s="1855"/>
      <c r="D153" s="1855"/>
      <c r="E153" s="1855"/>
      <c r="F153" s="1464" t="s">
        <v>463</v>
      </c>
      <c r="G153" s="1860"/>
      <c r="H153" s="202"/>
      <c r="I153" s="218"/>
      <c r="J153" s="3123">
        <f>J154</f>
        <v>200000000</v>
      </c>
      <c r="K153" s="3123">
        <f>K154</f>
        <v>332850000</v>
      </c>
      <c r="L153" s="3182">
        <v>200000000</v>
      </c>
      <c r="M153" s="3183">
        <v>0</v>
      </c>
      <c r="N153" s="3182">
        <v>400000</v>
      </c>
      <c r="O153" s="3182">
        <v>400000</v>
      </c>
      <c r="P153" s="3182">
        <v>200000000</v>
      </c>
      <c r="Q153" s="3182">
        <f t="shared" si="33"/>
        <v>0</v>
      </c>
      <c r="R153" s="3601">
        <f t="shared" si="37"/>
        <v>0</v>
      </c>
      <c r="S153" s="1881"/>
      <c r="T153" s="1846">
        <f t="shared" si="36"/>
        <v>1600000</v>
      </c>
    </row>
    <row r="154" spans="1:20" s="257" customFormat="1" ht="15.05" customHeight="1">
      <c r="A154" s="1855"/>
      <c r="B154" s="1855"/>
      <c r="C154" s="1855"/>
      <c r="D154" s="1855"/>
      <c r="E154" s="1855"/>
      <c r="F154" s="1857" t="s">
        <v>50</v>
      </c>
      <c r="G154" s="1858"/>
      <c r="H154" s="200" t="s">
        <v>536</v>
      </c>
      <c r="I154" s="217"/>
      <c r="J154" s="3171">
        <v>200000000</v>
      </c>
      <c r="K154" s="3171">
        <v>332850000</v>
      </c>
      <c r="L154" s="3125">
        <v>200000000</v>
      </c>
      <c r="M154" s="3124">
        <v>0</v>
      </c>
      <c r="N154" s="3125">
        <v>400000</v>
      </c>
      <c r="O154" s="3125">
        <v>400000</v>
      </c>
      <c r="P154" s="3125">
        <v>200000000</v>
      </c>
      <c r="Q154" s="3125">
        <f t="shared" si="33"/>
        <v>0</v>
      </c>
      <c r="R154" s="3605">
        <f t="shared" si="37"/>
        <v>0</v>
      </c>
      <c r="S154" s="1876">
        <f>PerDinas!Q1017</f>
        <v>0</v>
      </c>
      <c r="T154" s="1846">
        <f t="shared" si="36"/>
        <v>1600000</v>
      </c>
    </row>
    <row r="155" spans="1:20" s="257" customFormat="1" ht="15.05" customHeight="1">
      <c r="A155" s="1855"/>
      <c r="B155" s="1855"/>
      <c r="C155" s="1855"/>
      <c r="D155" s="1855"/>
      <c r="E155" s="1855"/>
      <c r="F155" s="1901"/>
      <c r="G155" s="1858"/>
      <c r="H155" s="200"/>
      <c r="I155" s="217"/>
      <c r="J155" s="3171"/>
      <c r="K155" s="3171"/>
      <c r="L155" s="3182">
        <v>0</v>
      </c>
      <c r="M155" s="3183">
        <v>0</v>
      </c>
      <c r="N155" s="3182">
        <v>0</v>
      </c>
      <c r="O155" s="3182">
        <v>0</v>
      </c>
      <c r="P155" s="3182">
        <v>0</v>
      </c>
      <c r="Q155" s="3182">
        <f t="shared" si="33"/>
        <v>0</v>
      </c>
      <c r="R155" s="3601">
        <v>0</v>
      </c>
      <c r="S155" s="1881"/>
      <c r="T155" s="1846">
        <f t="shared" si="36"/>
        <v>0</v>
      </c>
    </row>
    <row r="156" spans="1:20" s="2936" customFormat="1" ht="15.05" customHeight="1">
      <c r="A156" s="2925" t="s">
        <v>443</v>
      </c>
      <c r="B156" s="2925" t="s">
        <v>58</v>
      </c>
      <c r="C156" s="2925" t="s">
        <v>460</v>
      </c>
      <c r="D156" s="2935" t="s">
        <v>438</v>
      </c>
      <c r="E156" s="2935" t="s">
        <v>451</v>
      </c>
      <c r="F156" s="2926" t="s">
        <v>1179</v>
      </c>
      <c r="H156" s="2927"/>
      <c r="I156" s="2929"/>
      <c r="J156" s="3172">
        <f>J157+J159</f>
        <v>0</v>
      </c>
      <c r="K156" s="3172">
        <f>K157+K159</f>
        <v>0</v>
      </c>
      <c r="L156" s="3172">
        <f>L157+L159</f>
        <v>0</v>
      </c>
      <c r="M156" s="3170">
        <v>0</v>
      </c>
      <c r="N156" s="3169">
        <v>0</v>
      </c>
      <c r="O156" s="3169">
        <f>O157+O159</f>
        <v>97365000</v>
      </c>
      <c r="P156" s="3169">
        <f>P157+P159</f>
        <v>375000000</v>
      </c>
      <c r="Q156" s="3169">
        <f>Q157+Q159</f>
        <v>375000000</v>
      </c>
      <c r="R156" s="3611">
        <v>0</v>
      </c>
      <c r="S156" s="2937"/>
      <c r="T156" s="2938">
        <f t="shared" si="36"/>
        <v>389460000</v>
      </c>
    </row>
    <row r="157" spans="1:20" s="257" customFormat="1" ht="15.05" customHeight="1">
      <c r="A157" s="2875"/>
      <c r="B157" s="2875"/>
      <c r="C157" s="2875"/>
      <c r="D157" s="2876"/>
      <c r="E157" s="2876"/>
      <c r="F157" s="1856" t="s">
        <v>411</v>
      </c>
      <c r="G157" s="847"/>
      <c r="H157" s="200"/>
      <c r="I157" s="217"/>
      <c r="J157" s="3171"/>
      <c r="K157" s="3171"/>
      <c r="L157" s="3125"/>
      <c r="M157" s="3190">
        <v>9495000</v>
      </c>
      <c r="N157" s="3191">
        <v>15445000</v>
      </c>
      <c r="O157" s="3128">
        <v>24940000</v>
      </c>
      <c r="P157" s="3128">
        <f>+P158</f>
        <v>75000000</v>
      </c>
      <c r="Q157" s="3128">
        <f>+P157-L157</f>
        <v>75000000</v>
      </c>
      <c r="R157" s="3605">
        <v>0</v>
      </c>
      <c r="S157" s="1884"/>
      <c r="T157" s="1846"/>
    </row>
    <row r="158" spans="1:20" s="257" customFormat="1" ht="15.05" customHeight="1">
      <c r="A158" s="2875"/>
      <c r="B158" s="2875"/>
      <c r="C158" s="2875"/>
      <c r="D158" s="2876"/>
      <c r="E158" s="2876"/>
      <c r="F158" s="2744" t="s">
        <v>50</v>
      </c>
      <c r="G158" s="224" t="s">
        <v>413</v>
      </c>
      <c r="H158" s="200"/>
      <c r="I158" s="217"/>
      <c r="J158" s="3171"/>
      <c r="K158" s="3171"/>
      <c r="L158" s="3125"/>
      <c r="M158" s="3190">
        <v>9495000</v>
      </c>
      <c r="N158" s="3192">
        <v>15445000</v>
      </c>
      <c r="O158" s="3165">
        <v>24940000</v>
      </c>
      <c r="P158" s="3165">
        <v>75000000</v>
      </c>
      <c r="Q158" s="3165">
        <f>+P158-L158</f>
        <v>75000000</v>
      </c>
      <c r="R158" s="3605">
        <v>0</v>
      </c>
      <c r="S158" s="1884"/>
      <c r="T158" s="1846"/>
    </row>
    <row r="159" spans="1:20" s="257" customFormat="1" ht="15.05" customHeight="1">
      <c r="A159" s="2875"/>
      <c r="B159" s="2875"/>
      <c r="C159" s="2875"/>
      <c r="D159" s="2876"/>
      <c r="E159" s="2876"/>
      <c r="F159" s="1856" t="s">
        <v>122</v>
      </c>
      <c r="G159" s="1860"/>
      <c r="H159" s="202"/>
      <c r="I159" s="218"/>
      <c r="J159" s="3123"/>
      <c r="K159" s="3123"/>
      <c r="L159" s="3182">
        <v>0</v>
      </c>
      <c r="M159" s="3183">
        <v>72425000</v>
      </c>
      <c r="N159" s="3182">
        <v>0</v>
      </c>
      <c r="O159" s="3182">
        <v>72425000</v>
      </c>
      <c r="P159" s="3182">
        <f>P160</f>
        <v>300000000</v>
      </c>
      <c r="Q159" s="3182">
        <f>Q160</f>
        <v>300000000</v>
      </c>
      <c r="R159" s="3601">
        <v>0</v>
      </c>
      <c r="S159" s="1898"/>
      <c r="T159" s="1846"/>
    </row>
    <row r="160" spans="1:20" s="257" customFormat="1" ht="15.05" customHeight="1">
      <c r="A160" s="2875"/>
      <c r="B160" s="2875"/>
      <c r="C160" s="2875"/>
      <c r="D160" s="2876"/>
      <c r="E160" s="2876"/>
      <c r="F160" s="2744" t="s">
        <v>50</v>
      </c>
      <c r="G160" s="224" t="s">
        <v>413</v>
      </c>
      <c r="H160" s="200"/>
      <c r="I160" s="217"/>
      <c r="J160" s="3171"/>
      <c r="K160" s="3171"/>
      <c r="L160" s="3125">
        <v>0</v>
      </c>
      <c r="M160" s="3124">
        <v>72425000</v>
      </c>
      <c r="N160" s="3125">
        <v>0</v>
      </c>
      <c r="O160" s="3125">
        <v>72425000</v>
      </c>
      <c r="P160" s="3125">
        <v>300000000</v>
      </c>
      <c r="Q160" s="3125">
        <v>300000000</v>
      </c>
      <c r="R160" s="3605">
        <v>0</v>
      </c>
      <c r="S160" s="1876">
        <v>0</v>
      </c>
      <c r="T160" s="1846"/>
    </row>
    <row r="161" spans="1:20" s="257" customFormat="1" ht="15.05" customHeight="1">
      <c r="A161" s="1855"/>
      <c r="B161" s="1855"/>
      <c r="C161" s="1855"/>
      <c r="D161" s="1855"/>
      <c r="E161" s="1855"/>
      <c r="F161" s="1857"/>
      <c r="G161" s="1858"/>
      <c r="H161" s="200"/>
      <c r="I161" s="217"/>
      <c r="J161" s="3171"/>
      <c r="K161" s="3171"/>
      <c r="L161" s="3125"/>
      <c r="M161" s="3124">
        <v>0</v>
      </c>
      <c r="N161" s="3125"/>
      <c r="O161" s="3125">
        <v>0</v>
      </c>
      <c r="P161" s="3125"/>
      <c r="Q161" s="3125"/>
      <c r="R161" s="3605"/>
      <c r="S161" s="1881"/>
      <c r="T161" s="1846">
        <f t="shared" si="36"/>
        <v>0</v>
      </c>
    </row>
    <row r="162" spans="1:20" s="2932" customFormat="1" ht="15.05" customHeight="1">
      <c r="A162" s="2925">
        <v>4</v>
      </c>
      <c r="B162" s="2925">
        <v>1</v>
      </c>
      <c r="C162" s="2925">
        <v>2</v>
      </c>
      <c r="D162" s="2925" t="s">
        <v>438</v>
      </c>
      <c r="E162" s="2925" t="s">
        <v>448</v>
      </c>
      <c r="F162" s="2926" t="s">
        <v>361</v>
      </c>
      <c r="G162" s="2927"/>
      <c r="H162" s="2933"/>
      <c r="I162" s="2934"/>
      <c r="J162" s="3172">
        <f>J163+J165+J177+J179+J184+J192</f>
        <v>2113387000</v>
      </c>
      <c r="K162" s="3172">
        <f t="shared" ref="K162:P162" si="38">K163+K165+K177+K179+K184+K192</f>
        <v>2405649030</v>
      </c>
      <c r="L162" s="3172">
        <f t="shared" si="38"/>
        <v>2113387000</v>
      </c>
      <c r="M162" s="3172">
        <f t="shared" si="38"/>
        <v>312541550</v>
      </c>
      <c r="N162" s="3172">
        <f t="shared" si="38"/>
        <v>158104500</v>
      </c>
      <c r="O162" s="3172">
        <f t="shared" si="38"/>
        <v>470646050</v>
      </c>
      <c r="P162" s="3172">
        <f t="shared" si="38"/>
        <v>2354157500</v>
      </c>
      <c r="Q162" s="3169">
        <f>+P162-L162</f>
        <v>240770500</v>
      </c>
      <c r="R162" s="3611">
        <f t="shared" ref="R162:R168" si="39">+P162/L162*100-100</f>
        <v>11.392636559229331</v>
      </c>
      <c r="S162" s="2930"/>
      <c r="T162" s="2931">
        <f t="shared" si="36"/>
        <v>1882584200</v>
      </c>
    </row>
    <row r="163" spans="1:20" s="257" customFormat="1" ht="15.05" customHeight="1">
      <c r="A163" s="1855"/>
      <c r="B163" s="1855"/>
      <c r="C163" s="1855"/>
      <c r="D163" s="1855"/>
      <c r="E163" s="1855"/>
      <c r="F163" s="1464" t="s">
        <v>537</v>
      </c>
      <c r="G163" s="1860"/>
      <c r="H163" s="202"/>
      <c r="I163" s="218"/>
      <c r="J163" s="3200">
        <f>J164</f>
        <v>0</v>
      </c>
      <c r="K163" s="3123">
        <v>0</v>
      </c>
      <c r="L163" s="3182">
        <v>0</v>
      </c>
      <c r="M163" s="3183">
        <v>0</v>
      </c>
      <c r="N163" s="3182">
        <v>0</v>
      </c>
      <c r="O163" s="3182">
        <v>0</v>
      </c>
      <c r="P163" s="3182">
        <v>0</v>
      </c>
      <c r="Q163" s="3182">
        <f t="shared" ref="Q163:Q199" si="40">+P163-L163</f>
        <v>0</v>
      </c>
      <c r="R163" s="3601">
        <v>0</v>
      </c>
      <c r="S163" s="1881"/>
      <c r="T163" s="1846">
        <f t="shared" si="36"/>
        <v>0</v>
      </c>
    </row>
    <row r="164" spans="1:20" s="257" customFormat="1" ht="15.05" customHeight="1">
      <c r="A164" s="1855"/>
      <c r="B164" s="1855"/>
      <c r="C164" s="1855"/>
      <c r="D164" s="1855"/>
      <c r="E164" s="1855"/>
      <c r="F164" s="1857" t="s">
        <v>50</v>
      </c>
      <c r="G164" s="1858"/>
      <c r="H164" s="200" t="s">
        <v>538</v>
      </c>
      <c r="I164" s="217"/>
      <c r="J164" s="3193">
        <v>0</v>
      </c>
      <c r="K164" s="3171">
        <v>0</v>
      </c>
      <c r="L164" s="3125">
        <v>0</v>
      </c>
      <c r="M164" s="3124">
        <v>0</v>
      </c>
      <c r="N164" s="3125">
        <v>0</v>
      </c>
      <c r="O164" s="3125">
        <v>0</v>
      </c>
      <c r="P164" s="3125">
        <v>0</v>
      </c>
      <c r="Q164" s="3125">
        <f t="shared" si="40"/>
        <v>0</v>
      </c>
      <c r="R164" s="3605">
        <v>0</v>
      </c>
      <c r="S164" s="1881"/>
      <c r="T164" s="1846">
        <f t="shared" si="36"/>
        <v>0</v>
      </c>
    </row>
    <row r="165" spans="1:20" s="257" customFormat="1" ht="15.05" customHeight="1">
      <c r="A165" s="1855"/>
      <c r="B165" s="1855"/>
      <c r="C165" s="1855"/>
      <c r="D165" s="1855"/>
      <c r="E165" s="1855"/>
      <c r="F165" s="1464" t="s">
        <v>463</v>
      </c>
      <c r="G165" s="1860"/>
      <c r="H165" s="202"/>
      <c r="I165" s="218"/>
      <c r="J165" s="3200">
        <f>SUM(J166:J176)</f>
        <v>1064387000</v>
      </c>
      <c r="K165" s="3200">
        <f t="shared" ref="K165:P165" si="41">SUM(K166:K176)</f>
        <v>969658000</v>
      </c>
      <c r="L165" s="3200">
        <f t="shared" si="41"/>
        <v>1074387000</v>
      </c>
      <c r="M165" s="3200">
        <f t="shared" si="41"/>
        <v>256284000</v>
      </c>
      <c r="N165" s="3200">
        <f t="shared" si="41"/>
        <v>37860000</v>
      </c>
      <c r="O165" s="3200">
        <f t="shared" si="41"/>
        <v>294144000</v>
      </c>
      <c r="P165" s="3200">
        <f t="shared" si="41"/>
        <v>1265157500</v>
      </c>
      <c r="Q165" s="3182">
        <f t="shared" si="40"/>
        <v>190770500</v>
      </c>
      <c r="R165" s="3601">
        <f t="shared" si="39"/>
        <v>17.756218196981166</v>
      </c>
      <c r="S165" s="1881"/>
      <c r="T165" s="1846">
        <f t="shared" si="36"/>
        <v>1176576000</v>
      </c>
    </row>
    <row r="166" spans="1:20" s="257" customFormat="1" ht="15.05" customHeight="1">
      <c r="A166" s="1855"/>
      <c r="B166" s="1855"/>
      <c r="C166" s="1855"/>
      <c r="D166" s="1855"/>
      <c r="E166" s="1855"/>
      <c r="F166" s="1857" t="s">
        <v>50</v>
      </c>
      <c r="G166" s="1858"/>
      <c r="H166" s="200" t="str">
        <f>MAR!I621</f>
        <v>UPB Peninjauan</v>
      </c>
      <c r="I166" s="217"/>
      <c r="J166" s="3193">
        <v>259229500</v>
      </c>
      <c r="K166" s="3171">
        <v>410279000</v>
      </c>
      <c r="L166" s="3125">
        <v>259229500</v>
      </c>
      <c r="M166" s="3124">
        <v>133580000</v>
      </c>
      <c r="N166" s="3125">
        <v>11430000</v>
      </c>
      <c r="O166" s="3125">
        <v>145010000</v>
      </c>
      <c r="P166" s="3125">
        <v>450000000</v>
      </c>
      <c r="Q166" s="3125">
        <f t="shared" si="40"/>
        <v>190770500</v>
      </c>
      <c r="R166" s="3605">
        <f t="shared" si="39"/>
        <v>73.591354379034783</v>
      </c>
      <c r="S166" s="1881"/>
      <c r="T166" s="1846">
        <f t="shared" si="36"/>
        <v>580040000</v>
      </c>
    </row>
    <row r="167" spans="1:20" s="257" customFormat="1" ht="15.05" customHeight="1">
      <c r="A167" s="1855"/>
      <c r="B167" s="1855"/>
      <c r="C167" s="1855"/>
      <c r="D167" s="1855"/>
      <c r="E167" s="1855"/>
      <c r="F167" s="1857" t="s">
        <v>50</v>
      </c>
      <c r="G167" s="1858"/>
      <c r="H167" s="200" t="str">
        <f>MAR!I622</f>
        <v>UPB Puyung</v>
      </c>
      <c r="I167" s="217"/>
      <c r="J167" s="3193">
        <v>374739500</v>
      </c>
      <c r="K167" s="3171">
        <v>210010000</v>
      </c>
      <c r="L167" s="3125">
        <v>374739500</v>
      </c>
      <c r="M167" s="3124">
        <v>28650000</v>
      </c>
      <c r="N167" s="3125">
        <v>2310000</v>
      </c>
      <c r="O167" s="3125">
        <v>30960000</v>
      </c>
      <c r="P167" s="3125">
        <v>374739500</v>
      </c>
      <c r="Q167" s="3125">
        <f t="shared" si="40"/>
        <v>0</v>
      </c>
      <c r="R167" s="3605">
        <f t="shared" si="39"/>
        <v>0</v>
      </c>
      <c r="S167" s="1881"/>
      <c r="T167" s="1846">
        <f t="shared" si="36"/>
        <v>123840000</v>
      </c>
    </row>
    <row r="168" spans="1:20" s="257" customFormat="1" ht="15.05" customHeight="1">
      <c r="A168" s="1855"/>
      <c r="B168" s="1855"/>
      <c r="C168" s="1855"/>
      <c r="D168" s="1855"/>
      <c r="E168" s="1855"/>
      <c r="F168" s="1857" t="s">
        <v>50</v>
      </c>
      <c r="G168" s="1858"/>
      <c r="H168" s="200" t="str">
        <f>MAR!I623</f>
        <v>UPB Uthan</v>
      </c>
      <c r="I168" s="217"/>
      <c r="J168" s="3193">
        <v>271618000</v>
      </c>
      <c r="K168" s="3171">
        <v>193340000</v>
      </c>
      <c r="L168" s="3125">
        <v>271618000</v>
      </c>
      <c r="M168" s="3124">
        <v>32440000</v>
      </c>
      <c r="N168" s="3125">
        <v>0</v>
      </c>
      <c r="O168" s="3125">
        <v>32440000</v>
      </c>
      <c r="P168" s="3125">
        <v>271618000</v>
      </c>
      <c r="Q168" s="3125">
        <f t="shared" si="40"/>
        <v>0</v>
      </c>
      <c r="R168" s="3605">
        <f t="shared" si="39"/>
        <v>0</v>
      </c>
      <c r="S168" s="1881"/>
      <c r="T168" s="1846">
        <f t="shared" si="36"/>
        <v>129760000</v>
      </c>
    </row>
    <row r="169" spans="1:20" s="257" customFormat="1" ht="15.05" customHeight="1">
      <c r="A169" s="1855"/>
      <c r="B169" s="1855"/>
      <c r="C169" s="1855"/>
      <c r="D169" s="1855"/>
      <c r="E169" s="1855"/>
      <c r="F169" s="1857" t="s">
        <v>50</v>
      </c>
      <c r="G169" s="1858"/>
      <c r="H169" s="200" t="str">
        <f>MAR!I624</f>
        <v>BKUT Kotaraja</v>
      </c>
      <c r="I169" s="217"/>
      <c r="J169" s="3193" t="s">
        <v>50</v>
      </c>
      <c r="K169" s="3171" t="s">
        <v>50</v>
      </c>
      <c r="L169" s="3125">
        <v>0</v>
      </c>
      <c r="M169" s="3124">
        <v>0</v>
      </c>
      <c r="N169" s="3125">
        <v>0</v>
      </c>
      <c r="O169" s="3125">
        <v>0</v>
      </c>
      <c r="P169" s="3125">
        <v>0</v>
      </c>
      <c r="Q169" s="3125">
        <f t="shared" si="40"/>
        <v>0</v>
      </c>
      <c r="R169" s="3605">
        <v>0</v>
      </c>
      <c r="S169" s="1881"/>
      <c r="T169" s="1846">
        <f t="shared" si="36"/>
        <v>0</v>
      </c>
    </row>
    <row r="170" spans="1:20" s="257" customFormat="1" ht="15.05" customHeight="1">
      <c r="A170" s="1855"/>
      <c r="B170" s="1855"/>
      <c r="C170" s="1855"/>
      <c r="D170" s="1855"/>
      <c r="E170" s="1855"/>
      <c r="F170" s="1857" t="s">
        <v>50</v>
      </c>
      <c r="G170" s="1858"/>
      <c r="H170" s="200" t="str">
        <f>MAR!I625</f>
        <v>UPB Kesik</v>
      </c>
      <c r="I170" s="217"/>
      <c r="J170" s="3193" t="s">
        <v>50</v>
      </c>
      <c r="K170" s="3171" t="s">
        <v>50</v>
      </c>
      <c r="L170" s="3125">
        <v>0</v>
      </c>
      <c r="M170" s="3124">
        <v>0</v>
      </c>
      <c r="N170" s="3125">
        <v>0</v>
      </c>
      <c r="O170" s="3125">
        <v>0</v>
      </c>
      <c r="P170" s="3125">
        <v>0</v>
      </c>
      <c r="Q170" s="3125">
        <f t="shared" si="40"/>
        <v>0</v>
      </c>
      <c r="R170" s="3605">
        <v>0</v>
      </c>
      <c r="S170" s="1881"/>
      <c r="T170" s="1846">
        <f t="shared" si="36"/>
        <v>0</v>
      </c>
    </row>
    <row r="171" spans="1:20" s="257" customFormat="1" ht="15.05" customHeight="1">
      <c r="A171" s="1855"/>
      <c r="B171" s="1855"/>
      <c r="C171" s="1855"/>
      <c r="D171" s="1855"/>
      <c r="E171" s="1855"/>
      <c r="F171" s="1857" t="s">
        <v>50</v>
      </c>
      <c r="G171" s="1858"/>
      <c r="H171" s="200" t="str">
        <f>MAR!I626</f>
        <v>UPB Sedau</v>
      </c>
      <c r="I171" s="217"/>
      <c r="J171" s="3193">
        <v>46200000</v>
      </c>
      <c r="K171" s="3171">
        <v>46600000</v>
      </c>
      <c r="L171" s="3125">
        <v>46200000</v>
      </c>
      <c r="M171" s="3124">
        <v>29700000</v>
      </c>
      <c r="N171" s="3125">
        <v>0</v>
      </c>
      <c r="O171" s="3125">
        <v>29700000</v>
      </c>
      <c r="P171" s="3125">
        <v>46200000</v>
      </c>
      <c r="Q171" s="3125">
        <f t="shared" si="40"/>
        <v>0</v>
      </c>
      <c r="R171" s="3605">
        <f>+P171/L171*100-100</f>
        <v>0</v>
      </c>
      <c r="S171" s="1881"/>
      <c r="T171" s="1846">
        <f t="shared" si="36"/>
        <v>118800000</v>
      </c>
    </row>
    <row r="172" spans="1:20" s="257" customFormat="1" ht="15.05" customHeight="1">
      <c r="A172" s="1855"/>
      <c r="B172" s="1855"/>
      <c r="C172" s="1855"/>
      <c r="D172" s="1855"/>
      <c r="E172" s="1855"/>
      <c r="F172" s="1857" t="s">
        <v>50</v>
      </c>
      <c r="G172" s="1858"/>
      <c r="H172" s="200" t="str">
        <f>MAR!I627</f>
        <v>UPB Santong</v>
      </c>
      <c r="I172" s="217"/>
      <c r="J172" s="3193">
        <v>88200000</v>
      </c>
      <c r="K172" s="3171">
        <v>74940000</v>
      </c>
      <c r="L172" s="3125">
        <v>88200000</v>
      </c>
      <c r="M172" s="3124">
        <v>16920000</v>
      </c>
      <c r="N172" s="3125">
        <v>24120000</v>
      </c>
      <c r="O172" s="3125">
        <v>41040000</v>
      </c>
      <c r="P172" s="3125">
        <v>88200000</v>
      </c>
      <c r="Q172" s="3125">
        <f t="shared" si="40"/>
        <v>0</v>
      </c>
      <c r="R172" s="3605">
        <f>+P172/L172*100-100</f>
        <v>0</v>
      </c>
      <c r="S172" s="1881"/>
      <c r="T172" s="1846">
        <f t="shared" si="36"/>
        <v>164160000</v>
      </c>
    </row>
    <row r="173" spans="1:20" s="257" customFormat="1" ht="15.05" customHeight="1">
      <c r="A173" s="1855"/>
      <c r="B173" s="1855"/>
      <c r="C173" s="1855"/>
      <c r="D173" s="1855"/>
      <c r="E173" s="1855"/>
      <c r="F173" s="1857" t="s">
        <v>50</v>
      </c>
      <c r="G173" s="1858"/>
      <c r="H173" s="200" t="str">
        <f>MAR!I628</f>
        <v>Kebun Timbanuh</v>
      </c>
      <c r="I173" s="217"/>
      <c r="J173" s="3193">
        <v>24400000</v>
      </c>
      <c r="K173" s="3171">
        <v>24453000</v>
      </c>
      <c r="L173" s="3125">
        <v>24400000</v>
      </c>
      <c r="M173" s="3124">
        <v>14994000</v>
      </c>
      <c r="N173" s="3125">
        <v>0</v>
      </c>
      <c r="O173" s="3125">
        <v>14994000</v>
      </c>
      <c r="P173" s="3125">
        <v>24400000</v>
      </c>
      <c r="Q173" s="3125">
        <f t="shared" si="40"/>
        <v>0</v>
      </c>
      <c r="R173" s="3605">
        <f>+P173/L173*100-100</f>
        <v>0</v>
      </c>
      <c r="S173" s="1881"/>
      <c r="T173" s="1846">
        <f t="shared" si="36"/>
        <v>59976000</v>
      </c>
    </row>
    <row r="174" spans="1:20" s="257" customFormat="1" ht="15.05" customHeight="1">
      <c r="A174" s="1855"/>
      <c r="B174" s="1855"/>
      <c r="C174" s="1855"/>
      <c r="D174" s="1855"/>
      <c r="E174" s="1855"/>
      <c r="F174" s="1857" t="s">
        <v>50</v>
      </c>
      <c r="G174" s="1858"/>
      <c r="H174" s="200" t="str">
        <f>MAR!I629</f>
        <v>Kerjasama dengan penangkar</v>
      </c>
      <c r="I174" s="217"/>
      <c r="J174" s="3193" t="s">
        <v>50</v>
      </c>
      <c r="K174" s="3171">
        <v>10036000</v>
      </c>
      <c r="L174" s="3125">
        <v>0</v>
      </c>
      <c r="M174" s="3124">
        <v>0</v>
      </c>
      <c r="N174" s="3125">
        <v>0</v>
      </c>
      <c r="O174" s="3125">
        <v>0</v>
      </c>
      <c r="P174" s="3125">
        <v>0</v>
      </c>
      <c r="Q174" s="3125">
        <f t="shared" si="40"/>
        <v>0</v>
      </c>
      <c r="R174" s="3605">
        <v>0</v>
      </c>
      <c r="S174" s="1881"/>
      <c r="T174" s="1846">
        <f t="shared" si="36"/>
        <v>0</v>
      </c>
    </row>
    <row r="175" spans="1:20" s="257" customFormat="1" ht="15.05" customHeight="1">
      <c r="A175" s="1855"/>
      <c r="B175" s="1855"/>
      <c r="C175" s="1855"/>
      <c r="D175" s="1855"/>
      <c r="E175" s="1855"/>
      <c r="F175" s="1857" t="s">
        <v>50</v>
      </c>
      <c r="G175" s="1858"/>
      <c r="H175" s="200" t="str">
        <f>MAR!I630</f>
        <v>Hasil Kebun (SPPN Mataram)</v>
      </c>
      <c r="I175" s="217"/>
      <c r="J175" s="3171"/>
      <c r="K175" s="3171"/>
      <c r="L175" s="3125">
        <v>0</v>
      </c>
      <c r="M175" s="3124">
        <v>0</v>
      </c>
      <c r="N175" s="3125">
        <v>0</v>
      </c>
      <c r="O175" s="3125">
        <v>0</v>
      </c>
      <c r="P175" s="3125">
        <v>0</v>
      </c>
      <c r="Q175" s="3125">
        <f t="shared" si="40"/>
        <v>0</v>
      </c>
      <c r="R175" s="3605">
        <v>0</v>
      </c>
      <c r="S175" s="1881"/>
      <c r="T175" s="1846">
        <f t="shared" si="36"/>
        <v>0</v>
      </c>
    </row>
    <row r="176" spans="1:20" s="257" customFormat="1" ht="15.05" customHeight="1">
      <c r="A176" s="1855"/>
      <c r="B176" s="1855"/>
      <c r="C176" s="1855"/>
      <c r="D176" s="1855"/>
      <c r="E176" s="1855"/>
      <c r="F176" s="1857" t="s">
        <v>50</v>
      </c>
      <c r="G176" s="1858"/>
      <c r="H176" s="200" t="str">
        <f>MAR!I631</f>
        <v>Lain-lain (Sertifikasi Benih)</v>
      </c>
      <c r="I176" s="217"/>
      <c r="J176" s="3171"/>
      <c r="K176" s="3171"/>
      <c r="L176" s="3125">
        <v>10000000</v>
      </c>
      <c r="M176" s="3124">
        <v>0</v>
      </c>
      <c r="N176" s="3125">
        <v>0</v>
      </c>
      <c r="O176" s="3125">
        <v>0</v>
      </c>
      <c r="P176" s="3125">
        <v>10000000</v>
      </c>
      <c r="Q176" s="3125">
        <f t="shared" si="40"/>
        <v>0</v>
      </c>
      <c r="R176" s="3605">
        <f>+P176/L176*100-100</f>
        <v>0</v>
      </c>
      <c r="S176" s="1881"/>
      <c r="T176" s="1846">
        <f t="shared" ref="T176:T211" si="42">O176*4</f>
        <v>0</v>
      </c>
    </row>
    <row r="177" spans="1:20" s="257" customFormat="1" ht="15.05" customHeight="1">
      <c r="A177" s="1855"/>
      <c r="B177" s="1855"/>
      <c r="C177" s="1855"/>
      <c r="D177" s="1855"/>
      <c r="E177" s="1855"/>
      <c r="F177" s="1464" t="s">
        <v>463</v>
      </c>
      <c r="G177" s="1858"/>
      <c r="H177" s="200"/>
      <c r="I177" s="217"/>
      <c r="J177" s="3171"/>
      <c r="K177" s="3171"/>
      <c r="L177" s="3125">
        <v>0</v>
      </c>
      <c r="M177" s="3124">
        <v>0</v>
      </c>
      <c r="N177" s="3125">
        <v>0</v>
      </c>
      <c r="O177" s="3125">
        <v>0</v>
      </c>
      <c r="P177" s="3125">
        <v>0</v>
      </c>
      <c r="Q177" s="3125">
        <f t="shared" si="40"/>
        <v>0</v>
      </c>
      <c r="R177" s="3605">
        <v>0</v>
      </c>
      <c r="S177" s="1881"/>
      <c r="T177" s="1846">
        <f t="shared" si="42"/>
        <v>0</v>
      </c>
    </row>
    <row r="178" spans="1:20" s="257" customFormat="1" ht="15.05" customHeight="1">
      <c r="A178" s="1855"/>
      <c r="B178" s="1855"/>
      <c r="C178" s="1855"/>
      <c r="D178" s="1855"/>
      <c r="E178" s="1855"/>
      <c r="F178" s="1857" t="s">
        <v>50</v>
      </c>
      <c r="G178" s="1858"/>
      <c r="H178" s="200" t="s">
        <v>539</v>
      </c>
      <c r="I178" s="217"/>
      <c r="J178" s="3171"/>
      <c r="K178" s="3171"/>
      <c r="L178" s="3125">
        <v>0</v>
      </c>
      <c r="M178" s="3124">
        <v>0</v>
      </c>
      <c r="N178" s="3125">
        <v>0</v>
      </c>
      <c r="O178" s="3125">
        <v>0</v>
      </c>
      <c r="P178" s="3125">
        <v>0</v>
      </c>
      <c r="Q178" s="3125">
        <f t="shared" si="40"/>
        <v>0</v>
      </c>
      <c r="R178" s="3605">
        <v>0</v>
      </c>
      <c r="S178" s="1881"/>
      <c r="T178" s="1846">
        <f t="shared" si="42"/>
        <v>0</v>
      </c>
    </row>
    <row r="179" spans="1:20" s="257" customFormat="1" ht="15.05" customHeight="1">
      <c r="A179" s="1855"/>
      <c r="B179" s="1855"/>
      <c r="C179" s="1855"/>
      <c r="D179" s="1855"/>
      <c r="E179" s="1855"/>
      <c r="F179" s="1464" t="s">
        <v>523</v>
      </c>
      <c r="G179" s="1860"/>
      <c r="H179" s="202"/>
      <c r="I179" s="218"/>
      <c r="J179" s="3123">
        <f>SUM(J180:J183)</f>
        <v>10000000</v>
      </c>
      <c r="K179" s="3123">
        <f t="shared" ref="K179:P179" si="43">SUM(K180:K183)</f>
        <v>42289500</v>
      </c>
      <c r="L179" s="3123">
        <f t="shared" si="43"/>
        <v>0</v>
      </c>
      <c r="M179" s="3123">
        <f t="shared" si="43"/>
        <v>0</v>
      </c>
      <c r="N179" s="3123">
        <f t="shared" si="43"/>
        <v>0</v>
      </c>
      <c r="O179" s="3123">
        <f t="shared" si="43"/>
        <v>0</v>
      </c>
      <c r="P179" s="3123">
        <f t="shared" si="43"/>
        <v>50000000</v>
      </c>
      <c r="Q179" s="3182">
        <f t="shared" si="40"/>
        <v>50000000</v>
      </c>
      <c r="R179" s="3601">
        <v>0</v>
      </c>
      <c r="S179" s="1881"/>
      <c r="T179" s="1846">
        <f t="shared" si="42"/>
        <v>0</v>
      </c>
    </row>
    <row r="180" spans="1:20" s="257" customFormat="1" ht="15.05" customHeight="1">
      <c r="A180" s="1855"/>
      <c r="B180" s="1855"/>
      <c r="C180" s="1855"/>
      <c r="D180" s="1855"/>
      <c r="E180" s="1855"/>
      <c r="F180" s="1857" t="s">
        <v>50</v>
      </c>
      <c r="G180" s="1858"/>
      <c r="H180" s="200" t="s">
        <v>540</v>
      </c>
      <c r="I180" s="217"/>
      <c r="J180" s="3193" t="s">
        <v>50</v>
      </c>
      <c r="K180" s="3193" t="s">
        <v>50</v>
      </c>
      <c r="L180" s="3125">
        <v>0</v>
      </c>
      <c r="M180" s="3124">
        <v>0</v>
      </c>
      <c r="N180" s="3125">
        <v>0</v>
      </c>
      <c r="O180" s="3125">
        <v>0</v>
      </c>
      <c r="P180" s="3125">
        <v>0</v>
      </c>
      <c r="Q180" s="3125">
        <f t="shared" si="40"/>
        <v>0</v>
      </c>
      <c r="R180" s="3605">
        <v>0</v>
      </c>
      <c r="S180" s="1881"/>
      <c r="T180" s="1846">
        <f t="shared" si="42"/>
        <v>0</v>
      </c>
    </row>
    <row r="181" spans="1:20" s="257" customFormat="1" ht="15.05" customHeight="1">
      <c r="A181" s="1855"/>
      <c r="B181" s="1855"/>
      <c r="C181" s="1855"/>
      <c r="D181" s="1855"/>
      <c r="E181" s="1855"/>
      <c r="F181" s="1857" t="s">
        <v>50</v>
      </c>
      <c r="G181" s="1858"/>
      <c r="H181" s="200" t="s">
        <v>541</v>
      </c>
      <c r="I181" s="217"/>
      <c r="J181" s="3193" t="s">
        <v>50</v>
      </c>
      <c r="K181" s="3193" t="s">
        <v>50</v>
      </c>
      <c r="L181" s="3125">
        <v>0</v>
      </c>
      <c r="M181" s="3124">
        <v>0</v>
      </c>
      <c r="N181" s="3125">
        <v>0</v>
      </c>
      <c r="O181" s="3125">
        <v>0</v>
      </c>
      <c r="P181" s="3125">
        <v>0</v>
      </c>
      <c r="Q181" s="3125">
        <f t="shared" si="40"/>
        <v>0</v>
      </c>
      <c r="R181" s="3605">
        <v>0</v>
      </c>
      <c r="S181" s="1881"/>
      <c r="T181" s="1846">
        <f t="shared" si="42"/>
        <v>0</v>
      </c>
    </row>
    <row r="182" spans="1:20" s="257" customFormat="1" ht="15.05" customHeight="1">
      <c r="A182" s="1855"/>
      <c r="B182" s="1855"/>
      <c r="C182" s="1855"/>
      <c r="D182" s="1855"/>
      <c r="E182" s="1855"/>
      <c r="F182" s="1857" t="s">
        <v>50</v>
      </c>
      <c r="G182" s="1858"/>
      <c r="H182" s="200" t="s">
        <v>542</v>
      </c>
      <c r="I182" s="217"/>
      <c r="J182" s="3193" t="s">
        <v>50</v>
      </c>
      <c r="K182" s="3193" t="s">
        <v>50</v>
      </c>
      <c r="L182" s="3125">
        <v>0</v>
      </c>
      <c r="M182" s="3124">
        <v>0</v>
      </c>
      <c r="N182" s="3125">
        <v>0</v>
      </c>
      <c r="O182" s="3125">
        <v>0</v>
      </c>
      <c r="P182" s="3125">
        <v>0</v>
      </c>
      <c r="Q182" s="3125">
        <f t="shared" si="40"/>
        <v>0</v>
      </c>
      <c r="R182" s="3605">
        <v>0</v>
      </c>
      <c r="S182" s="1881"/>
      <c r="T182" s="1846">
        <f t="shared" si="42"/>
        <v>0</v>
      </c>
    </row>
    <row r="183" spans="1:20" s="257" customFormat="1" ht="15.05" customHeight="1">
      <c r="A183" s="1855"/>
      <c r="B183" s="1855"/>
      <c r="C183" s="1855"/>
      <c r="D183" s="1855"/>
      <c r="E183" s="1855"/>
      <c r="F183" s="1857" t="s">
        <v>50</v>
      </c>
      <c r="G183" s="1858"/>
      <c r="H183" s="200" t="s">
        <v>543</v>
      </c>
      <c r="I183" s="217"/>
      <c r="J183" s="3193">
        <v>10000000</v>
      </c>
      <c r="K183" s="3193">
        <v>42289500</v>
      </c>
      <c r="L183" s="3125">
        <v>0</v>
      </c>
      <c r="M183" s="3124">
        <v>0</v>
      </c>
      <c r="N183" s="3125">
        <v>0</v>
      </c>
      <c r="O183" s="3125">
        <v>0</v>
      </c>
      <c r="P183" s="3125">
        <v>50000000</v>
      </c>
      <c r="Q183" s="3125">
        <f t="shared" si="40"/>
        <v>50000000</v>
      </c>
      <c r="R183" s="3605">
        <v>0</v>
      </c>
      <c r="S183" s="1881"/>
      <c r="T183" s="1846">
        <f t="shared" si="42"/>
        <v>0</v>
      </c>
    </row>
    <row r="184" spans="1:20" s="257" customFormat="1" ht="15.05" customHeight="1">
      <c r="A184" s="1855"/>
      <c r="B184" s="1855"/>
      <c r="C184" s="1855"/>
      <c r="D184" s="1855"/>
      <c r="E184" s="1855"/>
      <c r="F184" s="1464" t="s">
        <v>544</v>
      </c>
      <c r="G184" s="1860"/>
      <c r="H184" s="202"/>
      <c r="I184" s="218"/>
      <c r="J184" s="3123">
        <f>SUM(J185:J191)</f>
        <v>219000000</v>
      </c>
      <c r="K184" s="3123">
        <f t="shared" ref="K184:P184" si="44">SUM(K185:K191)</f>
        <v>502760530</v>
      </c>
      <c r="L184" s="3123">
        <f t="shared" si="44"/>
        <v>219000000</v>
      </c>
      <c r="M184" s="3123">
        <f t="shared" si="44"/>
        <v>858050</v>
      </c>
      <c r="N184" s="3123">
        <f t="shared" si="44"/>
        <v>0</v>
      </c>
      <c r="O184" s="3123">
        <f t="shared" si="44"/>
        <v>858050</v>
      </c>
      <c r="P184" s="3123">
        <f t="shared" si="44"/>
        <v>219000000</v>
      </c>
      <c r="Q184" s="3182">
        <f t="shared" si="40"/>
        <v>0</v>
      </c>
      <c r="R184" s="3601">
        <f>+P184/L184*100-100</f>
        <v>0</v>
      </c>
      <c r="S184" s="1881"/>
      <c r="T184" s="1846">
        <f t="shared" si="42"/>
        <v>3432200</v>
      </c>
    </row>
    <row r="185" spans="1:20" s="1538" customFormat="1" ht="15.05" customHeight="1">
      <c r="A185" s="1855"/>
      <c r="B185" s="1855"/>
      <c r="C185" s="1855"/>
      <c r="D185" s="1855"/>
      <c r="E185" s="1855"/>
      <c r="F185" s="1857" t="s">
        <v>50</v>
      </c>
      <c r="G185" s="1858"/>
      <c r="H185" s="200" t="str">
        <f>MAR!I649</f>
        <v>Penj. Sapi fetening</v>
      </c>
      <c r="I185" s="217"/>
      <c r="J185" s="3171">
        <v>0</v>
      </c>
      <c r="K185" s="3171">
        <v>777000</v>
      </c>
      <c r="L185" s="3125">
        <v>0</v>
      </c>
      <c r="M185" s="3124">
        <v>0</v>
      </c>
      <c r="N185" s="3125">
        <v>0</v>
      </c>
      <c r="O185" s="3125">
        <v>0</v>
      </c>
      <c r="P185" s="3125">
        <v>0</v>
      </c>
      <c r="Q185" s="3125">
        <f t="shared" si="40"/>
        <v>0</v>
      </c>
      <c r="R185" s="3605">
        <v>0</v>
      </c>
      <c r="S185" s="1881"/>
      <c r="T185" s="1846">
        <f t="shared" si="42"/>
        <v>0</v>
      </c>
    </row>
    <row r="186" spans="1:20" s="1538" customFormat="1" ht="15.05" customHeight="1">
      <c r="A186" s="1855"/>
      <c r="B186" s="1855"/>
      <c r="C186" s="1855"/>
      <c r="D186" s="1855"/>
      <c r="E186" s="1855"/>
      <c r="F186" s="1857" t="s">
        <v>50</v>
      </c>
      <c r="G186" s="1858"/>
      <c r="H186" s="200" t="str">
        <f>MAR!I650</f>
        <v>Inseminasi buatan BLPKH Banyumulek</v>
      </c>
      <c r="I186" s="217"/>
      <c r="J186" s="3171">
        <v>75000000</v>
      </c>
      <c r="K186" s="3171">
        <v>76523650</v>
      </c>
      <c r="L186" s="3125">
        <v>75000000</v>
      </c>
      <c r="M186" s="3124">
        <v>858050</v>
      </c>
      <c r="N186" s="3125">
        <v>0</v>
      </c>
      <c r="O186" s="3125">
        <v>858050</v>
      </c>
      <c r="P186" s="3125">
        <v>75000000</v>
      </c>
      <c r="Q186" s="3125">
        <f t="shared" si="40"/>
        <v>0</v>
      </c>
      <c r="R186" s="3605">
        <f>+P186/L186*100-100</f>
        <v>0</v>
      </c>
      <c r="S186" s="1881"/>
      <c r="T186" s="1846">
        <f t="shared" si="42"/>
        <v>3432200</v>
      </c>
    </row>
    <row r="187" spans="1:20" s="1538" customFormat="1" ht="15.05" customHeight="1">
      <c r="A187" s="1855"/>
      <c r="B187" s="1855"/>
      <c r="C187" s="1855"/>
      <c r="D187" s="1855"/>
      <c r="E187" s="1855"/>
      <c r="F187" s="1857" t="s">
        <v>50</v>
      </c>
      <c r="G187" s="1858"/>
      <c r="H187" s="200" t="str">
        <f>MAR!I651</f>
        <v>Penj. HMT BPTHMT Serading Sumbawa</v>
      </c>
      <c r="I187" s="217"/>
      <c r="J187" s="3171">
        <v>19000000</v>
      </c>
      <c r="K187" s="3171">
        <v>58119880</v>
      </c>
      <c r="L187" s="3125">
        <v>19000000</v>
      </c>
      <c r="M187" s="3124">
        <v>0</v>
      </c>
      <c r="N187" s="3125">
        <v>0</v>
      </c>
      <c r="O187" s="3125">
        <v>0</v>
      </c>
      <c r="P187" s="3125">
        <v>19000000</v>
      </c>
      <c r="Q187" s="3125">
        <f t="shared" si="40"/>
        <v>0</v>
      </c>
      <c r="R187" s="3605">
        <f>+P187/L187*100-100</f>
        <v>0</v>
      </c>
      <c r="S187" s="1881"/>
      <c r="T187" s="1846">
        <f t="shared" si="42"/>
        <v>0</v>
      </c>
    </row>
    <row r="188" spans="1:20" s="1538" customFormat="1" ht="15.05" customHeight="1">
      <c r="A188" s="1855"/>
      <c r="B188" s="1855"/>
      <c r="C188" s="1855"/>
      <c r="D188" s="1855"/>
      <c r="E188" s="1855"/>
      <c r="F188" s="1857" t="s">
        <v>50</v>
      </c>
      <c r="G188" s="1858"/>
      <c r="H188" s="200" t="str">
        <f>MAR!I652</f>
        <v>Penj.Ternak tdk layak bibit Serading</v>
      </c>
      <c r="I188" s="217"/>
      <c r="J188" s="3171">
        <v>125000000</v>
      </c>
      <c r="K188" s="3171">
        <v>367340000</v>
      </c>
      <c r="L188" s="3125">
        <v>125000000</v>
      </c>
      <c r="M188" s="3124">
        <v>0</v>
      </c>
      <c r="N188" s="3125">
        <v>0</v>
      </c>
      <c r="O188" s="3125">
        <v>0</v>
      </c>
      <c r="P188" s="3125">
        <v>125000000</v>
      </c>
      <c r="Q188" s="3125">
        <f t="shared" si="40"/>
        <v>0</v>
      </c>
      <c r="R188" s="3605">
        <f>+P188/L188*100-100</f>
        <v>0</v>
      </c>
      <c r="S188" s="1881"/>
      <c r="T188" s="1846">
        <f t="shared" si="42"/>
        <v>0</v>
      </c>
    </row>
    <row r="189" spans="1:20" s="1538" customFormat="1" ht="15.05" customHeight="1">
      <c r="A189" s="1855"/>
      <c r="B189" s="1855"/>
      <c r="C189" s="1855"/>
      <c r="D189" s="1855"/>
      <c r="E189" s="1855"/>
      <c r="F189" s="1857" t="s">
        <v>50</v>
      </c>
      <c r="G189" s="1858"/>
      <c r="H189" s="200" t="str">
        <f>MAR!I653</f>
        <v xml:space="preserve">Penj. Susu &amp; Sapi perah non produktif BIB </v>
      </c>
      <c r="I189" s="217"/>
      <c r="J189" s="3193" t="s">
        <v>50</v>
      </c>
      <c r="K189" s="3193" t="s">
        <v>50</v>
      </c>
      <c r="L189" s="3125">
        <v>0</v>
      </c>
      <c r="M189" s="3124">
        <v>0</v>
      </c>
      <c r="N189" s="3125">
        <v>0</v>
      </c>
      <c r="O189" s="3125">
        <v>0</v>
      </c>
      <c r="P189" s="3125">
        <v>0</v>
      </c>
      <c r="Q189" s="3125">
        <f t="shared" si="40"/>
        <v>0</v>
      </c>
      <c r="R189" s="3605">
        <v>0</v>
      </c>
      <c r="S189" s="1881"/>
      <c r="T189" s="1846">
        <f t="shared" si="42"/>
        <v>0</v>
      </c>
    </row>
    <row r="190" spans="1:20" s="1538" customFormat="1" ht="15.05" customHeight="1">
      <c r="A190" s="1855"/>
      <c r="B190" s="1855"/>
      <c r="C190" s="1855"/>
      <c r="D190" s="1855"/>
      <c r="E190" s="1855"/>
      <c r="F190" s="1857" t="s">
        <v>50</v>
      </c>
      <c r="G190" s="1858"/>
      <c r="H190" s="200" t="str">
        <f>MAR!I654</f>
        <v>Penj. Ayam Pedaging BIB Banyumulek</v>
      </c>
      <c r="I190" s="217"/>
      <c r="J190" s="3193" t="s">
        <v>50</v>
      </c>
      <c r="K190" s="3193" t="s">
        <v>50</v>
      </c>
      <c r="L190" s="3125">
        <v>0</v>
      </c>
      <c r="M190" s="3124">
        <v>0</v>
      </c>
      <c r="N190" s="3125">
        <v>0</v>
      </c>
      <c r="O190" s="3125">
        <v>0</v>
      </c>
      <c r="P190" s="3125">
        <v>0</v>
      </c>
      <c r="Q190" s="3125">
        <f t="shared" si="40"/>
        <v>0</v>
      </c>
      <c r="R190" s="3605">
        <v>0</v>
      </c>
      <c r="S190" s="1881"/>
      <c r="T190" s="1846">
        <f t="shared" si="42"/>
        <v>0</v>
      </c>
    </row>
    <row r="191" spans="1:20" s="1538" customFormat="1" ht="15.05" customHeight="1">
      <c r="A191" s="1855"/>
      <c r="B191" s="1855"/>
      <c r="C191" s="1855"/>
      <c r="D191" s="1855"/>
      <c r="E191" s="1855"/>
      <c r="F191" s="1857" t="s">
        <v>50</v>
      </c>
      <c r="G191" s="1858"/>
      <c r="H191" s="200" t="str">
        <f>MAR!I655</f>
        <v>Penj. Daging RPH Banyumulek</v>
      </c>
      <c r="I191" s="217"/>
      <c r="J191" s="3193" t="s">
        <v>50</v>
      </c>
      <c r="K191" s="3193" t="s">
        <v>50</v>
      </c>
      <c r="L191" s="3125">
        <v>0</v>
      </c>
      <c r="M191" s="3124">
        <v>0</v>
      </c>
      <c r="N191" s="3125">
        <v>0</v>
      </c>
      <c r="O191" s="3125">
        <v>0</v>
      </c>
      <c r="P191" s="3125">
        <v>0</v>
      </c>
      <c r="Q191" s="3125">
        <f t="shared" si="40"/>
        <v>0</v>
      </c>
      <c r="R191" s="3605">
        <v>0</v>
      </c>
      <c r="S191" s="1908"/>
      <c r="T191" s="1846">
        <f t="shared" si="42"/>
        <v>0</v>
      </c>
    </row>
    <row r="192" spans="1:20" s="1538" customFormat="1" ht="15.05" customHeight="1">
      <c r="A192" s="1855"/>
      <c r="B192" s="1855"/>
      <c r="C192" s="1855"/>
      <c r="D192" s="1855"/>
      <c r="E192" s="1855"/>
      <c r="F192" s="1464" t="s">
        <v>528</v>
      </c>
      <c r="G192" s="1860"/>
      <c r="H192" s="202"/>
      <c r="I192" s="218"/>
      <c r="J192" s="3123">
        <f>SUM(J193:J199)</f>
        <v>820000000</v>
      </c>
      <c r="K192" s="3123">
        <f t="shared" ref="K192:P192" si="45">SUM(K193:K199)</f>
        <v>890941000</v>
      </c>
      <c r="L192" s="3123">
        <f t="shared" si="45"/>
        <v>820000000</v>
      </c>
      <c r="M192" s="3123">
        <f t="shared" si="45"/>
        <v>55399500</v>
      </c>
      <c r="N192" s="3123">
        <f t="shared" si="45"/>
        <v>120244500</v>
      </c>
      <c r="O192" s="3123">
        <f t="shared" si="45"/>
        <v>175644000</v>
      </c>
      <c r="P192" s="3123">
        <f t="shared" si="45"/>
        <v>820000000</v>
      </c>
      <c r="Q192" s="3182">
        <f t="shared" si="40"/>
        <v>0</v>
      </c>
      <c r="R192" s="3601">
        <f>+P192/L192*100-100</f>
        <v>0</v>
      </c>
      <c r="S192" s="1877">
        <f>SUM(S193:S199)</f>
        <v>0</v>
      </c>
      <c r="T192" s="1846">
        <f t="shared" si="42"/>
        <v>702576000</v>
      </c>
    </row>
    <row r="193" spans="1:20" s="1538" customFormat="1" ht="15.05" customHeight="1">
      <c r="A193" s="1855"/>
      <c r="B193" s="1855"/>
      <c r="C193" s="1855"/>
      <c r="D193" s="1855"/>
      <c r="E193" s="1855"/>
      <c r="F193" s="1857" t="s">
        <v>50</v>
      </c>
      <c r="G193" s="1858"/>
      <c r="H193" s="200" t="str">
        <f>MAR!I688</f>
        <v>BPBIAT Aikmel</v>
      </c>
      <c r="I193" s="217"/>
      <c r="J193" s="3171">
        <v>190000000</v>
      </c>
      <c r="K193" s="3171">
        <v>185000000</v>
      </c>
      <c r="L193" s="3125">
        <v>190000000</v>
      </c>
      <c r="M193" s="3124">
        <v>30000000</v>
      </c>
      <c r="N193" s="3125">
        <v>19500000</v>
      </c>
      <c r="O193" s="3125">
        <v>49500000</v>
      </c>
      <c r="P193" s="3125">
        <v>190000000</v>
      </c>
      <c r="Q193" s="3125">
        <f t="shared" si="40"/>
        <v>0</v>
      </c>
      <c r="R193" s="3605">
        <f>+P193/L193*100-100</f>
        <v>0</v>
      </c>
      <c r="S193" s="1881"/>
      <c r="T193" s="1846">
        <f t="shared" si="42"/>
        <v>198000000</v>
      </c>
    </row>
    <row r="194" spans="1:20" s="1538" customFormat="1" ht="15.05" customHeight="1">
      <c r="A194" s="1855"/>
      <c r="B194" s="1855"/>
      <c r="C194" s="1855"/>
      <c r="D194" s="1855"/>
      <c r="E194" s="1855"/>
      <c r="F194" s="1857" t="s">
        <v>50</v>
      </c>
      <c r="G194" s="1858"/>
      <c r="H194" s="200" t="str">
        <f>MAR!I689</f>
        <v>BBI Batu kumbung</v>
      </c>
      <c r="I194" s="217"/>
      <c r="J194" s="3171">
        <v>160000000</v>
      </c>
      <c r="K194" s="3171">
        <v>160153500</v>
      </c>
      <c r="L194" s="3125">
        <v>160000000</v>
      </c>
      <c r="M194" s="3124">
        <v>6528500</v>
      </c>
      <c r="N194" s="3125">
        <v>15425500</v>
      </c>
      <c r="O194" s="3125">
        <v>21954000</v>
      </c>
      <c r="P194" s="3125">
        <v>160000000</v>
      </c>
      <c r="Q194" s="3125">
        <f t="shared" si="40"/>
        <v>0</v>
      </c>
      <c r="R194" s="3605">
        <f>+P194/L194*100-100</f>
        <v>0</v>
      </c>
      <c r="S194" s="1881"/>
      <c r="T194" s="1846">
        <f t="shared" si="42"/>
        <v>87816000</v>
      </c>
    </row>
    <row r="195" spans="1:20" s="1538" customFormat="1" ht="15.05" customHeight="1">
      <c r="A195" s="1855"/>
      <c r="B195" s="1855"/>
      <c r="C195" s="1855"/>
      <c r="D195" s="1855"/>
      <c r="E195" s="1855"/>
      <c r="F195" s="1857" t="s">
        <v>50</v>
      </c>
      <c r="G195" s="1858"/>
      <c r="H195" s="200" t="str">
        <f>MAR!I690</f>
        <v>BBI Lingsar</v>
      </c>
      <c r="I195" s="217"/>
      <c r="J195" s="3171">
        <v>90000000</v>
      </c>
      <c r="K195" s="3171">
        <v>90772500</v>
      </c>
      <c r="L195" s="3125">
        <v>90000000</v>
      </c>
      <c r="M195" s="3124">
        <v>16191000</v>
      </c>
      <c r="N195" s="3125">
        <v>11950000</v>
      </c>
      <c r="O195" s="3125">
        <v>28141000</v>
      </c>
      <c r="P195" s="3125">
        <v>90000000</v>
      </c>
      <c r="Q195" s="3125">
        <f t="shared" si="40"/>
        <v>0</v>
      </c>
      <c r="R195" s="3605">
        <f>+P195/L195*100-100</f>
        <v>0</v>
      </c>
      <c r="S195" s="1881"/>
      <c r="T195" s="1846">
        <f t="shared" si="42"/>
        <v>112564000</v>
      </c>
    </row>
    <row r="196" spans="1:20" s="1538" customFormat="1" ht="15.05" customHeight="1">
      <c r="A196" s="1855"/>
      <c r="B196" s="1855"/>
      <c r="C196" s="1855"/>
      <c r="D196" s="1855"/>
      <c r="E196" s="1855"/>
      <c r="F196" s="1857" t="s">
        <v>50</v>
      </c>
      <c r="G196" s="1858"/>
      <c r="H196" s="200" t="str">
        <f>MAR!I691</f>
        <v>Matua</v>
      </c>
      <c r="I196" s="217"/>
      <c r="J196" s="3193" t="s">
        <v>50</v>
      </c>
      <c r="K196" s="3193" t="s">
        <v>50</v>
      </c>
      <c r="L196" s="3125">
        <v>0</v>
      </c>
      <c r="M196" s="3124">
        <v>0</v>
      </c>
      <c r="N196" s="3125">
        <v>0</v>
      </c>
      <c r="O196" s="3125">
        <v>0</v>
      </c>
      <c r="P196" s="3125">
        <v>0</v>
      </c>
      <c r="Q196" s="3125">
        <f t="shared" si="40"/>
        <v>0</v>
      </c>
      <c r="R196" s="3605">
        <v>0</v>
      </c>
      <c r="S196" s="1881"/>
      <c r="T196" s="1846">
        <f t="shared" si="42"/>
        <v>0</v>
      </c>
    </row>
    <row r="197" spans="1:20" s="1538" customFormat="1" ht="15.05" customHeight="1">
      <c r="A197" s="1855"/>
      <c r="B197" s="1855"/>
      <c r="C197" s="1855"/>
      <c r="D197" s="1855"/>
      <c r="E197" s="1855"/>
      <c r="F197" s="1857" t="s">
        <v>50</v>
      </c>
      <c r="G197" s="1858"/>
      <c r="H197" s="200" t="str">
        <f>MAR!I692</f>
        <v>BBI Rade Bima</v>
      </c>
      <c r="I197" s="217"/>
      <c r="J197" s="3171">
        <v>15000000</v>
      </c>
      <c r="K197" s="3193">
        <v>15000000</v>
      </c>
      <c r="L197" s="3125">
        <v>15000000</v>
      </c>
      <c r="M197" s="3124">
        <v>1200000</v>
      </c>
      <c r="N197" s="3125">
        <v>1400000</v>
      </c>
      <c r="O197" s="3125">
        <v>2600000</v>
      </c>
      <c r="P197" s="3125">
        <v>15000000</v>
      </c>
      <c r="Q197" s="3125">
        <f t="shared" si="40"/>
        <v>0</v>
      </c>
      <c r="R197" s="3605">
        <f>+P197/L197*100-100</f>
        <v>0</v>
      </c>
      <c r="S197" s="1881"/>
      <c r="T197" s="1846">
        <f t="shared" si="42"/>
        <v>10400000</v>
      </c>
    </row>
    <row r="198" spans="1:20" s="1538" customFormat="1" ht="15.05" customHeight="1">
      <c r="A198" s="1855"/>
      <c r="B198" s="1855"/>
      <c r="C198" s="1855"/>
      <c r="D198" s="1855"/>
      <c r="E198" s="1855"/>
      <c r="F198" s="1857" t="s">
        <v>50</v>
      </c>
      <c r="G198" s="1858"/>
      <c r="H198" s="200" t="str">
        <f>MAR!I693</f>
        <v>BBI Taliwang</v>
      </c>
      <c r="I198" s="217"/>
      <c r="J198" s="3171">
        <v>30000000</v>
      </c>
      <c r="K198" s="3193">
        <v>4000000</v>
      </c>
      <c r="L198" s="3125">
        <v>30000000</v>
      </c>
      <c r="M198" s="3124">
        <v>1480000</v>
      </c>
      <c r="N198" s="3125">
        <v>569000</v>
      </c>
      <c r="O198" s="3125">
        <v>2049000</v>
      </c>
      <c r="P198" s="3125">
        <v>30000000</v>
      </c>
      <c r="Q198" s="3125">
        <f t="shared" si="40"/>
        <v>0</v>
      </c>
      <c r="R198" s="3605">
        <f>+P198/L198*100-100</f>
        <v>0</v>
      </c>
      <c r="S198" s="1881"/>
      <c r="T198" s="1846">
        <f t="shared" si="42"/>
        <v>8196000</v>
      </c>
    </row>
    <row r="199" spans="1:20" s="1538" customFormat="1" ht="15.05" customHeight="1">
      <c r="A199" s="1855"/>
      <c r="B199" s="1855"/>
      <c r="C199" s="1855"/>
      <c r="D199" s="1855"/>
      <c r="E199" s="1855"/>
      <c r="F199" s="1857" t="s">
        <v>50</v>
      </c>
      <c r="G199" s="1858"/>
      <c r="H199" s="200" t="str">
        <f>MAR!I694</f>
        <v>BPBPP Sekotong</v>
      </c>
      <c r="I199" s="217"/>
      <c r="J199" s="3171">
        <v>335000000</v>
      </c>
      <c r="K199" s="3193">
        <v>436015000</v>
      </c>
      <c r="L199" s="3125">
        <v>335000000</v>
      </c>
      <c r="M199" s="3124">
        <v>0</v>
      </c>
      <c r="N199" s="3125">
        <v>71400000</v>
      </c>
      <c r="O199" s="3125">
        <v>71400000</v>
      </c>
      <c r="P199" s="3125">
        <v>335000000</v>
      </c>
      <c r="Q199" s="3125">
        <f t="shared" si="40"/>
        <v>0</v>
      </c>
      <c r="R199" s="3605">
        <f>+P199/L199*100-100</f>
        <v>0</v>
      </c>
      <c r="S199" s="1876">
        <f>PerDinas!Q947</f>
        <v>0</v>
      </c>
      <c r="T199" s="1846">
        <f t="shared" si="42"/>
        <v>285600000</v>
      </c>
    </row>
    <row r="200" spans="1:20" s="1538" customFormat="1" ht="15.05" customHeight="1">
      <c r="A200" s="3573"/>
      <c r="B200" s="3573"/>
      <c r="C200" s="3573"/>
      <c r="D200" s="3573"/>
      <c r="E200" s="3573"/>
      <c r="F200" s="3574"/>
      <c r="G200" s="3581"/>
      <c r="H200" s="3575"/>
      <c r="I200" s="3582"/>
      <c r="J200" s="3577"/>
      <c r="K200" s="3583"/>
      <c r="L200" s="3578"/>
      <c r="M200" s="3579"/>
      <c r="N200" s="3578"/>
      <c r="O200" s="3578"/>
      <c r="P200" s="3578"/>
      <c r="Q200" s="3578"/>
      <c r="R200" s="3615"/>
      <c r="S200" s="1881"/>
      <c r="T200" s="1846">
        <f t="shared" si="42"/>
        <v>0</v>
      </c>
    </row>
    <row r="201" spans="1:20" s="2945" customFormat="1" ht="15.05" customHeight="1">
      <c r="A201" s="3053">
        <v>4</v>
      </c>
      <c r="B201" s="3054">
        <v>1</v>
      </c>
      <c r="C201" s="3054">
        <v>2</v>
      </c>
      <c r="D201" s="3054" t="s">
        <v>440</v>
      </c>
      <c r="E201" s="3054"/>
      <c r="F201" s="3056" t="s">
        <v>545</v>
      </c>
      <c r="G201" s="3057"/>
      <c r="H201" s="3064"/>
      <c r="I201" s="3065"/>
      <c r="J201" s="3202">
        <f>+J202+J207+J210</f>
        <v>1648889500</v>
      </c>
      <c r="K201" s="3202">
        <f>+K202+K207+K210</f>
        <v>1761141600</v>
      </c>
      <c r="L201" s="3178">
        <f>+L202+L207+L210</f>
        <v>1648889500</v>
      </c>
      <c r="M201" s="3179">
        <v>323745000</v>
      </c>
      <c r="N201" s="3178">
        <f>+N202+N207+N210</f>
        <v>153560000</v>
      </c>
      <c r="O201" s="3178">
        <f>+O202+O207+O210</f>
        <v>477305000</v>
      </c>
      <c r="P201" s="3178">
        <f>+P202+P207+P210</f>
        <v>1863889500</v>
      </c>
      <c r="Q201" s="3178">
        <f>+Q202+Q207+Q210</f>
        <v>215000000</v>
      </c>
      <c r="R201" s="3613">
        <f>+P201/L201*100-100</f>
        <v>13.039078725408842</v>
      </c>
      <c r="S201" s="2943"/>
      <c r="T201" s="2944">
        <f t="shared" si="42"/>
        <v>1909220000</v>
      </c>
    </row>
    <row r="202" spans="1:20" s="2932" customFormat="1" ht="15.05" customHeight="1">
      <c r="A202" s="3047">
        <v>4</v>
      </c>
      <c r="B202" s="3047">
        <v>1</v>
      </c>
      <c r="C202" s="3047">
        <v>2</v>
      </c>
      <c r="D202" s="3047" t="s">
        <v>440</v>
      </c>
      <c r="E202" s="3047" t="s">
        <v>437</v>
      </c>
      <c r="F202" s="3048" t="s">
        <v>117</v>
      </c>
      <c r="G202" s="3049"/>
      <c r="H202" s="3050"/>
      <c r="I202" s="3051"/>
      <c r="J202" s="3441">
        <f>SUM(J203:J205)</f>
        <v>193889500</v>
      </c>
      <c r="K202" s="3442">
        <f>SUM(K203:K205)</f>
        <v>122160000</v>
      </c>
      <c r="L202" s="3163">
        <f>SUM(L203:L206)</f>
        <v>193889500</v>
      </c>
      <c r="M202" s="3164">
        <v>3165000</v>
      </c>
      <c r="N202" s="3163">
        <f>SUM(N203:N206)</f>
        <v>25400000</v>
      </c>
      <c r="O202" s="3163">
        <f>N202+M202</f>
        <v>28565000</v>
      </c>
      <c r="P202" s="3163">
        <f>SUM(P203:P205)</f>
        <v>193889500</v>
      </c>
      <c r="Q202" s="3163">
        <f>+P202-L202</f>
        <v>0</v>
      </c>
      <c r="R202" s="3610">
        <f>+P202/L202*100-100</f>
        <v>0</v>
      </c>
      <c r="S202" s="2937"/>
      <c r="T202" s="2931">
        <f t="shared" si="42"/>
        <v>114260000</v>
      </c>
    </row>
    <row r="203" spans="1:20" s="1538" customFormat="1" ht="15.05" customHeight="1">
      <c r="A203" s="1855"/>
      <c r="B203" s="1855"/>
      <c r="C203" s="1855"/>
      <c r="D203" s="1855"/>
      <c r="E203" s="1855"/>
      <c r="F203" s="1857" t="s">
        <v>50</v>
      </c>
      <c r="G203" s="1858"/>
      <c r="H203" s="200" t="s">
        <v>546</v>
      </c>
      <c r="I203" s="217"/>
      <c r="J203" s="3171">
        <v>103889500</v>
      </c>
      <c r="K203" s="3193">
        <v>75250000</v>
      </c>
      <c r="L203" s="3125">
        <f>MAR!J158</f>
        <v>103889500</v>
      </c>
      <c r="M203" s="3124">
        <v>230000</v>
      </c>
      <c r="N203" s="3125">
        <f>MAR!L158</f>
        <v>24900000</v>
      </c>
      <c r="O203" s="3125">
        <f>MAR!M158</f>
        <v>25130000</v>
      </c>
      <c r="P203" s="3125">
        <v>103889500</v>
      </c>
      <c r="Q203" s="3125">
        <f>+P203-L203</f>
        <v>0</v>
      </c>
      <c r="R203" s="3605">
        <f>+P203/L203*100-100</f>
        <v>0</v>
      </c>
      <c r="S203" s="1881"/>
      <c r="T203" s="1846">
        <f t="shared" si="42"/>
        <v>100520000</v>
      </c>
    </row>
    <row r="204" spans="1:20" s="1538" customFormat="1" ht="15.05" customHeight="1">
      <c r="A204" s="1855"/>
      <c r="B204" s="1855"/>
      <c r="C204" s="1855"/>
      <c r="D204" s="1855"/>
      <c r="E204" s="1855"/>
      <c r="F204" s="1857" t="s">
        <v>50</v>
      </c>
      <c r="G204" s="1858"/>
      <c r="H204" s="200" t="s">
        <v>547</v>
      </c>
      <c r="I204" s="217"/>
      <c r="J204" s="3171">
        <v>90000000</v>
      </c>
      <c r="K204" s="3193" t="s">
        <v>50</v>
      </c>
      <c r="L204" s="3125">
        <f>MAR!J159</f>
        <v>90000000</v>
      </c>
      <c r="M204" s="3124">
        <v>0</v>
      </c>
      <c r="N204" s="3125">
        <f>MAR!L159</f>
        <v>0</v>
      </c>
      <c r="O204" s="3125">
        <f>MAR!M159</f>
        <v>0</v>
      </c>
      <c r="P204" s="3125">
        <v>90000000</v>
      </c>
      <c r="Q204" s="3125">
        <f>+P204-L204</f>
        <v>0</v>
      </c>
      <c r="R204" s="3605">
        <f>+P204/L204*100-100</f>
        <v>0</v>
      </c>
      <c r="S204" s="1881"/>
      <c r="T204" s="1846">
        <f t="shared" si="42"/>
        <v>0</v>
      </c>
    </row>
    <row r="205" spans="1:20" s="1538" customFormat="1" ht="15.05" customHeight="1">
      <c r="A205" s="1855"/>
      <c r="B205" s="1855"/>
      <c r="C205" s="1855"/>
      <c r="D205" s="1855"/>
      <c r="E205" s="1855"/>
      <c r="F205" s="1857" t="s">
        <v>50</v>
      </c>
      <c r="G205" s="1858"/>
      <c r="H205" s="200" t="s">
        <v>548</v>
      </c>
      <c r="I205" s="217"/>
      <c r="J205" s="3193" t="s">
        <v>50</v>
      </c>
      <c r="K205" s="3171">
        <v>46910000</v>
      </c>
      <c r="L205" s="3125">
        <f>MAR!J185</f>
        <v>0</v>
      </c>
      <c r="M205" s="3124">
        <v>2935000</v>
      </c>
      <c r="N205" s="3125">
        <f>MAR!L185</f>
        <v>500000</v>
      </c>
      <c r="O205" s="3125">
        <f>MAR!M185</f>
        <v>3435000</v>
      </c>
      <c r="P205" s="3125">
        <v>0</v>
      </c>
      <c r="Q205" s="3125">
        <f>+P205-L205</f>
        <v>0</v>
      </c>
      <c r="R205" s="3605">
        <v>0</v>
      </c>
      <c r="S205" s="1881"/>
      <c r="T205" s="1846">
        <f t="shared" si="42"/>
        <v>13740000</v>
      </c>
    </row>
    <row r="206" spans="1:20" s="1538" customFormat="1" ht="15.05" customHeight="1">
      <c r="A206" s="1855"/>
      <c r="B206" s="1855"/>
      <c r="C206" s="1855"/>
      <c r="D206" s="1855"/>
      <c r="E206" s="1855"/>
      <c r="F206" s="1857"/>
      <c r="G206" s="1858"/>
      <c r="H206" s="200"/>
      <c r="I206" s="217"/>
      <c r="J206" s="3171"/>
      <c r="K206" s="3171"/>
      <c r="L206" s="3125"/>
      <c r="M206" s="3124"/>
      <c r="N206" s="3125"/>
      <c r="O206" s="3125"/>
      <c r="P206" s="3125"/>
      <c r="Q206" s="3125"/>
      <c r="R206" s="3605"/>
      <c r="S206" s="1881"/>
      <c r="T206" s="1846">
        <f t="shared" si="42"/>
        <v>0</v>
      </c>
    </row>
    <row r="207" spans="1:20" s="2932" customFormat="1" ht="15.05" customHeight="1">
      <c r="A207" s="2925">
        <v>4</v>
      </c>
      <c r="B207" s="2925">
        <v>1</v>
      </c>
      <c r="C207" s="2925">
        <v>2</v>
      </c>
      <c r="D207" s="2925" t="s">
        <v>440</v>
      </c>
      <c r="E207" s="2925" t="s">
        <v>438</v>
      </c>
      <c r="F207" s="2926" t="s">
        <v>391</v>
      </c>
      <c r="G207" s="2927"/>
      <c r="H207" s="2928"/>
      <c r="I207" s="2929"/>
      <c r="J207" s="3444">
        <f>+J208</f>
        <v>0</v>
      </c>
      <c r="K207" s="3444">
        <f>+K208</f>
        <v>16404000</v>
      </c>
      <c r="L207" s="3169">
        <f>SUM(L208:L209)</f>
        <v>0</v>
      </c>
      <c r="M207" s="3170">
        <v>0</v>
      </c>
      <c r="N207" s="3169">
        <f>SUM(N208:N209)</f>
        <v>0</v>
      </c>
      <c r="O207" s="3169">
        <f>N207+M207</f>
        <v>0</v>
      </c>
      <c r="P207" s="3169">
        <f>+P208</f>
        <v>20000000</v>
      </c>
      <c r="Q207" s="3169">
        <f>+P207-L207</f>
        <v>20000000</v>
      </c>
      <c r="R207" s="3616">
        <v>0</v>
      </c>
      <c r="S207" s="2930"/>
      <c r="T207" s="2931">
        <f t="shared" si="42"/>
        <v>0</v>
      </c>
    </row>
    <row r="208" spans="1:20" s="1538" customFormat="1" ht="15.05" customHeight="1">
      <c r="A208" s="1854"/>
      <c r="B208" s="1854"/>
      <c r="C208" s="1854"/>
      <c r="D208" s="1854"/>
      <c r="E208" s="1854"/>
      <c r="F208" s="2829" t="s">
        <v>50</v>
      </c>
      <c r="G208" s="1860"/>
      <c r="H208" s="200" t="s">
        <v>549</v>
      </c>
      <c r="I208" s="218"/>
      <c r="J208" s="3200"/>
      <c r="K208" s="3171">
        <v>16404000</v>
      </c>
      <c r="L208" s="3125">
        <f>MAR!J695</f>
        <v>0</v>
      </c>
      <c r="M208" s="3124">
        <v>0</v>
      </c>
      <c r="N208" s="3125">
        <f>MAR!L695</f>
        <v>0</v>
      </c>
      <c r="O208" s="3125">
        <f>MAR!M695</f>
        <v>0</v>
      </c>
      <c r="P208" s="3125">
        <v>20000000</v>
      </c>
      <c r="Q208" s="3125">
        <f>+P208-L208</f>
        <v>20000000</v>
      </c>
      <c r="R208" s="3605">
        <v>0</v>
      </c>
      <c r="S208" s="1881"/>
      <c r="T208" s="1846">
        <f t="shared" si="42"/>
        <v>0</v>
      </c>
    </row>
    <row r="209" spans="1:20" s="1538" customFormat="1" ht="15.05" customHeight="1">
      <c r="A209" s="1902"/>
      <c r="B209" s="1902"/>
      <c r="C209" s="1902"/>
      <c r="D209" s="1902"/>
      <c r="E209" s="1902"/>
      <c r="F209" s="2830"/>
      <c r="G209" s="2831"/>
      <c r="H209" s="200"/>
      <c r="I209" s="1907"/>
      <c r="J209" s="3203"/>
      <c r="K209" s="3142"/>
      <c r="L209" s="3174"/>
      <c r="M209" s="3175"/>
      <c r="N209" s="3174"/>
      <c r="O209" s="3174"/>
      <c r="P209" s="3174"/>
      <c r="Q209" s="3174"/>
      <c r="R209" s="3612"/>
      <c r="S209" s="1895"/>
      <c r="T209" s="1846">
        <f t="shared" si="42"/>
        <v>0</v>
      </c>
    </row>
    <row r="210" spans="1:20" s="2932" customFormat="1" ht="15.05" customHeight="1">
      <c r="A210" s="3446"/>
      <c r="B210" s="3446"/>
      <c r="C210" s="3446"/>
      <c r="D210" s="3446"/>
      <c r="E210" s="3447" t="s">
        <v>440</v>
      </c>
      <c r="F210" s="3448" t="s">
        <v>550</v>
      </c>
      <c r="G210" s="3448"/>
      <c r="H210" s="3449"/>
      <c r="I210" s="3450"/>
      <c r="J210" s="3451">
        <f>+J211</f>
        <v>1455000000</v>
      </c>
      <c r="K210" s="3451">
        <f>+K211</f>
        <v>1622577600</v>
      </c>
      <c r="L210" s="3452">
        <f>L211</f>
        <v>1455000000</v>
      </c>
      <c r="M210" s="3453">
        <v>320580000</v>
      </c>
      <c r="N210" s="3452">
        <f t="shared" ref="N210:S210" si="46">N211</f>
        <v>128160000</v>
      </c>
      <c r="O210" s="3452">
        <f t="shared" si="46"/>
        <v>448740000</v>
      </c>
      <c r="P210" s="3452">
        <f t="shared" si="46"/>
        <v>1650000000</v>
      </c>
      <c r="Q210" s="3452">
        <f>+P210-L210</f>
        <v>195000000</v>
      </c>
      <c r="R210" s="3617">
        <f>+P210/L210*100-100</f>
        <v>13.402061855670098</v>
      </c>
      <c r="S210" s="3454">
        <f t="shared" si="46"/>
        <v>0</v>
      </c>
      <c r="T210" s="2931">
        <f t="shared" si="42"/>
        <v>1794960000</v>
      </c>
    </row>
    <row r="211" spans="1:20" s="1538" customFormat="1" ht="15.05" customHeight="1">
      <c r="A211" s="1902"/>
      <c r="B211" s="1902"/>
      <c r="C211" s="1902"/>
      <c r="D211" s="1902"/>
      <c r="E211" s="2832"/>
      <c r="F211" s="2833" t="s">
        <v>50</v>
      </c>
      <c r="G211" s="2834"/>
      <c r="H211" s="206" t="s">
        <v>551</v>
      </c>
      <c r="I211" s="2835"/>
      <c r="J211" s="3204">
        <v>1455000000</v>
      </c>
      <c r="K211" s="3204">
        <v>1622577600</v>
      </c>
      <c r="L211" s="3205">
        <f>MAR!J221</f>
        <v>1455000000</v>
      </c>
      <c r="M211" s="3205">
        <v>320580000</v>
      </c>
      <c r="N211" s="3205">
        <f>MAR!L221</f>
        <v>128160000</v>
      </c>
      <c r="O211" s="3205">
        <f>MAR!M221</f>
        <v>448740000</v>
      </c>
      <c r="P211" s="3205">
        <v>1650000000</v>
      </c>
      <c r="Q211" s="3205">
        <f>+P211-L211</f>
        <v>195000000</v>
      </c>
      <c r="R211" s="3618">
        <f>+P211/L211*100-100</f>
        <v>13.402061855670098</v>
      </c>
      <c r="S211" s="1909">
        <f>PerDinas!Q316</f>
        <v>0</v>
      </c>
      <c r="T211" s="1846">
        <f t="shared" si="42"/>
        <v>1794960000</v>
      </c>
    </row>
    <row r="212" spans="1:20" s="1538" customFormat="1" ht="15.05" customHeight="1">
      <c r="A212" s="3595"/>
      <c r="B212" s="3595"/>
      <c r="C212" s="3595"/>
      <c r="D212" s="3595"/>
      <c r="E212" s="3595"/>
      <c r="F212" s="2836"/>
      <c r="G212" s="2837"/>
      <c r="H212" s="2127"/>
      <c r="I212" s="2838"/>
      <c r="J212" s="3207"/>
      <c r="K212" s="3207"/>
      <c r="L212" s="3208"/>
      <c r="M212" s="3208"/>
      <c r="N212" s="3208"/>
      <c r="O212" s="3208"/>
      <c r="P212" s="3208"/>
      <c r="Q212" s="3208"/>
      <c r="R212" s="3619"/>
      <c r="S212" s="1910"/>
      <c r="T212" s="1846"/>
    </row>
    <row r="213" spans="1:20" s="2955" customFormat="1" ht="15.05" customHeight="1">
      <c r="A213" s="2949">
        <v>4</v>
      </c>
      <c r="B213" s="2949">
        <v>1</v>
      </c>
      <c r="C213" s="2949">
        <v>3</v>
      </c>
      <c r="D213" s="2949"/>
      <c r="E213" s="2949"/>
      <c r="F213" s="2950" t="s">
        <v>552</v>
      </c>
      <c r="G213" s="2951"/>
      <c r="H213" s="2952"/>
      <c r="I213" s="2952"/>
      <c r="J213" s="3210">
        <f>+J214</f>
        <v>157964885190</v>
      </c>
      <c r="K213" s="3210">
        <f>+K214</f>
        <v>72827611744</v>
      </c>
      <c r="L213" s="3211">
        <f>+L214+L223</f>
        <v>92558485190</v>
      </c>
      <c r="M213" s="3211">
        <f>+M214+M223</f>
        <v>0</v>
      </c>
      <c r="N213" s="3211">
        <f>+N214+N223</f>
        <v>0</v>
      </c>
      <c r="O213" s="3211">
        <f>+O214+O223</f>
        <v>0</v>
      </c>
      <c r="P213" s="3211">
        <f>+P214+P223</f>
        <v>92558485190</v>
      </c>
      <c r="Q213" s="3211">
        <f>P213-L213</f>
        <v>0</v>
      </c>
      <c r="R213" s="3620">
        <f>+P213/L213*100-100</f>
        <v>0</v>
      </c>
      <c r="S213" s="2953"/>
      <c r="T213" s="2954">
        <f t="shared" ref="T213:T276" si="47">O213*4</f>
        <v>0</v>
      </c>
    </row>
    <row r="214" spans="1:20" s="2956" customFormat="1" ht="15.05" customHeight="1">
      <c r="A214" s="3053">
        <v>4</v>
      </c>
      <c r="B214" s="3054">
        <v>1</v>
      </c>
      <c r="C214" s="3054">
        <v>3</v>
      </c>
      <c r="D214" s="3054" t="s">
        <v>437</v>
      </c>
      <c r="E214" s="3054"/>
      <c r="F214" s="3056" t="s">
        <v>553</v>
      </c>
      <c r="G214" s="3057"/>
      <c r="H214" s="3064"/>
      <c r="I214" s="3064"/>
      <c r="J214" s="3212">
        <f>+J215</f>
        <v>157964885190</v>
      </c>
      <c r="K214" s="3212">
        <f>+K215</f>
        <v>72827611744</v>
      </c>
      <c r="L214" s="3178">
        <f>SUM(L215)</f>
        <v>90558485190</v>
      </c>
      <c r="M214" s="3179">
        <v>0</v>
      </c>
      <c r="N214" s="3178">
        <f>SUM(N215)</f>
        <v>0</v>
      </c>
      <c r="O214" s="3178">
        <f>SUM(O215)</f>
        <v>0</v>
      </c>
      <c r="P214" s="3178">
        <f>P215</f>
        <v>90558485190</v>
      </c>
      <c r="Q214" s="3178">
        <f t="shared" ref="Q214:Q224" si="48">+P214-L214</f>
        <v>0</v>
      </c>
      <c r="R214" s="3621">
        <f t="shared" ref="R214:R219" si="49">+P214/L214*100-100</f>
        <v>0</v>
      </c>
      <c r="S214" s="3066"/>
      <c r="T214" s="2944">
        <f t="shared" si="47"/>
        <v>0</v>
      </c>
    </row>
    <row r="215" spans="1:20" s="1834" customFormat="1" ht="15.05" customHeight="1">
      <c r="A215" s="1905">
        <v>4</v>
      </c>
      <c r="B215" s="1905">
        <v>1</v>
      </c>
      <c r="C215" s="1905">
        <v>3</v>
      </c>
      <c r="D215" s="1905" t="s">
        <v>437</v>
      </c>
      <c r="E215" s="1905" t="s">
        <v>437</v>
      </c>
      <c r="F215" s="2827" t="s">
        <v>554</v>
      </c>
      <c r="G215" s="2828"/>
      <c r="H215" s="212"/>
      <c r="I215" s="212"/>
      <c r="J215" s="3214">
        <f>SUM(J216:J224)</f>
        <v>157964885190</v>
      </c>
      <c r="K215" s="3214">
        <f>SUM(K216:K224)</f>
        <v>72827611744</v>
      </c>
      <c r="L215" s="3197">
        <f>SUM(L216:L222)</f>
        <v>90558485190</v>
      </c>
      <c r="M215" s="3198">
        <v>0</v>
      </c>
      <c r="N215" s="3197">
        <f>SUM(N216:N222)</f>
        <v>0</v>
      </c>
      <c r="O215" s="3197">
        <f>N215+M215</f>
        <v>0</v>
      </c>
      <c r="P215" s="3197">
        <v>90558485190</v>
      </c>
      <c r="Q215" s="3197">
        <f t="shared" si="48"/>
        <v>0</v>
      </c>
      <c r="R215" s="3608">
        <f t="shared" si="49"/>
        <v>0</v>
      </c>
      <c r="S215" s="1911"/>
      <c r="T215" s="1846">
        <f t="shared" si="47"/>
        <v>0</v>
      </c>
    </row>
    <row r="216" spans="1:20" s="1538" customFormat="1" ht="15.05" customHeight="1">
      <c r="A216" s="1855"/>
      <c r="B216" s="1855"/>
      <c r="C216" s="1855"/>
      <c r="D216" s="1855"/>
      <c r="E216" s="1855"/>
      <c r="F216" s="1857" t="s">
        <v>50</v>
      </c>
      <c r="G216" s="200" t="str">
        <f>MAR!I373</f>
        <v>PD. BPR NTB</v>
      </c>
      <c r="H216" s="1906"/>
      <c r="I216" s="200"/>
      <c r="J216" s="3215">
        <v>11374571865</v>
      </c>
      <c r="K216" s="3216">
        <v>11631764969</v>
      </c>
      <c r="L216" s="3125">
        <v>13374571865</v>
      </c>
      <c r="M216" s="3124">
        <v>0</v>
      </c>
      <c r="N216" s="3125">
        <v>0</v>
      </c>
      <c r="O216" s="3125">
        <v>0</v>
      </c>
      <c r="P216" s="3125">
        <v>13374571865</v>
      </c>
      <c r="Q216" s="3125">
        <f t="shared" si="48"/>
        <v>0</v>
      </c>
      <c r="R216" s="3605">
        <f t="shared" si="49"/>
        <v>0</v>
      </c>
      <c r="S216" s="1881"/>
      <c r="T216" s="1846">
        <f t="shared" si="47"/>
        <v>0</v>
      </c>
    </row>
    <row r="217" spans="1:20" s="1538" customFormat="1" ht="15.05" customHeight="1">
      <c r="A217" s="1855"/>
      <c r="B217" s="1855"/>
      <c r="C217" s="1855"/>
      <c r="D217" s="1855"/>
      <c r="E217" s="1855"/>
      <c r="F217" s="1857" t="s">
        <v>50</v>
      </c>
      <c r="G217" s="200" t="str">
        <f>MAR!I374</f>
        <v>Bank NTB/Deviden</v>
      </c>
      <c r="H217" s="1906"/>
      <c r="I217" s="2839"/>
      <c r="J217" s="3217">
        <v>59958450102</v>
      </c>
      <c r="K217" s="3186">
        <v>59958510102</v>
      </c>
      <c r="L217" s="3125">
        <v>59958450102</v>
      </c>
      <c r="M217" s="3124">
        <v>0</v>
      </c>
      <c r="N217" s="3125">
        <v>0</v>
      </c>
      <c r="O217" s="3125">
        <v>0</v>
      </c>
      <c r="P217" s="3125">
        <v>59958450102</v>
      </c>
      <c r="Q217" s="3125">
        <f t="shared" si="48"/>
        <v>0</v>
      </c>
      <c r="R217" s="3605">
        <f t="shared" si="49"/>
        <v>0</v>
      </c>
      <c r="S217" s="1881"/>
      <c r="T217" s="1846">
        <f t="shared" si="47"/>
        <v>0</v>
      </c>
    </row>
    <row r="218" spans="1:20" s="1538" customFormat="1" ht="15.05" customHeight="1">
      <c r="A218" s="1855"/>
      <c r="B218" s="1855"/>
      <c r="C218" s="1855"/>
      <c r="D218" s="1855"/>
      <c r="E218" s="1855"/>
      <c r="F218" s="1857" t="s">
        <v>50</v>
      </c>
      <c r="G218" s="200" t="str">
        <f>MAR!I375</f>
        <v>PT. Gerbang NTB Emas</v>
      </c>
      <c r="H218" s="1906"/>
      <c r="I218" s="2839"/>
      <c r="J218" s="3217">
        <v>1000000000</v>
      </c>
      <c r="K218" s="3186">
        <v>1000000000</v>
      </c>
      <c r="L218" s="3125">
        <v>1000000000</v>
      </c>
      <c r="M218" s="3124">
        <v>0</v>
      </c>
      <c r="N218" s="3125">
        <v>0</v>
      </c>
      <c r="O218" s="3125">
        <v>0</v>
      </c>
      <c r="P218" s="3125">
        <v>1000000000</v>
      </c>
      <c r="Q218" s="3125">
        <f t="shared" si="48"/>
        <v>0</v>
      </c>
      <c r="R218" s="3605">
        <f t="shared" si="49"/>
        <v>0</v>
      </c>
      <c r="S218" s="1881"/>
      <c r="T218" s="1846">
        <f t="shared" si="47"/>
        <v>0</v>
      </c>
    </row>
    <row r="219" spans="1:20" s="1538" customFormat="1" ht="15.05" customHeight="1">
      <c r="A219" s="1855"/>
      <c r="B219" s="1855"/>
      <c r="C219" s="1855"/>
      <c r="D219" s="1855"/>
      <c r="E219" s="1855"/>
      <c r="F219" s="1857" t="s">
        <v>50</v>
      </c>
      <c r="G219" s="200" t="str">
        <f>MAR!I376</f>
        <v>PT. Daerah Mandiri Bersaing (DMB)</v>
      </c>
      <c r="H219" s="1906"/>
      <c r="I219" s="2839"/>
      <c r="J219" s="3217">
        <v>85406400000</v>
      </c>
      <c r="K219" s="3186">
        <v>0</v>
      </c>
      <c r="L219" s="3125">
        <v>16000000000</v>
      </c>
      <c r="M219" s="3124">
        <v>0</v>
      </c>
      <c r="N219" s="3125">
        <v>0</v>
      </c>
      <c r="O219" s="3125">
        <v>0</v>
      </c>
      <c r="P219" s="3125">
        <v>16000000000</v>
      </c>
      <c r="Q219" s="3125">
        <f t="shared" si="48"/>
        <v>0</v>
      </c>
      <c r="R219" s="3605">
        <f t="shared" si="49"/>
        <v>0</v>
      </c>
      <c r="S219" s="1881"/>
      <c r="T219" s="1846">
        <f t="shared" si="47"/>
        <v>0</v>
      </c>
    </row>
    <row r="220" spans="1:20" s="1538" customFormat="1" ht="15.05" customHeight="1">
      <c r="A220" s="1855"/>
      <c r="B220" s="1855"/>
      <c r="C220" s="1855"/>
      <c r="D220" s="1855"/>
      <c r="E220" s="1855"/>
      <c r="F220" s="1857" t="s">
        <v>50</v>
      </c>
      <c r="G220" s="200" t="str">
        <f>MAR!I377</f>
        <v>Deviden PT. Suara Nusa Media Pratama</v>
      </c>
      <c r="H220" s="1906"/>
      <c r="I220" s="2823"/>
      <c r="J220" s="3218" t="s">
        <v>50</v>
      </c>
      <c r="K220" s="3186">
        <v>0</v>
      </c>
      <c r="L220" s="3125">
        <v>0</v>
      </c>
      <c r="M220" s="3124">
        <v>0</v>
      </c>
      <c r="N220" s="3125">
        <v>0</v>
      </c>
      <c r="O220" s="3125">
        <v>0</v>
      </c>
      <c r="P220" s="3125">
        <v>0</v>
      </c>
      <c r="Q220" s="3125">
        <f t="shared" si="48"/>
        <v>0</v>
      </c>
      <c r="R220" s="3605">
        <v>0</v>
      </c>
      <c r="S220" s="1881"/>
      <c r="T220" s="1846">
        <f t="shared" si="47"/>
        <v>0</v>
      </c>
    </row>
    <row r="221" spans="1:20" s="1538" customFormat="1" ht="15.05" customHeight="1">
      <c r="A221" s="1855"/>
      <c r="B221" s="1855"/>
      <c r="C221" s="1855"/>
      <c r="D221" s="1855"/>
      <c r="E221" s="1855"/>
      <c r="F221" s="1857" t="s">
        <v>50</v>
      </c>
      <c r="G221" s="200" t="str">
        <f>MAR!I378</f>
        <v>PT. Jam Krida</v>
      </c>
      <c r="H221" s="1906"/>
      <c r="I221" s="2823"/>
      <c r="J221" s="3186">
        <v>136702012</v>
      </c>
      <c r="K221" s="3186">
        <v>136702012</v>
      </c>
      <c r="L221" s="3125">
        <v>136702012</v>
      </c>
      <c r="M221" s="3124">
        <v>0</v>
      </c>
      <c r="N221" s="3125">
        <v>0</v>
      </c>
      <c r="O221" s="3125">
        <v>0</v>
      </c>
      <c r="P221" s="3125">
        <v>136702012</v>
      </c>
      <c r="Q221" s="3125">
        <f t="shared" si="48"/>
        <v>0</v>
      </c>
      <c r="R221" s="3605">
        <f>+P221/L221*100-100</f>
        <v>0</v>
      </c>
      <c r="S221" s="1881"/>
      <c r="T221" s="1846">
        <f t="shared" si="47"/>
        <v>0</v>
      </c>
    </row>
    <row r="222" spans="1:20" s="1538" customFormat="1" ht="15.05" customHeight="1">
      <c r="A222" s="1886"/>
      <c r="B222" s="1886"/>
      <c r="C222" s="1886"/>
      <c r="D222" s="1886"/>
      <c r="E222" s="1886"/>
      <c r="F222" s="1887" t="s">
        <v>50</v>
      </c>
      <c r="G222" s="856" t="str">
        <f>MAR!I379</f>
        <v>PT. Bangun Askrida</v>
      </c>
      <c r="H222" s="3067"/>
      <c r="I222" s="3068"/>
      <c r="J222" s="3219">
        <v>88761211</v>
      </c>
      <c r="K222" s="3219">
        <v>100634661</v>
      </c>
      <c r="L222" s="3174">
        <v>88761211</v>
      </c>
      <c r="M222" s="3175">
        <v>0</v>
      </c>
      <c r="N222" s="3174">
        <v>0</v>
      </c>
      <c r="O222" s="3174">
        <v>0</v>
      </c>
      <c r="P222" s="3174">
        <v>88761211</v>
      </c>
      <c r="Q222" s="3174">
        <f t="shared" si="48"/>
        <v>0</v>
      </c>
      <c r="R222" s="3612">
        <f>+P222/L222*100-100</f>
        <v>0</v>
      </c>
      <c r="S222" s="1899"/>
      <c r="T222" s="1846">
        <f t="shared" si="47"/>
        <v>0</v>
      </c>
    </row>
    <row r="223" spans="1:20" s="2957" customFormat="1" ht="16" customHeight="1">
      <c r="A223" s="3076">
        <v>4</v>
      </c>
      <c r="B223" s="3076">
        <v>1</v>
      </c>
      <c r="C223" s="3076">
        <v>3</v>
      </c>
      <c r="D223" s="3077" t="s">
        <v>438</v>
      </c>
      <c r="E223" s="3076"/>
      <c r="F223" s="3078" t="s">
        <v>203</v>
      </c>
      <c r="G223" s="3079"/>
      <c r="H223" s="3080"/>
      <c r="I223" s="3081"/>
      <c r="J223" s="3220" t="s">
        <v>50</v>
      </c>
      <c r="K223" s="3220" t="s">
        <v>50</v>
      </c>
      <c r="L223" s="3221">
        <v>2000000000</v>
      </c>
      <c r="M223" s="3179">
        <v>0</v>
      </c>
      <c r="N223" s="3221">
        <v>0</v>
      </c>
      <c r="O223" s="3221">
        <v>0</v>
      </c>
      <c r="P223" s="3221">
        <v>2000000000</v>
      </c>
      <c r="Q223" s="3221">
        <f t="shared" si="48"/>
        <v>0</v>
      </c>
      <c r="R223" s="3622">
        <f>+P223/L223*100-100</f>
        <v>0</v>
      </c>
      <c r="S223" s="3082"/>
      <c r="T223" s="2944">
        <f t="shared" si="47"/>
        <v>0</v>
      </c>
    </row>
    <row r="224" spans="1:20" s="1835" customFormat="1" ht="15.05" customHeight="1">
      <c r="A224" s="3069">
        <v>4</v>
      </c>
      <c r="B224" s="3069">
        <v>1</v>
      </c>
      <c r="C224" s="3069">
        <v>3</v>
      </c>
      <c r="D224" s="3070" t="s">
        <v>438</v>
      </c>
      <c r="E224" s="3070" t="s">
        <v>437</v>
      </c>
      <c r="F224" s="3071" t="s">
        <v>555</v>
      </c>
      <c r="G224" s="3072"/>
      <c r="H224" s="3073"/>
      <c r="I224" s="3074"/>
      <c r="J224" s="3223" t="s">
        <v>50</v>
      </c>
      <c r="K224" s="3223" t="s">
        <v>50</v>
      </c>
      <c r="L224" s="3224">
        <v>2000000000</v>
      </c>
      <c r="M224" s="3225">
        <v>0</v>
      </c>
      <c r="N224" s="3224">
        <v>0</v>
      </c>
      <c r="O224" s="3224">
        <v>0</v>
      </c>
      <c r="P224" s="3224">
        <v>2000000000</v>
      </c>
      <c r="Q224" s="3224">
        <f t="shared" si="48"/>
        <v>0</v>
      </c>
      <c r="R224" s="3623">
        <f>+P224/L224*100-100</f>
        <v>0</v>
      </c>
      <c r="S224" s="3075"/>
      <c r="T224" s="1846">
        <f t="shared" si="47"/>
        <v>0</v>
      </c>
    </row>
    <row r="225" spans="1:21" s="1538" customFormat="1" ht="15.05" customHeight="1">
      <c r="A225" s="1913"/>
      <c r="B225" s="1913"/>
      <c r="C225" s="1913"/>
      <c r="D225" s="1913"/>
      <c r="E225" s="1913"/>
      <c r="F225" s="1942"/>
      <c r="G225" s="1943"/>
      <c r="H225" s="238"/>
      <c r="I225" s="2840"/>
      <c r="J225" s="3227"/>
      <c r="K225" s="3227"/>
      <c r="L225" s="3228"/>
      <c r="M225" s="3229"/>
      <c r="N225" s="3228"/>
      <c r="O225" s="3228"/>
      <c r="P225" s="3228"/>
      <c r="Q225" s="3228"/>
      <c r="R225" s="3624"/>
      <c r="S225" s="1920"/>
      <c r="T225" s="1846">
        <f t="shared" si="47"/>
        <v>0</v>
      </c>
    </row>
    <row r="226" spans="1:21" s="2916" customFormat="1" ht="15.05" customHeight="1">
      <c r="A226" s="2909">
        <v>4</v>
      </c>
      <c r="B226" s="2909">
        <v>1</v>
      </c>
      <c r="C226" s="2909">
        <v>4</v>
      </c>
      <c r="D226" s="2909"/>
      <c r="E226" s="2909"/>
      <c r="F226" s="2910" t="s">
        <v>71</v>
      </c>
      <c r="G226" s="2911"/>
      <c r="H226" s="2912"/>
      <c r="I226" s="2913"/>
      <c r="J226" s="3231">
        <v>224639588129</v>
      </c>
      <c r="K226" s="3231">
        <v>243089557831.42999</v>
      </c>
      <c r="L226" s="3231">
        <f>L227+L234+L240+L243+L247+L265+L288+L296+L365+L372+L381+L387</f>
        <v>268454484234</v>
      </c>
      <c r="M226" s="3231">
        <f>M227+M234+M240+M243+M247+M265+M288+M296+M365+M372+M381+M387</f>
        <v>30843632833.540001</v>
      </c>
      <c r="N226" s="3231">
        <f>N227+N234+N240+N243+N247+N265+N288+N296+N365+N372+N381+N387</f>
        <v>19237073227.190002</v>
      </c>
      <c r="O226" s="3231">
        <f>O227+O234+O240+O243+O247+O265+O288+O296+O365+O372+O381+O387</f>
        <v>50008306060.729996</v>
      </c>
      <c r="P226" s="3231">
        <f>P227+P234+P240+P243+P247+P265+P288+P296+P365+P372+P381+P387</f>
        <v>272810796075</v>
      </c>
      <c r="Q226" s="3231">
        <f t="shared" ref="Q226:Q232" si="50">+P226-L226</f>
        <v>4356311841</v>
      </c>
      <c r="R226" s="3625">
        <f>+P226/L226*100-100</f>
        <v>1.6227375949521559</v>
      </c>
      <c r="S226" s="2914"/>
      <c r="T226" s="2904">
        <f t="shared" si="47"/>
        <v>200033224242.91998</v>
      </c>
      <c r="U226" s="2915">
        <f>+O226-REKAPOK!N43</f>
        <v>0</v>
      </c>
    </row>
    <row r="227" spans="1:21" s="2945" customFormat="1" ht="15.05" customHeight="1">
      <c r="A227" s="3053">
        <v>4</v>
      </c>
      <c r="B227" s="3054">
        <v>1</v>
      </c>
      <c r="C227" s="3054">
        <v>4</v>
      </c>
      <c r="D227" s="3054" t="s">
        <v>437</v>
      </c>
      <c r="E227" s="3054"/>
      <c r="F227" s="3056" t="s">
        <v>206</v>
      </c>
      <c r="G227" s="3057"/>
      <c r="H227" s="3064"/>
      <c r="I227" s="3086"/>
      <c r="J227" s="3177">
        <f>SUM(J228:J232)</f>
        <v>250000000</v>
      </c>
      <c r="K227" s="3177">
        <f>SUM(K228:K232)</f>
        <v>25364000</v>
      </c>
      <c r="L227" s="3178">
        <f>SUM(L228:L232)</f>
        <v>250000000</v>
      </c>
      <c r="M227" s="3179">
        <v>0</v>
      </c>
      <c r="N227" s="3178">
        <f>SUM(N228:N232)</f>
        <v>0</v>
      </c>
      <c r="O227" s="3178">
        <f>N227+M227</f>
        <v>0</v>
      </c>
      <c r="P227" s="3178">
        <f>SUM(P228:P232)</f>
        <v>250000000</v>
      </c>
      <c r="Q227" s="3178">
        <f t="shared" si="50"/>
        <v>0</v>
      </c>
      <c r="R227" s="3613">
        <f>+P227/L227*100-100</f>
        <v>0</v>
      </c>
      <c r="S227" s="2958"/>
      <c r="T227" s="2944">
        <f t="shared" si="47"/>
        <v>0</v>
      </c>
    </row>
    <row r="228" spans="1:21" s="1538" customFormat="1" ht="15.05" customHeight="1">
      <c r="A228" s="1889">
        <v>4</v>
      </c>
      <c r="B228" s="1889">
        <v>1</v>
      </c>
      <c r="C228" s="1889">
        <v>4</v>
      </c>
      <c r="D228" s="1889" t="s">
        <v>437</v>
      </c>
      <c r="E228" s="1889" t="s">
        <v>437</v>
      </c>
      <c r="F228" s="3083" t="str">
        <f>MAR!I386</f>
        <v>Pelepasan Hak Atas Tanah</v>
      </c>
      <c r="G228" s="3084"/>
      <c r="H228" s="224"/>
      <c r="I228" s="3085"/>
      <c r="J228" s="3233">
        <v>0</v>
      </c>
      <c r="K228" s="3233">
        <v>0</v>
      </c>
      <c r="L228" s="3234">
        <v>0</v>
      </c>
      <c r="M228" s="3225">
        <v>0</v>
      </c>
      <c r="N228" s="3234">
        <v>0</v>
      </c>
      <c r="O228" s="3234">
        <v>0</v>
      </c>
      <c r="P228" s="3234">
        <v>0</v>
      </c>
      <c r="Q228" s="3234">
        <f t="shared" si="50"/>
        <v>0</v>
      </c>
      <c r="R228" s="3604">
        <v>0</v>
      </c>
      <c r="S228" s="1876">
        <f>PerDinas!Q534</f>
        <v>0</v>
      </c>
      <c r="T228" s="1846">
        <f t="shared" si="47"/>
        <v>0</v>
      </c>
    </row>
    <row r="229" spans="1:21" s="1538" customFormat="1" ht="15.05" customHeight="1">
      <c r="A229" s="1855">
        <v>4</v>
      </c>
      <c r="B229" s="1855">
        <v>1</v>
      </c>
      <c r="C229" s="1855">
        <v>4</v>
      </c>
      <c r="D229" s="1855" t="s">
        <v>437</v>
      </c>
      <c r="E229" s="1855" t="s">
        <v>438</v>
      </c>
      <c r="F229" s="2842" t="str">
        <f>MAR!I387</f>
        <v>Penjualan Peralatan/Perlengkapan Kantor Tdk Terpakai</v>
      </c>
      <c r="G229" s="1858"/>
      <c r="H229" s="200"/>
      <c r="I229" s="2823"/>
      <c r="J229" s="3186">
        <v>50000000</v>
      </c>
      <c r="K229" s="3186">
        <v>0</v>
      </c>
      <c r="L229" s="3125">
        <v>50000000</v>
      </c>
      <c r="M229" s="3124">
        <v>0</v>
      </c>
      <c r="N229" s="3125">
        <v>0</v>
      </c>
      <c r="O229" s="3125">
        <v>0</v>
      </c>
      <c r="P229" s="3125">
        <v>50000000</v>
      </c>
      <c r="Q229" s="3125">
        <f t="shared" si="50"/>
        <v>0</v>
      </c>
      <c r="R229" s="3605">
        <f>+P229/L229*100-100</f>
        <v>0</v>
      </c>
      <c r="S229" s="1881"/>
      <c r="T229" s="1846">
        <f t="shared" si="47"/>
        <v>0</v>
      </c>
    </row>
    <row r="230" spans="1:21" s="1538" customFormat="1" ht="15.05" customHeight="1">
      <c r="A230" s="1855">
        <v>4</v>
      </c>
      <c r="B230" s="1855">
        <v>1</v>
      </c>
      <c r="C230" s="1855">
        <v>4</v>
      </c>
      <c r="D230" s="1855" t="s">
        <v>437</v>
      </c>
      <c r="E230" s="1855" t="s">
        <v>440</v>
      </c>
      <c r="F230" s="2842" t="str">
        <f>MAR!I388</f>
        <v>Penjualan Mesin/Alat Berat Tidak Terpakai</v>
      </c>
      <c r="G230" s="1858"/>
      <c r="H230" s="200"/>
      <c r="I230" s="2823"/>
      <c r="J230" s="3186"/>
      <c r="K230" s="3186"/>
      <c r="L230" s="3125">
        <v>0</v>
      </c>
      <c r="M230" s="3124">
        <v>0</v>
      </c>
      <c r="N230" s="3125">
        <v>0</v>
      </c>
      <c r="O230" s="3125">
        <v>0</v>
      </c>
      <c r="P230" s="3125">
        <v>0</v>
      </c>
      <c r="Q230" s="3125">
        <f t="shared" si="50"/>
        <v>0</v>
      </c>
      <c r="R230" s="3605">
        <v>0</v>
      </c>
      <c r="S230" s="1881"/>
      <c r="T230" s="1846">
        <f t="shared" si="47"/>
        <v>0</v>
      </c>
    </row>
    <row r="231" spans="1:21" s="1538" customFormat="1" ht="15.05" customHeight="1">
      <c r="A231" s="1855">
        <v>4</v>
      </c>
      <c r="B231" s="1855">
        <v>1</v>
      </c>
      <c r="C231" s="1855">
        <v>4</v>
      </c>
      <c r="D231" s="1855" t="s">
        <v>437</v>
      </c>
      <c r="E231" s="1855" t="s">
        <v>445</v>
      </c>
      <c r="F231" s="2842" t="str">
        <f>MAR!I389</f>
        <v>Penjualan Rumah Jabatan/Rumah Dinas</v>
      </c>
      <c r="G231" s="1858"/>
      <c r="H231" s="200"/>
      <c r="I231" s="2823"/>
      <c r="J231" s="3186"/>
      <c r="K231" s="3186"/>
      <c r="L231" s="3125">
        <v>0</v>
      </c>
      <c r="M231" s="3124">
        <v>0</v>
      </c>
      <c r="N231" s="3125">
        <v>0</v>
      </c>
      <c r="O231" s="3125">
        <v>0</v>
      </c>
      <c r="P231" s="3125">
        <v>0</v>
      </c>
      <c r="Q231" s="3125">
        <f t="shared" si="50"/>
        <v>0</v>
      </c>
      <c r="R231" s="3605">
        <v>0</v>
      </c>
      <c r="S231" s="1881"/>
      <c r="T231" s="1846">
        <f t="shared" si="47"/>
        <v>0</v>
      </c>
    </row>
    <row r="232" spans="1:21" s="1538" customFormat="1" ht="15.05" customHeight="1">
      <c r="A232" s="1855">
        <v>4</v>
      </c>
      <c r="B232" s="1855">
        <v>1</v>
      </c>
      <c r="C232" s="1855">
        <v>4</v>
      </c>
      <c r="D232" s="1855" t="s">
        <v>437</v>
      </c>
      <c r="E232" s="1855" t="s">
        <v>444</v>
      </c>
      <c r="F232" s="2842" t="str">
        <f>MAR!I390</f>
        <v>Penjualan Bahan-Bahan Bekas bangunan</v>
      </c>
      <c r="G232" s="1858"/>
      <c r="H232" s="200"/>
      <c r="I232" s="2823"/>
      <c r="J232" s="3186">
        <v>200000000</v>
      </c>
      <c r="K232" s="3186">
        <v>25364000</v>
      </c>
      <c r="L232" s="3125">
        <v>200000000</v>
      </c>
      <c r="M232" s="3124">
        <v>0</v>
      </c>
      <c r="N232" s="3125">
        <v>0</v>
      </c>
      <c r="O232" s="3125">
        <v>0</v>
      </c>
      <c r="P232" s="3125">
        <v>200000000</v>
      </c>
      <c r="Q232" s="3125">
        <f t="shared" si="50"/>
        <v>0</v>
      </c>
      <c r="R232" s="3605">
        <f t="shared" ref="R232:R237" si="51">+P232/L232*100-100</f>
        <v>0</v>
      </c>
      <c r="S232" s="1881"/>
      <c r="T232" s="1846">
        <f t="shared" si="47"/>
        <v>0</v>
      </c>
    </row>
    <row r="233" spans="1:21" s="1538" customFormat="1" ht="15.05" customHeight="1">
      <c r="A233" s="1886"/>
      <c r="B233" s="1886"/>
      <c r="C233" s="1886"/>
      <c r="D233" s="1886"/>
      <c r="E233" s="1886"/>
      <c r="F233" s="2356"/>
      <c r="G233" s="1888"/>
      <c r="H233" s="856"/>
      <c r="I233" s="3068"/>
      <c r="J233" s="3219"/>
      <c r="K233" s="3219"/>
      <c r="L233" s="3174"/>
      <c r="M233" s="3175"/>
      <c r="N233" s="3174"/>
      <c r="O233" s="3174"/>
      <c r="P233" s="3174"/>
      <c r="Q233" s="3174"/>
      <c r="R233" s="3612"/>
      <c r="S233" s="1881"/>
      <c r="T233" s="1846">
        <f t="shared" si="47"/>
        <v>0</v>
      </c>
    </row>
    <row r="234" spans="1:21" s="2945" customFormat="1" ht="15.05" customHeight="1">
      <c r="A234" s="3053">
        <v>4</v>
      </c>
      <c r="B234" s="3054">
        <v>1</v>
      </c>
      <c r="C234" s="3054">
        <v>4</v>
      </c>
      <c r="D234" s="3054" t="s">
        <v>438</v>
      </c>
      <c r="E234" s="3054"/>
      <c r="F234" s="3056" t="s">
        <v>212</v>
      </c>
      <c r="G234" s="3057"/>
      <c r="H234" s="3064"/>
      <c r="I234" s="3086"/>
      <c r="J234" s="3177">
        <f>SUM(J235:J236)</f>
        <v>4500000000</v>
      </c>
      <c r="K234" s="3177">
        <f t="shared" ref="K234:P234" si="52">SUM(K235:K236)</f>
        <v>12549664258.33</v>
      </c>
      <c r="L234" s="3177">
        <f t="shared" si="52"/>
        <v>4500000000</v>
      </c>
      <c r="M234" s="3177">
        <f t="shared" si="52"/>
        <v>3094595763</v>
      </c>
      <c r="N234" s="3177">
        <f t="shared" si="52"/>
        <v>532884</v>
      </c>
      <c r="O234" s="3177">
        <f t="shared" si="52"/>
        <v>3095128647</v>
      </c>
      <c r="P234" s="3177">
        <f t="shared" si="52"/>
        <v>7037000000</v>
      </c>
      <c r="Q234" s="3178">
        <f>+P234-L234</f>
        <v>2537000000</v>
      </c>
      <c r="R234" s="3613">
        <f t="shared" si="51"/>
        <v>56.377777777777766</v>
      </c>
      <c r="S234" s="2958"/>
      <c r="T234" s="2944">
        <f t="shared" si="47"/>
        <v>12380514588</v>
      </c>
    </row>
    <row r="235" spans="1:21" s="1538" customFormat="1" ht="15.05" customHeight="1">
      <c r="A235" s="1905">
        <v>4</v>
      </c>
      <c r="B235" s="1905">
        <v>1</v>
      </c>
      <c r="C235" s="1905">
        <v>4</v>
      </c>
      <c r="D235" s="1905" t="s">
        <v>438</v>
      </c>
      <c r="E235" s="1905" t="s">
        <v>437</v>
      </c>
      <c r="F235" s="2827" t="s">
        <v>214</v>
      </c>
      <c r="G235" s="2828"/>
      <c r="H235" s="212"/>
      <c r="I235" s="2841"/>
      <c r="J235" s="3236">
        <v>0</v>
      </c>
      <c r="K235" s="3236">
        <v>0</v>
      </c>
      <c r="L235" s="3197">
        <v>0</v>
      </c>
      <c r="M235" s="3198">
        <v>36875929</v>
      </c>
      <c r="N235" s="3197">
        <v>496972</v>
      </c>
      <c r="O235" s="3197">
        <v>37372901</v>
      </c>
      <c r="P235" s="3197">
        <v>37000000</v>
      </c>
      <c r="Q235" s="3197">
        <f>+P235-L235</f>
        <v>37000000</v>
      </c>
      <c r="R235" s="3608">
        <v>0</v>
      </c>
      <c r="S235" s="1883"/>
      <c r="T235" s="1846">
        <f t="shared" si="47"/>
        <v>149491604</v>
      </c>
    </row>
    <row r="236" spans="1:21" s="1538" customFormat="1" ht="15.05" customHeight="1">
      <c r="A236" s="1854">
        <v>4</v>
      </c>
      <c r="B236" s="1854">
        <v>1</v>
      </c>
      <c r="C236" s="1854">
        <v>4</v>
      </c>
      <c r="D236" s="1854" t="s">
        <v>438</v>
      </c>
      <c r="E236" s="1854" t="s">
        <v>438</v>
      </c>
      <c r="F236" s="1464" t="s">
        <v>213</v>
      </c>
      <c r="G236" s="1860"/>
      <c r="H236" s="202"/>
      <c r="I236" s="2824"/>
      <c r="J236" s="3185">
        <v>4500000000</v>
      </c>
      <c r="K236" s="3185">
        <v>12549664258.33</v>
      </c>
      <c r="L236" s="3182">
        <v>4500000000</v>
      </c>
      <c r="M236" s="3183">
        <v>3057719834</v>
      </c>
      <c r="N236" s="3182">
        <v>35912</v>
      </c>
      <c r="O236" s="3182">
        <v>3057755746</v>
      </c>
      <c r="P236" s="3182">
        <f>+P237</f>
        <v>7000000000</v>
      </c>
      <c r="Q236" s="3182">
        <f>+P236-L236</f>
        <v>2500000000</v>
      </c>
      <c r="R236" s="3601">
        <f t="shared" si="51"/>
        <v>55.555555555555571</v>
      </c>
      <c r="S236" s="1883"/>
      <c r="T236" s="1846">
        <f t="shared" si="47"/>
        <v>12231022984</v>
      </c>
    </row>
    <row r="237" spans="1:21" s="1538" customFormat="1" ht="15.05" customHeight="1">
      <c r="A237" s="1855"/>
      <c r="B237" s="1855"/>
      <c r="C237" s="1855"/>
      <c r="D237" s="1855"/>
      <c r="E237" s="1855"/>
      <c r="F237" s="2756" t="s">
        <v>50</v>
      </c>
      <c r="G237" s="1858" t="s">
        <v>223</v>
      </c>
      <c r="H237" s="200"/>
      <c r="I237" s="2823"/>
      <c r="J237" s="3186">
        <v>4500000000</v>
      </c>
      <c r="K237" s="3186">
        <v>12549664258.33</v>
      </c>
      <c r="L237" s="3125">
        <v>4500000000</v>
      </c>
      <c r="M237" s="3124">
        <v>3057719834</v>
      </c>
      <c r="N237" s="3125">
        <v>35912</v>
      </c>
      <c r="O237" s="3125">
        <v>3057755746</v>
      </c>
      <c r="P237" s="3125">
        <v>7000000000</v>
      </c>
      <c r="Q237" s="3125">
        <f>+P237-L237</f>
        <v>2500000000</v>
      </c>
      <c r="R237" s="3605">
        <f t="shared" si="51"/>
        <v>55.555555555555571</v>
      </c>
      <c r="S237" s="1881"/>
      <c r="T237" s="1846">
        <f t="shared" si="47"/>
        <v>12231022984</v>
      </c>
    </row>
    <row r="238" spans="1:21" s="1538" customFormat="1" ht="15.05" hidden="1" customHeight="1">
      <c r="A238" s="1855"/>
      <c r="B238" s="1855"/>
      <c r="C238" s="1855"/>
      <c r="D238" s="1855"/>
      <c r="E238" s="1855"/>
      <c r="F238" s="1857"/>
      <c r="G238" s="1858"/>
      <c r="H238" s="200"/>
      <c r="I238" s="2823"/>
      <c r="J238" s="3186"/>
      <c r="K238" s="3186"/>
      <c r="L238" s="3125"/>
      <c r="M238" s="3124"/>
      <c r="N238" s="3125"/>
      <c r="O238" s="3125"/>
      <c r="P238" s="3125"/>
      <c r="Q238" s="3125"/>
      <c r="R238" s="3605"/>
      <c r="S238" s="1881"/>
      <c r="T238" s="1846">
        <f t="shared" si="47"/>
        <v>0</v>
      </c>
    </row>
    <row r="239" spans="1:21" s="1538" customFormat="1" ht="15.05" customHeight="1">
      <c r="A239" s="1886"/>
      <c r="B239" s="1886"/>
      <c r="C239" s="1886"/>
      <c r="D239" s="1886"/>
      <c r="E239" s="1886"/>
      <c r="F239" s="1887"/>
      <c r="G239" s="1888"/>
      <c r="H239" s="856"/>
      <c r="I239" s="3068"/>
      <c r="J239" s="3219"/>
      <c r="K239" s="3219"/>
      <c r="L239" s="3174"/>
      <c r="M239" s="3175"/>
      <c r="N239" s="3174"/>
      <c r="O239" s="3174"/>
      <c r="P239" s="3174"/>
      <c r="Q239" s="3174"/>
      <c r="R239" s="3612"/>
      <c r="S239" s="1899"/>
      <c r="T239" s="1846">
        <f t="shared" si="47"/>
        <v>0</v>
      </c>
    </row>
    <row r="240" spans="1:21" s="2947" customFormat="1" ht="15.05" customHeight="1">
      <c r="A240" s="3053">
        <v>4</v>
      </c>
      <c r="B240" s="3054">
        <v>1</v>
      </c>
      <c r="C240" s="3054">
        <v>4</v>
      </c>
      <c r="D240" s="3054" t="s">
        <v>440</v>
      </c>
      <c r="E240" s="3054"/>
      <c r="F240" s="3056" t="s">
        <v>215</v>
      </c>
      <c r="G240" s="3057"/>
      <c r="H240" s="3064"/>
      <c r="I240" s="3086"/>
      <c r="J240" s="3177">
        <f>+J241</f>
        <v>6875000000</v>
      </c>
      <c r="K240" s="3177">
        <f t="shared" ref="K240:P240" si="53">+K241</f>
        <v>9375000000</v>
      </c>
      <c r="L240" s="3177">
        <f t="shared" si="53"/>
        <v>6875000000</v>
      </c>
      <c r="M240" s="3177">
        <f t="shared" si="53"/>
        <v>0</v>
      </c>
      <c r="N240" s="3177">
        <f t="shared" si="53"/>
        <v>875000000</v>
      </c>
      <c r="O240" s="3177">
        <f t="shared" si="53"/>
        <v>875000000</v>
      </c>
      <c r="P240" s="3178">
        <f t="shared" si="53"/>
        <v>7000000000</v>
      </c>
      <c r="Q240" s="3178">
        <f t="shared" ref="Q240:Q245" si="54">+P240-L240</f>
        <v>125000000</v>
      </c>
      <c r="R240" s="3621">
        <f t="shared" ref="R240:R245" si="55">+P240/L240*100-100</f>
        <v>1.818181818181813</v>
      </c>
      <c r="S240" s="3066"/>
      <c r="T240" s="2944">
        <f t="shared" si="47"/>
        <v>3500000000</v>
      </c>
    </row>
    <row r="241" spans="1:20" s="257" customFormat="1" ht="15.05" customHeight="1">
      <c r="A241" s="1889">
        <v>4</v>
      </c>
      <c r="B241" s="1889">
        <v>1</v>
      </c>
      <c r="C241" s="1889">
        <v>4</v>
      </c>
      <c r="D241" s="1889" t="s">
        <v>440</v>
      </c>
      <c r="E241" s="1889" t="s">
        <v>437</v>
      </c>
      <c r="F241" s="3087" t="s">
        <v>216</v>
      </c>
      <c r="G241" s="3084"/>
      <c r="H241" s="224"/>
      <c r="I241" s="3088"/>
      <c r="J241" s="3237">
        <v>6875000000</v>
      </c>
      <c r="K241" s="3237">
        <v>9375000000</v>
      </c>
      <c r="L241" s="3234">
        <v>6875000000</v>
      </c>
      <c r="M241" s="3225">
        <v>0</v>
      </c>
      <c r="N241" s="3234">
        <v>875000000</v>
      </c>
      <c r="O241" s="3234">
        <v>875000000</v>
      </c>
      <c r="P241" s="3234">
        <v>7000000000</v>
      </c>
      <c r="Q241" s="3234">
        <f t="shared" si="54"/>
        <v>125000000</v>
      </c>
      <c r="R241" s="3604">
        <f t="shared" si="55"/>
        <v>1.818181818181813</v>
      </c>
      <c r="S241" s="1900"/>
      <c r="T241" s="1846">
        <f t="shared" si="47"/>
        <v>3500000000</v>
      </c>
    </row>
    <row r="242" spans="1:20" s="257" customFormat="1" ht="15.05" customHeight="1">
      <c r="A242" s="1886"/>
      <c r="B242" s="1886"/>
      <c r="C242" s="1886"/>
      <c r="D242" s="1886"/>
      <c r="E242" s="1886"/>
      <c r="F242" s="1887"/>
      <c r="G242" s="1888"/>
      <c r="H242" s="856"/>
      <c r="I242" s="1894"/>
      <c r="J242" s="3173"/>
      <c r="K242" s="3173"/>
      <c r="L242" s="3174"/>
      <c r="M242" s="3175">
        <v>0</v>
      </c>
      <c r="N242" s="3174"/>
      <c r="O242" s="3174">
        <f>+N242+M242</f>
        <v>0</v>
      </c>
      <c r="P242" s="3174" t="s">
        <v>556</v>
      </c>
      <c r="Q242" s="3174"/>
      <c r="R242" s="3612"/>
      <c r="S242" s="1881"/>
      <c r="T242" s="1846">
        <f t="shared" si="47"/>
        <v>0</v>
      </c>
    </row>
    <row r="243" spans="1:20" s="2947" customFormat="1" ht="15.05" customHeight="1">
      <c r="A243" s="3053">
        <v>4</v>
      </c>
      <c r="B243" s="3054">
        <v>1</v>
      </c>
      <c r="C243" s="3054">
        <v>4</v>
      </c>
      <c r="D243" s="3054" t="s">
        <v>445</v>
      </c>
      <c r="E243" s="3054"/>
      <c r="F243" s="3056" t="s">
        <v>217</v>
      </c>
      <c r="G243" s="3057"/>
      <c r="H243" s="3064"/>
      <c r="I243" s="3065"/>
      <c r="J243" s="3202">
        <f t="shared" ref="J243:P243" si="56">SUM(J244:J245)</f>
        <v>1205211975</v>
      </c>
      <c r="K243" s="3202">
        <f t="shared" si="56"/>
        <v>354139064.23000002</v>
      </c>
      <c r="L243" s="3202">
        <f t="shared" si="56"/>
        <v>1205211975</v>
      </c>
      <c r="M243" s="3202">
        <f t="shared" si="56"/>
        <v>200000</v>
      </c>
      <c r="N243" s="3202">
        <f t="shared" si="56"/>
        <v>0</v>
      </c>
      <c r="O243" s="3202">
        <f t="shared" si="56"/>
        <v>200000</v>
      </c>
      <c r="P243" s="3178">
        <f t="shared" si="56"/>
        <v>1205211975</v>
      </c>
      <c r="Q243" s="3178">
        <f t="shared" si="54"/>
        <v>0</v>
      </c>
      <c r="R243" s="3613">
        <f t="shared" si="55"/>
        <v>0</v>
      </c>
      <c r="S243" s="2958"/>
      <c r="T243" s="2944">
        <f t="shared" si="47"/>
        <v>800000</v>
      </c>
    </row>
    <row r="244" spans="1:20" s="257" customFormat="1" ht="15.05" customHeight="1">
      <c r="A244" s="1889">
        <v>4</v>
      </c>
      <c r="B244" s="1889">
        <v>1</v>
      </c>
      <c r="C244" s="1889">
        <v>4</v>
      </c>
      <c r="D244" s="1889" t="s">
        <v>445</v>
      </c>
      <c r="E244" s="1889" t="s">
        <v>437</v>
      </c>
      <c r="F244" s="3087" t="s">
        <v>218</v>
      </c>
      <c r="G244" s="3084"/>
      <c r="H244" s="224"/>
      <c r="I244" s="3088"/>
      <c r="J244" s="3237">
        <v>1190211975</v>
      </c>
      <c r="K244" s="3237">
        <v>340768064.23000002</v>
      </c>
      <c r="L244" s="3234">
        <v>1190211975</v>
      </c>
      <c r="M244" s="3225">
        <v>0</v>
      </c>
      <c r="N244" s="3234">
        <v>0</v>
      </c>
      <c r="O244" s="3234">
        <v>0</v>
      </c>
      <c r="P244" s="3234">
        <v>1190211975</v>
      </c>
      <c r="Q244" s="3234">
        <f t="shared" si="54"/>
        <v>0</v>
      </c>
      <c r="R244" s="3604">
        <f t="shared" si="55"/>
        <v>0</v>
      </c>
      <c r="S244" s="1881"/>
      <c r="T244" s="1846">
        <f t="shared" si="47"/>
        <v>0</v>
      </c>
    </row>
    <row r="245" spans="1:20" s="257" customFormat="1" ht="15.05" customHeight="1">
      <c r="A245" s="1855">
        <v>4</v>
      </c>
      <c r="B245" s="1855">
        <v>1</v>
      </c>
      <c r="C245" s="1855">
        <v>4</v>
      </c>
      <c r="D245" s="1855" t="s">
        <v>445</v>
      </c>
      <c r="E245" s="1855" t="s">
        <v>438</v>
      </c>
      <c r="F245" s="1857" t="s">
        <v>219</v>
      </c>
      <c r="G245" s="1858"/>
      <c r="H245" s="200"/>
      <c r="I245" s="200"/>
      <c r="J245" s="3215">
        <v>15000000</v>
      </c>
      <c r="K245" s="3171">
        <v>13371000</v>
      </c>
      <c r="L245" s="3125">
        <v>15000000</v>
      </c>
      <c r="M245" s="3124">
        <v>200000</v>
      </c>
      <c r="N245" s="3125">
        <v>0</v>
      </c>
      <c r="O245" s="3125">
        <v>200000</v>
      </c>
      <c r="P245" s="3125">
        <v>15000000</v>
      </c>
      <c r="Q245" s="3125">
        <f t="shared" si="54"/>
        <v>0</v>
      </c>
      <c r="R245" s="3605">
        <f t="shared" si="55"/>
        <v>0</v>
      </c>
      <c r="S245" s="1881"/>
      <c r="T245" s="1846">
        <f t="shared" si="47"/>
        <v>800000</v>
      </c>
    </row>
    <row r="246" spans="1:20" s="257" customFormat="1" ht="15.05" customHeight="1">
      <c r="A246" s="1886"/>
      <c r="B246" s="1886"/>
      <c r="C246" s="1886"/>
      <c r="D246" s="1886"/>
      <c r="E246" s="1886"/>
      <c r="F246" s="1887"/>
      <c r="G246" s="1888"/>
      <c r="H246" s="856"/>
      <c r="I246" s="856"/>
      <c r="J246" s="3238"/>
      <c r="K246" s="3173"/>
      <c r="L246" s="3174"/>
      <c r="M246" s="3175"/>
      <c r="N246" s="3174"/>
      <c r="O246" s="3174"/>
      <c r="P246" s="3174"/>
      <c r="Q246" s="3174"/>
      <c r="R246" s="3612"/>
      <c r="S246" s="1899"/>
      <c r="T246" s="1846">
        <f t="shared" si="47"/>
        <v>0</v>
      </c>
    </row>
    <row r="247" spans="1:20" s="2947" customFormat="1" ht="15.05" customHeight="1">
      <c r="A247" s="3053">
        <v>4</v>
      </c>
      <c r="B247" s="3054">
        <v>1</v>
      </c>
      <c r="C247" s="3054">
        <v>4</v>
      </c>
      <c r="D247" s="3054" t="s">
        <v>441</v>
      </c>
      <c r="E247" s="3054"/>
      <c r="F247" s="3091" t="s">
        <v>557</v>
      </c>
      <c r="G247" s="3064"/>
      <c r="H247" s="3064"/>
      <c r="I247" s="3064"/>
      <c r="J247" s="3239">
        <v>0</v>
      </c>
      <c r="K247" s="3240">
        <f t="shared" ref="K247:P247" si="57">K248</f>
        <v>810940665.47000003</v>
      </c>
      <c r="L247" s="3240">
        <f t="shared" si="57"/>
        <v>0</v>
      </c>
      <c r="M247" s="3240">
        <f t="shared" si="57"/>
        <v>81048456.790000007</v>
      </c>
      <c r="N247" s="3240">
        <f t="shared" si="57"/>
        <v>73760000</v>
      </c>
      <c r="O247" s="3240">
        <f t="shared" si="57"/>
        <v>82408456.790000007</v>
      </c>
      <c r="P247" s="3240">
        <f t="shared" si="57"/>
        <v>82408000</v>
      </c>
      <c r="Q247" s="3241">
        <f t="shared" ref="Q247:Q263" si="58">+P247-L247</f>
        <v>82408000</v>
      </c>
      <c r="R247" s="3626">
        <v>0</v>
      </c>
      <c r="S247" s="3092"/>
      <c r="T247" s="2944">
        <f t="shared" si="47"/>
        <v>329633827.16000003</v>
      </c>
    </row>
    <row r="248" spans="1:20" s="1318" customFormat="1" ht="15.05" customHeight="1">
      <c r="A248" s="1905">
        <v>4</v>
      </c>
      <c r="B248" s="1905">
        <v>1</v>
      </c>
      <c r="C248" s="1905">
        <v>4</v>
      </c>
      <c r="D248" s="1905" t="s">
        <v>441</v>
      </c>
      <c r="E248" s="1905" t="s">
        <v>437</v>
      </c>
      <c r="F248" s="3089" t="s">
        <v>72</v>
      </c>
      <c r="G248" s="212"/>
      <c r="H248" s="212"/>
      <c r="I248" s="212"/>
      <c r="J248" s="3243" t="s">
        <v>50</v>
      </c>
      <c r="K248" s="3244">
        <f>SUM(K249:K263)</f>
        <v>810940665.47000003</v>
      </c>
      <c r="L248" s="3245">
        <v>0</v>
      </c>
      <c r="M248" s="3246">
        <v>81048456.790000007</v>
      </c>
      <c r="N248" s="3245">
        <v>73760000</v>
      </c>
      <c r="O248" s="3245">
        <v>82408456.790000007</v>
      </c>
      <c r="P248" s="3245">
        <f>SUM(P249:P263)</f>
        <v>82408000</v>
      </c>
      <c r="Q248" s="3245">
        <f t="shared" si="58"/>
        <v>82408000</v>
      </c>
      <c r="R248" s="3627">
        <v>0</v>
      </c>
      <c r="S248" s="3090"/>
      <c r="T248" s="1846">
        <f t="shared" si="47"/>
        <v>329633827.16000003</v>
      </c>
    </row>
    <row r="249" spans="1:20" s="257" customFormat="1" ht="15.05" customHeight="1">
      <c r="A249" s="1855"/>
      <c r="B249" s="1855"/>
      <c r="C249" s="1855"/>
      <c r="D249" s="1855"/>
      <c r="E249" s="1855"/>
      <c r="F249" s="2359" t="s">
        <v>50</v>
      </c>
      <c r="G249" s="200" t="s">
        <v>558</v>
      </c>
      <c r="H249" s="200"/>
      <c r="I249" s="200"/>
      <c r="J249" s="3248" t="s">
        <v>50</v>
      </c>
      <c r="K249" s="3216">
        <v>188674021.74000001</v>
      </c>
      <c r="L249" s="3249">
        <v>0</v>
      </c>
      <c r="M249" s="3250">
        <v>81048456.790000007</v>
      </c>
      <c r="N249" s="3249">
        <v>1360000</v>
      </c>
      <c r="O249" s="3249">
        <v>82408456.790000007</v>
      </c>
      <c r="P249" s="3249">
        <v>82408000</v>
      </c>
      <c r="Q249" s="3249">
        <f t="shared" si="58"/>
        <v>82408000</v>
      </c>
      <c r="R249" s="3605">
        <v>0</v>
      </c>
      <c r="S249" s="1921"/>
      <c r="T249" s="1846">
        <f t="shared" si="47"/>
        <v>329633827.16000003</v>
      </c>
    </row>
    <row r="250" spans="1:20" s="257" customFormat="1" ht="15.05" customHeight="1">
      <c r="A250" s="1855"/>
      <c r="B250" s="1855"/>
      <c r="C250" s="1855"/>
      <c r="D250" s="1855"/>
      <c r="E250" s="1855"/>
      <c r="F250" s="2359" t="s">
        <v>50</v>
      </c>
      <c r="G250" s="200" t="s">
        <v>559</v>
      </c>
      <c r="H250" s="200"/>
      <c r="I250" s="200"/>
      <c r="J250" s="3248" t="s">
        <v>50</v>
      </c>
      <c r="K250" s="3216">
        <v>0</v>
      </c>
      <c r="L250" s="3249"/>
      <c r="M250" s="3250"/>
      <c r="N250" s="3249">
        <v>72400000</v>
      </c>
      <c r="O250" s="3249"/>
      <c r="P250" s="3249"/>
      <c r="Q250" s="3249">
        <f t="shared" si="58"/>
        <v>0</v>
      </c>
      <c r="R250" s="3605">
        <v>0</v>
      </c>
      <c r="S250" s="1921"/>
      <c r="T250" s="1846">
        <f t="shared" si="47"/>
        <v>0</v>
      </c>
    </row>
    <row r="251" spans="1:20" s="257" customFormat="1" ht="15.05" customHeight="1">
      <c r="A251" s="1855"/>
      <c r="B251" s="1855"/>
      <c r="C251" s="1855"/>
      <c r="D251" s="1855"/>
      <c r="E251" s="1855"/>
      <c r="F251" s="2359" t="s">
        <v>50</v>
      </c>
      <c r="G251" s="253" t="s">
        <v>1160</v>
      </c>
      <c r="H251" s="253"/>
      <c r="I251" s="200"/>
      <c r="J251" s="3248" t="s">
        <v>50</v>
      </c>
      <c r="K251" s="3216">
        <v>7295582</v>
      </c>
      <c r="L251" s="3249"/>
      <c r="M251" s="3250"/>
      <c r="N251" s="3249"/>
      <c r="O251" s="3249"/>
      <c r="P251" s="3249"/>
      <c r="Q251" s="3249">
        <f t="shared" si="58"/>
        <v>0</v>
      </c>
      <c r="R251" s="3605">
        <v>0</v>
      </c>
      <c r="S251" s="1921"/>
      <c r="T251" s="1846">
        <f t="shared" si="47"/>
        <v>0</v>
      </c>
    </row>
    <row r="252" spans="1:20" s="257" customFormat="1" ht="15.05" customHeight="1">
      <c r="A252" s="1855"/>
      <c r="B252" s="1855"/>
      <c r="C252" s="1855"/>
      <c r="D252" s="1855"/>
      <c r="E252" s="1855"/>
      <c r="F252" s="2359" t="s">
        <v>50</v>
      </c>
      <c r="G252" s="200" t="s">
        <v>1161</v>
      </c>
      <c r="H252" s="2329"/>
      <c r="I252" s="200"/>
      <c r="J252" s="3248" t="s">
        <v>50</v>
      </c>
      <c r="K252" s="3216">
        <v>0</v>
      </c>
      <c r="L252" s="3249"/>
      <c r="M252" s="3250"/>
      <c r="N252" s="3249"/>
      <c r="O252" s="3249"/>
      <c r="P252" s="3249"/>
      <c r="Q252" s="3249">
        <f t="shared" si="58"/>
        <v>0</v>
      </c>
      <c r="R252" s="3605">
        <v>0</v>
      </c>
      <c r="S252" s="1921"/>
      <c r="T252" s="1846">
        <f t="shared" si="47"/>
        <v>0</v>
      </c>
    </row>
    <row r="253" spans="1:20" s="257" customFormat="1" ht="15.05" customHeight="1">
      <c r="A253" s="1855"/>
      <c r="B253" s="1855"/>
      <c r="C253" s="1855"/>
      <c r="D253" s="1855"/>
      <c r="E253" s="1855"/>
      <c r="F253" s="2359" t="s">
        <v>50</v>
      </c>
      <c r="G253" s="200" t="s">
        <v>681</v>
      </c>
      <c r="H253" s="200"/>
      <c r="I253" s="200"/>
      <c r="J253" s="3248" t="s">
        <v>50</v>
      </c>
      <c r="K253" s="3216">
        <v>164498989</v>
      </c>
      <c r="L253" s="3249"/>
      <c r="M253" s="3250"/>
      <c r="N253" s="3249"/>
      <c r="O253" s="3249"/>
      <c r="P253" s="3249"/>
      <c r="Q253" s="3249">
        <f t="shared" si="58"/>
        <v>0</v>
      </c>
      <c r="R253" s="3605">
        <v>0</v>
      </c>
      <c r="S253" s="1922"/>
      <c r="T253" s="1846">
        <f t="shared" si="47"/>
        <v>0</v>
      </c>
    </row>
    <row r="254" spans="1:20" s="257" customFormat="1" ht="15.05" customHeight="1">
      <c r="A254" s="1855"/>
      <c r="B254" s="1855"/>
      <c r="C254" s="1855"/>
      <c r="D254" s="1855"/>
      <c r="E254" s="1855"/>
      <c r="F254" s="2359" t="s">
        <v>50</v>
      </c>
      <c r="G254" s="200" t="s">
        <v>1162</v>
      </c>
      <c r="H254" s="200"/>
      <c r="I254" s="200"/>
      <c r="J254" s="3248" t="s">
        <v>50</v>
      </c>
      <c r="K254" s="3216">
        <v>19560365.73</v>
      </c>
      <c r="L254" s="3249"/>
      <c r="M254" s="3250"/>
      <c r="N254" s="3249"/>
      <c r="O254" s="3249"/>
      <c r="P254" s="3249"/>
      <c r="Q254" s="3249">
        <f t="shared" si="58"/>
        <v>0</v>
      </c>
      <c r="R254" s="3605">
        <v>0</v>
      </c>
      <c r="S254" s="1921"/>
      <c r="T254" s="1846">
        <f t="shared" si="47"/>
        <v>0</v>
      </c>
    </row>
    <row r="255" spans="1:20" s="257" customFormat="1" ht="15.05" customHeight="1">
      <c r="A255" s="1855"/>
      <c r="B255" s="1855"/>
      <c r="C255" s="1855"/>
      <c r="D255" s="1855"/>
      <c r="E255" s="1855"/>
      <c r="F255" s="2359" t="s">
        <v>50</v>
      </c>
      <c r="G255" s="200" t="s">
        <v>544</v>
      </c>
      <c r="H255" s="200"/>
      <c r="I255" s="200"/>
      <c r="J255" s="3248" t="s">
        <v>50</v>
      </c>
      <c r="K255" s="3216">
        <v>11790410</v>
      </c>
      <c r="L255" s="3249"/>
      <c r="M255" s="3250"/>
      <c r="N255" s="3249"/>
      <c r="O255" s="3249"/>
      <c r="P255" s="3249"/>
      <c r="Q255" s="3249">
        <f t="shared" si="58"/>
        <v>0</v>
      </c>
      <c r="R255" s="3605">
        <v>0</v>
      </c>
      <c r="S255" s="1921"/>
      <c r="T255" s="1846">
        <f t="shared" si="47"/>
        <v>0</v>
      </c>
    </row>
    <row r="256" spans="1:20" s="257" customFormat="1" ht="15.05" customHeight="1">
      <c r="A256" s="1855"/>
      <c r="B256" s="1855"/>
      <c r="C256" s="1855"/>
      <c r="D256" s="1855"/>
      <c r="E256" s="1855"/>
      <c r="F256" s="2359" t="s">
        <v>50</v>
      </c>
      <c r="G256" s="200" t="s">
        <v>1163</v>
      </c>
      <c r="H256" s="2329"/>
      <c r="I256" s="200"/>
      <c r="J256" s="3248" t="s">
        <v>50</v>
      </c>
      <c r="K256" s="3216">
        <v>90692121</v>
      </c>
      <c r="L256" s="3249"/>
      <c r="M256" s="3250"/>
      <c r="N256" s="3249"/>
      <c r="O256" s="3249"/>
      <c r="P256" s="3249"/>
      <c r="Q256" s="3249">
        <f t="shared" si="58"/>
        <v>0</v>
      </c>
      <c r="R256" s="3605">
        <v>0</v>
      </c>
      <c r="S256" s="1921"/>
      <c r="T256" s="1846">
        <f t="shared" si="47"/>
        <v>0</v>
      </c>
    </row>
    <row r="257" spans="1:20" s="257" customFormat="1" ht="15.05" customHeight="1">
      <c r="A257" s="1855"/>
      <c r="B257" s="1855"/>
      <c r="C257" s="1855"/>
      <c r="D257" s="1855"/>
      <c r="E257" s="1855"/>
      <c r="F257" s="2359" t="s">
        <v>50</v>
      </c>
      <c r="G257" s="200" t="s">
        <v>1164</v>
      </c>
      <c r="H257" s="2329"/>
      <c r="I257" s="200"/>
      <c r="J257" s="3248" t="s">
        <v>50</v>
      </c>
      <c r="K257" s="3216">
        <v>126061400</v>
      </c>
      <c r="L257" s="3249"/>
      <c r="M257" s="3250"/>
      <c r="N257" s="3249"/>
      <c r="O257" s="3249"/>
      <c r="P257" s="3249"/>
      <c r="Q257" s="3249">
        <f t="shared" si="58"/>
        <v>0</v>
      </c>
      <c r="R257" s="3605">
        <v>0</v>
      </c>
      <c r="S257" s="1921"/>
      <c r="T257" s="1846">
        <f t="shared" si="47"/>
        <v>0</v>
      </c>
    </row>
    <row r="258" spans="1:20" s="257" customFormat="1" ht="15.05" customHeight="1">
      <c r="A258" s="1855"/>
      <c r="B258" s="1855"/>
      <c r="C258" s="1855"/>
      <c r="D258" s="1855"/>
      <c r="E258" s="1855"/>
      <c r="F258" s="2359" t="s">
        <v>50</v>
      </c>
      <c r="G258" s="200" t="s">
        <v>1165</v>
      </c>
      <c r="H258" s="200"/>
      <c r="I258" s="200"/>
      <c r="J258" s="3248" t="s">
        <v>50</v>
      </c>
      <c r="K258" s="3216">
        <v>1835685</v>
      </c>
      <c r="L258" s="3249"/>
      <c r="M258" s="3250"/>
      <c r="N258" s="3249"/>
      <c r="O258" s="3249"/>
      <c r="P258" s="3249"/>
      <c r="Q258" s="3249">
        <f t="shared" si="58"/>
        <v>0</v>
      </c>
      <c r="R258" s="3605">
        <v>0</v>
      </c>
      <c r="S258" s="1921"/>
      <c r="T258" s="1846">
        <f t="shared" si="47"/>
        <v>0</v>
      </c>
    </row>
    <row r="259" spans="1:20" s="257" customFormat="1" ht="15.05" customHeight="1">
      <c r="A259" s="1855"/>
      <c r="B259" s="1855"/>
      <c r="C259" s="1855"/>
      <c r="D259" s="1855"/>
      <c r="E259" s="1855"/>
      <c r="F259" s="2359" t="s">
        <v>50</v>
      </c>
      <c r="G259" s="200" t="s">
        <v>924</v>
      </c>
      <c r="H259" s="2329"/>
      <c r="I259" s="200"/>
      <c r="J259" s="3248" t="s">
        <v>50</v>
      </c>
      <c r="K259" s="3216">
        <v>0</v>
      </c>
      <c r="L259" s="3249"/>
      <c r="M259" s="3250"/>
      <c r="N259" s="3249"/>
      <c r="O259" s="3249"/>
      <c r="P259" s="3249"/>
      <c r="Q259" s="3249">
        <f t="shared" si="58"/>
        <v>0</v>
      </c>
      <c r="R259" s="3605">
        <v>0</v>
      </c>
      <c r="S259" s="1921"/>
      <c r="T259" s="1846">
        <f t="shared" si="47"/>
        <v>0</v>
      </c>
    </row>
    <row r="260" spans="1:20" s="257" customFormat="1" ht="15.05" customHeight="1">
      <c r="A260" s="1855"/>
      <c r="B260" s="1855"/>
      <c r="C260" s="1855"/>
      <c r="D260" s="1855"/>
      <c r="E260" s="1855"/>
      <c r="F260" s="2359" t="s">
        <v>50</v>
      </c>
      <c r="G260" s="200" t="s">
        <v>1166</v>
      </c>
      <c r="H260" s="2329"/>
      <c r="I260" s="200"/>
      <c r="J260" s="3248" t="s">
        <v>50</v>
      </c>
      <c r="K260" s="3216">
        <v>21802000</v>
      </c>
      <c r="L260" s="3249"/>
      <c r="M260" s="3250"/>
      <c r="N260" s="3249"/>
      <c r="O260" s="3249"/>
      <c r="P260" s="3249"/>
      <c r="Q260" s="3249">
        <f t="shared" si="58"/>
        <v>0</v>
      </c>
      <c r="R260" s="3605">
        <v>0</v>
      </c>
      <c r="S260" s="1921"/>
      <c r="T260" s="1846">
        <f t="shared" si="47"/>
        <v>0</v>
      </c>
    </row>
    <row r="261" spans="1:20" s="257" customFormat="1" ht="15.05" customHeight="1">
      <c r="A261" s="1855"/>
      <c r="B261" s="1855"/>
      <c r="C261" s="1855"/>
      <c r="D261" s="1855"/>
      <c r="E261" s="1855"/>
      <c r="F261" s="2359" t="s">
        <v>50</v>
      </c>
      <c r="G261" s="200" t="s">
        <v>1167</v>
      </c>
      <c r="H261" s="2329"/>
      <c r="I261" s="200"/>
      <c r="J261" s="3248" t="s">
        <v>50</v>
      </c>
      <c r="K261" s="3216">
        <v>415440</v>
      </c>
      <c r="L261" s="3249"/>
      <c r="M261" s="3250"/>
      <c r="N261" s="3249"/>
      <c r="O261" s="3249"/>
      <c r="P261" s="3249"/>
      <c r="Q261" s="3249">
        <f t="shared" si="58"/>
        <v>0</v>
      </c>
      <c r="R261" s="3605">
        <v>0</v>
      </c>
      <c r="S261" s="1921"/>
      <c r="T261" s="1846">
        <f t="shared" si="47"/>
        <v>0</v>
      </c>
    </row>
    <row r="262" spans="1:20" s="257" customFormat="1" ht="15.05" customHeight="1">
      <c r="A262" s="1855"/>
      <c r="B262" s="1855"/>
      <c r="C262" s="1855"/>
      <c r="D262" s="1855"/>
      <c r="E262" s="1855"/>
      <c r="F262" s="2359" t="s">
        <v>50</v>
      </c>
      <c r="G262" s="200" t="s">
        <v>99</v>
      </c>
      <c r="H262" s="2329"/>
      <c r="I262" s="200"/>
      <c r="J262" s="3248" t="s">
        <v>50</v>
      </c>
      <c r="K262" s="3216">
        <v>178187151</v>
      </c>
      <c r="L262" s="3249"/>
      <c r="M262" s="3250"/>
      <c r="N262" s="3249"/>
      <c r="O262" s="3249"/>
      <c r="P262" s="3249"/>
      <c r="Q262" s="3249">
        <f t="shared" si="58"/>
        <v>0</v>
      </c>
      <c r="R262" s="3605">
        <v>0</v>
      </c>
      <c r="S262" s="1921"/>
      <c r="T262" s="1846">
        <f t="shared" si="47"/>
        <v>0</v>
      </c>
    </row>
    <row r="263" spans="1:20" s="257" customFormat="1" ht="15.05" customHeight="1">
      <c r="A263" s="1855"/>
      <c r="B263" s="1855"/>
      <c r="C263" s="1855"/>
      <c r="D263" s="1855"/>
      <c r="E263" s="1855"/>
      <c r="F263" s="2359" t="s">
        <v>50</v>
      </c>
      <c r="G263" s="200" t="s">
        <v>1168</v>
      </c>
      <c r="H263" s="2329"/>
      <c r="I263" s="200"/>
      <c r="J263" s="3215"/>
      <c r="K263" s="3216">
        <v>127500</v>
      </c>
      <c r="L263" s="3249"/>
      <c r="M263" s="3250"/>
      <c r="N263" s="3249"/>
      <c r="O263" s="3249"/>
      <c r="P263" s="3249"/>
      <c r="Q263" s="3249">
        <f t="shared" si="58"/>
        <v>0</v>
      </c>
      <c r="R263" s="3605">
        <v>0</v>
      </c>
      <c r="S263" s="1922"/>
      <c r="T263" s="1846">
        <f t="shared" si="47"/>
        <v>0</v>
      </c>
    </row>
    <row r="264" spans="1:20" s="257" customFormat="1" ht="15.05" customHeight="1">
      <c r="A264" s="1886"/>
      <c r="B264" s="1886"/>
      <c r="C264" s="1886"/>
      <c r="D264" s="1886"/>
      <c r="E264" s="1886"/>
      <c r="F264" s="2843"/>
      <c r="G264" s="2844"/>
      <c r="H264" s="856"/>
      <c r="I264" s="856"/>
      <c r="J264" s="3238"/>
      <c r="K264" s="3251"/>
      <c r="L264" s="3252"/>
      <c r="M264" s="3253"/>
      <c r="N264" s="3252"/>
      <c r="O264" s="3252"/>
      <c r="P264" s="3174"/>
      <c r="Q264" s="3174"/>
      <c r="R264" s="3612"/>
      <c r="S264" s="1899"/>
      <c r="T264" s="1846">
        <f t="shared" si="47"/>
        <v>0</v>
      </c>
    </row>
    <row r="265" spans="1:20" s="2947" customFormat="1" ht="15.05" customHeight="1">
      <c r="A265" s="3053">
        <v>4</v>
      </c>
      <c r="B265" s="3054">
        <v>1</v>
      </c>
      <c r="C265" s="3054">
        <v>4</v>
      </c>
      <c r="D265" s="3054" t="s">
        <v>456</v>
      </c>
      <c r="E265" s="3054"/>
      <c r="F265" s="3056" t="s">
        <v>307</v>
      </c>
      <c r="G265" s="3057"/>
      <c r="H265" s="3064"/>
      <c r="I265" s="3064"/>
      <c r="J265" s="3212">
        <f>J266+J277</f>
        <v>18548560000</v>
      </c>
      <c r="K265" s="3212">
        <f t="shared" ref="K265:P265" si="59">K266+K277</f>
        <v>19634060483</v>
      </c>
      <c r="L265" s="3212">
        <f t="shared" si="59"/>
        <v>18548560000</v>
      </c>
      <c r="M265" s="3212">
        <f t="shared" si="59"/>
        <v>3186070400</v>
      </c>
      <c r="N265" s="3212">
        <f t="shared" si="59"/>
        <v>2296646661</v>
      </c>
      <c r="O265" s="3212">
        <f t="shared" si="59"/>
        <v>5482717061</v>
      </c>
      <c r="P265" s="3212">
        <f t="shared" si="59"/>
        <v>20350000000</v>
      </c>
      <c r="Q265" s="3178">
        <f t="shared" ref="Q265:Q291" si="60">+P265-L265</f>
        <v>1801440000</v>
      </c>
      <c r="R265" s="3621">
        <f>+P265/L265*100-100</f>
        <v>9.7120207714237665</v>
      </c>
      <c r="S265" s="3066"/>
      <c r="T265" s="2944">
        <f t="shared" si="47"/>
        <v>21930868244</v>
      </c>
    </row>
    <row r="266" spans="1:20" s="257" customFormat="1" ht="15.05" customHeight="1">
      <c r="A266" s="1889">
        <v>4</v>
      </c>
      <c r="B266" s="1889">
        <v>1</v>
      </c>
      <c r="C266" s="1889">
        <v>4</v>
      </c>
      <c r="D266" s="1889" t="s">
        <v>456</v>
      </c>
      <c r="E266" s="1889" t="s">
        <v>437</v>
      </c>
      <c r="F266" s="3087" t="s">
        <v>309</v>
      </c>
      <c r="G266" s="3084"/>
      <c r="H266" s="224"/>
      <c r="I266" s="224"/>
      <c r="J266" s="3254">
        <v>18448560000</v>
      </c>
      <c r="K266" s="3237">
        <v>19268531170</v>
      </c>
      <c r="L266" s="3234">
        <v>18448560000</v>
      </c>
      <c r="M266" s="3225">
        <v>3064125447</v>
      </c>
      <c r="N266" s="3234">
        <v>2223238906</v>
      </c>
      <c r="O266" s="3234">
        <v>5287364353</v>
      </c>
      <c r="P266" s="3234">
        <v>20000000000</v>
      </c>
      <c r="Q266" s="3234">
        <f t="shared" si="60"/>
        <v>1551440000</v>
      </c>
      <c r="R266" s="3604">
        <f>+P266/L266*100-100</f>
        <v>8.409545243639613</v>
      </c>
      <c r="S266" s="1900"/>
      <c r="T266" s="1846">
        <f t="shared" si="47"/>
        <v>21149457412</v>
      </c>
    </row>
    <row r="267" spans="1:20" s="257" customFormat="1" ht="15.05" customHeight="1">
      <c r="A267" s="1855"/>
      <c r="B267" s="1855"/>
      <c r="C267" s="1855"/>
      <c r="D267" s="1855"/>
      <c r="E267" s="1855"/>
      <c r="F267" s="2359" t="s">
        <v>50</v>
      </c>
      <c r="G267" s="213"/>
      <c r="H267" s="200" t="str">
        <f>MAR!I523</f>
        <v>Samsat Mataram</v>
      </c>
      <c r="I267" s="200"/>
      <c r="J267" s="3215">
        <v>18448560000</v>
      </c>
      <c r="K267" s="3171">
        <v>5900994481</v>
      </c>
      <c r="L267" s="3125">
        <v>0</v>
      </c>
      <c r="M267" s="3124">
        <v>950178232</v>
      </c>
      <c r="N267" s="3125">
        <v>483669403</v>
      </c>
      <c r="O267" s="3125">
        <v>1433847635</v>
      </c>
      <c r="P267" s="3125">
        <v>0</v>
      </c>
      <c r="Q267" s="3125">
        <f t="shared" si="60"/>
        <v>0</v>
      </c>
      <c r="R267" s="3605">
        <v>0</v>
      </c>
      <c r="S267" s="1881"/>
      <c r="T267" s="1846">
        <f t="shared" si="47"/>
        <v>5735390540</v>
      </c>
    </row>
    <row r="268" spans="1:20" s="257" customFormat="1" ht="15.05" customHeight="1">
      <c r="A268" s="1855"/>
      <c r="B268" s="1855"/>
      <c r="C268" s="1855"/>
      <c r="D268" s="1855"/>
      <c r="E268" s="1855"/>
      <c r="F268" s="2359" t="s">
        <v>50</v>
      </c>
      <c r="G268" s="213"/>
      <c r="H268" s="200" t="str">
        <f>MAR!I524</f>
        <v>Samsat Praya</v>
      </c>
      <c r="I268" s="200"/>
      <c r="J268" s="3215"/>
      <c r="K268" s="3171">
        <v>2780920166</v>
      </c>
      <c r="L268" s="3125">
        <v>0</v>
      </c>
      <c r="M268" s="3124">
        <v>464483071</v>
      </c>
      <c r="N268" s="3125">
        <v>700930596</v>
      </c>
      <c r="O268" s="3125">
        <v>1165413667</v>
      </c>
      <c r="P268" s="3125">
        <v>0</v>
      </c>
      <c r="Q268" s="3125">
        <f t="shared" si="60"/>
        <v>0</v>
      </c>
      <c r="R268" s="3605">
        <v>0</v>
      </c>
      <c r="S268" s="1881"/>
      <c r="T268" s="1846">
        <f t="shared" si="47"/>
        <v>4661654668</v>
      </c>
    </row>
    <row r="269" spans="1:20" s="257" customFormat="1" ht="15.05" customHeight="1">
      <c r="A269" s="1855"/>
      <c r="B269" s="1855"/>
      <c r="C269" s="1855"/>
      <c r="D269" s="1855"/>
      <c r="E269" s="1855"/>
      <c r="F269" s="2359" t="s">
        <v>50</v>
      </c>
      <c r="G269" s="213"/>
      <c r="H269" s="200" t="str">
        <f>MAR!I525</f>
        <v>Samsat Selong</v>
      </c>
      <c r="I269" s="200"/>
      <c r="J269" s="3215"/>
      <c r="K269" s="3171">
        <v>334374917</v>
      </c>
      <c r="L269" s="3125">
        <v>0</v>
      </c>
      <c r="M269" s="3124">
        <v>526640801</v>
      </c>
      <c r="N269" s="3125">
        <v>257640400</v>
      </c>
      <c r="O269" s="3125">
        <v>784281201</v>
      </c>
      <c r="P269" s="3125">
        <v>0</v>
      </c>
      <c r="Q269" s="3125">
        <f t="shared" si="60"/>
        <v>0</v>
      </c>
      <c r="R269" s="3605">
        <v>0</v>
      </c>
      <c r="S269" s="1881"/>
      <c r="T269" s="1846">
        <f t="shared" si="47"/>
        <v>3137124804</v>
      </c>
    </row>
    <row r="270" spans="1:20" s="257" customFormat="1" ht="15.05" customHeight="1">
      <c r="A270" s="1855"/>
      <c r="B270" s="1855"/>
      <c r="C270" s="1855"/>
      <c r="D270" s="1855"/>
      <c r="E270" s="1855"/>
      <c r="F270" s="2359" t="s">
        <v>50</v>
      </c>
      <c r="G270" s="213"/>
      <c r="H270" s="200" t="str">
        <f>MAR!I526</f>
        <v>Samsat Sumbawa</v>
      </c>
      <c r="I270" s="200"/>
      <c r="J270" s="3215"/>
      <c r="K270" s="3171">
        <v>1616126594</v>
      </c>
      <c r="L270" s="3125">
        <v>0</v>
      </c>
      <c r="M270" s="3124">
        <v>210189810</v>
      </c>
      <c r="N270" s="3125">
        <v>117317727</v>
      </c>
      <c r="O270" s="3125">
        <v>327507537</v>
      </c>
      <c r="P270" s="3125">
        <v>0</v>
      </c>
      <c r="Q270" s="3125">
        <f t="shared" si="60"/>
        <v>0</v>
      </c>
      <c r="R270" s="3605">
        <v>0</v>
      </c>
      <c r="S270" s="1881"/>
      <c r="T270" s="1846">
        <f t="shared" si="47"/>
        <v>1310030148</v>
      </c>
    </row>
    <row r="271" spans="1:20" s="257" customFormat="1" ht="15.05" customHeight="1">
      <c r="A271" s="1855"/>
      <c r="B271" s="1855"/>
      <c r="C271" s="1855"/>
      <c r="D271" s="1855"/>
      <c r="E271" s="1855"/>
      <c r="F271" s="2359" t="s">
        <v>50</v>
      </c>
      <c r="G271" s="213"/>
      <c r="H271" s="200" t="str">
        <f>MAR!I527</f>
        <v>Samsat Kota Bima</v>
      </c>
      <c r="I271" s="200"/>
      <c r="J271" s="3215"/>
      <c r="K271" s="3171">
        <v>154003162</v>
      </c>
      <c r="L271" s="3125">
        <v>0</v>
      </c>
      <c r="M271" s="3124">
        <v>198751703</v>
      </c>
      <c r="N271" s="3125">
        <v>92358050</v>
      </c>
      <c r="O271" s="3125">
        <v>291109753</v>
      </c>
      <c r="P271" s="3125">
        <v>0</v>
      </c>
      <c r="Q271" s="3125">
        <f t="shared" si="60"/>
        <v>0</v>
      </c>
      <c r="R271" s="3605">
        <v>0</v>
      </c>
      <c r="S271" s="1881"/>
      <c r="T271" s="1846">
        <f t="shared" si="47"/>
        <v>1164439012</v>
      </c>
    </row>
    <row r="272" spans="1:20" s="257" customFormat="1" ht="15.05" customHeight="1">
      <c r="A272" s="1855"/>
      <c r="B272" s="1855"/>
      <c r="C272" s="1855"/>
      <c r="D272" s="1855"/>
      <c r="E272" s="1855"/>
      <c r="F272" s="2359"/>
      <c r="G272" s="213"/>
      <c r="H272" s="200" t="str">
        <f>MAR!I528</f>
        <v>Samsat Kab. Bima</v>
      </c>
      <c r="I272" s="200"/>
      <c r="J272" s="3215"/>
      <c r="K272" s="3193">
        <v>0</v>
      </c>
      <c r="L272" s="3125"/>
      <c r="M272" s="3124">
        <v>96723700</v>
      </c>
      <c r="N272" s="3125">
        <v>51092666</v>
      </c>
      <c r="O272" s="3125">
        <v>147816366</v>
      </c>
      <c r="P272" s="3125"/>
      <c r="Q272" s="3125">
        <f t="shared" si="60"/>
        <v>0</v>
      </c>
      <c r="R272" s="3605">
        <v>0</v>
      </c>
      <c r="S272" s="1881"/>
      <c r="T272" s="1846">
        <f t="shared" si="47"/>
        <v>591265464</v>
      </c>
    </row>
    <row r="273" spans="1:20" s="257" customFormat="1" ht="15.05" customHeight="1">
      <c r="A273" s="1855"/>
      <c r="B273" s="1855"/>
      <c r="C273" s="1855"/>
      <c r="D273" s="1855"/>
      <c r="E273" s="1855"/>
      <c r="F273" s="2359" t="s">
        <v>50</v>
      </c>
      <c r="G273" s="213"/>
      <c r="H273" s="200" t="str">
        <f>MAR!I529</f>
        <v>Samsat Dompu</v>
      </c>
      <c r="I273" s="200"/>
      <c r="J273" s="3215"/>
      <c r="K273" s="3171">
        <v>602053236</v>
      </c>
      <c r="L273" s="3125">
        <v>0</v>
      </c>
      <c r="M273" s="3124">
        <v>94411077</v>
      </c>
      <c r="N273" s="3125">
        <v>45850047</v>
      </c>
      <c r="O273" s="3125">
        <v>140261124</v>
      </c>
      <c r="P273" s="3125">
        <v>0</v>
      </c>
      <c r="Q273" s="3125">
        <f t="shared" si="60"/>
        <v>0</v>
      </c>
      <c r="R273" s="3605">
        <v>0</v>
      </c>
      <c r="S273" s="1881"/>
      <c r="T273" s="1846">
        <f t="shared" si="47"/>
        <v>561044496</v>
      </c>
    </row>
    <row r="274" spans="1:20" s="257" customFormat="1" ht="15.05" customHeight="1">
      <c r="A274" s="1855"/>
      <c r="B274" s="1855"/>
      <c r="C274" s="1855"/>
      <c r="D274" s="1855"/>
      <c r="E274" s="1855"/>
      <c r="F274" s="2359" t="s">
        <v>50</v>
      </c>
      <c r="G274" s="213"/>
      <c r="H274" s="200" t="str">
        <f>MAR!I530</f>
        <v>Samsat Lombok Barat</v>
      </c>
      <c r="I274" s="200"/>
      <c r="J274" s="3215"/>
      <c r="K274" s="3171">
        <v>1924735337</v>
      </c>
      <c r="L274" s="3125">
        <v>0</v>
      </c>
      <c r="M274" s="3124">
        <v>310303928</v>
      </c>
      <c r="N274" s="3125">
        <v>180694105</v>
      </c>
      <c r="O274" s="3125">
        <v>490998033</v>
      </c>
      <c r="P274" s="3125">
        <v>0</v>
      </c>
      <c r="Q274" s="3125">
        <f t="shared" si="60"/>
        <v>0</v>
      </c>
      <c r="R274" s="3605">
        <v>0</v>
      </c>
      <c r="S274" s="1881"/>
      <c r="T274" s="1846">
        <f t="shared" si="47"/>
        <v>1963992132</v>
      </c>
    </row>
    <row r="275" spans="1:20" s="257" customFormat="1" ht="15.05" customHeight="1">
      <c r="A275" s="1855"/>
      <c r="B275" s="1855"/>
      <c r="C275" s="1855"/>
      <c r="D275" s="1855"/>
      <c r="E275" s="1855"/>
      <c r="F275" s="2359" t="s">
        <v>50</v>
      </c>
      <c r="G275" s="213"/>
      <c r="H275" s="200" t="str">
        <f>MAR!I531</f>
        <v>Samsat Sumbawa Barat</v>
      </c>
      <c r="I275" s="200"/>
      <c r="J275" s="3215"/>
      <c r="K275" s="3171">
        <v>1005251893</v>
      </c>
      <c r="L275" s="3125">
        <v>0</v>
      </c>
      <c r="M275" s="3124">
        <v>107538725</v>
      </c>
      <c r="N275" s="3125">
        <v>242828712</v>
      </c>
      <c r="O275" s="3125">
        <v>350367437</v>
      </c>
      <c r="P275" s="3125">
        <v>0</v>
      </c>
      <c r="Q275" s="3125">
        <f t="shared" si="60"/>
        <v>0</v>
      </c>
      <c r="R275" s="3605">
        <v>0</v>
      </c>
      <c r="S275" s="1881"/>
      <c r="T275" s="1846">
        <f t="shared" si="47"/>
        <v>1401469748</v>
      </c>
    </row>
    <row r="276" spans="1:20" s="257" customFormat="1" ht="15.05" customHeight="1">
      <c r="A276" s="1855"/>
      <c r="B276" s="1855"/>
      <c r="C276" s="1855"/>
      <c r="D276" s="1855"/>
      <c r="E276" s="1855"/>
      <c r="F276" s="2359" t="s">
        <v>50</v>
      </c>
      <c r="G276" s="213"/>
      <c r="H276" s="200" t="str">
        <f>MAR!I532</f>
        <v>Samsat Kab.Lombok Utara</v>
      </c>
      <c r="I276" s="200"/>
      <c r="J276" s="3215"/>
      <c r="K276" s="3171">
        <v>657351848</v>
      </c>
      <c r="L276" s="3125">
        <v>0</v>
      </c>
      <c r="M276" s="3124">
        <v>104904400</v>
      </c>
      <c r="N276" s="3125">
        <v>50857200</v>
      </c>
      <c r="O276" s="3125">
        <v>155761600</v>
      </c>
      <c r="P276" s="3125">
        <v>0</v>
      </c>
      <c r="Q276" s="3125">
        <f t="shared" si="60"/>
        <v>0</v>
      </c>
      <c r="R276" s="3605">
        <v>0</v>
      </c>
      <c r="S276" s="1881"/>
      <c r="T276" s="1846">
        <f t="shared" si="47"/>
        <v>623046400</v>
      </c>
    </row>
    <row r="277" spans="1:20" s="2883" customFormat="1" ht="15.05" customHeight="1">
      <c r="A277" s="2873">
        <v>4</v>
      </c>
      <c r="B277" s="2873">
        <v>1</v>
      </c>
      <c r="C277" s="2873">
        <v>4</v>
      </c>
      <c r="D277" s="2873" t="s">
        <v>456</v>
      </c>
      <c r="E277" s="2873" t="s">
        <v>438</v>
      </c>
      <c r="F277" s="2874" t="s">
        <v>319</v>
      </c>
      <c r="G277" s="2921"/>
      <c r="H277" s="2961"/>
      <c r="I277" s="2961"/>
      <c r="J277" s="3255">
        <v>100000000</v>
      </c>
      <c r="K277" s="3256">
        <f>SUM(K278:K287)</f>
        <v>365529313</v>
      </c>
      <c r="L277" s="3184">
        <v>100000000</v>
      </c>
      <c r="M277" s="3440">
        <v>121944953</v>
      </c>
      <c r="N277" s="3184">
        <v>73407755</v>
      </c>
      <c r="O277" s="3184">
        <f>SUM(O278:O287)</f>
        <v>195352708</v>
      </c>
      <c r="P277" s="3184">
        <v>350000000</v>
      </c>
      <c r="Q277" s="3184">
        <f t="shared" si="60"/>
        <v>250000000</v>
      </c>
      <c r="R277" s="3601">
        <f>+P277/L277*100-100</f>
        <v>250</v>
      </c>
      <c r="S277" s="2922"/>
      <c r="T277" s="2882">
        <f t="shared" ref="T277:T339" si="61">O277*4</f>
        <v>781410832</v>
      </c>
    </row>
    <row r="278" spans="1:20" s="257" customFormat="1" ht="15.05" customHeight="1">
      <c r="A278" s="1855"/>
      <c r="B278" s="1855"/>
      <c r="C278" s="1855"/>
      <c r="D278" s="1855"/>
      <c r="E278" s="1855"/>
      <c r="F278" s="2359" t="s">
        <v>50</v>
      </c>
      <c r="G278" s="213"/>
      <c r="H278" s="200" t="str">
        <f>MAR!I535</f>
        <v>Samsat Mataram</v>
      </c>
      <c r="I278" s="200"/>
      <c r="J278" s="3215"/>
      <c r="K278" s="3171">
        <v>126307796</v>
      </c>
      <c r="L278" s="3125">
        <v>0</v>
      </c>
      <c r="M278" s="3124">
        <v>51221268</v>
      </c>
      <c r="N278" s="3125">
        <v>9587463</v>
      </c>
      <c r="O278" s="3125">
        <v>60808731</v>
      </c>
      <c r="P278" s="3125">
        <v>0</v>
      </c>
      <c r="Q278" s="3125">
        <f t="shared" si="60"/>
        <v>0</v>
      </c>
      <c r="R278" s="3605">
        <v>0</v>
      </c>
      <c r="S278" s="1881"/>
      <c r="T278" s="1846">
        <f t="shared" si="61"/>
        <v>243234924</v>
      </c>
    </row>
    <row r="279" spans="1:20" s="257" customFormat="1" ht="15.05" customHeight="1">
      <c r="A279" s="1855"/>
      <c r="B279" s="1855"/>
      <c r="C279" s="1855"/>
      <c r="D279" s="1855"/>
      <c r="E279" s="1855"/>
      <c r="F279" s="2359" t="s">
        <v>50</v>
      </c>
      <c r="G279" s="213"/>
      <c r="H279" s="200" t="str">
        <f>MAR!I536</f>
        <v>Samsat Praya</v>
      </c>
      <c r="I279" s="200"/>
      <c r="J279" s="3215"/>
      <c r="K279" s="3171">
        <v>48957177</v>
      </c>
      <c r="L279" s="3125">
        <v>0</v>
      </c>
      <c r="M279" s="3124">
        <v>14910125</v>
      </c>
      <c r="N279" s="3125">
        <v>23481425</v>
      </c>
      <c r="O279" s="3125">
        <v>38391550</v>
      </c>
      <c r="P279" s="3125">
        <v>0</v>
      </c>
      <c r="Q279" s="3125">
        <f t="shared" si="60"/>
        <v>0</v>
      </c>
      <c r="R279" s="3605">
        <v>0</v>
      </c>
      <c r="S279" s="1908"/>
      <c r="T279" s="1846">
        <f t="shared" si="61"/>
        <v>153566200</v>
      </c>
    </row>
    <row r="280" spans="1:20" s="257" customFormat="1" ht="15.05" customHeight="1">
      <c r="A280" s="1855"/>
      <c r="B280" s="1855"/>
      <c r="C280" s="1855"/>
      <c r="D280" s="1855"/>
      <c r="E280" s="1855"/>
      <c r="F280" s="2359" t="s">
        <v>50</v>
      </c>
      <c r="G280" s="213"/>
      <c r="H280" s="200" t="str">
        <f>MAR!I537</f>
        <v>Samsat Selong</v>
      </c>
      <c r="I280" s="200"/>
      <c r="J280" s="3215"/>
      <c r="K280" s="3171">
        <v>41943963</v>
      </c>
      <c r="L280" s="3125">
        <v>0</v>
      </c>
      <c r="M280" s="3124">
        <v>11853570</v>
      </c>
      <c r="N280" s="3125">
        <v>8988200</v>
      </c>
      <c r="O280" s="3125">
        <v>20841770</v>
      </c>
      <c r="P280" s="3125">
        <v>0</v>
      </c>
      <c r="Q280" s="3125">
        <f t="shared" si="60"/>
        <v>0</v>
      </c>
      <c r="R280" s="3605">
        <v>0</v>
      </c>
      <c r="S280" s="1908"/>
      <c r="T280" s="1846">
        <f t="shared" si="61"/>
        <v>83367080</v>
      </c>
    </row>
    <row r="281" spans="1:20" s="257" customFormat="1" ht="15.05" customHeight="1">
      <c r="A281" s="1855"/>
      <c r="B281" s="1855"/>
      <c r="C281" s="1855"/>
      <c r="D281" s="1855"/>
      <c r="E281" s="1855"/>
      <c r="F281" s="2359" t="s">
        <v>50</v>
      </c>
      <c r="G281" s="213"/>
      <c r="H281" s="200" t="str">
        <f>MAR!I538</f>
        <v>Samsat Sumbawa</v>
      </c>
      <c r="I281" s="200"/>
      <c r="J281" s="3215"/>
      <c r="K281" s="3171">
        <v>20483190</v>
      </c>
      <c r="L281" s="3125">
        <v>0</v>
      </c>
      <c r="M281" s="3124">
        <v>8483975</v>
      </c>
      <c r="N281" s="3125">
        <v>4618600</v>
      </c>
      <c r="O281" s="3125">
        <v>13102575</v>
      </c>
      <c r="P281" s="3125">
        <v>0</v>
      </c>
      <c r="Q281" s="3125">
        <f t="shared" si="60"/>
        <v>0</v>
      </c>
      <c r="R281" s="3605">
        <v>0</v>
      </c>
      <c r="S281" s="1908"/>
      <c r="T281" s="1846">
        <f t="shared" si="61"/>
        <v>52410300</v>
      </c>
    </row>
    <row r="282" spans="1:20" s="257" customFormat="1" ht="15.05" customHeight="1">
      <c r="A282" s="1855"/>
      <c r="B282" s="1855"/>
      <c r="C282" s="1855"/>
      <c r="D282" s="1855"/>
      <c r="E282" s="1855"/>
      <c r="F282" s="2359" t="s">
        <v>50</v>
      </c>
      <c r="G282" s="213"/>
      <c r="H282" s="200" t="str">
        <f>MAR!I539</f>
        <v>Samsat Kota Bima</v>
      </c>
      <c r="I282" s="200"/>
      <c r="J282" s="3215"/>
      <c r="K282" s="3171">
        <v>44694173</v>
      </c>
      <c r="L282" s="3125">
        <v>0</v>
      </c>
      <c r="M282" s="3124">
        <v>10865555</v>
      </c>
      <c r="N282" s="3125">
        <v>3584900</v>
      </c>
      <c r="O282" s="3125">
        <v>14450455</v>
      </c>
      <c r="P282" s="3125">
        <v>0</v>
      </c>
      <c r="Q282" s="3125">
        <f t="shared" si="60"/>
        <v>0</v>
      </c>
      <c r="R282" s="3605">
        <v>0</v>
      </c>
      <c r="S282" s="1908"/>
      <c r="T282" s="1846">
        <f t="shared" si="61"/>
        <v>57801820</v>
      </c>
    </row>
    <row r="283" spans="1:20" s="257" customFormat="1" ht="15.05" customHeight="1">
      <c r="A283" s="1855"/>
      <c r="B283" s="1855"/>
      <c r="C283" s="1855"/>
      <c r="D283" s="1855"/>
      <c r="E283" s="1855"/>
      <c r="F283" s="2359" t="s">
        <v>50</v>
      </c>
      <c r="G283" s="213"/>
      <c r="H283" s="200" t="str">
        <f>MAR!I540</f>
        <v>Samsat Kab. Bima</v>
      </c>
      <c r="I283" s="200"/>
      <c r="J283" s="3215"/>
      <c r="K283" s="3193">
        <v>0</v>
      </c>
      <c r="L283" s="3125">
        <v>0</v>
      </c>
      <c r="M283" s="3124">
        <v>3475300</v>
      </c>
      <c r="N283" s="3125">
        <v>7300390</v>
      </c>
      <c r="O283" s="3125">
        <v>10775690</v>
      </c>
      <c r="P283" s="3125">
        <v>0</v>
      </c>
      <c r="Q283" s="3125">
        <f t="shared" si="60"/>
        <v>0</v>
      </c>
      <c r="R283" s="3605">
        <v>0</v>
      </c>
      <c r="S283" s="1908"/>
      <c r="T283" s="1846">
        <f t="shared" si="61"/>
        <v>43102760</v>
      </c>
    </row>
    <row r="284" spans="1:20" s="257" customFormat="1" ht="15.05" customHeight="1">
      <c r="A284" s="1855"/>
      <c r="B284" s="1855"/>
      <c r="C284" s="1855"/>
      <c r="D284" s="1855"/>
      <c r="E284" s="1855"/>
      <c r="F284" s="2359" t="s">
        <v>50</v>
      </c>
      <c r="G284" s="213"/>
      <c r="H284" s="200" t="str">
        <f>MAR!I541</f>
        <v>Samsat Dompu</v>
      </c>
      <c r="I284" s="200"/>
      <c r="J284" s="3215"/>
      <c r="K284" s="3171">
        <v>6311971</v>
      </c>
      <c r="L284" s="3125">
        <v>0</v>
      </c>
      <c r="M284" s="3124">
        <v>4177145</v>
      </c>
      <c r="N284" s="3125">
        <v>2170250</v>
      </c>
      <c r="O284" s="3125">
        <v>6347395</v>
      </c>
      <c r="P284" s="3125">
        <v>0</v>
      </c>
      <c r="Q284" s="3125">
        <f t="shared" si="60"/>
        <v>0</v>
      </c>
      <c r="R284" s="3605">
        <v>0</v>
      </c>
      <c r="S284" s="1908"/>
      <c r="T284" s="1846">
        <f t="shared" si="61"/>
        <v>25389580</v>
      </c>
    </row>
    <row r="285" spans="1:20" s="257" customFormat="1" ht="15.05" customHeight="1">
      <c r="A285" s="1886"/>
      <c r="B285" s="1886"/>
      <c r="C285" s="1886"/>
      <c r="D285" s="1886"/>
      <c r="E285" s="1886"/>
      <c r="F285" s="2843" t="s">
        <v>50</v>
      </c>
      <c r="G285" s="2844"/>
      <c r="H285" s="200" t="str">
        <f>MAR!I542</f>
        <v>Samsat Lombok Barat</v>
      </c>
      <c r="I285" s="856"/>
      <c r="J285" s="3238"/>
      <c r="K285" s="3173">
        <v>35215672</v>
      </c>
      <c r="L285" s="3125">
        <v>0</v>
      </c>
      <c r="M285" s="3124">
        <v>12073539</v>
      </c>
      <c r="N285" s="3125">
        <v>9903007</v>
      </c>
      <c r="O285" s="3125">
        <v>21976546</v>
      </c>
      <c r="P285" s="3125">
        <v>0</v>
      </c>
      <c r="Q285" s="3125">
        <f t="shared" si="60"/>
        <v>0</v>
      </c>
      <c r="R285" s="3605">
        <v>0</v>
      </c>
      <c r="S285" s="1923"/>
      <c r="T285" s="1846">
        <f t="shared" si="61"/>
        <v>87906184</v>
      </c>
    </row>
    <row r="286" spans="1:20" s="257" customFormat="1" ht="15.05" customHeight="1">
      <c r="A286" s="1919"/>
      <c r="B286" s="1919"/>
      <c r="C286" s="1919"/>
      <c r="D286" s="1919"/>
      <c r="E286" s="1919"/>
      <c r="F286" s="2845" t="s">
        <v>50</v>
      </c>
      <c r="G286" s="1945"/>
      <c r="H286" s="200" t="str">
        <f>MAR!I543</f>
        <v>Samsat Sumbawa Barat</v>
      </c>
      <c r="J286" s="3257"/>
      <c r="K286" s="3258">
        <v>41615371</v>
      </c>
      <c r="L286" s="3125">
        <v>0</v>
      </c>
      <c r="M286" s="3124">
        <v>2760945</v>
      </c>
      <c r="N286" s="3125">
        <v>2402495</v>
      </c>
      <c r="O286" s="3125">
        <v>5163440</v>
      </c>
      <c r="P286" s="3125">
        <v>0</v>
      </c>
      <c r="Q286" s="3125">
        <f t="shared" si="60"/>
        <v>0</v>
      </c>
      <c r="R286" s="3605">
        <v>0</v>
      </c>
      <c r="S286" s="1924"/>
      <c r="T286" s="1846">
        <f t="shared" si="61"/>
        <v>20653760</v>
      </c>
    </row>
    <row r="287" spans="1:20" s="257" customFormat="1" ht="15.05" customHeight="1">
      <c r="A287" s="1886"/>
      <c r="B287" s="1886"/>
      <c r="C287" s="1886"/>
      <c r="D287" s="1886"/>
      <c r="E287" s="1886"/>
      <c r="F287" s="2843" t="s">
        <v>50</v>
      </c>
      <c r="G287" s="2844"/>
      <c r="H287" s="856" t="str">
        <f>MAR!I544</f>
        <v>Samsat Kab.Lombok Utara</v>
      </c>
      <c r="I287" s="856"/>
      <c r="J287" s="3238"/>
      <c r="K287" s="3201">
        <v>0</v>
      </c>
      <c r="L287" s="3174">
        <v>0</v>
      </c>
      <c r="M287" s="3175">
        <v>2123531</v>
      </c>
      <c r="N287" s="3174">
        <v>1371025</v>
      </c>
      <c r="O287" s="3174">
        <v>3494556</v>
      </c>
      <c r="P287" s="3174">
        <v>0</v>
      </c>
      <c r="Q287" s="3174">
        <f t="shared" si="60"/>
        <v>0</v>
      </c>
      <c r="R287" s="3612">
        <v>0</v>
      </c>
      <c r="S287" s="1899"/>
      <c r="T287" s="1846">
        <f t="shared" si="61"/>
        <v>13978224</v>
      </c>
    </row>
    <row r="288" spans="1:20" s="2947" customFormat="1" ht="15.05" customHeight="1">
      <c r="A288" s="3053">
        <v>4</v>
      </c>
      <c r="B288" s="3054">
        <v>1</v>
      </c>
      <c r="C288" s="3054">
        <v>4</v>
      </c>
      <c r="D288" s="3054" t="s">
        <v>448</v>
      </c>
      <c r="E288" s="3054"/>
      <c r="F288" s="3056" t="s">
        <v>220</v>
      </c>
      <c r="G288" s="3057"/>
      <c r="H288" s="3064"/>
      <c r="I288" s="3064"/>
      <c r="J288" s="3212">
        <f>J289+J290</f>
        <v>235536159</v>
      </c>
      <c r="K288" s="3212">
        <f t="shared" ref="K288:P288" si="62">K289+K290</f>
        <v>12930312</v>
      </c>
      <c r="L288" s="3212">
        <f t="shared" si="62"/>
        <v>235536159</v>
      </c>
      <c r="M288" s="3212">
        <f t="shared" si="62"/>
        <v>558496</v>
      </c>
      <c r="N288" s="3212">
        <f t="shared" si="62"/>
        <v>695000</v>
      </c>
      <c r="O288" s="3212">
        <f t="shared" si="62"/>
        <v>1253496</v>
      </c>
      <c r="P288" s="3212">
        <f t="shared" si="62"/>
        <v>31000000</v>
      </c>
      <c r="Q288" s="3178">
        <f t="shared" si="60"/>
        <v>-204536159</v>
      </c>
      <c r="R288" s="3621">
        <f>+P288/L288*100-100</f>
        <v>-86.838538875892937</v>
      </c>
      <c r="S288" s="3066"/>
      <c r="T288" s="2944">
        <f t="shared" si="61"/>
        <v>5013984</v>
      </c>
    </row>
    <row r="289" spans="1:20" s="257" customFormat="1" ht="15.05" customHeight="1">
      <c r="A289" s="1889">
        <v>4</v>
      </c>
      <c r="B289" s="1889">
        <v>1</v>
      </c>
      <c r="C289" s="1889">
        <v>4</v>
      </c>
      <c r="D289" s="1889" t="s">
        <v>448</v>
      </c>
      <c r="E289" s="1889" t="s">
        <v>438</v>
      </c>
      <c r="F289" s="2358" t="s">
        <v>50</v>
      </c>
      <c r="G289" s="3084" t="s">
        <v>560</v>
      </c>
      <c r="H289" s="212"/>
      <c r="I289" s="212"/>
      <c r="J289" s="3214">
        <v>217536159</v>
      </c>
      <c r="K289" s="3155">
        <v>12930312</v>
      </c>
      <c r="L289" s="3234">
        <v>217536159</v>
      </c>
      <c r="M289" s="3225">
        <v>558496</v>
      </c>
      <c r="N289" s="3234">
        <v>0</v>
      </c>
      <c r="O289" s="3234">
        <v>558496</v>
      </c>
      <c r="P289" s="3234">
        <v>13000000</v>
      </c>
      <c r="Q289" s="3234">
        <f t="shared" si="60"/>
        <v>-204536159</v>
      </c>
      <c r="R289" s="3604">
        <f>+P289/L289*100-100</f>
        <v>-94.023982008434743</v>
      </c>
      <c r="S289" s="1911"/>
      <c r="T289" s="1846">
        <f t="shared" si="61"/>
        <v>2233984</v>
      </c>
    </row>
    <row r="290" spans="1:20" s="257" customFormat="1" ht="15.05" customHeight="1">
      <c r="A290" s="1854">
        <v>4</v>
      </c>
      <c r="B290" s="1854">
        <v>1</v>
      </c>
      <c r="C290" s="1854">
        <v>4</v>
      </c>
      <c r="D290" s="1854" t="s">
        <v>448</v>
      </c>
      <c r="E290" s="1854" t="s">
        <v>440</v>
      </c>
      <c r="F290" s="1464" t="s">
        <v>561</v>
      </c>
      <c r="G290" s="1860"/>
      <c r="H290" s="202"/>
      <c r="I290" s="202"/>
      <c r="J290" s="3259">
        <v>18000000</v>
      </c>
      <c r="K290" s="3123">
        <v>0</v>
      </c>
      <c r="L290" s="3182">
        <v>18000000</v>
      </c>
      <c r="M290" s="3183">
        <v>0</v>
      </c>
      <c r="N290" s="3182">
        <v>695000</v>
      </c>
      <c r="O290" s="3182">
        <v>695000</v>
      </c>
      <c r="P290" s="3182">
        <v>18000000</v>
      </c>
      <c r="Q290" s="3182">
        <f t="shared" si="60"/>
        <v>0</v>
      </c>
      <c r="R290" s="3601">
        <f>+P290/L290*100-100</f>
        <v>0</v>
      </c>
      <c r="S290" s="1883"/>
      <c r="T290" s="1846">
        <f t="shared" si="61"/>
        <v>2780000</v>
      </c>
    </row>
    <row r="291" spans="1:20" s="257" customFormat="1" ht="15.05" customHeight="1">
      <c r="A291" s="3573">
        <v>4</v>
      </c>
      <c r="B291" s="3573">
        <v>1</v>
      </c>
      <c r="C291" s="3573">
        <v>4</v>
      </c>
      <c r="D291" s="3573" t="s">
        <v>448</v>
      </c>
      <c r="E291" s="3573" t="s">
        <v>440</v>
      </c>
      <c r="F291" s="3574" t="s">
        <v>50</v>
      </c>
      <c r="G291" s="3575" t="s">
        <v>562</v>
      </c>
      <c r="H291" s="3537"/>
      <c r="I291" s="3575"/>
      <c r="J291" s="3576">
        <v>18000000</v>
      </c>
      <c r="K291" s="3577">
        <v>0</v>
      </c>
      <c r="L291" s="3578">
        <v>18000000</v>
      </c>
      <c r="M291" s="3579">
        <v>0</v>
      </c>
      <c r="N291" s="3578">
        <v>695000</v>
      </c>
      <c r="O291" s="3578">
        <v>695000</v>
      </c>
      <c r="P291" s="3578">
        <v>18000000</v>
      </c>
      <c r="Q291" s="3578">
        <f t="shared" si="60"/>
        <v>0</v>
      </c>
      <c r="R291" s="3615">
        <f>+P291/L291*100-100</f>
        <v>0</v>
      </c>
      <c r="S291" s="1881"/>
      <c r="T291" s="1846">
        <f t="shared" si="61"/>
        <v>2780000</v>
      </c>
    </row>
    <row r="292" spans="1:20" s="257" customFormat="1" ht="15.05" customHeight="1">
      <c r="A292" s="1919"/>
      <c r="B292" s="1919"/>
      <c r="C292" s="1919"/>
      <c r="D292" s="1919"/>
      <c r="E292" s="1919"/>
      <c r="F292" s="3571"/>
      <c r="G292" s="3572"/>
      <c r="J292" s="3257"/>
      <c r="K292" s="3258"/>
      <c r="L292" s="3282"/>
      <c r="M292" s="3283"/>
      <c r="N292" s="3282"/>
      <c r="O292" s="3282"/>
      <c r="P292" s="3282"/>
      <c r="Q292" s="3282"/>
      <c r="R292" s="3628"/>
      <c r="S292" s="1899"/>
      <c r="T292" s="1846">
        <f t="shared" si="61"/>
        <v>0</v>
      </c>
    </row>
    <row r="293" spans="1:20" s="2947" customFormat="1" ht="14.4" hidden="1" customHeight="1">
      <c r="A293" s="3053">
        <v>4</v>
      </c>
      <c r="B293" s="3054">
        <v>1</v>
      </c>
      <c r="C293" s="3054">
        <v>4</v>
      </c>
      <c r="D293" s="3054" t="s">
        <v>563</v>
      </c>
      <c r="E293" s="3054"/>
      <c r="F293" s="3056" t="s">
        <v>564</v>
      </c>
      <c r="G293" s="3057"/>
      <c r="H293" s="3064"/>
      <c r="I293" s="3064"/>
      <c r="J293" s="3212" t="e">
        <f>+#REF!</f>
        <v>#REF!</v>
      </c>
      <c r="K293" s="3202" t="e">
        <f>+#REF!</f>
        <v>#REF!</v>
      </c>
      <c r="L293" s="3178">
        <f>SUM(L294)</f>
        <v>0</v>
      </c>
      <c r="M293" s="3179">
        <v>0</v>
      </c>
      <c r="N293" s="3178">
        <f>SUM(N294)</f>
        <v>0</v>
      </c>
      <c r="O293" s="3178">
        <f>+N293+M293</f>
        <v>0</v>
      </c>
      <c r="P293" s="3178">
        <v>0</v>
      </c>
      <c r="Q293" s="3178">
        <f>+P293-L293</f>
        <v>0</v>
      </c>
      <c r="R293" s="3621">
        <v>0</v>
      </c>
      <c r="S293" s="3066"/>
      <c r="T293" s="2944">
        <f t="shared" si="61"/>
        <v>0</v>
      </c>
    </row>
    <row r="294" spans="1:20" s="257" customFormat="1" ht="15.05" hidden="1" customHeight="1">
      <c r="A294" s="1889">
        <v>4</v>
      </c>
      <c r="B294" s="1889">
        <v>1</v>
      </c>
      <c r="C294" s="1889">
        <v>4</v>
      </c>
      <c r="D294" s="1905" t="s">
        <v>563</v>
      </c>
      <c r="E294" s="1889" t="s">
        <v>437</v>
      </c>
      <c r="F294" s="3087" t="s">
        <v>50</v>
      </c>
      <c r="G294" s="3084" t="s">
        <v>565</v>
      </c>
      <c r="H294" s="224"/>
      <c r="I294" s="224"/>
      <c r="J294" s="3254" t="e">
        <f>+#REF!</f>
        <v>#REF!</v>
      </c>
      <c r="K294" s="3237" t="e">
        <f>+#REF!</f>
        <v>#REF!</v>
      </c>
      <c r="L294" s="3234">
        <v>0</v>
      </c>
      <c r="M294" s="3225">
        <v>0</v>
      </c>
      <c r="N294" s="3234">
        <v>0</v>
      </c>
      <c r="O294" s="3234">
        <v>0</v>
      </c>
      <c r="P294" s="3234">
        <v>0</v>
      </c>
      <c r="Q294" s="3234">
        <f>+P294-L294</f>
        <v>0</v>
      </c>
      <c r="R294" s="3604">
        <v>0</v>
      </c>
      <c r="S294" s="2847">
        <f>PerDinas!Q167</f>
        <v>0</v>
      </c>
      <c r="T294" s="1846">
        <f t="shared" si="61"/>
        <v>0</v>
      </c>
    </row>
    <row r="295" spans="1:20" s="257" customFormat="1" ht="15.05" hidden="1" customHeight="1">
      <c r="A295" s="1886"/>
      <c r="B295" s="1886"/>
      <c r="C295" s="1886"/>
      <c r="D295" s="1886"/>
      <c r="E295" s="1886"/>
      <c r="F295" s="1887"/>
      <c r="G295" s="1888"/>
      <c r="H295" s="856"/>
      <c r="I295" s="856"/>
      <c r="J295" s="3238"/>
      <c r="K295" s="3173"/>
      <c r="L295" s="3174"/>
      <c r="M295" s="3175"/>
      <c r="N295" s="3174"/>
      <c r="O295" s="3174"/>
      <c r="P295" s="3174"/>
      <c r="Q295" s="3174"/>
      <c r="R295" s="3612"/>
      <c r="S295" s="1881"/>
      <c r="T295" s="1846">
        <f t="shared" si="61"/>
        <v>0</v>
      </c>
    </row>
    <row r="296" spans="1:20" s="2963" customFormat="1" ht="15.05" customHeight="1">
      <c r="A296" s="3053">
        <v>4</v>
      </c>
      <c r="B296" s="3054">
        <v>1</v>
      </c>
      <c r="C296" s="3054">
        <v>4</v>
      </c>
      <c r="D296" s="3054" t="s">
        <v>444</v>
      </c>
      <c r="E296" s="3054"/>
      <c r="F296" s="3091" t="s">
        <v>566</v>
      </c>
      <c r="G296" s="3064"/>
      <c r="H296" s="3064"/>
      <c r="I296" s="3064"/>
      <c r="J296" s="3212">
        <f>J297+J301+J309+J313</f>
        <v>68944925050</v>
      </c>
      <c r="K296" s="3212">
        <f t="shared" ref="K296:P296" si="63">K297+K301+K309+K313</f>
        <v>62912738507.940002</v>
      </c>
      <c r="L296" s="3212">
        <f t="shared" si="63"/>
        <v>73939763650</v>
      </c>
      <c r="M296" s="3212">
        <f t="shared" si="63"/>
        <v>29397490</v>
      </c>
      <c r="N296" s="3212">
        <f t="shared" si="63"/>
        <v>20809650</v>
      </c>
      <c r="O296" s="3212">
        <f t="shared" si="63"/>
        <v>50207140</v>
      </c>
      <c r="P296" s="3212">
        <f t="shared" si="63"/>
        <v>73954763650</v>
      </c>
      <c r="Q296" s="3178">
        <f t="shared" ref="Q296:Q311" si="64">+P296-L296</f>
        <v>15000000</v>
      </c>
      <c r="R296" s="3613">
        <f>+P296/L296*100-100</f>
        <v>2.0286783808231235E-2</v>
      </c>
      <c r="S296" s="2958"/>
      <c r="T296" s="2962">
        <f t="shared" si="61"/>
        <v>200828560</v>
      </c>
    </row>
    <row r="297" spans="1:20" s="1836" customFormat="1" ht="15.05" customHeight="1">
      <c r="A297" s="1889">
        <v>4</v>
      </c>
      <c r="B297" s="1889">
        <v>1</v>
      </c>
      <c r="C297" s="1889">
        <v>4</v>
      </c>
      <c r="D297" s="1889" t="s">
        <v>444</v>
      </c>
      <c r="E297" s="2985" t="s">
        <v>438</v>
      </c>
      <c r="F297" s="3089" t="s">
        <v>567</v>
      </c>
      <c r="G297" s="224"/>
      <c r="H297" s="224"/>
      <c r="I297" s="212"/>
      <c r="J297" s="3214">
        <v>0</v>
      </c>
      <c r="K297" s="3155">
        <v>0</v>
      </c>
      <c r="L297" s="3234">
        <v>0</v>
      </c>
      <c r="M297" s="3225">
        <v>0</v>
      </c>
      <c r="N297" s="3234">
        <v>0</v>
      </c>
      <c r="O297" s="3234">
        <v>0</v>
      </c>
      <c r="P297" s="3234">
        <v>0</v>
      </c>
      <c r="Q297" s="3234">
        <f t="shared" si="64"/>
        <v>0</v>
      </c>
      <c r="R297" s="3608">
        <v>0</v>
      </c>
      <c r="S297" s="1883"/>
      <c r="T297" s="1931">
        <f t="shared" si="61"/>
        <v>0</v>
      </c>
    </row>
    <row r="298" spans="1:20" s="1837" customFormat="1" ht="15.05" hidden="1" customHeight="1">
      <c r="A298" s="1925"/>
      <c r="B298" s="1925"/>
      <c r="C298" s="1925"/>
      <c r="D298" s="1925"/>
      <c r="E298" s="1925"/>
      <c r="F298" s="1928" t="s">
        <v>50</v>
      </c>
      <c r="G298" s="1927"/>
      <c r="H298" s="1927" t="s">
        <v>568</v>
      </c>
      <c r="I298" s="2846"/>
      <c r="J298" s="3260"/>
      <c r="K298" s="3261"/>
      <c r="L298" s="3262">
        <v>0</v>
      </c>
      <c r="M298" s="3263">
        <v>0</v>
      </c>
      <c r="N298" s="3262">
        <v>0</v>
      </c>
      <c r="O298" s="3262">
        <v>0</v>
      </c>
      <c r="P298" s="3262">
        <v>0</v>
      </c>
      <c r="Q298" s="3262">
        <f t="shared" si="64"/>
        <v>0</v>
      </c>
      <c r="R298" s="3629" t="e">
        <f>+P298/L298*100-100</f>
        <v>#DIV/0!</v>
      </c>
      <c r="S298" s="1932"/>
      <c r="T298" s="1933">
        <f t="shared" si="61"/>
        <v>0</v>
      </c>
    </row>
    <row r="299" spans="1:20" s="1836" customFormat="1" ht="15.05" hidden="1" customHeight="1">
      <c r="A299" s="1854"/>
      <c r="B299" s="1854"/>
      <c r="C299" s="1854"/>
      <c r="D299" s="1854"/>
      <c r="E299" s="1854"/>
      <c r="F299" s="1856"/>
      <c r="G299" s="202"/>
      <c r="H299" s="202"/>
      <c r="I299" s="202"/>
      <c r="J299" s="3259"/>
      <c r="K299" s="3123"/>
      <c r="L299" s="3182"/>
      <c r="M299" s="3183"/>
      <c r="N299" s="3182"/>
      <c r="O299" s="3182"/>
      <c r="P299" s="3182"/>
      <c r="Q299" s="3182">
        <f t="shared" si="64"/>
        <v>0</v>
      </c>
      <c r="R299" s="3601" t="e">
        <f>+P299/L299*100-100</f>
        <v>#DIV/0!</v>
      </c>
      <c r="S299" s="1883"/>
      <c r="T299" s="1931">
        <f t="shared" si="61"/>
        <v>0</v>
      </c>
    </row>
    <row r="300" spans="1:20" s="1836" customFormat="1" ht="15.05" hidden="1" customHeight="1">
      <c r="A300" s="1854"/>
      <c r="B300" s="1854"/>
      <c r="C300" s="1854"/>
      <c r="D300" s="1854"/>
      <c r="E300" s="1854"/>
      <c r="F300" s="1856"/>
      <c r="G300" s="202"/>
      <c r="H300" s="202"/>
      <c r="I300" s="202"/>
      <c r="J300" s="3259"/>
      <c r="K300" s="3123"/>
      <c r="L300" s="3182"/>
      <c r="M300" s="3183"/>
      <c r="N300" s="3182"/>
      <c r="O300" s="3182"/>
      <c r="P300" s="3182"/>
      <c r="Q300" s="3182">
        <f t="shared" si="64"/>
        <v>0</v>
      </c>
      <c r="R300" s="3601" t="e">
        <f>+P300/L300*100-100</f>
        <v>#DIV/0!</v>
      </c>
      <c r="S300" s="1883"/>
      <c r="T300" s="1931">
        <f t="shared" si="61"/>
        <v>0</v>
      </c>
    </row>
    <row r="301" spans="1:20" s="257" customFormat="1" ht="15.05" customHeight="1">
      <c r="A301" s="1855">
        <v>4</v>
      </c>
      <c r="B301" s="1855">
        <v>1</v>
      </c>
      <c r="C301" s="1855">
        <v>4</v>
      </c>
      <c r="D301" s="1855" t="s">
        <v>444</v>
      </c>
      <c r="E301" s="1854" t="s">
        <v>440</v>
      </c>
      <c r="F301" s="1856" t="s">
        <v>569</v>
      </c>
      <c r="G301" s="202"/>
      <c r="H301" s="202"/>
      <c r="I301" s="202"/>
      <c r="J301" s="3259">
        <v>0</v>
      </c>
      <c r="K301" s="3123">
        <v>30600000</v>
      </c>
      <c r="L301" s="3182">
        <v>0</v>
      </c>
      <c r="M301" s="3183">
        <v>0</v>
      </c>
      <c r="N301" s="3182">
        <v>11463600</v>
      </c>
      <c r="O301" s="3182">
        <v>11463600</v>
      </c>
      <c r="P301" s="3182">
        <f>+P302</f>
        <v>15000000</v>
      </c>
      <c r="Q301" s="3182">
        <f t="shared" si="64"/>
        <v>15000000</v>
      </c>
      <c r="R301" s="3601">
        <v>0</v>
      </c>
      <c r="S301" s="1881"/>
      <c r="T301" s="1846">
        <f t="shared" si="61"/>
        <v>45854400</v>
      </c>
    </row>
    <row r="302" spans="1:20" s="257" customFormat="1" ht="15.05" customHeight="1">
      <c r="A302" s="1855"/>
      <c r="B302" s="1855"/>
      <c r="C302" s="1855"/>
      <c r="D302" s="1855"/>
      <c r="E302" s="1855"/>
      <c r="F302" s="2732" t="s">
        <v>50</v>
      </c>
      <c r="G302" s="200" t="s">
        <v>570</v>
      </c>
      <c r="H302" s="200"/>
      <c r="I302" s="200"/>
      <c r="J302" s="3215"/>
      <c r="K302" s="3171"/>
      <c r="L302" s="3125">
        <v>0</v>
      </c>
      <c r="M302" s="3265"/>
      <c r="N302" s="3124">
        <v>11463600</v>
      </c>
      <c r="O302" s="3124">
        <v>11463600</v>
      </c>
      <c r="P302" s="3125">
        <v>15000000</v>
      </c>
      <c r="Q302" s="3125">
        <f t="shared" si="64"/>
        <v>15000000</v>
      </c>
      <c r="R302" s="3605">
        <v>0</v>
      </c>
      <c r="S302" s="1881"/>
      <c r="T302" s="1846">
        <f t="shared" si="61"/>
        <v>45854400</v>
      </c>
    </row>
    <row r="303" spans="1:20" s="1838" customFormat="1" ht="15.05" hidden="1" customHeight="1">
      <c r="A303" s="1926"/>
      <c r="B303" s="1926"/>
      <c r="C303" s="1926"/>
      <c r="D303" s="1926"/>
      <c r="E303" s="1926"/>
      <c r="F303" s="2732" t="s">
        <v>50</v>
      </c>
      <c r="G303" s="1927"/>
      <c r="H303" s="1927" t="s">
        <v>570</v>
      </c>
      <c r="I303" s="1927"/>
      <c r="J303" s="3266"/>
      <c r="K303" s="3267"/>
      <c r="L303" s="3262">
        <v>0</v>
      </c>
      <c r="M303" s="3263">
        <v>0</v>
      </c>
      <c r="N303" s="3262">
        <v>0</v>
      </c>
      <c r="O303" s="3262">
        <v>0</v>
      </c>
      <c r="P303" s="3262">
        <v>0</v>
      </c>
      <c r="Q303" s="3262">
        <f t="shared" si="64"/>
        <v>0</v>
      </c>
      <c r="R303" s="3630" t="e">
        <f>+P303/L303*100-100</f>
        <v>#DIV/0!</v>
      </c>
      <c r="S303" s="1934"/>
      <c r="T303" s="1846">
        <f t="shared" si="61"/>
        <v>0</v>
      </c>
    </row>
    <row r="304" spans="1:20" s="1838" customFormat="1" ht="15.05" hidden="1" customHeight="1">
      <c r="A304" s="1926"/>
      <c r="B304" s="1926"/>
      <c r="C304" s="1926"/>
      <c r="D304" s="1926"/>
      <c r="E304" s="1926"/>
      <c r="F304" s="2732" t="s">
        <v>50</v>
      </c>
      <c r="G304" s="1927"/>
      <c r="H304" s="1927" t="s">
        <v>571</v>
      </c>
      <c r="I304" s="1927"/>
      <c r="J304" s="3266"/>
      <c r="K304" s="3267"/>
      <c r="L304" s="3262">
        <f>PerDinas!K208</f>
        <v>0</v>
      </c>
      <c r="M304" s="3263">
        <v>0</v>
      </c>
      <c r="N304" s="3262">
        <f>PerDinas!M208</f>
        <v>0</v>
      </c>
      <c r="O304" s="3262">
        <f>PerDinas!N208</f>
        <v>0</v>
      </c>
      <c r="P304" s="3262">
        <v>0</v>
      </c>
      <c r="Q304" s="3262">
        <f t="shared" si="64"/>
        <v>0</v>
      </c>
      <c r="R304" s="3630" t="e">
        <f>+P304/L304*100-100</f>
        <v>#DIV/0!</v>
      </c>
      <c r="S304" s="1930">
        <f>PerDinas!Q208</f>
        <v>0</v>
      </c>
      <c r="T304" s="1846">
        <f t="shared" si="61"/>
        <v>0</v>
      </c>
    </row>
    <row r="305" spans="1:20" s="257" customFormat="1" ht="15.05" customHeight="1">
      <c r="A305" s="1855">
        <v>4</v>
      </c>
      <c r="B305" s="1855">
        <v>1</v>
      </c>
      <c r="C305" s="1855">
        <v>4</v>
      </c>
      <c r="D305" s="1855" t="s">
        <v>444</v>
      </c>
      <c r="E305" s="1854" t="s">
        <v>445</v>
      </c>
      <c r="F305" s="1856" t="s">
        <v>572</v>
      </c>
      <c r="G305" s="202"/>
      <c r="H305" s="202"/>
      <c r="I305" s="202"/>
      <c r="J305" s="3259"/>
      <c r="K305" s="3123"/>
      <c r="L305" s="3182">
        <f>SUM(L306:L308)</f>
        <v>0</v>
      </c>
      <c r="M305" s="3183">
        <v>0</v>
      </c>
      <c r="N305" s="3182">
        <f>SUM(N306:N308)</f>
        <v>0</v>
      </c>
      <c r="O305" s="3182">
        <f>SUM(O306:O308)</f>
        <v>0</v>
      </c>
      <c r="P305" s="3182">
        <v>0</v>
      </c>
      <c r="Q305" s="3182">
        <f t="shared" si="64"/>
        <v>0</v>
      </c>
      <c r="R305" s="3601">
        <v>0</v>
      </c>
      <c r="S305" s="1883"/>
      <c r="T305" s="1846">
        <f t="shared" si="61"/>
        <v>0</v>
      </c>
    </row>
    <row r="306" spans="1:20" s="1838" customFormat="1" ht="15.05" hidden="1" customHeight="1">
      <c r="A306" s="1926"/>
      <c r="B306" s="1926"/>
      <c r="C306" s="1926"/>
      <c r="D306" s="1926"/>
      <c r="E306" s="1926"/>
      <c r="F306" s="1928"/>
      <c r="G306" s="1927"/>
      <c r="H306" s="1927"/>
      <c r="I306" s="1927"/>
      <c r="J306" s="3266"/>
      <c r="K306" s="3267"/>
      <c r="L306" s="3262"/>
      <c r="M306" s="3263"/>
      <c r="N306" s="3262"/>
      <c r="O306" s="3262"/>
      <c r="P306" s="3262"/>
      <c r="Q306" s="3262">
        <f t="shared" si="64"/>
        <v>0</v>
      </c>
      <c r="R306" s="3630" t="e">
        <f t="shared" ref="R306:R311" si="65">+P306/L306*100-100</f>
        <v>#DIV/0!</v>
      </c>
      <c r="S306" s="1934"/>
      <c r="T306" s="1846">
        <f t="shared" si="61"/>
        <v>0</v>
      </c>
    </row>
    <row r="307" spans="1:20" s="1838" customFormat="1" ht="15.05" hidden="1" customHeight="1">
      <c r="A307" s="1926"/>
      <c r="B307" s="1926"/>
      <c r="C307" s="1926"/>
      <c r="D307" s="1926"/>
      <c r="E307" s="1926"/>
      <c r="F307" s="1928" t="s">
        <v>50</v>
      </c>
      <c r="G307" s="1927"/>
      <c r="H307" s="1927" t="s">
        <v>570</v>
      </c>
      <c r="I307" s="1927"/>
      <c r="J307" s="3266"/>
      <c r="K307" s="3267"/>
      <c r="L307" s="3262">
        <v>0</v>
      </c>
      <c r="M307" s="3263">
        <v>0</v>
      </c>
      <c r="N307" s="3262">
        <v>0</v>
      </c>
      <c r="O307" s="3262">
        <v>0</v>
      </c>
      <c r="P307" s="3262">
        <v>0</v>
      </c>
      <c r="Q307" s="3262">
        <f t="shared" si="64"/>
        <v>0</v>
      </c>
      <c r="R307" s="3630" t="e">
        <f t="shared" si="65"/>
        <v>#DIV/0!</v>
      </c>
      <c r="S307" s="1934"/>
      <c r="T307" s="1846">
        <f t="shared" si="61"/>
        <v>0</v>
      </c>
    </row>
    <row r="308" spans="1:20" s="1838" customFormat="1" ht="15.05" hidden="1" customHeight="1">
      <c r="A308" s="1926"/>
      <c r="B308" s="1926"/>
      <c r="C308" s="1926"/>
      <c r="D308" s="1926"/>
      <c r="E308" s="1926"/>
      <c r="F308" s="1928" t="s">
        <v>50</v>
      </c>
      <c r="G308" s="1927"/>
      <c r="H308" s="1927" t="s">
        <v>573</v>
      </c>
      <c r="I308" s="1927"/>
      <c r="J308" s="3266"/>
      <c r="K308" s="3267"/>
      <c r="L308" s="3262">
        <f>PerDinas!K253</f>
        <v>0</v>
      </c>
      <c r="M308" s="3263">
        <v>0</v>
      </c>
      <c r="N308" s="3262">
        <f>PerDinas!M253</f>
        <v>0</v>
      </c>
      <c r="O308" s="3262">
        <f>PerDinas!N253</f>
        <v>0</v>
      </c>
      <c r="P308" s="3262">
        <v>0</v>
      </c>
      <c r="Q308" s="3262">
        <f t="shared" si="64"/>
        <v>0</v>
      </c>
      <c r="R308" s="3630" t="e">
        <f t="shared" si="65"/>
        <v>#DIV/0!</v>
      </c>
      <c r="S308" s="1930">
        <f>PerDinas!Q253</f>
        <v>0</v>
      </c>
      <c r="T308" s="1846">
        <f t="shared" si="61"/>
        <v>0</v>
      </c>
    </row>
    <row r="309" spans="1:20" s="257" customFormat="1" ht="15.05" customHeight="1">
      <c r="A309" s="1855">
        <v>4</v>
      </c>
      <c r="B309" s="1855">
        <v>1</v>
      </c>
      <c r="C309" s="1855">
        <v>4</v>
      </c>
      <c r="D309" s="1855" t="s">
        <v>444</v>
      </c>
      <c r="E309" s="2873" t="s">
        <v>456</v>
      </c>
      <c r="F309" s="202" t="s">
        <v>574</v>
      </c>
      <c r="G309" s="202"/>
      <c r="H309" s="202"/>
      <c r="I309" s="202"/>
      <c r="J309" s="3259">
        <f>+J310</f>
        <v>65944925050</v>
      </c>
      <c r="K309" s="3259">
        <f>+K310</f>
        <v>60557314220</v>
      </c>
      <c r="L309" s="3259">
        <f>+L310</f>
        <v>70939763650</v>
      </c>
      <c r="M309" s="3183">
        <v>0</v>
      </c>
      <c r="N309" s="3182">
        <f>SUM(N310:N312)</f>
        <v>0</v>
      </c>
      <c r="O309" s="3182">
        <f>SUM(O310:O312)</f>
        <v>0</v>
      </c>
      <c r="P309" s="3182">
        <v>70939763650</v>
      </c>
      <c r="Q309" s="3182">
        <f t="shared" si="64"/>
        <v>0</v>
      </c>
      <c r="R309" s="3601">
        <f t="shared" si="65"/>
        <v>0</v>
      </c>
      <c r="S309" s="1883"/>
      <c r="T309" s="1846">
        <f t="shared" si="61"/>
        <v>0</v>
      </c>
    </row>
    <row r="310" spans="1:20" s="257" customFormat="1" ht="15.05" customHeight="1">
      <c r="A310" s="1855"/>
      <c r="B310" s="1855"/>
      <c r="C310" s="1855"/>
      <c r="D310" s="1855"/>
      <c r="E310" s="1855"/>
      <c r="F310" s="2214" t="s">
        <v>50</v>
      </c>
      <c r="G310" s="200" t="e">
        <f>+#REF!</f>
        <v>#REF!</v>
      </c>
      <c r="H310" s="200"/>
      <c r="I310" s="200"/>
      <c r="J310" s="3215">
        <v>65944925050</v>
      </c>
      <c r="K310" s="3171">
        <v>60557314220</v>
      </c>
      <c r="L310" s="3125">
        <v>70939763650</v>
      </c>
      <c r="M310" s="3124">
        <v>0</v>
      </c>
      <c r="N310" s="3125">
        <v>0</v>
      </c>
      <c r="O310" s="3125">
        <v>0</v>
      </c>
      <c r="P310" s="3125">
        <v>70939763650</v>
      </c>
      <c r="Q310" s="3125">
        <f t="shared" si="64"/>
        <v>0</v>
      </c>
      <c r="R310" s="3605">
        <f t="shared" si="65"/>
        <v>0</v>
      </c>
      <c r="S310" s="1881"/>
      <c r="T310" s="1846">
        <f t="shared" si="61"/>
        <v>0</v>
      </c>
    </row>
    <row r="311" spans="1:20" s="257" customFormat="1" ht="15.05" customHeight="1">
      <c r="A311" s="1855"/>
      <c r="B311" s="1855"/>
      <c r="C311" s="1855"/>
      <c r="D311" s="1855"/>
      <c r="E311" s="1855"/>
      <c r="F311" s="2214"/>
      <c r="G311" s="200" t="str">
        <f>[3]MAR!I416</f>
        <v>- Insentif Prem Indi Fase I</v>
      </c>
      <c r="H311" s="200"/>
      <c r="I311" s="200"/>
      <c r="J311" s="3215"/>
      <c r="K311" s="3171"/>
      <c r="L311" s="3125">
        <f>MAR!J416</f>
        <v>0</v>
      </c>
      <c r="M311" s="3124">
        <v>0</v>
      </c>
      <c r="N311" s="3125">
        <f>MAR!L416</f>
        <v>0</v>
      </c>
      <c r="O311" s="3125">
        <f>MAR!M416</f>
        <v>0</v>
      </c>
      <c r="P311" s="3125">
        <v>0</v>
      </c>
      <c r="Q311" s="3125">
        <f t="shared" si="64"/>
        <v>0</v>
      </c>
      <c r="R311" s="3605" t="e">
        <f t="shared" si="65"/>
        <v>#DIV/0!</v>
      </c>
      <c r="S311" s="1881"/>
      <c r="T311" s="1846">
        <f t="shared" si="61"/>
        <v>0</v>
      </c>
    </row>
    <row r="312" spans="1:20" s="257" customFormat="1" ht="15.05" customHeight="1">
      <c r="A312" s="1855"/>
      <c r="B312" s="1855"/>
      <c r="C312" s="1855"/>
      <c r="D312" s="1855"/>
      <c r="E312" s="1855"/>
      <c r="F312" s="2214"/>
      <c r="G312" s="200" t="str">
        <f>MAR!I417</f>
        <v>- Kekurangan Fase I</v>
      </c>
      <c r="H312" s="200"/>
      <c r="I312" s="200"/>
      <c r="J312" s="3215"/>
      <c r="K312" s="3171"/>
      <c r="L312" s="3125"/>
      <c r="M312" s="3124"/>
      <c r="N312" s="3125"/>
      <c r="O312" s="3125"/>
      <c r="P312" s="3125"/>
      <c r="Q312" s="3125"/>
      <c r="R312" s="3605"/>
      <c r="S312" s="1881"/>
      <c r="T312" s="1846">
        <f t="shared" si="61"/>
        <v>0</v>
      </c>
    </row>
    <row r="313" spans="1:20" s="257" customFormat="1" ht="15.05" customHeight="1">
      <c r="A313" s="2875">
        <v>4</v>
      </c>
      <c r="B313" s="2875">
        <v>1</v>
      </c>
      <c r="C313" s="2875">
        <v>4</v>
      </c>
      <c r="D313" s="2875" t="s">
        <v>444</v>
      </c>
      <c r="E313" s="1854" t="s">
        <v>441</v>
      </c>
      <c r="F313" s="1856" t="s">
        <v>75</v>
      </c>
      <c r="G313" s="202"/>
      <c r="H313" s="202"/>
      <c r="I313" s="202"/>
      <c r="J313" s="3259">
        <v>3000000000</v>
      </c>
      <c r="K313" s="3123">
        <v>2324824287.9400001</v>
      </c>
      <c r="L313" s="3182">
        <f>SUM(L314:L364)</f>
        <v>3000000000</v>
      </c>
      <c r="M313" s="3183">
        <v>29397490</v>
      </c>
      <c r="N313" s="3182">
        <f>SUM(N314:N361)</f>
        <v>9346050</v>
      </c>
      <c r="O313" s="3182">
        <f>SUM(O314:O361)</f>
        <v>38743540</v>
      </c>
      <c r="P313" s="3182">
        <v>3000000000</v>
      </c>
      <c r="Q313" s="3182">
        <f t="shared" ref="Q313:Q344" si="66">+P313-L313</f>
        <v>0</v>
      </c>
      <c r="R313" s="3601">
        <f>+P313/L313*100-100</f>
        <v>0</v>
      </c>
      <c r="S313" s="1881"/>
      <c r="T313" s="1846">
        <f t="shared" si="61"/>
        <v>154974160</v>
      </c>
    </row>
    <row r="314" spans="1:20" s="257" customFormat="1" ht="15.05" customHeight="1">
      <c r="A314" s="1855"/>
      <c r="B314" s="1855"/>
      <c r="C314" s="1855"/>
      <c r="D314" s="1855"/>
      <c r="E314" s="1855"/>
      <c r="F314" s="2214" t="s">
        <v>50</v>
      </c>
      <c r="G314" s="200" t="s">
        <v>1169</v>
      </c>
      <c r="H314" s="200"/>
      <c r="I314" s="200"/>
      <c r="J314" s="3215"/>
      <c r="K314" s="3171">
        <v>51341175</v>
      </c>
      <c r="L314" s="3125">
        <v>3000000000</v>
      </c>
      <c r="M314" s="3124">
        <v>0</v>
      </c>
      <c r="N314" s="3125">
        <v>0</v>
      </c>
      <c r="O314" s="3125">
        <v>0</v>
      </c>
      <c r="P314" s="3125">
        <v>3000000000</v>
      </c>
      <c r="Q314" s="3125">
        <f t="shared" si="66"/>
        <v>0</v>
      </c>
      <c r="R314" s="3605">
        <f>+P314/L314*100-100</f>
        <v>0</v>
      </c>
      <c r="S314" s="1881"/>
      <c r="T314" s="1846">
        <f t="shared" si="61"/>
        <v>0</v>
      </c>
    </row>
    <row r="315" spans="1:20" s="257" customFormat="1" ht="15.05" customHeight="1">
      <c r="A315" s="1855"/>
      <c r="B315" s="1855"/>
      <c r="C315" s="1855"/>
      <c r="D315" s="1855"/>
      <c r="E315" s="1855"/>
      <c r="F315" s="2214" t="s">
        <v>50</v>
      </c>
      <c r="G315" s="200" t="s">
        <v>1170</v>
      </c>
      <c r="H315" s="200"/>
      <c r="I315" s="200"/>
      <c r="J315" s="3215"/>
      <c r="K315" s="3171">
        <v>9703356.2599999998</v>
      </c>
      <c r="L315" s="3125">
        <v>0</v>
      </c>
      <c r="M315" s="3124">
        <v>0</v>
      </c>
      <c r="N315" s="3125">
        <v>0</v>
      </c>
      <c r="O315" s="3125">
        <v>0</v>
      </c>
      <c r="P315" s="3125">
        <v>0</v>
      </c>
      <c r="Q315" s="3125">
        <f t="shared" si="66"/>
        <v>0</v>
      </c>
      <c r="R315" s="3605">
        <v>0</v>
      </c>
      <c r="S315" s="1881"/>
      <c r="T315" s="1846">
        <f t="shared" si="61"/>
        <v>0</v>
      </c>
    </row>
    <row r="316" spans="1:20" s="257" customFormat="1" ht="15.05" customHeight="1">
      <c r="A316" s="1855"/>
      <c r="B316" s="1855"/>
      <c r="C316" s="1855"/>
      <c r="D316" s="1855"/>
      <c r="E316" s="1855"/>
      <c r="F316" s="2214" t="s">
        <v>50</v>
      </c>
      <c r="G316" s="200" t="s">
        <v>1171</v>
      </c>
      <c r="H316" s="200"/>
      <c r="I316" s="200"/>
      <c r="J316" s="3215"/>
      <c r="K316" s="3171">
        <v>50998000</v>
      </c>
      <c r="L316" s="3125">
        <v>0</v>
      </c>
      <c r="M316" s="3124">
        <v>0</v>
      </c>
      <c r="N316" s="3125">
        <v>0</v>
      </c>
      <c r="O316" s="3125">
        <v>0</v>
      </c>
      <c r="P316" s="3125">
        <v>0</v>
      </c>
      <c r="Q316" s="3125">
        <f t="shared" si="66"/>
        <v>0</v>
      </c>
      <c r="R316" s="3605">
        <v>0</v>
      </c>
      <c r="S316" s="1881"/>
      <c r="T316" s="1846">
        <f t="shared" si="61"/>
        <v>0</v>
      </c>
    </row>
    <row r="317" spans="1:20" s="257" customFormat="1" ht="15.05" customHeight="1">
      <c r="A317" s="1855"/>
      <c r="B317" s="1855"/>
      <c r="C317" s="1855"/>
      <c r="D317" s="1855"/>
      <c r="E317" s="1855"/>
      <c r="F317" s="2214" t="s">
        <v>50</v>
      </c>
      <c r="G317" s="200" t="s">
        <v>1172</v>
      </c>
      <c r="H317" s="200"/>
      <c r="I317" s="200"/>
      <c r="J317" s="3215"/>
      <c r="K317" s="3171">
        <v>3088075</v>
      </c>
      <c r="L317" s="3125">
        <v>0</v>
      </c>
      <c r="M317" s="3124">
        <v>0</v>
      </c>
      <c r="N317" s="3125">
        <v>0</v>
      </c>
      <c r="O317" s="3125">
        <v>0</v>
      </c>
      <c r="P317" s="3125">
        <v>0</v>
      </c>
      <c r="Q317" s="3125">
        <f t="shared" si="66"/>
        <v>0</v>
      </c>
      <c r="R317" s="3605">
        <v>0</v>
      </c>
      <c r="S317" s="1881"/>
      <c r="T317" s="1846">
        <f t="shared" si="61"/>
        <v>0</v>
      </c>
    </row>
    <row r="318" spans="1:20" s="257" customFormat="1" ht="15.05" customHeight="1">
      <c r="A318" s="1855"/>
      <c r="B318" s="1855"/>
      <c r="C318" s="1855"/>
      <c r="D318" s="1855"/>
      <c r="E318" s="1855"/>
      <c r="F318" s="2214" t="s">
        <v>50</v>
      </c>
      <c r="G318" s="200" t="s">
        <v>571</v>
      </c>
      <c r="H318" s="200"/>
      <c r="I318" s="200"/>
      <c r="J318" s="3215"/>
      <c r="K318" s="3171">
        <v>633797511.37</v>
      </c>
      <c r="L318" s="3125">
        <v>0</v>
      </c>
      <c r="M318" s="3124">
        <v>0</v>
      </c>
      <c r="N318" s="3125">
        <v>0</v>
      </c>
      <c r="O318" s="3125">
        <v>0</v>
      </c>
      <c r="P318" s="3125">
        <v>0</v>
      </c>
      <c r="Q318" s="3125">
        <f t="shared" si="66"/>
        <v>0</v>
      </c>
      <c r="R318" s="3605">
        <v>0</v>
      </c>
      <c r="S318" s="1881"/>
      <c r="T318" s="1846">
        <f t="shared" si="61"/>
        <v>0</v>
      </c>
    </row>
    <row r="319" spans="1:20" s="257" customFormat="1" ht="15.05" customHeight="1">
      <c r="A319" s="1855"/>
      <c r="B319" s="1855"/>
      <c r="C319" s="1855"/>
      <c r="D319" s="1855"/>
      <c r="E319" s="1855"/>
      <c r="F319" s="2214" t="s">
        <v>50</v>
      </c>
      <c r="G319" s="200" t="s">
        <v>1173</v>
      </c>
      <c r="H319" s="2329"/>
      <c r="I319" s="2329"/>
      <c r="J319" s="3270"/>
      <c r="K319" s="3256">
        <v>23739197</v>
      </c>
      <c r="L319" s="3182">
        <v>0</v>
      </c>
      <c r="M319" s="3183">
        <v>0</v>
      </c>
      <c r="N319" s="3182">
        <v>0</v>
      </c>
      <c r="O319" s="3182">
        <v>0</v>
      </c>
      <c r="P319" s="3182">
        <v>0</v>
      </c>
      <c r="Q319" s="3182">
        <f t="shared" si="66"/>
        <v>0</v>
      </c>
      <c r="R319" s="3605">
        <v>0</v>
      </c>
      <c r="S319" s="1877">
        <f>PerDinas!Q655</f>
        <v>0</v>
      </c>
      <c r="T319" s="1846">
        <f t="shared" si="61"/>
        <v>0</v>
      </c>
    </row>
    <row r="320" spans="1:20" s="257" customFormat="1" ht="15.05" customHeight="1">
      <c r="A320" s="1855"/>
      <c r="B320" s="1855"/>
      <c r="C320" s="1855"/>
      <c r="D320" s="1855"/>
      <c r="E320" s="1855"/>
      <c r="F320" s="2214" t="s">
        <v>50</v>
      </c>
      <c r="G320" s="200" t="s">
        <v>1174</v>
      </c>
      <c r="H320" s="200"/>
      <c r="I320" s="200"/>
      <c r="J320" s="3215"/>
      <c r="K320" s="3171">
        <v>32297000</v>
      </c>
      <c r="L320" s="3125">
        <v>0</v>
      </c>
      <c r="M320" s="3124">
        <v>855000</v>
      </c>
      <c r="N320" s="3125">
        <v>0</v>
      </c>
      <c r="O320" s="3125">
        <v>855000</v>
      </c>
      <c r="P320" s="3125">
        <v>0</v>
      </c>
      <c r="Q320" s="3125">
        <f t="shared" si="66"/>
        <v>0</v>
      </c>
      <c r="R320" s="3605">
        <v>0</v>
      </c>
      <c r="S320" s="1881"/>
      <c r="T320" s="1846">
        <f t="shared" si="61"/>
        <v>3420000</v>
      </c>
    </row>
    <row r="321" spans="1:20" s="257" customFormat="1" ht="15.05" customHeight="1">
      <c r="A321" s="1855"/>
      <c r="B321" s="1855"/>
      <c r="C321" s="1855"/>
      <c r="D321" s="1855"/>
      <c r="E321" s="1855"/>
      <c r="F321" s="2214" t="s">
        <v>50</v>
      </c>
      <c r="G321" s="200" t="s">
        <v>1175</v>
      </c>
      <c r="H321" s="200"/>
      <c r="I321" s="200"/>
      <c r="J321" s="3215"/>
      <c r="K321" s="3171">
        <v>26480806</v>
      </c>
      <c r="L321" s="3125">
        <v>0</v>
      </c>
      <c r="M321" s="3124">
        <v>0</v>
      </c>
      <c r="N321" s="3125">
        <v>0</v>
      </c>
      <c r="O321" s="3125">
        <v>0</v>
      </c>
      <c r="P321" s="3125">
        <v>0</v>
      </c>
      <c r="Q321" s="3125">
        <f t="shared" si="66"/>
        <v>0</v>
      </c>
      <c r="R321" s="3605">
        <v>0</v>
      </c>
      <c r="S321" s="1881"/>
      <c r="T321" s="1846">
        <f t="shared" si="61"/>
        <v>0</v>
      </c>
    </row>
    <row r="322" spans="1:20" s="257" customFormat="1" ht="15.05" customHeight="1">
      <c r="A322" s="1855"/>
      <c r="B322" s="1855"/>
      <c r="C322" s="1855"/>
      <c r="D322" s="1855"/>
      <c r="E322" s="1855"/>
      <c r="F322" s="2214" t="s">
        <v>50</v>
      </c>
      <c r="G322" s="200" t="s">
        <v>1176</v>
      </c>
      <c r="H322" s="200"/>
      <c r="I322" s="200"/>
      <c r="J322" s="3215"/>
      <c r="K322" s="3171">
        <v>33995946.960000001</v>
      </c>
      <c r="L322" s="3125">
        <v>0</v>
      </c>
      <c r="M322" s="3124">
        <v>0</v>
      </c>
      <c r="N322" s="3125">
        <v>0</v>
      </c>
      <c r="O322" s="3125">
        <v>0</v>
      </c>
      <c r="P322" s="3125">
        <v>0</v>
      </c>
      <c r="Q322" s="3125">
        <f t="shared" si="66"/>
        <v>0</v>
      </c>
      <c r="R322" s="3605">
        <v>0</v>
      </c>
      <c r="S322" s="1908"/>
      <c r="T322" s="1846">
        <f t="shared" si="61"/>
        <v>0</v>
      </c>
    </row>
    <row r="323" spans="1:20" s="257" customFormat="1" ht="15.05" customHeight="1">
      <c r="A323" s="1855"/>
      <c r="B323" s="1855"/>
      <c r="C323" s="1855"/>
      <c r="D323" s="1855"/>
      <c r="E323" s="1855"/>
      <c r="F323" s="2214" t="s">
        <v>50</v>
      </c>
      <c r="G323" s="200" t="s">
        <v>1177</v>
      </c>
      <c r="H323" s="200"/>
      <c r="I323" s="200"/>
      <c r="J323" s="3215"/>
      <c r="K323" s="3171">
        <v>110487727</v>
      </c>
      <c r="L323" s="3125">
        <v>0</v>
      </c>
      <c r="M323" s="3124">
        <v>0</v>
      </c>
      <c r="N323" s="3125">
        <v>0</v>
      </c>
      <c r="O323" s="3125">
        <v>0</v>
      </c>
      <c r="P323" s="3125">
        <v>0</v>
      </c>
      <c r="Q323" s="3125">
        <f t="shared" si="66"/>
        <v>0</v>
      </c>
      <c r="R323" s="3605">
        <v>0</v>
      </c>
      <c r="S323" s="1908"/>
      <c r="T323" s="1846">
        <f t="shared" si="61"/>
        <v>0</v>
      </c>
    </row>
    <row r="324" spans="1:20" s="257" customFormat="1" ht="15.05" customHeight="1">
      <c r="A324" s="1855"/>
      <c r="B324" s="1855"/>
      <c r="C324" s="1855"/>
      <c r="D324" s="1855"/>
      <c r="E324" s="1855"/>
      <c r="F324" s="2214" t="s">
        <v>50</v>
      </c>
      <c r="G324" s="200" t="s">
        <v>643</v>
      </c>
      <c r="H324" s="200"/>
      <c r="I324" s="200"/>
      <c r="J324" s="3215"/>
      <c r="K324" s="3171">
        <v>6650000</v>
      </c>
      <c r="L324" s="3125">
        <v>0</v>
      </c>
      <c r="M324" s="3124">
        <v>0</v>
      </c>
      <c r="N324" s="3125">
        <v>0</v>
      </c>
      <c r="O324" s="3125">
        <v>0</v>
      </c>
      <c r="P324" s="3125">
        <v>0</v>
      </c>
      <c r="Q324" s="3125">
        <f t="shared" si="66"/>
        <v>0</v>
      </c>
      <c r="R324" s="3605">
        <v>0</v>
      </c>
      <c r="S324" s="1908"/>
      <c r="T324" s="1846">
        <f t="shared" si="61"/>
        <v>0</v>
      </c>
    </row>
    <row r="325" spans="1:20" s="257" customFormat="1" ht="15.05" customHeight="1">
      <c r="A325" s="1855"/>
      <c r="B325" s="1855"/>
      <c r="C325" s="1855"/>
      <c r="D325" s="1855"/>
      <c r="E325" s="1855"/>
      <c r="F325" s="2214" t="s">
        <v>50</v>
      </c>
      <c r="G325" s="200" t="s">
        <v>224</v>
      </c>
      <c r="H325" s="200"/>
      <c r="I325" s="200"/>
      <c r="J325" s="3215"/>
      <c r="K325" s="3171">
        <v>19604200</v>
      </c>
      <c r="L325" s="3125">
        <v>0</v>
      </c>
      <c r="M325" s="3124">
        <v>0</v>
      </c>
      <c r="N325" s="3125">
        <v>0</v>
      </c>
      <c r="O325" s="3125">
        <v>0</v>
      </c>
      <c r="P325" s="3125">
        <v>0</v>
      </c>
      <c r="Q325" s="3125">
        <f t="shared" si="66"/>
        <v>0</v>
      </c>
      <c r="R325" s="3605">
        <v>0</v>
      </c>
      <c r="S325" s="1908"/>
      <c r="T325" s="1846">
        <f t="shared" si="61"/>
        <v>0</v>
      </c>
    </row>
    <row r="326" spans="1:20" s="257" customFormat="1" ht="15.05" customHeight="1">
      <c r="A326" s="1855"/>
      <c r="B326" s="1855"/>
      <c r="C326" s="1855"/>
      <c r="D326" s="1855"/>
      <c r="E326" s="1855"/>
      <c r="F326" s="2214" t="s">
        <v>50</v>
      </c>
      <c r="G326" s="200" t="s">
        <v>1178</v>
      </c>
      <c r="H326" s="200"/>
      <c r="I326" s="200"/>
      <c r="J326" s="3215"/>
      <c r="K326" s="3171">
        <v>33004350</v>
      </c>
      <c r="L326" s="3125">
        <v>0</v>
      </c>
      <c r="M326" s="3124">
        <v>0</v>
      </c>
      <c r="N326" s="3125">
        <v>0</v>
      </c>
      <c r="O326" s="3125">
        <v>0</v>
      </c>
      <c r="P326" s="3125">
        <v>0</v>
      </c>
      <c r="Q326" s="3125">
        <f t="shared" si="66"/>
        <v>0</v>
      </c>
      <c r="R326" s="3605">
        <v>0</v>
      </c>
      <c r="S326" s="1908"/>
      <c r="T326" s="1846">
        <f t="shared" si="61"/>
        <v>0</v>
      </c>
    </row>
    <row r="327" spans="1:20" s="257" customFormat="1" ht="15.05" customHeight="1">
      <c r="A327" s="1855"/>
      <c r="B327" s="1855"/>
      <c r="C327" s="1855"/>
      <c r="D327" s="1855"/>
      <c r="E327" s="1855"/>
      <c r="F327" s="2214" t="s">
        <v>50</v>
      </c>
      <c r="G327" s="253" t="s">
        <v>575</v>
      </c>
      <c r="H327" s="200"/>
      <c r="I327" s="200"/>
      <c r="J327" s="3215"/>
      <c r="K327" s="3171">
        <v>17971900</v>
      </c>
      <c r="L327" s="3125">
        <v>0</v>
      </c>
      <c r="M327" s="3124">
        <v>7967600</v>
      </c>
      <c r="N327" s="3125">
        <v>0</v>
      </c>
      <c r="O327" s="3125">
        <v>7967600</v>
      </c>
      <c r="P327" s="3125">
        <v>0</v>
      </c>
      <c r="Q327" s="3125">
        <f t="shared" si="66"/>
        <v>0</v>
      </c>
      <c r="R327" s="3605">
        <v>0</v>
      </c>
      <c r="S327" s="1876"/>
      <c r="T327" s="1846">
        <f t="shared" si="61"/>
        <v>31870400</v>
      </c>
    </row>
    <row r="328" spans="1:20" s="257" customFormat="1" ht="15.05" customHeight="1">
      <c r="A328" s="1855"/>
      <c r="B328" s="1855"/>
      <c r="C328" s="1855"/>
      <c r="D328" s="1855"/>
      <c r="E328" s="1855"/>
      <c r="F328" s="2214" t="s">
        <v>50</v>
      </c>
      <c r="G328" s="253" t="s">
        <v>576</v>
      </c>
      <c r="H328" s="200"/>
      <c r="I328" s="200"/>
      <c r="J328" s="3215"/>
      <c r="K328" s="3171">
        <v>131995452.15000001</v>
      </c>
      <c r="L328" s="3125">
        <v>0</v>
      </c>
      <c r="M328" s="3124">
        <v>0</v>
      </c>
      <c r="N328" s="3125">
        <v>0</v>
      </c>
      <c r="O328" s="3125">
        <v>0</v>
      </c>
      <c r="P328" s="3125">
        <v>0</v>
      </c>
      <c r="Q328" s="3125">
        <f t="shared" si="66"/>
        <v>0</v>
      </c>
      <c r="R328" s="3605">
        <v>0</v>
      </c>
      <c r="S328" s="1908"/>
      <c r="T328" s="1846">
        <f t="shared" si="61"/>
        <v>0</v>
      </c>
    </row>
    <row r="329" spans="1:20" s="257" customFormat="1" ht="15.05" customHeight="1">
      <c r="A329" s="1855"/>
      <c r="B329" s="1855"/>
      <c r="C329" s="1855"/>
      <c r="D329" s="1855"/>
      <c r="E329" s="1855"/>
      <c r="F329" s="2214" t="s">
        <v>50</v>
      </c>
      <c r="G329" s="253" t="s">
        <v>577</v>
      </c>
      <c r="H329" s="200"/>
      <c r="I329" s="202"/>
      <c r="J329" s="3259"/>
      <c r="K329" s="3123">
        <v>80279296.019999996</v>
      </c>
      <c r="L329" s="3125">
        <v>0</v>
      </c>
      <c r="M329" s="3124">
        <v>0</v>
      </c>
      <c r="N329" s="3125">
        <v>0</v>
      </c>
      <c r="O329" s="3125">
        <v>0</v>
      </c>
      <c r="P329" s="3125">
        <v>0</v>
      </c>
      <c r="Q329" s="3125">
        <f t="shared" si="66"/>
        <v>0</v>
      </c>
      <c r="R329" s="3605">
        <v>0</v>
      </c>
      <c r="S329" s="1908"/>
      <c r="T329" s="1846">
        <f t="shared" si="61"/>
        <v>0</v>
      </c>
    </row>
    <row r="330" spans="1:20" s="257" customFormat="1" ht="15.05" customHeight="1">
      <c r="A330" s="1855"/>
      <c r="B330" s="1855"/>
      <c r="C330" s="1855"/>
      <c r="D330" s="1855"/>
      <c r="E330" s="1855"/>
      <c r="F330" s="2214" t="s">
        <v>50</v>
      </c>
      <c r="G330" s="253" t="s">
        <v>578</v>
      </c>
      <c r="H330" s="200"/>
      <c r="I330" s="200"/>
      <c r="J330" s="3215"/>
      <c r="K330" s="3171">
        <v>6724929</v>
      </c>
      <c r="L330" s="3125">
        <v>0</v>
      </c>
      <c r="M330" s="3124">
        <v>2220000</v>
      </c>
      <c r="N330" s="3125">
        <v>0</v>
      </c>
      <c r="O330" s="3125">
        <v>2220000</v>
      </c>
      <c r="P330" s="3125">
        <v>0</v>
      </c>
      <c r="Q330" s="3125">
        <f t="shared" si="66"/>
        <v>0</v>
      </c>
      <c r="R330" s="3605">
        <v>0</v>
      </c>
      <c r="S330" s="1908"/>
      <c r="T330" s="1846">
        <f t="shared" si="61"/>
        <v>8880000</v>
      </c>
    </row>
    <row r="331" spans="1:20" s="257" customFormat="1" ht="15.05" customHeight="1">
      <c r="A331" s="1855"/>
      <c r="B331" s="1855"/>
      <c r="C331" s="1855"/>
      <c r="D331" s="1855"/>
      <c r="E331" s="1855"/>
      <c r="F331" s="2214" t="s">
        <v>50</v>
      </c>
      <c r="G331" s="253" t="s">
        <v>579</v>
      </c>
      <c r="H331" s="200"/>
      <c r="I331" s="200"/>
      <c r="J331" s="3215"/>
      <c r="K331" s="3171">
        <v>9604597</v>
      </c>
      <c r="L331" s="3125">
        <v>0</v>
      </c>
      <c r="M331" s="3124">
        <v>0</v>
      </c>
      <c r="N331" s="3125">
        <v>0</v>
      </c>
      <c r="O331" s="3125">
        <v>0</v>
      </c>
      <c r="P331" s="3125">
        <v>0</v>
      </c>
      <c r="Q331" s="3125">
        <f t="shared" si="66"/>
        <v>0</v>
      </c>
      <c r="R331" s="3605">
        <v>0</v>
      </c>
      <c r="S331" s="1908"/>
      <c r="T331" s="1846">
        <f t="shared" si="61"/>
        <v>0</v>
      </c>
    </row>
    <row r="332" spans="1:20" s="257" customFormat="1" ht="15.05" customHeight="1">
      <c r="A332" s="1855"/>
      <c r="B332" s="1855"/>
      <c r="C332" s="1855"/>
      <c r="D332" s="1855"/>
      <c r="E332" s="1855"/>
      <c r="F332" s="2214" t="s">
        <v>50</v>
      </c>
      <c r="G332" s="253" t="s">
        <v>580</v>
      </c>
      <c r="H332" s="200"/>
      <c r="I332" s="200"/>
      <c r="J332" s="3215"/>
      <c r="K332" s="3171">
        <v>5840000</v>
      </c>
      <c r="L332" s="3125">
        <v>0</v>
      </c>
      <c r="M332" s="3124">
        <v>0</v>
      </c>
      <c r="N332" s="3125">
        <v>0</v>
      </c>
      <c r="O332" s="3125">
        <v>0</v>
      </c>
      <c r="P332" s="3125">
        <v>0</v>
      </c>
      <c r="Q332" s="3125">
        <f t="shared" si="66"/>
        <v>0</v>
      </c>
      <c r="R332" s="3605">
        <v>0</v>
      </c>
      <c r="S332" s="1908"/>
      <c r="T332" s="1846">
        <f t="shared" si="61"/>
        <v>0</v>
      </c>
    </row>
    <row r="333" spans="1:20" s="257" customFormat="1" ht="15.05" customHeight="1">
      <c r="A333" s="1855"/>
      <c r="B333" s="1855"/>
      <c r="C333" s="1855"/>
      <c r="D333" s="1855"/>
      <c r="E333" s="1855"/>
      <c r="F333" s="2214" t="s">
        <v>50</v>
      </c>
      <c r="G333" s="253" t="s">
        <v>581</v>
      </c>
      <c r="H333" s="200"/>
      <c r="I333" s="200"/>
      <c r="J333" s="3215"/>
      <c r="K333" s="3171">
        <v>75598294</v>
      </c>
      <c r="L333" s="3125">
        <v>0</v>
      </c>
      <c r="M333" s="3124">
        <v>0</v>
      </c>
      <c r="N333" s="3125">
        <v>0</v>
      </c>
      <c r="O333" s="3125">
        <v>0</v>
      </c>
      <c r="P333" s="3125">
        <v>0</v>
      </c>
      <c r="Q333" s="3125">
        <f t="shared" si="66"/>
        <v>0</v>
      </c>
      <c r="R333" s="3605">
        <v>0</v>
      </c>
      <c r="S333" s="1908"/>
      <c r="T333" s="1846">
        <f t="shared" si="61"/>
        <v>0</v>
      </c>
    </row>
    <row r="334" spans="1:20" s="257" customFormat="1" ht="15.05" customHeight="1">
      <c r="A334" s="1855"/>
      <c r="B334" s="1855"/>
      <c r="C334" s="1855"/>
      <c r="D334" s="1855"/>
      <c r="E334" s="1855"/>
      <c r="F334" s="2214" t="s">
        <v>50</v>
      </c>
      <c r="G334" s="253" t="s">
        <v>582</v>
      </c>
      <c r="H334" s="200"/>
      <c r="I334" s="202"/>
      <c r="J334" s="3259"/>
      <c r="K334" s="3123">
        <v>118736055.84</v>
      </c>
      <c r="L334" s="3125">
        <v>0</v>
      </c>
      <c r="M334" s="3124">
        <v>0</v>
      </c>
      <c r="N334" s="3125">
        <v>0</v>
      </c>
      <c r="O334" s="3125">
        <v>0</v>
      </c>
      <c r="P334" s="3125">
        <v>0</v>
      </c>
      <c r="Q334" s="3125">
        <f t="shared" si="66"/>
        <v>0</v>
      </c>
      <c r="R334" s="3605">
        <v>0</v>
      </c>
      <c r="S334" s="1908"/>
      <c r="T334" s="1846">
        <f t="shared" si="61"/>
        <v>0</v>
      </c>
    </row>
    <row r="335" spans="1:20" s="257" customFormat="1" ht="15.05" customHeight="1">
      <c r="A335" s="1855"/>
      <c r="B335" s="1855"/>
      <c r="C335" s="1855"/>
      <c r="D335" s="1855"/>
      <c r="E335" s="1855"/>
      <c r="F335" s="2214" t="s">
        <v>50</v>
      </c>
      <c r="G335" s="253" t="s">
        <v>583</v>
      </c>
      <c r="H335" s="200"/>
      <c r="I335" s="202"/>
      <c r="J335" s="3259"/>
      <c r="K335" s="3123">
        <v>3882000</v>
      </c>
      <c r="L335" s="3125">
        <v>0</v>
      </c>
      <c r="M335" s="3124">
        <v>18154890</v>
      </c>
      <c r="N335" s="3125">
        <v>0</v>
      </c>
      <c r="O335" s="3125">
        <v>18154890</v>
      </c>
      <c r="P335" s="3125">
        <v>0</v>
      </c>
      <c r="Q335" s="3125">
        <f t="shared" si="66"/>
        <v>0</v>
      </c>
      <c r="R335" s="3605">
        <v>0</v>
      </c>
      <c r="S335" s="1908"/>
      <c r="T335" s="1846">
        <f t="shared" si="61"/>
        <v>72619560</v>
      </c>
    </row>
    <row r="336" spans="1:20" s="257" customFormat="1" ht="15.05" customHeight="1">
      <c r="A336" s="1855"/>
      <c r="B336" s="1855"/>
      <c r="C336" s="1855"/>
      <c r="D336" s="1855"/>
      <c r="E336" s="1855"/>
      <c r="F336" s="2214" t="s">
        <v>50</v>
      </c>
      <c r="G336" s="253" t="s">
        <v>584</v>
      </c>
      <c r="H336" s="200"/>
      <c r="I336" s="202"/>
      <c r="J336" s="3259"/>
      <c r="K336" s="3123">
        <v>22520000</v>
      </c>
      <c r="L336" s="3125">
        <v>0</v>
      </c>
      <c r="M336" s="3124">
        <v>0</v>
      </c>
      <c r="N336" s="3125">
        <v>0</v>
      </c>
      <c r="O336" s="3125">
        <v>0</v>
      </c>
      <c r="P336" s="3125">
        <v>0</v>
      </c>
      <c r="Q336" s="3125">
        <f t="shared" si="66"/>
        <v>0</v>
      </c>
      <c r="R336" s="3605">
        <v>0</v>
      </c>
      <c r="S336" s="1876"/>
      <c r="T336" s="1846">
        <f t="shared" si="61"/>
        <v>0</v>
      </c>
    </row>
    <row r="337" spans="1:20" s="257" customFormat="1" ht="15.05" customHeight="1">
      <c r="A337" s="1855"/>
      <c r="B337" s="1855"/>
      <c r="C337" s="1855"/>
      <c r="D337" s="1855"/>
      <c r="E337" s="1855"/>
      <c r="F337" s="2214" t="s">
        <v>50</v>
      </c>
      <c r="G337" s="253" t="s">
        <v>585</v>
      </c>
      <c r="H337" s="200"/>
      <c r="I337" s="202"/>
      <c r="J337" s="3259"/>
      <c r="K337" s="3123">
        <v>0</v>
      </c>
      <c r="L337" s="3125">
        <v>0</v>
      </c>
      <c r="M337" s="3124">
        <v>0</v>
      </c>
      <c r="N337" s="3125">
        <v>0</v>
      </c>
      <c r="O337" s="3125">
        <v>0</v>
      </c>
      <c r="P337" s="3125">
        <v>0</v>
      </c>
      <c r="Q337" s="3125">
        <f t="shared" si="66"/>
        <v>0</v>
      </c>
      <c r="R337" s="3605">
        <v>0</v>
      </c>
      <c r="S337" s="1884"/>
      <c r="T337" s="1846">
        <f t="shared" si="61"/>
        <v>0</v>
      </c>
    </row>
    <row r="338" spans="1:20" s="257" customFormat="1" ht="15.05" customHeight="1">
      <c r="A338" s="1855"/>
      <c r="B338" s="1855"/>
      <c r="C338" s="1855"/>
      <c r="D338" s="1855"/>
      <c r="E338" s="1855"/>
      <c r="F338" s="2214" t="s">
        <v>50</v>
      </c>
      <c r="G338" s="253" t="s">
        <v>586</v>
      </c>
      <c r="H338" s="200"/>
      <c r="I338" s="200"/>
      <c r="J338" s="3215"/>
      <c r="K338" s="3171">
        <v>11699500</v>
      </c>
      <c r="L338" s="3125">
        <v>0</v>
      </c>
      <c r="M338" s="3124">
        <v>0</v>
      </c>
      <c r="N338" s="3125">
        <v>0</v>
      </c>
      <c r="O338" s="3125">
        <v>0</v>
      </c>
      <c r="P338" s="3125">
        <v>0</v>
      </c>
      <c r="Q338" s="3125">
        <f t="shared" si="66"/>
        <v>0</v>
      </c>
      <c r="R338" s="3605">
        <v>0</v>
      </c>
      <c r="S338" s="1876"/>
      <c r="T338" s="1846">
        <f t="shared" si="61"/>
        <v>0</v>
      </c>
    </row>
    <row r="339" spans="1:20" s="257" customFormat="1" ht="15.05" customHeight="1">
      <c r="A339" s="1855"/>
      <c r="B339" s="1855"/>
      <c r="C339" s="1855"/>
      <c r="D339" s="1855"/>
      <c r="E339" s="1855"/>
      <c r="F339" s="2214" t="s">
        <v>50</v>
      </c>
      <c r="G339" s="253" t="s">
        <v>587</v>
      </c>
      <c r="H339" s="200"/>
      <c r="I339" s="200"/>
      <c r="J339" s="3254"/>
      <c r="K339" s="3237">
        <v>66970818</v>
      </c>
      <c r="L339" s="3234">
        <v>0</v>
      </c>
      <c r="M339" s="3225">
        <v>0</v>
      </c>
      <c r="N339" s="3234">
        <v>0</v>
      </c>
      <c r="O339" s="3234">
        <v>0</v>
      </c>
      <c r="P339" s="3234">
        <v>0</v>
      </c>
      <c r="Q339" s="3234">
        <f t="shared" si="66"/>
        <v>0</v>
      </c>
      <c r="R339" s="3605">
        <v>0</v>
      </c>
      <c r="S339" s="1908"/>
      <c r="T339" s="1846">
        <f t="shared" si="61"/>
        <v>0</v>
      </c>
    </row>
    <row r="340" spans="1:20" s="257" customFormat="1" ht="15.05" customHeight="1">
      <c r="A340" s="1855"/>
      <c r="B340" s="1855"/>
      <c r="C340" s="1855"/>
      <c r="D340" s="1855"/>
      <c r="E340" s="1855"/>
      <c r="F340" s="2214" t="s">
        <v>50</v>
      </c>
      <c r="G340" s="253" t="s">
        <v>588</v>
      </c>
      <c r="H340" s="200"/>
      <c r="I340" s="202"/>
      <c r="J340" s="3259"/>
      <c r="K340" s="3123">
        <v>57329525</v>
      </c>
      <c r="L340" s="3125">
        <v>0</v>
      </c>
      <c r="M340" s="3124">
        <v>0</v>
      </c>
      <c r="N340" s="3125">
        <v>9346050</v>
      </c>
      <c r="O340" s="3125">
        <v>9346050</v>
      </c>
      <c r="P340" s="3125">
        <v>0</v>
      </c>
      <c r="Q340" s="3125">
        <f t="shared" si="66"/>
        <v>0</v>
      </c>
      <c r="R340" s="3605">
        <v>0</v>
      </c>
      <c r="S340" s="1908"/>
      <c r="T340" s="1846">
        <f t="shared" ref="T340:T409" si="67">O340*4</f>
        <v>37384200</v>
      </c>
    </row>
    <row r="341" spans="1:20" s="257" customFormat="1" ht="15.05" customHeight="1">
      <c r="A341" s="1855"/>
      <c r="B341" s="1855"/>
      <c r="C341" s="1855"/>
      <c r="D341" s="1855"/>
      <c r="E341" s="1855"/>
      <c r="F341" s="2214" t="s">
        <v>50</v>
      </c>
      <c r="G341" s="253" t="s">
        <v>284</v>
      </c>
      <c r="H341" s="200"/>
      <c r="I341" s="200"/>
      <c r="J341" s="3215"/>
      <c r="K341" s="3171">
        <v>25644269</v>
      </c>
      <c r="L341" s="3125">
        <v>0</v>
      </c>
      <c r="M341" s="3124">
        <v>200000</v>
      </c>
      <c r="N341" s="3125">
        <v>0</v>
      </c>
      <c r="O341" s="3125">
        <v>200000</v>
      </c>
      <c r="P341" s="3125">
        <v>0</v>
      </c>
      <c r="Q341" s="3125">
        <f t="shared" si="66"/>
        <v>0</v>
      </c>
      <c r="R341" s="3605">
        <v>0</v>
      </c>
      <c r="S341" s="1908"/>
      <c r="T341" s="1846">
        <f t="shared" si="67"/>
        <v>800000</v>
      </c>
    </row>
    <row r="342" spans="1:20" s="257" customFormat="1" ht="15.05" customHeight="1">
      <c r="A342" s="1855"/>
      <c r="B342" s="1855"/>
      <c r="C342" s="1855"/>
      <c r="D342" s="1855"/>
      <c r="E342" s="1855"/>
      <c r="F342" s="2214" t="s">
        <v>50</v>
      </c>
      <c r="G342" s="253" t="s">
        <v>589</v>
      </c>
      <c r="H342" s="200"/>
      <c r="I342" s="200"/>
      <c r="J342" s="3215"/>
      <c r="K342" s="3171">
        <v>141645590</v>
      </c>
      <c r="L342" s="3125">
        <v>0</v>
      </c>
      <c r="M342" s="3124">
        <v>0</v>
      </c>
      <c r="N342" s="3125">
        <v>0</v>
      </c>
      <c r="O342" s="3125">
        <v>0</v>
      </c>
      <c r="P342" s="3125">
        <v>0</v>
      </c>
      <c r="Q342" s="3125">
        <f t="shared" si="66"/>
        <v>0</v>
      </c>
      <c r="R342" s="3605">
        <v>0</v>
      </c>
      <c r="S342" s="1908"/>
      <c r="T342" s="1846">
        <f t="shared" si="67"/>
        <v>0</v>
      </c>
    </row>
    <row r="343" spans="1:20" s="257" customFormat="1" ht="15.05" customHeight="1">
      <c r="A343" s="1855"/>
      <c r="B343" s="1855"/>
      <c r="C343" s="1855"/>
      <c r="D343" s="1855"/>
      <c r="E343" s="1855"/>
      <c r="F343" s="2214" t="s">
        <v>50</v>
      </c>
      <c r="G343" s="253" t="s">
        <v>590</v>
      </c>
      <c r="H343" s="200"/>
      <c r="J343" s="3257"/>
      <c r="K343" s="3271">
        <v>15952424</v>
      </c>
      <c r="L343" s="3125">
        <v>0</v>
      </c>
      <c r="M343" s="3124">
        <v>0</v>
      </c>
      <c r="N343" s="3125">
        <v>0</v>
      </c>
      <c r="O343" s="3125">
        <v>0</v>
      </c>
      <c r="P343" s="3125">
        <v>0</v>
      </c>
      <c r="Q343" s="3125">
        <f t="shared" si="66"/>
        <v>0</v>
      </c>
      <c r="R343" s="3605">
        <v>0</v>
      </c>
      <c r="S343" s="1908"/>
      <c r="T343" s="1846">
        <f t="shared" si="67"/>
        <v>0</v>
      </c>
    </row>
    <row r="344" spans="1:20" s="257" customFormat="1" ht="15.05" customHeight="1">
      <c r="A344" s="1855"/>
      <c r="B344" s="1855"/>
      <c r="C344" s="1855"/>
      <c r="D344" s="1855"/>
      <c r="E344" s="1855"/>
      <c r="F344" s="2214" t="s">
        <v>50</v>
      </c>
      <c r="G344" s="253" t="s">
        <v>591</v>
      </c>
      <c r="H344" s="200"/>
      <c r="I344" s="200"/>
      <c r="J344" s="3215"/>
      <c r="K344" s="3171">
        <v>92270821.590000004</v>
      </c>
      <c r="L344" s="3125">
        <v>0</v>
      </c>
      <c r="M344" s="3124">
        <v>0</v>
      </c>
      <c r="N344" s="3125">
        <v>0</v>
      </c>
      <c r="O344" s="3125">
        <v>0</v>
      </c>
      <c r="P344" s="3125">
        <v>0</v>
      </c>
      <c r="Q344" s="3125">
        <f t="shared" si="66"/>
        <v>0</v>
      </c>
      <c r="R344" s="3605">
        <v>0</v>
      </c>
      <c r="S344" s="1908"/>
      <c r="T344" s="1846">
        <f t="shared" si="67"/>
        <v>0</v>
      </c>
    </row>
    <row r="345" spans="1:20" s="257" customFormat="1" ht="15.05" customHeight="1">
      <c r="A345" s="1855"/>
      <c r="B345" s="1855"/>
      <c r="C345" s="1855"/>
      <c r="D345" s="1855"/>
      <c r="E345" s="1855"/>
      <c r="F345" s="2214" t="s">
        <v>50</v>
      </c>
      <c r="G345" s="253" t="s">
        <v>592</v>
      </c>
      <c r="H345" s="200"/>
      <c r="I345" s="202"/>
      <c r="J345" s="3259"/>
      <c r="K345" s="3123">
        <v>29684250</v>
      </c>
      <c r="L345" s="3125">
        <v>0</v>
      </c>
      <c r="M345" s="3124">
        <v>0</v>
      </c>
      <c r="N345" s="3125">
        <v>0</v>
      </c>
      <c r="O345" s="3125">
        <v>0</v>
      </c>
      <c r="P345" s="3125">
        <v>0</v>
      </c>
      <c r="Q345" s="3125">
        <f t="shared" ref="Q345:Q369" si="68">+P345-L345</f>
        <v>0</v>
      </c>
      <c r="R345" s="3605">
        <v>0</v>
      </c>
      <c r="S345" s="1908"/>
      <c r="T345" s="1846">
        <f t="shared" si="67"/>
        <v>0</v>
      </c>
    </row>
    <row r="346" spans="1:20" s="257" customFormat="1" ht="15.05" customHeight="1">
      <c r="A346" s="1855"/>
      <c r="B346" s="1855"/>
      <c r="C346" s="1855"/>
      <c r="D346" s="1855"/>
      <c r="E346" s="1855"/>
      <c r="F346" s="2214" t="s">
        <v>50</v>
      </c>
      <c r="G346" s="253" t="s">
        <v>593</v>
      </c>
      <c r="H346" s="200"/>
      <c r="I346" s="200"/>
      <c r="J346" s="3215"/>
      <c r="K346" s="3171">
        <v>28727627</v>
      </c>
      <c r="L346" s="3125">
        <v>0</v>
      </c>
      <c r="M346" s="3124">
        <v>0</v>
      </c>
      <c r="N346" s="3125">
        <v>0</v>
      </c>
      <c r="O346" s="3125">
        <v>0</v>
      </c>
      <c r="P346" s="3125">
        <v>0</v>
      </c>
      <c r="Q346" s="3125">
        <f t="shared" si="68"/>
        <v>0</v>
      </c>
      <c r="R346" s="3605">
        <v>0</v>
      </c>
      <c r="S346" s="1908"/>
      <c r="T346" s="1846">
        <f t="shared" si="67"/>
        <v>0</v>
      </c>
    </row>
    <row r="347" spans="1:20" s="257" customFormat="1" ht="15.05" customHeight="1">
      <c r="A347" s="1855"/>
      <c r="B347" s="1855"/>
      <c r="C347" s="1855"/>
      <c r="D347" s="1855"/>
      <c r="E347" s="1855"/>
      <c r="F347" s="2214" t="s">
        <v>50</v>
      </c>
      <c r="G347" s="297" t="s">
        <v>594</v>
      </c>
      <c r="H347" s="200"/>
      <c r="I347" s="200"/>
      <c r="J347" s="3215"/>
      <c r="K347" s="3171">
        <v>1710000</v>
      </c>
      <c r="L347" s="3125">
        <v>0</v>
      </c>
      <c r="M347" s="3124">
        <v>0</v>
      </c>
      <c r="N347" s="3125">
        <v>0</v>
      </c>
      <c r="O347" s="3125">
        <v>0</v>
      </c>
      <c r="P347" s="3125">
        <v>0</v>
      </c>
      <c r="Q347" s="3125">
        <f t="shared" si="68"/>
        <v>0</v>
      </c>
      <c r="R347" s="3605">
        <v>0</v>
      </c>
      <c r="S347" s="1908"/>
      <c r="T347" s="1846">
        <f t="shared" si="67"/>
        <v>0</v>
      </c>
    </row>
    <row r="348" spans="1:20" s="257" customFormat="1" ht="15.05" customHeight="1">
      <c r="A348" s="3573"/>
      <c r="B348" s="3573"/>
      <c r="C348" s="3573"/>
      <c r="D348" s="3573"/>
      <c r="E348" s="3573"/>
      <c r="F348" s="3584" t="s">
        <v>50</v>
      </c>
      <c r="G348" s="3585" t="s">
        <v>595</v>
      </c>
      <c r="H348" s="3575"/>
      <c r="I348" s="3575"/>
      <c r="J348" s="3576"/>
      <c r="K348" s="3577">
        <v>380300</v>
      </c>
      <c r="L348" s="3578">
        <v>0</v>
      </c>
      <c r="M348" s="3579">
        <v>0</v>
      </c>
      <c r="N348" s="3578">
        <v>0</v>
      </c>
      <c r="O348" s="3578">
        <v>0</v>
      </c>
      <c r="P348" s="3578">
        <v>0</v>
      </c>
      <c r="Q348" s="3578">
        <f t="shared" si="68"/>
        <v>0</v>
      </c>
      <c r="R348" s="3615">
        <v>0</v>
      </c>
      <c r="S348" s="1895"/>
      <c r="T348" s="1846">
        <f t="shared" si="67"/>
        <v>0</v>
      </c>
    </row>
    <row r="349" spans="1:20" s="257" customFormat="1" ht="15.05" customHeight="1">
      <c r="A349" s="1919"/>
      <c r="B349" s="1919"/>
      <c r="C349" s="1919"/>
      <c r="D349" s="1919"/>
      <c r="E349" s="1919"/>
      <c r="F349" s="2853" t="s">
        <v>50</v>
      </c>
      <c r="G349" s="410" t="s">
        <v>596</v>
      </c>
      <c r="J349" s="3257"/>
      <c r="K349" s="3258">
        <v>61619698</v>
      </c>
      <c r="L349" s="3282">
        <v>0</v>
      </c>
      <c r="M349" s="3283">
        <v>0</v>
      </c>
      <c r="N349" s="3282">
        <v>0</v>
      </c>
      <c r="O349" s="3282">
        <v>0</v>
      </c>
      <c r="P349" s="3282">
        <v>0</v>
      </c>
      <c r="Q349" s="3282">
        <f t="shared" si="68"/>
        <v>0</v>
      </c>
      <c r="R349" s="3604">
        <v>0</v>
      </c>
      <c r="S349" s="1895"/>
      <c r="T349" s="1846">
        <f t="shared" si="67"/>
        <v>0</v>
      </c>
    </row>
    <row r="350" spans="1:20" s="257" customFormat="1" ht="15.05" customHeight="1">
      <c r="A350" s="1855"/>
      <c r="B350" s="1855"/>
      <c r="C350" s="1855"/>
      <c r="D350" s="1855"/>
      <c r="E350" s="1855"/>
      <c r="F350" s="2214" t="s">
        <v>50</v>
      </c>
      <c r="G350" s="3113" t="s">
        <v>597</v>
      </c>
      <c r="H350" s="200"/>
      <c r="I350" s="200"/>
      <c r="J350" s="3215"/>
      <c r="K350" s="3171">
        <v>1427500</v>
      </c>
      <c r="L350" s="3125">
        <v>0</v>
      </c>
      <c r="M350" s="3124">
        <v>0</v>
      </c>
      <c r="N350" s="3125">
        <v>0</v>
      </c>
      <c r="O350" s="3125">
        <v>0</v>
      </c>
      <c r="P350" s="3125">
        <v>0</v>
      </c>
      <c r="Q350" s="3125">
        <f t="shared" si="68"/>
        <v>0</v>
      </c>
      <c r="R350" s="3605">
        <v>0</v>
      </c>
      <c r="S350" s="1908"/>
      <c r="T350" s="1846">
        <f t="shared" si="67"/>
        <v>0</v>
      </c>
    </row>
    <row r="351" spans="1:20" s="257" customFormat="1" ht="15.05" customHeight="1">
      <c r="A351" s="1855"/>
      <c r="B351" s="1855"/>
      <c r="C351" s="1855"/>
      <c r="D351" s="1855"/>
      <c r="E351" s="1855"/>
      <c r="F351" s="2214" t="s">
        <v>50</v>
      </c>
      <c r="G351" s="3113" t="s">
        <v>598</v>
      </c>
      <c r="H351" s="2848"/>
      <c r="I351" s="200"/>
      <c r="J351" s="3215"/>
      <c r="K351" s="3171">
        <v>4059015</v>
      </c>
      <c r="L351" s="3125">
        <v>0</v>
      </c>
      <c r="M351" s="3124">
        <v>0</v>
      </c>
      <c r="N351" s="3125">
        <v>0</v>
      </c>
      <c r="O351" s="3125">
        <v>0</v>
      </c>
      <c r="P351" s="3125">
        <v>0</v>
      </c>
      <c r="Q351" s="3125">
        <f t="shared" si="68"/>
        <v>0</v>
      </c>
      <c r="R351" s="3605">
        <v>0</v>
      </c>
      <c r="S351" s="1876"/>
      <c r="T351" s="1846">
        <f t="shared" si="67"/>
        <v>0</v>
      </c>
    </row>
    <row r="352" spans="1:20" s="257" customFormat="1" ht="15.05" customHeight="1">
      <c r="A352" s="1855"/>
      <c r="B352" s="1855"/>
      <c r="C352" s="1855"/>
      <c r="D352" s="1855"/>
      <c r="E352" s="1855"/>
      <c r="F352" s="2214" t="s">
        <v>50</v>
      </c>
      <c r="G352" s="3113" t="s">
        <v>599</v>
      </c>
      <c r="H352" s="200"/>
      <c r="I352" s="200"/>
      <c r="J352" s="3215"/>
      <c r="K352" s="3171">
        <v>2000000</v>
      </c>
      <c r="L352" s="3125">
        <v>0</v>
      </c>
      <c r="M352" s="3124">
        <v>0</v>
      </c>
      <c r="N352" s="3125">
        <v>0</v>
      </c>
      <c r="O352" s="3125">
        <v>0</v>
      </c>
      <c r="P352" s="3125">
        <v>0</v>
      </c>
      <c r="Q352" s="3125">
        <f t="shared" si="68"/>
        <v>0</v>
      </c>
      <c r="R352" s="3605">
        <v>0</v>
      </c>
      <c r="S352" s="1876"/>
      <c r="T352" s="1846">
        <f t="shared" si="67"/>
        <v>0</v>
      </c>
    </row>
    <row r="353" spans="1:20" s="257" customFormat="1" ht="15.05" customHeight="1">
      <c r="A353" s="1855"/>
      <c r="B353" s="1855"/>
      <c r="C353" s="1855"/>
      <c r="D353" s="1855"/>
      <c r="E353" s="1855"/>
      <c r="F353" s="2214" t="s">
        <v>50</v>
      </c>
      <c r="G353" s="3113" t="s">
        <v>600</v>
      </c>
      <c r="H353" s="200"/>
      <c r="I353" s="200"/>
      <c r="J353" s="3215"/>
      <c r="K353" s="3171">
        <v>222626765</v>
      </c>
      <c r="L353" s="3125">
        <v>0</v>
      </c>
      <c r="M353" s="3124">
        <v>0</v>
      </c>
      <c r="N353" s="3125">
        <v>0</v>
      </c>
      <c r="O353" s="3125">
        <v>0</v>
      </c>
      <c r="P353" s="3125">
        <v>0</v>
      </c>
      <c r="Q353" s="3125">
        <f t="shared" si="68"/>
        <v>0</v>
      </c>
      <c r="R353" s="3605">
        <v>0</v>
      </c>
      <c r="S353" s="1876"/>
      <c r="T353" s="1846">
        <f t="shared" si="67"/>
        <v>0</v>
      </c>
    </row>
    <row r="354" spans="1:20" s="257" customFormat="1" ht="15.05" customHeight="1">
      <c r="A354" s="1855"/>
      <c r="B354" s="1855"/>
      <c r="C354" s="1855"/>
      <c r="D354" s="1855"/>
      <c r="E354" s="1855"/>
      <c r="F354" s="2214" t="s">
        <v>50</v>
      </c>
      <c r="G354" s="200" t="str">
        <f>MAR!H780</f>
        <v>DINAS PEMUDA DAN OLAH RAGA</v>
      </c>
      <c r="H354" s="200"/>
      <c r="I354" s="200"/>
      <c r="J354" s="3215"/>
      <c r="K354" s="3171"/>
      <c r="L354" s="3125">
        <f>MAR!J789</f>
        <v>0</v>
      </c>
      <c r="M354" s="3124">
        <v>0</v>
      </c>
      <c r="N354" s="3125">
        <f>MAR!L789</f>
        <v>0</v>
      </c>
      <c r="O354" s="3125">
        <f>MAR!M789</f>
        <v>0</v>
      </c>
      <c r="P354" s="3125">
        <v>0</v>
      </c>
      <c r="Q354" s="3125">
        <f t="shared" si="68"/>
        <v>0</v>
      </c>
      <c r="R354" s="3605">
        <v>0</v>
      </c>
      <c r="S354" s="1876"/>
      <c r="T354" s="1846">
        <f t="shared" si="67"/>
        <v>0</v>
      </c>
    </row>
    <row r="355" spans="1:20" s="257" customFormat="1" ht="15.05" customHeight="1">
      <c r="A355" s="1855"/>
      <c r="B355" s="1855"/>
      <c r="C355" s="1855"/>
      <c r="D355" s="1855"/>
      <c r="E355" s="1855"/>
      <c r="F355" s="2214" t="s">
        <v>50</v>
      </c>
      <c r="G355" s="257" t="str">
        <f>MAR!I282</f>
        <v>BIRO UMUM</v>
      </c>
      <c r="H355" s="200"/>
      <c r="I355" s="200"/>
      <c r="J355" s="3215"/>
      <c r="K355" s="3171"/>
      <c r="L355" s="3125">
        <f>MAR!J294</f>
        <v>0</v>
      </c>
      <c r="M355" s="3124">
        <v>0</v>
      </c>
      <c r="N355" s="3125">
        <f>MAR!L294</f>
        <v>0</v>
      </c>
      <c r="O355" s="3125">
        <f>MAR!M294</f>
        <v>0</v>
      </c>
      <c r="P355" s="3125">
        <v>0</v>
      </c>
      <c r="Q355" s="3125">
        <f t="shared" si="68"/>
        <v>0</v>
      </c>
      <c r="R355" s="3605">
        <v>0</v>
      </c>
      <c r="S355" s="1876"/>
      <c r="T355" s="1846">
        <f t="shared" si="67"/>
        <v>0</v>
      </c>
    </row>
    <row r="356" spans="1:20" s="257" customFormat="1" ht="15.05" customHeight="1">
      <c r="A356" s="1855"/>
      <c r="B356" s="1855"/>
      <c r="C356" s="1855"/>
      <c r="D356" s="1855"/>
      <c r="E356" s="1855"/>
      <c r="F356" s="2214" t="s">
        <v>50</v>
      </c>
      <c r="G356" s="200" t="str">
        <f>MAR!I297</f>
        <v>BIRO PEMERINTAHAN</v>
      </c>
      <c r="H356" s="200"/>
      <c r="I356" s="200"/>
      <c r="J356" s="3215"/>
      <c r="K356" s="3171"/>
      <c r="L356" s="3125">
        <f>MAR!J302</f>
        <v>0</v>
      </c>
      <c r="M356" s="3124">
        <v>0</v>
      </c>
      <c r="N356" s="3125">
        <f>MAR!L302</f>
        <v>0</v>
      </c>
      <c r="O356" s="3125">
        <f>MAR!M302</f>
        <v>0</v>
      </c>
      <c r="P356" s="3125">
        <v>0</v>
      </c>
      <c r="Q356" s="3125">
        <f t="shared" si="68"/>
        <v>0</v>
      </c>
      <c r="R356" s="3605">
        <v>0</v>
      </c>
      <c r="S356" s="1876"/>
      <c r="T356" s="1846">
        <f t="shared" si="67"/>
        <v>0</v>
      </c>
    </row>
    <row r="357" spans="1:20" s="257" customFormat="1" ht="15.05" customHeight="1">
      <c r="A357" s="1855"/>
      <c r="B357" s="1855"/>
      <c r="C357" s="1855"/>
      <c r="D357" s="1855"/>
      <c r="E357" s="1855"/>
      <c r="F357" s="2214" t="s">
        <v>50</v>
      </c>
      <c r="G357" s="200" t="str">
        <f>MAR!I305</f>
        <v>BIRO KESEJAHTERAAN RAKYAT</v>
      </c>
      <c r="H357" s="200"/>
      <c r="I357" s="200"/>
      <c r="J357" s="3215"/>
      <c r="K357" s="3171"/>
      <c r="L357" s="3125">
        <f>MAR!J310</f>
        <v>0</v>
      </c>
      <c r="M357" s="3124">
        <v>0</v>
      </c>
      <c r="N357" s="3125">
        <f>MAR!L310</f>
        <v>0</v>
      </c>
      <c r="O357" s="3125">
        <f>MAR!M310</f>
        <v>0</v>
      </c>
      <c r="P357" s="3125">
        <v>0</v>
      </c>
      <c r="Q357" s="3125">
        <f t="shared" si="68"/>
        <v>0</v>
      </c>
      <c r="R357" s="3605">
        <v>0</v>
      </c>
      <c r="S357" s="1876"/>
      <c r="T357" s="1846">
        <f t="shared" si="67"/>
        <v>0</v>
      </c>
    </row>
    <row r="358" spans="1:20" s="257" customFormat="1" ht="15.05" customHeight="1">
      <c r="A358" s="1855"/>
      <c r="B358" s="1855"/>
      <c r="C358" s="1855"/>
      <c r="D358" s="1855"/>
      <c r="E358" s="1855"/>
      <c r="F358" s="2214" t="s">
        <v>50</v>
      </c>
      <c r="G358" s="200" t="str">
        <f>MAR!I313</f>
        <v>BIRO ADMINISTRASI PENGENDALIAN PEMBANGUNAN &amp; LPBJP</v>
      </c>
      <c r="H358" s="200"/>
      <c r="I358" s="200"/>
      <c r="J358" s="3215"/>
      <c r="K358" s="3171"/>
      <c r="L358" s="3125">
        <f>MAR!J318</f>
        <v>0</v>
      </c>
      <c r="M358" s="3124">
        <v>0</v>
      </c>
      <c r="N358" s="3125">
        <f>MAR!L318</f>
        <v>0</v>
      </c>
      <c r="O358" s="3125">
        <f>MAR!M318</f>
        <v>0</v>
      </c>
      <c r="P358" s="3125">
        <v>0</v>
      </c>
      <c r="Q358" s="3125">
        <f t="shared" si="68"/>
        <v>0</v>
      </c>
      <c r="R358" s="3605">
        <v>0</v>
      </c>
      <c r="S358" s="1876"/>
      <c r="T358" s="1846">
        <f t="shared" si="67"/>
        <v>0</v>
      </c>
    </row>
    <row r="359" spans="1:20" s="257" customFormat="1" ht="15.05" customHeight="1">
      <c r="A359" s="1855"/>
      <c r="B359" s="1855"/>
      <c r="C359" s="1855"/>
      <c r="D359" s="1855"/>
      <c r="E359" s="1855"/>
      <c r="F359" s="2214" t="s">
        <v>50</v>
      </c>
      <c r="G359" s="200" t="str">
        <f>MAR!I321</f>
        <v>BIRO ORGANISASI</v>
      </c>
      <c r="H359" s="200"/>
      <c r="I359" s="200"/>
      <c r="J359" s="3215"/>
      <c r="K359" s="3171"/>
      <c r="L359" s="3125">
        <f>MAR!J325</f>
        <v>0</v>
      </c>
      <c r="M359" s="3124">
        <v>0</v>
      </c>
      <c r="N359" s="3125">
        <f>MAR!L325</f>
        <v>0</v>
      </c>
      <c r="O359" s="3125">
        <f>MAR!M325</f>
        <v>0</v>
      </c>
      <c r="P359" s="3125">
        <v>0</v>
      </c>
      <c r="Q359" s="3125">
        <f t="shared" si="68"/>
        <v>0</v>
      </c>
      <c r="R359" s="3605">
        <v>0</v>
      </c>
      <c r="S359" s="1876"/>
      <c r="T359" s="1846">
        <f t="shared" si="67"/>
        <v>0</v>
      </c>
    </row>
    <row r="360" spans="1:20" s="257" customFormat="1" ht="15.05" customHeight="1">
      <c r="A360" s="1855"/>
      <c r="B360" s="1855"/>
      <c r="C360" s="1855"/>
      <c r="D360" s="1855"/>
      <c r="E360" s="1855"/>
      <c r="F360" s="2214" t="s">
        <v>50</v>
      </c>
      <c r="G360" s="200" t="str">
        <f>MAR!I329</f>
        <v>BIRO PEREKONOMIAN</v>
      </c>
      <c r="H360" s="200"/>
      <c r="I360" s="200"/>
      <c r="J360" s="3215"/>
      <c r="K360" s="3171"/>
      <c r="L360" s="3125">
        <f>MAR!J334</f>
        <v>0</v>
      </c>
      <c r="M360" s="3124">
        <v>0</v>
      </c>
      <c r="N360" s="3125">
        <f>MAR!L334</f>
        <v>0</v>
      </c>
      <c r="O360" s="3125">
        <f>MAR!M334</f>
        <v>0</v>
      </c>
      <c r="P360" s="3125">
        <v>0</v>
      </c>
      <c r="Q360" s="3125">
        <f t="shared" si="68"/>
        <v>0</v>
      </c>
      <c r="R360" s="3605">
        <v>0</v>
      </c>
      <c r="S360" s="1876"/>
      <c r="T360" s="1846">
        <f t="shared" si="67"/>
        <v>0</v>
      </c>
    </row>
    <row r="361" spans="1:20" s="257" customFormat="1" ht="15.05" customHeight="1">
      <c r="A361" s="1855"/>
      <c r="B361" s="1855"/>
      <c r="C361" s="1855"/>
      <c r="D361" s="1855"/>
      <c r="E361" s="1855"/>
      <c r="F361" s="2214" t="s">
        <v>50</v>
      </c>
      <c r="G361" s="200" t="str">
        <f>MAR!I337</f>
        <v>BIRO HUMAS DAN PROTOKOL</v>
      </c>
      <c r="H361" s="202"/>
      <c r="I361" s="202"/>
      <c r="J361" s="3259"/>
      <c r="K361" s="3123"/>
      <c r="L361" s="3182">
        <f>MAR!J342</f>
        <v>0</v>
      </c>
      <c r="M361" s="3183">
        <v>0</v>
      </c>
      <c r="N361" s="3182">
        <f>MAR!L342</f>
        <v>0</v>
      </c>
      <c r="O361" s="3182">
        <f>MAR!M342</f>
        <v>0</v>
      </c>
      <c r="P361" s="3182">
        <v>0</v>
      </c>
      <c r="Q361" s="3182">
        <f t="shared" si="68"/>
        <v>0</v>
      </c>
      <c r="R361" s="3605">
        <v>0</v>
      </c>
      <c r="S361" s="1877"/>
      <c r="T361" s="1846">
        <f t="shared" si="67"/>
        <v>0</v>
      </c>
    </row>
    <row r="362" spans="1:20" s="257" customFormat="1" ht="15.05" customHeight="1">
      <c r="A362" s="1886"/>
      <c r="B362" s="1886"/>
      <c r="C362" s="1886"/>
      <c r="D362" s="1886"/>
      <c r="E362" s="1886"/>
      <c r="F362" s="2356"/>
      <c r="G362" s="856"/>
      <c r="H362" s="2322"/>
      <c r="I362" s="2322"/>
      <c r="J362" s="3272"/>
      <c r="K362" s="3142"/>
      <c r="L362" s="3289"/>
      <c r="M362" s="3290"/>
      <c r="N362" s="3289"/>
      <c r="O362" s="3289"/>
      <c r="P362" s="3289"/>
      <c r="Q362" s="3289"/>
      <c r="R362" s="3612"/>
      <c r="S362" s="3399"/>
      <c r="T362" s="1846"/>
    </row>
    <row r="363" spans="1:20" s="257" customFormat="1" ht="15.05" hidden="1" customHeight="1">
      <c r="A363" s="1886"/>
      <c r="B363" s="1886"/>
      <c r="C363" s="1886"/>
      <c r="D363" s="1886"/>
      <c r="E363" s="1886"/>
      <c r="F363" s="2356"/>
      <c r="G363" s="856"/>
      <c r="H363" s="2322"/>
      <c r="I363" s="2322"/>
      <c r="J363" s="3272"/>
      <c r="K363" s="3142"/>
      <c r="L363" s="3289"/>
      <c r="M363" s="3290"/>
      <c r="N363" s="3289"/>
      <c r="O363" s="3289"/>
      <c r="P363" s="3289"/>
      <c r="Q363" s="3289"/>
      <c r="R363" s="3612"/>
      <c r="S363" s="3399"/>
      <c r="T363" s="1846"/>
    </row>
    <row r="364" spans="1:20" s="257" customFormat="1" ht="15.65" hidden="1" customHeight="1">
      <c r="A364" s="1886"/>
      <c r="B364" s="1886"/>
      <c r="C364" s="1886"/>
      <c r="D364" s="1886"/>
      <c r="E364" s="1886"/>
      <c r="F364" s="2356" t="s">
        <v>50</v>
      </c>
      <c r="G364" s="856"/>
      <c r="H364" s="856"/>
      <c r="I364" s="2322"/>
      <c r="J364" s="3272"/>
      <c r="K364" s="3142"/>
      <c r="L364" s="3174"/>
      <c r="M364" s="3175"/>
      <c r="N364" s="3174"/>
      <c r="O364" s="3174"/>
      <c r="P364" s="3174"/>
      <c r="Q364" s="3174">
        <f t="shared" si="68"/>
        <v>0</v>
      </c>
      <c r="R364" s="3612">
        <v>0</v>
      </c>
      <c r="S364" s="1923"/>
      <c r="T364" s="1846">
        <f t="shared" si="67"/>
        <v>0</v>
      </c>
    </row>
    <row r="365" spans="1:20" s="2947" customFormat="1" ht="15.05" customHeight="1">
      <c r="A365" s="3053">
        <v>4</v>
      </c>
      <c r="B365" s="3054">
        <v>1</v>
      </c>
      <c r="C365" s="3054">
        <v>4</v>
      </c>
      <c r="D365" s="3054" t="s">
        <v>459</v>
      </c>
      <c r="E365" s="3054"/>
      <c r="F365" s="3091" t="s">
        <v>230</v>
      </c>
      <c r="G365" s="3064"/>
      <c r="H365" s="3064"/>
      <c r="I365" s="3064"/>
      <c r="J365" s="3212">
        <f>+J367</f>
        <v>77234295</v>
      </c>
      <c r="K365" s="3273">
        <f>K367</f>
        <v>0</v>
      </c>
      <c r="L365" s="3178">
        <f>+L366+L367</f>
        <v>60900800</v>
      </c>
      <c r="M365" s="3179">
        <v>0</v>
      </c>
      <c r="N365" s="3178">
        <f>+N366+N367</f>
        <v>0</v>
      </c>
      <c r="O365" s="3178">
        <f>N365+M365</f>
        <v>0</v>
      </c>
      <c r="P365" s="3178">
        <v>60900800</v>
      </c>
      <c r="Q365" s="3178">
        <f t="shared" si="68"/>
        <v>0</v>
      </c>
      <c r="R365" s="3621">
        <f>+P365/L365*100-100</f>
        <v>0</v>
      </c>
      <c r="S365" s="3066"/>
      <c r="T365" s="2944">
        <f t="shared" si="67"/>
        <v>0</v>
      </c>
    </row>
    <row r="366" spans="1:20" s="257" customFormat="1" ht="15.05" customHeight="1">
      <c r="A366" s="1889">
        <v>4</v>
      </c>
      <c r="B366" s="1889">
        <v>1</v>
      </c>
      <c r="C366" s="1889">
        <v>4</v>
      </c>
      <c r="D366" s="1889" t="s">
        <v>459</v>
      </c>
      <c r="E366" s="1905" t="s">
        <v>437</v>
      </c>
      <c r="F366" s="3089" t="s">
        <v>231</v>
      </c>
      <c r="G366" s="212"/>
      <c r="H366" s="3088"/>
      <c r="I366" s="212"/>
      <c r="J366" s="3243" t="s">
        <v>50</v>
      </c>
      <c r="K366" s="3155"/>
      <c r="L366" s="3197">
        <v>12035600</v>
      </c>
      <c r="M366" s="3198">
        <v>0</v>
      </c>
      <c r="N366" s="3197">
        <v>0</v>
      </c>
      <c r="O366" s="3197">
        <v>0</v>
      </c>
      <c r="P366" s="3197">
        <v>12035600</v>
      </c>
      <c r="Q366" s="3197">
        <f t="shared" si="68"/>
        <v>0</v>
      </c>
      <c r="R366" s="3608">
        <f>+P366/L366*100-100</f>
        <v>0</v>
      </c>
      <c r="S366" s="1896">
        <f>PerDinas!Q573</f>
        <v>0</v>
      </c>
      <c r="T366" s="1846">
        <f t="shared" si="67"/>
        <v>0</v>
      </c>
    </row>
    <row r="367" spans="1:20" s="257" customFormat="1" ht="15.05" customHeight="1">
      <c r="A367" s="1855">
        <v>4</v>
      </c>
      <c r="B367" s="1855">
        <v>1</v>
      </c>
      <c r="C367" s="1855">
        <v>4</v>
      </c>
      <c r="D367" s="1855" t="s">
        <v>459</v>
      </c>
      <c r="E367" s="1854" t="s">
        <v>438</v>
      </c>
      <c r="F367" s="1856" t="s">
        <v>601</v>
      </c>
      <c r="G367" s="202"/>
      <c r="H367" s="202"/>
      <c r="I367" s="202"/>
      <c r="J367" s="3259">
        <v>77234295</v>
      </c>
      <c r="K367" s="3200">
        <v>0</v>
      </c>
      <c r="L367" s="3182">
        <f>SUM(L368:L369)</f>
        <v>48865200</v>
      </c>
      <c r="M367" s="3183">
        <v>0</v>
      </c>
      <c r="N367" s="3182">
        <f>SUM(N368:N369)</f>
        <v>0</v>
      </c>
      <c r="O367" s="3182">
        <f>SUM(O368:O369)</f>
        <v>0</v>
      </c>
      <c r="P367" s="3182">
        <v>48865200</v>
      </c>
      <c r="Q367" s="3182">
        <f t="shared" si="68"/>
        <v>0</v>
      </c>
      <c r="R367" s="3601">
        <f>+P367/L367*100-100</f>
        <v>0</v>
      </c>
      <c r="S367" s="1877">
        <f>PerDinas!Q574</f>
        <v>0</v>
      </c>
      <c r="T367" s="1846">
        <f t="shared" si="67"/>
        <v>0</v>
      </c>
    </row>
    <row r="368" spans="1:20" s="257" customFormat="1" ht="15.05" customHeight="1">
      <c r="A368" s="1855"/>
      <c r="B368" s="1855"/>
      <c r="C368" s="1855"/>
      <c r="D368" s="1855"/>
      <c r="E368" s="1855"/>
      <c r="F368" s="2214" t="s">
        <v>50</v>
      </c>
      <c r="G368" s="200"/>
      <c r="H368" s="200" t="s">
        <v>234</v>
      </c>
      <c r="I368" s="200"/>
      <c r="J368" s="3215"/>
      <c r="K368" s="3171"/>
      <c r="L368" s="3125">
        <v>4492800</v>
      </c>
      <c r="M368" s="3124">
        <v>0</v>
      </c>
      <c r="N368" s="3125">
        <v>0</v>
      </c>
      <c r="O368" s="3125">
        <v>0</v>
      </c>
      <c r="P368" s="3125">
        <v>4492800</v>
      </c>
      <c r="Q368" s="3125">
        <f t="shared" si="68"/>
        <v>0</v>
      </c>
      <c r="R368" s="3605">
        <f>+P368/L368*100-100</f>
        <v>0</v>
      </c>
      <c r="S368" s="1908"/>
      <c r="T368" s="1846">
        <f t="shared" si="67"/>
        <v>0</v>
      </c>
    </row>
    <row r="369" spans="1:20" s="257" customFormat="1" ht="15.05" customHeight="1">
      <c r="A369" s="1855"/>
      <c r="B369" s="1855"/>
      <c r="C369" s="1855"/>
      <c r="D369" s="1855"/>
      <c r="E369" s="1855"/>
      <c r="F369" s="2214" t="s">
        <v>50</v>
      </c>
      <c r="G369" s="200"/>
      <c r="H369" s="200" t="s">
        <v>235</v>
      </c>
      <c r="I369" s="200"/>
      <c r="J369" s="3215"/>
      <c r="K369" s="3171"/>
      <c r="L369" s="3125">
        <v>44372400</v>
      </c>
      <c r="M369" s="3124">
        <v>0</v>
      </c>
      <c r="N369" s="3125">
        <v>0</v>
      </c>
      <c r="O369" s="3125">
        <v>0</v>
      </c>
      <c r="P369" s="3125">
        <v>44372400</v>
      </c>
      <c r="Q369" s="3125">
        <f t="shared" si="68"/>
        <v>0</v>
      </c>
      <c r="R369" s="3605">
        <f>+P369/L369*100-100</f>
        <v>0</v>
      </c>
      <c r="S369" s="1908"/>
      <c r="T369" s="1846">
        <f t="shared" si="67"/>
        <v>0</v>
      </c>
    </row>
    <row r="370" spans="1:20" s="257" customFormat="1" ht="15.05" hidden="1" customHeight="1">
      <c r="A370" s="1855"/>
      <c r="B370" s="1855"/>
      <c r="C370" s="1855"/>
      <c r="D370" s="1855"/>
      <c r="E370" s="1855"/>
      <c r="F370" s="2214"/>
      <c r="G370" s="200"/>
      <c r="H370" s="200"/>
      <c r="I370" s="200"/>
      <c r="J370" s="3215"/>
      <c r="K370" s="3171"/>
      <c r="L370" s="3125"/>
      <c r="M370" s="3124"/>
      <c r="N370" s="3125"/>
      <c r="O370" s="3125"/>
      <c r="P370" s="3125"/>
      <c r="Q370" s="3125"/>
      <c r="R370" s="3605"/>
      <c r="S370" s="1908"/>
      <c r="T370" s="1846">
        <f t="shared" si="67"/>
        <v>0</v>
      </c>
    </row>
    <row r="371" spans="1:20" s="257" customFormat="1" ht="15.05" customHeight="1">
      <c r="A371" s="1855"/>
      <c r="B371" s="1855"/>
      <c r="C371" s="1855"/>
      <c r="D371" s="1855"/>
      <c r="E371" s="1855"/>
      <c r="F371" s="2214"/>
      <c r="G371" s="200"/>
      <c r="H371" s="200"/>
      <c r="I371" s="200"/>
      <c r="J371" s="3215"/>
      <c r="K371" s="3216"/>
      <c r="L371" s="3274"/>
      <c r="M371" s="3189"/>
      <c r="N371" s="3274"/>
      <c r="O371" s="3274"/>
      <c r="P371" s="3274"/>
      <c r="Q371" s="3274"/>
      <c r="R371" s="3631"/>
      <c r="S371" s="1908"/>
      <c r="T371" s="1846"/>
    </row>
    <row r="372" spans="1:20" s="3115" customFormat="1" ht="15.05" customHeight="1">
      <c r="A372" s="2939" t="s">
        <v>443</v>
      </c>
      <c r="B372" s="2939" t="s">
        <v>58</v>
      </c>
      <c r="C372" s="2939" t="s">
        <v>443</v>
      </c>
      <c r="D372" s="2939" t="s">
        <v>449</v>
      </c>
      <c r="E372" s="2939"/>
      <c r="F372" s="2959" t="str">
        <f>F373</f>
        <v>Pendapatan BLUD</v>
      </c>
      <c r="G372" s="2946"/>
      <c r="H372" s="2946"/>
      <c r="I372" s="2946"/>
      <c r="J372" s="3276">
        <f>J373</f>
        <v>116197286650</v>
      </c>
      <c r="K372" s="3276">
        <f t="shared" ref="K372:S372" si="69">K373</f>
        <v>130237291540.46001</v>
      </c>
      <c r="L372" s="3276">
        <f t="shared" si="69"/>
        <v>158447286650</v>
      </c>
      <c r="M372" s="3276">
        <f t="shared" si="69"/>
        <v>24449662227.75</v>
      </c>
      <c r="N372" s="3276">
        <f t="shared" si="69"/>
        <v>15968594032.190001</v>
      </c>
      <c r="O372" s="3276">
        <f t="shared" si="69"/>
        <v>40418256259.939995</v>
      </c>
      <c r="P372" s="3276">
        <f t="shared" si="69"/>
        <v>158447286650</v>
      </c>
      <c r="Q372" s="3276">
        <f t="shared" si="69"/>
        <v>0</v>
      </c>
      <c r="R372" s="3632">
        <f t="shared" si="69"/>
        <v>0</v>
      </c>
      <c r="S372" s="2960">
        <f t="shared" si="69"/>
        <v>0</v>
      </c>
      <c r="T372" s="3114"/>
    </row>
    <row r="373" spans="1:20" s="257" customFormat="1" ht="15.05" customHeight="1">
      <c r="A373" s="2873" t="s">
        <v>443</v>
      </c>
      <c r="B373" s="2873" t="s">
        <v>58</v>
      </c>
      <c r="C373" s="2873" t="s">
        <v>443</v>
      </c>
      <c r="D373" s="2873" t="s">
        <v>449</v>
      </c>
      <c r="E373" s="1854" t="s">
        <v>437</v>
      </c>
      <c r="F373" s="1856" t="s">
        <v>89</v>
      </c>
      <c r="G373" s="202"/>
      <c r="H373" s="202"/>
      <c r="I373" s="202"/>
      <c r="J373" s="3259">
        <f>SUM(J374:J378)</f>
        <v>116197286650</v>
      </c>
      <c r="K373" s="3259">
        <f t="shared" ref="K373:P373" si="70">SUM(K374:K378)</f>
        <v>130237291540.46001</v>
      </c>
      <c r="L373" s="3259">
        <f t="shared" si="70"/>
        <v>158447286650</v>
      </c>
      <c r="M373" s="3259">
        <f t="shared" si="70"/>
        <v>24449662227.75</v>
      </c>
      <c r="N373" s="3259">
        <f t="shared" si="70"/>
        <v>15968594032.190001</v>
      </c>
      <c r="O373" s="3259">
        <f t="shared" si="70"/>
        <v>40418256259.939995</v>
      </c>
      <c r="P373" s="3259">
        <f t="shared" si="70"/>
        <v>158447286650</v>
      </c>
      <c r="Q373" s="3182">
        <f t="shared" ref="Q373:Q378" si="71">+P373-L373</f>
        <v>0</v>
      </c>
      <c r="R373" s="3601">
        <f t="shared" ref="R373:R378" si="72">+P373/L373*100-100</f>
        <v>0</v>
      </c>
      <c r="S373" s="1908"/>
      <c r="T373" s="1846">
        <f t="shared" si="67"/>
        <v>161673025039.75998</v>
      </c>
    </row>
    <row r="374" spans="1:20" s="257" customFormat="1" ht="15.05" customHeight="1">
      <c r="A374" s="1855"/>
      <c r="B374" s="1855"/>
      <c r="C374" s="1855"/>
      <c r="D374" s="1855"/>
      <c r="E374" s="1855"/>
      <c r="F374" s="2214" t="s">
        <v>50</v>
      </c>
      <c r="G374" s="200"/>
      <c r="H374" s="200" t="s">
        <v>602</v>
      </c>
      <c r="I374" s="200"/>
      <c r="J374" s="3215">
        <v>100000000000</v>
      </c>
      <c r="K374" s="3171">
        <v>115413370353.46001</v>
      </c>
      <c r="L374" s="3125">
        <v>125000000000</v>
      </c>
      <c r="M374" s="3124">
        <v>19046122482.029999</v>
      </c>
      <c r="N374" s="3125">
        <v>12944839389.030001</v>
      </c>
      <c r="O374" s="3125">
        <v>31990961871.060001</v>
      </c>
      <c r="P374" s="3125">
        <v>125000000000</v>
      </c>
      <c r="Q374" s="3125">
        <f t="shared" si="71"/>
        <v>0</v>
      </c>
      <c r="R374" s="3605">
        <f t="shared" si="72"/>
        <v>0</v>
      </c>
      <c r="S374" s="1908"/>
      <c r="T374" s="1846">
        <f t="shared" si="67"/>
        <v>127963847484.24001</v>
      </c>
    </row>
    <row r="375" spans="1:20" s="257" customFormat="1" ht="15.05" customHeight="1">
      <c r="A375" s="1855"/>
      <c r="B375" s="1855"/>
      <c r="C375" s="1855"/>
      <c r="D375" s="1855"/>
      <c r="E375" s="1855"/>
      <c r="F375" s="2214" t="s">
        <v>50</v>
      </c>
      <c r="G375" s="200"/>
      <c r="H375" s="200" t="s">
        <v>88</v>
      </c>
      <c r="I375" s="200"/>
      <c r="J375" s="3215">
        <v>2197286650</v>
      </c>
      <c r="K375" s="3171">
        <v>1770995732</v>
      </c>
      <c r="L375" s="3125">
        <v>2197286650</v>
      </c>
      <c r="M375" s="3124">
        <v>258576041</v>
      </c>
      <c r="N375" s="3125">
        <v>105214667</v>
      </c>
      <c r="O375" s="3125">
        <v>363790708</v>
      </c>
      <c r="P375" s="3125">
        <v>2197286650</v>
      </c>
      <c r="Q375" s="3125">
        <f t="shared" si="71"/>
        <v>0</v>
      </c>
      <c r="R375" s="3605">
        <f t="shared" si="72"/>
        <v>0</v>
      </c>
      <c r="S375" s="1908"/>
      <c r="T375" s="1846">
        <f t="shared" si="67"/>
        <v>1455162832</v>
      </c>
    </row>
    <row r="376" spans="1:20" s="257" customFormat="1" ht="15.05" customHeight="1">
      <c r="A376" s="1855"/>
      <c r="B376" s="1855"/>
      <c r="C376" s="1855"/>
      <c r="D376" s="1855"/>
      <c r="E376" s="1855"/>
      <c r="F376" s="2214" t="s">
        <v>50</v>
      </c>
      <c r="G376" s="200"/>
      <c r="H376" s="200" t="s">
        <v>603</v>
      </c>
      <c r="I376" s="200"/>
      <c r="J376" s="3215">
        <v>14000000000</v>
      </c>
      <c r="K376" s="3171">
        <v>13052925455</v>
      </c>
      <c r="L376" s="3125">
        <v>15000000000</v>
      </c>
      <c r="M376" s="3124">
        <v>2493831376</v>
      </c>
      <c r="N376" s="3125">
        <v>1671690063</v>
      </c>
      <c r="O376" s="3125">
        <v>4165521439</v>
      </c>
      <c r="P376" s="3125">
        <v>15000000000</v>
      </c>
      <c r="Q376" s="3125">
        <f t="shared" si="71"/>
        <v>0</v>
      </c>
      <c r="R376" s="3605">
        <f t="shared" si="72"/>
        <v>0</v>
      </c>
      <c r="S376" s="1908"/>
      <c r="T376" s="1846">
        <f t="shared" si="67"/>
        <v>16662085756</v>
      </c>
    </row>
    <row r="377" spans="1:20" s="257" customFormat="1" ht="15.05" customHeight="1">
      <c r="A377" s="1855"/>
      <c r="B377" s="1855"/>
      <c r="C377" s="1855"/>
      <c r="D377" s="1855"/>
      <c r="E377" s="1855"/>
      <c r="F377" s="2214" t="s">
        <v>50</v>
      </c>
      <c r="G377" s="200"/>
      <c r="H377" s="200" t="str">
        <f>MAR!H91</f>
        <v>RUMAH SAKIT UMUM H.L MANAMBAI ABDUL KADIR</v>
      </c>
      <c r="I377" s="200"/>
      <c r="J377" s="3215"/>
      <c r="K377" s="3193">
        <v>0</v>
      </c>
      <c r="L377" s="3125">
        <v>16000000000</v>
      </c>
      <c r="M377" s="3124">
        <v>2651132328.7199998</v>
      </c>
      <c r="N377" s="3125">
        <v>1246849913.1600001</v>
      </c>
      <c r="O377" s="3125">
        <v>3897982241.8800001</v>
      </c>
      <c r="P377" s="3125">
        <v>16000000000</v>
      </c>
      <c r="Q377" s="3125">
        <f t="shared" si="71"/>
        <v>0</v>
      </c>
      <c r="R377" s="3605">
        <f t="shared" si="72"/>
        <v>0</v>
      </c>
      <c r="S377" s="1908"/>
      <c r="T377" s="1846">
        <f t="shared" si="67"/>
        <v>15591928967.52</v>
      </c>
    </row>
    <row r="378" spans="1:20" s="257" customFormat="1" ht="15.05" customHeight="1">
      <c r="A378" s="1855"/>
      <c r="B378" s="1855"/>
      <c r="C378" s="1855"/>
      <c r="D378" s="1855"/>
      <c r="E378" s="1855"/>
      <c r="F378" s="2214" t="s">
        <v>50</v>
      </c>
      <c r="G378" s="200"/>
      <c r="H378" s="200" t="s">
        <v>604</v>
      </c>
      <c r="I378" s="200"/>
      <c r="J378" s="3215"/>
      <c r="K378" s="3193">
        <v>0</v>
      </c>
      <c r="L378" s="3125">
        <v>250000000</v>
      </c>
      <c r="M378" s="3124">
        <v>0</v>
      </c>
      <c r="N378" s="3125">
        <v>0</v>
      </c>
      <c r="O378" s="3125">
        <v>0</v>
      </c>
      <c r="P378" s="3125">
        <v>250000000</v>
      </c>
      <c r="Q378" s="3125">
        <f t="shared" si="71"/>
        <v>0</v>
      </c>
      <c r="R378" s="3605">
        <f t="shared" si="72"/>
        <v>0</v>
      </c>
      <c r="S378" s="1908"/>
      <c r="T378" s="1846">
        <f t="shared" si="67"/>
        <v>0</v>
      </c>
    </row>
    <row r="379" spans="1:20" s="257" customFormat="1" ht="15.05" hidden="1" customHeight="1">
      <c r="A379" s="1855"/>
      <c r="B379" s="1855"/>
      <c r="C379" s="1855"/>
      <c r="D379" s="1855"/>
      <c r="E379" s="1855"/>
      <c r="F379" s="2214"/>
      <c r="G379" s="200"/>
      <c r="H379" s="200"/>
      <c r="I379" s="200"/>
      <c r="J379" s="3215"/>
      <c r="K379" s="3171"/>
      <c r="L379" s="3125"/>
      <c r="M379" s="3124"/>
      <c r="N379" s="3125"/>
      <c r="O379" s="3125"/>
      <c r="P379" s="3125"/>
      <c r="Q379" s="3125"/>
      <c r="R379" s="3605"/>
      <c r="S379" s="1908"/>
      <c r="T379" s="1846">
        <f t="shared" si="67"/>
        <v>0</v>
      </c>
    </row>
    <row r="380" spans="1:20" s="257" customFormat="1" ht="15.05" customHeight="1">
      <c r="A380" s="1855"/>
      <c r="B380" s="1855"/>
      <c r="C380" s="1855"/>
      <c r="D380" s="1855"/>
      <c r="E380" s="1855"/>
      <c r="F380" s="2214"/>
      <c r="G380" s="200"/>
      <c r="H380" s="200"/>
      <c r="I380" s="200"/>
      <c r="J380" s="3215"/>
      <c r="K380" s="3216"/>
      <c r="L380" s="3125"/>
      <c r="M380" s="3124"/>
      <c r="N380" s="3125"/>
      <c r="O380" s="3125"/>
      <c r="P380" s="3125"/>
      <c r="Q380" s="3125"/>
      <c r="R380" s="3605"/>
      <c r="S380" s="1908"/>
      <c r="T380" s="1846"/>
    </row>
    <row r="381" spans="1:20" s="3115" customFormat="1" ht="15.05" customHeight="1">
      <c r="A381" s="2939" t="s">
        <v>443</v>
      </c>
      <c r="B381" s="2939" t="s">
        <v>58</v>
      </c>
      <c r="C381" s="2939" t="s">
        <v>443</v>
      </c>
      <c r="D381" s="2939" t="s">
        <v>1155</v>
      </c>
      <c r="E381" s="2939" t="s">
        <v>1155</v>
      </c>
      <c r="F381" s="2959" t="s">
        <v>1181</v>
      </c>
      <c r="G381" s="2946"/>
      <c r="H381" s="2946"/>
      <c r="I381" s="2946"/>
      <c r="J381" s="3276">
        <f>J382</f>
        <v>7805834000</v>
      </c>
      <c r="K381" s="3276">
        <f>K382</f>
        <v>7177429000</v>
      </c>
      <c r="L381" s="3277">
        <f>SUM(L382:L384)</f>
        <v>4392225000</v>
      </c>
      <c r="M381" s="3278">
        <v>0</v>
      </c>
      <c r="N381" s="3277">
        <f>SUM(N382:N384)</f>
        <v>0</v>
      </c>
      <c r="O381" s="3277">
        <f>SUM(O382:O384)</f>
        <v>0</v>
      </c>
      <c r="P381" s="3277">
        <v>4392225000</v>
      </c>
      <c r="Q381" s="3277">
        <f>+P381-L381</f>
        <v>0</v>
      </c>
      <c r="R381" s="3633">
        <f>+P381/L381*100-100</f>
        <v>0</v>
      </c>
      <c r="S381" s="2941">
        <f>PerDinas!Q750</f>
        <v>0</v>
      </c>
      <c r="T381" s="2944">
        <f t="shared" si="67"/>
        <v>0</v>
      </c>
    </row>
    <row r="382" spans="1:20" s="257" customFormat="1" ht="15.05" customHeight="1">
      <c r="A382" s="1855"/>
      <c r="B382" s="1855"/>
      <c r="C382" s="1855"/>
      <c r="D382" s="1855"/>
      <c r="E382" s="1855"/>
      <c r="F382" s="2214" t="s">
        <v>50</v>
      </c>
      <c r="G382" s="200" t="str">
        <f>MAR!I594</f>
        <v>- Diklat PIM III dan IV</v>
      </c>
      <c r="H382" s="200"/>
      <c r="I382" s="200"/>
      <c r="J382" s="3215">
        <v>7805834000</v>
      </c>
      <c r="K382" s="3215">
        <v>7177429000</v>
      </c>
      <c r="L382" s="3125">
        <f>MAR!J594</f>
        <v>4392225000</v>
      </c>
      <c r="M382" s="3124">
        <v>0</v>
      </c>
      <c r="N382" s="3125">
        <f>MAR!L594</f>
        <v>0</v>
      </c>
      <c r="O382" s="3125">
        <f>MAR!M594</f>
        <v>0</v>
      </c>
      <c r="P382" s="3125">
        <v>4392225000</v>
      </c>
      <c r="Q382" s="3125">
        <f>+P382-L382</f>
        <v>0</v>
      </c>
      <c r="R382" s="3605">
        <f>+P382/L382*100-100</f>
        <v>0</v>
      </c>
      <c r="S382" s="1908"/>
      <c r="T382" s="1846">
        <f t="shared" si="67"/>
        <v>0</v>
      </c>
    </row>
    <row r="383" spans="1:20" s="257" customFormat="1" ht="15.05" customHeight="1">
      <c r="A383" s="1855"/>
      <c r="B383" s="1855"/>
      <c r="C383" s="1855"/>
      <c r="D383" s="1855"/>
      <c r="E383" s="1855"/>
      <c r="F383" s="2214" t="s">
        <v>50</v>
      </c>
      <c r="G383" s="200" t="str">
        <f>MAR!I595</f>
        <v>- Diklat Prajabatan</v>
      </c>
      <c r="H383" s="200"/>
      <c r="I383" s="200"/>
      <c r="J383" s="3215"/>
      <c r="K383" s="3171"/>
      <c r="L383" s="3125">
        <f>MAR!J595</f>
        <v>0</v>
      </c>
      <c r="M383" s="3124">
        <v>0</v>
      </c>
      <c r="N383" s="3125">
        <f>MAR!L595</f>
        <v>0</v>
      </c>
      <c r="O383" s="3125">
        <f>MAR!M595</f>
        <v>0</v>
      </c>
      <c r="P383" s="3125">
        <v>0</v>
      </c>
      <c r="Q383" s="3125">
        <f>+P383-L383</f>
        <v>0</v>
      </c>
      <c r="R383" s="3605">
        <v>0</v>
      </c>
      <c r="S383" s="1908"/>
      <c r="T383" s="1846">
        <f t="shared" si="67"/>
        <v>0</v>
      </c>
    </row>
    <row r="384" spans="1:20" s="257" customFormat="1" ht="15.05" customHeight="1">
      <c r="A384" s="1855"/>
      <c r="B384" s="1855"/>
      <c r="C384" s="1855"/>
      <c r="D384" s="1855"/>
      <c r="E384" s="1855"/>
      <c r="F384" s="2214" t="s">
        <v>50</v>
      </c>
      <c r="G384" s="200" t="str">
        <f>MAR!I596</f>
        <v>- Diklat Pembentukan Arsiparis Ahli Kab/Kota</v>
      </c>
      <c r="H384" s="200"/>
      <c r="I384" s="200"/>
      <c r="J384" s="3215"/>
      <c r="K384" s="3171"/>
      <c r="L384" s="3125">
        <f>MAR!J596</f>
        <v>0</v>
      </c>
      <c r="M384" s="3124">
        <v>0</v>
      </c>
      <c r="N384" s="3125">
        <f>MAR!L596</f>
        <v>0</v>
      </c>
      <c r="O384" s="3125">
        <f>MAR!M596</f>
        <v>0</v>
      </c>
      <c r="P384" s="3125">
        <v>0</v>
      </c>
      <c r="Q384" s="3125">
        <f>+P384-L384</f>
        <v>0</v>
      </c>
      <c r="R384" s="3605">
        <v>0</v>
      </c>
      <c r="S384" s="1908"/>
      <c r="T384" s="1846">
        <f t="shared" si="67"/>
        <v>0</v>
      </c>
    </row>
    <row r="385" spans="1:20" s="257" customFormat="1" ht="15.05" hidden="1" customHeight="1">
      <c r="A385" s="1855"/>
      <c r="B385" s="1855"/>
      <c r="C385" s="1855"/>
      <c r="D385" s="1855"/>
      <c r="E385" s="1855"/>
      <c r="G385" s="200"/>
      <c r="H385" s="200"/>
      <c r="I385" s="200"/>
      <c r="J385" s="3215"/>
      <c r="K385" s="3171"/>
      <c r="L385" s="3125"/>
      <c r="M385" s="3124"/>
      <c r="N385" s="3125"/>
      <c r="O385" s="3125"/>
      <c r="P385" s="3125"/>
      <c r="Q385" s="3125"/>
      <c r="R385" s="3605"/>
      <c r="S385" s="1908"/>
      <c r="T385" s="1846">
        <f t="shared" si="67"/>
        <v>0</v>
      </c>
    </row>
    <row r="386" spans="1:20" s="257" customFormat="1" ht="15.05" customHeight="1">
      <c r="A386" s="1855"/>
      <c r="B386" s="1855"/>
      <c r="C386" s="1855"/>
      <c r="D386" s="1855"/>
      <c r="E386" s="1855"/>
      <c r="G386" s="200"/>
      <c r="H386" s="200"/>
      <c r="I386" s="200"/>
      <c r="J386" s="3215"/>
      <c r="K386" s="3216"/>
      <c r="L386" s="3125"/>
      <c r="M386" s="3124"/>
      <c r="N386" s="3125"/>
      <c r="O386" s="3125"/>
      <c r="P386" s="3125"/>
      <c r="Q386" s="3125"/>
      <c r="R386" s="3605"/>
      <c r="S386" s="1908"/>
      <c r="T386" s="1846"/>
    </row>
    <row r="387" spans="1:20" s="2947" customFormat="1" ht="15.05" customHeight="1">
      <c r="A387" s="2948" t="s">
        <v>443</v>
      </c>
      <c r="B387" s="2948" t="s">
        <v>58</v>
      </c>
      <c r="C387" s="2948" t="s">
        <v>443</v>
      </c>
      <c r="D387" s="2948" t="s">
        <v>447</v>
      </c>
      <c r="E387" s="2948" t="s">
        <v>437</v>
      </c>
      <c r="F387" s="2959" t="s">
        <v>605</v>
      </c>
      <c r="G387" s="2940"/>
      <c r="H387" s="2940"/>
      <c r="I387" s="2940"/>
      <c r="J387" s="3279">
        <v>0</v>
      </c>
      <c r="K387" s="3279">
        <v>0</v>
      </c>
      <c r="L387" s="3280">
        <f>SUM(L388:L395)</f>
        <v>0</v>
      </c>
      <c r="M387" s="3281">
        <v>2100000</v>
      </c>
      <c r="N387" s="3280">
        <f>SUM(N388:N395)</f>
        <v>1035000</v>
      </c>
      <c r="O387" s="3280">
        <f>N387+M387</f>
        <v>3135000</v>
      </c>
      <c r="P387" s="3280">
        <v>0</v>
      </c>
      <c r="Q387" s="3280">
        <f t="shared" ref="Q387:Q395" si="73">+P387-L387</f>
        <v>0</v>
      </c>
      <c r="R387" s="3634">
        <v>0</v>
      </c>
      <c r="S387" s="2942">
        <f>PerDinas!Q752</f>
        <v>0</v>
      </c>
      <c r="T387" s="2944">
        <f t="shared" si="67"/>
        <v>12540000</v>
      </c>
    </row>
    <row r="388" spans="1:20" s="257" customFormat="1" ht="15.05" customHeight="1">
      <c r="A388" s="1855"/>
      <c r="B388" s="1855"/>
      <c r="C388" s="1855"/>
      <c r="D388" s="1855"/>
      <c r="E388" s="1855"/>
      <c r="F388" s="2732" t="s">
        <v>50</v>
      </c>
      <c r="G388" s="200"/>
      <c r="H388" s="2849" t="s">
        <v>606</v>
      </c>
      <c r="I388" s="200"/>
      <c r="J388" s="3215"/>
      <c r="K388" s="3171"/>
      <c r="L388" s="3125">
        <v>0</v>
      </c>
      <c r="M388" s="3124">
        <v>0</v>
      </c>
      <c r="N388" s="3125">
        <v>0</v>
      </c>
      <c r="O388" s="3125">
        <v>0</v>
      </c>
      <c r="P388" s="3125">
        <v>0</v>
      </c>
      <c r="Q388" s="3125">
        <f t="shared" si="73"/>
        <v>0</v>
      </c>
      <c r="R388" s="3605" t="e">
        <f t="shared" ref="R388:R395" si="74">+P388/L388*100-100</f>
        <v>#DIV/0!</v>
      </c>
      <c r="S388" s="1908"/>
      <c r="T388" s="1846">
        <f t="shared" si="67"/>
        <v>0</v>
      </c>
    </row>
    <row r="389" spans="1:20" s="257" customFormat="1" ht="15.05" customHeight="1">
      <c r="A389" s="1855"/>
      <c r="B389" s="1855"/>
      <c r="C389" s="1855"/>
      <c r="D389" s="1855"/>
      <c r="E389" s="1855"/>
      <c r="F389" s="2732" t="s">
        <v>50</v>
      </c>
      <c r="G389" s="200"/>
      <c r="H389" s="2849" t="s">
        <v>607</v>
      </c>
      <c r="I389" s="200"/>
      <c r="J389" s="3215"/>
      <c r="K389" s="3171"/>
      <c r="L389" s="3125">
        <f>PerDinas!K106</f>
        <v>0</v>
      </c>
      <c r="M389" s="3124">
        <v>0</v>
      </c>
      <c r="N389" s="3125">
        <v>0</v>
      </c>
      <c r="O389" s="3125">
        <v>0</v>
      </c>
      <c r="P389" s="3125">
        <v>0</v>
      </c>
      <c r="Q389" s="3125">
        <f t="shared" si="73"/>
        <v>0</v>
      </c>
      <c r="R389" s="3605" t="e">
        <f t="shared" si="74"/>
        <v>#DIV/0!</v>
      </c>
      <c r="S389" s="1908"/>
      <c r="T389" s="1846">
        <f t="shared" si="67"/>
        <v>0</v>
      </c>
    </row>
    <row r="390" spans="1:20" s="257" customFormat="1" ht="15.05" customHeight="1">
      <c r="A390" s="1855"/>
      <c r="B390" s="1855"/>
      <c r="C390" s="1855"/>
      <c r="D390" s="1855"/>
      <c r="E390" s="1855"/>
      <c r="F390" s="2732" t="s">
        <v>50</v>
      </c>
      <c r="G390" s="200"/>
      <c r="H390" s="2849" t="s">
        <v>608</v>
      </c>
      <c r="I390" s="200"/>
      <c r="J390" s="3215"/>
      <c r="K390" s="3171"/>
      <c r="L390" s="3125">
        <v>0</v>
      </c>
      <c r="M390" s="3124">
        <v>2100000</v>
      </c>
      <c r="N390" s="3125">
        <v>0</v>
      </c>
      <c r="O390" s="3125">
        <v>2100000</v>
      </c>
      <c r="P390" s="3125">
        <v>0</v>
      </c>
      <c r="Q390" s="3125">
        <f t="shared" si="73"/>
        <v>0</v>
      </c>
      <c r="R390" s="3605">
        <v>0</v>
      </c>
      <c r="S390" s="1908"/>
      <c r="T390" s="1846">
        <f t="shared" si="67"/>
        <v>8400000</v>
      </c>
    </row>
    <row r="391" spans="1:20" s="257" customFormat="1" ht="15.05" customHeight="1">
      <c r="A391" s="1855"/>
      <c r="B391" s="1855"/>
      <c r="C391" s="1855"/>
      <c r="D391" s="1855"/>
      <c r="E391" s="1855"/>
      <c r="F391" s="2732" t="s">
        <v>50</v>
      </c>
      <c r="G391" s="200"/>
      <c r="H391" s="2849" t="s">
        <v>609</v>
      </c>
      <c r="I391" s="200"/>
      <c r="J391" s="3215"/>
      <c r="K391" s="3171"/>
      <c r="L391" s="3125">
        <v>0</v>
      </c>
      <c r="M391" s="3124">
        <v>0</v>
      </c>
      <c r="N391" s="3125">
        <v>1035000</v>
      </c>
      <c r="O391" s="3125">
        <v>1035000</v>
      </c>
      <c r="P391" s="3125">
        <v>0</v>
      </c>
      <c r="Q391" s="3125">
        <f t="shared" si="73"/>
        <v>0</v>
      </c>
      <c r="R391" s="3605">
        <v>0</v>
      </c>
      <c r="S391" s="1908"/>
      <c r="T391" s="1846">
        <f t="shared" si="67"/>
        <v>4140000</v>
      </c>
    </row>
    <row r="392" spans="1:20" s="257" customFormat="1" ht="15.05" hidden="1" customHeight="1">
      <c r="A392" s="1855"/>
      <c r="B392" s="1855"/>
      <c r="C392" s="1855"/>
      <c r="D392" s="1855"/>
      <c r="E392" s="1855"/>
      <c r="F392" s="2732" t="s">
        <v>50</v>
      </c>
      <c r="G392" s="200"/>
      <c r="H392" s="2849"/>
      <c r="I392" s="200"/>
      <c r="J392" s="3215"/>
      <c r="K392" s="3171"/>
      <c r="L392" s="3125">
        <f>PerDinas!K359</f>
        <v>0</v>
      </c>
      <c r="M392" s="3124">
        <v>0</v>
      </c>
      <c r="N392" s="3125">
        <f>PerDinas!M359</f>
        <v>0</v>
      </c>
      <c r="O392" s="3125">
        <f>N392+M392</f>
        <v>0</v>
      </c>
      <c r="P392" s="3125">
        <v>0</v>
      </c>
      <c r="Q392" s="3125">
        <f t="shared" si="73"/>
        <v>0</v>
      </c>
      <c r="R392" s="3605" t="e">
        <f t="shared" si="74"/>
        <v>#DIV/0!</v>
      </c>
      <c r="S392" s="1908"/>
      <c r="T392" s="1846">
        <f t="shared" si="67"/>
        <v>0</v>
      </c>
    </row>
    <row r="393" spans="1:20" s="257" customFormat="1" ht="15.05" hidden="1" customHeight="1">
      <c r="A393" s="1855"/>
      <c r="B393" s="1855"/>
      <c r="C393" s="1855"/>
      <c r="D393" s="1855"/>
      <c r="E393" s="1855"/>
      <c r="F393" s="2732" t="s">
        <v>50</v>
      </c>
      <c r="G393" s="200"/>
      <c r="H393" s="2849"/>
      <c r="I393" s="200"/>
      <c r="J393" s="3215"/>
      <c r="K393" s="3171"/>
      <c r="L393" s="3125">
        <f>PerDinas!K870</f>
        <v>0</v>
      </c>
      <c r="M393" s="3124">
        <v>0</v>
      </c>
      <c r="N393" s="3125">
        <f>PerDinas!M870</f>
        <v>0</v>
      </c>
      <c r="O393" s="3125">
        <f>N393+M393</f>
        <v>0</v>
      </c>
      <c r="P393" s="3125">
        <v>0</v>
      </c>
      <c r="Q393" s="3125">
        <f t="shared" si="73"/>
        <v>0</v>
      </c>
      <c r="R393" s="3605" t="e">
        <f t="shared" si="74"/>
        <v>#DIV/0!</v>
      </c>
      <c r="S393" s="1908"/>
      <c r="T393" s="1846">
        <f t="shared" si="67"/>
        <v>0</v>
      </c>
    </row>
    <row r="394" spans="1:20" s="257" customFormat="1" ht="15.05" hidden="1" customHeight="1">
      <c r="A394" s="1886"/>
      <c r="B394" s="1886"/>
      <c r="C394" s="1886"/>
      <c r="D394" s="1886"/>
      <c r="E394" s="1886"/>
      <c r="F394" s="2850" t="s">
        <v>50</v>
      </c>
      <c r="G394" s="856"/>
      <c r="H394" s="2851"/>
      <c r="I394" s="856"/>
      <c r="J394" s="3238"/>
      <c r="K394" s="3173"/>
      <c r="L394" s="3174">
        <f>PerDinas!K953</f>
        <v>0</v>
      </c>
      <c r="M394" s="3175">
        <v>0</v>
      </c>
      <c r="N394" s="3174">
        <f>PerDinas!M953</f>
        <v>0</v>
      </c>
      <c r="O394" s="3174">
        <f>N394+M394</f>
        <v>0</v>
      </c>
      <c r="P394" s="3174">
        <v>0</v>
      </c>
      <c r="Q394" s="3174">
        <f t="shared" si="73"/>
        <v>0</v>
      </c>
      <c r="R394" s="3605" t="e">
        <f t="shared" si="74"/>
        <v>#DIV/0!</v>
      </c>
      <c r="S394" s="1923"/>
      <c r="T394" s="1846">
        <f t="shared" si="67"/>
        <v>0</v>
      </c>
    </row>
    <row r="395" spans="1:20" s="257" customFormat="1" ht="15.05" hidden="1" customHeight="1">
      <c r="A395" s="1855"/>
      <c r="B395" s="1855"/>
      <c r="C395" s="1855"/>
      <c r="D395" s="1855"/>
      <c r="E395" s="1855"/>
      <c r="F395" s="2732" t="s">
        <v>50</v>
      </c>
      <c r="G395" s="200"/>
      <c r="H395" s="2852"/>
      <c r="I395" s="200"/>
      <c r="J395" s="3215"/>
      <c r="K395" s="3171"/>
      <c r="L395" s="3125">
        <f>PerDinas!K765</f>
        <v>0</v>
      </c>
      <c r="M395" s="3124">
        <v>0</v>
      </c>
      <c r="N395" s="3125">
        <f>PerDinas!M765</f>
        <v>0</v>
      </c>
      <c r="O395" s="3125">
        <f>N395+M395</f>
        <v>0</v>
      </c>
      <c r="P395" s="3125">
        <v>0</v>
      </c>
      <c r="Q395" s="3125">
        <f t="shared" si="73"/>
        <v>0</v>
      </c>
      <c r="R395" s="3605" t="e">
        <f t="shared" si="74"/>
        <v>#DIV/0!</v>
      </c>
      <c r="S395" s="1881"/>
      <c r="T395" s="1846">
        <f t="shared" si="67"/>
        <v>0</v>
      </c>
    </row>
    <row r="396" spans="1:20" s="257" customFormat="1" ht="15.05" customHeight="1">
      <c r="A396" s="3564"/>
      <c r="B396" s="3564"/>
      <c r="C396" s="3564"/>
      <c r="D396" s="3564"/>
      <c r="E396" s="3564"/>
      <c r="F396" s="3536"/>
      <c r="G396" s="3537"/>
      <c r="H396" s="3565"/>
      <c r="I396" s="3537"/>
      <c r="J396" s="3566"/>
      <c r="K396" s="3567"/>
      <c r="L396" s="3568"/>
      <c r="M396" s="3569"/>
      <c r="N396" s="3568"/>
      <c r="O396" s="3568"/>
      <c r="P396" s="3568"/>
      <c r="Q396" s="3568"/>
      <c r="R396" s="3635"/>
      <c r="S396" s="1924"/>
      <c r="T396" s="1846">
        <f t="shared" si="67"/>
        <v>0</v>
      </c>
    </row>
    <row r="397" spans="1:20" s="2965" customFormat="1" ht="15.05" customHeight="1">
      <c r="A397" s="3557" t="s">
        <v>443</v>
      </c>
      <c r="B397" s="3557" t="s">
        <v>460</v>
      </c>
      <c r="C397" s="3557"/>
      <c r="D397" s="3557"/>
      <c r="E397" s="3557"/>
      <c r="F397" s="3558" t="s">
        <v>236</v>
      </c>
      <c r="G397" s="3559"/>
      <c r="H397" s="3560"/>
      <c r="I397" s="3559"/>
      <c r="J397" s="3561">
        <f>J398+J410+J415</f>
        <v>2333604004580</v>
      </c>
      <c r="K397" s="3561">
        <f>K398+K410+K415</f>
        <v>2587184362905</v>
      </c>
      <c r="L397" s="3561">
        <f>L398+L410+L415</f>
        <v>3222521202310</v>
      </c>
      <c r="M397" s="3562">
        <v>602895773311</v>
      </c>
      <c r="N397" s="3561">
        <f>N398+N410+N415</f>
        <v>226813668600</v>
      </c>
      <c r="O397" s="3561">
        <f>N397+M397</f>
        <v>829709441911</v>
      </c>
      <c r="P397" s="3561">
        <f>P398+P410+P415</f>
        <v>3281628996000</v>
      </c>
      <c r="Q397" s="3561">
        <f t="shared" ref="Q397:Q413" si="75">+P397-L397</f>
        <v>59107793690</v>
      </c>
      <c r="R397" s="3636">
        <f>+P397/L397*100-100</f>
        <v>1.8342096135047825</v>
      </c>
      <c r="S397" s="3107"/>
      <c r="T397" s="2964">
        <f t="shared" si="67"/>
        <v>3318837767644</v>
      </c>
    </row>
    <row r="398" spans="1:20" s="2917" customFormat="1" ht="15.05" customHeight="1">
      <c r="A398" s="3108" t="s">
        <v>443</v>
      </c>
      <c r="B398" s="3108" t="s">
        <v>460</v>
      </c>
      <c r="C398" s="3108" t="s">
        <v>58</v>
      </c>
      <c r="D398" s="3108"/>
      <c r="E398" s="3108"/>
      <c r="F398" s="3109" t="str">
        <f>MAR!H427</f>
        <v>DANA BAGI HASIL PAJAK/BAGI HASIL BUKAN PAJAK</v>
      </c>
      <c r="G398" s="3110"/>
      <c r="H398" s="3111"/>
      <c r="I398" s="3110"/>
      <c r="J398" s="3284">
        <f>J399+J405</f>
        <v>247954406000</v>
      </c>
      <c r="K398" s="3285">
        <f>K399+K405</f>
        <v>375036424549</v>
      </c>
      <c r="L398" s="3285">
        <f>L399+L405</f>
        <v>353125684600</v>
      </c>
      <c r="M398" s="3286">
        <v>77134449311</v>
      </c>
      <c r="N398" s="3284">
        <f>N399+N405</f>
        <v>43645442600</v>
      </c>
      <c r="O398" s="3284">
        <f>O399+O405</f>
        <v>120779891911</v>
      </c>
      <c r="P398" s="3284">
        <f>P399+P405</f>
        <v>493184076000</v>
      </c>
      <c r="Q398" s="3284">
        <f t="shared" si="75"/>
        <v>140058391400</v>
      </c>
      <c r="R398" s="3637">
        <f>+P398/L398*100-100</f>
        <v>39.662476423557194</v>
      </c>
      <c r="S398" s="3112"/>
      <c r="T398" s="2904">
        <f t="shared" si="67"/>
        <v>483119567644</v>
      </c>
    </row>
    <row r="399" spans="1:20" s="1318" customFormat="1" ht="15.05" customHeight="1">
      <c r="A399" s="1905"/>
      <c r="B399" s="1905"/>
      <c r="C399" s="1905"/>
      <c r="D399" s="1905"/>
      <c r="E399" s="1905"/>
      <c r="F399" s="3089"/>
      <c r="G399" s="212" t="str">
        <f>MAR!H428</f>
        <v>Bagi Hasil Pajak</v>
      </c>
      <c r="H399" s="3098"/>
      <c r="I399" s="212"/>
      <c r="J399" s="3197">
        <f>SUM(J400:J404)</f>
        <v>165277884000</v>
      </c>
      <c r="K399" s="3288">
        <f>SUM(K400:K404)</f>
        <v>165676022293</v>
      </c>
      <c r="L399" s="3288">
        <f>SUM(L400:L404)</f>
        <v>185190481600</v>
      </c>
      <c r="M399" s="3198">
        <v>15220097700</v>
      </c>
      <c r="N399" s="3197">
        <f>SUM(N400:N404)</f>
        <v>43568767100</v>
      </c>
      <c r="O399" s="3197">
        <f>SUM(O400:O404)</f>
        <v>58788864800</v>
      </c>
      <c r="P399" s="3197">
        <f>SUM(P400:P404)</f>
        <v>341748873000</v>
      </c>
      <c r="Q399" s="3197">
        <f t="shared" si="75"/>
        <v>156558391400</v>
      </c>
      <c r="R399" s="3608">
        <f>+P399/L399*100-100</f>
        <v>84.539113483249338</v>
      </c>
      <c r="S399" s="1911"/>
      <c r="T399" s="1846">
        <f t="shared" si="67"/>
        <v>235155459200</v>
      </c>
    </row>
    <row r="400" spans="1:20" s="257" customFormat="1" ht="15.05" customHeight="1">
      <c r="A400" s="1855"/>
      <c r="B400" s="1855"/>
      <c r="C400" s="1855"/>
      <c r="D400" s="1855"/>
      <c r="E400" s="1855"/>
      <c r="F400" s="2214"/>
      <c r="G400" s="2727" t="s">
        <v>50</v>
      </c>
      <c r="H400" s="2852" t="str">
        <f>MAR!I429</f>
        <v>Bagi Hasil Pajak Bumi dan Bangunan</v>
      </c>
      <c r="I400" s="200"/>
      <c r="J400" s="3215">
        <v>13045670000</v>
      </c>
      <c r="K400" s="3171">
        <v>15360944277</v>
      </c>
      <c r="L400" s="3125">
        <v>10416269000</v>
      </c>
      <c r="M400" s="3124">
        <v>2542990867</v>
      </c>
      <c r="N400" s="3125">
        <v>2000213850</v>
      </c>
      <c r="O400" s="3125">
        <v>4543204717</v>
      </c>
      <c r="P400" s="3125">
        <v>10416269000</v>
      </c>
      <c r="Q400" s="3125">
        <f t="shared" si="75"/>
        <v>0</v>
      </c>
      <c r="R400" s="3605">
        <f>+P400/L400*100-100</f>
        <v>0</v>
      </c>
      <c r="S400" s="1881"/>
      <c r="T400" s="1846">
        <f t="shared" si="67"/>
        <v>18172818868</v>
      </c>
    </row>
    <row r="401" spans="1:20" s="257" customFormat="1" ht="15.05" hidden="1" customHeight="1">
      <c r="A401" s="1855"/>
      <c r="B401" s="1855"/>
      <c r="C401" s="1855"/>
      <c r="D401" s="1855"/>
      <c r="E401" s="1855"/>
      <c r="F401" s="2214"/>
      <c r="G401" s="2727" t="s">
        <v>50</v>
      </c>
      <c r="H401" s="2852" t="str">
        <f>MAR!I430</f>
        <v>Bagi Hasil dari Bea Perolehan Hak Atas Tanah dan Bangunan</v>
      </c>
      <c r="I401" s="200"/>
      <c r="J401" s="3248" t="s">
        <v>50</v>
      </c>
      <c r="K401" s="3193" t="s">
        <v>50</v>
      </c>
      <c r="L401" s="3125">
        <v>0</v>
      </c>
      <c r="M401" s="3124">
        <v>0</v>
      </c>
      <c r="N401" s="3125">
        <v>0</v>
      </c>
      <c r="O401" s="3125">
        <v>0</v>
      </c>
      <c r="P401" s="3125">
        <v>0</v>
      </c>
      <c r="Q401" s="3125">
        <f t="shared" si="75"/>
        <v>0</v>
      </c>
      <c r="R401" s="3605">
        <v>0</v>
      </c>
      <c r="S401" s="1881"/>
      <c r="T401" s="1846">
        <f t="shared" si="67"/>
        <v>0</v>
      </c>
    </row>
    <row r="402" spans="1:20" s="257" customFormat="1" ht="15.05" customHeight="1">
      <c r="A402" s="1855"/>
      <c r="B402" s="1855"/>
      <c r="C402" s="1855"/>
      <c r="D402" s="1855"/>
      <c r="E402" s="1855"/>
      <c r="F402" s="2214"/>
      <c r="G402" s="2727" t="s">
        <v>50</v>
      </c>
      <c r="H402" s="2852" t="str">
        <f>MAR!I431</f>
        <v>Bagi Hasil dari Pajak Penghasilan (PPh) Pasal 25 dan Pasal 29</v>
      </c>
      <c r="I402" s="200"/>
      <c r="J402" s="3215">
        <v>78835708000</v>
      </c>
      <c r="K402" s="3171">
        <v>75733342003</v>
      </c>
      <c r="L402" s="3125">
        <v>104034902000</v>
      </c>
      <c r="M402" s="3124">
        <v>12576808932</v>
      </c>
      <c r="N402" s="3125">
        <v>23883725500</v>
      </c>
      <c r="O402" s="3125">
        <v>36460534432</v>
      </c>
      <c r="P402" s="3125">
        <v>95534902000</v>
      </c>
      <c r="Q402" s="3125">
        <f t="shared" si="75"/>
        <v>-8500000000</v>
      </c>
      <c r="R402" s="3605">
        <f t="shared" ref="R402:R408" si="76">+P402/L402*100-100</f>
        <v>-8.1703349900786151</v>
      </c>
      <c r="S402" s="1881"/>
      <c r="T402" s="1846">
        <f t="shared" si="67"/>
        <v>145842137728</v>
      </c>
    </row>
    <row r="403" spans="1:20" s="257" customFormat="1" ht="15.05" customHeight="1">
      <c r="A403" s="1855"/>
      <c r="B403" s="1855"/>
      <c r="C403" s="1855"/>
      <c r="D403" s="1855"/>
      <c r="E403" s="1855"/>
      <c r="F403" s="2214"/>
      <c r="G403" s="2727" t="s">
        <v>50</v>
      </c>
      <c r="H403" s="2852" t="str">
        <f>MAR!I432</f>
        <v>wajb pajak orang pribadi dalam negeri dan PPh Pasal 21</v>
      </c>
      <c r="I403" s="200"/>
      <c r="J403" s="3215"/>
      <c r="K403" s="3171"/>
      <c r="L403" s="3125">
        <f>MAR!J432</f>
        <v>0</v>
      </c>
      <c r="M403" s="3124">
        <v>0</v>
      </c>
      <c r="N403" s="3125">
        <f>MAR!L432</f>
        <v>0</v>
      </c>
      <c r="O403" s="3125">
        <f>MAR!M432</f>
        <v>0</v>
      </c>
      <c r="P403" s="3125">
        <v>0</v>
      </c>
      <c r="Q403" s="3125">
        <f t="shared" si="75"/>
        <v>0</v>
      </c>
      <c r="R403" s="3605">
        <v>0</v>
      </c>
      <c r="S403" s="1881"/>
      <c r="T403" s="1846">
        <f t="shared" si="67"/>
        <v>0</v>
      </c>
    </row>
    <row r="404" spans="1:20" s="257" customFormat="1" ht="15.05" customHeight="1">
      <c r="A404" s="1855"/>
      <c r="B404" s="1855"/>
      <c r="C404" s="1855"/>
      <c r="D404" s="1855"/>
      <c r="E404" s="1855"/>
      <c r="F404" s="2214"/>
      <c r="G404" s="2727" t="s">
        <v>50</v>
      </c>
      <c r="H404" s="2852" t="str">
        <f>MAR!I433</f>
        <v>Bagi Hasil Cukai Tembakau</v>
      </c>
      <c r="I404" s="200"/>
      <c r="J404" s="3215">
        <v>73396506000</v>
      </c>
      <c r="K404" s="3171">
        <v>74581736013</v>
      </c>
      <c r="L404" s="3125">
        <v>70739310600</v>
      </c>
      <c r="M404" s="3124">
        <v>100297901</v>
      </c>
      <c r="N404" s="3125">
        <v>17684827750</v>
      </c>
      <c r="O404" s="3125">
        <v>17785125651</v>
      </c>
      <c r="P404" s="3125">
        <v>235797702000</v>
      </c>
      <c r="Q404" s="3125">
        <f t="shared" si="75"/>
        <v>165058391400</v>
      </c>
      <c r="R404" s="3605">
        <f t="shared" si="76"/>
        <v>233.33333333333337</v>
      </c>
      <c r="S404" s="1881"/>
      <c r="T404" s="1846">
        <f t="shared" si="67"/>
        <v>71140502604</v>
      </c>
    </row>
    <row r="405" spans="1:20" s="1318" customFormat="1" ht="15.05" customHeight="1">
      <c r="A405" s="1902"/>
      <c r="B405" s="1902"/>
      <c r="C405" s="1902"/>
      <c r="D405" s="1902"/>
      <c r="E405" s="1902"/>
      <c r="F405" s="1856"/>
      <c r="G405" s="2728" t="str">
        <f>MAR!H435</f>
        <v>Bagi Hasil Bukan Pajak/Sumber Daya Alam</v>
      </c>
      <c r="H405" s="2854"/>
      <c r="I405" s="2322"/>
      <c r="J405" s="3272">
        <f>SUM(J406:J408)</f>
        <v>82676522000</v>
      </c>
      <c r="K405" s="3272">
        <f>SUM(K406:K408)</f>
        <v>209360402256</v>
      </c>
      <c r="L405" s="3289">
        <f>SUM(L406:L408)</f>
        <v>167935203000</v>
      </c>
      <c r="M405" s="3290">
        <v>61914351611</v>
      </c>
      <c r="N405" s="3289">
        <f>SUM(N406:N409)</f>
        <v>76675500</v>
      </c>
      <c r="O405" s="3289">
        <f>SUM(O406:O409)</f>
        <v>61991027111</v>
      </c>
      <c r="P405" s="3289">
        <f>SUM(P406:P408)</f>
        <v>151435203000</v>
      </c>
      <c r="Q405" s="3289">
        <f t="shared" si="75"/>
        <v>-16500000000</v>
      </c>
      <c r="R405" s="3606">
        <f t="shared" si="76"/>
        <v>-9.8252181229685362</v>
      </c>
      <c r="S405" s="1936"/>
      <c r="T405" s="1846">
        <f t="shared" si="67"/>
        <v>247964108444</v>
      </c>
    </row>
    <row r="406" spans="1:20" s="257" customFormat="1" ht="15.05" customHeight="1">
      <c r="A406" s="1886"/>
      <c r="B406" s="1886"/>
      <c r="C406" s="1886"/>
      <c r="D406" s="1886"/>
      <c r="E406" s="1886"/>
      <c r="F406" s="2214"/>
      <c r="G406" s="2727" t="s">
        <v>50</v>
      </c>
      <c r="H406" s="2852" t="str">
        <f>MAR!I436</f>
        <v>Bagi Hasil dari Iuran Hak Pengusahaan Hutan</v>
      </c>
      <c r="I406" s="856"/>
      <c r="J406" s="3238">
        <v>13941000</v>
      </c>
      <c r="K406" s="3173">
        <v>28170635</v>
      </c>
      <c r="L406" s="3174">
        <v>511170000</v>
      </c>
      <c r="M406" s="3175">
        <v>0</v>
      </c>
      <c r="N406" s="3174">
        <v>66556500</v>
      </c>
      <c r="O406" s="3174">
        <v>66556500</v>
      </c>
      <c r="P406" s="3174">
        <v>511170000</v>
      </c>
      <c r="Q406" s="3174">
        <f t="shared" si="75"/>
        <v>0</v>
      </c>
      <c r="R406" s="3612">
        <f t="shared" si="76"/>
        <v>0</v>
      </c>
      <c r="S406" s="1899"/>
      <c r="T406" s="1846">
        <f t="shared" si="67"/>
        <v>266226000</v>
      </c>
    </row>
    <row r="407" spans="1:20" s="257" customFormat="1" ht="15.05" customHeight="1">
      <c r="A407" s="1886"/>
      <c r="B407" s="1886"/>
      <c r="C407" s="1886"/>
      <c r="D407" s="1886"/>
      <c r="E407" s="1886"/>
      <c r="F407" s="2214"/>
      <c r="G407" s="2727" t="s">
        <v>50</v>
      </c>
      <c r="H407" s="2852" t="str">
        <f>MAR!I437</f>
        <v>Bagi Hasil dari Iuran Tetap (Land-Rent)</v>
      </c>
      <c r="I407" s="856"/>
      <c r="J407" s="3238">
        <v>4202581000</v>
      </c>
      <c r="K407" s="3173">
        <v>2669992293</v>
      </c>
      <c r="L407" s="3174">
        <v>4168131000</v>
      </c>
      <c r="M407" s="3175">
        <v>1232728624</v>
      </c>
      <c r="N407" s="3174">
        <v>0</v>
      </c>
      <c r="O407" s="3174">
        <v>1232728624</v>
      </c>
      <c r="P407" s="3174">
        <v>4168131000</v>
      </c>
      <c r="Q407" s="3174">
        <f t="shared" si="75"/>
        <v>0</v>
      </c>
      <c r="R407" s="3612">
        <f t="shared" si="76"/>
        <v>0</v>
      </c>
      <c r="S407" s="1899"/>
      <c r="T407" s="1846">
        <f t="shared" si="67"/>
        <v>4930914496</v>
      </c>
    </row>
    <row r="408" spans="1:20" s="257" customFormat="1" ht="15.05" customHeight="1">
      <c r="A408" s="1886"/>
      <c r="B408" s="1886"/>
      <c r="C408" s="1886"/>
      <c r="D408" s="1886"/>
      <c r="E408" s="1886"/>
      <c r="F408" s="2214"/>
      <c r="G408" s="2727" t="s">
        <v>50</v>
      </c>
      <c r="H408" s="2852" t="str">
        <f>MAR!I438</f>
        <v>Bagi Hasil dari Iuran Eksplorasi dan Iuran Eksploitasi (Royalty)</v>
      </c>
      <c r="I408" s="856"/>
      <c r="J408" s="3238">
        <v>78460000000</v>
      </c>
      <c r="K408" s="3173">
        <v>206662239328</v>
      </c>
      <c r="L408" s="3174">
        <v>163255902000</v>
      </c>
      <c r="M408" s="3175">
        <v>60654372288</v>
      </c>
      <c r="N408" s="3174">
        <v>0</v>
      </c>
      <c r="O408" s="3174">
        <v>60654372288</v>
      </c>
      <c r="P408" s="3174">
        <v>146755902000</v>
      </c>
      <c r="Q408" s="3174">
        <f t="shared" si="75"/>
        <v>-16500000000</v>
      </c>
      <c r="R408" s="3612">
        <f t="shared" si="76"/>
        <v>-10.1068321560589</v>
      </c>
      <c r="S408" s="1899"/>
      <c r="T408" s="1846">
        <f t="shared" si="67"/>
        <v>242617489152</v>
      </c>
    </row>
    <row r="409" spans="1:20" s="257" customFormat="1" ht="15.05" customHeight="1">
      <c r="A409" s="1886"/>
      <c r="B409" s="1886"/>
      <c r="C409" s="1886"/>
      <c r="D409" s="1886"/>
      <c r="E409" s="1886"/>
      <c r="F409" s="856"/>
      <c r="G409" s="2729" t="s">
        <v>50</v>
      </c>
      <c r="H409" s="2858" t="s">
        <v>461</v>
      </c>
      <c r="I409" s="856"/>
      <c r="J409" s="3238"/>
      <c r="K409" s="3173"/>
      <c r="L409" s="3174"/>
      <c r="M409" s="3175">
        <v>27250699</v>
      </c>
      <c r="N409" s="3174">
        <f>MAR!L439</f>
        <v>10119000</v>
      </c>
      <c r="O409" s="3174">
        <f>MAR!M439</f>
        <v>37369699</v>
      </c>
      <c r="P409" s="3174"/>
      <c r="Q409" s="3174">
        <f t="shared" si="75"/>
        <v>0</v>
      </c>
      <c r="R409" s="3612">
        <v>0</v>
      </c>
      <c r="S409" s="1899"/>
      <c r="T409" s="1846">
        <f t="shared" si="67"/>
        <v>149478796</v>
      </c>
    </row>
    <row r="410" spans="1:20" s="2917" customFormat="1" ht="15.05" customHeight="1">
      <c r="A410" s="3100" t="s">
        <v>443</v>
      </c>
      <c r="B410" s="3101" t="s">
        <v>460</v>
      </c>
      <c r="C410" s="3101" t="s">
        <v>460</v>
      </c>
      <c r="D410" s="3101"/>
      <c r="E410" s="3101"/>
      <c r="F410" s="3106" t="str">
        <f>MAR!H440</f>
        <v>DANA ALOKASI UMUM</v>
      </c>
      <c r="G410" s="3103"/>
      <c r="H410" s="3104"/>
      <c r="I410" s="3103"/>
      <c r="J410" s="3292">
        <f>J411</f>
        <v>955792513580</v>
      </c>
      <c r="K410" s="3292">
        <f>K411</f>
        <v>1117691709000</v>
      </c>
      <c r="L410" s="3292">
        <f>L411</f>
        <v>1496972549710</v>
      </c>
      <c r="M410" s="3293">
        <v>354005724000</v>
      </c>
      <c r="N410" s="3292">
        <f>N411</f>
        <v>118001908000</v>
      </c>
      <c r="O410" s="3292">
        <f>O411</f>
        <v>472007632000</v>
      </c>
      <c r="P410" s="3292">
        <f>P411</f>
        <v>1416022952000</v>
      </c>
      <c r="Q410" s="3292">
        <f t="shared" si="75"/>
        <v>-80949597710</v>
      </c>
      <c r="R410" s="3638">
        <f>+P410/L410*100-100</f>
        <v>-5.4075539144443212</v>
      </c>
      <c r="S410" s="3105"/>
      <c r="T410" s="2904">
        <f t="shared" ref="T410:T422" si="77">O410*4</f>
        <v>1888030528000</v>
      </c>
    </row>
    <row r="411" spans="1:20" s="1318" customFormat="1" ht="15.05" customHeight="1">
      <c r="A411" s="1725"/>
      <c r="B411" s="1725"/>
      <c r="C411" s="1725"/>
      <c r="D411" s="1725"/>
      <c r="E411" s="1725"/>
      <c r="F411" s="3089"/>
      <c r="G411" s="2744" t="str">
        <f>MAR!H441</f>
        <v>Dana Alokai Umum</v>
      </c>
      <c r="H411" s="3098"/>
      <c r="J411" s="3295">
        <v>955792513580</v>
      </c>
      <c r="K411" s="3147">
        <v>1117691709000</v>
      </c>
      <c r="L411" s="3296">
        <f>SUM(L412:L413)</f>
        <v>1496972549710</v>
      </c>
      <c r="M411" s="3297">
        <v>354005724000</v>
      </c>
      <c r="N411" s="3296">
        <f>SUM(N412:N413)</f>
        <v>118001908000</v>
      </c>
      <c r="O411" s="3296">
        <f>SUM(O412:O413)</f>
        <v>472007632000</v>
      </c>
      <c r="P411" s="3296">
        <f>P412</f>
        <v>1416022952000</v>
      </c>
      <c r="Q411" s="3296">
        <f t="shared" si="75"/>
        <v>-80949597710</v>
      </c>
      <c r="R411" s="3607">
        <f>+P411/L411*100-100</f>
        <v>-5.4075539144443212</v>
      </c>
      <c r="S411" s="3099"/>
      <c r="T411" s="1846">
        <f t="shared" si="77"/>
        <v>1888030528000</v>
      </c>
    </row>
    <row r="412" spans="1:20" s="257" customFormat="1" ht="15.05" customHeight="1">
      <c r="A412" s="1886"/>
      <c r="B412" s="1886"/>
      <c r="C412" s="1886"/>
      <c r="D412" s="1886"/>
      <c r="E412" s="1886"/>
      <c r="F412" s="2214"/>
      <c r="G412" s="2727" t="s">
        <v>50</v>
      </c>
      <c r="H412" s="2852" t="str">
        <f>MAR!I442</f>
        <v>DAU Murni</v>
      </c>
      <c r="I412" s="856"/>
      <c r="J412" s="3238"/>
      <c r="K412" s="3173"/>
      <c r="L412" s="3174">
        <v>1416022952000</v>
      </c>
      <c r="M412" s="3175">
        <v>354005724000</v>
      </c>
      <c r="N412" s="3174">
        <v>118001908000</v>
      </c>
      <c r="O412" s="3174">
        <v>472007632000</v>
      </c>
      <c r="P412" s="3174">
        <v>1416022952000</v>
      </c>
      <c r="Q412" s="3174">
        <f t="shared" si="75"/>
        <v>0</v>
      </c>
      <c r="R412" s="3612">
        <f>+P412/L412*100-100</f>
        <v>0</v>
      </c>
      <c r="S412" s="1899"/>
      <c r="T412" s="1846">
        <f t="shared" si="77"/>
        <v>1888030528000</v>
      </c>
    </row>
    <row r="413" spans="1:20" s="257" customFormat="1" ht="15.05" customHeight="1">
      <c r="A413" s="1886"/>
      <c r="B413" s="1886"/>
      <c r="C413" s="1886"/>
      <c r="D413" s="1886"/>
      <c r="E413" s="1886"/>
      <c r="F413" s="2214"/>
      <c r="G413" s="2727" t="s">
        <v>50</v>
      </c>
      <c r="H413" s="2852" t="str">
        <f>MAR!I443</f>
        <v>Penambahan DAU Akibat Penundaan</v>
      </c>
      <c r="I413" s="856"/>
      <c r="J413" s="3238"/>
      <c r="K413" s="3173"/>
      <c r="L413" s="3174">
        <v>80949597710</v>
      </c>
      <c r="M413" s="3175">
        <v>0</v>
      </c>
      <c r="N413" s="3174">
        <v>0</v>
      </c>
      <c r="O413" s="3174">
        <v>0</v>
      </c>
      <c r="P413" s="3174">
        <v>0</v>
      </c>
      <c r="Q413" s="3174">
        <f t="shared" si="75"/>
        <v>-80949597710</v>
      </c>
      <c r="R413" s="3612">
        <f>+P413/L413*100-100</f>
        <v>-100</v>
      </c>
      <c r="S413" s="1899"/>
      <c r="T413" s="1846">
        <f t="shared" si="77"/>
        <v>0</v>
      </c>
    </row>
    <row r="414" spans="1:20" s="257" customFormat="1" ht="15.05" customHeight="1">
      <c r="A414" s="1886"/>
      <c r="B414" s="1886"/>
      <c r="C414" s="1886"/>
      <c r="D414" s="1886"/>
      <c r="E414" s="1886"/>
      <c r="F414" s="2356"/>
      <c r="G414" s="856"/>
      <c r="H414" s="2858"/>
      <c r="I414" s="856"/>
      <c r="J414" s="3238"/>
      <c r="K414" s="3173"/>
      <c r="L414" s="3174"/>
      <c r="M414" s="3175"/>
      <c r="N414" s="3174"/>
      <c r="O414" s="3174"/>
      <c r="P414" s="3174"/>
      <c r="Q414" s="3174"/>
      <c r="R414" s="3612"/>
      <c r="S414" s="1899"/>
      <c r="T414" s="1846">
        <f t="shared" si="77"/>
        <v>0</v>
      </c>
    </row>
    <row r="415" spans="1:20" s="2917" customFormat="1" ht="15.05" customHeight="1">
      <c r="A415" s="3100" t="s">
        <v>443</v>
      </c>
      <c r="B415" s="3101" t="s">
        <v>460</v>
      </c>
      <c r="C415" s="3101" t="s">
        <v>457</v>
      </c>
      <c r="D415" s="3101"/>
      <c r="E415" s="3101"/>
      <c r="F415" s="3102" t="str">
        <f>MAR!H445</f>
        <v>DANA ALOKASI KHUSUS</v>
      </c>
      <c r="G415" s="3103"/>
      <c r="H415" s="3104"/>
      <c r="I415" s="3103"/>
      <c r="J415" s="3292">
        <f>J416</f>
        <v>1129857085000</v>
      </c>
      <c r="K415" s="3292">
        <f>K416</f>
        <v>1094456229356</v>
      </c>
      <c r="L415" s="3292">
        <f>L416</f>
        <v>1372422968000</v>
      </c>
      <c r="M415" s="3293">
        <v>171755600000</v>
      </c>
      <c r="N415" s="3292">
        <f>N416</f>
        <v>65166318000</v>
      </c>
      <c r="O415" s="3292">
        <f>O416</f>
        <v>236921918000</v>
      </c>
      <c r="P415" s="3292">
        <f>P416</f>
        <v>1372421968000</v>
      </c>
      <c r="Q415" s="3292">
        <f t="shared" ref="Q415:Q422" si="78">+P415-L415</f>
        <v>-1000000</v>
      </c>
      <c r="R415" s="3638">
        <f t="shared" ref="R415:R422" si="79">+P415/L415*100-100</f>
        <v>-7.286383450377798E-5</v>
      </c>
      <c r="S415" s="3105"/>
      <c r="T415" s="2904">
        <f t="shared" si="77"/>
        <v>947687672000</v>
      </c>
    </row>
    <row r="416" spans="1:20" s="1318" customFormat="1" ht="15.05" customHeight="1">
      <c r="A416" s="1725"/>
      <c r="B416" s="1725"/>
      <c r="C416" s="1725"/>
      <c r="D416" s="1725"/>
      <c r="E416" s="1725"/>
      <c r="F416" s="3089"/>
      <c r="G416" s="2744" t="str">
        <f>MAR!H446</f>
        <v>Dana Alokasi Khusus</v>
      </c>
      <c r="H416" s="3098"/>
      <c r="J416" s="3296">
        <f>J417+J425</f>
        <v>1129857085000</v>
      </c>
      <c r="K416" s="3296">
        <f>K417+K425</f>
        <v>1094456229356</v>
      </c>
      <c r="L416" s="3296">
        <f>L417+L425</f>
        <v>1372422968000</v>
      </c>
      <c r="M416" s="3297">
        <v>171755600000</v>
      </c>
      <c r="N416" s="3296">
        <f>N417+N425</f>
        <v>65166318000</v>
      </c>
      <c r="O416" s="3296">
        <f>O417+O425</f>
        <v>236921918000</v>
      </c>
      <c r="P416" s="3296">
        <f>P417+P425</f>
        <v>1372421968000</v>
      </c>
      <c r="Q416" s="3296">
        <f t="shared" si="78"/>
        <v>-1000000</v>
      </c>
      <c r="R416" s="3607">
        <f t="shared" si="79"/>
        <v>-7.286383450377798E-5</v>
      </c>
      <c r="S416" s="3099"/>
      <c r="T416" s="1846">
        <f t="shared" si="77"/>
        <v>947687672000</v>
      </c>
    </row>
    <row r="417" spans="1:20" s="1318" customFormat="1" ht="15.05" customHeight="1">
      <c r="A417" s="1902"/>
      <c r="B417" s="1902"/>
      <c r="C417" s="1902"/>
      <c r="D417" s="1902"/>
      <c r="E417" s="1902"/>
      <c r="F417" s="1856"/>
      <c r="G417" s="202"/>
      <c r="H417" s="2854" t="str">
        <f>MAR!I447</f>
        <v>DAK Murni Non Fisik</v>
      </c>
      <c r="I417" s="2322"/>
      <c r="J417" s="3289">
        <f>SUM(J418:J424)</f>
        <v>625147065000</v>
      </c>
      <c r="K417" s="3289">
        <f>SUM(K418:K424)</f>
        <v>840054801000</v>
      </c>
      <c r="L417" s="3289">
        <f>SUM(L418:L424)</f>
        <v>1074923968000</v>
      </c>
      <c r="M417" s="3290">
        <v>171755600000</v>
      </c>
      <c r="N417" s="3289">
        <f>SUM(N418:N422)</f>
        <v>65166318000</v>
      </c>
      <c r="O417" s="3289">
        <f>SUM(O418:O422)</f>
        <v>236921918000</v>
      </c>
      <c r="P417" s="3289">
        <v>1074923968000</v>
      </c>
      <c r="Q417" s="3289">
        <f t="shared" si="78"/>
        <v>0</v>
      </c>
      <c r="R417" s="3606">
        <f t="shared" si="79"/>
        <v>0</v>
      </c>
      <c r="S417" s="1936"/>
      <c r="T417" s="1846">
        <f t="shared" si="77"/>
        <v>947687672000</v>
      </c>
    </row>
    <row r="418" spans="1:20" s="257" customFormat="1" ht="15.05" customHeight="1">
      <c r="A418" s="1886"/>
      <c r="B418" s="1886"/>
      <c r="C418" s="1886"/>
      <c r="D418" s="1886"/>
      <c r="E418" s="1886"/>
      <c r="F418" s="2214"/>
      <c r="G418" s="200"/>
      <c r="H418" s="2852" t="str">
        <f>MAR!I448</f>
        <v>- BOS</v>
      </c>
      <c r="I418" s="856"/>
      <c r="J418" s="3238">
        <v>619824550000</v>
      </c>
      <c r="K418" s="3173">
        <v>826042895000</v>
      </c>
      <c r="L418" s="3174">
        <v>858778000000</v>
      </c>
      <c r="M418" s="3175">
        <v>171755600000</v>
      </c>
      <c r="N418" s="3174">
        <v>0</v>
      </c>
      <c r="O418" s="3174">
        <v>171755600000</v>
      </c>
      <c r="P418" s="3174">
        <v>858778000000</v>
      </c>
      <c r="Q418" s="3174">
        <f t="shared" si="78"/>
        <v>0</v>
      </c>
      <c r="R418" s="3612">
        <f t="shared" si="79"/>
        <v>0</v>
      </c>
      <c r="S418" s="1899"/>
      <c r="T418" s="1846">
        <f t="shared" si="77"/>
        <v>687022400000</v>
      </c>
    </row>
    <row r="419" spans="1:20" s="257" customFormat="1" ht="15.05" customHeight="1">
      <c r="A419" s="1886"/>
      <c r="B419" s="1886"/>
      <c r="C419" s="1886"/>
      <c r="D419" s="1886"/>
      <c r="E419" s="1886"/>
      <c r="F419" s="2214"/>
      <c r="G419" s="200"/>
      <c r="H419" s="2852" t="str">
        <f>MAR!I449</f>
        <v>- Tunjangan Profesi Guru</v>
      </c>
      <c r="I419" s="856"/>
      <c r="J419" s="3238"/>
      <c r="K419" s="3173"/>
      <c r="L419" s="3174">
        <v>207376785000</v>
      </c>
      <c r="M419" s="3175">
        <v>0</v>
      </c>
      <c r="N419" s="3174">
        <v>62213035000</v>
      </c>
      <c r="O419" s="3174">
        <v>62213035000</v>
      </c>
      <c r="P419" s="3174">
        <v>207376785000</v>
      </c>
      <c r="Q419" s="3174">
        <f t="shared" si="78"/>
        <v>0</v>
      </c>
      <c r="R419" s="3612">
        <f t="shared" si="79"/>
        <v>0</v>
      </c>
      <c r="S419" s="1899"/>
      <c r="T419" s="1846">
        <f t="shared" si="77"/>
        <v>248852140000</v>
      </c>
    </row>
    <row r="420" spans="1:20" s="257" customFormat="1" ht="15.05" customHeight="1">
      <c r="A420" s="1886"/>
      <c r="B420" s="1886"/>
      <c r="C420" s="1886"/>
      <c r="D420" s="1886"/>
      <c r="E420" s="1886"/>
      <c r="F420" s="2214"/>
      <c r="G420" s="200"/>
      <c r="H420" s="2852" t="str">
        <f>MAR!I450</f>
        <v>- Tambahan Penghasilan</v>
      </c>
      <c r="I420" s="856"/>
      <c r="J420" s="3238"/>
      <c r="K420" s="3173"/>
      <c r="L420" s="3174">
        <v>4737000000</v>
      </c>
      <c r="M420" s="3175">
        <v>0</v>
      </c>
      <c r="N420" s="3174">
        <v>1421100000</v>
      </c>
      <c r="O420" s="3174">
        <v>1421100000</v>
      </c>
      <c r="P420" s="3174">
        <v>4737000000</v>
      </c>
      <c r="Q420" s="3174">
        <f t="shared" si="78"/>
        <v>0</v>
      </c>
      <c r="R420" s="3612">
        <f t="shared" si="79"/>
        <v>0</v>
      </c>
      <c r="S420" s="1899"/>
      <c r="T420" s="1846">
        <f t="shared" si="77"/>
        <v>5684400000</v>
      </c>
    </row>
    <row r="421" spans="1:20" s="257" customFormat="1" ht="15.05" customHeight="1">
      <c r="A421" s="1886"/>
      <c r="B421" s="1886"/>
      <c r="C421" s="1886"/>
      <c r="D421" s="1886"/>
      <c r="E421" s="1886"/>
      <c r="F421" s="2214"/>
      <c r="G421" s="200"/>
      <c r="H421" s="2852" t="str">
        <f>MAR!I451</f>
        <v>- Koperasi UKM</v>
      </c>
      <c r="I421" s="856"/>
      <c r="J421" s="3238">
        <v>2500000000</v>
      </c>
      <c r="K421" s="3173">
        <v>5000000000</v>
      </c>
      <c r="L421" s="3174">
        <v>2500000000</v>
      </c>
      <c r="M421" s="3175">
        <v>0</v>
      </c>
      <c r="N421" s="3174">
        <v>1532183000</v>
      </c>
      <c r="O421" s="3174">
        <v>1532183000</v>
      </c>
      <c r="P421" s="3174">
        <v>2500000000</v>
      </c>
      <c r="Q421" s="3174">
        <f t="shared" si="78"/>
        <v>0</v>
      </c>
      <c r="R421" s="3612">
        <f t="shared" si="79"/>
        <v>0</v>
      </c>
      <c r="S421" s="1899"/>
      <c r="T421" s="1846">
        <f t="shared" si="77"/>
        <v>6128732000</v>
      </c>
    </row>
    <row r="422" spans="1:20" s="257" customFormat="1" ht="15.05" customHeight="1">
      <c r="A422" s="1886"/>
      <c r="B422" s="1886"/>
      <c r="C422" s="1886"/>
      <c r="D422" s="1886"/>
      <c r="E422" s="1886"/>
      <c r="F422" s="2214"/>
      <c r="G422" s="200"/>
      <c r="H422" s="2852" t="str">
        <f>MAR!I452</f>
        <v>- Dinas Sosial Kependudukan</v>
      </c>
      <c r="I422" s="856"/>
      <c r="J422" s="3238">
        <v>0</v>
      </c>
      <c r="K422" s="3173">
        <v>4151773000</v>
      </c>
      <c r="L422" s="3174">
        <v>1532183000</v>
      </c>
      <c r="M422" s="3175">
        <v>0</v>
      </c>
      <c r="N422" s="3174">
        <v>0</v>
      </c>
      <c r="O422" s="3174">
        <v>0</v>
      </c>
      <c r="P422" s="3174">
        <v>1532183000</v>
      </c>
      <c r="Q422" s="3174">
        <f t="shared" si="78"/>
        <v>0</v>
      </c>
      <c r="R422" s="3612">
        <f t="shared" si="79"/>
        <v>0</v>
      </c>
      <c r="S422" s="1899"/>
      <c r="T422" s="1846">
        <f t="shared" si="77"/>
        <v>0</v>
      </c>
    </row>
    <row r="423" spans="1:20" s="257" customFormat="1" ht="15.05" customHeight="1">
      <c r="A423" s="1886"/>
      <c r="B423" s="1886"/>
      <c r="C423" s="1886"/>
      <c r="D423" s="1886"/>
      <c r="E423" s="1886"/>
      <c r="F423" s="2214"/>
      <c r="G423" s="200"/>
      <c r="H423" s="2855" t="s">
        <v>610</v>
      </c>
      <c r="I423" s="856"/>
      <c r="J423" s="3238">
        <v>708360000</v>
      </c>
      <c r="K423" s="3173">
        <v>708360000</v>
      </c>
      <c r="L423" s="3174"/>
      <c r="M423" s="3175"/>
      <c r="N423" s="3174"/>
      <c r="O423" s="3182">
        <f>L451+L452</f>
        <v>51419400</v>
      </c>
      <c r="P423" s="3174"/>
      <c r="Q423" s="3174"/>
      <c r="R423" s="3612"/>
      <c r="S423" s="1899"/>
      <c r="T423" s="1846"/>
    </row>
    <row r="424" spans="1:20" s="257" customFormat="1" ht="15.05" customHeight="1">
      <c r="A424" s="1886"/>
      <c r="B424" s="1886"/>
      <c r="C424" s="1886"/>
      <c r="D424" s="1886"/>
      <c r="E424" s="1886"/>
      <c r="F424" s="2214"/>
      <c r="G424" s="200"/>
      <c r="H424" s="2855" t="s">
        <v>611</v>
      </c>
      <c r="I424" s="856"/>
      <c r="J424" s="3238">
        <v>2114155000</v>
      </c>
      <c r="K424" s="3173">
        <v>4151773000</v>
      </c>
      <c r="L424" s="3174"/>
      <c r="M424" s="3175"/>
      <c r="N424" s="3174"/>
      <c r="O424" s="3174"/>
      <c r="P424" s="3174"/>
      <c r="Q424" s="3174"/>
      <c r="R424" s="3612"/>
      <c r="S424" s="1899"/>
      <c r="T424" s="1846"/>
    </row>
    <row r="425" spans="1:20" s="1318" customFormat="1" ht="15.05" customHeight="1">
      <c r="A425" s="1902"/>
      <c r="B425" s="1902"/>
      <c r="C425" s="1902"/>
      <c r="D425" s="1902"/>
      <c r="E425" s="1902"/>
      <c r="F425" s="1856"/>
      <c r="G425" s="202"/>
      <c r="H425" s="2854" t="str">
        <f>MAR!I453</f>
        <v>DAK Fisik</v>
      </c>
      <c r="I425" s="2322"/>
      <c r="J425" s="3272">
        <f>504710020000</f>
        <v>504710020000</v>
      </c>
      <c r="K425" s="3142">
        <f>10319496286+1625920000+1450931000+28095350000+184689298167+18179605000+10040827903</f>
        <v>254401428356</v>
      </c>
      <c r="L425" s="3174">
        <f>MAR!J453</f>
        <v>297499000000</v>
      </c>
      <c r="M425" s="3175">
        <v>0</v>
      </c>
      <c r="N425" s="3174">
        <f>MAR!L453</f>
        <v>0</v>
      </c>
      <c r="O425" s="3174">
        <f>MAR!M453</f>
        <v>0</v>
      </c>
      <c r="P425" s="3174">
        <v>297498000000</v>
      </c>
      <c r="Q425" s="3174">
        <f>+P425-L425</f>
        <v>-1000000</v>
      </c>
      <c r="R425" s="3612">
        <f>+P425/L425*100-100</f>
        <v>-3.3613558365175322E-4</v>
      </c>
      <c r="S425" s="1936"/>
      <c r="T425" s="1846">
        <f>O425*4</f>
        <v>0</v>
      </c>
    </row>
    <row r="426" spans="1:20" s="1318" customFormat="1" ht="15.05" hidden="1" customHeight="1">
      <c r="A426" s="1902"/>
      <c r="B426" s="1902"/>
      <c r="C426" s="1902"/>
      <c r="D426" s="1902"/>
      <c r="E426" s="1902"/>
      <c r="F426" s="2856"/>
      <c r="G426" s="2322"/>
      <c r="H426" s="2857"/>
      <c r="I426" s="2322"/>
      <c r="J426" s="3272"/>
      <c r="K426" s="3142"/>
      <c r="L426" s="3174"/>
      <c r="M426" s="3175"/>
      <c r="N426" s="3174"/>
      <c r="O426" s="3174"/>
      <c r="P426" s="3174"/>
      <c r="Q426" s="3174"/>
      <c r="R426" s="3612"/>
      <c r="S426" s="1936"/>
      <c r="T426" s="1846"/>
    </row>
    <row r="427" spans="1:20" s="257" customFormat="1" ht="15.05" customHeight="1">
      <c r="A427" s="1886"/>
      <c r="B427" s="1886"/>
      <c r="C427" s="1886"/>
      <c r="D427" s="1886"/>
      <c r="E427" s="1886"/>
      <c r="F427" s="2356"/>
      <c r="G427" s="856"/>
      <c r="H427" s="2858"/>
      <c r="I427" s="856"/>
      <c r="J427" s="3238">
        <f>13870510900-J429</f>
        <v>0</v>
      </c>
      <c r="K427" s="3173">
        <f>13001891981.54-K429</f>
        <v>0</v>
      </c>
      <c r="L427" s="3174"/>
      <c r="M427" s="3175"/>
      <c r="N427" s="3174"/>
      <c r="O427" s="3174"/>
      <c r="P427" s="3174"/>
      <c r="Q427" s="3174"/>
      <c r="R427" s="3612"/>
      <c r="S427" s="1899"/>
      <c r="T427" s="1846">
        <f t="shared" ref="T427:T457" si="80">O427*4</f>
        <v>0</v>
      </c>
    </row>
    <row r="428" spans="1:20" s="2971" customFormat="1" ht="15.05" customHeight="1">
      <c r="A428" s="2966">
        <v>4</v>
      </c>
      <c r="B428" s="2966" t="s">
        <v>457</v>
      </c>
      <c r="C428" s="2966"/>
      <c r="D428" s="2966"/>
      <c r="E428" s="2966"/>
      <c r="F428" s="2967" t="s">
        <v>612</v>
      </c>
      <c r="G428" s="2968"/>
      <c r="H428" s="2969"/>
      <c r="I428" s="2969"/>
      <c r="J428" s="3299">
        <f t="shared" ref="J428:Q428" si="81">+J429+J561</f>
        <v>19284510900</v>
      </c>
      <c r="K428" s="3299">
        <f t="shared" si="81"/>
        <v>18001891981.540001</v>
      </c>
      <c r="L428" s="3299">
        <f t="shared" si="81"/>
        <v>67264821900</v>
      </c>
      <c r="M428" s="3299">
        <f t="shared" si="81"/>
        <v>804203846.99000001</v>
      </c>
      <c r="N428" s="3299">
        <f t="shared" si="81"/>
        <v>27120019500</v>
      </c>
      <c r="O428" s="3299">
        <f t="shared" si="81"/>
        <v>27924223346.990002</v>
      </c>
      <c r="P428" s="3299">
        <f t="shared" si="81"/>
        <v>67478457900</v>
      </c>
      <c r="Q428" s="3299">
        <f t="shared" si="81"/>
        <v>213636000</v>
      </c>
      <c r="R428" s="3439">
        <f>+P428/L428*100-100</f>
        <v>0.31760434944376925</v>
      </c>
      <c r="S428" s="2970"/>
      <c r="T428" s="2964">
        <f t="shared" si="80"/>
        <v>111696893387.96001</v>
      </c>
    </row>
    <row r="429" spans="1:20" s="3119" customFormat="1" ht="15.05" customHeight="1">
      <c r="A429" s="3116">
        <v>4</v>
      </c>
      <c r="B429" s="3093" t="s">
        <v>457</v>
      </c>
      <c r="C429" s="3093" t="s">
        <v>58</v>
      </c>
      <c r="D429" s="3093"/>
      <c r="E429" s="3093"/>
      <c r="F429" s="3094" t="s">
        <v>613</v>
      </c>
      <c r="G429" s="3095"/>
      <c r="H429" s="3096"/>
      <c r="I429" s="3097"/>
      <c r="J429" s="3300">
        <f>J430+J431</f>
        <v>13870510900</v>
      </c>
      <c r="K429" s="3300">
        <f t="shared" ref="K429:P429" si="82">K430+K431</f>
        <v>13001891981.540001</v>
      </c>
      <c r="L429" s="3300">
        <f t="shared" si="82"/>
        <v>13870510900</v>
      </c>
      <c r="M429" s="3300">
        <f t="shared" si="82"/>
        <v>804203846.99000001</v>
      </c>
      <c r="N429" s="3300">
        <f t="shared" si="82"/>
        <v>422864500</v>
      </c>
      <c r="O429" s="3300">
        <f t="shared" si="82"/>
        <v>1227068346.99</v>
      </c>
      <c r="P429" s="3300">
        <f t="shared" si="82"/>
        <v>14084146900</v>
      </c>
      <c r="Q429" s="3294">
        <f t="shared" ref="Q429:Q457" si="83">+P429-L429</f>
        <v>213636000</v>
      </c>
      <c r="R429" s="3638">
        <f>+P429/L429*100-100</f>
        <v>1.5402172388617714</v>
      </c>
      <c r="S429" s="3117"/>
      <c r="T429" s="3118">
        <f t="shared" si="80"/>
        <v>4908273387.96</v>
      </c>
    </row>
    <row r="430" spans="1:20" s="257" customFormat="1" ht="15.05" customHeight="1">
      <c r="A430" s="1889">
        <v>4</v>
      </c>
      <c r="B430" s="1889" t="s">
        <v>457</v>
      </c>
      <c r="C430" s="1889" t="s">
        <v>58</v>
      </c>
      <c r="D430" s="1889" t="s">
        <v>457</v>
      </c>
      <c r="E430" s="1905" t="s">
        <v>58</v>
      </c>
      <c r="F430" s="2827" t="s">
        <v>267</v>
      </c>
      <c r="G430" s="2828"/>
      <c r="H430" s="212"/>
      <c r="I430" s="2859"/>
      <c r="J430" s="3214"/>
      <c r="K430" s="3155"/>
      <c r="L430" s="3234">
        <v>0</v>
      </c>
      <c r="M430" s="3198"/>
      <c r="N430" s="3234"/>
      <c r="O430" s="3197"/>
      <c r="P430" s="3234">
        <f>MAR!N457</f>
        <v>0</v>
      </c>
      <c r="Q430" s="3197">
        <f t="shared" si="83"/>
        <v>0</v>
      </c>
      <c r="R430" s="3608">
        <v>0</v>
      </c>
      <c r="S430" s="1900"/>
      <c r="T430" s="1846">
        <f t="shared" si="80"/>
        <v>0</v>
      </c>
    </row>
    <row r="431" spans="1:20" s="2920" customFormat="1" ht="15.05" customHeight="1">
      <c r="A431" s="2985">
        <v>4</v>
      </c>
      <c r="B431" s="2985" t="s">
        <v>457</v>
      </c>
      <c r="C431" s="2985" t="s">
        <v>58</v>
      </c>
      <c r="D431" s="2985" t="s">
        <v>457</v>
      </c>
      <c r="E431" s="2985" t="s">
        <v>460</v>
      </c>
      <c r="F431" s="2986" t="s">
        <v>269</v>
      </c>
      <c r="G431" s="2987"/>
      <c r="H431" s="2988"/>
      <c r="I431" s="2989"/>
      <c r="J431" s="3199">
        <f>J432+J450+J447+J453+J459+J464+J469+J486+J489+J492+J495+J498+J501+J504+J507+J510+J512+J515+J517+J519+J521+J523+J527+J529+J533+J535+J538+J540+J542+J544+J546+J548+J550+J552+J555+J557+J559</f>
        <v>13870510900</v>
      </c>
      <c r="K431" s="3199">
        <f t="shared" ref="K431:P431" si="84">K432+K450+K447+K453+K459+K464+K469+K486+K489+K492+K495+K498+K501+K504+K507+K510+K512+K515+K517+K519+K521+K523+K527+K529+K533+K535+K538+K540+K542+K544+K546+K548+K550+K552+K555+K557+K559</f>
        <v>13001891981.540001</v>
      </c>
      <c r="L431" s="3199">
        <f>L432+O423+L447+L453+L459+L464+L469+L486+L489+L492+L495+L498+L501+L504+L507+L510+L512+L515+L517+L519+L521+L523+L527+L529+L533+L535+L538+L540+L542+L544+L546+L548+L550+L552+L555+L557+L559</f>
        <v>13870510900</v>
      </c>
      <c r="M431" s="3199">
        <f t="shared" si="84"/>
        <v>804203846.99000001</v>
      </c>
      <c r="N431" s="3199">
        <f t="shared" si="84"/>
        <v>422864500</v>
      </c>
      <c r="O431" s="3199">
        <f t="shared" si="84"/>
        <v>1227068346.99</v>
      </c>
      <c r="P431" s="3199">
        <f t="shared" si="84"/>
        <v>14084146900</v>
      </c>
      <c r="Q431" s="3199">
        <f t="shared" si="83"/>
        <v>213636000</v>
      </c>
      <c r="R431" s="3608">
        <f>+P431/L431*100-100</f>
        <v>1.5402172388617714</v>
      </c>
      <c r="S431" s="3120"/>
      <c r="T431" s="2923">
        <f t="shared" si="80"/>
        <v>4908273387.96</v>
      </c>
    </row>
    <row r="432" spans="1:20" s="257" customFormat="1" ht="15.05" customHeight="1">
      <c r="A432" s="1855"/>
      <c r="B432" s="1855"/>
      <c r="C432" s="1855"/>
      <c r="D432" s="1855"/>
      <c r="E432" s="1855"/>
      <c r="F432" s="1464" t="s">
        <v>614</v>
      </c>
      <c r="G432" s="1860"/>
      <c r="H432" s="202"/>
      <c r="I432" s="202"/>
      <c r="J432" s="3259">
        <f>+J433</f>
        <v>4625000</v>
      </c>
      <c r="K432" s="3200">
        <v>0</v>
      </c>
      <c r="L432" s="3182">
        <f>SUM(L433:L434)</f>
        <v>4625000</v>
      </c>
      <c r="M432" s="3183">
        <v>0</v>
      </c>
      <c r="N432" s="3182">
        <f>SUM(N433:N434)</f>
        <v>0</v>
      </c>
      <c r="O432" s="3182">
        <f>N432+M432</f>
        <v>0</v>
      </c>
      <c r="P432" s="3182">
        <v>4625000</v>
      </c>
      <c r="Q432" s="3182">
        <f t="shared" si="83"/>
        <v>0</v>
      </c>
      <c r="R432" s="3601">
        <f>+P432/L432*100-100</f>
        <v>0</v>
      </c>
      <c r="S432" s="1883"/>
      <c r="T432" s="1846">
        <f t="shared" si="80"/>
        <v>0</v>
      </c>
    </row>
    <row r="433" spans="1:20" s="257" customFormat="1" ht="15.05" customHeight="1">
      <c r="A433" s="1855"/>
      <c r="B433" s="1855"/>
      <c r="C433" s="1855"/>
      <c r="D433" s="1855"/>
      <c r="E433" s="1855"/>
      <c r="F433" s="1857" t="s">
        <v>50</v>
      </c>
      <c r="G433" s="1858"/>
      <c r="H433" s="200" t="s">
        <v>615</v>
      </c>
      <c r="I433" s="200"/>
      <c r="J433" s="3215">
        <v>4625000</v>
      </c>
      <c r="K433" s="3301">
        <v>0</v>
      </c>
      <c r="L433" s="3125">
        <v>4625000</v>
      </c>
      <c r="M433" s="3124">
        <v>0</v>
      </c>
      <c r="N433" s="3125">
        <v>0</v>
      </c>
      <c r="O433" s="3125">
        <v>0</v>
      </c>
      <c r="P433" s="3125">
        <v>0</v>
      </c>
      <c r="Q433" s="3125">
        <f t="shared" si="83"/>
        <v>-4625000</v>
      </c>
      <c r="R433" s="3605">
        <f>+P433/L433*100-100</f>
        <v>-100</v>
      </c>
      <c r="S433" s="1876">
        <f>PerDinas!Q637</f>
        <v>0</v>
      </c>
      <c r="T433" s="1846">
        <f t="shared" si="80"/>
        <v>0</v>
      </c>
    </row>
    <row r="434" spans="1:20" s="257" customFormat="1" ht="15.05" customHeight="1">
      <c r="A434" s="1855"/>
      <c r="B434" s="1855"/>
      <c r="C434" s="1855"/>
      <c r="D434" s="1855"/>
      <c r="E434" s="1855"/>
      <c r="F434" s="1857" t="s">
        <v>50</v>
      </c>
      <c r="G434" s="1858"/>
      <c r="H434" s="200" t="s">
        <v>85</v>
      </c>
      <c r="I434" s="200"/>
      <c r="J434" s="3482" t="s">
        <v>700</v>
      </c>
      <c r="K434" s="3302"/>
      <c r="L434" s="3125">
        <f>MAR!J485</f>
        <v>0</v>
      </c>
      <c r="M434" s="3124">
        <v>0</v>
      </c>
      <c r="N434" s="3125">
        <f>MAR!L485</f>
        <v>0</v>
      </c>
      <c r="O434" s="3125">
        <f>MAR!M485</f>
        <v>0</v>
      </c>
      <c r="P434" s="3125">
        <v>0</v>
      </c>
      <c r="Q434" s="3125">
        <f t="shared" si="83"/>
        <v>0</v>
      </c>
      <c r="R434" s="3605">
        <v>0</v>
      </c>
      <c r="S434" s="1876">
        <f>PerDinas!Q638</f>
        <v>0</v>
      </c>
      <c r="T434" s="1846">
        <f t="shared" si="80"/>
        <v>0</v>
      </c>
    </row>
    <row r="435" spans="1:20" s="257" customFormat="1" ht="15.05" hidden="1" customHeight="1">
      <c r="A435" s="1855"/>
      <c r="B435" s="1855"/>
      <c r="C435" s="1855"/>
      <c r="D435" s="1855"/>
      <c r="E435" s="1855"/>
      <c r="F435" s="1464" t="s">
        <v>616</v>
      </c>
      <c r="G435" s="1860"/>
      <c r="H435" s="202"/>
      <c r="I435" s="202"/>
      <c r="J435" s="3259"/>
      <c r="K435" s="3302"/>
      <c r="L435" s="3182">
        <f>L436+L437</f>
        <v>0</v>
      </c>
      <c r="M435" s="3183">
        <v>0</v>
      </c>
      <c r="N435" s="3182">
        <f>N436+N437</f>
        <v>0</v>
      </c>
      <c r="O435" s="3182">
        <f>N435+M435</f>
        <v>0</v>
      </c>
      <c r="P435" s="3182">
        <v>0</v>
      </c>
      <c r="Q435" s="3182">
        <f t="shared" si="83"/>
        <v>0</v>
      </c>
      <c r="R435" s="3601" t="e">
        <f t="shared" ref="R435:R451" si="85">+P435/L435*100-100</f>
        <v>#DIV/0!</v>
      </c>
      <c r="S435" s="1883"/>
      <c r="T435" s="1846">
        <f t="shared" si="80"/>
        <v>0</v>
      </c>
    </row>
    <row r="436" spans="1:20" s="257" customFormat="1" ht="15.05" hidden="1" customHeight="1">
      <c r="A436" s="1855"/>
      <c r="B436" s="1855"/>
      <c r="C436" s="1855"/>
      <c r="D436" s="1855"/>
      <c r="E436" s="1855"/>
      <c r="F436" s="1857" t="s">
        <v>50</v>
      </c>
      <c r="G436" s="1858"/>
      <c r="H436" s="200" t="s">
        <v>85</v>
      </c>
      <c r="I436" s="200"/>
      <c r="J436" s="3215"/>
      <c r="K436" s="3302"/>
      <c r="L436" s="3125">
        <f>MAR!J127</f>
        <v>0</v>
      </c>
      <c r="M436" s="3124">
        <v>0</v>
      </c>
      <c r="N436" s="3125">
        <f>MAR!L127</f>
        <v>0</v>
      </c>
      <c r="O436" s="3125">
        <f>MAR!M127</f>
        <v>0</v>
      </c>
      <c r="P436" s="3125">
        <v>0</v>
      </c>
      <c r="Q436" s="3125">
        <f t="shared" si="83"/>
        <v>0</v>
      </c>
      <c r="R436" s="3605" t="e">
        <f t="shared" si="85"/>
        <v>#DIV/0!</v>
      </c>
      <c r="S436" s="1876">
        <f>PerDinas!Q583</f>
        <v>0</v>
      </c>
      <c r="T436" s="1846">
        <f t="shared" si="80"/>
        <v>0</v>
      </c>
    </row>
    <row r="437" spans="1:20" s="257" customFormat="1" ht="15.05" hidden="1" customHeight="1">
      <c r="A437" s="1855"/>
      <c r="B437" s="1855"/>
      <c r="C437" s="1855"/>
      <c r="D437" s="1855"/>
      <c r="E437" s="1855"/>
      <c r="F437" s="1857"/>
      <c r="G437" s="1858"/>
      <c r="H437" s="200"/>
      <c r="I437" s="200"/>
      <c r="J437" s="3215"/>
      <c r="K437" s="3302"/>
      <c r="L437" s="3125"/>
      <c r="M437" s="3124"/>
      <c r="N437" s="3125"/>
      <c r="O437" s="3125"/>
      <c r="P437" s="3125"/>
      <c r="Q437" s="3125">
        <f t="shared" si="83"/>
        <v>0</v>
      </c>
      <c r="R437" s="3605" t="e">
        <f t="shared" si="85"/>
        <v>#DIV/0!</v>
      </c>
      <c r="S437" s="1881"/>
      <c r="T437" s="1846">
        <f t="shared" si="80"/>
        <v>0</v>
      </c>
    </row>
    <row r="438" spans="1:20" s="257" customFormat="1" ht="15.05" hidden="1" customHeight="1">
      <c r="A438" s="1855"/>
      <c r="B438" s="1855"/>
      <c r="C438" s="1855"/>
      <c r="D438" s="1855"/>
      <c r="E438" s="1855"/>
      <c r="F438" s="1464" t="s">
        <v>617</v>
      </c>
      <c r="G438" s="1860"/>
      <c r="H438" s="202"/>
      <c r="I438" s="202"/>
      <c r="J438" s="3259"/>
      <c r="K438" s="3302"/>
      <c r="L438" s="3182">
        <f>L439</f>
        <v>0</v>
      </c>
      <c r="M438" s="3183">
        <v>0</v>
      </c>
      <c r="N438" s="3182">
        <f>N439</f>
        <v>0</v>
      </c>
      <c r="O438" s="3182">
        <f>N438+M438</f>
        <v>0</v>
      </c>
      <c r="P438" s="3182">
        <v>0</v>
      </c>
      <c r="Q438" s="3182">
        <f t="shared" si="83"/>
        <v>0</v>
      </c>
      <c r="R438" s="3601" t="e">
        <f t="shared" si="85"/>
        <v>#DIV/0!</v>
      </c>
      <c r="S438" s="1883"/>
      <c r="T438" s="1846">
        <f t="shared" si="80"/>
        <v>0</v>
      </c>
    </row>
    <row r="439" spans="1:20" s="257" customFormat="1" ht="15.05" hidden="1" customHeight="1">
      <c r="A439" s="1855"/>
      <c r="B439" s="1855"/>
      <c r="C439" s="1855"/>
      <c r="D439" s="1855"/>
      <c r="E439" s="1855"/>
      <c r="F439" s="1857" t="s">
        <v>50</v>
      </c>
      <c r="G439" s="1858"/>
      <c r="H439" s="200" t="s">
        <v>85</v>
      </c>
      <c r="I439" s="200"/>
      <c r="J439" s="3215"/>
      <c r="K439" s="3302"/>
      <c r="L439" s="3125">
        <f>MAR!J114</f>
        <v>0</v>
      </c>
      <c r="M439" s="3124">
        <v>0</v>
      </c>
      <c r="N439" s="3125">
        <f>MAR!L114</f>
        <v>0</v>
      </c>
      <c r="O439" s="3125">
        <f>MAR!M114</f>
        <v>0</v>
      </c>
      <c r="P439" s="3125">
        <v>0</v>
      </c>
      <c r="Q439" s="3125">
        <f t="shared" si="83"/>
        <v>0</v>
      </c>
      <c r="R439" s="3605" t="e">
        <f t="shared" si="85"/>
        <v>#DIV/0!</v>
      </c>
      <c r="S439" s="1881"/>
      <c r="T439" s="1846">
        <f t="shared" si="80"/>
        <v>0</v>
      </c>
    </row>
    <row r="440" spans="1:20" s="257" customFormat="1" ht="15.05" hidden="1" customHeight="1">
      <c r="A440" s="1855"/>
      <c r="B440" s="1855"/>
      <c r="C440" s="1855"/>
      <c r="D440" s="1855"/>
      <c r="E440" s="1855"/>
      <c r="F440" s="1857"/>
      <c r="G440" s="1858"/>
      <c r="H440" s="2860"/>
      <c r="I440" s="200"/>
      <c r="J440" s="3215"/>
      <c r="K440" s="3302"/>
      <c r="L440" s="3125"/>
      <c r="M440" s="3124"/>
      <c r="N440" s="3125"/>
      <c r="O440" s="3125"/>
      <c r="P440" s="3125"/>
      <c r="Q440" s="3125">
        <f t="shared" si="83"/>
        <v>0</v>
      </c>
      <c r="R440" s="3605" t="e">
        <f t="shared" si="85"/>
        <v>#DIV/0!</v>
      </c>
      <c r="S440" s="1881"/>
      <c r="T440" s="1846">
        <f t="shared" si="80"/>
        <v>0</v>
      </c>
    </row>
    <row r="441" spans="1:20" s="257" customFormat="1" ht="15.05" hidden="1" customHeight="1">
      <c r="A441" s="1855"/>
      <c r="B441" s="1855"/>
      <c r="C441" s="1855"/>
      <c r="D441" s="1855"/>
      <c r="E441" s="1855"/>
      <c r="F441" s="1464" t="s">
        <v>618</v>
      </c>
      <c r="G441" s="1860"/>
      <c r="H441" s="202"/>
      <c r="I441" s="202"/>
      <c r="J441" s="3259"/>
      <c r="K441" s="3302"/>
      <c r="L441" s="3182">
        <f>L442</f>
        <v>0</v>
      </c>
      <c r="M441" s="3183">
        <v>0</v>
      </c>
      <c r="N441" s="3182">
        <f>N442</f>
        <v>0</v>
      </c>
      <c r="O441" s="3182">
        <f>N441+M441</f>
        <v>0</v>
      </c>
      <c r="P441" s="3182">
        <v>0</v>
      </c>
      <c r="Q441" s="3182">
        <f t="shared" si="83"/>
        <v>0</v>
      </c>
      <c r="R441" s="3601" t="e">
        <f t="shared" si="85"/>
        <v>#DIV/0!</v>
      </c>
      <c r="S441" s="1883"/>
      <c r="T441" s="1846">
        <f t="shared" si="80"/>
        <v>0</v>
      </c>
    </row>
    <row r="442" spans="1:20" s="257" customFormat="1" ht="15.05" hidden="1" customHeight="1">
      <c r="A442" s="1855"/>
      <c r="B442" s="1855"/>
      <c r="C442" s="1855"/>
      <c r="D442" s="1855"/>
      <c r="E442" s="1855"/>
      <c r="F442" s="1857" t="s">
        <v>50</v>
      </c>
      <c r="G442" s="1858"/>
      <c r="H442" s="2860" t="s">
        <v>85</v>
      </c>
      <c r="I442" s="200"/>
      <c r="J442" s="3215"/>
      <c r="K442" s="3302"/>
      <c r="L442" s="3125">
        <f>MAR!J76</f>
        <v>0</v>
      </c>
      <c r="M442" s="3124">
        <v>0</v>
      </c>
      <c r="N442" s="3125">
        <f>MAR!L76</f>
        <v>0</v>
      </c>
      <c r="O442" s="3125">
        <f>MAR!M76</f>
        <v>0</v>
      </c>
      <c r="P442" s="3125">
        <v>0</v>
      </c>
      <c r="Q442" s="3125">
        <f t="shared" si="83"/>
        <v>0</v>
      </c>
      <c r="R442" s="3605" t="e">
        <f t="shared" si="85"/>
        <v>#DIV/0!</v>
      </c>
      <c r="S442" s="1876">
        <f>PerDinas!Q138</f>
        <v>0</v>
      </c>
      <c r="T442" s="1846">
        <f t="shared" si="80"/>
        <v>0</v>
      </c>
    </row>
    <row r="443" spans="1:20" s="257" customFormat="1" ht="15.05" hidden="1" customHeight="1">
      <c r="A443" s="1855"/>
      <c r="B443" s="1855"/>
      <c r="C443" s="1855"/>
      <c r="D443" s="1855"/>
      <c r="E443" s="1855"/>
      <c r="F443" s="1857"/>
      <c r="G443" s="1858"/>
      <c r="H443" s="2860"/>
      <c r="I443" s="200"/>
      <c r="J443" s="3215"/>
      <c r="K443" s="3302"/>
      <c r="L443" s="3125"/>
      <c r="M443" s="3124"/>
      <c r="N443" s="3125"/>
      <c r="O443" s="3125"/>
      <c r="P443" s="3125"/>
      <c r="Q443" s="3125">
        <f t="shared" si="83"/>
        <v>0</v>
      </c>
      <c r="R443" s="3605" t="e">
        <f t="shared" si="85"/>
        <v>#DIV/0!</v>
      </c>
      <c r="S443" s="1881"/>
      <c r="T443" s="1846">
        <f t="shared" si="80"/>
        <v>0</v>
      </c>
    </row>
    <row r="444" spans="1:20" s="257" customFormat="1" ht="15.05" hidden="1" customHeight="1">
      <c r="A444" s="1855"/>
      <c r="B444" s="1855"/>
      <c r="C444" s="1855"/>
      <c r="D444" s="1855"/>
      <c r="E444" s="1855"/>
      <c r="F444" s="1464" t="s">
        <v>619</v>
      </c>
      <c r="G444" s="1860"/>
      <c r="H444" s="202"/>
      <c r="I444" s="202"/>
      <c r="J444" s="3259"/>
      <c r="K444" s="3302"/>
      <c r="L444" s="3182">
        <f>L445</f>
        <v>0</v>
      </c>
      <c r="M444" s="3183">
        <v>0</v>
      </c>
      <c r="N444" s="3182">
        <f t="shared" ref="N444:S444" si="86">N445</f>
        <v>0</v>
      </c>
      <c r="O444" s="3182">
        <f t="shared" si="86"/>
        <v>0</v>
      </c>
      <c r="P444" s="3182">
        <v>0</v>
      </c>
      <c r="Q444" s="3182">
        <f t="shared" si="83"/>
        <v>0</v>
      </c>
      <c r="R444" s="3601" t="e">
        <f t="shared" si="85"/>
        <v>#DIV/0!</v>
      </c>
      <c r="S444" s="1877">
        <f t="shared" si="86"/>
        <v>0</v>
      </c>
      <c r="T444" s="1846">
        <f t="shared" si="80"/>
        <v>0</v>
      </c>
    </row>
    <row r="445" spans="1:20" s="257" customFormat="1" ht="15.05" hidden="1" customHeight="1">
      <c r="A445" s="1855"/>
      <c r="B445" s="1855"/>
      <c r="C445" s="1855"/>
      <c r="D445" s="1855"/>
      <c r="E445" s="1855"/>
      <c r="F445" s="1857" t="s">
        <v>50</v>
      </c>
      <c r="G445" s="1858"/>
      <c r="H445" s="2860" t="s">
        <v>472</v>
      </c>
      <c r="I445" s="200"/>
      <c r="J445" s="3215"/>
      <c r="K445" s="3302"/>
      <c r="L445" s="3125">
        <f>MAR!J194</f>
        <v>0</v>
      </c>
      <c r="M445" s="3124">
        <v>0</v>
      </c>
      <c r="N445" s="3125">
        <f>MAR!L194</f>
        <v>0</v>
      </c>
      <c r="O445" s="3125">
        <f>MAR!M194</f>
        <v>0</v>
      </c>
      <c r="P445" s="3125">
        <v>0</v>
      </c>
      <c r="Q445" s="3125">
        <f t="shared" si="83"/>
        <v>0</v>
      </c>
      <c r="R445" s="3605" t="e">
        <f t="shared" si="85"/>
        <v>#DIV/0!</v>
      </c>
      <c r="S445" s="1876">
        <f>PerDinas!Q1090</f>
        <v>0</v>
      </c>
      <c r="T445" s="1846">
        <f t="shared" si="80"/>
        <v>0</v>
      </c>
    </row>
    <row r="446" spans="1:20" s="257" customFormat="1" ht="15.05" hidden="1" customHeight="1">
      <c r="A446" s="1855"/>
      <c r="B446" s="1855"/>
      <c r="C446" s="1855"/>
      <c r="D446" s="1855"/>
      <c r="E446" s="1855"/>
      <c r="F446" s="1857"/>
      <c r="G446" s="1858"/>
      <c r="H446" s="2860"/>
      <c r="I446" s="200"/>
      <c r="J446" s="3215"/>
      <c r="K446" s="3302"/>
      <c r="L446" s="3125"/>
      <c r="M446" s="3124"/>
      <c r="N446" s="3125"/>
      <c r="O446" s="3125"/>
      <c r="P446" s="3125"/>
      <c r="Q446" s="3125">
        <f t="shared" si="83"/>
        <v>0</v>
      </c>
      <c r="R446" s="3605" t="e">
        <f t="shared" si="85"/>
        <v>#DIV/0!</v>
      </c>
      <c r="S446" s="1881"/>
      <c r="T446" s="1846">
        <f t="shared" si="80"/>
        <v>0</v>
      </c>
    </row>
    <row r="447" spans="1:20" s="257" customFormat="1" ht="15.05" customHeight="1">
      <c r="A447" s="1855"/>
      <c r="B447" s="1855"/>
      <c r="C447" s="1855"/>
      <c r="D447" s="1855"/>
      <c r="E447" s="1855"/>
      <c r="F447" s="1464" t="s">
        <v>620</v>
      </c>
      <c r="G447" s="1860"/>
      <c r="H447" s="202"/>
      <c r="I447" s="202"/>
      <c r="J447" s="3259"/>
      <c r="K447" s="3476">
        <f>+K448</f>
        <v>20225025</v>
      </c>
      <c r="L447" s="3182">
        <f>L448+L449</f>
        <v>0</v>
      </c>
      <c r="M447" s="3183">
        <v>0</v>
      </c>
      <c r="N447" s="3182">
        <f>N448+N449</f>
        <v>0</v>
      </c>
      <c r="O447" s="3182">
        <f>N447+M447</f>
        <v>0</v>
      </c>
      <c r="P447" s="3182">
        <v>0</v>
      </c>
      <c r="Q447" s="3182">
        <f t="shared" si="83"/>
        <v>0</v>
      </c>
      <c r="R447" s="3601" t="e">
        <f t="shared" si="85"/>
        <v>#DIV/0!</v>
      </c>
      <c r="S447" s="1883"/>
      <c r="T447" s="1846">
        <f t="shared" si="80"/>
        <v>0</v>
      </c>
    </row>
    <row r="448" spans="1:20" s="257" customFormat="1" ht="15.05" customHeight="1">
      <c r="A448" s="1855"/>
      <c r="B448" s="1855"/>
      <c r="C448" s="1855"/>
      <c r="D448" s="1855"/>
      <c r="E448" s="1855"/>
      <c r="F448" s="1857" t="s">
        <v>50</v>
      </c>
      <c r="G448" s="1858"/>
      <c r="H448" s="200" t="s">
        <v>85</v>
      </c>
      <c r="I448" s="200"/>
      <c r="J448" s="3215"/>
      <c r="K448" s="3303">
        <v>20225025</v>
      </c>
      <c r="L448" s="3125">
        <v>0</v>
      </c>
      <c r="M448" s="3124">
        <v>0</v>
      </c>
      <c r="N448" s="3125">
        <v>0</v>
      </c>
      <c r="O448" s="3125">
        <v>0</v>
      </c>
      <c r="P448" s="3125">
        <v>0</v>
      </c>
      <c r="Q448" s="3125">
        <f t="shared" si="83"/>
        <v>0</v>
      </c>
      <c r="R448" s="3605" t="e">
        <f t="shared" si="85"/>
        <v>#DIV/0!</v>
      </c>
      <c r="S448" s="1876">
        <f>PerDinas!Q586</f>
        <v>0</v>
      </c>
      <c r="T448" s="1846">
        <f t="shared" si="80"/>
        <v>0</v>
      </c>
    </row>
    <row r="449" spans="1:20" s="257" customFormat="1" ht="15.05" hidden="1" customHeight="1">
      <c r="A449" s="1855"/>
      <c r="B449" s="1855"/>
      <c r="C449" s="1855"/>
      <c r="D449" s="1855"/>
      <c r="E449" s="1855"/>
      <c r="F449" s="1857"/>
      <c r="G449" s="1858"/>
      <c r="H449" s="200"/>
      <c r="I449" s="200"/>
      <c r="J449" s="3215"/>
      <c r="K449" s="3302"/>
      <c r="L449" s="3125"/>
      <c r="M449" s="3124"/>
      <c r="N449" s="3125"/>
      <c r="O449" s="3125"/>
      <c r="P449" s="3125"/>
      <c r="Q449" s="3125">
        <f t="shared" si="83"/>
        <v>0</v>
      </c>
      <c r="R449" s="3605" t="e">
        <f t="shared" si="85"/>
        <v>#DIV/0!</v>
      </c>
      <c r="S449" s="1881"/>
      <c r="T449" s="1846">
        <f t="shared" si="80"/>
        <v>0</v>
      </c>
    </row>
    <row r="450" spans="1:20" s="257" customFormat="1" ht="15.05" customHeight="1">
      <c r="A450" s="1855"/>
      <c r="B450" s="1855"/>
      <c r="C450" s="1855"/>
      <c r="D450" s="1855"/>
      <c r="E450" s="1855"/>
      <c r="F450" s="1464" t="s">
        <v>621</v>
      </c>
      <c r="G450" s="1860"/>
      <c r="H450" s="202"/>
      <c r="I450" s="202"/>
      <c r="J450" s="3182">
        <f>J451+J452</f>
        <v>51419400</v>
      </c>
      <c r="K450" s="3182">
        <f>K451+K452</f>
        <v>0</v>
      </c>
      <c r="M450" s="3183">
        <v>0</v>
      </c>
      <c r="N450" s="3182">
        <f>N451+N452</f>
        <v>0</v>
      </c>
      <c r="O450" s="3182">
        <f>N450+M450</f>
        <v>0</v>
      </c>
      <c r="P450" s="3182">
        <v>51419400</v>
      </c>
      <c r="Q450" s="3182">
        <f>+P450-O423</f>
        <v>0</v>
      </c>
      <c r="R450" s="3601">
        <f>+P450/O423*100-100</f>
        <v>0</v>
      </c>
      <c r="S450" s="1883"/>
      <c r="T450" s="1846">
        <f t="shared" si="80"/>
        <v>0</v>
      </c>
    </row>
    <row r="451" spans="1:20" s="257" customFormat="1" ht="15.05" customHeight="1">
      <c r="A451" s="1855"/>
      <c r="B451" s="1855"/>
      <c r="C451" s="1855"/>
      <c r="D451" s="1855"/>
      <c r="E451" s="1855"/>
      <c r="F451" s="1857" t="s">
        <v>50</v>
      </c>
      <c r="G451" s="1858"/>
      <c r="H451" s="200" t="s">
        <v>622</v>
      </c>
      <c r="I451" s="200"/>
      <c r="J451" s="3215">
        <v>51419400</v>
      </c>
      <c r="K451" s="3301">
        <v>0</v>
      </c>
      <c r="L451" s="3125">
        <v>51419400</v>
      </c>
      <c r="M451" s="3124">
        <v>0</v>
      </c>
      <c r="N451" s="3125">
        <v>0</v>
      </c>
      <c r="O451" s="3125">
        <v>0</v>
      </c>
      <c r="P451" s="3125">
        <v>51419400</v>
      </c>
      <c r="Q451" s="3125">
        <f t="shared" si="83"/>
        <v>0</v>
      </c>
      <c r="R451" s="3605">
        <f t="shared" si="85"/>
        <v>0</v>
      </c>
      <c r="S451" s="1876">
        <f>PerDinas!Q589</f>
        <v>0</v>
      </c>
      <c r="T451" s="1846">
        <f t="shared" si="80"/>
        <v>0</v>
      </c>
    </row>
    <row r="452" spans="1:20" s="257" customFormat="1" ht="15.05" customHeight="1">
      <c r="A452" s="1855"/>
      <c r="B452" s="1855"/>
      <c r="C452" s="1855"/>
      <c r="D452" s="1855"/>
      <c r="E452" s="1855"/>
      <c r="F452" s="1857" t="s">
        <v>50</v>
      </c>
      <c r="G452" s="1858"/>
      <c r="H452" s="200" t="s">
        <v>85</v>
      </c>
      <c r="I452" s="200"/>
      <c r="J452" s="3248">
        <v>0</v>
      </c>
      <c r="K452" s="3301">
        <v>0</v>
      </c>
      <c r="L452" s="3125">
        <f>MAR!J209</f>
        <v>0</v>
      </c>
      <c r="M452" s="3124">
        <v>0</v>
      </c>
      <c r="N452" s="3125">
        <f>MAR!L209</f>
        <v>0</v>
      </c>
      <c r="O452" s="3125">
        <f>MAR!M209</f>
        <v>0</v>
      </c>
      <c r="P452" s="3125">
        <v>0</v>
      </c>
      <c r="Q452" s="3125">
        <f t="shared" si="83"/>
        <v>0</v>
      </c>
      <c r="R452" s="3605">
        <v>0</v>
      </c>
      <c r="S452" s="1881"/>
      <c r="T452" s="1846">
        <f t="shared" si="80"/>
        <v>0</v>
      </c>
    </row>
    <row r="453" spans="1:20" s="257" customFormat="1" ht="15.05" customHeight="1">
      <c r="A453" s="1855"/>
      <c r="B453" s="1855"/>
      <c r="C453" s="1855"/>
      <c r="D453" s="1855"/>
      <c r="E453" s="1855"/>
      <c r="F453" s="1464" t="s">
        <v>273</v>
      </c>
      <c r="G453" s="1860"/>
      <c r="H453" s="202"/>
      <c r="I453" s="202"/>
      <c r="J453" s="3259">
        <f>SUM(J454:J457)</f>
        <v>335291000</v>
      </c>
      <c r="K453" s="3259">
        <f>SUM(K454:K457)</f>
        <v>42721830</v>
      </c>
      <c r="L453" s="3259">
        <f>SUM(L454:L457)</f>
        <v>335291000</v>
      </c>
      <c r="M453" s="3183">
        <v>0</v>
      </c>
      <c r="N453" s="3182">
        <f>SUM(N454:N458)</f>
        <v>0</v>
      </c>
      <c r="O453" s="3182">
        <f>N453+M453</f>
        <v>0</v>
      </c>
      <c r="P453" s="3182">
        <v>335291000</v>
      </c>
      <c r="Q453" s="3182">
        <f t="shared" si="83"/>
        <v>0</v>
      </c>
      <c r="R453" s="3601">
        <f>+P453/L453*100-100</f>
        <v>0</v>
      </c>
      <c r="S453" s="1883"/>
      <c r="T453" s="1846">
        <f t="shared" si="80"/>
        <v>0</v>
      </c>
    </row>
    <row r="454" spans="1:20" s="2883" customFormat="1" ht="15.05" customHeight="1">
      <c r="A454" s="2875"/>
      <c r="B454" s="2875"/>
      <c r="C454" s="2875"/>
      <c r="D454" s="2875"/>
      <c r="E454" s="2875"/>
      <c r="F454" s="2877" t="s">
        <v>50</v>
      </c>
      <c r="G454" s="2878"/>
      <c r="H454" s="2879" t="str">
        <f>MAR!I231</f>
        <v>Jasa Pengiriman TKI</v>
      </c>
      <c r="I454" s="3477"/>
      <c r="J454" s="3478">
        <v>55355000</v>
      </c>
      <c r="K454" s="3479">
        <v>4705830</v>
      </c>
      <c r="L454" s="3166">
        <v>55355000</v>
      </c>
      <c r="M454" s="3187">
        <v>0</v>
      </c>
      <c r="N454" s="3166">
        <v>0</v>
      </c>
      <c r="O454" s="3166">
        <v>0</v>
      </c>
      <c r="P454" s="3166">
        <v>55355000</v>
      </c>
      <c r="Q454" s="3166">
        <f t="shared" si="83"/>
        <v>0</v>
      </c>
      <c r="R454" s="3605">
        <f>+P454/L454*100-100</f>
        <v>0</v>
      </c>
      <c r="S454" s="2924">
        <f>PerDinas!Q591</f>
        <v>0</v>
      </c>
      <c r="T454" s="2882">
        <f t="shared" si="80"/>
        <v>0</v>
      </c>
    </row>
    <row r="455" spans="1:20" s="257" customFormat="1" ht="15.05" customHeight="1">
      <c r="A455" s="1855"/>
      <c r="B455" s="1855"/>
      <c r="C455" s="1855"/>
      <c r="D455" s="1855"/>
      <c r="E455" s="1855"/>
      <c r="F455" s="1857" t="s">
        <v>50</v>
      </c>
      <c r="G455" s="1858"/>
      <c r="H455" s="847" t="str">
        <f>MAR!I232</f>
        <v>Hibah Pihak Ketiga</v>
      </c>
      <c r="I455" s="1937"/>
      <c r="J455" s="3478">
        <v>57136000</v>
      </c>
      <c r="K455" s="3304">
        <v>0</v>
      </c>
      <c r="L455" s="3125">
        <v>57136000</v>
      </c>
      <c r="M455" s="3124">
        <v>0</v>
      </c>
      <c r="N455" s="3125">
        <v>0</v>
      </c>
      <c r="O455" s="3125">
        <v>0</v>
      </c>
      <c r="P455" s="3125">
        <v>57136000</v>
      </c>
      <c r="Q455" s="3125">
        <f t="shared" si="83"/>
        <v>0</v>
      </c>
      <c r="R455" s="3605">
        <f>+P455/L455*100-100</f>
        <v>0</v>
      </c>
      <c r="S455" s="1876">
        <f>PerDinas!Q592</f>
        <v>0</v>
      </c>
      <c r="T455" s="1846">
        <f t="shared" si="80"/>
        <v>0</v>
      </c>
    </row>
    <row r="456" spans="1:20" s="257" customFormat="1" ht="15.05" customHeight="1">
      <c r="A456" s="1855"/>
      <c r="B456" s="1855"/>
      <c r="C456" s="1855"/>
      <c r="D456" s="1855"/>
      <c r="E456" s="1855"/>
      <c r="F456" s="1857" t="s">
        <v>50</v>
      </c>
      <c r="G456" s="1858"/>
      <c r="H456" s="847" t="str">
        <f>MAR!I233</f>
        <v>Lain-lain Pendapatan yang sah (BLK)</v>
      </c>
      <c r="I456" s="1937"/>
      <c r="J456" s="3478">
        <v>24760000</v>
      </c>
      <c r="K456" s="3479">
        <v>9600000</v>
      </c>
      <c r="L456" s="3125">
        <v>24760000</v>
      </c>
      <c r="M456" s="3124">
        <v>0</v>
      </c>
      <c r="N456" s="3125">
        <v>0</v>
      </c>
      <c r="O456" s="3125">
        <v>0</v>
      </c>
      <c r="P456" s="3125">
        <v>24760000</v>
      </c>
      <c r="Q456" s="3125">
        <f t="shared" si="83"/>
        <v>0</v>
      </c>
      <c r="R456" s="3605">
        <f>+P456/L456*100-100</f>
        <v>0</v>
      </c>
      <c r="S456" s="1876">
        <f>PerDinas!Q593</f>
        <v>0</v>
      </c>
      <c r="T456" s="1846">
        <f t="shared" si="80"/>
        <v>0</v>
      </c>
    </row>
    <row r="457" spans="1:20" s="257" customFormat="1" ht="15.05" customHeight="1">
      <c r="A457" s="1855"/>
      <c r="B457" s="1855"/>
      <c r="C457" s="1855"/>
      <c r="D457" s="1855"/>
      <c r="E457" s="1855"/>
      <c r="F457" s="1857"/>
      <c r="G457" s="1858"/>
      <c r="H457" s="847" t="str">
        <f>MAR!I234</f>
        <v>Jasa Pelayanan TKI</v>
      </c>
      <c r="I457" s="1938"/>
      <c r="J457" s="3480">
        <v>198040000</v>
      </c>
      <c r="K457" s="3481">
        <v>28416000</v>
      </c>
      <c r="L457" s="3125">
        <v>198040000</v>
      </c>
      <c r="M457" s="3124">
        <v>0</v>
      </c>
      <c r="N457" s="3125">
        <v>0</v>
      </c>
      <c r="O457" s="3125">
        <v>0</v>
      </c>
      <c r="P457" s="3125">
        <v>198040000</v>
      </c>
      <c r="Q457" s="3125">
        <f t="shared" si="83"/>
        <v>0</v>
      </c>
      <c r="R457" s="3605">
        <f>+P457/L457*100-100</f>
        <v>0</v>
      </c>
      <c r="S457" s="1876">
        <v>0</v>
      </c>
      <c r="T457" s="1846">
        <f t="shared" si="80"/>
        <v>0</v>
      </c>
    </row>
    <row r="458" spans="1:20" s="257" customFormat="1" ht="15.05" hidden="1" customHeight="1">
      <c r="A458" s="1855"/>
      <c r="B458" s="1855"/>
      <c r="C458" s="1855"/>
      <c r="D458" s="1855"/>
      <c r="E458" s="1855"/>
      <c r="F458" s="1857"/>
      <c r="G458" s="1858"/>
      <c r="H458" s="847"/>
      <c r="I458" s="1937"/>
      <c r="J458" s="3305"/>
      <c r="K458" s="3304"/>
      <c r="L458" s="3125"/>
      <c r="M458" s="3124"/>
      <c r="N458" s="3125"/>
      <c r="O458" s="3125"/>
      <c r="P458" s="3125"/>
      <c r="Q458" s="3125"/>
      <c r="R458" s="3605"/>
      <c r="S458" s="1876"/>
      <c r="T458" s="1846"/>
    </row>
    <row r="459" spans="1:20" ht="15.05" customHeight="1">
      <c r="A459" s="1855"/>
      <c r="B459" s="1855"/>
      <c r="C459" s="1855"/>
      <c r="D459" s="1855"/>
      <c r="E459" s="1855"/>
      <c r="F459" s="1464" t="s">
        <v>224</v>
      </c>
      <c r="G459" s="1860"/>
      <c r="H459" s="202"/>
      <c r="I459" s="202"/>
      <c r="J459" s="3259">
        <f t="shared" ref="J459:O459" si="87">SUM(J460:J462)</f>
        <v>400714300</v>
      </c>
      <c r="K459" s="3259">
        <f>SUM(K460:K462)</f>
        <v>115089700</v>
      </c>
      <c r="L459" s="3259">
        <f>SUM(L460:L462)</f>
        <v>400714300</v>
      </c>
      <c r="M459" s="3183">
        <v>44168718</v>
      </c>
      <c r="N459" s="3182">
        <f t="shared" si="87"/>
        <v>10589500</v>
      </c>
      <c r="O459" s="3182">
        <f t="shared" si="87"/>
        <v>54758218</v>
      </c>
      <c r="P459" s="3182">
        <v>400714300</v>
      </c>
      <c r="Q459" s="3182">
        <f>+P459-L459</f>
        <v>0</v>
      </c>
      <c r="R459" s="3601">
        <f>+P459/L459*100-100</f>
        <v>0</v>
      </c>
      <c r="S459" s="1883"/>
      <c r="T459" s="1846">
        <f t="shared" ref="T459:T490" si="88">O459*4</f>
        <v>219032872</v>
      </c>
    </row>
    <row r="460" spans="1:20" ht="15.05" customHeight="1">
      <c r="A460" s="1855"/>
      <c r="B460" s="1855"/>
      <c r="C460" s="1855"/>
      <c r="D460" s="1855"/>
      <c r="E460" s="1855"/>
      <c r="F460" s="1857" t="s">
        <v>50</v>
      </c>
      <c r="G460" s="1860"/>
      <c r="H460" s="847" t="str">
        <f>MAR!I252</f>
        <v>Hibah Pihak III</v>
      </c>
      <c r="I460" s="200"/>
      <c r="J460" s="3215">
        <v>63698000</v>
      </c>
      <c r="K460" s="3171">
        <v>27842400</v>
      </c>
      <c r="L460" s="3125">
        <v>63698000</v>
      </c>
      <c r="M460" s="3124">
        <v>4835000</v>
      </c>
      <c r="N460" s="3125">
        <v>0</v>
      </c>
      <c r="O460" s="3125">
        <v>4835000</v>
      </c>
      <c r="P460" s="3125">
        <v>63698000</v>
      </c>
      <c r="Q460" s="3125">
        <f>+P460-L460</f>
        <v>0</v>
      </c>
      <c r="R460" s="3605">
        <f>+P460/L460*100-100</f>
        <v>0</v>
      </c>
      <c r="S460" s="1876">
        <f>PerDinas!Q596</f>
        <v>0</v>
      </c>
      <c r="T460" s="1846">
        <f t="shared" si="88"/>
        <v>19340000</v>
      </c>
    </row>
    <row r="461" spans="1:20" ht="15.05" customHeight="1">
      <c r="A461" s="1855"/>
      <c r="B461" s="1855"/>
      <c r="C461" s="1855"/>
      <c r="D461" s="1855"/>
      <c r="E461" s="1855"/>
      <c r="F461" s="1857" t="s">
        <v>50</v>
      </c>
      <c r="G461" s="1858"/>
      <c r="H461" s="847" t="str">
        <f>MAR!I253</f>
        <v>Jasa Pelayanan Koperasi</v>
      </c>
      <c r="I461" s="200"/>
      <c r="J461" s="3215">
        <v>285233000</v>
      </c>
      <c r="K461" s="3171">
        <v>23875000</v>
      </c>
      <c r="L461" s="3125">
        <v>285233000</v>
      </c>
      <c r="M461" s="3124">
        <v>6750000</v>
      </c>
      <c r="N461" s="3125">
        <v>0</v>
      </c>
      <c r="O461" s="3125">
        <v>6750000</v>
      </c>
      <c r="P461" s="3125">
        <v>285233000</v>
      </c>
      <c r="Q461" s="3125">
        <f>+P461-L461</f>
        <v>0</v>
      </c>
      <c r="R461" s="3605">
        <f>+P461/L461*100-100</f>
        <v>0</v>
      </c>
      <c r="S461" s="1876">
        <f>PerDinas!Q597</f>
        <v>0</v>
      </c>
      <c r="T461" s="1846">
        <f t="shared" si="88"/>
        <v>27000000</v>
      </c>
    </row>
    <row r="462" spans="1:20" ht="15.05" customHeight="1">
      <c r="A462" s="1855"/>
      <c r="B462" s="1855"/>
      <c r="C462" s="1855"/>
      <c r="D462" s="1855"/>
      <c r="E462" s="1855"/>
      <c r="F462" s="1857" t="s">
        <v>50</v>
      </c>
      <c r="G462" s="1858"/>
      <c r="H462" s="847" t="str">
        <f>MAR!I254</f>
        <v>Dana Pembangunan Daerah Kerja</v>
      </c>
      <c r="I462" s="200"/>
      <c r="J462" s="3215">
        <v>51783300</v>
      </c>
      <c r="K462" s="3171">
        <v>63372300</v>
      </c>
      <c r="L462" s="3125">
        <v>51783300</v>
      </c>
      <c r="M462" s="3124">
        <v>32583718</v>
      </c>
      <c r="N462" s="3125">
        <v>10589500</v>
      </c>
      <c r="O462" s="3125">
        <v>43173218</v>
      </c>
      <c r="P462" s="3125">
        <v>51783300</v>
      </c>
      <c r="Q462" s="3125">
        <f>+P462-L462</f>
        <v>0</v>
      </c>
      <c r="R462" s="3605">
        <f>+P462/L462*100-100</f>
        <v>0</v>
      </c>
      <c r="S462" s="1876">
        <f>PerDinas!Q598</f>
        <v>0</v>
      </c>
      <c r="T462" s="1846">
        <f t="shared" si="88"/>
        <v>172692872</v>
      </c>
    </row>
    <row r="463" spans="1:20" ht="15.05" hidden="1" customHeight="1">
      <c r="A463" s="1855"/>
      <c r="B463" s="1855"/>
      <c r="C463" s="1855"/>
      <c r="D463" s="1855"/>
      <c r="E463" s="1855"/>
      <c r="F463" s="1857"/>
      <c r="G463" s="1858"/>
      <c r="H463" s="847"/>
      <c r="I463" s="200"/>
      <c r="J463" s="3215"/>
      <c r="K463" s="3171"/>
      <c r="L463" s="3125"/>
      <c r="M463" s="3124"/>
      <c r="N463" s="3125"/>
      <c r="O463" s="3125"/>
      <c r="P463" s="3125"/>
      <c r="Q463" s="3125"/>
      <c r="R463" s="3605"/>
      <c r="S463" s="1876"/>
      <c r="T463" s="1846">
        <f t="shared" si="88"/>
        <v>0</v>
      </c>
    </row>
    <row r="464" spans="1:20" ht="15.05" customHeight="1">
      <c r="A464" s="1855"/>
      <c r="B464" s="1855"/>
      <c r="C464" s="1855"/>
      <c r="D464" s="1855"/>
      <c r="E464" s="1855"/>
      <c r="F464" s="1464" t="s">
        <v>623</v>
      </c>
      <c r="G464" s="1860"/>
      <c r="H464" s="202"/>
      <c r="I464" s="202"/>
      <c r="J464" s="3259">
        <f>SUM(J465:J467)</f>
        <v>6980745800</v>
      </c>
      <c r="K464" s="3259">
        <f>SUM(K465:K467)</f>
        <v>4930803205</v>
      </c>
      <c r="L464" s="3259">
        <f>SUM(L465:L467)</f>
        <v>6980745800</v>
      </c>
      <c r="M464" s="3183">
        <v>0</v>
      </c>
      <c r="N464" s="3182">
        <f>SUM(N465:N468)</f>
        <v>0</v>
      </c>
      <c r="O464" s="3182">
        <f>N464+M464</f>
        <v>0</v>
      </c>
      <c r="P464" s="3182">
        <v>6980745800</v>
      </c>
      <c r="Q464" s="3182">
        <f>+P464-L464</f>
        <v>0</v>
      </c>
      <c r="R464" s="3601">
        <f>+P464/L464*100-100</f>
        <v>0</v>
      </c>
      <c r="S464" s="1883"/>
      <c r="T464" s="1846">
        <f t="shared" si="88"/>
        <v>0</v>
      </c>
    </row>
    <row r="465" spans="1:20" ht="15.05" customHeight="1">
      <c r="A465" s="1855"/>
      <c r="B465" s="1855"/>
      <c r="C465" s="1855"/>
      <c r="D465" s="1855"/>
      <c r="E465" s="1855"/>
      <c r="F465" s="2861" t="s">
        <v>50</v>
      </c>
      <c r="G465" s="2862"/>
      <c r="H465" s="3464" t="s">
        <v>1191</v>
      </c>
      <c r="I465" s="847"/>
      <c r="J465" s="3306">
        <v>3688800000</v>
      </c>
      <c r="K465" s="3307">
        <v>2120189000</v>
      </c>
      <c r="L465" s="3125">
        <v>3688800000</v>
      </c>
      <c r="M465" s="3124">
        <v>0</v>
      </c>
      <c r="N465" s="3125">
        <v>0</v>
      </c>
      <c r="O465" s="3125">
        <v>0</v>
      </c>
      <c r="P465" s="3125">
        <v>3688800000</v>
      </c>
      <c r="Q465" s="3125">
        <f>+P465-L465</f>
        <v>0</v>
      </c>
      <c r="R465" s="3605">
        <f>+P465/L465*100-100</f>
        <v>0</v>
      </c>
      <c r="S465" s="1881"/>
      <c r="T465" s="1846">
        <f t="shared" si="88"/>
        <v>0</v>
      </c>
    </row>
    <row r="466" spans="1:20" ht="15.05" customHeight="1">
      <c r="A466" s="1855"/>
      <c r="B466" s="1855"/>
      <c r="C466" s="1855"/>
      <c r="D466" s="1855"/>
      <c r="E466" s="1855"/>
      <c r="F466" s="2861" t="s">
        <v>50</v>
      </c>
      <c r="G466" s="2862"/>
      <c r="H466" s="5837" t="s">
        <v>85</v>
      </c>
      <c r="I466" s="5784"/>
      <c r="J466" s="3305">
        <v>0</v>
      </c>
      <c r="K466" s="3438">
        <v>1967138126</v>
      </c>
      <c r="L466" s="3125">
        <v>3291945800</v>
      </c>
      <c r="M466" s="3124">
        <v>0</v>
      </c>
      <c r="N466" s="3125">
        <v>0</v>
      </c>
      <c r="O466" s="3125">
        <v>0</v>
      </c>
      <c r="P466" s="3125">
        <v>3291945800</v>
      </c>
      <c r="Q466" s="3125">
        <f>+P466-L466</f>
        <v>0</v>
      </c>
      <c r="R466" s="3605">
        <f>+P466/L466*100-100</f>
        <v>0</v>
      </c>
      <c r="S466" s="1881"/>
      <c r="T466" s="1846">
        <f t="shared" si="88"/>
        <v>0</v>
      </c>
    </row>
    <row r="467" spans="1:20" s="3475" customFormat="1" ht="15.05" customHeight="1">
      <c r="A467" s="3465"/>
      <c r="B467" s="3465"/>
      <c r="C467" s="3465"/>
      <c r="D467" s="3465"/>
      <c r="E467" s="3465"/>
      <c r="F467" s="3466" t="s">
        <v>50</v>
      </c>
      <c r="G467" s="3467"/>
      <c r="H467" s="3468" t="s">
        <v>624</v>
      </c>
      <c r="I467" s="3468"/>
      <c r="J467" s="3469">
        <v>3291945800</v>
      </c>
      <c r="K467" s="3470">
        <v>843476079</v>
      </c>
      <c r="L467" s="3471"/>
      <c r="M467" s="3472"/>
      <c r="N467" s="3471"/>
      <c r="O467" s="3471"/>
      <c r="P467" s="3471"/>
      <c r="Q467" s="3471">
        <f>+P467-L467</f>
        <v>0</v>
      </c>
      <c r="R467" s="3639">
        <v>0</v>
      </c>
      <c r="S467" s="3473">
        <f>PerDinas!Q587</f>
        <v>0</v>
      </c>
      <c r="T467" s="3474">
        <f t="shared" si="88"/>
        <v>0</v>
      </c>
    </row>
    <row r="468" spans="1:20" ht="15.05" hidden="1" customHeight="1">
      <c r="A468" s="1855"/>
      <c r="B468" s="1855"/>
      <c r="C468" s="1855"/>
      <c r="D468" s="1855"/>
      <c r="E468" s="1855"/>
      <c r="F468" s="2861"/>
      <c r="G468" s="2862"/>
      <c r="H468" s="200"/>
      <c r="I468" s="200"/>
      <c r="J468" s="3215"/>
      <c r="K468" s="3171"/>
      <c r="L468" s="3125"/>
      <c r="M468" s="3124"/>
      <c r="N468" s="3125"/>
      <c r="O468" s="3125"/>
      <c r="P468" s="3125"/>
      <c r="Q468" s="3125"/>
      <c r="R468" s="3605"/>
      <c r="S468" s="1876"/>
      <c r="T468" s="1846">
        <f t="shared" si="88"/>
        <v>0</v>
      </c>
    </row>
    <row r="469" spans="1:20" ht="15.05" customHeight="1">
      <c r="A469" s="1855"/>
      <c r="B469" s="1855"/>
      <c r="C469" s="1855"/>
      <c r="D469" s="1855"/>
      <c r="E469" s="1855"/>
      <c r="F469" s="1464" t="s">
        <v>625</v>
      </c>
      <c r="G469" s="1860"/>
      <c r="H469" s="202"/>
      <c r="I469" s="202"/>
      <c r="J469" s="3259">
        <f>J470</f>
        <v>4562382400</v>
      </c>
      <c r="K469" s="3259">
        <f t="shared" ref="K469:P469" si="89">K470</f>
        <v>4736422507.3400002</v>
      </c>
      <c r="L469" s="3259">
        <f t="shared" si="89"/>
        <v>4562382400</v>
      </c>
      <c r="M469" s="3259">
        <f t="shared" si="89"/>
        <v>733425000</v>
      </c>
      <c r="N469" s="3259">
        <f t="shared" si="89"/>
        <v>411775000</v>
      </c>
      <c r="O469" s="3259">
        <f t="shared" si="89"/>
        <v>1145200000</v>
      </c>
      <c r="P469" s="3259">
        <f t="shared" si="89"/>
        <v>4776018400</v>
      </c>
      <c r="Q469" s="3182">
        <f t="shared" ref="Q469:Q482" si="90">+P469-L469</f>
        <v>213636000</v>
      </c>
      <c r="R469" s="3601">
        <f>+P469/L469*100-100</f>
        <v>4.6825535711342354</v>
      </c>
      <c r="S469" s="1883"/>
      <c r="T469" s="1846">
        <f t="shared" si="88"/>
        <v>4580800000</v>
      </c>
    </row>
    <row r="470" spans="1:20" ht="15.05" customHeight="1">
      <c r="A470" s="1855"/>
      <c r="B470" s="1855"/>
      <c r="C470" s="1855"/>
      <c r="D470" s="1855"/>
      <c r="E470" s="1855"/>
      <c r="F470" s="2830" t="s">
        <v>626</v>
      </c>
      <c r="G470" s="2831"/>
      <c r="H470" s="2322"/>
      <c r="I470" s="2322"/>
      <c r="J470" s="3272">
        <f>J471+J472+J484</f>
        <v>4562382400</v>
      </c>
      <c r="K470" s="3272">
        <f>K471+K472+K484</f>
        <v>4736422507.3400002</v>
      </c>
      <c r="L470" s="3272">
        <f>L471+L472+L484</f>
        <v>4562382400</v>
      </c>
      <c r="M470" s="3272">
        <f>M471+M472+M484</f>
        <v>733425000</v>
      </c>
      <c r="N470" s="3272">
        <f>N471+N472+N484</f>
        <v>411775000</v>
      </c>
      <c r="O470" s="3272">
        <f>O471+O472</f>
        <v>1145200000</v>
      </c>
      <c r="P470" s="3272">
        <f>P471+P472+P484</f>
        <v>4776018400</v>
      </c>
      <c r="Q470" s="3182">
        <f t="shared" si="90"/>
        <v>213636000</v>
      </c>
      <c r="R470" s="3601">
        <f>+P470/L470*100-100</f>
        <v>4.6825535711342354</v>
      </c>
      <c r="S470" s="1881"/>
      <c r="T470" s="1846">
        <f t="shared" si="88"/>
        <v>4580800000</v>
      </c>
    </row>
    <row r="471" spans="1:20" ht="15.05" customHeight="1">
      <c r="A471" s="1855"/>
      <c r="B471" s="1855"/>
      <c r="C471" s="1855"/>
      <c r="D471" s="1855"/>
      <c r="E471" s="1855"/>
      <c r="F471" s="2863"/>
      <c r="G471" s="1858"/>
      <c r="H471" s="2864" t="s">
        <v>627</v>
      </c>
      <c r="I471" s="200"/>
      <c r="J471" s="3215">
        <v>1439364000</v>
      </c>
      <c r="K471" s="3171">
        <v>1630820507.3399999</v>
      </c>
      <c r="L471" s="3125">
        <v>1439364000</v>
      </c>
      <c r="M471" s="3124">
        <v>0</v>
      </c>
      <c r="N471" s="3125">
        <v>0</v>
      </c>
      <c r="O471" s="3125">
        <v>413250000</v>
      </c>
      <c r="P471" s="3125">
        <v>1653000000</v>
      </c>
      <c r="Q471" s="3125">
        <f t="shared" si="90"/>
        <v>213636000</v>
      </c>
      <c r="R471" s="3605">
        <f>+P471/L471*100-100</f>
        <v>14.842388721685424</v>
      </c>
      <c r="S471" s="1876">
        <f>PerDinas!Q610</f>
        <v>0</v>
      </c>
      <c r="T471" s="1846">
        <f t="shared" si="88"/>
        <v>1653000000</v>
      </c>
    </row>
    <row r="472" spans="1:20" s="1839" customFormat="1" ht="15.05" customHeight="1">
      <c r="A472" s="1854"/>
      <c r="B472" s="1854"/>
      <c r="C472" s="1854"/>
      <c r="D472" s="1854"/>
      <c r="E472" s="1854"/>
      <c r="F472" s="1464" t="s">
        <v>50</v>
      </c>
      <c r="G472" s="1860"/>
      <c r="H472" s="202" t="s">
        <v>628</v>
      </c>
      <c r="I472" s="202"/>
      <c r="J472" s="3215">
        <v>3123018400</v>
      </c>
      <c r="K472" s="3123">
        <f>SUM(K473:K482)</f>
        <v>3105602000</v>
      </c>
      <c r="L472" s="3182">
        <v>3123018400</v>
      </c>
      <c r="M472" s="3183">
        <v>457925000</v>
      </c>
      <c r="N472" s="3182">
        <v>274025000</v>
      </c>
      <c r="O472" s="3123">
        <f>SUM(O473:O482)</f>
        <v>731950000</v>
      </c>
      <c r="P472" s="3182">
        <v>3123018400</v>
      </c>
      <c r="Q472" s="3182">
        <f t="shared" si="90"/>
        <v>0</v>
      </c>
      <c r="R472" s="3601">
        <f>+P472/L472*100-100</f>
        <v>0</v>
      </c>
      <c r="S472" s="1883"/>
      <c r="T472" s="1846">
        <f t="shared" si="88"/>
        <v>2927800000</v>
      </c>
    </row>
    <row r="473" spans="1:20" ht="15.05" customHeight="1">
      <c r="A473" s="1855"/>
      <c r="B473" s="1855"/>
      <c r="C473" s="1855"/>
      <c r="D473" s="1855"/>
      <c r="E473" s="1855"/>
      <c r="F473" s="2359"/>
      <c r="G473" s="213"/>
      <c r="H473" s="200" t="str">
        <f>MAR!I567</f>
        <v>Samsat Mataram</v>
      </c>
      <c r="I473" s="200"/>
      <c r="J473" s="3215">
        <v>0</v>
      </c>
      <c r="K473" s="3171">
        <v>687375100</v>
      </c>
      <c r="L473" s="3125">
        <v>3123018400</v>
      </c>
      <c r="M473" s="3124">
        <v>98675000</v>
      </c>
      <c r="N473" s="3125">
        <v>46375000</v>
      </c>
      <c r="O473" s="3125">
        <v>145050000</v>
      </c>
      <c r="P473" s="3125">
        <v>3123018400</v>
      </c>
      <c r="Q473" s="3125">
        <f t="shared" si="90"/>
        <v>0</v>
      </c>
      <c r="R473" s="3601">
        <f>+P473/L473*100-100</f>
        <v>0</v>
      </c>
      <c r="S473" s="1876">
        <f>PerDinas!Q612</f>
        <v>0</v>
      </c>
      <c r="T473" s="1846">
        <f t="shared" si="88"/>
        <v>580200000</v>
      </c>
    </row>
    <row r="474" spans="1:20" ht="15.05" customHeight="1">
      <c r="A474" s="1855"/>
      <c r="B474" s="1855"/>
      <c r="C474" s="1855"/>
      <c r="D474" s="1855"/>
      <c r="E474" s="1855"/>
      <c r="F474" s="2359"/>
      <c r="G474" s="213"/>
      <c r="H474" s="200" t="str">
        <f>MAR!I568</f>
        <v>Samsat Praya</v>
      </c>
      <c r="I474" s="200"/>
      <c r="J474" s="3215">
        <v>0</v>
      </c>
      <c r="K474" s="3171">
        <v>492200000</v>
      </c>
      <c r="L474" s="3125"/>
      <c r="M474" s="3124">
        <v>70250000</v>
      </c>
      <c r="N474" s="3125">
        <v>103425000</v>
      </c>
      <c r="O474" s="3125">
        <v>173675000</v>
      </c>
      <c r="P474" s="3125"/>
      <c r="Q474" s="3125">
        <f t="shared" si="90"/>
        <v>0</v>
      </c>
      <c r="R474" s="3601">
        <v>0</v>
      </c>
      <c r="S474" s="1876">
        <f>PerDinas!Q613</f>
        <v>0</v>
      </c>
      <c r="T474" s="1846">
        <f t="shared" si="88"/>
        <v>694700000</v>
      </c>
    </row>
    <row r="475" spans="1:20" ht="15.05" customHeight="1">
      <c r="A475" s="1855"/>
      <c r="B475" s="1855"/>
      <c r="C475" s="1855"/>
      <c r="D475" s="1855"/>
      <c r="E475" s="1855"/>
      <c r="F475" s="2359"/>
      <c r="G475" s="213"/>
      <c r="H475" s="200" t="str">
        <f>MAR!I569</f>
        <v>Samsat Selong</v>
      </c>
      <c r="I475" s="200"/>
      <c r="J475" s="3215">
        <v>0</v>
      </c>
      <c r="K475" s="3171">
        <v>636475000</v>
      </c>
      <c r="L475" s="3125"/>
      <c r="M475" s="3124">
        <v>95350000</v>
      </c>
      <c r="N475" s="3125">
        <v>42725000</v>
      </c>
      <c r="O475" s="3125">
        <v>138075000</v>
      </c>
      <c r="P475" s="3125"/>
      <c r="Q475" s="3125">
        <f t="shared" si="90"/>
        <v>0</v>
      </c>
      <c r="R475" s="3601">
        <v>0</v>
      </c>
      <c r="S475" s="1876">
        <f>PerDinas!Q614</f>
        <v>0</v>
      </c>
      <c r="T475" s="1846">
        <f t="shared" si="88"/>
        <v>552300000</v>
      </c>
    </row>
    <row r="476" spans="1:20" ht="15.05" customHeight="1">
      <c r="A476" s="1855"/>
      <c r="B476" s="1855"/>
      <c r="C476" s="1855"/>
      <c r="D476" s="1855"/>
      <c r="E476" s="1855"/>
      <c r="F476" s="2359"/>
      <c r="G476" s="213"/>
      <c r="H476" s="200" t="str">
        <f>MAR!I570</f>
        <v>Samsat Sumbawa</v>
      </c>
      <c r="I476" s="200"/>
      <c r="J476" s="3215">
        <v>0</v>
      </c>
      <c r="K476" s="3171">
        <v>262551900</v>
      </c>
      <c r="L476" s="3125"/>
      <c r="M476" s="3124">
        <v>49650000</v>
      </c>
      <c r="N476" s="3125">
        <v>14725000</v>
      </c>
      <c r="O476" s="3125">
        <v>64375000</v>
      </c>
      <c r="P476" s="3125"/>
      <c r="Q476" s="3125">
        <f t="shared" si="90"/>
        <v>0</v>
      </c>
      <c r="R476" s="3601">
        <v>0</v>
      </c>
      <c r="S476" s="1876">
        <f>PerDinas!Q615</f>
        <v>0</v>
      </c>
      <c r="T476" s="1846">
        <f t="shared" si="88"/>
        <v>257500000</v>
      </c>
    </row>
    <row r="477" spans="1:20" ht="15.05" customHeight="1">
      <c r="A477" s="1855"/>
      <c r="B477" s="1855"/>
      <c r="C477" s="1855"/>
      <c r="D477" s="1855"/>
      <c r="E477" s="1855"/>
      <c r="F477" s="2359"/>
      <c r="G477" s="213"/>
      <c r="H477" s="200" t="str">
        <f>MAR!I571</f>
        <v>Samsat Kota Bima</v>
      </c>
      <c r="I477" s="200"/>
      <c r="J477" s="3215">
        <v>0</v>
      </c>
      <c r="K477" s="3171">
        <v>223325000</v>
      </c>
      <c r="L477" s="3125"/>
      <c r="M477" s="3124">
        <v>16975000</v>
      </c>
      <c r="N477" s="3125">
        <v>8525000</v>
      </c>
      <c r="O477" s="3125">
        <v>25500000</v>
      </c>
      <c r="P477" s="3125"/>
      <c r="Q477" s="3125">
        <f t="shared" si="90"/>
        <v>0</v>
      </c>
      <c r="R477" s="3601">
        <v>0</v>
      </c>
      <c r="S477" s="1876">
        <f>PerDinas!Q616</f>
        <v>0</v>
      </c>
      <c r="T477" s="1846">
        <f t="shared" si="88"/>
        <v>102000000</v>
      </c>
    </row>
    <row r="478" spans="1:20" ht="15.05" customHeight="1">
      <c r="A478" s="1855"/>
      <c r="B478" s="1855"/>
      <c r="C478" s="1855"/>
      <c r="D478" s="1855"/>
      <c r="E478" s="1855"/>
      <c r="F478" s="2359"/>
      <c r="G478" s="213"/>
      <c r="H478" s="200" t="str">
        <f>MAR!I572</f>
        <v>Samsat Kab. Bima</v>
      </c>
      <c r="I478" s="200"/>
      <c r="J478" s="3215">
        <v>0</v>
      </c>
      <c r="K478" s="3193">
        <v>0</v>
      </c>
      <c r="L478" s="3125"/>
      <c r="M478" s="3124">
        <v>13000000</v>
      </c>
      <c r="N478" s="3125">
        <v>6250000</v>
      </c>
      <c r="O478" s="3125">
        <v>19250000</v>
      </c>
      <c r="P478" s="3125"/>
      <c r="Q478" s="3125">
        <f t="shared" si="90"/>
        <v>0</v>
      </c>
      <c r="R478" s="3601">
        <v>0</v>
      </c>
      <c r="S478" s="1876">
        <f>PerDinas!Q617</f>
        <v>0</v>
      </c>
      <c r="T478" s="1846">
        <f t="shared" si="88"/>
        <v>77000000</v>
      </c>
    </row>
    <row r="479" spans="1:20" ht="15.05" customHeight="1">
      <c r="A479" s="1855"/>
      <c r="B479" s="1855"/>
      <c r="C479" s="1855"/>
      <c r="D479" s="1855"/>
      <c r="E479" s="1855"/>
      <c r="F479" s="2359"/>
      <c r="G479" s="213"/>
      <c r="H479" s="200" t="str">
        <f>MAR!I573</f>
        <v>Samsat Dompu</v>
      </c>
      <c r="I479" s="200"/>
      <c r="J479" s="3215">
        <v>0</v>
      </c>
      <c r="K479" s="3171">
        <v>93625000</v>
      </c>
      <c r="L479" s="3125"/>
      <c r="M479" s="3124">
        <v>10775000</v>
      </c>
      <c r="N479" s="3125">
        <v>3550000</v>
      </c>
      <c r="O479" s="3125">
        <v>14325000</v>
      </c>
      <c r="P479" s="3125"/>
      <c r="Q479" s="3125">
        <f t="shared" si="90"/>
        <v>0</v>
      </c>
      <c r="R479" s="3601">
        <v>0</v>
      </c>
      <c r="S479" s="1876">
        <f>PerDinas!Q617</f>
        <v>0</v>
      </c>
      <c r="T479" s="1846">
        <f t="shared" si="88"/>
        <v>57300000</v>
      </c>
    </row>
    <row r="480" spans="1:20" ht="15.05" customHeight="1">
      <c r="A480" s="1855"/>
      <c r="B480" s="1855"/>
      <c r="C480" s="1855"/>
      <c r="D480" s="1855"/>
      <c r="E480" s="1855"/>
      <c r="F480" s="2359"/>
      <c r="G480" s="213"/>
      <c r="H480" s="200" t="str">
        <f>MAR!I574</f>
        <v>Samsat Lombok Barat</v>
      </c>
      <c r="I480" s="200"/>
      <c r="J480" s="3215">
        <v>0</v>
      </c>
      <c r="K480" s="3171">
        <v>609400000</v>
      </c>
      <c r="L480" s="3125"/>
      <c r="M480" s="3124">
        <v>85725000</v>
      </c>
      <c r="N480" s="3125">
        <v>40875000</v>
      </c>
      <c r="O480" s="3125">
        <v>126600000</v>
      </c>
      <c r="P480" s="3125"/>
      <c r="Q480" s="3125">
        <f t="shared" si="90"/>
        <v>0</v>
      </c>
      <c r="R480" s="3601">
        <v>0</v>
      </c>
      <c r="S480" s="1876">
        <f>PerDinas!Q618</f>
        <v>0</v>
      </c>
      <c r="T480" s="1846">
        <f t="shared" si="88"/>
        <v>506400000</v>
      </c>
    </row>
    <row r="481" spans="1:29" ht="15.05" customHeight="1">
      <c r="A481" s="1855"/>
      <c r="B481" s="1855"/>
      <c r="C481" s="1855"/>
      <c r="D481" s="1855"/>
      <c r="E481" s="1855"/>
      <c r="F481" s="2359"/>
      <c r="G481" s="213"/>
      <c r="H481" s="200" t="str">
        <f>MAR!I575</f>
        <v>Samsat Sumbawa Barat</v>
      </c>
      <c r="I481" s="200"/>
      <c r="J481" s="3215">
        <v>0</v>
      </c>
      <c r="K481" s="3171">
        <v>100650000</v>
      </c>
      <c r="L481" s="3125"/>
      <c r="M481" s="3124">
        <v>17525000</v>
      </c>
      <c r="N481" s="3125">
        <v>7575000</v>
      </c>
      <c r="O481" s="3125">
        <v>25100000</v>
      </c>
      <c r="P481" s="3125"/>
      <c r="Q481" s="3125">
        <f t="shared" si="90"/>
        <v>0</v>
      </c>
      <c r="R481" s="3601">
        <v>0</v>
      </c>
      <c r="S481" s="1876">
        <f>PerDinas!Q619</f>
        <v>0</v>
      </c>
      <c r="T481" s="1846">
        <f t="shared" si="88"/>
        <v>100400000</v>
      </c>
    </row>
    <row r="482" spans="1:29" ht="15.05" customHeight="1">
      <c r="A482" s="1855"/>
      <c r="B482" s="1855"/>
      <c r="C482" s="1855"/>
      <c r="D482" s="1855"/>
      <c r="E482" s="1855"/>
      <c r="F482" s="2359"/>
      <c r="G482" s="213"/>
      <c r="H482" s="200" t="str">
        <f>MAR!I576</f>
        <v>Samsat Kab.Lombok Utara</v>
      </c>
      <c r="I482" s="200"/>
      <c r="J482" s="3215">
        <v>0</v>
      </c>
      <c r="K482" s="3193">
        <v>0</v>
      </c>
      <c r="L482" s="3125"/>
      <c r="M482" s="3124">
        <v>0</v>
      </c>
      <c r="N482" s="3125">
        <v>0</v>
      </c>
      <c r="O482" s="3125">
        <v>0</v>
      </c>
      <c r="P482" s="3125"/>
      <c r="Q482" s="3125">
        <f t="shared" si="90"/>
        <v>0</v>
      </c>
      <c r="R482" s="3601">
        <v>0</v>
      </c>
      <c r="S482" s="1876">
        <f>PerDinas!Q620</f>
        <v>0</v>
      </c>
      <c r="T482" s="1846">
        <f t="shared" si="88"/>
        <v>0</v>
      </c>
    </row>
    <row r="483" spans="1:29" ht="15.05" hidden="1" customHeight="1">
      <c r="A483" s="1855"/>
      <c r="B483" s="1855"/>
      <c r="C483" s="1855"/>
      <c r="D483" s="1855"/>
      <c r="E483" s="1855"/>
      <c r="F483" s="2359"/>
      <c r="G483" s="213"/>
      <c r="H483" s="200"/>
      <c r="I483" s="200"/>
      <c r="J483" s="3215"/>
      <c r="K483" s="3171"/>
      <c r="L483" s="3125"/>
      <c r="M483" s="3124"/>
      <c r="N483" s="3125"/>
      <c r="O483" s="3125"/>
      <c r="P483" s="3125"/>
      <c r="Q483" s="3125"/>
      <c r="R483" s="3605"/>
      <c r="S483" s="1881"/>
      <c r="T483" s="1846">
        <f t="shared" si="88"/>
        <v>0</v>
      </c>
    </row>
    <row r="484" spans="1:29" s="1839" customFormat="1" ht="15.05" hidden="1" customHeight="1">
      <c r="A484" s="1854"/>
      <c r="B484" s="1854"/>
      <c r="C484" s="1854"/>
      <c r="D484" s="1854"/>
      <c r="E484" s="1854"/>
      <c r="F484" s="1464" t="s">
        <v>50</v>
      </c>
      <c r="G484" s="1860"/>
      <c r="H484" s="202" t="s">
        <v>85</v>
      </c>
      <c r="I484" s="202"/>
      <c r="J484" s="3259"/>
      <c r="K484" s="3123"/>
      <c r="L484" s="3182">
        <f>L485</f>
        <v>0</v>
      </c>
      <c r="M484" s="3183">
        <v>275500000</v>
      </c>
      <c r="N484" s="3182">
        <f>N485</f>
        <v>137750000</v>
      </c>
      <c r="O484" s="3182">
        <f>O485</f>
        <v>413250000</v>
      </c>
      <c r="P484" s="3182">
        <v>0</v>
      </c>
      <c r="Q484" s="3182">
        <f t="shared" ref="Q484:Q515" si="91">+P484-L484</f>
        <v>0</v>
      </c>
      <c r="R484" s="3601">
        <v>0</v>
      </c>
      <c r="S484" s="1883"/>
      <c r="T484" s="1846">
        <f t="shared" si="88"/>
        <v>1653000000</v>
      </c>
    </row>
    <row r="485" spans="1:29" ht="15.05" hidden="1" customHeight="1">
      <c r="A485" s="1855"/>
      <c r="B485" s="1855"/>
      <c r="C485" s="1855"/>
      <c r="D485" s="1855"/>
      <c r="E485" s="1855"/>
      <c r="F485" s="2359"/>
      <c r="G485" s="213"/>
      <c r="H485" s="200" t="s">
        <v>629</v>
      </c>
      <c r="I485" s="200"/>
      <c r="J485" s="3215"/>
      <c r="K485" s="3171"/>
      <c r="L485" s="3125">
        <f>MAR!J562</f>
        <v>0</v>
      </c>
      <c r="M485" s="3124">
        <v>275500000</v>
      </c>
      <c r="N485" s="3125">
        <f>MAR!L562</f>
        <v>137750000</v>
      </c>
      <c r="O485" s="3125">
        <f>MAR!M562</f>
        <v>413250000</v>
      </c>
      <c r="P485" s="3125">
        <v>0</v>
      </c>
      <c r="Q485" s="3125">
        <f t="shared" si="91"/>
        <v>0</v>
      </c>
      <c r="R485" s="3605">
        <v>0</v>
      </c>
      <c r="S485" s="1881"/>
      <c r="T485" s="1846">
        <f t="shared" si="88"/>
        <v>1653000000</v>
      </c>
    </row>
    <row r="486" spans="1:29" ht="15.05" customHeight="1">
      <c r="A486" s="1855"/>
      <c r="B486" s="1855"/>
      <c r="C486" s="1855"/>
      <c r="D486" s="1855"/>
      <c r="E486" s="1855"/>
      <c r="F486" s="2865" t="s">
        <v>630</v>
      </c>
      <c r="G486" s="1860"/>
      <c r="H486" s="202"/>
      <c r="I486" s="202"/>
      <c r="J486" s="3259">
        <v>1508491400</v>
      </c>
      <c r="K486" s="3123">
        <v>37289625</v>
      </c>
      <c r="L486" s="3182">
        <v>1508491400</v>
      </c>
      <c r="M486" s="3183">
        <v>0</v>
      </c>
      <c r="N486" s="3182">
        <v>0</v>
      </c>
      <c r="O486" s="3182">
        <v>0</v>
      </c>
      <c r="P486" s="3182">
        <v>1508491400</v>
      </c>
      <c r="Q486" s="3182">
        <f t="shared" si="91"/>
        <v>0</v>
      </c>
      <c r="R486" s="3601">
        <f t="shared" ref="R486:R491" si="92">+P486/L486*100-100</f>
        <v>0</v>
      </c>
      <c r="S486" s="1883"/>
      <c r="T486" s="1846">
        <f t="shared" si="88"/>
        <v>0</v>
      </c>
    </row>
    <row r="487" spans="1:29" ht="15.05" customHeight="1">
      <c r="A487" s="1855"/>
      <c r="B487" s="1855"/>
      <c r="C487" s="1855"/>
      <c r="D487" s="1855"/>
      <c r="E487" s="1855"/>
      <c r="F487" s="1857" t="s">
        <v>50</v>
      </c>
      <c r="G487" s="1858"/>
      <c r="H487" s="200" t="s">
        <v>85</v>
      </c>
      <c r="I487" s="200"/>
      <c r="J487" s="3215"/>
      <c r="K487" s="3171"/>
      <c r="L487" s="3125">
        <v>1508491400</v>
      </c>
      <c r="M487" s="3124">
        <v>0</v>
      </c>
      <c r="N487" s="3125">
        <v>0</v>
      </c>
      <c r="O487" s="3125">
        <v>0</v>
      </c>
      <c r="P487" s="3125">
        <v>1508491400</v>
      </c>
      <c r="Q487" s="3125">
        <f t="shared" si="91"/>
        <v>0</v>
      </c>
      <c r="R487" s="3605">
        <f t="shared" si="92"/>
        <v>0</v>
      </c>
      <c r="S487" s="1881"/>
      <c r="T487" s="1846">
        <f t="shared" si="88"/>
        <v>0</v>
      </c>
    </row>
    <row r="488" spans="1:29" ht="15.05" hidden="1" customHeight="1">
      <c r="A488" s="1855"/>
      <c r="B488" s="1855"/>
      <c r="C488" s="1855"/>
      <c r="D488" s="1855"/>
      <c r="E488" s="1855"/>
      <c r="F488" s="1857"/>
      <c r="G488" s="1858"/>
      <c r="H488" s="200"/>
      <c r="I488" s="200"/>
      <c r="J488" s="3215"/>
      <c r="K488" s="3171"/>
      <c r="L488" s="3125"/>
      <c r="M488" s="3124"/>
      <c r="N488" s="3125"/>
      <c r="O488" s="3125"/>
      <c r="P488" s="3125"/>
      <c r="Q488" s="3125">
        <f t="shared" si="91"/>
        <v>0</v>
      </c>
      <c r="R488" s="3605" t="e">
        <f t="shared" si="92"/>
        <v>#DIV/0!</v>
      </c>
      <c r="S488" s="1881"/>
      <c r="T488" s="1846">
        <f t="shared" si="88"/>
        <v>0</v>
      </c>
      <c r="AC488" s="1941"/>
    </row>
    <row r="489" spans="1:29" ht="15.05" customHeight="1">
      <c r="A489" s="1855"/>
      <c r="B489" s="1855"/>
      <c r="C489" s="1855"/>
      <c r="D489" s="1855"/>
      <c r="E489" s="1855"/>
      <c r="F489" s="1464" t="s">
        <v>279</v>
      </c>
      <c r="G489" s="1860"/>
      <c r="H489" s="200"/>
      <c r="I489" s="200"/>
      <c r="J489" s="3255">
        <f>J490</f>
        <v>25741600</v>
      </c>
      <c r="K489" s="3256">
        <f>K490</f>
        <v>3610507</v>
      </c>
      <c r="L489" s="3182">
        <v>25741600</v>
      </c>
      <c r="M489" s="3183">
        <v>0</v>
      </c>
      <c r="N489" s="3182">
        <v>0</v>
      </c>
      <c r="O489" s="3182">
        <v>0</v>
      </c>
      <c r="P489" s="3182">
        <v>25741600</v>
      </c>
      <c r="Q489" s="3182">
        <f t="shared" si="91"/>
        <v>0</v>
      </c>
      <c r="R489" s="3601">
        <f t="shared" si="92"/>
        <v>0</v>
      </c>
      <c r="S489" s="1881"/>
      <c r="T489" s="1846">
        <f t="shared" si="88"/>
        <v>0</v>
      </c>
    </row>
    <row r="490" spans="1:29" ht="15.05" customHeight="1">
      <c r="A490" s="1855"/>
      <c r="B490" s="1855"/>
      <c r="C490" s="1855"/>
      <c r="D490" s="1855"/>
      <c r="E490" s="1855"/>
      <c r="F490" s="2756" t="s">
        <v>50</v>
      </c>
      <c r="G490" s="1858" t="s">
        <v>631</v>
      </c>
      <c r="H490" s="200"/>
      <c r="I490" s="200"/>
      <c r="J490" s="3215">
        <v>25741600</v>
      </c>
      <c r="K490" s="3171">
        <v>3610507</v>
      </c>
      <c r="L490" s="3125">
        <v>25741600</v>
      </c>
      <c r="M490" s="3124">
        <v>0</v>
      </c>
      <c r="N490" s="3125">
        <v>0</v>
      </c>
      <c r="O490" s="3125">
        <v>0</v>
      </c>
      <c r="P490" s="3125">
        <v>25741600</v>
      </c>
      <c r="Q490" s="3125">
        <f t="shared" si="91"/>
        <v>0</v>
      </c>
      <c r="R490" s="3605">
        <f t="shared" si="92"/>
        <v>0</v>
      </c>
      <c r="S490" s="1881"/>
      <c r="T490" s="1846">
        <f t="shared" si="88"/>
        <v>0</v>
      </c>
    </row>
    <row r="491" spans="1:29" ht="15.05" hidden="1" customHeight="1">
      <c r="A491" s="1855"/>
      <c r="B491" s="1855"/>
      <c r="C491" s="1855"/>
      <c r="D491" s="1855"/>
      <c r="E491" s="1855"/>
      <c r="F491" s="1857"/>
      <c r="G491" s="1858"/>
      <c r="H491" s="200"/>
      <c r="I491" s="200"/>
      <c r="J491" s="3215"/>
      <c r="K491" s="3171"/>
      <c r="L491" s="3125"/>
      <c r="M491" s="3124"/>
      <c r="N491" s="3125"/>
      <c r="O491" s="3125"/>
      <c r="P491" s="3125"/>
      <c r="Q491" s="3125">
        <f t="shared" si="91"/>
        <v>0</v>
      </c>
      <c r="R491" s="3605" t="e">
        <f t="shared" si="92"/>
        <v>#DIV/0!</v>
      </c>
      <c r="S491" s="1876"/>
      <c r="T491" s="1846">
        <f t="shared" ref="T491:T522" si="93">O491*4</f>
        <v>0</v>
      </c>
    </row>
    <row r="492" spans="1:29" ht="15.05" customHeight="1">
      <c r="A492" s="1855"/>
      <c r="B492" s="1855"/>
      <c r="C492" s="1855"/>
      <c r="D492" s="1855"/>
      <c r="E492" s="1855"/>
      <c r="F492" s="1464" t="s">
        <v>122</v>
      </c>
      <c r="G492" s="1860"/>
      <c r="H492" s="202"/>
      <c r="I492" s="202"/>
      <c r="J492" s="3259"/>
      <c r="K492" s="3123">
        <f>K493</f>
        <v>10539168</v>
      </c>
      <c r="L492" s="3182">
        <v>0</v>
      </c>
      <c r="M492" s="3183">
        <v>140000</v>
      </c>
      <c r="N492" s="3182">
        <v>0</v>
      </c>
      <c r="O492" s="3182">
        <v>140000</v>
      </c>
      <c r="P492" s="3182">
        <v>0</v>
      </c>
      <c r="Q492" s="3182">
        <f t="shared" si="91"/>
        <v>0</v>
      </c>
      <c r="R492" s="3601">
        <v>0</v>
      </c>
      <c r="S492" s="1883"/>
      <c r="T492" s="1846">
        <f t="shared" si="93"/>
        <v>560000</v>
      </c>
    </row>
    <row r="493" spans="1:29" s="1840" customFormat="1" ht="15.05" customHeight="1">
      <c r="A493" s="1855"/>
      <c r="B493" s="1855"/>
      <c r="C493" s="1855"/>
      <c r="D493" s="1855"/>
      <c r="E493" s="1855"/>
      <c r="F493" s="1857" t="s">
        <v>50</v>
      </c>
      <c r="G493" s="1858"/>
      <c r="H493" s="200" t="s">
        <v>632</v>
      </c>
      <c r="I493" s="200"/>
      <c r="J493" s="3215"/>
      <c r="K493" s="3171">
        <v>10539168</v>
      </c>
      <c r="L493" s="3125">
        <v>0</v>
      </c>
      <c r="M493" s="3124">
        <v>140000</v>
      </c>
      <c r="N493" s="3125">
        <v>0</v>
      </c>
      <c r="O493" s="3125">
        <v>140000</v>
      </c>
      <c r="P493" s="3125">
        <v>0</v>
      </c>
      <c r="Q493" s="3125">
        <f t="shared" si="91"/>
        <v>0</v>
      </c>
      <c r="R493" s="3601">
        <v>0</v>
      </c>
      <c r="S493" s="1876">
        <f>PerDinas!Q628</f>
        <v>0</v>
      </c>
      <c r="T493" s="1882">
        <f t="shared" si="93"/>
        <v>560000</v>
      </c>
    </row>
    <row r="494" spans="1:29" ht="15.05" hidden="1" customHeight="1">
      <c r="A494" s="1855"/>
      <c r="B494" s="1855"/>
      <c r="C494" s="1855"/>
      <c r="D494" s="1855"/>
      <c r="E494" s="1855"/>
      <c r="F494" s="1857"/>
      <c r="G494" s="1858"/>
      <c r="H494" s="200"/>
      <c r="I494" s="200"/>
      <c r="J494" s="3215"/>
      <c r="K494" s="3171"/>
      <c r="L494" s="3125"/>
      <c r="M494" s="3124"/>
      <c r="N494" s="3125"/>
      <c r="O494" s="3125"/>
      <c r="P494" s="3125"/>
      <c r="Q494" s="3125">
        <f t="shared" si="91"/>
        <v>0</v>
      </c>
      <c r="R494" s="3601">
        <v>0</v>
      </c>
      <c r="S494" s="1881"/>
      <c r="T494" s="1846">
        <f t="shared" si="93"/>
        <v>0</v>
      </c>
    </row>
    <row r="495" spans="1:29" ht="15.05" customHeight="1">
      <c r="A495" s="1855"/>
      <c r="B495" s="1855"/>
      <c r="C495" s="1855"/>
      <c r="D495" s="1855"/>
      <c r="E495" s="1855"/>
      <c r="F495" s="2874" t="s">
        <v>1192</v>
      </c>
      <c r="G495" s="1860"/>
      <c r="H495" s="200"/>
      <c r="I495" s="200"/>
      <c r="J495" s="3215"/>
      <c r="K495" s="3171">
        <f>K496</f>
        <v>4907140</v>
      </c>
      <c r="L495" s="3182">
        <v>0</v>
      </c>
      <c r="M495" s="3183">
        <v>0</v>
      </c>
      <c r="N495" s="3182">
        <v>0</v>
      </c>
      <c r="O495" s="3182">
        <v>0</v>
      </c>
      <c r="P495" s="3182">
        <v>0</v>
      </c>
      <c r="Q495" s="3182">
        <f t="shared" si="91"/>
        <v>0</v>
      </c>
      <c r="R495" s="3601">
        <v>0</v>
      </c>
      <c r="S495" s="1881"/>
      <c r="T495" s="1846">
        <f t="shared" si="93"/>
        <v>0</v>
      </c>
    </row>
    <row r="496" spans="1:29" ht="15.05" customHeight="1">
      <c r="A496" s="1855"/>
      <c r="B496" s="1855"/>
      <c r="C496" s="1855"/>
      <c r="D496" s="1855"/>
      <c r="E496" s="1855"/>
      <c r="F496" s="1857" t="s">
        <v>50</v>
      </c>
      <c r="G496" s="1858"/>
      <c r="H496" s="200" t="s">
        <v>85</v>
      </c>
      <c r="I496" s="200"/>
      <c r="J496" s="3215"/>
      <c r="K496" s="3171">
        <v>4907140</v>
      </c>
      <c r="L496" s="3125">
        <v>0</v>
      </c>
      <c r="M496" s="3124">
        <v>0</v>
      </c>
      <c r="N496" s="3125">
        <v>0</v>
      </c>
      <c r="O496" s="3125">
        <v>0</v>
      </c>
      <c r="P496" s="3125">
        <v>0</v>
      </c>
      <c r="Q496" s="3125">
        <f t="shared" si="91"/>
        <v>0</v>
      </c>
      <c r="R496" s="3601">
        <v>0</v>
      </c>
      <c r="S496" s="1881"/>
      <c r="T496" s="1846">
        <f t="shared" si="93"/>
        <v>0</v>
      </c>
    </row>
    <row r="497" spans="1:20" ht="15.05" hidden="1" customHeight="1">
      <c r="A497" s="1855"/>
      <c r="B497" s="1855"/>
      <c r="C497" s="1855"/>
      <c r="D497" s="1855"/>
      <c r="E497" s="1855"/>
      <c r="F497" s="1857"/>
      <c r="G497" s="1858"/>
      <c r="H497" s="202"/>
      <c r="I497" s="202"/>
      <c r="J497" s="3259"/>
      <c r="K497" s="3123"/>
      <c r="L497" s="3308"/>
      <c r="M497" s="3309"/>
      <c r="N497" s="3308"/>
      <c r="O497" s="3308"/>
      <c r="P497" s="3308"/>
      <c r="Q497" s="3308">
        <f t="shared" si="91"/>
        <v>0</v>
      </c>
      <c r="R497" s="3601">
        <v>0</v>
      </c>
      <c r="S497" s="1881"/>
      <c r="T497" s="1846">
        <f t="shared" si="93"/>
        <v>0</v>
      </c>
    </row>
    <row r="498" spans="1:20" ht="15.05" customHeight="1">
      <c r="A498" s="1855"/>
      <c r="B498" s="1855"/>
      <c r="C498" s="1855"/>
      <c r="D498" s="1855"/>
      <c r="E498" s="1855"/>
      <c r="F498" s="1464" t="s">
        <v>591</v>
      </c>
      <c r="G498" s="1860"/>
      <c r="H498" s="202"/>
      <c r="I498" s="202"/>
      <c r="J498" s="3259">
        <v>0</v>
      </c>
      <c r="K498" s="3123">
        <v>5742894</v>
      </c>
      <c r="L498" s="3182">
        <v>0</v>
      </c>
      <c r="M498" s="3183">
        <v>0</v>
      </c>
      <c r="N498" s="3182">
        <v>0</v>
      </c>
      <c r="O498" s="3182">
        <v>0</v>
      </c>
      <c r="P498" s="3182">
        <v>0</v>
      </c>
      <c r="Q498" s="3182">
        <f t="shared" si="91"/>
        <v>0</v>
      </c>
      <c r="R498" s="3601">
        <v>0</v>
      </c>
      <c r="S498" s="1883"/>
      <c r="T498" s="1846">
        <f t="shared" si="93"/>
        <v>0</v>
      </c>
    </row>
    <row r="499" spans="1:20" s="1840" customFormat="1" ht="15.05" customHeight="1">
      <c r="A499" s="1855"/>
      <c r="B499" s="1855"/>
      <c r="C499" s="1855"/>
      <c r="D499" s="1855"/>
      <c r="E499" s="1855"/>
      <c r="F499" s="1857" t="s">
        <v>50</v>
      </c>
      <c r="G499" s="1858"/>
      <c r="H499" s="200" t="s">
        <v>632</v>
      </c>
      <c r="I499" s="200"/>
      <c r="J499" s="3215">
        <v>0</v>
      </c>
      <c r="K499" s="3171">
        <v>5742894</v>
      </c>
      <c r="L499" s="3125">
        <v>0</v>
      </c>
      <c r="M499" s="3124">
        <v>0</v>
      </c>
      <c r="N499" s="3125">
        <v>0</v>
      </c>
      <c r="O499" s="3125">
        <v>0</v>
      </c>
      <c r="P499" s="3125">
        <v>0</v>
      </c>
      <c r="Q499" s="3125">
        <f t="shared" si="91"/>
        <v>0</v>
      </c>
      <c r="R499" s="3601">
        <v>0</v>
      </c>
      <c r="S499" s="1876">
        <f>PerDinas!Q630</f>
        <v>0</v>
      </c>
      <c r="T499" s="1882">
        <f t="shared" si="93"/>
        <v>0</v>
      </c>
    </row>
    <row r="500" spans="1:20" ht="15.05" hidden="1" customHeight="1">
      <c r="A500" s="1855"/>
      <c r="B500" s="1855"/>
      <c r="C500" s="1855"/>
      <c r="D500" s="1855"/>
      <c r="E500" s="1855"/>
      <c r="F500" s="1857"/>
      <c r="G500" s="1858"/>
      <c r="H500" s="2329"/>
      <c r="I500" s="200"/>
      <c r="J500" s="3215"/>
      <c r="K500" s="3171"/>
      <c r="L500" s="3125"/>
      <c r="M500" s="3124"/>
      <c r="N500" s="3125"/>
      <c r="O500" s="3125"/>
      <c r="P500" s="3125"/>
      <c r="Q500" s="3125">
        <f t="shared" si="91"/>
        <v>0</v>
      </c>
      <c r="R500" s="3601">
        <v>0</v>
      </c>
      <c r="S500" s="1881"/>
      <c r="T500" s="1846">
        <f t="shared" si="93"/>
        <v>0</v>
      </c>
    </row>
    <row r="501" spans="1:20" ht="15.05" customHeight="1">
      <c r="A501" s="1855"/>
      <c r="B501" s="1855"/>
      <c r="C501" s="1855"/>
      <c r="D501" s="1855"/>
      <c r="E501" s="1855"/>
      <c r="F501" s="2874" t="s">
        <v>1193</v>
      </c>
      <c r="G501" s="1860"/>
      <c r="H501" s="202"/>
      <c r="I501" s="202"/>
      <c r="J501" s="3259">
        <v>0</v>
      </c>
      <c r="K501" s="3200">
        <f>K502</f>
        <v>32700000</v>
      </c>
      <c r="L501" s="3182">
        <v>0</v>
      </c>
      <c r="M501" s="3183">
        <v>0</v>
      </c>
      <c r="N501" s="3182">
        <v>0</v>
      </c>
      <c r="O501" s="3182">
        <v>0</v>
      </c>
      <c r="P501" s="3182">
        <v>0</v>
      </c>
      <c r="Q501" s="3182">
        <f t="shared" si="91"/>
        <v>0</v>
      </c>
      <c r="R501" s="3601">
        <v>0</v>
      </c>
      <c r="S501" s="1883"/>
      <c r="T501" s="1846">
        <f t="shared" si="93"/>
        <v>0</v>
      </c>
    </row>
    <row r="502" spans="1:20" ht="15.05" customHeight="1">
      <c r="A502" s="1855"/>
      <c r="B502" s="1855"/>
      <c r="C502" s="1855"/>
      <c r="D502" s="1855"/>
      <c r="E502" s="1855"/>
      <c r="F502" s="1857" t="s">
        <v>50</v>
      </c>
      <c r="G502" s="1858"/>
      <c r="H502" s="200" t="s">
        <v>632</v>
      </c>
      <c r="I502" s="200"/>
      <c r="J502" s="3215">
        <v>0</v>
      </c>
      <c r="K502" s="3193">
        <v>32700000</v>
      </c>
      <c r="L502" s="3125">
        <v>0</v>
      </c>
      <c r="M502" s="3124">
        <v>0</v>
      </c>
      <c r="N502" s="3125">
        <v>0</v>
      </c>
      <c r="O502" s="3125">
        <v>0</v>
      </c>
      <c r="P502" s="3125">
        <v>0</v>
      </c>
      <c r="Q502" s="3125">
        <f t="shared" si="91"/>
        <v>0</v>
      </c>
      <c r="R502" s="3601">
        <v>0</v>
      </c>
      <c r="S502" s="1876">
        <f>PerDinas!Q631</f>
        <v>0</v>
      </c>
      <c r="T502" s="1846">
        <f t="shared" si="93"/>
        <v>0</v>
      </c>
    </row>
    <row r="503" spans="1:20" ht="15.05" hidden="1" customHeight="1">
      <c r="A503" s="1855"/>
      <c r="B503" s="1855"/>
      <c r="C503" s="1855"/>
      <c r="D503" s="1855"/>
      <c r="E503" s="1855"/>
      <c r="F503" s="1857"/>
      <c r="G503" s="1858"/>
      <c r="H503" s="200"/>
      <c r="I503" s="200"/>
      <c r="J503" s="3215"/>
      <c r="K503" s="3171"/>
      <c r="L503" s="3125"/>
      <c r="M503" s="3124"/>
      <c r="N503" s="3125"/>
      <c r="O503" s="3125"/>
      <c r="P503" s="3125"/>
      <c r="Q503" s="3125">
        <f t="shared" si="91"/>
        <v>0</v>
      </c>
      <c r="R503" s="3601">
        <v>0</v>
      </c>
      <c r="S503" s="1940"/>
      <c r="T503" s="1846">
        <f t="shared" si="93"/>
        <v>0</v>
      </c>
    </row>
    <row r="504" spans="1:20" ht="15.05" customHeight="1">
      <c r="A504" s="1855"/>
      <c r="B504" s="1855"/>
      <c r="C504" s="1855"/>
      <c r="D504" s="1855"/>
      <c r="E504" s="1855"/>
      <c r="F504" s="1464" t="s">
        <v>633</v>
      </c>
      <c r="G504" s="1860"/>
      <c r="H504" s="202"/>
      <c r="I504" s="202"/>
      <c r="J504" s="3259">
        <v>0</v>
      </c>
      <c r="K504" s="3123">
        <v>46795750</v>
      </c>
      <c r="L504" s="3182">
        <v>0</v>
      </c>
      <c r="M504" s="3183">
        <v>720000</v>
      </c>
      <c r="N504" s="3182">
        <v>0</v>
      </c>
      <c r="O504" s="3182">
        <v>720000</v>
      </c>
      <c r="P504" s="3182">
        <v>0</v>
      </c>
      <c r="Q504" s="3182">
        <f t="shared" si="91"/>
        <v>0</v>
      </c>
      <c r="R504" s="3601">
        <v>0</v>
      </c>
      <c r="S504" s="1883"/>
      <c r="T504" s="1846">
        <f t="shared" si="93"/>
        <v>2880000</v>
      </c>
    </row>
    <row r="505" spans="1:20" s="1840" customFormat="1" ht="15.05" customHeight="1">
      <c r="A505" s="1855"/>
      <c r="B505" s="1855"/>
      <c r="C505" s="1855"/>
      <c r="D505" s="1855"/>
      <c r="E505" s="1855"/>
      <c r="F505" s="1857" t="s">
        <v>50</v>
      </c>
      <c r="G505" s="1858"/>
      <c r="H505" s="200" t="s">
        <v>85</v>
      </c>
      <c r="I505" s="200"/>
      <c r="J505" s="3215">
        <v>0</v>
      </c>
      <c r="K505" s="3171">
        <v>46795750</v>
      </c>
      <c r="L505" s="3125">
        <v>0</v>
      </c>
      <c r="M505" s="3124">
        <v>720000</v>
      </c>
      <c r="N505" s="3125">
        <v>0</v>
      </c>
      <c r="O505" s="3125">
        <v>720000</v>
      </c>
      <c r="P505" s="3125">
        <v>0</v>
      </c>
      <c r="Q505" s="3125">
        <f t="shared" si="91"/>
        <v>0</v>
      </c>
      <c r="R505" s="3601">
        <v>0</v>
      </c>
      <c r="S505" s="1876">
        <f>PerDinas!Q624</f>
        <v>0</v>
      </c>
      <c r="T505" s="1882">
        <f t="shared" si="93"/>
        <v>2880000</v>
      </c>
    </row>
    <row r="506" spans="1:20" ht="15.05" hidden="1" customHeight="1">
      <c r="A506" s="1855"/>
      <c r="B506" s="1855"/>
      <c r="C506" s="1855"/>
      <c r="D506" s="1855"/>
      <c r="E506" s="1855"/>
      <c r="F506" s="1857"/>
      <c r="G506" s="1858"/>
      <c r="H506" s="2329"/>
      <c r="I506" s="200"/>
      <c r="J506" s="3215"/>
      <c r="K506" s="3171"/>
      <c r="L506" s="3125"/>
      <c r="M506" s="3124"/>
      <c r="N506" s="3125"/>
      <c r="O506" s="3125"/>
      <c r="P506" s="3125"/>
      <c r="Q506" s="3125">
        <f t="shared" si="91"/>
        <v>0</v>
      </c>
      <c r="R506" s="3601">
        <v>0</v>
      </c>
      <c r="S506" s="1881"/>
      <c r="T506" s="1846">
        <f t="shared" si="93"/>
        <v>0</v>
      </c>
    </row>
    <row r="507" spans="1:20" ht="15.05" customHeight="1">
      <c r="A507" s="1855"/>
      <c r="B507" s="1855"/>
      <c r="C507" s="1855"/>
      <c r="D507" s="1855"/>
      <c r="E507" s="1855"/>
      <c r="F507" s="1464" t="s">
        <v>634</v>
      </c>
      <c r="G507" s="1860"/>
      <c r="H507" s="202"/>
      <c r="I507" s="202"/>
      <c r="J507" s="3259">
        <v>0</v>
      </c>
      <c r="K507" s="3123">
        <v>6050000</v>
      </c>
      <c r="L507" s="3182">
        <v>0</v>
      </c>
      <c r="M507" s="3183">
        <v>0</v>
      </c>
      <c r="N507" s="3182">
        <v>0</v>
      </c>
      <c r="O507" s="3182">
        <v>0</v>
      </c>
      <c r="P507" s="3182">
        <v>0</v>
      </c>
      <c r="Q507" s="3182">
        <f t="shared" si="91"/>
        <v>0</v>
      </c>
      <c r="R507" s="3601">
        <v>0</v>
      </c>
      <c r="S507" s="1883"/>
      <c r="T507" s="1846">
        <f t="shared" si="93"/>
        <v>0</v>
      </c>
    </row>
    <row r="508" spans="1:20" s="1840" customFormat="1" ht="15.05" customHeight="1">
      <c r="A508" s="1855"/>
      <c r="B508" s="1855"/>
      <c r="C508" s="1855"/>
      <c r="D508" s="1855"/>
      <c r="E508" s="1855"/>
      <c r="F508" s="1857" t="s">
        <v>50</v>
      </c>
      <c r="G508" s="1858"/>
      <c r="H508" s="200" t="s">
        <v>635</v>
      </c>
      <c r="I508" s="200"/>
      <c r="J508" s="3215">
        <v>0</v>
      </c>
      <c r="K508" s="3171">
        <v>6050000</v>
      </c>
      <c r="L508" s="3125">
        <v>0</v>
      </c>
      <c r="M508" s="3124">
        <v>0</v>
      </c>
      <c r="N508" s="3125">
        <v>0</v>
      </c>
      <c r="O508" s="3125">
        <v>0</v>
      </c>
      <c r="P508" s="3125">
        <v>0</v>
      </c>
      <c r="Q508" s="3125">
        <f t="shared" si="91"/>
        <v>0</v>
      </c>
      <c r="R508" s="3601">
        <v>0</v>
      </c>
      <c r="S508" s="1876">
        <f>PerDinas!Q626</f>
        <v>0</v>
      </c>
      <c r="T508" s="1882">
        <f t="shared" si="93"/>
        <v>0</v>
      </c>
    </row>
    <row r="509" spans="1:20" ht="15.05" customHeight="1">
      <c r="A509" s="1855"/>
      <c r="B509" s="1855"/>
      <c r="C509" s="1855"/>
      <c r="D509" s="1855"/>
      <c r="E509" s="1855"/>
      <c r="F509" s="1857" t="s">
        <v>50</v>
      </c>
      <c r="G509" s="1858"/>
      <c r="H509" s="200" t="s">
        <v>85</v>
      </c>
      <c r="I509" s="200"/>
      <c r="J509" s="3215">
        <v>0</v>
      </c>
      <c r="K509" s="3171">
        <v>0</v>
      </c>
      <c r="L509" s="3125">
        <v>0</v>
      </c>
      <c r="M509" s="3124">
        <v>0</v>
      </c>
      <c r="N509" s="3125">
        <v>0</v>
      </c>
      <c r="O509" s="3125">
        <v>0</v>
      </c>
      <c r="P509" s="3125">
        <v>0</v>
      </c>
      <c r="Q509" s="3125">
        <f t="shared" si="91"/>
        <v>0</v>
      </c>
      <c r="R509" s="3601">
        <v>0</v>
      </c>
      <c r="S509" s="1881"/>
      <c r="T509" s="1846">
        <f t="shared" si="93"/>
        <v>0</v>
      </c>
    </row>
    <row r="510" spans="1:20" ht="15.05" customHeight="1">
      <c r="A510" s="1855"/>
      <c r="B510" s="1855"/>
      <c r="C510" s="1855"/>
      <c r="D510" s="1855"/>
      <c r="E510" s="1855"/>
      <c r="F510" s="1464" t="s">
        <v>579</v>
      </c>
      <c r="G510" s="1860"/>
      <c r="H510" s="202"/>
      <c r="I510" s="202"/>
      <c r="J510" s="3259">
        <v>0</v>
      </c>
      <c r="K510" s="3123">
        <v>0</v>
      </c>
      <c r="L510" s="3182">
        <v>0</v>
      </c>
      <c r="M510" s="3183">
        <v>0</v>
      </c>
      <c r="N510" s="3182">
        <v>0</v>
      </c>
      <c r="O510" s="3182">
        <v>0</v>
      </c>
      <c r="P510" s="3182">
        <v>0</v>
      </c>
      <c r="Q510" s="3182">
        <f t="shared" si="91"/>
        <v>0</v>
      </c>
      <c r="R510" s="3601">
        <v>0</v>
      </c>
      <c r="S510" s="1883"/>
      <c r="T510" s="1846">
        <f t="shared" si="93"/>
        <v>0</v>
      </c>
    </row>
    <row r="511" spans="1:20" ht="15.05" customHeight="1">
      <c r="A511" s="1855"/>
      <c r="B511" s="1855"/>
      <c r="C511" s="1855"/>
      <c r="D511" s="1855"/>
      <c r="E511" s="1855"/>
      <c r="F511" s="1857" t="s">
        <v>50</v>
      </c>
      <c r="G511" s="1858"/>
      <c r="H511" s="200" t="s">
        <v>85</v>
      </c>
      <c r="I511" s="200"/>
      <c r="J511" s="3215">
        <v>0</v>
      </c>
      <c r="K511" s="3171">
        <v>0</v>
      </c>
      <c r="L511" s="3125">
        <v>0</v>
      </c>
      <c r="M511" s="3124">
        <v>0</v>
      </c>
      <c r="N511" s="3125">
        <v>0</v>
      </c>
      <c r="O511" s="3125">
        <v>0</v>
      </c>
      <c r="P511" s="3125">
        <v>0</v>
      </c>
      <c r="Q511" s="3125">
        <f t="shared" si="91"/>
        <v>0</v>
      </c>
      <c r="R511" s="3601">
        <v>0</v>
      </c>
      <c r="S511" s="1876">
        <f>PerDinas!Q1066</f>
        <v>0</v>
      </c>
      <c r="T511" s="1846">
        <f t="shared" si="93"/>
        <v>0</v>
      </c>
    </row>
    <row r="512" spans="1:20" ht="15.05" customHeight="1">
      <c r="A512" s="1855"/>
      <c r="B512" s="1855"/>
      <c r="C512" s="1855"/>
      <c r="D512" s="1855"/>
      <c r="E512" s="1855"/>
      <c r="F512" s="1464" t="s">
        <v>570</v>
      </c>
      <c r="G512" s="1860"/>
      <c r="H512" s="202"/>
      <c r="I512" s="202"/>
      <c r="J512" s="3259">
        <v>0</v>
      </c>
      <c r="K512" s="3123">
        <v>90592600</v>
      </c>
      <c r="L512" s="3182">
        <v>0</v>
      </c>
      <c r="M512" s="3183">
        <v>10809500</v>
      </c>
      <c r="N512" s="3182">
        <v>0</v>
      </c>
      <c r="O512" s="3182">
        <v>10809500</v>
      </c>
      <c r="P512" s="3182">
        <v>0</v>
      </c>
      <c r="Q512" s="3182">
        <f t="shared" si="91"/>
        <v>0</v>
      </c>
      <c r="R512" s="3601">
        <v>0</v>
      </c>
      <c r="S512" s="1883"/>
      <c r="T512" s="1846">
        <f t="shared" si="93"/>
        <v>43238000</v>
      </c>
    </row>
    <row r="513" spans="1:20" s="1840" customFormat="1" ht="15.05" customHeight="1">
      <c r="A513" s="1855"/>
      <c r="B513" s="1855"/>
      <c r="C513" s="1855"/>
      <c r="D513" s="1855"/>
      <c r="E513" s="1855"/>
      <c r="F513" s="1857" t="s">
        <v>50</v>
      </c>
      <c r="G513" s="1858"/>
      <c r="H513" s="200" t="s">
        <v>85</v>
      </c>
      <c r="I513" s="200"/>
      <c r="J513" s="3215">
        <v>0</v>
      </c>
      <c r="K513" s="3171">
        <v>90592600</v>
      </c>
      <c r="L513" s="3125">
        <v>0</v>
      </c>
      <c r="M513" s="3124">
        <v>10809500</v>
      </c>
      <c r="N513" s="3125">
        <v>0</v>
      </c>
      <c r="O513" s="3125">
        <v>10809500</v>
      </c>
      <c r="P513" s="3125">
        <v>0</v>
      </c>
      <c r="Q513" s="3125">
        <f t="shared" si="91"/>
        <v>0</v>
      </c>
      <c r="R513" s="3601">
        <v>0</v>
      </c>
      <c r="S513" s="1876">
        <f>PerDinas!Q633</f>
        <v>0</v>
      </c>
      <c r="T513" s="1882">
        <f t="shared" si="93"/>
        <v>43238000</v>
      </c>
    </row>
    <row r="514" spans="1:20" ht="15.05" hidden="1" customHeight="1">
      <c r="A514" s="1855"/>
      <c r="B514" s="1855"/>
      <c r="C514" s="1855"/>
      <c r="D514" s="1855"/>
      <c r="E514" s="1855"/>
      <c r="F514" s="1857"/>
      <c r="G514" s="1858"/>
      <c r="H514" s="200"/>
      <c r="I514" s="200"/>
      <c r="J514" s="3215"/>
      <c r="K514" s="3171"/>
      <c r="L514" s="3125"/>
      <c r="M514" s="3124"/>
      <c r="N514" s="3125"/>
      <c r="O514" s="3125"/>
      <c r="P514" s="3125"/>
      <c r="Q514" s="3125">
        <f t="shared" si="91"/>
        <v>0</v>
      </c>
      <c r="R514" s="3601">
        <v>0</v>
      </c>
      <c r="S514" s="1881"/>
      <c r="T514" s="1846">
        <f t="shared" si="93"/>
        <v>0</v>
      </c>
    </row>
    <row r="515" spans="1:20" ht="15.05" customHeight="1">
      <c r="A515" s="1855"/>
      <c r="B515" s="1855"/>
      <c r="C515" s="1855"/>
      <c r="D515" s="1855"/>
      <c r="E515" s="1855"/>
      <c r="F515" s="2825" t="s">
        <v>636</v>
      </c>
      <c r="G515" s="1860"/>
      <c r="H515" s="202"/>
      <c r="I515" s="202"/>
      <c r="J515" s="3259"/>
      <c r="K515" s="3123"/>
      <c r="L515" s="3182">
        <v>0</v>
      </c>
      <c r="M515" s="3183">
        <v>0</v>
      </c>
      <c r="N515" s="3182">
        <v>0</v>
      </c>
      <c r="O515" s="3182">
        <v>0</v>
      </c>
      <c r="P515" s="3182">
        <v>0</v>
      </c>
      <c r="Q515" s="3182">
        <f t="shared" si="91"/>
        <v>0</v>
      </c>
      <c r="R515" s="3601">
        <v>0</v>
      </c>
      <c r="S515" s="1883"/>
      <c r="T515" s="1846">
        <f t="shared" si="93"/>
        <v>0</v>
      </c>
    </row>
    <row r="516" spans="1:20" ht="15.05" customHeight="1">
      <c r="A516" s="1855"/>
      <c r="B516" s="1855"/>
      <c r="C516" s="1855"/>
      <c r="D516" s="1855"/>
      <c r="E516" s="1855"/>
      <c r="F516" s="1857" t="s">
        <v>50</v>
      </c>
      <c r="G516" s="1858"/>
      <c r="H516" s="200" t="s">
        <v>631</v>
      </c>
      <c r="I516" s="200"/>
      <c r="J516" s="3215"/>
      <c r="K516" s="3171"/>
      <c r="L516" s="3125">
        <v>0</v>
      </c>
      <c r="M516" s="3124">
        <v>0</v>
      </c>
      <c r="N516" s="3125">
        <v>0</v>
      </c>
      <c r="O516" s="3125">
        <v>0</v>
      </c>
      <c r="P516" s="3125">
        <v>0</v>
      </c>
      <c r="Q516" s="3125">
        <f t="shared" ref="Q516:Q547" si="94">+P516-L516</f>
        <v>0</v>
      </c>
      <c r="R516" s="3601">
        <v>0</v>
      </c>
      <c r="S516" s="1876">
        <f>PerDinas!Q56</f>
        <v>0</v>
      </c>
      <c r="T516" s="1846">
        <f t="shared" si="93"/>
        <v>0</v>
      </c>
    </row>
    <row r="517" spans="1:20" ht="15.05" customHeight="1">
      <c r="A517" s="1855"/>
      <c r="B517" s="1855"/>
      <c r="C517" s="1855"/>
      <c r="D517" s="1855"/>
      <c r="E517" s="1855"/>
      <c r="F517" s="1464" t="s">
        <v>637</v>
      </c>
      <c r="G517" s="1860"/>
      <c r="H517" s="202"/>
      <c r="I517" s="202"/>
      <c r="J517" s="3259"/>
      <c r="K517" s="3123"/>
      <c r="L517" s="3182">
        <v>0</v>
      </c>
      <c r="M517" s="3183">
        <v>0</v>
      </c>
      <c r="N517" s="3182">
        <v>0</v>
      </c>
      <c r="O517" s="3182">
        <v>0</v>
      </c>
      <c r="P517" s="3182">
        <v>0</v>
      </c>
      <c r="Q517" s="3182">
        <f t="shared" si="94"/>
        <v>0</v>
      </c>
      <c r="R517" s="3601">
        <v>0</v>
      </c>
      <c r="S517" s="1883"/>
      <c r="T517" s="1846">
        <f t="shared" si="93"/>
        <v>0</v>
      </c>
    </row>
    <row r="518" spans="1:20" ht="15.05" customHeight="1">
      <c r="A518" s="1855"/>
      <c r="B518" s="1855"/>
      <c r="C518" s="1855"/>
      <c r="D518" s="1855"/>
      <c r="E518" s="1855"/>
      <c r="F518" s="1857" t="s">
        <v>50</v>
      </c>
      <c r="G518" s="1858"/>
      <c r="H518" s="200" t="s">
        <v>85</v>
      </c>
      <c r="I518" s="200"/>
      <c r="J518" s="3215"/>
      <c r="K518" s="3171"/>
      <c r="L518" s="3125">
        <v>0</v>
      </c>
      <c r="M518" s="3124">
        <v>0</v>
      </c>
      <c r="N518" s="3125">
        <v>0</v>
      </c>
      <c r="O518" s="3125">
        <v>0</v>
      </c>
      <c r="P518" s="3125">
        <v>0</v>
      </c>
      <c r="Q518" s="3125">
        <f t="shared" si="94"/>
        <v>0</v>
      </c>
      <c r="R518" s="3601">
        <v>0</v>
      </c>
      <c r="S518" s="1881"/>
      <c r="T518" s="1846">
        <f t="shared" si="93"/>
        <v>0</v>
      </c>
    </row>
    <row r="519" spans="1:20" ht="15.05" customHeight="1">
      <c r="A519" s="1855"/>
      <c r="B519" s="1855"/>
      <c r="C519" s="1855"/>
      <c r="D519" s="1855"/>
      <c r="E519" s="1855"/>
      <c r="F519" s="1464" t="s">
        <v>638</v>
      </c>
      <c r="G519" s="1860"/>
      <c r="H519" s="202"/>
      <c r="I519" s="202"/>
      <c r="J519" s="3259"/>
      <c r="K519" s="3123"/>
      <c r="L519" s="3182">
        <v>0</v>
      </c>
      <c r="M519" s="3183">
        <v>0</v>
      </c>
      <c r="N519" s="3182">
        <v>0</v>
      </c>
      <c r="O519" s="3182">
        <v>0</v>
      </c>
      <c r="P519" s="3182">
        <v>0</v>
      </c>
      <c r="Q519" s="3182">
        <f t="shared" si="94"/>
        <v>0</v>
      </c>
      <c r="R519" s="3601">
        <v>0</v>
      </c>
      <c r="S519" s="1883"/>
      <c r="T519" s="1846">
        <f t="shared" si="93"/>
        <v>0</v>
      </c>
    </row>
    <row r="520" spans="1:20" ht="15.05" customHeight="1">
      <c r="A520" s="1855"/>
      <c r="B520" s="1855"/>
      <c r="C520" s="1855"/>
      <c r="D520" s="1855"/>
      <c r="E520" s="1855"/>
      <c r="F520" s="1857" t="s">
        <v>50</v>
      </c>
      <c r="G520" s="1858"/>
      <c r="H520" s="200" t="s">
        <v>85</v>
      </c>
      <c r="I520" s="200"/>
      <c r="J520" s="3215"/>
      <c r="K520" s="3171"/>
      <c r="L520" s="3125"/>
      <c r="M520" s="3124"/>
      <c r="N520" s="3125"/>
      <c r="O520" s="3125"/>
      <c r="P520" s="3125"/>
      <c r="Q520" s="3125">
        <f t="shared" si="94"/>
        <v>0</v>
      </c>
      <c r="R520" s="3601">
        <v>0</v>
      </c>
      <c r="S520" s="1881"/>
      <c r="T520" s="1846">
        <f t="shared" si="93"/>
        <v>0</v>
      </c>
    </row>
    <row r="521" spans="1:20" ht="15.05" customHeight="1">
      <c r="A521" s="1855"/>
      <c r="B521" s="1855"/>
      <c r="C521" s="1855"/>
      <c r="D521" s="1855"/>
      <c r="E521" s="1855"/>
      <c r="F521" s="1464" t="s">
        <v>639</v>
      </c>
      <c r="G521" s="1860"/>
      <c r="H521" s="202"/>
      <c r="I521" s="202"/>
      <c r="J521" s="3259"/>
      <c r="K521" s="3123"/>
      <c r="L521" s="3182">
        <v>0</v>
      </c>
      <c r="M521" s="3183">
        <v>0</v>
      </c>
      <c r="N521" s="3182">
        <v>0</v>
      </c>
      <c r="O521" s="3182">
        <v>0</v>
      </c>
      <c r="P521" s="3182">
        <v>0</v>
      </c>
      <c r="Q521" s="3182">
        <f t="shared" si="94"/>
        <v>0</v>
      </c>
      <c r="R521" s="3601">
        <v>0</v>
      </c>
      <c r="S521" s="1883"/>
      <c r="T521" s="1846">
        <f t="shared" si="93"/>
        <v>0</v>
      </c>
    </row>
    <row r="522" spans="1:20" ht="15.05" customHeight="1">
      <c r="A522" s="1855"/>
      <c r="B522" s="1855"/>
      <c r="C522" s="1855"/>
      <c r="D522" s="1855"/>
      <c r="E522" s="1855"/>
      <c r="F522" s="1857" t="s">
        <v>50</v>
      </c>
      <c r="G522" s="1858"/>
      <c r="H522" s="200" t="s">
        <v>640</v>
      </c>
      <c r="I522" s="200"/>
      <c r="J522" s="3215"/>
      <c r="K522" s="3171"/>
      <c r="L522" s="3125">
        <v>0</v>
      </c>
      <c r="M522" s="3124">
        <v>0</v>
      </c>
      <c r="N522" s="3125">
        <v>0</v>
      </c>
      <c r="O522" s="3125">
        <v>0</v>
      </c>
      <c r="P522" s="3125">
        <v>0</v>
      </c>
      <c r="Q522" s="3125">
        <f t="shared" si="94"/>
        <v>0</v>
      </c>
      <c r="R522" s="3601">
        <v>0</v>
      </c>
      <c r="S522" s="1876">
        <f>PerDinas!Q606</f>
        <v>0</v>
      </c>
      <c r="T522" s="1846">
        <f t="shared" si="93"/>
        <v>0</v>
      </c>
    </row>
    <row r="523" spans="1:20" ht="15.05" customHeight="1">
      <c r="A523" s="1855"/>
      <c r="B523" s="1855"/>
      <c r="C523" s="1855"/>
      <c r="D523" s="1855"/>
      <c r="E523" s="1855"/>
      <c r="F523" s="1464" t="s">
        <v>641</v>
      </c>
      <c r="G523" s="1860"/>
      <c r="H523" s="202"/>
      <c r="I523" s="202"/>
      <c r="J523" s="3259"/>
      <c r="K523" s="3123"/>
      <c r="L523" s="3182">
        <v>0</v>
      </c>
      <c r="M523" s="3183">
        <v>0</v>
      </c>
      <c r="N523" s="3182">
        <v>0</v>
      </c>
      <c r="O523" s="3182">
        <v>0</v>
      </c>
      <c r="P523" s="3182">
        <v>0</v>
      </c>
      <c r="Q523" s="3182">
        <f t="shared" si="94"/>
        <v>0</v>
      </c>
      <c r="R523" s="3601">
        <v>0</v>
      </c>
      <c r="S523" s="1883"/>
      <c r="T523" s="1846">
        <f t="shared" ref="T523:T554" si="95">O523*4</f>
        <v>0</v>
      </c>
    </row>
    <row r="524" spans="1:20" ht="15.05" customHeight="1">
      <c r="A524" s="1855"/>
      <c r="B524" s="1855"/>
      <c r="C524" s="1855"/>
      <c r="D524" s="1855"/>
      <c r="E524" s="1855"/>
      <c r="F524" s="1857" t="s">
        <v>50</v>
      </c>
      <c r="G524" s="1858"/>
      <c r="H524" s="200" t="s">
        <v>85</v>
      </c>
      <c r="I524" s="200"/>
      <c r="J524" s="3215"/>
      <c r="K524" s="3171"/>
      <c r="L524" s="3125">
        <v>0</v>
      </c>
      <c r="M524" s="3124">
        <v>0</v>
      </c>
      <c r="N524" s="3125">
        <v>0</v>
      </c>
      <c r="O524" s="3125">
        <v>0</v>
      </c>
      <c r="P524" s="3125">
        <v>0</v>
      </c>
      <c r="Q524" s="3125">
        <f t="shared" si="94"/>
        <v>0</v>
      </c>
      <c r="R524" s="3601">
        <v>0</v>
      </c>
      <c r="S524" s="1881"/>
      <c r="T524" s="1846">
        <f t="shared" si="95"/>
        <v>0</v>
      </c>
    </row>
    <row r="525" spans="1:20" ht="15.05" hidden="1" customHeight="1">
      <c r="A525" s="1855"/>
      <c r="B525" s="1855"/>
      <c r="C525" s="1855"/>
      <c r="D525" s="1855"/>
      <c r="E525" s="1855"/>
      <c r="F525" s="1464" t="s">
        <v>642</v>
      </c>
      <c r="G525" s="1860"/>
      <c r="H525" s="202"/>
      <c r="I525" s="202"/>
      <c r="J525" s="3259"/>
      <c r="K525" s="3123"/>
      <c r="L525" s="3182">
        <v>0</v>
      </c>
      <c r="M525" s="3183">
        <v>0</v>
      </c>
      <c r="N525" s="3182">
        <v>0</v>
      </c>
      <c r="O525" s="3182">
        <v>0</v>
      </c>
      <c r="P525" s="3182">
        <v>0</v>
      </c>
      <c r="Q525" s="3182">
        <f t="shared" si="94"/>
        <v>0</v>
      </c>
      <c r="R525" s="3601">
        <v>0</v>
      </c>
      <c r="S525" s="1883"/>
      <c r="T525" s="1846">
        <f t="shared" si="95"/>
        <v>0</v>
      </c>
    </row>
    <row r="526" spans="1:20" ht="15.05" hidden="1" customHeight="1">
      <c r="A526" s="1855"/>
      <c r="B526" s="1855"/>
      <c r="C526" s="1855"/>
      <c r="D526" s="1855"/>
      <c r="E526" s="1855"/>
      <c r="F526" s="1857"/>
      <c r="G526" s="1858"/>
      <c r="H526" s="200"/>
      <c r="I526" s="200"/>
      <c r="J526" s="3215"/>
      <c r="K526" s="3171"/>
      <c r="L526" s="3125"/>
      <c r="M526" s="3124"/>
      <c r="N526" s="3125"/>
      <c r="O526" s="3125"/>
      <c r="P526" s="3125"/>
      <c r="Q526" s="3125">
        <f t="shared" si="94"/>
        <v>0</v>
      </c>
      <c r="R526" s="3601">
        <v>0</v>
      </c>
      <c r="S526" s="1881"/>
      <c r="T526" s="1846">
        <f t="shared" si="95"/>
        <v>0</v>
      </c>
    </row>
    <row r="527" spans="1:20" ht="15.05" customHeight="1">
      <c r="A527" s="1855"/>
      <c r="B527" s="1855"/>
      <c r="C527" s="1855"/>
      <c r="D527" s="1855"/>
      <c r="E527" s="1855"/>
      <c r="F527" s="1464" t="s">
        <v>643</v>
      </c>
      <c r="G527" s="1860"/>
      <c r="H527" s="202"/>
      <c r="I527" s="202"/>
      <c r="J527" s="3259">
        <v>1100000</v>
      </c>
      <c r="K527" s="3123">
        <v>0</v>
      </c>
      <c r="L527" s="3182">
        <v>1100000</v>
      </c>
      <c r="M527" s="3183">
        <v>0</v>
      </c>
      <c r="N527" s="3182">
        <v>0</v>
      </c>
      <c r="O527" s="3182">
        <v>0</v>
      </c>
      <c r="P527" s="3182">
        <v>1100000</v>
      </c>
      <c r="Q527" s="3182">
        <f t="shared" si="94"/>
        <v>0</v>
      </c>
      <c r="R527" s="3601">
        <v>0</v>
      </c>
      <c r="S527" s="1883"/>
      <c r="T527" s="1846">
        <f t="shared" si="95"/>
        <v>0</v>
      </c>
    </row>
    <row r="528" spans="1:20" s="1840" customFormat="1" ht="15.05" customHeight="1">
      <c r="A528" s="1855"/>
      <c r="B528" s="1855"/>
      <c r="C528" s="1855"/>
      <c r="D528" s="1855"/>
      <c r="E528" s="1855"/>
      <c r="F528" s="1857" t="s">
        <v>50</v>
      </c>
      <c r="G528" s="1858"/>
      <c r="H528" s="200" t="s">
        <v>85</v>
      </c>
      <c r="I528" s="200"/>
      <c r="J528" s="3215">
        <v>1100000</v>
      </c>
      <c r="K528" s="3171">
        <v>0</v>
      </c>
      <c r="L528" s="3125">
        <v>1100000</v>
      </c>
      <c r="M528" s="3124">
        <v>0</v>
      </c>
      <c r="N528" s="3125">
        <v>0</v>
      </c>
      <c r="O528" s="3125">
        <v>0</v>
      </c>
      <c r="P528" s="3125">
        <v>1100000</v>
      </c>
      <c r="Q528" s="3125">
        <f t="shared" si="94"/>
        <v>0</v>
      </c>
      <c r="R528" s="3601">
        <v>0</v>
      </c>
      <c r="S528" s="1876">
        <f>PerDinas!Q601</f>
        <v>0</v>
      </c>
      <c r="T528" s="1882">
        <f t="shared" si="95"/>
        <v>0</v>
      </c>
    </row>
    <row r="529" spans="1:20" ht="15.05" customHeight="1">
      <c r="A529" s="1855"/>
      <c r="B529" s="1855"/>
      <c r="C529" s="1855"/>
      <c r="D529" s="1855"/>
      <c r="E529" s="1855"/>
      <c r="F529" s="1464" t="s">
        <v>62</v>
      </c>
      <c r="G529" s="1860"/>
      <c r="H529" s="202"/>
      <c r="I529" s="202"/>
      <c r="J529" s="3259"/>
      <c r="K529" s="3123"/>
      <c r="L529" s="3182">
        <v>0</v>
      </c>
      <c r="M529" s="3183">
        <v>0</v>
      </c>
      <c r="N529" s="3182">
        <v>0</v>
      </c>
      <c r="O529" s="3182">
        <v>0</v>
      </c>
      <c r="P529" s="3182">
        <v>0</v>
      </c>
      <c r="Q529" s="3182">
        <f t="shared" si="94"/>
        <v>0</v>
      </c>
      <c r="R529" s="3601">
        <v>0</v>
      </c>
      <c r="S529" s="1883"/>
      <c r="T529" s="1846">
        <f t="shared" si="95"/>
        <v>0</v>
      </c>
    </row>
    <row r="530" spans="1:20" ht="15.05" customHeight="1">
      <c r="A530" s="1855"/>
      <c r="B530" s="1855"/>
      <c r="C530" s="1855"/>
      <c r="D530" s="1855"/>
      <c r="E530" s="1855"/>
      <c r="F530" s="1857" t="s">
        <v>50</v>
      </c>
      <c r="G530" s="1858"/>
      <c r="H530" s="200" t="s">
        <v>85</v>
      </c>
      <c r="I530" s="200"/>
      <c r="J530" s="3215"/>
      <c r="K530" s="3171"/>
      <c r="L530" s="3125">
        <v>0</v>
      </c>
      <c r="M530" s="3124">
        <v>0</v>
      </c>
      <c r="N530" s="3125">
        <v>0</v>
      </c>
      <c r="O530" s="3125">
        <v>0</v>
      </c>
      <c r="P530" s="3125">
        <v>0</v>
      </c>
      <c r="Q530" s="3125">
        <f t="shared" si="94"/>
        <v>0</v>
      </c>
      <c r="R530" s="3601">
        <v>0</v>
      </c>
      <c r="S530" s="1876">
        <f>PerDinas!Q600</f>
        <v>0</v>
      </c>
      <c r="T530" s="1846">
        <f t="shared" si="95"/>
        <v>0</v>
      </c>
    </row>
    <row r="531" spans="1:20" ht="15.05" hidden="1" customHeight="1">
      <c r="A531" s="1855"/>
      <c r="B531" s="1855"/>
      <c r="C531" s="1855"/>
      <c r="D531" s="1855"/>
      <c r="E531" s="1855"/>
      <c r="F531" s="1857" t="s">
        <v>50</v>
      </c>
      <c r="G531" s="1858"/>
      <c r="H531" s="200"/>
      <c r="I531" s="1939"/>
      <c r="J531" s="3310"/>
      <c r="K531" s="3311"/>
      <c r="L531" s="3125"/>
      <c r="M531" s="3124"/>
      <c r="N531" s="3125"/>
      <c r="O531" s="3125"/>
      <c r="P531" s="3125"/>
      <c r="Q531" s="3125">
        <f t="shared" si="94"/>
        <v>0</v>
      </c>
      <c r="R531" s="3601">
        <v>0</v>
      </c>
      <c r="S531" s="1876">
        <f>PerDinas!Q388</f>
        <v>0</v>
      </c>
      <c r="T531" s="1846">
        <f t="shared" si="95"/>
        <v>0</v>
      </c>
    </row>
    <row r="532" spans="1:20" ht="15.05" hidden="1" customHeight="1">
      <c r="A532" s="1855"/>
      <c r="B532" s="1855"/>
      <c r="C532" s="1855"/>
      <c r="D532" s="1855"/>
      <c r="E532" s="1855"/>
      <c r="F532" s="1857"/>
      <c r="G532" s="1858"/>
      <c r="H532" s="200"/>
      <c r="I532" s="1939"/>
      <c r="J532" s="3310"/>
      <c r="K532" s="3311"/>
      <c r="L532" s="3125"/>
      <c r="M532" s="3124"/>
      <c r="N532" s="3125"/>
      <c r="O532" s="3125"/>
      <c r="P532" s="3125"/>
      <c r="Q532" s="3125">
        <f t="shared" si="94"/>
        <v>0</v>
      </c>
      <c r="R532" s="3601">
        <v>0</v>
      </c>
      <c r="S532" s="1884"/>
      <c r="T532" s="1846">
        <f t="shared" si="95"/>
        <v>0</v>
      </c>
    </row>
    <row r="533" spans="1:20" ht="15.05" customHeight="1">
      <c r="A533" s="1855"/>
      <c r="B533" s="1855"/>
      <c r="C533" s="1855"/>
      <c r="D533" s="1855"/>
      <c r="E533" s="1855"/>
      <c r="F533" s="1464" t="s">
        <v>580</v>
      </c>
      <c r="G533" s="1860"/>
      <c r="H533" s="202"/>
      <c r="I533" s="202"/>
      <c r="J533" s="3259"/>
      <c r="K533" s="3123"/>
      <c r="L533" s="3182">
        <v>0</v>
      </c>
      <c r="M533" s="3183">
        <v>0</v>
      </c>
      <c r="N533" s="3182">
        <v>0</v>
      </c>
      <c r="O533" s="3182">
        <v>0</v>
      </c>
      <c r="P533" s="3182">
        <v>0</v>
      </c>
      <c r="Q533" s="3182">
        <f t="shared" si="94"/>
        <v>0</v>
      </c>
      <c r="R533" s="3601">
        <v>0</v>
      </c>
      <c r="S533" s="1883"/>
      <c r="T533" s="1846">
        <f t="shared" si="95"/>
        <v>0</v>
      </c>
    </row>
    <row r="534" spans="1:20" ht="15.05" customHeight="1">
      <c r="A534" s="1855"/>
      <c r="B534" s="1855"/>
      <c r="C534" s="1855"/>
      <c r="D534" s="1855"/>
      <c r="E534" s="1855"/>
      <c r="F534" s="1857" t="s">
        <v>50</v>
      </c>
      <c r="G534" s="1858"/>
      <c r="H534" s="200" t="s">
        <v>85</v>
      </c>
      <c r="I534" s="200"/>
      <c r="J534" s="3215"/>
      <c r="K534" s="3171"/>
      <c r="L534" s="3125">
        <v>0</v>
      </c>
      <c r="M534" s="3124">
        <v>0</v>
      </c>
      <c r="N534" s="3125">
        <v>0</v>
      </c>
      <c r="O534" s="3125">
        <v>0</v>
      </c>
      <c r="P534" s="3125">
        <v>0</v>
      </c>
      <c r="Q534" s="3125">
        <f t="shared" si="94"/>
        <v>0</v>
      </c>
      <c r="R534" s="3601">
        <v>0</v>
      </c>
      <c r="S534" s="1876">
        <f>PerDinas!Q607</f>
        <v>0</v>
      </c>
      <c r="T534" s="1846">
        <f t="shared" si="95"/>
        <v>0</v>
      </c>
    </row>
    <row r="535" spans="1:20" ht="15.05" customHeight="1">
      <c r="A535" s="1855"/>
      <c r="B535" s="1855"/>
      <c r="C535" s="1855"/>
      <c r="D535" s="1855"/>
      <c r="E535" s="1855"/>
      <c r="F535" s="1464" t="s">
        <v>644</v>
      </c>
      <c r="G535" s="1860"/>
      <c r="H535" s="202"/>
      <c r="I535" s="202"/>
      <c r="J535" s="3259">
        <v>0</v>
      </c>
      <c r="K535" s="3123">
        <v>13894000</v>
      </c>
      <c r="L535" s="3182">
        <v>0</v>
      </c>
      <c r="M535" s="3183">
        <v>0</v>
      </c>
      <c r="N535" s="3182">
        <v>0</v>
      </c>
      <c r="O535" s="3182">
        <v>0</v>
      </c>
      <c r="P535" s="3182">
        <v>0</v>
      </c>
      <c r="Q535" s="3182">
        <f t="shared" si="94"/>
        <v>0</v>
      </c>
      <c r="R535" s="3601">
        <v>0</v>
      </c>
      <c r="S535" s="1883"/>
      <c r="T535" s="1846">
        <f t="shared" si="95"/>
        <v>0</v>
      </c>
    </row>
    <row r="536" spans="1:20" s="1840" customFormat="1" ht="15.05" customHeight="1">
      <c r="A536" s="1855"/>
      <c r="B536" s="1855"/>
      <c r="C536" s="1855"/>
      <c r="D536" s="1855"/>
      <c r="E536" s="1855"/>
      <c r="F536" s="1857" t="s">
        <v>50</v>
      </c>
      <c r="G536" s="1858" t="s">
        <v>624</v>
      </c>
      <c r="H536" s="200"/>
      <c r="I536" s="200"/>
      <c r="J536" s="3215">
        <v>0</v>
      </c>
      <c r="K536" s="3171">
        <v>13894000</v>
      </c>
      <c r="L536" s="3125"/>
      <c r="M536" s="3124"/>
      <c r="N536" s="3125"/>
      <c r="O536" s="3125"/>
      <c r="P536" s="3125"/>
      <c r="Q536" s="3125">
        <f t="shared" si="94"/>
        <v>0</v>
      </c>
      <c r="R536" s="3601">
        <v>0</v>
      </c>
      <c r="S536" s="1876"/>
      <c r="T536" s="1882">
        <f t="shared" si="95"/>
        <v>0</v>
      </c>
    </row>
    <row r="537" spans="1:20" ht="15.05" hidden="1" customHeight="1">
      <c r="A537" s="1855"/>
      <c r="B537" s="1855"/>
      <c r="C537" s="1855"/>
      <c r="D537" s="1855"/>
      <c r="E537" s="1855"/>
      <c r="F537" s="1857"/>
      <c r="G537" s="1858"/>
      <c r="H537" s="200"/>
      <c r="I537" s="200"/>
      <c r="J537" s="3215"/>
      <c r="K537" s="3171"/>
      <c r="L537" s="3125"/>
      <c r="M537" s="3124"/>
      <c r="N537" s="3125"/>
      <c r="O537" s="3125"/>
      <c r="P537" s="3125"/>
      <c r="Q537" s="3125">
        <f t="shared" si="94"/>
        <v>0</v>
      </c>
      <c r="R537" s="3601">
        <v>0</v>
      </c>
      <c r="S537" s="1881"/>
      <c r="T537" s="1846">
        <f t="shared" si="95"/>
        <v>0</v>
      </c>
    </row>
    <row r="538" spans="1:20" ht="15.05" customHeight="1">
      <c r="A538" s="1855"/>
      <c r="B538" s="1855"/>
      <c r="C538" s="1855"/>
      <c r="D538" s="1855"/>
      <c r="E538" s="1855"/>
      <c r="F538" s="1464" t="s">
        <v>571</v>
      </c>
      <c r="G538" s="1860"/>
      <c r="H538" s="202"/>
      <c r="I538" s="202"/>
      <c r="J538" s="3259">
        <v>0</v>
      </c>
      <c r="K538" s="3123">
        <v>99530000</v>
      </c>
      <c r="L538" s="3182">
        <v>0</v>
      </c>
      <c r="M538" s="3183">
        <v>14027628.99</v>
      </c>
      <c r="N538" s="3182">
        <v>500000</v>
      </c>
      <c r="O538" s="3182">
        <v>14527628.99</v>
      </c>
      <c r="P538" s="3182">
        <v>0</v>
      </c>
      <c r="Q538" s="3182">
        <f t="shared" si="94"/>
        <v>0</v>
      </c>
      <c r="R538" s="3601">
        <v>0</v>
      </c>
      <c r="S538" s="1883"/>
      <c r="T538" s="1846">
        <f t="shared" si="95"/>
        <v>58110515.960000001</v>
      </c>
    </row>
    <row r="539" spans="1:20" s="1840" customFormat="1" ht="15.05" customHeight="1">
      <c r="A539" s="1855"/>
      <c r="B539" s="1855"/>
      <c r="C539" s="1855"/>
      <c r="D539" s="1855"/>
      <c r="E539" s="1855"/>
      <c r="F539" s="1857" t="s">
        <v>50</v>
      </c>
      <c r="G539" s="1858"/>
      <c r="H539" s="200" t="s">
        <v>85</v>
      </c>
      <c r="I539" s="200"/>
      <c r="J539" s="3215">
        <v>0</v>
      </c>
      <c r="K539" s="3171">
        <v>99530000</v>
      </c>
      <c r="L539" s="3125">
        <v>0</v>
      </c>
      <c r="M539" s="3124">
        <v>14027628.99</v>
      </c>
      <c r="N539" s="3125">
        <v>500000</v>
      </c>
      <c r="O539" s="3125">
        <v>14527628.99</v>
      </c>
      <c r="P539" s="3125">
        <v>0</v>
      </c>
      <c r="Q539" s="3125">
        <f t="shared" si="94"/>
        <v>0</v>
      </c>
      <c r="R539" s="3601">
        <v>0</v>
      </c>
      <c r="S539" s="1876">
        <f>PerDinas!Q584</f>
        <v>0</v>
      </c>
      <c r="T539" s="1882">
        <f t="shared" si="95"/>
        <v>58110515.960000001</v>
      </c>
    </row>
    <row r="540" spans="1:20" ht="15.05" customHeight="1">
      <c r="A540" s="1855"/>
      <c r="B540" s="1855"/>
      <c r="C540" s="1855"/>
      <c r="D540" s="1855"/>
      <c r="E540" s="1855"/>
      <c r="F540" s="1464" t="s">
        <v>645</v>
      </c>
      <c r="G540" s="1860"/>
      <c r="H540" s="202"/>
      <c r="I540" s="202"/>
      <c r="J540" s="3259">
        <v>0</v>
      </c>
      <c r="K540" s="3123">
        <v>0</v>
      </c>
      <c r="L540" s="3182">
        <v>0</v>
      </c>
      <c r="M540" s="3183">
        <v>0</v>
      </c>
      <c r="N540" s="3182">
        <v>0</v>
      </c>
      <c r="O540" s="3182">
        <v>0</v>
      </c>
      <c r="P540" s="3182">
        <v>0</v>
      </c>
      <c r="Q540" s="3182">
        <f t="shared" si="94"/>
        <v>0</v>
      </c>
      <c r="R540" s="3601">
        <v>0</v>
      </c>
      <c r="S540" s="1883"/>
      <c r="T540" s="1846">
        <f t="shared" si="95"/>
        <v>0</v>
      </c>
    </row>
    <row r="541" spans="1:20" ht="15.05" customHeight="1">
      <c r="A541" s="1855"/>
      <c r="B541" s="1855"/>
      <c r="C541" s="1855"/>
      <c r="D541" s="1855"/>
      <c r="E541" s="1855"/>
      <c r="F541" s="1857" t="s">
        <v>50</v>
      </c>
      <c r="G541" s="1858"/>
      <c r="H541" s="200" t="s">
        <v>85</v>
      </c>
      <c r="I541" s="200"/>
      <c r="J541" s="3215">
        <v>0</v>
      </c>
      <c r="K541" s="3171">
        <v>0</v>
      </c>
      <c r="L541" s="3125">
        <v>0</v>
      </c>
      <c r="M541" s="3124">
        <v>0</v>
      </c>
      <c r="N541" s="3125">
        <v>0</v>
      </c>
      <c r="O541" s="3125">
        <v>0</v>
      </c>
      <c r="P541" s="3125">
        <v>0</v>
      </c>
      <c r="Q541" s="3125">
        <f t="shared" si="94"/>
        <v>0</v>
      </c>
      <c r="R541" s="3601">
        <v>0</v>
      </c>
      <c r="S541" s="1881"/>
      <c r="T541" s="1846">
        <f t="shared" si="95"/>
        <v>0</v>
      </c>
    </row>
    <row r="542" spans="1:20" ht="15.05" customHeight="1">
      <c r="A542" s="1855"/>
      <c r="B542" s="1855"/>
      <c r="C542" s="1855"/>
      <c r="D542" s="1855"/>
      <c r="E542" s="1855"/>
      <c r="F542" s="1464" t="s">
        <v>113</v>
      </c>
      <c r="G542" s="1860"/>
      <c r="H542" s="202"/>
      <c r="I542" s="202"/>
      <c r="J542" s="3259">
        <v>0</v>
      </c>
      <c r="K542" s="3123">
        <v>3588000</v>
      </c>
      <c r="L542" s="3182">
        <v>0</v>
      </c>
      <c r="M542" s="3183">
        <v>0</v>
      </c>
      <c r="N542" s="3182">
        <v>0</v>
      </c>
      <c r="O542" s="3182">
        <v>0</v>
      </c>
      <c r="P542" s="3182">
        <v>0</v>
      </c>
      <c r="Q542" s="3182">
        <f t="shared" si="94"/>
        <v>0</v>
      </c>
      <c r="R542" s="3601">
        <v>0</v>
      </c>
      <c r="S542" s="1883"/>
      <c r="T542" s="1846">
        <f t="shared" si="95"/>
        <v>0</v>
      </c>
    </row>
    <row r="543" spans="1:20" s="1840" customFormat="1" ht="15.05" customHeight="1">
      <c r="A543" s="1855"/>
      <c r="B543" s="1855"/>
      <c r="C543" s="1855"/>
      <c r="D543" s="1855"/>
      <c r="E543" s="1855"/>
      <c r="F543" s="1857" t="s">
        <v>50</v>
      </c>
      <c r="G543" s="1858"/>
      <c r="H543" s="200" t="s">
        <v>85</v>
      </c>
      <c r="I543" s="200"/>
      <c r="J543" s="3215">
        <v>0</v>
      </c>
      <c r="K543" s="3171">
        <v>3588000</v>
      </c>
      <c r="L543" s="3125">
        <v>0</v>
      </c>
      <c r="M543" s="3124">
        <v>0</v>
      </c>
      <c r="N543" s="3125">
        <v>0</v>
      </c>
      <c r="O543" s="3125">
        <v>0</v>
      </c>
      <c r="P543" s="3125">
        <v>0</v>
      </c>
      <c r="Q543" s="3125">
        <f t="shared" si="94"/>
        <v>0</v>
      </c>
      <c r="R543" s="3601">
        <v>0</v>
      </c>
      <c r="S543" s="1881"/>
      <c r="T543" s="1882">
        <f t="shared" si="95"/>
        <v>0</v>
      </c>
    </row>
    <row r="544" spans="1:20" ht="15.05" customHeight="1">
      <c r="A544" s="1855"/>
      <c r="B544" s="1855"/>
      <c r="C544" s="1855"/>
      <c r="D544" s="1855"/>
      <c r="E544" s="1855"/>
      <c r="F544" s="1464" t="s">
        <v>646</v>
      </c>
      <c r="G544" s="1860"/>
      <c r="H544" s="202"/>
      <c r="I544" s="202"/>
      <c r="J544" s="3259">
        <v>0</v>
      </c>
      <c r="K544" s="3123">
        <v>1860517553</v>
      </c>
      <c r="L544" s="3182">
        <v>0</v>
      </c>
      <c r="M544" s="3183">
        <v>0</v>
      </c>
      <c r="N544" s="3182">
        <v>0</v>
      </c>
      <c r="O544" s="3182">
        <v>0</v>
      </c>
      <c r="P544" s="3182">
        <v>0</v>
      </c>
      <c r="Q544" s="3182">
        <f t="shared" si="94"/>
        <v>0</v>
      </c>
      <c r="R544" s="3601">
        <v>0</v>
      </c>
      <c r="S544" s="1877">
        <f>S545</f>
        <v>0</v>
      </c>
      <c r="T544" s="1846">
        <f t="shared" si="95"/>
        <v>0</v>
      </c>
    </row>
    <row r="545" spans="1:20" ht="15.05" customHeight="1">
      <c r="A545" s="1855"/>
      <c r="B545" s="1855"/>
      <c r="C545" s="1855"/>
      <c r="D545" s="1855"/>
      <c r="E545" s="1855"/>
      <c r="F545" s="1857" t="s">
        <v>50</v>
      </c>
      <c r="G545" s="1858" t="s">
        <v>85</v>
      </c>
      <c r="H545" s="200"/>
      <c r="I545" s="200"/>
      <c r="J545" s="3215">
        <v>0</v>
      </c>
      <c r="K545" s="3171">
        <v>1860517553</v>
      </c>
      <c r="L545" s="3125"/>
      <c r="M545" s="3124"/>
      <c r="N545" s="3125"/>
      <c r="O545" s="3125"/>
      <c r="P545" s="3125"/>
      <c r="Q545" s="3125">
        <f t="shared" si="94"/>
        <v>0</v>
      </c>
      <c r="R545" s="3601">
        <v>0</v>
      </c>
      <c r="S545" s="1876"/>
      <c r="T545" s="1846">
        <f t="shared" si="95"/>
        <v>0</v>
      </c>
    </row>
    <row r="546" spans="1:20" ht="15.05" customHeight="1">
      <c r="A546" s="1855"/>
      <c r="B546" s="1855"/>
      <c r="C546" s="1855"/>
      <c r="D546" s="1855"/>
      <c r="E546" s="1855"/>
      <c r="F546" s="1464" t="s">
        <v>326</v>
      </c>
      <c r="G546" s="1860"/>
      <c r="H546" s="202"/>
      <c r="I546" s="202"/>
      <c r="J546" s="3259">
        <v>0</v>
      </c>
      <c r="K546" s="3123">
        <v>26080582.199999999</v>
      </c>
      <c r="L546" s="3182">
        <v>0</v>
      </c>
      <c r="M546" s="3183">
        <v>0</v>
      </c>
      <c r="N546" s="3182">
        <v>0</v>
      </c>
      <c r="O546" s="3182">
        <v>0</v>
      </c>
      <c r="P546" s="3182">
        <v>0</v>
      </c>
      <c r="Q546" s="3182">
        <f t="shared" si="94"/>
        <v>0</v>
      </c>
      <c r="R546" s="3601">
        <v>0</v>
      </c>
      <c r="S546" s="1883"/>
      <c r="T546" s="1846">
        <f t="shared" si="95"/>
        <v>0</v>
      </c>
    </row>
    <row r="547" spans="1:20" s="1840" customFormat="1" ht="15.05" customHeight="1">
      <c r="A547" s="1855"/>
      <c r="B547" s="1855"/>
      <c r="C547" s="1855"/>
      <c r="D547" s="1855"/>
      <c r="E547" s="1855"/>
      <c r="F547" s="1857" t="s">
        <v>50</v>
      </c>
      <c r="G547" s="1858"/>
      <c r="H547" s="200" t="s">
        <v>85</v>
      </c>
      <c r="I547" s="200"/>
      <c r="J547" s="3215">
        <v>0</v>
      </c>
      <c r="K547" s="3171">
        <v>26080582.199999999</v>
      </c>
      <c r="L547" s="3125">
        <v>0</v>
      </c>
      <c r="M547" s="3124">
        <v>0</v>
      </c>
      <c r="N547" s="3125">
        <v>0</v>
      </c>
      <c r="O547" s="3125">
        <v>0</v>
      </c>
      <c r="P547" s="3125">
        <v>0</v>
      </c>
      <c r="Q547" s="3125">
        <f t="shared" si="94"/>
        <v>0</v>
      </c>
      <c r="R547" s="3601">
        <v>0</v>
      </c>
      <c r="S547" s="1876">
        <f>PerDinas!Q749</f>
        <v>0</v>
      </c>
      <c r="T547" s="1882">
        <f t="shared" si="95"/>
        <v>0</v>
      </c>
    </row>
    <row r="548" spans="1:20" ht="15.05" customHeight="1">
      <c r="A548" s="1855"/>
      <c r="B548" s="1855"/>
      <c r="C548" s="1855"/>
      <c r="D548" s="1855"/>
      <c r="E548" s="1855"/>
      <c r="F548" s="1464" t="s">
        <v>647</v>
      </c>
      <c r="G548" s="1860"/>
      <c r="H548" s="202"/>
      <c r="I548" s="202"/>
      <c r="J548" s="3259">
        <v>0</v>
      </c>
      <c r="K548" s="3123">
        <v>2183500</v>
      </c>
      <c r="L548" s="3182">
        <v>0</v>
      </c>
      <c r="M548" s="3183">
        <v>0</v>
      </c>
      <c r="N548" s="3182">
        <v>0</v>
      </c>
      <c r="O548" s="3182">
        <v>0</v>
      </c>
      <c r="P548" s="3182">
        <v>0</v>
      </c>
      <c r="Q548" s="3182">
        <f t="shared" ref="Q548:Q568" si="96">+P548-L548</f>
        <v>0</v>
      </c>
      <c r="R548" s="3601">
        <v>0</v>
      </c>
      <c r="S548" s="1883"/>
      <c r="T548" s="1846">
        <f t="shared" si="95"/>
        <v>0</v>
      </c>
    </row>
    <row r="549" spans="1:20" s="1840" customFormat="1" ht="15.05" customHeight="1">
      <c r="A549" s="1855"/>
      <c r="B549" s="1855"/>
      <c r="C549" s="1855"/>
      <c r="D549" s="1855"/>
      <c r="E549" s="1855"/>
      <c r="F549" s="1857" t="s">
        <v>50</v>
      </c>
      <c r="G549" s="1858"/>
      <c r="H549" s="200" t="s">
        <v>85</v>
      </c>
      <c r="I549" s="200"/>
      <c r="J549" s="3215">
        <v>0</v>
      </c>
      <c r="K549" s="3171">
        <v>2183500</v>
      </c>
      <c r="L549" s="3125"/>
      <c r="M549" s="3124"/>
      <c r="N549" s="3125"/>
      <c r="O549" s="3125"/>
      <c r="P549" s="3125"/>
      <c r="Q549" s="3125">
        <f t="shared" si="96"/>
        <v>0</v>
      </c>
      <c r="R549" s="3601">
        <v>0</v>
      </c>
      <c r="S549" s="1881"/>
      <c r="T549" s="1882">
        <f t="shared" si="95"/>
        <v>0</v>
      </c>
    </row>
    <row r="550" spans="1:20" ht="15.05" customHeight="1">
      <c r="A550" s="1855"/>
      <c r="B550" s="1855"/>
      <c r="C550" s="1855"/>
      <c r="D550" s="1855"/>
      <c r="E550" s="1855"/>
      <c r="F550" s="1464" t="s">
        <v>648</v>
      </c>
      <c r="G550" s="1860"/>
      <c r="H550" s="202"/>
      <c r="I550" s="202"/>
      <c r="J550" s="3259">
        <v>0</v>
      </c>
      <c r="K550" s="3123">
        <v>889503495</v>
      </c>
      <c r="L550" s="3182">
        <v>0</v>
      </c>
      <c r="M550" s="3183">
        <v>0</v>
      </c>
      <c r="N550" s="3182">
        <v>0</v>
      </c>
      <c r="O550" s="3182">
        <v>0</v>
      </c>
      <c r="P550" s="3182">
        <v>0</v>
      </c>
      <c r="Q550" s="3182">
        <f t="shared" si="96"/>
        <v>0</v>
      </c>
      <c r="R550" s="3601">
        <v>0</v>
      </c>
      <c r="S550" s="1883"/>
      <c r="T550" s="1846">
        <f t="shared" si="95"/>
        <v>0</v>
      </c>
    </row>
    <row r="551" spans="1:20" s="1840" customFormat="1" ht="15.05" customHeight="1">
      <c r="A551" s="1855"/>
      <c r="B551" s="1855"/>
      <c r="C551" s="1855"/>
      <c r="D551" s="1855"/>
      <c r="E551" s="1855"/>
      <c r="F551" s="1857" t="s">
        <v>50</v>
      </c>
      <c r="G551" s="1858"/>
      <c r="H551" s="200" t="s">
        <v>85</v>
      </c>
      <c r="I551" s="200"/>
      <c r="J551" s="3215">
        <v>0</v>
      </c>
      <c r="K551" s="3171">
        <v>889503495</v>
      </c>
      <c r="L551" s="3125">
        <v>0</v>
      </c>
      <c r="M551" s="3124">
        <v>0</v>
      </c>
      <c r="N551" s="3125">
        <v>0</v>
      </c>
      <c r="O551" s="3125">
        <v>0</v>
      </c>
      <c r="P551" s="3125">
        <v>0</v>
      </c>
      <c r="Q551" s="3125">
        <f t="shared" si="96"/>
        <v>0</v>
      </c>
      <c r="R551" s="3601">
        <v>0</v>
      </c>
      <c r="S551" s="1876">
        <f>PerDinas!Q622</f>
        <v>0</v>
      </c>
      <c r="T551" s="1882">
        <f t="shared" si="95"/>
        <v>0</v>
      </c>
    </row>
    <row r="552" spans="1:20" ht="15.05" customHeight="1">
      <c r="A552" s="1855"/>
      <c r="B552" s="1855"/>
      <c r="C552" s="1855"/>
      <c r="D552" s="1855"/>
      <c r="E552" s="1855"/>
      <c r="F552" s="1464" t="s">
        <v>568</v>
      </c>
      <c r="G552" s="1860"/>
      <c r="H552" s="202"/>
      <c r="I552" s="202"/>
      <c r="J552" s="3259">
        <v>0</v>
      </c>
      <c r="K552" s="3123">
        <v>2839900</v>
      </c>
      <c r="L552" s="3182">
        <v>0</v>
      </c>
      <c r="M552" s="3183">
        <v>913000</v>
      </c>
      <c r="N552" s="3182">
        <v>0</v>
      </c>
      <c r="O552" s="3182">
        <v>913000</v>
      </c>
      <c r="P552" s="3182">
        <v>0</v>
      </c>
      <c r="Q552" s="3182">
        <f t="shared" si="96"/>
        <v>0</v>
      </c>
      <c r="R552" s="3601">
        <v>0</v>
      </c>
      <c r="S552" s="1883"/>
      <c r="T552" s="1846">
        <f t="shared" si="95"/>
        <v>3652000</v>
      </c>
    </row>
    <row r="553" spans="1:20" s="1840" customFormat="1" ht="15.05" customHeight="1">
      <c r="A553" s="1855"/>
      <c r="B553" s="1855"/>
      <c r="C553" s="1855"/>
      <c r="D553" s="1855"/>
      <c r="E553" s="1855"/>
      <c r="F553" s="1857" t="s">
        <v>50</v>
      </c>
      <c r="G553" s="1858"/>
      <c r="H553" s="200" t="s">
        <v>85</v>
      </c>
      <c r="I553" s="200"/>
      <c r="J553" s="3215">
        <v>0</v>
      </c>
      <c r="K553" s="3171">
        <v>2839900</v>
      </c>
      <c r="L553" s="3125">
        <v>0</v>
      </c>
      <c r="M553" s="3124">
        <v>913000</v>
      </c>
      <c r="N553" s="3125">
        <v>0</v>
      </c>
      <c r="O553" s="3125">
        <v>913000</v>
      </c>
      <c r="P553" s="3125">
        <v>0</v>
      </c>
      <c r="Q553" s="3125">
        <f t="shared" si="96"/>
        <v>0</v>
      </c>
      <c r="R553" s="3601">
        <v>0</v>
      </c>
      <c r="S553" s="1876">
        <f>PerDinas!Q608</f>
        <v>0</v>
      </c>
      <c r="T553" s="1882">
        <f t="shared" si="95"/>
        <v>3652000</v>
      </c>
    </row>
    <row r="554" spans="1:20" ht="15.05" hidden="1" customHeight="1">
      <c r="A554" s="1855"/>
      <c r="B554" s="1855"/>
      <c r="C554" s="1855"/>
      <c r="D554" s="1855"/>
      <c r="E554" s="1855"/>
      <c r="F554" s="1857" t="s">
        <v>50</v>
      </c>
      <c r="G554" s="1858"/>
      <c r="H554" s="200"/>
      <c r="I554" s="200"/>
      <c r="J554" s="3215">
        <v>0</v>
      </c>
      <c r="K554" s="3171"/>
      <c r="L554" s="3125">
        <v>0</v>
      </c>
      <c r="M554" s="3124">
        <v>0</v>
      </c>
      <c r="N554" s="3125">
        <v>0</v>
      </c>
      <c r="O554" s="3125">
        <v>0</v>
      </c>
      <c r="P554" s="3125">
        <v>0</v>
      </c>
      <c r="Q554" s="3125">
        <f t="shared" si="96"/>
        <v>0</v>
      </c>
      <c r="R554" s="3601">
        <v>0</v>
      </c>
      <c r="S554" s="1881"/>
      <c r="T554" s="1846">
        <f t="shared" si="95"/>
        <v>0</v>
      </c>
    </row>
    <row r="555" spans="1:20" ht="15.05" customHeight="1">
      <c r="A555" s="1855"/>
      <c r="B555" s="1855"/>
      <c r="C555" s="1855"/>
      <c r="D555" s="1855"/>
      <c r="E555" s="1855"/>
      <c r="F555" s="1464" t="s">
        <v>649</v>
      </c>
      <c r="G555" s="1860"/>
      <c r="H555" s="202"/>
      <c r="I555" s="202"/>
      <c r="J555" s="3259">
        <v>0</v>
      </c>
      <c r="K555" s="3123">
        <v>0</v>
      </c>
      <c r="L555" s="3182">
        <v>0</v>
      </c>
      <c r="M555" s="3183">
        <v>0</v>
      </c>
      <c r="N555" s="3182">
        <v>0</v>
      </c>
      <c r="O555" s="3182">
        <v>0</v>
      </c>
      <c r="P555" s="3182">
        <v>0</v>
      </c>
      <c r="Q555" s="3182">
        <f t="shared" si="96"/>
        <v>0</v>
      </c>
      <c r="R555" s="3601">
        <v>0</v>
      </c>
      <c r="S555" s="1883"/>
      <c r="T555" s="1846">
        <f t="shared" ref="T555:T570" si="97">O555*4</f>
        <v>0</v>
      </c>
    </row>
    <row r="556" spans="1:20" ht="15.05" customHeight="1">
      <c r="A556" s="1855"/>
      <c r="B556" s="1855"/>
      <c r="C556" s="1855"/>
      <c r="D556" s="1855"/>
      <c r="E556" s="1855"/>
      <c r="F556" s="1857" t="s">
        <v>50</v>
      </c>
      <c r="G556" s="1858"/>
      <c r="H556" s="200" t="s">
        <v>85</v>
      </c>
      <c r="I556" s="200"/>
      <c r="J556" s="3215">
        <v>0</v>
      </c>
      <c r="K556" s="3171">
        <v>0</v>
      </c>
      <c r="L556" s="3125">
        <v>0</v>
      </c>
      <c r="M556" s="3124">
        <v>0</v>
      </c>
      <c r="N556" s="3125">
        <v>0</v>
      </c>
      <c r="O556" s="3125">
        <v>0</v>
      </c>
      <c r="P556" s="3125">
        <v>0</v>
      </c>
      <c r="Q556" s="3125">
        <f t="shared" si="96"/>
        <v>0</v>
      </c>
      <c r="R556" s="3601">
        <v>0</v>
      </c>
      <c r="S556" s="1876">
        <f>PerDinas!Q582</f>
        <v>0</v>
      </c>
      <c r="T556" s="1846">
        <f t="shared" si="97"/>
        <v>0</v>
      </c>
    </row>
    <row r="557" spans="1:20" ht="15.05" customHeight="1">
      <c r="A557" s="1855"/>
      <c r="B557" s="1855"/>
      <c r="C557" s="1855"/>
      <c r="D557" s="1855"/>
      <c r="E557" s="1855"/>
      <c r="F557" s="1464" t="s">
        <v>650</v>
      </c>
      <c r="G557" s="1860"/>
      <c r="H557" s="202"/>
      <c r="I557" s="202"/>
      <c r="J557" s="3259">
        <v>0</v>
      </c>
      <c r="K557" s="3123">
        <v>0</v>
      </c>
      <c r="L557" s="3312">
        <v>0</v>
      </c>
      <c r="M557" s="3313">
        <v>0</v>
      </c>
      <c r="N557" s="3312">
        <v>0</v>
      </c>
      <c r="O557" s="3312">
        <v>0</v>
      </c>
      <c r="P557" s="3312">
        <v>0</v>
      </c>
      <c r="Q557" s="3312">
        <f t="shared" si="96"/>
        <v>0</v>
      </c>
      <c r="R557" s="3601">
        <v>0</v>
      </c>
      <c r="S557" s="1883"/>
      <c r="T557" s="1846">
        <f t="shared" si="97"/>
        <v>0</v>
      </c>
    </row>
    <row r="558" spans="1:20" ht="15.05" customHeight="1">
      <c r="A558" s="1855"/>
      <c r="B558" s="1855"/>
      <c r="C558" s="1855"/>
      <c r="D558" s="1855"/>
      <c r="E558" s="1855"/>
      <c r="F558" s="1857" t="s">
        <v>50</v>
      </c>
      <c r="G558" s="1858"/>
      <c r="H558" s="200" t="s">
        <v>76</v>
      </c>
      <c r="I558" s="200"/>
      <c r="J558" s="3215">
        <v>0</v>
      </c>
      <c r="K558" s="3171">
        <v>0</v>
      </c>
      <c r="L558" s="3314">
        <v>0</v>
      </c>
      <c r="M558" s="3315">
        <v>0</v>
      </c>
      <c r="N558" s="3314">
        <v>0</v>
      </c>
      <c r="O558" s="3314">
        <v>0</v>
      </c>
      <c r="P558" s="3314">
        <v>0</v>
      </c>
      <c r="Q558" s="3314">
        <f t="shared" si="96"/>
        <v>0</v>
      </c>
      <c r="R558" s="3601">
        <v>0</v>
      </c>
      <c r="S558" s="2002">
        <f>PerDinas!Q656</f>
        <v>0</v>
      </c>
      <c r="T558" s="1846">
        <f t="shared" si="97"/>
        <v>0</v>
      </c>
    </row>
    <row r="559" spans="1:20" ht="15.05" customHeight="1">
      <c r="A559" s="1855"/>
      <c r="B559" s="1855"/>
      <c r="C559" s="1855"/>
      <c r="D559" s="1855"/>
      <c r="E559" s="1855"/>
      <c r="F559" s="1464" t="s">
        <v>651</v>
      </c>
      <c r="G559" s="1860"/>
      <c r="H559" s="202"/>
      <c r="I559" s="202"/>
      <c r="J559" s="3259">
        <v>0</v>
      </c>
      <c r="K559" s="3123">
        <v>20265000</v>
      </c>
      <c r="L559" s="3312">
        <v>0</v>
      </c>
      <c r="M559" s="3313">
        <v>0</v>
      </c>
      <c r="N559" s="3312">
        <v>0</v>
      </c>
      <c r="O559" s="3312">
        <v>0</v>
      </c>
      <c r="P559" s="3312">
        <v>0</v>
      </c>
      <c r="Q559" s="3312">
        <f t="shared" si="96"/>
        <v>0</v>
      </c>
      <c r="R559" s="3601">
        <v>0</v>
      </c>
      <c r="S559" s="1883"/>
      <c r="T559" s="1846">
        <f t="shared" si="97"/>
        <v>0</v>
      </c>
    </row>
    <row r="560" spans="1:20" s="1840" customFormat="1" ht="15.05" customHeight="1">
      <c r="A560" s="1886"/>
      <c r="B560" s="1886"/>
      <c r="C560" s="1886"/>
      <c r="D560" s="1886"/>
      <c r="E560" s="1886"/>
      <c r="F560" s="1887" t="s">
        <v>50</v>
      </c>
      <c r="G560" s="1888"/>
      <c r="H560" s="856" t="s">
        <v>85</v>
      </c>
      <c r="I560" s="856"/>
      <c r="J560" s="3238">
        <v>0</v>
      </c>
      <c r="K560" s="3173">
        <v>20265000</v>
      </c>
      <c r="L560" s="3316">
        <v>0</v>
      </c>
      <c r="M560" s="3317">
        <v>0</v>
      </c>
      <c r="N560" s="3316">
        <v>0</v>
      </c>
      <c r="O560" s="3316">
        <v>0</v>
      </c>
      <c r="P560" s="3316">
        <v>0</v>
      </c>
      <c r="Q560" s="3316">
        <f t="shared" si="96"/>
        <v>0</v>
      </c>
      <c r="R560" s="3601">
        <v>0</v>
      </c>
      <c r="S560" s="2866">
        <f>PerDinas!Q632</f>
        <v>0</v>
      </c>
      <c r="T560" s="1882">
        <f t="shared" si="97"/>
        <v>0</v>
      </c>
    </row>
    <row r="561" spans="1:20" s="2955" customFormat="1" ht="15.05" customHeight="1">
      <c r="A561" s="2978" t="s">
        <v>443</v>
      </c>
      <c r="B561" s="2978" t="s">
        <v>457</v>
      </c>
      <c r="C561" s="2979" t="s">
        <v>443</v>
      </c>
      <c r="D561" s="2979"/>
      <c r="E561" s="2979"/>
      <c r="F561" s="2980" t="s">
        <v>652</v>
      </c>
      <c r="G561" s="2981"/>
      <c r="H561" s="2982"/>
      <c r="I561" s="2982"/>
      <c r="J561" s="3210">
        <f>+J562</f>
        <v>5414000000</v>
      </c>
      <c r="K561" s="3210">
        <f>+K562</f>
        <v>5000000000</v>
      </c>
      <c r="L561" s="3318">
        <f>L562</f>
        <v>53394311000</v>
      </c>
      <c r="M561" s="3319">
        <v>0</v>
      </c>
      <c r="N561" s="3318">
        <f>N562</f>
        <v>26697155000</v>
      </c>
      <c r="O561" s="3318">
        <f>N561+M561</f>
        <v>26697155000</v>
      </c>
      <c r="P561" s="3318">
        <f>P562</f>
        <v>53394311000</v>
      </c>
      <c r="Q561" s="3318">
        <f t="shared" si="96"/>
        <v>0</v>
      </c>
      <c r="R561" s="3640">
        <f>+P561/L561*100-100</f>
        <v>0</v>
      </c>
      <c r="S561" s="2983"/>
      <c r="T561" s="2954">
        <f t="shared" si="97"/>
        <v>106788620000</v>
      </c>
    </row>
    <row r="562" spans="1:20" s="2947" customFormat="1" ht="15.05" customHeight="1">
      <c r="A562" s="2972" t="s">
        <v>443</v>
      </c>
      <c r="B562" s="2972" t="s">
        <v>457</v>
      </c>
      <c r="C562" s="2973" t="s">
        <v>443</v>
      </c>
      <c r="D562" s="2973" t="s">
        <v>445</v>
      </c>
      <c r="E562" s="2973"/>
      <c r="F562" s="2974" t="s">
        <v>293</v>
      </c>
      <c r="G562" s="2975"/>
      <c r="H562" s="2976"/>
      <c r="I562" s="2976"/>
      <c r="J562" s="3320">
        <f>+J564</f>
        <v>5414000000</v>
      </c>
      <c r="K562" s="3320">
        <f>+K564</f>
        <v>5000000000</v>
      </c>
      <c r="L562" s="3321">
        <f t="shared" ref="L562:O563" si="98">L563</f>
        <v>53394311000</v>
      </c>
      <c r="M562" s="3322">
        <v>0</v>
      </c>
      <c r="N562" s="3321">
        <f t="shared" si="98"/>
        <v>26697155000</v>
      </c>
      <c r="O562" s="3321">
        <f t="shared" si="98"/>
        <v>26697155000</v>
      </c>
      <c r="P562" s="3321">
        <f>P563</f>
        <v>53394311000</v>
      </c>
      <c r="Q562" s="3321">
        <f t="shared" si="96"/>
        <v>0</v>
      </c>
      <c r="R562" s="3641">
        <f>+P562/L562*100-100</f>
        <v>0</v>
      </c>
      <c r="S562" s="2977"/>
      <c r="T562" s="2944">
        <f t="shared" si="97"/>
        <v>106788620000</v>
      </c>
    </row>
    <row r="563" spans="1:20" ht="15.05" customHeight="1">
      <c r="A563" s="2867" t="s">
        <v>443</v>
      </c>
      <c r="B563" s="2867" t="s">
        <v>457</v>
      </c>
      <c r="C563" s="2868" t="s">
        <v>443</v>
      </c>
      <c r="D563" s="2868" t="s">
        <v>445</v>
      </c>
      <c r="E563" s="2868" t="s">
        <v>437</v>
      </c>
      <c r="F563" s="84" t="s">
        <v>653</v>
      </c>
      <c r="G563" s="84"/>
      <c r="H563" s="224"/>
      <c r="I563" s="224"/>
      <c r="J563" s="3324"/>
      <c r="K563" s="3324"/>
      <c r="L563" s="3325">
        <f t="shared" si="98"/>
        <v>53394311000</v>
      </c>
      <c r="M563" s="3326">
        <v>0</v>
      </c>
      <c r="N563" s="3327">
        <f t="shared" si="98"/>
        <v>26697155000</v>
      </c>
      <c r="O563" s="3327">
        <f t="shared" si="98"/>
        <v>26697155000</v>
      </c>
      <c r="P563" s="3327">
        <f>P566</f>
        <v>53394311000</v>
      </c>
      <c r="Q563" s="3327">
        <f t="shared" si="96"/>
        <v>0</v>
      </c>
      <c r="R563" s="3642">
        <f>+P563/L563*100-100</f>
        <v>0</v>
      </c>
      <c r="S563" s="2003"/>
      <c r="T563" s="1846">
        <f t="shared" si="97"/>
        <v>106788620000</v>
      </c>
    </row>
    <row r="564" spans="1:20" ht="15.05" customHeight="1">
      <c r="A564" s="2869"/>
      <c r="B564" s="2869"/>
      <c r="C564" s="2870"/>
      <c r="D564" s="2870"/>
      <c r="E564" s="2870"/>
      <c r="F564" s="2871" t="s">
        <v>654</v>
      </c>
      <c r="G564" s="2872"/>
      <c r="H564" s="200"/>
      <c r="I564" s="200"/>
      <c r="J564" s="3329">
        <f>SUM(J565:J566)</f>
        <v>5414000000</v>
      </c>
      <c r="K564" s="3329">
        <f>+K566</f>
        <v>5000000000</v>
      </c>
      <c r="L564" s="3330">
        <f>SUM(L565:L566)</f>
        <v>53394311000</v>
      </c>
      <c r="M564" s="3331">
        <v>0</v>
      </c>
      <c r="N564" s="3330">
        <f>SUM(N565:N566)</f>
        <v>26697155000</v>
      </c>
      <c r="O564" s="3330">
        <f>SUM(O565:O566)</f>
        <v>26697155000</v>
      </c>
      <c r="P564" s="3330">
        <v>53394311000</v>
      </c>
      <c r="Q564" s="3330">
        <f t="shared" si="96"/>
        <v>0</v>
      </c>
      <c r="R564" s="3643">
        <f>+P564/L564*100-100</f>
        <v>0</v>
      </c>
      <c r="S564" s="2002"/>
      <c r="T564" s="1846">
        <f t="shared" si="97"/>
        <v>106788620000</v>
      </c>
    </row>
    <row r="565" spans="1:20" ht="15.05" customHeight="1">
      <c r="A565" s="2869"/>
      <c r="B565" s="2869"/>
      <c r="C565" s="2870"/>
      <c r="D565" s="2870"/>
      <c r="E565" s="2870"/>
      <c r="F565" s="2871" t="s">
        <v>50</v>
      </c>
      <c r="G565" s="2872" t="s">
        <v>655</v>
      </c>
      <c r="H565" s="200"/>
      <c r="I565" s="200"/>
      <c r="J565" s="3329">
        <v>414000000</v>
      </c>
      <c r="K565" s="3332"/>
      <c r="L565" s="3192">
        <f>MAR!J493</f>
        <v>0</v>
      </c>
      <c r="M565" s="3333">
        <v>0</v>
      </c>
      <c r="N565" s="3192">
        <f>MAR!L493</f>
        <v>0</v>
      </c>
      <c r="O565" s="3192">
        <f>MAR!M493</f>
        <v>0</v>
      </c>
      <c r="P565" s="3192">
        <v>0</v>
      </c>
      <c r="Q565" s="3192">
        <f t="shared" si="96"/>
        <v>0</v>
      </c>
      <c r="R565" s="3644">
        <v>0</v>
      </c>
      <c r="S565" s="2002"/>
      <c r="T565" s="1846">
        <f t="shared" si="97"/>
        <v>0</v>
      </c>
    </row>
    <row r="566" spans="1:20" ht="15.05" customHeight="1">
      <c r="A566" s="2869"/>
      <c r="B566" s="2869"/>
      <c r="C566" s="2870"/>
      <c r="D566" s="2870"/>
      <c r="E566" s="2870"/>
      <c r="F566" s="2871" t="s">
        <v>50</v>
      </c>
      <c r="G566" s="2872" t="s">
        <v>656</v>
      </c>
      <c r="H566" s="200"/>
      <c r="I566" s="200"/>
      <c r="J566" s="3329">
        <v>5000000000</v>
      </c>
      <c r="K566" s="3329">
        <v>5000000000</v>
      </c>
      <c r="L566" s="3192">
        <v>53394311000</v>
      </c>
      <c r="M566" s="3333">
        <v>0</v>
      </c>
      <c r="N566" s="3192">
        <v>26697155000</v>
      </c>
      <c r="O566" s="3192">
        <v>26697155000</v>
      </c>
      <c r="P566" s="3192">
        <v>53394311000</v>
      </c>
      <c r="Q566" s="3192">
        <f t="shared" si="96"/>
        <v>0</v>
      </c>
      <c r="R566" s="3644">
        <f>+P566/L566*100-100</f>
        <v>0</v>
      </c>
      <c r="S566" s="2002"/>
      <c r="T566" s="1846">
        <f t="shared" si="97"/>
        <v>106788620000</v>
      </c>
    </row>
    <row r="567" spans="1:20" ht="15.05" customHeight="1">
      <c r="A567" s="2869"/>
      <c r="B567" s="2869"/>
      <c r="C567" s="2870"/>
      <c r="D567" s="2870"/>
      <c r="E567" s="2870"/>
      <c r="F567" s="2871" t="s">
        <v>298</v>
      </c>
      <c r="G567" s="2872"/>
      <c r="H567" s="200"/>
      <c r="I567" s="200"/>
      <c r="J567" s="3329"/>
      <c r="K567" s="3332"/>
      <c r="L567" s="3192">
        <f>MAR!J495</f>
        <v>0</v>
      </c>
      <c r="M567" s="3333">
        <v>0</v>
      </c>
      <c r="N567" s="3192">
        <f>MAR!L495</f>
        <v>0</v>
      </c>
      <c r="O567" s="3192">
        <f>MAR!M495</f>
        <v>0</v>
      </c>
      <c r="P567" s="3192">
        <f>MAR!N495</f>
        <v>0</v>
      </c>
      <c r="Q567" s="3192">
        <f t="shared" si="96"/>
        <v>0</v>
      </c>
      <c r="R567" s="3644">
        <v>0</v>
      </c>
      <c r="S567" s="2002"/>
      <c r="T567" s="1846">
        <f t="shared" si="97"/>
        <v>0</v>
      </c>
    </row>
    <row r="568" spans="1:20" ht="15.05" customHeight="1">
      <c r="A568" s="3549"/>
      <c r="B568" s="3549"/>
      <c r="C568" s="3550"/>
      <c r="D568" s="3550"/>
      <c r="E568" s="3550"/>
      <c r="F568" s="3551" t="s">
        <v>50</v>
      </c>
      <c r="G568" s="3552" t="s">
        <v>657</v>
      </c>
      <c r="H568" s="2117"/>
      <c r="I568" s="2117"/>
      <c r="J568" s="3553"/>
      <c r="K568" s="3554"/>
      <c r="L568" s="3555">
        <f>MAR!J496</f>
        <v>0</v>
      </c>
      <c r="M568" s="3556">
        <v>0</v>
      </c>
      <c r="N568" s="3555">
        <f>MAR!L496</f>
        <v>0</v>
      </c>
      <c r="O568" s="3555">
        <f>MAR!M496</f>
        <v>0</v>
      </c>
      <c r="P568" s="3555">
        <f>MAR!N496</f>
        <v>0</v>
      </c>
      <c r="Q568" s="3555">
        <f t="shared" si="96"/>
        <v>0</v>
      </c>
      <c r="R568" s="3645">
        <v>0</v>
      </c>
      <c r="S568" s="2002"/>
      <c r="T568" s="1846">
        <f t="shared" si="97"/>
        <v>0</v>
      </c>
    </row>
    <row r="569" spans="1:20" ht="15.05" customHeight="1">
      <c r="A569" s="3542"/>
      <c r="B569" s="3542"/>
      <c r="C569" s="3542"/>
      <c r="D569" s="3542"/>
      <c r="E569" s="3542"/>
      <c r="F569" s="3543"/>
      <c r="G569" s="3544"/>
      <c r="H569" s="3545"/>
      <c r="I569" s="3545"/>
      <c r="J569" s="3546"/>
      <c r="K569" s="3547"/>
      <c r="L569" s="3548"/>
      <c r="M569" s="3548"/>
      <c r="N569" s="3548"/>
      <c r="O569" s="3548"/>
      <c r="P569" s="3548"/>
      <c r="Q569" s="3548"/>
      <c r="R569" s="3646"/>
      <c r="S569" s="2004"/>
      <c r="T569" s="1846">
        <f t="shared" si="97"/>
        <v>0</v>
      </c>
    </row>
    <row r="570" spans="1:20" ht="12.05" hidden="1" customHeight="1">
      <c r="A570" s="5798"/>
      <c r="B570" s="5798"/>
      <c r="C570" s="5798"/>
      <c r="D570" s="5798"/>
      <c r="E570" s="5798"/>
      <c r="F570" s="5798"/>
      <c r="G570" s="5798"/>
      <c r="H570" s="5798"/>
      <c r="I570" s="5799"/>
      <c r="J570" s="1965"/>
      <c r="K570" s="1966"/>
      <c r="L570" s="1967">
        <f>L226+L213+L44+L428</f>
        <v>446737149324</v>
      </c>
      <c r="M570" s="1967">
        <f>M226+M213+M44+M428</f>
        <v>34516750956.529999</v>
      </c>
      <c r="N570" s="1967">
        <f>N226+N213+N44+N428</f>
        <v>47839371927.190002</v>
      </c>
      <c r="O570" s="1967">
        <f>O226+O213+O44+O428</f>
        <v>82381087883.720001</v>
      </c>
      <c r="P570" s="1968">
        <f>+O570-L570</f>
        <v>-364356061440.28003</v>
      </c>
      <c r="Q570" s="1968">
        <f>+P570-L570</f>
        <v>-811093210764.28003</v>
      </c>
      <c r="R570" s="3647">
        <f>+P570/L570*100-100</f>
        <v>-181.55938273582609</v>
      </c>
      <c r="S570" s="2005"/>
      <c r="T570" s="1846">
        <f t="shared" si="97"/>
        <v>329524351534.88</v>
      </c>
    </row>
    <row r="571" spans="1:20" ht="13.5" customHeight="1">
      <c r="A571" s="1904"/>
      <c r="B571" s="1904"/>
      <c r="C571" s="1904"/>
      <c r="D571" s="1904"/>
      <c r="E571" s="1904"/>
      <c r="F571" s="1904"/>
      <c r="G571" s="1904"/>
      <c r="H571" s="1904"/>
      <c r="I571" s="1904"/>
      <c r="J571" s="1904"/>
      <c r="K571" s="1904"/>
      <c r="L571" s="1969"/>
      <c r="M571" s="1969"/>
      <c r="N571" s="1969"/>
      <c r="O571" s="1969"/>
      <c r="P571" s="1969"/>
      <c r="Q571" s="1969"/>
      <c r="R571" s="3648"/>
      <c r="S571" s="1924"/>
    </row>
    <row r="572" spans="1:20" ht="13.5" customHeight="1">
      <c r="A572" s="2890" t="s">
        <v>658</v>
      </c>
      <c r="B572" s="2891"/>
      <c r="C572" s="2891"/>
      <c r="D572" s="2892"/>
      <c r="E572" s="2892"/>
      <c r="F572" s="2892"/>
      <c r="G572" s="2892"/>
      <c r="H572" s="2892"/>
      <c r="I572" s="1945"/>
      <c r="J572" s="1945"/>
      <c r="K572" s="1945"/>
      <c r="L572" s="1970" t="e">
        <f>L570-#REF!</f>
        <v>#REF!</v>
      </c>
      <c r="M572" s="1971"/>
      <c r="N572" s="1971"/>
      <c r="O572" s="1971"/>
      <c r="R572" s="3648"/>
      <c r="S572" s="2006"/>
    </row>
    <row r="573" spans="1:20" ht="13.5" customHeight="1">
      <c r="A573" s="2891"/>
      <c r="B573" s="2891" t="s">
        <v>659</v>
      </c>
      <c r="C573" s="2891"/>
      <c r="D573" s="2892"/>
      <c r="E573" s="2892"/>
      <c r="F573" s="2892"/>
      <c r="G573" s="2892"/>
      <c r="H573" s="2892"/>
      <c r="I573" s="1945"/>
      <c r="J573" s="1945"/>
      <c r="K573" s="1945"/>
      <c r="L573" s="1972" t="s">
        <v>660</v>
      </c>
      <c r="M573" s="1973"/>
      <c r="N573" s="1971"/>
      <c r="O573" s="1971"/>
      <c r="P573" s="2887" t="s">
        <v>661</v>
      </c>
      <c r="Q573" s="1974"/>
      <c r="R573" s="3648"/>
      <c r="S573" s="2006"/>
    </row>
    <row r="574" spans="1:20" ht="13.5" customHeight="1">
      <c r="A574" s="2891"/>
      <c r="B574" s="2891" t="s">
        <v>662</v>
      </c>
      <c r="C574" s="2891"/>
      <c r="D574" s="2892"/>
      <c r="E574" s="2892"/>
      <c r="F574" s="2892"/>
      <c r="G574" s="2892"/>
      <c r="H574" s="2892"/>
      <c r="I574" s="1945"/>
      <c r="J574" s="1945"/>
      <c r="K574" s="1945"/>
      <c r="L574" s="1975" t="str">
        <f>PerDinas!K1094</f>
        <v>Kepala Dinas Pendapatan Daerah</v>
      </c>
      <c r="M574" s="1976"/>
      <c r="O574" s="1971"/>
      <c r="P574" s="2888" t="s">
        <v>663</v>
      </c>
      <c r="Q574" s="1977"/>
      <c r="R574" s="3648"/>
      <c r="S574" s="2006"/>
    </row>
    <row r="575" spans="1:20" ht="13.5" customHeight="1">
      <c r="A575" s="2891"/>
      <c r="B575" s="2891" t="s">
        <v>664</v>
      </c>
      <c r="C575" s="2891"/>
      <c r="D575" s="2892"/>
      <c r="E575" s="2892"/>
      <c r="F575" s="2892"/>
      <c r="G575" s="2892"/>
      <c r="H575" s="2892"/>
      <c r="I575" s="1945"/>
      <c r="J575" s="1945"/>
      <c r="K575" s="1945"/>
      <c r="L575" s="1975" t="str">
        <f>PerDinas!K1095</f>
        <v>Provinsi Nusa Tenggara Barat,</v>
      </c>
      <c r="O575" s="1971"/>
      <c r="P575" s="2888"/>
      <c r="Q575" s="1977"/>
      <c r="R575" s="3648"/>
      <c r="S575" s="2006"/>
    </row>
    <row r="576" spans="1:20" ht="13.5" customHeight="1">
      <c r="A576" s="1945"/>
      <c r="B576" s="1945"/>
      <c r="C576" s="1945"/>
      <c r="D576" s="1945"/>
      <c r="E576" s="1945"/>
      <c r="F576" s="1945"/>
      <c r="G576" s="1945"/>
      <c r="I576" s="257"/>
      <c r="J576" s="257"/>
      <c r="K576" s="257"/>
      <c r="L576" s="1972"/>
      <c r="O576" s="1971"/>
      <c r="P576" s="2888"/>
      <c r="Q576" s="1977"/>
      <c r="R576" s="3648"/>
      <c r="S576" s="2006"/>
    </row>
    <row r="577" spans="1:19" ht="13.5" customHeight="1">
      <c r="A577" s="1945"/>
      <c r="B577" s="1945"/>
      <c r="C577" s="1945"/>
      <c r="D577" s="1945"/>
      <c r="E577" s="1946"/>
      <c r="F577" s="1946"/>
      <c r="G577" s="1946"/>
      <c r="I577" s="1973"/>
      <c r="J577" s="1973"/>
      <c r="K577" s="1973"/>
      <c r="L577" s="1975"/>
      <c r="O577" s="1971"/>
      <c r="P577" s="2888"/>
      <c r="Q577" s="1977"/>
      <c r="R577" s="3648"/>
      <c r="S577" s="2006"/>
    </row>
    <row r="578" spans="1:19" ht="13.5" customHeight="1">
      <c r="A578" s="1945"/>
      <c r="B578" s="1945"/>
      <c r="C578" s="1945"/>
      <c r="D578" s="1945"/>
      <c r="E578" s="1946"/>
      <c r="F578" s="1946"/>
      <c r="G578" s="1946"/>
      <c r="I578" s="1978"/>
      <c r="J578" s="1978"/>
      <c r="K578" s="1978"/>
      <c r="L578" s="1979" t="str">
        <f>PerDinas!K1099</f>
        <v>Dra. Hj. Putu Selly Andayani, M.Si</v>
      </c>
      <c r="O578" s="1971"/>
      <c r="P578" s="2889" t="str">
        <f>PerDinas!O1099</f>
        <v>Drs. H. Muksin, MM</v>
      </c>
      <c r="Q578" s="1980"/>
      <c r="R578" s="3648"/>
      <c r="S578" s="2006"/>
    </row>
    <row r="579" spans="1:19" ht="13.5" customHeight="1">
      <c r="A579" s="257"/>
      <c r="B579" s="257"/>
      <c r="C579" s="257"/>
      <c r="D579" s="257"/>
      <c r="E579" s="1947"/>
      <c r="F579" s="257"/>
      <c r="G579" s="257"/>
      <c r="I579" s="257"/>
      <c r="J579" s="257"/>
      <c r="K579" s="257"/>
      <c r="L579" s="1981" t="str">
        <f>PerDinas!K1100</f>
        <v>NIP. 19610915199303 2 011</v>
      </c>
      <c r="O579" s="1971"/>
      <c r="P579" s="2888" t="str">
        <f>PerDinas!O1100</f>
        <v>NIP.196712311996031023</v>
      </c>
      <c r="Q579" s="1977"/>
      <c r="R579" s="3648"/>
      <c r="S579" s="2006"/>
    </row>
    <row r="580" spans="1:19">
      <c r="P580" s="1977"/>
      <c r="Q580" s="1977"/>
    </row>
    <row r="595" spans="1:19">
      <c r="L595" s="1982" t="s">
        <v>665</v>
      </c>
      <c r="M595" s="1982"/>
      <c r="N595" s="1982" t="s">
        <v>666</v>
      </c>
    </row>
    <row r="596" spans="1:19" ht="17.25" customHeight="1">
      <c r="A596" s="1948"/>
      <c r="B596" s="1948"/>
      <c r="C596" s="1949"/>
      <c r="D596" s="1949"/>
      <c r="E596" s="1949"/>
      <c r="F596" s="1950"/>
      <c r="G596" s="1950"/>
      <c r="H596" s="5800" t="s">
        <v>667</v>
      </c>
      <c r="I596" s="5801"/>
      <c r="J596" s="1983"/>
      <c r="K596" s="1983"/>
      <c r="L596" s="1984">
        <f>SUM(L597:L622)</f>
        <v>199095000</v>
      </c>
      <c r="M596" s="1985">
        <f>SUM(M597:M622)</f>
        <v>20635628.990000002</v>
      </c>
      <c r="N596" s="1985">
        <f>SUM(N597:N622)</f>
        <v>500000</v>
      </c>
      <c r="O596" s="1985">
        <f>N596+M596</f>
        <v>21135628.990000002</v>
      </c>
      <c r="P596" s="1985">
        <f>SUM(P597:P622)</f>
        <v>1707586400</v>
      </c>
      <c r="Q596" s="1985"/>
      <c r="R596" s="3650">
        <f>O596/L596*100</f>
        <v>10.615851221778549</v>
      </c>
      <c r="S596" s="2007"/>
    </row>
    <row r="597" spans="1:19">
      <c r="A597" s="1951"/>
      <c r="B597" s="1951"/>
      <c r="C597" s="1952"/>
      <c r="D597" s="1952"/>
      <c r="E597" s="1952"/>
      <c r="F597" s="1953" t="s">
        <v>50</v>
      </c>
      <c r="G597" s="1953"/>
      <c r="H597" s="1954" t="s">
        <v>668</v>
      </c>
      <c r="I597" s="1986"/>
      <c r="J597" s="1987"/>
      <c r="K597" s="1987"/>
      <c r="L597" s="1988">
        <f>L455</f>
        <v>57136000</v>
      </c>
      <c r="M597" s="1988">
        <f>M455</f>
        <v>0</v>
      </c>
      <c r="N597" s="1988">
        <f>N455</f>
        <v>0</v>
      </c>
      <c r="O597" s="1988">
        <f>O455</f>
        <v>0</v>
      </c>
      <c r="P597" s="1988">
        <f>P455</f>
        <v>57136000</v>
      </c>
      <c r="Q597" s="1988"/>
      <c r="R597" s="3651">
        <f>R455</f>
        <v>0</v>
      </c>
      <c r="S597" s="1952"/>
    </row>
    <row r="598" spans="1:19">
      <c r="A598" s="1951"/>
      <c r="B598" s="1951"/>
      <c r="C598" s="1952"/>
      <c r="D598" s="1952"/>
      <c r="E598" s="1952"/>
      <c r="F598" s="1953" t="s">
        <v>50</v>
      </c>
      <c r="G598" s="1953"/>
      <c r="H598" s="1955" t="s">
        <v>669</v>
      </c>
      <c r="I598" s="1989"/>
      <c r="J598" s="1989"/>
      <c r="K598" s="1989"/>
      <c r="L598" s="1988">
        <f>L460</f>
        <v>63698000</v>
      </c>
      <c r="M598" s="1988">
        <f>M460</f>
        <v>4835000</v>
      </c>
      <c r="N598" s="1988">
        <f>N460</f>
        <v>0</v>
      </c>
      <c r="O598" s="1988">
        <f>O460</f>
        <v>4835000</v>
      </c>
      <c r="P598" s="1988">
        <f>P460</f>
        <v>63698000</v>
      </c>
      <c r="Q598" s="1988"/>
      <c r="R598" s="3651">
        <f>R460</f>
        <v>0</v>
      </c>
      <c r="S598" s="1988">
        <f>S460</f>
        <v>0</v>
      </c>
    </row>
    <row r="599" spans="1:19">
      <c r="A599" s="1951"/>
      <c r="B599" s="1951"/>
      <c r="C599" s="1952"/>
      <c r="D599" s="1952"/>
      <c r="E599" s="1952"/>
      <c r="F599" s="1953" t="s">
        <v>50</v>
      </c>
      <c r="G599" s="1953"/>
      <c r="H599" s="1955" t="s">
        <v>670</v>
      </c>
      <c r="I599" s="1989"/>
      <c r="J599" s="1989"/>
      <c r="K599" s="1989"/>
      <c r="L599" s="1988">
        <f t="shared" ref="L599:R599" si="99">L509</f>
        <v>0</v>
      </c>
      <c r="M599" s="1988">
        <f t="shared" si="99"/>
        <v>0</v>
      </c>
      <c r="N599" s="1988">
        <f t="shared" si="99"/>
        <v>0</v>
      </c>
      <c r="O599" s="1988">
        <f t="shared" si="99"/>
        <v>0</v>
      </c>
      <c r="P599" s="1988">
        <f t="shared" si="99"/>
        <v>0</v>
      </c>
      <c r="Q599" s="1988"/>
      <c r="R599" s="3651">
        <f t="shared" si="99"/>
        <v>0</v>
      </c>
      <c r="S599" s="1952"/>
    </row>
    <row r="600" spans="1:19">
      <c r="A600" s="1951"/>
      <c r="B600" s="1951"/>
      <c r="C600" s="1952"/>
      <c r="D600" s="1952"/>
      <c r="E600" s="1952"/>
      <c r="F600" s="1953" t="s">
        <v>50</v>
      </c>
      <c r="G600" s="1953"/>
      <c r="H600" s="1955" t="s">
        <v>279</v>
      </c>
      <c r="I600" s="1989"/>
      <c r="J600" s="1989"/>
      <c r="K600" s="1989"/>
      <c r="L600" s="1988">
        <f>L490</f>
        <v>25741600</v>
      </c>
      <c r="M600" s="1988">
        <f t="shared" ref="M600:R600" si="100">M490</f>
        <v>0</v>
      </c>
      <c r="N600" s="1988">
        <f t="shared" si="100"/>
        <v>0</v>
      </c>
      <c r="O600" s="1988">
        <f t="shared" si="100"/>
        <v>0</v>
      </c>
      <c r="P600" s="1988">
        <f t="shared" si="100"/>
        <v>25741600</v>
      </c>
      <c r="Q600" s="1988"/>
      <c r="R600" s="3651">
        <f t="shared" si="100"/>
        <v>0</v>
      </c>
      <c r="S600" s="1952"/>
    </row>
    <row r="601" spans="1:19" ht="15.05">
      <c r="A601" s="1951"/>
      <c r="B601" s="1951"/>
      <c r="C601" s="1952"/>
      <c r="D601" s="1952"/>
      <c r="E601" s="1952"/>
      <c r="F601" s="1953" t="s">
        <v>50</v>
      </c>
      <c r="G601" s="1953"/>
      <c r="H601" s="1956" t="s">
        <v>671</v>
      </c>
      <c r="I601" s="1989"/>
      <c r="J601" s="1990"/>
      <c r="K601" s="1990"/>
      <c r="L601" s="1991">
        <f>L536</f>
        <v>0</v>
      </c>
      <c r="M601" s="1992">
        <f>M536</f>
        <v>0</v>
      </c>
      <c r="N601" s="1992">
        <f>N536</f>
        <v>0</v>
      </c>
      <c r="O601" s="1993">
        <f>O536</f>
        <v>0</v>
      </c>
      <c r="P601" s="1988">
        <f>O601-L601</f>
        <v>0</v>
      </c>
      <c r="Q601" s="2008"/>
      <c r="R601" s="3652" t="e">
        <f>#REF!</f>
        <v>#REF!</v>
      </c>
      <c r="S601" s="2009"/>
    </row>
    <row r="602" spans="1:19" ht="15.05">
      <c r="A602" s="1951"/>
      <c r="B602" s="1951"/>
      <c r="C602" s="1952"/>
      <c r="D602" s="1952"/>
      <c r="E602" s="1952"/>
      <c r="F602" s="1953" t="s">
        <v>50</v>
      </c>
      <c r="G602" s="1953"/>
      <c r="H602" s="1957" t="s">
        <v>287</v>
      </c>
      <c r="I602" s="1989"/>
      <c r="J602" s="1994"/>
      <c r="K602" s="1994"/>
      <c r="L602" s="1995">
        <f>L434</f>
        <v>0</v>
      </c>
      <c r="M602" s="1996">
        <f>M434</f>
        <v>0</v>
      </c>
      <c r="N602" s="1996">
        <f>N434</f>
        <v>0</v>
      </c>
      <c r="O602" s="1996">
        <f>O434</f>
        <v>0</v>
      </c>
      <c r="P602" s="1996">
        <f>P434</f>
        <v>0</v>
      </c>
      <c r="Q602" s="1996"/>
      <c r="R602" s="3653">
        <f>R434</f>
        <v>0</v>
      </c>
      <c r="S602" s="2009" t="e">
        <f>#REF!</f>
        <v>#REF!</v>
      </c>
    </row>
    <row r="603" spans="1:19" ht="15.05">
      <c r="A603" s="1951"/>
      <c r="B603" s="1951"/>
      <c r="C603" s="1952"/>
      <c r="D603" s="1952"/>
      <c r="E603" s="1952"/>
      <c r="F603" s="1953" t="s">
        <v>50</v>
      </c>
      <c r="G603" s="1953"/>
      <c r="H603" s="1957" t="s">
        <v>672</v>
      </c>
      <c r="I603" s="1989"/>
      <c r="J603" s="1994"/>
      <c r="K603" s="1994"/>
      <c r="L603" s="1995">
        <f t="shared" ref="L603:R603" si="101">L556</f>
        <v>0</v>
      </c>
      <c r="M603" s="1996">
        <f t="shared" si="101"/>
        <v>0</v>
      </c>
      <c r="N603" s="1996">
        <f t="shared" si="101"/>
        <v>0</v>
      </c>
      <c r="O603" s="1996">
        <f t="shared" si="101"/>
        <v>0</v>
      </c>
      <c r="P603" s="1996">
        <f t="shared" si="101"/>
        <v>0</v>
      </c>
      <c r="Q603" s="1996"/>
      <c r="R603" s="3653">
        <f t="shared" si="101"/>
        <v>0</v>
      </c>
      <c r="S603" s="2009" t="e">
        <f>#REF!</f>
        <v>#REF!</v>
      </c>
    </row>
    <row r="604" spans="1:19" ht="15.05">
      <c r="A604" s="1951"/>
      <c r="B604" s="1951"/>
      <c r="C604" s="1952"/>
      <c r="D604" s="1952"/>
      <c r="E604" s="1952"/>
      <c r="F604" s="1953" t="s">
        <v>50</v>
      </c>
      <c r="G604" s="1953"/>
      <c r="H604" s="1957" t="s">
        <v>673</v>
      </c>
      <c r="I604" s="1989"/>
      <c r="J604" s="1994"/>
      <c r="K604" s="1994"/>
      <c r="L604" s="1995">
        <f>L436</f>
        <v>0</v>
      </c>
      <c r="M604" s="1996">
        <f>M436</f>
        <v>0</v>
      </c>
      <c r="N604" s="1996">
        <f>N436</f>
        <v>0</v>
      </c>
      <c r="O604" s="1996">
        <f>O436</f>
        <v>0</v>
      </c>
      <c r="P604" s="1996">
        <f>P436</f>
        <v>0</v>
      </c>
      <c r="Q604" s="1996"/>
      <c r="R604" s="3653" t="e">
        <f>R436</f>
        <v>#DIV/0!</v>
      </c>
      <c r="S604" s="2009" t="e">
        <f>#REF!</f>
        <v>#REF!</v>
      </c>
    </row>
    <row r="605" spans="1:19" ht="15.05">
      <c r="A605" s="1951"/>
      <c r="B605" s="1951"/>
      <c r="C605" s="1952"/>
      <c r="D605" s="1952"/>
      <c r="E605" s="1952"/>
      <c r="F605" s="1953"/>
      <c r="G605" s="1953"/>
      <c r="H605" s="1957" t="s">
        <v>571</v>
      </c>
      <c r="I605" s="1989"/>
      <c r="J605" s="1994"/>
      <c r="K605" s="1994"/>
      <c r="L605" s="1995">
        <f t="shared" ref="L605:R605" si="102">L539</f>
        <v>0</v>
      </c>
      <c r="M605" s="1996">
        <f t="shared" si="102"/>
        <v>14027628.99</v>
      </c>
      <c r="N605" s="1996">
        <f t="shared" si="102"/>
        <v>500000</v>
      </c>
      <c r="O605" s="1997">
        <f t="shared" si="102"/>
        <v>14527628.99</v>
      </c>
      <c r="P605" s="1996">
        <f t="shared" si="102"/>
        <v>0</v>
      </c>
      <c r="Q605" s="1996"/>
      <c r="R605" s="3653">
        <f t="shared" si="102"/>
        <v>0</v>
      </c>
      <c r="S605" s="2009" t="e">
        <f>#REF!</f>
        <v>#REF!</v>
      </c>
    </row>
    <row r="606" spans="1:19" ht="15.05">
      <c r="A606" s="1951"/>
      <c r="B606" s="1951"/>
      <c r="C606" s="1952"/>
      <c r="D606" s="1952"/>
      <c r="E606" s="1952"/>
      <c r="F606" s="1953"/>
      <c r="G606" s="1953"/>
      <c r="H606" s="1957" t="s">
        <v>674</v>
      </c>
      <c r="I606" s="1989"/>
      <c r="J606" s="1994"/>
      <c r="K606" s="1994"/>
      <c r="L606" s="1995">
        <f t="shared" ref="L606:R606" si="103">L543</f>
        <v>0</v>
      </c>
      <c r="M606" s="1996">
        <f t="shared" si="103"/>
        <v>0</v>
      </c>
      <c r="N606" s="1996">
        <f t="shared" si="103"/>
        <v>0</v>
      </c>
      <c r="O606" s="1996">
        <f t="shared" si="103"/>
        <v>0</v>
      </c>
      <c r="P606" s="1996">
        <f t="shared" si="103"/>
        <v>0</v>
      </c>
      <c r="Q606" s="1996"/>
      <c r="R606" s="3653">
        <f t="shared" si="103"/>
        <v>0</v>
      </c>
      <c r="S606" s="2009" t="e">
        <f>#REF!</f>
        <v>#REF!</v>
      </c>
    </row>
    <row r="607" spans="1:19">
      <c r="A607" s="1951"/>
      <c r="B607" s="1951"/>
      <c r="C607" s="1952"/>
      <c r="D607" s="1952"/>
      <c r="E607" s="1952"/>
      <c r="F607" s="1953"/>
      <c r="G607" s="1953"/>
      <c r="H607" s="1958" t="s">
        <v>675</v>
      </c>
      <c r="I607" s="1998"/>
      <c r="J607" s="1999"/>
      <c r="K607" s="1999"/>
      <c r="L607" s="1958">
        <f>L448</f>
        <v>0</v>
      </c>
      <c r="M607" s="1958">
        <f>M448</f>
        <v>0</v>
      </c>
      <c r="N607" s="1958">
        <f>N448</f>
        <v>0</v>
      </c>
      <c r="O607" s="2000">
        <f>O448</f>
        <v>0</v>
      </c>
      <c r="P607" s="1958">
        <f>P448</f>
        <v>0</v>
      </c>
      <c r="Q607" s="1958"/>
      <c r="R607" s="3652" t="e">
        <f>#REF!</f>
        <v>#REF!</v>
      </c>
      <c r="S607" s="2009" t="e">
        <f>#REF!</f>
        <v>#REF!</v>
      </c>
    </row>
    <row r="608" spans="1:19" ht="15.05">
      <c r="A608" s="1951"/>
      <c r="B608" s="1951"/>
      <c r="C608" s="1952"/>
      <c r="D608" s="1952"/>
      <c r="E608" s="1952"/>
      <c r="F608" s="1953"/>
      <c r="G608" s="1953"/>
      <c r="H608" s="1959" t="s">
        <v>271</v>
      </c>
      <c r="I608" s="1990"/>
      <c r="J608" s="1994"/>
      <c r="K608" s="1994"/>
      <c r="L608" s="1995">
        <f>L451</f>
        <v>51419400</v>
      </c>
      <c r="M608" s="1995">
        <f>M451</f>
        <v>0</v>
      </c>
      <c r="N608" s="1995">
        <f>N451</f>
        <v>0</v>
      </c>
      <c r="O608" s="1995">
        <f>O451</f>
        <v>0</v>
      </c>
      <c r="P608" s="1995">
        <f>P451</f>
        <v>51419400</v>
      </c>
      <c r="Q608" s="1995"/>
      <c r="R608" s="3654">
        <f>R451</f>
        <v>0</v>
      </c>
      <c r="S608" s="2009" t="e">
        <f>#REF!</f>
        <v>#REF!</v>
      </c>
    </row>
    <row r="609" spans="1:20" ht="15.05">
      <c r="A609" s="1951"/>
      <c r="B609" s="1951"/>
      <c r="C609" s="1952"/>
      <c r="D609" s="1952"/>
      <c r="E609" s="1952"/>
      <c r="F609" s="1953"/>
      <c r="G609" s="1953"/>
      <c r="H609" s="1960" t="s">
        <v>676</v>
      </c>
      <c r="I609" s="1989"/>
      <c r="J609" s="1989"/>
      <c r="K609" s="1989"/>
      <c r="L609" s="1988">
        <f t="shared" ref="L609:R609" si="104">L529</f>
        <v>0</v>
      </c>
      <c r="M609" s="1988">
        <f t="shared" si="104"/>
        <v>0</v>
      </c>
      <c r="N609" s="1988">
        <f t="shared" si="104"/>
        <v>0</v>
      </c>
      <c r="O609" s="2001">
        <f t="shared" si="104"/>
        <v>0</v>
      </c>
      <c r="P609" s="1988">
        <f t="shared" si="104"/>
        <v>0</v>
      </c>
      <c r="Q609" s="1988"/>
      <c r="R609" s="3651">
        <f t="shared" si="104"/>
        <v>0</v>
      </c>
      <c r="S609" s="2009" t="e">
        <f>#REF!</f>
        <v>#REF!</v>
      </c>
    </row>
    <row r="610" spans="1:20" ht="15.05">
      <c r="A610" s="1951"/>
      <c r="B610" s="1951"/>
      <c r="C610" s="1952"/>
      <c r="D610" s="1952"/>
      <c r="E610" s="1952"/>
      <c r="F610" s="1953"/>
      <c r="G610" s="1953"/>
      <c r="H610" s="1960" t="s">
        <v>280</v>
      </c>
      <c r="I610" s="1989"/>
      <c r="J610" s="1989"/>
      <c r="K610" s="1989"/>
      <c r="L610" s="1988">
        <f t="shared" ref="L610:R610" si="105">L528</f>
        <v>1100000</v>
      </c>
      <c r="M610" s="1988">
        <f t="shared" si="105"/>
        <v>0</v>
      </c>
      <c r="N610" s="1988">
        <f t="shared" si="105"/>
        <v>0</v>
      </c>
      <c r="O610" s="1988">
        <f t="shared" si="105"/>
        <v>0</v>
      </c>
      <c r="P610" s="1988">
        <f t="shared" si="105"/>
        <v>1100000</v>
      </c>
      <c r="Q610" s="1988"/>
      <c r="R610" s="3651">
        <f t="shared" si="105"/>
        <v>0</v>
      </c>
      <c r="S610" s="2009" t="e">
        <f>#REF!</f>
        <v>#REF!</v>
      </c>
    </row>
    <row r="611" spans="1:20">
      <c r="A611" s="1951"/>
      <c r="B611" s="1951"/>
      <c r="C611" s="1952"/>
      <c r="D611" s="1952"/>
      <c r="E611" s="1952"/>
      <c r="F611" s="1953"/>
      <c r="G611" s="1953"/>
      <c r="H611" s="1958" t="s">
        <v>595</v>
      </c>
      <c r="I611" s="1998"/>
      <c r="J611" s="1999"/>
      <c r="K611" s="1999"/>
      <c r="L611" s="1958">
        <f>L549</f>
        <v>0</v>
      </c>
      <c r="M611" s="1958">
        <f t="shared" ref="M611:S611" si="106">M549</f>
        <v>0</v>
      </c>
      <c r="N611" s="1958">
        <f t="shared" si="106"/>
        <v>0</v>
      </c>
      <c r="O611" s="1958">
        <f t="shared" si="106"/>
        <v>0</v>
      </c>
      <c r="P611" s="1958">
        <f t="shared" si="106"/>
        <v>0</v>
      </c>
      <c r="Q611" s="1958"/>
      <c r="R611" s="3652">
        <f t="shared" si="106"/>
        <v>0</v>
      </c>
      <c r="S611" s="2009">
        <f t="shared" si="106"/>
        <v>0</v>
      </c>
    </row>
    <row r="612" spans="1:20">
      <c r="A612" s="1951"/>
      <c r="B612" s="1951"/>
      <c r="C612" s="1952"/>
      <c r="D612" s="1952"/>
      <c r="E612" s="1952"/>
      <c r="F612" s="1953"/>
      <c r="G612" s="1953"/>
      <c r="H612" s="1958" t="s">
        <v>677</v>
      </c>
      <c r="I612" s="1998"/>
      <c r="J612" s="1999"/>
      <c r="K612" s="1999"/>
      <c r="L612" s="1958">
        <f>L439</f>
        <v>0</v>
      </c>
      <c r="M612" s="1958">
        <f>M439</f>
        <v>0</v>
      </c>
      <c r="N612" s="1958">
        <f>N439</f>
        <v>0</v>
      </c>
      <c r="O612" s="1958">
        <f>O439</f>
        <v>0</v>
      </c>
      <c r="P612" s="1958">
        <f>P439</f>
        <v>0</v>
      </c>
      <c r="Q612" s="1958"/>
      <c r="R612" s="3652" t="e">
        <f>R439</f>
        <v>#DIV/0!</v>
      </c>
      <c r="S612" s="2009" t="e">
        <f>#REF!</f>
        <v>#REF!</v>
      </c>
    </row>
    <row r="613" spans="1:20" ht="15.05">
      <c r="A613" s="1951"/>
      <c r="B613" s="1951"/>
      <c r="C613" s="1952"/>
      <c r="D613" s="1952"/>
      <c r="E613" s="1952"/>
      <c r="F613" s="1953"/>
      <c r="G613" s="1953"/>
      <c r="H613" s="2010" t="str">
        <f>F444</f>
        <v>BADAN PENANAMAN MODAL TERPADU</v>
      </c>
      <c r="I613" s="2040"/>
      <c r="J613" s="2041"/>
      <c r="K613" s="2041"/>
      <c r="L613" s="2042">
        <f>L444</f>
        <v>0</v>
      </c>
      <c r="M613" s="2042">
        <f>M444</f>
        <v>0</v>
      </c>
      <c r="N613" s="2042">
        <f>N444</f>
        <v>0</v>
      </c>
      <c r="O613" s="2042">
        <f>O444</f>
        <v>0</v>
      </c>
      <c r="P613" s="2042">
        <f>P444</f>
        <v>0</v>
      </c>
      <c r="Q613" s="2042"/>
      <c r="R613" s="3655" t="e">
        <f>R444</f>
        <v>#DIV/0!</v>
      </c>
      <c r="S613" s="2042">
        <f>S444</f>
        <v>0</v>
      </c>
    </row>
    <row r="614" spans="1:20" s="1841" customFormat="1">
      <c r="A614" s="1951"/>
      <c r="B614" s="1951"/>
      <c r="C614" s="1952"/>
      <c r="D614" s="1952"/>
      <c r="E614" s="1952"/>
      <c r="F614" s="2011"/>
      <c r="G614" s="2011"/>
      <c r="H614" s="2012" t="s">
        <v>678</v>
      </c>
      <c r="I614" s="2043"/>
      <c r="J614" s="2044"/>
      <c r="K614" s="2044"/>
      <c r="L614" s="2045">
        <f>L547</f>
        <v>0</v>
      </c>
      <c r="M614" s="2045">
        <f t="shared" ref="M614:R614" si="107">M547</f>
        <v>0</v>
      </c>
      <c r="N614" s="2045">
        <f t="shared" si="107"/>
        <v>0</v>
      </c>
      <c r="O614" s="2046">
        <f t="shared" si="107"/>
        <v>0</v>
      </c>
      <c r="P614" s="2045">
        <f t="shared" si="107"/>
        <v>0</v>
      </c>
      <c r="Q614" s="2045"/>
      <c r="R614" s="3656">
        <f t="shared" si="107"/>
        <v>0</v>
      </c>
      <c r="S614" s="2066" t="e">
        <f>#REF!</f>
        <v>#REF!</v>
      </c>
      <c r="T614" s="2067"/>
    </row>
    <row r="615" spans="1:20" ht="15.65">
      <c r="A615" s="1951"/>
      <c r="B615" s="1951"/>
      <c r="C615" s="1952"/>
      <c r="D615" s="1952"/>
      <c r="E615" s="1952"/>
      <c r="F615" s="1953"/>
      <c r="G615" s="1953"/>
      <c r="H615" s="2013" t="s">
        <v>679</v>
      </c>
      <c r="I615" s="1998"/>
      <c r="J615" s="1999"/>
      <c r="K615" s="1999"/>
      <c r="L615" s="1958">
        <f>L516</f>
        <v>0</v>
      </c>
      <c r="M615" s="1958">
        <f t="shared" ref="M615:S615" si="108">M516</f>
        <v>0</v>
      </c>
      <c r="N615" s="1958">
        <f t="shared" si="108"/>
        <v>0</v>
      </c>
      <c r="O615" s="1958">
        <f t="shared" si="108"/>
        <v>0</v>
      </c>
      <c r="P615" s="1958">
        <f t="shared" si="108"/>
        <v>0</v>
      </c>
      <c r="Q615" s="1958"/>
      <c r="R615" s="3652">
        <f t="shared" si="108"/>
        <v>0</v>
      </c>
      <c r="S615" s="2009">
        <f t="shared" si="108"/>
        <v>0</v>
      </c>
    </row>
    <row r="616" spans="1:20" ht="15.05">
      <c r="A616" s="1951"/>
      <c r="B616" s="1951"/>
      <c r="C616" s="1952"/>
      <c r="D616" s="1952"/>
      <c r="E616" s="1952"/>
      <c r="F616" s="1953" t="s">
        <v>50</v>
      </c>
      <c r="G616" s="1953"/>
      <c r="H616" s="1960" t="s">
        <v>568</v>
      </c>
      <c r="I616" s="1989"/>
      <c r="J616" s="1989"/>
      <c r="K616" s="1989"/>
      <c r="L616" s="1988">
        <f t="shared" ref="L616:R616" si="109">L553</f>
        <v>0</v>
      </c>
      <c r="M616" s="1988">
        <f t="shared" si="109"/>
        <v>913000</v>
      </c>
      <c r="N616" s="1988">
        <f t="shared" si="109"/>
        <v>0</v>
      </c>
      <c r="O616" s="2001">
        <f t="shared" si="109"/>
        <v>913000</v>
      </c>
      <c r="P616" s="1988">
        <f t="shared" si="109"/>
        <v>0</v>
      </c>
      <c r="Q616" s="1988"/>
      <c r="R616" s="3651">
        <f t="shared" si="109"/>
        <v>0</v>
      </c>
      <c r="S616" s="2009" t="e">
        <f>#REF!</f>
        <v>#REF!</v>
      </c>
    </row>
    <row r="617" spans="1:20" ht="15.05">
      <c r="A617" s="1951"/>
      <c r="B617" s="1951"/>
      <c r="C617" s="1952"/>
      <c r="D617" s="1952"/>
      <c r="E617" s="1952"/>
      <c r="F617" s="1953"/>
      <c r="G617" s="1953"/>
      <c r="H617" s="1960" t="s">
        <v>680</v>
      </c>
      <c r="I617" s="1989"/>
      <c r="J617" s="1989"/>
      <c r="K617" s="1989"/>
      <c r="L617" s="1988">
        <f t="shared" ref="L617:R617" si="110">L505</f>
        <v>0</v>
      </c>
      <c r="M617" s="1988">
        <f t="shared" si="110"/>
        <v>720000</v>
      </c>
      <c r="N617" s="1988">
        <f t="shared" si="110"/>
        <v>0</v>
      </c>
      <c r="O617" s="1988">
        <f t="shared" si="110"/>
        <v>720000</v>
      </c>
      <c r="P617" s="1988">
        <f t="shared" si="110"/>
        <v>0</v>
      </c>
      <c r="Q617" s="1988"/>
      <c r="R617" s="3651">
        <f t="shared" si="110"/>
        <v>0</v>
      </c>
      <c r="S617" s="2009" t="e">
        <f>#REF!</f>
        <v>#REF!</v>
      </c>
    </row>
    <row r="618" spans="1:20" ht="15.05">
      <c r="A618" s="1951"/>
      <c r="B618" s="1951"/>
      <c r="C618" s="1952"/>
      <c r="D618" s="1952"/>
      <c r="E618" s="1952"/>
      <c r="F618" s="1953" t="s">
        <v>50</v>
      </c>
      <c r="G618" s="1953"/>
      <c r="H618" s="1960" t="s">
        <v>589</v>
      </c>
      <c r="I618" s="1989"/>
      <c r="J618" s="1989"/>
      <c r="K618" s="1989"/>
      <c r="L618" s="1988">
        <f t="shared" ref="L618:R618" si="111">L493</f>
        <v>0</v>
      </c>
      <c r="M618" s="1988">
        <f t="shared" si="111"/>
        <v>140000</v>
      </c>
      <c r="N618" s="1988">
        <f t="shared" si="111"/>
        <v>0</v>
      </c>
      <c r="O618" s="1988">
        <f t="shared" si="111"/>
        <v>140000</v>
      </c>
      <c r="P618" s="1988">
        <f t="shared" si="111"/>
        <v>0</v>
      </c>
      <c r="Q618" s="1988"/>
      <c r="R618" s="3651">
        <f t="shared" si="111"/>
        <v>0</v>
      </c>
      <c r="S618" s="2009" t="e">
        <f>#REF!</f>
        <v>#REF!</v>
      </c>
    </row>
    <row r="619" spans="1:20" ht="15.05">
      <c r="A619" s="1951"/>
      <c r="B619" s="1951"/>
      <c r="C619" s="1952"/>
      <c r="D619" s="1952"/>
      <c r="E619" s="1952"/>
      <c r="F619" s="1953" t="s">
        <v>50</v>
      </c>
      <c r="G619" s="1953"/>
      <c r="H619" s="1960" t="s">
        <v>681</v>
      </c>
      <c r="I619" s="1989"/>
      <c r="J619" s="1989"/>
      <c r="K619" s="1989"/>
      <c r="L619" s="1988">
        <f t="shared" ref="L619:R619" si="112">L496</f>
        <v>0</v>
      </c>
      <c r="M619" s="1988">
        <f t="shared" si="112"/>
        <v>0</v>
      </c>
      <c r="N619" s="1988">
        <f t="shared" si="112"/>
        <v>0</v>
      </c>
      <c r="O619" s="2001">
        <f t="shared" si="112"/>
        <v>0</v>
      </c>
      <c r="P619" s="1988">
        <f t="shared" si="112"/>
        <v>0</v>
      </c>
      <c r="Q619" s="1988"/>
      <c r="R619" s="3651">
        <f t="shared" si="112"/>
        <v>0</v>
      </c>
      <c r="S619" s="2009" t="e">
        <f>#REF!</f>
        <v>#REF!</v>
      </c>
    </row>
    <row r="620" spans="1:20" ht="15.05">
      <c r="A620" s="1951"/>
      <c r="B620" s="1951"/>
      <c r="C620" s="1952"/>
      <c r="D620" s="1952"/>
      <c r="E620" s="1952"/>
      <c r="F620" s="1953"/>
      <c r="G620" s="1953"/>
      <c r="H620" s="1960" t="s">
        <v>609</v>
      </c>
      <c r="I620" s="1989"/>
      <c r="J620" s="1989"/>
      <c r="K620" s="1989"/>
      <c r="L620" s="1988">
        <f t="shared" ref="L620:R620" si="113">L499</f>
        <v>0</v>
      </c>
      <c r="M620" s="1988">
        <f t="shared" si="113"/>
        <v>0</v>
      </c>
      <c r="N620" s="1988">
        <f t="shared" si="113"/>
        <v>0</v>
      </c>
      <c r="O620" s="2001">
        <f t="shared" si="113"/>
        <v>0</v>
      </c>
      <c r="P620" s="1988">
        <f t="shared" si="113"/>
        <v>0</v>
      </c>
      <c r="Q620" s="1988"/>
      <c r="R620" s="3651">
        <f t="shared" si="113"/>
        <v>0</v>
      </c>
      <c r="S620" s="2009" t="e">
        <f>#REF!</f>
        <v>#REF!</v>
      </c>
    </row>
    <row r="621" spans="1:20" ht="15.05">
      <c r="A621" s="1951"/>
      <c r="B621" s="1951"/>
      <c r="C621" s="1952"/>
      <c r="D621" s="1952"/>
      <c r="E621" s="1952"/>
      <c r="F621" s="1953" t="s">
        <v>50</v>
      </c>
      <c r="G621" s="1953"/>
      <c r="H621" s="2014" t="s">
        <v>682</v>
      </c>
      <c r="I621" s="1998"/>
      <c r="J621" s="1998"/>
      <c r="K621" s="1998"/>
      <c r="L621" s="2009"/>
      <c r="M621" s="2009">
        <f t="shared" ref="M621:S621" si="114">M487</f>
        <v>0</v>
      </c>
      <c r="N621" s="2009">
        <f t="shared" si="114"/>
        <v>0</v>
      </c>
      <c r="O621" s="2009">
        <f t="shared" si="114"/>
        <v>0</v>
      </c>
      <c r="P621" s="2009">
        <f t="shared" si="114"/>
        <v>1508491400</v>
      </c>
      <c r="Q621" s="2009"/>
      <c r="R621" s="3657">
        <f t="shared" si="114"/>
        <v>0</v>
      </c>
      <c r="S621" s="2009">
        <f t="shared" si="114"/>
        <v>0</v>
      </c>
    </row>
    <row r="622" spans="1:20" ht="12.55">
      <c r="A622" s="2015"/>
      <c r="B622" s="2015"/>
      <c r="C622" s="2016"/>
      <c r="D622" s="2016"/>
      <c r="E622" s="2016"/>
      <c r="F622" s="2017" t="s">
        <v>50</v>
      </c>
      <c r="G622" s="2017"/>
      <c r="H622" s="2018"/>
      <c r="I622" s="2047"/>
      <c r="J622" s="2047"/>
      <c r="K622" s="2047"/>
      <c r="L622" s="2048"/>
      <c r="M622" s="2048"/>
      <c r="N622" s="2048"/>
      <c r="O622" s="2048"/>
      <c r="P622" s="2048"/>
      <c r="Q622" s="2048"/>
      <c r="R622" s="3658"/>
      <c r="S622" s="2048"/>
    </row>
    <row r="623" spans="1:20">
      <c r="F623" s="2019"/>
      <c r="G623" s="2019"/>
      <c r="H623" s="1843"/>
    </row>
    <row r="624" spans="1:20">
      <c r="F624" s="2019"/>
      <c r="G624" s="2019"/>
      <c r="H624" s="1843"/>
      <c r="L624" s="1982" t="s">
        <v>665</v>
      </c>
      <c r="M624" s="1982"/>
      <c r="N624" s="1982" t="s">
        <v>666</v>
      </c>
    </row>
    <row r="625" spans="1:19" ht="16.45" customHeight="1">
      <c r="A625" s="2020"/>
      <c r="B625" s="2020"/>
      <c r="C625" s="2021"/>
      <c r="D625" s="2021"/>
      <c r="E625" s="2021"/>
      <c r="F625" s="2022"/>
      <c r="G625" s="2022"/>
      <c r="H625" s="5802" t="s">
        <v>683</v>
      </c>
      <c r="I625" s="5803"/>
      <c r="J625" s="2049"/>
      <c r="K625" s="2049"/>
      <c r="L625" s="2050">
        <f>SUM(L626:L637)</f>
        <v>0</v>
      </c>
      <c r="M625" s="2050">
        <f>SUM(M626:M637)</f>
        <v>10809500</v>
      </c>
      <c r="N625" s="2050">
        <f>SUM(N626:N637)</f>
        <v>0</v>
      </c>
      <c r="O625" s="2050">
        <f>N625+M625</f>
        <v>10809500</v>
      </c>
      <c r="P625" s="2050" t="e">
        <f>P626+#REF!+P628+P630+P633+P636+P637+P634</f>
        <v>#REF!</v>
      </c>
      <c r="Q625" s="2050"/>
      <c r="R625" s="3659" t="e">
        <f>R626+#REF!+R628+R630+R633+R636+R637</f>
        <v>#REF!</v>
      </c>
      <c r="S625" s="1831"/>
    </row>
    <row r="626" spans="1:19">
      <c r="A626" s="2023"/>
      <c r="B626" s="2023"/>
      <c r="C626" s="2007"/>
      <c r="D626" s="2007"/>
      <c r="E626" s="2007"/>
      <c r="F626" s="2024" t="s">
        <v>50</v>
      </c>
      <c r="G626" s="2025"/>
      <c r="H626" s="2026" t="s">
        <v>684</v>
      </c>
      <c r="I626" s="2051"/>
      <c r="J626" s="2051"/>
      <c r="K626" s="2051"/>
      <c r="L626" s="2052">
        <f>L458</f>
        <v>0</v>
      </c>
      <c r="M626" s="2052">
        <f>M458</f>
        <v>0</v>
      </c>
      <c r="N626" s="2052">
        <f>N458</f>
        <v>0</v>
      </c>
      <c r="O626" s="2052">
        <f>O458</f>
        <v>0</v>
      </c>
      <c r="P626" s="2052">
        <f>P458</f>
        <v>0</v>
      </c>
      <c r="Q626" s="2052"/>
      <c r="R626" s="3660">
        <f>R458</f>
        <v>0</v>
      </c>
      <c r="S626" s="1996">
        <f>S458</f>
        <v>0</v>
      </c>
    </row>
    <row r="627" spans="1:19">
      <c r="A627" s="2027"/>
      <c r="B627" s="2027"/>
      <c r="C627" s="2028"/>
      <c r="D627" s="2028"/>
      <c r="E627" s="2028"/>
      <c r="F627" s="1953" t="s">
        <v>50</v>
      </c>
      <c r="G627" s="2029"/>
      <c r="H627" s="2030" t="s">
        <v>685</v>
      </c>
      <c r="I627" s="2053"/>
      <c r="J627" s="2053"/>
      <c r="K627" s="2053"/>
      <c r="L627" s="2054">
        <v>0</v>
      </c>
      <c r="M627" s="2054">
        <f>M457</f>
        <v>0</v>
      </c>
      <c r="N627" s="2054">
        <f>N457</f>
        <v>0</v>
      </c>
      <c r="O627" s="2054">
        <f>O457</f>
        <v>0</v>
      </c>
      <c r="P627" s="2054">
        <f>P457</f>
        <v>198040000</v>
      </c>
      <c r="Q627" s="2054"/>
      <c r="R627" s="3661">
        <f>R457</f>
        <v>0</v>
      </c>
      <c r="S627" s="1996"/>
    </row>
    <row r="628" spans="1:19" ht="15.05">
      <c r="A628" s="1951"/>
      <c r="B628" s="1951"/>
      <c r="C628" s="1952"/>
      <c r="D628" s="1952"/>
      <c r="E628" s="1952"/>
      <c r="F628" s="1953" t="s">
        <v>50</v>
      </c>
      <c r="G628" s="1953"/>
      <c r="H628" s="1960" t="s">
        <v>570</v>
      </c>
      <c r="I628" s="1989"/>
      <c r="J628" s="1989"/>
      <c r="K628" s="1989"/>
      <c r="L628" s="1988">
        <f t="shared" ref="L628:R628" si="115">L513</f>
        <v>0</v>
      </c>
      <c r="M628" s="1988">
        <f t="shared" si="115"/>
        <v>10809500</v>
      </c>
      <c r="N628" s="1988">
        <f t="shared" si="115"/>
        <v>0</v>
      </c>
      <c r="O628" s="1988">
        <f t="shared" si="115"/>
        <v>10809500</v>
      </c>
      <c r="P628" s="1988">
        <f t="shared" si="115"/>
        <v>0</v>
      </c>
      <c r="Q628" s="1988"/>
      <c r="R628" s="3651">
        <f t="shared" si="115"/>
        <v>0</v>
      </c>
      <c r="S628" s="1996"/>
    </row>
    <row r="629" spans="1:19" ht="15.05">
      <c r="A629" s="1951"/>
      <c r="B629" s="1951"/>
      <c r="C629" s="1952"/>
      <c r="D629" s="1952"/>
      <c r="E629" s="1952"/>
      <c r="F629" s="1953" t="s">
        <v>50</v>
      </c>
      <c r="G629" s="2031"/>
      <c r="H629" s="1960" t="s">
        <v>686</v>
      </c>
      <c r="I629" s="1989"/>
      <c r="J629" s="1989"/>
      <c r="K629" s="1989"/>
      <c r="L629" s="1988">
        <f>L506</f>
        <v>0</v>
      </c>
      <c r="M629" s="1988">
        <f t="shared" ref="M629:S629" si="116">M506</f>
        <v>0</v>
      </c>
      <c r="N629" s="1988">
        <f t="shared" si="116"/>
        <v>0</v>
      </c>
      <c r="O629" s="1988">
        <f t="shared" si="116"/>
        <v>0</v>
      </c>
      <c r="P629" s="1988">
        <f t="shared" si="116"/>
        <v>0</v>
      </c>
      <c r="Q629" s="1988"/>
      <c r="R629" s="3651">
        <f t="shared" si="116"/>
        <v>0</v>
      </c>
      <c r="S629" s="1988">
        <f t="shared" si="116"/>
        <v>0</v>
      </c>
    </row>
    <row r="630" spans="1:19">
      <c r="A630" s="1951"/>
      <c r="B630" s="1951"/>
      <c r="C630" s="1952"/>
      <c r="D630" s="1952"/>
      <c r="E630" s="1952"/>
      <c r="F630" s="1953" t="s">
        <v>50</v>
      </c>
      <c r="G630" s="2031"/>
      <c r="H630" s="2032" t="s">
        <v>687</v>
      </c>
      <c r="I630" s="1989"/>
      <c r="J630" s="1989"/>
      <c r="K630" s="1989"/>
      <c r="L630" s="1988">
        <f>L508</f>
        <v>0</v>
      </c>
      <c r="M630" s="1988">
        <f t="shared" ref="M630:S630" si="117">M508</f>
        <v>0</v>
      </c>
      <c r="N630" s="1988">
        <f t="shared" si="117"/>
        <v>0</v>
      </c>
      <c r="O630" s="1988">
        <f t="shared" si="117"/>
        <v>0</v>
      </c>
      <c r="P630" s="1988">
        <f t="shared" si="117"/>
        <v>0</v>
      </c>
      <c r="Q630" s="1988"/>
      <c r="R630" s="3651">
        <f t="shared" si="117"/>
        <v>0</v>
      </c>
      <c r="S630" s="1996">
        <f t="shared" si="117"/>
        <v>0</v>
      </c>
    </row>
    <row r="631" spans="1:19" ht="15.05">
      <c r="A631" s="1951"/>
      <c r="B631" s="1951"/>
      <c r="C631" s="1952"/>
      <c r="D631" s="1952"/>
      <c r="E631" s="1952"/>
      <c r="F631" s="1953"/>
      <c r="G631" s="2031"/>
      <c r="H631" s="1960" t="s">
        <v>688</v>
      </c>
      <c r="I631" s="1989"/>
      <c r="J631" s="1989"/>
      <c r="K631" s="1989"/>
      <c r="L631" s="1988">
        <f>L500</f>
        <v>0</v>
      </c>
      <c r="M631" s="1988">
        <f t="shared" ref="M631:R631" si="118">M500</f>
        <v>0</v>
      </c>
      <c r="N631" s="1988">
        <f t="shared" si="118"/>
        <v>0</v>
      </c>
      <c r="O631" s="1988">
        <f t="shared" si="118"/>
        <v>0</v>
      </c>
      <c r="P631" s="1988">
        <f t="shared" si="118"/>
        <v>0</v>
      </c>
      <c r="Q631" s="1988"/>
      <c r="R631" s="3651">
        <f t="shared" si="118"/>
        <v>0</v>
      </c>
      <c r="S631" s="1996"/>
    </row>
    <row r="632" spans="1:19" ht="15.05">
      <c r="A632" s="1951"/>
      <c r="B632" s="1951"/>
      <c r="C632" s="1952"/>
      <c r="D632" s="1952"/>
      <c r="E632" s="1952"/>
      <c r="F632" s="1953" t="s">
        <v>50</v>
      </c>
      <c r="G632" s="2031"/>
      <c r="H632" s="1960" t="s">
        <v>689</v>
      </c>
      <c r="I632" s="1989"/>
      <c r="J632" s="1989"/>
      <c r="K632" s="1989"/>
      <c r="L632" s="1988">
        <f>L502</f>
        <v>0</v>
      </c>
      <c r="M632" s="1988">
        <f t="shared" ref="M632:S632" si="119">M502</f>
        <v>0</v>
      </c>
      <c r="N632" s="1988">
        <f t="shared" si="119"/>
        <v>0</v>
      </c>
      <c r="O632" s="1988">
        <f t="shared" si="119"/>
        <v>0</v>
      </c>
      <c r="P632" s="1988">
        <f t="shared" si="119"/>
        <v>0</v>
      </c>
      <c r="Q632" s="1988"/>
      <c r="R632" s="3651">
        <f t="shared" si="119"/>
        <v>0</v>
      </c>
      <c r="S632" s="1996">
        <f t="shared" si="119"/>
        <v>0</v>
      </c>
    </row>
    <row r="633" spans="1:19" ht="15.05">
      <c r="A633" s="1951"/>
      <c r="B633" s="1951"/>
      <c r="C633" s="1952"/>
      <c r="D633" s="1952"/>
      <c r="E633" s="1952"/>
      <c r="F633" s="1953"/>
      <c r="G633" s="2031"/>
      <c r="H633" s="1960" t="s">
        <v>690</v>
      </c>
      <c r="I633" s="1989"/>
      <c r="J633" s="1989"/>
      <c r="K633" s="1989"/>
      <c r="L633" s="1988">
        <f>L541</f>
        <v>0</v>
      </c>
      <c r="M633" s="1988">
        <f t="shared" ref="M633:S633" si="120">M541</f>
        <v>0</v>
      </c>
      <c r="N633" s="1988">
        <f t="shared" si="120"/>
        <v>0</v>
      </c>
      <c r="O633" s="1988">
        <f t="shared" si="120"/>
        <v>0</v>
      </c>
      <c r="P633" s="1988">
        <f t="shared" si="120"/>
        <v>0</v>
      </c>
      <c r="Q633" s="1988"/>
      <c r="R633" s="3651">
        <f t="shared" si="120"/>
        <v>0</v>
      </c>
      <c r="S633" s="1996">
        <f t="shared" si="120"/>
        <v>0</v>
      </c>
    </row>
    <row r="634" spans="1:19" ht="15.05">
      <c r="A634" s="1951"/>
      <c r="B634" s="1951"/>
      <c r="C634" s="1952"/>
      <c r="D634" s="1952"/>
      <c r="E634" s="1952"/>
      <c r="F634" s="1953"/>
      <c r="G634" s="2031"/>
      <c r="H634" s="1960" t="s">
        <v>691</v>
      </c>
      <c r="I634" s="1989"/>
      <c r="J634" s="1989"/>
      <c r="K634" s="1989"/>
      <c r="L634" s="1988">
        <f>L545</f>
        <v>0</v>
      </c>
      <c r="M634" s="1988">
        <f t="shared" ref="M634:R634" si="121">M545</f>
        <v>0</v>
      </c>
      <c r="N634" s="1988">
        <f t="shared" si="121"/>
        <v>0</v>
      </c>
      <c r="O634" s="1988">
        <f t="shared" si="121"/>
        <v>0</v>
      </c>
      <c r="P634" s="1988">
        <f t="shared" si="121"/>
        <v>0</v>
      </c>
      <c r="Q634" s="1988"/>
      <c r="R634" s="3651">
        <f t="shared" si="121"/>
        <v>0</v>
      </c>
      <c r="S634" s="1996"/>
    </row>
    <row r="635" spans="1:19" ht="15.05">
      <c r="A635" s="1951"/>
      <c r="B635" s="1951"/>
      <c r="C635" s="1952"/>
      <c r="D635" s="1952"/>
      <c r="E635" s="1952"/>
      <c r="F635" s="1953"/>
      <c r="G635" s="2031"/>
      <c r="H635" s="1960" t="s">
        <v>651</v>
      </c>
      <c r="I635" s="1989"/>
      <c r="J635" s="1989"/>
      <c r="K635" s="1989"/>
      <c r="L635" s="1988">
        <f t="shared" ref="L635:R635" si="122">L560</f>
        <v>0</v>
      </c>
      <c r="M635" s="1988">
        <f t="shared" si="122"/>
        <v>0</v>
      </c>
      <c r="N635" s="1988">
        <f t="shared" si="122"/>
        <v>0</v>
      </c>
      <c r="O635" s="1988">
        <f t="shared" si="122"/>
        <v>0</v>
      </c>
      <c r="P635" s="1988">
        <f t="shared" si="122"/>
        <v>0</v>
      </c>
      <c r="Q635" s="1988"/>
      <c r="R635" s="3651">
        <f t="shared" si="122"/>
        <v>0</v>
      </c>
      <c r="S635" s="1996"/>
    </row>
    <row r="636" spans="1:19" ht="15.05">
      <c r="A636" s="1951"/>
      <c r="B636" s="1951"/>
      <c r="C636" s="1952"/>
      <c r="D636" s="1952"/>
      <c r="E636" s="1952"/>
      <c r="F636" s="2758" t="s">
        <v>50</v>
      </c>
      <c r="G636" s="2031"/>
      <c r="H636" s="2033" t="s">
        <v>692</v>
      </c>
      <c r="I636" s="1989"/>
      <c r="J636" s="1989"/>
      <c r="K636" s="1989"/>
      <c r="L636" s="2055">
        <f>L467</f>
        <v>0</v>
      </c>
      <c r="M636" s="2055">
        <f>M467</f>
        <v>0</v>
      </c>
      <c r="N636" s="2055">
        <f>N467</f>
        <v>0</v>
      </c>
      <c r="O636" s="2055">
        <f>O467</f>
        <v>0</v>
      </c>
      <c r="P636" s="2055">
        <f>P467</f>
        <v>0</v>
      </c>
      <c r="Q636" s="2055"/>
      <c r="R636" s="3651">
        <f>R467</f>
        <v>0</v>
      </c>
      <c r="S636" s="2068">
        <f>S467</f>
        <v>0</v>
      </c>
    </row>
    <row r="637" spans="1:19" ht="15.05">
      <c r="A637" s="2015"/>
      <c r="B637" s="2015"/>
      <c r="C637" s="2016"/>
      <c r="D637" s="2016"/>
      <c r="E637" s="2016"/>
      <c r="F637" s="2017" t="s">
        <v>50</v>
      </c>
      <c r="G637" s="2034"/>
      <c r="H637" s="2035" t="s">
        <v>693</v>
      </c>
      <c r="I637" s="2056"/>
      <c r="J637" s="2056"/>
      <c r="K637" s="2056"/>
      <c r="L637" s="2057">
        <f t="shared" ref="L637:R637" si="123">L551</f>
        <v>0</v>
      </c>
      <c r="M637" s="2057">
        <f t="shared" si="123"/>
        <v>0</v>
      </c>
      <c r="N637" s="2057">
        <f t="shared" si="123"/>
        <v>0</v>
      </c>
      <c r="O637" s="2057">
        <f t="shared" si="123"/>
        <v>0</v>
      </c>
      <c r="P637" s="2057">
        <f t="shared" si="123"/>
        <v>0</v>
      </c>
      <c r="Q637" s="2057"/>
      <c r="R637" s="3662">
        <f t="shared" si="123"/>
        <v>0</v>
      </c>
    </row>
    <row r="638" spans="1:19">
      <c r="S638" s="2069" t="s">
        <v>694</v>
      </c>
    </row>
    <row r="639" spans="1:19" ht="15.05">
      <c r="A639" s="2020"/>
      <c r="B639" s="2020"/>
      <c r="C639" s="2021"/>
      <c r="D639" s="2021"/>
      <c r="E639" s="2021"/>
      <c r="F639" s="2036"/>
      <c r="G639" s="2036"/>
      <c r="H639" s="2036" t="s">
        <v>695</v>
      </c>
      <c r="I639" s="2058"/>
      <c r="J639" s="2058"/>
      <c r="K639" s="2058"/>
      <c r="L639" s="2059" t="e">
        <f>SUM(L640:L642)</f>
        <v>#REF!</v>
      </c>
      <c r="M639" s="2059" t="e">
        <f>SUM(M640:M642)</f>
        <v>#REF!</v>
      </c>
      <c r="N639" s="2059" t="e">
        <f>SUM(N640:N642)</f>
        <v>#REF!</v>
      </c>
      <c r="O639" s="2059" t="e">
        <f>N639+M639</f>
        <v>#REF!</v>
      </c>
      <c r="P639" s="2059" t="e">
        <f>SUM(P640:P641)</f>
        <v>#REF!</v>
      </c>
      <c r="Q639" s="2059"/>
      <c r="R639" s="3663" t="e">
        <f>O639/L639*100</f>
        <v>#REF!</v>
      </c>
    </row>
    <row r="640" spans="1:19">
      <c r="A640" s="1951"/>
      <c r="B640" s="1951"/>
      <c r="C640" s="1952"/>
      <c r="D640" s="1952"/>
      <c r="E640" s="1952"/>
      <c r="F640" s="1953" t="s">
        <v>50</v>
      </c>
      <c r="G640" s="1953"/>
      <c r="H640" s="2032" t="s">
        <v>696</v>
      </c>
      <c r="I640" s="1989"/>
      <c r="J640" s="1989"/>
      <c r="K640" s="1989"/>
      <c r="L640" s="1988">
        <f>L374</f>
        <v>125000000000</v>
      </c>
      <c r="M640" s="1988">
        <f>M374</f>
        <v>19046122482.029999</v>
      </c>
      <c r="N640" s="1988">
        <f>N374</f>
        <v>12944839389.030001</v>
      </c>
      <c r="O640" s="2060">
        <f>O374</f>
        <v>31990961871.060001</v>
      </c>
      <c r="P640" s="1988">
        <f>P374</f>
        <v>125000000000</v>
      </c>
      <c r="Q640" s="1988"/>
      <c r="R640" s="3664">
        <f>O640/L640*100</f>
        <v>25.592769496848</v>
      </c>
    </row>
    <row r="641" spans="1:18">
      <c r="A641" s="1951"/>
      <c r="B641" s="1951"/>
      <c r="C641" s="1952"/>
      <c r="D641" s="1952"/>
      <c r="E641" s="1952"/>
      <c r="F641" s="1953"/>
      <c r="G641" s="1953"/>
      <c r="H641" s="2032" t="s">
        <v>697</v>
      </c>
      <c r="I641" s="1989"/>
      <c r="J641" s="1989"/>
      <c r="K641" s="1989"/>
      <c r="L641" s="1988" t="e">
        <f>#REF!</f>
        <v>#REF!</v>
      </c>
      <c r="M641" s="1988" t="e">
        <f>#REF!</f>
        <v>#REF!</v>
      </c>
      <c r="N641" s="1988" t="e">
        <f>#REF!</f>
        <v>#REF!</v>
      </c>
      <c r="O641" s="1988" t="e">
        <f>#REF!</f>
        <v>#REF!</v>
      </c>
      <c r="P641" s="1988" t="e">
        <f>#REF!</f>
        <v>#REF!</v>
      </c>
      <c r="Q641" s="1988"/>
      <c r="R641" s="3651" t="e">
        <f>O641/L641*100</f>
        <v>#REF!</v>
      </c>
    </row>
    <row r="642" spans="1:18">
      <c r="A642" s="2015"/>
      <c r="B642" s="2015"/>
      <c r="C642" s="2016"/>
      <c r="D642" s="2016"/>
      <c r="E642" s="2016"/>
      <c r="F642" s="2017" t="s">
        <v>50</v>
      </c>
      <c r="G642" s="2034"/>
      <c r="H642" s="2037" t="s">
        <v>88</v>
      </c>
      <c r="I642" s="2056"/>
      <c r="J642" s="2056"/>
      <c r="K642" s="2056"/>
      <c r="L642" s="2057" t="e">
        <f>#REF!</f>
        <v>#REF!</v>
      </c>
      <c r="M642" s="2057" t="e">
        <f>#REF!</f>
        <v>#REF!</v>
      </c>
      <c r="N642" s="2057" t="e">
        <f>#REF!</f>
        <v>#REF!</v>
      </c>
      <c r="O642" s="2061" t="e">
        <f>#REF!</f>
        <v>#REF!</v>
      </c>
      <c r="P642" s="2061" t="e">
        <f>#REF!</f>
        <v>#REF!</v>
      </c>
      <c r="Q642" s="2061"/>
      <c r="R642" s="3665"/>
    </row>
    <row r="644" spans="1:18" ht="15.05">
      <c r="A644" s="2020"/>
      <c r="B644" s="2020"/>
      <c r="C644" s="2021"/>
      <c r="D644" s="2021"/>
      <c r="E644" s="2021"/>
      <c r="F644" s="2038"/>
      <c r="G644" s="2038"/>
      <c r="H644" s="2038" t="s">
        <v>698</v>
      </c>
      <c r="I644" s="2062"/>
      <c r="J644" s="2062"/>
      <c r="K644" s="2062"/>
      <c r="L644" s="2063">
        <f>SUM(L645:L646)</f>
        <v>3123018400</v>
      </c>
      <c r="M644" s="2063">
        <f>SUM(M645:M646)</f>
        <v>457925000</v>
      </c>
      <c r="N644" s="2063">
        <f>SUM(N645:N646)</f>
        <v>274025000</v>
      </c>
      <c r="O644" s="2063">
        <f>N644+M644</f>
        <v>731950000</v>
      </c>
      <c r="P644" s="2063">
        <f>SUM(P645:P646)</f>
        <v>3123018400</v>
      </c>
      <c r="Q644" s="2063"/>
      <c r="R644" s="3666">
        <f>SUM(R645:R646)</f>
        <v>23.437261848985582</v>
      </c>
    </row>
    <row r="645" spans="1:18">
      <c r="A645" s="1951"/>
      <c r="B645" s="1951"/>
      <c r="C645" s="1952"/>
      <c r="D645" s="1952"/>
      <c r="E645" s="1952"/>
      <c r="F645" s="1953" t="s">
        <v>50</v>
      </c>
      <c r="G645" s="1953"/>
      <c r="H645" s="2032" t="s">
        <v>699</v>
      </c>
      <c r="I645" s="1989"/>
      <c r="J645" s="1989"/>
      <c r="K645" s="1989"/>
      <c r="L645" s="1988">
        <f>L472</f>
        <v>3123018400</v>
      </c>
      <c r="M645" s="1988">
        <f>M472</f>
        <v>457925000</v>
      </c>
      <c r="N645" s="1988">
        <f>N472</f>
        <v>274025000</v>
      </c>
      <c r="O645" s="1988">
        <f>O472</f>
        <v>731950000</v>
      </c>
      <c r="P645" s="1988">
        <f>P472</f>
        <v>3123018400</v>
      </c>
      <c r="Q645" s="1988"/>
      <c r="R645" s="3651">
        <f>O645/L645*100</f>
        <v>23.437261848985582</v>
      </c>
    </row>
    <row r="646" spans="1:18">
      <c r="A646" s="2015"/>
      <c r="B646" s="2015"/>
      <c r="C646" s="2016"/>
      <c r="D646" s="2016"/>
      <c r="E646" s="2016"/>
      <c r="F646" s="2017" t="s">
        <v>50</v>
      </c>
      <c r="G646" s="2034"/>
      <c r="H646" s="2039"/>
      <c r="I646" s="2064"/>
      <c r="J646" s="2064"/>
      <c r="K646" s="2064"/>
      <c r="L646" s="2061"/>
      <c r="M646" s="2061"/>
      <c r="N646" s="2061"/>
      <c r="O646" s="2061"/>
      <c r="P646" s="2061"/>
      <c r="Q646" s="2061"/>
      <c r="R646" s="3662"/>
    </row>
    <row r="649" spans="1:18">
      <c r="P649" s="2065"/>
      <c r="Q649" s="2065"/>
    </row>
    <row r="651" spans="1:18">
      <c r="L651" s="2065"/>
    </row>
    <row r="665" spans="1:20" s="1842" customFormat="1">
      <c r="A665" s="1843"/>
      <c r="B665" s="1843"/>
      <c r="C665" s="1844"/>
      <c r="D665" s="1844"/>
      <c r="E665" s="1844"/>
      <c r="F665" s="1845"/>
      <c r="G665" s="1845"/>
      <c r="H665" s="1844"/>
      <c r="I665" s="1844"/>
      <c r="J665" s="1844"/>
      <c r="K665" s="1844"/>
      <c r="L665" s="1844"/>
      <c r="M665" s="1844"/>
      <c r="N665" s="1844"/>
      <c r="O665" s="1844"/>
      <c r="P665" s="1844"/>
      <c r="Q665" s="1844"/>
      <c r="R665" s="3649"/>
      <c r="S665" s="1844"/>
      <c r="T665" s="1846"/>
    </row>
    <row r="666" spans="1:20" s="1842" customFormat="1">
      <c r="A666" s="1843"/>
      <c r="B666" s="1843"/>
      <c r="C666" s="1844"/>
      <c r="D666" s="1844"/>
      <c r="E666" s="1844"/>
      <c r="F666" s="1845"/>
      <c r="G666" s="1845"/>
      <c r="H666" s="1844"/>
      <c r="I666" s="1844"/>
      <c r="J666" s="1844"/>
      <c r="K666" s="1844"/>
      <c r="L666" s="1844"/>
      <c r="M666" s="1844"/>
      <c r="N666" s="1844"/>
      <c r="O666" s="1844"/>
      <c r="P666" s="1844"/>
      <c r="Q666" s="1844"/>
      <c r="R666" s="3649"/>
      <c r="S666" s="1844"/>
      <c r="T666" s="1846"/>
    </row>
    <row r="667" spans="1:20" s="1842" customFormat="1">
      <c r="A667" s="1843"/>
      <c r="B667" s="1843"/>
      <c r="C667" s="1844"/>
      <c r="D667" s="1844"/>
      <c r="E667" s="1844"/>
      <c r="F667" s="1845"/>
      <c r="G667" s="1845"/>
      <c r="H667" s="1844"/>
      <c r="I667" s="1844"/>
      <c r="J667" s="1844"/>
      <c r="K667" s="1844"/>
      <c r="L667" s="1844"/>
      <c r="M667" s="1844"/>
      <c r="N667" s="1844"/>
      <c r="O667" s="1844"/>
      <c r="P667" s="1844"/>
      <c r="Q667" s="1844"/>
      <c r="R667" s="3649"/>
      <c r="S667" s="1844"/>
      <c r="T667" s="1846"/>
    </row>
    <row r="668" spans="1:20" s="1842" customFormat="1">
      <c r="A668" s="1843"/>
      <c r="B668" s="1843"/>
      <c r="C668" s="1844"/>
      <c r="D668" s="1844"/>
      <c r="E668" s="1844"/>
      <c r="F668" s="1845"/>
      <c r="G668" s="1845"/>
      <c r="H668" s="1844"/>
      <c r="I668" s="1844"/>
      <c r="J668" s="1844"/>
      <c r="K668" s="1844"/>
      <c r="L668" s="1844"/>
      <c r="M668" s="1844"/>
      <c r="N668" s="1844"/>
      <c r="O668" s="1844"/>
      <c r="P668" s="1844"/>
      <c r="Q668" s="1844"/>
      <c r="R668" s="3649"/>
      <c r="S668" s="1844"/>
      <c r="T668" s="1846"/>
    </row>
    <row r="669" spans="1:20" s="1842" customFormat="1">
      <c r="A669" s="1843"/>
      <c r="B669" s="1843"/>
      <c r="C669" s="1844"/>
      <c r="D669" s="1844"/>
      <c r="E669" s="1844"/>
      <c r="F669" s="1845"/>
      <c r="G669" s="1845"/>
      <c r="H669" s="1844"/>
      <c r="I669" s="1844"/>
      <c r="J669" s="1844"/>
      <c r="K669" s="1844"/>
      <c r="L669" s="1844"/>
      <c r="M669" s="1844"/>
      <c r="N669" s="1844"/>
      <c r="O669" s="1844"/>
      <c r="P669" s="1844"/>
      <c r="Q669" s="1844"/>
      <c r="R669" s="3649"/>
      <c r="S669" s="1844"/>
      <c r="T669" s="1846"/>
    </row>
    <row r="670" spans="1:20" s="1842" customFormat="1">
      <c r="A670" s="1843"/>
      <c r="B670" s="1843"/>
      <c r="C670" s="1844"/>
      <c r="D670" s="1844"/>
      <c r="E670" s="1844"/>
      <c r="F670" s="1845"/>
      <c r="G670" s="1845"/>
      <c r="H670" s="1844"/>
      <c r="I670" s="1844"/>
      <c r="J670" s="1844"/>
      <c r="K670" s="1844"/>
      <c r="L670" s="1844"/>
      <c r="M670" s="1844"/>
      <c r="N670" s="1844"/>
      <c r="O670" s="1844"/>
      <c r="P670" s="1844"/>
      <c r="Q670" s="1844"/>
      <c r="R670" s="3649"/>
      <c r="S670" s="1844"/>
      <c r="T670" s="1846"/>
    </row>
    <row r="671" spans="1:20" s="1842" customFormat="1">
      <c r="A671" s="1843"/>
      <c r="B671" s="1843"/>
      <c r="C671" s="1844"/>
      <c r="D671" s="1844"/>
      <c r="E671" s="1844"/>
      <c r="F671" s="1845"/>
      <c r="G671" s="1845"/>
      <c r="H671" s="1844"/>
      <c r="I671" s="1844"/>
      <c r="J671" s="1844"/>
      <c r="K671" s="1844"/>
      <c r="L671" s="1844"/>
      <c r="M671" s="1844"/>
      <c r="N671" s="1844"/>
      <c r="O671" s="1844"/>
      <c r="P671" s="1844"/>
      <c r="Q671" s="1844"/>
      <c r="R671" s="3649"/>
      <c r="S671" s="1844"/>
      <c r="T671" s="1846"/>
    </row>
    <row r="672" spans="1:20" s="1842" customFormat="1">
      <c r="A672" s="1843"/>
      <c r="B672" s="1843"/>
      <c r="C672" s="1844"/>
      <c r="D672" s="1844"/>
      <c r="E672" s="1844"/>
      <c r="F672" s="1845"/>
      <c r="G672" s="1845"/>
      <c r="H672" s="1844"/>
      <c r="I672" s="1844"/>
      <c r="J672" s="1844"/>
      <c r="K672" s="1844"/>
      <c r="L672" s="1844"/>
      <c r="M672" s="1844"/>
      <c r="N672" s="1844"/>
      <c r="O672" s="1844"/>
      <c r="P672" s="1844"/>
      <c r="Q672" s="1844"/>
      <c r="R672" s="3649"/>
      <c r="S672" s="1844"/>
      <c r="T672" s="1846"/>
    </row>
    <row r="673" spans="1:20" s="1842" customFormat="1">
      <c r="A673" s="1843"/>
      <c r="B673" s="1843"/>
      <c r="C673" s="1844"/>
      <c r="D673" s="1844"/>
      <c r="E673" s="1844"/>
      <c r="F673" s="1845"/>
      <c r="G673" s="1845"/>
      <c r="H673" s="1844"/>
      <c r="I673" s="1844"/>
      <c r="J673" s="1844"/>
      <c r="K673" s="1844"/>
      <c r="L673" s="1844"/>
      <c r="M673" s="1844"/>
      <c r="N673" s="1844"/>
      <c r="O673" s="1844"/>
      <c r="P673" s="1844"/>
      <c r="Q673" s="1844"/>
      <c r="R673" s="3649"/>
      <c r="S673" s="1844"/>
      <c r="T673" s="1846"/>
    </row>
    <row r="674" spans="1:20" s="1842" customFormat="1">
      <c r="A674" s="1843"/>
      <c r="B674" s="1843"/>
      <c r="C674" s="1844"/>
      <c r="D674" s="1844"/>
      <c r="E674" s="1844"/>
      <c r="F674" s="1845"/>
      <c r="G674" s="1845"/>
      <c r="H674" s="1844"/>
      <c r="I674" s="1844"/>
      <c r="J674" s="1844"/>
      <c r="K674" s="1844"/>
      <c r="L674" s="1844"/>
      <c r="M674" s="1844"/>
      <c r="N674" s="1844"/>
      <c r="O674" s="1844"/>
      <c r="P674" s="1844"/>
      <c r="Q674" s="1844"/>
      <c r="R674" s="3649"/>
      <c r="S674" s="1844"/>
      <c r="T674" s="1846"/>
    </row>
    <row r="675" spans="1:20" s="1842" customFormat="1">
      <c r="A675" s="1843"/>
      <c r="B675" s="1843"/>
      <c r="C675" s="1844"/>
      <c r="D675" s="1844"/>
      <c r="E675" s="1844"/>
      <c r="F675" s="1845"/>
      <c r="G675" s="1845"/>
      <c r="H675" s="1844"/>
      <c r="I675" s="1844"/>
      <c r="J675" s="1844"/>
      <c r="K675" s="1844"/>
      <c r="L675" s="1844"/>
      <c r="M675" s="1844"/>
      <c r="N675" s="1844"/>
      <c r="O675" s="1844"/>
      <c r="P675" s="1844"/>
      <c r="Q675" s="1844"/>
      <c r="R675" s="3649"/>
      <c r="S675" s="1844"/>
      <c r="T675" s="1846"/>
    </row>
    <row r="676" spans="1:20" s="1842" customFormat="1">
      <c r="A676" s="1843"/>
      <c r="B676" s="1843"/>
      <c r="C676" s="1844"/>
      <c r="D676" s="1844"/>
      <c r="E676" s="1844"/>
      <c r="F676" s="1845"/>
      <c r="G676" s="1845"/>
      <c r="H676" s="1844"/>
      <c r="I676" s="1844"/>
      <c r="J676" s="1844"/>
      <c r="K676" s="1844"/>
      <c r="L676" s="1844"/>
      <c r="M676" s="1844"/>
      <c r="N676" s="1844"/>
      <c r="O676" s="1844"/>
      <c r="P676" s="1844"/>
      <c r="Q676" s="1844"/>
      <c r="R676" s="3649"/>
      <c r="S676" s="1844"/>
      <c r="T676" s="1846"/>
    </row>
    <row r="677" spans="1:20" s="1842" customFormat="1">
      <c r="A677" s="1843"/>
      <c r="B677" s="1843"/>
      <c r="C677" s="1844"/>
      <c r="D677" s="1844"/>
      <c r="E677" s="1844"/>
      <c r="F677" s="1845"/>
      <c r="G677" s="1845"/>
      <c r="H677" s="1844"/>
      <c r="I677" s="1844"/>
      <c r="J677" s="1844"/>
      <c r="K677" s="1844"/>
      <c r="L677" s="1844"/>
      <c r="M677" s="1844"/>
      <c r="N677" s="1844"/>
      <c r="O677" s="1844"/>
      <c r="P677" s="1844"/>
      <c r="Q677" s="1844"/>
      <c r="R677" s="3649"/>
      <c r="S677" s="1844"/>
      <c r="T677" s="1846"/>
    </row>
    <row r="678" spans="1:20" s="1842" customFormat="1">
      <c r="A678" s="1843"/>
      <c r="B678" s="1843"/>
      <c r="C678" s="1844"/>
      <c r="D678" s="1844"/>
      <c r="E678" s="1844"/>
      <c r="F678" s="1845"/>
      <c r="G678" s="1845"/>
      <c r="H678" s="1844"/>
      <c r="I678" s="1844"/>
      <c r="J678" s="1844"/>
      <c r="K678" s="1844"/>
      <c r="L678" s="1844"/>
      <c r="M678" s="1844"/>
      <c r="N678" s="1844"/>
      <c r="O678" s="1844"/>
      <c r="P678" s="1844"/>
      <c r="Q678" s="1844"/>
      <c r="R678" s="3649"/>
      <c r="S678" s="1844"/>
      <c r="T678" s="1846"/>
    </row>
    <row r="679" spans="1:20" s="1842" customFormat="1">
      <c r="A679" s="1843"/>
      <c r="B679" s="1843"/>
      <c r="C679" s="1844"/>
      <c r="D679" s="1844"/>
      <c r="E679" s="1844"/>
      <c r="F679" s="1845"/>
      <c r="G679" s="1845"/>
      <c r="H679" s="1844"/>
      <c r="I679" s="1844"/>
      <c r="J679" s="1844"/>
      <c r="K679" s="1844"/>
      <c r="L679" s="1844"/>
      <c r="M679" s="1844"/>
      <c r="N679" s="1844"/>
      <c r="O679" s="1844"/>
      <c r="P679" s="1844"/>
      <c r="Q679" s="1844"/>
      <c r="R679" s="3649"/>
      <c r="S679" s="1844"/>
      <c r="T679" s="1846"/>
    </row>
    <row r="680" spans="1:20" s="1842" customFormat="1">
      <c r="A680" s="1843"/>
      <c r="B680" s="1843"/>
      <c r="C680" s="1844"/>
      <c r="D680" s="1844"/>
      <c r="E680" s="1844"/>
      <c r="F680" s="1845"/>
      <c r="G680" s="1845"/>
      <c r="H680" s="1844"/>
      <c r="I680" s="1844"/>
      <c r="J680" s="1844"/>
      <c r="K680" s="1844"/>
      <c r="L680" s="1844"/>
      <c r="M680" s="1844"/>
      <c r="N680" s="1844"/>
      <c r="O680" s="1844"/>
      <c r="P680" s="1844"/>
      <c r="Q680" s="1844"/>
      <c r="R680" s="3649"/>
      <c r="S680" s="1844"/>
      <c r="T680" s="1846"/>
    </row>
    <row r="681" spans="1:20" s="1842" customFormat="1">
      <c r="A681" s="1843"/>
      <c r="B681" s="1843"/>
      <c r="C681" s="1844"/>
      <c r="D681" s="1844"/>
      <c r="E681" s="1844"/>
      <c r="F681" s="1845"/>
      <c r="G681" s="1845"/>
      <c r="H681" s="1844"/>
      <c r="I681" s="1844"/>
      <c r="J681" s="1844"/>
      <c r="K681" s="1844"/>
      <c r="L681" s="1844"/>
      <c r="M681" s="1844"/>
      <c r="N681" s="1844"/>
      <c r="O681" s="1844"/>
      <c r="P681" s="1844"/>
      <c r="Q681" s="1844"/>
      <c r="R681" s="3649"/>
      <c r="S681" s="1844"/>
      <c r="T681" s="1846"/>
    </row>
    <row r="682" spans="1:20" s="1842" customFormat="1">
      <c r="A682" s="1843"/>
      <c r="B682" s="1843"/>
      <c r="C682" s="1844"/>
      <c r="D682" s="1844"/>
      <c r="E682" s="1844"/>
      <c r="F682" s="1845"/>
      <c r="G682" s="1845"/>
      <c r="H682" s="1844"/>
      <c r="I682" s="1844"/>
      <c r="J682" s="1844"/>
      <c r="K682" s="1844"/>
      <c r="L682" s="1844"/>
      <c r="M682" s="1844"/>
      <c r="N682" s="1844"/>
      <c r="O682" s="1844"/>
      <c r="P682" s="1844"/>
      <c r="Q682" s="1844"/>
      <c r="R682" s="3649"/>
      <c r="S682" s="1844"/>
      <c r="T682" s="1846"/>
    </row>
    <row r="683" spans="1:20" s="1842" customFormat="1">
      <c r="A683" s="1843"/>
      <c r="B683" s="1843"/>
      <c r="C683" s="1844"/>
      <c r="D683" s="1844"/>
      <c r="E683" s="1844"/>
      <c r="F683" s="1845"/>
      <c r="G683" s="1845"/>
      <c r="H683" s="1844"/>
      <c r="I683" s="1844"/>
      <c r="J683" s="1844"/>
      <c r="K683" s="1844"/>
      <c r="L683" s="1844"/>
      <c r="M683" s="1844"/>
      <c r="N683" s="1844"/>
      <c r="O683" s="1844"/>
      <c r="P683" s="1844"/>
      <c r="Q683" s="1844"/>
      <c r="R683" s="3649"/>
      <c r="S683" s="1844"/>
      <c r="T683" s="1846"/>
    </row>
    <row r="684" spans="1:20" s="1842" customFormat="1">
      <c r="A684" s="1843"/>
      <c r="B684" s="1843"/>
      <c r="C684" s="1844"/>
      <c r="D684" s="1844"/>
      <c r="E684" s="1844"/>
      <c r="F684" s="1845"/>
      <c r="G684" s="1845"/>
      <c r="H684" s="1844"/>
      <c r="I684" s="1844"/>
      <c r="J684" s="1844"/>
      <c r="K684" s="1844"/>
      <c r="L684" s="1844"/>
      <c r="M684" s="1844"/>
      <c r="N684" s="1844"/>
      <c r="O684" s="1844"/>
      <c r="P684" s="1844"/>
      <c r="Q684" s="1844"/>
      <c r="R684" s="3649"/>
      <c r="S684" s="1844"/>
      <c r="T684" s="1846"/>
    </row>
    <row r="685" spans="1:20" s="1842" customFormat="1">
      <c r="A685" s="1843"/>
      <c r="B685" s="1843"/>
      <c r="C685" s="1844"/>
      <c r="D685" s="1844"/>
      <c r="E685" s="1844"/>
      <c r="F685" s="1845"/>
      <c r="G685" s="1845"/>
      <c r="H685" s="1844"/>
      <c r="I685" s="1844"/>
      <c r="J685" s="1844"/>
      <c r="K685" s="1844"/>
      <c r="L685" s="1844"/>
      <c r="M685" s="1844"/>
      <c r="N685" s="1844"/>
      <c r="O685" s="1844"/>
      <c r="P685" s="1844"/>
      <c r="Q685" s="1844"/>
      <c r="R685" s="3649"/>
      <c r="S685" s="1844"/>
      <c r="T685" s="1846"/>
    </row>
    <row r="686" spans="1:20" s="1842" customFormat="1">
      <c r="A686" s="1843"/>
      <c r="B686" s="1843"/>
      <c r="C686" s="1844"/>
      <c r="D686" s="1844"/>
      <c r="E686" s="1844"/>
      <c r="F686" s="1845"/>
      <c r="G686" s="1845"/>
      <c r="H686" s="1844"/>
      <c r="I686" s="1844"/>
      <c r="J686" s="1844"/>
      <c r="K686" s="1844"/>
      <c r="L686" s="1844"/>
      <c r="M686" s="1844"/>
      <c r="N686" s="1844"/>
      <c r="O686" s="1844"/>
      <c r="P686" s="1844"/>
      <c r="Q686" s="1844"/>
      <c r="R686" s="3649"/>
      <c r="S686" s="1844"/>
      <c r="T686" s="1846"/>
    </row>
    <row r="687" spans="1:20" s="1842" customFormat="1">
      <c r="A687" s="1843"/>
      <c r="B687" s="1843"/>
      <c r="C687" s="1844"/>
      <c r="D687" s="1844"/>
      <c r="E687" s="1844"/>
      <c r="F687" s="1845"/>
      <c r="G687" s="1845"/>
      <c r="H687" s="1844"/>
      <c r="I687" s="1844"/>
      <c r="J687" s="1844"/>
      <c r="K687" s="1844"/>
      <c r="L687" s="1844"/>
      <c r="M687" s="1844"/>
      <c r="N687" s="1844"/>
      <c r="O687" s="1844"/>
      <c r="P687" s="1844"/>
      <c r="Q687" s="1844"/>
      <c r="R687" s="3649"/>
      <c r="S687" s="1844"/>
      <c r="T687" s="1846"/>
    </row>
    <row r="688" spans="1:20" s="1842" customFormat="1">
      <c r="A688" s="1843"/>
      <c r="B688" s="1843"/>
      <c r="C688" s="1844"/>
      <c r="D688" s="1844"/>
      <c r="E688" s="1844"/>
      <c r="F688" s="1845"/>
      <c r="G688" s="1845"/>
      <c r="H688" s="1844"/>
      <c r="I688" s="1844"/>
      <c r="J688" s="1844"/>
      <c r="K688" s="1844"/>
      <c r="L688" s="1844"/>
      <c r="M688" s="1844"/>
      <c r="N688" s="1844"/>
      <c r="O688" s="1844"/>
      <c r="P688" s="1844"/>
      <c r="Q688" s="1844"/>
      <c r="R688" s="3649"/>
      <c r="S688" s="1844"/>
      <c r="T688" s="1846"/>
    </row>
    <row r="689" spans="1:20" s="1842" customFormat="1">
      <c r="A689" s="1843"/>
      <c r="B689" s="1843"/>
      <c r="C689" s="1844"/>
      <c r="D689" s="1844"/>
      <c r="E689" s="1844"/>
      <c r="F689" s="1845"/>
      <c r="G689" s="1845"/>
      <c r="H689" s="1844"/>
      <c r="I689" s="1844"/>
      <c r="J689" s="1844"/>
      <c r="K689" s="1844"/>
      <c r="L689" s="1844"/>
      <c r="M689" s="1844"/>
      <c r="N689" s="1844"/>
      <c r="O689" s="1844"/>
      <c r="P689" s="1844"/>
      <c r="Q689" s="1844"/>
      <c r="R689" s="3649"/>
      <c r="S689" s="1844"/>
      <c r="T689" s="1846"/>
    </row>
    <row r="690" spans="1:20" s="1842" customFormat="1">
      <c r="A690" s="1843"/>
      <c r="B690" s="1843"/>
      <c r="C690" s="1844"/>
      <c r="D690" s="1844"/>
      <c r="E690" s="1844"/>
      <c r="F690" s="1845"/>
      <c r="G690" s="1845"/>
      <c r="H690" s="1844"/>
      <c r="I690" s="1844"/>
      <c r="J690" s="1844"/>
      <c r="K690" s="1844"/>
      <c r="L690" s="1844"/>
      <c r="M690" s="1844"/>
      <c r="N690" s="1844"/>
      <c r="O690" s="1844"/>
      <c r="P690" s="1844"/>
      <c r="Q690" s="1844"/>
      <c r="R690" s="3649"/>
      <c r="S690" s="1844"/>
      <c r="T690" s="1846"/>
    </row>
    <row r="691" spans="1:20" s="1842" customFormat="1">
      <c r="A691" s="1843"/>
      <c r="B691" s="1843"/>
      <c r="C691" s="1844"/>
      <c r="D691" s="1844"/>
      <c r="E691" s="1844"/>
      <c r="F691" s="1845"/>
      <c r="G691" s="1845"/>
      <c r="H691" s="1844"/>
      <c r="I691" s="1844"/>
      <c r="J691" s="1844"/>
      <c r="K691" s="1844"/>
      <c r="L691" s="1844"/>
      <c r="M691" s="1844"/>
      <c r="N691" s="1844"/>
      <c r="O691" s="1844"/>
      <c r="P691" s="1844"/>
      <c r="Q691" s="1844"/>
      <c r="R691" s="3649"/>
      <c r="S691" s="1844"/>
      <c r="T691" s="1846"/>
    </row>
    <row r="692" spans="1:20" s="1842" customFormat="1">
      <c r="A692" s="1843"/>
      <c r="B692" s="1843"/>
      <c r="C692" s="1844"/>
      <c r="D692" s="1844"/>
      <c r="E692" s="1844"/>
      <c r="F692" s="1845"/>
      <c r="G692" s="1845"/>
      <c r="H692" s="1844"/>
      <c r="I692" s="1844"/>
      <c r="J692" s="1844"/>
      <c r="K692" s="1844"/>
      <c r="L692" s="1844"/>
      <c r="M692" s="1844"/>
      <c r="N692" s="1844"/>
      <c r="O692" s="1844"/>
      <c r="P692" s="1844"/>
      <c r="Q692" s="1844"/>
      <c r="R692" s="3649"/>
      <c r="S692" s="1844"/>
      <c r="T692" s="1846"/>
    </row>
    <row r="693" spans="1:20" s="1842" customFormat="1">
      <c r="A693" s="1843"/>
      <c r="B693" s="1843"/>
      <c r="C693" s="1844"/>
      <c r="D693" s="1844"/>
      <c r="E693" s="1844"/>
      <c r="F693" s="1845"/>
      <c r="G693" s="1845"/>
      <c r="H693" s="1844"/>
      <c r="I693" s="1844"/>
      <c r="J693" s="1844"/>
      <c r="K693" s="1844"/>
      <c r="L693" s="1844"/>
      <c r="M693" s="1844"/>
      <c r="N693" s="1844"/>
      <c r="O693" s="1844"/>
      <c r="P693" s="1844"/>
      <c r="Q693" s="1844"/>
      <c r="R693" s="3649"/>
      <c r="S693" s="1844"/>
      <c r="T693" s="1846"/>
    </row>
    <row r="694" spans="1:20" s="1842" customFormat="1">
      <c r="A694" s="1843"/>
      <c r="B694" s="1843"/>
      <c r="C694" s="1844"/>
      <c r="D694" s="1844"/>
      <c r="E694" s="1844"/>
      <c r="F694" s="1845"/>
      <c r="G694" s="1845"/>
      <c r="H694" s="1844"/>
      <c r="I694" s="1844"/>
      <c r="J694" s="1844"/>
      <c r="K694" s="1844"/>
      <c r="L694" s="1844"/>
      <c r="M694" s="1844"/>
      <c r="N694" s="1844"/>
      <c r="O694" s="1844"/>
      <c r="P694" s="1844"/>
      <c r="Q694" s="1844"/>
      <c r="R694" s="3649"/>
      <c r="S694" s="1844"/>
      <c r="T694" s="1846"/>
    </row>
    <row r="695" spans="1:20" s="1842" customFormat="1">
      <c r="A695" s="1843"/>
      <c r="B695" s="1843"/>
      <c r="C695" s="1844"/>
      <c r="D695" s="1844"/>
      <c r="E695" s="1844"/>
      <c r="F695" s="1845"/>
      <c r="G695" s="1845"/>
      <c r="H695" s="1844"/>
      <c r="I695" s="1844"/>
      <c r="J695" s="1844"/>
      <c r="K695" s="1844"/>
      <c r="L695" s="1844"/>
      <c r="M695" s="1844"/>
      <c r="N695" s="1844"/>
      <c r="O695" s="1844"/>
      <c r="P695" s="1844"/>
      <c r="Q695" s="1844"/>
      <c r="R695" s="3649"/>
      <c r="S695" s="1844"/>
      <c r="T695" s="1846"/>
    </row>
    <row r="696" spans="1:20" s="1842" customFormat="1">
      <c r="A696" s="1843"/>
      <c r="B696" s="1843"/>
      <c r="C696" s="1844"/>
      <c r="D696" s="1844"/>
      <c r="E696" s="1844"/>
      <c r="F696" s="1845"/>
      <c r="G696" s="1845"/>
      <c r="H696" s="1844"/>
      <c r="I696" s="1844"/>
      <c r="J696" s="1844"/>
      <c r="K696" s="1844"/>
      <c r="L696" s="1844"/>
      <c r="M696" s="1844"/>
      <c r="N696" s="1844"/>
      <c r="O696" s="1844"/>
      <c r="P696" s="1844"/>
      <c r="Q696" s="1844"/>
      <c r="R696" s="3649"/>
      <c r="S696" s="1844"/>
      <c r="T696" s="1846"/>
    </row>
    <row r="697" spans="1:20" s="1842" customFormat="1">
      <c r="A697" s="1843"/>
      <c r="B697" s="1843"/>
      <c r="C697" s="1844"/>
      <c r="D697" s="1844"/>
      <c r="E697" s="1844"/>
      <c r="F697" s="1845"/>
      <c r="G697" s="1845"/>
      <c r="H697" s="1844"/>
      <c r="I697" s="1844"/>
      <c r="J697" s="1844"/>
      <c r="K697" s="1844"/>
      <c r="L697" s="1844"/>
      <c r="M697" s="1844"/>
      <c r="N697" s="1844"/>
      <c r="O697" s="1844"/>
      <c r="P697" s="1844"/>
      <c r="Q697" s="1844"/>
      <c r="R697" s="3649"/>
      <c r="S697" s="1844"/>
      <c r="T697" s="1846"/>
    </row>
    <row r="698" spans="1:20" s="1842" customFormat="1">
      <c r="A698" s="1843"/>
      <c r="B698" s="1843"/>
      <c r="C698" s="1844"/>
      <c r="D698" s="1844"/>
      <c r="E698" s="1844"/>
      <c r="F698" s="1845"/>
      <c r="G698" s="1845"/>
      <c r="H698" s="1844"/>
      <c r="I698" s="1844"/>
      <c r="J698" s="1844"/>
      <c r="K698" s="1844"/>
      <c r="L698" s="1844"/>
      <c r="M698" s="1844"/>
      <c r="N698" s="1844"/>
      <c r="O698" s="1844"/>
      <c r="P698" s="1844"/>
      <c r="Q698" s="1844"/>
      <c r="R698" s="3649"/>
      <c r="S698" s="1844"/>
      <c r="T698" s="1846"/>
    </row>
    <row r="699" spans="1:20" s="1842" customFormat="1">
      <c r="A699" s="1843"/>
      <c r="B699" s="1843"/>
      <c r="C699" s="1844"/>
      <c r="D699" s="1844"/>
      <c r="E699" s="1844"/>
      <c r="F699" s="1845"/>
      <c r="G699" s="1845"/>
      <c r="H699" s="1844"/>
      <c r="I699" s="1844"/>
      <c r="J699" s="1844"/>
      <c r="K699" s="1844"/>
      <c r="L699" s="1844"/>
      <c r="M699" s="1844"/>
      <c r="N699" s="1844"/>
      <c r="O699" s="1844"/>
      <c r="P699" s="1844"/>
      <c r="Q699" s="1844"/>
      <c r="R699" s="3649"/>
      <c r="S699" s="1844"/>
      <c r="T699" s="1846"/>
    </row>
    <row r="700" spans="1:20" s="1842" customFormat="1">
      <c r="A700" s="1843"/>
      <c r="B700" s="1843"/>
      <c r="C700" s="1844"/>
      <c r="D700" s="1844"/>
      <c r="E700" s="1844"/>
      <c r="F700" s="1845"/>
      <c r="G700" s="1845"/>
      <c r="H700" s="1844"/>
      <c r="I700" s="1844"/>
      <c r="J700" s="1844"/>
      <c r="K700" s="1844"/>
      <c r="L700" s="1844"/>
      <c r="M700" s="1844"/>
      <c r="N700" s="1844"/>
      <c r="O700" s="1844"/>
      <c r="P700" s="1844"/>
      <c r="Q700" s="1844"/>
      <c r="R700" s="3649"/>
      <c r="S700" s="1844"/>
      <c r="T700" s="1846"/>
    </row>
    <row r="701" spans="1:20" s="1842" customFormat="1">
      <c r="A701" s="1843"/>
      <c r="B701" s="1843"/>
      <c r="C701" s="1844"/>
      <c r="D701" s="1844"/>
      <c r="E701" s="1844"/>
      <c r="F701" s="1845"/>
      <c r="G701" s="1845"/>
      <c r="H701" s="1844"/>
      <c r="I701" s="1844"/>
      <c r="J701" s="1844"/>
      <c r="K701" s="1844"/>
      <c r="L701" s="1844"/>
      <c r="M701" s="1844"/>
      <c r="N701" s="1844"/>
      <c r="O701" s="1844"/>
      <c r="P701" s="1844"/>
      <c r="Q701" s="1844"/>
      <c r="R701" s="3649"/>
      <c r="S701" s="1844"/>
      <c r="T701" s="1846"/>
    </row>
    <row r="702" spans="1:20" s="1842" customFormat="1">
      <c r="A702" s="1843"/>
      <c r="B702" s="1843"/>
      <c r="C702" s="1844"/>
      <c r="D702" s="1844"/>
      <c r="E702" s="1844"/>
      <c r="F702" s="1845"/>
      <c r="G702" s="1845"/>
      <c r="H702" s="1844"/>
      <c r="I702" s="1844"/>
      <c r="J702" s="1844"/>
      <c r="K702" s="1844"/>
      <c r="L702" s="1844"/>
      <c r="M702" s="1844"/>
      <c r="N702" s="1844"/>
      <c r="O702" s="1844"/>
      <c r="P702" s="1844"/>
      <c r="Q702" s="1844"/>
      <c r="R702" s="3649"/>
      <c r="S702" s="1844"/>
      <c r="T702" s="1846"/>
    </row>
    <row r="703" spans="1:20" s="1842" customFormat="1">
      <c r="A703" s="1843"/>
      <c r="B703" s="1843"/>
      <c r="C703" s="1844"/>
      <c r="D703" s="1844"/>
      <c r="E703" s="1844"/>
      <c r="F703" s="1845"/>
      <c r="G703" s="1845"/>
      <c r="H703" s="1844"/>
      <c r="I703" s="1844"/>
      <c r="J703" s="1844"/>
      <c r="K703" s="1844"/>
      <c r="L703" s="1844"/>
      <c r="M703" s="1844"/>
      <c r="N703" s="1844"/>
      <c r="O703" s="1844"/>
      <c r="P703" s="1844"/>
      <c r="Q703" s="1844"/>
      <c r="R703" s="3649"/>
      <c r="S703" s="1844"/>
      <c r="T703" s="1846"/>
    </row>
    <row r="704" spans="1:20" s="1842" customFormat="1">
      <c r="A704" s="1843"/>
      <c r="B704" s="1843"/>
      <c r="C704" s="1844"/>
      <c r="D704" s="1844"/>
      <c r="E704" s="1844"/>
      <c r="F704" s="1845"/>
      <c r="G704" s="1845"/>
      <c r="H704" s="1844"/>
      <c r="I704" s="1844"/>
      <c r="J704" s="1844"/>
      <c r="K704" s="1844"/>
      <c r="L704" s="1844"/>
      <c r="M704" s="1844"/>
      <c r="N704" s="1844"/>
      <c r="O704" s="1844"/>
      <c r="P704" s="1844"/>
      <c r="Q704" s="1844"/>
      <c r="R704" s="3649"/>
      <c r="S704" s="1844"/>
      <c r="T704" s="1846"/>
    </row>
    <row r="705" spans="1:20" s="1842" customFormat="1">
      <c r="A705" s="1843"/>
      <c r="B705" s="1843"/>
      <c r="C705" s="1844"/>
      <c r="D705" s="1844"/>
      <c r="E705" s="1844"/>
      <c r="F705" s="1845"/>
      <c r="G705" s="1845"/>
      <c r="H705" s="1844"/>
      <c r="I705" s="1844"/>
      <c r="J705" s="1844"/>
      <c r="K705" s="1844"/>
      <c r="L705" s="1844"/>
      <c r="M705" s="1844"/>
      <c r="N705" s="1844"/>
      <c r="O705" s="1844"/>
      <c r="P705" s="1844"/>
      <c r="Q705" s="1844"/>
      <c r="R705" s="3649"/>
      <c r="S705" s="1844"/>
      <c r="T705" s="1846"/>
    </row>
    <row r="706" spans="1:20" s="1842" customFormat="1">
      <c r="A706" s="1843"/>
      <c r="B706" s="1843"/>
      <c r="C706" s="1844"/>
      <c r="D706" s="1844"/>
      <c r="E706" s="1844"/>
      <c r="F706" s="1845"/>
      <c r="G706" s="1845"/>
      <c r="H706" s="1844"/>
      <c r="I706" s="1844"/>
      <c r="J706" s="1844"/>
      <c r="K706" s="1844"/>
      <c r="L706" s="1844"/>
      <c r="M706" s="1844"/>
      <c r="N706" s="1844"/>
      <c r="O706" s="1844"/>
      <c r="P706" s="1844"/>
      <c r="Q706" s="1844"/>
      <c r="R706" s="3649"/>
      <c r="S706" s="1844"/>
      <c r="T706" s="1846"/>
    </row>
    <row r="707" spans="1:20" s="1842" customFormat="1">
      <c r="A707" s="1843"/>
      <c r="B707" s="1843"/>
      <c r="C707" s="1844"/>
      <c r="D707" s="1844"/>
      <c r="E707" s="1844"/>
      <c r="F707" s="1845"/>
      <c r="G707" s="1845"/>
      <c r="H707" s="1844"/>
      <c r="I707" s="1844"/>
      <c r="J707" s="1844"/>
      <c r="K707" s="1844"/>
      <c r="L707" s="1844"/>
      <c r="M707" s="1844"/>
      <c r="N707" s="1844"/>
      <c r="O707" s="1844"/>
      <c r="P707" s="1844"/>
      <c r="Q707" s="1844"/>
      <c r="R707" s="3649"/>
      <c r="S707" s="1844"/>
      <c r="T707" s="1846"/>
    </row>
    <row r="708" spans="1:20" s="1842" customFormat="1">
      <c r="A708" s="1843"/>
      <c r="B708" s="1843"/>
      <c r="C708" s="1844"/>
      <c r="D708" s="1844"/>
      <c r="E708" s="1844"/>
      <c r="F708" s="1845"/>
      <c r="G708" s="1845"/>
      <c r="H708" s="1844"/>
      <c r="I708" s="1844"/>
      <c r="J708" s="1844"/>
      <c r="K708" s="1844"/>
      <c r="L708" s="1844"/>
      <c r="M708" s="1844"/>
      <c r="N708" s="1844"/>
      <c r="O708" s="1844"/>
      <c r="P708" s="1844"/>
      <c r="Q708" s="1844"/>
      <c r="R708" s="3649"/>
      <c r="S708" s="1844"/>
      <c r="T708" s="1846"/>
    </row>
    <row r="709" spans="1:20" s="1842" customFormat="1">
      <c r="A709" s="1843"/>
      <c r="B709" s="1843"/>
      <c r="C709" s="1844"/>
      <c r="D709" s="1844"/>
      <c r="E709" s="1844"/>
      <c r="F709" s="1845"/>
      <c r="G709" s="1845"/>
      <c r="H709" s="1844"/>
      <c r="I709" s="1844"/>
      <c r="J709" s="1844"/>
      <c r="K709" s="1844"/>
      <c r="L709" s="1844"/>
      <c r="M709" s="1844"/>
      <c r="N709" s="1844"/>
      <c r="O709" s="1844"/>
      <c r="P709" s="1844"/>
      <c r="Q709" s="1844"/>
      <c r="R709" s="3649"/>
      <c r="S709" s="1844"/>
      <c r="T709" s="1846"/>
    </row>
    <row r="710" spans="1:20" s="1842" customFormat="1">
      <c r="A710" s="1843"/>
      <c r="B710" s="1843"/>
      <c r="C710" s="1844"/>
      <c r="D710" s="1844"/>
      <c r="E710" s="1844"/>
      <c r="F710" s="1845"/>
      <c r="G710" s="1845"/>
      <c r="H710" s="1844"/>
      <c r="I710" s="1844"/>
      <c r="J710" s="1844"/>
      <c r="K710" s="1844"/>
      <c r="L710" s="1844"/>
      <c r="M710" s="1844"/>
      <c r="N710" s="1844"/>
      <c r="O710" s="1844"/>
      <c r="P710" s="1844"/>
      <c r="Q710" s="1844"/>
      <c r="R710" s="3649"/>
      <c r="S710" s="1844"/>
      <c r="T710" s="1846"/>
    </row>
    <row r="711" spans="1:20" s="1842" customFormat="1">
      <c r="A711" s="1843"/>
      <c r="B711" s="1843"/>
      <c r="C711" s="1844"/>
      <c r="D711" s="1844"/>
      <c r="E711" s="1844"/>
      <c r="F711" s="1845"/>
      <c r="G711" s="1845"/>
      <c r="H711" s="1844"/>
      <c r="I711" s="1844"/>
      <c r="J711" s="1844"/>
      <c r="K711" s="1844"/>
      <c r="L711" s="1844"/>
      <c r="M711" s="1844"/>
      <c r="N711" s="1844"/>
      <c r="O711" s="1844"/>
      <c r="P711" s="1844"/>
      <c r="Q711" s="1844"/>
      <c r="R711" s="3649"/>
      <c r="S711" s="1844"/>
      <c r="T711" s="1846"/>
    </row>
    <row r="712" spans="1:20" s="1842" customFormat="1">
      <c r="A712" s="1843"/>
      <c r="B712" s="1843"/>
      <c r="C712" s="1844"/>
      <c r="D712" s="1844"/>
      <c r="E712" s="1844"/>
      <c r="F712" s="1845"/>
      <c r="G712" s="1845"/>
      <c r="H712" s="1844"/>
      <c r="I712" s="1844"/>
      <c r="J712" s="1844"/>
      <c r="K712" s="1844"/>
      <c r="L712" s="1844"/>
      <c r="M712" s="1844"/>
      <c r="N712" s="1844"/>
      <c r="O712" s="1844"/>
      <c r="P712" s="1844"/>
      <c r="Q712" s="1844"/>
      <c r="R712" s="3649"/>
      <c r="S712" s="1844"/>
      <c r="T712" s="1846"/>
    </row>
    <row r="713" spans="1:20" s="1842" customFormat="1">
      <c r="A713" s="1843"/>
      <c r="B713" s="1843"/>
      <c r="C713" s="1844"/>
      <c r="D713" s="1844"/>
      <c r="E713" s="1844"/>
      <c r="F713" s="1845"/>
      <c r="G713" s="1845"/>
      <c r="H713" s="1844"/>
      <c r="I713" s="1844"/>
      <c r="J713" s="1844"/>
      <c r="K713" s="1844"/>
      <c r="L713" s="1844"/>
      <c r="M713" s="1844"/>
      <c r="N713" s="1844"/>
      <c r="O713" s="1844"/>
      <c r="P713" s="1844"/>
      <c r="Q713" s="1844"/>
      <c r="R713" s="3649"/>
      <c r="S713" s="1844"/>
      <c r="T713" s="1846"/>
    </row>
    <row r="714" spans="1:20" s="1842" customFormat="1">
      <c r="A714" s="1843"/>
      <c r="B714" s="1843"/>
      <c r="C714" s="1844"/>
      <c r="D714" s="1844"/>
      <c r="E714" s="1844"/>
      <c r="F714" s="1845"/>
      <c r="G714" s="1845"/>
      <c r="H714" s="1844"/>
      <c r="I714" s="1844"/>
      <c r="J714" s="1844"/>
      <c r="K714" s="1844"/>
      <c r="L714" s="1844"/>
      <c r="M714" s="1844"/>
      <c r="N714" s="1844"/>
      <c r="O714" s="1844"/>
      <c r="P714" s="1844"/>
      <c r="Q714" s="1844"/>
      <c r="R714" s="3649"/>
      <c r="S714" s="1844"/>
      <c r="T714" s="1846"/>
    </row>
    <row r="715" spans="1:20" s="1842" customFormat="1">
      <c r="A715" s="1843"/>
      <c r="B715" s="1843"/>
      <c r="C715" s="1844"/>
      <c r="D715" s="1844"/>
      <c r="E715" s="1844"/>
      <c r="F715" s="1845"/>
      <c r="G715" s="1845"/>
      <c r="H715" s="1844"/>
      <c r="I715" s="1844"/>
      <c r="J715" s="1844"/>
      <c r="K715" s="1844"/>
      <c r="L715" s="1844"/>
      <c r="M715" s="1844"/>
      <c r="N715" s="1844"/>
      <c r="O715" s="1844"/>
      <c r="P715" s="1844"/>
      <c r="Q715" s="1844"/>
      <c r="R715" s="3649"/>
      <c r="S715" s="1844"/>
      <c r="T715" s="1846"/>
    </row>
    <row r="716" spans="1:20" s="1842" customFormat="1">
      <c r="A716" s="1843"/>
      <c r="B716" s="1843"/>
      <c r="C716" s="1844"/>
      <c r="D716" s="1844"/>
      <c r="E716" s="1844"/>
      <c r="F716" s="1845"/>
      <c r="G716" s="1845"/>
      <c r="H716" s="1844"/>
      <c r="I716" s="1844"/>
      <c r="J716" s="1844"/>
      <c r="K716" s="1844"/>
      <c r="L716" s="1844"/>
      <c r="M716" s="1844"/>
      <c r="N716" s="1844"/>
      <c r="O716" s="1844"/>
      <c r="P716" s="1844"/>
      <c r="Q716" s="1844"/>
      <c r="R716" s="3649"/>
      <c r="S716" s="1844"/>
      <c r="T716" s="1846"/>
    </row>
    <row r="717" spans="1:20" s="1842" customFormat="1">
      <c r="A717" s="1843"/>
      <c r="B717" s="1843"/>
      <c r="C717" s="1844"/>
      <c r="D717" s="1844"/>
      <c r="E717" s="1844"/>
      <c r="F717" s="1845"/>
      <c r="G717" s="1845"/>
      <c r="H717" s="1844"/>
      <c r="I717" s="1844"/>
      <c r="J717" s="1844"/>
      <c r="K717" s="1844"/>
      <c r="L717" s="1844"/>
      <c r="M717" s="1844"/>
      <c r="N717" s="1844"/>
      <c r="O717" s="1844"/>
      <c r="P717" s="1844"/>
      <c r="Q717" s="1844"/>
      <c r="R717" s="3649"/>
      <c r="S717" s="1844"/>
      <c r="T717" s="1846"/>
    </row>
    <row r="718" spans="1:20" s="1842" customFormat="1">
      <c r="A718" s="1843"/>
      <c r="B718" s="1843"/>
      <c r="C718" s="1844"/>
      <c r="D718" s="1844"/>
      <c r="E718" s="1844"/>
      <c r="F718" s="1845"/>
      <c r="G718" s="1845"/>
      <c r="H718" s="1844"/>
      <c r="I718" s="1844"/>
      <c r="J718" s="1844"/>
      <c r="K718" s="1844"/>
      <c r="L718" s="1844"/>
      <c r="M718" s="1844"/>
      <c r="N718" s="1844"/>
      <c r="O718" s="1844"/>
      <c r="P718" s="1844"/>
      <c r="Q718" s="1844"/>
      <c r="R718" s="3649"/>
      <c r="S718" s="1844"/>
      <c r="T718" s="1846"/>
    </row>
    <row r="719" spans="1:20" s="1842" customFormat="1">
      <c r="A719" s="1843"/>
      <c r="B719" s="1843"/>
      <c r="C719" s="1844"/>
      <c r="D719" s="1844"/>
      <c r="E719" s="1844"/>
      <c r="F719" s="1845"/>
      <c r="G719" s="1845"/>
      <c r="H719" s="1844"/>
      <c r="I719" s="1844"/>
      <c r="J719" s="1844"/>
      <c r="K719" s="1844"/>
      <c r="L719" s="1844"/>
      <c r="M719" s="1844"/>
      <c r="N719" s="1844"/>
      <c r="O719" s="1844"/>
      <c r="P719" s="1844"/>
      <c r="Q719" s="1844"/>
      <c r="R719" s="3649"/>
      <c r="S719" s="1844"/>
      <c r="T719" s="1846"/>
    </row>
    <row r="720" spans="1:20" s="1842" customFormat="1">
      <c r="A720" s="1843"/>
      <c r="B720" s="1843"/>
      <c r="C720" s="1844"/>
      <c r="D720" s="1844"/>
      <c r="E720" s="1844"/>
      <c r="F720" s="1845"/>
      <c r="G720" s="1845"/>
      <c r="H720" s="1844"/>
      <c r="I720" s="1844"/>
      <c r="J720" s="1844"/>
      <c r="K720" s="1844"/>
      <c r="L720" s="1844"/>
      <c r="M720" s="1844"/>
      <c r="N720" s="1844"/>
      <c r="O720" s="1844"/>
      <c r="P720" s="1844"/>
      <c r="Q720" s="1844"/>
      <c r="R720" s="3649"/>
      <c r="S720" s="1844"/>
      <c r="T720" s="1846"/>
    </row>
    <row r="721" spans="1:20" s="1842" customFormat="1">
      <c r="A721" s="1843"/>
      <c r="B721" s="1843"/>
      <c r="C721" s="1844"/>
      <c r="D721" s="1844"/>
      <c r="E721" s="1844"/>
      <c r="F721" s="1845"/>
      <c r="G721" s="1845"/>
      <c r="H721" s="1844"/>
      <c r="I721" s="1844"/>
      <c r="J721" s="1844"/>
      <c r="K721" s="1844"/>
      <c r="L721" s="1844"/>
      <c r="M721" s="1844"/>
      <c r="N721" s="1844"/>
      <c r="O721" s="1844"/>
      <c r="P721" s="1844"/>
      <c r="Q721" s="1844"/>
      <c r="R721" s="3649"/>
      <c r="S721" s="1844"/>
      <c r="T721" s="1846"/>
    </row>
  </sheetData>
  <sheetProtection selectLockedCells="1" selectUnlockedCells="1"/>
  <autoFilter ref="L9:O570"/>
  <mergeCells count="16">
    <mergeCell ref="A570:I570"/>
    <mergeCell ref="H596:I596"/>
    <mergeCell ref="H625:I625"/>
    <mergeCell ref="J5:J6"/>
    <mergeCell ref="K5:K6"/>
    <mergeCell ref="A5:E6"/>
    <mergeCell ref="F5:I6"/>
    <mergeCell ref="A2:S2"/>
    <mergeCell ref="M5:O5"/>
    <mergeCell ref="A7:E7"/>
    <mergeCell ref="F7:I7"/>
    <mergeCell ref="H466:I466"/>
    <mergeCell ref="L5:L6"/>
    <mergeCell ref="Q5:Q6"/>
    <mergeCell ref="R5:R6"/>
    <mergeCell ref="S5:S6"/>
  </mergeCells>
  <pageMargins left="1.0236220472440944" right="0.15748031496062992" top="0.31496062992125984" bottom="0.31496062992125984" header="0.31496062992125984" footer="0.15748031496062992"/>
  <pageSetup paperSize="5" scale="75" orientation="landscape" useFirstPageNumber="1" r:id="rId1"/>
  <headerFooter alignWithMargins="0">
    <oddHeader>Page &amp;P</oddHeader>
    <oddFooter>&amp;LRencana Perubahan Target Pendapatan Tahun 2017 - BAPPENDA NTB&amp;C&amp;7&amp;K02-048&amp;F&amp;D&amp;T&amp;RHal. &amp;P</oddFooter>
  </headerFooter>
  <rowBreaks count="9" manualBreakCount="9">
    <brk id="112" max="17" man="1"/>
    <brk id="155" max="17" man="1"/>
    <brk id="200" max="17" man="1"/>
    <brk id="245" max="17" man="1"/>
    <brk id="291" max="17" man="1"/>
    <brk id="348" max="17" man="1"/>
    <brk id="396" max="17" man="1"/>
    <brk id="457" max="17" man="1"/>
    <brk id="516" max="17" man="1"/>
  </rowBreaks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FF3399"/>
  </sheetPr>
  <dimension ref="A1:AL97"/>
  <sheetViews>
    <sheetView view="pageBreakPreview" topLeftCell="A4" zoomScale="98" zoomScaleNormal="120" zoomScaleSheetLayoutView="98" workbookViewId="0">
      <pane ySplit="4" topLeftCell="A8" activePane="bottomLeft" state="frozen"/>
      <selection activeCell="A4" sqref="A4"/>
      <selection pane="bottomLeft" activeCell="Q71" sqref="Q71"/>
    </sheetView>
  </sheetViews>
  <sheetFormatPr defaultColWidth="9.109375" defaultRowHeight="13.15"/>
  <cols>
    <col min="1" max="1" width="6.44140625" style="189" customWidth="1"/>
    <col min="2" max="7" width="2.6640625" style="193" customWidth="1"/>
    <col min="8" max="8" width="2.33203125" style="189" customWidth="1"/>
    <col min="9" max="9" width="6" style="189" customWidth="1"/>
    <col min="10" max="10" width="34.109375" style="189" customWidth="1"/>
    <col min="11" max="11" width="20.109375" style="189" customWidth="1"/>
    <col min="12" max="12" width="20" style="189" customWidth="1"/>
    <col min="13" max="13" width="19.5546875" style="189" customWidth="1"/>
    <col min="14" max="14" width="18.6640625" style="189" customWidth="1"/>
    <col min="15" max="15" width="20.44140625" style="189" customWidth="1"/>
    <col min="16" max="16" width="18.6640625" style="189" customWidth="1"/>
    <col min="17" max="17" width="8" style="189" customWidth="1"/>
    <col min="18" max="18" width="9.44140625" style="189" customWidth="1"/>
    <col min="19" max="19" width="20.109375" style="189" customWidth="1"/>
    <col min="20" max="20" width="13.5546875" style="189" customWidth="1"/>
    <col min="21" max="16384" width="9.109375" style="189"/>
  </cols>
  <sheetData>
    <row r="1" spans="1:21" ht="18.2">
      <c r="A1" s="5808" t="s">
        <v>1184</v>
      </c>
      <c r="B1" s="5809"/>
      <c r="C1" s="5809"/>
      <c r="D1" s="5809"/>
      <c r="E1" s="5809"/>
      <c r="F1" s="5809"/>
      <c r="G1" s="5809"/>
      <c r="H1" s="5809"/>
      <c r="I1" s="5809"/>
      <c r="J1" s="5809"/>
      <c r="K1" s="5809"/>
      <c r="L1" s="5809"/>
      <c r="M1" s="5809"/>
      <c r="N1" s="5809"/>
      <c r="O1" s="5809"/>
      <c r="P1" s="5809"/>
      <c r="Q1" s="5809"/>
      <c r="R1" s="5809"/>
    </row>
    <row r="2" spans="1:21" ht="18.2">
      <c r="A2" s="5809" t="s">
        <v>1077</v>
      </c>
      <c r="B2" s="5809"/>
      <c r="C2" s="5809"/>
      <c r="D2" s="5809"/>
      <c r="E2" s="5809"/>
      <c r="F2" s="5809"/>
      <c r="G2" s="5809"/>
      <c r="H2" s="5809"/>
      <c r="I2" s="5809"/>
      <c r="J2" s="5809"/>
      <c r="K2" s="5809"/>
      <c r="L2" s="5809"/>
      <c r="M2" s="5809"/>
      <c r="N2" s="5809"/>
      <c r="O2" s="5809"/>
      <c r="P2" s="5809"/>
      <c r="Q2" s="5809"/>
      <c r="R2" s="5809"/>
    </row>
    <row r="3" spans="1:21">
      <c r="A3" s="194"/>
      <c r="B3" s="195"/>
      <c r="C3" s="195"/>
      <c r="D3" s="195"/>
      <c r="E3" s="195"/>
      <c r="F3" s="195"/>
      <c r="G3" s="195"/>
      <c r="H3" s="194"/>
      <c r="I3" s="194"/>
      <c r="J3" s="194"/>
      <c r="K3" s="194"/>
      <c r="L3" s="194"/>
      <c r="M3" s="194"/>
      <c r="N3" s="194"/>
      <c r="O3" s="194"/>
      <c r="P3" s="194"/>
      <c r="Q3" s="5810"/>
      <c r="R3" s="5810"/>
    </row>
    <row r="4" spans="1:21" ht="19.600000000000001" customHeight="1">
      <c r="A4" s="196" t="s">
        <v>937</v>
      </c>
      <c r="B4" s="5811" t="s">
        <v>938</v>
      </c>
      <c r="C4" s="5812"/>
      <c r="D4" s="5812"/>
      <c r="E4" s="5812"/>
      <c r="F4" s="5812"/>
      <c r="G4" s="5813"/>
      <c r="H4" s="5817" t="s">
        <v>56</v>
      </c>
      <c r="I4" s="5817"/>
      <c r="J4" s="5817"/>
      <c r="K4" s="5818" t="s">
        <v>474</v>
      </c>
      <c r="L4" s="5818" t="s">
        <v>475</v>
      </c>
      <c r="M4" s="5818" t="s">
        <v>416</v>
      </c>
      <c r="N4" s="5820" t="s">
        <v>1078</v>
      </c>
      <c r="O4" s="214" t="s">
        <v>476</v>
      </c>
      <c r="P4" s="214" t="s">
        <v>1079</v>
      </c>
      <c r="Q4" s="5823" t="s">
        <v>6</v>
      </c>
      <c r="R4" s="5747" t="s">
        <v>704</v>
      </c>
    </row>
    <row r="5" spans="1:21" ht="16.45" customHeight="1">
      <c r="A5" s="197" t="s">
        <v>942</v>
      </c>
      <c r="B5" s="5814"/>
      <c r="C5" s="5815"/>
      <c r="D5" s="5815"/>
      <c r="E5" s="5815"/>
      <c r="F5" s="5815"/>
      <c r="G5" s="5816"/>
      <c r="H5" s="5824" t="s">
        <v>1080</v>
      </c>
      <c r="I5" s="5824"/>
      <c r="J5" s="5824"/>
      <c r="K5" s="5819"/>
      <c r="L5" s="5819"/>
      <c r="M5" s="5819"/>
      <c r="N5" s="5820"/>
      <c r="O5" s="215" t="s">
        <v>481</v>
      </c>
      <c r="P5" s="215"/>
      <c r="Q5" s="5823"/>
      <c r="R5" s="5748"/>
    </row>
    <row r="6" spans="1:21" ht="12.7" customHeight="1">
      <c r="A6" s="198">
        <v>1</v>
      </c>
      <c r="B6" s="5806">
        <v>2</v>
      </c>
      <c r="C6" s="5806"/>
      <c r="D6" s="5806"/>
      <c r="E6" s="5806"/>
      <c r="F6" s="5806"/>
      <c r="G6" s="5806"/>
      <c r="H6" s="5807">
        <v>3</v>
      </c>
      <c r="I6" s="5807"/>
      <c r="J6" s="5807"/>
      <c r="K6" s="198">
        <v>4</v>
      </c>
      <c r="L6" s="198">
        <v>5</v>
      </c>
      <c r="M6" s="198">
        <v>6</v>
      </c>
      <c r="N6" s="198">
        <v>7</v>
      </c>
      <c r="O6" s="2777" t="s">
        <v>485</v>
      </c>
      <c r="P6" s="2777" t="s">
        <v>486</v>
      </c>
      <c r="Q6" s="2777" t="s">
        <v>444</v>
      </c>
      <c r="R6" s="2777" t="s">
        <v>969</v>
      </c>
      <c r="S6" s="3483"/>
      <c r="T6" s="226"/>
      <c r="U6" s="226"/>
    </row>
    <row r="7" spans="1:21" s="3433" customFormat="1" ht="15.85" customHeight="1">
      <c r="A7" s="3424"/>
      <c r="B7" s="3425">
        <v>6</v>
      </c>
      <c r="C7" s="3425">
        <v>1</v>
      </c>
      <c r="D7" s="3425">
        <v>1</v>
      </c>
      <c r="E7" s="3425" t="s">
        <v>445</v>
      </c>
      <c r="F7" s="3425" t="s">
        <v>440</v>
      </c>
      <c r="G7" s="3426"/>
      <c r="H7" s="3427" t="s">
        <v>1081</v>
      </c>
      <c r="I7" s="3428"/>
      <c r="J7" s="3429"/>
      <c r="K7" s="3519">
        <f t="shared" ref="K7:P7" si="0">K8+K58+K65</f>
        <v>3802519445799</v>
      </c>
      <c r="L7" s="3519">
        <f t="shared" si="0"/>
        <v>3954156416678.9697</v>
      </c>
      <c r="M7" s="3519">
        <f t="shared" si="0"/>
        <v>4791397359569</v>
      </c>
      <c r="N7" s="3519">
        <f t="shared" si="0"/>
        <v>1145356630856.72</v>
      </c>
      <c r="O7" s="3519">
        <f t="shared" si="0"/>
        <v>4858453255665</v>
      </c>
      <c r="P7" s="3519">
        <f t="shared" si="0"/>
        <v>67055896096</v>
      </c>
      <c r="Q7" s="3430">
        <f>O7/M7*100-100</f>
        <v>1.3995060535332442</v>
      </c>
      <c r="R7" s="3431"/>
      <c r="S7" s="436">
        <f>+O7-M7</f>
        <v>67055896096</v>
      </c>
      <c r="T7" s="3432">
        <f>+S7-P7</f>
        <v>0</v>
      </c>
    </row>
    <row r="8" spans="1:21" s="3408" customFormat="1" ht="17.100000000000001" customHeight="1">
      <c r="A8" s="3417" t="s">
        <v>61</v>
      </c>
      <c r="B8" s="3418"/>
      <c r="C8" s="3418"/>
      <c r="D8" s="3418"/>
      <c r="E8" s="3418"/>
      <c r="F8" s="3418"/>
      <c r="G8" s="3419"/>
      <c r="H8" s="3423" t="s">
        <v>180</v>
      </c>
      <c r="I8" s="3420"/>
      <c r="J8" s="3421"/>
      <c r="K8" s="3520">
        <f>K9+K15+K32+K43</f>
        <v>1450044930319</v>
      </c>
      <c r="L8" s="3520">
        <f>L9+L15+L32+L43</f>
        <v>1348970161792.4299</v>
      </c>
      <c r="M8" s="3520">
        <f>M9+M15+M32+M43</f>
        <v>1501611335359</v>
      </c>
      <c r="N8" s="3520">
        <f>N9+N15+N32+N43</f>
        <v>287722965598.72998</v>
      </c>
      <c r="O8" s="3520">
        <f>O9+O15+O32+O43</f>
        <v>1509345801765</v>
      </c>
      <c r="P8" s="3520">
        <f>O8-M8</f>
        <v>7734466406</v>
      </c>
      <c r="Q8" s="3406">
        <f t="shared" ref="Q8:Q71" si="1">O8/M8*100-100</f>
        <v>0.51507778503490442</v>
      </c>
      <c r="R8" s="3422"/>
      <c r="S8" s="436">
        <f>+O8-M8</f>
        <v>7734466406</v>
      </c>
      <c r="T8" s="3407">
        <f>+S8-P8</f>
        <v>0</v>
      </c>
    </row>
    <row r="9" spans="1:21" s="3493" customFormat="1" ht="17.100000000000001" customHeight="1">
      <c r="A9" s="3484" t="s">
        <v>1185</v>
      </c>
      <c r="B9" s="3485">
        <v>4</v>
      </c>
      <c r="C9" s="3485">
        <v>1</v>
      </c>
      <c r="D9" s="3485">
        <v>1</v>
      </c>
      <c r="E9" s="3485"/>
      <c r="F9" s="3485"/>
      <c r="G9" s="3486" t="s">
        <v>1082</v>
      </c>
      <c r="H9" s="3487" t="s">
        <v>1141</v>
      </c>
      <c r="I9" s="3488"/>
      <c r="J9" s="3489"/>
      <c r="K9" s="3521">
        <f t="shared" ref="K9:P9" si="2">SUM(K10:K14)</f>
        <v>1037549599000</v>
      </c>
      <c r="L9" s="3521">
        <f t="shared" si="2"/>
        <v>1003260953668</v>
      </c>
      <c r="M9" s="3521">
        <f t="shared" si="2"/>
        <v>1122139007935</v>
      </c>
      <c r="N9" s="3521">
        <f t="shared" si="2"/>
        <v>233266101062</v>
      </c>
      <c r="O9" s="3521">
        <f t="shared" si="2"/>
        <v>1124031467000</v>
      </c>
      <c r="P9" s="3521">
        <f t="shared" si="2"/>
        <v>1892459065</v>
      </c>
      <c r="Q9" s="3490">
        <f t="shared" si="1"/>
        <v>0.16864747162497906</v>
      </c>
      <c r="R9" s="3491"/>
      <c r="S9" s="436"/>
      <c r="T9" s="3492"/>
    </row>
    <row r="10" spans="1:21" ht="17.100000000000001" customHeight="1">
      <c r="A10" s="3340"/>
      <c r="B10" s="3667">
        <v>4</v>
      </c>
      <c r="C10" s="3667">
        <v>1</v>
      </c>
      <c r="D10" s="3667">
        <v>1</v>
      </c>
      <c r="E10" s="3668" t="s">
        <v>437</v>
      </c>
      <c r="F10" s="3667"/>
      <c r="G10" s="3350"/>
      <c r="H10" s="3669" t="s">
        <v>1142</v>
      </c>
      <c r="I10" s="2113"/>
      <c r="J10" s="3670"/>
      <c r="K10" s="3504">
        <f>'KOM opsi 1'!J14</f>
        <v>248153000000</v>
      </c>
      <c r="L10" s="3504">
        <f>'KOM opsi 1'!K14</f>
        <v>269187973631</v>
      </c>
      <c r="M10" s="3504">
        <f>'KOM opsi 1'!L14</f>
        <v>311893723935</v>
      </c>
      <c r="N10" s="3504">
        <f>'KOM opsi 1'!O14</f>
        <v>69415566816</v>
      </c>
      <c r="O10" s="3671">
        <f>'KOM opsi 1'!P14</f>
        <v>301732799000</v>
      </c>
      <c r="P10" s="3672">
        <f>O10-M10</f>
        <v>-10160924935</v>
      </c>
      <c r="Q10" s="3673">
        <f t="shared" si="1"/>
        <v>-3.2578164147726056</v>
      </c>
      <c r="R10" s="3674" t="s">
        <v>1188</v>
      </c>
      <c r="S10" s="436"/>
      <c r="T10" s="436"/>
    </row>
    <row r="11" spans="1:21" ht="17.100000000000001" customHeight="1">
      <c r="A11" s="3343"/>
      <c r="B11" s="3343">
        <v>4</v>
      </c>
      <c r="C11" s="3343">
        <v>1</v>
      </c>
      <c r="D11" s="3343">
        <v>1</v>
      </c>
      <c r="E11" s="3675" t="s">
        <v>440</v>
      </c>
      <c r="F11" s="3343"/>
      <c r="G11" s="3352"/>
      <c r="H11" s="3676" t="s">
        <v>1153</v>
      </c>
      <c r="I11" s="202"/>
      <c r="J11" s="218"/>
      <c r="K11" s="3506">
        <f>'KOM opsi 1'!J26</f>
        <v>318503155000</v>
      </c>
      <c r="L11" s="3506">
        <f>'KOM opsi 1'!K26</f>
        <v>322208887701</v>
      </c>
      <c r="M11" s="3506">
        <f>'KOM opsi 1'!L26</f>
        <v>321503155000</v>
      </c>
      <c r="N11" s="3506">
        <f>'KOM opsi 1'!O26</f>
        <v>72721445555</v>
      </c>
      <c r="O11" s="3506">
        <f>'KOM opsi 1'!P26</f>
        <v>322208888000</v>
      </c>
      <c r="P11" s="3677">
        <f>O11-M11</f>
        <v>705733000</v>
      </c>
      <c r="Q11" s="3678">
        <f t="shared" si="1"/>
        <v>0.21951044306236156</v>
      </c>
      <c r="R11" s="3679"/>
      <c r="S11" s="436"/>
      <c r="T11" s="436"/>
    </row>
    <row r="12" spans="1:21" ht="17.100000000000001" customHeight="1">
      <c r="A12" s="3343"/>
      <c r="B12" s="3343">
        <v>4</v>
      </c>
      <c r="C12" s="3343">
        <v>1</v>
      </c>
      <c r="D12" s="3343">
        <v>1</v>
      </c>
      <c r="E12" s="3675" t="s">
        <v>451</v>
      </c>
      <c r="F12" s="3343"/>
      <c r="G12" s="3352"/>
      <c r="H12" s="3676" t="s">
        <v>1154</v>
      </c>
      <c r="I12" s="202"/>
      <c r="J12" s="218"/>
      <c r="K12" s="3506">
        <f>'KOM opsi 1'!J38</f>
        <v>192900000000</v>
      </c>
      <c r="L12" s="3506">
        <f>'KOM opsi 1'!K38</f>
        <v>188945861622</v>
      </c>
      <c r="M12" s="3506">
        <f>'KOM opsi 1'!L38</f>
        <v>192900000000</v>
      </c>
      <c r="N12" s="3506">
        <f>'KOM opsi 1'!O38</f>
        <v>46114131883</v>
      </c>
      <c r="O12" s="3506">
        <f>'KOM opsi 1'!P38</f>
        <v>188945861000</v>
      </c>
      <c r="P12" s="3524">
        <f>O12-M12</f>
        <v>-3954139000</v>
      </c>
      <c r="Q12" s="3678">
        <f t="shared" si="1"/>
        <v>-2.0498387765681656</v>
      </c>
      <c r="R12" s="3679"/>
      <c r="S12" s="436"/>
      <c r="T12" s="436"/>
    </row>
    <row r="13" spans="1:21" ht="15.85" customHeight="1">
      <c r="A13" s="3343"/>
      <c r="B13" s="3343">
        <v>4</v>
      </c>
      <c r="C13" s="3343">
        <v>1</v>
      </c>
      <c r="D13" s="3343">
        <v>1</v>
      </c>
      <c r="E13" s="3675" t="s">
        <v>441</v>
      </c>
      <c r="F13" s="3343"/>
      <c r="G13" s="3352"/>
      <c r="H13" s="3676" t="s">
        <v>1156</v>
      </c>
      <c r="I13" s="202"/>
      <c r="J13" s="218"/>
      <c r="K13" s="3506">
        <f>'KOM opsi 1'!J40</f>
        <v>300000000</v>
      </c>
      <c r="L13" s="3506">
        <f>'KOM opsi 1'!K40</f>
        <v>361290857</v>
      </c>
      <c r="M13" s="3506">
        <f>'KOM opsi 1'!L40</f>
        <v>1000000000</v>
      </c>
      <c r="N13" s="3506">
        <f>'KOM opsi 1'!O40</f>
        <v>228953247</v>
      </c>
      <c r="O13" s="3506">
        <f>'KOM opsi 1'!P40</f>
        <v>1000000000</v>
      </c>
      <c r="P13" s="3677">
        <f>O13-M13</f>
        <v>0</v>
      </c>
      <c r="Q13" s="3678">
        <f t="shared" si="1"/>
        <v>0</v>
      </c>
      <c r="R13" s="3679"/>
      <c r="S13" s="436"/>
      <c r="T13" s="436"/>
    </row>
    <row r="14" spans="1:21" ht="15.85" customHeight="1">
      <c r="A14" s="3680"/>
      <c r="B14" s="3680">
        <v>4</v>
      </c>
      <c r="C14" s="3680">
        <v>1</v>
      </c>
      <c r="D14" s="3680">
        <v>1</v>
      </c>
      <c r="E14" s="3681" t="s">
        <v>1187</v>
      </c>
      <c r="F14" s="3680"/>
      <c r="G14" s="3682"/>
      <c r="H14" s="3683" t="s">
        <v>1157</v>
      </c>
      <c r="I14" s="3684"/>
      <c r="J14" s="3685"/>
      <c r="K14" s="3686">
        <f>'KOM opsi 1'!J42</f>
        <v>277693444000</v>
      </c>
      <c r="L14" s="3686">
        <f>'KOM opsi 1'!K42</f>
        <v>222556939857</v>
      </c>
      <c r="M14" s="3686">
        <f>'KOM opsi 1'!L42</f>
        <v>294842129000</v>
      </c>
      <c r="N14" s="3686">
        <f>'KOM opsi 1'!O42</f>
        <v>44786003561</v>
      </c>
      <c r="O14" s="3686">
        <f>'KOM opsi 1'!P42</f>
        <v>310143919000</v>
      </c>
      <c r="P14" s="3687">
        <f>O14-M14</f>
        <v>15301790000</v>
      </c>
      <c r="Q14" s="3688">
        <f t="shared" si="1"/>
        <v>5.1898248231683368</v>
      </c>
      <c r="R14" s="3689"/>
      <c r="S14" s="436"/>
      <c r="T14" s="436"/>
    </row>
    <row r="15" spans="1:21" s="3493" customFormat="1" ht="16.45" customHeight="1">
      <c r="A15" s="3494" t="s">
        <v>1186</v>
      </c>
      <c r="B15" s="3485">
        <v>4</v>
      </c>
      <c r="C15" s="3485">
        <v>1</v>
      </c>
      <c r="D15" s="3485">
        <v>2</v>
      </c>
      <c r="E15" s="3485"/>
      <c r="F15" s="3485"/>
      <c r="G15" s="3495" t="s">
        <v>1082</v>
      </c>
      <c r="H15" s="3496" t="s">
        <v>106</v>
      </c>
      <c r="I15" s="3488"/>
      <c r="J15" s="3497"/>
      <c r="K15" s="3503">
        <f t="shared" ref="K15:P15" si="3">SUM(K16:K30)-K16-K21-K27</f>
        <v>29890858000</v>
      </c>
      <c r="L15" s="3503">
        <f t="shared" si="3"/>
        <v>29792038549</v>
      </c>
      <c r="M15" s="3503">
        <f t="shared" si="3"/>
        <v>18459358000</v>
      </c>
      <c r="N15" s="3503">
        <f t="shared" si="3"/>
        <v>4448558476</v>
      </c>
      <c r="O15" s="3503">
        <f t="shared" si="3"/>
        <v>19945053500</v>
      </c>
      <c r="P15" s="3503">
        <f t="shared" si="3"/>
        <v>1485695500</v>
      </c>
      <c r="Q15" s="3490">
        <f t="shared" si="1"/>
        <v>8.0484678827941849</v>
      </c>
      <c r="R15" s="3491"/>
      <c r="S15" s="436">
        <f t="shared" ref="S15:S74" si="4">+O15-M15</f>
        <v>1485695500</v>
      </c>
      <c r="T15" s="3492">
        <f t="shared" ref="T15:T74" si="5">+S15-P15</f>
        <v>0</v>
      </c>
    </row>
    <row r="16" spans="1:21">
      <c r="A16" s="3339"/>
      <c r="B16" s="3340">
        <v>4</v>
      </c>
      <c r="C16" s="3340">
        <v>1</v>
      </c>
      <c r="D16" s="3340">
        <v>2</v>
      </c>
      <c r="E16" s="3340" t="s">
        <v>437</v>
      </c>
      <c r="F16" s="3340"/>
      <c r="G16" s="3341"/>
      <c r="H16" s="3089" t="s">
        <v>107</v>
      </c>
      <c r="I16" s="212"/>
      <c r="J16" s="3088"/>
      <c r="K16" s="3504">
        <f>SUM(K17:K19)</f>
        <v>19059250000</v>
      </c>
      <c r="L16" s="3504">
        <f>SUM(L17:L19)</f>
        <v>19214538092</v>
      </c>
      <c r="M16" s="3504">
        <f>SUM(M17:M19)</f>
        <v>7519250000</v>
      </c>
      <c r="N16" s="3504">
        <f>SUM(N17:N19)</f>
        <v>2714722900</v>
      </c>
      <c r="O16" s="3504">
        <f>SUM(O17:O19)</f>
        <v>9000000000</v>
      </c>
      <c r="P16" s="3504">
        <f>O16-M16</f>
        <v>1480750000</v>
      </c>
      <c r="Q16" s="3690">
        <f t="shared" si="1"/>
        <v>19.692788509492303</v>
      </c>
      <c r="R16" s="3083"/>
      <c r="S16" s="436">
        <f t="shared" si="4"/>
        <v>1480750000</v>
      </c>
      <c r="T16" s="436">
        <f t="shared" si="5"/>
        <v>0</v>
      </c>
    </row>
    <row r="17" spans="1:20" ht="12.7" customHeight="1">
      <c r="A17" s="3342"/>
      <c r="B17" s="3343">
        <v>4</v>
      </c>
      <c r="C17" s="3343">
        <v>1</v>
      </c>
      <c r="D17" s="3343">
        <v>2</v>
      </c>
      <c r="E17" s="3343" t="s">
        <v>437</v>
      </c>
      <c r="F17" s="3343" t="s">
        <v>437</v>
      </c>
      <c r="G17" s="3344">
        <v>1</v>
      </c>
      <c r="H17" s="2214" t="s">
        <v>1083</v>
      </c>
      <c r="I17" s="200"/>
      <c r="J17" s="217"/>
      <c r="K17" s="3505">
        <f>+'KOM opsi 1'!J46</f>
        <v>18800000000</v>
      </c>
      <c r="L17" s="3505">
        <f>+'KOM opsi 1'!K46</f>
        <v>18927671342</v>
      </c>
      <c r="M17" s="3505">
        <f>+'KOM opsi 1'!L46</f>
        <v>7500000000</v>
      </c>
      <c r="N17" s="3505">
        <f>'KOM opsi 1'!O46</f>
        <v>2714722900</v>
      </c>
      <c r="O17" s="3505">
        <f>+'KOM opsi 1'!P46</f>
        <v>9000000000</v>
      </c>
      <c r="P17" s="3505">
        <f>O17-M17</f>
        <v>1500000000</v>
      </c>
      <c r="Q17" s="3691">
        <f t="shared" si="1"/>
        <v>20</v>
      </c>
      <c r="R17" s="2842"/>
      <c r="S17" s="436">
        <f t="shared" si="4"/>
        <v>1500000000</v>
      </c>
      <c r="T17" s="436">
        <f t="shared" si="5"/>
        <v>0</v>
      </c>
    </row>
    <row r="18" spans="1:20">
      <c r="A18" s="3342"/>
      <c r="B18" s="3343">
        <v>4</v>
      </c>
      <c r="C18" s="3343">
        <v>1</v>
      </c>
      <c r="D18" s="3343">
        <v>2</v>
      </c>
      <c r="E18" s="3343" t="s">
        <v>437</v>
      </c>
      <c r="F18" s="3343" t="s">
        <v>445</v>
      </c>
      <c r="G18" s="3344">
        <v>2</v>
      </c>
      <c r="H18" s="2214" t="s">
        <v>1084</v>
      </c>
      <c r="I18" s="200"/>
      <c r="J18" s="217"/>
      <c r="K18" s="3505">
        <f>+'KOM opsi 1'!J51</f>
        <v>240000000</v>
      </c>
      <c r="L18" s="3505">
        <f>+'KOM opsi 1'!K51</f>
        <v>286866750</v>
      </c>
      <c r="M18" s="3505">
        <f>+'KOM opsi 1'!L51</f>
        <v>0</v>
      </c>
      <c r="N18" s="3505">
        <f>'KOM opsi 1'!P51</f>
        <v>0</v>
      </c>
      <c r="O18" s="3505">
        <f>+'KOM opsi 1'!P51</f>
        <v>0</v>
      </c>
      <c r="P18" s="3505">
        <f>+'KOM opsi 1'!Q51</f>
        <v>0</v>
      </c>
      <c r="Q18" s="3691"/>
      <c r="R18" s="2842"/>
      <c r="S18" s="436">
        <f t="shared" si="4"/>
        <v>0</v>
      </c>
      <c r="T18" s="436">
        <f t="shared" si="5"/>
        <v>0</v>
      </c>
    </row>
    <row r="19" spans="1:20">
      <c r="A19" s="3342"/>
      <c r="B19" s="3343">
        <v>4</v>
      </c>
      <c r="C19" s="3343">
        <v>1</v>
      </c>
      <c r="D19" s="3343">
        <v>2</v>
      </c>
      <c r="E19" s="3343" t="s">
        <v>437</v>
      </c>
      <c r="F19" s="3343" t="s">
        <v>445</v>
      </c>
      <c r="G19" s="3344">
        <v>3</v>
      </c>
      <c r="H19" s="2214" t="s">
        <v>1011</v>
      </c>
      <c r="I19" s="200"/>
      <c r="J19" s="217"/>
      <c r="K19" s="3505">
        <f>+'KOM opsi 1'!J52</f>
        <v>19250000</v>
      </c>
      <c r="L19" s="3505">
        <f>+'KOM opsi 1'!K52</f>
        <v>0</v>
      </c>
      <c r="M19" s="3505">
        <f>+'KOM opsi 1'!L52</f>
        <v>19250000</v>
      </c>
      <c r="N19" s="3505">
        <f>'KOM opsi 1'!P52</f>
        <v>0</v>
      </c>
      <c r="O19" s="3505">
        <f>+'KOM opsi 1'!P52</f>
        <v>0</v>
      </c>
      <c r="P19" s="3500">
        <f>+'KOM opsi 1'!Q52</f>
        <v>-19250000</v>
      </c>
      <c r="Q19" s="3691">
        <f t="shared" si="1"/>
        <v>-100</v>
      </c>
      <c r="R19" s="2842"/>
      <c r="S19" s="436">
        <f t="shared" si="4"/>
        <v>-19250000</v>
      </c>
      <c r="T19" s="436">
        <f t="shared" si="5"/>
        <v>0</v>
      </c>
    </row>
    <row r="20" spans="1:20" ht="6.75" customHeight="1">
      <c r="A20" s="3342"/>
      <c r="B20" s="3343"/>
      <c r="C20" s="3343"/>
      <c r="D20" s="3343"/>
      <c r="E20" s="3343"/>
      <c r="F20" s="3343"/>
      <c r="G20" s="3344"/>
      <c r="H20" s="2214"/>
      <c r="I20" s="200"/>
      <c r="J20" s="217"/>
      <c r="K20" s="3505"/>
      <c r="L20" s="3505"/>
      <c r="M20" s="3505"/>
      <c r="N20" s="3505"/>
      <c r="O20" s="3505"/>
      <c r="P20" s="3500"/>
      <c r="Q20" s="3692"/>
      <c r="R20" s="2842"/>
      <c r="S20" s="436">
        <f t="shared" si="4"/>
        <v>0</v>
      </c>
      <c r="T20" s="436">
        <f t="shared" si="5"/>
        <v>0</v>
      </c>
    </row>
    <row r="21" spans="1:20">
      <c r="A21" s="3342"/>
      <c r="B21" s="3343">
        <v>4</v>
      </c>
      <c r="C21" s="3343">
        <v>1</v>
      </c>
      <c r="D21" s="3343">
        <v>2</v>
      </c>
      <c r="E21" s="3343" t="s">
        <v>438</v>
      </c>
      <c r="F21" s="3343"/>
      <c r="G21" s="3344"/>
      <c r="H21" s="1856" t="s">
        <v>109</v>
      </c>
      <c r="I21" s="202"/>
      <c r="J21" s="217"/>
      <c r="K21" s="3506">
        <f>SUM(K22:K25)</f>
        <v>9182718500</v>
      </c>
      <c r="L21" s="3506">
        <f>SUM(L22:L25)</f>
        <v>8816358857</v>
      </c>
      <c r="M21" s="3506">
        <f>SUM(M22:M25)</f>
        <v>9291218500</v>
      </c>
      <c r="N21" s="3506">
        <f>SUM(N22:N25)</f>
        <v>1256530576</v>
      </c>
      <c r="O21" s="3506">
        <f>SUM(O22:O25)</f>
        <v>9081164000</v>
      </c>
      <c r="P21" s="3524">
        <f>O21-M21</f>
        <v>-210054500</v>
      </c>
      <c r="Q21" s="3692">
        <f t="shared" si="1"/>
        <v>-2.2607852780558346</v>
      </c>
      <c r="R21" s="2842"/>
      <c r="S21" s="436">
        <f t="shared" si="4"/>
        <v>-210054500</v>
      </c>
      <c r="T21" s="436">
        <f t="shared" si="5"/>
        <v>0</v>
      </c>
    </row>
    <row r="22" spans="1:20">
      <c r="A22" s="3342"/>
      <c r="B22" s="3343">
        <v>4</v>
      </c>
      <c r="C22" s="3343">
        <v>1</v>
      </c>
      <c r="D22" s="3343">
        <v>2</v>
      </c>
      <c r="E22" s="3343" t="s">
        <v>438</v>
      </c>
      <c r="F22" s="3343" t="s">
        <v>437</v>
      </c>
      <c r="G22" s="3344">
        <v>1</v>
      </c>
      <c r="H22" s="2214" t="s">
        <v>986</v>
      </c>
      <c r="I22" s="200"/>
      <c r="J22" s="217"/>
      <c r="K22" s="3505">
        <f>+'KOM opsi 1'!J57</f>
        <v>4557206500</v>
      </c>
      <c r="L22" s="3505">
        <f>+'KOM opsi 1'!K57</f>
        <v>3676781427</v>
      </c>
      <c r="M22" s="3505">
        <f>+'KOM opsi 1'!L57</f>
        <v>4630706500</v>
      </c>
      <c r="N22" s="3505">
        <f>'KOM opsi 1'!O57</f>
        <v>376759526</v>
      </c>
      <c r="O22" s="3505">
        <f>'KOM opsi 1'!P57</f>
        <v>3804881500</v>
      </c>
      <c r="P22" s="3500">
        <f>O22-M22</f>
        <v>-825825000</v>
      </c>
      <c r="Q22" s="3691">
        <f t="shared" si="1"/>
        <v>-17.83367181660077</v>
      </c>
      <c r="R22" s="2842"/>
      <c r="S22" s="436"/>
      <c r="T22" s="436">
        <f t="shared" si="5"/>
        <v>825825000</v>
      </c>
    </row>
    <row r="23" spans="1:20">
      <c r="A23" s="3342"/>
      <c r="B23" s="3343">
        <v>4</v>
      </c>
      <c r="C23" s="3343">
        <v>1</v>
      </c>
      <c r="D23" s="3343">
        <v>2</v>
      </c>
      <c r="E23" s="3343" t="s">
        <v>438</v>
      </c>
      <c r="F23" s="3343" t="s">
        <v>440</v>
      </c>
      <c r="G23" s="3344">
        <v>2</v>
      </c>
      <c r="H23" s="2214" t="s">
        <v>1085</v>
      </c>
      <c r="I23" s="200"/>
      <c r="J23" s="217"/>
      <c r="K23" s="3505">
        <f>+'KOM opsi 1'!J137</f>
        <v>2512125000</v>
      </c>
      <c r="L23" s="3505">
        <f>+'KOM opsi 1'!K137</f>
        <v>2733928400</v>
      </c>
      <c r="M23" s="3505">
        <f>+'KOM opsi 1'!L137</f>
        <v>2547125000</v>
      </c>
      <c r="N23" s="3505">
        <f>'KOM opsi 1'!O137</f>
        <v>311760000</v>
      </c>
      <c r="O23" s="3505">
        <f>'KOM opsi 1'!P137</f>
        <v>2547125000</v>
      </c>
      <c r="P23" s="3525">
        <f>O23-M23</f>
        <v>0</v>
      </c>
      <c r="Q23" s="3691">
        <f t="shared" si="1"/>
        <v>0</v>
      </c>
      <c r="R23" s="2842"/>
      <c r="S23" s="436">
        <f t="shared" si="4"/>
        <v>0</v>
      </c>
      <c r="T23" s="436">
        <f t="shared" si="5"/>
        <v>0</v>
      </c>
    </row>
    <row r="24" spans="1:20">
      <c r="A24" s="3342"/>
      <c r="B24" s="3343">
        <v>4</v>
      </c>
      <c r="C24" s="3343">
        <v>1</v>
      </c>
      <c r="D24" s="3343">
        <v>2</v>
      </c>
      <c r="E24" s="3343" t="s">
        <v>438</v>
      </c>
      <c r="F24" s="3345" t="s">
        <v>451</v>
      </c>
      <c r="G24" s="3344"/>
      <c r="H24" s="2214" t="s">
        <v>1086</v>
      </c>
      <c r="I24" s="200"/>
      <c r="J24" s="217"/>
      <c r="K24" s="3505"/>
      <c r="L24" s="3505"/>
      <c r="M24" s="3505">
        <v>0</v>
      </c>
      <c r="N24" s="3505">
        <f>'KOM opsi 1'!O156</f>
        <v>97365000</v>
      </c>
      <c r="O24" s="3505">
        <f>'KOM opsi 1'!P156</f>
        <v>375000000</v>
      </c>
      <c r="P24" s="3525">
        <f>O24-M24</f>
        <v>375000000</v>
      </c>
      <c r="Q24" s="3691" t="e">
        <f t="shared" si="1"/>
        <v>#DIV/0!</v>
      </c>
      <c r="R24" s="2842"/>
      <c r="S24" s="436">
        <f t="shared" si="4"/>
        <v>375000000</v>
      </c>
      <c r="T24" s="436">
        <f t="shared" si="5"/>
        <v>0</v>
      </c>
    </row>
    <row r="25" spans="1:20">
      <c r="A25" s="3342"/>
      <c r="B25" s="3343">
        <v>4</v>
      </c>
      <c r="C25" s="3343">
        <v>1</v>
      </c>
      <c r="D25" s="3343">
        <v>2</v>
      </c>
      <c r="E25" s="3343" t="s">
        <v>438</v>
      </c>
      <c r="F25" s="3343" t="s">
        <v>448</v>
      </c>
      <c r="G25" s="3344">
        <v>3</v>
      </c>
      <c r="H25" s="2214" t="s">
        <v>1087</v>
      </c>
      <c r="I25" s="200"/>
      <c r="J25" s="217"/>
      <c r="K25" s="3505">
        <f>+'KOM opsi 1'!J162</f>
        <v>2113387000</v>
      </c>
      <c r="L25" s="3505">
        <f>+'KOM opsi 1'!K162</f>
        <v>2405649030</v>
      </c>
      <c r="M25" s="3505">
        <f>+'KOM opsi 1'!L162</f>
        <v>2113387000</v>
      </c>
      <c r="N25" s="3505">
        <f>'KOM opsi 1'!O162</f>
        <v>470646050</v>
      </c>
      <c r="O25" s="3505">
        <f>'KOM opsi 1'!P162</f>
        <v>2354157500</v>
      </c>
      <c r="P25" s="3525">
        <f>O25-M25</f>
        <v>240770500</v>
      </c>
      <c r="Q25" s="3691">
        <f t="shared" si="1"/>
        <v>11.392636559229331</v>
      </c>
      <c r="R25" s="2842"/>
      <c r="S25" s="436">
        <f t="shared" si="4"/>
        <v>240770500</v>
      </c>
      <c r="T25" s="436">
        <f t="shared" si="5"/>
        <v>0</v>
      </c>
    </row>
    <row r="26" spans="1:20" ht="6.75" customHeight="1">
      <c r="A26" s="3342"/>
      <c r="B26" s="3343"/>
      <c r="C26" s="3343"/>
      <c r="D26" s="3343"/>
      <c r="E26" s="3343"/>
      <c r="F26" s="3343"/>
      <c r="G26" s="3344"/>
      <c r="H26" s="2214"/>
      <c r="I26" s="200"/>
      <c r="J26" s="217"/>
      <c r="K26" s="3505"/>
      <c r="L26" s="3505"/>
      <c r="M26" s="3505"/>
      <c r="N26" s="3505"/>
      <c r="O26" s="3505"/>
      <c r="P26" s="3505"/>
      <c r="Q26" s="3691"/>
      <c r="R26" s="2842"/>
      <c r="S26" s="436">
        <f t="shared" si="4"/>
        <v>0</v>
      </c>
      <c r="T26" s="436">
        <f t="shared" si="5"/>
        <v>0</v>
      </c>
    </row>
    <row r="27" spans="1:20">
      <c r="A27" s="3342"/>
      <c r="B27" s="3343">
        <v>4</v>
      </c>
      <c r="C27" s="3343">
        <v>1</v>
      </c>
      <c r="D27" s="3343">
        <v>2</v>
      </c>
      <c r="E27" s="3343" t="s">
        <v>440</v>
      </c>
      <c r="F27" s="3343"/>
      <c r="G27" s="3344"/>
      <c r="H27" s="1856" t="s">
        <v>116</v>
      </c>
      <c r="I27" s="202"/>
      <c r="J27" s="218"/>
      <c r="K27" s="3506">
        <f>SUM(K28:K30)</f>
        <v>1648889500</v>
      </c>
      <c r="L27" s="3506">
        <f>SUM(L28:L30)</f>
        <v>1761141600</v>
      </c>
      <c r="M27" s="3506">
        <f>SUM(M28:M30)</f>
        <v>1648889500</v>
      </c>
      <c r="N27" s="3506">
        <f>SUM(N28:N30)</f>
        <v>477305000</v>
      </c>
      <c r="O27" s="3506">
        <f>SUM(O28:O30)</f>
        <v>1863889500</v>
      </c>
      <c r="P27" s="3506">
        <f>O27-M27</f>
        <v>215000000</v>
      </c>
      <c r="Q27" s="3692">
        <f t="shared" si="1"/>
        <v>13.039078725408842</v>
      </c>
      <c r="R27" s="2842"/>
      <c r="S27" s="436">
        <f t="shared" si="4"/>
        <v>215000000</v>
      </c>
      <c r="T27" s="436">
        <f t="shared" si="5"/>
        <v>0</v>
      </c>
    </row>
    <row r="28" spans="1:20">
      <c r="A28" s="3342"/>
      <c r="B28" s="3343">
        <v>4</v>
      </c>
      <c r="C28" s="3343">
        <v>1</v>
      </c>
      <c r="D28" s="3343">
        <v>2</v>
      </c>
      <c r="E28" s="3343" t="s">
        <v>440</v>
      </c>
      <c r="F28" s="3343" t="s">
        <v>437</v>
      </c>
      <c r="G28" s="3344">
        <v>1</v>
      </c>
      <c r="H28" s="2214" t="s">
        <v>1088</v>
      </c>
      <c r="I28" s="202"/>
      <c r="J28" s="218"/>
      <c r="K28" s="3505">
        <f>+'KOM opsi 1'!J202</f>
        <v>193889500</v>
      </c>
      <c r="L28" s="3505">
        <f>+'KOM opsi 1'!K202</f>
        <v>122160000</v>
      </c>
      <c r="M28" s="3505">
        <f>+'KOM opsi 1'!L202</f>
        <v>193889500</v>
      </c>
      <c r="N28" s="3505">
        <f>+'KOM opsi 1'!O202</f>
        <v>28565000</v>
      </c>
      <c r="O28" s="3505">
        <f>+'KOM opsi 1'!P202</f>
        <v>193889500</v>
      </c>
      <c r="P28" s="3507">
        <f>O28-M28</f>
        <v>0</v>
      </c>
      <c r="Q28" s="3691">
        <f t="shared" si="1"/>
        <v>0</v>
      </c>
      <c r="R28" s="2842"/>
      <c r="S28" s="436">
        <f t="shared" si="4"/>
        <v>0</v>
      </c>
      <c r="T28" s="436">
        <f t="shared" si="5"/>
        <v>0</v>
      </c>
    </row>
    <row r="29" spans="1:20">
      <c r="A29" s="3342"/>
      <c r="B29" s="3343">
        <v>4</v>
      </c>
      <c r="C29" s="3343">
        <v>1</v>
      </c>
      <c r="D29" s="3343">
        <v>2</v>
      </c>
      <c r="E29" s="3343" t="s">
        <v>440</v>
      </c>
      <c r="F29" s="3343">
        <v>2</v>
      </c>
      <c r="G29" s="3344">
        <v>2</v>
      </c>
      <c r="H29" s="199" t="s">
        <v>1089</v>
      </c>
      <c r="I29" s="202"/>
      <c r="J29" s="218"/>
      <c r="K29" s="3505">
        <f>+'KOM opsi 1'!J207</f>
        <v>0</v>
      </c>
      <c r="L29" s="3505">
        <f>+'KOM opsi 1'!K207</f>
        <v>16404000</v>
      </c>
      <c r="M29" s="3505">
        <f>+'KOM opsi 1'!L207</f>
        <v>0</v>
      </c>
      <c r="N29" s="3505">
        <f>+'KOM opsi 1'!O207</f>
        <v>0</v>
      </c>
      <c r="O29" s="3505">
        <f>+'KOM opsi 1'!P207</f>
        <v>20000000</v>
      </c>
      <c r="P29" s="3507">
        <f>O29-M29</f>
        <v>20000000</v>
      </c>
      <c r="Q29" s="3691" t="e">
        <f t="shared" si="1"/>
        <v>#DIV/0!</v>
      </c>
      <c r="R29" s="2842"/>
      <c r="S29" s="436">
        <f t="shared" si="4"/>
        <v>20000000</v>
      </c>
      <c r="T29" s="436">
        <f t="shared" si="5"/>
        <v>0</v>
      </c>
    </row>
    <row r="30" spans="1:20">
      <c r="A30" s="3346"/>
      <c r="B30" s="3343">
        <v>4</v>
      </c>
      <c r="C30" s="3343">
        <v>1</v>
      </c>
      <c r="D30" s="3343">
        <v>2</v>
      </c>
      <c r="E30" s="3343" t="s">
        <v>437</v>
      </c>
      <c r="F30" s="3343">
        <v>16</v>
      </c>
      <c r="G30" s="3344">
        <v>4</v>
      </c>
      <c r="H30" s="2214" t="s">
        <v>971</v>
      </c>
      <c r="I30" s="200"/>
      <c r="J30" s="217"/>
      <c r="K30" s="3505">
        <f>+'KOM opsi 1'!J210</f>
        <v>1455000000</v>
      </c>
      <c r="L30" s="3505">
        <f>+'KOM opsi 1'!K210</f>
        <v>1622577600</v>
      </c>
      <c r="M30" s="3505">
        <f>+'KOM opsi 1'!L210</f>
        <v>1455000000</v>
      </c>
      <c r="N30" s="3505">
        <f>+'KOM opsi 1'!O210</f>
        <v>448740000</v>
      </c>
      <c r="O30" s="3505">
        <f>+'KOM opsi 1'!P210</f>
        <v>1650000000</v>
      </c>
      <c r="P30" s="3507">
        <f>O30-M30</f>
        <v>195000000</v>
      </c>
      <c r="Q30" s="3691">
        <f t="shared" si="1"/>
        <v>13.402061855670098</v>
      </c>
      <c r="R30" s="2842"/>
      <c r="S30" s="436">
        <f t="shared" si="4"/>
        <v>195000000</v>
      </c>
      <c r="T30" s="436">
        <f t="shared" si="5"/>
        <v>0</v>
      </c>
    </row>
    <row r="31" spans="1:20" ht="7.55" customHeight="1">
      <c r="A31" s="3346"/>
      <c r="B31" s="3347"/>
      <c r="C31" s="3347"/>
      <c r="D31" s="3347"/>
      <c r="E31" s="3347"/>
      <c r="F31" s="3347"/>
      <c r="G31" s="3348"/>
      <c r="H31" s="2853"/>
      <c r="I31" s="1318"/>
      <c r="J31" s="3035"/>
      <c r="K31" s="3508"/>
      <c r="L31" s="3508"/>
      <c r="M31" s="3508"/>
      <c r="N31" s="3508"/>
      <c r="O31" s="3508"/>
      <c r="P31" s="3508"/>
      <c r="Q31" s="3338"/>
      <c r="R31" s="3349"/>
      <c r="S31" s="436">
        <f t="shared" si="4"/>
        <v>0</v>
      </c>
      <c r="T31" s="436">
        <f t="shared" si="5"/>
        <v>0</v>
      </c>
    </row>
    <row r="32" spans="1:20" s="3493" customFormat="1" ht="16.45" customHeight="1">
      <c r="A32" s="3498" t="s">
        <v>78</v>
      </c>
      <c r="B32" s="3485">
        <v>4</v>
      </c>
      <c r="C32" s="3485">
        <v>1</v>
      </c>
      <c r="D32" s="3485">
        <v>3</v>
      </c>
      <c r="E32" s="3485"/>
      <c r="F32" s="3485"/>
      <c r="G32" s="3495" t="s">
        <v>1082</v>
      </c>
      <c r="H32" s="3496" t="s">
        <v>1090</v>
      </c>
      <c r="I32" s="3488"/>
      <c r="J32" s="3489"/>
      <c r="K32" s="3503">
        <f t="shared" ref="K32:P32" si="6">+K33</f>
        <v>157964885190</v>
      </c>
      <c r="L32" s="3503">
        <f t="shared" si="6"/>
        <v>72827611744</v>
      </c>
      <c r="M32" s="3503">
        <f t="shared" si="6"/>
        <v>92558485190</v>
      </c>
      <c r="N32" s="3503">
        <f t="shared" si="6"/>
        <v>0</v>
      </c>
      <c r="O32" s="3503">
        <f t="shared" si="6"/>
        <v>92558485190</v>
      </c>
      <c r="P32" s="3503">
        <f t="shared" si="6"/>
        <v>0</v>
      </c>
      <c r="Q32" s="3490">
        <f t="shared" si="1"/>
        <v>0</v>
      </c>
      <c r="R32" s="3499"/>
      <c r="S32" s="436">
        <f t="shared" si="4"/>
        <v>0</v>
      </c>
      <c r="T32" s="3492">
        <f t="shared" si="5"/>
        <v>0</v>
      </c>
    </row>
    <row r="33" spans="1:20">
      <c r="A33" s="3339"/>
      <c r="B33" s="3340">
        <v>4</v>
      </c>
      <c r="C33" s="3340">
        <v>1</v>
      </c>
      <c r="D33" s="3340">
        <v>3</v>
      </c>
      <c r="E33" s="3340" t="s">
        <v>437</v>
      </c>
      <c r="F33" s="3340"/>
      <c r="G33" s="3350"/>
      <c r="H33" s="3089" t="s">
        <v>1091</v>
      </c>
      <c r="I33" s="212"/>
      <c r="J33" s="225"/>
      <c r="K33" s="3504">
        <f t="shared" ref="K33:P33" si="7">SUM(K34:K41)</f>
        <v>157964885190</v>
      </c>
      <c r="L33" s="3504">
        <f t="shared" si="7"/>
        <v>72827611744</v>
      </c>
      <c r="M33" s="3504">
        <f t="shared" si="7"/>
        <v>92558485190</v>
      </c>
      <c r="N33" s="3504">
        <f t="shared" si="7"/>
        <v>0</v>
      </c>
      <c r="O33" s="3504">
        <f t="shared" si="7"/>
        <v>92558485190</v>
      </c>
      <c r="P33" s="3504">
        <f t="shared" si="7"/>
        <v>0</v>
      </c>
      <c r="Q33" s="3690">
        <f t="shared" si="1"/>
        <v>0</v>
      </c>
      <c r="R33" s="3351"/>
      <c r="S33" s="436">
        <f t="shared" si="4"/>
        <v>0</v>
      </c>
      <c r="T33" s="436">
        <f t="shared" si="5"/>
        <v>0</v>
      </c>
    </row>
    <row r="34" spans="1:20">
      <c r="A34" s="3342"/>
      <c r="B34" s="3343"/>
      <c r="C34" s="3343"/>
      <c r="D34" s="3343"/>
      <c r="E34" s="3343"/>
      <c r="F34" s="3343"/>
      <c r="G34" s="3352">
        <v>1</v>
      </c>
      <c r="H34" s="199" t="s">
        <v>197</v>
      </c>
      <c r="I34" s="200"/>
      <c r="J34" s="217"/>
      <c r="K34" s="3505">
        <f>+'KOM opsi 1'!J217</f>
        <v>59958450102</v>
      </c>
      <c r="L34" s="3505">
        <f>+'KOM opsi 1'!K217</f>
        <v>59958510102</v>
      </c>
      <c r="M34" s="3505">
        <f>+'KOM opsi 1'!L217</f>
        <v>59958450102</v>
      </c>
      <c r="N34" s="3505">
        <f>+'KOM opsi 1'!O217</f>
        <v>0</v>
      </c>
      <c r="O34" s="3505">
        <f>+'KOM opsi 1'!P217</f>
        <v>59958450102</v>
      </c>
      <c r="P34" s="3505">
        <f>+'KOM opsi 1'!Q217</f>
        <v>0</v>
      </c>
      <c r="Q34" s="3692">
        <f t="shared" si="1"/>
        <v>0</v>
      </c>
      <c r="R34" s="3353"/>
      <c r="S34" s="436">
        <f t="shared" si="4"/>
        <v>0</v>
      </c>
      <c r="T34" s="436">
        <f t="shared" si="5"/>
        <v>0</v>
      </c>
    </row>
    <row r="35" spans="1:20">
      <c r="A35" s="3342"/>
      <c r="B35" s="3343"/>
      <c r="C35" s="3343"/>
      <c r="D35" s="3343"/>
      <c r="E35" s="3343"/>
      <c r="F35" s="3343"/>
      <c r="G35" s="3352">
        <v>2</v>
      </c>
      <c r="H35" s="199" t="s">
        <v>1092</v>
      </c>
      <c r="I35" s="200"/>
      <c r="J35" s="217"/>
      <c r="K35" s="3505">
        <f>+'KOM opsi 1'!J216</f>
        <v>11374571865</v>
      </c>
      <c r="L35" s="3505">
        <f>+'KOM opsi 1'!K216</f>
        <v>11631764969</v>
      </c>
      <c r="M35" s="3505">
        <f>+'KOM opsi 1'!L216</f>
        <v>13374571865</v>
      </c>
      <c r="N35" s="3505">
        <f>+'KOM opsi 1'!O216</f>
        <v>0</v>
      </c>
      <c r="O35" s="3505">
        <f>+'KOM opsi 1'!P216</f>
        <v>13374571865</v>
      </c>
      <c r="P35" s="3505">
        <f>+'KOM opsi 1'!Q216</f>
        <v>0</v>
      </c>
      <c r="Q35" s="3692">
        <f t="shared" si="1"/>
        <v>0</v>
      </c>
      <c r="R35" s="3353"/>
      <c r="S35" s="436">
        <f t="shared" si="4"/>
        <v>0</v>
      </c>
      <c r="T35" s="436">
        <f t="shared" si="5"/>
        <v>0</v>
      </c>
    </row>
    <row r="36" spans="1:20">
      <c r="A36" s="3342"/>
      <c r="B36" s="3343"/>
      <c r="C36" s="3343"/>
      <c r="D36" s="3343"/>
      <c r="E36" s="3343"/>
      <c r="F36" s="3343"/>
      <c r="G36" s="3352">
        <v>3</v>
      </c>
      <c r="H36" s="199" t="s">
        <v>769</v>
      </c>
      <c r="I36" s="200"/>
      <c r="J36" s="217"/>
      <c r="K36" s="3505">
        <f>+'KOM opsi 1'!J218</f>
        <v>1000000000</v>
      </c>
      <c r="L36" s="3505">
        <f>+'KOM opsi 1'!K218</f>
        <v>1000000000</v>
      </c>
      <c r="M36" s="3505">
        <f>+'KOM opsi 1'!L218</f>
        <v>1000000000</v>
      </c>
      <c r="N36" s="3505">
        <f>+'KOM opsi 1'!O218</f>
        <v>0</v>
      </c>
      <c r="O36" s="3505">
        <f>+'KOM opsi 1'!P218</f>
        <v>1000000000</v>
      </c>
      <c r="P36" s="3505">
        <f>+'KOM opsi 1'!Q218</f>
        <v>0</v>
      </c>
      <c r="Q36" s="3692">
        <f t="shared" si="1"/>
        <v>0</v>
      </c>
      <c r="R36" s="3353"/>
      <c r="S36" s="436">
        <f t="shared" si="4"/>
        <v>0</v>
      </c>
      <c r="T36" s="436">
        <f t="shared" si="5"/>
        <v>0</v>
      </c>
    </row>
    <row r="37" spans="1:20">
      <c r="A37" s="3342"/>
      <c r="B37" s="3343"/>
      <c r="C37" s="3343"/>
      <c r="D37" s="3343"/>
      <c r="E37" s="3343"/>
      <c r="F37" s="3343"/>
      <c r="G37" s="3352">
        <v>4</v>
      </c>
      <c r="H37" s="199" t="s">
        <v>199</v>
      </c>
      <c r="I37" s="200"/>
      <c r="J37" s="217"/>
      <c r="K37" s="3505">
        <f>+'KOM opsi 1'!J219</f>
        <v>85406400000</v>
      </c>
      <c r="L37" s="3505">
        <f>+'KOM opsi 1'!K219</f>
        <v>0</v>
      </c>
      <c r="M37" s="3505">
        <f>+'KOM opsi 1'!L219</f>
        <v>16000000000</v>
      </c>
      <c r="N37" s="3505">
        <f>+'KOM opsi 1'!O219</f>
        <v>0</v>
      </c>
      <c r="O37" s="3505">
        <f>+'KOM opsi 1'!P219</f>
        <v>16000000000</v>
      </c>
      <c r="P37" s="3505">
        <f>+'KOM opsi 1'!Q219</f>
        <v>0</v>
      </c>
      <c r="Q37" s="3692">
        <f t="shared" si="1"/>
        <v>0</v>
      </c>
      <c r="R37" s="3353"/>
      <c r="S37" s="436">
        <f t="shared" si="4"/>
        <v>0</v>
      </c>
      <c r="T37" s="436">
        <f t="shared" si="5"/>
        <v>0</v>
      </c>
    </row>
    <row r="38" spans="1:20">
      <c r="A38" s="3342"/>
      <c r="B38" s="3343"/>
      <c r="C38" s="3343"/>
      <c r="D38" s="3343"/>
      <c r="E38" s="3343"/>
      <c r="F38" s="3343"/>
      <c r="G38" s="3352">
        <v>5</v>
      </c>
      <c r="H38" s="199" t="s">
        <v>200</v>
      </c>
      <c r="I38" s="200"/>
      <c r="J38" s="217"/>
      <c r="K38" s="3505" t="str">
        <f>+'KOM opsi 1'!J220</f>
        <v>-</v>
      </c>
      <c r="L38" s="3505">
        <f>+'KOM opsi 1'!K220</f>
        <v>0</v>
      </c>
      <c r="M38" s="3505">
        <f>+'KOM opsi 1'!L220</f>
        <v>0</v>
      </c>
      <c r="N38" s="3505">
        <f>+'KOM opsi 1'!O220</f>
        <v>0</v>
      </c>
      <c r="O38" s="3505">
        <f>+'KOM opsi 1'!P220</f>
        <v>0</v>
      </c>
      <c r="P38" s="3505">
        <f>+'KOM opsi 1'!Q220</f>
        <v>0</v>
      </c>
      <c r="Q38" s="3692"/>
      <c r="R38" s="3353"/>
      <c r="S38" s="436">
        <f t="shared" si="4"/>
        <v>0</v>
      </c>
      <c r="T38" s="436">
        <f t="shared" si="5"/>
        <v>0</v>
      </c>
    </row>
    <row r="39" spans="1:20">
      <c r="A39" s="3342"/>
      <c r="B39" s="3343"/>
      <c r="C39" s="3343"/>
      <c r="D39" s="3343"/>
      <c r="E39" s="3343"/>
      <c r="F39" s="3343"/>
      <c r="G39" s="3352">
        <v>6</v>
      </c>
      <c r="H39" s="199" t="s">
        <v>1093</v>
      </c>
      <c r="I39" s="200"/>
      <c r="J39" s="217"/>
      <c r="K39" s="3505">
        <f>+'KOM opsi 1'!J221</f>
        <v>136702012</v>
      </c>
      <c r="L39" s="3505">
        <f>+'KOM opsi 1'!K221</f>
        <v>136702012</v>
      </c>
      <c r="M39" s="3505">
        <f>+'KOM opsi 1'!L221</f>
        <v>136702012</v>
      </c>
      <c r="N39" s="3505">
        <f>+'KOM opsi 1'!O221</f>
        <v>0</v>
      </c>
      <c r="O39" s="3505">
        <f>+'KOM opsi 1'!P221</f>
        <v>136702012</v>
      </c>
      <c r="P39" s="3505">
        <f>+'KOM opsi 1'!Q221</f>
        <v>0</v>
      </c>
      <c r="Q39" s="3692">
        <f t="shared" si="1"/>
        <v>0</v>
      </c>
      <c r="R39" s="3353"/>
      <c r="S39" s="436">
        <f t="shared" si="4"/>
        <v>0</v>
      </c>
      <c r="T39" s="436">
        <f t="shared" si="5"/>
        <v>0</v>
      </c>
    </row>
    <row r="40" spans="1:20">
      <c r="A40" s="3342"/>
      <c r="B40" s="3343"/>
      <c r="C40" s="3343"/>
      <c r="D40" s="3343"/>
      <c r="E40" s="3343"/>
      <c r="F40" s="3343"/>
      <c r="G40" s="3352">
        <v>7</v>
      </c>
      <c r="H40" s="199" t="s">
        <v>770</v>
      </c>
      <c r="I40" s="200"/>
      <c r="J40" s="217"/>
      <c r="K40" s="3505">
        <f>+'KOM opsi 1'!J222</f>
        <v>88761211</v>
      </c>
      <c r="L40" s="3505">
        <f>+'KOM opsi 1'!K222</f>
        <v>100634661</v>
      </c>
      <c r="M40" s="3505">
        <f>+'KOM opsi 1'!L222</f>
        <v>88761211</v>
      </c>
      <c r="N40" s="3505">
        <f>+'KOM opsi 1'!O222</f>
        <v>0</v>
      </c>
      <c r="O40" s="3505">
        <f>+'KOM opsi 1'!P222</f>
        <v>88761211</v>
      </c>
      <c r="P40" s="3505">
        <f>+'KOM opsi 1'!Q222</f>
        <v>0</v>
      </c>
      <c r="Q40" s="3692">
        <f t="shared" si="1"/>
        <v>0</v>
      </c>
      <c r="R40" s="3353"/>
      <c r="S40" s="436">
        <f t="shared" si="4"/>
        <v>0</v>
      </c>
      <c r="T40" s="436">
        <f t="shared" si="5"/>
        <v>0</v>
      </c>
    </row>
    <row r="41" spans="1:20" s="190" customFormat="1">
      <c r="A41" s="3342"/>
      <c r="B41" s="3343"/>
      <c r="C41" s="3343"/>
      <c r="D41" s="3343"/>
      <c r="E41" s="3343"/>
      <c r="F41" s="3343"/>
      <c r="G41" s="3344">
        <v>8</v>
      </c>
      <c r="H41" s="1856" t="s">
        <v>203</v>
      </c>
      <c r="I41" s="202"/>
      <c r="J41" s="218"/>
      <c r="K41" s="3505" t="str">
        <f>+'KOM opsi 1'!J224</f>
        <v>-</v>
      </c>
      <c r="L41" s="3505" t="str">
        <f>+'KOM opsi 1'!K224</f>
        <v>-</v>
      </c>
      <c r="M41" s="3505">
        <f>+'KOM opsi 1'!L224</f>
        <v>2000000000</v>
      </c>
      <c r="N41" s="3505">
        <f>+'KOM opsi 1'!O224</f>
        <v>0</v>
      </c>
      <c r="O41" s="3505">
        <f>+'KOM opsi 1'!P224</f>
        <v>2000000000</v>
      </c>
      <c r="P41" s="3505">
        <f>+'KOM opsi 1'!Q224</f>
        <v>0</v>
      </c>
      <c r="Q41" s="3692">
        <f t="shared" si="1"/>
        <v>0</v>
      </c>
      <c r="R41" s="3354"/>
      <c r="S41" s="436">
        <f t="shared" si="4"/>
        <v>0</v>
      </c>
      <c r="T41" s="436">
        <f t="shared" si="5"/>
        <v>0</v>
      </c>
    </row>
    <row r="42" spans="1:20" ht="7.55" customHeight="1">
      <c r="A42" s="3533"/>
      <c r="B42" s="3534"/>
      <c r="C42" s="3534"/>
      <c r="D42" s="3534"/>
      <c r="E42" s="3534"/>
      <c r="F42" s="3534"/>
      <c r="G42" s="3535"/>
      <c r="H42" s="3536"/>
      <c r="I42" s="3537"/>
      <c r="J42" s="3538"/>
      <c r="K42" s="3539"/>
      <c r="L42" s="3539"/>
      <c r="M42" s="3539"/>
      <c r="N42" s="3539"/>
      <c r="O42" s="3539"/>
      <c r="P42" s="3539"/>
      <c r="Q42" s="3540"/>
      <c r="R42" s="3541"/>
      <c r="S42" s="436">
        <f t="shared" si="4"/>
        <v>0</v>
      </c>
      <c r="T42" s="436">
        <f t="shared" si="5"/>
        <v>0</v>
      </c>
    </row>
    <row r="43" spans="1:20" s="3493" customFormat="1" ht="16.45" customHeight="1">
      <c r="A43" s="3526" t="s">
        <v>100</v>
      </c>
      <c r="B43" s="3527">
        <v>4</v>
      </c>
      <c r="C43" s="3527">
        <v>1</v>
      </c>
      <c r="D43" s="3527">
        <v>4</v>
      </c>
      <c r="E43" s="3527"/>
      <c r="F43" s="3527"/>
      <c r="G43" s="3528" t="s">
        <v>1082</v>
      </c>
      <c r="H43" s="3529" t="s">
        <v>71</v>
      </c>
      <c r="I43" s="3530"/>
      <c r="J43" s="3531"/>
      <c r="K43" s="3521">
        <f>SUM(K44:K56)</f>
        <v>224639588129</v>
      </c>
      <c r="L43" s="3521">
        <f>SUM(L44:L56)</f>
        <v>243089557831.42999</v>
      </c>
      <c r="M43" s="3521">
        <f>SUM(M44:M56)</f>
        <v>268454484234</v>
      </c>
      <c r="N43" s="3521">
        <f>SUM(N44:N56)</f>
        <v>50008306060.729996</v>
      </c>
      <c r="O43" s="3521">
        <f>SUM(O44:O56)</f>
        <v>272810796075</v>
      </c>
      <c r="P43" s="3521">
        <f>O43-M43</f>
        <v>4356311841</v>
      </c>
      <c r="Q43" s="3490">
        <f t="shared" si="1"/>
        <v>1.6227375949521559</v>
      </c>
      <c r="R43" s="3532"/>
      <c r="S43" s="436">
        <f t="shared" si="4"/>
        <v>4356311841</v>
      </c>
      <c r="T43" s="3492">
        <f t="shared" si="5"/>
        <v>0</v>
      </c>
    </row>
    <row r="44" spans="1:20">
      <c r="A44" s="3355"/>
      <c r="B44" s="3356">
        <v>4</v>
      </c>
      <c r="C44" s="3356">
        <v>1</v>
      </c>
      <c r="D44" s="3356">
        <v>4</v>
      </c>
      <c r="E44" s="3356" t="s">
        <v>437</v>
      </c>
      <c r="F44" s="3356"/>
      <c r="G44" s="3356">
        <v>1</v>
      </c>
      <c r="H44" s="224" t="s">
        <v>1094</v>
      </c>
      <c r="I44" s="224"/>
      <c r="J44" s="3088"/>
      <c r="K44" s="3509">
        <f>+'KOM opsi 1'!J227</f>
        <v>250000000</v>
      </c>
      <c r="L44" s="3509">
        <f>+'KOM opsi 1'!K227</f>
        <v>25364000</v>
      </c>
      <c r="M44" s="3509">
        <f>+'KOM opsi 1'!L227</f>
        <v>250000000</v>
      </c>
      <c r="N44" s="3509">
        <f>+'KOM opsi 1'!O227</f>
        <v>0</v>
      </c>
      <c r="O44" s="3509">
        <f>+'KOM opsi 1'!P227</f>
        <v>250000000</v>
      </c>
      <c r="P44" s="3509">
        <f>+'KOM opsi 1'!Q227</f>
        <v>0</v>
      </c>
      <c r="Q44" s="3693">
        <f t="shared" si="1"/>
        <v>0</v>
      </c>
      <c r="R44" s="3357"/>
      <c r="S44" s="436">
        <f t="shared" si="4"/>
        <v>0</v>
      </c>
      <c r="T44" s="436">
        <f t="shared" si="5"/>
        <v>0</v>
      </c>
    </row>
    <row r="45" spans="1:20">
      <c r="A45" s="3358"/>
      <c r="B45" s="3359">
        <v>4</v>
      </c>
      <c r="C45" s="3359">
        <v>1</v>
      </c>
      <c r="D45" s="3359">
        <v>4</v>
      </c>
      <c r="E45" s="3359" t="s">
        <v>438</v>
      </c>
      <c r="F45" s="3359"/>
      <c r="G45" s="3359">
        <v>2</v>
      </c>
      <c r="H45" s="200" t="s">
        <v>212</v>
      </c>
      <c r="I45" s="200"/>
      <c r="J45" s="217"/>
      <c r="K45" s="3505">
        <f>+'KOM opsi 1'!J234</f>
        <v>4500000000</v>
      </c>
      <c r="L45" s="3505">
        <f>+'KOM opsi 1'!K234</f>
        <v>12549664258.33</v>
      </c>
      <c r="M45" s="3505">
        <f>+'KOM opsi 1'!L234</f>
        <v>4500000000</v>
      </c>
      <c r="N45" s="3505">
        <f>+'KOM opsi 1'!O234</f>
        <v>3095128647</v>
      </c>
      <c r="O45" s="3505">
        <f>+'KOM opsi 1'!P234</f>
        <v>7037000000</v>
      </c>
      <c r="P45" s="3505">
        <f>+'KOM opsi 1'!Q234</f>
        <v>2537000000</v>
      </c>
      <c r="Q45" s="3691">
        <f t="shared" si="1"/>
        <v>56.377777777777766</v>
      </c>
      <c r="R45" s="3353"/>
      <c r="S45" s="436">
        <f t="shared" si="4"/>
        <v>2537000000</v>
      </c>
      <c r="T45" s="436">
        <f t="shared" si="5"/>
        <v>0</v>
      </c>
    </row>
    <row r="46" spans="1:20">
      <c r="A46" s="3358"/>
      <c r="B46" s="3359">
        <v>4</v>
      </c>
      <c r="C46" s="3359">
        <v>1</v>
      </c>
      <c r="D46" s="3359">
        <v>4</v>
      </c>
      <c r="E46" s="3359" t="s">
        <v>440</v>
      </c>
      <c r="F46" s="3359"/>
      <c r="G46" s="3359">
        <v>3</v>
      </c>
      <c r="H46" s="200" t="s">
        <v>1095</v>
      </c>
      <c r="I46" s="200"/>
      <c r="J46" s="217"/>
      <c r="K46" s="3505">
        <f>+'KOM opsi 1'!J240</f>
        <v>6875000000</v>
      </c>
      <c r="L46" s="3505">
        <f>+'KOM opsi 1'!K240</f>
        <v>9375000000</v>
      </c>
      <c r="M46" s="3505">
        <f>+'KOM opsi 1'!L240</f>
        <v>6875000000</v>
      </c>
      <c r="N46" s="3505">
        <f>+'KOM opsi 1'!O240</f>
        <v>875000000</v>
      </c>
      <c r="O46" s="3505">
        <f>+'KOM opsi 1'!P240</f>
        <v>7000000000</v>
      </c>
      <c r="P46" s="3505">
        <f>+'KOM opsi 1'!Q240</f>
        <v>125000000</v>
      </c>
      <c r="Q46" s="3691">
        <f t="shared" si="1"/>
        <v>1.818181818181813</v>
      </c>
      <c r="R46" s="3353"/>
      <c r="S46" s="436">
        <f t="shared" si="4"/>
        <v>125000000</v>
      </c>
      <c r="T46" s="436">
        <f t="shared" si="5"/>
        <v>0</v>
      </c>
    </row>
    <row r="47" spans="1:20">
      <c r="A47" s="3358"/>
      <c r="B47" s="3359">
        <v>4</v>
      </c>
      <c r="C47" s="3359">
        <v>1</v>
      </c>
      <c r="D47" s="3359">
        <v>4</v>
      </c>
      <c r="E47" s="3359" t="s">
        <v>445</v>
      </c>
      <c r="F47" s="3359"/>
      <c r="G47" s="3359">
        <v>4</v>
      </c>
      <c r="H47" s="200" t="s">
        <v>1096</v>
      </c>
      <c r="I47" s="200"/>
      <c r="J47" s="217"/>
      <c r="K47" s="3505">
        <f>+'KOM opsi 1'!J243</f>
        <v>1205211975</v>
      </c>
      <c r="L47" s="3505">
        <f>+'KOM opsi 1'!K243</f>
        <v>354139064.23000002</v>
      </c>
      <c r="M47" s="3505">
        <f>+'KOM opsi 1'!L243</f>
        <v>1205211975</v>
      </c>
      <c r="N47" s="3505">
        <f>+'KOM opsi 1'!O243</f>
        <v>200000</v>
      </c>
      <c r="O47" s="3505">
        <f>+'KOM opsi 1'!P243</f>
        <v>1205211975</v>
      </c>
      <c r="P47" s="3505">
        <f>+'KOM opsi 1'!Q243</f>
        <v>0</v>
      </c>
      <c r="Q47" s="3691">
        <f t="shared" si="1"/>
        <v>0</v>
      </c>
      <c r="R47" s="3353"/>
      <c r="S47" s="436">
        <f t="shared" si="4"/>
        <v>0</v>
      </c>
      <c r="T47" s="436">
        <f t="shared" si="5"/>
        <v>0</v>
      </c>
    </row>
    <row r="48" spans="1:20">
      <c r="A48" s="3358"/>
      <c r="B48" s="3359">
        <v>4</v>
      </c>
      <c r="C48" s="3359">
        <v>1</v>
      </c>
      <c r="D48" s="3359">
        <v>4</v>
      </c>
      <c r="E48" s="3359" t="s">
        <v>441</v>
      </c>
      <c r="F48" s="3359"/>
      <c r="G48" s="3359">
        <v>6</v>
      </c>
      <c r="H48" s="200" t="s">
        <v>1097</v>
      </c>
      <c r="I48" s="200"/>
      <c r="J48" s="218"/>
      <c r="K48" s="3505">
        <f>+'KOM opsi 1'!J247</f>
        <v>0</v>
      </c>
      <c r="L48" s="3505">
        <f>+'KOM opsi 1'!K247</f>
        <v>810940665.47000003</v>
      </c>
      <c r="M48" s="3505">
        <f>+'KOM opsi 1'!L247</f>
        <v>0</v>
      </c>
      <c r="N48" s="3505">
        <f>+'KOM opsi 1'!O247</f>
        <v>82408456.790000007</v>
      </c>
      <c r="O48" s="3505">
        <f>+'KOM opsi 1'!P247</f>
        <v>82408000</v>
      </c>
      <c r="P48" s="3505">
        <f>+'KOM opsi 1'!Q247</f>
        <v>82408000</v>
      </c>
      <c r="Q48" s="3691"/>
      <c r="R48" s="3353"/>
      <c r="S48" s="436">
        <f t="shared" si="4"/>
        <v>82408000</v>
      </c>
      <c r="T48" s="436">
        <f t="shared" si="5"/>
        <v>0</v>
      </c>
    </row>
    <row r="49" spans="1:38">
      <c r="A49" s="3358"/>
      <c r="B49" s="3359">
        <v>4</v>
      </c>
      <c r="C49" s="3359">
        <v>1</v>
      </c>
      <c r="D49" s="3359">
        <v>4</v>
      </c>
      <c r="E49" s="3359" t="s">
        <v>456</v>
      </c>
      <c r="F49" s="3359"/>
      <c r="G49" s="3359">
        <v>7</v>
      </c>
      <c r="H49" s="200" t="s">
        <v>1098</v>
      </c>
      <c r="I49" s="200"/>
      <c r="J49" s="218"/>
      <c r="K49" s="3505">
        <f>+'KOM opsi 1'!J265</f>
        <v>18548560000</v>
      </c>
      <c r="L49" s="3505">
        <f>+'KOM opsi 1'!K265</f>
        <v>19634060483</v>
      </c>
      <c r="M49" s="3505">
        <f>+'KOM opsi 1'!L265</f>
        <v>18548560000</v>
      </c>
      <c r="N49" s="3505">
        <f>+'KOM opsi 1'!O265</f>
        <v>5482717061</v>
      </c>
      <c r="O49" s="3505">
        <f>+'KOM opsi 1'!P265</f>
        <v>20350000000</v>
      </c>
      <c r="P49" s="3505">
        <f>+'KOM opsi 1'!Q265</f>
        <v>1801440000</v>
      </c>
      <c r="Q49" s="3691">
        <f t="shared" si="1"/>
        <v>9.7120207714237665</v>
      </c>
      <c r="R49" s="3353"/>
      <c r="S49" s="436">
        <f t="shared" si="4"/>
        <v>1801440000</v>
      </c>
      <c r="T49" s="436">
        <f t="shared" si="5"/>
        <v>0</v>
      </c>
    </row>
    <row r="50" spans="1:38">
      <c r="A50" s="3358"/>
      <c r="B50" s="3359">
        <v>4</v>
      </c>
      <c r="C50" s="3359">
        <v>1</v>
      </c>
      <c r="D50" s="3359">
        <v>4</v>
      </c>
      <c r="E50" s="3359" t="s">
        <v>448</v>
      </c>
      <c r="F50" s="3359"/>
      <c r="G50" s="3359">
        <v>9</v>
      </c>
      <c r="H50" s="200" t="s">
        <v>1070</v>
      </c>
      <c r="I50" s="200"/>
      <c r="J50" s="218"/>
      <c r="K50" s="3505">
        <f>+'KOM opsi 1'!J288</f>
        <v>235536159</v>
      </c>
      <c r="L50" s="3505">
        <f>+'KOM opsi 1'!K288</f>
        <v>12930312</v>
      </c>
      <c r="M50" s="3505">
        <f>+'KOM opsi 1'!L288</f>
        <v>235536159</v>
      </c>
      <c r="N50" s="3505">
        <f>+'KOM opsi 1'!O288</f>
        <v>1253496</v>
      </c>
      <c r="O50" s="3505">
        <f>+'KOM opsi 1'!P288</f>
        <v>31000000</v>
      </c>
      <c r="P50" s="3500">
        <f>+'KOM opsi 1'!Q288</f>
        <v>-204536159</v>
      </c>
      <c r="Q50" s="3691">
        <f t="shared" si="1"/>
        <v>-86.838538875892937</v>
      </c>
      <c r="R50" s="3353"/>
      <c r="S50" s="436">
        <f t="shared" si="4"/>
        <v>-204536159</v>
      </c>
      <c r="T50" s="436">
        <f t="shared" si="5"/>
        <v>0</v>
      </c>
    </row>
    <row r="51" spans="1:38">
      <c r="A51" s="3358"/>
      <c r="B51" s="3359">
        <v>4</v>
      </c>
      <c r="C51" s="3359">
        <v>1</v>
      </c>
      <c r="D51" s="3359">
        <v>4</v>
      </c>
      <c r="E51" s="3359">
        <v>12</v>
      </c>
      <c r="F51" s="3359"/>
      <c r="G51" s="3359">
        <v>10</v>
      </c>
      <c r="H51" s="200" t="s">
        <v>564</v>
      </c>
      <c r="I51" s="200"/>
      <c r="J51" s="218"/>
      <c r="K51" s="3505">
        <f>'KOM opsi 1'!L293</f>
        <v>0</v>
      </c>
      <c r="L51" s="3505">
        <f>'KOM opsi 1'!M293</f>
        <v>0</v>
      </c>
      <c r="M51" s="3505">
        <f>'KOM opsi 1'!N293</f>
        <v>0</v>
      </c>
      <c r="N51" s="3505">
        <f>'KOM opsi 1'!P293</f>
        <v>0</v>
      </c>
      <c r="O51" s="3505">
        <f>'KOM opsi 1'!Q293</f>
        <v>0</v>
      </c>
      <c r="P51" s="3505">
        <f>'KOM opsi 1'!R293</f>
        <v>0</v>
      </c>
      <c r="Q51" s="3691"/>
      <c r="R51" s="3353"/>
      <c r="S51" s="436">
        <f t="shared" si="4"/>
        <v>0</v>
      </c>
      <c r="T51" s="436">
        <f t="shared" si="5"/>
        <v>0</v>
      </c>
    </row>
    <row r="52" spans="1:38" s="191" customFormat="1">
      <c r="A52" s="3358"/>
      <c r="B52" s="3359">
        <v>4</v>
      </c>
      <c r="C52" s="3359">
        <v>1</v>
      </c>
      <c r="D52" s="3359">
        <v>4</v>
      </c>
      <c r="E52" s="3359">
        <v>13</v>
      </c>
      <c r="F52" s="3359"/>
      <c r="G52" s="3359">
        <v>11</v>
      </c>
      <c r="H52" s="200" t="s">
        <v>222</v>
      </c>
      <c r="I52" s="200"/>
      <c r="J52" s="218"/>
      <c r="K52" s="3505">
        <f>+'KOM opsi 1'!J296</f>
        <v>68944925050</v>
      </c>
      <c r="L52" s="3505">
        <f>+'KOM opsi 1'!K296</f>
        <v>62912738507.940002</v>
      </c>
      <c r="M52" s="3505">
        <f>+'KOM opsi 1'!L296</f>
        <v>73939763650</v>
      </c>
      <c r="N52" s="3505">
        <f>+'KOM opsi 1'!O296</f>
        <v>50207140</v>
      </c>
      <c r="O52" s="3505">
        <f>+'KOM opsi 1'!P296</f>
        <v>73954763650</v>
      </c>
      <c r="P52" s="3505">
        <f>+'KOM opsi 1'!Q296</f>
        <v>15000000</v>
      </c>
      <c r="Q52" s="3691">
        <f t="shared" si="1"/>
        <v>2.0286783808231235E-2</v>
      </c>
      <c r="R52" s="3360"/>
      <c r="S52" s="436">
        <f t="shared" si="4"/>
        <v>15000000</v>
      </c>
      <c r="T52" s="436">
        <f t="shared" si="5"/>
        <v>0</v>
      </c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</row>
    <row r="53" spans="1:38" s="191" customFormat="1">
      <c r="A53" s="3358"/>
      <c r="B53" s="3359">
        <v>4</v>
      </c>
      <c r="C53" s="3359">
        <v>1</v>
      </c>
      <c r="D53" s="3359">
        <v>4</v>
      </c>
      <c r="E53" s="3359">
        <v>14</v>
      </c>
      <c r="F53" s="3359"/>
      <c r="G53" s="3359">
        <v>12</v>
      </c>
      <c r="H53" s="200" t="s">
        <v>1099</v>
      </c>
      <c r="I53" s="200"/>
      <c r="J53" s="218"/>
      <c r="K53" s="3505">
        <v>7805834000</v>
      </c>
      <c r="L53" s="3505">
        <v>7177429000</v>
      </c>
      <c r="M53" s="3505">
        <f>+'KOM opsi 1'!L381</f>
        <v>4392225000</v>
      </c>
      <c r="N53" s="3505">
        <f>+'KOM opsi 1'!O381</f>
        <v>0</v>
      </c>
      <c r="O53" s="3505">
        <f>+'KOM opsi 1'!P381</f>
        <v>4392225000</v>
      </c>
      <c r="P53" s="3505">
        <f>+'KOM opsi 1'!Q381</f>
        <v>0</v>
      </c>
      <c r="Q53" s="3691">
        <f t="shared" si="1"/>
        <v>0</v>
      </c>
      <c r="R53" s="3360"/>
      <c r="S53" s="436">
        <f t="shared" si="4"/>
        <v>0</v>
      </c>
      <c r="T53" s="436">
        <f t="shared" si="5"/>
        <v>0</v>
      </c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</row>
    <row r="54" spans="1:38">
      <c r="A54" s="3358"/>
      <c r="B54" s="3359">
        <v>4</v>
      </c>
      <c r="C54" s="3359">
        <v>1</v>
      </c>
      <c r="D54" s="3359">
        <v>4</v>
      </c>
      <c r="E54" s="3359">
        <v>15</v>
      </c>
      <c r="F54" s="3359"/>
      <c r="G54" s="3359">
        <v>13</v>
      </c>
      <c r="H54" s="200" t="s">
        <v>230</v>
      </c>
      <c r="I54" s="200"/>
      <c r="J54" s="218"/>
      <c r="K54" s="3505">
        <f>+'KOM opsi 1'!J365</f>
        <v>77234295</v>
      </c>
      <c r="L54" s="3505">
        <f>+'KOM opsi 1'!K365</f>
        <v>0</v>
      </c>
      <c r="M54" s="3505">
        <f>+'KOM opsi 1'!L365</f>
        <v>60900800</v>
      </c>
      <c r="N54" s="3505">
        <f>+'KOM opsi 1'!O365</f>
        <v>0</v>
      </c>
      <c r="O54" s="3505">
        <f>+'KOM opsi 1'!P365</f>
        <v>60900800</v>
      </c>
      <c r="P54" s="3505">
        <f>+'KOM opsi 1'!Q365</f>
        <v>0</v>
      </c>
      <c r="Q54" s="3691">
        <f t="shared" si="1"/>
        <v>0</v>
      </c>
      <c r="R54" s="3353"/>
      <c r="S54" s="436">
        <f t="shared" si="4"/>
        <v>0</v>
      </c>
      <c r="T54" s="436">
        <f t="shared" si="5"/>
        <v>0</v>
      </c>
    </row>
    <row r="55" spans="1:38" ht="14.25" customHeight="1">
      <c r="A55" s="3358"/>
      <c r="B55" s="3359">
        <v>4</v>
      </c>
      <c r="C55" s="3359">
        <v>1</v>
      </c>
      <c r="D55" s="3359">
        <v>4</v>
      </c>
      <c r="E55" s="3359">
        <v>14</v>
      </c>
      <c r="F55" s="3359"/>
      <c r="G55" s="3361" t="s">
        <v>437</v>
      </c>
      <c r="H55" s="202" t="s">
        <v>1100</v>
      </c>
      <c r="I55" s="200"/>
      <c r="J55" s="218"/>
      <c r="K55" s="3506">
        <f>+'KOM opsi 1'!J387</f>
        <v>0</v>
      </c>
      <c r="L55" s="3506">
        <f>+'KOM opsi 1'!K387</f>
        <v>0</v>
      </c>
      <c r="M55" s="3506">
        <f>+'KOM opsi 1'!L387</f>
        <v>0</v>
      </c>
      <c r="N55" s="3506">
        <f>+'KOM opsi 1'!O387</f>
        <v>3135000</v>
      </c>
      <c r="O55" s="3506">
        <f>+'KOM opsi 1'!P387</f>
        <v>0</v>
      </c>
      <c r="P55" s="3506">
        <f>+'KOM opsi 1'!Q387</f>
        <v>0</v>
      </c>
      <c r="Q55" s="3694"/>
      <c r="R55" s="3353"/>
      <c r="S55" s="436">
        <f t="shared" si="4"/>
        <v>0</v>
      </c>
      <c r="T55" s="436">
        <f t="shared" si="5"/>
        <v>0</v>
      </c>
    </row>
    <row r="56" spans="1:38" ht="18.8" customHeight="1">
      <c r="A56" s="3362"/>
      <c r="B56" s="3363">
        <v>4</v>
      </c>
      <c r="C56" s="3363">
        <v>1</v>
      </c>
      <c r="D56" s="3363">
        <v>4</v>
      </c>
      <c r="E56" s="3363">
        <v>16</v>
      </c>
      <c r="F56" s="3363"/>
      <c r="G56" s="3364" t="s">
        <v>437</v>
      </c>
      <c r="H56" s="203" t="s">
        <v>1101</v>
      </c>
      <c r="I56" s="203"/>
      <c r="J56" s="219"/>
      <c r="K56" s="3510">
        <f>+'KOM opsi 1'!J373</f>
        <v>116197286650</v>
      </c>
      <c r="L56" s="3510">
        <f>+'KOM opsi 1'!K373</f>
        <v>130237291540.46001</v>
      </c>
      <c r="M56" s="3510">
        <f>+'KOM opsi 1'!L373</f>
        <v>158447286650</v>
      </c>
      <c r="N56" s="3510">
        <f>+'KOM opsi 1'!O373</f>
        <v>40418256259.939995</v>
      </c>
      <c r="O56" s="3510">
        <f>+'KOM opsi 1'!P373</f>
        <v>158447286650</v>
      </c>
      <c r="P56" s="3510">
        <f>+'KOM opsi 1'!Q373</f>
        <v>0</v>
      </c>
      <c r="Q56" s="3691">
        <f t="shared" si="1"/>
        <v>0</v>
      </c>
      <c r="R56" s="3365"/>
      <c r="S56" s="436">
        <f t="shared" si="4"/>
        <v>0</v>
      </c>
      <c r="T56" s="436">
        <f t="shared" si="5"/>
        <v>0</v>
      </c>
    </row>
    <row r="57" spans="1:38" ht="6.75" customHeight="1">
      <c r="A57" s="3366"/>
      <c r="B57" s="3367"/>
      <c r="C57" s="3367"/>
      <c r="D57" s="3367"/>
      <c r="E57" s="3367"/>
      <c r="F57" s="3367"/>
      <c r="G57" s="3367"/>
      <c r="H57" s="203"/>
      <c r="I57" s="203"/>
      <c r="J57" s="219"/>
      <c r="K57" s="3510"/>
      <c r="L57" s="3510"/>
      <c r="M57" s="3510"/>
      <c r="N57" s="3510"/>
      <c r="O57" s="3510"/>
      <c r="P57" s="3510"/>
      <c r="Q57" s="3338"/>
      <c r="R57" s="3365"/>
      <c r="S57" s="436">
        <f t="shared" si="4"/>
        <v>0</v>
      </c>
      <c r="T57" s="436">
        <f t="shared" si="5"/>
        <v>0</v>
      </c>
    </row>
    <row r="58" spans="1:38" s="3416" customFormat="1" ht="16.45" customHeight="1">
      <c r="A58" s="3409" t="s">
        <v>78</v>
      </c>
      <c r="B58" s="3410" t="s">
        <v>443</v>
      </c>
      <c r="C58" s="3410" t="s">
        <v>460</v>
      </c>
      <c r="D58" s="3410"/>
      <c r="E58" s="3410"/>
      <c r="F58" s="3411"/>
      <c r="G58" s="3412"/>
      <c r="H58" s="3413" t="s">
        <v>236</v>
      </c>
      <c r="I58" s="3414"/>
      <c r="J58" s="3414"/>
      <c r="K58" s="3511">
        <f>K59+K62+K63</f>
        <v>2333604004580</v>
      </c>
      <c r="L58" s="3511">
        <f>L59+L62+L63</f>
        <v>2587184362905</v>
      </c>
      <c r="M58" s="3511">
        <f>M59+M62+M63</f>
        <v>3222521202310</v>
      </c>
      <c r="N58" s="3511">
        <f>N59+N62+N63</f>
        <v>829709441911</v>
      </c>
      <c r="O58" s="3511">
        <f>O59+O62+O63</f>
        <v>3281628996000</v>
      </c>
      <c r="P58" s="3511">
        <f>O58-M58</f>
        <v>59107793690</v>
      </c>
      <c r="Q58" s="3406">
        <f t="shared" si="1"/>
        <v>1.8342096135047825</v>
      </c>
      <c r="R58" s="3415"/>
      <c r="S58" s="436">
        <f t="shared" si="4"/>
        <v>59107793690</v>
      </c>
      <c r="T58" s="3407">
        <f t="shared" si="5"/>
        <v>0</v>
      </c>
    </row>
    <row r="59" spans="1:38">
      <c r="A59" s="3368"/>
      <c r="B59" s="3369">
        <v>4</v>
      </c>
      <c r="C59" s="3369">
        <v>2</v>
      </c>
      <c r="D59" s="3369">
        <v>1</v>
      </c>
      <c r="E59" s="3369"/>
      <c r="F59" s="3369"/>
      <c r="G59" s="3370"/>
      <c r="H59" s="204" t="s">
        <v>1102</v>
      </c>
      <c r="I59" s="204"/>
      <c r="J59" s="220"/>
      <c r="K59" s="3512">
        <f t="shared" ref="K59:P59" si="8">SUM(K60:K61)</f>
        <v>247954406000</v>
      </c>
      <c r="L59" s="3512">
        <f t="shared" si="8"/>
        <v>375036424549</v>
      </c>
      <c r="M59" s="3512">
        <f t="shared" si="8"/>
        <v>353125684600</v>
      </c>
      <c r="N59" s="3512">
        <f t="shared" si="8"/>
        <v>120779891911</v>
      </c>
      <c r="O59" s="3512">
        <f t="shared" si="8"/>
        <v>493184076000</v>
      </c>
      <c r="P59" s="3512">
        <f t="shared" si="8"/>
        <v>140058391400</v>
      </c>
      <c r="Q59" s="3693">
        <f t="shared" si="1"/>
        <v>39.662476423557194</v>
      </c>
      <c r="R59" s="3371"/>
      <c r="S59" s="436">
        <f t="shared" si="4"/>
        <v>140058391400</v>
      </c>
      <c r="T59" s="436">
        <f t="shared" si="5"/>
        <v>0</v>
      </c>
    </row>
    <row r="60" spans="1:38">
      <c r="A60" s="3372"/>
      <c r="B60" s="3373"/>
      <c r="C60" s="3373"/>
      <c r="D60" s="3373"/>
      <c r="E60" s="3373"/>
      <c r="F60" s="3373"/>
      <c r="G60" s="3374"/>
      <c r="H60" s="2740" t="s">
        <v>50</v>
      </c>
      <c r="I60" s="205" t="s">
        <v>1103</v>
      </c>
      <c r="J60" s="221"/>
      <c r="K60" s="3513">
        <f>+'KOM opsi 1'!J399</f>
        <v>165277884000</v>
      </c>
      <c r="L60" s="3513">
        <f>+'KOM opsi 1'!K399</f>
        <v>165676022293</v>
      </c>
      <c r="M60" s="3513">
        <f>+'KOM opsi 1'!L399</f>
        <v>185190481600</v>
      </c>
      <c r="N60" s="3513">
        <f>+'KOM opsi 1'!O399</f>
        <v>58788864800</v>
      </c>
      <c r="O60" s="3513">
        <f>+'KOM opsi 1'!P399</f>
        <v>341748873000</v>
      </c>
      <c r="P60" s="3513">
        <f>+'KOM opsi 1'!Q399</f>
        <v>156558391400</v>
      </c>
      <c r="Q60" s="3691">
        <f t="shared" si="1"/>
        <v>84.539113483249338</v>
      </c>
      <c r="R60" s="3375"/>
      <c r="S60" s="436">
        <f t="shared" si="4"/>
        <v>156558391400</v>
      </c>
      <c r="T60" s="436">
        <f t="shared" si="5"/>
        <v>0</v>
      </c>
    </row>
    <row r="61" spans="1:38">
      <c r="A61" s="3372"/>
      <c r="B61" s="3373"/>
      <c r="C61" s="3373"/>
      <c r="D61" s="3373"/>
      <c r="E61" s="3373"/>
      <c r="F61" s="3373"/>
      <c r="G61" s="3374"/>
      <c r="H61" s="2740" t="s">
        <v>50</v>
      </c>
      <c r="I61" s="205" t="s">
        <v>1104</v>
      </c>
      <c r="J61" s="221"/>
      <c r="K61" s="3514">
        <f>+'KOM opsi 1'!J405</f>
        <v>82676522000</v>
      </c>
      <c r="L61" s="3514">
        <f>+'KOM opsi 1'!K405</f>
        <v>209360402256</v>
      </c>
      <c r="M61" s="3514">
        <f>+'KOM opsi 1'!L405</f>
        <v>167935203000</v>
      </c>
      <c r="N61" s="3514">
        <f>+'KOM opsi 1'!O405</f>
        <v>61991027111</v>
      </c>
      <c r="O61" s="3514">
        <f>+'KOM opsi 1'!P405</f>
        <v>151435203000</v>
      </c>
      <c r="P61" s="3501">
        <f>+'KOM opsi 1'!Q405</f>
        <v>-16500000000</v>
      </c>
      <c r="Q61" s="3691">
        <f t="shared" si="1"/>
        <v>-9.8252181229685362</v>
      </c>
      <c r="R61" s="3375"/>
      <c r="S61" s="436">
        <f t="shared" si="4"/>
        <v>-16500000000</v>
      </c>
      <c r="T61" s="436">
        <f t="shared" si="5"/>
        <v>0</v>
      </c>
    </row>
    <row r="62" spans="1:38">
      <c r="A62" s="3376"/>
      <c r="B62" s="3377">
        <v>4</v>
      </c>
      <c r="C62" s="3377">
        <v>2</v>
      </c>
      <c r="D62" s="3377">
        <v>2</v>
      </c>
      <c r="E62" s="3377"/>
      <c r="F62" s="3377"/>
      <c r="G62" s="3378"/>
      <c r="H62" s="206" t="s">
        <v>1105</v>
      </c>
      <c r="I62" s="206"/>
      <c r="J62" s="222"/>
      <c r="K62" s="3515">
        <f>+'KOM opsi 1'!J410</f>
        <v>955792513580</v>
      </c>
      <c r="L62" s="3515">
        <f>+'KOM opsi 1'!K410</f>
        <v>1117691709000</v>
      </c>
      <c r="M62" s="3515">
        <f>+'KOM opsi 1'!L410</f>
        <v>1496972549710</v>
      </c>
      <c r="N62" s="3515">
        <f>+'KOM opsi 1'!O410</f>
        <v>472007632000</v>
      </c>
      <c r="O62" s="3515">
        <f>+'KOM opsi 1'!P410</f>
        <v>1416022952000</v>
      </c>
      <c r="P62" s="3502">
        <f>+'KOM opsi 1'!Q410</f>
        <v>-80949597710</v>
      </c>
      <c r="Q62" s="3691">
        <f t="shared" si="1"/>
        <v>-5.4075539144443212</v>
      </c>
      <c r="R62" s="3379"/>
      <c r="S62" s="436">
        <f t="shared" si="4"/>
        <v>-80949597710</v>
      </c>
      <c r="T62" s="436">
        <f t="shared" si="5"/>
        <v>0</v>
      </c>
    </row>
    <row r="63" spans="1:38">
      <c r="A63" s="3376"/>
      <c r="B63" s="3377">
        <v>4</v>
      </c>
      <c r="C63" s="3377">
        <v>2</v>
      </c>
      <c r="D63" s="3377">
        <v>3</v>
      </c>
      <c r="E63" s="3377"/>
      <c r="F63" s="3377"/>
      <c r="G63" s="3378"/>
      <c r="H63" s="206" t="s">
        <v>256</v>
      </c>
      <c r="I63" s="206"/>
      <c r="J63" s="222"/>
      <c r="K63" s="3515">
        <f>+'KOM opsi 1'!J415</f>
        <v>1129857085000</v>
      </c>
      <c r="L63" s="3515">
        <f>+'KOM opsi 1'!K415</f>
        <v>1094456229356</v>
      </c>
      <c r="M63" s="3515">
        <f>+'KOM opsi 1'!L415</f>
        <v>1372422968000</v>
      </c>
      <c r="N63" s="3515">
        <f>+'KOM opsi 1'!O415</f>
        <v>236921918000</v>
      </c>
      <c r="O63" s="3515">
        <f>+'KOM opsi 1'!P415</f>
        <v>1372421968000</v>
      </c>
      <c r="P63" s="3502">
        <f>+'KOM opsi 1'!Q415</f>
        <v>-1000000</v>
      </c>
      <c r="Q63" s="3691">
        <f t="shared" si="1"/>
        <v>-7.286383450377798E-5</v>
      </c>
      <c r="R63" s="3379"/>
      <c r="S63" s="436">
        <f t="shared" si="4"/>
        <v>-1000000</v>
      </c>
      <c r="T63" s="436">
        <f t="shared" si="5"/>
        <v>0</v>
      </c>
    </row>
    <row r="64" spans="1:38" s="192" customFormat="1" ht="10.5" customHeight="1">
      <c r="A64" s="207"/>
      <c r="B64" s="208"/>
      <c r="C64" s="208"/>
      <c r="D64" s="208"/>
      <c r="E64" s="208"/>
      <c r="F64" s="208"/>
      <c r="G64" s="209"/>
      <c r="H64" s="210"/>
      <c r="I64" s="210"/>
      <c r="J64" s="223"/>
      <c r="K64" s="3516"/>
      <c r="L64" s="3516"/>
      <c r="M64" s="3516"/>
      <c r="N64" s="3516"/>
      <c r="O64" s="3516"/>
      <c r="P64" s="3516"/>
      <c r="Q64" s="3695"/>
      <c r="R64" s="227"/>
      <c r="S64" s="436">
        <f t="shared" si="4"/>
        <v>0</v>
      </c>
      <c r="T64" s="436">
        <f t="shared" si="5"/>
        <v>0</v>
      </c>
    </row>
    <row r="65" spans="1:20" s="3408" customFormat="1" ht="16.45" customHeight="1">
      <c r="A65" s="3400" t="s">
        <v>100</v>
      </c>
      <c r="B65" s="3401">
        <v>4</v>
      </c>
      <c r="C65" s="3401">
        <v>3</v>
      </c>
      <c r="D65" s="3401"/>
      <c r="E65" s="3401"/>
      <c r="F65" s="3401"/>
      <c r="G65" s="3401"/>
      <c r="H65" s="3402" t="s">
        <v>265</v>
      </c>
      <c r="I65" s="3403"/>
      <c r="J65" s="3404"/>
      <c r="K65" s="3522">
        <f>K66+K71</f>
        <v>18870510900</v>
      </c>
      <c r="L65" s="3522">
        <f>L66+L71</f>
        <v>18001891981.540001</v>
      </c>
      <c r="M65" s="3522">
        <f>M66+M71</f>
        <v>67264821900</v>
      </c>
      <c r="N65" s="3522">
        <f>N66+N71</f>
        <v>27924223346.990002</v>
      </c>
      <c r="O65" s="3522">
        <f>O66+O71</f>
        <v>67478457900</v>
      </c>
      <c r="P65" s="3522">
        <f>O65-M65</f>
        <v>213636000</v>
      </c>
      <c r="Q65" s="3406">
        <f t="shared" si="1"/>
        <v>0.31760434944376925</v>
      </c>
      <c r="R65" s="3405"/>
      <c r="S65" s="436">
        <f t="shared" si="4"/>
        <v>213636000</v>
      </c>
      <c r="T65" s="3407">
        <f t="shared" si="5"/>
        <v>0</v>
      </c>
    </row>
    <row r="66" spans="1:20" ht="15.05" customHeight="1">
      <c r="A66" s="211"/>
      <c r="B66" s="3356">
        <v>4</v>
      </c>
      <c r="C66" s="3356">
        <v>3</v>
      </c>
      <c r="D66" s="3356">
        <v>1</v>
      </c>
      <c r="E66" s="3356"/>
      <c r="F66" s="3356"/>
      <c r="G66" s="3340"/>
      <c r="H66" s="212" t="s">
        <v>1106</v>
      </c>
      <c r="I66" s="224"/>
      <c r="J66" s="225"/>
      <c r="K66" s="3504">
        <f t="shared" ref="K66:P66" si="9">SUM(K67:K69)</f>
        <v>13870510900</v>
      </c>
      <c r="L66" s="3504">
        <f t="shared" si="9"/>
        <v>13001891981.540001</v>
      </c>
      <c r="M66" s="3504">
        <f t="shared" si="9"/>
        <v>13870510900</v>
      </c>
      <c r="N66" s="3504">
        <f t="shared" si="9"/>
        <v>1227068346.99</v>
      </c>
      <c r="O66" s="3504">
        <f t="shared" si="9"/>
        <v>14084146900</v>
      </c>
      <c r="P66" s="3504">
        <f t="shared" si="9"/>
        <v>213636000</v>
      </c>
      <c r="Q66" s="3690">
        <f t="shared" si="1"/>
        <v>1.5402172388617714</v>
      </c>
      <c r="R66" s="3351"/>
      <c r="S66" s="436">
        <f t="shared" si="4"/>
        <v>213636000</v>
      </c>
      <c r="T66" s="436">
        <f t="shared" si="5"/>
        <v>0</v>
      </c>
    </row>
    <row r="67" spans="1:20">
      <c r="A67" s="3380"/>
      <c r="B67" s="3359"/>
      <c r="C67" s="3359"/>
      <c r="D67" s="3359"/>
      <c r="E67" s="3359"/>
      <c r="F67" s="3359"/>
      <c r="G67" s="3343"/>
      <c r="H67" s="2778" t="s">
        <v>50</v>
      </c>
      <c r="I67" s="2727" t="s">
        <v>267</v>
      </c>
      <c r="J67" s="218"/>
      <c r="K67" s="3505">
        <f>'KOM opsi 1'!L430</f>
        <v>0</v>
      </c>
      <c r="L67" s="3505">
        <f>'KOM opsi 1'!M430</f>
        <v>0</v>
      </c>
      <c r="M67" s="3505">
        <f>'KOM opsi 1'!N430</f>
        <v>0</v>
      </c>
      <c r="N67" s="3505">
        <f>'KOM opsi 1'!P430</f>
        <v>0</v>
      </c>
      <c r="O67" s="3505">
        <f>'KOM opsi 1'!Q430</f>
        <v>0</v>
      </c>
      <c r="P67" s="3505">
        <f>'KOM opsi 1'!R430</f>
        <v>0</v>
      </c>
      <c r="Q67" s="3692"/>
      <c r="R67" s="3353"/>
      <c r="S67" s="436">
        <f t="shared" si="4"/>
        <v>0</v>
      </c>
      <c r="T67" s="436">
        <f t="shared" si="5"/>
        <v>0</v>
      </c>
    </row>
    <row r="68" spans="1:20">
      <c r="A68" s="3381"/>
      <c r="B68" s="3359"/>
      <c r="C68" s="3359"/>
      <c r="D68" s="3359"/>
      <c r="E68" s="3359"/>
      <c r="F68" s="3359"/>
      <c r="G68" s="3343"/>
      <c r="H68" s="2778" t="s">
        <v>50</v>
      </c>
      <c r="I68" s="200" t="s">
        <v>1107</v>
      </c>
      <c r="J68" s="218"/>
      <c r="K68" s="3505">
        <f>+'KOM opsi 1'!J429</f>
        <v>13870510900</v>
      </c>
      <c r="L68" s="3505">
        <f>+'KOM opsi 1'!K429</f>
        <v>13001891981.540001</v>
      </c>
      <c r="M68" s="3505">
        <f>+'KOM opsi 1'!L429</f>
        <v>13870510900</v>
      </c>
      <c r="N68" s="3505">
        <f>+'KOM opsi 1'!O431</f>
        <v>1227068346.99</v>
      </c>
      <c r="O68" s="3505">
        <f>+'KOM opsi 1'!P431</f>
        <v>14084146900</v>
      </c>
      <c r="P68" s="3505">
        <f>+'KOM opsi 1'!Q431</f>
        <v>213636000</v>
      </c>
      <c r="Q68" s="3691">
        <f t="shared" si="1"/>
        <v>1.5402172388617714</v>
      </c>
      <c r="R68" s="3353"/>
      <c r="S68" s="436">
        <f t="shared" si="4"/>
        <v>213636000</v>
      </c>
      <c r="T68" s="436">
        <f t="shared" si="5"/>
        <v>0</v>
      </c>
    </row>
    <row r="69" spans="1:20">
      <c r="A69" s="3381"/>
      <c r="B69" s="3359"/>
      <c r="C69" s="3359"/>
      <c r="D69" s="3359"/>
      <c r="E69" s="3359"/>
      <c r="F69" s="3359"/>
      <c r="G69" s="3343"/>
      <c r="H69" s="213"/>
      <c r="I69" s="200" t="s">
        <v>1108</v>
      </c>
      <c r="J69" s="218"/>
      <c r="K69" s="3505"/>
      <c r="L69" s="3505"/>
      <c r="M69" s="3505"/>
      <c r="N69" s="3505"/>
      <c r="O69" s="3505"/>
      <c r="P69" s="3505"/>
      <c r="Q69" s="3692"/>
      <c r="R69" s="3353"/>
      <c r="S69" s="436">
        <f t="shared" si="4"/>
        <v>0</v>
      </c>
      <c r="T69" s="436">
        <f t="shared" si="5"/>
        <v>0</v>
      </c>
    </row>
    <row r="70" spans="1:20" ht="9.1" customHeight="1">
      <c r="A70" s="3382"/>
      <c r="B70" s="3383"/>
      <c r="C70" s="3383"/>
      <c r="D70" s="3383"/>
      <c r="E70" s="3383"/>
      <c r="F70" s="3383"/>
      <c r="G70" s="3384"/>
      <c r="H70" s="2844"/>
      <c r="I70" s="856"/>
      <c r="J70" s="1907"/>
      <c r="K70" s="3517"/>
      <c r="L70" s="3517"/>
      <c r="M70" s="3517"/>
      <c r="N70" s="3517"/>
      <c r="O70" s="3517"/>
      <c r="P70" s="3517"/>
      <c r="Q70" s="3692"/>
      <c r="R70" s="3385"/>
      <c r="S70" s="436">
        <f t="shared" si="4"/>
        <v>0</v>
      </c>
      <c r="T70" s="436">
        <f t="shared" si="5"/>
        <v>0</v>
      </c>
    </row>
    <row r="71" spans="1:20" s="190" customFormat="1" ht="12.7" customHeight="1">
      <c r="A71" s="228"/>
      <c r="B71" s="228" t="s">
        <v>443</v>
      </c>
      <c r="C71" s="228" t="s">
        <v>457</v>
      </c>
      <c r="D71" s="228" t="s">
        <v>443</v>
      </c>
      <c r="E71" s="228"/>
      <c r="F71" s="229"/>
      <c r="G71" s="230"/>
      <c r="H71" s="231" t="s">
        <v>652</v>
      </c>
      <c r="I71" s="202"/>
      <c r="J71" s="218"/>
      <c r="K71" s="3506">
        <f t="shared" ref="K71:P71" si="10">SUM(K72)</f>
        <v>5000000000</v>
      </c>
      <c r="L71" s="3506">
        <f t="shared" si="10"/>
        <v>5000000000</v>
      </c>
      <c r="M71" s="3506">
        <f t="shared" si="10"/>
        <v>53394311000</v>
      </c>
      <c r="N71" s="3506">
        <f t="shared" si="10"/>
        <v>26697155000</v>
      </c>
      <c r="O71" s="3506">
        <f t="shared" si="10"/>
        <v>53394311000</v>
      </c>
      <c r="P71" s="3506">
        <f t="shared" si="10"/>
        <v>0</v>
      </c>
      <c r="Q71" s="3692">
        <f t="shared" si="1"/>
        <v>0</v>
      </c>
      <c r="R71" s="3354"/>
      <c r="S71" s="436">
        <f t="shared" si="4"/>
        <v>0</v>
      </c>
      <c r="T71" s="436">
        <f t="shared" si="5"/>
        <v>0</v>
      </c>
    </row>
    <row r="72" spans="1:20" ht="12.7" customHeight="1">
      <c r="A72" s="232"/>
      <c r="B72" s="232"/>
      <c r="C72" s="232"/>
      <c r="D72" s="232"/>
      <c r="E72" s="232"/>
      <c r="F72" s="232"/>
      <c r="G72" s="230"/>
      <c r="H72" s="233" t="s">
        <v>293</v>
      </c>
      <c r="I72" s="200"/>
      <c r="J72" s="218"/>
      <c r="K72" s="3505">
        <f>+'KOM opsi 1'!J566</f>
        <v>5000000000</v>
      </c>
      <c r="L72" s="3505">
        <f>+'KOM opsi 1'!K566</f>
        <v>5000000000</v>
      </c>
      <c r="M72" s="3505">
        <f>+'KOM opsi 1'!L566</f>
        <v>53394311000</v>
      </c>
      <c r="N72" s="3505">
        <f>+'KOM opsi 1'!O562</f>
        <v>26697155000</v>
      </c>
      <c r="O72" s="3505">
        <f>+'KOM opsi 1'!P562</f>
        <v>53394311000</v>
      </c>
      <c r="P72" s="3505">
        <f>+'KOM opsi 1'!Q562</f>
        <v>0</v>
      </c>
      <c r="Q72" s="3692">
        <f>O72/M72*100-100</f>
        <v>0</v>
      </c>
      <c r="R72" s="3353"/>
      <c r="S72" s="436">
        <f t="shared" si="4"/>
        <v>0</v>
      </c>
      <c r="T72" s="436">
        <f t="shared" si="5"/>
        <v>0</v>
      </c>
    </row>
    <row r="73" spans="1:20" ht="9.1" customHeight="1">
      <c r="A73" s="234"/>
      <c r="B73" s="234"/>
      <c r="C73" s="234"/>
      <c r="D73" s="234"/>
      <c r="E73" s="234"/>
      <c r="F73" s="234"/>
      <c r="G73" s="235"/>
      <c r="H73" s="236"/>
      <c r="I73" s="238"/>
      <c r="J73" s="239"/>
      <c r="K73" s="3518"/>
      <c r="L73" s="3518"/>
      <c r="M73" s="3518"/>
      <c r="N73" s="3518"/>
      <c r="O73" s="3518"/>
      <c r="P73" s="3518"/>
      <c r="Q73" s="3338"/>
      <c r="R73" s="3386"/>
      <c r="S73" s="436">
        <f t="shared" si="4"/>
        <v>0</v>
      </c>
      <c r="T73" s="436">
        <f t="shared" si="5"/>
        <v>0</v>
      </c>
    </row>
    <row r="74" spans="1:20" s="3433" customFormat="1" ht="17.25" customHeight="1">
      <c r="A74" s="3434"/>
      <c r="B74" s="3435"/>
      <c r="C74" s="3435"/>
      <c r="D74" s="3435"/>
      <c r="E74" s="3435"/>
      <c r="F74" s="3435"/>
      <c r="G74" s="3435"/>
      <c r="H74" s="3436" t="s">
        <v>1109</v>
      </c>
      <c r="I74" s="3428"/>
      <c r="J74" s="3429"/>
      <c r="K74" s="3523">
        <f t="shared" ref="K74:P74" si="11">K65+K58+K8</f>
        <v>3802519445799</v>
      </c>
      <c r="L74" s="3523">
        <f t="shared" si="11"/>
        <v>3954156416678.9697</v>
      </c>
      <c r="M74" s="3523">
        <f t="shared" si="11"/>
        <v>4791397359569</v>
      </c>
      <c r="N74" s="3523">
        <f t="shared" si="11"/>
        <v>1145356630856.72</v>
      </c>
      <c r="O74" s="3523">
        <f t="shared" si="11"/>
        <v>4858453255665</v>
      </c>
      <c r="P74" s="3523">
        <f t="shared" si="11"/>
        <v>67055896096</v>
      </c>
      <c r="Q74" s="3430">
        <f>O74/M74*100-100</f>
        <v>1.3995060535332442</v>
      </c>
      <c r="R74" s="3437"/>
      <c r="S74" s="436">
        <f t="shared" si="4"/>
        <v>67055896096</v>
      </c>
      <c r="T74" s="3432">
        <f t="shared" si="5"/>
        <v>0</v>
      </c>
    </row>
    <row r="75" spans="1:20" ht="12.7" customHeight="1">
      <c r="J75" s="436"/>
      <c r="K75" s="3387"/>
      <c r="L75" s="3387"/>
      <c r="M75" s="3387"/>
      <c r="N75" s="240"/>
      <c r="O75" s="240"/>
      <c r="P75" s="240"/>
      <c r="R75" s="3388"/>
    </row>
    <row r="76" spans="1:20">
      <c r="K76" s="3389"/>
      <c r="L76" s="3389"/>
      <c r="M76" s="1142"/>
      <c r="N76" s="1142"/>
      <c r="O76" s="1142"/>
      <c r="P76" s="1142"/>
    </row>
    <row r="77" spans="1:20">
      <c r="K77" s="3387"/>
      <c r="L77" s="3387"/>
      <c r="M77" s="3387"/>
      <c r="N77" s="3390"/>
      <c r="O77" s="3390"/>
      <c r="P77" s="3390"/>
      <c r="Q77" s="3390"/>
    </row>
    <row r="78" spans="1:20">
      <c r="K78" s="436"/>
      <c r="L78" s="436"/>
      <c r="M78" s="436"/>
      <c r="N78" s="422"/>
      <c r="O78" s="422"/>
      <c r="P78" s="422"/>
      <c r="Q78" s="422"/>
    </row>
    <row r="79" spans="1:20">
      <c r="H79" s="819"/>
      <c r="I79" s="819"/>
      <c r="N79" s="422"/>
      <c r="O79" s="422"/>
      <c r="P79" s="422"/>
      <c r="Q79" s="422"/>
    </row>
    <row r="80" spans="1:20">
      <c r="J80" s="190"/>
      <c r="K80" s="3391"/>
      <c r="L80" s="3391"/>
      <c r="M80" s="3391"/>
      <c r="N80" s="3391"/>
      <c r="O80" s="3391"/>
      <c r="P80" s="3391"/>
    </row>
    <row r="81" spans="8:17">
      <c r="N81" s="3392"/>
      <c r="O81" s="3392"/>
      <c r="P81" s="3392"/>
      <c r="Q81" s="3392"/>
    </row>
    <row r="82" spans="8:17">
      <c r="H82" s="3393"/>
      <c r="I82" s="3393"/>
      <c r="N82" s="1829"/>
      <c r="O82" s="1829"/>
      <c r="P82" s="1829"/>
      <c r="Q82" s="1829"/>
    </row>
    <row r="83" spans="8:17">
      <c r="H83" s="3394"/>
      <c r="I83" s="3394"/>
      <c r="N83" s="3395"/>
      <c r="O83" s="3395"/>
      <c r="P83" s="3395"/>
      <c r="Q83" s="3395"/>
    </row>
    <row r="85" spans="8:17">
      <c r="J85" s="3396"/>
      <c r="K85" s="3389"/>
      <c r="L85" s="3389"/>
      <c r="M85" s="3389"/>
      <c r="N85" s="3389"/>
      <c r="O85" s="3389"/>
      <c r="P85" s="3389"/>
      <c r="Q85" s="3397"/>
    </row>
    <row r="88" spans="8:17">
      <c r="K88" s="3398"/>
      <c r="L88" s="3398"/>
      <c r="M88" s="3398"/>
    </row>
    <row r="97" spans="10:10">
      <c r="J97" s="63"/>
    </row>
  </sheetData>
  <sheetProtection selectLockedCells="1" selectUnlockedCells="1"/>
  <mergeCells count="14">
    <mergeCell ref="B6:G6"/>
    <mergeCell ref="H6:J6"/>
    <mergeCell ref="K4:K5"/>
    <mergeCell ref="L4:L5"/>
    <mergeCell ref="M4:M5"/>
    <mergeCell ref="B4:G5"/>
    <mergeCell ref="A1:R1"/>
    <mergeCell ref="A2:R2"/>
    <mergeCell ref="Q3:R3"/>
    <mergeCell ref="H4:J4"/>
    <mergeCell ref="H5:J5"/>
    <mergeCell ref="N4:N5"/>
    <mergeCell ref="Q4:Q5"/>
    <mergeCell ref="R4:R5"/>
  </mergeCells>
  <pageMargins left="0.27559055118110237" right="0.11811023622047245" top="0.6692913385826772" bottom="0.39370078740157483" header="0.43307086614173229" footer="0.31496062992125984"/>
  <pageSetup paperSize="512" scale="79" orientation="landscape" useFirstPageNumber="1" horizontalDpi="1200" verticalDpi="1200" r:id="rId1"/>
  <headerFooter alignWithMargins="0">
    <oddFooter>&amp;LRekapitulasi Rencana Perubahan Target Pendapatan TA 2017&amp;CBAPPENDA PROVINSI NTB&amp;RHal. &amp;P</oddFooter>
  </headerFooter>
  <rowBreaks count="1" manualBreakCount="1">
    <brk id="42" max="17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FF3399"/>
  </sheetPr>
  <dimension ref="A1:R72"/>
  <sheetViews>
    <sheetView view="pageBreakPreview" topLeftCell="A37" zoomScaleSheetLayoutView="100" workbookViewId="0">
      <selection activeCell="I33" sqref="I33"/>
    </sheetView>
  </sheetViews>
  <sheetFormatPr defaultColWidth="9.109375" defaultRowHeight="15.05"/>
  <cols>
    <col min="1" max="1" width="6.5546875" style="84" customWidth="1"/>
    <col min="2" max="5" width="3.6640625" style="84" customWidth="1"/>
    <col min="6" max="6" width="9.109375" style="84"/>
    <col min="7" max="7" width="28.88671875" style="84" customWidth="1"/>
    <col min="8" max="8" width="24.44140625" style="84" customWidth="1"/>
    <col min="9" max="9" width="22.88671875" style="84" bestFit="1" customWidth="1"/>
    <col min="10" max="10" width="22.44140625" style="84" customWidth="1"/>
    <col min="11" max="11" width="22.33203125" style="84" customWidth="1"/>
    <col min="12" max="12" width="24.5546875" style="84" customWidth="1"/>
    <col min="13" max="13" width="9.33203125" style="84" customWidth="1"/>
    <col min="14" max="14" width="12.88671875" style="84" customWidth="1"/>
    <col min="15" max="15" width="18.5546875" style="84" customWidth="1"/>
    <col min="16" max="16" width="15" style="84" customWidth="1"/>
    <col min="17" max="17" width="14" style="84" customWidth="1"/>
    <col min="18" max="18" width="16.5546875" style="84" customWidth="1"/>
    <col min="19" max="16384" width="9.109375" style="84"/>
  </cols>
  <sheetData>
    <row r="1" spans="1:18" ht="18.8" hidden="1" customHeight="1">
      <c r="A1" s="5912" t="s">
        <v>1110</v>
      </c>
      <c r="B1" s="5912"/>
      <c r="C1" s="5912"/>
      <c r="D1" s="5912"/>
      <c r="E1" s="5912"/>
      <c r="F1" s="5912"/>
      <c r="G1" s="5912"/>
      <c r="H1" s="5912"/>
      <c r="I1" s="5912"/>
      <c r="J1" s="5912"/>
      <c r="K1" s="5912"/>
      <c r="L1" s="5912"/>
      <c r="M1" s="5912"/>
      <c r="N1" s="5912"/>
    </row>
    <row r="2" spans="1:18" ht="18.8" hidden="1" customHeight="1">
      <c r="A2" s="5912" t="e">
        <f>#REF!</f>
        <v>#REF!</v>
      </c>
      <c r="B2" s="5912"/>
      <c r="C2" s="5912"/>
      <c r="D2" s="5912"/>
      <c r="E2" s="5912"/>
      <c r="F2" s="5912"/>
      <c r="G2" s="5912"/>
      <c r="H2" s="5912"/>
      <c r="I2" s="5912"/>
      <c r="J2" s="5912"/>
      <c r="K2" s="5912"/>
      <c r="L2" s="5912"/>
      <c r="M2" s="5912"/>
      <c r="N2" s="5912"/>
    </row>
    <row r="3" spans="1:18" ht="18.8" hidden="1" customHeight="1">
      <c r="A3" s="85"/>
      <c r="B3" s="85"/>
      <c r="C3" s="85"/>
      <c r="D3" s="85"/>
      <c r="E3" s="86"/>
      <c r="F3" s="86"/>
      <c r="G3" s="87"/>
      <c r="H3" s="88"/>
      <c r="I3" s="88"/>
      <c r="J3" s="88"/>
      <c r="K3" s="88"/>
      <c r="L3" s="88"/>
      <c r="M3" s="88"/>
      <c r="N3" s="88"/>
    </row>
    <row r="4" spans="1:18" ht="23.95" hidden="1" customHeight="1">
      <c r="A4" s="89" t="s">
        <v>1111</v>
      </c>
      <c r="B4" s="89"/>
      <c r="C4" s="89"/>
      <c r="D4" s="89"/>
      <c r="E4" s="86"/>
      <c r="F4" s="86"/>
      <c r="G4" s="86"/>
      <c r="H4" s="86"/>
      <c r="I4" s="86"/>
      <c r="J4" s="86"/>
      <c r="K4" s="88"/>
      <c r="L4" s="5913"/>
      <c r="M4" s="5913"/>
      <c r="N4" s="5913"/>
    </row>
    <row r="5" spans="1:18" ht="23.95" hidden="1" customHeight="1">
      <c r="A5" s="5921" t="s">
        <v>937</v>
      </c>
      <c r="B5" s="5933" t="s">
        <v>1112</v>
      </c>
      <c r="C5" s="5934"/>
      <c r="D5" s="5935"/>
      <c r="E5" s="5933" t="s">
        <v>1113</v>
      </c>
      <c r="F5" s="5934"/>
      <c r="G5" s="5935"/>
      <c r="H5" s="5914" t="s">
        <v>1114</v>
      </c>
      <c r="I5" s="5914" t="s">
        <v>1115</v>
      </c>
      <c r="J5" s="5914"/>
      <c r="K5" s="5914"/>
      <c r="L5" s="5916" t="s">
        <v>1116</v>
      </c>
      <c r="M5" s="5914" t="s">
        <v>6</v>
      </c>
      <c r="N5" s="5914" t="s">
        <v>478</v>
      </c>
    </row>
    <row r="6" spans="1:18" ht="23.95" hidden="1" customHeight="1">
      <c r="A6" s="5922"/>
      <c r="B6" s="5936"/>
      <c r="C6" s="5937"/>
      <c r="D6" s="5938"/>
      <c r="E6" s="5936"/>
      <c r="F6" s="5937"/>
      <c r="G6" s="5938"/>
      <c r="H6" s="5914"/>
      <c r="I6" s="146" t="s">
        <v>1117</v>
      </c>
      <c r="J6" s="146" t="s">
        <v>1118</v>
      </c>
      <c r="K6" s="146" t="s">
        <v>1119</v>
      </c>
      <c r="L6" s="5917"/>
      <c r="M6" s="5914"/>
      <c r="N6" s="5914"/>
    </row>
    <row r="7" spans="1:18" ht="23.95" hidden="1" customHeight="1">
      <c r="A7" s="90" t="s">
        <v>1082</v>
      </c>
      <c r="B7" s="91">
        <v>6</v>
      </c>
      <c r="C7" s="91">
        <v>1</v>
      </c>
      <c r="D7" s="91">
        <v>1</v>
      </c>
      <c r="E7" s="92" t="s">
        <v>1120</v>
      </c>
      <c r="F7" s="92"/>
      <c r="G7" s="93"/>
      <c r="H7" s="94" t="e">
        <f>+'KOM opsi 1'!#REF!</f>
        <v>#REF!</v>
      </c>
      <c r="I7" s="94" t="e">
        <f>+'KOM opsi 1'!#REF!</f>
        <v>#REF!</v>
      </c>
      <c r="J7" s="94" t="e">
        <f>+'KOM opsi 1'!#REF!</f>
        <v>#REF!</v>
      </c>
      <c r="K7" s="94" t="e">
        <f>+J7+I7</f>
        <v>#REF!</v>
      </c>
      <c r="L7" s="147" t="e">
        <f>+K7-H7</f>
        <v>#REF!</v>
      </c>
      <c r="M7" s="147" t="e">
        <f>+K7/H7*100</f>
        <v>#REF!</v>
      </c>
      <c r="N7" s="148"/>
      <c r="O7" s="149"/>
    </row>
    <row r="8" spans="1:18" ht="26.15" hidden="1" customHeight="1">
      <c r="A8" s="95" t="s">
        <v>61</v>
      </c>
      <c r="B8" s="95">
        <v>4</v>
      </c>
      <c r="C8" s="95">
        <v>1</v>
      </c>
      <c r="D8" s="95">
        <v>2</v>
      </c>
      <c r="E8" s="96" t="s">
        <v>412</v>
      </c>
      <c r="F8" s="96"/>
      <c r="G8" s="97"/>
      <c r="H8" s="98" t="e">
        <f>#REF!</f>
        <v>#REF!</v>
      </c>
      <c r="I8" s="98">
        <f>'KOM opsi 1'!M44</f>
        <v>2868914276</v>
      </c>
      <c r="J8" s="98">
        <f>'KOM opsi 1'!N44</f>
        <v>1482279200</v>
      </c>
      <c r="K8" s="98">
        <f>'KOM opsi 1'!O44</f>
        <v>4448558476</v>
      </c>
      <c r="L8" s="150" t="e">
        <f>+K8-H8</f>
        <v>#REF!</v>
      </c>
      <c r="M8" s="151" t="e">
        <f>+K8/H8*100</f>
        <v>#REF!</v>
      </c>
      <c r="N8" s="152"/>
      <c r="O8" s="149"/>
      <c r="P8" s="153"/>
      <c r="Q8" s="153"/>
      <c r="R8" s="153"/>
    </row>
    <row r="9" spans="1:18" ht="26.15" hidden="1" customHeight="1">
      <c r="A9" s="99" t="s">
        <v>78</v>
      </c>
      <c r="B9" s="99">
        <v>4</v>
      </c>
      <c r="C9" s="99">
        <v>1</v>
      </c>
      <c r="D9" s="99">
        <v>3</v>
      </c>
      <c r="E9" s="100" t="s">
        <v>1121</v>
      </c>
      <c r="F9" s="100"/>
      <c r="G9" s="101"/>
      <c r="H9" s="102" t="e">
        <f>#REF!</f>
        <v>#REF!</v>
      </c>
      <c r="I9" s="102">
        <f>'KOM opsi 1'!M213</f>
        <v>0</v>
      </c>
      <c r="J9" s="102">
        <f>'KOM opsi 1'!N213</f>
        <v>0</v>
      </c>
      <c r="K9" s="154">
        <f>+J9+I9</f>
        <v>0</v>
      </c>
      <c r="L9" s="150" t="e">
        <f>+K9-H9</f>
        <v>#REF!</v>
      </c>
      <c r="M9" s="150" t="e">
        <f>+K9/H9*100</f>
        <v>#REF!</v>
      </c>
      <c r="N9" s="155"/>
      <c r="R9" s="149"/>
    </row>
    <row r="10" spans="1:18" ht="26.15" hidden="1" customHeight="1">
      <c r="A10" s="103" t="s">
        <v>100</v>
      </c>
      <c r="B10" s="103">
        <v>4</v>
      </c>
      <c r="C10" s="103">
        <v>1</v>
      </c>
      <c r="D10" s="103">
        <v>4</v>
      </c>
      <c r="E10" s="104" t="s">
        <v>1122</v>
      </c>
      <c r="F10" s="104"/>
      <c r="G10" s="105"/>
      <c r="H10" s="106" t="e">
        <f>#REF!+#REF!</f>
        <v>#REF!</v>
      </c>
      <c r="I10" s="106">
        <f>'KOM opsi 1'!M226</f>
        <v>30843632833.540001</v>
      </c>
      <c r="J10" s="106">
        <f>'KOM opsi 1'!N226</f>
        <v>19237073227.190002</v>
      </c>
      <c r="K10" s="156">
        <f>J10+I10</f>
        <v>50080706060.730003</v>
      </c>
      <c r="L10" s="150" t="e">
        <f>+K10-H10</f>
        <v>#REF!</v>
      </c>
      <c r="M10" s="157" t="e">
        <f>K10/H10*100</f>
        <v>#REF!</v>
      </c>
      <c r="N10" s="158"/>
    </row>
    <row r="11" spans="1:18" ht="23.95" hidden="1" customHeight="1">
      <c r="A11" s="107"/>
      <c r="B11" s="91">
        <v>4</v>
      </c>
      <c r="C11" s="108">
        <v>1</v>
      </c>
      <c r="D11" s="108"/>
      <c r="E11" s="109" t="s">
        <v>1123</v>
      </c>
      <c r="F11" s="109"/>
      <c r="G11" s="110"/>
      <c r="H11" s="111" t="e">
        <f>SUM(H8:H10)</f>
        <v>#REF!</v>
      </c>
      <c r="I11" s="111">
        <f>SUM(I8:I10)</f>
        <v>33712547109.540001</v>
      </c>
      <c r="J11" s="111">
        <f>SUM(J8:J10)</f>
        <v>20719352427.190002</v>
      </c>
      <c r="K11" s="111">
        <f>SUM(K8:K10)</f>
        <v>54529264536.730003</v>
      </c>
      <c r="L11" s="159" t="e">
        <f>+K11-H11</f>
        <v>#REF!</v>
      </c>
      <c r="M11" s="159" t="e">
        <f>+K11/H11*100</f>
        <v>#REF!</v>
      </c>
      <c r="N11" s="108"/>
    </row>
    <row r="12" spans="1:18" s="82" customFormat="1" hidden="1">
      <c r="A12" s="85"/>
      <c r="B12" s="85"/>
      <c r="C12" s="85"/>
      <c r="D12" s="85"/>
      <c r="E12" s="85"/>
      <c r="F12" s="85"/>
      <c r="G12" s="85"/>
      <c r="H12" s="112" t="e">
        <f>H11-H7</f>
        <v>#REF!</v>
      </c>
      <c r="I12" s="112" t="e">
        <f>I11-I7</f>
        <v>#REF!</v>
      </c>
      <c r="J12" s="112" t="e">
        <f>J11-J7</f>
        <v>#REF!</v>
      </c>
      <c r="K12" s="112" t="e">
        <f>K11-K7</f>
        <v>#REF!</v>
      </c>
      <c r="L12" s="160"/>
      <c r="M12" s="85"/>
      <c r="N12" s="85"/>
    </row>
    <row r="13" spans="1:18" hidden="1">
      <c r="A13" s="86"/>
      <c r="B13" s="86"/>
      <c r="C13" s="86"/>
      <c r="D13" s="86"/>
      <c r="E13" s="86"/>
      <c r="F13" s="86"/>
      <c r="G13" s="86"/>
      <c r="H13" s="113"/>
      <c r="I13" s="113"/>
      <c r="J13" s="161"/>
      <c r="K13" s="162"/>
      <c r="L13" s="86"/>
      <c r="M13" s="86"/>
      <c r="N13" s="86"/>
    </row>
    <row r="14" spans="1:18" hidden="1">
      <c r="A14" s="86"/>
      <c r="B14" s="86"/>
      <c r="C14" s="86"/>
      <c r="D14" s="86"/>
      <c r="E14" s="86"/>
      <c r="F14" s="86"/>
      <c r="G14" s="114" t="s">
        <v>1124</v>
      </c>
      <c r="H14" s="86"/>
      <c r="I14" s="163"/>
      <c r="J14" s="86"/>
      <c r="K14" s="86"/>
      <c r="L14" s="164" t="str">
        <f>PerDinas!O1093</f>
        <v>Mataram,        Desember  2016</v>
      </c>
      <c r="M14" s="86"/>
      <c r="N14" s="86"/>
    </row>
    <row r="15" spans="1:18" hidden="1">
      <c r="A15" s="86"/>
      <c r="B15" s="86"/>
      <c r="C15" s="86"/>
      <c r="D15" s="86"/>
      <c r="E15" s="86"/>
      <c r="F15" s="86"/>
      <c r="G15" s="115" t="s">
        <v>927</v>
      </c>
      <c r="H15" s="86"/>
      <c r="I15" s="86"/>
      <c r="J15" s="86"/>
      <c r="K15" s="86"/>
      <c r="L15" s="115"/>
      <c r="M15" s="86"/>
      <c r="N15" s="86"/>
    </row>
    <row r="16" spans="1:18" hidden="1">
      <c r="A16" s="86"/>
      <c r="B16" s="86"/>
      <c r="C16" s="86"/>
      <c r="D16" s="86"/>
      <c r="E16" s="86"/>
      <c r="F16" s="86"/>
      <c r="G16" s="116" t="s">
        <v>929</v>
      </c>
      <c r="H16" s="117"/>
      <c r="I16" s="165"/>
      <c r="J16" s="86"/>
      <c r="K16" s="86"/>
      <c r="L16" s="115" t="e">
        <f>#REF!</f>
        <v>#REF!</v>
      </c>
      <c r="M16" s="86"/>
      <c r="N16" s="86"/>
    </row>
    <row r="17" spans="1:15" hidden="1">
      <c r="A17" s="86"/>
      <c r="B17" s="86"/>
      <c r="C17" s="86"/>
      <c r="D17" s="86"/>
      <c r="E17" s="86"/>
      <c r="F17" s="86"/>
      <c r="G17" s="116"/>
      <c r="H17" s="117"/>
      <c r="I17" s="165"/>
      <c r="J17" s="86"/>
      <c r="K17" s="86"/>
      <c r="L17" s="86"/>
      <c r="M17" s="86"/>
      <c r="N17" s="86"/>
    </row>
    <row r="18" spans="1:15" hidden="1">
      <c r="A18" s="86"/>
      <c r="B18" s="86"/>
      <c r="C18" s="86"/>
      <c r="D18" s="86"/>
      <c r="E18" s="86"/>
      <c r="F18" s="86"/>
      <c r="G18" s="114"/>
      <c r="H18" s="115"/>
      <c r="I18" s="86"/>
      <c r="J18" s="86"/>
      <c r="K18" s="86"/>
      <c r="L18" s="116"/>
      <c r="M18" s="86"/>
      <c r="N18" s="86"/>
    </row>
    <row r="19" spans="1:15" hidden="1">
      <c r="A19" s="86"/>
      <c r="B19" s="86"/>
      <c r="C19" s="86"/>
      <c r="D19" s="86"/>
      <c r="E19" s="86"/>
      <c r="F19" s="86"/>
      <c r="G19" s="118" t="s">
        <v>1125</v>
      </c>
      <c r="H19" s="115"/>
      <c r="I19" s="162"/>
      <c r="J19" s="86"/>
      <c r="K19" s="86"/>
      <c r="L19" s="118" t="e">
        <f>#REF!</f>
        <v>#REF!</v>
      </c>
      <c r="M19" s="86"/>
      <c r="N19" s="86"/>
    </row>
    <row r="20" spans="1:15" hidden="1">
      <c r="A20" s="86"/>
      <c r="B20" s="86"/>
      <c r="C20" s="86"/>
      <c r="D20" s="86"/>
      <c r="E20" s="86"/>
      <c r="F20" s="86"/>
      <c r="G20" s="119" t="s">
        <v>1126</v>
      </c>
      <c r="H20" s="86"/>
      <c r="I20" s="86"/>
      <c r="J20" s="86"/>
      <c r="K20" s="85"/>
      <c r="L20" s="119" t="e">
        <f>#REF!</f>
        <v>#REF!</v>
      </c>
      <c r="M20" s="86"/>
      <c r="N20" s="86"/>
    </row>
    <row r="21" spans="1:15" hidden="1">
      <c r="A21" s="86"/>
      <c r="B21" s="86"/>
      <c r="C21" s="86"/>
      <c r="D21" s="5915"/>
      <c r="E21" s="5915"/>
      <c r="F21" s="5915"/>
      <c r="G21" s="5915"/>
      <c r="H21" s="86"/>
      <c r="I21" s="86"/>
      <c r="J21" s="86"/>
      <c r="K21" s="86"/>
      <c r="L21" s="86"/>
      <c r="M21" s="86"/>
      <c r="N21" s="86"/>
    </row>
    <row r="22" spans="1:15">
      <c r="A22" s="83"/>
      <c r="B22" s="83"/>
      <c r="C22" s="83"/>
      <c r="D22" s="83"/>
      <c r="E22" s="83"/>
      <c r="F22" s="120"/>
      <c r="G22" s="83"/>
      <c r="H22" s="83"/>
      <c r="I22" s="83"/>
      <c r="J22" s="83"/>
      <c r="K22" s="83"/>
      <c r="L22" s="166"/>
      <c r="M22" s="83"/>
      <c r="N22" s="83"/>
    </row>
    <row r="23" spans="1:15" ht="21.3">
      <c r="A23" s="5939" t="s">
        <v>1127</v>
      </c>
      <c r="B23" s="5939"/>
      <c r="C23" s="5939"/>
      <c r="D23" s="5939"/>
      <c r="E23" s="5939"/>
      <c r="F23" s="5939"/>
      <c r="G23" s="5939"/>
      <c r="H23" s="5939"/>
      <c r="I23" s="5939"/>
      <c r="J23" s="5939"/>
      <c r="K23" s="5939"/>
      <c r="L23" s="5939"/>
      <c r="M23" s="5939"/>
      <c r="N23" s="5939"/>
    </row>
    <row r="24" spans="1:15" ht="21.3">
      <c r="A24" s="5939" t="str">
        <f>REKAPOK!A2:R2</f>
        <v>TAHUN ANGGARAN 2017</v>
      </c>
      <c r="B24" s="5939"/>
      <c r="C24" s="5939"/>
      <c r="D24" s="5939"/>
      <c r="E24" s="5939"/>
      <c r="F24" s="5939"/>
      <c r="G24" s="5939"/>
      <c r="H24" s="5939"/>
      <c r="I24" s="5939"/>
      <c r="J24" s="5939"/>
      <c r="K24" s="5939"/>
      <c r="L24" s="5939"/>
      <c r="M24" s="5939"/>
      <c r="N24" s="5939"/>
    </row>
    <row r="25" spans="1:15" ht="12.05" customHeight="1">
      <c r="A25" s="121"/>
      <c r="B25" s="121"/>
      <c r="C25" s="121"/>
      <c r="D25" s="121"/>
      <c r="E25" s="122"/>
      <c r="F25" s="122"/>
      <c r="G25" s="123"/>
      <c r="H25" s="124"/>
      <c r="I25" s="124"/>
      <c r="J25" s="124"/>
      <c r="K25" s="124"/>
      <c r="L25" s="124"/>
      <c r="M25" s="124"/>
      <c r="N25" s="124"/>
    </row>
    <row r="26" spans="1:15" ht="17.25" customHeight="1">
      <c r="A26" s="125"/>
      <c r="B26" s="125"/>
      <c r="C26" s="125"/>
      <c r="D26" s="125"/>
      <c r="E26" s="83"/>
      <c r="F26" s="83"/>
      <c r="G26" s="83"/>
      <c r="H26" s="83"/>
      <c r="I26" s="83"/>
      <c r="J26" s="83"/>
      <c r="K26" s="167"/>
      <c r="L26" s="5940"/>
      <c r="M26" s="5940"/>
      <c r="N26" s="5940"/>
    </row>
    <row r="27" spans="1:15" ht="26.3" customHeight="1">
      <c r="A27" s="5923" t="s">
        <v>937</v>
      </c>
      <c r="B27" s="5927" t="s">
        <v>938</v>
      </c>
      <c r="C27" s="5928"/>
      <c r="D27" s="5929"/>
      <c r="E27" s="5927" t="s">
        <v>56</v>
      </c>
      <c r="F27" s="5928"/>
      <c r="G27" s="5929"/>
      <c r="H27" s="5925" t="s">
        <v>940</v>
      </c>
      <c r="I27" s="5911" t="s">
        <v>5</v>
      </c>
      <c r="J27" s="5911"/>
      <c r="K27" s="5911"/>
      <c r="L27" s="5925" t="s">
        <v>1128</v>
      </c>
      <c r="M27" s="5911" t="s">
        <v>6</v>
      </c>
      <c r="N27" s="5911" t="s">
        <v>478</v>
      </c>
    </row>
    <row r="28" spans="1:15" ht="26.3" customHeight="1">
      <c r="A28" s="5924"/>
      <c r="B28" s="5930"/>
      <c r="C28" s="5931"/>
      <c r="D28" s="5932"/>
      <c r="E28" s="5930"/>
      <c r="F28" s="5931"/>
      <c r="G28" s="5932"/>
      <c r="H28" s="5926"/>
      <c r="I28" s="168" t="s">
        <v>479</v>
      </c>
      <c r="J28" s="168" t="s">
        <v>433</v>
      </c>
      <c r="K28" s="168" t="s">
        <v>434</v>
      </c>
      <c r="L28" s="5926"/>
      <c r="M28" s="5911"/>
      <c r="N28" s="5911"/>
    </row>
    <row r="29" spans="1:15" s="83" customFormat="1" ht="12.05" customHeight="1">
      <c r="A29" s="126"/>
      <c r="B29" s="126"/>
      <c r="C29" s="126"/>
      <c r="D29" s="126"/>
      <c r="E29" s="127"/>
      <c r="F29" s="127"/>
      <c r="G29" s="128"/>
      <c r="H29" s="129"/>
      <c r="I29" s="129"/>
      <c r="J29" s="129"/>
      <c r="K29" s="129"/>
      <c r="L29" s="169"/>
      <c r="M29" s="169"/>
      <c r="N29" s="170"/>
    </row>
    <row r="30" spans="1:15" ht="35.1" customHeight="1">
      <c r="A30" s="130" t="s">
        <v>61</v>
      </c>
      <c r="B30" s="130">
        <v>4</v>
      </c>
      <c r="C30" s="130">
        <v>1</v>
      </c>
      <c r="D30" s="130">
        <v>2</v>
      </c>
      <c r="E30" s="131" t="s">
        <v>106</v>
      </c>
      <c r="F30" s="131"/>
      <c r="G30" s="132"/>
      <c r="H30" s="133">
        <f>REKAPOK!K15</f>
        <v>29890858000</v>
      </c>
      <c r="I30" s="133">
        <f>REKAPOK!L15</f>
        <v>29792038549</v>
      </c>
      <c r="J30" s="133">
        <f>REKAPOK!M15</f>
        <v>18459358000</v>
      </c>
      <c r="K30" s="133">
        <f>J30+I30</f>
        <v>48251396549</v>
      </c>
      <c r="L30" s="171">
        <f t="shared" ref="L30:L35" si="0">+K30-H30</f>
        <v>18360538549</v>
      </c>
      <c r="M30" s="172">
        <f t="shared" ref="M30:M35" si="1">+K30/H30*100</f>
        <v>161.4252643701295</v>
      </c>
      <c r="N30" s="173"/>
      <c r="O30" s="174"/>
    </row>
    <row r="31" spans="1:15" ht="35.1" customHeight="1">
      <c r="A31" s="130" t="s">
        <v>78</v>
      </c>
      <c r="B31" s="130">
        <v>4</v>
      </c>
      <c r="C31" s="130">
        <v>1</v>
      </c>
      <c r="D31" s="130">
        <v>3</v>
      </c>
      <c r="E31" s="5941" t="s">
        <v>1090</v>
      </c>
      <c r="F31" s="5942"/>
      <c r="G31" s="5943"/>
      <c r="H31" s="133">
        <f>REKAPOK!K32</f>
        <v>157964885190</v>
      </c>
      <c r="I31" s="133">
        <f>REKAPOK!L32</f>
        <v>72827611744</v>
      </c>
      <c r="J31" s="133">
        <f>REKAPOK!M32</f>
        <v>92558485190</v>
      </c>
      <c r="K31" s="133">
        <f>J31+I31</f>
        <v>165386096934</v>
      </c>
      <c r="L31" s="171">
        <f t="shared" si="0"/>
        <v>7421211744</v>
      </c>
      <c r="M31" s="171">
        <f t="shared" si="1"/>
        <v>104.69801357122741</v>
      </c>
      <c r="N31" s="173"/>
      <c r="O31" s="174"/>
    </row>
    <row r="32" spans="1:15" ht="35.1" customHeight="1">
      <c r="A32" s="130" t="s">
        <v>100</v>
      </c>
      <c r="B32" s="130">
        <v>4</v>
      </c>
      <c r="C32" s="130">
        <v>1</v>
      </c>
      <c r="D32" s="130">
        <v>4</v>
      </c>
      <c r="E32" s="131" t="s">
        <v>71</v>
      </c>
      <c r="F32" s="131"/>
      <c r="G32" s="132"/>
      <c r="H32" s="133">
        <f>REKAPOK!K43</f>
        <v>224639588129</v>
      </c>
      <c r="I32" s="133">
        <f>REKAPOK!L43</f>
        <v>243089557831.42999</v>
      </c>
      <c r="J32" s="133">
        <f>REKAPOK!M43</f>
        <v>268454484234</v>
      </c>
      <c r="K32" s="133">
        <f>J32+I32</f>
        <v>511544042065.42999</v>
      </c>
      <c r="L32" s="171">
        <f t="shared" si="0"/>
        <v>286904453936.42999</v>
      </c>
      <c r="M32" s="172">
        <f>K32/H32*100</f>
        <v>227.71767270676895</v>
      </c>
      <c r="N32" s="173"/>
      <c r="O32" s="174"/>
    </row>
    <row r="33" spans="1:15" ht="35.1" customHeight="1">
      <c r="A33" s="134" t="s">
        <v>104</v>
      </c>
      <c r="B33" s="130">
        <v>4</v>
      </c>
      <c r="C33" s="130">
        <v>2</v>
      </c>
      <c r="D33" s="130">
        <v>1</v>
      </c>
      <c r="E33" s="2779" t="s">
        <v>236</v>
      </c>
      <c r="F33" s="131"/>
      <c r="G33" s="132"/>
      <c r="H33" s="133">
        <f>REKAPOK!K58</f>
        <v>2333604004580</v>
      </c>
      <c r="I33" s="133">
        <f>REKAPOK!L58</f>
        <v>2587184362905</v>
      </c>
      <c r="J33" s="133">
        <f>REKAPOK!M58</f>
        <v>3222521202310</v>
      </c>
      <c r="K33" s="133">
        <f>J33+I33</f>
        <v>5809705565215</v>
      </c>
      <c r="L33" s="171">
        <f t="shared" si="0"/>
        <v>3476101560635</v>
      </c>
      <c r="M33" s="171">
        <f>K33/H33*100</f>
        <v>248.95850169149094</v>
      </c>
      <c r="N33" s="173"/>
      <c r="O33" s="174"/>
    </row>
    <row r="34" spans="1:15" ht="35.1" customHeight="1">
      <c r="A34" s="135" t="s">
        <v>112</v>
      </c>
      <c r="B34" s="136">
        <v>4</v>
      </c>
      <c r="C34" s="136">
        <v>3</v>
      </c>
      <c r="D34" s="136">
        <v>1</v>
      </c>
      <c r="E34" s="5918" t="s">
        <v>265</v>
      </c>
      <c r="F34" s="5919"/>
      <c r="G34" s="5920"/>
      <c r="H34" s="137">
        <f>REKAPOK!K65</f>
        <v>18870510900</v>
      </c>
      <c r="I34" s="137">
        <f>REKAPOK!L65</f>
        <v>18001891981.540001</v>
      </c>
      <c r="J34" s="137">
        <f>REKAPOK!M65</f>
        <v>67264821900</v>
      </c>
      <c r="K34" s="137">
        <f>J34+I34</f>
        <v>85266713881.540009</v>
      </c>
      <c r="L34" s="175">
        <f t="shared" si="0"/>
        <v>66396202981.540009</v>
      </c>
      <c r="M34" s="175">
        <f>K34/H34*100</f>
        <v>451.85164478795326</v>
      </c>
      <c r="N34" s="176"/>
      <c r="O34" s="174"/>
    </row>
    <row r="35" spans="1:15" ht="35.1" customHeight="1">
      <c r="A35" s="138"/>
      <c r="B35" s="139">
        <v>4</v>
      </c>
      <c r="C35" s="140">
        <v>1</v>
      </c>
      <c r="D35" s="140"/>
      <c r="E35" s="141" t="s">
        <v>1123</v>
      </c>
      <c r="F35" s="141"/>
      <c r="G35" s="142"/>
      <c r="H35" s="143">
        <f>SUM(H30:H34)</f>
        <v>2764969846799</v>
      </c>
      <c r="I35" s="143">
        <f>SUM(I30:I34)</f>
        <v>2950895463010.9702</v>
      </c>
      <c r="J35" s="143">
        <f>SUM(J30:J34)</f>
        <v>3669258351634</v>
      </c>
      <c r="K35" s="143">
        <f>SUM(K30:K34)</f>
        <v>6620153814644.9697</v>
      </c>
      <c r="L35" s="177">
        <f t="shared" si="0"/>
        <v>3855183967845.9697</v>
      </c>
      <c r="M35" s="178">
        <f t="shared" si="1"/>
        <v>239.42951212683599</v>
      </c>
      <c r="N35" s="140"/>
    </row>
    <row r="36" spans="1:15">
      <c r="A36" s="85"/>
      <c r="B36" s="85"/>
      <c r="C36" s="85"/>
      <c r="D36" s="85"/>
      <c r="E36" s="85"/>
      <c r="F36" s="85"/>
      <c r="G36" s="85"/>
      <c r="H36" s="112"/>
      <c r="I36" s="112"/>
      <c r="J36" s="160"/>
      <c r="K36" s="160"/>
      <c r="L36" s="160"/>
      <c r="M36" s="85"/>
      <c r="N36" s="85"/>
    </row>
    <row r="37" spans="1:15">
      <c r="A37" s="85"/>
      <c r="B37" s="85"/>
      <c r="C37" s="85"/>
      <c r="D37" s="85"/>
      <c r="E37" s="85"/>
      <c r="F37" s="85"/>
      <c r="G37" s="85"/>
      <c r="H37" s="112"/>
      <c r="I37" s="112"/>
      <c r="J37" s="160"/>
      <c r="K37" s="160"/>
      <c r="L37" s="160"/>
      <c r="M37" s="85"/>
      <c r="N37" s="85"/>
    </row>
    <row r="38" spans="1:15">
      <c r="A38" s="85"/>
      <c r="B38" s="85"/>
      <c r="C38" s="85"/>
      <c r="D38" s="85"/>
      <c r="E38" s="85"/>
      <c r="F38" s="85"/>
      <c r="G38" s="85"/>
      <c r="H38" s="112"/>
      <c r="I38" s="112"/>
      <c r="J38" s="160"/>
      <c r="K38" s="179"/>
      <c r="L38" s="160"/>
      <c r="M38" s="85"/>
      <c r="N38" s="85"/>
    </row>
    <row r="39" spans="1:15">
      <c r="A39" s="85"/>
      <c r="B39" s="85"/>
      <c r="C39" s="85"/>
      <c r="D39" s="85"/>
      <c r="E39" s="85"/>
      <c r="F39" s="85"/>
      <c r="G39" s="85"/>
      <c r="H39" s="112"/>
      <c r="I39" s="112"/>
      <c r="J39" s="160"/>
      <c r="K39" s="180"/>
      <c r="L39" s="160"/>
      <c r="M39" s="85"/>
      <c r="N39" s="85"/>
    </row>
    <row r="40" spans="1:15">
      <c r="A40" s="85"/>
      <c r="B40" s="85"/>
      <c r="C40" s="85"/>
      <c r="D40" s="85"/>
      <c r="E40" s="85"/>
      <c r="F40" s="85"/>
      <c r="G40" s="85"/>
      <c r="H40" s="112"/>
      <c r="I40" s="112"/>
      <c r="J40" s="160"/>
      <c r="K40" s="181"/>
      <c r="L40" s="160"/>
      <c r="M40" s="85"/>
      <c r="N40" s="85"/>
    </row>
    <row r="41" spans="1:15">
      <c r="A41" s="85"/>
      <c r="B41" s="85"/>
      <c r="C41" s="85"/>
      <c r="D41" s="85"/>
      <c r="E41" s="85"/>
      <c r="F41" s="85"/>
      <c r="G41" s="85"/>
      <c r="H41" s="112"/>
      <c r="I41" s="112"/>
      <c r="J41" s="160"/>
      <c r="K41" s="182"/>
      <c r="L41" s="160"/>
      <c r="M41" s="85"/>
      <c r="N41" s="85"/>
    </row>
    <row r="42" spans="1:15">
      <c r="A42" s="85"/>
      <c r="B42" s="85"/>
      <c r="C42" s="85"/>
      <c r="D42" s="85"/>
      <c r="E42" s="85"/>
      <c r="F42" s="85"/>
      <c r="G42" s="85"/>
      <c r="H42" s="112"/>
      <c r="I42" s="112"/>
      <c r="J42" s="160"/>
      <c r="K42" s="183"/>
      <c r="L42" s="160"/>
      <c r="M42" s="85"/>
      <c r="N42" s="85"/>
    </row>
    <row r="43" spans="1:15">
      <c r="A43" s="85"/>
      <c r="B43" s="85"/>
      <c r="C43" s="85"/>
      <c r="D43" s="85"/>
      <c r="E43" s="85"/>
      <c r="F43" s="85"/>
      <c r="G43" s="85"/>
      <c r="H43" s="112"/>
      <c r="I43" s="112"/>
      <c r="J43" s="160"/>
      <c r="K43" s="184"/>
      <c r="L43" s="160"/>
      <c r="M43" s="85"/>
      <c r="N43" s="85"/>
    </row>
    <row r="44" spans="1:15">
      <c r="A44" s="85"/>
      <c r="B44" s="85"/>
      <c r="C44" s="85"/>
      <c r="D44" s="85"/>
      <c r="E44" s="85"/>
      <c r="F44" s="85"/>
      <c r="G44" s="85"/>
      <c r="H44" s="112"/>
      <c r="I44" s="112"/>
      <c r="J44" s="160"/>
      <c r="K44" s="185"/>
      <c r="L44" s="160"/>
      <c r="M44" s="85"/>
      <c r="N44" s="85"/>
    </row>
    <row r="45" spans="1:15">
      <c r="A45" s="85"/>
      <c r="B45" s="85"/>
      <c r="C45" s="85"/>
      <c r="D45" s="85"/>
      <c r="E45" s="85"/>
      <c r="F45" s="85"/>
      <c r="G45" s="85"/>
      <c r="H45" s="112"/>
      <c r="I45" s="112"/>
      <c r="J45" s="160"/>
      <c r="K45" s="186"/>
      <c r="L45" s="160"/>
      <c r="M45" s="85"/>
      <c r="N45" s="85"/>
    </row>
    <row r="46" spans="1:15">
      <c r="A46" s="85"/>
      <c r="B46" s="85"/>
      <c r="C46" s="85"/>
      <c r="D46" s="85"/>
      <c r="E46" s="85"/>
      <c r="F46" s="85"/>
      <c r="G46" s="85"/>
      <c r="H46" s="112"/>
      <c r="I46" s="112"/>
      <c r="J46" s="160"/>
      <c r="K46" s="160"/>
      <c r="L46" s="160"/>
      <c r="M46" s="85"/>
      <c r="N46" s="85"/>
    </row>
    <row r="47" spans="1:15">
      <c r="A47" s="85"/>
      <c r="B47" s="85"/>
      <c r="C47" s="85"/>
      <c r="D47" s="85"/>
      <c r="E47" s="85"/>
      <c r="F47" s="85"/>
      <c r="G47" s="85"/>
      <c r="H47" s="112"/>
      <c r="I47" s="112"/>
      <c r="J47" s="160"/>
      <c r="K47" s="160"/>
      <c r="L47" s="160"/>
      <c r="M47" s="85"/>
      <c r="N47" s="85"/>
    </row>
    <row r="48" spans="1:15">
      <c r="A48" s="85"/>
      <c r="B48" s="85"/>
      <c r="C48" s="85"/>
      <c r="D48" s="85"/>
      <c r="E48" s="85"/>
      <c r="F48" s="85"/>
      <c r="G48" s="85"/>
      <c r="H48" s="112"/>
      <c r="I48" s="112"/>
      <c r="J48" s="160"/>
      <c r="K48" s="160"/>
      <c r="L48" s="160"/>
      <c r="M48" s="85"/>
      <c r="N48" s="85"/>
    </row>
    <row r="49" spans="1:14">
      <c r="A49" s="85"/>
      <c r="B49" s="85"/>
      <c r="C49" s="85"/>
      <c r="D49" s="85"/>
      <c r="E49" s="85"/>
      <c r="F49" s="85"/>
      <c r="G49" s="85"/>
      <c r="H49" s="112"/>
      <c r="I49" s="112"/>
      <c r="J49" s="160"/>
      <c r="K49" s="160"/>
      <c r="L49" s="160"/>
      <c r="M49" s="85"/>
      <c r="N49" s="85"/>
    </row>
    <row r="50" spans="1:14">
      <c r="A50" s="85"/>
      <c r="B50" s="85"/>
      <c r="C50" s="85"/>
      <c r="D50" s="85"/>
      <c r="E50" s="85"/>
      <c r="F50" s="85"/>
      <c r="G50" s="85"/>
      <c r="H50" s="112"/>
      <c r="I50" s="112"/>
      <c r="J50" s="160"/>
      <c r="K50" s="160"/>
      <c r="L50" s="160"/>
      <c r="M50" s="85"/>
      <c r="N50" s="85"/>
    </row>
    <row r="51" spans="1:14">
      <c r="A51" s="85"/>
      <c r="B51" s="85"/>
      <c r="C51" s="85"/>
      <c r="D51" s="85"/>
      <c r="E51" s="85"/>
      <c r="F51" s="85"/>
      <c r="G51" s="85"/>
      <c r="H51" s="112"/>
      <c r="I51" s="112"/>
      <c r="J51" s="160"/>
      <c r="K51" s="160"/>
      <c r="L51" s="160"/>
      <c r="M51" s="85"/>
      <c r="N51" s="85"/>
    </row>
    <row r="52" spans="1:14">
      <c r="A52" s="85"/>
      <c r="B52" s="85"/>
      <c r="C52" s="85"/>
      <c r="D52" s="85"/>
      <c r="E52" s="85"/>
      <c r="F52" s="85"/>
      <c r="G52" s="85"/>
      <c r="H52" s="112"/>
      <c r="I52" s="112"/>
      <c r="J52" s="160"/>
      <c r="K52" s="160"/>
      <c r="L52" s="160"/>
      <c r="M52" s="85"/>
      <c r="N52" s="85"/>
    </row>
    <row r="53" spans="1:14">
      <c r="A53" s="85"/>
      <c r="B53" s="85"/>
      <c r="C53" s="85"/>
      <c r="D53" s="85"/>
      <c r="E53" s="85"/>
      <c r="F53" s="85"/>
      <c r="G53" s="85"/>
      <c r="H53" s="112"/>
      <c r="I53" s="112"/>
      <c r="J53" s="160"/>
      <c r="K53" s="160"/>
      <c r="L53" s="160"/>
      <c r="M53" s="85"/>
      <c r="N53" s="85"/>
    </row>
    <row r="54" spans="1:14">
      <c r="A54" s="85"/>
      <c r="B54" s="85"/>
      <c r="C54" s="85"/>
      <c r="D54" s="85"/>
      <c r="E54" s="85"/>
      <c r="F54" s="85"/>
      <c r="G54" s="85"/>
      <c r="H54" s="112"/>
      <c r="I54" s="112"/>
      <c r="J54" s="160"/>
      <c r="K54" s="160"/>
      <c r="L54" s="160"/>
      <c r="M54" s="85"/>
      <c r="N54" s="85"/>
    </row>
    <row r="55" spans="1:14">
      <c r="A55" s="85"/>
      <c r="B55" s="85"/>
      <c r="C55" s="85"/>
      <c r="D55" s="85"/>
      <c r="E55" s="85"/>
      <c r="F55" s="85"/>
      <c r="G55" s="85"/>
      <c r="H55" s="112"/>
      <c r="I55" s="112"/>
      <c r="J55" s="160"/>
      <c r="K55" s="160"/>
      <c r="L55" s="160"/>
      <c r="M55" s="85"/>
      <c r="N55" s="85"/>
    </row>
    <row r="56" spans="1:14">
      <c r="A56" s="85"/>
      <c r="B56" s="85"/>
      <c r="C56" s="85"/>
      <c r="D56" s="85"/>
      <c r="E56" s="85"/>
      <c r="F56" s="85"/>
      <c r="G56" s="85"/>
      <c r="H56" s="112"/>
      <c r="I56" s="112"/>
      <c r="J56" s="160"/>
      <c r="K56" s="160"/>
      <c r="L56" s="160"/>
      <c r="M56" s="85"/>
      <c r="N56" s="85"/>
    </row>
    <row r="60" spans="1:14">
      <c r="A60" s="144" t="s">
        <v>1129</v>
      </c>
      <c r="B60" s="86"/>
      <c r="C60" s="86"/>
      <c r="D60" s="86"/>
      <c r="E60" s="86"/>
      <c r="F60" s="86"/>
      <c r="G60" s="86"/>
    </row>
    <row r="61" spans="1:14">
      <c r="A61" s="2780" t="s">
        <v>1130</v>
      </c>
      <c r="B61" s="86" t="s">
        <v>1131</v>
      </c>
      <c r="E61" s="86"/>
      <c r="F61" s="86"/>
      <c r="G61" s="86"/>
    </row>
    <row r="62" spans="1:14">
      <c r="A62" s="2780" t="s">
        <v>1130</v>
      </c>
      <c r="B62" s="86" t="s">
        <v>1132</v>
      </c>
      <c r="E62" s="86"/>
      <c r="F62" s="86"/>
      <c r="G62" s="86"/>
    </row>
    <row r="63" spans="1:14">
      <c r="A63" s="2780" t="s">
        <v>1130</v>
      </c>
      <c r="B63" s="86" t="s">
        <v>1133</v>
      </c>
      <c r="E63" s="86"/>
      <c r="F63" s="86"/>
      <c r="G63" s="86"/>
    </row>
    <row r="64" spans="1:14">
      <c r="A64" s="86"/>
      <c r="B64" s="145" t="s">
        <v>1134</v>
      </c>
      <c r="E64" s="145"/>
      <c r="F64" s="145"/>
      <c r="G64" s="145"/>
    </row>
    <row r="65" spans="1:7">
      <c r="A65" s="2780" t="s">
        <v>1130</v>
      </c>
      <c r="B65" s="86" t="s">
        <v>1135</v>
      </c>
      <c r="C65" s="86"/>
      <c r="D65" s="116"/>
      <c r="E65" s="86"/>
      <c r="F65" s="86"/>
      <c r="G65" s="86"/>
    </row>
    <row r="66" spans="1:7">
      <c r="A66" s="86"/>
      <c r="B66" s="2780" t="s">
        <v>50</v>
      </c>
      <c r="C66" s="86" t="s">
        <v>986</v>
      </c>
      <c r="D66" s="114"/>
      <c r="E66" s="86"/>
      <c r="F66" s="86"/>
      <c r="G66" s="86"/>
    </row>
    <row r="67" spans="1:7">
      <c r="A67" s="187"/>
      <c r="B67" s="2780" t="s">
        <v>50</v>
      </c>
      <c r="C67" s="86" t="s">
        <v>1136</v>
      </c>
      <c r="D67" s="187"/>
      <c r="E67" s="187"/>
      <c r="F67" s="187"/>
      <c r="G67" s="187"/>
    </row>
    <row r="68" spans="1:7">
      <c r="A68" s="188"/>
      <c r="B68" s="2780" t="s">
        <v>50</v>
      </c>
      <c r="C68" s="188" t="s">
        <v>557</v>
      </c>
      <c r="D68" s="188"/>
      <c r="E68" s="188"/>
      <c r="F68" s="188"/>
      <c r="G68" s="188"/>
    </row>
    <row r="69" spans="1:7">
      <c r="B69" s="2780" t="s">
        <v>50</v>
      </c>
      <c r="C69" s="84" t="s">
        <v>1098</v>
      </c>
    </row>
    <row r="70" spans="1:7">
      <c r="B70" s="2780" t="s">
        <v>50</v>
      </c>
      <c r="C70" s="84" t="s">
        <v>1137</v>
      </c>
    </row>
    <row r="71" spans="1:7">
      <c r="B71" s="2780" t="s">
        <v>50</v>
      </c>
      <c r="C71" s="84" t="s">
        <v>1138</v>
      </c>
    </row>
    <row r="72" spans="1:7">
      <c r="B72" s="2780" t="s">
        <v>50</v>
      </c>
      <c r="C72" s="84" t="s">
        <v>1139</v>
      </c>
    </row>
  </sheetData>
  <sheetProtection selectLockedCells="1" selectUnlockedCells="1"/>
  <mergeCells count="25">
    <mergeCell ref="E34:G34"/>
    <mergeCell ref="A5:A6"/>
    <mergeCell ref="A27:A28"/>
    <mergeCell ref="H5:H6"/>
    <mergeCell ref="H27:H28"/>
    <mergeCell ref="B27:D28"/>
    <mergeCell ref="E27:G28"/>
    <mergeCell ref="B5:D6"/>
    <mergeCell ref="E5:G6"/>
    <mergeCell ref="A23:N23"/>
    <mergeCell ref="A24:N24"/>
    <mergeCell ref="L26:N26"/>
    <mergeCell ref="I27:K27"/>
    <mergeCell ref="E31:G31"/>
    <mergeCell ref="L27:L28"/>
    <mergeCell ref="M27:M28"/>
    <mergeCell ref="N27:N28"/>
    <mergeCell ref="A1:N1"/>
    <mergeCell ref="A2:N2"/>
    <mergeCell ref="L4:N4"/>
    <mergeCell ref="I5:K5"/>
    <mergeCell ref="D21:G21"/>
    <mergeCell ref="L5:L6"/>
    <mergeCell ref="M5:M6"/>
    <mergeCell ref="N5:N6"/>
  </mergeCells>
  <pageMargins left="0.81458333333333299" right="0.196527777777778" top="0.70972222222222203" bottom="0.55069444444444404" header="0.51180555555555596" footer="0.51180555555555596"/>
  <pageSetup paperSize="5" scale="83" firstPageNumber="0" orientation="landscape" useFirstPageNumber="1" horizontalDpi="300" verticalDpi="300" r:id="rId1"/>
  <headerFooter alignWithMargins="0">
    <oddFooter>&amp;C&amp;6&amp;K02-049&amp;F&amp;T&amp;D</oddFooter>
  </headerFooter>
  <colBreaks count="1" manualBreakCount="1">
    <brk id="14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FFFF00"/>
  </sheetPr>
  <dimension ref="A1:R44"/>
  <sheetViews>
    <sheetView view="pageBreakPreview" topLeftCell="A22" zoomScale="86" zoomScaleSheetLayoutView="86" workbookViewId="0">
      <selection activeCell="L29" sqref="L29"/>
    </sheetView>
  </sheetViews>
  <sheetFormatPr defaultColWidth="9" defaultRowHeight="12.55"/>
  <cols>
    <col min="1" max="1" width="4.88671875" customWidth="1"/>
    <col min="2" max="3" width="3.109375" customWidth="1"/>
    <col min="4" max="4" width="3.5546875" customWidth="1"/>
    <col min="5" max="5" width="3.6640625" customWidth="1"/>
    <col min="7" max="7" width="11.44140625" customWidth="1"/>
    <col min="8" max="8" width="20.44140625" customWidth="1"/>
    <col min="9" max="9" width="21.109375" customWidth="1"/>
    <col min="10" max="10" width="19.44140625" customWidth="1"/>
    <col min="11" max="11" width="20.44140625" customWidth="1"/>
    <col min="12" max="12" width="21.5546875" customWidth="1"/>
    <col min="14" max="14" width="4.88671875" customWidth="1"/>
    <col min="15" max="15" width="18.5546875" customWidth="1"/>
    <col min="16" max="16" width="15" customWidth="1"/>
    <col min="17" max="17" width="14" customWidth="1"/>
    <col min="18" max="18" width="16.5546875" customWidth="1"/>
  </cols>
  <sheetData>
    <row r="1" spans="1:18" ht="18.8" hidden="1" customHeight="1">
      <c r="A1" s="5945" t="s">
        <v>1110</v>
      </c>
      <c r="B1" s="5945"/>
      <c r="C1" s="5945"/>
      <c r="D1" s="5945"/>
      <c r="E1" s="5945"/>
      <c r="F1" s="5945"/>
      <c r="G1" s="5945"/>
      <c r="H1" s="5945"/>
      <c r="I1" s="5945"/>
      <c r="J1" s="5945"/>
      <c r="K1" s="5945"/>
      <c r="L1" s="5945"/>
      <c r="M1" s="5945"/>
      <c r="N1" s="5945"/>
    </row>
    <row r="2" spans="1:18" ht="18.8" hidden="1" customHeight="1">
      <c r="A2" s="5945" t="e">
        <f>#REF!</f>
        <v>#REF!</v>
      </c>
      <c r="B2" s="5945"/>
      <c r="C2" s="5945"/>
      <c r="D2" s="5945"/>
      <c r="E2" s="5945"/>
      <c r="F2" s="5945"/>
      <c r="G2" s="5945"/>
      <c r="H2" s="5945"/>
      <c r="I2" s="5945"/>
      <c r="J2" s="5945"/>
      <c r="K2" s="5945"/>
      <c r="L2" s="5945"/>
      <c r="M2" s="5945"/>
      <c r="N2" s="5945"/>
    </row>
    <row r="3" spans="1:18" ht="18.8" hidden="1" customHeight="1">
      <c r="A3" s="2"/>
      <c r="B3" s="2"/>
      <c r="C3" s="2"/>
      <c r="D3" s="2"/>
      <c r="E3" s="3"/>
      <c r="F3" s="3"/>
      <c r="G3" s="4"/>
      <c r="H3" s="5"/>
      <c r="I3" s="5"/>
      <c r="J3" s="5"/>
      <c r="K3" s="5"/>
      <c r="L3" s="5"/>
      <c r="M3" s="5"/>
      <c r="N3" s="5"/>
    </row>
    <row r="4" spans="1:18" ht="23.95" hidden="1" customHeight="1">
      <c r="A4" s="6" t="s">
        <v>1111</v>
      </c>
      <c r="B4" s="6"/>
      <c r="C4" s="6"/>
      <c r="D4" s="6"/>
      <c r="E4" s="3"/>
      <c r="F4" s="3"/>
      <c r="G4" s="3"/>
      <c r="H4" s="3"/>
      <c r="I4" s="3"/>
      <c r="J4" s="3"/>
      <c r="K4" s="5"/>
      <c r="L4" s="5946"/>
      <c r="M4" s="5946"/>
      <c r="N4" s="5946"/>
    </row>
    <row r="5" spans="1:18" ht="23.95" hidden="1" customHeight="1">
      <c r="A5" s="5950" t="s">
        <v>937</v>
      </c>
      <c r="B5" s="5952" t="s">
        <v>1112</v>
      </c>
      <c r="C5" s="5953"/>
      <c r="D5" s="5954"/>
      <c r="E5" s="5952" t="s">
        <v>1113</v>
      </c>
      <c r="F5" s="5953"/>
      <c r="G5" s="5954"/>
      <c r="H5" s="5944" t="s">
        <v>1114</v>
      </c>
      <c r="I5" s="5944" t="s">
        <v>1115</v>
      </c>
      <c r="J5" s="5944"/>
      <c r="K5" s="5944"/>
      <c r="L5" s="5948" t="s">
        <v>1116</v>
      </c>
      <c r="M5" s="5944" t="s">
        <v>6</v>
      </c>
      <c r="N5" s="5944" t="s">
        <v>478</v>
      </c>
    </row>
    <row r="6" spans="1:18" ht="23.95" hidden="1" customHeight="1">
      <c r="A6" s="5951"/>
      <c r="B6" s="5955"/>
      <c r="C6" s="5956"/>
      <c r="D6" s="5957"/>
      <c r="E6" s="5955"/>
      <c r="F6" s="5956"/>
      <c r="G6" s="5957"/>
      <c r="H6" s="5944"/>
      <c r="I6" s="56" t="s">
        <v>1117</v>
      </c>
      <c r="J6" s="56" t="s">
        <v>1118</v>
      </c>
      <c r="K6" s="56" t="s">
        <v>1119</v>
      </c>
      <c r="L6" s="5949"/>
      <c r="M6" s="5944"/>
      <c r="N6" s="5944"/>
    </row>
    <row r="7" spans="1:18" ht="23.95" hidden="1" customHeight="1">
      <c r="A7" s="7" t="s">
        <v>1082</v>
      </c>
      <c r="B7" s="8">
        <v>6</v>
      </c>
      <c r="C7" s="8">
        <v>1</v>
      </c>
      <c r="D7" s="8">
        <v>1</v>
      </c>
      <c r="E7" s="9" t="s">
        <v>1120</v>
      </c>
      <c r="F7" s="9"/>
      <c r="G7" s="10"/>
      <c r="H7" s="11" t="e">
        <f>+'KOM opsi 1'!#REF!</f>
        <v>#REF!</v>
      </c>
      <c r="I7" s="11" t="e">
        <f>+'KOM opsi 1'!#REF!</f>
        <v>#REF!</v>
      </c>
      <c r="J7" s="11" t="e">
        <f>+'KOM opsi 1'!#REF!</f>
        <v>#REF!</v>
      </c>
      <c r="K7" s="11" t="e">
        <f>+J7+I7</f>
        <v>#REF!</v>
      </c>
      <c r="L7" s="57" t="e">
        <f>+K7-H7</f>
        <v>#REF!</v>
      </c>
      <c r="M7" s="57" t="e">
        <f>+K7/H7*100</f>
        <v>#REF!</v>
      </c>
      <c r="N7" s="58"/>
      <c r="O7" s="59"/>
    </row>
    <row r="8" spans="1:18" ht="26.15" hidden="1" customHeight="1">
      <c r="A8" s="12" t="s">
        <v>61</v>
      </c>
      <c r="B8" s="12">
        <v>4</v>
      </c>
      <c r="C8" s="12">
        <v>1</v>
      </c>
      <c r="D8" s="12">
        <v>2</v>
      </c>
      <c r="E8" s="13" t="s">
        <v>412</v>
      </c>
      <c r="F8" s="14"/>
      <c r="G8" s="15"/>
      <c r="H8" s="16" t="e">
        <f>#REF!</f>
        <v>#REF!</v>
      </c>
      <c r="I8" s="16">
        <f>'KOM opsi 1'!M44</f>
        <v>2868914276</v>
      </c>
      <c r="J8" s="16">
        <f>'KOM opsi 1'!N44</f>
        <v>1482279200</v>
      </c>
      <c r="K8" s="16">
        <f>'KOM opsi 1'!O44</f>
        <v>4448558476</v>
      </c>
      <c r="L8" s="60" t="e">
        <f>+K8-H8</f>
        <v>#REF!</v>
      </c>
      <c r="M8" s="61" t="e">
        <f>+K8/H8*100</f>
        <v>#REF!</v>
      </c>
      <c r="N8" s="62"/>
      <c r="O8" s="59"/>
      <c r="P8" s="63"/>
      <c r="Q8" s="63"/>
      <c r="R8" s="63"/>
    </row>
    <row r="9" spans="1:18" ht="26.15" hidden="1" customHeight="1">
      <c r="A9" s="17" t="s">
        <v>78</v>
      </c>
      <c r="B9" s="17">
        <v>4</v>
      </c>
      <c r="C9" s="17">
        <v>1</v>
      </c>
      <c r="D9" s="17">
        <v>3</v>
      </c>
      <c r="E9" s="18" t="s">
        <v>1121</v>
      </c>
      <c r="F9" s="19"/>
      <c r="G9" s="20"/>
      <c r="H9" s="21" t="e">
        <f>#REF!</f>
        <v>#REF!</v>
      </c>
      <c r="I9" s="21">
        <f>'KOM opsi 1'!M213</f>
        <v>0</v>
      </c>
      <c r="J9" s="21">
        <f>'KOM opsi 1'!N213</f>
        <v>0</v>
      </c>
      <c r="K9" s="64">
        <f>+J9+I9</f>
        <v>0</v>
      </c>
      <c r="L9" s="60" t="e">
        <f>+K9-H9</f>
        <v>#REF!</v>
      </c>
      <c r="M9" s="60" t="e">
        <f>+K9/H9*100</f>
        <v>#REF!</v>
      </c>
      <c r="N9" s="65"/>
      <c r="R9" s="59"/>
    </row>
    <row r="10" spans="1:18" ht="26.15" hidden="1" customHeight="1">
      <c r="A10" s="22" t="s">
        <v>100</v>
      </c>
      <c r="B10" s="22">
        <v>4</v>
      </c>
      <c r="C10" s="22">
        <v>1</v>
      </c>
      <c r="D10" s="22">
        <v>4</v>
      </c>
      <c r="E10" s="23" t="s">
        <v>1122</v>
      </c>
      <c r="F10" s="24"/>
      <c r="G10" s="25"/>
      <c r="H10" s="26" t="e">
        <f>#REF!+#REF!</f>
        <v>#REF!</v>
      </c>
      <c r="I10" s="26">
        <f>'KOM opsi 1'!M226</f>
        <v>30843632833.540001</v>
      </c>
      <c r="J10" s="26">
        <f>'KOM opsi 1'!N226</f>
        <v>19237073227.190002</v>
      </c>
      <c r="K10" s="66">
        <f>J10+I10</f>
        <v>50080706060.730003</v>
      </c>
      <c r="L10" s="60" t="e">
        <f>+K10-H10</f>
        <v>#REF!</v>
      </c>
      <c r="M10" s="67" t="e">
        <f>K10/H10*100</f>
        <v>#REF!</v>
      </c>
      <c r="N10" s="68"/>
    </row>
    <row r="11" spans="1:18" ht="23.95" hidden="1" customHeight="1">
      <c r="A11" s="27"/>
      <c r="B11" s="8">
        <v>4</v>
      </c>
      <c r="C11" s="28">
        <v>1</v>
      </c>
      <c r="D11" s="28"/>
      <c r="E11" s="29" t="s">
        <v>1123</v>
      </c>
      <c r="F11" s="29"/>
      <c r="G11" s="30"/>
      <c r="H11" s="31" t="e">
        <f>SUM(H8:H10)</f>
        <v>#REF!</v>
      </c>
      <c r="I11" s="31">
        <f>SUM(I8:I10)</f>
        <v>33712547109.540001</v>
      </c>
      <c r="J11" s="31">
        <f>SUM(J8:J10)</f>
        <v>20719352427.190002</v>
      </c>
      <c r="K11" s="31">
        <f>SUM(K8:K10)</f>
        <v>54529264536.730003</v>
      </c>
      <c r="L11" s="69" t="e">
        <f>+K11-H11</f>
        <v>#REF!</v>
      </c>
      <c r="M11" s="69" t="e">
        <f>+K11/H11*100</f>
        <v>#REF!</v>
      </c>
      <c r="N11" s="28"/>
    </row>
    <row r="12" spans="1:18" s="1" customFormat="1" ht="10.65" hidden="1">
      <c r="A12" s="32"/>
      <c r="B12" s="32"/>
      <c r="C12" s="32"/>
      <c r="D12" s="32"/>
      <c r="E12" s="32"/>
      <c r="F12" s="32"/>
      <c r="G12" s="32"/>
      <c r="H12" s="33" t="e">
        <f>H7-H11</f>
        <v>#REF!</v>
      </c>
      <c r="I12" s="33" t="e">
        <f>I7-I11</f>
        <v>#REF!</v>
      </c>
      <c r="J12" s="70" t="e">
        <f>J7-J11</f>
        <v>#REF!</v>
      </c>
      <c r="K12" s="70" t="e">
        <f>K7-K11</f>
        <v>#REF!</v>
      </c>
      <c r="L12" s="70" t="e">
        <f>L7-L11</f>
        <v>#REF!</v>
      </c>
      <c r="M12" s="32"/>
      <c r="N12" s="32"/>
    </row>
    <row r="13" spans="1:18" ht="15.05" hidden="1">
      <c r="A13" s="34"/>
      <c r="B13" s="35"/>
      <c r="C13" s="35"/>
      <c r="D13" s="35"/>
      <c r="E13" s="35"/>
      <c r="F13" s="35"/>
      <c r="G13" s="35"/>
      <c r="H13" s="36"/>
      <c r="I13" s="71"/>
      <c r="J13" s="72"/>
      <c r="K13" s="73"/>
      <c r="L13" s="34"/>
      <c r="M13" s="34"/>
      <c r="N13" s="34"/>
    </row>
    <row r="14" spans="1:18" ht="15.65" hidden="1">
      <c r="A14" s="34"/>
      <c r="B14" s="37"/>
      <c r="C14" s="37"/>
      <c r="D14" s="37"/>
      <c r="E14" s="37"/>
      <c r="F14" s="38"/>
      <c r="G14" s="39" t="s">
        <v>1124</v>
      </c>
      <c r="H14" s="40"/>
      <c r="I14" s="74"/>
      <c r="J14" s="38"/>
      <c r="K14" s="3"/>
      <c r="L14" s="75" t="str">
        <f>PerDinas!O1093</f>
        <v>Mataram,        Desember  2016</v>
      </c>
      <c r="M14" s="34"/>
      <c r="N14" s="34"/>
    </row>
    <row r="15" spans="1:18" ht="15.65" hidden="1">
      <c r="A15" s="34"/>
      <c r="B15" s="37"/>
      <c r="C15" s="37"/>
      <c r="D15" s="37"/>
      <c r="E15" s="37"/>
      <c r="F15" s="38"/>
      <c r="G15" s="41" t="s">
        <v>927</v>
      </c>
      <c r="H15" s="40"/>
      <c r="I15" s="40"/>
      <c r="J15" s="38"/>
      <c r="K15" s="3"/>
      <c r="L15" s="41"/>
      <c r="M15" s="34"/>
      <c r="N15" s="34"/>
    </row>
    <row r="16" spans="1:18" ht="15.65" hidden="1">
      <c r="A16" s="34"/>
      <c r="B16" s="37"/>
      <c r="C16" s="37"/>
      <c r="D16" s="37"/>
      <c r="E16" s="37"/>
      <c r="F16" s="38"/>
      <c r="G16" s="42" t="s">
        <v>929</v>
      </c>
      <c r="H16" s="43"/>
      <c r="I16" s="76"/>
      <c r="J16" s="38"/>
      <c r="K16" s="3"/>
      <c r="L16" s="41" t="e">
        <f>#REF!</f>
        <v>#REF!</v>
      </c>
      <c r="M16" s="34"/>
      <c r="N16" s="34"/>
    </row>
    <row r="17" spans="1:14" ht="15.65" hidden="1">
      <c r="A17" s="34"/>
      <c r="B17" s="37"/>
      <c r="C17" s="37"/>
      <c r="D17" s="37"/>
      <c r="E17" s="37"/>
      <c r="F17" s="38"/>
      <c r="G17" s="42"/>
      <c r="H17" s="43"/>
      <c r="I17" s="76"/>
      <c r="J17" s="38"/>
      <c r="K17" s="3"/>
      <c r="L17" s="38"/>
      <c r="M17" s="34"/>
      <c r="N17" s="34"/>
    </row>
    <row r="18" spans="1:14" ht="15.65" hidden="1">
      <c r="A18" s="34"/>
      <c r="B18" s="37"/>
      <c r="C18" s="37"/>
      <c r="D18" s="37"/>
      <c r="E18" s="37"/>
      <c r="F18" s="38"/>
      <c r="G18" s="39"/>
      <c r="H18" s="44"/>
      <c r="I18" s="40"/>
      <c r="J18" s="38"/>
      <c r="K18" s="3"/>
      <c r="L18" s="42"/>
      <c r="M18" s="34"/>
      <c r="N18" s="34"/>
    </row>
    <row r="19" spans="1:14" ht="15.65" hidden="1">
      <c r="A19" s="34"/>
      <c r="B19" s="37"/>
      <c r="C19" s="37"/>
      <c r="D19" s="37"/>
      <c r="E19" s="37"/>
      <c r="F19" s="38"/>
      <c r="G19" s="45" t="s">
        <v>1125</v>
      </c>
      <c r="H19" s="44"/>
      <c r="I19" s="77"/>
      <c r="J19" s="38"/>
      <c r="K19" s="3"/>
      <c r="L19" s="45" t="e">
        <f>#REF!</f>
        <v>#REF!</v>
      </c>
      <c r="M19" s="34"/>
      <c r="N19" s="34"/>
    </row>
    <row r="20" spans="1:14" ht="15.65" hidden="1">
      <c r="A20" s="34"/>
      <c r="B20" s="37"/>
      <c r="C20" s="37"/>
      <c r="D20" s="37"/>
      <c r="E20" s="37"/>
      <c r="F20" s="38"/>
      <c r="G20" s="46" t="s">
        <v>1126</v>
      </c>
      <c r="H20" s="40"/>
      <c r="I20" s="40"/>
      <c r="J20" s="38"/>
      <c r="K20" s="2"/>
      <c r="L20" s="46" t="e">
        <f>#REF!</f>
        <v>#REF!</v>
      </c>
      <c r="M20" s="34"/>
      <c r="N20" s="34"/>
    </row>
    <row r="21" spans="1:14" ht="15.65" hidden="1">
      <c r="A21" s="34"/>
      <c r="B21" s="37"/>
      <c r="C21" s="37"/>
      <c r="D21" s="5947"/>
      <c r="E21" s="5947"/>
      <c r="F21" s="5947"/>
      <c r="G21" s="5947"/>
      <c r="H21" s="37"/>
      <c r="I21" s="3"/>
      <c r="J21" s="3"/>
      <c r="K21" s="3"/>
      <c r="L21" s="38"/>
      <c r="M21" s="34"/>
      <c r="N21" s="34"/>
    </row>
    <row r="22" spans="1:14" ht="15.65">
      <c r="A22" s="47"/>
      <c r="B22" s="48"/>
      <c r="C22" s="48"/>
      <c r="D22" s="48"/>
      <c r="E22" s="48"/>
      <c r="F22" s="49"/>
      <c r="G22" s="48"/>
      <c r="H22" s="48"/>
      <c r="I22" s="78"/>
      <c r="J22" s="78"/>
      <c r="K22" s="78"/>
      <c r="L22" s="79"/>
      <c r="M22" s="47"/>
      <c r="N22" s="47"/>
    </row>
    <row r="23" spans="1:14" ht="15.65">
      <c r="A23" s="5945" t="s">
        <v>1110</v>
      </c>
      <c r="B23" s="5945"/>
      <c r="C23" s="5945"/>
      <c r="D23" s="5945"/>
      <c r="E23" s="5945"/>
      <c r="F23" s="5945"/>
      <c r="G23" s="5945"/>
      <c r="H23" s="5945"/>
      <c r="I23" s="5945"/>
      <c r="J23" s="5945"/>
      <c r="K23" s="5945"/>
      <c r="L23" s="5945"/>
      <c r="M23" s="5945"/>
      <c r="N23" s="5945"/>
    </row>
    <row r="24" spans="1:14" ht="15.65">
      <c r="A24" s="5945" t="e">
        <f>A2</f>
        <v>#REF!</v>
      </c>
      <c r="B24" s="5945"/>
      <c r="C24" s="5945"/>
      <c r="D24" s="5945"/>
      <c r="E24" s="5945"/>
      <c r="F24" s="5945"/>
      <c r="G24" s="5945"/>
      <c r="H24" s="5945"/>
      <c r="I24" s="5945"/>
      <c r="J24" s="5945"/>
      <c r="K24" s="5945"/>
      <c r="L24" s="5945"/>
      <c r="M24" s="5945"/>
      <c r="N24" s="5945"/>
    </row>
    <row r="25" spans="1:14" ht="14.4">
      <c r="A25" s="2"/>
      <c r="B25" s="2"/>
      <c r="C25" s="2"/>
      <c r="D25" s="2"/>
      <c r="E25" s="3"/>
      <c r="F25" s="3"/>
      <c r="G25" s="4"/>
      <c r="H25" s="5"/>
      <c r="I25" s="5"/>
      <c r="J25" s="5"/>
      <c r="K25" s="5"/>
      <c r="L25" s="5"/>
      <c r="M25" s="5"/>
      <c r="N25" s="5"/>
    </row>
    <row r="26" spans="1:14" ht="15.65">
      <c r="A26" s="6" t="s">
        <v>1111</v>
      </c>
      <c r="B26" s="6"/>
      <c r="C26" s="6"/>
      <c r="D26" s="6"/>
      <c r="E26" s="3"/>
      <c r="F26" s="3"/>
      <c r="G26" s="3"/>
      <c r="H26" s="3"/>
      <c r="I26" s="3"/>
      <c r="J26" s="3"/>
      <c r="K26" s="5"/>
      <c r="L26" s="5958" t="s">
        <v>1140</v>
      </c>
      <c r="M26" s="5958"/>
      <c r="N26" s="5958"/>
    </row>
    <row r="27" spans="1:14" ht="21" customHeight="1">
      <c r="A27" s="5950" t="s">
        <v>937</v>
      </c>
      <c r="B27" s="5952" t="str">
        <f>REKAP!B27</f>
        <v>KODE REK.</v>
      </c>
      <c r="C27" s="5953"/>
      <c r="D27" s="5954"/>
      <c r="E27" s="5952" t="str">
        <f>REKAP!E27</f>
        <v>URAIAN</v>
      </c>
      <c r="F27" s="5953"/>
      <c r="G27" s="5954"/>
      <c r="H27" s="5944" t="str">
        <f>REKAP!H27</f>
        <v>TARGET 2017</v>
      </c>
      <c r="I27" s="5944" t="s">
        <v>5</v>
      </c>
      <c r="J27" s="5944"/>
      <c r="K27" s="5944"/>
      <c r="L27" s="5948" t="s">
        <v>1128</v>
      </c>
      <c r="M27" s="5944" t="s">
        <v>6</v>
      </c>
      <c r="N27" s="5944" t="s">
        <v>478</v>
      </c>
    </row>
    <row r="28" spans="1:14" ht="21" customHeight="1">
      <c r="A28" s="5951"/>
      <c r="B28" s="5955"/>
      <c r="C28" s="5956"/>
      <c r="D28" s="5957"/>
      <c r="E28" s="5955"/>
      <c r="F28" s="5956"/>
      <c r="G28" s="5957"/>
      <c r="H28" s="5944"/>
      <c r="I28" s="56" t="s">
        <v>479</v>
      </c>
      <c r="J28" s="56" t="s">
        <v>433</v>
      </c>
      <c r="K28" s="56" t="s">
        <v>434</v>
      </c>
      <c r="L28" s="5949"/>
      <c r="M28" s="5944"/>
      <c r="N28" s="5944"/>
    </row>
    <row r="29" spans="1:14" ht="21" customHeight="1">
      <c r="A29" s="7" t="s">
        <v>1082</v>
      </c>
      <c r="B29" s="8">
        <v>6</v>
      </c>
      <c r="C29" s="8">
        <v>1</v>
      </c>
      <c r="D29" s="8">
        <v>1</v>
      </c>
      <c r="E29" s="9" t="s">
        <v>1120</v>
      </c>
      <c r="F29" s="9"/>
      <c r="G29" s="10"/>
      <c r="H29" s="11" t="e">
        <f>'KOM opsi 1'!#REF!</f>
        <v>#REF!</v>
      </c>
      <c r="I29" s="11" t="e">
        <f>'KOM opsi 1'!#REF!</f>
        <v>#REF!</v>
      </c>
      <c r="J29" s="11" t="e">
        <f>'KOM opsi 1'!#REF!</f>
        <v>#REF!</v>
      </c>
      <c r="K29" s="11" t="e">
        <f>'KOM opsi 1'!#REF!</f>
        <v>#REF!</v>
      </c>
      <c r="L29" s="57" t="e">
        <f t="shared" ref="L29:L34" si="0">+K29-H29</f>
        <v>#REF!</v>
      </c>
      <c r="M29" s="57" t="e">
        <f>+K29/H29*100</f>
        <v>#REF!</v>
      </c>
      <c r="N29" s="58"/>
    </row>
    <row r="30" spans="1:14" ht="21" customHeight="1">
      <c r="A30" s="12" t="s">
        <v>61</v>
      </c>
      <c r="B30" s="12">
        <v>4</v>
      </c>
      <c r="C30" s="12">
        <v>1</v>
      </c>
      <c r="D30" s="12">
        <v>2</v>
      </c>
      <c r="E30" s="13" t="s">
        <v>412</v>
      </c>
      <c r="F30" s="14"/>
      <c r="G30" s="15"/>
      <c r="H30" s="16" t="e">
        <f>#REF!</f>
        <v>#REF!</v>
      </c>
      <c r="I30" s="16" t="e">
        <f>#REF!</f>
        <v>#REF!</v>
      </c>
      <c r="J30" s="16" t="e">
        <f>#REF!</f>
        <v>#REF!</v>
      </c>
      <c r="K30" s="21" t="e">
        <f>J30+I30</f>
        <v>#REF!</v>
      </c>
      <c r="L30" s="60" t="e">
        <f t="shared" si="0"/>
        <v>#REF!</v>
      </c>
      <c r="M30" s="61" t="e">
        <f>+K30/H30*100</f>
        <v>#REF!</v>
      </c>
      <c r="N30" s="62"/>
    </row>
    <row r="31" spans="1:14" ht="21" customHeight="1">
      <c r="A31" s="17" t="s">
        <v>78</v>
      </c>
      <c r="B31" s="17">
        <v>4</v>
      </c>
      <c r="C31" s="17">
        <v>1</v>
      </c>
      <c r="D31" s="17">
        <v>3</v>
      </c>
      <c r="E31" s="18" t="s">
        <v>1121</v>
      </c>
      <c r="F31" s="19"/>
      <c r="G31" s="20"/>
      <c r="H31" s="21" t="e">
        <f>#REF!</f>
        <v>#REF!</v>
      </c>
      <c r="I31" s="21" t="e">
        <f>#REF!</f>
        <v>#REF!</v>
      </c>
      <c r="J31" s="21" t="e">
        <f>#REF!</f>
        <v>#REF!</v>
      </c>
      <c r="K31" s="21" t="e">
        <f>J31+I31</f>
        <v>#REF!</v>
      </c>
      <c r="L31" s="60" t="e">
        <f t="shared" si="0"/>
        <v>#REF!</v>
      </c>
      <c r="M31" s="60" t="e">
        <f>+K31/H31*100</f>
        <v>#REF!</v>
      </c>
      <c r="N31" s="65"/>
    </row>
    <row r="32" spans="1:14" ht="21" customHeight="1">
      <c r="A32" s="50" t="s">
        <v>100</v>
      </c>
      <c r="B32" s="50">
        <v>4</v>
      </c>
      <c r="C32" s="50">
        <v>1</v>
      </c>
      <c r="D32" s="50">
        <v>4</v>
      </c>
      <c r="E32" s="51" t="s">
        <v>1122</v>
      </c>
      <c r="F32" s="52"/>
      <c r="G32" s="53"/>
      <c r="H32" s="54" t="e">
        <f>#REF!</f>
        <v>#REF!</v>
      </c>
      <c r="I32" s="54" t="e">
        <f>#REF!</f>
        <v>#REF!</v>
      </c>
      <c r="J32" s="54" t="e">
        <f>#REF!</f>
        <v>#REF!</v>
      </c>
      <c r="K32" s="21" t="e">
        <f>J32+I32</f>
        <v>#REF!</v>
      </c>
      <c r="L32" s="67" t="e">
        <f t="shared" si="0"/>
        <v>#REF!</v>
      </c>
      <c r="M32" s="67" t="e">
        <f>K32/H32*100</f>
        <v>#REF!</v>
      </c>
      <c r="N32" s="68"/>
    </row>
    <row r="33" spans="1:14" ht="31.5" customHeight="1">
      <c r="A33" s="55">
        <v>4</v>
      </c>
      <c r="B33" s="22">
        <v>4</v>
      </c>
      <c r="C33" s="22">
        <v>3</v>
      </c>
      <c r="D33" s="22">
        <v>1</v>
      </c>
      <c r="E33" s="5959" t="s">
        <v>130</v>
      </c>
      <c r="F33" s="5960"/>
      <c r="G33" s="5961"/>
      <c r="H33" s="26" t="e">
        <f>#REF!</f>
        <v>#REF!</v>
      </c>
      <c r="I33" s="26" t="e">
        <f>#REF!</f>
        <v>#REF!</v>
      </c>
      <c r="J33" s="26" t="e">
        <f>#REF!</f>
        <v>#REF!</v>
      </c>
      <c r="K33" s="80" t="e">
        <f>J33+I33</f>
        <v>#REF!</v>
      </c>
      <c r="L33" s="67" t="e">
        <f t="shared" si="0"/>
        <v>#REF!</v>
      </c>
      <c r="M33" s="67" t="e">
        <f>K33/H33*100</f>
        <v>#REF!</v>
      </c>
      <c r="N33" s="81"/>
    </row>
    <row r="34" spans="1:14" ht="21" customHeight="1">
      <c r="A34" s="27"/>
      <c r="B34" s="8">
        <v>4</v>
      </c>
      <c r="C34" s="28">
        <v>1</v>
      </c>
      <c r="D34" s="28"/>
      <c r="E34" s="29" t="s">
        <v>1123</v>
      </c>
      <c r="F34" s="29"/>
      <c r="G34" s="30"/>
      <c r="H34" s="31" t="e">
        <f>SUM(H30:H33)</f>
        <v>#REF!</v>
      </c>
      <c r="I34" s="31" t="e">
        <f>SUM(I30:I32)</f>
        <v>#REF!</v>
      </c>
      <c r="J34" s="31" t="e">
        <f>SUM(J30:J33)</f>
        <v>#REF!</v>
      </c>
      <c r="K34" s="31" t="e">
        <f>SUM(K30:K33)</f>
        <v>#REF!</v>
      </c>
      <c r="L34" s="69" t="e">
        <f t="shared" si="0"/>
        <v>#REF!</v>
      </c>
      <c r="M34" s="69" t="e">
        <f>+K34/H34*100</f>
        <v>#REF!</v>
      </c>
      <c r="N34" s="28"/>
    </row>
    <row r="35" spans="1:14">
      <c r="A35" s="32"/>
      <c r="B35" s="32"/>
      <c r="C35" s="32"/>
      <c r="D35" s="32"/>
      <c r="E35" s="32"/>
      <c r="F35" s="32"/>
      <c r="G35" s="32"/>
      <c r="H35" s="33" t="e">
        <f>H29-H34</f>
        <v>#REF!</v>
      </c>
      <c r="I35" s="33" t="e">
        <f>I29-I34</f>
        <v>#REF!</v>
      </c>
      <c r="J35" s="70" t="e">
        <f>J29-J34</f>
        <v>#REF!</v>
      </c>
      <c r="K35" s="70" t="e">
        <f>K29-K34</f>
        <v>#REF!</v>
      </c>
      <c r="L35" s="70" t="e">
        <f>L29-L34</f>
        <v>#REF!</v>
      </c>
      <c r="M35" s="32"/>
      <c r="N35" s="32"/>
    </row>
    <row r="36" spans="1:14" ht="15.05">
      <c r="A36" s="34"/>
      <c r="B36" s="35"/>
      <c r="C36" s="35"/>
      <c r="D36" s="35"/>
      <c r="E36" s="35"/>
      <c r="F36" s="35"/>
      <c r="G36" s="35"/>
      <c r="H36" s="36"/>
      <c r="I36" s="71"/>
      <c r="J36" s="72"/>
      <c r="K36" s="73"/>
      <c r="L36" s="34"/>
      <c r="M36" s="34"/>
      <c r="N36" s="34"/>
    </row>
    <row r="37" spans="1:14" ht="15.65">
      <c r="A37" s="34"/>
      <c r="B37" s="37"/>
      <c r="C37" s="37"/>
      <c r="D37" s="37"/>
      <c r="E37" s="37"/>
      <c r="F37" s="38"/>
      <c r="G37" s="39" t="s">
        <v>1124</v>
      </c>
      <c r="H37" s="40"/>
      <c r="I37" s="74"/>
      <c r="J37" s="38"/>
      <c r="K37" s="3"/>
      <c r="L37" s="75" t="str">
        <f t="shared" ref="L37:L43" si="1">L14</f>
        <v>Mataram,        Desember  2016</v>
      </c>
      <c r="M37" s="34"/>
      <c r="N37" s="34"/>
    </row>
    <row r="38" spans="1:14" ht="15.65">
      <c r="A38" s="34"/>
      <c r="B38" s="37"/>
      <c r="C38" s="37"/>
      <c r="D38" s="37"/>
      <c r="E38" s="37"/>
      <c r="F38" s="38"/>
      <c r="G38" s="41" t="s">
        <v>927</v>
      </c>
      <c r="H38" s="40"/>
      <c r="I38" s="40"/>
      <c r="J38" s="38"/>
      <c r="K38" s="3"/>
      <c r="L38" s="41"/>
      <c r="M38" s="34"/>
      <c r="N38" s="34"/>
    </row>
    <row r="39" spans="1:14" ht="15.65">
      <c r="A39" s="34"/>
      <c r="B39" s="37"/>
      <c r="C39" s="37"/>
      <c r="D39" s="37"/>
      <c r="E39" s="37"/>
      <c r="F39" s="38"/>
      <c r="G39" s="42" t="s">
        <v>929</v>
      </c>
      <c r="H39" s="43"/>
      <c r="I39" s="76"/>
      <c r="J39" s="38"/>
      <c r="K39" s="3"/>
      <c r="L39" s="41" t="e">
        <f t="shared" si="1"/>
        <v>#REF!</v>
      </c>
      <c r="M39" s="34"/>
      <c r="N39" s="34"/>
    </row>
    <row r="40" spans="1:14" ht="15.65">
      <c r="A40" s="34"/>
      <c r="B40" s="37"/>
      <c r="C40" s="37"/>
      <c r="D40" s="37"/>
      <c r="E40" s="37"/>
      <c r="F40" s="38"/>
      <c r="G40" s="42"/>
      <c r="H40" s="43"/>
      <c r="I40" s="76"/>
      <c r="J40" s="38"/>
      <c r="K40" s="3"/>
      <c r="L40" s="38"/>
      <c r="M40" s="34"/>
      <c r="N40" s="34"/>
    </row>
    <row r="41" spans="1:14" ht="15.65">
      <c r="A41" s="34"/>
      <c r="B41" s="37"/>
      <c r="C41" s="37"/>
      <c r="D41" s="37"/>
      <c r="E41" s="37"/>
      <c r="F41" s="38"/>
      <c r="G41" s="39"/>
      <c r="H41" s="44"/>
      <c r="I41" s="40"/>
      <c r="J41" s="38"/>
      <c r="K41" s="3"/>
      <c r="L41" s="42"/>
      <c r="M41" s="34"/>
      <c r="N41" s="34"/>
    </row>
    <row r="42" spans="1:14" ht="15.65">
      <c r="A42" s="34"/>
      <c r="B42" s="37"/>
      <c r="C42" s="37"/>
      <c r="D42" s="37"/>
      <c r="E42" s="37"/>
      <c r="F42" s="38"/>
      <c r="G42" s="45" t="s">
        <v>1125</v>
      </c>
      <c r="H42" s="44"/>
      <c r="I42" s="77"/>
      <c r="J42" s="38"/>
      <c r="K42" s="3"/>
      <c r="L42" s="45" t="e">
        <f t="shared" si="1"/>
        <v>#REF!</v>
      </c>
      <c r="M42" s="34"/>
      <c r="N42" s="34"/>
    </row>
    <row r="43" spans="1:14" ht="15.65">
      <c r="A43" s="34"/>
      <c r="B43" s="37"/>
      <c r="C43" s="37"/>
      <c r="D43" s="37"/>
      <c r="E43" s="37"/>
      <c r="F43" s="38"/>
      <c r="G43" s="46" t="s">
        <v>1126</v>
      </c>
      <c r="H43" s="40"/>
      <c r="I43" s="40"/>
      <c r="J43" s="38"/>
      <c r="K43" s="2"/>
      <c r="L43" s="46" t="e">
        <f t="shared" si="1"/>
        <v>#REF!</v>
      </c>
      <c r="M43" s="34"/>
      <c r="N43" s="34"/>
    </row>
    <row r="44" spans="1:14" ht="15.65">
      <c r="A44" s="34"/>
      <c r="B44" s="37"/>
      <c r="C44" s="37"/>
      <c r="D44" s="5947"/>
      <c r="E44" s="5947"/>
      <c r="F44" s="5947"/>
      <c r="G44" s="5947"/>
      <c r="H44" s="37"/>
      <c r="I44" s="3"/>
      <c r="J44" s="3"/>
      <c r="K44" s="3"/>
      <c r="L44" s="38"/>
      <c r="M44" s="34"/>
      <c r="N44" s="34"/>
    </row>
  </sheetData>
  <sheetProtection selectLockedCells="1" selectUnlockedCells="1"/>
  <mergeCells count="25">
    <mergeCell ref="D44:G44"/>
    <mergeCell ref="A5:A6"/>
    <mergeCell ref="A27:A28"/>
    <mergeCell ref="H5:H6"/>
    <mergeCell ref="H27:H28"/>
    <mergeCell ref="B27:D28"/>
    <mergeCell ref="E27:G28"/>
    <mergeCell ref="B5:D6"/>
    <mergeCell ref="E5:G6"/>
    <mergeCell ref="A23:N23"/>
    <mergeCell ref="A24:N24"/>
    <mergeCell ref="L26:N26"/>
    <mergeCell ref="I27:K27"/>
    <mergeCell ref="E33:G33"/>
    <mergeCell ref="L27:L28"/>
    <mergeCell ref="M27:M28"/>
    <mergeCell ref="N27:N28"/>
    <mergeCell ref="A1:N1"/>
    <mergeCell ref="A2:N2"/>
    <mergeCell ref="L4:N4"/>
    <mergeCell ref="I5:K5"/>
    <mergeCell ref="D21:G21"/>
    <mergeCell ref="L5:L6"/>
    <mergeCell ref="M5:M6"/>
    <mergeCell ref="N5:N6"/>
  </mergeCells>
  <pageMargins left="0.66874999999999996" right="0.196527777777778" top="0.98402777777777795" bottom="0.98402777777777795" header="0.51180555555555596" footer="0.51180555555555596"/>
  <pageSetup paperSize="258" firstPageNumber="0" orientation="landscape" useFirstPageNumber="1" horizontalDpi="300" verticalDpi="300" r:id="rId1"/>
  <headerFooter alignWithMargins="0">
    <oddFooter>&amp;C&amp;6&amp;K02-049&amp;F&amp;T&amp;D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25" sqref="F25"/>
    </sheetView>
  </sheetViews>
  <sheetFormatPr defaultRowHeight="13.15"/>
  <cols>
    <col min="1" max="1" width="5" style="5171" customWidth="1"/>
    <col min="2" max="2" width="42.5546875" customWidth="1"/>
    <col min="3" max="3" width="17.44140625" style="786" bestFit="1" customWidth="1"/>
    <col min="4" max="4" width="18" style="786" customWidth="1"/>
    <col min="5" max="5" width="15.88671875" style="786" bestFit="1" customWidth="1"/>
    <col min="6" max="6" width="15.44140625" style="5172" customWidth="1"/>
    <col min="7" max="7" width="17.33203125" style="5172" customWidth="1"/>
  </cols>
  <sheetData>
    <row r="1" spans="1:7" ht="25.05">
      <c r="A1" s="5962" t="s">
        <v>1263</v>
      </c>
      <c r="B1" s="5962"/>
      <c r="C1" s="5962"/>
      <c r="D1" s="5962"/>
      <c r="E1" s="5962"/>
      <c r="F1" s="5962"/>
      <c r="G1" s="5962"/>
    </row>
    <row r="3" spans="1:7" s="5174" customFormat="1" ht="28.8">
      <c r="A3" s="5195" t="s">
        <v>1257</v>
      </c>
      <c r="B3" s="5195" t="s">
        <v>1258</v>
      </c>
      <c r="C3" s="5196" t="s">
        <v>1259</v>
      </c>
      <c r="D3" s="5196" t="s">
        <v>1260</v>
      </c>
      <c r="E3" s="5196" t="s">
        <v>477</v>
      </c>
      <c r="F3" s="5197" t="s">
        <v>1261</v>
      </c>
      <c r="G3" s="5197" t="s">
        <v>1262</v>
      </c>
    </row>
    <row r="4" spans="1:7" s="2081" customFormat="1" ht="15.05">
      <c r="A4" s="5191"/>
      <c r="B4" s="5192" t="s">
        <v>1240</v>
      </c>
      <c r="C4" s="5193">
        <f>C5+C11+C16</f>
        <v>3949995110733.9697</v>
      </c>
      <c r="D4" s="5193">
        <f>D5+D11+D16</f>
        <v>4838907185241</v>
      </c>
      <c r="E4" s="5193">
        <f>D4-C4</f>
        <v>888912074507.03027</v>
      </c>
      <c r="F4" s="5194">
        <f>E4/C4*100</f>
        <v>22.504131007439572</v>
      </c>
      <c r="G4" s="5194"/>
    </row>
    <row r="5" spans="1:7" s="5173" customFormat="1">
      <c r="A5" s="5176">
        <v>1</v>
      </c>
      <c r="B5" s="5177" t="s">
        <v>180</v>
      </c>
      <c r="C5" s="5178">
        <f>SUM(C6:C9)</f>
        <v>1359842331828.97</v>
      </c>
      <c r="D5" s="5178">
        <f>SUM(D6:D9)</f>
        <v>1541880058011</v>
      </c>
      <c r="E5" s="5178">
        <f t="shared" ref="E5:E21" si="0">D5-C5</f>
        <v>182037726182.03003</v>
      </c>
      <c r="F5" s="5179">
        <f t="shared" ref="F5:F21" si="1">E5/C5*100</f>
        <v>13.386678876012907</v>
      </c>
      <c r="G5" s="5179">
        <v>5.19</v>
      </c>
    </row>
    <row r="6" spans="1:7">
      <c r="A6" s="5175"/>
      <c r="B6" s="5180" t="s">
        <v>1141</v>
      </c>
      <c r="C6" s="5181">
        <v>1003260953668</v>
      </c>
      <c r="D6" s="5181">
        <f>'Kom Kua PPAS'!P12</f>
        <v>1140499313935</v>
      </c>
      <c r="E6" s="5181">
        <f t="shared" si="0"/>
        <v>137238360267</v>
      </c>
      <c r="F6" s="5182">
        <f t="shared" si="1"/>
        <v>13.679228695709316</v>
      </c>
      <c r="G6" s="5182"/>
    </row>
    <row r="7" spans="1:7">
      <c r="A7" s="5175"/>
      <c r="B7" s="5180" t="s">
        <v>106</v>
      </c>
      <c r="C7" s="5181">
        <v>29791594549</v>
      </c>
      <c r="D7" s="5181">
        <f>'Kom Kua PPAS'!P43</f>
        <v>18259089000</v>
      </c>
      <c r="E7" s="5181">
        <f t="shared" si="0"/>
        <v>-11532505549</v>
      </c>
      <c r="F7" s="5182">
        <f t="shared" si="1"/>
        <v>-38.710601844529691</v>
      </c>
      <c r="G7" s="5182"/>
    </row>
    <row r="8" spans="1:7">
      <c r="A8" s="5175"/>
      <c r="B8" s="5180" t="s">
        <v>1090</v>
      </c>
      <c r="C8" s="5181">
        <v>72827611744</v>
      </c>
      <c r="D8" s="5181">
        <f>'Kom Kua PPAS'!P217</f>
        <v>93009585651</v>
      </c>
      <c r="E8" s="5181">
        <f t="shared" si="0"/>
        <v>20181973907</v>
      </c>
      <c r="F8" s="5182">
        <f t="shared" si="1"/>
        <v>27.711980969446959</v>
      </c>
      <c r="G8" s="5182"/>
    </row>
    <row r="9" spans="1:7">
      <c r="A9" s="5175"/>
      <c r="B9" s="5180" t="s">
        <v>71</v>
      </c>
      <c r="C9" s="5181">
        <v>253962171867.97003</v>
      </c>
      <c r="D9" s="5181">
        <f>'Kom Kua PPAS'!P230</f>
        <v>290112069425</v>
      </c>
      <c r="E9" s="5181">
        <f t="shared" si="0"/>
        <v>36149897557.029968</v>
      </c>
      <c r="F9" s="5182">
        <f t="shared" si="1"/>
        <v>14.234363051448303</v>
      </c>
      <c r="G9" s="5182"/>
    </row>
    <row r="10" spans="1:7">
      <c r="A10" s="5175"/>
      <c r="B10" s="5183"/>
      <c r="C10" s="5181"/>
      <c r="D10" s="5181"/>
      <c r="E10" s="5181"/>
      <c r="F10" s="5182"/>
      <c r="G10" s="5182"/>
    </row>
    <row r="11" spans="1:7">
      <c r="A11" s="5175">
        <v>2</v>
      </c>
      <c r="B11" s="5184" t="s">
        <v>236</v>
      </c>
      <c r="C11" s="5181">
        <f>SUM(C12:C14)</f>
        <v>2583032589905</v>
      </c>
      <c r="D11" s="5181">
        <f>SUM(D12:D14)</f>
        <v>3211428669330</v>
      </c>
      <c r="E11" s="5181">
        <f t="shared" si="0"/>
        <v>628396079425</v>
      </c>
      <c r="F11" s="5182">
        <f t="shared" si="1"/>
        <v>24.327841695876995</v>
      </c>
      <c r="G11" s="5182"/>
    </row>
    <row r="12" spans="1:7">
      <c r="A12" s="5175"/>
      <c r="B12" s="5185" t="s">
        <v>1102</v>
      </c>
      <c r="C12" s="5181">
        <v>375036424549</v>
      </c>
      <c r="D12" s="5181">
        <f>'Kom Kua PPAS'!P408</f>
        <v>328125684600</v>
      </c>
      <c r="E12" s="5181">
        <f t="shared" si="0"/>
        <v>-46910739949</v>
      </c>
      <c r="F12" s="5182">
        <f t="shared" si="1"/>
        <v>-12.508315693712285</v>
      </c>
      <c r="G12" s="5182"/>
    </row>
    <row r="13" spans="1:7">
      <c r="A13" s="5175"/>
      <c r="B13" s="5185" t="s">
        <v>1105</v>
      </c>
      <c r="C13" s="5181">
        <v>1117691709000</v>
      </c>
      <c r="D13" s="5181">
        <f>'Kom Kua PPAS'!P422</f>
        <v>1491522952000</v>
      </c>
      <c r="E13" s="5181">
        <f t="shared" si="0"/>
        <v>373831243000</v>
      </c>
      <c r="F13" s="5182">
        <f t="shared" si="1"/>
        <v>33.446722382370289</v>
      </c>
      <c r="G13" s="5182"/>
    </row>
    <row r="14" spans="1:7">
      <c r="A14" s="5175"/>
      <c r="B14" s="5185" t="s">
        <v>256</v>
      </c>
      <c r="C14" s="5181">
        <v>1090304456356</v>
      </c>
      <c r="D14" s="5181">
        <f>'Kom Kua PPAS'!P427</f>
        <v>1391780032730</v>
      </c>
      <c r="E14" s="5181">
        <f t="shared" si="0"/>
        <v>301475576374</v>
      </c>
      <c r="F14" s="5182">
        <f t="shared" si="1"/>
        <v>27.650586459270958</v>
      </c>
      <c r="G14" s="5182"/>
    </row>
    <row r="15" spans="1:7">
      <c r="A15" s="5175"/>
      <c r="B15" s="5183"/>
      <c r="C15" s="5181"/>
      <c r="D15" s="5181"/>
      <c r="E15" s="5181"/>
      <c r="F15" s="5182"/>
      <c r="G15" s="5182"/>
    </row>
    <row r="16" spans="1:7">
      <c r="A16" s="5175">
        <v>3</v>
      </c>
      <c r="B16" s="5184" t="s">
        <v>265</v>
      </c>
      <c r="C16" s="5181">
        <f>SUM(C17:C21)</f>
        <v>7120189000</v>
      </c>
      <c r="D16" s="5181">
        <f>SUM(D17:D21)</f>
        <v>85598457900</v>
      </c>
      <c r="E16" s="5181">
        <f t="shared" si="0"/>
        <v>78478268900</v>
      </c>
      <c r="F16" s="5182">
        <f t="shared" si="1"/>
        <v>1102.1936201412632</v>
      </c>
      <c r="G16" s="5182"/>
    </row>
    <row r="17" spans="1:7" s="4600" customFormat="1">
      <c r="A17" s="5175"/>
      <c r="B17" s="5185" t="s">
        <v>1106</v>
      </c>
      <c r="C17" s="5181">
        <v>2120189000</v>
      </c>
      <c r="D17" s="5181">
        <f>'Kom Kua PPAS'!P441</f>
        <v>32204146900</v>
      </c>
      <c r="E17" s="5181">
        <f t="shared" si="0"/>
        <v>30083957900</v>
      </c>
      <c r="F17" s="5182">
        <f t="shared" si="1"/>
        <v>1418.928119144095</v>
      </c>
      <c r="G17" s="5182"/>
    </row>
    <row r="18" spans="1:7" s="4600" customFormat="1" hidden="1">
      <c r="A18" s="5175"/>
      <c r="B18" s="5186" t="s">
        <v>1241</v>
      </c>
      <c r="C18" s="5181"/>
      <c r="D18" s="5181"/>
      <c r="E18" s="5181">
        <f t="shared" si="0"/>
        <v>0</v>
      </c>
      <c r="F18" s="5182" t="e">
        <f t="shared" si="1"/>
        <v>#DIV/0!</v>
      </c>
      <c r="G18" s="5182"/>
    </row>
    <row r="19" spans="1:7" s="4600" customFormat="1" hidden="1">
      <c r="A19" s="5175"/>
      <c r="B19" s="5186" t="s">
        <v>1242</v>
      </c>
      <c r="C19" s="5181"/>
      <c r="D19" s="5181"/>
      <c r="E19" s="5181">
        <f t="shared" si="0"/>
        <v>0</v>
      </c>
      <c r="F19" s="5182" t="e">
        <f t="shared" si="1"/>
        <v>#DIV/0!</v>
      </c>
      <c r="G19" s="5182"/>
    </row>
    <row r="20" spans="1:7" s="4600" customFormat="1" hidden="1">
      <c r="A20" s="5175"/>
      <c r="B20" s="5185" t="s">
        <v>1243</v>
      </c>
      <c r="C20" s="5181"/>
      <c r="D20" s="5181"/>
      <c r="E20" s="5181">
        <f t="shared" si="0"/>
        <v>0</v>
      </c>
      <c r="F20" s="5182" t="e">
        <f t="shared" si="1"/>
        <v>#DIV/0!</v>
      </c>
      <c r="G20" s="5182"/>
    </row>
    <row r="21" spans="1:7" s="4600" customFormat="1">
      <c r="A21" s="5187"/>
      <c r="B21" s="5188" t="s">
        <v>652</v>
      </c>
      <c r="C21" s="5189">
        <v>5000000000</v>
      </c>
      <c r="D21" s="5189">
        <f>'Kom Kua PPAS'!P575</f>
        <v>53394311000</v>
      </c>
      <c r="E21" s="5189">
        <f t="shared" si="0"/>
        <v>48394311000</v>
      </c>
      <c r="F21" s="5190">
        <f t="shared" si="1"/>
        <v>967.88621999999998</v>
      </c>
      <c r="G21" s="5190"/>
    </row>
  </sheetData>
  <mergeCells count="1">
    <mergeCell ref="A1:G1"/>
  </mergeCells>
  <pageMargins left="0.74" right="0.70866141732283472" top="0.74803149606299213" bottom="0.74803149606299213" header="0.31496062992125984" footer="0.31496062992125984"/>
  <pageSetup paperSize="9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C00000"/>
  </sheetPr>
  <dimension ref="A1:S789"/>
  <sheetViews>
    <sheetView view="pageBreakPreview" zoomScaleNormal="130" zoomScaleSheetLayoutView="100" workbookViewId="0">
      <pane ySplit="2955" topLeftCell="A775" activePane="bottomLeft"/>
      <selection pane="bottomLeft" activeCell="E367" sqref="E367"/>
    </sheetView>
  </sheetViews>
  <sheetFormatPr defaultColWidth="9" defaultRowHeight="13.15"/>
  <cols>
    <col min="1" max="1" width="6.33203125" customWidth="1"/>
    <col min="2" max="2" width="2.88671875" customWidth="1"/>
    <col min="3" max="3" width="58" customWidth="1"/>
    <col min="4" max="4" width="22.88671875" style="2080" customWidth="1"/>
    <col min="5" max="7" width="17.109375" customWidth="1"/>
    <col min="8" max="15" width="17.109375" hidden="1" customWidth="1"/>
    <col min="16" max="16" width="17.109375" customWidth="1"/>
    <col min="17" max="18" width="24.6640625" style="2081" customWidth="1"/>
    <col min="19" max="19" width="12.44140625" style="2081" customWidth="1"/>
  </cols>
  <sheetData>
    <row r="1" spans="1:19" s="2070" customFormat="1" ht="9.6999999999999993" customHeight="1">
      <c r="A1" s="2082"/>
      <c r="B1" s="1840"/>
      <c r="C1" s="1840"/>
      <c r="D1" s="2129"/>
      <c r="E1" s="2130"/>
      <c r="F1" s="2130"/>
      <c r="G1" s="2130"/>
      <c r="H1" s="2130"/>
      <c r="I1" s="2130"/>
      <c r="J1" s="2130"/>
      <c r="K1" s="2130"/>
      <c r="L1" s="2130"/>
      <c r="M1" s="2130"/>
      <c r="N1" s="2130"/>
      <c r="O1" s="2130"/>
      <c r="P1" s="2130"/>
      <c r="Q1" s="2131"/>
      <c r="R1" s="2131"/>
      <c r="S1" s="2131"/>
    </row>
    <row r="2" spans="1:19" s="2070" customFormat="1" ht="26.3" customHeight="1">
      <c r="A2" s="5740" t="s">
        <v>415</v>
      </c>
      <c r="B2" s="5740"/>
      <c r="C2" s="5740"/>
      <c r="D2" s="5740"/>
      <c r="E2" s="5740"/>
      <c r="F2" s="5740"/>
      <c r="G2" s="5740"/>
      <c r="H2" s="5740"/>
      <c r="I2" s="5740"/>
      <c r="J2" s="5740"/>
      <c r="K2" s="5740"/>
      <c r="L2" s="5740"/>
      <c r="M2" s="5740"/>
      <c r="N2" s="5740"/>
      <c r="O2" s="5740"/>
      <c r="P2" s="5740"/>
      <c r="Q2" s="5740"/>
      <c r="R2" s="5740"/>
      <c r="S2" s="5740"/>
    </row>
    <row r="3" spans="1:19" s="2070" customFormat="1" ht="9.6999999999999993" customHeight="1">
      <c r="A3" s="2083"/>
      <c r="B3" s="2084"/>
      <c r="C3" s="2084"/>
      <c r="D3" s="2133"/>
      <c r="E3" s="2084"/>
      <c r="F3" s="2084"/>
      <c r="G3" s="2084"/>
      <c r="H3" s="2084"/>
      <c r="I3" s="2084"/>
      <c r="J3" s="2084"/>
      <c r="K3" s="2084"/>
      <c r="L3" s="2084"/>
      <c r="M3" s="2084"/>
      <c r="N3" s="2084"/>
      <c r="O3" s="2084"/>
      <c r="P3" s="2084"/>
      <c r="Q3" s="2084"/>
      <c r="R3" s="2084"/>
      <c r="S3" s="2084"/>
    </row>
    <row r="4" spans="1:19" s="2070" customFormat="1" ht="9.6999999999999993" customHeight="1">
      <c r="A4" s="1849"/>
      <c r="B4" s="1832"/>
      <c r="C4" s="1832"/>
      <c r="D4" s="2129"/>
      <c r="E4" s="2130"/>
      <c r="F4" s="2130"/>
      <c r="G4" s="2130"/>
      <c r="H4" s="2130"/>
      <c r="I4" s="2130"/>
      <c r="J4" s="2130"/>
      <c r="K4" s="2130"/>
      <c r="L4" s="2130"/>
      <c r="M4" s="2130"/>
      <c r="N4" s="2130"/>
      <c r="O4" s="2130"/>
      <c r="P4" s="2130"/>
      <c r="Q4" s="2131"/>
      <c r="R4" s="2131"/>
      <c r="S4" s="2131"/>
    </row>
    <row r="5" spans="1:19" s="2070" customFormat="1" ht="36.35">
      <c r="A5" s="2512" t="s">
        <v>55</v>
      </c>
      <c r="B5" s="5741" t="s">
        <v>56</v>
      </c>
      <c r="C5" s="5742"/>
      <c r="D5" s="2513" t="s">
        <v>416</v>
      </c>
      <c r="E5" s="2514" t="s">
        <v>417</v>
      </c>
      <c r="F5" s="2515" t="s">
        <v>418</v>
      </c>
      <c r="G5" s="2516" t="s">
        <v>419</v>
      </c>
      <c r="H5" s="2517" t="s">
        <v>420</v>
      </c>
      <c r="I5" s="2543" t="s">
        <v>421</v>
      </c>
      <c r="J5" s="2544" t="s">
        <v>422</v>
      </c>
      <c r="K5" s="2545" t="s">
        <v>423</v>
      </c>
      <c r="L5" s="2546" t="s">
        <v>424</v>
      </c>
      <c r="M5" s="2547" t="s">
        <v>425</v>
      </c>
      <c r="N5" s="2548" t="s">
        <v>426</v>
      </c>
      <c r="O5" s="2549" t="s">
        <v>427</v>
      </c>
      <c r="P5" s="2550" t="s">
        <v>428</v>
      </c>
      <c r="Q5" s="2551" t="s">
        <v>429</v>
      </c>
      <c r="R5" s="2551" t="s">
        <v>430</v>
      </c>
      <c r="S5" s="2552" t="s">
        <v>6</v>
      </c>
    </row>
    <row r="6" spans="1:19" s="2072" customFormat="1" ht="10.65">
      <c r="A6" s="2518" t="s">
        <v>58</v>
      </c>
      <c r="B6" s="5743">
        <v>2</v>
      </c>
      <c r="C6" s="5744"/>
      <c r="D6" s="2519">
        <v>3</v>
      </c>
      <c r="E6" s="2519">
        <v>4</v>
      </c>
      <c r="F6" s="2519">
        <v>5</v>
      </c>
      <c r="G6" s="2519">
        <v>6</v>
      </c>
      <c r="H6" s="2519">
        <v>7</v>
      </c>
      <c r="I6" s="2519">
        <v>8</v>
      </c>
      <c r="J6" s="2519">
        <v>9</v>
      </c>
      <c r="K6" s="2519">
        <v>10</v>
      </c>
      <c r="L6" s="2519">
        <v>11</v>
      </c>
      <c r="M6" s="2519">
        <v>12</v>
      </c>
      <c r="N6" s="2519">
        <v>13</v>
      </c>
      <c r="O6" s="2519">
        <v>14</v>
      </c>
      <c r="P6" s="2519">
        <v>15</v>
      </c>
      <c r="Q6" s="2519">
        <v>16</v>
      </c>
      <c r="R6" s="2519">
        <v>17</v>
      </c>
      <c r="S6" s="2519">
        <v>18</v>
      </c>
    </row>
    <row r="7" spans="1:19" s="2070" customFormat="1" ht="13.5" customHeight="1">
      <c r="A7" s="2520"/>
      <c r="B7" s="216"/>
      <c r="C7" s="216"/>
      <c r="D7" s="2521">
        <f>D8-MAR!J8</f>
        <v>0</v>
      </c>
      <c r="E7" s="2522">
        <f>E8-MAR!L8</f>
        <v>-274668485527.19</v>
      </c>
      <c r="F7" s="2523"/>
      <c r="G7" s="2523"/>
      <c r="H7" s="2523"/>
      <c r="I7" s="2523"/>
      <c r="J7" s="2523"/>
      <c r="K7" s="2523"/>
      <c r="L7" s="2523"/>
      <c r="M7" s="2523"/>
      <c r="N7" s="2523"/>
      <c r="O7" s="2523"/>
      <c r="P7" s="2523"/>
      <c r="Q7" s="2523"/>
      <c r="R7" s="2523"/>
      <c r="S7" s="2523"/>
    </row>
    <row r="8" spans="1:19" s="2070" customFormat="1" ht="17.25" customHeight="1">
      <c r="A8" s="2524"/>
      <c r="B8" s="2525" t="s">
        <v>60</v>
      </c>
      <c r="C8" s="2525"/>
      <c r="D8" s="2526">
        <f t="shared" ref="D8:P8" si="0">D10+D31+D43+D54+D66+D78+D91+D104+D116+D129+D146+D154+D169+D182+D197+D215+D237+D257+D265+D273+D283+D298+D306+D314+D322+D330+D338+D346+D354+D427+D499+D507+D518+D577+D595+D603+D611+D637+D660+D668+D701+D714+D723+D732+D741+D750+D759+D768+D777</f>
        <v>3669258351634</v>
      </c>
      <c r="E8" s="2527">
        <f t="shared" si="0"/>
        <v>0</v>
      </c>
      <c r="F8" s="2527">
        <f t="shared" si="0"/>
        <v>0</v>
      </c>
      <c r="G8" s="2527">
        <f t="shared" si="0"/>
        <v>0</v>
      </c>
      <c r="H8" s="2527">
        <f t="shared" si="0"/>
        <v>0</v>
      </c>
      <c r="I8" s="2527">
        <f t="shared" si="0"/>
        <v>0</v>
      </c>
      <c r="J8" s="2527">
        <f t="shared" si="0"/>
        <v>0</v>
      </c>
      <c r="K8" s="2527">
        <f t="shared" si="0"/>
        <v>0</v>
      </c>
      <c r="L8" s="2527">
        <f t="shared" si="0"/>
        <v>0</v>
      </c>
      <c r="M8" s="2527">
        <f t="shared" si="0"/>
        <v>0</v>
      </c>
      <c r="N8" s="2527">
        <f t="shared" si="0"/>
        <v>0</v>
      </c>
      <c r="O8" s="2527">
        <f t="shared" si="0"/>
        <v>0</v>
      </c>
      <c r="P8" s="2527">
        <f t="shared" si="0"/>
        <v>0</v>
      </c>
      <c r="Q8" s="2526">
        <f>SUM(E8:P8)</f>
        <v>0</v>
      </c>
      <c r="R8" s="2526">
        <f>Q8-D8</f>
        <v>-3669258351634</v>
      </c>
      <c r="S8" s="2526">
        <f>Q8/D8*100</f>
        <v>0</v>
      </c>
    </row>
    <row r="9" spans="1:19" s="2070" customFormat="1" ht="4.55" customHeight="1">
      <c r="A9" s="1919"/>
      <c r="B9" s="1318"/>
      <c r="C9" s="1318"/>
      <c r="D9" s="2143"/>
      <c r="E9" s="2143"/>
      <c r="F9" s="2143"/>
      <c r="G9" s="2143"/>
      <c r="H9" s="2143"/>
      <c r="I9" s="2143"/>
      <c r="J9" s="2143"/>
      <c r="K9" s="2143"/>
      <c r="L9" s="2143"/>
      <c r="M9" s="2143"/>
      <c r="N9" s="2143"/>
      <c r="O9" s="2143"/>
      <c r="P9" s="2143"/>
      <c r="Q9" s="1727"/>
      <c r="R9" s="1727"/>
      <c r="S9" s="1727"/>
    </row>
    <row r="10" spans="1:19" s="2073" customFormat="1" ht="15.65">
      <c r="A10" s="2528" t="s">
        <v>61</v>
      </c>
      <c r="B10" s="2093" t="s">
        <v>62</v>
      </c>
      <c r="C10" s="2146"/>
      <c r="D10" s="2147">
        <f t="shared" ref="D10:P10" si="1">D11+D21</f>
        <v>161895000</v>
      </c>
      <c r="E10" s="2147">
        <f t="shared" si="1"/>
        <v>0</v>
      </c>
      <c r="F10" s="2147">
        <f t="shared" si="1"/>
        <v>0</v>
      </c>
      <c r="G10" s="2147">
        <f t="shared" si="1"/>
        <v>0</v>
      </c>
      <c r="H10" s="2147">
        <f t="shared" si="1"/>
        <v>0</v>
      </c>
      <c r="I10" s="2147">
        <f t="shared" si="1"/>
        <v>0</v>
      </c>
      <c r="J10" s="2147">
        <f t="shared" si="1"/>
        <v>0</v>
      </c>
      <c r="K10" s="2147">
        <f t="shared" si="1"/>
        <v>0</v>
      </c>
      <c r="L10" s="2147">
        <f t="shared" si="1"/>
        <v>0</v>
      </c>
      <c r="M10" s="2147">
        <f t="shared" si="1"/>
        <v>0</v>
      </c>
      <c r="N10" s="2147">
        <f t="shared" si="1"/>
        <v>0</v>
      </c>
      <c r="O10" s="2147">
        <f t="shared" si="1"/>
        <v>0</v>
      </c>
      <c r="P10" s="2147">
        <f t="shared" si="1"/>
        <v>0</v>
      </c>
      <c r="Q10" s="2147">
        <f t="shared" ref="Q10:Q15" si="2">SUM(E10:P10)</f>
        <v>0</v>
      </c>
      <c r="R10" s="2147">
        <f>Q10-D10</f>
        <v>-161895000</v>
      </c>
      <c r="S10" s="2147">
        <f>Q10/D10*100</f>
        <v>0</v>
      </c>
    </row>
    <row r="11" spans="1:19" s="2070" customFormat="1">
      <c r="A11" s="2529"/>
      <c r="B11" s="2099" t="s">
        <v>63</v>
      </c>
      <c r="C11" s="2099"/>
      <c r="D11" s="2151">
        <f t="shared" ref="D11:P11" si="3">D12+D17</f>
        <v>161895000</v>
      </c>
      <c r="E11" s="2151">
        <f t="shared" si="3"/>
        <v>0</v>
      </c>
      <c r="F11" s="2151">
        <f t="shared" si="3"/>
        <v>0</v>
      </c>
      <c r="G11" s="2151">
        <f t="shared" si="3"/>
        <v>0</v>
      </c>
      <c r="H11" s="2151">
        <f t="shared" si="3"/>
        <v>0</v>
      </c>
      <c r="I11" s="2151">
        <f t="shared" si="3"/>
        <v>0</v>
      </c>
      <c r="J11" s="2151">
        <f t="shared" si="3"/>
        <v>0</v>
      </c>
      <c r="K11" s="2151">
        <f t="shared" si="3"/>
        <v>0</v>
      </c>
      <c r="L11" s="2151">
        <f t="shared" si="3"/>
        <v>0</v>
      </c>
      <c r="M11" s="2151">
        <f t="shared" si="3"/>
        <v>0</v>
      </c>
      <c r="N11" s="2151">
        <f t="shared" si="3"/>
        <v>0</v>
      </c>
      <c r="O11" s="2151">
        <f t="shared" si="3"/>
        <v>0</v>
      </c>
      <c r="P11" s="2151">
        <f t="shared" si="3"/>
        <v>0</v>
      </c>
      <c r="Q11" s="2151">
        <f t="shared" si="2"/>
        <v>0</v>
      </c>
      <c r="R11" s="2151">
        <f>Q11-D11</f>
        <v>-161895000</v>
      </c>
      <c r="S11" s="2151">
        <f>Q11/D11*100</f>
        <v>0</v>
      </c>
    </row>
    <row r="12" spans="1:19" s="2070" customFormat="1" ht="15.05">
      <c r="A12" s="1905"/>
      <c r="B12" s="212" t="s">
        <v>64</v>
      </c>
      <c r="C12" s="212"/>
      <c r="D12" s="2154">
        <f t="shared" ref="D12:P12" si="4">SUM(D13:D15)</f>
        <v>98395000</v>
      </c>
      <c r="E12" s="2154">
        <f t="shared" si="4"/>
        <v>0</v>
      </c>
      <c r="F12" s="2154">
        <f t="shared" si="4"/>
        <v>0</v>
      </c>
      <c r="G12" s="2154">
        <f t="shared" si="4"/>
        <v>0</v>
      </c>
      <c r="H12" s="2154">
        <f t="shared" si="4"/>
        <v>0</v>
      </c>
      <c r="I12" s="2154">
        <f t="shared" si="4"/>
        <v>0</v>
      </c>
      <c r="J12" s="2154">
        <f t="shared" si="4"/>
        <v>0</v>
      </c>
      <c r="K12" s="2154">
        <f t="shared" si="4"/>
        <v>0</v>
      </c>
      <c r="L12" s="2154">
        <f t="shared" si="4"/>
        <v>0</v>
      </c>
      <c r="M12" s="2154">
        <f t="shared" si="4"/>
        <v>0</v>
      </c>
      <c r="N12" s="2154">
        <f t="shared" si="4"/>
        <v>0</v>
      </c>
      <c r="O12" s="2154">
        <f t="shared" si="4"/>
        <v>0</v>
      </c>
      <c r="P12" s="2154">
        <f t="shared" si="4"/>
        <v>0</v>
      </c>
      <c r="Q12" s="2156">
        <f t="shared" si="2"/>
        <v>0</v>
      </c>
      <c r="R12" s="1749">
        <f t="shared" ref="R12:R27" si="5">Q12-D12</f>
        <v>-98395000</v>
      </c>
      <c r="S12" s="2260">
        <f t="shared" ref="S12:S19" si="6">Q12/D12*100</f>
        <v>0</v>
      </c>
    </row>
    <row r="13" spans="1:19" s="2070" customFormat="1">
      <c r="A13" s="1855"/>
      <c r="B13" s="200" t="s">
        <v>50</v>
      </c>
      <c r="C13" s="200" t="s">
        <v>65</v>
      </c>
      <c r="D13" s="1964">
        <f>TARGET!D15</f>
        <v>33395000</v>
      </c>
      <c r="E13" s="2160">
        <v>0</v>
      </c>
      <c r="F13" s="2160">
        <v>0</v>
      </c>
      <c r="G13" s="2160">
        <v>0</v>
      </c>
      <c r="H13" s="2160">
        <v>0</v>
      </c>
      <c r="I13" s="2160">
        <v>0</v>
      </c>
      <c r="J13" s="2160">
        <v>0</v>
      </c>
      <c r="K13" s="2160">
        <v>0</v>
      </c>
      <c r="L13" s="2160">
        <v>0</v>
      </c>
      <c r="M13" s="2160">
        <v>0</v>
      </c>
      <c r="N13" s="2160">
        <v>0</v>
      </c>
      <c r="O13" s="2160">
        <v>0</v>
      </c>
      <c r="P13" s="2160">
        <v>0</v>
      </c>
      <c r="Q13" s="2161">
        <f t="shared" si="2"/>
        <v>0</v>
      </c>
      <c r="R13" s="1891">
        <f t="shared" si="5"/>
        <v>-33395000</v>
      </c>
      <c r="S13" s="1891">
        <f t="shared" si="6"/>
        <v>0</v>
      </c>
    </row>
    <row r="14" spans="1:19" s="2070" customFormat="1">
      <c r="A14" s="1855"/>
      <c r="B14" s="200" t="s">
        <v>50</v>
      </c>
      <c r="C14" s="200" t="s">
        <v>66</v>
      </c>
      <c r="D14" s="1964">
        <f>TARGET!D16</f>
        <v>25000000</v>
      </c>
      <c r="E14" s="2160">
        <v>0</v>
      </c>
      <c r="F14" s="2160">
        <v>0</v>
      </c>
      <c r="G14" s="2160">
        <v>0</v>
      </c>
      <c r="H14" s="2160">
        <v>0</v>
      </c>
      <c r="I14" s="2160">
        <v>0</v>
      </c>
      <c r="J14" s="2160">
        <v>0</v>
      </c>
      <c r="K14" s="2160">
        <v>0</v>
      </c>
      <c r="L14" s="2160">
        <v>0</v>
      </c>
      <c r="M14" s="2160">
        <v>0</v>
      </c>
      <c r="N14" s="2160">
        <v>0</v>
      </c>
      <c r="O14" s="2160">
        <v>0</v>
      </c>
      <c r="P14" s="2160">
        <v>0</v>
      </c>
      <c r="Q14" s="2161">
        <f t="shared" si="2"/>
        <v>0</v>
      </c>
      <c r="R14" s="1891">
        <f t="shared" si="5"/>
        <v>-25000000</v>
      </c>
      <c r="S14" s="1891">
        <f t="shared" si="6"/>
        <v>0</v>
      </c>
    </row>
    <row r="15" spans="1:19" s="2070" customFormat="1">
      <c r="A15" s="1855"/>
      <c r="B15" s="2727" t="s">
        <v>50</v>
      </c>
      <c r="C15" s="200" t="s">
        <v>67</v>
      </c>
      <c r="D15" s="1964">
        <f>TARGET!D17</f>
        <v>40000000</v>
      </c>
      <c r="E15" s="2530">
        <v>0</v>
      </c>
      <c r="F15" s="2530">
        <v>0</v>
      </c>
      <c r="G15" s="2530">
        <v>0</v>
      </c>
      <c r="H15" s="2530">
        <v>0</v>
      </c>
      <c r="I15" s="2530">
        <v>0</v>
      </c>
      <c r="J15" s="2530">
        <v>0</v>
      </c>
      <c r="K15" s="2530">
        <v>0</v>
      </c>
      <c r="L15" s="2530">
        <v>0</v>
      </c>
      <c r="M15" s="2530">
        <v>0</v>
      </c>
      <c r="N15" s="2530">
        <v>0</v>
      </c>
      <c r="O15" s="2530">
        <v>0</v>
      </c>
      <c r="P15" s="2530">
        <v>0</v>
      </c>
      <c r="Q15" s="2161">
        <f t="shared" si="2"/>
        <v>0</v>
      </c>
      <c r="R15" s="1891">
        <f t="shared" si="5"/>
        <v>-40000000</v>
      </c>
      <c r="S15" s="1891">
        <f t="shared" si="6"/>
        <v>0</v>
      </c>
    </row>
    <row r="16" spans="1:19" s="2070" customFormat="1" ht="6.75" customHeight="1">
      <c r="A16" s="1855"/>
      <c r="B16" s="200"/>
      <c r="C16" s="200"/>
      <c r="D16" s="2164"/>
      <c r="E16" s="2164"/>
      <c r="F16" s="2164"/>
      <c r="G16" s="2164"/>
      <c r="H16" s="2164"/>
      <c r="I16" s="2164"/>
      <c r="J16" s="2164"/>
      <c r="K16" s="2164"/>
      <c r="L16" s="2164"/>
      <c r="M16" s="2164"/>
      <c r="N16" s="2164"/>
      <c r="O16" s="2164"/>
      <c r="P16" s="2164"/>
      <c r="Q16" s="2161"/>
      <c r="R16" s="1891">
        <f t="shared" si="5"/>
        <v>0</v>
      </c>
      <c r="S16" s="1891"/>
    </row>
    <row r="17" spans="1:19" s="2070" customFormat="1" ht="15.05">
      <c r="A17" s="1855"/>
      <c r="B17" s="2728" t="s">
        <v>68</v>
      </c>
      <c r="C17" s="200"/>
      <c r="D17" s="2165">
        <f t="shared" ref="D17:P17" si="7">SUM(D18:D19)</f>
        <v>63500000</v>
      </c>
      <c r="E17" s="2165">
        <f t="shared" si="7"/>
        <v>0</v>
      </c>
      <c r="F17" s="2165">
        <f t="shared" si="7"/>
        <v>0</v>
      </c>
      <c r="G17" s="2165">
        <f t="shared" si="7"/>
        <v>0</v>
      </c>
      <c r="H17" s="2165">
        <f t="shared" si="7"/>
        <v>0</v>
      </c>
      <c r="I17" s="2165">
        <f t="shared" si="7"/>
        <v>0</v>
      </c>
      <c r="J17" s="2165">
        <f t="shared" si="7"/>
        <v>0</v>
      </c>
      <c r="K17" s="2165">
        <f t="shared" si="7"/>
        <v>0</v>
      </c>
      <c r="L17" s="2165">
        <f t="shared" si="7"/>
        <v>0</v>
      </c>
      <c r="M17" s="2165">
        <f t="shared" si="7"/>
        <v>0</v>
      </c>
      <c r="N17" s="2165">
        <f t="shared" si="7"/>
        <v>0</v>
      </c>
      <c r="O17" s="2165">
        <f t="shared" si="7"/>
        <v>0</v>
      </c>
      <c r="P17" s="2165">
        <f t="shared" si="7"/>
        <v>0</v>
      </c>
      <c r="Q17" s="2156">
        <f>SUM(E17:P17)</f>
        <v>0</v>
      </c>
      <c r="R17" s="1749">
        <f t="shared" si="5"/>
        <v>-63500000</v>
      </c>
      <c r="S17" s="1891">
        <f t="shared" si="6"/>
        <v>0</v>
      </c>
    </row>
    <row r="18" spans="1:19" s="2070" customFormat="1">
      <c r="A18" s="1855"/>
      <c r="B18" s="2727" t="s">
        <v>50</v>
      </c>
      <c r="C18" s="200" t="s">
        <v>69</v>
      </c>
      <c r="D18" s="1964">
        <f>TARGET!D20</f>
        <v>60000000</v>
      </c>
      <c r="E18" s="2530">
        <v>0</v>
      </c>
      <c r="F18" s="2530">
        <v>0</v>
      </c>
      <c r="G18" s="2530">
        <v>0</v>
      </c>
      <c r="H18" s="2530">
        <v>0</v>
      </c>
      <c r="I18" s="2530">
        <v>0</v>
      </c>
      <c r="J18" s="2530">
        <v>0</v>
      </c>
      <c r="K18" s="2530">
        <v>0</v>
      </c>
      <c r="L18" s="2530">
        <v>0</v>
      </c>
      <c r="M18" s="2530">
        <v>0</v>
      </c>
      <c r="N18" s="2530">
        <v>0</v>
      </c>
      <c r="O18" s="2530">
        <v>0</v>
      </c>
      <c r="P18" s="2530">
        <v>0</v>
      </c>
      <c r="Q18" s="2161">
        <f t="shared" ref="Q18:Q27" si="8">SUM(E18:P18)</f>
        <v>0</v>
      </c>
      <c r="R18" s="1891">
        <f t="shared" si="5"/>
        <v>-60000000</v>
      </c>
      <c r="S18" s="1891">
        <f t="shared" si="6"/>
        <v>0</v>
      </c>
    </row>
    <row r="19" spans="1:19" s="2070" customFormat="1">
      <c r="A19" s="1855"/>
      <c r="B19" s="2727" t="s">
        <v>50</v>
      </c>
      <c r="C19" s="200" t="s">
        <v>70</v>
      </c>
      <c r="D19" s="1964">
        <f>TARGET!D21</f>
        <v>3500000</v>
      </c>
      <c r="E19" s="2530">
        <v>0</v>
      </c>
      <c r="F19" s="2530">
        <v>0</v>
      </c>
      <c r="G19" s="2530">
        <v>0</v>
      </c>
      <c r="H19" s="2530">
        <v>0</v>
      </c>
      <c r="I19" s="2530">
        <v>0</v>
      </c>
      <c r="J19" s="2530">
        <v>0</v>
      </c>
      <c r="K19" s="2530">
        <v>0</v>
      </c>
      <c r="L19" s="2530">
        <v>0</v>
      </c>
      <c r="M19" s="2530">
        <v>0</v>
      </c>
      <c r="N19" s="2530">
        <v>0</v>
      </c>
      <c r="O19" s="2530">
        <v>0</v>
      </c>
      <c r="P19" s="2530">
        <v>0</v>
      </c>
      <c r="Q19" s="2161">
        <f t="shared" si="8"/>
        <v>0</v>
      </c>
      <c r="R19" s="1891">
        <f t="shared" si="5"/>
        <v>-3500000</v>
      </c>
      <c r="S19" s="1891">
        <f t="shared" si="6"/>
        <v>0</v>
      </c>
    </row>
    <row r="20" spans="1:19" s="2070" customFormat="1" ht="7.55" customHeight="1">
      <c r="A20" s="1855"/>
      <c r="B20" s="200"/>
      <c r="C20" s="200"/>
      <c r="D20" s="2164"/>
      <c r="E20" s="2164"/>
      <c r="F20" s="2164"/>
      <c r="G20" s="2164"/>
      <c r="H20" s="2164"/>
      <c r="I20" s="2164"/>
      <c r="J20" s="2164"/>
      <c r="K20" s="2164"/>
      <c r="L20" s="2164"/>
      <c r="M20" s="2164"/>
      <c r="N20" s="2164"/>
      <c r="O20" s="2164"/>
      <c r="P20" s="2164"/>
      <c r="Q20" s="2161">
        <f t="shared" si="8"/>
        <v>0</v>
      </c>
      <c r="R20" s="1891">
        <f t="shared" si="5"/>
        <v>0</v>
      </c>
      <c r="S20" s="1891">
        <v>0</v>
      </c>
    </row>
    <row r="21" spans="1:19" s="2070" customFormat="1">
      <c r="A21" s="1854"/>
      <c r="B21" s="202" t="s">
        <v>71</v>
      </c>
      <c r="C21" s="202"/>
      <c r="D21" s="1891">
        <f t="shared" ref="D21:P21" si="9">SUM(D22:D27)</f>
        <v>0</v>
      </c>
      <c r="E21" s="1891">
        <f t="shared" si="9"/>
        <v>0</v>
      </c>
      <c r="F21" s="1891">
        <f t="shared" si="9"/>
        <v>0</v>
      </c>
      <c r="G21" s="1891">
        <f t="shared" si="9"/>
        <v>0</v>
      </c>
      <c r="H21" s="1891">
        <f t="shared" si="9"/>
        <v>0</v>
      </c>
      <c r="I21" s="1891">
        <f t="shared" si="9"/>
        <v>0</v>
      </c>
      <c r="J21" s="1891">
        <f t="shared" si="9"/>
        <v>0</v>
      </c>
      <c r="K21" s="1891">
        <f t="shared" si="9"/>
        <v>0</v>
      </c>
      <c r="L21" s="1891">
        <f t="shared" si="9"/>
        <v>0</v>
      </c>
      <c r="M21" s="1891">
        <f t="shared" si="9"/>
        <v>0</v>
      </c>
      <c r="N21" s="1891">
        <f t="shared" si="9"/>
        <v>0</v>
      </c>
      <c r="O21" s="1891">
        <f t="shared" si="9"/>
        <v>0</v>
      </c>
      <c r="P21" s="1891">
        <f t="shared" si="9"/>
        <v>0</v>
      </c>
      <c r="Q21" s="2161">
        <f t="shared" si="8"/>
        <v>0</v>
      </c>
      <c r="R21" s="1891">
        <f t="shared" si="5"/>
        <v>0</v>
      </c>
      <c r="S21" s="1891">
        <v>0</v>
      </c>
    </row>
    <row r="22" spans="1:19" s="2070" customFormat="1">
      <c r="A22" s="1854"/>
      <c r="B22" s="2728" t="s">
        <v>50</v>
      </c>
      <c r="C22" s="200" t="s">
        <v>72</v>
      </c>
      <c r="D22" s="1964">
        <f>TARGET!D24</f>
        <v>0</v>
      </c>
      <c r="E22" s="2531"/>
      <c r="F22" s="2531"/>
      <c r="G22" s="2531"/>
      <c r="H22" s="2531"/>
      <c r="I22" s="2531"/>
      <c r="J22" s="2531"/>
      <c r="K22" s="2531"/>
      <c r="L22" s="2531"/>
      <c r="M22" s="2531"/>
      <c r="N22" s="2531"/>
      <c r="O22" s="2531"/>
      <c r="P22" s="2531"/>
      <c r="Q22" s="2161">
        <f t="shared" si="8"/>
        <v>0</v>
      </c>
      <c r="R22" s="1891">
        <f t="shared" si="5"/>
        <v>0</v>
      </c>
      <c r="S22" s="1891">
        <v>0</v>
      </c>
    </row>
    <row r="23" spans="1:19" s="2070" customFormat="1">
      <c r="A23" s="1854"/>
      <c r="B23" s="2728" t="s">
        <v>50</v>
      </c>
      <c r="C23" s="200" t="s">
        <v>73</v>
      </c>
      <c r="D23" s="1964">
        <f>TARGET!D25</f>
        <v>0</v>
      </c>
      <c r="E23" s="2531"/>
      <c r="F23" s="2531"/>
      <c r="G23" s="2531"/>
      <c r="H23" s="2531"/>
      <c r="I23" s="2531"/>
      <c r="J23" s="2531"/>
      <c r="K23" s="2531"/>
      <c r="L23" s="2531"/>
      <c r="M23" s="2531"/>
      <c r="N23" s="2531"/>
      <c r="O23" s="2531"/>
      <c r="P23" s="2531"/>
      <c r="Q23" s="2161">
        <f t="shared" si="8"/>
        <v>0</v>
      </c>
      <c r="R23" s="1891">
        <f t="shared" si="5"/>
        <v>0</v>
      </c>
      <c r="S23" s="1891">
        <v>0</v>
      </c>
    </row>
    <row r="24" spans="1:19" s="2070" customFormat="1">
      <c r="A24" s="1854"/>
      <c r="B24" s="2728" t="s">
        <v>50</v>
      </c>
      <c r="C24" s="200" t="s">
        <v>74</v>
      </c>
      <c r="D24" s="1964">
        <f>TARGET!D26</f>
        <v>0</v>
      </c>
      <c r="E24" s="2531"/>
      <c r="F24" s="2531"/>
      <c r="G24" s="2531"/>
      <c r="H24" s="2531"/>
      <c r="I24" s="2531"/>
      <c r="J24" s="2531"/>
      <c r="K24" s="2531"/>
      <c r="L24" s="2531"/>
      <c r="M24" s="2531"/>
      <c r="N24" s="2531"/>
      <c r="O24" s="2531"/>
      <c r="P24" s="2531"/>
      <c r="Q24" s="2161">
        <f t="shared" si="8"/>
        <v>0</v>
      </c>
      <c r="R24" s="1891">
        <f t="shared" si="5"/>
        <v>0</v>
      </c>
      <c r="S24" s="1891">
        <v>0</v>
      </c>
    </row>
    <row r="25" spans="1:19" s="2070" customFormat="1">
      <c r="A25" s="1855"/>
      <c r="B25" s="200" t="s">
        <v>50</v>
      </c>
      <c r="C25" s="200" t="s">
        <v>75</v>
      </c>
      <c r="D25" s="1964">
        <f>TARGET!D27</f>
        <v>0</v>
      </c>
      <c r="E25" s="2530">
        <v>0</v>
      </c>
      <c r="F25" s="2530">
        <v>0</v>
      </c>
      <c r="G25" s="2530">
        <v>0</v>
      </c>
      <c r="H25" s="2530">
        <v>0</v>
      </c>
      <c r="I25" s="2530">
        <v>0</v>
      </c>
      <c r="J25" s="2530">
        <v>0</v>
      </c>
      <c r="K25" s="2530">
        <v>0</v>
      </c>
      <c r="L25" s="2530">
        <v>0</v>
      </c>
      <c r="M25" s="2530">
        <v>0</v>
      </c>
      <c r="N25" s="2530">
        <v>0</v>
      </c>
      <c r="O25" s="2530">
        <v>0</v>
      </c>
      <c r="P25" s="2530">
        <v>0</v>
      </c>
      <c r="Q25" s="2161">
        <f t="shared" si="8"/>
        <v>0</v>
      </c>
      <c r="R25" s="1891">
        <f t="shared" si="5"/>
        <v>0</v>
      </c>
      <c r="S25" s="1891">
        <v>0</v>
      </c>
    </row>
    <row r="26" spans="1:19" s="2070" customFormat="1">
      <c r="A26" s="1855"/>
      <c r="B26" s="200" t="s">
        <v>50</v>
      </c>
      <c r="C26" s="200" t="s">
        <v>76</v>
      </c>
      <c r="D26" s="1964">
        <f>TARGET!D28</f>
        <v>0</v>
      </c>
      <c r="E26" s="2530">
        <v>0</v>
      </c>
      <c r="F26" s="2530">
        <v>0</v>
      </c>
      <c r="G26" s="2530">
        <v>0</v>
      </c>
      <c r="H26" s="2530">
        <v>0</v>
      </c>
      <c r="I26" s="2530">
        <v>0</v>
      </c>
      <c r="J26" s="2530">
        <v>0</v>
      </c>
      <c r="K26" s="2530">
        <v>0</v>
      </c>
      <c r="L26" s="2530">
        <v>0</v>
      </c>
      <c r="M26" s="2530">
        <v>0</v>
      </c>
      <c r="N26" s="2530">
        <v>0</v>
      </c>
      <c r="O26" s="2530">
        <v>0</v>
      </c>
      <c r="P26" s="2530">
        <v>0</v>
      </c>
      <c r="Q26" s="2161">
        <f t="shared" si="8"/>
        <v>0</v>
      </c>
      <c r="R26" s="1891">
        <f t="shared" si="5"/>
        <v>0</v>
      </c>
      <c r="S26" s="1891">
        <v>0</v>
      </c>
    </row>
    <row r="27" spans="1:19" s="2070" customFormat="1">
      <c r="A27" s="1855"/>
      <c r="B27" s="200" t="s">
        <v>50</v>
      </c>
      <c r="C27" s="200" t="s">
        <v>77</v>
      </c>
      <c r="D27" s="1964">
        <f>TARGET!D29</f>
        <v>0</v>
      </c>
      <c r="E27" s="2160">
        <v>0</v>
      </c>
      <c r="F27" s="2160">
        <v>0</v>
      </c>
      <c r="G27" s="2160">
        <v>0</v>
      </c>
      <c r="H27" s="2160">
        <v>0</v>
      </c>
      <c r="I27" s="2160">
        <v>0</v>
      </c>
      <c r="J27" s="2160">
        <v>0</v>
      </c>
      <c r="K27" s="2160">
        <v>0</v>
      </c>
      <c r="L27" s="2160">
        <v>0</v>
      </c>
      <c r="M27" s="2160">
        <v>0</v>
      </c>
      <c r="N27" s="2160">
        <v>0</v>
      </c>
      <c r="O27" s="2160">
        <v>0</v>
      </c>
      <c r="P27" s="2160">
        <v>0</v>
      </c>
      <c r="Q27" s="2161">
        <f t="shared" si="8"/>
        <v>0</v>
      </c>
      <c r="R27" s="1891">
        <f t="shared" si="5"/>
        <v>0</v>
      </c>
      <c r="S27" s="1891">
        <v>0</v>
      </c>
    </row>
    <row r="28" spans="1:19" s="2070" customFormat="1" ht="5.95" customHeight="1">
      <c r="A28" s="1913"/>
      <c r="B28" s="238"/>
      <c r="C28" s="238"/>
      <c r="D28" s="2166"/>
      <c r="E28" s="2166"/>
      <c r="F28" s="2166"/>
      <c r="G28" s="2166"/>
      <c r="H28" s="2166"/>
      <c r="I28" s="2166"/>
      <c r="J28" s="2166"/>
      <c r="K28" s="2166"/>
      <c r="L28" s="2166"/>
      <c r="M28" s="2166"/>
      <c r="N28" s="2166"/>
      <c r="O28" s="2166"/>
      <c r="P28" s="2166"/>
      <c r="Q28" s="2168"/>
      <c r="R28" s="2168"/>
      <c r="S28" s="2168"/>
    </row>
    <row r="29" spans="1:19" s="2070" customFormat="1" ht="18.8" customHeight="1">
      <c r="A29" s="2532" t="s">
        <v>78</v>
      </c>
      <c r="B29" s="2108" t="s">
        <v>79</v>
      </c>
      <c r="C29" s="2170"/>
      <c r="D29" s="2171">
        <f t="shared" ref="D29:Q29" si="10">D31+D43+D54+D66+D78</f>
        <v>9997286650</v>
      </c>
      <c r="E29" s="2171">
        <f t="shared" si="10"/>
        <v>0</v>
      </c>
      <c r="F29" s="2171">
        <f t="shared" si="10"/>
        <v>0</v>
      </c>
      <c r="G29" s="2171">
        <f t="shared" si="10"/>
        <v>0</v>
      </c>
      <c r="H29" s="2171">
        <f t="shared" si="10"/>
        <v>0</v>
      </c>
      <c r="I29" s="2171">
        <f t="shared" si="10"/>
        <v>0</v>
      </c>
      <c r="J29" s="2171">
        <f t="shared" si="10"/>
        <v>0</v>
      </c>
      <c r="K29" s="2171">
        <f t="shared" si="10"/>
        <v>0</v>
      </c>
      <c r="L29" s="2171">
        <f t="shared" si="10"/>
        <v>0</v>
      </c>
      <c r="M29" s="2171">
        <f t="shared" si="10"/>
        <v>0</v>
      </c>
      <c r="N29" s="2171">
        <f t="shared" si="10"/>
        <v>0</v>
      </c>
      <c r="O29" s="2171">
        <f t="shared" si="10"/>
        <v>0</v>
      </c>
      <c r="P29" s="2171">
        <f t="shared" si="10"/>
        <v>0</v>
      </c>
      <c r="Q29" s="2171">
        <f t="shared" si="10"/>
        <v>0</v>
      </c>
      <c r="R29" s="2171">
        <f>Q29-D29</f>
        <v>-9997286650</v>
      </c>
      <c r="S29" s="2171">
        <f>Q29/D29*100</f>
        <v>0</v>
      </c>
    </row>
    <row r="30" spans="1:19" s="2070" customFormat="1" ht="6.75" customHeight="1">
      <c r="A30" s="1905"/>
      <c r="B30" s="212"/>
      <c r="C30" s="212"/>
      <c r="D30" s="1727"/>
      <c r="E30" s="1727"/>
      <c r="F30" s="1727"/>
      <c r="G30" s="1727"/>
      <c r="H30" s="1727"/>
      <c r="I30" s="1727"/>
      <c r="J30" s="1727"/>
      <c r="K30" s="1727"/>
      <c r="L30" s="1727"/>
      <c r="M30" s="1727"/>
      <c r="N30" s="1727"/>
      <c r="O30" s="1727"/>
      <c r="P30" s="1727"/>
      <c r="Q30" s="1727"/>
      <c r="R30" s="1727"/>
      <c r="S30" s="1727"/>
    </row>
    <row r="31" spans="1:19" s="2073" customFormat="1" ht="15.65">
      <c r="A31" s="1935"/>
      <c r="B31" s="2110" t="s">
        <v>79</v>
      </c>
      <c r="C31" s="2174"/>
      <c r="D31" s="2175">
        <f t="shared" ref="D31:P31" si="11">D32+D35</f>
        <v>0</v>
      </c>
      <c r="E31" s="2175">
        <f t="shared" si="11"/>
        <v>0</v>
      </c>
      <c r="F31" s="2175">
        <f t="shared" si="11"/>
        <v>0</v>
      </c>
      <c r="G31" s="2175">
        <f t="shared" si="11"/>
        <v>0</v>
      </c>
      <c r="H31" s="2175">
        <f t="shared" si="11"/>
        <v>0</v>
      </c>
      <c r="I31" s="2175">
        <f t="shared" si="11"/>
        <v>0</v>
      </c>
      <c r="J31" s="2175">
        <f t="shared" si="11"/>
        <v>0</v>
      </c>
      <c r="K31" s="2175">
        <f t="shared" si="11"/>
        <v>0</v>
      </c>
      <c r="L31" s="2175">
        <f t="shared" si="11"/>
        <v>0</v>
      </c>
      <c r="M31" s="2175">
        <f t="shared" si="11"/>
        <v>0</v>
      </c>
      <c r="N31" s="2175">
        <f t="shared" si="11"/>
        <v>0</v>
      </c>
      <c r="O31" s="2175">
        <f t="shared" si="11"/>
        <v>0</v>
      </c>
      <c r="P31" s="2175">
        <f t="shared" si="11"/>
        <v>0</v>
      </c>
      <c r="Q31" s="2147">
        <f>SUM(E31:P31)</f>
        <v>0</v>
      </c>
      <c r="R31" s="2147">
        <f>Q31-D31</f>
        <v>0</v>
      </c>
      <c r="S31" s="2147">
        <v>0</v>
      </c>
    </row>
    <row r="32" spans="1:19" s="2070" customFormat="1">
      <c r="A32" s="2533"/>
      <c r="B32" s="2113" t="s">
        <v>63</v>
      </c>
      <c r="C32" s="2176"/>
      <c r="D32" s="2177">
        <f t="shared" ref="D32:P32" si="12">D33</f>
        <v>0</v>
      </c>
      <c r="E32" s="2177">
        <f t="shared" si="12"/>
        <v>0</v>
      </c>
      <c r="F32" s="2177">
        <f t="shared" si="12"/>
        <v>0</v>
      </c>
      <c r="G32" s="2177">
        <f t="shared" si="12"/>
        <v>0</v>
      </c>
      <c r="H32" s="2177">
        <f t="shared" si="12"/>
        <v>0</v>
      </c>
      <c r="I32" s="2177">
        <f t="shared" si="12"/>
        <v>0</v>
      </c>
      <c r="J32" s="2177">
        <f t="shared" si="12"/>
        <v>0</v>
      </c>
      <c r="K32" s="2177">
        <f t="shared" si="12"/>
        <v>0</v>
      </c>
      <c r="L32" s="2177">
        <f t="shared" si="12"/>
        <v>0</v>
      </c>
      <c r="M32" s="2177">
        <f t="shared" si="12"/>
        <v>0</v>
      </c>
      <c r="N32" s="2177">
        <f t="shared" si="12"/>
        <v>0</v>
      </c>
      <c r="O32" s="2177">
        <f t="shared" si="12"/>
        <v>0</v>
      </c>
      <c r="P32" s="2177">
        <f t="shared" si="12"/>
        <v>0</v>
      </c>
      <c r="Q32" s="2179">
        <f>SUM(E32:P32)</f>
        <v>0</v>
      </c>
      <c r="R32" s="1891">
        <f t="shared" ref="R32:S41" si="13">Q32-D32</f>
        <v>0</v>
      </c>
      <c r="S32" s="1891">
        <v>0</v>
      </c>
    </row>
    <row r="33" spans="1:19" s="2070" customFormat="1">
      <c r="A33" s="1855"/>
      <c r="B33" s="200" t="s">
        <v>50</v>
      </c>
      <c r="C33" s="200" t="s">
        <v>80</v>
      </c>
      <c r="D33" s="1964">
        <f>TARGET!D35</f>
        <v>0</v>
      </c>
      <c r="E33" s="2160">
        <v>0</v>
      </c>
      <c r="F33" s="2160">
        <v>0</v>
      </c>
      <c r="G33" s="2160">
        <v>0</v>
      </c>
      <c r="H33" s="2160">
        <v>0</v>
      </c>
      <c r="I33" s="2160">
        <v>0</v>
      </c>
      <c r="J33" s="2160">
        <v>0</v>
      </c>
      <c r="K33" s="2160">
        <v>0</v>
      </c>
      <c r="L33" s="2160">
        <v>0</v>
      </c>
      <c r="M33" s="2160">
        <v>0</v>
      </c>
      <c r="N33" s="2160">
        <v>0</v>
      </c>
      <c r="O33" s="2160">
        <v>0</v>
      </c>
      <c r="P33" s="2160">
        <v>0</v>
      </c>
      <c r="Q33" s="2181">
        <f>SUM(E33:P33)</f>
        <v>0</v>
      </c>
      <c r="R33" s="1891">
        <f t="shared" si="13"/>
        <v>0</v>
      </c>
      <c r="S33" s="1891">
        <v>0</v>
      </c>
    </row>
    <row r="34" spans="1:19" s="2070" customFormat="1" ht="8.3000000000000007" customHeight="1">
      <c r="A34" s="1855"/>
      <c r="B34" s="200"/>
      <c r="C34" s="200"/>
      <c r="D34" s="2164"/>
      <c r="E34" s="2164"/>
      <c r="F34" s="2164"/>
      <c r="G34" s="2164"/>
      <c r="H34" s="2164"/>
      <c r="I34" s="2164"/>
      <c r="J34" s="2164"/>
      <c r="K34" s="2164"/>
      <c r="L34" s="2164"/>
      <c r="M34" s="2164"/>
      <c r="N34" s="2164"/>
      <c r="O34" s="2164"/>
      <c r="P34" s="2164"/>
      <c r="Q34" s="2161"/>
      <c r="R34" s="1891">
        <f t="shared" si="13"/>
        <v>0</v>
      </c>
      <c r="S34" s="1891">
        <f t="shared" si="13"/>
        <v>0</v>
      </c>
    </row>
    <row r="35" spans="1:19" s="2070" customFormat="1">
      <c r="A35" s="1855"/>
      <c r="B35" s="202" t="s">
        <v>71</v>
      </c>
      <c r="C35" s="202"/>
      <c r="D35" s="1891">
        <f t="shared" ref="D35:P35" si="14">SUM(D36:D41)</f>
        <v>0</v>
      </c>
      <c r="E35" s="1891">
        <f t="shared" si="14"/>
        <v>0</v>
      </c>
      <c r="F35" s="1891">
        <f t="shared" si="14"/>
        <v>0</v>
      </c>
      <c r="G35" s="1891">
        <f t="shared" si="14"/>
        <v>0</v>
      </c>
      <c r="H35" s="1891">
        <f t="shared" si="14"/>
        <v>0</v>
      </c>
      <c r="I35" s="1891">
        <f t="shared" si="14"/>
        <v>0</v>
      </c>
      <c r="J35" s="1891">
        <f t="shared" si="14"/>
        <v>0</v>
      </c>
      <c r="K35" s="1891">
        <f t="shared" si="14"/>
        <v>0</v>
      </c>
      <c r="L35" s="1891">
        <f t="shared" si="14"/>
        <v>0</v>
      </c>
      <c r="M35" s="1891">
        <f t="shared" si="14"/>
        <v>0</v>
      </c>
      <c r="N35" s="1891">
        <f t="shared" si="14"/>
        <v>0</v>
      </c>
      <c r="O35" s="1891">
        <f t="shared" si="14"/>
        <v>0</v>
      </c>
      <c r="P35" s="1891">
        <f t="shared" si="14"/>
        <v>0</v>
      </c>
      <c r="Q35" s="2161">
        <f>SUM(E35:P35)</f>
        <v>0</v>
      </c>
      <c r="R35" s="1891">
        <f t="shared" si="13"/>
        <v>0</v>
      </c>
      <c r="S35" s="1891">
        <v>0</v>
      </c>
    </row>
    <row r="36" spans="1:19" s="2070" customFormat="1">
      <c r="A36" s="1855"/>
      <c r="B36" s="2727" t="s">
        <v>50</v>
      </c>
      <c r="C36" s="200" t="s">
        <v>72</v>
      </c>
      <c r="D36" s="1964">
        <f>TARGET!D38</f>
        <v>0</v>
      </c>
      <c r="E36" s="2530">
        <v>0</v>
      </c>
      <c r="F36" s="2530">
        <v>0</v>
      </c>
      <c r="G36" s="2530">
        <v>0</v>
      </c>
      <c r="H36" s="2530">
        <v>0</v>
      </c>
      <c r="I36" s="2530">
        <v>0</v>
      </c>
      <c r="J36" s="2530">
        <v>0</v>
      </c>
      <c r="K36" s="2530">
        <v>0</v>
      </c>
      <c r="L36" s="2530">
        <v>0</v>
      </c>
      <c r="M36" s="2530">
        <v>0</v>
      </c>
      <c r="N36" s="2530">
        <v>0</v>
      </c>
      <c r="O36" s="2530">
        <v>0</v>
      </c>
      <c r="P36" s="2530">
        <v>0</v>
      </c>
      <c r="Q36" s="2161">
        <f t="shared" ref="Q36:Q41" si="15">SUM(E36:P36)</f>
        <v>0</v>
      </c>
      <c r="R36" s="1891">
        <f t="shared" si="13"/>
        <v>0</v>
      </c>
      <c r="S36" s="1891">
        <v>0</v>
      </c>
    </row>
    <row r="37" spans="1:19" s="2070" customFormat="1">
      <c r="A37" s="1855"/>
      <c r="B37" s="2727" t="s">
        <v>50</v>
      </c>
      <c r="C37" s="200" t="s">
        <v>73</v>
      </c>
      <c r="D37" s="1964">
        <f>TARGET!D39</f>
        <v>0</v>
      </c>
      <c r="E37" s="2530"/>
      <c r="F37" s="2530"/>
      <c r="G37" s="2530"/>
      <c r="H37" s="2530"/>
      <c r="I37" s="2530"/>
      <c r="J37" s="2530"/>
      <c r="K37" s="2530"/>
      <c r="L37" s="2530"/>
      <c r="M37" s="2530"/>
      <c r="N37" s="2530"/>
      <c r="O37" s="2530"/>
      <c r="P37" s="2530"/>
      <c r="Q37" s="2161">
        <f t="shared" si="15"/>
        <v>0</v>
      </c>
      <c r="R37" s="1891">
        <f t="shared" si="13"/>
        <v>0</v>
      </c>
      <c r="S37" s="1891">
        <v>0</v>
      </c>
    </row>
    <row r="38" spans="1:19" s="2070" customFormat="1">
      <c r="A38" s="1855"/>
      <c r="B38" s="2727" t="s">
        <v>50</v>
      </c>
      <c r="C38" s="200" t="s">
        <v>74</v>
      </c>
      <c r="D38" s="1964">
        <f>TARGET!D40</f>
        <v>0</v>
      </c>
      <c r="E38" s="2530"/>
      <c r="F38" s="2530"/>
      <c r="G38" s="2530"/>
      <c r="H38" s="2530"/>
      <c r="I38" s="2530"/>
      <c r="J38" s="2530"/>
      <c r="K38" s="2530"/>
      <c r="L38" s="2530"/>
      <c r="M38" s="2530"/>
      <c r="N38" s="2530"/>
      <c r="O38" s="2530"/>
      <c r="P38" s="2530"/>
      <c r="Q38" s="2161">
        <f t="shared" si="15"/>
        <v>0</v>
      </c>
      <c r="R38" s="1891">
        <f t="shared" si="13"/>
        <v>0</v>
      </c>
      <c r="S38" s="1891">
        <v>0</v>
      </c>
    </row>
    <row r="39" spans="1:19" s="2070" customFormat="1">
      <c r="A39" s="1855"/>
      <c r="B39" s="2727" t="s">
        <v>50</v>
      </c>
      <c r="C39" s="200" t="s">
        <v>75</v>
      </c>
      <c r="D39" s="1964">
        <f>TARGET!D41</f>
        <v>0</v>
      </c>
      <c r="E39" s="2530">
        <v>0</v>
      </c>
      <c r="F39" s="2530">
        <v>0</v>
      </c>
      <c r="G39" s="2530">
        <v>0</v>
      </c>
      <c r="H39" s="2530">
        <v>0</v>
      </c>
      <c r="I39" s="2530">
        <v>0</v>
      </c>
      <c r="J39" s="2530">
        <v>0</v>
      </c>
      <c r="K39" s="2530">
        <v>0</v>
      </c>
      <c r="L39" s="2530">
        <v>0</v>
      </c>
      <c r="M39" s="2530">
        <v>0</v>
      </c>
      <c r="N39" s="2530">
        <v>0</v>
      </c>
      <c r="O39" s="2530">
        <v>0</v>
      </c>
      <c r="P39" s="2530">
        <v>0</v>
      </c>
      <c r="Q39" s="2161">
        <f t="shared" si="15"/>
        <v>0</v>
      </c>
      <c r="R39" s="1891">
        <f t="shared" si="13"/>
        <v>0</v>
      </c>
      <c r="S39" s="1891">
        <v>0</v>
      </c>
    </row>
    <row r="40" spans="1:19" s="2070" customFormat="1">
      <c r="A40" s="1855"/>
      <c r="B40" s="200" t="s">
        <v>50</v>
      </c>
      <c r="C40" s="200" t="s">
        <v>76</v>
      </c>
      <c r="D40" s="1964">
        <f>TARGET!D42</f>
        <v>0</v>
      </c>
      <c r="E40" s="2530">
        <v>0</v>
      </c>
      <c r="F40" s="2530">
        <v>0</v>
      </c>
      <c r="G40" s="2530">
        <v>0</v>
      </c>
      <c r="H40" s="2530">
        <v>0</v>
      </c>
      <c r="I40" s="2530">
        <v>0</v>
      </c>
      <c r="J40" s="2530">
        <v>0</v>
      </c>
      <c r="K40" s="2530">
        <v>0</v>
      </c>
      <c r="L40" s="2530">
        <v>0</v>
      </c>
      <c r="M40" s="2530">
        <v>0</v>
      </c>
      <c r="N40" s="2530">
        <v>0</v>
      </c>
      <c r="O40" s="2530">
        <v>0</v>
      </c>
      <c r="P40" s="2530">
        <v>0</v>
      </c>
      <c r="Q40" s="2161">
        <f t="shared" si="15"/>
        <v>0</v>
      </c>
      <c r="R40" s="1891">
        <f t="shared" si="13"/>
        <v>0</v>
      </c>
      <c r="S40" s="1891">
        <v>0</v>
      </c>
    </row>
    <row r="41" spans="1:19" s="2070" customFormat="1">
      <c r="A41" s="1886"/>
      <c r="B41" s="2729" t="s">
        <v>50</v>
      </c>
      <c r="C41" s="200" t="s">
        <v>81</v>
      </c>
      <c r="D41" s="1964">
        <f>TARGET!D43</f>
        <v>0</v>
      </c>
      <c r="E41" s="2534"/>
      <c r="F41" s="2534"/>
      <c r="G41" s="2534"/>
      <c r="H41" s="2534"/>
      <c r="I41" s="2534"/>
      <c r="J41" s="2534"/>
      <c r="K41" s="2534"/>
      <c r="L41" s="2534"/>
      <c r="M41" s="2534"/>
      <c r="N41" s="2534"/>
      <c r="O41" s="2534"/>
      <c r="P41" s="2534"/>
      <c r="Q41" s="2161">
        <f t="shared" si="15"/>
        <v>0</v>
      </c>
      <c r="R41" s="1891">
        <f t="shared" si="13"/>
        <v>0</v>
      </c>
      <c r="S41" s="1891">
        <v>0</v>
      </c>
    </row>
    <row r="42" spans="1:19" s="2070" customFormat="1" ht="5.95" customHeight="1">
      <c r="A42" s="2535"/>
      <c r="B42" s="2117"/>
      <c r="C42" s="2117"/>
      <c r="D42" s="2182"/>
      <c r="E42" s="2182"/>
      <c r="F42" s="2182"/>
      <c r="G42" s="2182"/>
      <c r="H42" s="2182"/>
      <c r="I42" s="2182"/>
      <c r="J42" s="2182"/>
      <c r="K42" s="2182"/>
      <c r="L42" s="2182"/>
      <c r="M42" s="2182"/>
      <c r="N42" s="2182"/>
      <c r="O42" s="2182"/>
      <c r="P42" s="2182"/>
      <c r="Q42" s="1469"/>
      <c r="R42" s="1469"/>
      <c r="S42" s="1469"/>
    </row>
    <row r="43" spans="1:19" s="2073" customFormat="1" ht="15.65">
      <c r="A43" s="2536"/>
      <c r="B43" s="2119" t="s">
        <v>82</v>
      </c>
      <c r="C43" s="2185"/>
      <c r="D43" s="2186">
        <f t="shared" ref="D43:P43" si="16">D44+D47</f>
        <v>4500000000</v>
      </c>
      <c r="E43" s="2186">
        <f t="shared" si="16"/>
        <v>0</v>
      </c>
      <c r="F43" s="2186">
        <f t="shared" si="16"/>
        <v>0</v>
      </c>
      <c r="G43" s="2186">
        <f t="shared" si="16"/>
        <v>0</v>
      </c>
      <c r="H43" s="2186">
        <f t="shared" si="16"/>
        <v>0</v>
      </c>
      <c r="I43" s="2186">
        <f t="shared" si="16"/>
        <v>0</v>
      </c>
      <c r="J43" s="2186">
        <f t="shared" si="16"/>
        <v>0</v>
      </c>
      <c r="K43" s="2186">
        <f t="shared" si="16"/>
        <v>0</v>
      </c>
      <c r="L43" s="2186">
        <f t="shared" si="16"/>
        <v>0</v>
      </c>
      <c r="M43" s="2186">
        <f t="shared" si="16"/>
        <v>0</v>
      </c>
      <c r="N43" s="2186">
        <f t="shared" si="16"/>
        <v>0</v>
      </c>
      <c r="O43" s="2186">
        <f t="shared" si="16"/>
        <v>0</v>
      </c>
      <c r="P43" s="2186">
        <f t="shared" si="16"/>
        <v>0</v>
      </c>
      <c r="Q43" s="2147">
        <f>SUM(E43:P43)</f>
        <v>0</v>
      </c>
      <c r="R43" s="2147">
        <f>Q43-D43</f>
        <v>-4500000000</v>
      </c>
      <c r="S43" s="2147">
        <f>Q43/D43*100</f>
        <v>0</v>
      </c>
    </row>
    <row r="44" spans="1:19" s="2070" customFormat="1">
      <c r="A44" s="2537"/>
      <c r="B44" s="2121" t="s">
        <v>83</v>
      </c>
      <c r="C44" s="2121"/>
      <c r="D44" s="2187">
        <f t="shared" ref="D44:P44" si="17">SUM(D45)</f>
        <v>4500000000</v>
      </c>
      <c r="E44" s="2187">
        <f t="shared" si="17"/>
        <v>0</v>
      </c>
      <c r="F44" s="2187">
        <f t="shared" si="17"/>
        <v>0</v>
      </c>
      <c r="G44" s="2187">
        <f t="shared" si="17"/>
        <v>0</v>
      </c>
      <c r="H44" s="2187">
        <f t="shared" si="17"/>
        <v>0</v>
      </c>
      <c r="I44" s="2187">
        <f t="shared" si="17"/>
        <v>0</v>
      </c>
      <c r="J44" s="2187">
        <f t="shared" si="17"/>
        <v>0</v>
      </c>
      <c r="K44" s="2187">
        <f t="shared" si="17"/>
        <v>0</v>
      </c>
      <c r="L44" s="2187">
        <f t="shared" si="17"/>
        <v>0</v>
      </c>
      <c r="M44" s="2187">
        <f t="shared" si="17"/>
        <v>0</v>
      </c>
      <c r="N44" s="2187">
        <f t="shared" si="17"/>
        <v>0</v>
      </c>
      <c r="O44" s="2187">
        <f t="shared" si="17"/>
        <v>0</v>
      </c>
      <c r="P44" s="2187">
        <f t="shared" si="17"/>
        <v>0</v>
      </c>
      <c r="Q44" s="2161">
        <f>SUM(E44:P44)</f>
        <v>0</v>
      </c>
      <c r="R44" s="1891">
        <f t="shared" ref="R44:S52" si="18">Q44-D44</f>
        <v>-4500000000</v>
      </c>
      <c r="S44" s="1891">
        <f>Q44/D44*100</f>
        <v>0</v>
      </c>
    </row>
    <row r="45" spans="1:19" s="2070" customFormat="1">
      <c r="A45" s="2538"/>
      <c r="B45" s="2730" t="s">
        <v>50</v>
      </c>
      <c r="C45" s="206" t="s">
        <v>84</v>
      </c>
      <c r="D45" s="1964">
        <f>TARGET!D47</f>
        <v>4500000000</v>
      </c>
      <c r="E45" s="2160">
        <v>0</v>
      </c>
      <c r="F45" s="2160">
        <v>0</v>
      </c>
      <c r="G45" s="2160">
        <v>0</v>
      </c>
      <c r="H45" s="2160">
        <v>0</v>
      </c>
      <c r="I45" s="2160">
        <v>0</v>
      </c>
      <c r="J45" s="2160">
        <v>0</v>
      </c>
      <c r="K45" s="2160">
        <v>0</v>
      </c>
      <c r="L45" s="2160">
        <v>0</v>
      </c>
      <c r="M45" s="2160">
        <v>0</v>
      </c>
      <c r="N45" s="2160">
        <v>0</v>
      </c>
      <c r="O45" s="2160">
        <v>0</v>
      </c>
      <c r="P45" s="2160">
        <v>0</v>
      </c>
      <c r="Q45" s="2161">
        <f>SUM(E45:P45)</f>
        <v>0</v>
      </c>
      <c r="R45" s="1891">
        <f t="shared" si="18"/>
        <v>-4500000000</v>
      </c>
      <c r="S45" s="1891">
        <f>Q45/D45*100</f>
        <v>0</v>
      </c>
    </row>
    <row r="46" spans="1:19" s="2070" customFormat="1" ht="5.95" customHeight="1">
      <c r="A46" s="2538"/>
      <c r="B46" s="206"/>
      <c r="C46" s="206"/>
      <c r="D46" s="2188"/>
      <c r="E46" s="2188"/>
      <c r="F46" s="2188"/>
      <c r="G46" s="2188"/>
      <c r="H46" s="2188"/>
      <c r="I46" s="2188"/>
      <c r="J46" s="2188"/>
      <c r="K46" s="2188"/>
      <c r="L46" s="2188"/>
      <c r="M46" s="2188"/>
      <c r="N46" s="2188"/>
      <c r="O46" s="2188"/>
      <c r="P46" s="2188"/>
      <c r="Q46" s="2189"/>
      <c r="R46" s="1891">
        <f t="shared" si="18"/>
        <v>0</v>
      </c>
      <c r="S46" s="1891">
        <f t="shared" si="18"/>
        <v>0</v>
      </c>
    </row>
    <row r="47" spans="1:19" s="2070" customFormat="1">
      <c r="A47" s="2539"/>
      <c r="B47" s="2124" t="s">
        <v>71</v>
      </c>
      <c r="C47" s="2124"/>
      <c r="D47" s="2190">
        <f>SUM(D48:D52)</f>
        <v>0</v>
      </c>
      <c r="E47" s="2190">
        <f t="shared" ref="E47:P47" si="19">SUM(E48:E52)</f>
        <v>0</v>
      </c>
      <c r="F47" s="2190">
        <f t="shared" si="19"/>
        <v>0</v>
      </c>
      <c r="G47" s="2190">
        <f t="shared" si="19"/>
        <v>0</v>
      </c>
      <c r="H47" s="2190">
        <f t="shared" si="19"/>
        <v>0</v>
      </c>
      <c r="I47" s="2190">
        <f t="shared" si="19"/>
        <v>0</v>
      </c>
      <c r="J47" s="2190">
        <f t="shared" si="19"/>
        <v>0</v>
      </c>
      <c r="K47" s="2190">
        <f t="shared" si="19"/>
        <v>0</v>
      </c>
      <c r="L47" s="2190">
        <f t="shared" si="19"/>
        <v>0</v>
      </c>
      <c r="M47" s="2190">
        <f t="shared" si="19"/>
        <v>0</v>
      </c>
      <c r="N47" s="2190">
        <f t="shared" si="19"/>
        <v>0</v>
      </c>
      <c r="O47" s="2190">
        <f t="shared" si="19"/>
        <v>0</v>
      </c>
      <c r="P47" s="2190">
        <f t="shared" si="19"/>
        <v>0</v>
      </c>
      <c r="Q47" s="2161">
        <f t="shared" ref="Q47:Q52" si="20">SUM(E47:P47)</f>
        <v>0</v>
      </c>
      <c r="R47" s="1891">
        <f t="shared" si="18"/>
        <v>0</v>
      </c>
      <c r="S47" s="1891">
        <v>0</v>
      </c>
    </row>
    <row r="48" spans="1:19" s="2070" customFormat="1">
      <c r="A48" s="2539"/>
      <c r="B48" s="2730" t="s">
        <v>50</v>
      </c>
      <c r="C48" s="200" t="s">
        <v>72</v>
      </c>
      <c r="D48" s="1964">
        <f>TARGET!D50</f>
        <v>0</v>
      </c>
      <c r="E48" s="2540">
        <v>0</v>
      </c>
      <c r="F48" s="2540">
        <v>0</v>
      </c>
      <c r="G48" s="2540">
        <v>0</v>
      </c>
      <c r="H48" s="2540">
        <v>0</v>
      </c>
      <c r="I48" s="2540">
        <v>0</v>
      </c>
      <c r="J48" s="2540">
        <v>0</v>
      </c>
      <c r="K48" s="2540">
        <v>0</v>
      </c>
      <c r="L48" s="2540">
        <v>0</v>
      </c>
      <c r="M48" s="2540">
        <v>0</v>
      </c>
      <c r="N48" s="2540">
        <v>0</v>
      </c>
      <c r="O48" s="2540">
        <v>0</v>
      </c>
      <c r="P48" s="2540">
        <v>0</v>
      </c>
      <c r="Q48" s="2161">
        <f t="shared" si="20"/>
        <v>0</v>
      </c>
      <c r="R48" s="1891">
        <f t="shared" si="18"/>
        <v>0</v>
      </c>
      <c r="S48" s="1891">
        <v>0</v>
      </c>
    </row>
    <row r="49" spans="1:19" s="2070" customFormat="1">
      <c r="A49" s="2539"/>
      <c r="B49" s="2730" t="s">
        <v>50</v>
      </c>
      <c r="C49" s="200" t="s">
        <v>73</v>
      </c>
      <c r="D49" s="1964">
        <f>TARGET!D51</f>
        <v>0</v>
      </c>
      <c r="E49" s="2540">
        <v>0</v>
      </c>
      <c r="F49" s="2540">
        <v>0</v>
      </c>
      <c r="G49" s="2540">
        <v>0</v>
      </c>
      <c r="H49" s="2540">
        <v>0</v>
      </c>
      <c r="I49" s="2540">
        <v>0</v>
      </c>
      <c r="J49" s="2540">
        <v>0</v>
      </c>
      <c r="K49" s="2540">
        <v>0</v>
      </c>
      <c r="L49" s="2540">
        <v>0</v>
      </c>
      <c r="M49" s="2540">
        <v>0</v>
      </c>
      <c r="N49" s="2540">
        <v>0</v>
      </c>
      <c r="O49" s="2540">
        <v>0</v>
      </c>
      <c r="P49" s="2540">
        <v>0</v>
      </c>
      <c r="Q49" s="2161">
        <f t="shared" si="20"/>
        <v>0</v>
      </c>
      <c r="R49" s="1891">
        <f t="shared" si="18"/>
        <v>0</v>
      </c>
      <c r="S49" s="1891">
        <v>0</v>
      </c>
    </row>
    <row r="50" spans="1:19" s="2070" customFormat="1">
      <c r="A50" s="2539"/>
      <c r="B50" s="2730" t="s">
        <v>50</v>
      </c>
      <c r="C50" s="200" t="s">
        <v>74</v>
      </c>
      <c r="D50" s="1964">
        <f>TARGET!D52</f>
        <v>0</v>
      </c>
      <c r="E50" s="2540">
        <v>0</v>
      </c>
      <c r="F50" s="2540">
        <v>0</v>
      </c>
      <c r="G50" s="2540">
        <v>0</v>
      </c>
      <c r="H50" s="2540">
        <v>0</v>
      </c>
      <c r="I50" s="2540">
        <v>0</v>
      </c>
      <c r="J50" s="2540">
        <v>0</v>
      </c>
      <c r="K50" s="2540">
        <v>0</v>
      </c>
      <c r="L50" s="2540">
        <v>0</v>
      </c>
      <c r="M50" s="2540">
        <v>0</v>
      </c>
      <c r="N50" s="2540">
        <v>0</v>
      </c>
      <c r="O50" s="2540">
        <v>0</v>
      </c>
      <c r="P50" s="2540">
        <v>0</v>
      </c>
      <c r="Q50" s="2161">
        <f t="shared" si="20"/>
        <v>0</v>
      </c>
      <c r="R50" s="1891">
        <f t="shared" si="18"/>
        <v>0</v>
      </c>
      <c r="S50" s="1891">
        <v>0</v>
      </c>
    </row>
    <row r="51" spans="1:19" s="2070" customFormat="1">
      <c r="A51" s="2538"/>
      <c r="B51" s="2730" t="s">
        <v>50</v>
      </c>
      <c r="C51" s="206" t="s">
        <v>75</v>
      </c>
      <c r="D51" s="1964">
        <f>TARGET!D53</f>
        <v>0</v>
      </c>
      <c r="E51" s="2241">
        <v>0</v>
      </c>
      <c r="F51" s="2241">
        <v>0</v>
      </c>
      <c r="G51" s="2241">
        <v>0</v>
      </c>
      <c r="H51" s="2241">
        <v>0</v>
      </c>
      <c r="I51" s="2241">
        <v>0</v>
      </c>
      <c r="J51" s="2241">
        <v>0</v>
      </c>
      <c r="K51" s="2241">
        <v>0</v>
      </c>
      <c r="L51" s="2241">
        <v>0</v>
      </c>
      <c r="M51" s="2241">
        <v>0</v>
      </c>
      <c r="N51" s="2241">
        <v>0</v>
      </c>
      <c r="O51" s="2241">
        <v>0</v>
      </c>
      <c r="P51" s="2241">
        <v>0</v>
      </c>
      <c r="Q51" s="2161">
        <f t="shared" si="20"/>
        <v>0</v>
      </c>
      <c r="R51" s="1891">
        <f>Q51-D51</f>
        <v>0</v>
      </c>
      <c r="S51" s="1891">
        <v>0</v>
      </c>
    </row>
    <row r="52" spans="1:19" s="2070" customFormat="1">
      <c r="A52" s="2541"/>
      <c r="B52" s="2730" t="s">
        <v>50</v>
      </c>
      <c r="C52" s="206" t="s">
        <v>85</v>
      </c>
      <c r="D52" s="1964">
        <f>TARGET!D54</f>
        <v>0</v>
      </c>
      <c r="E52" s="2241">
        <v>0</v>
      </c>
      <c r="F52" s="2241">
        <v>0</v>
      </c>
      <c r="G52" s="2241">
        <v>0</v>
      </c>
      <c r="H52" s="2241">
        <v>0</v>
      </c>
      <c r="I52" s="2241">
        <v>0</v>
      </c>
      <c r="J52" s="2241">
        <v>0</v>
      </c>
      <c r="K52" s="2241">
        <v>0</v>
      </c>
      <c r="L52" s="2241">
        <v>0</v>
      </c>
      <c r="M52" s="2241">
        <v>0</v>
      </c>
      <c r="N52" s="2241">
        <v>0</v>
      </c>
      <c r="O52" s="2241">
        <v>0</v>
      </c>
      <c r="P52" s="2241">
        <v>0</v>
      </c>
      <c r="Q52" s="2161">
        <f t="shared" si="20"/>
        <v>0</v>
      </c>
      <c r="R52" s="1891">
        <f t="shared" si="18"/>
        <v>0</v>
      </c>
      <c r="S52" s="1891">
        <v>0</v>
      </c>
    </row>
    <row r="53" spans="1:19" s="2070" customFormat="1" ht="5.35" customHeight="1">
      <c r="A53" s="2535"/>
      <c r="B53" s="2127"/>
      <c r="C53" s="2127"/>
      <c r="D53" s="2191"/>
      <c r="E53" s="2191"/>
      <c r="F53" s="2191"/>
      <c r="G53" s="2191"/>
      <c r="H53" s="2191"/>
      <c r="I53" s="2191"/>
      <c r="J53" s="2191"/>
      <c r="K53" s="2191"/>
      <c r="L53" s="2191"/>
      <c r="M53" s="2191"/>
      <c r="N53" s="2191"/>
      <c r="O53" s="2191"/>
      <c r="P53" s="2191"/>
      <c r="Q53" s="2193"/>
      <c r="R53" s="2193"/>
      <c r="S53" s="2193"/>
    </row>
    <row r="54" spans="1:19" s="2073" customFormat="1" ht="15.65">
      <c r="A54" s="2542"/>
      <c r="B54" s="2093" t="s">
        <v>86</v>
      </c>
      <c r="C54" s="2195"/>
      <c r="D54" s="2147">
        <f t="shared" ref="D54:P54" si="21">D55+D59</f>
        <v>3000000000</v>
      </c>
      <c r="E54" s="2147">
        <f t="shared" si="21"/>
        <v>0</v>
      </c>
      <c r="F54" s="2147">
        <f t="shared" si="21"/>
        <v>0</v>
      </c>
      <c r="G54" s="2147">
        <f t="shared" si="21"/>
        <v>0</v>
      </c>
      <c r="H54" s="2147">
        <f t="shared" si="21"/>
        <v>0</v>
      </c>
      <c r="I54" s="2147">
        <f t="shared" si="21"/>
        <v>0</v>
      </c>
      <c r="J54" s="2147">
        <f t="shared" si="21"/>
        <v>0</v>
      </c>
      <c r="K54" s="2147">
        <f t="shared" si="21"/>
        <v>0</v>
      </c>
      <c r="L54" s="2147">
        <f t="shared" si="21"/>
        <v>0</v>
      </c>
      <c r="M54" s="2147">
        <f t="shared" si="21"/>
        <v>0</v>
      </c>
      <c r="N54" s="2147">
        <f t="shared" si="21"/>
        <v>0</v>
      </c>
      <c r="O54" s="2147">
        <f t="shared" si="21"/>
        <v>0</v>
      </c>
      <c r="P54" s="2147">
        <f t="shared" si="21"/>
        <v>0</v>
      </c>
      <c r="Q54" s="2147">
        <f>SUM(E54:P54)</f>
        <v>0</v>
      </c>
      <c r="R54" s="2147">
        <f>Q54-D54</f>
        <v>-3000000000</v>
      </c>
      <c r="S54" s="2147">
        <f>Q54/D54*100</f>
        <v>0</v>
      </c>
    </row>
    <row r="55" spans="1:19" s="2074" customFormat="1">
      <c r="A55" s="2537"/>
      <c r="B55" s="2121" t="s">
        <v>83</v>
      </c>
      <c r="C55" s="2121"/>
      <c r="D55" s="2151">
        <f>SUM(D56)</f>
        <v>3000000000</v>
      </c>
      <c r="E55" s="2151">
        <f t="shared" ref="E55:P56" si="22">SUM(E56)</f>
        <v>0</v>
      </c>
      <c r="F55" s="2151">
        <f t="shared" si="22"/>
        <v>0</v>
      </c>
      <c r="G55" s="2151">
        <f t="shared" si="22"/>
        <v>0</v>
      </c>
      <c r="H55" s="2151">
        <f t="shared" si="22"/>
        <v>0</v>
      </c>
      <c r="I55" s="2151">
        <f t="shared" si="22"/>
        <v>0</v>
      </c>
      <c r="J55" s="2151">
        <f t="shared" si="22"/>
        <v>0</v>
      </c>
      <c r="K55" s="2151">
        <f t="shared" si="22"/>
        <v>0</v>
      </c>
      <c r="L55" s="2151">
        <f t="shared" si="22"/>
        <v>0</v>
      </c>
      <c r="M55" s="2151">
        <f t="shared" si="22"/>
        <v>0</v>
      </c>
      <c r="N55" s="2151">
        <f t="shared" si="22"/>
        <v>0</v>
      </c>
      <c r="O55" s="2151">
        <f t="shared" si="22"/>
        <v>0</v>
      </c>
      <c r="P55" s="2151">
        <f t="shared" si="22"/>
        <v>0</v>
      </c>
      <c r="Q55" s="2161">
        <f t="shared" ref="Q55:Q64" si="23">SUM(E55:P55)</f>
        <v>0</v>
      </c>
      <c r="R55" s="1891">
        <f t="shared" ref="R55:S64" si="24">Q55-D55</f>
        <v>-3000000000</v>
      </c>
      <c r="S55" s="1891">
        <f>Q55/D55*100</f>
        <v>0</v>
      </c>
    </row>
    <row r="56" spans="1:19" s="2070" customFormat="1">
      <c r="A56" s="2538"/>
      <c r="B56" s="2730" t="s">
        <v>50</v>
      </c>
      <c r="C56" s="206" t="s">
        <v>84</v>
      </c>
      <c r="D56" s="2196">
        <f>SUM(D57)</f>
        <v>3000000000</v>
      </c>
      <c r="E56" s="2196">
        <f t="shared" si="22"/>
        <v>0</v>
      </c>
      <c r="F56" s="2196">
        <f t="shared" si="22"/>
        <v>0</v>
      </c>
      <c r="G56" s="2196">
        <f t="shared" si="22"/>
        <v>0</v>
      </c>
      <c r="H56" s="2196">
        <f t="shared" si="22"/>
        <v>0</v>
      </c>
      <c r="I56" s="2196">
        <f t="shared" si="22"/>
        <v>0</v>
      </c>
      <c r="J56" s="2196">
        <f t="shared" si="22"/>
        <v>0</v>
      </c>
      <c r="K56" s="2196">
        <f t="shared" si="22"/>
        <v>0</v>
      </c>
      <c r="L56" s="2196">
        <f t="shared" si="22"/>
        <v>0</v>
      </c>
      <c r="M56" s="2196">
        <f t="shared" si="22"/>
        <v>0</v>
      </c>
      <c r="N56" s="2196">
        <f t="shared" si="22"/>
        <v>0</v>
      </c>
      <c r="O56" s="2196">
        <f t="shared" si="22"/>
        <v>0</v>
      </c>
      <c r="P56" s="2196">
        <f t="shared" si="22"/>
        <v>0</v>
      </c>
      <c r="Q56" s="2161">
        <f t="shared" si="23"/>
        <v>0</v>
      </c>
      <c r="R56" s="1891">
        <f t="shared" si="24"/>
        <v>-3000000000</v>
      </c>
      <c r="S56" s="1891">
        <f>Q56/D56*100</f>
        <v>0</v>
      </c>
    </row>
    <row r="57" spans="1:19" s="2070" customFormat="1">
      <c r="A57" s="2538"/>
      <c r="B57" s="206"/>
      <c r="C57" s="2730" t="s">
        <v>87</v>
      </c>
      <c r="D57" s="1964">
        <f>TARGET!D59</f>
        <v>3000000000</v>
      </c>
      <c r="E57" s="2160">
        <v>0</v>
      </c>
      <c r="F57" s="2160">
        <v>0</v>
      </c>
      <c r="G57" s="2160">
        <v>0</v>
      </c>
      <c r="H57" s="2160">
        <v>0</v>
      </c>
      <c r="I57" s="2160">
        <v>0</v>
      </c>
      <c r="J57" s="2160">
        <v>0</v>
      </c>
      <c r="K57" s="2160">
        <v>0</v>
      </c>
      <c r="L57" s="2160">
        <v>0</v>
      </c>
      <c r="M57" s="2160">
        <v>0</v>
      </c>
      <c r="N57" s="2160">
        <v>0</v>
      </c>
      <c r="O57" s="2160">
        <v>0</v>
      </c>
      <c r="P57" s="2160">
        <v>0</v>
      </c>
      <c r="Q57" s="2161">
        <f t="shared" si="23"/>
        <v>0</v>
      </c>
      <c r="R57" s="1891">
        <f t="shared" si="24"/>
        <v>-3000000000</v>
      </c>
      <c r="S57" s="1891">
        <f>Q57/D57*100</f>
        <v>0</v>
      </c>
    </row>
    <row r="58" spans="1:19" s="2070" customFormat="1" ht="5.95" customHeight="1">
      <c r="A58" s="2538"/>
      <c r="B58" s="206"/>
      <c r="C58" s="206"/>
      <c r="D58" s="2188"/>
      <c r="E58" s="2188"/>
      <c r="F58" s="2188"/>
      <c r="G58" s="2188"/>
      <c r="H58" s="2188"/>
      <c r="I58" s="2188"/>
      <c r="J58" s="2188"/>
      <c r="K58" s="2188"/>
      <c r="L58" s="2188"/>
      <c r="M58" s="2188"/>
      <c r="N58" s="2188"/>
      <c r="O58" s="2188"/>
      <c r="P58" s="2188"/>
      <c r="Q58" s="2161"/>
      <c r="R58" s="1891">
        <f t="shared" si="24"/>
        <v>0</v>
      </c>
      <c r="S58" s="1891">
        <f t="shared" si="24"/>
        <v>0</v>
      </c>
    </row>
    <row r="59" spans="1:19" s="2070" customFormat="1">
      <c r="A59" s="2538"/>
      <c r="B59" s="2124" t="s">
        <v>71</v>
      </c>
      <c r="C59" s="2124"/>
      <c r="D59" s="2190">
        <f>SUM(D60:D64)</f>
        <v>0</v>
      </c>
      <c r="E59" s="2190">
        <f t="shared" ref="E59:P59" si="25">SUM(E60:E64)</f>
        <v>0</v>
      </c>
      <c r="F59" s="2190">
        <f t="shared" si="25"/>
        <v>0</v>
      </c>
      <c r="G59" s="2190">
        <f t="shared" si="25"/>
        <v>0</v>
      </c>
      <c r="H59" s="2190">
        <f t="shared" si="25"/>
        <v>0</v>
      </c>
      <c r="I59" s="2190">
        <f t="shared" si="25"/>
        <v>0</v>
      </c>
      <c r="J59" s="2190">
        <f t="shared" si="25"/>
        <v>0</v>
      </c>
      <c r="K59" s="2190">
        <f t="shared" si="25"/>
        <v>0</v>
      </c>
      <c r="L59" s="2190">
        <f t="shared" si="25"/>
        <v>0</v>
      </c>
      <c r="M59" s="2190">
        <f t="shared" si="25"/>
        <v>0</v>
      </c>
      <c r="N59" s="2190">
        <f t="shared" si="25"/>
        <v>0</v>
      </c>
      <c r="O59" s="2190">
        <f t="shared" si="25"/>
        <v>0</v>
      </c>
      <c r="P59" s="2190">
        <f t="shared" si="25"/>
        <v>0</v>
      </c>
      <c r="Q59" s="2161">
        <f>SUM(E59:P59)</f>
        <v>0</v>
      </c>
      <c r="R59" s="1891">
        <f t="shared" si="24"/>
        <v>0</v>
      </c>
      <c r="S59" s="1891">
        <v>0</v>
      </c>
    </row>
    <row r="60" spans="1:19" s="2070" customFormat="1">
      <c r="A60" s="2538"/>
      <c r="B60" s="2731" t="s">
        <v>50</v>
      </c>
      <c r="C60" s="200" t="s">
        <v>72</v>
      </c>
      <c r="D60" s="1964">
        <f>TARGET!D62</f>
        <v>0</v>
      </c>
      <c r="E60" s="2540">
        <v>0</v>
      </c>
      <c r="F60" s="2540">
        <v>0</v>
      </c>
      <c r="G60" s="2540">
        <v>0</v>
      </c>
      <c r="H60" s="2540">
        <v>0</v>
      </c>
      <c r="I60" s="2540">
        <v>0</v>
      </c>
      <c r="J60" s="2540">
        <v>0</v>
      </c>
      <c r="K60" s="2540">
        <v>0</v>
      </c>
      <c r="L60" s="2540">
        <v>0</v>
      </c>
      <c r="M60" s="2540">
        <v>0</v>
      </c>
      <c r="N60" s="2540">
        <v>0</v>
      </c>
      <c r="O60" s="2540">
        <v>0</v>
      </c>
      <c r="P60" s="2540">
        <v>0</v>
      </c>
      <c r="Q60" s="2161">
        <f>SUM(E60:P60)</f>
        <v>0</v>
      </c>
      <c r="R60" s="1891">
        <f t="shared" si="24"/>
        <v>0</v>
      </c>
      <c r="S60" s="1891">
        <v>0</v>
      </c>
    </row>
    <row r="61" spans="1:19" s="2070" customFormat="1">
      <c r="A61" s="2538"/>
      <c r="B61" s="2731" t="s">
        <v>50</v>
      </c>
      <c r="C61" s="200" t="s">
        <v>73</v>
      </c>
      <c r="D61" s="1964">
        <f>TARGET!D63</f>
        <v>0</v>
      </c>
      <c r="E61" s="2540">
        <v>0</v>
      </c>
      <c r="F61" s="2540">
        <v>0</v>
      </c>
      <c r="G61" s="2540">
        <v>0</v>
      </c>
      <c r="H61" s="2540">
        <v>0</v>
      </c>
      <c r="I61" s="2540">
        <v>0</v>
      </c>
      <c r="J61" s="2540">
        <v>0</v>
      </c>
      <c r="K61" s="2540">
        <v>0</v>
      </c>
      <c r="L61" s="2540">
        <v>0</v>
      </c>
      <c r="M61" s="2540">
        <v>0</v>
      </c>
      <c r="N61" s="2540">
        <v>0</v>
      </c>
      <c r="O61" s="2540">
        <v>0</v>
      </c>
      <c r="P61" s="2540">
        <v>0</v>
      </c>
      <c r="Q61" s="2161">
        <f t="shared" si="23"/>
        <v>0</v>
      </c>
      <c r="R61" s="1891">
        <f t="shared" si="24"/>
        <v>0</v>
      </c>
      <c r="S61" s="1891">
        <v>0</v>
      </c>
    </row>
    <row r="62" spans="1:19" s="2070" customFormat="1">
      <c r="A62" s="2538"/>
      <c r="B62" s="2731" t="s">
        <v>50</v>
      </c>
      <c r="C62" s="200" t="s">
        <v>74</v>
      </c>
      <c r="D62" s="1964">
        <f>TARGET!D64</f>
        <v>0</v>
      </c>
      <c r="E62" s="2540">
        <v>0</v>
      </c>
      <c r="F62" s="2540">
        <v>0</v>
      </c>
      <c r="G62" s="2540">
        <v>0</v>
      </c>
      <c r="H62" s="2540">
        <v>0</v>
      </c>
      <c r="I62" s="2540">
        <v>0</v>
      </c>
      <c r="J62" s="2540">
        <v>0</v>
      </c>
      <c r="K62" s="2540">
        <v>0</v>
      </c>
      <c r="L62" s="2540">
        <v>0</v>
      </c>
      <c r="M62" s="2540">
        <v>0</v>
      </c>
      <c r="N62" s="2540">
        <v>0</v>
      </c>
      <c r="O62" s="2540">
        <v>0</v>
      </c>
      <c r="P62" s="2540">
        <v>0</v>
      </c>
      <c r="Q62" s="2161">
        <f t="shared" si="23"/>
        <v>0</v>
      </c>
      <c r="R62" s="1891">
        <f t="shared" si="24"/>
        <v>0</v>
      </c>
      <c r="S62" s="1891">
        <v>0</v>
      </c>
    </row>
    <row r="63" spans="1:19" s="2070" customFormat="1">
      <c r="A63" s="2538"/>
      <c r="B63" s="2730" t="s">
        <v>50</v>
      </c>
      <c r="C63" s="206" t="s">
        <v>75</v>
      </c>
      <c r="D63" s="1964">
        <f>TARGET!D65</f>
        <v>0</v>
      </c>
      <c r="E63" s="2241">
        <v>0</v>
      </c>
      <c r="F63" s="2241">
        <v>0</v>
      </c>
      <c r="G63" s="2241">
        <v>0</v>
      </c>
      <c r="H63" s="2241">
        <v>0</v>
      </c>
      <c r="I63" s="2241">
        <v>0</v>
      </c>
      <c r="J63" s="2241">
        <v>0</v>
      </c>
      <c r="K63" s="2241">
        <v>0</v>
      </c>
      <c r="L63" s="2241">
        <v>0</v>
      </c>
      <c r="M63" s="2241">
        <v>0</v>
      </c>
      <c r="N63" s="2241">
        <v>0</v>
      </c>
      <c r="O63" s="2241">
        <v>0</v>
      </c>
      <c r="P63" s="2241">
        <v>0</v>
      </c>
      <c r="Q63" s="2161">
        <f t="shared" si="23"/>
        <v>0</v>
      </c>
      <c r="R63" s="1891">
        <f t="shared" si="24"/>
        <v>0</v>
      </c>
      <c r="S63" s="1891">
        <v>0</v>
      </c>
    </row>
    <row r="64" spans="1:19" s="2070" customFormat="1">
      <c r="A64" s="2541"/>
      <c r="B64" s="2730" t="s">
        <v>50</v>
      </c>
      <c r="C64" s="206" t="s">
        <v>85</v>
      </c>
      <c r="D64" s="1964">
        <f>TARGET!D66</f>
        <v>0</v>
      </c>
      <c r="E64" s="2241">
        <v>0</v>
      </c>
      <c r="F64" s="2241">
        <v>0</v>
      </c>
      <c r="G64" s="2241">
        <v>0</v>
      </c>
      <c r="H64" s="2241">
        <v>0</v>
      </c>
      <c r="I64" s="2241">
        <v>0</v>
      </c>
      <c r="J64" s="2241">
        <v>0</v>
      </c>
      <c r="K64" s="2241">
        <v>0</v>
      </c>
      <c r="L64" s="2241">
        <v>0</v>
      </c>
      <c r="M64" s="2241">
        <v>0</v>
      </c>
      <c r="N64" s="2241">
        <v>0</v>
      </c>
      <c r="O64" s="2241">
        <v>0</v>
      </c>
      <c r="P64" s="2241">
        <v>0</v>
      </c>
      <c r="Q64" s="2161">
        <f t="shared" si="23"/>
        <v>0</v>
      </c>
      <c r="R64" s="1891">
        <f t="shared" si="24"/>
        <v>0</v>
      </c>
      <c r="S64" s="1891">
        <v>0</v>
      </c>
    </row>
    <row r="65" spans="1:19" s="2070" customFormat="1" ht="5.35" customHeight="1">
      <c r="A65" s="1465"/>
      <c r="B65" s="2117"/>
      <c r="C65" s="2117"/>
      <c r="D65" s="2182"/>
      <c r="E65" s="2182"/>
      <c r="F65" s="2182"/>
      <c r="G65" s="2182"/>
      <c r="H65" s="2182"/>
      <c r="I65" s="2182"/>
      <c r="J65" s="2182"/>
      <c r="K65" s="2182"/>
      <c r="L65" s="2182"/>
      <c r="M65" s="2182"/>
      <c r="N65" s="2182"/>
      <c r="O65" s="2182"/>
      <c r="P65" s="2182"/>
      <c r="Q65" s="1469"/>
      <c r="R65" s="1469"/>
      <c r="S65" s="1469"/>
    </row>
    <row r="66" spans="1:19" s="2073" customFormat="1" ht="15.65">
      <c r="A66" s="2542"/>
      <c r="B66" s="2093" t="s">
        <v>88</v>
      </c>
      <c r="C66" s="2195"/>
      <c r="D66" s="2147">
        <f t="shared" ref="D66:P68" si="26">SUM(D67)</f>
        <v>2197286650</v>
      </c>
      <c r="E66" s="2147">
        <f t="shared" si="26"/>
        <v>0</v>
      </c>
      <c r="F66" s="2147">
        <f t="shared" si="26"/>
        <v>0</v>
      </c>
      <c r="G66" s="2147">
        <f t="shared" si="26"/>
        <v>0</v>
      </c>
      <c r="H66" s="2147">
        <f t="shared" si="26"/>
        <v>0</v>
      </c>
      <c r="I66" s="2147">
        <f t="shared" si="26"/>
        <v>0</v>
      </c>
      <c r="J66" s="2147">
        <f t="shared" si="26"/>
        <v>0</v>
      </c>
      <c r="K66" s="2147">
        <f t="shared" si="26"/>
        <v>0</v>
      </c>
      <c r="L66" s="2147">
        <f t="shared" si="26"/>
        <v>0</v>
      </c>
      <c r="M66" s="2147">
        <f t="shared" si="26"/>
        <v>0</v>
      </c>
      <c r="N66" s="2147">
        <f t="shared" si="26"/>
        <v>0</v>
      </c>
      <c r="O66" s="2147">
        <f t="shared" si="26"/>
        <v>0</v>
      </c>
      <c r="P66" s="2147">
        <f t="shared" si="26"/>
        <v>0</v>
      </c>
      <c r="Q66" s="2147">
        <f>SUM(E66:P66)</f>
        <v>0</v>
      </c>
      <c r="R66" s="2147">
        <f>Q66-D66</f>
        <v>-2197286650</v>
      </c>
      <c r="S66" s="2147">
        <f>Q66/D66*100</f>
        <v>0</v>
      </c>
    </row>
    <row r="67" spans="1:19" s="2070" customFormat="1">
      <c r="A67" s="2553"/>
      <c r="B67" s="2124" t="s">
        <v>71</v>
      </c>
      <c r="C67" s="2124"/>
      <c r="D67" s="2216">
        <f t="shared" si="26"/>
        <v>2197286650</v>
      </c>
      <c r="E67" s="2216">
        <f t="shared" si="26"/>
        <v>0</v>
      </c>
      <c r="F67" s="2216">
        <f t="shared" si="26"/>
        <v>0</v>
      </c>
      <c r="G67" s="2216">
        <f t="shared" si="26"/>
        <v>0</v>
      </c>
      <c r="H67" s="2216">
        <f t="shared" si="26"/>
        <v>0</v>
      </c>
      <c r="I67" s="2216">
        <f t="shared" si="26"/>
        <v>0</v>
      </c>
      <c r="J67" s="2216">
        <f t="shared" si="26"/>
        <v>0</v>
      </c>
      <c r="K67" s="2216">
        <f t="shared" si="26"/>
        <v>0</v>
      </c>
      <c r="L67" s="2216">
        <f t="shared" si="26"/>
        <v>0</v>
      </c>
      <c r="M67" s="2216">
        <f t="shared" si="26"/>
        <v>0</v>
      </c>
      <c r="N67" s="2216">
        <f t="shared" si="26"/>
        <v>0</v>
      </c>
      <c r="O67" s="2216">
        <f t="shared" si="26"/>
        <v>0</v>
      </c>
      <c r="P67" s="2216">
        <f t="shared" si="26"/>
        <v>0</v>
      </c>
      <c r="Q67" s="2161">
        <f t="shared" ref="Q67:Q76" si="27">SUM(E67:P67)</f>
        <v>0</v>
      </c>
      <c r="R67" s="1891">
        <f t="shared" ref="R67:R76" si="28">Q67-D67</f>
        <v>-2197286650</v>
      </c>
      <c r="S67" s="1891">
        <f>Q67/D67*100</f>
        <v>0</v>
      </c>
    </row>
    <row r="68" spans="1:19" s="2070" customFormat="1">
      <c r="A68" s="2554"/>
      <c r="B68" s="2731" t="s">
        <v>89</v>
      </c>
      <c r="C68" s="1318"/>
      <c r="D68" s="2196">
        <f t="shared" si="26"/>
        <v>2197286650</v>
      </c>
      <c r="E68" s="2196">
        <f t="shared" si="26"/>
        <v>0</v>
      </c>
      <c r="F68" s="2196">
        <f t="shared" si="26"/>
        <v>0</v>
      </c>
      <c r="G68" s="2196">
        <f t="shared" si="26"/>
        <v>0</v>
      </c>
      <c r="H68" s="2196">
        <f t="shared" si="26"/>
        <v>0</v>
      </c>
      <c r="I68" s="2196">
        <f t="shared" si="26"/>
        <v>0</v>
      </c>
      <c r="J68" s="2196">
        <f t="shared" si="26"/>
        <v>0</v>
      </c>
      <c r="K68" s="2196">
        <f t="shared" si="26"/>
        <v>0</v>
      </c>
      <c r="L68" s="2196">
        <f t="shared" si="26"/>
        <v>0</v>
      </c>
      <c r="M68" s="2196">
        <f t="shared" si="26"/>
        <v>0</v>
      </c>
      <c r="N68" s="2196">
        <f t="shared" si="26"/>
        <v>0</v>
      </c>
      <c r="O68" s="2196">
        <f t="shared" si="26"/>
        <v>0</v>
      </c>
      <c r="P68" s="2196">
        <f t="shared" si="26"/>
        <v>0</v>
      </c>
      <c r="Q68" s="2161">
        <f t="shared" si="27"/>
        <v>0</v>
      </c>
      <c r="R68" s="1891">
        <f t="shared" si="28"/>
        <v>-2197286650</v>
      </c>
      <c r="S68" s="1891">
        <f>Q68/D68*100</f>
        <v>0</v>
      </c>
    </row>
    <row r="69" spans="1:19" s="2074" customFormat="1">
      <c r="A69" s="2555"/>
      <c r="B69" s="2731" t="s">
        <v>90</v>
      </c>
      <c r="C69" s="218"/>
      <c r="D69" s="2217">
        <f t="shared" ref="D69:P69" si="29">SUM(D70:D76)</f>
        <v>2197286650</v>
      </c>
      <c r="E69" s="2217">
        <f t="shared" si="29"/>
        <v>0</v>
      </c>
      <c r="F69" s="2217">
        <f t="shared" si="29"/>
        <v>0</v>
      </c>
      <c r="G69" s="2217">
        <f t="shared" si="29"/>
        <v>0</v>
      </c>
      <c r="H69" s="2217">
        <f t="shared" si="29"/>
        <v>0</v>
      </c>
      <c r="I69" s="2217">
        <f t="shared" si="29"/>
        <v>0</v>
      </c>
      <c r="J69" s="2217">
        <f t="shared" si="29"/>
        <v>0</v>
      </c>
      <c r="K69" s="2217">
        <f t="shared" si="29"/>
        <v>0</v>
      </c>
      <c r="L69" s="2217">
        <f t="shared" si="29"/>
        <v>0</v>
      </c>
      <c r="M69" s="2217">
        <f t="shared" si="29"/>
        <v>0</v>
      </c>
      <c r="N69" s="2217">
        <f t="shared" si="29"/>
        <v>0</v>
      </c>
      <c r="O69" s="2217">
        <f t="shared" si="29"/>
        <v>0</v>
      </c>
      <c r="P69" s="2217">
        <f t="shared" si="29"/>
        <v>0</v>
      </c>
      <c r="Q69" s="2161">
        <f t="shared" si="27"/>
        <v>0</v>
      </c>
      <c r="R69" s="1891">
        <f t="shared" si="28"/>
        <v>-2197286650</v>
      </c>
      <c r="S69" s="1891">
        <f>Q69/D69*100</f>
        <v>0</v>
      </c>
    </row>
    <row r="70" spans="1:19" s="2070" customFormat="1">
      <c r="A70" s="2554"/>
      <c r="B70" s="2731" t="s">
        <v>50</v>
      </c>
      <c r="C70" s="217" t="s">
        <v>89</v>
      </c>
      <c r="D70" s="1964">
        <f>TARGET!D72</f>
        <v>2197286650</v>
      </c>
      <c r="E70" s="2556">
        <v>0</v>
      </c>
      <c r="F70" s="2556">
        <v>0</v>
      </c>
      <c r="G70" s="2556">
        <v>0</v>
      </c>
      <c r="H70" s="2556">
        <v>0</v>
      </c>
      <c r="I70" s="2556">
        <v>0</v>
      </c>
      <c r="J70" s="2556">
        <v>0</v>
      </c>
      <c r="K70" s="2556">
        <v>0</v>
      </c>
      <c r="L70" s="2556">
        <v>0</v>
      </c>
      <c r="M70" s="2556">
        <v>0</v>
      </c>
      <c r="N70" s="2556">
        <v>0</v>
      </c>
      <c r="O70" s="2556">
        <v>0</v>
      </c>
      <c r="P70" s="2556">
        <v>0</v>
      </c>
      <c r="Q70" s="2161">
        <f t="shared" si="27"/>
        <v>0</v>
      </c>
      <c r="R70" s="1891">
        <f t="shared" si="28"/>
        <v>-2197286650</v>
      </c>
      <c r="S70" s="1891">
        <f>Q70/D70*100</f>
        <v>0</v>
      </c>
    </row>
    <row r="71" spans="1:19" s="2070" customFormat="1">
      <c r="A71" s="2554"/>
      <c r="B71" s="2731" t="s">
        <v>50</v>
      </c>
      <c r="C71" s="217" t="s">
        <v>91</v>
      </c>
      <c r="D71" s="1964">
        <f>TARGET!D73</f>
        <v>0</v>
      </c>
      <c r="E71" s="2556">
        <v>0</v>
      </c>
      <c r="F71" s="2556">
        <v>0</v>
      </c>
      <c r="G71" s="2556">
        <v>0</v>
      </c>
      <c r="H71" s="2556">
        <v>0</v>
      </c>
      <c r="I71" s="2556">
        <v>0</v>
      </c>
      <c r="J71" s="2556">
        <v>0</v>
      </c>
      <c r="K71" s="2556">
        <v>0</v>
      </c>
      <c r="L71" s="2556">
        <v>0</v>
      </c>
      <c r="M71" s="2556">
        <v>0</v>
      </c>
      <c r="N71" s="2556">
        <v>0</v>
      </c>
      <c r="O71" s="2556">
        <v>0</v>
      </c>
      <c r="P71" s="2556">
        <v>0</v>
      </c>
      <c r="Q71" s="2161">
        <f t="shared" si="27"/>
        <v>0</v>
      </c>
      <c r="R71" s="1891">
        <f t="shared" si="28"/>
        <v>0</v>
      </c>
      <c r="S71" s="1891">
        <v>0</v>
      </c>
    </row>
    <row r="72" spans="1:19" s="2070" customFormat="1">
      <c r="A72" s="2538"/>
      <c r="B72" s="2731" t="s">
        <v>50</v>
      </c>
      <c r="C72" s="200" t="s">
        <v>72</v>
      </c>
      <c r="D72" s="1964">
        <f>TARGET!D74</f>
        <v>0</v>
      </c>
      <c r="E72" s="2160">
        <v>0</v>
      </c>
      <c r="F72" s="2160">
        <v>0</v>
      </c>
      <c r="G72" s="2160">
        <v>0</v>
      </c>
      <c r="H72" s="2160">
        <v>0</v>
      </c>
      <c r="I72" s="2160">
        <v>0</v>
      </c>
      <c r="J72" s="2160">
        <v>0</v>
      </c>
      <c r="K72" s="2160">
        <v>0</v>
      </c>
      <c r="L72" s="2160">
        <v>0</v>
      </c>
      <c r="M72" s="2160">
        <v>0</v>
      </c>
      <c r="N72" s="2160">
        <v>0</v>
      </c>
      <c r="O72" s="2160">
        <v>0</v>
      </c>
      <c r="P72" s="2160">
        <v>0</v>
      </c>
      <c r="Q72" s="2161">
        <f t="shared" si="27"/>
        <v>0</v>
      </c>
      <c r="R72" s="1891">
        <f t="shared" si="28"/>
        <v>0</v>
      </c>
      <c r="S72" s="1891">
        <v>0</v>
      </c>
    </row>
    <row r="73" spans="1:19" s="2070" customFormat="1">
      <c r="A73" s="2538"/>
      <c r="B73" s="2731" t="s">
        <v>50</v>
      </c>
      <c r="C73" s="200" t="s">
        <v>73</v>
      </c>
      <c r="D73" s="1964">
        <f>TARGET!D75</f>
        <v>0</v>
      </c>
      <c r="E73" s="2160">
        <v>0</v>
      </c>
      <c r="F73" s="2160">
        <v>0</v>
      </c>
      <c r="G73" s="2160">
        <v>0</v>
      </c>
      <c r="H73" s="2160">
        <v>0</v>
      </c>
      <c r="I73" s="2160">
        <v>0</v>
      </c>
      <c r="J73" s="2160">
        <v>0</v>
      </c>
      <c r="K73" s="2160">
        <v>0</v>
      </c>
      <c r="L73" s="2160">
        <v>0</v>
      </c>
      <c r="M73" s="2160">
        <v>0</v>
      </c>
      <c r="N73" s="2160">
        <v>0</v>
      </c>
      <c r="O73" s="2160">
        <v>0</v>
      </c>
      <c r="P73" s="2160">
        <v>0</v>
      </c>
      <c r="Q73" s="2161">
        <f t="shared" si="27"/>
        <v>0</v>
      </c>
      <c r="R73" s="1891">
        <f t="shared" si="28"/>
        <v>0</v>
      </c>
      <c r="S73" s="1891">
        <v>0</v>
      </c>
    </row>
    <row r="74" spans="1:19" s="2070" customFormat="1">
      <c r="A74" s="2538"/>
      <c r="B74" s="2731" t="s">
        <v>50</v>
      </c>
      <c r="C74" s="200" t="s">
        <v>74</v>
      </c>
      <c r="D74" s="1964">
        <f>TARGET!D76</f>
        <v>0</v>
      </c>
      <c r="E74" s="2160">
        <v>0</v>
      </c>
      <c r="F74" s="2160">
        <v>0</v>
      </c>
      <c r="G74" s="2160">
        <v>0</v>
      </c>
      <c r="H74" s="2160">
        <v>0</v>
      </c>
      <c r="I74" s="2160">
        <v>0</v>
      </c>
      <c r="J74" s="2160">
        <v>0</v>
      </c>
      <c r="K74" s="2160">
        <v>0</v>
      </c>
      <c r="L74" s="2160">
        <v>0</v>
      </c>
      <c r="M74" s="2160">
        <v>0</v>
      </c>
      <c r="N74" s="2160">
        <v>0</v>
      </c>
      <c r="O74" s="2160">
        <v>0</v>
      </c>
      <c r="P74" s="2160">
        <v>0</v>
      </c>
      <c r="Q74" s="2161">
        <f t="shared" si="27"/>
        <v>0</v>
      </c>
      <c r="R74" s="1891">
        <f t="shared" si="28"/>
        <v>0</v>
      </c>
      <c r="S74" s="1891">
        <v>0</v>
      </c>
    </row>
    <row r="75" spans="1:19" s="2070" customFormat="1">
      <c r="A75" s="2538"/>
      <c r="B75" s="2730" t="s">
        <v>50</v>
      </c>
      <c r="C75" s="206" t="s">
        <v>75</v>
      </c>
      <c r="D75" s="1964">
        <f>TARGET!D77</f>
        <v>0</v>
      </c>
      <c r="E75" s="2160">
        <v>0</v>
      </c>
      <c r="F75" s="2160">
        <v>0</v>
      </c>
      <c r="G75" s="2160">
        <v>0</v>
      </c>
      <c r="H75" s="2160">
        <v>0</v>
      </c>
      <c r="I75" s="2160">
        <v>0</v>
      </c>
      <c r="J75" s="2160">
        <v>0</v>
      </c>
      <c r="K75" s="2160">
        <v>0</v>
      </c>
      <c r="L75" s="2160">
        <v>0</v>
      </c>
      <c r="M75" s="2160">
        <v>0</v>
      </c>
      <c r="N75" s="2160">
        <v>0</v>
      </c>
      <c r="O75" s="2160">
        <v>0</v>
      </c>
      <c r="P75" s="2160">
        <v>0</v>
      </c>
      <c r="Q75" s="2161">
        <f t="shared" si="27"/>
        <v>0</v>
      </c>
      <c r="R75" s="1891">
        <f t="shared" si="28"/>
        <v>0</v>
      </c>
      <c r="S75" s="1891">
        <v>0</v>
      </c>
    </row>
    <row r="76" spans="1:19" s="2070" customFormat="1">
      <c r="A76" s="2538"/>
      <c r="B76" s="2730" t="s">
        <v>50</v>
      </c>
      <c r="C76" s="206" t="s">
        <v>85</v>
      </c>
      <c r="D76" s="1964">
        <f>TARGET!D78</f>
        <v>0</v>
      </c>
      <c r="E76" s="2160">
        <v>0</v>
      </c>
      <c r="F76" s="2160">
        <v>0</v>
      </c>
      <c r="G76" s="2160">
        <v>0</v>
      </c>
      <c r="H76" s="2160">
        <v>0</v>
      </c>
      <c r="I76" s="2160">
        <v>0</v>
      </c>
      <c r="J76" s="2160">
        <v>0</v>
      </c>
      <c r="K76" s="2160">
        <v>0</v>
      </c>
      <c r="L76" s="2160">
        <v>0</v>
      </c>
      <c r="M76" s="2160">
        <v>0</v>
      </c>
      <c r="N76" s="2160">
        <v>0</v>
      </c>
      <c r="O76" s="2160">
        <v>0</v>
      </c>
      <c r="P76" s="2160">
        <v>0</v>
      </c>
      <c r="Q76" s="2161">
        <f t="shared" si="27"/>
        <v>0</v>
      </c>
      <c r="R76" s="1891">
        <f t="shared" si="28"/>
        <v>0</v>
      </c>
      <c r="S76" s="1891">
        <v>0</v>
      </c>
    </row>
    <row r="77" spans="1:19" s="2070" customFormat="1" ht="4.55" customHeight="1">
      <c r="A77" s="2535"/>
      <c r="B77" s="2117"/>
      <c r="C77" s="2117"/>
      <c r="D77" s="2219"/>
      <c r="E77" s="2219"/>
      <c r="F77" s="2219"/>
      <c r="G77" s="2219"/>
      <c r="H77" s="2219"/>
      <c r="I77" s="2219"/>
      <c r="J77" s="2219"/>
      <c r="K77" s="2219"/>
      <c r="L77" s="2219"/>
      <c r="M77" s="2219"/>
      <c r="N77" s="2219"/>
      <c r="O77" s="2219"/>
      <c r="P77" s="2219"/>
      <c r="Q77" s="1533"/>
      <c r="R77" s="1533"/>
      <c r="S77" s="1533"/>
    </row>
    <row r="78" spans="1:19" s="2073" customFormat="1" ht="15.65">
      <c r="A78" s="2557"/>
      <c r="B78" s="2093" t="s">
        <v>92</v>
      </c>
      <c r="C78" s="2222"/>
      <c r="D78" s="2147">
        <f t="shared" ref="D78:P78" si="30">D79+D84</f>
        <v>300000000</v>
      </c>
      <c r="E78" s="2147">
        <f t="shared" si="30"/>
        <v>0</v>
      </c>
      <c r="F78" s="2147">
        <f t="shared" si="30"/>
        <v>0</v>
      </c>
      <c r="G78" s="2147">
        <f t="shared" si="30"/>
        <v>0</v>
      </c>
      <c r="H78" s="2147">
        <f t="shared" si="30"/>
        <v>0</v>
      </c>
      <c r="I78" s="2147">
        <f t="shared" si="30"/>
        <v>0</v>
      </c>
      <c r="J78" s="2147">
        <f t="shared" si="30"/>
        <v>0</v>
      </c>
      <c r="K78" s="2147">
        <f t="shared" si="30"/>
        <v>0</v>
      </c>
      <c r="L78" s="2147">
        <f t="shared" si="30"/>
        <v>0</v>
      </c>
      <c r="M78" s="2147">
        <f t="shared" si="30"/>
        <v>0</v>
      </c>
      <c r="N78" s="2147">
        <f t="shared" si="30"/>
        <v>0</v>
      </c>
      <c r="O78" s="2147">
        <f t="shared" si="30"/>
        <v>0</v>
      </c>
      <c r="P78" s="2147">
        <f t="shared" si="30"/>
        <v>0</v>
      </c>
      <c r="Q78" s="2147">
        <f>SUM(E78:P78)</f>
        <v>0</v>
      </c>
      <c r="R78" s="2147">
        <f>Q78-D78</f>
        <v>-300000000</v>
      </c>
      <c r="S78" s="2147">
        <f>Q78/D78*100</f>
        <v>0</v>
      </c>
    </row>
    <row r="79" spans="1:19" s="2074" customFormat="1">
      <c r="A79" s="2537"/>
      <c r="B79" s="2121" t="s">
        <v>63</v>
      </c>
      <c r="C79" s="2121"/>
      <c r="D79" s="2187">
        <f t="shared" ref="D79:P79" si="31">SUM(D80:D82)</f>
        <v>300000000</v>
      </c>
      <c r="E79" s="2187">
        <f t="shared" si="31"/>
        <v>0</v>
      </c>
      <c r="F79" s="2187">
        <f t="shared" si="31"/>
        <v>0</v>
      </c>
      <c r="G79" s="2187">
        <f t="shared" si="31"/>
        <v>0</v>
      </c>
      <c r="H79" s="2187">
        <f t="shared" si="31"/>
        <v>0</v>
      </c>
      <c r="I79" s="2187">
        <f t="shared" si="31"/>
        <v>0</v>
      </c>
      <c r="J79" s="2187">
        <f t="shared" si="31"/>
        <v>0</v>
      </c>
      <c r="K79" s="2187">
        <f t="shared" si="31"/>
        <v>0</v>
      </c>
      <c r="L79" s="2187">
        <f t="shared" si="31"/>
        <v>0</v>
      </c>
      <c r="M79" s="2187">
        <f t="shared" si="31"/>
        <v>0</v>
      </c>
      <c r="N79" s="2187">
        <f t="shared" si="31"/>
        <v>0</v>
      </c>
      <c r="O79" s="2187">
        <f t="shared" si="31"/>
        <v>0</v>
      </c>
      <c r="P79" s="2187">
        <f t="shared" si="31"/>
        <v>0</v>
      </c>
      <c r="Q79" s="2161">
        <f>SUM(E79:P79)</f>
        <v>0</v>
      </c>
      <c r="R79" s="1891">
        <f t="shared" ref="R79:S89" si="32">Q79-D79</f>
        <v>-300000000</v>
      </c>
      <c r="S79" s="1891">
        <f>Q79/D79*100</f>
        <v>0</v>
      </c>
    </row>
    <row r="80" spans="1:19" s="2070" customFormat="1">
      <c r="A80" s="2538"/>
      <c r="B80" s="2730" t="s">
        <v>50</v>
      </c>
      <c r="C80" s="206" t="s">
        <v>93</v>
      </c>
      <c r="D80" s="1964">
        <f>TARGET!D82</f>
        <v>90000000</v>
      </c>
      <c r="E80" s="2160">
        <v>0</v>
      </c>
      <c r="F80" s="2160">
        <v>0</v>
      </c>
      <c r="G80" s="2160">
        <v>0</v>
      </c>
      <c r="H80" s="2160">
        <v>0</v>
      </c>
      <c r="I80" s="2160">
        <v>0</v>
      </c>
      <c r="J80" s="2160">
        <v>0</v>
      </c>
      <c r="K80" s="2160">
        <v>0</v>
      </c>
      <c r="L80" s="2160">
        <v>0</v>
      </c>
      <c r="M80" s="2160">
        <v>0</v>
      </c>
      <c r="N80" s="2160">
        <v>0</v>
      </c>
      <c r="O80" s="2160">
        <v>0</v>
      </c>
      <c r="P80" s="2160">
        <v>0</v>
      </c>
      <c r="Q80" s="2161">
        <f t="shared" ref="Q80:Q89" si="33">SUM(E80:P80)</f>
        <v>0</v>
      </c>
      <c r="R80" s="1891">
        <f t="shared" si="32"/>
        <v>-90000000</v>
      </c>
      <c r="S80" s="1891">
        <f>Q80/D80*100</f>
        <v>0</v>
      </c>
    </row>
    <row r="81" spans="1:19" s="2070" customFormat="1" ht="4.55" customHeight="1">
      <c r="A81" s="2538"/>
      <c r="B81" s="206"/>
      <c r="C81" s="206"/>
      <c r="D81" s="1964"/>
      <c r="E81" s="1964"/>
      <c r="F81" s="1964"/>
      <c r="G81" s="1964"/>
      <c r="H81" s="1964"/>
      <c r="I81" s="1964"/>
      <c r="J81" s="1964"/>
      <c r="K81" s="1964"/>
      <c r="L81" s="1964"/>
      <c r="M81" s="1964"/>
      <c r="N81" s="1964"/>
      <c r="O81" s="1964"/>
      <c r="P81" s="1964"/>
      <c r="Q81" s="2161"/>
      <c r="R81" s="1891">
        <f t="shared" si="32"/>
        <v>0</v>
      </c>
      <c r="S81" s="1891">
        <f t="shared" si="32"/>
        <v>0</v>
      </c>
    </row>
    <row r="82" spans="1:19" s="2070" customFormat="1">
      <c r="A82" s="2538"/>
      <c r="B82" s="2730" t="s">
        <v>50</v>
      </c>
      <c r="C82" s="206" t="s">
        <v>94</v>
      </c>
      <c r="D82" s="1964">
        <f>TARGET!D84</f>
        <v>210000000</v>
      </c>
      <c r="E82" s="2241">
        <v>0</v>
      </c>
      <c r="F82" s="2241">
        <v>0</v>
      </c>
      <c r="G82" s="2241">
        <v>0</v>
      </c>
      <c r="H82" s="2241">
        <v>0</v>
      </c>
      <c r="I82" s="2241">
        <v>0</v>
      </c>
      <c r="J82" s="2241">
        <v>0</v>
      </c>
      <c r="K82" s="2241">
        <v>0</v>
      </c>
      <c r="L82" s="2241">
        <v>0</v>
      </c>
      <c r="M82" s="2241">
        <v>0</v>
      </c>
      <c r="N82" s="2241">
        <v>0</v>
      </c>
      <c r="O82" s="2241">
        <v>0</v>
      </c>
      <c r="P82" s="2241">
        <v>0</v>
      </c>
      <c r="Q82" s="2161">
        <f t="shared" si="33"/>
        <v>0</v>
      </c>
      <c r="R82" s="1891">
        <f t="shared" si="32"/>
        <v>-210000000</v>
      </c>
      <c r="S82" s="1891">
        <f>Q82/D82*100</f>
        <v>0</v>
      </c>
    </row>
    <row r="83" spans="1:19" s="2070" customFormat="1" ht="5.35" customHeight="1">
      <c r="A83" s="2538"/>
      <c r="B83" s="206"/>
      <c r="C83" s="206"/>
      <c r="D83" s="2188"/>
      <c r="E83" s="2188"/>
      <c r="F83" s="2188"/>
      <c r="G83" s="2188"/>
      <c r="H83" s="2188"/>
      <c r="I83" s="2188"/>
      <c r="J83" s="2188"/>
      <c r="K83" s="2188"/>
      <c r="L83" s="2188"/>
      <c r="M83" s="2188"/>
      <c r="N83" s="2188"/>
      <c r="O83" s="2188"/>
      <c r="P83" s="2188"/>
      <c r="Q83" s="2161"/>
      <c r="R83" s="1891">
        <f t="shared" si="32"/>
        <v>0</v>
      </c>
      <c r="S83" s="1891">
        <f t="shared" si="32"/>
        <v>0</v>
      </c>
    </row>
    <row r="84" spans="1:19" s="2070" customFormat="1">
      <c r="A84" s="2538"/>
      <c r="B84" s="2124" t="s">
        <v>71</v>
      </c>
      <c r="C84" s="2124"/>
      <c r="D84" s="2190">
        <f t="shared" ref="D84:P84" si="34">SUM(D85:D89)</f>
        <v>0</v>
      </c>
      <c r="E84" s="2190">
        <f t="shared" si="34"/>
        <v>0</v>
      </c>
      <c r="F84" s="2190">
        <f t="shared" si="34"/>
        <v>0</v>
      </c>
      <c r="G84" s="2190">
        <f t="shared" si="34"/>
        <v>0</v>
      </c>
      <c r="H84" s="2190">
        <f t="shared" si="34"/>
        <v>0</v>
      </c>
      <c r="I84" s="2190">
        <f t="shared" si="34"/>
        <v>0</v>
      </c>
      <c r="J84" s="2190">
        <f t="shared" si="34"/>
        <v>0</v>
      </c>
      <c r="K84" s="2190">
        <f t="shared" si="34"/>
        <v>0</v>
      </c>
      <c r="L84" s="2190">
        <f t="shared" si="34"/>
        <v>0</v>
      </c>
      <c r="M84" s="2190">
        <f t="shared" si="34"/>
        <v>0</v>
      </c>
      <c r="N84" s="2190">
        <f t="shared" si="34"/>
        <v>0</v>
      </c>
      <c r="O84" s="2190">
        <f t="shared" si="34"/>
        <v>0</v>
      </c>
      <c r="P84" s="2190">
        <f t="shared" si="34"/>
        <v>0</v>
      </c>
      <c r="Q84" s="2161">
        <f t="shared" si="33"/>
        <v>0</v>
      </c>
      <c r="R84" s="1891">
        <f t="shared" si="32"/>
        <v>0</v>
      </c>
      <c r="S84" s="1891">
        <v>0</v>
      </c>
    </row>
    <row r="85" spans="1:19" s="2070" customFormat="1">
      <c r="A85" s="2538"/>
      <c r="B85" s="2730" t="s">
        <v>50</v>
      </c>
      <c r="C85" s="200" t="s">
        <v>72</v>
      </c>
      <c r="D85" s="1964">
        <f>TARGET!D87</f>
        <v>0</v>
      </c>
      <c r="E85" s="2540">
        <v>0</v>
      </c>
      <c r="F85" s="2540">
        <v>0</v>
      </c>
      <c r="G85" s="2540">
        <v>0</v>
      </c>
      <c r="H85" s="2540">
        <v>0</v>
      </c>
      <c r="I85" s="2540">
        <v>0</v>
      </c>
      <c r="J85" s="2540">
        <v>0</v>
      </c>
      <c r="K85" s="2540">
        <v>0</v>
      </c>
      <c r="L85" s="2540">
        <v>0</v>
      </c>
      <c r="M85" s="2540">
        <v>0</v>
      </c>
      <c r="N85" s="2540">
        <v>0</v>
      </c>
      <c r="O85" s="2540">
        <v>0</v>
      </c>
      <c r="P85" s="2540">
        <v>0</v>
      </c>
      <c r="Q85" s="2161">
        <f t="shared" si="33"/>
        <v>0</v>
      </c>
      <c r="R85" s="1891">
        <f t="shared" si="32"/>
        <v>0</v>
      </c>
      <c r="S85" s="1891">
        <v>0</v>
      </c>
    </row>
    <row r="86" spans="1:19" s="2070" customFormat="1">
      <c r="A86" s="2538"/>
      <c r="B86" s="2730" t="s">
        <v>50</v>
      </c>
      <c r="C86" s="200" t="s">
        <v>73</v>
      </c>
      <c r="D86" s="1964">
        <f>TARGET!D88</f>
        <v>0</v>
      </c>
      <c r="E86" s="2540">
        <v>0</v>
      </c>
      <c r="F86" s="2540">
        <v>0</v>
      </c>
      <c r="G86" s="2540">
        <v>0</v>
      </c>
      <c r="H86" s="2540">
        <v>0</v>
      </c>
      <c r="I86" s="2540">
        <v>0</v>
      </c>
      <c r="J86" s="2540">
        <v>0</v>
      </c>
      <c r="K86" s="2540">
        <v>0</v>
      </c>
      <c r="L86" s="2540">
        <v>0</v>
      </c>
      <c r="M86" s="2540">
        <v>0</v>
      </c>
      <c r="N86" s="2540">
        <v>0</v>
      </c>
      <c r="O86" s="2540">
        <v>0</v>
      </c>
      <c r="P86" s="2540">
        <v>0</v>
      </c>
      <c r="Q86" s="2161">
        <f t="shared" si="33"/>
        <v>0</v>
      </c>
      <c r="R86" s="1891">
        <f t="shared" si="32"/>
        <v>0</v>
      </c>
      <c r="S86" s="1891">
        <v>0</v>
      </c>
    </row>
    <row r="87" spans="1:19" s="2070" customFormat="1">
      <c r="A87" s="2538"/>
      <c r="B87" s="2730" t="s">
        <v>50</v>
      </c>
      <c r="C87" s="200" t="s">
        <v>74</v>
      </c>
      <c r="D87" s="1964">
        <f>TARGET!D89</f>
        <v>0</v>
      </c>
      <c r="E87" s="2540">
        <v>0</v>
      </c>
      <c r="F87" s="2540">
        <v>0</v>
      </c>
      <c r="G87" s="2540">
        <v>0</v>
      </c>
      <c r="H87" s="2540">
        <v>0</v>
      </c>
      <c r="I87" s="2540">
        <v>0</v>
      </c>
      <c r="J87" s="2540">
        <v>0</v>
      </c>
      <c r="K87" s="2540">
        <v>0</v>
      </c>
      <c r="L87" s="2540">
        <v>0</v>
      </c>
      <c r="M87" s="2540">
        <v>0</v>
      </c>
      <c r="N87" s="2540">
        <v>0</v>
      </c>
      <c r="O87" s="2540">
        <v>0</v>
      </c>
      <c r="P87" s="2540">
        <v>0</v>
      </c>
      <c r="Q87" s="2161">
        <f t="shared" si="33"/>
        <v>0</v>
      </c>
      <c r="R87" s="1891">
        <f t="shared" si="32"/>
        <v>0</v>
      </c>
      <c r="S87" s="1891">
        <v>0</v>
      </c>
    </row>
    <row r="88" spans="1:19" s="2070" customFormat="1">
      <c r="A88" s="2538"/>
      <c r="B88" s="2730" t="s">
        <v>50</v>
      </c>
      <c r="C88" s="206" t="s">
        <v>75</v>
      </c>
      <c r="D88" s="1964">
        <f>TARGET!D90</f>
        <v>0</v>
      </c>
      <c r="E88" s="2241">
        <v>0</v>
      </c>
      <c r="F88" s="2241">
        <v>0</v>
      </c>
      <c r="G88" s="2241">
        <v>0</v>
      </c>
      <c r="H88" s="2241">
        <v>0</v>
      </c>
      <c r="I88" s="2241">
        <v>0</v>
      </c>
      <c r="J88" s="2241">
        <v>0</v>
      </c>
      <c r="K88" s="2241">
        <v>0</v>
      </c>
      <c r="L88" s="2241">
        <v>0</v>
      </c>
      <c r="M88" s="2241">
        <v>0</v>
      </c>
      <c r="N88" s="2241">
        <v>0</v>
      </c>
      <c r="O88" s="2241">
        <v>0</v>
      </c>
      <c r="P88" s="2241">
        <v>0</v>
      </c>
      <c r="Q88" s="2161">
        <f t="shared" si="33"/>
        <v>0</v>
      </c>
      <c r="R88" s="1891">
        <f t="shared" si="32"/>
        <v>0</v>
      </c>
      <c r="S88" s="1891">
        <v>0</v>
      </c>
    </row>
    <row r="89" spans="1:19" s="2070" customFormat="1">
      <c r="A89" s="2538"/>
      <c r="B89" s="2730" t="s">
        <v>50</v>
      </c>
      <c r="C89" s="206" t="s">
        <v>85</v>
      </c>
      <c r="D89" s="1964">
        <f>TARGET!D91</f>
        <v>0</v>
      </c>
      <c r="E89" s="2160">
        <v>0</v>
      </c>
      <c r="F89" s="2160">
        <v>0</v>
      </c>
      <c r="G89" s="2160">
        <v>0</v>
      </c>
      <c r="H89" s="2160">
        <v>0</v>
      </c>
      <c r="I89" s="2160">
        <v>0</v>
      </c>
      <c r="J89" s="2160">
        <v>0</v>
      </c>
      <c r="K89" s="2160">
        <v>0</v>
      </c>
      <c r="L89" s="2160">
        <v>0</v>
      </c>
      <c r="M89" s="2160">
        <v>0</v>
      </c>
      <c r="N89" s="2160">
        <v>0</v>
      </c>
      <c r="O89" s="2160">
        <v>0</v>
      </c>
      <c r="P89" s="2160">
        <v>0</v>
      </c>
      <c r="Q89" s="2161">
        <f t="shared" si="33"/>
        <v>0</v>
      </c>
      <c r="R89" s="1891">
        <f t="shared" si="32"/>
        <v>0</v>
      </c>
      <c r="S89" s="1891">
        <v>0</v>
      </c>
    </row>
    <row r="90" spans="1:19" s="2070" customFormat="1" ht="5.35" customHeight="1">
      <c r="A90" s="2535"/>
      <c r="B90" s="2117"/>
      <c r="C90" s="2117"/>
      <c r="D90" s="2182"/>
      <c r="E90" s="2182"/>
      <c r="F90" s="2182"/>
      <c r="G90" s="2182"/>
      <c r="H90" s="2182"/>
      <c r="I90" s="2182"/>
      <c r="J90" s="2182"/>
      <c r="K90" s="2182"/>
      <c r="L90" s="2182"/>
      <c r="M90" s="2182"/>
      <c r="N90" s="2182"/>
      <c r="O90" s="2182"/>
      <c r="P90" s="2182"/>
      <c r="Q90" s="1469"/>
      <c r="R90" s="1469"/>
      <c r="S90" s="1469"/>
    </row>
    <row r="91" spans="1:19" s="2073" customFormat="1" ht="15.65">
      <c r="A91" s="2528"/>
      <c r="B91" s="2093" t="s">
        <v>95</v>
      </c>
      <c r="C91" s="2195"/>
      <c r="D91" s="2147">
        <f t="shared" ref="D91:P91" si="35">D93+D97</f>
        <v>16250000000</v>
      </c>
      <c r="E91" s="2147">
        <f t="shared" si="35"/>
        <v>0</v>
      </c>
      <c r="F91" s="2147">
        <f t="shared" si="35"/>
        <v>0</v>
      </c>
      <c r="G91" s="2147">
        <f t="shared" si="35"/>
        <v>0</v>
      </c>
      <c r="H91" s="2147">
        <f t="shared" si="35"/>
        <v>0</v>
      </c>
      <c r="I91" s="2147">
        <f t="shared" si="35"/>
        <v>0</v>
      </c>
      <c r="J91" s="2147">
        <f t="shared" si="35"/>
        <v>0</v>
      </c>
      <c r="K91" s="2147">
        <f t="shared" si="35"/>
        <v>0</v>
      </c>
      <c r="L91" s="2147">
        <f t="shared" si="35"/>
        <v>0</v>
      </c>
      <c r="M91" s="2147">
        <f t="shared" si="35"/>
        <v>0</v>
      </c>
      <c r="N91" s="2147">
        <f t="shared" si="35"/>
        <v>0</v>
      </c>
      <c r="O91" s="2147">
        <f t="shared" si="35"/>
        <v>0</v>
      </c>
      <c r="P91" s="2147">
        <f t="shared" si="35"/>
        <v>0</v>
      </c>
      <c r="Q91" s="2147">
        <f>SUM(E91:P91)</f>
        <v>0</v>
      </c>
      <c r="R91" s="2147">
        <f>Q91-D91</f>
        <v>-16250000000</v>
      </c>
      <c r="S91" s="2147">
        <f>Q91/D91*100</f>
        <v>0</v>
      </c>
    </row>
    <row r="92" spans="1:19" s="2070" customFormat="1" ht="5.95" customHeight="1">
      <c r="A92" s="1889"/>
      <c r="B92" s="1856"/>
      <c r="C92" s="212"/>
      <c r="D92" s="2143"/>
      <c r="E92" s="2143"/>
      <c r="F92" s="2143"/>
      <c r="G92" s="2143"/>
      <c r="H92" s="2143"/>
      <c r="I92" s="2143"/>
      <c r="J92" s="2143"/>
      <c r="K92" s="2143"/>
      <c r="L92" s="2143"/>
      <c r="M92" s="2143"/>
      <c r="N92" s="2143"/>
      <c r="O92" s="2143"/>
      <c r="P92" s="2143"/>
      <c r="Q92" s="1727"/>
      <c r="R92" s="1727"/>
      <c r="S92" s="1727"/>
    </row>
    <row r="93" spans="1:19" s="2074" customFormat="1">
      <c r="A93" s="1905"/>
      <c r="B93" s="212" t="s">
        <v>96</v>
      </c>
      <c r="D93" s="1891">
        <f t="shared" ref="D93:P93" si="36">SUM(D94:D95)</f>
        <v>16250000000</v>
      </c>
      <c r="E93" s="1891">
        <f t="shared" si="36"/>
        <v>0</v>
      </c>
      <c r="F93" s="1891">
        <f t="shared" si="36"/>
        <v>0</v>
      </c>
      <c r="G93" s="1891">
        <f t="shared" si="36"/>
        <v>0</v>
      </c>
      <c r="H93" s="1891">
        <f t="shared" si="36"/>
        <v>0</v>
      </c>
      <c r="I93" s="1891">
        <f t="shared" si="36"/>
        <v>0</v>
      </c>
      <c r="J93" s="1891">
        <f t="shared" si="36"/>
        <v>0</v>
      </c>
      <c r="K93" s="1891">
        <f t="shared" si="36"/>
        <v>0</v>
      </c>
      <c r="L93" s="1891">
        <f t="shared" si="36"/>
        <v>0</v>
      </c>
      <c r="M93" s="1891">
        <f t="shared" si="36"/>
        <v>0</v>
      </c>
      <c r="N93" s="1891">
        <f t="shared" si="36"/>
        <v>0</v>
      </c>
      <c r="O93" s="1891">
        <f t="shared" si="36"/>
        <v>0</v>
      </c>
      <c r="P93" s="1891">
        <f t="shared" si="36"/>
        <v>0</v>
      </c>
      <c r="Q93" s="2161">
        <f>SUM(E93:P93)</f>
        <v>0</v>
      </c>
      <c r="R93" s="1891">
        <f t="shared" ref="R93:S102" si="37">Q93-D93</f>
        <v>-16250000000</v>
      </c>
      <c r="S93" s="1891">
        <f>Q93/D93*100</f>
        <v>0</v>
      </c>
    </row>
    <row r="94" spans="1:19" s="2070" customFormat="1">
      <c r="A94" s="1889"/>
      <c r="B94" s="2732" t="s">
        <v>50</v>
      </c>
      <c r="C94" s="217" t="s">
        <v>97</v>
      </c>
      <c r="D94" s="1964">
        <f>TARGET!D96</f>
        <v>16000000000</v>
      </c>
      <c r="E94" s="2530">
        <v>0</v>
      </c>
      <c r="F94" s="2530">
        <v>0</v>
      </c>
      <c r="G94" s="2530">
        <v>0</v>
      </c>
      <c r="H94" s="2530">
        <v>0</v>
      </c>
      <c r="I94" s="2530">
        <v>0</v>
      </c>
      <c r="J94" s="2530">
        <v>0</v>
      </c>
      <c r="K94" s="2530">
        <v>0</v>
      </c>
      <c r="L94" s="2530">
        <v>0</v>
      </c>
      <c r="M94" s="2530">
        <v>0</v>
      </c>
      <c r="N94" s="2530">
        <v>0</v>
      </c>
      <c r="O94" s="2530">
        <v>0</v>
      </c>
      <c r="P94" s="2530">
        <v>0</v>
      </c>
      <c r="Q94" s="2161">
        <f t="shared" ref="Q94:Q102" si="38">SUM(E94:P94)</f>
        <v>0</v>
      </c>
      <c r="R94" s="1891">
        <f t="shared" si="37"/>
        <v>-16000000000</v>
      </c>
      <c r="S94" s="1891">
        <f>Q94/D94*100</f>
        <v>0</v>
      </c>
    </row>
    <row r="95" spans="1:19" s="2070" customFormat="1">
      <c r="A95" s="1889"/>
      <c r="B95" s="2727" t="s">
        <v>50</v>
      </c>
      <c r="C95" s="224" t="s">
        <v>98</v>
      </c>
      <c r="D95" s="1964">
        <f>TARGET!D97</f>
        <v>250000000</v>
      </c>
      <c r="E95" s="2530">
        <v>0</v>
      </c>
      <c r="F95" s="2530">
        <v>0</v>
      </c>
      <c r="G95" s="2530">
        <v>0</v>
      </c>
      <c r="H95" s="2530">
        <v>0</v>
      </c>
      <c r="I95" s="2530">
        <v>0</v>
      </c>
      <c r="J95" s="2530">
        <v>0</v>
      </c>
      <c r="K95" s="2530">
        <v>0</v>
      </c>
      <c r="L95" s="2530">
        <v>0</v>
      </c>
      <c r="M95" s="2530">
        <v>0</v>
      </c>
      <c r="N95" s="2530">
        <v>0</v>
      </c>
      <c r="O95" s="2530">
        <v>0</v>
      </c>
      <c r="P95" s="2530">
        <v>0</v>
      </c>
      <c r="Q95" s="2161">
        <f t="shared" si="38"/>
        <v>0</v>
      </c>
      <c r="R95" s="1891">
        <f t="shared" si="37"/>
        <v>-250000000</v>
      </c>
      <c r="S95" s="1891">
        <f>Q95/D95*100</f>
        <v>0</v>
      </c>
    </row>
    <row r="96" spans="1:19" s="2070" customFormat="1" ht="6.75" customHeight="1">
      <c r="A96" s="1889"/>
      <c r="B96" s="224"/>
      <c r="C96" s="224"/>
      <c r="D96" s="2164"/>
      <c r="E96" s="2164"/>
      <c r="F96" s="2164"/>
      <c r="G96" s="2164"/>
      <c r="H96" s="2164"/>
      <c r="I96" s="2164"/>
      <c r="J96" s="2164"/>
      <c r="K96" s="2164"/>
      <c r="L96" s="2164"/>
      <c r="M96" s="2164"/>
      <c r="N96" s="2164"/>
      <c r="O96" s="2164"/>
      <c r="P96" s="2164"/>
      <c r="Q96" s="2161"/>
      <c r="R96" s="1891">
        <f t="shared" si="37"/>
        <v>0</v>
      </c>
      <c r="S96" s="1891">
        <f t="shared" si="37"/>
        <v>0</v>
      </c>
    </row>
    <row r="97" spans="1:19" s="2070" customFormat="1">
      <c r="A97" s="1889"/>
      <c r="B97" s="212" t="s">
        <v>71</v>
      </c>
      <c r="C97" s="212"/>
      <c r="D97" s="1891">
        <f t="shared" ref="D97:P97" si="39">SUM(D98:D102)</f>
        <v>0</v>
      </c>
      <c r="E97" s="1891">
        <f t="shared" si="39"/>
        <v>0</v>
      </c>
      <c r="F97" s="1891">
        <f t="shared" si="39"/>
        <v>0</v>
      </c>
      <c r="G97" s="1891">
        <f t="shared" si="39"/>
        <v>0</v>
      </c>
      <c r="H97" s="1891">
        <f t="shared" si="39"/>
        <v>0</v>
      </c>
      <c r="I97" s="1891">
        <f t="shared" si="39"/>
        <v>0</v>
      </c>
      <c r="J97" s="1891">
        <f t="shared" si="39"/>
        <v>0</v>
      </c>
      <c r="K97" s="1891">
        <f t="shared" si="39"/>
        <v>0</v>
      </c>
      <c r="L97" s="1891">
        <f t="shared" si="39"/>
        <v>0</v>
      </c>
      <c r="M97" s="1891">
        <f t="shared" si="39"/>
        <v>0</v>
      </c>
      <c r="N97" s="1891">
        <f t="shared" si="39"/>
        <v>0</v>
      </c>
      <c r="O97" s="1891">
        <f t="shared" si="39"/>
        <v>0</v>
      </c>
      <c r="P97" s="1891">
        <f t="shared" si="39"/>
        <v>0</v>
      </c>
      <c r="Q97" s="2161">
        <f t="shared" si="38"/>
        <v>0</v>
      </c>
      <c r="R97" s="1891">
        <f t="shared" si="37"/>
        <v>0</v>
      </c>
      <c r="S97" s="1891">
        <v>0</v>
      </c>
    </row>
    <row r="98" spans="1:19" s="2070" customFormat="1">
      <c r="A98" s="1889"/>
      <c r="B98" s="2727" t="s">
        <v>50</v>
      </c>
      <c r="C98" s="200" t="s">
        <v>72</v>
      </c>
      <c r="D98" s="1964">
        <f>TARGET!D100</f>
        <v>0</v>
      </c>
      <c r="E98" s="2530">
        <v>0</v>
      </c>
      <c r="F98" s="2530">
        <v>0</v>
      </c>
      <c r="G98" s="2530">
        <v>0</v>
      </c>
      <c r="H98" s="2530">
        <v>0</v>
      </c>
      <c r="I98" s="2530">
        <v>0</v>
      </c>
      <c r="J98" s="2530">
        <v>0</v>
      </c>
      <c r="K98" s="2530">
        <v>0</v>
      </c>
      <c r="L98" s="2530">
        <v>0</v>
      </c>
      <c r="M98" s="2530">
        <v>0</v>
      </c>
      <c r="N98" s="2530">
        <v>0</v>
      </c>
      <c r="O98" s="2530">
        <v>0</v>
      </c>
      <c r="P98" s="2530">
        <v>0</v>
      </c>
      <c r="Q98" s="2161">
        <f t="shared" si="38"/>
        <v>0</v>
      </c>
      <c r="R98" s="1891">
        <f t="shared" si="37"/>
        <v>0</v>
      </c>
      <c r="S98" s="1891">
        <v>0</v>
      </c>
    </row>
    <row r="99" spans="1:19" s="2070" customFormat="1">
      <c r="A99" s="1889"/>
      <c r="B99" s="2727" t="s">
        <v>50</v>
      </c>
      <c r="C99" s="200" t="s">
        <v>73</v>
      </c>
      <c r="D99" s="1964">
        <f>TARGET!D101</f>
        <v>0</v>
      </c>
      <c r="E99" s="2530">
        <v>0</v>
      </c>
      <c r="F99" s="2530">
        <v>0</v>
      </c>
      <c r="G99" s="2530">
        <v>0</v>
      </c>
      <c r="H99" s="2530">
        <v>0</v>
      </c>
      <c r="I99" s="2530">
        <v>0</v>
      </c>
      <c r="J99" s="2530">
        <v>0</v>
      </c>
      <c r="K99" s="2530">
        <v>0</v>
      </c>
      <c r="L99" s="2530">
        <v>0</v>
      </c>
      <c r="M99" s="2530">
        <v>0</v>
      </c>
      <c r="N99" s="2530">
        <v>0</v>
      </c>
      <c r="O99" s="2530">
        <v>0</v>
      </c>
      <c r="P99" s="2530">
        <v>0</v>
      </c>
      <c r="Q99" s="2161">
        <f t="shared" si="38"/>
        <v>0</v>
      </c>
      <c r="R99" s="1891">
        <f t="shared" si="37"/>
        <v>0</v>
      </c>
      <c r="S99" s="1891">
        <v>0</v>
      </c>
    </row>
    <row r="100" spans="1:19" s="2070" customFormat="1">
      <c r="A100" s="1889"/>
      <c r="B100" s="2727" t="s">
        <v>50</v>
      </c>
      <c r="C100" s="200" t="s">
        <v>74</v>
      </c>
      <c r="D100" s="1964">
        <f>TARGET!D102</f>
        <v>0</v>
      </c>
      <c r="E100" s="2558">
        <v>0</v>
      </c>
      <c r="F100" s="2558">
        <v>0</v>
      </c>
      <c r="G100" s="2558">
        <v>0</v>
      </c>
      <c r="H100" s="2558">
        <v>0</v>
      </c>
      <c r="I100" s="2558">
        <v>0</v>
      </c>
      <c r="J100" s="2558">
        <v>0</v>
      </c>
      <c r="K100" s="2558">
        <v>0</v>
      </c>
      <c r="L100" s="2558">
        <v>0</v>
      </c>
      <c r="M100" s="2558">
        <v>0</v>
      </c>
      <c r="N100" s="2558">
        <v>0</v>
      </c>
      <c r="O100" s="2558">
        <v>0</v>
      </c>
      <c r="P100" s="2558">
        <v>0</v>
      </c>
      <c r="Q100" s="2161">
        <f t="shared" si="38"/>
        <v>0</v>
      </c>
      <c r="R100" s="1891">
        <f t="shared" si="37"/>
        <v>0</v>
      </c>
      <c r="S100" s="1891">
        <v>0</v>
      </c>
    </row>
    <row r="101" spans="1:19" s="2070" customFormat="1">
      <c r="A101" s="1855"/>
      <c r="B101" s="2727" t="s">
        <v>50</v>
      </c>
      <c r="C101" s="206" t="s">
        <v>75</v>
      </c>
      <c r="D101" s="1964">
        <f>TARGET!D103</f>
        <v>0</v>
      </c>
      <c r="E101" s="2160">
        <v>0</v>
      </c>
      <c r="F101" s="2160">
        <v>0</v>
      </c>
      <c r="G101" s="2160">
        <v>0</v>
      </c>
      <c r="H101" s="2160">
        <v>0</v>
      </c>
      <c r="I101" s="2160">
        <v>0</v>
      </c>
      <c r="J101" s="2160">
        <v>0</v>
      </c>
      <c r="K101" s="2160">
        <v>0</v>
      </c>
      <c r="L101" s="2160">
        <v>0</v>
      </c>
      <c r="M101" s="2160">
        <v>0</v>
      </c>
      <c r="N101" s="2160">
        <v>0</v>
      </c>
      <c r="O101" s="2160">
        <v>0</v>
      </c>
      <c r="P101" s="2160">
        <v>0</v>
      </c>
      <c r="Q101" s="2161">
        <f t="shared" si="38"/>
        <v>0</v>
      </c>
      <c r="R101" s="1891">
        <f t="shared" si="37"/>
        <v>0</v>
      </c>
      <c r="S101" s="1891">
        <v>0</v>
      </c>
    </row>
    <row r="102" spans="1:19" s="2070" customFormat="1">
      <c r="A102" s="1855"/>
      <c r="B102" s="200" t="s">
        <v>50</v>
      </c>
      <c r="C102" s="206" t="s">
        <v>85</v>
      </c>
      <c r="D102" s="1964">
        <f>TARGET!D104</f>
        <v>0</v>
      </c>
      <c r="E102" s="2530">
        <v>0</v>
      </c>
      <c r="F102" s="2530">
        <v>0</v>
      </c>
      <c r="G102" s="2530">
        <v>0</v>
      </c>
      <c r="H102" s="2530">
        <v>0</v>
      </c>
      <c r="I102" s="2530">
        <v>0</v>
      </c>
      <c r="J102" s="2530">
        <v>0</v>
      </c>
      <c r="K102" s="2530">
        <v>0</v>
      </c>
      <c r="L102" s="2530">
        <v>0</v>
      </c>
      <c r="M102" s="2530">
        <v>0</v>
      </c>
      <c r="N102" s="2530">
        <v>0</v>
      </c>
      <c r="O102" s="2530">
        <v>0</v>
      </c>
      <c r="P102" s="2530">
        <v>0</v>
      </c>
      <c r="Q102" s="2161">
        <f t="shared" si="38"/>
        <v>0</v>
      </c>
      <c r="R102" s="1891">
        <f t="shared" si="37"/>
        <v>0</v>
      </c>
      <c r="S102" s="1891">
        <v>0</v>
      </c>
    </row>
    <row r="103" spans="1:19" s="2070" customFormat="1" ht="5.35" customHeight="1">
      <c r="A103" s="2535"/>
      <c r="B103" s="2117"/>
      <c r="C103" s="2117"/>
      <c r="D103" s="2182"/>
      <c r="E103" s="2182"/>
      <c r="F103" s="2182"/>
      <c r="G103" s="2182"/>
      <c r="H103" s="2182"/>
      <c r="I103" s="2182"/>
      <c r="J103" s="2182"/>
      <c r="K103" s="2182"/>
      <c r="L103" s="2182"/>
      <c r="M103" s="2182"/>
      <c r="N103" s="2182"/>
      <c r="O103" s="2182"/>
      <c r="P103" s="2182"/>
      <c r="Q103" s="1469"/>
      <c r="R103" s="1469"/>
      <c r="S103" s="1469"/>
    </row>
    <row r="104" spans="1:19" s="2073" customFormat="1" ht="15.65">
      <c r="A104" s="2528"/>
      <c r="B104" s="2093" t="s">
        <v>99</v>
      </c>
      <c r="C104" s="2195"/>
      <c r="D104" s="2147">
        <f t="shared" ref="D104:P104" si="40">D106+D109</f>
        <v>125000000000</v>
      </c>
      <c r="E104" s="2147">
        <f t="shared" si="40"/>
        <v>0</v>
      </c>
      <c r="F104" s="2147">
        <f t="shared" si="40"/>
        <v>0</v>
      </c>
      <c r="G104" s="2147">
        <f t="shared" si="40"/>
        <v>0</v>
      </c>
      <c r="H104" s="2147">
        <f t="shared" si="40"/>
        <v>0</v>
      </c>
      <c r="I104" s="2147">
        <f t="shared" si="40"/>
        <v>0</v>
      </c>
      <c r="J104" s="2147">
        <f t="shared" si="40"/>
        <v>0</v>
      </c>
      <c r="K104" s="2147">
        <f t="shared" si="40"/>
        <v>0</v>
      </c>
      <c r="L104" s="2147">
        <f t="shared" si="40"/>
        <v>0</v>
      </c>
      <c r="M104" s="2147">
        <f t="shared" si="40"/>
        <v>0</v>
      </c>
      <c r="N104" s="2147">
        <f t="shared" si="40"/>
        <v>0</v>
      </c>
      <c r="O104" s="2147">
        <f t="shared" si="40"/>
        <v>0</v>
      </c>
      <c r="P104" s="2147">
        <f t="shared" si="40"/>
        <v>0</v>
      </c>
      <c r="Q104" s="2147">
        <f>SUM(E104:P104)</f>
        <v>0</v>
      </c>
      <c r="R104" s="2147">
        <f>Q104-D104</f>
        <v>-125000000000</v>
      </c>
      <c r="S104" s="2147">
        <f>Q104/D104*100</f>
        <v>0</v>
      </c>
    </row>
    <row r="105" spans="1:19" s="2070" customFormat="1" ht="9.1" customHeight="1">
      <c r="A105" s="2553"/>
      <c r="C105" s="2124"/>
      <c r="D105" s="2216"/>
      <c r="E105" s="2216"/>
      <c r="F105" s="2216"/>
      <c r="G105" s="2216"/>
      <c r="H105" s="2216"/>
      <c r="I105" s="2216"/>
      <c r="J105" s="2216"/>
      <c r="K105" s="2216"/>
      <c r="L105" s="2216"/>
      <c r="M105" s="2216"/>
      <c r="N105" s="2216"/>
      <c r="O105" s="2216"/>
      <c r="P105" s="2216"/>
      <c r="Q105" s="2187"/>
      <c r="R105" s="2187"/>
      <c r="S105" s="2187"/>
    </row>
    <row r="106" spans="1:19" s="2074" customFormat="1">
      <c r="A106" s="2539"/>
      <c r="B106" s="212" t="s">
        <v>96</v>
      </c>
      <c r="C106" s="2124"/>
      <c r="D106" s="2181">
        <f t="shared" ref="D106:P106" si="41">D107</f>
        <v>125000000000</v>
      </c>
      <c r="E106" s="2181">
        <f t="shared" si="41"/>
        <v>0</v>
      </c>
      <c r="F106" s="2181">
        <f t="shared" si="41"/>
        <v>0</v>
      </c>
      <c r="G106" s="2181">
        <f t="shared" si="41"/>
        <v>0</v>
      </c>
      <c r="H106" s="2181">
        <f t="shared" si="41"/>
        <v>0</v>
      </c>
      <c r="I106" s="2181">
        <f t="shared" si="41"/>
        <v>0</v>
      </c>
      <c r="J106" s="2181">
        <f t="shared" si="41"/>
        <v>0</v>
      </c>
      <c r="K106" s="2181">
        <f t="shared" si="41"/>
        <v>0</v>
      </c>
      <c r="L106" s="2181">
        <f t="shared" si="41"/>
        <v>0</v>
      </c>
      <c r="M106" s="2181">
        <f t="shared" si="41"/>
        <v>0</v>
      </c>
      <c r="N106" s="2181">
        <f t="shared" si="41"/>
        <v>0</v>
      </c>
      <c r="O106" s="2181">
        <f t="shared" si="41"/>
        <v>0</v>
      </c>
      <c r="P106" s="2181">
        <f t="shared" si="41"/>
        <v>0</v>
      </c>
      <c r="Q106" s="2161">
        <f t="shared" ref="Q106:Q114" si="42">SUM(E106:P106)</f>
        <v>0</v>
      </c>
      <c r="R106" s="1891">
        <f t="shared" ref="R106:S114" si="43">Q106-D106</f>
        <v>-125000000000</v>
      </c>
      <c r="S106" s="1891">
        <f>Q106/D106*100</f>
        <v>0</v>
      </c>
    </row>
    <row r="107" spans="1:19" s="2070" customFormat="1">
      <c r="A107" s="2538"/>
      <c r="B107" s="2730" t="s">
        <v>50</v>
      </c>
      <c r="C107" s="217" t="s">
        <v>97</v>
      </c>
      <c r="D107" s="1964">
        <f>TARGET!D109</f>
        <v>125000000000</v>
      </c>
      <c r="E107" s="2241">
        <v>0</v>
      </c>
      <c r="F107" s="2241">
        <v>0</v>
      </c>
      <c r="G107" s="2241">
        <v>0</v>
      </c>
      <c r="H107" s="2241">
        <v>0</v>
      </c>
      <c r="I107" s="2241">
        <v>0</v>
      </c>
      <c r="J107" s="2241">
        <v>0</v>
      </c>
      <c r="K107" s="2241">
        <v>0</v>
      </c>
      <c r="L107" s="2241">
        <v>0</v>
      </c>
      <c r="M107" s="2241">
        <v>0</v>
      </c>
      <c r="N107" s="2241">
        <v>0</v>
      </c>
      <c r="O107" s="2241">
        <v>0</v>
      </c>
      <c r="P107" s="2241">
        <v>0</v>
      </c>
      <c r="Q107" s="2161">
        <f t="shared" si="42"/>
        <v>0</v>
      </c>
      <c r="R107" s="1891">
        <f t="shared" si="43"/>
        <v>-125000000000</v>
      </c>
      <c r="S107" s="1891">
        <f>Q107/D107*100</f>
        <v>0</v>
      </c>
    </row>
    <row r="108" spans="1:19" s="2070" customFormat="1" ht="6.75" customHeight="1">
      <c r="A108" s="2538"/>
      <c r="B108" s="206"/>
      <c r="C108" s="200"/>
      <c r="D108" s="2188"/>
      <c r="E108" s="2188"/>
      <c r="F108" s="2188"/>
      <c r="G108" s="2188"/>
      <c r="H108" s="2188"/>
      <c r="I108" s="2188"/>
      <c r="J108" s="2188"/>
      <c r="K108" s="2188"/>
      <c r="L108" s="2188"/>
      <c r="M108" s="2188"/>
      <c r="N108" s="2188"/>
      <c r="O108" s="2188"/>
      <c r="P108" s="2188"/>
      <c r="Q108" s="2161"/>
      <c r="R108" s="1891">
        <f t="shared" si="43"/>
        <v>0</v>
      </c>
      <c r="S108" s="1891">
        <f t="shared" si="43"/>
        <v>0</v>
      </c>
    </row>
    <row r="109" spans="1:19" s="2074" customFormat="1">
      <c r="A109" s="2539"/>
      <c r="B109" s="2124" t="s">
        <v>71</v>
      </c>
      <c r="C109" s="202"/>
      <c r="D109" s="2190">
        <f t="shared" ref="D109:P109" si="44">SUM(D110:D114)</f>
        <v>0</v>
      </c>
      <c r="E109" s="2190">
        <f t="shared" si="44"/>
        <v>0</v>
      </c>
      <c r="F109" s="2190">
        <f t="shared" si="44"/>
        <v>0</v>
      </c>
      <c r="G109" s="2190">
        <f t="shared" si="44"/>
        <v>0</v>
      </c>
      <c r="H109" s="2190">
        <f t="shared" si="44"/>
        <v>0</v>
      </c>
      <c r="I109" s="2190">
        <f t="shared" si="44"/>
        <v>0</v>
      </c>
      <c r="J109" s="2190">
        <f t="shared" si="44"/>
        <v>0</v>
      </c>
      <c r="K109" s="2190">
        <f t="shared" si="44"/>
        <v>0</v>
      </c>
      <c r="L109" s="2190">
        <f t="shared" si="44"/>
        <v>0</v>
      </c>
      <c r="M109" s="2190">
        <f t="shared" si="44"/>
        <v>0</v>
      </c>
      <c r="N109" s="2190">
        <f t="shared" si="44"/>
        <v>0</v>
      </c>
      <c r="O109" s="2190">
        <f t="shared" si="44"/>
        <v>0</v>
      </c>
      <c r="P109" s="2190">
        <f t="shared" si="44"/>
        <v>0</v>
      </c>
      <c r="Q109" s="2161">
        <f t="shared" si="42"/>
        <v>0</v>
      </c>
      <c r="R109" s="1891">
        <f t="shared" si="43"/>
        <v>0</v>
      </c>
      <c r="S109" s="1891">
        <v>0</v>
      </c>
    </row>
    <row r="110" spans="1:19" s="2070" customFormat="1">
      <c r="A110" s="2538"/>
      <c r="B110" s="2730" t="s">
        <v>50</v>
      </c>
      <c r="C110" s="200" t="s">
        <v>72</v>
      </c>
      <c r="D110" s="1964">
        <f>TARGET!D112</f>
        <v>0</v>
      </c>
      <c r="E110" s="2241">
        <v>0</v>
      </c>
      <c r="F110" s="2241">
        <v>0</v>
      </c>
      <c r="G110" s="2241">
        <v>0</v>
      </c>
      <c r="H110" s="2241">
        <v>0</v>
      </c>
      <c r="I110" s="2241">
        <v>0</v>
      </c>
      <c r="J110" s="2241">
        <v>0</v>
      </c>
      <c r="K110" s="2241">
        <v>0</v>
      </c>
      <c r="L110" s="2241">
        <v>0</v>
      </c>
      <c r="M110" s="2241">
        <v>0</v>
      </c>
      <c r="N110" s="2241">
        <v>0</v>
      </c>
      <c r="O110" s="2241">
        <v>0</v>
      </c>
      <c r="P110" s="2241">
        <v>0</v>
      </c>
      <c r="Q110" s="2161">
        <f t="shared" si="42"/>
        <v>0</v>
      </c>
      <c r="R110" s="1891">
        <f t="shared" si="43"/>
        <v>0</v>
      </c>
      <c r="S110" s="1891">
        <v>0</v>
      </c>
    </row>
    <row r="111" spans="1:19" s="2070" customFormat="1">
      <c r="A111" s="2538"/>
      <c r="B111" s="2730" t="s">
        <v>50</v>
      </c>
      <c r="C111" s="200" t="s">
        <v>73</v>
      </c>
      <c r="D111" s="1964">
        <f>TARGET!D113</f>
        <v>0</v>
      </c>
      <c r="E111" s="2540">
        <v>0</v>
      </c>
      <c r="F111" s="2540">
        <v>0</v>
      </c>
      <c r="G111" s="2540">
        <v>0</v>
      </c>
      <c r="H111" s="2540">
        <v>0</v>
      </c>
      <c r="I111" s="2540">
        <v>0</v>
      </c>
      <c r="J111" s="2540">
        <v>0</v>
      </c>
      <c r="K111" s="2540">
        <v>0</v>
      </c>
      <c r="L111" s="2540">
        <v>0</v>
      </c>
      <c r="M111" s="2540">
        <v>0</v>
      </c>
      <c r="N111" s="2540">
        <v>0</v>
      </c>
      <c r="O111" s="2540">
        <v>0</v>
      </c>
      <c r="P111" s="2540">
        <v>0</v>
      </c>
      <c r="Q111" s="2161">
        <f t="shared" si="42"/>
        <v>0</v>
      </c>
      <c r="R111" s="1891">
        <f t="shared" si="43"/>
        <v>0</v>
      </c>
      <c r="S111" s="1891">
        <v>0</v>
      </c>
    </row>
    <row r="112" spans="1:19" s="2070" customFormat="1">
      <c r="A112" s="2538"/>
      <c r="B112" s="2730" t="s">
        <v>50</v>
      </c>
      <c r="C112" s="200" t="s">
        <v>74</v>
      </c>
      <c r="D112" s="1964">
        <f>TARGET!D114</f>
        <v>0</v>
      </c>
      <c r="E112" s="2160">
        <v>0</v>
      </c>
      <c r="F112" s="2160">
        <v>0</v>
      </c>
      <c r="G112" s="2160">
        <v>0</v>
      </c>
      <c r="H112" s="2160">
        <v>0</v>
      </c>
      <c r="I112" s="2160">
        <v>0</v>
      </c>
      <c r="J112" s="2160">
        <v>0</v>
      </c>
      <c r="K112" s="2160">
        <v>0</v>
      </c>
      <c r="L112" s="2160">
        <v>0</v>
      </c>
      <c r="M112" s="2160">
        <v>0</v>
      </c>
      <c r="N112" s="2160">
        <v>0</v>
      </c>
      <c r="O112" s="2160">
        <v>0</v>
      </c>
      <c r="P112" s="2160">
        <v>0</v>
      </c>
      <c r="Q112" s="2161">
        <f t="shared" si="42"/>
        <v>0</v>
      </c>
      <c r="R112" s="1891">
        <f t="shared" si="43"/>
        <v>0</v>
      </c>
      <c r="S112" s="1891">
        <v>0</v>
      </c>
    </row>
    <row r="113" spans="1:19" s="2070" customFormat="1">
      <c r="A113" s="2538"/>
      <c r="B113" s="2730" t="s">
        <v>50</v>
      </c>
      <c r="C113" s="206" t="s">
        <v>75</v>
      </c>
      <c r="D113" s="1964">
        <f>TARGET!D115</f>
        <v>0</v>
      </c>
      <c r="E113" s="2160">
        <v>0</v>
      </c>
      <c r="F113" s="2160">
        <v>0</v>
      </c>
      <c r="G113" s="2160">
        <v>0</v>
      </c>
      <c r="H113" s="2160">
        <v>0</v>
      </c>
      <c r="I113" s="2160">
        <v>0</v>
      </c>
      <c r="J113" s="2160">
        <v>0</v>
      </c>
      <c r="K113" s="2160">
        <v>0</v>
      </c>
      <c r="L113" s="2160">
        <v>0</v>
      </c>
      <c r="M113" s="2160">
        <v>0</v>
      </c>
      <c r="N113" s="2160">
        <v>0</v>
      </c>
      <c r="O113" s="2160">
        <v>0</v>
      </c>
      <c r="P113" s="2160">
        <v>0</v>
      </c>
      <c r="Q113" s="2161">
        <f t="shared" si="42"/>
        <v>0</v>
      </c>
      <c r="R113" s="1891">
        <f t="shared" si="43"/>
        <v>0</v>
      </c>
      <c r="S113" s="1891">
        <v>0</v>
      </c>
    </row>
    <row r="114" spans="1:19" s="2070" customFormat="1">
      <c r="A114" s="1855"/>
      <c r="B114" s="2730" t="s">
        <v>50</v>
      </c>
      <c r="C114" s="206" t="s">
        <v>85</v>
      </c>
      <c r="D114" s="1964">
        <f>TARGET!D116</f>
        <v>0</v>
      </c>
      <c r="E114" s="2530">
        <v>0</v>
      </c>
      <c r="F114" s="2530">
        <v>0</v>
      </c>
      <c r="G114" s="2530">
        <v>0</v>
      </c>
      <c r="H114" s="2530">
        <v>0</v>
      </c>
      <c r="I114" s="2530">
        <v>0</v>
      </c>
      <c r="J114" s="2530">
        <v>0</v>
      </c>
      <c r="K114" s="2530">
        <v>0</v>
      </c>
      <c r="L114" s="2530">
        <v>0</v>
      </c>
      <c r="M114" s="2530">
        <v>0</v>
      </c>
      <c r="N114" s="2530">
        <v>0</v>
      </c>
      <c r="O114" s="2530">
        <v>0</v>
      </c>
      <c r="P114" s="2530">
        <v>0</v>
      </c>
      <c r="Q114" s="2161">
        <f t="shared" si="42"/>
        <v>0</v>
      </c>
      <c r="R114" s="1891">
        <f t="shared" si="43"/>
        <v>0</v>
      </c>
      <c r="S114" s="1891">
        <v>0</v>
      </c>
    </row>
    <row r="115" spans="1:19" s="2070" customFormat="1" ht="5.95" customHeight="1">
      <c r="A115" s="2559"/>
      <c r="B115" s="257"/>
      <c r="C115" s="257"/>
      <c r="D115" s="2143"/>
      <c r="E115" s="2143"/>
      <c r="F115" s="2143"/>
      <c r="G115" s="2143"/>
      <c r="H115" s="2143"/>
      <c r="I115" s="2143"/>
      <c r="J115" s="2143"/>
      <c r="K115" s="2143"/>
      <c r="L115" s="2143"/>
      <c r="M115" s="2143"/>
      <c r="N115" s="2143"/>
      <c r="O115" s="2143"/>
      <c r="P115" s="2143"/>
      <c r="Q115" s="1727"/>
      <c r="R115" s="1727"/>
      <c r="S115" s="1727"/>
    </row>
    <row r="116" spans="1:19" s="2073" customFormat="1" ht="15.65">
      <c r="A116" s="2528" t="s">
        <v>100</v>
      </c>
      <c r="B116" s="2093" t="s">
        <v>101</v>
      </c>
      <c r="C116" s="2195"/>
      <c r="D116" s="2147">
        <f t="shared" ref="D116:P116" si="45">D118+D121</f>
        <v>15000000000</v>
      </c>
      <c r="E116" s="2147">
        <f t="shared" si="45"/>
        <v>0</v>
      </c>
      <c r="F116" s="2147">
        <f t="shared" si="45"/>
        <v>0</v>
      </c>
      <c r="G116" s="2147">
        <f t="shared" si="45"/>
        <v>0</v>
      </c>
      <c r="H116" s="2147">
        <f t="shared" si="45"/>
        <v>0</v>
      </c>
      <c r="I116" s="2147">
        <f t="shared" si="45"/>
        <v>0</v>
      </c>
      <c r="J116" s="2147">
        <f t="shared" si="45"/>
        <v>0</v>
      </c>
      <c r="K116" s="2147">
        <f t="shared" si="45"/>
        <v>0</v>
      </c>
      <c r="L116" s="2147">
        <f t="shared" si="45"/>
        <v>0</v>
      </c>
      <c r="M116" s="2147">
        <f t="shared" si="45"/>
        <v>0</v>
      </c>
      <c r="N116" s="2147">
        <f t="shared" si="45"/>
        <v>0</v>
      </c>
      <c r="O116" s="2147">
        <f t="shared" si="45"/>
        <v>0</v>
      </c>
      <c r="P116" s="2147">
        <f t="shared" si="45"/>
        <v>0</v>
      </c>
      <c r="Q116" s="2147">
        <f>SUM(E116:P116)</f>
        <v>0</v>
      </c>
      <c r="R116" s="2147">
        <f>Q116-D116</f>
        <v>-15000000000</v>
      </c>
      <c r="S116" s="2147">
        <f>Q116/D116*100</f>
        <v>0</v>
      </c>
    </row>
    <row r="117" spans="1:19" s="2070" customFormat="1" ht="7.55" customHeight="1">
      <c r="A117" s="1855"/>
      <c r="C117" s="2121"/>
      <c r="D117" s="2187"/>
      <c r="E117" s="2187"/>
      <c r="F117" s="2187"/>
      <c r="G117" s="2187"/>
      <c r="H117" s="2187"/>
      <c r="I117" s="2187"/>
      <c r="J117" s="2187"/>
      <c r="K117" s="2187"/>
      <c r="L117" s="2187"/>
      <c r="M117" s="2187"/>
      <c r="N117" s="2187"/>
      <c r="O117" s="2187"/>
      <c r="P117" s="2187"/>
      <c r="Q117" s="2187"/>
      <c r="R117" s="2187"/>
      <c r="S117" s="2187"/>
    </row>
    <row r="118" spans="1:19" s="2074" customFormat="1">
      <c r="A118" s="1854"/>
      <c r="B118" s="212" t="s">
        <v>96</v>
      </c>
      <c r="C118" s="2124"/>
      <c r="D118" s="2181">
        <f t="shared" ref="D118:P118" si="46">SUM(D119)</f>
        <v>15000000000</v>
      </c>
      <c r="E118" s="2181">
        <f t="shared" si="46"/>
        <v>0</v>
      </c>
      <c r="F118" s="2181">
        <f t="shared" si="46"/>
        <v>0</v>
      </c>
      <c r="G118" s="2181">
        <f t="shared" si="46"/>
        <v>0</v>
      </c>
      <c r="H118" s="2181">
        <f t="shared" si="46"/>
        <v>0</v>
      </c>
      <c r="I118" s="2181">
        <f t="shared" si="46"/>
        <v>0</v>
      </c>
      <c r="J118" s="2181">
        <f t="shared" si="46"/>
        <v>0</v>
      </c>
      <c r="K118" s="2181">
        <f t="shared" si="46"/>
        <v>0</v>
      </c>
      <c r="L118" s="2181">
        <f t="shared" si="46"/>
        <v>0</v>
      </c>
      <c r="M118" s="2181">
        <f t="shared" si="46"/>
        <v>0</v>
      </c>
      <c r="N118" s="2181">
        <f t="shared" si="46"/>
        <v>0</v>
      </c>
      <c r="O118" s="2181">
        <f t="shared" si="46"/>
        <v>0</v>
      </c>
      <c r="P118" s="2181">
        <f t="shared" si="46"/>
        <v>0</v>
      </c>
      <c r="Q118" s="2161">
        <f t="shared" ref="Q118:Q127" si="47">SUM(E118:P118)</f>
        <v>0</v>
      </c>
      <c r="R118" s="1891">
        <f t="shared" ref="R118:S127" si="48">Q118-D118</f>
        <v>-15000000000</v>
      </c>
      <c r="S118" s="1891">
        <f>Q118/D118*100</f>
        <v>0</v>
      </c>
    </row>
    <row r="119" spans="1:19" s="2070" customFormat="1">
      <c r="A119" s="1854"/>
      <c r="B119" s="217" t="s">
        <v>102</v>
      </c>
      <c r="D119" s="1964">
        <f>TARGET!D121</f>
        <v>15000000000</v>
      </c>
      <c r="E119" s="2241">
        <v>0</v>
      </c>
      <c r="F119" s="2241">
        <v>0</v>
      </c>
      <c r="G119" s="2241">
        <v>0</v>
      </c>
      <c r="H119" s="2241">
        <v>0</v>
      </c>
      <c r="I119" s="2241">
        <v>0</v>
      </c>
      <c r="J119" s="2241">
        <v>0</v>
      </c>
      <c r="K119" s="2241">
        <v>0</v>
      </c>
      <c r="L119" s="2241">
        <v>0</v>
      </c>
      <c r="M119" s="2241">
        <v>0</v>
      </c>
      <c r="N119" s="2241">
        <v>0</v>
      </c>
      <c r="O119" s="2241">
        <v>0</v>
      </c>
      <c r="P119" s="2241">
        <v>0</v>
      </c>
      <c r="Q119" s="2161">
        <f t="shared" si="47"/>
        <v>0</v>
      </c>
      <c r="R119" s="1891">
        <f t="shared" si="48"/>
        <v>-15000000000</v>
      </c>
      <c r="S119" s="1891">
        <f>Q119/D119*100</f>
        <v>0</v>
      </c>
    </row>
    <row r="120" spans="1:19" s="2070" customFormat="1">
      <c r="A120" s="1855"/>
      <c r="B120" s="202"/>
      <c r="C120" s="206"/>
      <c r="D120" s="2188"/>
      <c r="E120" s="2188"/>
      <c r="F120" s="2188"/>
      <c r="G120" s="2188"/>
      <c r="H120" s="2188"/>
      <c r="I120" s="2188"/>
      <c r="J120" s="2188"/>
      <c r="K120" s="2188"/>
      <c r="L120" s="2188"/>
      <c r="M120" s="2188"/>
      <c r="N120" s="2188"/>
      <c r="O120" s="2188"/>
      <c r="P120" s="2188"/>
      <c r="Q120" s="2161">
        <f t="shared" si="47"/>
        <v>0</v>
      </c>
      <c r="R120" s="1891">
        <f t="shared" si="48"/>
        <v>0</v>
      </c>
      <c r="S120" s="1891">
        <f t="shared" si="48"/>
        <v>0</v>
      </c>
    </row>
    <row r="121" spans="1:19" s="2074" customFormat="1">
      <c r="A121" s="1902"/>
      <c r="B121" s="202" t="s">
        <v>71</v>
      </c>
      <c r="C121" s="2416"/>
      <c r="D121" s="2560">
        <f t="shared" ref="D121:P121" si="49">SUM(D122:D127)</f>
        <v>0</v>
      </c>
      <c r="E121" s="2560">
        <f t="shared" si="49"/>
        <v>0</v>
      </c>
      <c r="F121" s="2560">
        <f t="shared" si="49"/>
        <v>0</v>
      </c>
      <c r="G121" s="2560">
        <f t="shared" si="49"/>
        <v>0</v>
      </c>
      <c r="H121" s="2560">
        <f t="shared" si="49"/>
        <v>0</v>
      </c>
      <c r="I121" s="2560">
        <f t="shared" si="49"/>
        <v>0</v>
      </c>
      <c r="J121" s="2560">
        <f t="shared" si="49"/>
        <v>0</v>
      </c>
      <c r="K121" s="2560">
        <f t="shared" si="49"/>
        <v>0</v>
      </c>
      <c r="L121" s="2560">
        <f t="shared" si="49"/>
        <v>0</v>
      </c>
      <c r="M121" s="2560">
        <f t="shared" si="49"/>
        <v>0</v>
      </c>
      <c r="N121" s="2560">
        <f t="shared" si="49"/>
        <v>0</v>
      </c>
      <c r="O121" s="2560">
        <f t="shared" si="49"/>
        <v>0</v>
      </c>
      <c r="P121" s="2560">
        <f t="shared" si="49"/>
        <v>0</v>
      </c>
      <c r="Q121" s="2161">
        <f t="shared" si="47"/>
        <v>0</v>
      </c>
      <c r="R121" s="1891">
        <f t="shared" si="48"/>
        <v>0</v>
      </c>
      <c r="S121" s="1891">
        <v>0</v>
      </c>
    </row>
    <row r="122" spans="1:19" s="2070" customFormat="1">
      <c r="A122" s="1886"/>
      <c r="B122" s="2728" t="s">
        <v>50</v>
      </c>
      <c r="C122" s="203" t="s">
        <v>103</v>
      </c>
      <c r="D122" s="1964">
        <f>TARGET!D124</f>
        <v>0</v>
      </c>
      <c r="E122" s="2561">
        <v>0</v>
      </c>
      <c r="F122" s="2561">
        <v>0</v>
      </c>
      <c r="G122" s="2561">
        <v>0</v>
      </c>
      <c r="H122" s="2561">
        <v>0</v>
      </c>
      <c r="I122" s="2561">
        <v>0</v>
      </c>
      <c r="J122" s="2561">
        <v>0</v>
      </c>
      <c r="K122" s="2561">
        <v>0</v>
      </c>
      <c r="L122" s="2561">
        <v>0</v>
      </c>
      <c r="M122" s="2561">
        <v>0</v>
      </c>
      <c r="N122" s="2561">
        <v>0</v>
      </c>
      <c r="O122" s="2561">
        <v>0</v>
      </c>
      <c r="P122" s="2561">
        <v>0</v>
      </c>
      <c r="Q122" s="2161">
        <f t="shared" si="47"/>
        <v>0</v>
      </c>
      <c r="R122" s="1891">
        <f t="shared" si="48"/>
        <v>0</v>
      </c>
      <c r="S122" s="1891">
        <v>0</v>
      </c>
    </row>
    <row r="123" spans="1:19" s="2070" customFormat="1">
      <c r="A123" s="1886"/>
      <c r="B123" s="2728" t="s">
        <v>50</v>
      </c>
      <c r="C123" s="200" t="s">
        <v>72</v>
      </c>
      <c r="D123" s="1964">
        <f>TARGET!D125</f>
        <v>0</v>
      </c>
      <c r="E123" s="2561">
        <v>0</v>
      </c>
      <c r="F123" s="2561">
        <v>0</v>
      </c>
      <c r="G123" s="2561">
        <v>0</v>
      </c>
      <c r="H123" s="2561">
        <v>0</v>
      </c>
      <c r="I123" s="2561">
        <v>0</v>
      </c>
      <c r="J123" s="2561">
        <v>0</v>
      </c>
      <c r="K123" s="2561">
        <v>0</v>
      </c>
      <c r="L123" s="2561">
        <v>0</v>
      </c>
      <c r="M123" s="2561">
        <v>0</v>
      </c>
      <c r="N123" s="2561">
        <v>0</v>
      </c>
      <c r="O123" s="2561">
        <v>0</v>
      </c>
      <c r="P123" s="2561">
        <v>0</v>
      </c>
      <c r="Q123" s="2161">
        <f t="shared" si="47"/>
        <v>0</v>
      </c>
      <c r="R123" s="1891">
        <f t="shared" si="48"/>
        <v>0</v>
      </c>
      <c r="S123" s="1891">
        <v>0</v>
      </c>
    </row>
    <row r="124" spans="1:19" s="2070" customFormat="1">
      <c r="A124" s="1886"/>
      <c r="B124" s="2728" t="s">
        <v>50</v>
      </c>
      <c r="C124" s="200" t="s">
        <v>73</v>
      </c>
      <c r="D124" s="1964">
        <f>TARGET!D126</f>
        <v>0</v>
      </c>
      <c r="E124" s="2561">
        <v>0</v>
      </c>
      <c r="F124" s="2561">
        <v>0</v>
      </c>
      <c r="G124" s="2561">
        <v>0</v>
      </c>
      <c r="H124" s="2561">
        <v>0</v>
      </c>
      <c r="I124" s="2561">
        <v>0</v>
      </c>
      <c r="J124" s="2561">
        <v>0</v>
      </c>
      <c r="K124" s="2561">
        <v>0</v>
      </c>
      <c r="L124" s="2561">
        <v>0</v>
      </c>
      <c r="M124" s="2561">
        <v>0</v>
      </c>
      <c r="N124" s="2561">
        <v>0</v>
      </c>
      <c r="O124" s="2561">
        <v>0</v>
      </c>
      <c r="P124" s="2561">
        <v>0</v>
      </c>
      <c r="Q124" s="2161">
        <f t="shared" si="47"/>
        <v>0</v>
      </c>
      <c r="R124" s="1891">
        <f t="shared" si="48"/>
        <v>0</v>
      </c>
      <c r="S124" s="1891">
        <v>0</v>
      </c>
    </row>
    <row r="125" spans="1:19" s="2070" customFormat="1">
      <c r="A125" s="1886"/>
      <c r="B125" s="2728" t="s">
        <v>50</v>
      </c>
      <c r="C125" s="200" t="s">
        <v>74</v>
      </c>
      <c r="D125" s="1964">
        <f>TARGET!D127</f>
        <v>0</v>
      </c>
      <c r="E125" s="2561">
        <v>0</v>
      </c>
      <c r="F125" s="2561">
        <v>0</v>
      </c>
      <c r="G125" s="2561">
        <v>0</v>
      </c>
      <c r="H125" s="2561">
        <v>0</v>
      </c>
      <c r="I125" s="2561">
        <v>0</v>
      </c>
      <c r="J125" s="2561">
        <v>0</v>
      </c>
      <c r="K125" s="2561">
        <v>0</v>
      </c>
      <c r="L125" s="2561">
        <v>0</v>
      </c>
      <c r="M125" s="2561">
        <v>0</v>
      </c>
      <c r="N125" s="2561">
        <v>0</v>
      </c>
      <c r="O125" s="2561">
        <v>0</v>
      </c>
      <c r="P125" s="2561">
        <v>0</v>
      </c>
      <c r="Q125" s="2161">
        <f t="shared" si="47"/>
        <v>0</v>
      </c>
      <c r="R125" s="1891">
        <f t="shared" si="48"/>
        <v>0</v>
      </c>
      <c r="S125" s="1891">
        <v>0</v>
      </c>
    </row>
    <row r="126" spans="1:19" s="2070" customFormat="1">
      <c r="A126" s="1886"/>
      <c r="B126" s="2728" t="s">
        <v>50</v>
      </c>
      <c r="C126" s="206" t="s">
        <v>75</v>
      </c>
      <c r="D126" s="1964">
        <f>TARGET!D128</f>
        <v>0</v>
      </c>
      <c r="E126" s="2561">
        <v>0</v>
      </c>
      <c r="F126" s="2561">
        <v>0</v>
      </c>
      <c r="G126" s="2561">
        <v>0</v>
      </c>
      <c r="H126" s="2561">
        <v>0</v>
      </c>
      <c r="I126" s="2561">
        <v>0</v>
      </c>
      <c r="J126" s="2561">
        <v>0</v>
      </c>
      <c r="K126" s="2561">
        <v>0</v>
      </c>
      <c r="L126" s="2561">
        <v>0</v>
      </c>
      <c r="M126" s="2561">
        <v>0</v>
      </c>
      <c r="N126" s="2561">
        <v>0</v>
      </c>
      <c r="O126" s="2561">
        <v>0</v>
      </c>
      <c r="P126" s="2561">
        <v>0</v>
      </c>
      <c r="Q126" s="2161">
        <f t="shared" si="47"/>
        <v>0</v>
      </c>
      <c r="R126" s="1891">
        <f t="shared" si="48"/>
        <v>0</v>
      </c>
      <c r="S126" s="1891">
        <v>0</v>
      </c>
    </row>
    <row r="127" spans="1:19" s="2070" customFormat="1">
      <c r="A127" s="1886"/>
      <c r="B127" s="2728" t="s">
        <v>50</v>
      </c>
      <c r="C127" s="206" t="s">
        <v>85</v>
      </c>
      <c r="D127" s="1964">
        <f>TARGET!D129</f>
        <v>0</v>
      </c>
      <c r="E127" s="2561">
        <v>0</v>
      </c>
      <c r="F127" s="2561">
        <v>0</v>
      </c>
      <c r="G127" s="2561">
        <v>0</v>
      </c>
      <c r="H127" s="2561">
        <v>0</v>
      </c>
      <c r="I127" s="2561">
        <v>0</v>
      </c>
      <c r="J127" s="2561">
        <v>0</v>
      </c>
      <c r="K127" s="2561">
        <v>0</v>
      </c>
      <c r="L127" s="2561">
        <v>0</v>
      </c>
      <c r="M127" s="2561">
        <v>0</v>
      </c>
      <c r="N127" s="2561">
        <v>0</v>
      </c>
      <c r="O127" s="2561">
        <v>0</v>
      </c>
      <c r="P127" s="2561">
        <v>0</v>
      </c>
      <c r="Q127" s="2161">
        <f t="shared" si="47"/>
        <v>0</v>
      </c>
      <c r="R127" s="1891">
        <f t="shared" si="48"/>
        <v>0</v>
      </c>
      <c r="S127" s="1891">
        <v>0</v>
      </c>
    </row>
    <row r="128" spans="1:19" s="2070" customFormat="1" ht="5.35" customHeight="1">
      <c r="A128" s="2535"/>
      <c r="B128" s="2117"/>
      <c r="C128" s="2127"/>
      <c r="D128" s="2191"/>
      <c r="E128" s="2191"/>
      <c r="F128" s="2191"/>
      <c r="G128" s="2191"/>
      <c r="H128" s="2191"/>
      <c r="I128" s="2191"/>
      <c r="J128" s="2191"/>
      <c r="K128" s="2191"/>
      <c r="L128" s="2191"/>
      <c r="M128" s="2191"/>
      <c r="N128" s="2191"/>
      <c r="O128" s="2191"/>
      <c r="P128" s="2191"/>
      <c r="Q128" s="2193"/>
      <c r="R128" s="2193"/>
      <c r="S128" s="2193"/>
    </row>
    <row r="129" spans="1:19" s="2073" customFormat="1" ht="15.65">
      <c r="A129" s="2528" t="s">
        <v>104</v>
      </c>
      <c r="B129" s="2093" t="s">
        <v>105</v>
      </c>
      <c r="C129" s="2253"/>
      <c r="D129" s="2147">
        <f t="shared" ref="D129:P129" si="50">D130+D139</f>
        <v>486000000</v>
      </c>
      <c r="E129" s="2147">
        <f t="shared" si="50"/>
        <v>0</v>
      </c>
      <c r="F129" s="2147">
        <f t="shared" si="50"/>
        <v>0</v>
      </c>
      <c r="G129" s="2147">
        <f t="shared" si="50"/>
        <v>0</v>
      </c>
      <c r="H129" s="2147">
        <f t="shared" si="50"/>
        <v>0</v>
      </c>
      <c r="I129" s="2147">
        <f t="shared" si="50"/>
        <v>0</v>
      </c>
      <c r="J129" s="2147">
        <f t="shared" si="50"/>
        <v>0</v>
      </c>
      <c r="K129" s="2147">
        <f t="shared" si="50"/>
        <v>0</v>
      </c>
      <c r="L129" s="2147">
        <f t="shared" si="50"/>
        <v>0</v>
      </c>
      <c r="M129" s="2147">
        <f t="shared" si="50"/>
        <v>0</v>
      </c>
      <c r="N129" s="2147">
        <f t="shared" si="50"/>
        <v>0</v>
      </c>
      <c r="O129" s="2147">
        <f t="shared" si="50"/>
        <v>0</v>
      </c>
      <c r="P129" s="2147">
        <f t="shared" si="50"/>
        <v>0</v>
      </c>
      <c r="Q129" s="2147">
        <f>SUM(E129:P129)</f>
        <v>0</v>
      </c>
      <c r="R129" s="2147">
        <f>Q129-D129</f>
        <v>-486000000</v>
      </c>
      <c r="S129" s="2147">
        <f>Q129/D129*100</f>
        <v>0</v>
      </c>
    </row>
    <row r="130" spans="1:19" s="2074" customFormat="1">
      <c r="A130" s="1854"/>
      <c r="B130" s="1856" t="s">
        <v>106</v>
      </c>
      <c r="C130" s="2121"/>
      <c r="D130" s="2187">
        <f t="shared" ref="D130:P130" si="51">D131+D134</f>
        <v>486000000</v>
      </c>
      <c r="E130" s="2187">
        <f t="shared" si="51"/>
        <v>0</v>
      </c>
      <c r="F130" s="2187">
        <f t="shared" si="51"/>
        <v>0</v>
      </c>
      <c r="G130" s="2187">
        <f t="shared" si="51"/>
        <v>0</v>
      </c>
      <c r="H130" s="2187">
        <f t="shared" si="51"/>
        <v>0</v>
      </c>
      <c r="I130" s="2187">
        <f t="shared" si="51"/>
        <v>0</v>
      </c>
      <c r="J130" s="2187">
        <f t="shared" si="51"/>
        <v>0</v>
      </c>
      <c r="K130" s="2187">
        <f t="shared" si="51"/>
        <v>0</v>
      </c>
      <c r="L130" s="2187">
        <f t="shared" si="51"/>
        <v>0</v>
      </c>
      <c r="M130" s="2187">
        <f t="shared" si="51"/>
        <v>0</v>
      </c>
      <c r="N130" s="2187">
        <f t="shared" si="51"/>
        <v>0</v>
      </c>
      <c r="O130" s="2187">
        <f t="shared" si="51"/>
        <v>0</v>
      </c>
      <c r="P130" s="2187">
        <f t="shared" si="51"/>
        <v>0</v>
      </c>
      <c r="Q130" s="2161">
        <f t="shared" ref="Q130:Q144" si="52">SUM(E130:P130)</f>
        <v>0</v>
      </c>
      <c r="R130" s="1891">
        <f t="shared" ref="R130:S144" si="53">Q130-D130</f>
        <v>-486000000</v>
      </c>
      <c r="S130" s="1891">
        <f>Q130/D130*100</f>
        <v>0</v>
      </c>
    </row>
    <row r="131" spans="1:19" s="2074" customFormat="1" ht="15.05">
      <c r="A131" s="1854"/>
      <c r="B131" s="202" t="s">
        <v>107</v>
      </c>
      <c r="C131" s="2239"/>
      <c r="D131" s="2254">
        <f t="shared" ref="D131:P131" si="54">SUM(D132)</f>
        <v>19250000</v>
      </c>
      <c r="E131" s="2254">
        <f t="shared" si="54"/>
        <v>0</v>
      </c>
      <c r="F131" s="2254">
        <f t="shared" si="54"/>
        <v>0</v>
      </c>
      <c r="G131" s="2254">
        <f t="shared" si="54"/>
        <v>0</v>
      </c>
      <c r="H131" s="2254">
        <f t="shared" si="54"/>
        <v>0</v>
      </c>
      <c r="I131" s="2254">
        <f t="shared" si="54"/>
        <v>0</v>
      </c>
      <c r="J131" s="2254">
        <f t="shared" si="54"/>
        <v>0</v>
      </c>
      <c r="K131" s="2254">
        <f t="shared" si="54"/>
        <v>0</v>
      </c>
      <c r="L131" s="2254">
        <f t="shared" si="54"/>
        <v>0</v>
      </c>
      <c r="M131" s="2254">
        <f t="shared" si="54"/>
        <v>0</v>
      </c>
      <c r="N131" s="2254">
        <f t="shared" si="54"/>
        <v>0</v>
      </c>
      <c r="O131" s="2254">
        <f t="shared" si="54"/>
        <v>0</v>
      </c>
      <c r="P131" s="2254">
        <f t="shared" si="54"/>
        <v>0</v>
      </c>
      <c r="Q131" s="2156">
        <f t="shared" si="52"/>
        <v>0</v>
      </c>
      <c r="R131" s="1749">
        <f t="shared" si="53"/>
        <v>-19250000</v>
      </c>
      <c r="S131" s="1891">
        <f>Q131/D131*100</f>
        <v>0</v>
      </c>
    </row>
    <row r="132" spans="1:19" s="2070" customFormat="1">
      <c r="A132" s="1855"/>
      <c r="B132" s="2727" t="s">
        <v>50</v>
      </c>
      <c r="C132" s="205" t="s">
        <v>108</v>
      </c>
      <c r="D132" s="1964">
        <f>TARGET!D134</f>
        <v>19250000</v>
      </c>
      <c r="E132" s="2556">
        <v>0</v>
      </c>
      <c r="F132" s="2556">
        <v>0</v>
      </c>
      <c r="G132" s="2556">
        <v>0</v>
      </c>
      <c r="H132" s="2556">
        <v>0</v>
      </c>
      <c r="I132" s="2556">
        <v>0</v>
      </c>
      <c r="J132" s="2556">
        <v>0</v>
      </c>
      <c r="K132" s="2556">
        <v>0</v>
      </c>
      <c r="L132" s="2556">
        <v>0</v>
      </c>
      <c r="M132" s="2556">
        <v>0</v>
      </c>
      <c r="N132" s="2556">
        <v>0</v>
      </c>
      <c r="O132" s="2556">
        <v>0</v>
      </c>
      <c r="P132" s="2556">
        <v>0</v>
      </c>
      <c r="Q132" s="2161">
        <f t="shared" si="52"/>
        <v>0</v>
      </c>
      <c r="R132" s="1891">
        <f t="shared" si="53"/>
        <v>-19250000</v>
      </c>
      <c r="S132" s="1891">
        <f>Q132/D132*100</f>
        <v>0</v>
      </c>
    </row>
    <row r="133" spans="1:19" s="2070" customFormat="1" ht="5.95" customHeight="1">
      <c r="A133" s="1855"/>
      <c r="B133" s="200"/>
      <c r="C133" s="205"/>
      <c r="D133" s="2217"/>
      <c r="E133" s="2217"/>
      <c r="F133" s="2217"/>
      <c r="G133" s="2217"/>
      <c r="H133" s="2217"/>
      <c r="I133" s="2217"/>
      <c r="J133" s="2217"/>
      <c r="K133" s="2217"/>
      <c r="L133" s="2217"/>
      <c r="M133" s="2217"/>
      <c r="N133" s="2217"/>
      <c r="O133" s="2217"/>
      <c r="P133" s="2217"/>
      <c r="Q133" s="2161"/>
      <c r="R133" s="1891">
        <f t="shared" si="53"/>
        <v>0</v>
      </c>
      <c r="S133" s="1891">
        <f t="shared" si="53"/>
        <v>0</v>
      </c>
    </row>
    <row r="134" spans="1:19" s="2074" customFormat="1" ht="15.05">
      <c r="A134" s="1854"/>
      <c r="B134" s="202" t="s">
        <v>109</v>
      </c>
      <c r="C134" s="2239"/>
      <c r="D134" s="2254">
        <f t="shared" ref="D134:P134" si="55">SUM(D135)</f>
        <v>466750000</v>
      </c>
      <c r="E134" s="2254">
        <f t="shared" si="55"/>
        <v>0</v>
      </c>
      <c r="F134" s="2254">
        <f t="shared" si="55"/>
        <v>0</v>
      </c>
      <c r="G134" s="2254">
        <f t="shared" si="55"/>
        <v>0</v>
      </c>
      <c r="H134" s="2254">
        <f t="shared" si="55"/>
        <v>0</v>
      </c>
      <c r="I134" s="2254">
        <f t="shared" si="55"/>
        <v>0</v>
      </c>
      <c r="J134" s="2254">
        <f t="shared" si="55"/>
        <v>0</v>
      </c>
      <c r="K134" s="2254">
        <f t="shared" si="55"/>
        <v>0</v>
      </c>
      <c r="L134" s="2254">
        <f t="shared" si="55"/>
        <v>0</v>
      </c>
      <c r="M134" s="2254">
        <f t="shared" si="55"/>
        <v>0</v>
      </c>
      <c r="N134" s="2254">
        <f t="shared" si="55"/>
        <v>0</v>
      </c>
      <c r="O134" s="2254">
        <f t="shared" si="55"/>
        <v>0</v>
      </c>
      <c r="P134" s="2254">
        <f t="shared" si="55"/>
        <v>0</v>
      </c>
      <c r="Q134" s="2156">
        <f t="shared" si="52"/>
        <v>0</v>
      </c>
      <c r="R134" s="1749">
        <f t="shared" si="53"/>
        <v>-466750000</v>
      </c>
      <c r="S134" s="1891">
        <f>Q134/D134*100</f>
        <v>0</v>
      </c>
    </row>
    <row r="135" spans="1:19" s="2070" customFormat="1">
      <c r="A135" s="1855"/>
      <c r="B135" s="200" t="s">
        <v>64</v>
      </c>
      <c r="C135" s="2239"/>
      <c r="D135" s="2196">
        <f t="shared" ref="D135:P135" si="56">SUM(D136:D137)</f>
        <v>466750000</v>
      </c>
      <c r="E135" s="2196">
        <f t="shared" si="56"/>
        <v>0</v>
      </c>
      <c r="F135" s="2196">
        <f t="shared" si="56"/>
        <v>0</v>
      </c>
      <c r="G135" s="2196">
        <f t="shared" si="56"/>
        <v>0</v>
      </c>
      <c r="H135" s="2196">
        <f t="shared" si="56"/>
        <v>0</v>
      </c>
      <c r="I135" s="2196">
        <f t="shared" si="56"/>
        <v>0</v>
      </c>
      <c r="J135" s="2196">
        <f t="shared" si="56"/>
        <v>0</v>
      </c>
      <c r="K135" s="2196">
        <f t="shared" si="56"/>
        <v>0</v>
      </c>
      <c r="L135" s="2196">
        <f t="shared" si="56"/>
        <v>0</v>
      </c>
      <c r="M135" s="2196">
        <f t="shared" si="56"/>
        <v>0</v>
      </c>
      <c r="N135" s="2196">
        <f t="shared" si="56"/>
        <v>0</v>
      </c>
      <c r="O135" s="2196">
        <f t="shared" si="56"/>
        <v>0</v>
      </c>
      <c r="P135" s="2196">
        <f t="shared" si="56"/>
        <v>0</v>
      </c>
      <c r="Q135" s="2161">
        <f t="shared" si="52"/>
        <v>0</v>
      </c>
      <c r="R135" s="1891">
        <f t="shared" si="53"/>
        <v>-466750000</v>
      </c>
      <c r="S135" s="1891">
        <f>Q135/D135*100</f>
        <v>0</v>
      </c>
    </row>
    <row r="136" spans="1:19" s="2070" customFormat="1">
      <c r="A136" s="1855"/>
      <c r="B136" s="2728" t="s">
        <v>50</v>
      </c>
      <c r="C136" s="205" t="s">
        <v>110</v>
      </c>
      <c r="D136" s="1964">
        <f>TARGET!D138</f>
        <v>216750000</v>
      </c>
      <c r="E136" s="2556">
        <v>0</v>
      </c>
      <c r="F136" s="2556">
        <v>0</v>
      </c>
      <c r="G136" s="2556">
        <v>0</v>
      </c>
      <c r="H136" s="2556">
        <v>0</v>
      </c>
      <c r="I136" s="2556">
        <v>0</v>
      </c>
      <c r="J136" s="2556">
        <v>0</v>
      </c>
      <c r="K136" s="2556">
        <v>0</v>
      </c>
      <c r="L136" s="2556">
        <v>0</v>
      </c>
      <c r="M136" s="2556">
        <v>0</v>
      </c>
      <c r="N136" s="2556">
        <v>0</v>
      </c>
      <c r="O136" s="2556">
        <v>0</v>
      </c>
      <c r="P136" s="2556">
        <v>0</v>
      </c>
      <c r="Q136" s="2161">
        <f t="shared" si="52"/>
        <v>0</v>
      </c>
      <c r="R136" s="1891">
        <f t="shared" si="53"/>
        <v>-216750000</v>
      </c>
      <c r="S136" s="1891">
        <f>Q136/D136*100</f>
        <v>0</v>
      </c>
    </row>
    <row r="137" spans="1:19" s="2070" customFormat="1">
      <c r="A137" s="1855"/>
      <c r="B137" s="2728" t="s">
        <v>50</v>
      </c>
      <c r="C137" s="205" t="s">
        <v>111</v>
      </c>
      <c r="D137" s="1964">
        <f>TARGET!D139</f>
        <v>250000000</v>
      </c>
      <c r="E137" s="2556">
        <v>0</v>
      </c>
      <c r="F137" s="2556">
        <v>0</v>
      </c>
      <c r="G137" s="2556">
        <v>0</v>
      </c>
      <c r="H137" s="2556">
        <v>0</v>
      </c>
      <c r="I137" s="2556">
        <v>0</v>
      </c>
      <c r="J137" s="2556">
        <v>0</v>
      </c>
      <c r="K137" s="2556">
        <v>0</v>
      </c>
      <c r="L137" s="2556">
        <v>0</v>
      </c>
      <c r="M137" s="2556">
        <v>0</v>
      </c>
      <c r="N137" s="2556">
        <v>0</v>
      </c>
      <c r="O137" s="2556">
        <v>0</v>
      </c>
      <c r="P137" s="2556">
        <v>0</v>
      </c>
      <c r="Q137" s="2161">
        <f t="shared" si="52"/>
        <v>0</v>
      </c>
      <c r="R137" s="1891">
        <f t="shared" si="53"/>
        <v>-250000000</v>
      </c>
      <c r="S137" s="1891">
        <f>Q137/D137*100</f>
        <v>0</v>
      </c>
    </row>
    <row r="138" spans="1:19" s="2070" customFormat="1" ht="5.95" customHeight="1">
      <c r="A138" s="1855"/>
      <c r="B138" s="202"/>
      <c r="C138" s="205"/>
      <c r="D138" s="2196"/>
      <c r="E138" s="2196"/>
      <c r="F138" s="2196"/>
      <c r="G138" s="2196"/>
      <c r="H138" s="2196"/>
      <c r="I138" s="2196"/>
      <c r="J138" s="2196"/>
      <c r="K138" s="2196"/>
      <c r="L138" s="2196"/>
      <c r="M138" s="2196"/>
      <c r="N138" s="2196"/>
      <c r="O138" s="2196"/>
      <c r="P138" s="2196"/>
      <c r="Q138" s="2161"/>
      <c r="R138" s="1891">
        <f t="shared" si="53"/>
        <v>0</v>
      </c>
      <c r="S138" s="1891">
        <f t="shared" si="53"/>
        <v>0</v>
      </c>
    </row>
    <row r="139" spans="1:19" s="2070" customFormat="1">
      <c r="A139" s="1855"/>
      <c r="B139" s="202" t="s">
        <v>71</v>
      </c>
      <c r="C139" s="2239"/>
      <c r="D139" s="2217">
        <f t="shared" ref="D139:P139" si="57">SUM(D140:D144)</f>
        <v>0</v>
      </c>
      <c r="E139" s="2217">
        <f t="shared" si="57"/>
        <v>0</v>
      </c>
      <c r="F139" s="2217">
        <f t="shared" si="57"/>
        <v>0</v>
      </c>
      <c r="G139" s="2217">
        <f t="shared" si="57"/>
        <v>0</v>
      </c>
      <c r="H139" s="2217">
        <f t="shared" si="57"/>
        <v>0</v>
      </c>
      <c r="I139" s="2217">
        <f t="shared" si="57"/>
        <v>0</v>
      </c>
      <c r="J139" s="2217">
        <f t="shared" si="57"/>
        <v>0</v>
      </c>
      <c r="K139" s="2217">
        <f t="shared" si="57"/>
        <v>0</v>
      </c>
      <c r="L139" s="2217">
        <f t="shared" si="57"/>
        <v>0</v>
      </c>
      <c r="M139" s="2217">
        <f t="shared" si="57"/>
        <v>0</v>
      </c>
      <c r="N139" s="2217">
        <f t="shared" si="57"/>
        <v>0</v>
      </c>
      <c r="O139" s="2217">
        <f t="shared" si="57"/>
        <v>0</v>
      </c>
      <c r="P139" s="2217">
        <f t="shared" si="57"/>
        <v>0</v>
      </c>
      <c r="Q139" s="2161">
        <f t="shared" si="52"/>
        <v>0</v>
      </c>
      <c r="R139" s="1891">
        <f t="shared" si="53"/>
        <v>0</v>
      </c>
      <c r="S139" s="1891">
        <v>0</v>
      </c>
    </row>
    <row r="140" spans="1:19" s="2070" customFormat="1">
      <c r="A140" s="1854"/>
      <c r="B140" s="2728" t="s">
        <v>50</v>
      </c>
      <c r="C140" s="200" t="s">
        <v>72</v>
      </c>
      <c r="D140" s="1964">
        <f>TARGET!D142</f>
        <v>0</v>
      </c>
      <c r="E140" s="2160">
        <v>0</v>
      </c>
      <c r="F140" s="2160">
        <v>0</v>
      </c>
      <c r="G140" s="2160">
        <v>0</v>
      </c>
      <c r="H140" s="2160">
        <v>0</v>
      </c>
      <c r="I140" s="2160">
        <v>0</v>
      </c>
      <c r="J140" s="2160">
        <v>0</v>
      </c>
      <c r="K140" s="2160">
        <v>0</v>
      </c>
      <c r="L140" s="2160">
        <v>0</v>
      </c>
      <c r="M140" s="2160">
        <v>0</v>
      </c>
      <c r="N140" s="2160">
        <v>0</v>
      </c>
      <c r="O140" s="2160">
        <v>0</v>
      </c>
      <c r="P140" s="2160">
        <v>0</v>
      </c>
      <c r="Q140" s="2161">
        <f t="shared" si="52"/>
        <v>0</v>
      </c>
      <c r="R140" s="1891">
        <f t="shared" si="53"/>
        <v>0</v>
      </c>
      <c r="S140" s="1891">
        <v>0</v>
      </c>
    </row>
    <row r="141" spans="1:19" s="2070" customFormat="1">
      <c r="A141" s="1854"/>
      <c r="B141" s="2728" t="s">
        <v>50</v>
      </c>
      <c r="C141" s="200" t="s">
        <v>73</v>
      </c>
      <c r="D141" s="1964">
        <f>TARGET!D143</f>
        <v>0</v>
      </c>
      <c r="E141" s="2160">
        <v>0</v>
      </c>
      <c r="F141" s="2160">
        <v>0</v>
      </c>
      <c r="G141" s="2160">
        <v>0</v>
      </c>
      <c r="H141" s="2160">
        <v>0</v>
      </c>
      <c r="I141" s="2160">
        <v>0</v>
      </c>
      <c r="J141" s="2160">
        <v>0</v>
      </c>
      <c r="K141" s="2160">
        <v>0</v>
      </c>
      <c r="L141" s="2160">
        <v>0</v>
      </c>
      <c r="M141" s="2160">
        <v>0</v>
      </c>
      <c r="N141" s="2160">
        <v>0</v>
      </c>
      <c r="O141" s="2160">
        <v>0</v>
      </c>
      <c r="P141" s="2160">
        <v>0</v>
      </c>
      <c r="Q141" s="2161">
        <f t="shared" si="52"/>
        <v>0</v>
      </c>
      <c r="R141" s="1891">
        <f t="shared" si="53"/>
        <v>0</v>
      </c>
      <c r="S141" s="1891">
        <v>0</v>
      </c>
    </row>
    <row r="142" spans="1:19" s="2070" customFormat="1">
      <c r="A142" s="1854"/>
      <c r="B142" s="2728" t="s">
        <v>50</v>
      </c>
      <c r="C142" s="200" t="s">
        <v>74</v>
      </c>
      <c r="D142" s="1964">
        <f>TARGET!D144</f>
        <v>0</v>
      </c>
      <c r="E142" s="2160">
        <v>0</v>
      </c>
      <c r="F142" s="2160">
        <v>0</v>
      </c>
      <c r="G142" s="2160">
        <v>0</v>
      </c>
      <c r="H142" s="2160">
        <v>0</v>
      </c>
      <c r="I142" s="2160">
        <v>0</v>
      </c>
      <c r="J142" s="2160">
        <v>0</v>
      </c>
      <c r="K142" s="2160">
        <v>0</v>
      </c>
      <c r="L142" s="2160">
        <v>0</v>
      </c>
      <c r="M142" s="2160">
        <v>0</v>
      </c>
      <c r="N142" s="2160">
        <v>0</v>
      </c>
      <c r="O142" s="2160">
        <v>0</v>
      </c>
      <c r="P142" s="2160">
        <v>0</v>
      </c>
      <c r="Q142" s="2161">
        <f t="shared" si="52"/>
        <v>0</v>
      </c>
      <c r="R142" s="1891">
        <f t="shared" si="53"/>
        <v>0</v>
      </c>
      <c r="S142" s="1891">
        <v>0</v>
      </c>
    </row>
    <row r="143" spans="1:19" s="2070" customFormat="1">
      <c r="A143" s="1854"/>
      <c r="B143" s="2728" t="s">
        <v>50</v>
      </c>
      <c r="C143" s="206" t="s">
        <v>75</v>
      </c>
      <c r="D143" s="1964">
        <f>TARGET!D145</f>
        <v>0</v>
      </c>
      <c r="E143" s="2160">
        <v>0</v>
      </c>
      <c r="F143" s="2160">
        <v>0</v>
      </c>
      <c r="G143" s="2160">
        <v>0</v>
      </c>
      <c r="H143" s="2160">
        <v>0</v>
      </c>
      <c r="I143" s="2160">
        <v>0</v>
      </c>
      <c r="J143" s="2160">
        <v>0</v>
      </c>
      <c r="K143" s="2160">
        <v>0</v>
      </c>
      <c r="L143" s="2160">
        <v>0</v>
      </c>
      <c r="M143" s="2160">
        <v>0</v>
      </c>
      <c r="N143" s="2160">
        <v>0</v>
      </c>
      <c r="O143" s="2160">
        <v>0</v>
      </c>
      <c r="P143" s="2160">
        <v>0</v>
      </c>
      <c r="Q143" s="2161">
        <f t="shared" si="52"/>
        <v>0</v>
      </c>
      <c r="R143" s="1891">
        <f t="shared" si="53"/>
        <v>0</v>
      </c>
      <c r="S143" s="1891">
        <v>0</v>
      </c>
    </row>
    <row r="144" spans="1:19" s="2070" customFormat="1">
      <c r="A144" s="1854"/>
      <c r="B144" s="2728" t="s">
        <v>50</v>
      </c>
      <c r="C144" s="206" t="s">
        <v>85</v>
      </c>
      <c r="D144" s="1964">
        <f>TARGET!D146</f>
        <v>0</v>
      </c>
      <c r="E144" s="2241">
        <v>0</v>
      </c>
      <c r="F144" s="2241">
        <v>0</v>
      </c>
      <c r="G144" s="2241">
        <v>0</v>
      </c>
      <c r="H144" s="2241">
        <v>0</v>
      </c>
      <c r="I144" s="2241">
        <v>0</v>
      </c>
      <c r="J144" s="2241">
        <v>0</v>
      </c>
      <c r="K144" s="2241">
        <v>0</v>
      </c>
      <c r="L144" s="2241">
        <v>0</v>
      </c>
      <c r="M144" s="2241">
        <v>0</v>
      </c>
      <c r="N144" s="2241">
        <v>0</v>
      </c>
      <c r="O144" s="2241">
        <v>0</v>
      </c>
      <c r="P144" s="2241">
        <v>0</v>
      </c>
      <c r="Q144" s="2161">
        <f t="shared" si="52"/>
        <v>0</v>
      </c>
      <c r="R144" s="1891">
        <f t="shared" si="53"/>
        <v>0</v>
      </c>
      <c r="S144" s="1891">
        <v>0</v>
      </c>
    </row>
    <row r="145" spans="1:19" s="2070" customFormat="1" ht="5.95" customHeight="1">
      <c r="A145" s="2535"/>
      <c r="B145" s="1466"/>
      <c r="C145" s="2117"/>
      <c r="D145" s="2182"/>
      <c r="E145" s="2182"/>
      <c r="F145" s="2182"/>
      <c r="G145" s="2182"/>
      <c r="H145" s="2182"/>
      <c r="I145" s="2182"/>
      <c r="J145" s="2182"/>
      <c r="K145" s="2182"/>
      <c r="L145" s="2182"/>
      <c r="M145" s="2182"/>
      <c r="N145" s="2182"/>
      <c r="O145" s="2182"/>
      <c r="P145" s="2182"/>
      <c r="Q145" s="1469"/>
      <c r="R145" s="1469"/>
      <c r="S145" s="1469"/>
    </row>
    <row r="146" spans="1:19" s="2073" customFormat="1" ht="15.65">
      <c r="A146" s="2528" t="s">
        <v>112</v>
      </c>
      <c r="B146" s="2093" t="s">
        <v>113</v>
      </c>
      <c r="C146" s="2195"/>
      <c r="D146" s="2147">
        <f t="shared" ref="D146:P146" si="58">SUM(D147)</f>
        <v>0</v>
      </c>
      <c r="E146" s="2147">
        <f t="shared" si="58"/>
        <v>0</v>
      </c>
      <c r="F146" s="2147">
        <f t="shared" si="58"/>
        <v>0</v>
      </c>
      <c r="G146" s="2147">
        <f t="shared" si="58"/>
        <v>0</v>
      </c>
      <c r="H146" s="2147">
        <f t="shared" si="58"/>
        <v>0</v>
      </c>
      <c r="I146" s="2147">
        <f t="shared" si="58"/>
        <v>0</v>
      </c>
      <c r="J146" s="2147">
        <f t="shared" si="58"/>
        <v>0</v>
      </c>
      <c r="K146" s="2147">
        <f t="shared" si="58"/>
        <v>0</v>
      </c>
      <c r="L146" s="2147">
        <f t="shared" si="58"/>
        <v>0</v>
      </c>
      <c r="M146" s="2147">
        <f t="shared" si="58"/>
        <v>0</v>
      </c>
      <c r="N146" s="2147">
        <f t="shared" si="58"/>
        <v>0</v>
      </c>
      <c r="O146" s="2147">
        <f t="shared" si="58"/>
        <v>0</v>
      </c>
      <c r="P146" s="2147">
        <f t="shared" si="58"/>
        <v>0</v>
      </c>
      <c r="Q146" s="2147">
        <f>SUM(E146:P146)</f>
        <v>0</v>
      </c>
      <c r="R146" s="2147">
        <f>Q146-D146</f>
        <v>0</v>
      </c>
      <c r="S146" s="2147">
        <v>0</v>
      </c>
    </row>
    <row r="147" spans="1:19" s="2074" customFormat="1">
      <c r="A147" s="2529"/>
      <c r="B147" s="202" t="s">
        <v>71</v>
      </c>
      <c r="C147" s="202"/>
      <c r="D147" s="2151">
        <f t="shared" ref="D147:P147" si="59">SUM(D150:D151)</f>
        <v>0</v>
      </c>
      <c r="E147" s="2151">
        <f t="shared" si="59"/>
        <v>0</v>
      </c>
      <c r="F147" s="2151">
        <f t="shared" si="59"/>
        <v>0</v>
      </c>
      <c r="G147" s="2151">
        <f t="shared" si="59"/>
        <v>0</v>
      </c>
      <c r="H147" s="2151">
        <f t="shared" si="59"/>
        <v>0</v>
      </c>
      <c r="I147" s="2151">
        <f t="shared" si="59"/>
        <v>0</v>
      </c>
      <c r="J147" s="2151">
        <f t="shared" si="59"/>
        <v>0</v>
      </c>
      <c r="K147" s="2151">
        <f t="shared" si="59"/>
        <v>0</v>
      </c>
      <c r="L147" s="2151">
        <f t="shared" si="59"/>
        <v>0</v>
      </c>
      <c r="M147" s="2151">
        <f t="shared" si="59"/>
        <v>0</v>
      </c>
      <c r="N147" s="2151">
        <f t="shared" si="59"/>
        <v>0</v>
      </c>
      <c r="O147" s="2151">
        <f t="shared" si="59"/>
        <v>0</v>
      </c>
      <c r="P147" s="2151">
        <f t="shared" si="59"/>
        <v>0</v>
      </c>
      <c r="Q147" s="2161">
        <f t="shared" ref="Q147:Q152" si="60">SUM(E147:P147)</f>
        <v>0</v>
      </c>
      <c r="R147" s="1891">
        <f t="shared" ref="R147:R152" si="61">Q147-D147</f>
        <v>0</v>
      </c>
      <c r="S147" s="1891">
        <v>0</v>
      </c>
    </row>
    <row r="148" spans="1:19" s="2070" customFormat="1">
      <c r="A148" s="1854"/>
      <c r="B148" s="200" t="s">
        <v>50</v>
      </c>
      <c r="C148" s="200" t="s">
        <v>72</v>
      </c>
      <c r="D148" s="1964">
        <f>TARGET!D150</f>
        <v>0</v>
      </c>
      <c r="E148" s="2160">
        <v>0</v>
      </c>
      <c r="F148" s="2160">
        <v>0</v>
      </c>
      <c r="G148" s="2160">
        <v>0</v>
      </c>
      <c r="H148" s="2160">
        <v>0</v>
      </c>
      <c r="I148" s="2160">
        <v>0</v>
      </c>
      <c r="J148" s="2160">
        <v>0</v>
      </c>
      <c r="K148" s="2160">
        <v>0</v>
      </c>
      <c r="L148" s="2160">
        <v>0</v>
      </c>
      <c r="M148" s="2160">
        <v>0</v>
      </c>
      <c r="N148" s="2160">
        <v>0</v>
      </c>
      <c r="O148" s="2160">
        <v>0</v>
      </c>
      <c r="P148" s="2160">
        <v>0</v>
      </c>
      <c r="Q148" s="2161">
        <f t="shared" si="60"/>
        <v>0</v>
      </c>
      <c r="R148" s="1891">
        <f t="shared" si="61"/>
        <v>0</v>
      </c>
      <c r="S148" s="1891">
        <v>0</v>
      </c>
    </row>
    <row r="149" spans="1:19" s="2070" customFormat="1">
      <c r="A149" s="1854"/>
      <c r="B149" s="200" t="s">
        <v>50</v>
      </c>
      <c r="C149" s="200" t="s">
        <v>73</v>
      </c>
      <c r="D149" s="1964">
        <f>TARGET!D151</f>
        <v>0</v>
      </c>
      <c r="E149" s="2530">
        <v>0</v>
      </c>
      <c r="F149" s="2530">
        <v>0</v>
      </c>
      <c r="G149" s="2530">
        <v>0</v>
      </c>
      <c r="H149" s="2530">
        <v>0</v>
      </c>
      <c r="I149" s="2530">
        <v>0</v>
      </c>
      <c r="J149" s="2530">
        <v>0</v>
      </c>
      <c r="K149" s="2530">
        <v>0</v>
      </c>
      <c r="L149" s="2530">
        <v>0</v>
      </c>
      <c r="M149" s="2530">
        <v>0</v>
      </c>
      <c r="N149" s="2530">
        <v>0</v>
      </c>
      <c r="O149" s="2530">
        <v>0</v>
      </c>
      <c r="P149" s="2530">
        <v>0</v>
      </c>
      <c r="Q149" s="2161">
        <f t="shared" si="60"/>
        <v>0</v>
      </c>
      <c r="R149" s="1891">
        <f t="shared" si="61"/>
        <v>0</v>
      </c>
      <c r="S149" s="1891">
        <v>0</v>
      </c>
    </row>
    <row r="150" spans="1:19" s="2070" customFormat="1">
      <c r="A150" s="1854"/>
      <c r="B150" s="200" t="s">
        <v>50</v>
      </c>
      <c r="C150" s="200" t="s">
        <v>74</v>
      </c>
      <c r="D150" s="1964">
        <f>TARGET!D152</f>
        <v>0</v>
      </c>
      <c r="E150" s="2531">
        <v>0</v>
      </c>
      <c r="F150" s="2531">
        <v>0</v>
      </c>
      <c r="G150" s="2531">
        <v>0</v>
      </c>
      <c r="H150" s="2531">
        <v>0</v>
      </c>
      <c r="I150" s="2531">
        <v>0</v>
      </c>
      <c r="J150" s="2531">
        <v>0</v>
      </c>
      <c r="K150" s="2531">
        <v>0</v>
      </c>
      <c r="L150" s="2531">
        <v>0</v>
      </c>
      <c r="M150" s="2531">
        <v>0</v>
      </c>
      <c r="N150" s="2531">
        <v>0</v>
      </c>
      <c r="O150" s="2531">
        <v>0</v>
      </c>
      <c r="P150" s="2531">
        <v>0</v>
      </c>
      <c r="Q150" s="2161">
        <f t="shared" si="60"/>
        <v>0</v>
      </c>
      <c r="R150" s="1891">
        <f t="shared" si="61"/>
        <v>0</v>
      </c>
      <c r="S150" s="1891">
        <v>0</v>
      </c>
    </row>
    <row r="151" spans="1:19" s="2070" customFormat="1">
      <c r="A151" s="1854"/>
      <c r="B151" s="200" t="s">
        <v>50</v>
      </c>
      <c r="C151" s="206" t="s">
        <v>75</v>
      </c>
      <c r="D151" s="1964">
        <f>TARGET!D153</f>
        <v>0</v>
      </c>
      <c r="E151" s="2160">
        <v>0</v>
      </c>
      <c r="F151" s="2160">
        <v>0</v>
      </c>
      <c r="G151" s="2160">
        <v>0</v>
      </c>
      <c r="H151" s="2160">
        <v>0</v>
      </c>
      <c r="I151" s="2160">
        <v>0</v>
      </c>
      <c r="J151" s="2160">
        <v>0</v>
      </c>
      <c r="K151" s="2160">
        <v>0</v>
      </c>
      <c r="L151" s="2160">
        <v>0</v>
      </c>
      <c r="M151" s="2160">
        <v>0</v>
      </c>
      <c r="N151" s="2160">
        <v>0</v>
      </c>
      <c r="O151" s="2160">
        <v>0</v>
      </c>
      <c r="P151" s="2160">
        <v>0</v>
      </c>
      <c r="Q151" s="2161">
        <f t="shared" si="60"/>
        <v>0</v>
      </c>
      <c r="R151" s="1891">
        <f t="shared" si="61"/>
        <v>0</v>
      </c>
      <c r="S151" s="1891">
        <v>0</v>
      </c>
    </row>
    <row r="152" spans="1:19" s="2070" customFormat="1">
      <c r="A152" s="1854"/>
      <c r="B152" s="200" t="s">
        <v>50</v>
      </c>
      <c r="C152" s="206" t="s">
        <v>85</v>
      </c>
      <c r="D152" s="1964">
        <f>TARGET!D154</f>
        <v>0</v>
      </c>
      <c r="E152" s="2160">
        <v>0</v>
      </c>
      <c r="F152" s="2160">
        <v>0</v>
      </c>
      <c r="G152" s="2160">
        <v>0</v>
      </c>
      <c r="H152" s="2160">
        <v>0</v>
      </c>
      <c r="I152" s="2160">
        <v>0</v>
      </c>
      <c r="J152" s="2160">
        <v>0</v>
      </c>
      <c r="K152" s="2160">
        <v>0</v>
      </c>
      <c r="L152" s="2160">
        <v>0</v>
      </c>
      <c r="M152" s="2160">
        <v>0</v>
      </c>
      <c r="N152" s="2160">
        <v>0</v>
      </c>
      <c r="O152" s="2160">
        <v>0</v>
      </c>
      <c r="P152" s="2160">
        <v>0</v>
      </c>
      <c r="Q152" s="2161">
        <f t="shared" si="60"/>
        <v>0</v>
      </c>
      <c r="R152" s="1891">
        <f t="shared" si="61"/>
        <v>0</v>
      </c>
      <c r="S152" s="1891">
        <v>0</v>
      </c>
    </row>
    <row r="153" spans="1:19" s="2070" customFormat="1" ht="4.55" customHeight="1">
      <c r="A153" s="1854"/>
      <c r="B153" s="200"/>
      <c r="C153" s="200"/>
      <c r="D153" s="2164">
        <v>0</v>
      </c>
      <c r="E153" s="2164">
        <v>0</v>
      </c>
      <c r="F153" s="2164">
        <v>0</v>
      </c>
      <c r="G153" s="2164">
        <v>0</v>
      </c>
      <c r="H153" s="2164">
        <v>0</v>
      </c>
      <c r="I153" s="2164">
        <v>0</v>
      </c>
      <c r="J153" s="2164">
        <v>0</v>
      </c>
      <c r="K153" s="2164">
        <v>0</v>
      </c>
      <c r="L153" s="2164">
        <v>0</v>
      </c>
      <c r="M153" s="2164">
        <v>0</v>
      </c>
      <c r="N153" s="2164">
        <v>0</v>
      </c>
      <c r="O153" s="2164">
        <v>0</v>
      </c>
      <c r="P153" s="2164">
        <v>0</v>
      </c>
      <c r="Q153" s="1891">
        <v>0</v>
      </c>
      <c r="R153" s="1891">
        <v>0</v>
      </c>
      <c r="S153" s="1891">
        <v>0</v>
      </c>
    </row>
    <row r="154" spans="1:19" s="2073" customFormat="1" ht="15.65">
      <c r="A154" s="2528" t="s">
        <v>114</v>
      </c>
      <c r="B154" s="2093" t="s">
        <v>115</v>
      </c>
      <c r="C154" s="2195"/>
      <c r="D154" s="2147">
        <f t="shared" ref="D154:P154" si="62">D157+D161</f>
        <v>211889500</v>
      </c>
      <c r="E154" s="2147">
        <f t="shared" si="62"/>
        <v>0</v>
      </c>
      <c r="F154" s="2147">
        <f t="shared" si="62"/>
        <v>0</v>
      </c>
      <c r="G154" s="2147">
        <f t="shared" si="62"/>
        <v>0</v>
      </c>
      <c r="H154" s="2147">
        <f t="shared" si="62"/>
        <v>0</v>
      </c>
      <c r="I154" s="2147">
        <f t="shared" si="62"/>
        <v>0</v>
      </c>
      <c r="J154" s="2147">
        <f t="shared" si="62"/>
        <v>0</v>
      </c>
      <c r="K154" s="2147">
        <f t="shared" si="62"/>
        <v>0</v>
      </c>
      <c r="L154" s="2147">
        <f t="shared" si="62"/>
        <v>0</v>
      </c>
      <c r="M154" s="2147">
        <f t="shared" si="62"/>
        <v>0</v>
      </c>
      <c r="N154" s="2147">
        <f t="shared" si="62"/>
        <v>0</v>
      </c>
      <c r="O154" s="2147">
        <f t="shared" si="62"/>
        <v>0</v>
      </c>
      <c r="P154" s="2147">
        <f t="shared" si="62"/>
        <v>0</v>
      </c>
      <c r="Q154" s="2147">
        <f>SUM(E154:P154)</f>
        <v>0</v>
      </c>
      <c r="R154" s="2147">
        <f>Q154-D154</f>
        <v>-211889500</v>
      </c>
      <c r="S154" s="2147">
        <f t="shared" ref="S154:S159" si="63">Q154/D154*100</f>
        <v>0</v>
      </c>
    </row>
    <row r="155" spans="1:19" s="2070" customFormat="1">
      <c r="A155" s="2529"/>
      <c r="B155" s="2099" t="s">
        <v>106</v>
      </c>
      <c r="C155" s="2099"/>
      <c r="D155" s="2151">
        <f t="shared" ref="D155:P156" si="64">SUM(D156)</f>
        <v>193889500</v>
      </c>
      <c r="E155" s="2151">
        <f t="shared" si="64"/>
        <v>0</v>
      </c>
      <c r="F155" s="2151">
        <f t="shared" si="64"/>
        <v>0</v>
      </c>
      <c r="G155" s="2151">
        <f t="shared" si="64"/>
        <v>0</v>
      </c>
      <c r="H155" s="2151">
        <f t="shared" si="64"/>
        <v>0</v>
      </c>
      <c r="I155" s="2151">
        <f t="shared" si="64"/>
        <v>0</v>
      </c>
      <c r="J155" s="2151">
        <f t="shared" si="64"/>
        <v>0</v>
      </c>
      <c r="K155" s="2151">
        <f t="shared" si="64"/>
        <v>0</v>
      </c>
      <c r="L155" s="2151">
        <f t="shared" si="64"/>
        <v>0</v>
      </c>
      <c r="M155" s="2151">
        <f t="shared" si="64"/>
        <v>0</v>
      </c>
      <c r="N155" s="2151">
        <f t="shared" si="64"/>
        <v>0</v>
      </c>
      <c r="O155" s="2151">
        <f t="shared" si="64"/>
        <v>0</v>
      </c>
      <c r="P155" s="2151">
        <f t="shared" si="64"/>
        <v>0</v>
      </c>
      <c r="Q155" s="2161">
        <f>SUM(E155:P155)</f>
        <v>0</v>
      </c>
      <c r="R155" s="1891">
        <f t="shared" ref="R155:S167" si="65">Q155-D155</f>
        <v>-193889500</v>
      </c>
      <c r="S155" s="1891">
        <f t="shared" si="63"/>
        <v>0</v>
      </c>
    </row>
    <row r="156" spans="1:19" s="2074" customFormat="1">
      <c r="A156" s="1854"/>
      <c r="B156" s="2728" t="s">
        <v>116</v>
      </c>
      <c r="C156" s="202"/>
      <c r="D156" s="2181">
        <f t="shared" si="64"/>
        <v>193889500</v>
      </c>
      <c r="E156" s="2181">
        <f t="shared" si="64"/>
        <v>0</v>
      </c>
      <c r="F156" s="2181">
        <f t="shared" si="64"/>
        <v>0</v>
      </c>
      <c r="G156" s="2181">
        <f t="shared" si="64"/>
        <v>0</v>
      </c>
      <c r="H156" s="2181">
        <f t="shared" si="64"/>
        <v>0</v>
      </c>
      <c r="I156" s="2181">
        <f t="shared" si="64"/>
        <v>0</v>
      </c>
      <c r="J156" s="2181">
        <f t="shared" si="64"/>
        <v>0</v>
      </c>
      <c r="K156" s="2181">
        <f t="shared" si="64"/>
        <v>0</v>
      </c>
      <c r="L156" s="2181">
        <f t="shared" si="64"/>
        <v>0</v>
      </c>
      <c r="M156" s="2181">
        <f t="shared" si="64"/>
        <v>0</v>
      </c>
      <c r="N156" s="2181">
        <f t="shared" si="64"/>
        <v>0</v>
      </c>
      <c r="O156" s="2181">
        <f t="shared" si="64"/>
        <v>0</v>
      </c>
      <c r="P156" s="2181">
        <f t="shared" si="64"/>
        <v>0</v>
      </c>
      <c r="Q156" s="2161">
        <f t="shared" ref="Q156:Q167" si="66">SUM(E156:P156)</f>
        <v>0</v>
      </c>
      <c r="R156" s="1891">
        <f t="shared" si="65"/>
        <v>-193889500</v>
      </c>
      <c r="S156" s="1891">
        <f t="shared" si="63"/>
        <v>0</v>
      </c>
    </row>
    <row r="157" spans="1:19" s="2070" customFormat="1" ht="15.05">
      <c r="A157" s="1854"/>
      <c r="B157" s="200" t="s">
        <v>117</v>
      </c>
      <c r="C157" s="200"/>
      <c r="D157" s="2256">
        <f t="shared" ref="D157:P157" si="67">SUM(D158:D159)</f>
        <v>193889500</v>
      </c>
      <c r="E157" s="2256">
        <f t="shared" si="67"/>
        <v>0</v>
      </c>
      <c r="F157" s="2256">
        <f t="shared" si="67"/>
        <v>0</v>
      </c>
      <c r="G157" s="2256">
        <f t="shared" si="67"/>
        <v>0</v>
      </c>
      <c r="H157" s="2256">
        <f t="shared" si="67"/>
        <v>0</v>
      </c>
      <c r="I157" s="2256">
        <f t="shared" si="67"/>
        <v>0</v>
      </c>
      <c r="J157" s="2256">
        <f t="shared" si="67"/>
        <v>0</v>
      </c>
      <c r="K157" s="2256">
        <f t="shared" si="67"/>
        <v>0</v>
      </c>
      <c r="L157" s="2256">
        <f t="shared" si="67"/>
        <v>0</v>
      </c>
      <c r="M157" s="2256">
        <f t="shared" si="67"/>
        <v>0</v>
      </c>
      <c r="N157" s="2256">
        <f t="shared" si="67"/>
        <v>0</v>
      </c>
      <c r="O157" s="2256">
        <f t="shared" si="67"/>
        <v>0</v>
      </c>
      <c r="P157" s="2256">
        <f t="shared" si="67"/>
        <v>0</v>
      </c>
      <c r="Q157" s="2156">
        <f t="shared" si="66"/>
        <v>0</v>
      </c>
      <c r="R157" s="1749">
        <f t="shared" si="65"/>
        <v>-193889500</v>
      </c>
      <c r="S157" s="1891">
        <f t="shared" si="63"/>
        <v>0</v>
      </c>
    </row>
    <row r="158" spans="1:19" s="2070" customFormat="1">
      <c r="A158" s="1854"/>
      <c r="B158" s="2727" t="s">
        <v>50</v>
      </c>
      <c r="C158" s="200" t="s">
        <v>118</v>
      </c>
      <c r="D158" s="1964">
        <f>TARGET!D160</f>
        <v>103889500</v>
      </c>
      <c r="E158" s="2530">
        <v>0</v>
      </c>
      <c r="F158" s="2530">
        <v>0</v>
      </c>
      <c r="G158" s="2530">
        <v>0</v>
      </c>
      <c r="H158" s="2530">
        <v>0</v>
      </c>
      <c r="I158" s="2530">
        <v>0</v>
      </c>
      <c r="J158" s="2530">
        <v>0</v>
      </c>
      <c r="K158" s="2530">
        <v>0</v>
      </c>
      <c r="L158" s="2530">
        <v>0</v>
      </c>
      <c r="M158" s="2530">
        <v>0</v>
      </c>
      <c r="N158" s="2530">
        <v>0</v>
      </c>
      <c r="O158" s="2530">
        <v>0</v>
      </c>
      <c r="P158" s="2530">
        <v>0</v>
      </c>
      <c r="Q158" s="2161">
        <f t="shared" si="66"/>
        <v>0</v>
      </c>
      <c r="R158" s="1891">
        <f t="shared" si="65"/>
        <v>-103889500</v>
      </c>
      <c r="S158" s="1891">
        <f t="shared" si="63"/>
        <v>0</v>
      </c>
    </row>
    <row r="159" spans="1:19" s="2070" customFormat="1">
      <c r="A159" s="1854"/>
      <c r="B159" s="2727" t="s">
        <v>50</v>
      </c>
      <c r="C159" s="200" t="s">
        <v>119</v>
      </c>
      <c r="D159" s="1964">
        <f>TARGET!D161</f>
        <v>90000000</v>
      </c>
      <c r="E159" s="2530">
        <v>0</v>
      </c>
      <c r="F159" s="2530">
        <v>0</v>
      </c>
      <c r="G159" s="2530">
        <v>0</v>
      </c>
      <c r="H159" s="2530">
        <v>0</v>
      </c>
      <c r="I159" s="2530">
        <v>0</v>
      </c>
      <c r="J159" s="2530">
        <v>0</v>
      </c>
      <c r="K159" s="2530">
        <v>0</v>
      </c>
      <c r="L159" s="2530">
        <v>0</v>
      </c>
      <c r="M159" s="2530">
        <v>0</v>
      </c>
      <c r="N159" s="2530">
        <v>0</v>
      </c>
      <c r="O159" s="2530">
        <v>0</v>
      </c>
      <c r="P159" s="2530">
        <v>0</v>
      </c>
      <c r="Q159" s="2161">
        <f t="shared" si="66"/>
        <v>0</v>
      </c>
      <c r="R159" s="1891">
        <f t="shared" si="65"/>
        <v>-90000000</v>
      </c>
      <c r="S159" s="1891">
        <f t="shared" si="63"/>
        <v>0</v>
      </c>
    </row>
    <row r="160" spans="1:19" s="2070" customFormat="1" ht="5.35" customHeight="1">
      <c r="A160" s="1854"/>
      <c r="B160" s="200"/>
      <c r="C160" s="200"/>
      <c r="D160" s="2164"/>
      <c r="E160" s="2164"/>
      <c r="F160" s="2164"/>
      <c r="G160" s="2164"/>
      <c r="H160" s="2164"/>
      <c r="I160" s="2164"/>
      <c r="J160" s="2164"/>
      <c r="K160" s="2164"/>
      <c r="L160" s="2164"/>
      <c r="M160" s="2164"/>
      <c r="N160" s="2164"/>
      <c r="O160" s="2164"/>
      <c r="P160" s="2164"/>
      <c r="Q160" s="2161">
        <f t="shared" si="66"/>
        <v>0</v>
      </c>
      <c r="R160" s="1891">
        <f t="shared" si="65"/>
        <v>0</v>
      </c>
      <c r="S160" s="1891">
        <f t="shared" si="65"/>
        <v>0</v>
      </c>
    </row>
    <row r="161" spans="1:19" s="2070" customFormat="1" ht="15.05">
      <c r="A161" s="1854"/>
      <c r="B161" s="202" t="s">
        <v>71</v>
      </c>
      <c r="C161" s="202"/>
      <c r="D161" s="2165">
        <f t="shared" ref="D161:P161" si="68">SUM(D162:D167)</f>
        <v>18000000</v>
      </c>
      <c r="E161" s="2165">
        <f t="shared" si="68"/>
        <v>0</v>
      </c>
      <c r="F161" s="2165">
        <f t="shared" si="68"/>
        <v>0</v>
      </c>
      <c r="G161" s="2165">
        <f t="shared" si="68"/>
        <v>0</v>
      </c>
      <c r="H161" s="2165">
        <f t="shared" si="68"/>
        <v>0</v>
      </c>
      <c r="I161" s="2165">
        <f t="shared" si="68"/>
        <v>0</v>
      </c>
      <c r="J161" s="2165">
        <f t="shared" si="68"/>
        <v>0</v>
      </c>
      <c r="K161" s="2165">
        <f t="shared" si="68"/>
        <v>0</v>
      </c>
      <c r="L161" s="2165">
        <f t="shared" si="68"/>
        <v>0</v>
      </c>
      <c r="M161" s="2165">
        <f t="shared" si="68"/>
        <v>0</v>
      </c>
      <c r="N161" s="2165">
        <f t="shared" si="68"/>
        <v>0</v>
      </c>
      <c r="O161" s="2165">
        <f t="shared" si="68"/>
        <v>0</v>
      </c>
      <c r="P161" s="2165">
        <f t="shared" si="68"/>
        <v>0</v>
      </c>
      <c r="Q161" s="2156">
        <f t="shared" si="66"/>
        <v>0</v>
      </c>
      <c r="R161" s="1749">
        <f t="shared" si="65"/>
        <v>-18000000</v>
      </c>
      <c r="S161" s="1891">
        <f>Q161/D161*100</f>
        <v>0</v>
      </c>
    </row>
    <row r="162" spans="1:19" s="2070" customFormat="1">
      <c r="A162" s="1854"/>
      <c r="B162" s="200" t="s">
        <v>50</v>
      </c>
      <c r="C162" s="200" t="s">
        <v>120</v>
      </c>
      <c r="D162" s="1964">
        <f>TARGET!D164</f>
        <v>18000000</v>
      </c>
      <c r="E162" s="2530">
        <v>0</v>
      </c>
      <c r="F162" s="2530">
        <v>0</v>
      </c>
      <c r="G162" s="2530">
        <v>0</v>
      </c>
      <c r="H162" s="2530">
        <v>0</v>
      </c>
      <c r="I162" s="2530">
        <v>0</v>
      </c>
      <c r="J162" s="2530">
        <v>0</v>
      </c>
      <c r="K162" s="2530">
        <v>0</v>
      </c>
      <c r="L162" s="2530">
        <v>0</v>
      </c>
      <c r="M162" s="2530">
        <v>0</v>
      </c>
      <c r="N162" s="2530">
        <v>0</v>
      </c>
      <c r="O162" s="2530">
        <v>0</v>
      </c>
      <c r="P162" s="2530">
        <v>0</v>
      </c>
      <c r="Q162" s="2161">
        <f t="shared" si="66"/>
        <v>0</v>
      </c>
      <c r="R162" s="1891">
        <f t="shared" si="65"/>
        <v>-18000000</v>
      </c>
      <c r="S162" s="1891">
        <f>Q162/D162*100</f>
        <v>0</v>
      </c>
    </row>
    <row r="163" spans="1:19" s="2070" customFormat="1">
      <c r="A163" s="1854"/>
      <c r="B163" s="200" t="s">
        <v>50</v>
      </c>
      <c r="C163" s="200" t="s">
        <v>72</v>
      </c>
      <c r="D163" s="1964">
        <f>TARGET!D165</f>
        <v>0</v>
      </c>
      <c r="E163" s="2530">
        <v>0</v>
      </c>
      <c r="F163" s="2530">
        <v>0</v>
      </c>
      <c r="G163" s="2530">
        <v>0</v>
      </c>
      <c r="H163" s="2530">
        <v>0</v>
      </c>
      <c r="I163" s="2530">
        <v>0</v>
      </c>
      <c r="J163" s="2530">
        <v>0</v>
      </c>
      <c r="K163" s="2530">
        <v>0</v>
      </c>
      <c r="L163" s="2530">
        <v>0</v>
      </c>
      <c r="M163" s="2530">
        <v>0</v>
      </c>
      <c r="N163" s="2530">
        <v>0</v>
      </c>
      <c r="O163" s="2530">
        <v>0</v>
      </c>
      <c r="P163" s="2530">
        <v>0</v>
      </c>
      <c r="Q163" s="2161">
        <f t="shared" si="66"/>
        <v>0</v>
      </c>
      <c r="R163" s="1891">
        <f t="shared" si="65"/>
        <v>0</v>
      </c>
      <c r="S163" s="1891">
        <v>0</v>
      </c>
    </row>
    <row r="164" spans="1:19" s="2070" customFormat="1">
      <c r="A164" s="1854"/>
      <c r="B164" s="200" t="s">
        <v>50</v>
      </c>
      <c r="C164" s="200" t="s">
        <v>73</v>
      </c>
      <c r="D164" s="1964">
        <f>TARGET!D166</f>
        <v>0</v>
      </c>
      <c r="E164" s="2530">
        <v>0</v>
      </c>
      <c r="F164" s="2530">
        <v>0</v>
      </c>
      <c r="G164" s="2530">
        <v>0</v>
      </c>
      <c r="H164" s="2530">
        <v>0</v>
      </c>
      <c r="I164" s="2530">
        <v>0</v>
      </c>
      <c r="J164" s="2530">
        <v>0</v>
      </c>
      <c r="K164" s="2530">
        <v>0</v>
      </c>
      <c r="L164" s="2530">
        <v>0</v>
      </c>
      <c r="M164" s="2530">
        <v>0</v>
      </c>
      <c r="N164" s="2530">
        <v>0</v>
      </c>
      <c r="O164" s="2530">
        <v>0</v>
      </c>
      <c r="P164" s="2530">
        <v>0</v>
      </c>
      <c r="Q164" s="2161">
        <f t="shared" si="66"/>
        <v>0</v>
      </c>
      <c r="R164" s="1891">
        <f t="shared" si="65"/>
        <v>0</v>
      </c>
      <c r="S164" s="1891">
        <v>0</v>
      </c>
    </row>
    <row r="165" spans="1:19" s="2070" customFormat="1">
      <c r="A165" s="1854"/>
      <c r="B165" s="200" t="s">
        <v>50</v>
      </c>
      <c r="C165" s="200" t="s">
        <v>74</v>
      </c>
      <c r="D165" s="1964">
        <f>TARGET!D167</f>
        <v>0</v>
      </c>
      <c r="E165" s="2530">
        <v>0</v>
      </c>
      <c r="F165" s="2530">
        <v>0</v>
      </c>
      <c r="G165" s="2530">
        <v>0</v>
      </c>
      <c r="H165" s="2530">
        <v>0</v>
      </c>
      <c r="I165" s="2530">
        <v>0</v>
      </c>
      <c r="J165" s="2530">
        <v>0</v>
      </c>
      <c r="K165" s="2530">
        <v>0</v>
      </c>
      <c r="L165" s="2530">
        <v>0</v>
      </c>
      <c r="M165" s="2530">
        <v>0</v>
      </c>
      <c r="N165" s="2530">
        <v>0</v>
      </c>
      <c r="O165" s="2530">
        <v>0</v>
      </c>
      <c r="P165" s="2530">
        <v>0</v>
      </c>
      <c r="Q165" s="2161">
        <f t="shared" si="66"/>
        <v>0</v>
      </c>
      <c r="R165" s="1891">
        <f t="shared" si="65"/>
        <v>0</v>
      </c>
      <c r="S165" s="1891">
        <v>0</v>
      </c>
    </row>
    <row r="166" spans="1:19" s="2070" customFormat="1">
      <c r="A166" s="1854"/>
      <c r="B166" s="200" t="s">
        <v>50</v>
      </c>
      <c r="C166" s="206" t="s">
        <v>75</v>
      </c>
      <c r="D166" s="1964">
        <f>TARGET!D168</f>
        <v>0</v>
      </c>
      <c r="E166" s="2530">
        <v>0</v>
      </c>
      <c r="F166" s="2530">
        <v>0</v>
      </c>
      <c r="G166" s="2530">
        <v>0</v>
      </c>
      <c r="H166" s="2530">
        <v>0</v>
      </c>
      <c r="I166" s="2530">
        <v>0</v>
      </c>
      <c r="J166" s="2530">
        <v>0</v>
      </c>
      <c r="K166" s="2530">
        <v>0</v>
      </c>
      <c r="L166" s="2530">
        <v>0</v>
      </c>
      <c r="M166" s="2530">
        <v>0</v>
      </c>
      <c r="N166" s="2530">
        <v>0</v>
      </c>
      <c r="O166" s="2530">
        <v>0</v>
      </c>
      <c r="P166" s="2530">
        <v>0</v>
      </c>
      <c r="Q166" s="2161">
        <f t="shared" si="66"/>
        <v>0</v>
      </c>
      <c r="R166" s="1891">
        <f t="shared" si="65"/>
        <v>0</v>
      </c>
      <c r="S166" s="1891">
        <v>0</v>
      </c>
    </row>
    <row r="167" spans="1:19" s="2070" customFormat="1">
      <c r="A167" s="1854"/>
      <c r="B167" s="200" t="s">
        <v>50</v>
      </c>
      <c r="C167" s="206" t="s">
        <v>85</v>
      </c>
      <c r="D167" s="1964">
        <f>TARGET!D169</f>
        <v>0</v>
      </c>
      <c r="E167" s="2530">
        <v>0</v>
      </c>
      <c r="F167" s="2530">
        <v>0</v>
      </c>
      <c r="G167" s="2530">
        <v>0</v>
      </c>
      <c r="H167" s="2530">
        <v>0</v>
      </c>
      <c r="I167" s="2530">
        <v>0</v>
      </c>
      <c r="J167" s="2530">
        <v>0</v>
      </c>
      <c r="K167" s="2530">
        <v>0</v>
      </c>
      <c r="L167" s="2530">
        <v>0</v>
      </c>
      <c r="M167" s="2530">
        <v>0</v>
      </c>
      <c r="N167" s="2530">
        <v>0</v>
      </c>
      <c r="O167" s="2530">
        <v>0</v>
      </c>
      <c r="P167" s="2530">
        <v>0</v>
      </c>
      <c r="Q167" s="2161">
        <f t="shared" si="66"/>
        <v>0</v>
      </c>
      <c r="R167" s="1891">
        <f t="shared" si="65"/>
        <v>0</v>
      </c>
      <c r="S167" s="1891">
        <v>0</v>
      </c>
    </row>
    <row r="168" spans="1:19" s="2070" customFormat="1" ht="4.55" customHeight="1">
      <c r="A168" s="1465"/>
      <c r="B168" s="2117"/>
      <c r="C168" s="2117"/>
      <c r="D168" s="2182"/>
      <c r="E168" s="2182"/>
      <c r="F168" s="2182"/>
      <c r="G168" s="2182"/>
      <c r="H168" s="2182"/>
      <c r="I168" s="2182"/>
      <c r="J168" s="2182"/>
      <c r="K168" s="2182"/>
      <c r="L168" s="2182"/>
      <c r="M168" s="2182"/>
      <c r="N168" s="2182"/>
      <c r="O168" s="2182"/>
      <c r="P168" s="2182"/>
      <c r="Q168" s="1469"/>
      <c r="R168" s="1469"/>
      <c r="S168" s="1469"/>
    </row>
    <row r="169" spans="1:19" s="2073" customFormat="1" ht="15.65">
      <c r="A169" s="2528" t="s">
        <v>121</v>
      </c>
      <c r="B169" s="2093" t="s">
        <v>122</v>
      </c>
      <c r="C169" s="2146"/>
      <c r="D169" s="2147">
        <f>D170+D175</f>
        <v>0</v>
      </c>
      <c r="E169" s="2147">
        <f>E170+E175</f>
        <v>0</v>
      </c>
      <c r="F169" s="2147">
        <f t="shared" ref="F169:S169" si="69">F170+F175</f>
        <v>0</v>
      </c>
      <c r="G169" s="2147">
        <f t="shared" si="69"/>
        <v>0</v>
      </c>
      <c r="H169" s="2147">
        <f t="shared" si="69"/>
        <v>0</v>
      </c>
      <c r="I169" s="2147">
        <f t="shared" si="69"/>
        <v>0</v>
      </c>
      <c r="J169" s="2147">
        <f t="shared" si="69"/>
        <v>0</v>
      </c>
      <c r="K169" s="2147">
        <f t="shared" si="69"/>
        <v>0</v>
      </c>
      <c r="L169" s="2147">
        <f t="shared" si="69"/>
        <v>0</v>
      </c>
      <c r="M169" s="2147">
        <f t="shared" si="69"/>
        <v>0</v>
      </c>
      <c r="N169" s="2147">
        <f t="shared" si="69"/>
        <v>0</v>
      </c>
      <c r="O169" s="2147">
        <f t="shared" si="69"/>
        <v>0</v>
      </c>
      <c r="P169" s="2147">
        <f t="shared" si="69"/>
        <v>0</v>
      </c>
      <c r="Q169" s="2147">
        <f>SUM(E169:P169)</f>
        <v>0</v>
      </c>
      <c r="R169" s="2147">
        <f t="shared" si="69"/>
        <v>0</v>
      </c>
      <c r="S169" s="2147">
        <f t="shared" si="69"/>
        <v>0</v>
      </c>
    </row>
    <row r="170" spans="1:19" s="2073" customFormat="1">
      <c r="A170" s="2562"/>
      <c r="B170" s="2248" t="s">
        <v>106</v>
      </c>
      <c r="C170" s="2099"/>
      <c r="D170" s="2151">
        <f>D171</f>
        <v>0</v>
      </c>
      <c r="E170" s="2151">
        <f t="shared" ref="E170:S171" si="70">E171</f>
        <v>0</v>
      </c>
      <c r="F170" s="2151">
        <f t="shared" si="70"/>
        <v>0</v>
      </c>
      <c r="G170" s="2151">
        <f t="shared" si="70"/>
        <v>0</v>
      </c>
      <c r="H170" s="2151">
        <f t="shared" si="70"/>
        <v>0</v>
      </c>
      <c r="I170" s="2151">
        <f t="shared" si="70"/>
        <v>0</v>
      </c>
      <c r="J170" s="2151">
        <f t="shared" si="70"/>
        <v>0</v>
      </c>
      <c r="K170" s="2151">
        <f t="shared" si="70"/>
        <v>0</v>
      </c>
      <c r="L170" s="2151">
        <f t="shared" si="70"/>
        <v>0</v>
      </c>
      <c r="M170" s="2151">
        <f t="shared" si="70"/>
        <v>0</v>
      </c>
      <c r="N170" s="2151">
        <f t="shared" si="70"/>
        <v>0</v>
      </c>
      <c r="O170" s="2151">
        <f t="shared" si="70"/>
        <v>0</v>
      </c>
      <c r="P170" s="2151">
        <f t="shared" si="70"/>
        <v>0</v>
      </c>
      <c r="Q170" s="2161">
        <f>SUM(E170:P170)</f>
        <v>0</v>
      </c>
      <c r="R170" s="2151">
        <f t="shared" si="70"/>
        <v>0</v>
      </c>
      <c r="S170" s="2151">
        <f t="shared" si="70"/>
        <v>0</v>
      </c>
    </row>
    <row r="171" spans="1:19" s="2073" customFormat="1" ht="15.05">
      <c r="A171" s="2563"/>
      <c r="B171" s="212" t="s">
        <v>109</v>
      </c>
      <c r="C171" s="212"/>
      <c r="D171" s="2261">
        <f>D172</f>
        <v>0</v>
      </c>
      <c r="E171" s="2261">
        <f t="shared" si="70"/>
        <v>0</v>
      </c>
      <c r="F171" s="2261">
        <f t="shared" si="70"/>
        <v>0</v>
      </c>
      <c r="G171" s="2261">
        <f t="shared" si="70"/>
        <v>0</v>
      </c>
      <c r="H171" s="2261">
        <f t="shared" si="70"/>
        <v>0</v>
      </c>
      <c r="I171" s="2261">
        <f t="shared" si="70"/>
        <v>0</v>
      </c>
      <c r="J171" s="2261">
        <f t="shared" si="70"/>
        <v>0</v>
      </c>
      <c r="K171" s="2261">
        <f t="shared" si="70"/>
        <v>0</v>
      </c>
      <c r="L171" s="2261">
        <f t="shared" si="70"/>
        <v>0</v>
      </c>
      <c r="M171" s="2261">
        <f t="shared" si="70"/>
        <v>0</v>
      </c>
      <c r="N171" s="2261">
        <f t="shared" si="70"/>
        <v>0</v>
      </c>
      <c r="O171" s="2261">
        <f t="shared" si="70"/>
        <v>0</v>
      </c>
      <c r="P171" s="2261">
        <f t="shared" si="70"/>
        <v>0</v>
      </c>
      <c r="Q171" s="2156">
        <f>SUM(E171:P171)</f>
        <v>0</v>
      </c>
      <c r="R171" s="2261">
        <f t="shared" si="70"/>
        <v>0</v>
      </c>
      <c r="S171" s="2261">
        <f t="shared" si="70"/>
        <v>0</v>
      </c>
    </row>
    <row r="172" spans="1:19" s="2073" customFormat="1">
      <c r="A172" s="2563"/>
      <c r="B172" s="212" t="s">
        <v>64</v>
      </c>
      <c r="C172" s="212"/>
      <c r="D172" s="2260">
        <f>SUM(D173)</f>
        <v>0</v>
      </c>
      <c r="E172" s="2260">
        <f t="shared" ref="E172:S172" si="71">SUM(E173)</f>
        <v>0</v>
      </c>
      <c r="F172" s="2260">
        <f t="shared" si="71"/>
        <v>0</v>
      </c>
      <c r="G172" s="2260">
        <f t="shared" si="71"/>
        <v>0</v>
      </c>
      <c r="H172" s="2260">
        <f t="shared" si="71"/>
        <v>0</v>
      </c>
      <c r="I172" s="2260">
        <f t="shared" si="71"/>
        <v>0</v>
      </c>
      <c r="J172" s="2260">
        <f t="shared" si="71"/>
        <v>0</v>
      </c>
      <c r="K172" s="2260">
        <f t="shared" si="71"/>
        <v>0</v>
      </c>
      <c r="L172" s="2260">
        <f t="shared" si="71"/>
        <v>0</v>
      </c>
      <c r="M172" s="2260">
        <f t="shared" si="71"/>
        <v>0</v>
      </c>
      <c r="N172" s="2260">
        <f t="shared" si="71"/>
        <v>0</v>
      </c>
      <c r="O172" s="2260">
        <f t="shared" si="71"/>
        <v>0</v>
      </c>
      <c r="P172" s="2260">
        <f t="shared" si="71"/>
        <v>0</v>
      </c>
      <c r="Q172" s="2161">
        <f>SUM(E172:P172)</f>
        <v>0</v>
      </c>
      <c r="R172" s="2260">
        <f t="shared" si="71"/>
        <v>0</v>
      </c>
      <c r="S172" s="2260">
        <f t="shared" si="71"/>
        <v>0</v>
      </c>
    </row>
    <row r="173" spans="1:19" s="2073" customFormat="1">
      <c r="A173" s="2564"/>
      <c r="B173" s="224"/>
      <c r="C173" s="2733" t="s">
        <v>123</v>
      </c>
      <c r="D173" s="2263">
        <v>0</v>
      </c>
      <c r="E173" s="2565">
        <v>0</v>
      </c>
      <c r="F173" s="2566"/>
      <c r="G173" s="2566"/>
      <c r="H173" s="2566"/>
      <c r="I173" s="2566"/>
      <c r="J173" s="2566"/>
      <c r="K173" s="2566"/>
      <c r="L173" s="2566"/>
      <c r="M173" s="2566"/>
      <c r="N173" s="2566"/>
      <c r="O173" s="2566"/>
      <c r="P173" s="2574"/>
      <c r="Q173" s="2218">
        <f>SUM(E173:P173)</f>
        <v>0</v>
      </c>
      <c r="R173" s="2224"/>
      <c r="S173" s="2224"/>
    </row>
    <row r="174" spans="1:19" s="2073" customFormat="1" ht="15.65">
      <c r="A174" s="2567"/>
      <c r="B174" s="2250"/>
      <c r="C174" s="2568"/>
      <c r="D174" s="2265"/>
      <c r="E174" s="2265"/>
      <c r="F174" s="2265"/>
      <c r="G174" s="2265"/>
      <c r="H174" s="2265"/>
      <c r="I174" s="2265"/>
      <c r="J174" s="2265"/>
      <c r="K174" s="2265"/>
      <c r="L174" s="2265"/>
      <c r="M174" s="2265"/>
      <c r="N174" s="2265"/>
      <c r="O174" s="2265"/>
      <c r="P174" s="2575"/>
      <c r="Q174" s="2161"/>
      <c r="R174" s="2189"/>
      <c r="S174" s="2189"/>
    </row>
    <row r="175" spans="1:19" s="2070" customFormat="1" ht="15.05">
      <c r="A175" s="1905"/>
      <c r="B175" s="212" t="s">
        <v>71</v>
      </c>
      <c r="C175" s="212"/>
      <c r="D175" s="2270">
        <f>SUM(D176:D180)</f>
        <v>0</v>
      </c>
      <c r="E175" s="2165">
        <f>SUM(E176:E180)</f>
        <v>0</v>
      </c>
      <c r="F175" s="2569"/>
      <c r="G175" s="2569"/>
      <c r="H175" s="2569"/>
      <c r="I175" s="2569"/>
      <c r="J175" s="2569"/>
      <c r="K175" s="2569"/>
      <c r="L175" s="2569"/>
      <c r="M175" s="2569"/>
      <c r="N175" s="2569"/>
      <c r="O175" s="2569"/>
      <c r="P175" s="2569"/>
      <c r="Q175" s="2344">
        <f t="shared" ref="Q175:Q180" si="72">SUM(E175:P175)</f>
        <v>0</v>
      </c>
      <c r="R175" s="2260">
        <f t="shared" ref="R175:R180" si="73">Q175-D175</f>
        <v>0</v>
      </c>
      <c r="S175" s="2260">
        <v>0</v>
      </c>
    </row>
    <row r="176" spans="1:19" s="2070" customFormat="1">
      <c r="A176" s="1854"/>
      <c r="B176" s="2727" t="s">
        <v>50</v>
      </c>
      <c r="C176" s="200" t="s">
        <v>72</v>
      </c>
      <c r="D176" s="1964">
        <f>TARGET!D178</f>
        <v>0</v>
      </c>
      <c r="E176" s="2530">
        <v>0</v>
      </c>
      <c r="F176" s="2530">
        <v>0</v>
      </c>
      <c r="G176" s="2530">
        <v>0</v>
      </c>
      <c r="H176" s="2530">
        <v>0</v>
      </c>
      <c r="I176" s="2530">
        <v>0</v>
      </c>
      <c r="J176" s="2530">
        <v>0</v>
      </c>
      <c r="K176" s="2530">
        <v>0</v>
      </c>
      <c r="L176" s="2530">
        <v>0</v>
      </c>
      <c r="M176" s="2530">
        <v>0</v>
      </c>
      <c r="N176" s="2530">
        <v>0</v>
      </c>
      <c r="O176" s="2530">
        <v>0</v>
      </c>
      <c r="P176" s="2530">
        <v>0</v>
      </c>
      <c r="Q176" s="2161">
        <f t="shared" si="72"/>
        <v>0</v>
      </c>
      <c r="R176" s="1891">
        <f t="shared" si="73"/>
        <v>0</v>
      </c>
      <c r="S176" s="1891">
        <v>0</v>
      </c>
    </row>
    <row r="177" spans="1:19" s="2070" customFormat="1">
      <c r="A177" s="1854"/>
      <c r="B177" s="2727" t="s">
        <v>50</v>
      </c>
      <c r="C177" s="200" t="s">
        <v>73</v>
      </c>
      <c r="D177" s="1964">
        <f>TARGET!D179</f>
        <v>0</v>
      </c>
      <c r="E177" s="2160">
        <v>0</v>
      </c>
      <c r="F177" s="2160">
        <v>0</v>
      </c>
      <c r="G177" s="2160">
        <v>0</v>
      </c>
      <c r="H177" s="2160">
        <v>0</v>
      </c>
      <c r="I177" s="2160">
        <v>0</v>
      </c>
      <c r="J177" s="2160">
        <v>0</v>
      </c>
      <c r="K177" s="2160">
        <v>0</v>
      </c>
      <c r="L177" s="2160">
        <v>0</v>
      </c>
      <c r="M177" s="2160">
        <v>0</v>
      </c>
      <c r="N177" s="2160">
        <v>0</v>
      </c>
      <c r="O177" s="2160">
        <v>0</v>
      </c>
      <c r="P177" s="2160">
        <v>0</v>
      </c>
      <c r="Q177" s="2161">
        <f t="shared" si="72"/>
        <v>0</v>
      </c>
      <c r="R177" s="1891">
        <f t="shared" si="73"/>
        <v>0</v>
      </c>
      <c r="S177" s="1891">
        <v>0</v>
      </c>
    </row>
    <row r="178" spans="1:19" s="2070" customFormat="1">
      <c r="A178" s="1854"/>
      <c r="B178" s="2727" t="s">
        <v>50</v>
      </c>
      <c r="C178" s="200" t="s">
        <v>74</v>
      </c>
      <c r="D178" s="1964">
        <f>TARGET!D180</f>
        <v>0</v>
      </c>
      <c r="E178" s="2160">
        <v>0</v>
      </c>
      <c r="F178" s="2160">
        <v>0</v>
      </c>
      <c r="G178" s="2160">
        <v>0</v>
      </c>
      <c r="H178" s="2160">
        <v>0</v>
      </c>
      <c r="I178" s="2160">
        <v>0</v>
      </c>
      <c r="J178" s="2160">
        <v>0</v>
      </c>
      <c r="K178" s="2160">
        <v>0</v>
      </c>
      <c r="L178" s="2160">
        <v>0</v>
      </c>
      <c r="M178" s="2160">
        <v>0</v>
      </c>
      <c r="N178" s="2160">
        <v>0</v>
      </c>
      <c r="O178" s="2160">
        <v>0</v>
      </c>
      <c r="P178" s="2160">
        <v>0</v>
      </c>
      <c r="Q178" s="2161">
        <f t="shared" si="72"/>
        <v>0</v>
      </c>
      <c r="R178" s="1891">
        <f t="shared" si="73"/>
        <v>0</v>
      </c>
      <c r="S178" s="1891">
        <v>0</v>
      </c>
    </row>
    <row r="179" spans="1:19" s="2070" customFormat="1">
      <c r="A179" s="1854"/>
      <c r="B179" s="2727" t="s">
        <v>50</v>
      </c>
      <c r="C179" s="206" t="s">
        <v>75</v>
      </c>
      <c r="D179" s="1964">
        <f>TARGET!D181</f>
        <v>0</v>
      </c>
      <c r="E179" s="2530">
        <v>0</v>
      </c>
      <c r="F179" s="2530">
        <v>0</v>
      </c>
      <c r="G179" s="2530">
        <v>0</v>
      </c>
      <c r="H179" s="2530">
        <v>0</v>
      </c>
      <c r="I179" s="2530">
        <v>0</v>
      </c>
      <c r="J179" s="2530">
        <v>0</v>
      </c>
      <c r="K179" s="2530">
        <v>0</v>
      </c>
      <c r="L179" s="2530">
        <v>0</v>
      </c>
      <c r="M179" s="2530">
        <v>0</v>
      </c>
      <c r="N179" s="2530">
        <v>0</v>
      </c>
      <c r="O179" s="2530">
        <v>0</v>
      </c>
      <c r="P179" s="2530">
        <v>0</v>
      </c>
      <c r="Q179" s="2161">
        <f t="shared" si="72"/>
        <v>0</v>
      </c>
      <c r="R179" s="1891">
        <f t="shared" si="73"/>
        <v>0</v>
      </c>
      <c r="S179" s="1891">
        <v>0</v>
      </c>
    </row>
    <row r="180" spans="1:19" s="2070" customFormat="1">
      <c r="A180" s="1854"/>
      <c r="B180" s="2727" t="s">
        <v>50</v>
      </c>
      <c r="C180" s="206" t="s">
        <v>85</v>
      </c>
      <c r="D180" s="1964">
        <f>TARGET!D182</f>
        <v>0</v>
      </c>
      <c r="E180" s="2531">
        <v>0</v>
      </c>
      <c r="F180" s="2531">
        <v>0</v>
      </c>
      <c r="G180" s="2531">
        <v>0</v>
      </c>
      <c r="H180" s="2531">
        <v>0</v>
      </c>
      <c r="I180" s="2531">
        <v>0</v>
      </c>
      <c r="J180" s="2531">
        <v>0</v>
      </c>
      <c r="K180" s="2531">
        <v>0</v>
      </c>
      <c r="L180" s="2531">
        <v>0</v>
      </c>
      <c r="M180" s="2531">
        <v>0</v>
      </c>
      <c r="N180" s="2531">
        <v>0</v>
      </c>
      <c r="O180" s="2531">
        <v>0</v>
      </c>
      <c r="P180" s="2531">
        <v>0</v>
      </c>
      <c r="Q180" s="2161">
        <f t="shared" si="72"/>
        <v>0</v>
      </c>
      <c r="R180" s="1891">
        <f t="shared" si="73"/>
        <v>0</v>
      </c>
      <c r="S180" s="1891">
        <v>0</v>
      </c>
    </row>
    <row r="181" spans="1:19" s="2070" customFormat="1" ht="4.55" customHeight="1">
      <c r="A181" s="1465"/>
      <c r="B181" s="2117"/>
      <c r="C181" s="2117"/>
      <c r="D181" s="2182"/>
      <c r="E181" s="2182"/>
      <c r="F181" s="2182"/>
      <c r="G181" s="2182"/>
      <c r="H181" s="2182"/>
      <c r="I181" s="2182"/>
      <c r="J181" s="2182"/>
      <c r="K181" s="2182"/>
      <c r="L181" s="2182"/>
      <c r="M181" s="2182"/>
      <c r="N181" s="2182"/>
      <c r="O181" s="2182"/>
      <c r="P181" s="2182"/>
      <c r="Q181" s="1469"/>
      <c r="R181" s="1469"/>
      <c r="S181" s="1469"/>
    </row>
    <row r="182" spans="1:19" s="2073" customFormat="1" ht="15.65">
      <c r="A182" s="2528" t="s">
        <v>124</v>
      </c>
      <c r="B182" s="2093" t="s">
        <v>125</v>
      </c>
      <c r="C182" s="2146"/>
      <c r="D182" s="2147">
        <f t="shared" ref="D182:P182" si="74">D190</f>
        <v>0</v>
      </c>
      <c r="E182" s="2147">
        <f t="shared" si="74"/>
        <v>0</v>
      </c>
      <c r="F182" s="2147">
        <f t="shared" si="74"/>
        <v>0</v>
      </c>
      <c r="G182" s="2147">
        <f t="shared" si="74"/>
        <v>0</v>
      </c>
      <c r="H182" s="2147">
        <f t="shared" si="74"/>
        <v>0</v>
      </c>
      <c r="I182" s="2147">
        <f t="shared" si="74"/>
        <v>0</v>
      </c>
      <c r="J182" s="2147">
        <f t="shared" si="74"/>
        <v>0</v>
      </c>
      <c r="K182" s="2147">
        <f t="shared" si="74"/>
        <v>0</v>
      </c>
      <c r="L182" s="2147">
        <f t="shared" si="74"/>
        <v>0</v>
      </c>
      <c r="M182" s="2147">
        <f t="shared" si="74"/>
        <v>0</v>
      </c>
      <c r="N182" s="2147">
        <f t="shared" si="74"/>
        <v>0</v>
      </c>
      <c r="O182" s="2147">
        <f t="shared" si="74"/>
        <v>0</v>
      </c>
      <c r="P182" s="2147">
        <f t="shared" si="74"/>
        <v>0</v>
      </c>
      <c r="Q182" s="2147">
        <f>SUM(E182:P182)</f>
        <v>0</v>
      </c>
      <c r="R182" s="2147">
        <f>Q182-D182</f>
        <v>0</v>
      </c>
      <c r="S182" s="2147">
        <v>0</v>
      </c>
    </row>
    <row r="183" spans="1:19" s="2075" customFormat="1" ht="15.65">
      <c r="A183" s="2570"/>
      <c r="B183" s="2571"/>
      <c r="C183" s="2572"/>
      <c r="D183" s="2573"/>
      <c r="E183" s="2573"/>
      <c r="F183" s="2573"/>
      <c r="G183" s="2573"/>
      <c r="H183" s="2573"/>
      <c r="I183" s="2573"/>
      <c r="J183" s="2573"/>
      <c r="K183" s="2573"/>
      <c r="L183" s="2573"/>
      <c r="M183" s="2573"/>
      <c r="N183" s="2573"/>
      <c r="O183" s="2573"/>
      <c r="P183" s="2573"/>
      <c r="Q183" s="2576"/>
      <c r="R183" s="2576"/>
      <c r="S183" s="2576"/>
    </row>
    <row r="184" spans="1:19" s="2070" customFormat="1">
      <c r="A184" s="2529"/>
      <c r="B184" s="2099" t="s">
        <v>106</v>
      </c>
      <c r="C184" s="2099"/>
      <c r="D184" s="2151">
        <f t="shared" ref="D184:P185" si="75">SUM(D185)</f>
        <v>0</v>
      </c>
      <c r="E184" s="2151">
        <f t="shared" si="75"/>
        <v>0</v>
      </c>
      <c r="F184" s="2151">
        <f t="shared" si="75"/>
        <v>0</v>
      </c>
      <c r="G184" s="2151">
        <f t="shared" si="75"/>
        <v>0</v>
      </c>
      <c r="H184" s="2151">
        <f t="shared" si="75"/>
        <v>0</v>
      </c>
      <c r="I184" s="2151">
        <f t="shared" si="75"/>
        <v>0</v>
      </c>
      <c r="J184" s="2151">
        <f t="shared" si="75"/>
        <v>0</v>
      </c>
      <c r="K184" s="2151">
        <f t="shared" si="75"/>
        <v>0</v>
      </c>
      <c r="L184" s="2151">
        <f t="shared" si="75"/>
        <v>0</v>
      </c>
      <c r="M184" s="2151">
        <f t="shared" si="75"/>
        <v>0</v>
      </c>
      <c r="N184" s="2151">
        <f t="shared" si="75"/>
        <v>0</v>
      </c>
      <c r="O184" s="2151">
        <f t="shared" si="75"/>
        <v>0</v>
      </c>
      <c r="P184" s="2151">
        <f t="shared" si="75"/>
        <v>0</v>
      </c>
      <c r="Q184" s="2161">
        <f>SUM(E184:P184)</f>
        <v>0</v>
      </c>
      <c r="R184" s="1891">
        <f>Q184-D184</f>
        <v>0</v>
      </c>
      <c r="S184" s="1891" t="e">
        <f>Q184/D184*100</f>
        <v>#DIV/0!</v>
      </c>
    </row>
    <row r="185" spans="1:19" s="2074" customFormat="1">
      <c r="A185" s="1854"/>
      <c r="B185" s="2728" t="s">
        <v>116</v>
      </c>
      <c r="C185" s="202"/>
      <c r="D185" s="2181">
        <f t="shared" si="75"/>
        <v>0</v>
      </c>
      <c r="E185" s="2181">
        <f t="shared" si="75"/>
        <v>0</v>
      </c>
      <c r="F185" s="2181">
        <f t="shared" si="75"/>
        <v>0</v>
      </c>
      <c r="G185" s="2181">
        <f t="shared" si="75"/>
        <v>0</v>
      </c>
      <c r="H185" s="2181">
        <f t="shared" si="75"/>
        <v>0</v>
      </c>
      <c r="I185" s="2181">
        <f t="shared" si="75"/>
        <v>0</v>
      </c>
      <c r="J185" s="2181">
        <f t="shared" si="75"/>
        <v>0</v>
      </c>
      <c r="K185" s="2181">
        <f t="shared" si="75"/>
        <v>0</v>
      </c>
      <c r="L185" s="2181">
        <f t="shared" si="75"/>
        <v>0</v>
      </c>
      <c r="M185" s="2181">
        <f t="shared" si="75"/>
        <v>0</v>
      </c>
      <c r="N185" s="2181">
        <f t="shared" si="75"/>
        <v>0</v>
      </c>
      <c r="O185" s="2181">
        <f t="shared" si="75"/>
        <v>0</v>
      </c>
      <c r="P185" s="2181">
        <f t="shared" si="75"/>
        <v>0</v>
      </c>
      <c r="Q185" s="2161">
        <f>SUM(E185:P185)</f>
        <v>0</v>
      </c>
      <c r="R185" s="1891">
        <f>Q185-D185</f>
        <v>0</v>
      </c>
      <c r="S185" s="1891" t="e">
        <f>Q185/D185*100</f>
        <v>#DIV/0!</v>
      </c>
    </row>
    <row r="186" spans="1:19" s="2070" customFormat="1" ht="15.05">
      <c r="A186" s="1854"/>
      <c r="B186" s="200" t="s">
        <v>117</v>
      </c>
      <c r="C186" s="200"/>
      <c r="D186" s="2256">
        <f t="shared" ref="D186:P186" si="76">SUM(D187:D188)</f>
        <v>0</v>
      </c>
      <c r="E186" s="2256">
        <f t="shared" si="76"/>
        <v>0</v>
      </c>
      <c r="F186" s="2256">
        <f t="shared" si="76"/>
        <v>0</v>
      </c>
      <c r="G186" s="2256">
        <f t="shared" si="76"/>
        <v>0</v>
      </c>
      <c r="H186" s="2256">
        <f t="shared" si="76"/>
        <v>0</v>
      </c>
      <c r="I186" s="2256">
        <f t="shared" si="76"/>
        <v>0</v>
      </c>
      <c r="J186" s="2256">
        <f t="shared" si="76"/>
        <v>0</v>
      </c>
      <c r="K186" s="2256">
        <f t="shared" si="76"/>
        <v>0</v>
      </c>
      <c r="L186" s="2256">
        <f t="shared" si="76"/>
        <v>0</v>
      </c>
      <c r="M186" s="2256">
        <f t="shared" si="76"/>
        <v>0</v>
      </c>
      <c r="N186" s="2256">
        <f t="shared" si="76"/>
        <v>0</v>
      </c>
      <c r="O186" s="2256">
        <f t="shared" si="76"/>
        <v>0</v>
      </c>
      <c r="P186" s="2256">
        <f t="shared" si="76"/>
        <v>0</v>
      </c>
      <c r="Q186" s="2156">
        <f>SUM(E186:P186)</f>
        <v>0</v>
      </c>
      <c r="R186" s="1749">
        <f>Q186-D186</f>
        <v>0</v>
      </c>
      <c r="S186" s="1891" t="e">
        <f>Q186/D186*100</f>
        <v>#DIV/0!</v>
      </c>
    </row>
    <row r="187" spans="1:19" s="2070" customFormat="1">
      <c r="A187" s="1854"/>
      <c r="B187" s="2727" t="s">
        <v>50</v>
      </c>
      <c r="C187" s="200" t="s">
        <v>118</v>
      </c>
      <c r="D187" s="1964">
        <v>0</v>
      </c>
      <c r="E187" s="2530">
        <v>0</v>
      </c>
      <c r="F187" s="2530">
        <v>0</v>
      </c>
      <c r="G187" s="2530">
        <v>0</v>
      </c>
      <c r="H187" s="2530">
        <v>0</v>
      </c>
      <c r="I187" s="2530">
        <v>0</v>
      </c>
      <c r="J187" s="2530">
        <v>0</v>
      </c>
      <c r="K187" s="2530">
        <v>0</v>
      </c>
      <c r="L187" s="2530">
        <v>0</v>
      </c>
      <c r="M187" s="2530">
        <v>0</v>
      </c>
      <c r="N187" s="2530">
        <v>0</v>
      </c>
      <c r="O187" s="2530">
        <v>0</v>
      </c>
      <c r="P187" s="2530">
        <v>0</v>
      </c>
      <c r="Q187" s="2161">
        <f>SUM(E187:P187)</f>
        <v>0</v>
      </c>
      <c r="R187" s="1891">
        <f>Q187-D187</f>
        <v>0</v>
      </c>
      <c r="S187" s="1891" t="e">
        <f>Q187/D187*100</f>
        <v>#DIV/0!</v>
      </c>
    </row>
    <row r="188" spans="1:19" s="2070" customFormat="1">
      <c r="A188" s="1854"/>
      <c r="B188" s="2727" t="s">
        <v>50</v>
      </c>
      <c r="C188" s="200" t="s">
        <v>119</v>
      </c>
      <c r="D188" s="1964">
        <v>0</v>
      </c>
      <c r="E188" s="2530">
        <v>0</v>
      </c>
      <c r="F188" s="2530">
        <v>0</v>
      </c>
      <c r="G188" s="2530">
        <v>0</v>
      </c>
      <c r="H188" s="2530">
        <v>0</v>
      </c>
      <c r="I188" s="2530">
        <v>0</v>
      </c>
      <c r="J188" s="2530">
        <v>0</v>
      </c>
      <c r="K188" s="2530">
        <v>0</v>
      </c>
      <c r="L188" s="2530">
        <v>0</v>
      </c>
      <c r="M188" s="2530">
        <v>0</v>
      </c>
      <c r="N188" s="2530">
        <v>0</v>
      </c>
      <c r="O188" s="2530">
        <v>0</v>
      </c>
      <c r="P188" s="2530">
        <v>0</v>
      </c>
      <c r="Q188" s="2161">
        <f>SUM(E188:P188)</f>
        <v>0</v>
      </c>
      <c r="R188" s="1891">
        <f>Q188-D188</f>
        <v>0</v>
      </c>
      <c r="S188" s="1891" t="e">
        <f>Q188/D188*100</f>
        <v>#DIV/0!</v>
      </c>
    </row>
    <row r="189" spans="1:19" s="2075" customFormat="1" ht="15.65">
      <c r="A189" s="2570"/>
      <c r="B189" s="2571"/>
      <c r="C189" s="2572"/>
      <c r="D189" s="2573"/>
      <c r="E189" s="2573"/>
      <c r="F189" s="2573"/>
      <c r="G189" s="2573"/>
      <c r="H189" s="2573"/>
      <c r="I189" s="2573"/>
      <c r="J189" s="2573"/>
      <c r="K189" s="2573"/>
      <c r="L189" s="2573"/>
      <c r="M189" s="2573"/>
      <c r="N189" s="2573"/>
      <c r="O189" s="2573"/>
      <c r="P189" s="2573"/>
      <c r="Q189" s="2576"/>
      <c r="R189" s="2576"/>
      <c r="S189" s="2576"/>
    </row>
    <row r="190" spans="1:19" s="2070" customFormat="1">
      <c r="A190" s="2529"/>
      <c r="B190" s="2099" t="s">
        <v>71</v>
      </c>
      <c r="C190" s="2099"/>
      <c r="D190" s="2151">
        <f t="shared" ref="D190:P190" si="77">SUM(D191:D195)</f>
        <v>0</v>
      </c>
      <c r="E190" s="2151">
        <f t="shared" si="77"/>
        <v>0</v>
      </c>
      <c r="F190" s="2151">
        <f t="shared" si="77"/>
        <v>0</v>
      </c>
      <c r="G190" s="2151">
        <f t="shared" si="77"/>
        <v>0</v>
      </c>
      <c r="H190" s="2151">
        <f t="shared" si="77"/>
        <v>0</v>
      </c>
      <c r="I190" s="2151">
        <f t="shared" si="77"/>
        <v>0</v>
      </c>
      <c r="J190" s="2151">
        <f t="shared" si="77"/>
        <v>0</v>
      </c>
      <c r="K190" s="2151">
        <f t="shared" si="77"/>
        <v>0</v>
      </c>
      <c r="L190" s="2151">
        <f t="shared" si="77"/>
        <v>0</v>
      </c>
      <c r="M190" s="2151">
        <f t="shared" si="77"/>
        <v>0</v>
      </c>
      <c r="N190" s="2151">
        <f t="shared" si="77"/>
        <v>0</v>
      </c>
      <c r="O190" s="2151">
        <f t="shared" si="77"/>
        <v>0</v>
      </c>
      <c r="P190" s="2151">
        <f t="shared" si="77"/>
        <v>0</v>
      </c>
      <c r="Q190" s="2161">
        <f t="shared" ref="Q190:Q195" si="78">SUM(E190:P190)</f>
        <v>0</v>
      </c>
      <c r="R190" s="1891">
        <f t="shared" ref="R190:R195" si="79">Q190-D190</f>
        <v>0</v>
      </c>
      <c r="S190" s="1891">
        <v>0</v>
      </c>
    </row>
    <row r="191" spans="1:19" s="2070" customFormat="1">
      <c r="A191" s="1855"/>
      <c r="B191" s="2727" t="s">
        <v>50</v>
      </c>
      <c r="C191" s="200" t="s">
        <v>72</v>
      </c>
      <c r="D191" s="1964">
        <f>TARGET!D186</f>
        <v>0</v>
      </c>
      <c r="E191" s="2530">
        <v>0</v>
      </c>
      <c r="F191" s="2530">
        <v>0</v>
      </c>
      <c r="G191" s="2530">
        <v>0</v>
      </c>
      <c r="H191" s="2530">
        <v>0</v>
      </c>
      <c r="I191" s="2530">
        <v>0</v>
      </c>
      <c r="J191" s="2530">
        <v>0</v>
      </c>
      <c r="K191" s="2530">
        <v>0</v>
      </c>
      <c r="L191" s="2530">
        <v>0</v>
      </c>
      <c r="M191" s="2530">
        <v>0</v>
      </c>
      <c r="N191" s="2530">
        <v>0</v>
      </c>
      <c r="O191" s="2530">
        <v>0</v>
      </c>
      <c r="P191" s="2530">
        <v>0</v>
      </c>
      <c r="Q191" s="2161">
        <f t="shared" si="78"/>
        <v>0</v>
      </c>
      <c r="R191" s="1891">
        <f t="shared" si="79"/>
        <v>0</v>
      </c>
      <c r="S191" s="1891">
        <v>0</v>
      </c>
    </row>
    <row r="192" spans="1:19" s="2070" customFormat="1">
      <c r="A192" s="1855"/>
      <c r="B192" s="2727" t="s">
        <v>50</v>
      </c>
      <c r="C192" s="200" t="s">
        <v>73</v>
      </c>
      <c r="D192" s="1964">
        <f>TARGET!D187</f>
        <v>0</v>
      </c>
      <c r="E192" s="2530">
        <v>0</v>
      </c>
      <c r="F192" s="2530">
        <v>0</v>
      </c>
      <c r="G192" s="2530">
        <v>0</v>
      </c>
      <c r="H192" s="2530">
        <v>0</v>
      </c>
      <c r="I192" s="2530">
        <v>0</v>
      </c>
      <c r="J192" s="2530">
        <v>0</v>
      </c>
      <c r="K192" s="2530">
        <v>0</v>
      </c>
      <c r="L192" s="2530">
        <v>0</v>
      </c>
      <c r="M192" s="2530">
        <v>0</v>
      </c>
      <c r="N192" s="2530">
        <v>0</v>
      </c>
      <c r="O192" s="2530">
        <v>0</v>
      </c>
      <c r="P192" s="2530">
        <v>0</v>
      </c>
      <c r="Q192" s="2161">
        <f t="shared" si="78"/>
        <v>0</v>
      </c>
      <c r="R192" s="1891">
        <f t="shared" si="79"/>
        <v>0</v>
      </c>
      <c r="S192" s="1891">
        <v>0</v>
      </c>
    </row>
    <row r="193" spans="1:19" s="2070" customFormat="1">
      <c r="A193" s="1855"/>
      <c r="B193" s="2727" t="s">
        <v>50</v>
      </c>
      <c r="C193" s="200" t="s">
        <v>74</v>
      </c>
      <c r="D193" s="1964">
        <f>TARGET!D188</f>
        <v>0</v>
      </c>
      <c r="E193" s="2558">
        <v>0</v>
      </c>
      <c r="F193" s="2558">
        <v>0</v>
      </c>
      <c r="G193" s="2558">
        <v>0</v>
      </c>
      <c r="H193" s="2558">
        <v>0</v>
      </c>
      <c r="I193" s="2558">
        <v>0</v>
      </c>
      <c r="J193" s="2558">
        <v>0</v>
      </c>
      <c r="K193" s="2558">
        <v>0</v>
      </c>
      <c r="L193" s="2558">
        <v>0</v>
      </c>
      <c r="M193" s="2558">
        <v>0</v>
      </c>
      <c r="N193" s="2558">
        <v>0</v>
      </c>
      <c r="O193" s="2558">
        <v>0</v>
      </c>
      <c r="P193" s="2558">
        <v>0</v>
      </c>
      <c r="Q193" s="2161">
        <f t="shared" si="78"/>
        <v>0</v>
      </c>
      <c r="R193" s="1891">
        <f t="shared" si="79"/>
        <v>0</v>
      </c>
      <c r="S193" s="1891">
        <v>0</v>
      </c>
    </row>
    <row r="194" spans="1:19" s="2070" customFormat="1">
      <c r="A194" s="1855"/>
      <c r="B194" s="2727" t="s">
        <v>50</v>
      </c>
      <c r="C194" s="206" t="s">
        <v>75</v>
      </c>
      <c r="D194" s="1964">
        <f>TARGET!D189</f>
        <v>0</v>
      </c>
      <c r="E194" s="2577">
        <v>0</v>
      </c>
      <c r="F194" s="2577">
        <v>0</v>
      </c>
      <c r="G194" s="2577">
        <v>0</v>
      </c>
      <c r="H194" s="2577">
        <v>0</v>
      </c>
      <c r="I194" s="2577">
        <v>0</v>
      </c>
      <c r="J194" s="2577">
        <v>0</v>
      </c>
      <c r="K194" s="2577">
        <v>0</v>
      </c>
      <c r="L194" s="2577">
        <v>0</v>
      </c>
      <c r="M194" s="2577">
        <v>0</v>
      </c>
      <c r="N194" s="2577">
        <v>0</v>
      </c>
      <c r="O194" s="2577">
        <v>0</v>
      </c>
      <c r="P194" s="2577">
        <v>0</v>
      </c>
      <c r="Q194" s="2161">
        <f t="shared" si="78"/>
        <v>0</v>
      </c>
      <c r="R194" s="1891">
        <f t="shared" si="79"/>
        <v>0</v>
      </c>
      <c r="S194" s="1891">
        <v>0</v>
      </c>
    </row>
    <row r="195" spans="1:19" s="2070" customFormat="1">
      <c r="A195" s="1855"/>
      <c r="B195" s="2727" t="s">
        <v>50</v>
      </c>
      <c r="C195" s="206" t="s">
        <v>85</v>
      </c>
      <c r="D195" s="1964">
        <f>TARGET!D190</f>
        <v>0</v>
      </c>
      <c r="E195" s="2160">
        <v>0</v>
      </c>
      <c r="F195" s="2160">
        <v>0</v>
      </c>
      <c r="G195" s="2160">
        <v>0</v>
      </c>
      <c r="H195" s="2160">
        <v>0</v>
      </c>
      <c r="I195" s="2160">
        <v>0</v>
      </c>
      <c r="J195" s="2160">
        <v>0</v>
      </c>
      <c r="K195" s="2160">
        <v>0</v>
      </c>
      <c r="L195" s="2160">
        <v>0</v>
      </c>
      <c r="M195" s="2160">
        <v>0</v>
      </c>
      <c r="N195" s="2160">
        <v>0</v>
      </c>
      <c r="O195" s="2160">
        <v>0</v>
      </c>
      <c r="P195" s="2160">
        <v>0</v>
      </c>
      <c r="Q195" s="2161">
        <f t="shared" si="78"/>
        <v>0</v>
      </c>
      <c r="R195" s="1891">
        <f t="shared" si="79"/>
        <v>0</v>
      </c>
      <c r="S195" s="1891">
        <v>0</v>
      </c>
    </row>
    <row r="196" spans="1:19" s="2070" customFormat="1" ht="5.35" customHeight="1">
      <c r="A196" s="2535"/>
      <c r="B196" s="2117"/>
      <c r="C196" s="2117"/>
      <c r="D196" s="2182"/>
      <c r="E196" s="2182"/>
      <c r="F196" s="2182"/>
      <c r="G196" s="2182"/>
      <c r="H196" s="2182"/>
      <c r="I196" s="2182"/>
      <c r="J196" s="2182"/>
      <c r="K196" s="2182"/>
      <c r="L196" s="2182"/>
      <c r="M196" s="2182"/>
      <c r="N196" s="2182"/>
      <c r="O196" s="2182"/>
      <c r="P196" s="2182"/>
      <c r="Q196" s="1469"/>
      <c r="R196" s="1469"/>
      <c r="S196" s="1469"/>
    </row>
    <row r="197" spans="1:19" s="2073" customFormat="1" ht="15.65">
      <c r="A197" s="2528" t="s">
        <v>126</v>
      </c>
      <c r="B197" s="2093" t="s">
        <v>127</v>
      </c>
      <c r="C197" s="2146"/>
      <c r="D197" s="2147">
        <f t="shared" ref="D197:P197" si="80">D198+D212</f>
        <v>2000000</v>
      </c>
      <c r="E197" s="2147">
        <f t="shared" si="80"/>
        <v>0</v>
      </c>
      <c r="F197" s="2147">
        <f t="shared" si="80"/>
        <v>0</v>
      </c>
      <c r="G197" s="2147">
        <f t="shared" si="80"/>
        <v>0</v>
      </c>
      <c r="H197" s="2147">
        <f t="shared" si="80"/>
        <v>0</v>
      </c>
      <c r="I197" s="2147">
        <f t="shared" si="80"/>
        <v>0</v>
      </c>
      <c r="J197" s="2147">
        <f t="shared" si="80"/>
        <v>0</v>
      </c>
      <c r="K197" s="2147">
        <f t="shared" si="80"/>
        <v>0</v>
      </c>
      <c r="L197" s="2147">
        <f t="shared" si="80"/>
        <v>0</v>
      </c>
      <c r="M197" s="2147">
        <f t="shared" si="80"/>
        <v>0</v>
      </c>
      <c r="N197" s="2147">
        <f t="shared" si="80"/>
        <v>0</v>
      </c>
      <c r="O197" s="2147">
        <f t="shared" si="80"/>
        <v>0</v>
      </c>
      <c r="P197" s="2147">
        <f t="shared" si="80"/>
        <v>0</v>
      </c>
      <c r="Q197" s="2147">
        <f>SUM(E197:P197)</f>
        <v>0</v>
      </c>
      <c r="R197" s="2147">
        <f>Q197-D197</f>
        <v>-2000000</v>
      </c>
      <c r="S197" s="2147">
        <f>Q197/D197*100</f>
        <v>0</v>
      </c>
    </row>
    <row r="198" spans="1:19" s="2070" customFormat="1">
      <c r="A198" s="2529"/>
      <c r="B198" s="2248" t="s">
        <v>106</v>
      </c>
      <c r="C198" s="2099"/>
      <c r="D198" s="2151">
        <f t="shared" ref="D198:P198" si="81">D199</f>
        <v>2000000</v>
      </c>
      <c r="E198" s="2151">
        <f t="shared" si="81"/>
        <v>0</v>
      </c>
      <c r="F198" s="2151">
        <f t="shared" si="81"/>
        <v>0</v>
      </c>
      <c r="G198" s="2151">
        <f t="shared" si="81"/>
        <v>0</v>
      </c>
      <c r="H198" s="2151">
        <f t="shared" si="81"/>
        <v>0</v>
      </c>
      <c r="I198" s="2151">
        <f t="shared" si="81"/>
        <v>0</v>
      </c>
      <c r="J198" s="2151">
        <f t="shared" si="81"/>
        <v>0</v>
      </c>
      <c r="K198" s="2151">
        <f t="shared" si="81"/>
        <v>0</v>
      </c>
      <c r="L198" s="2151">
        <f t="shared" si="81"/>
        <v>0</v>
      </c>
      <c r="M198" s="2151">
        <f t="shared" si="81"/>
        <v>0</v>
      </c>
      <c r="N198" s="2151">
        <f t="shared" si="81"/>
        <v>0</v>
      </c>
      <c r="O198" s="2151">
        <f t="shared" si="81"/>
        <v>0</v>
      </c>
      <c r="P198" s="2151">
        <f t="shared" si="81"/>
        <v>0</v>
      </c>
      <c r="Q198" s="2161">
        <f>SUM(E198:P198)</f>
        <v>0</v>
      </c>
      <c r="R198" s="1891">
        <f t="shared" ref="R198:S213" si="82">Q198-D198</f>
        <v>-2000000</v>
      </c>
      <c r="S198" s="1891">
        <f>Q198/D198*100</f>
        <v>0</v>
      </c>
    </row>
    <row r="199" spans="1:19" s="2074" customFormat="1" ht="15.05">
      <c r="A199" s="1905"/>
      <c r="B199" s="212" t="s">
        <v>109</v>
      </c>
      <c r="C199" s="212"/>
      <c r="D199" s="2261">
        <f t="shared" ref="D199:P199" si="83">D200+D202</f>
        <v>2000000</v>
      </c>
      <c r="E199" s="2261">
        <f t="shared" si="83"/>
        <v>0</v>
      </c>
      <c r="F199" s="2261">
        <f t="shared" si="83"/>
        <v>0</v>
      </c>
      <c r="G199" s="2261">
        <f t="shared" si="83"/>
        <v>0</v>
      </c>
      <c r="H199" s="2261">
        <f t="shared" si="83"/>
        <v>0</v>
      </c>
      <c r="I199" s="2261">
        <f t="shared" si="83"/>
        <v>0</v>
      </c>
      <c r="J199" s="2261">
        <f t="shared" si="83"/>
        <v>0</v>
      </c>
      <c r="K199" s="2261">
        <f t="shared" si="83"/>
        <v>0</v>
      </c>
      <c r="L199" s="2261">
        <f t="shared" si="83"/>
        <v>0</v>
      </c>
      <c r="M199" s="2261">
        <f t="shared" si="83"/>
        <v>0</v>
      </c>
      <c r="N199" s="2261">
        <f t="shared" si="83"/>
        <v>0</v>
      </c>
      <c r="O199" s="2261">
        <f t="shared" si="83"/>
        <v>0</v>
      </c>
      <c r="P199" s="2261">
        <f t="shared" si="83"/>
        <v>0</v>
      </c>
      <c r="Q199" s="2156">
        <f>SUM(E199:P199)</f>
        <v>0</v>
      </c>
      <c r="R199" s="1749">
        <f t="shared" si="82"/>
        <v>-2000000</v>
      </c>
      <c r="S199" s="1891">
        <f>Q199/D199*100</f>
        <v>0</v>
      </c>
    </row>
    <row r="200" spans="1:19" s="2074" customFormat="1">
      <c r="A200" s="1905"/>
      <c r="B200" s="212" t="s">
        <v>64</v>
      </c>
      <c r="C200" s="212"/>
      <c r="D200" s="2260">
        <f t="shared" ref="D200:P200" si="84">SUM(D201)</f>
        <v>2000000</v>
      </c>
      <c r="E200" s="2260">
        <f t="shared" si="84"/>
        <v>0</v>
      </c>
      <c r="F200" s="2260">
        <f t="shared" si="84"/>
        <v>0</v>
      </c>
      <c r="G200" s="2260">
        <f t="shared" si="84"/>
        <v>0</v>
      </c>
      <c r="H200" s="2260">
        <f t="shared" si="84"/>
        <v>0</v>
      </c>
      <c r="I200" s="2260">
        <f t="shared" si="84"/>
        <v>0</v>
      </c>
      <c r="J200" s="2260">
        <f t="shared" si="84"/>
        <v>0</v>
      </c>
      <c r="K200" s="2260">
        <f t="shared" si="84"/>
        <v>0</v>
      </c>
      <c r="L200" s="2260">
        <f t="shared" si="84"/>
        <v>0</v>
      </c>
      <c r="M200" s="2260">
        <f t="shared" si="84"/>
        <v>0</v>
      </c>
      <c r="N200" s="2260">
        <f t="shared" si="84"/>
        <v>0</v>
      </c>
      <c r="O200" s="2260">
        <f t="shared" si="84"/>
        <v>0</v>
      </c>
      <c r="P200" s="2260">
        <f t="shared" si="84"/>
        <v>0</v>
      </c>
      <c r="Q200" s="2161">
        <f t="shared" ref="Q200:Q213" si="85">SUM(E200:P200)</f>
        <v>0</v>
      </c>
      <c r="R200" s="1891">
        <f t="shared" si="82"/>
        <v>-2000000</v>
      </c>
      <c r="S200" s="1891">
        <f>Q200/D200*100</f>
        <v>0</v>
      </c>
    </row>
    <row r="201" spans="1:19" s="2070" customFormat="1">
      <c r="A201" s="1905"/>
      <c r="B201" s="224"/>
      <c r="C201" s="2733" t="s">
        <v>128</v>
      </c>
      <c r="D201" s="1964">
        <f>TARGET!D196</f>
        <v>2000000</v>
      </c>
      <c r="E201" s="2578">
        <v>0</v>
      </c>
      <c r="F201" s="2578">
        <v>0</v>
      </c>
      <c r="G201" s="2578">
        <v>0</v>
      </c>
      <c r="H201" s="2578">
        <v>0</v>
      </c>
      <c r="I201" s="2578">
        <v>0</v>
      </c>
      <c r="J201" s="2578">
        <v>0</v>
      </c>
      <c r="K201" s="2578">
        <v>0</v>
      </c>
      <c r="L201" s="2578">
        <v>0</v>
      </c>
      <c r="M201" s="2578">
        <v>0</v>
      </c>
      <c r="N201" s="2578">
        <v>0</v>
      </c>
      <c r="O201" s="2578">
        <v>0</v>
      </c>
      <c r="P201" s="2578">
        <v>0</v>
      </c>
      <c r="Q201" s="2161">
        <f t="shared" si="85"/>
        <v>0</v>
      </c>
      <c r="R201" s="1891">
        <f t="shared" si="82"/>
        <v>-2000000</v>
      </c>
      <c r="S201" s="1891">
        <f>Q201/D201*100</f>
        <v>0</v>
      </c>
    </row>
    <row r="202" spans="1:19" s="2074" customFormat="1">
      <c r="A202" s="1905"/>
      <c r="B202" s="2124" t="s">
        <v>94</v>
      </c>
      <c r="D202" s="2260">
        <f t="shared" ref="D202:P202" si="86">SUM(D203)</f>
        <v>0</v>
      </c>
      <c r="E202" s="2260">
        <f t="shared" si="86"/>
        <v>0</v>
      </c>
      <c r="F202" s="2260">
        <f t="shared" si="86"/>
        <v>0</v>
      </c>
      <c r="G202" s="2260">
        <f t="shared" si="86"/>
        <v>0</v>
      </c>
      <c r="H202" s="2260">
        <f t="shared" si="86"/>
        <v>0</v>
      </c>
      <c r="I202" s="2260">
        <f t="shared" si="86"/>
        <v>0</v>
      </c>
      <c r="J202" s="2260">
        <f t="shared" si="86"/>
        <v>0</v>
      </c>
      <c r="K202" s="2260">
        <f t="shared" si="86"/>
        <v>0</v>
      </c>
      <c r="L202" s="2260">
        <f t="shared" si="86"/>
        <v>0</v>
      </c>
      <c r="M202" s="2260">
        <f t="shared" si="86"/>
        <v>0</v>
      </c>
      <c r="N202" s="2260">
        <f t="shared" si="86"/>
        <v>0</v>
      </c>
      <c r="O202" s="2260">
        <f t="shared" si="86"/>
        <v>0</v>
      </c>
      <c r="P202" s="2260">
        <f t="shared" si="86"/>
        <v>0</v>
      </c>
      <c r="Q202" s="2161">
        <f t="shared" si="85"/>
        <v>0</v>
      </c>
      <c r="R202" s="1891">
        <f t="shared" si="82"/>
        <v>0</v>
      </c>
      <c r="S202" s="1891">
        <v>0</v>
      </c>
    </row>
    <row r="203" spans="1:19" s="2070" customFormat="1">
      <c r="A203" s="1905"/>
      <c r="B203" s="224"/>
      <c r="C203" s="2734" t="s">
        <v>129</v>
      </c>
      <c r="D203" s="1964">
        <f>TARGET!D198</f>
        <v>0</v>
      </c>
      <c r="E203" s="2579"/>
      <c r="F203" s="2579"/>
      <c r="G203" s="2579"/>
      <c r="H203" s="2579"/>
      <c r="I203" s="2579"/>
      <c r="J203" s="2579"/>
      <c r="K203" s="2579"/>
      <c r="L203" s="2579"/>
      <c r="M203" s="2579"/>
      <c r="N203" s="2579"/>
      <c r="O203" s="2579"/>
      <c r="P203" s="2579"/>
      <c r="Q203" s="2161">
        <f t="shared" si="85"/>
        <v>0</v>
      </c>
      <c r="R203" s="1891">
        <f t="shared" si="82"/>
        <v>0</v>
      </c>
      <c r="S203" s="1891">
        <v>0</v>
      </c>
    </row>
    <row r="204" spans="1:19" s="2070" customFormat="1" ht="5.35" customHeight="1">
      <c r="A204" s="1905"/>
      <c r="B204" s="224"/>
      <c r="C204" s="2281"/>
      <c r="D204" s="2260"/>
      <c r="E204" s="2260"/>
      <c r="F204" s="2260"/>
      <c r="G204" s="2260"/>
      <c r="H204" s="2260"/>
      <c r="I204" s="2260"/>
      <c r="J204" s="2260"/>
      <c r="K204" s="2260"/>
      <c r="L204" s="2260"/>
      <c r="M204" s="2260"/>
      <c r="N204" s="2260"/>
      <c r="O204" s="2260"/>
      <c r="P204" s="2260"/>
      <c r="Q204" s="2161">
        <f t="shared" si="85"/>
        <v>0</v>
      </c>
      <c r="R204" s="1891">
        <f t="shared" si="82"/>
        <v>0</v>
      </c>
      <c r="S204" s="1891">
        <f t="shared" si="82"/>
        <v>0</v>
      </c>
    </row>
    <row r="205" spans="1:19" s="2070" customFormat="1">
      <c r="A205" s="1905"/>
      <c r="B205" s="1856" t="s">
        <v>71</v>
      </c>
      <c r="C205" s="218"/>
      <c r="D205" s="2260">
        <f t="shared" ref="D205:P205" si="87">SUM(D206:D210)</f>
        <v>0</v>
      </c>
      <c r="E205" s="2260">
        <f t="shared" si="87"/>
        <v>0</v>
      </c>
      <c r="F205" s="2260">
        <f t="shared" si="87"/>
        <v>0</v>
      </c>
      <c r="G205" s="2260">
        <f t="shared" si="87"/>
        <v>0</v>
      </c>
      <c r="H205" s="2260">
        <f t="shared" si="87"/>
        <v>0</v>
      </c>
      <c r="I205" s="2260">
        <f t="shared" si="87"/>
        <v>0</v>
      </c>
      <c r="J205" s="2260">
        <f t="shared" si="87"/>
        <v>0</v>
      </c>
      <c r="K205" s="2260">
        <f t="shared" si="87"/>
        <v>0</v>
      </c>
      <c r="L205" s="2260">
        <f t="shared" si="87"/>
        <v>0</v>
      </c>
      <c r="M205" s="2260">
        <f t="shared" si="87"/>
        <v>0</v>
      </c>
      <c r="N205" s="2260">
        <f t="shared" si="87"/>
        <v>0</v>
      </c>
      <c r="O205" s="2260">
        <f t="shared" si="87"/>
        <v>0</v>
      </c>
      <c r="P205" s="2260">
        <f t="shared" si="87"/>
        <v>0</v>
      </c>
      <c r="Q205" s="2161">
        <f t="shared" si="85"/>
        <v>0</v>
      </c>
      <c r="R205" s="1891">
        <f t="shared" si="82"/>
        <v>0</v>
      </c>
      <c r="S205" s="1891">
        <v>0</v>
      </c>
    </row>
    <row r="206" spans="1:19" s="2070" customFormat="1">
      <c r="A206" s="1905"/>
      <c r="B206" s="2727" t="s">
        <v>50</v>
      </c>
      <c r="C206" s="200" t="s">
        <v>72</v>
      </c>
      <c r="D206" s="1964">
        <f>TARGET!D201</f>
        <v>0</v>
      </c>
      <c r="E206" s="2579">
        <v>0</v>
      </c>
      <c r="F206" s="2579">
        <v>0</v>
      </c>
      <c r="G206" s="2579">
        <v>0</v>
      </c>
      <c r="H206" s="2579">
        <v>0</v>
      </c>
      <c r="I206" s="2579">
        <v>0</v>
      </c>
      <c r="J206" s="2579">
        <v>0</v>
      </c>
      <c r="K206" s="2579">
        <v>0</v>
      </c>
      <c r="L206" s="2579">
        <v>0</v>
      </c>
      <c r="M206" s="2579">
        <v>0</v>
      </c>
      <c r="N206" s="2579">
        <v>0</v>
      </c>
      <c r="O206" s="2579">
        <v>0</v>
      </c>
      <c r="P206" s="2579">
        <v>0</v>
      </c>
      <c r="Q206" s="2161">
        <f t="shared" si="85"/>
        <v>0</v>
      </c>
      <c r="R206" s="1891">
        <f t="shared" si="82"/>
        <v>0</v>
      </c>
      <c r="S206" s="1891">
        <v>0</v>
      </c>
    </row>
    <row r="207" spans="1:19" s="2070" customFormat="1">
      <c r="A207" s="1905"/>
      <c r="B207" s="2727" t="s">
        <v>50</v>
      </c>
      <c r="C207" s="200" t="s">
        <v>73</v>
      </c>
      <c r="D207" s="1964">
        <f>TARGET!D202</f>
        <v>0</v>
      </c>
      <c r="E207" s="2579">
        <v>0</v>
      </c>
      <c r="F207" s="2579">
        <v>0</v>
      </c>
      <c r="G207" s="2579">
        <v>0</v>
      </c>
      <c r="H207" s="2579">
        <v>0</v>
      </c>
      <c r="I207" s="2579">
        <v>0</v>
      </c>
      <c r="J207" s="2579">
        <v>0</v>
      </c>
      <c r="K207" s="2579">
        <v>0</v>
      </c>
      <c r="L207" s="2579">
        <v>0</v>
      </c>
      <c r="M207" s="2579">
        <v>0</v>
      </c>
      <c r="N207" s="2579">
        <v>0</v>
      </c>
      <c r="O207" s="2579">
        <v>0</v>
      </c>
      <c r="P207" s="2579">
        <v>0</v>
      </c>
      <c r="Q207" s="2161">
        <f t="shared" si="85"/>
        <v>0</v>
      </c>
      <c r="R207" s="1891">
        <f t="shared" si="82"/>
        <v>0</v>
      </c>
      <c r="S207" s="1891">
        <v>0</v>
      </c>
    </row>
    <row r="208" spans="1:19" s="2070" customFormat="1">
      <c r="A208" s="1905"/>
      <c r="B208" s="2727" t="s">
        <v>50</v>
      </c>
      <c r="C208" s="200" t="s">
        <v>74</v>
      </c>
      <c r="D208" s="1964">
        <f>TARGET!D203</f>
        <v>0</v>
      </c>
      <c r="E208" s="2579">
        <v>0</v>
      </c>
      <c r="F208" s="2579">
        <v>0</v>
      </c>
      <c r="G208" s="2579">
        <v>0</v>
      </c>
      <c r="H208" s="2579">
        <v>0</v>
      </c>
      <c r="I208" s="2579">
        <v>0</v>
      </c>
      <c r="J208" s="2579">
        <v>0</v>
      </c>
      <c r="K208" s="2579">
        <v>0</v>
      </c>
      <c r="L208" s="2579">
        <v>0</v>
      </c>
      <c r="M208" s="2579">
        <v>0</v>
      </c>
      <c r="N208" s="2579">
        <v>0</v>
      </c>
      <c r="O208" s="2579">
        <v>0</v>
      </c>
      <c r="P208" s="2579">
        <v>0</v>
      </c>
      <c r="Q208" s="2161">
        <f t="shared" si="85"/>
        <v>0</v>
      </c>
      <c r="R208" s="1891">
        <f t="shared" si="82"/>
        <v>0</v>
      </c>
      <c r="S208" s="1891">
        <v>0</v>
      </c>
    </row>
    <row r="209" spans="1:19" s="2070" customFormat="1">
      <c r="A209" s="1854"/>
      <c r="B209" s="2727" t="s">
        <v>50</v>
      </c>
      <c r="C209" s="206" t="s">
        <v>75</v>
      </c>
      <c r="D209" s="1964">
        <f>TARGET!D204</f>
        <v>0</v>
      </c>
      <c r="E209" s="2530">
        <v>0</v>
      </c>
      <c r="F209" s="2530">
        <v>0</v>
      </c>
      <c r="G209" s="2530">
        <v>0</v>
      </c>
      <c r="H209" s="2530">
        <v>0</v>
      </c>
      <c r="I209" s="2530">
        <v>0</v>
      </c>
      <c r="J209" s="2530">
        <v>0</v>
      </c>
      <c r="K209" s="2530">
        <v>0</v>
      </c>
      <c r="L209" s="2530">
        <v>0</v>
      </c>
      <c r="M209" s="2530">
        <v>0</v>
      </c>
      <c r="N209" s="2530">
        <v>0</v>
      </c>
      <c r="O209" s="2530">
        <v>0</v>
      </c>
      <c r="P209" s="2530">
        <v>0</v>
      </c>
      <c r="Q209" s="2161">
        <f t="shared" si="85"/>
        <v>0</v>
      </c>
      <c r="R209" s="1891">
        <f t="shared" si="82"/>
        <v>0</v>
      </c>
      <c r="S209" s="1891">
        <v>0</v>
      </c>
    </row>
    <row r="210" spans="1:19" s="2070" customFormat="1">
      <c r="A210" s="1854"/>
      <c r="B210" s="2727" t="s">
        <v>50</v>
      </c>
      <c r="C210" s="206" t="s">
        <v>85</v>
      </c>
      <c r="D210" s="1964">
        <f>TARGET!D205</f>
        <v>0</v>
      </c>
      <c r="E210" s="2580">
        <v>0</v>
      </c>
      <c r="F210" s="2580">
        <v>0</v>
      </c>
      <c r="G210" s="2580">
        <v>0</v>
      </c>
      <c r="H210" s="2580">
        <v>0</v>
      </c>
      <c r="I210" s="2580">
        <v>0</v>
      </c>
      <c r="J210" s="2580">
        <v>0</v>
      </c>
      <c r="K210" s="2580">
        <v>0</v>
      </c>
      <c r="L210" s="2580">
        <v>0</v>
      </c>
      <c r="M210" s="2580">
        <v>0</v>
      </c>
      <c r="N210" s="2580">
        <v>0</v>
      </c>
      <c r="O210" s="2580">
        <v>0</v>
      </c>
      <c r="P210" s="2580">
        <v>0</v>
      </c>
      <c r="Q210" s="2161">
        <f t="shared" si="85"/>
        <v>0</v>
      </c>
      <c r="R210" s="1891">
        <f t="shared" si="82"/>
        <v>0</v>
      </c>
      <c r="S210" s="1891">
        <v>0</v>
      </c>
    </row>
    <row r="211" spans="1:19" s="2070" customFormat="1" ht="5.35" customHeight="1">
      <c r="A211" s="1902"/>
      <c r="B211" s="856"/>
      <c r="C211" s="257"/>
      <c r="D211" s="2282"/>
      <c r="E211" s="2282"/>
      <c r="F211" s="2282"/>
      <c r="G211" s="2282"/>
      <c r="H211" s="2282"/>
      <c r="I211" s="2282"/>
      <c r="J211" s="2282"/>
      <c r="K211" s="2282"/>
      <c r="L211" s="2282"/>
      <c r="M211" s="2282"/>
      <c r="N211" s="2282"/>
      <c r="O211" s="2282"/>
      <c r="P211" s="2282"/>
      <c r="Q211" s="2161">
        <f t="shared" si="85"/>
        <v>0</v>
      </c>
      <c r="R211" s="1891">
        <f t="shared" si="82"/>
        <v>0</v>
      </c>
      <c r="S211" s="1891">
        <f t="shared" si="82"/>
        <v>0</v>
      </c>
    </row>
    <row r="212" spans="1:19" s="2070" customFormat="1">
      <c r="A212" s="1902"/>
      <c r="B212" s="1856" t="s">
        <v>130</v>
      </c>
      <c r="C212" s="217"/>
      <c r="D212" s="2283">
        <f t="shared" ref="D212:P212" si="88">SUM(D213)</f>
        <v>0</v>
      </c>
      <c r="E212" s="2283">
        <f t="shared" si="88"/>
        <v>0</v>
      </c>
      <c r="F212" s="2283">
        <f t="shared" si="88"/>
        <v>0</v>
      </c>
      <c r="G212" s="2283">
        <f t="shared" si="88"/>
        <v>0</v>
      </c>
      <c r="H212" s="2283">
        <f t="shared" si="88"/>
        <v>0</v>
      </c>
      <c r="I212" s="2283">
        <f t="shared" si="88"/>
        <v>0</v>
      </c>
      <c r="J212" s="2283">
        <f t="shared" si="88"/>
        <v>0</v>
      </c>
      <c r="K212" s="2283">
        <f t="shared" si="88"/>
        <v>0</v>
      </c>
      <c r="L212" s="2283">
        <f t="shared" si="88"/>
        <v>0</v>
      </c>
      <c r="M212" s="2283">
        <f t="shared" si="88"/>
        <v>0</v>
      </c>
      <c r="N212" s="2283">
        <f t="shared" si="88"/>
        <v>0</v>
      </c>
      <c r="O212" s="2283">
        <f t="shared" si="88"/>
        <v>0</v>
      </c>
      <c r="P212" s="2283">
        <f t="shared" si="88"/>
        <v>0</v>
      </c>
      <c r="Q212" s="2161">
        <f t="shared" si="85"/>
        <v>0</v>
      </c>
      <c r="R212" s="1891">
        <f t="shared" si="82"/>
        <v>0</v>
      </c>
      <c r="S212" s="1891" t="e">
        <f>Q212/D212*100</f>
        <v>#DIV/0!</v>
      </c>
    </row>
    <row r="213" spans="1:19" s="2070" customFormat="1">
      <c r="A213" s="1902"/>
      <c r="B213" s="2735" t="s">
        <v>50</v>
      </c>
      <c r="C213" s="217" t="s">
        <v>131</v>
      </c>
      <c r="D213" s="1964">
        <f>TARGET!D208</f>
        <v>0</v>
      </c>
      <c r="E213" s="2581">
        <v>0</v>
      </c>
      <c r="F213" s="2581">
        <v>0</v>
      </c>
      <c r="G213" s="2581">
        <v>0</v>
      </c>
      <c r="H213" s="2581">
        <v>0</v>
      </c>
      <c r="I213" s="2581">
        <v>0</v>
      </c>
      <c r="J213" s="2581">
        <v>0</v>
      </c>
      <c r="K213" s="2581">
        <v>0</v>
      </c>
      <c r="L213" s="2581">
        <v>0</v>
      </c>
      <c r="M213" s="2581">
        <v>0</v>
      </c>
      <c r="N213" s="2581">
        <v>0</v>
      </c>
      <c r="O213" s="2581">
        <v>0</v>
      </c>
      <c r="P213" s="2581">
        <v>0</v>
      </c>
      <c r="Q213" s="2161">
        <f t="shared" si="85"/>
        <v>0</v>
      </c>
      <c r="R213" s="1891">
        <f t="shared" si="82"/>
        <v>0</v>
      </c>
      <c r="S213" s="1891" t="e">
        <f>Q213/D213*100</f>
        <v>#DIV/0!</v>
      </c>
    </row>
    <row r="214" spans="1:19" s="2070" customFormat="1" ht="5.95" customHeight="1">
      <c r="A214" s="2582"/>
      <c r="B214" s="2278"/>
      <c r="C214" s="2278"/>
      <c r="D214" s="2284"/>
      <c r="E214" s="2284"/>
      <c r="F214" s="2284"/>
      <c r="G214" s="2284"/>
      <c r="H214" s="2284"/>
      <c r="I214" s="2284"/>
      <c r="J214" s="2284"/>
      <c r="K214" s="2284"/>
      <c r="L214" s="2284"/>
      <c r="M214" s="2284"/>
      <c r="N214" s="2284"/>
      <c r="O214" s="2284"/>
      <c r="P214" s="2284"/>
      <c r="Q214" s="2286"/>
      <c r="R214" s="2286"/>
      <c r="S214" s="2286"/>
    </row>
    <row r="215" spans="1:19" s="2073" customFormat="1" ht="15.65">
      <c r="A215" s="2528" t="s">
        <v>132</v>
      </c>
      <c r="B215" s="2093" t="s">
        <v>133</v>
      </c>
      <c r="C215" s="2195"/>
      <c r="D215" s="2147">
        <f t="shared" ref="D215:P215" si="89">D216+D231</f>
        <v>1530000000</v>
      </c>
      <c r="E215" s="2147">
        <f t="shared" si="89"/>
        <v>0</v>
      </c>
      <c r="F215" s="2147">
        <f t="shared" si="89"/>
        <v>0</v>
      </c>
      <c r="G215" s="2147">
        <f t="shared" si="89"/>
        <v>0</v>
      </c>
      <c r="H215" s="2147">
        <f t="shared" si="89"/>
        <v>0</v>
      </c>
      <c r="I215" s="2147">
        <f t="shared" si="89"/>
        <v>0</v>
      </c>
      <c r="J215" s="2147">
        <f t="shared" si="89"/>
        <v>0</v>
      </c>
      <c r="K215" s="2147">
        <f t="shared" si="89"/>
        <v>0</v>
      </c>
      <c r="L215" s="2147">
        <f t="shared" si="89"/>
        <v>0</v>
      </c>
      <c r="M215" s="2147">
        <f t="shared" si="89"/>
        <v>0</v>
      </c>
      <c r="N215" s="2147">
        <f t="shared" si="89"/>
        <v>0</v>
      </c>
      <c r="O215" s="2147">
        <f t="shared" si="89"/>
        <v>0</v>
      </c>
      <c r="P215" s="2147">
        <f t="shared" si="89"/>
        <v>0</v>
      </c>
      <c r="Q215" s="2147">
        <f>SUM(E215:P215)</f>
        <v>0</v>
      </c>
      <c r="R215" s="2147">
        <f>Q215-D215</f>
        <v>-1530000000</v>
      </c>
      <c r="S215" s="2147">
        <f>Q215/D215*100</f>
        <v>0</v>
      </c>
    </row>
    <row r="216" spans="1:19" s="2075" customFormat="1">
      <c r="A216" s="2562"/>
      <c r="B216" s="2248" t="s">
        <v>106</v>
      </c>
      <c r="C216" s="2206"/>
      <c r="D216" s="2223">
        <f>D217+D221</f>
        <v>1530000000</v>
      </c>
      <c r="E216" s="2223">
        <f>E217+E221</f>
        <v>0</v>
      </c>
      <c r="F216" s="2223">
        <f>F217+F221</f>
        <v>0</v>
      </c>
      <c r="G216" s="2223">
        <f>G217+G221</f>
        <v>0</v>
      </c>
      <c r="H216" s="2223">
        <f t="shared" ref="H216:P216" si="90">H217+H221</f>
        <v>0</v>
      </c>
      <c r="I216" s="2223">
        <f t="shared" si="90"/>
        <v>0</v>
      </c>
      <c r="J216" s="2223">
        <f t="shared" si="90"/>
        <v>0</v>
      </c>
      <c r="K216" s="2223">
        <f t="shared" si="90"/>
        <v>0</v>
      </c>
      <c r="L216" s="2223">
        <f t="shared" si="90"/>
        <v>0</v>
      </c>
      <c r="M216" s="2223">
        <f t="shared" si="90"/>
        <v>0</v>
      </c>
      <c r="N216" s="2223">
        <f t="shared" si="90"/>
        <v>0</v>
      </c>
      <c r="O216" s="2223">
        <f t="shared" si="90"/>
        <v>0</v>
      </c>
      <c r="P216" s="2223">
        <f t="shared" si="90"/>
        <v>0</v>
      </c>
      <c r="Q216" s="2161">
        <f t="shared" ref="Q216:Q235" si="91">SUM(E216:P216)</f>
        <v>0</v>
      </c>
      <c r="R216" s="1891">
        <f t="shared" ref="R216:S235" si="92">Q216-D216</f>
        <v>-1530000000</v>
      </c>
      <c r="S216" s="1891">
        <f>Q216/D216*100</f>
        <v>0</v>
      </c>
    </row>
    <row r="217" spans="1:19" s="2074" customFormat="1">
      <c r="A217" s="1905"/>
      <c r="B217" s="212" t="s">
        <v>109</v>
      </c>
      <c r="C217" s="212"/>
      <c r="D217" s="2260">
        <f t="shared" ref="D217:P217" si="93">SUM(D218:D219)</f>
        <v>75000000</v>
      </c>
      <c r="E217" s="2260">
        <f t="shared" si="93"/>
        <v>0</v>
      </c>
      <c r="F217" s="2260">
        <f t="shared" si="93"/>
        <v>0</v>
      </c>
      <c r="G217" s="2260">
        <f t="shared" si="93"/>
        <v>0</v>
      </c>
      <c r="H217" s="2260">
        <f t="shared" si="93"/>
        <v>0</v>
      </c>
      <c r="I217" s="2260">
        <f t="shared" si="93"/>
        <v>0</v>
      </c>
      <c r="J217" s="2260">
        <f t="shared" si="93"/>
        <v>0</v>
      </c>
      <c r="K217" s="2260">
        <f t="shared" si="93"/>
        <v>0</v>
      </c>
      <c r="L217" s="2260">
        <f t="shared" si="93"/>
        <v>0</v>
      </c>
      <c r="M217" s="2260">
        <f t="shared" si="93"/>
        <v>0</v>
      </c>
      <c r="N217" s="2260">
        <f t="shared" si="93"/>
        <v>0</v>
      </c>
      <c r="O217" s="2260">
        <f t="shared" si="93"/>
        <v>0</v>
      </c>
      <c r="P217" s="2260">
        <f t="shared" si="93"/>
        <v>0</v>
      </c>
      <c r="Q217" s="2161">
        <f t="shared" si="91"/>
        <v>0</v>
      </c>
      <c r="R217" s="1891">
        <f t="shared" si="92"/>
        <v>-75000000</v>
      </c>
      <c r="S217" s="1891">
        <f>Q217/D217*100</f>
        <v>0</v>
      </c>
    </row>
    <row r="218" spans="1:19" s="2074" customFormat="1">
      <c r="A218" s="1854"/>
      <c r="B218" s="2727" t="s">
        <v>50</v>
      </c>
      <c r="C218" s="2070" t="s">
        <v>134</v>
      </c>
      <c r="D218" s="1964">
        <f>TARGET!D213</f>
        <v>0</v>
      </c>
      <c r="E218" s="2583">
        <f t="shared" ref="E218:P218" si="94">SUM(E219)</f>
        <v>0</v>
      </c>
      <c r="F218" s="2583">
        <f t="shared" si="94"/>
        <v>0</v>
      </c>
      <c r="G218" s="2583">
        <f t="shared" si="94"/>
        <v>0</v>
      </c>
      <c r="H218" s="2583">
        <f t="shared" si="94"/>
        <v>0</v>
      </c>
      <c r="I218" s="2583">
        <f t="shared" si="94"/>
        <v>0</v>
      </c>
      <c r="J218" s="2583">
        <f t="shared" si="94"/>
        <v>0</v>
      </c>
      <c r="K218" s="2583">
        <f t="shared" si="94"/>
        <v>0</v>
      </c>
      <c r="L218" s="2583">
        <f t="shared" si="94"/>
        <v>0</v>
      </c>
      <c r="M218" s="2583">
        <f t="shared" si="94"/>
        <v>0</v>
      </c>
      <c r="N218" s="2583">
        <f t="shared" si="94"/>
        <v>0</v>
      </c>
      <c r="O218" s="2583">
        <f t="shared" si="94"/>
        <v>0</v>
      </c>
      <c r="P218" s="2583">
        <f t="shared" si="94"/>
        <v>0</v>
      </c>
      <c r="Q218" s="2161">
        <f t="shared" si="91"/>
        <v>0</v>
      </c>
      <c r="R218" s="1891">
        <f>Q218-D218</f>
        <v>0</v>
      </c>
      <c r="S218" s="1891"/>
    </row>
    <row r="219" spans="1:19" s="2070" customFormat="1">
      <c r="A219" s="1854"/>
      <c r="B219" s="2727" t="s">
        <v>50</v>
      </c>
      <c r="C219" s="200" t="s">
        <v>135</v>
      </c>
      <c r="D219" s="1964">
        <f>TARGET!D214</f>
        <v>75000000</v>
      </c>
      <c r="E219" s="2530">
        <v>0</v>
      </c>
      <c r="F219" s="2530">
        <v>0</v>
      </c>
      <c r="G219" s="2530">
        <v>0</v>
      </c>
      <c r="H219" s="2530">
        <v>0</v>
      </c>
      <c r="I219" s="2530">
        <v>0</v>
      </c>
      <c r="J219" s="2530">
        <v>0</v>
      </c>
      <c r="K219" s="2530">
        <v>0</v>
      </c>
      <c r="L219" s="2530">
        <v>0</v>
      </c>
      <c r="M219" s="2530">
        <v>0</v>
      </c>
      <c r="N219" s="2530">
        <v>0</v>
      </c>
      <c r="O219" s="2530">
        <v>0</v>
      </c>
      <c r="P219" s="2530">
        <v>0</v>
      </c>
      <c r="Q219" s="2161">
        <f t="shared" si="91"/>
        <v>0</v>
      </c>
      <c r="R219" s="1891">
        <f t="shared" si="92"/>
        <v>-75000000</v>
      </c>
      <c r="S219" s="1891">
        <f>Q219/D219*100</f>
        <v>0</v>
      </c>
    </row>
    <row r="220" spans="1:19" s="2070" customFormat="1" ht="5.35" customHeight="1">
      <c r="A220" s="1854"/>
      <c r="B220" s="200"/>
      <c r="C220" s="200"/>
      <c r="D220" s="2164"/>
      <c r="E220" s="2164"/>
      <c r="F220" s="2164"/>
      <c r="G220" s="2164"/>
      <c r="H220" s="2164"/>
      <c r="I220" s="2164"/>
      <c r="J220" s="2164"/>
      <c r="K220" s="2164"/>
      <c r="L220" s="2164"/>
      <c r="M220" s="2164"/>
      <c r="N220" s="2164"/>
      <c r="O220" s="2164"/>
      <c r="P220" s="2164"/>
      <c r="Q220" s="2161"/>
      <c r="R220" s="1891">
        <f t="shared" si="92"/>
        <v>0</v>
      </c>
      <c r="S220" s="1891">
        <f t="shared" si="92"/>
        <v>0</v>
      </c>
    </row>
    <row r="221" spans="1:19" s="2074" customFormat="1">
      <c r="A221" s="1854"/>
      <c r="B221" s="2728" t="s">
        <v>116</v>
      </c>
      <c r="C221" s="202"/>
      <c r="D221" s="1891">
        <f t="shared" ref="D221:P221" si="95">D222</f>
        <v>1455000000</v>
      </c>
      <c r="E221" s="1891">
        <f t="shared" si="95"/>
        <v>0</v>
      </c>
      <c r="F221" s="1891">
        <f t="shared" si="95"/>
        <v>0</v>
      </c>
      <c r="G221" s="1891">
        <f t="shared" si="95"/>
        <v>0</v>
      </c>
      <c r="H221" s="1891">
        <f t="shared" si="95"/>
        <v>0</v>
      </c>
      <c r="I221" s="1891">
        <f t="shared" si="95"/>
        <v>0</v>
      </c>
      <c r="J221" s="1891">
        <f t="shared" si="95"/>
        <v>0</v>
      </c>
      <c r="K221" s="1891">
        <f t="shared" si="95"/>
        <v>0</v>
      </c>
      <c r="L221" s="1891">
        <f t="shared" si="95"/>
        <v>0</v>
      </c>
      <c r="M221" s="1891">
        <f t="shared" si="95"/>
        <v>0</v>
      </c>
      <c r="N221" s="1891">
        <f t="shared" si="95"/>
        <v>0</v>
      </c>
      <c r="O221" s="1891">
        <f t="shared" si="95"/>
        <v>0</v>
      </c>
      <c r="P221" s="1891">
        <f t="shared" si="95"/>
        <v>0</v>
      </c>
      <c r="Q221" s="2161">
        <f t="shared" si="91"/>
        <v>0</v>
      </c>
      <c r="R221" s="1891">
        <f t="shared" si="92"/>
        <v>-1455000000</v>
      </c>
      <c r="S221" s="1891">
        <f>Q221/D221*100</f>
        <v>0</v>
      </c>
    </row>
    <row r="222" spans="1:19" s="2070" customFormat="1">
      <c r="A222" s="1854"/>
      <c r="B222" s="2727" t="s">
        <v>50</v>
      </c>
      <c r="C222" s="200" t="s">
        <v>136</v>
      </c>
      <c r="D222" s="1964">
        <f>TARGET!D217</f>
        <v>1455000000</v>
      </c>
      <c r="E222" s="2530">
        <v>0</v>
      </c>
      <c r="F222" s="2530">
        <v>0</v>
      </c>
      <c r="G222" s="2530">
        <v>0</v>
      </c>
      <c r="H222" s="2530">
        <v>0</v>
      </c>
      <c r="I222" s="2530">
        <v>0</v>
      </c>
      <c r="J222" s="2530">
        <v>0</v>
      </c>
      <c r="K222" s="2530">
        <v>0</v>
      </c>
      <c r="L222" s="2530">
        <v>0</v>
      </c>
      <c r="M222" s="2530">
        <v>0</v>
      </c>
      <c r="N222" s="2530">
        <v>0</v>
      </c>
      <c r="O222" s="2530">
        <v>0</v>
      </c>
      <c r="P222" s="2530">
        <v>0</v>
      </c>
      <c r="Q222" s="2161">
        <f t="shared" si="91"/>
        <v>0</v>
      </c>
      <c r="R222" s="1891">
        <f t="shared" si="92"/>
        <v>-1455000000</v>
      </c>
      <c r="S222" s="1891">
        <f>Q222/D222*100</f>
        <v>0</v>
      </c>
    </row>
    <row r="223" spans="1:19" s="2070" customFormat="1" ht="5.95" customHeight="1">
      <c r="A223" s="1854"/>
      <c r="B223" s="200"/>
      <c r="C223" s="200"/>
      <c r="D223" s="2164"/>
      <c r="E223" s="2164"/>
      <c r="F223" s="2164"/>
      <c r="G223" s="2164"/>
      <c r="H223" s="2164"/>
      <c r="I223" s="2164"/>
      <c r="J223" s="2164"/>
      <c r="K223" s="2164"/>
      <c r="L223" s="2164"/>
      <c r="M223" s="2164"/>
      <c r="N223" s="2164"/>
      <c r="O223" s="2164"/>
      <c r="P223" s="2164"/>
      <c r="Q223" s="2161"/>
      <c r="R223" s="1891">
        <f t="shared" si="92"/>
        <v>0</v>
      </c>
      <c r="S223" s="1891">
        <f t="shared" si="92"/>
        <v>0</v>
      </c>
    </row>
    <row r="224" spans="1:19" s="2070" customFormat="1">
      <c r="A224" s="1854"/>
      <c r="B224" s="202" t="s">
        <v>71</v>
      </c>
      <c r="C224" s="202"/>
      <c r="D224" s="2143">
        <f t="shared" ref="D224:P224" si="96">SUM(D225:D229)</f>
        <v>0</v>
      </c>
      <c r="E224" s="2143">
        <f t="shared" si="96"/>
        <v>0</v>
      </c>
      <c r="F224" s="2143">
        <f t="shared" si="96"/>
        <v>0</v>
      </c>
      <c r="G224" s="2143">
        <f t="shared" si="96"/>
        <v>0</v>
      </c>
      <c r="H224" s="2143">
        <f t="shared" si="96"/>
        <v>0</v>
      </c>
      <c r="I224" s="2143">
        <f t="shared" si="96"/>
        <v>0</v>
      </c>
      <c r="J224" s="2143">
        <f t="shared" si="96"/>
        <v>0</v>
      </c>
      <c r="K224" s="2143">
        <f t="shared" si="96"/>
        <v>0</v>
      </c>
      <c r="L224" s="2143">
        <f t="shared" si="96"/>
        <v>0</v>
      </c>
      <c r="M224" s="2143">
        <f t="shared" si="96"/>
        <v>0</v>
      </c>
      <c r="N224" s="2143">
        <f t="shared" si="96"/>
        <v>0</v>
      </c>
      <c r="O224" s="2143">
        <f t="shared" si="96"/>
        <v>0</v>
      </c>
      <c r="P224" s="2143">
        <f t="shared" si="96"/>
        <v>0</v>
      </c>
      <c r="Q224" s="2161">
        <f t="shared" si="91"/>
        <v>0</v>
      </c>
      <c r="R224" s="1891">
        <f t="shared" si="92"/>
        <v>0</v>
      </c>
      <c r="S224" s="1891">
        <v>0</v>
      </c>
    </row>
    <row r="225" spans="1:19" s="2070" customFormat="1">
      <c r="A225" s="1854"/>
      <c r="B225" s="2727" t="s">
        <v>50</v>
      </c>
      <c r="C225" s="200" t="s">
        <v>72</v>
      </c>
      <c r="D225" s="1964">
        <f>TARGET!D220</f>
        <v>0</v>
      </c>
      <c r="E225" s="2530">
        <v>0</v>
      </c>
      <c r="F225" s="2530">
        <v>0</v>
      </c>
      <c r="G225" s="2530">
        <v>0</v>
      </c>
      <c r="H225" s="2530">
        <v>0</v>
      </c>
      <c r="I225" s="2530">
        <v>0</v>
      </c>
      <c r="J225" s="2530">
        <v>0</v>
      </c>
      <c r="K225" s="2530">
        <v>0</v>
      </c>
      <c r="L225" s="2530">
        <v>0</v>
      </c>
      <c r="M225" s="2530">
        <v>0</v>
      </c>
      <c r="N225" s="2530">
        <v>0</v>
      </c>
      <c r="O225" s="2530">
        <v>0</v>
      </c>
      <c r="P225" s="2530">
        <v>0</v>
      </c>
      <c r="Q225" s="2161">
        <f t="shared" si="91"/>
        <v>0</v>
      </c>
      <c r="R225" s="1891">
        <f t="shared" si="92"/>
        <v>0</v>
      </c>
      <c r="S225" s="1891">
        <v>0</v>
      </c>
    </row>
    <row r="226" spans="1:19" s="2070" customFormat="1">
      <c r="A226" s="1854"/>
      <c r="B226" s="2727" t="s">
        <v>50</v>
      </c>
      <c r="C226" s="200" t="s">
        <v>73</v>
      </c>
      <c r="D226" s="1964">
        <f>TARGET!D221</f>
        <v>0</v>
      </c>
      <c r="E226" s="2530">
        <v>0</v>
      </c>
      <c r="F226" s="2530">
        <v>0</v>
      </c>
      <c r="G226" s="2530">
        <v>0</v>
      </c>
      <c r="H226" s="2530">
        <v>0</v>
      </c>
      <c r="I226" s="2530">
        <v>0</v>
      </c>
      <c r="J226" s="2530">
        <v>0</v>
      </c>
      <c r="K226" s="2530">
        <v>0</v>
      </c>
      <c r="L226" s="2530">
        <v>0</v>
      </c>
      <c r="M226" s="2530">
        <v>0</v>
      </c>
      <c r="N226" s="2530">
        <v>0</v>
      </c>
      <c r="O226" s="2530">
        <v>0</v>
      </c>
      <c r="P226" s="2530">
        <v>0</v>
      </c>
      <c r="Q226" s="2161">
        <f t="shared" si="91"/>
        <v>0</v>
      </c>
      <c r="R226" s="1891">
        <f t="shared" si="92"/>
        <v>0</v>
      </c>
      <c r="S226" s="1891">
        <v>0</v>
      </c>
    </row>
    <row r="227" spans="1:19" s="2070" customFormat="1">
      <c r="A227" s="1854"/>
      <c r="B227" s="2727" t="s">
        <v>50</v>
      </c>
      <c r="C227" s="200" t="s">
        <v>74</v>
      </c>
      <c r="D227" s="1964">
        <f>TARGET!D222</f>
        <v>0</v>
      </c>
      <c r="E227" s="2530">
        <v>0</v>
      </c>
      <c r="F227" s="2530">
        <v>0</v>
      </c>
      <c r="G227" s="2530">
        <v>0</v>
      </c>
      <c r="H227" s="2530">
        <v>0</v>
      </c>
      <c r="I227" s="2530">
        <v>0</v>
      </c>
      <c r="J227" s="2530">
        <v>0</v>
      </c>
      <c r="K227" s="2530">
        <v>0</v>
      </c>
      <c r="L227" s="2530">
        <v>0</v>
      </c>
      <c r="M227" s="2530">
        <v>0</v>
      </c>
      <c r="N227" s="2530">
        <v>0</v>
      </c>
      <c r="O227" s="2530">
        <v>0</v>
      </c>
      <c r="P227" s="2530">
        <v>0</v>
      </c>
      <c r="Q227" s="2161">
        <f t="shared" si="91"/>
        <v>0</v>
      </c>
      <c r="R227" s="1891">
        <f t="shared" si="92"/>
        <v>0</v>
      </c>
      <c r="S227" s="1891">
        <v>0</v>
      </c>
    </row>
    <row r="228" spans="1:19" s="2070" customFormat="1">
      <c r="A228" s="1854"/>
      <c r="B228" s="2727" t="s">
        <v>50</v>
      </c>
      <c r="C228" s="206" t="s">
        <v>75</v>
      </c>
      <c r="D228" s="1964">
        <f>TARGET!D223</f>
        <v>0</v>
      </c>
      <c r="E228" s="2558">
        <v>0</v>
      </c>
      <c r="F228" s="2558">
        <v>0</v>
      </c>
      <c r="G228" s="2558">
        <v>0</v>
      </c>
      <c r="H228" s="2558">
        <v>0</v>
      </c>
      <c r="I228" s="2558">
        <v>0</v>
      </c>
      <c r="J228" s="2558">
        <v>0</v>
      </c>
      <c r="K228" s="2558">
        <v>0</v>
      </c>
      <c r="L228" s="2558">
        <v>0</v>
      </c>
      <c r="M228" s="2558">
        <v>0</v>
      </c>
      <c r="N228" s="2558">
        <v>0</v>
      </c>
      <c r="O228" s="2558">
        <v>0</v>
      </c>
      <c r="P228" s="2558">
        <v>0</v>
      </c>
      <c r="Q228" s="2161">
        <f t="shared" si="91"/>
        <v>0</v>
      </c>
      <c r="R228" s="1891">
        <f t="shared" si="92"/>
        <v>0</v>
      </c>
      <c r="S228" s="1891">
        <v>0</v>
      </c>
    </row>
    <row r="229" spans="1:19" s="2070" customFormat="1">
      <c r="A229" s="1854"/>
      <c r="B229" s="2727" t="s">
        <v>50</v>
      </c>
      <c r="C229" s="206" t="s">
        <v>85</v>
      </c>
      <c r="D229" s="1964">
        <f>TARGET!D224</f>
        <v>0</v>
      </c>
      <c r="E229" s="2531">
        <v>0</v>
      </c>
      <c r="F229" s="2531">
        <v>0</v>
      </c>
      <c r="G229" s="2531">
        <v>0</v>
      </c>
      <c r="H229" s="2531">
        <v>0</v>
      </c>
      <c r="I229" s="2531">
        <v>0</v>
      </c>
      <c r="J229" s="2531">
        <v>0</v>
      </c>
      <c r="K229" s="2531">
        <v>0</v>
      </c>
      <c r="L229" s="2531">
        <v>0</v>
      </c>
      <c r="M229" s="2531">
        <v>0</v>
      </c>
      <c r="N229" s="2531">
        <v>0</v>
      </c>
      <c r="O229" s="2531">
        <v>0</v>
      </c>
      <c r="P229" s="2531">
        <v>0</v>
      </c>
      <c r="Q229" s="2161">
        <f t="shared" si="91"/>
        <v>0</v>
      </c>
      <c r="R229" s="1891">
        <f t="shared" si="92"/>
        <v>0</v>
      </c>
      <c r="S229" s="1891">
        <v>0</v>
      </c>
    </row>
    <row r="230" spans="1:19" s="2070" customFormat="1" ht="5.35" customHeight="1">
      <c r="A230" s="1854"/>
      <c r="D230" s="1891"/>
      <c r="E230" s="1891"/>
      <c r="F230" s="1891"/>
      <c r="G230" s="1891"/>
      <c r="H230" s="1891"/>
      <c r="I230" s="1891"/>
      <c r="J230" s="1891"/>
      <c r="K230" s="1891"/>
      <c r="L230" s="1891"/>
      <c r="M230" s="1891"/>
      <c r="N230" s="1891"/>
      <c r="O230" s="1891"/>
      <c r="P230" s="1891"/>
      <c r="Q230" s="2161"/>
      <c r="R230" s="1891">
        <f t="shared" si="92"/>
        <v>0</v>
      </c>
      <c r="S230" s="1891">
        <f t="shared" si="92"/>
        <v>0</v>
      </c>
    </row>
    <row r="231" spans="1:19" s="2070" customFormat="1">
      <c r="A231" s="1854"/>
      <c r="B231" s="1318" t="s">
        <v>130</v>
      </c>
      <c r="C231" s="202"/>
      <c r="D231" s="1891">
        <f t="shared" ref="D231:P231" si="97">SUM(D232:D235)</f>
        <v>0</v>
      </c>
      <c r="E231" s="1891">
        <f t="shared" si="97"/>
        <v>0</v>
      </c>
      <c r="F231" s="1891">
        <f t="shared" si="97"/>
        <v>0</v>
      </c>
      <c r="G231" s="1891">
        <f t="shared" si="97"/>
        <v>0</v>
      </c>
      <c r="H231" s="1891">
        <f t="shared" si="97"/>
        <v>0</v>
      </c>
      <c r="I231" s="1891">
        <f t="shared" si="97"/>
        <v>0</v>
      </c>
      <c r="J231" s="1891">
        <f t="shared" si="97"/>
        <v>0</v>
      </c>
      <c r="K231" s="1891">
        <f t="shared" si="97"/>
        <v>0</v>
      </c>
      <c r="L231" s="1891">
        <f t="shared" si="97"/>
        <v>0</v>
      </c>
      <c r="M231" s="1891">
        <f t="shared" si="97"/>
        <v>0</v>
      </c>
      <c r="N231" s="1891">
        <f t="shared" si="97"/>
        <v>0</v>
      </c>
      <c r="O231" s="1891">
        <f t="shared" si="97"/>
        <v>0</v>
      </c>
      <c r="P231" s="1891">
        <f t="shared" si="97"/>
        <v>0</v>
      </c>
      <c r="Q231" s="2161">
        <f t="shared" si="91"/>
        <v>0</v>
      </c>
      <c r="R231" s="1891">
        <f t="shared" si="92"/>
        <v>0</v>
      </c>
      <c r="S231" s="1891" t="e">
        <f>Q231/D231*100</f>
        <v>#DIV/0!</v>
      </c>
    </row>
    <row r="232" spans="1:19" s="2070" customFormat="1">
      <c r="A232" s="1854"/>
      <c r="B232" s="2727" t="s">
        <v>50</v>
      </c>
      <c r="C232" s="200" t="s">
        <v>137</v>
      </c>
      <c r="D232" s="1964">
        <f>TARGET!D227</f>
        <v>0</v>
      </c>
      <c r="E232" s="2558">
        <v>0</v>
      </c>
      <c r="F232" s="2558">
        <v>0</v>
      </c>
      <c r="G232" s="2558">
        <v>0</v>
      </c>
      <c r="H232" s="2558">
        <v>0</v>
      </c>
      <c r="I232" s="2558">
        <v>0</v>
      </c>
      <c r="J232" s="2558">
        <v>0</v>
      </c>
      <c r="K232" s="2558">
        <v>0</v>
      </c>
      <c r="L232" s="2558">
        <v>0</v>
      </c>
      <c r="M232" s="2558">
        <v>0</v>
      </c>
      <c r="N232" s="2558">
        <v>0</v>
      </c>
      <c r="O232" s="2558">
        <v>0</v>
      </c>
      <c r="P232" s="2558">
        <v>0</v>
      </c>
      <c r="Q232" s="2161">
        <f t="shared" si="91"/>
        <v>0</v>
      </c>
      <c r="R232" s="1891">
        <f t="shared" si="92"/>
        <v>0</v>
      </c>
      <c r="S232" s="1891" t="e">
        <f>Q232/D232*100</f>
        <v>#DIV/0!</v>
      </c>
    </row>
    <row r="233" spans="1:19" s="2070" customFormat="1">
      <c r="A233" s="1854"/>
      <c r="B233" s="2727" t="s">
        <v>50</v>
      </c>
      <c r="C233" s="200" t="s">
        <v>138</v>
      </c>
      <c r="D233" s="1964">
        <f>TARGET!D228</f>
        <v>0</v>
      </c>
      <c r="E233" s="2530">
        <v>0</v>
      </c>
      <c r="F233" s="2530">
        <v>0</v>
      </c>
      <c r="G233" s="2530">
        <v>0</v>
      </c>
      <c r="H233" s="2530">
        <v>0</v>
      </c>
      <c r="I233" s="2530">
        <v>0</v>
      </c>
      <c r="J233" s="2530">
        <v>0</v>
      </c>
      <c r="K233" s="2530">
        <v>0</v>
      </c>
      <c r="L233" s="2530">
        <v>0</v>
      </c>
      <c r="M233" s="2530">
        <v>0</v>
      </c>
      <c r="N233" s="2530">
        <v>0</v>
      </c>
      <c r="O233" s="2530">
        <v>0</v>
      </c>
      <c r="P233" s="2530">
        <v>0</v>
      </c>
      <c r="Q233" s="2161">
        <f t="shared" si="91"/>
        <v>0</v>
      </c>
      <c r="R233" s="1891">
        <f t="shared" si="92"/>
        <v>0</v>
      </c>
      <c r="S233" s="1891" t="e">
        <f>Q233/D233*100</f>
        <v>#DIV/0!</v>
      </c>
    </row>
    <row r="234" spans="1:19" s="2070" customFormat="1">
      <c r="A234" s="1854"/>
      <c r="B234" s="2727" t="s">
        <v>50</v>
      </c>
      <c r="C234" s="200" t="s">
        <v>139</v>
      </c>
      <c r="D234" s="1964">
        <f>TARGET!D229</f>
        <v>0</v>
      </c>
      <c r="E234" s="2530">
        <v>0</v>
      </c>
      <c r="F234" s="2530">
        <v>0</v>
      </c>
      <c r="G234" s="2530">
        <v>0</v>
      </c>
      <c r="H234" s="2530">
        <v>0</v>
      </c>
      <c r="I234" s="2530">
        <v>0</v>
      </c>
      <c r="J234" s="2530">
        <v>0</v>
      </c>
      <c r="K234" s="2530">
        <v>0</v>
      </c>
      <c r="L234" s="2530">
        <v>0</v>
      </c>
      <c r="M234" s="2530">
        <v>0</v>
      </c>
      <c r="N234" s="2530">
        <v>0</v>
      </c>
      <c r="O234" s="2530">
        <v>0</v>
      </c>
      <c r="P234" s="2530">
        <v>0</v>
      </c>
      <c r="Q234" s="2161">
        <f t="shared" si="91"/>
        <v>0</v>
      </c>
      <c r="R234" s="1891">
        <f t="shared" si="92"/>
        <v>0</v>
      </c>
      <c r="S234" s="1891" t="e">
        <f>Q234/D234*100</f>
        <v>#DIV/0!</v>
      </c>
    </row>
    <row r="235" spans="1:19" s="2070" customFormat="1">
      <c r="A235" s="1854"/>
      <c r="B235" s="2727" t="s">
        <v>50</v>
      </c>
      <c r="C235" s="200" t="s">
        <v>140</v>
      </c>
      <c r="D235" s="1964">
        <f>TARGET!D230</f>
        <v>0</v>
      </c>
      <c r="E235" s="2530">
        <v>0</v>
      </c>
      <c r="F235" s="2530">
        <v>0</v>
      </c>
      <c r="G235" s="2530">
        <v>0</v>
      </c>
      <c r="H235" s="2530">
        <v>0</v>
      </c>
      <c r="I235" s="2530">
        <v>0</v>
      </c>
      <c r="J235" s="2530">
        <v>0</v>
      </c>
      <c r="K235" s="2530">
        <v>0</v>
      </c>
      <c r="L235" s="2530">
        <v>0</v>
      </c>
      <c r="M235" s="2530">
        <v>0</v>
      </c>
      <c r="N235" s="2530">
        <v>0</v>
      </c>
      <c r="O235" s="2530">
        <v>0</v>
      </c>
      <c r="P235" s="2530">
        <v>0</v>
      </c>
      <c r="Q235" s="2161">
        <f t="shared" si="91"/>
        <v>0</v>
      </c>
      <c r="R235" s="1891">
        <f t="shared" si="92"/>
        <v>0</v>
      </c>
      <c r="S235" s="1891" t="e">
        <f>Q235/D235*100</f>
        <v>#DIV/0!</v>
      </c>
    </row>
    <row r="236" spans="1:19" s="2070" customFormat="1" ht="6.75" customHeight="1">
      <c r="A236" s="1465"/>
      <c r="B236" s="2117"/>
      <c r="C236" s="2117"/>
      <c r="D236" s="2182"/>
      <c r="E236" s="2182"/>
      <c r="F236" s="2182"/>
      <c r="G236" s="2182"/>
      <c r="H236" s="2182"/>
      <c r="I236" s="2182"/>
      <c r="J236" s="2182"/>
      <c r="K236" s="2182"/>
      <c r="L236" s="2182"/>
      <c r="M236" s="2182"/>
      <c r="N236" s="2182"/>
      <c r="O236" s="2182"/>
      <c r="P236" s="2182"/>
      <c r="Q236" s="1469"/>
      <c r="R236" s="1469"/>
      <c r="S236" s="1469"/>
    </row>
    <row r="237" spans="1:19" s="2073" customFormat="1" ht="15.65">
      <c r="A237" s="2528" t="s">
        <v>141</v>
      </c>
      <c r="B237" s="2093" t="s">
        <v>142</v>
      </c>
      <c r="C237" s="2195"/>
      <c r="D237" s="2147">
        <f t="shared" ref="D237:P237" si="98">D238+D246+D252</f>
        <v>501125000</v>
      </c>
      <c r="E237" s="2147">
        <f t="shared" si="98"/>
        <v>0</v>
      </c>
      <c r="F237" s="2147">
        <f t="shared" si="98"/>
        <v>0</v>
      </c>
      <c r="G237" s="2147">
        <f t="shared" si="98"/>
        <v>0</v>
      </c>
      <c r="H237" s="2147">
        <f t="shared" si="98"/>
        <v>0</v>
      </c>
      <c r="I237" s="2147">
        <f t="shared" si="98"/>
        <v>0</v>
      </c>
      <c r="J237" s="2147">
        <f t="shared" si="98"/>
        <v>0</v>
      </c>
      <c r="K237" s="2147">
        <f t="shared" si="98"/>
        <v>0</v>
      </c>
      <c r="L237" s="2147">
        <f t="shared" si="98"/>
        <v>0</v>
      </c>
      <c r="M237" s="2147">
        <f t="shared" si="98"/>
        <v>0</v>
      </c>
      <c r="N237" s="2147">
        <f t="shared" si="98"/>
        <v>0</v>
      </c>
      <c r="O237" s="2147">
        <f t="shared" si="98"/>
        <v>0</v>
      </c>
      <c r="P237" s="2147">
        <f t="shared" si="98"/>
        <v>0</v>
      </c>
      <c r="Q237" s="2147">
        <f>SUM(E237:P237)</f>
        <v>0</v>
      </c>
      <c r="R237" s="2147">
        <f>Q237-D237</f>
        <v>-501125000</v>
      </c>
      <c r="S237" s="2147">
        <f>Q237/D237*100</f>
        <v>0</v>
      </c>
    </row>
    <row r="238" spans="1:19" s="2070" customFormat="1">
      <c r="A238" s="2562"/>
      <c r="B238" s="2248" t="s">
        <v>106</v>
      </c>
      <c r="C238" s="2206"/>
      <c r="D238" s="2223">
        <f t="shared" ref="D238:P238" si="99">D239</f>
        <v>501125000</v>
      </c>
      <c r="E238" s="2223">
        <f t="shared" si="99"/>
        <v>0</v>
      </c>
      <c r="F238" s="2223">
        <f t="shared" si="99"/>
        <v>0</v>
      </c>
      <c r="G238" s="2223">
        <f t="shared" si="99"/>
        <v>0</v>
      </c>
      <c r="H238" s="2223">
        <f t="shared" si="99"/>
        <v>0</v>
      </c>
      <c r="I238" s="2223">
        <f t="shared" si="99"/>
        <v>0</v>
      </c>
      <c r="J238" s="2223">
        <f t="shared" si="99"/>
        <v>0</v>
      </c>
      <c r="K238" s="2223">
        <f t="shared" si="99"/>
        <v>0</v>
      </c>
      <c r="L238" s="2223">
        <f t="shared" si="99"/>
        <v>0</v>
      </c>
      <c r="M238" s="2223">
        <f t="shared" si="99"/>
        <v>0</v>
      </c>
      <c r="N238" s="2223">
        <f t="shared" si="99"/>
        <v>0</v>
      </c>
      <c r="O238" s="2223">
        <f t="shared" si="99"/>
        <v>0</v>
      </c>
      <c r="P238" s="2223">
        <f t="shared" si="99"/>
        <v>0</v>
      </c>
      <c r="Q238" s="2161">
        <f t="shared" ref="Q238:Q255" si="100">SUM(E238:P238)</f>
        <v>0</v>
      </c>
      <c r="R238" s="1891">
        <f t="shared" ref="R238:S255" si="101">Q238-D238</f>
        <v>-501125000</v>
      </c>
      <c r="S238" s="1891">
        <f>Q238/D238*100</f>
        <v>0</v>
      </c>
    </row>
    <row r="239" spans="1:19" s="2070" customFormat="1">
      <c r="A239" s="2563"/>
      <c r="B239" s="224" t="s">
        <v>109</v>
      </c>
      <c r="C239" s="1903"/>
      <c r="D239" s="2181">
        <f t="shared" ref="D239:P239" si="102">D240+D243</f>
        <v>501125000</v>
      </c>
      <c r="E239" s="2181">
        <f t="shared" si="102"/>
        <v>0</v>
      </c>
      <c r="F239" s="2181">
        <f t="shared" si="102"/>
        <v>0</v>
      </c>
      <c r="G239" s="2181">
        <f t="shared" si="102"/>
        <v>0</v>
      </c>
      <c r="H239" s="2181">
        <f t="shared" si="102"/>
        <v>0</v>
      </c>
      <c r="I239" s="2181">
        <f t="shared" si="102"/>
        <v>0</v>
      </c>
      <c r="J239" s="2181">
        <f t="shared" si="102"/>
        <v>0</v>
      </c>
      <c r="K239" s="2181">
        <f t="shared" si="102"/>
        <v>0</v>
      </c>
      <c r="L239" s="2181">
        <f t="shared" si="102"/>
        <v>0</v>
      </c>
      <c r="M239" s="2181">
        <f t="shared" si="102"/>
        <v>0</v>
      </c>
      <c r="N239" s="2181">
        <f t="shared" si="102"/>
        <v>0</v>
      </c>
      <c r="O239" s="2181">
        <f t="shared" si="102"/>
        <v>0</v>
      </c>
      <c r="P239" s="2181">
        <f t="shared" si="102"/>
        <v>0</v>
      </c>
      <c r="Q239" s="2161">
        <f t="shared" si="100"/>
        <v>0</v>
      </c>
      <c r="R239" s="1891">
        <f t="shared" si="101"/>
        <v>-501125000</v>
      </c>
      <c r="S239" s="1891">
        <f>Q239/D239*100</f>
        <v>0</v>
      </c>
    </row>
    <row r="240" spans="1:19" s="2074" customFormat="1">
      <c r="A240" s="2563"/>
      <c r="B240" s="212" t="s">
        <v>64</v>
      </c>
      <c r="C240" s="2208"/>
      <c r="D240" s="2189">
        <f t="shared" ref="D240:P240" si="103">D241</f>
        <v>152500000</v>
      </c>
      <c r="E240" s="2189">
        <f t="shared" si="103"/>
        <v>0</v>
      </c>
      <c r="F240" s="2189">
        <f t="shared" si="103"/>
        <v>0</v>
      </c>
      <c r="G240" s="2189">
        <f t="shared" si="103"/>
        <v>0</v>
      </c>
      <c r="H240" s="2189">
        <f t="shared" si="103"/>
        <v>0</v>
      </c>
      <c r="I240" s="2189">
        <f t="shared" si="103"/>
        <v>0</v>
      </c>
      <c r="J240" s="2189">
        <f t="shared" si="103"/>
        <v>0</v>
      </c>
      <c r="K240" s="2189">
        <f t="shared" si="103"/>
        <v>0</v>
      </c>
      <c r="L240" s="2189">
        <f t="shared" si="103"/>
        <v>0</v>
      </c>
      <c r="M240" s="2189">
        <f t="shared" si="103"/>
        <v>0</v>
      </c>
      <c r="N240" s="2189">
        <f t="shared" si="103"/>
        <v>0</v>
      </c>
      <c r="O240" s="2189">
        <f t="shared" si="103"/>
        <v>0</v>
      </c>
      <c r="P240" s="2189">
        <f t="shared" si="103"/>
        <v>0</v>
      </c>
      <c r="Q240" s="2161">
        <f t="shared" si="100"/>
        <v>0</v>
      </c>
      <c r="R240" s="1891">
        <f t="shared" si="101"/>
        <v>-152500000</v>
      </c>
      <c r="S240" s="1891">
        <f>Q240/D240*100</f>
        <v>0</v>
      </c>
    </row>
    <row r="241" spans="1:19" s="2070" customFormat="1">
      <c r="A241" s="2584"/>
      <c r="B241" s="2727" t="s">
        <v>50</v>
      </c>
      <c r="C241" s="2289" t="s">
        <v>143</v>
      </c>
      <c r="D241" s="1964">
        <f>TARGET!D236</f>
        <v>152500000</v>
      </c>
      <c r="E241" s="2556">
        <v>0</v>
      </c>
      <c r="F241" s="2556">
        <v>0</v>
      </c>
      <c r="G241" s="2556">
        <v>0</v>
      </c>
      <c r="H241" s="2556">
        <v>0</v>
      </c>
      <c r="I241" s="2556">
        <v>0</v>
      </c>
      <c r="J241" s="2556">
        <v>0</v>
      </c>
      <c r="K241" s="2556">
        <v>0</v>
      </c>
      <c r="L241" s="2556">
        <v>0</v>
      </c>
      <c r="M241" s="2556">
        <v>0</v>
      </c>
      <c r="N241" s="2556">
        <v>0</v>
      </c>
      <c r="O241" s="2556">
        <v>0</v>
      </c>
      <c r="P241" s="2556">
        <v>0</v>
      </c>
      <c r="Q241" s="2161">
        <f t="shared" si="100"/>
        <v>0</v>
      </c>
      <c r="R241" s="1891">
        <f t="shared" si="101"/>
        <v>-152500000</v>
      </c>
      <c r="S241" s="1891">
        <f>Q241/D241*100</f>
        <v>0</v>
      </c>
    </row>
    <row r="242" spans="1:19" s="2070" customFormat="1" ht="6.75" customHeight="1">
      <c r="A242" s="2584"/>
      <c r="B242" s="257"/>
      <c r="C242" s="2290"/>
      <c r="D242" s="2291"/>
      <c r="E242" s="2291"/>
      <c r="F242" s="2291"/>
      <c r="G242" s="2291"/>
      <c r="H242" s="2291"/>
      <c r="I242" s="2291"/>
      <c r="J242" s="2291"/>
      <c r="K242" s="2291"/>
      <c r="L242" s="2291"/>
      <c r="M242" s="2291"/>
      <c r="N242" s="2291"/>
      <c r="O242" s="2291"/>
      <c r="P242" s="2291"/>
      <c r="Q242" s="2161">
        <f t="shared" si="100"/>
        <v>0</v>
      </c>
      <c r="R242" s="1891">
        <f t="shared" si="101"/>
        <v>0</v>
      </c>
      <c r="S242" s="1891">
        <f t="shared" si="101"/>
        <v>0</v>
      </c>
    </row>
    <row r="243" spans="1:19" s="2074" customFormat="1">
      <c r="A243" s="2584"/>
      <c r="B243" s="202" t="s">
        <v>68</v>
      </c>
      <c r="C243" s="2290"/>
      <c r="D243" s="2291">
        <f t="shared" ref="D243:P243" si="104">D244</f>
        <v>348625000</v>
      </c>
      <c r="E243" s="2291">
        <f t="shared" si="104"/>
        <v>0</v>
      </c>
      <c r="F243" s="2291">
        <f t="shared" si="104"/>
        <v>0</v>
      </c>
      <c r="G243" s="2291">
        <f t="shared" si="104"/>
        <v>0</v>
      </c>
      <c r="H243" s="2291">
        <f t="shared" si="104"/>
        <v>0</v>
      </c>
      <c r="I243" s="2291">
        <f t="shared" si="104"/>
        <v>0</v>
      </c>
      <c r="J243" s="2291">
        <f t="shared" si="104"/>
        <v>0</v>
      </c>
      <c r="K243" s="2291">
        <f t="shared" si="104"/>
        <v>0</v>
      </c>
      <c r="L243" s="2291">
        <f t="shared" si="104"/>
        <v>0</v>
      </c>
      <c r="M243" s="2291">
        <f t="shared" si="104"/>
        <v>0</v>
      </c>
      <c r="N243" s="2291">
        <f t="shared" si="104"/>
        <v>0</v>
      </c>
      <c r="O243" s="2291">
        <f t="shared" si="104"/>
        <v>0</v>
      </c>
      <c r="P243" s="2291">
        <f t="shared" si="104"/>
        <v>0</v>
      </c>
      <c r="Q243" s="2161">
        <f t="shared" si="100"/>
        <v>0</v>
      </c>
      <c r="R243" s="1891">
        <f t="shared" si="101"/>
        <v>-348625000</v>
      </c>
      <c r="S243" s="1891">
        <f>Q243/D243*100</f>
        <v>0</v>
      </c>
    </row>
    <row r="244" spans="1:19" s="2070" customFormat="1">
      <c r="A244" s="2584"/>
      <c r="B244" s="2732" t="s">
        <v>50</v>
      </c>
      <c r="C244" s="2289" t="s">
        <v>144</v>
      </c>
      <c r="D244" s="1964">
        <f>TARGET!D239</f>
        <v>348625000</v>
      </c>
      <c r="E244" s="2556">
        <v>0</v>
      </c>
      <c r="F244" s="2556">
        <v>0</v>
      </c>
      <c r="G244" s="2556">
        <v>0</v>
      </c>
      <c r="H244" s="2556">
        <v>0</v>
      </c>
      <c r="I244" s="2556">
        <v>0</v>
      </c>
      <c r="J244" s="2556">
        <v>0</v>
      </c>
      <c r="K244" s="2556">
        <v>0</v>
      </c>
      <c r="L244" s="2556">
        <v>0</v>
      </c>
      <c r="M244" s="2556">
        <v>0</v>
      </c>
      <c r="N244" s="2556">
        <v>0</v>
      </c>
      <c r="O244" s="2556">
        <v>0</v>
      </c>
      <c r="P244" s="2556">
        <v>0</v>
      </c>
      <c r="Q244" s="2161">
        <f t="shared" si="100"/>
        <v>0</v>
      </c>
      <c r="R244" s="1891">
        <f t="shared" si="101"/>
        <v>-348625000</v>
      </c>
      <c r="S244" s="1891">
        <f>Q244/D244*100</f>
        <v>0</v>
      </c>
    </row>
    <row r="245" spans="1:19" s="2070" customFormat="1" ht="5.95" customHeight="1">
      <c r="A245" s="2584"/>
      <c r="B245" s="257"/>
      <c r="C245" s="2290"/>
      <c r="D245" s="2291"/>
      <c r="E245" s="2291"/>
      <c r="F245" s="2291"/>
      <c r="G245" s="2291"/>
      <c r="H245" s="2291"/>
      <c r="I245" s="2291"/>
      <c r="J245" s="2291"/>
      <c r="K245" s="2291"/>
      <c r="L245" s="2291"/>
      <c r="M245" s="2291"/>
      <c r="N245" s="2291"/>
      <c r="O245" s="2291"/>
      <c r="P245" s="2291"/>
      <c r="Q245" s="2161">
        <f t="shared" si="100"/>
        <v>0</v>
      </c>
      <c r="R245" s="1891">
        <f t="shared" si="101"/>
        <v>0</v>
      </c>
      <c r="S245" s="1891">
        <f t="shared" si="101"/>
        <v>0</v>
      </c>
    </row>
    <row r="246" spans="1:19" s="2070" customFormat="1">
      <c r="A246" s="2585"/>
      <c r="B246" s="2124" t="s">
        <v>71</v>
      </c>
      <c r="C246" s="2124"/>
      <c r="D246" s="2292">
        <f>SUM(D247:D251)</f>
        <v>0</v>
      </c>
      <c r="E246" s="2292">
        <f t="shared" ref="E246:P246" si="105">SUM(E247:E250)</f>
        <v>0</v>
      </c>
      <c r="F246" s="2292">
        <f t="shared" si="105"/>
        <v>0</v>
      </c>
      <c r="G246" s="2292">
        <f t="shared" si="105"/>
        <v>0</v>
      </c>
      <c r="H246" s="2292">
        <f t="shared" si="105"/>
        <v>0</v>
      </c>
      <c r="I246" s="2292">
        <f t="shared" si="105"/>
        <v>0</v>
      </c>
      <c r="J246" s="2292">
        <f t="shared" si="105"/>
        <v>0</v>
      </c>
      <c r="K246" s="2292">
        <f t="shared" si="105"/>
        <v>0</v>
      </c>
      <c r="L246" s="2292">
        <f t="shared" si="105"/>
        <v>0</v>
      </c>
      <c r="M246" s="2292">
        <f t="shared" si="105"/>
        <v>0</v>
      </c>
      <c r="N246" s="2292">
        <f t="shared" si="105"/>
        <v>0</v>
      </c>
      <c r="O246" s="2292">
        <f t="shared" si="105"/>
        <v>0</v>
      </c>
      <c r="P246" s="2292">
        <f t="shared" si="105"/>
        <v>0</v>
      </c>
      <c r="Q246" s="2161">
        <f t="shared" si="100"/>
        <v>0</v>
      </c>
      <c r="R246" s="1891">
        <f t="shared" si="101"/>
        <v>0</v>
      </c>
      <c r="S246" s="1891">
        <v>0</v>
      </c>
    </row>
    <row r="247" spans="1:19" s="2070" customFormat="1">
      <c r="A247" s="2539"/>
      <c r="B247" s="2727" t="s">
        <v>50</v>
      </c>
      <c r="C247" s="200" t="s">
        <v>72</v>
      </c>
      <c r="D247" s="1964">
        <f>TARGET!D242</f>
        <v>0</v>
      </c>
      <c r="E247" s="2583">
        <v>0</v>
      </c>
      <c r="F247" s="2583">
        <v>0</v>
      </c>
      <c r="G247" s="2583">
        <v>0</v>
      </c>
      <c r="H247" s="2583">
        <v>0</v>
      </c>
      <c r="I247" s="2583">
        <v>0</v>
      </c>
      <c r="J247" s="2583">
        <v>0</v>
      </c>
      <c r="K247" s="2583">
        <v>0</v>
      </c>
      <c r="L247" s="2583">
        <v>0</v>
      </c>
      <c r="M247" s="2583">
        <v>0</v>
      </c>
      <c r="N247" s="2583">
        <v>0</v>
      </c>
      <c r="O247" s="2583">
        <v>0</v>
      </c>
      <c r="P247" s="2583">
        <v>0</v>
      </c>
      <c r="Q247" s="2161">
        <f t="shared" si="100"/>
        <v>0</v>
      </c>
      <c r="R247" s="1891">
        <f t="shared" si="101"/>
        <v>0</v>
      </c>
      <c r="S247" s="1891">
        <v>0</v>
      </c>
    </row>
    <row r="248" spans="1:19" s="2070" customFormat="1">
      <c r="A248" s="2539"/>
      <c r="B248" s="2727" t="s">
        <v>50</v>
      </c>
      <c r="C248" s="200" t="s">
        <v>73</v>
      </c>
      <c r="D248" s="1964">
        <f>TARGET!D243</f>
        <v>0</v>
      </c>
      <c r="E248" s="2583">
        <v>0</v>
      </c>
      <c r="F248" s="2583">
        <v>0</v>
      </c>
      <c r="G248" s="2583">
        <v>0</v>
      </c>
      <c r="H248" s="2583">
        <v>0</v>
      </c>
      <c r="I248" s="2583">
        <v>0</v>
      </c>
      <c r="J248" s="2583">
        <v>0</v>
      </c>
      <c r="K248" s="2583">
        <v>0</v>
      </c>
      <c r="L248" s="2583">
        <v>0</v>
      </c>
      <c r="M248" s="2583">
        <v>0</v>
      </c>
      <c r="N248" s="2583">
        <v>0</v>
      </c>
      <c r="O248" s="2583">
        <v>0</v>
      </c>
      <c r="P248" s="2583">
        <v>0</v>
      </c>
      <c r="Q248" s="2161">
        <f t="shared" si="100"/>
        <v>0</v>
      </c>
      <c r="R248" s="1891">
        <f t="shared" si="101"/>
        <v>0</v>
      </c>
      <c r="S248" s="1891">
        <v>0</v>
      </c>
    </row>
    <row r="249" spans="1:19" s="2070" customFormat="1">
      <c r="A249" s="2539"/>
      <c r="B249" s="2727" t="s">
        <v>50</v>
      </c>
      <c r="C249" s="200" t="s">
        <v>74</v>
      </c>
      <c r="D249" s="1964">
        <f>TARGET!D244</f>
        <v>0</v>
      </c>
      <c r="E249" s="2583">
        <v>0</v>
      </c>
      <c r="F249" s="2583">
        <v>0</v>
      </c>
      <c r="G249" s="2583">
        <v>0</v>
      </c>
      <c r="H249" s="2583">
        <v>0</v>
      </c>
      <c r="I249" s="2583">
        <v>0</v>
      </c>
      <c r="J249" s="2583">
        <v>0</v>
      </c>
      <c r="K249" s="2583">
        <v>0</v>
      </c>
      <c r="L249" s="2583">
        <v>0</v>
      </c>
      <c r="M249" s="2583">
        <v>0</v>
      </c>
      <c r="N249" s="2583">
        <v>0</v>
      </c>
      <c r="O249" s="2583">
        <v>0</v>
      </c>
      <c r="P249" s="2583">
        <v>0</v>
      </c>
      <c r="Q249" s="2161">
        <f t="shared" si="100"/>
        <v>0</v>
      </c>
      <c r="R249" s="1891">
        <f t="shared" si="101"/>
        <v>0</v>
      </c>
      <c r="S249" s="1891">
        <v>0</v>
      </c>
    </row>
    <row r="250" spans="1:19" s="2070" customFormat="1">
      <c r="A250" s="2538"/>
      <c r="B250" s="2730" t="s">
        <v>50</v>
      </c>
      <c r="C250" s="206" t="s">
        <v>75</v>
      </c>
      <c r="D250" s="1964">
        <f>TARGET!D245</f>
        <v>0</v>
      </c>
      <c r="E250" s="2160">
        <v>0</v>
      </c>
      <c r="F250" s="2160">
        <v>0</v>
      </c>
      <c r="G250" s="2160">
        <v>0</v>
      </c>
      <c r="H250" s="2160">
        <v>0</v>
      </c>
      <c r="I250" s="2160">
        <v>0</v>
      </c>
      <c r="J250" s="2160">
        <v>0</v>
      </c>
      <c r="K250" s="2160">
        <v>0</v>
      </c>
      <c r="L250" s="2160">
        <v>0</v>
      </c>
      <c r="M250" s="2160">
        <v>0</v>
      </c>
      <c r="N250" s="2160">
        <v>0</v>
      </c>
      <c r="O250" s="2160">
        <v>0</v>
      </c>
      <c r="P250" s="2160">
        <v>0</v>
      </c>
      <c r="Q250" s="2161">
        <f t="shared" si="100"/>
        <v>0</v>
      </c>
      <c r="R250" s="1891">
        <f t="shared" si="101"/>
        <v>0</v>
      </c>
      <c r="S250" s="1891">
        <v>0</v>
      </c>
    </row>
    <row r="251" spans="1:19" s="2070" customFormat="1" ht="12.05" customHeight="1">
      <c r="A251" s="2538"/>
      <c r="B251" s="2730" t="s">
        <v>50</v>
      </c>
      <c r="C251" s="206" t="s">
        <v>85</v>
      </c>
      <c r="D251" s="1964">
        <f>TARGET!D246</f>
        <v>0</v>
      </c>
      <c r="E251" s="1964"/>
      <c r="F251" s="1964"/>
      <c r="G251" s="1964"/>
      <c r="H251" s="1964"/>
      <c r="I251" s="1964"/>
      <c r="J251" s="1964"/>
      <c r="K251" s="1964"/>
      <c r="L251" s="1964"/>
      <c r="M251" s="1964"/>
      <c r="N251" s="1964"/>
      <c r="O251" s="1964"/>
      <c r="P251" s="1964"/>
      <c r="Q251" s="2161">
        <f t="shared" si="100"/>
        <v>0</v>
      </c>
      <c r="R251" s="1891">
        <f t="shared" si="101"/>
        <v>0</v>
      </c>
      <c r="S251" s="1891">
        <f t="shared" si="101"/>
        <v>0</v>
      </c>
    </row>
    <row r="252" spans="1:19" s="2070" customFormat="1">
      <c r="A252" s="2538"/>
      <c r="B252" s="1318" t="s">
        <v>130</v>
      </c>
      <c r="C252" s="206"/>
      <c r="D252" s="2181">
        <f t="shared" ref="D252:P252" si="106">SUM(D253:D255)</f>
        <v>0</v>
      </c>
      <c r="E252" s="2181">
        <f t="shared" si="106"/>
        <v>0</v>
      </c>
      <c r="F252" s="2181">
        <f t="shared" si="106"/>
        <v>0</v>
      </c>
      <c r="G252" s="2181">
        <f t="shared" si="106"/>
        <v>0</v>
      </c>
      <c r="H252" s="2181">
        <f t="shared" si="106"/>
        <v>0</v>
      </c>
      <c r="I252" s="2181">
        <f t="shared" si="106"/>
        <v>0</v>
      </c>
      <c r="J252" s="2181">
        <f t="shared" si="106"/>
        <v>0</v>
      </c>
      <c r="K252" s="2181">
        <f t="shared" si="106"/>
        <v>0</v>
      </c>
      <c r="L252" s="2181">
        <f t="shared" si="106"/>
        <v>0</v>
      </c>
      <c r="M252" s="2181">
        <f t="shared" si="106"/>
        <v>0</v>
      </c>
      <c r="N252" s="2181">
        <f t="shared" si="106"/>
        <v>0</v>
      </c>
      <c r="O252" s="2181">
        <f t="shared" si="106"/>
        <v>0</v>
      </c>
      <c r="P252" s="2181">
        <f t="shared" si="106"/>
        <v>0</v>
      </c>
      <c r="Q252" s="2161">
        <f t="shared" si="100"/>
        <v>0</v>
      </c>
      <c r="R252" s="1891">
        <f t="shared" si="101"/>
        <v>0</v>
      </c>
      <c r="S252" s="1891" t="e">
        <f>Q252/D252*100</f>
        <v>#DIV/0!</v>
      </c>
    </row>
    <row r="253" spans="1:19" s="2070" customFormat="1">
      <c r="A253" s="2538"/>
      <c r="B253" s="206" t="s">
        <v>50</v>
      </c>
      <c r="C253" s="206" t="s">
        <v>145</v>
      </c>
      <c r="D253" s="1964">
        <f>TARGET!D248</f>
        <v>0</v>
      </c>
      <c r="E253" s="2160">
        <v>0</v>
      </c>
      <c r="F253" s="2160">
        <v>0</v>
      </c>
      <c r="G253" s="2160">
        <v>0</v>
      </c>
      <c r="H253" s="2160">
        <v>0</v>
      </c>
      <c r="I253" s="2160">
        <v>0</v>
      </c>
      <c r="J253" s="2160">
        <v>0</v>
      </c>
      <c r="K253" s="2160">
        <v>0</v>
      </c>
      <c r="L253" s="2160">
        <v>0</v>
      </c>
      <c r="M253" s="2160">
        <v>0</v>
      </c>
      <c r="N253" s="2160">
        <v>0</v>
      </c>
      <c r="O253" s="2160">
        <v>0</v>
      </c>
      <c r="P253" s="2160">
        <v>0</v>
      </c>
      <c r="Q253" s="2161">
        <f t="shared" si="100"/>
        <v>0</v>
      </c>
      <c r="R253" s="1891">
        <f t="shared" si="101"/>
        <v>0</v>
      </c>
      <c r="S253" s="1891" t="e">
        <f>Q253/D253*100</f>
        <v>#DIV/0!</v>
      </c>
    </row>
    <row r="254" spans="1:19" s="2070" customFormat="1">
      <c r="A254" s="2538"/>
      <c r="B254" s="206" t="s">
        <v>50</v>
      </c>
      <c r="C254" s="206" t="s">
        <v>146</v>
      </c>
      <c r="D254" s="1964">
        <f>TARGET!D249</f>
        <v>0</v>
      </c>
      <c r="E254" s="2160">
        <v>0</v>
      </c>
      <c r="F254" s="2160">
        <v>0</v>
      </c>
      <c r="G254" s="2160">
        <v>0</v>
      </c>
      <c r="H254" s="2160">
        <v>0</v>
      </c>
      <c r="I254" s="2160">
        <v>0</v>
      </c>
      <c r="J254" s="2160">
        <v>0</v>
      </c>
      <c r="K254" s="2160">
        <v>0</v>
      </c>
      <c r="L254" s="2160">
        <v>0</v>
      </c>
      <c r="M254" s="2160">
        <v>0</v>
      </c>
      <c r="N254" s="2160">
        <v>0</v>
      </c>
      <c r="O254" s="2160">
        <v>0</v>
      </c>
      <c r="P254" s="2160">
        <v>0</v>
      </c>
      <c r="Q254" s="2161">
        <f t="shared" si="100"/>
        <v>0</v>
      </c>
      <c r="R254" s="1891">
        <f t="shared" si="101"/>
        <v>0</v>
      </c>
      <c r="S254" s="1891" t="e">
        <f>Q254/D254*100</f>
        <v>#DIV/0!</v>
      </c>
    </row>
    <row r="255" spans="1:19" s="2070" customFormat="1">
      <c r="A255" s="2538"/>
      <c r="B255" s="206" t="s">
        <v>50</v>
      </c>
      <c r="C255" s="206" t="s">
        <v>147</v>
      </c>
      <c r="D255" s="1964">
        <f>TARGET!D250</f>
        <v>0</v>
      </c>
      <c r="E255" s="2160">
        <v>0</v>
      </c>
      <c r="F255" s="2160">
        <v>0</v>
      </c>
      <c r="G255" s="2160">
        <v>0</v>
      </c>
      <c r="H255" s="2160">
        <v>0</v>
      </c>
      <c r="I255" s="2160">
        <v>0</v>
      </c>
      <c r="J255" s="2160">
        <v>0</v>
      </c>
      <c r="K255" s="2160">
        <v>0</v>
      </c>
      <c r="L255" s="2160">
        <v>0</v>
      </c>
      <c r="M255" s="2160">
        <v>0</v>
      </c>
      <c r="N255" s="2160">
        <v>0</v>
      </c>
      <c r="O255" s="2160">
        <v>0</v>
      </c>
      <c r="P255" s="2160">
        <v>0</v>
      </c>
      <c r="Q255" s="2161">
        <f t="shared" si="100"/>
        <v>0</v>
      </c>
      <c r="R255" s="1891">
        <f t="shared" si="101"/>
        <v>0</v>
      </c>
      <c r="S255" s="1891" t="e">
        <f>Q255/D255*100</f>
        <v>#DIV/0!</v>
      </c>
    </row>
    <row r="256" spans="1:19" s="2070" customFormat="1" ht="5.35" customHeight="1">
      <c r="A256" s="2586"/>
      <c r="B256" s="206"/>
      <c r="C256" s="2293"/>
      <c r="D256" s="1964"/>
      <c r="E256" s="1964"/>
      <c r="F256" s="1964"/>
      <c r="G256" s="1964"/>
      <c r="H256" s="1964"/>
      <c r="I256" s="1964"/>
      <c r="J256" s="1964"/>
      <c r="K256" s="1964"/>
      <c r="L256" s="1964"/>
      <c r="M256" s="1964"/>
      <c r="N256" s="1964"/>
      <c r="O256" s="1964"/>
      <c r="P256" s="1964"/>
      <c r="Q256" s="2181"/>
      <c r="R256" s="2181"/>
      <c r="S256" s="2181"/>
    </row>
    <row r="257" spans="1:19" s="2073" customFormat="1" ht="15.65">
      <c r="A257" s="2528" t="s">
        <v>148</v>
      </c>
      <c r="B257" s="2093" t="s">
        <v>149</v>
      </c>
      <c r="C257" s="2195"/>
      <c r="D257" s="2147">
        <f t="shared" ref="D257:P257" si="107">D258</f>
        <v>0</v>
      </c>
      <c r="E257" s="2147">
        <f t="shared" si="107"/>
        <v>0</v>
      </c>
      <c r="F257" s="2147">
        <f t="shared" si="107"/>
        <v>0</v>
      </c>
      <c r="G257" s="2147">
        <f t="shared" si="107"/>
        <v>0</v>
      </c>
      <c r="H257" s="2147">
        <f t="shared" si="107"/>
        <v>0</v>
      </c>
      <c r="I257" s="2147">
        <f t="shared" si="107"/>
        <v>0</v>
      </c>
      <c r="J257" s="2147">
        <f t="shared" si="107"/>
        <v>0</v>
      </c>
      <c r="K257" s="2147">
        <f t="shared" si="107"/>
        <v>0</v>
      </c>
      <c r="L257" s="2147">
        <f t="shared" si="107"/>
        <v>0</v>
      </c>
      <c r="M257" s="2147">
        <f t="shared" si="107"/>
        <v>0</v>
      </c>
      <c r="N257" s="2147">
        <f t="shared" si="107"/>
        <v>0</v>
      </c>
      <c r="O257" s="2147">
        <f t="shared" si="107"/>
        <v>0</v>
      </c>
      <c r="P257" s="2147">
        <f t="shared" si="107"/>
        <v>0</v>
      </c>
      <c r="Q257" s="2147">
        <f>SUM(E257:P257)</f>
        <v>0</v>
      </c>
      <c r="R257" s="2147">
        <f>Q257-D257</f>
        <v>0</v>
      </c>
      <c r="S257" s="2147">
        <v>0</v>
      </c>
    </row>
    <row r="258" spans="1:19" s="2070" customFormat="1">
      <c r="A258" s="2529"/>
      <c r="B258" s="202" t="s">
        <v>71</v>
      </c>
      <c r="C258" s="202"/>
      <c r="D258" s="2151">
        <f t="shared" ref="D258:P258" si="108">SUM(D259:D263)</f>
        <v>0</v>
      </c>
      <c r="E258" s="2151">
        <f t="shared" si="108"/>
        <v>0</v>
      </c>
      <c r="F258" s="2151">
        <f t="shared" si="108"/>
        <v>0</v>
      </c>
      <c r="G258" s="2151">
        <f t="shared" si="108"/>
        <v>0</v>
      </c>
      <c r="H258" s="2151">
        <f t="shared" si="108"/>
        <v>0</v>
      </c>
      <c r="I258" s="2151">
        <f t="shared" si="108"/>
        <v>0</v>
      </c>
      <c r="J258" s="2151">
        <f t="shared" si="108"/>
        <v>0</v>
      </c>
      <c r="K258" s="2151">
        <f t="shared" si="108"/>
        <v>0</v>
      </c>
      <c r="L258" s="2151">
        <f t="shared" si="108"/>
        <v>0</v>
      </c>
      <c r="M258" s="2151">
        <f t="shared" si="108"/>
        <v>0</v>
      </c>
      <c r="N258" s="2151">
        <f t="shared" si="108"/>
        <v>0</v>
      </c>
      <c r="O258" s="2151">
        <f t="shared" si="108"/>
        <v>0</v>
      </c>
      <c r="P258" s="2151">
        <f t="shared" si="108"/>
        <v>0</v>
      </c>
      <c r="Q258" s="2161">
        <f t="shared" ref="Q258:Q263" si="109">SUM(E258:P258)</f>
        <v>0</v>
      </c>
      <c r="R258" s="1891">
        <f t="shared" ref="R258:R263" si="110">Q258-D258</f>
        <v>0</v>
      </c>
      <c r="S258" s="1891">
        <v>0</v>
      </c>
    </row>
    <row r="259" spans="1:19" s="2070" customFormat="1">
      <c r="A259" s="1855"/>
      <c r="B259" s="2727" t="s">
        <v>50</v>
      </c>
      <c r="C259" s="200" t="s">
        <v>72</v>
      </c>
      <c r="D259" s="1964">
        <f>TARGET!D254</f>
        <v>0</v>
      </c>
      <c r="E259" s="2530">
        <v>0</v>
      </c>
      <c r="F259" s="2530">
        <v>0</v>
      </c>
      <c r="G259" s="2530">
        <v>0</v>
      </c>
      <c r="H259" s="2530">
        <v>0</v>
      </c>
      <c r="I259" s="2530">
        <v>0</v>
      </c>
      <c r="J259" s="2530">
        <v>0</v>
      </c>
      <c r="K259" s="2530">
        <v>0</v>
      </c>
      <c r="L259" s="2530">
        <v>0</v>
      </c>
      <c r="M259" s="2530">
        <v>0</v>
      </c>
      <c r="N259" s="2530">
        <v>0</v>
      </c>
      <c r="O259" s="2530">
        <v>0</v>
      </c>
      <c r="P259" s="2530">
        <v>0</v>
      </c>
      <c r="Q259" s="2161">
        <f t="shared" si="109"/>
        <v>0</v>
      </c>
      <c r="R259" s="1891">
        <f t="shared" si="110"/>
        <v>0</v>
      </c>
      <c r="S259" s="1891">
        <v>0</v>
      </c>
    </row>
    <row r="260" spans="1:19" s="2070" customFormat="1">
      <c r="A260" s="1854"/>
      <c r="B260" s="2727" t="s">
        <v>50</v>
      </c>
      <c r="C260" s="200" t="s">
        <v>73</v>
      </c>
      <c r="D260" s="1964">
        <f>TARGET!D255</f>
        <v>0</v>
      </c>
      <c r="E260" s="2160">
        <v>0</v>
      </c>
      <c r="F260" s="2160">
        <v>0</v>
      </c>
      <c r="G260" s="2160">
        <v>0</v>
      </c>
      <c r="H260" s="2160">
        <v>0</v>
      </c>
      <c r="I260" s="2160">
        <v>0</v>
      </c>
      <c r="J260" s="2160">
        <v>0</v>
      </c>
      <c r="K260" s="2160">
        <v>0</v>
      </c>
      <c r="L260" s="2160">
        <v>0</v>
      </c>
      <c r="M260" s="2160">
        <v>0</v>
      </c>
      <c r="N260" s="2160">
        <v>0</v>
      </c>
      <c r="O260" s="2160">
        <v>0</v>
      </c>
      <c r="P260" s="2160">
        <v>0</v>
      </c>
      <c r="Q260" s="2161">
        <f t="shared" si="109"/>
        <v>0</v>
      </c>
      <c r="R260" s="1891">
        <f t="shared" si="110"/>
        <v>0</v>
      </c>
      <c r="S260" s="1891">
        <v>0</v>
      </c>
    </row>
    <row r="261" spans="1:19" s="2070" customFormat="1">
      <c r="A261" s="1854"/>
      <c r="B261" s="2727" t="s">
        <v>50</v>
      </c>
      <c r="C261" s="200" t="s">
        <v>74</v>
      </c>
      <c r="D261" s="1964">
        <f>TARGET!D256</f>
        <v>0</v>
      </c>
      <c r="E261" s="2530">
        <v>0</v>
      </c>
      <c r="F261" s="2530">
        <v>0</v>
      </c>
      <c r="G261" s="2530">
        <v>0</v>
      </c>
      <c r="H261" s="2530">
        <v>0</v>
      </c>
      <c r="I261" s="2530">
        <v>0</v>
      </c>
      <c r="J261" s="2530">
        <v>0</v>
      </c>
      <c r="K261" s="2530">
        <v>0</v>
      </c>
      <c r="L261" s="2530">
        <v>0</v>
      </c>
      <c r="M261" s="2530">
        <v>0</v>
      </c>
      <c r="N261" s="2530">
        <v>0</v>
      </c>
      <c r="O261" s="2530">
        <v>0</v>
      </c>
      <c r="P261" s="2530">
        <v>0</v>
      </c>
      <c r="Q261" s="2161">
        <f t="shared" si="109"/>
        <v>0</v>
      </c>
      <c r="R261" s="1891">
        <f t="shared" si="110"/>
        <v>0</v>
      </c>
      <c r="S261" s="1891">
        <v>0</v>
      </c>
    </row>
    <row r="262" spans="1:19" s="2070" customFormat="1">
      <c r="A262" s="1854"/>
      <c r="B262" s="2727" t="s">
        <v>50</v>
      </c>
      <c r="C262" s="206" t="s">
        <v>75</v>
      </c>
      <c r="D262" s="1964">
        <f>TARGET!D257</f>
        <v>0</v>
      </c>
      <c r="E262" s="2530">
        <v>0</v>
      </c>
      <c r="F262" s="2530">
        <v>0</v>
      </c>
      <c r="G262" s="2530">
        <v>0</v>
      </c>
      <c r="H262" s="2530">
        <v>0</v>
      </c>
      <c r="I262" s="2530">
        <v>0</v>
      </c>
      <c r="J262" s="2530">
        <v>0</v>
      </c>
      <c r="K262" s="2530">
        <v>0</v>
      </c>
      <c r="L262" s="2530">
        <v>0</v>
      </c>
      <c r="M262" s="2530">
        <v>0</v>
      </c>
      <c r="N262" s="2530">
        <v>0</v>
      </c>
      <c r="O262" s="2530">
        <v>0</v>
      </c>
      <c r="P262" s="2530">
        <v>0</v>
      </c>
      <c r="Q262" s="2161">
        <f t="shared" si="109"/>
        <v>0</v>
      </c>
      <c r="R262" s="1891">
        <f t="shared" si="110"/>
        <v>0</v>
      </c>
      <c r="S262" s="1891">
        <v>0</v>
      </c>
    </row>
    <row r="263" spans="1:19" s="2070" customFormat="1">
      <c r="A263" s="1854"/>
      <c r="B263" s="2727" t="s">
        <v>50</v>
      </c>
      <c r="C263" s="206" t="s">
        <v>85</v>
      </c>
      <c r="D263" s="1964">
        <f>TARGET!D258</f>
        <v>0</v>
      </c>
      <c r="E263" s="2160">
        <v>0</v>
      </c>
      <c r="F263" s="2160">
        <v>0</v>
      </c>
      <c r="G263" s="2160">
        <v>0</v>
      </c>
      <c r="H263" s="2160">
        <v>0</v>
      </c>
      <c r="I263" s="2160">
        <v>0</v>
      </c>
      <c r="J263" s="2160">
        <v>0</v>
      </c>
      <c r="K263" s="2160">
        <v>0</v>
      </c>
      <c r="L263" s="2160">
        <v>0</v>
      </c>
      <c r="M263" s="2160">
        <v>0</v>
      </c>
      <c r="N263" s="2160">
        <v>0</v>
      </c>
      <c r="O263" s="2160">
        <v>0</v>
      </c>
      <c r="P263" s="2160">
        <v>0</v>
      </c>
      <c r="Q263" s="2161">
        <f t="shared" si="109"/>
        <v>0</v>
      </c>
      <c r="R263" s="1891">
        <f t="shared" si="110"/>
        <v>0</v>
      </c>
      <c r="S263" s="1891">
        <v>0</v>
      </c>
    </row>
    <row r="264" spans="1:19" s="2070" customFormat="1" ht="4.55" customHeight="1">
      <c r="A264" s="1465"/>
      <c r="B264" s="2117"/>
      <c r="C264" s="2117"/>
      <c r="D264" s="2182"/>
      <c r="E264" s="2182"/>
      <c r="F264" s="2182"/>
      <c r="G264" s="2182"/>
      <c r="H264" s="2182"/>
      <c r="I264" s="2182"/>
      <c r="J264" s="2182"/>
      <c r="K264" s="2182"/>
      <c r="L264" s="2182"/>
      <c r="M264" s="2182"/>
      <c r="N264" s="2182"/>
      <c r="O264" s="2182"/>
      <c r="P264" s="2182"/>
      <c r="Q264" s="1469"/>
      <c r="R264" s="1469"/>
      <c r="S264" s="1469"/>
    </row>
    <row r="265" spans="1:19" s="2073" customFormat="1" ht="15.65">
      <c r="A265" s="2528" t="s">
        <v>150</v>
      </c>
      <c r="B265" s="2093" t="s">
        <v>151</v>
      </c>
      <c r="C265" s="2195"/>
      <c r="D265" s="2147">
        <f t="shared" ref="D265:P265" si="111">D266</f>
        <v>0</v>
      </c>
      <c r="E265" s="2147">
        <f t="shared" si="111"/>
        <v>0</v>
      </c>
      <c r="F265" s="2147">
        <f t="shared" si="111"/>
        <v>0</v>
      </c>
      <c r="G265" s="2147">
        <f t="shared" si="111"/>
        <v>0</v>
      </c>
      <c r="H265" s="2147">
        <f t="shared" si="111"/>
        <v>0</v>
      </c>
      <c r="I265" s="2147">
        <f t="shared" si="111"/>
        <v>0</v>
      </c>
      <c r="J265" s="2147">
        <f t="shared" si="111"/>
        <v>0</v>
      </c>
      <c r="K265" s="2147">
        <f t="shared" si="111"/>
        <v>0</v>
      </c>
      <c r="L265" s="2147">
        <f t="shared" si="111"/>
        <v>0</v>
      </c>
      <c r="M265" s="2147">
        <f t="shared" si="111"/>
        <v>0</v>
      </c>
      <c r="N265" s="2147">
        <f t="shared" si="111"/>
        <v>0</v>
      </c>
      <c r="O265" s="2147">
        <f t="shared" si="111"/>
        <v>0</v>
      </c>
      <c r="P265" s="2147">
        <f t="shared" si="111"/>
        <v>0</v>
      </c>
      <c r="Q265" s="2147">
        <f>SUM(E265:P265)</f>
        <v>0</v>
      </c>
      <c r="R265" s="2147">
        <f>Q265-D265</f>
        <v>0</v>
      </c>
      <c r="S265" s="2147">
        <v>0</v>
      </c>
    </row>
    <row r="266" spans="1:19" s="2070" customFormat="1">
      <c r="A266" s="2529"/>
      <c r="B266" s="1856" t="s">
        <v>71</v>
      </c>
      <c r="C266" s="218"/>
      <c r="D266" s="2151">
        <f t="shared" ref="D266:P266" si="112">SUM(D267:D271)</f>
        <v>0</v>
      </c>
      <c r="E266" s="2151">
        <f t="shared" si="112"/>
        <v>0</v>
      </c>
      <c r="F266" s="2151">
        <f t="shared" si="112"/>
        <v>0</v>
      </c>
      <c r="G266" s="2151">
        <f t="shared" si="112"/>
        <v>0</v>
      </c>
      <c r="H266" s="2151">
        <f t="shared" si="112"/>
        <v>0</v>
      </c>
      <c r="I266" s="2151">
        <f t="shared" si="112"/>
        <v>0</v>
      </c>
      <c r="J266" s="2151">
        <f t="shared" si="112"/>
        <v>0</v>
      </c>
      <c r="K266" s="2151">
        <f t="shared" si="112"/>
        <v>0</v>
      </c>
      <c r="L266" s="2151">
        <f t="shared" si="112"/>
        <v>0</v>
      </c>
      <c r="M266" s="2151">
        <f t="shared" si="112"/>
        <v>0</v>
      </c>
      <c r="N266" s="2151">
        <f t="shared" si="112"/>
        <v>0</v>
      </c>
      <c r="O266" s="2151">
        <f t="shared" si="112"/>
        <v>0</v>
      </c>
      <c r="P266" s="2151">
        <f t="shared" si="112"/>
        <v>0</v>
      </c>
      <c r="Q266" s="2161">
        <f t="shared" ref="Q266:Q271" si="113">SUM(E266:P266)</f>
        <v>0</v>
      </c>
      <c r="R266" s="1891">
        <f t="shared" ref="R266:R271" si="114">Q266-D266</f>
        <v>0</v>
      </c>
      <c r="S266" s="1891">
        <v>0</v>
      </c>
    </row>
    <row r="267" spans="1:19" s="2070" customFormat="1">
      <c r="A267" s="1854"/>
      <c r="B267" s="2727" t="s">
        <v>50</v>
      </c>
      <c r="C267" s="200" t="s">
        <v>72</v>
      </c>
      <c r="D267" s="1964">
        <f>TARGET!D262</f>
        <v>0</v>
      </c>
      <c r="E267" s="2530">
        <v>0</v>
      </c>
      <c r="F267" s="2530">
        <v>0</v>
      </c>
      <c r="G267" s="2530">
        <v>0</v>
      </c>
      <c r="H267" s="2530">
        <v>0</v>
      </c>
      <c r="I267" s="2530">
        <v>0</v>
      </c>
      <c r="J267" s="2530">
        <v>0</v>
      </c>
      <c r="K267" s="2530">
        <v>0</v>
      </c>
      <c r="L267" s="2530">
        <v>0</v>
      </c>
      <c r="M267" s="2530">
        <v>0</v>
      </c>
      <c r="N267" s="2530">
        <v>0</v>
      </c>
      <c r="O267" s="2530">
        <v>0</v>
      </c>
      <c r="P267" s="2530">
        <v>0</v>
      </c>
      <c r="Q267" s="2161">
        <f t="shared" si="113"/>
        <v>0</v>
      </c>
      <c r="R267" s="1891">
        <f t="shared" si="114"/>
        <v>0</v>
      </c>
      <c r="S267" s="1891">
        <v>0</v>
      </c>
    </row>
    <row r="268" spans="1:19" s="2070" customFormat="1">
      <c r="A268" s="1854"/>
      <c r="B268" s="2727" t="s">
        <v>50</v>
      </c>
      <c r="C268" s="200" t="s">
        <v>73</v>
      </c>
      <c r="D268" s="1964">
        <f>TARGET!D263</f>
        <v>0</v>
      </c>
      <c r="E268" s="2160">
        <v>0</v>
      </c>
      <c r="F268" s="2160">
        <v>0</v>
      </c>
      <c r="G268" s="2160">
        <v>0</v>
      </c>
      <c r="H268" s="2160">
        <v>0</v>
      </c>
      <c r="I268" s="2160">
        <v>0</v>
      </c>
      <c r="J268" s="2160">
        <v>0</v>
      </c>
      <c r="K268" s="2160">
        <v>0</v>
      </c>
      <c r="L268" s="2160">
        <v>0</v>
      </c>
      <c r="M268" s="2160">
        <v>0</v>
      </c>
      <c r="N268" s="2160">
        <v>0</v>
      </c>
      <c r="O268" s="2160">
        <v>0</v>
      </c>
      <c r="P268" s="2160">
        <v>0</v>
      </c>
      <c r="Q268" s="2161">
        <f t="shared" si="113"/>
        <v>0</v>
      </c>
      <c r="R268" s="1891">
        <f t="shared" si="114"/>
        <v>0</v>
      </c>
      <c r="S268" s="1891">
        <v>0</v>
      </c>
    </row>
    <row r="269" spans="1:19" s="2070" customFormat="1">
      <c r="A269" s="1854"/>
      <c r="B269" s="2727" t="s">
        <v>50</v>
      </c>
      <c r="C269" s="200" t="s">
        <v>74</v>
      </c>
      <c r="D269" s="1964">
        <f>TARGET!D264</f>
        <v>0</v>
      </c>
      <c r="E269" s="2160">
        <v>0</v>
      </c>
      <c r="F269" s="2160">
        <v>0</v>
      </c>
      <c r="G269" s="2160">
        <v>0</v>
      </c>
      <c r="H269" s="2160">
        <v>0</v>
      </c>
      <c r="I269" s="2160">
        <v>0</v>
      </c>
      <c r="J269" s="2160">
        <v>0</v>
      </c>
      <c r="K269" s="2160">
        <v>0</v>
      </c>
      <c r="L269" s="2160">
        <v>0</v>
      </c>
      <c r="M269" s="2160">
        <v>0</v>
      </c>
      <c r="N269" s="2160">
        <v>0</v>
      </c>
      <c r="O269" s="2160">
        <v>0</v>
      </c>
      <c r="P269" s="2160">
        <v>0</v>
      </c>
      <c r="Q269" s="2161">
        <f t="shared" si="113"/>
        <v>0</v>
      </c>
      <c r="R269" s="1891">
        <f t="shared" si="114"/>
        <v>0</v>
      </c>
      <c r="S269" s="1891">
        <v>0</v>
      </c>
    </row>
    <row r="270" spans="1:19" s="2070" customFormat="1">
      <c r="A270" s="1854"/>
      <c r="B270" s="2727" t="s">
        <v>50</v>
      </c>
      <c r="C270" s="206" t="s">
        <v>75</v>
      </c>
      <c r="D270" s="1964">
        <f>TARGET!D265</f>
        <v>0</v>
      </c>
      <c r="E270" s="2531">
        <v>0</v>
      </c>
      <c r="F270" s="2531">
        <v>0</v>
      </c>
      <c r="G270" s="2531">
        <v>0</v>
      </c>
      <c r="H270" s="2531">
        <v>0</v>
      </c>
      <c r="I270" s="2531">
        <v>0</v>
      </c>
      <c r="J270" s="2531">
        <v>0</v>
      </c>
      <c r="K270" s="2531">
        <v>0</v>
      </c>
      <c r="L270" s="2531">
        <v>0</v>
      </c>
      <c r="M270" s="2531">
        <v>0</v>
      </c>
      <c r="N270" s="2531">
        <v>0</v>
      </c>
      <c r="O270" s="2531">
        <v>0</v>
      </c>
      <c r="P270" s="2531">
        <v>0</v>
      </c>
      <c r="Q270" s="2161">
        <f t="shared" si="113"/>
        <v>0</v>
      </c>
      <c r="R270" s="1891">
        <f t="shared" si="114"/>
        <v>0</v>
      </c>
      <c r="S270" s="1891">
        <v>0</v>
      </c>
    </row>
    <row r="271" spans="1:19" s="2070" customFormat="1">
      <c r="A271" s="1854"/>
      <c r="B271" s="2727" t="s">
        <v>50</v>
      </c>
      <c r="C271" s="206" t="s">
        <v>85</v>
      </c>
      <c r="D271" s="1964">
        <f>TARGET!D266</f>
        <v>0</v>
      </c>
      <c r="E271" s="2530">
        <v>0</v>
      </c>
      <c r="F271" s="2530">
        <v>0</v>
      </c>
      <c r="G271" s="2530">
        <v>0</v>
      </c>
      <c r="H271" s="2530">
        <v>0</v>
      </c>
      <c r="I271" s="2530">
        <v>0</v>
      </c>
      <c r="J271" s="2530">
        <v>0</v>
      </c>
      <c r="K271" s="2530">
        <v>0</v>
      </c>
      <c r="L271" s="2530">
        <v>0</v>
      </c>
      <c r="M271" s="2530">
        <v>0</v>
      </c>
      <c r="N271" s="2530">
        <v>0</v>
      </c>
      <c r="O271" s="2530">
        <v>0</v>
      </c>
      <c r="P271" s="2530">
        <v>0</v>
      </c>
      <c r="Q271" s="2161">
        <f t="shared" si="113"/>
        <v>0</v>
      </c>
      <c r="R271" s="1891">
        <f t="shared" si="114"/>
        <v>0</v>
      </c>
      <c r="S271" s="1891">
        <v>0</v>
      </c>
    </row>
    <row r="272" spans="1:19" s="2070" customFormat="1" ht="3.8" customHeight="1">
      <c r="A272" s="1465"/>
      <c r="B272" s="2117"/>
      <c r="C272" s="2117"/>
      <c r="D272" s="2182"/>
      <c r="E272" s="2182"/>
      <c r="F272" s="2182"/>
      <c r="G272" s="2182"/>
      <c r="H272" s="2182"/>
      <c r="I272" s="2182"/>
      <c r="J272" s="2182"/>
      <c r="K272" s="2182"/>
      <c r="L272" s="2182"/>
      <c r="M272" s="2182"/>
      <c r="N272" s="2182"/>
      <c r="O272" s="2182"/>
      <c r="P272" s="2182"/>
      <c r="Q272" s="1469"/>
      <c r="R272" s="1469"/>
      <c r="S272" s="1469"/>
    </row>
    <row r="273" spans="1:19" s="2073" customFormat="1" ht="15.65">
      <c r="A273" s="2528" t="s">
        <v>152</v>
      </c>
      <c r="B273" s="2093" t="s">
        <v>153</v>
      </c>
      <c r="C273" s="2195"/>
      <c r="D273" s="2147">
        <f t="shared" ref="D273:P273" si="115">D274</f>
        <v>0</v>
      </c>
      <c r="E273" s="2147">
        <f t="shared" si="115"/>
        <v>0</v>
      </c>
      <c r="F273" s="2147">
        <f t="shared" si="115"/>
        <v>0</v>
      </c>
      <c r="G273" s="2147">
        <f t="shared" si="115"/>
        <v>0</v>
      </c>
      <c r="H273" s="2147">
        <f t="shared" si="115"/>
        <v>0</v>
      </c>
      <c r="I273" s="2147">
        <f t="shared" si="115"/>
        <v>0</v>
      </c>
      <c r="J273" s="2147">
        <f t="shared" si="115"/>
        <v>0</v>
      </c>
      <c r="K273" s="2147">
        <f t="shared" si="115"/>
        <v>0</v>
      </c>
      <c r="L273" s="2147">
        <f t="shared" si="115"/>
        <v>0</v>
      </c>
      <c r="M273" s="2147">
        <f t="shared" si="115"/>
        <v>0</v>
      </c>
      <c r="N273" s="2147">
        <f t="shared" si="115"/>
        <v>0</v>
      </c>
      <c r="O273" s="2147">
        <f t="shared" si="115"/>
        <v>0</v>
      </c>
      <c r="P273" s="2147">
        <f t="shared" si="115"/>
        <v>0</v>
      </c>
      <c r="Q273" s="2147">
        <f>SUM(E273:P273)</f>
        <v>0</v>
      </c>
      <c r="R273" s="2147">
        <f>Q273-D273</f>
        <v>0</v>
      </c>
      <c r="S273" s="2147">
        <v>0</v>
      </c>
    </row>
    <row r="274" spans="1:19" s="2070" customFormat="1">
      <c r="A274" s="1854"/>
      <c r="B274" s="202" t="s">
        <v>71</v>
      </c>
      <c r="C274" s="202"/>
      <c r="D274" s="1891">
        <f t="shared" ref="D274:P274" si="116">SUM(D275:D279)</f>
        <v>0</v>
      </c>
      <c r="E274" s="1891">
        <f t="shared" si="116"/>
        <v>0</v>
      </c>
      <c r="F274" s="1891">
        <f t="shared" si="116"/>
        <v>0</v>
      </c>
      <c r="G274" s="1891">
        <f t="shared" si="116"/>
        <v>0</v>
      </c>
      <c r="H274" s="1891">
        <f t="shared" si="116"/>
        <v>0</v>
      </c>
      <c r="I274" s="1891">
        <f t="shared" si="116"/>
        <v>0</v>
      </c>
      <c r="J274" s="1891">
        <f t="shared" si="116"/>
        <v>0</v>
      </c>
      <c r="K274" s="1891">
        <f t="shared" si="116"/>
        <v>0</v>
      </c>
      <c r="L274" s="1891">
        <f t="shared" si="116"/>
        <v>0</v>
      </c>
      <c r="M274" s="1891">
        <f t="shared" si="116"/>
        <v>0</v>
      </c>
      <c r="N274" s="1891">
        <f t="shared" si="116"/>
        <v>0</v>
      </c>
      <c r="O274" s="1891">
        <f t="shared" si="116"/>
        <v>0</v>
      </c>
      <c r="P274" s="1891">
        <f t="shared" si="116"/>
        <v>0</v>
      </c>
      <c r="Q274" s="2161">
        <f t="shared" ref="Q274:Q279" si="117">SUM(E274:P274)</f>
        <v>0</v>
      </c>
      <c r="R274" s="1891">
        <f t="shared" ref="R274:R279" si="118">Q274-D274</f>
        <v>0</v>
      </c>
      <c r="S274" s="1891">
        <v>0</v>
      </c>
    </row>
    <row r="275" spans="1:19" s="2070" customFormat="1">
      <c r="A275" s="1854"/>
      <c r="B275" s="2727" t="s">
        <v>50</v>
      </c>
      <c r="C275" s="200" t="s">
        <v>72</v>
      </c>
      <c r="D275" s="1964">
        <f>TARGET!D270</f>
        <v>0</v>
      </c>
      <c r="E275" s="2530">
        <v>0</v>
      </c>
      <c r="F275" s="2530">
        <v>0</v>
      </c>
      <c r="G275" s="2530">
        <v>0</v>
      </c>
      <c r="H275" s="2530">
        <v>0</v>
      </c>
      <c r="I275" s="2530">
        <v>0</v>
      </c>
      <c r="J275" s="2530">
        <v>0</v>
      </c>
      <c r="K275" s="2530">
        <v>0</v>
      </c>
      <c r="L275" s="2530">
        <v>0</v>
      </c>
      <c r="M275" s="2530">
        <v>0</v>
      </c>
      <c r="N275" s="2530">
        <v>0</v>
      </c>
      <c r="O275" s="2530">
        <v>0</v>
      </c>
      <c r="P275" s="2530">
        <v>0</v>
      </c>
      <c r="Q275" s="2161">
        <f t="shared" si="117"/>
        <v>0</v>
      </c>
      <c r="R275" s="1891">
        <f t="shared" si="118"/>
        <v>0</v>
      </c>
      <c r="S275" s="1891">
        <v>0</v>
      </c>
    </row>
    <row r="276" spans="1:19" s="2070" customFormat="1">
      <c r="A276" s="1854"/>
      <c r="B276" s="2727" t="s">
        <v>50</v>
      </c>
      <c r="C276" s="200" t="s">
        <v>73</v>
      </c>
      <c r="D276" s="1964">
        <f>TARGET!D271</f>
        <v>0</v>
      </c>
      <c r="E276" s="2160">
        <v>0</v>
      </c>
      <c r="F276" s="2160">
        <v>0</v>
      </c>
      <c r="G276" s="2160">
        <v>0</v>
      </c>
      <c r="H276" s="2160">
        <v>0</v>
      </c>
      <c r="I276" s="2160">
        <v>0</v>
      </c>
      <c r="J276" s="2160">
        <v>0</v>
      </c>
      <c r="K276" s="2160">
        <v>0</v>
      </c>
      <c r="L276" s="2160">
        <v>0</v>
      </c>
      <c r="M276" s="2160">
        <v>0</v>
      </c>
      <c r="N276" s="2160">
        <v>0</v>
      </c>
      <c r="O276" s="2160">
        <v>0</v>
      </c>
      <c r="P276" s="2160">
        <v>0</v>
      </c>
      <c r="Q276" s="2161">
        <f t="shared" si="117"/>
        <v>0</v>
      </c>
      <c r="R276" s="1891">
        <f t="shared" si="118"/>
        <v>0</v>
      </c>
      <c r="S276" s="1891">
        <v>0</v>
      </c>
    </row>
    <row r="277" spans="1:19" s="2070" customFormat="1">
      <c r="A277" s="1902"/>
      <c r="B277" s="2727" t="s">
        <v>50</v>
      </c>
      <c r="C277" s="200" t="s">
        <v>74</v>
      </c>
      <c r="D277" s="1964">
        <f>TARGET!D272</f>
        <v>0</v>
      </c>
      <c r="E277" s="2587"/>
      <c r="F277" s="2587"/>
      <c r="G277" s="2587"/>
      <c r="H277" s="2587"/>
      <c r="I277" s="2587"/>
      <c r="J277" s="2587"/>
      <c r="K277" s="2587"/>
      <c r="L277" s="2587"/>
      <c r="M277" s="2587"/>
      <c r="N277" s="2587"/>
      <c r="O277" s="2587"/>
      <c r="P277" s="2587"/>
      <c r="Q277" s="2161">
        <f t="shared" si="117"/>
        <v>0</v>
      </c>
      <c r="R277" s="1891">
        <f t="shared" si="118"/>
        <v>0</v>
      </c>
      <c r="S277" s="1891">
        <v>0</v>
      </c>
    </row>
    <row r="278" spans="1:19" s="2070" customFormat="1">
      <c r="A278" s="1902"/>
      <c r="B278" s="2727" t="s">
        <v>50</v>
      </c>
      <c r="C278" s="206" t="s">
        <v>75</v>
      </c>
      <c r="D278" s="1964">
        <f>TARGET!D273</f>
        <v>0</v>
      </c>
      <c r="E278" s="2581"/>
      <c r="F278" s="2581"/>
      <c r="G278" s="2581"/>
      <c r="H278" s="2581"/>
      <c r="I278" s="2581"/>
      <c r="J278" s="2581"/>
      <c r="K278" s="2581"/>
      <c r="L278" s="2581"/>
      <c r="M278" s="2581"/>
      <c r="N278" s="2581"/>
      <c r="O278" s="2581"/>
      <c r="P278" s="2581"/>
      <c r="Q278" s="2161">
        <f t="shared" si="117"/>
        <v>0</v>
      </c>
      <c r="R278" s="1891">
        <f t="shared" si="118"/>
        <v>0</v>
      </c>
      <c r="S278" s="1891">
        <v>0</v>
      </c>
    </row>
    <row r="279" spans="1:19" s="2070" customFormat="1">
      <c r="A279" s="1902"/>
      <c r="B279" s="2727" t="s">
        <v>50</v>
      </c>
      <c r="C279" s="206" t="s">
        <v>85</v>
      </c>
      <c r="D279" s="1964">
        <f>TARGET!D274</f>
        <v>0</v>
      </c>
      <c r="E279" s="2581"/>
      <c r="F279" s="2581"/>
      <c r="G279" s="2581"/>
      <c r="H279" s="2581"/>
      <c r="I279" s="2581"/>
      <c r="J279" s="2581"/>
      <c r="K279" s="2581"/>
      <c r="L279" s="2581"/>
      <c r="M279" s="2581"/>
      <c r="N279" s="2581"/>
      <c r="O279" s="2581"/>
      <c r="P279" s="2581"/>
      <c r="Q279" s="2161">
        <f t="shared" si="117"/>
        <v>0</v>
      </c>
      <c r="R279" s="1891">
        <f t="shared" si="118"/>
        <v>0</v>
      </c>
      <c r="S279" s="1891">
        <v>0</v>
      </c>
    </row>
    <row r="280" spans="1:19" s="2070" customFormat="1" ht="5.35" customHeight="1">
      <c r="A280" s="1902"/>
      <c r="B280" s="856"/>
      <c r="C280" s="856"/>
      <c r="D280" s="2143"/>
      <c r="E280" s="2143"/>
      <c r="F280" s="2143"/>
      <c r="G280" s="2143"/>
      <c r="H280" s="2143"/>
      <c r="I280" s="2143"/>
      <c r="J280" s="2143"/>
      <c r="K280" s="2143"/>
      <c r="L280" s="2143"/>
      <c r="M280" s="2143"/>
      <c r="N280" s="2143"/>
      <c r="O280" s="2143"/>
      <c r="P280" s="2143"/>
      <c r="Q280" s="1727"/>
      <c r="R280" s="1727"/>
      <c r="S280" s="1727"/>
    </row>
    <row r="281" spans="1:19" s="2070" customFormat="1" ht="15.65">
      <c r="A281" s="2588" t="s">
        <v>154</v>
      </c>
      <c r="B281" s="2296" t="s">
        <v>155</v>
      </c>
      <c r="C281" s="2299"/>
      <c r="D281" s="2300">
        <f t="shared" ref="D281:P281" si="119">D283+D298+D306+D314+D322+D330+D338</f>
        <v>131250000</v>
      </c>
      <c r="E281" s="2300">
        <f t="shared" si="119"/>
        <v>0</v>
      </c>
      <c r="F281" s="2300">
        <f t="shared" si="119"/>
        <v>0</v>
      </c>
      <c r="G281" s="2300">
        <f t="shared" si="119"/>
        <v>0</v>
      </c>
      <c r="H281" s="2300">
        <f t="shared" si="119"/>
        <v>0</v>
      </c>
      <c r="I281" s="2300">
        <f t="shared" si="119"/>
        <v>0</v>
      </c>
      <c r="J281" s="2300">
        <f t="shared" si="119"/>
        <v>0</v>
      </c>
      <c r="K281" s="2300">
        <f t="shared" si="119"/>
        <v>0</v>
      </c>
      <c r="L281" s="2300">
        <f t="shared" si="119"/>
        <v>0</v>
      </c>
      <c r="M281" s="2300">
        <f t="shared" si="119"/>
        <v>0</v>
      </c>
      <c r="N281" s="2300">
        <f t="shared" si="119"/>
        <v>0</v>
      </c>
      <c r="O281" s="2300">
        <f t="shared" si="119"/>
        <v>0</v>
      </c>
      <c r="P281" s="2300">
        <f t="shared" si="119"/>
        <v>0</v>
      </c>
      <c r="Q281" s="2300">
        <f>SUM(E281:P281)</f>
        <v>0</v>
      </c>
      <c r="R281" s="2300">
        <f>Q281-D281</f>
        <v>-131250000</v>
      </c>
      <c r="S281" s="2300">
        <f>Q281/D281*100</f>
        <v>0</v>
      </c>
    </row>
    <row r="282" spans="1:19" s="2070" customFormat="1" ht="4.55" customHeight="1">
      <c r="A282" s="1725"/>
      <c r="B282" s="257"/>
      <c r="C282" s="257"/>
      <c r="D282" s="2303"/>
      <c r="E282" s="2303"/>
      <c r="F282" s="2303"/>
      <c r="G282" s="2303"/>
      <c r="H282" s="2303"/>
      <c r="I282" s="2303"/>
      <c r="J282" s="2303"/>
      <c r="K282" s="2303"/>
      <c r="L282" s="2303"/>
      <c r="M282" s="2303"/>
      <c r="N282" s="2303"/>
      <c r="O282" s="2303"/>
      <c r="P282" s="2303"/>
      <c r="Q282" s="2304"/>
      <c r="R282" s="2304"/>
      <c r="S282" s="2304"/>
    </row>
    <row r="283" spans="1:19" s="2073" customFormat="1" ht="15.65">
      <c r="A283" s="2528"/>
      <c r="B283" s="2093" t="s">
        <v>156</v>
      </c>
      <c r="C283" s="2195" t="s">
        <v>157</v>
      </c>
      <c r="D283" s="2306">
        <f t="shared" ref="D283:P283" si="120">D284</f>
        <v>131250000</v>
      </c>
      <c r="E283" s="2306">
        <f t="shared" si="120"/>
        <v>0</v>
      </c>
      <c r="F283" s="2306">
        <f t="shared" si="120"/>
        <v>0</v>
      </c>
      <c r="G283" s="2306">
        <f t="shared" si="120"/>
        <v>0</v>
      </c>
      <c r="H283" s="2306">
        <f t="shared" si="120"/>
        <v>0</v>
      </c>
      <c r="I283" s="2306">
        <f t="shared" si="120"/>
        <v>0</v>
      </c>
      <c r="J283" s="2306">
        <f t="shared" si="120"/>
        <v>0</v>
      </c>
      <c r="K283" s="2306">
        <f t="shared" si="120"/>
        <v>0</v>
      </c>
      <c r="L283" s="2306">
        <f t="shared" si="120"/>
        <v>0</v>
      </c>
      <c r="M283" s="2306">
        <f t="shared" si="120"/>
        <v>0</v>
      </c>
      <c r="N283" s="2306">
        <f t="shared" si="120"/>
        <v>0</v>
      </c>
      <c r="O283" s="2306">
        <f t="shared" si="120"/>
        <v>0</v>
      </c>
      <c r="P283" s="2306">
        <f t="shared" si="120"/>
        <v>0</v>
      </c>
      <c r="Q283" s="2147">
        <f>SUM(E283:P283)</f>
        <v>0</v>
      </c>
      <c r="R283" s="2147">
        <f>Q283-D283</f>
        <v>-131250000</v>
      </c>
      <c r="S283" s="2147">
        <f>Q283/D283*100</f>
        <v>0</v>
      </c>
    </row>
    <row r="284" spans="1:19" s="2070" customFormat="1">
      <c r="A284" s="1854"/>
      <c r="B284" s="202" t="s">
        <v>106</v>
      </c>
      <c r="C284" s="200"/>
      <c r="D284" s="2307">
        <f t="shared" ref="D284:P284" si="121">+D285</f>
        <v>131250000</v>
      </c>
      <c r="E284" s="2307">
        <f t="shared" si="121"/>
        <v>0</v>
      </c>
      <c r="F284" s="2307">
        <f t="shared" si="121"/>
        <v>0</v>
      </c>
      <c r="G284" s="2307">
        <f t="shared" si="121"/>
        <v>0</v>
      </c>
      <c r="H284" s="2307">
        <f t="shared" si="121"/>
        <v>0</v>
      </c>
      <c r="I284" s="2307">
        <f t="shared" si="121"/>
        <v>0</v>
      </c>
      <c r="J284" s="2307">
        <f t="shared" si="121"/>
        <v>0</v>
      </c>
      <c r="K284" s="2307">
        <f t="shared" si="121"/>
        <v>0</v>
      </c>
      <c r="L284" s="2307">
        <f t="shared" si="121"/>
        <v>0</v>
      </c>
      <c r="M284" s="2307">
        <f t="shared" si="121"/>
        <v>0</v>
      </c>
      <c r="N284" s="2307">
        <f t="shared" si="121"/>
        <v>0</v>
      </c>
      <c r="O284" s="2307">
        <f t="shared" si="121"/>
        <v>0</v>
      </c>
      <c r="P284" s="2307">
        <f t="shared" si="121"/>
        <v>0</v>
      </c>
      <c r="Q284" s="2161">
        <f t="shared" ref="Q284:Q296" si="122">SUM(E284:P284)</f>
        <v>0</v>
      </c>
      <c r="R284" s="1891">
        <f t="shared" ref="R284:S296" si="123">Q284-D284</f>
        <v>-131250000</v>
      </c>
      <c r="S284" s="1891">
        <f t="shared" ref="S284:S289" si="124">Q284/D284*100</f>
        <v>0</v>
      </c>
    </row>
    <row r="285" spans="1:19" s="2070" customFormat="1">
      <c r="A285" s="1854"/>
      <c r="B285" s="202" t="s">
        <v>63</v>
      </c>
      <c r="C285" s="200"/>
      <c r="D285" s="2307">
        <f t="shared" ref="D285:P285" si="125">D286</f>
        <v>131250000</v>
      </c>
      <c r="E285" s="2307">
        <f t="shared" si="125"/>
        <v>0</v>
      </c>
      <c r="F285" s="2307">
        <f t="shared" si="125"/>
        <v>0</v>
      </c>
      <c r="G285" s="2307">
        <f t="shared" si="125"/>
        <v>0</v>
      </c>
      <c r="H285" s="2307">
        <f t="shared" si="125"/>
        <v>0</v>
      </c>
      <c r="I285" s="2307">
        <f t="shared" si="125"/>
        <v>0</v>
      </c>
      <c r="J285" s="2307">
        <f t="shared" si="125"/>
        <v>0</v>
      </c>
      <c r="K285" s="2307">
        <f t="shared" si="125"/>
        <v>0</v>
      </c>
      <c r="L285" s="2307">
        <f t="shared" si="125"/>
        <v>0</v>
      </c>
      <c r="M285" s="2307">
        <f t="shared" si="125"/>
        <v>0</v>
      </c>
      <c r="N285" s="2307">
        <f t="shared" si="125"/>
        <v>0</v>
      </c>
      <c r="O285" s="2307">
        <f t="shared" si="125"/>
        <v>0</v>
      </c>
      <c r="P285" s="2307">
        <f t="shared" si="125"/>
        <v>0</v>
      </c>
      <c r="Q285" s="2161">
        <f t="shared" si="122"/>
        <v>0</v>
      </c>
      <c r="R285" s="1891">
        <f t="shared" si="123"/>
        <v>-131250000</v>
      </c>
      <c r="S285" s="1891">
        <f t="shared" si="124"/>
        <v>0</v>
      </c>
    </row>
    <row r="286" spans="1:19" s="2070" customFormat="1">
      <c r="A286" s="1855"/>
      <c r="B286" s="202" t="s">
        <v>64</v>
      </c>
      <c r="C286" s="200"/>
      <c r="D286" s="2308">
        <f t="shared" ref="D286:P286" si="126">SUM(D287:D289)</f>
        <v>131250000</v>
      </c>
      <c r="E286" s="2308">
        <f t="shared" si="126"/>
        <v>0</v>
      </c>
      <c r="F286" s="2308">
        <f t="shared" si="126"/>
        <v>0</v>
      </c>
      <c r="G286" s="2308">
        <f t="shared" si="126"/>
        <v>0</v>
      </c>
      <c r="H286" s="2308">
        <f t="shared" si="126"/>
        <v>0</v>
      </c>
      <c r="I286" s="2308">
        <f t="shared" si="126"/>
        <v>0</v>
      </c>
      <c r="J286" s="2308">
        <f t="shared" si="126"/>
        <v>0</v>
      </c>
      <c r="K286" s="2308">
        <f t="shared" si="126"/>
        <v>0</v>
      </c>
      <c r="L286" s="2308">
        <f t="shared" si="126"/>
        <v>0</v>
      </c>
      <c r="M286" s="2308">
        <f t="shared" si="126"/>
        <v>0</v>
      </c>
      <c r="N286" s="2308">
        <f t="shared" si="126"/>
        <v>0</v>
      </c>
      <c r="O286" s="2308">
        <f t="shared" si="126"/>
        <v>0</v>
      </c>
      <c r="P286" s="2308">
        <f t="shared" si="126"/>
        <v>0</v>
      </c>
      <c r="Q286" s="2161">
        <f t="shared" si="122"/>
        <v>0</v>
      </c>
      <c r="R286" s="1891">
        <f t="shared" si="123"/>
        <v>-131250000</v>
      </c>
      <c r="S286" s="1891">
        <f t="shared" si="124"/>
        <v>0</v>
      </c>
    </row>
    <row r="287" spans="1:19" s="2070" customFormat="1">
      <c r="A287" s="1854"/>
      <c r="B287" s="200" t="s">
        <v>50</v>
      </c>
      <c r="C287" s="200" t="s">
        <v>158</v>
      </c>
      <c r="D287" s="1964">
        <f>TARGET!D282</f>
        <v>30000000</v>
      </c>
      <c r="E287" s="2160">
        <v>0</v>
      </c>
      <c r="F287" s="2160">
        <v>0</v>
      </c>
      <c r="G287" s="2160">
        <v>0</v>
      </c>
      <c r="H287" s="2160">
        <v>0</v>
      </c>
      <c r="I287" s="2160">
        <v>0</v>
      </c>
      <c r="J287" s="2160">
        <v>0</v>
      </c>
      <c r="K287" s="2160">
        <v>0</v>
      </c>
      <c r="L287" s="2160">
        <v>0</v>
      </c>
      <c r="M287" s="2160">
        <v>0</v>
      </c>
      <c r="N287" s="2160">
        <v>0</v>
      </c>
      <c r="O287" s="2160">
        <v>0</v>
      </c>
      <c r="P287" s="2160">
        <v>0</v>
      </c>
      <c r="Q287" s="2161">
        <f t="shared" si="122"/>
        <v>0</v>
      </c>
      <c r="R287" s="1891">
        <f t="shared" si="123"/>
        <v>-30000000</v>
      </c>
      <c r="S287" s="1891">
        <f t="shared" si="124"/>
        <v>0</v>
      </c>
    </row>
    <row r="288" spans="1:19" s="2070" customFormat="1">
      <c r="A288" s="1854"/>
      <c r="B288" s="200" t="s">
        <v>50</v>
      </c>
      <c r="C288" s="200" t="s">
        <v>159</v>
      </c>
      <c r="D288" s="1964">
        <f>TARGET!D283</f>
        <v>26250000</v>
      </c>
      <c r="E288" s="2160">
        <v>0</v>
      </c>
      <c r="F288" s="2160">
        <v>0</v>
      </c>
      <c r="G288" s="2160">
        <v>0</v>
      </c>
      <c r="H288" s="2160">
        <v>0</v>
      </c>
      <c r="I288" s="2160">
        <v>0</v>
      </c>
      <c r="J288" s="2160">
        <v>0</v>
      </c>
      <c r="K288" s="2160">
        <v>0</v>
      </c>
      <c r="L288" s="2160">
        <v>0</v>
      </c>
      <c r="M288" s="2160">
        <v>0</v>
      </c>
      <c r="N288" s="2160">
        <v>0</v>
      </c>
      <c r="O288" s="2160">
        <v>0</v>
      </c>
      <c r="P288" s="2160">
        <v>0</v>
      </c>
      <c r="Q288" s="2161">
        <f t="shared" si="122"/>
        <v>0</v>
      </c>
      <c r="R288" s="1891">
        <f t="shared" si="123"/>
        <v>-26250000</v>
      </c>
      <c r="S288" s="1891">
        <f t="shared" si="124"/>
        <v>0</v>
      </c>
    </row>
    <row r="289" spans="1:19" s="2070" customFormat="1">
      <c r="A289" s="1854"/>
      <c r="B289" s="200" t="s">
        <v>50</v>
      </c>
      <c r="C289" s="200" t="s">
        <v>160</v>
      </c>
      <c r="D289" s="1964">
        <f>TARGET!D284</f>
        <v>75000000</v>
      </c>
      <c r="E289" s="2160">
        <v>0</v>
      </c>
      <c r="F289" s="2160">
        <v>0</v>
      </c>
      <c r="G289" s="2160">
        <v>0</v>
      </c>
      <c r="H289" s="2160">
        <v>0</v>
      </c>
      <c r="I289" s="2160">
        <v>0</v>
      </c>
      <c r="J289" s="2160">
        <v>0</v>
      </c>
      <c r="K289" s="2160">
        <v>0</v>
      </c>
      <c r="L289" s="2160">
        <v>0</v>
      </c>
      <c r="M289" s="2160">
        <v>0</v>
      </c>
      <c r="N289" s="2160">
        <v>0</v>
      </c>
      <c r="O289" s="2160">
        <v>0</v>
      </c>
      <c r="P289" s="2160">
        <v>0</v>
      </c>
      <c r="Q289" s="2161">
        <f t="shared" si="122"/>
        <v>0</v>
      </c>
      <c r="R289" s="1891">
        <f t="shared" si="123"/>
        <v>-75000000</v>
      </c>
      <c r="S289" s="1891">
        <f t="shared" si="124"/>
        <v>0</v>
      </c>
    </row>
    <row r="290" spans="1:19" s="2070" customFormat="1" ht="5.95" customHeight="1">
      <c r="A290" s="1854"/>
      <c r="B290" s="200"/>
      <c r="C290" s="200"/>
      <c r="D290" s="2309"/>
      <c r="E290" s="2309"/>
      <c r="F290" s="2309"/>
      <c r="G290" s="2309"/>
      <c r="H290" s="2309"/>
      <c r="I290" s="2309"/>
      <c r="J290" s="2309"/>
      <c r="K290" s="2309"/>
      <c r="L290" s="2309"/>
      <c r="M290" s="2309"/>
      <c r="N290" s="2309"/>
      <c r="O290" s="2309"/>
      <c r="P290" s="2309"/>
      <c r="Q290" s="2161"/>
      <c r="R290" s="1891">
        <f t="shared" si="123"/>
        <v>0</v>
      </c>
      <c r="S290" s="1891">
        <f t="shared" si="123"/>
        <v>0</v>
      </c>
    </row>
    <row r="291" spans="1:19" s="2070" customFormat="1">
      <c r="A291" s="1854"/>
      <c r="B291" s="202" t="s">
        <v>71</v>
      </c>
      <c r="C291" s="202"/>
      <c r="D291" s="2282">
        <f t="shared" ref="D291:P291" si="127">SUM(D292:D296)</f>
        <v>0</v>
      </c>
      <c r="E291" s="2282">
        <f t="shared" si="127"/>
        <v>0</v>
      </c>
      <c r="F291" s="2282">
        <f t="shared" si="127"/>
        <v>0</v>
      </c>
      <c r="G291" s="2282">
        <f t="shared" si="127"/>
        <v>0</v>
      </c>
      <c r="H291" s="2282">
        <f t="shared" si="127"/>
        <v>0</v>
      </c>
      <c r="I291" s="2282">
        <f t="shared" si="127"/>
        <v>0</v>
      </c>
      <c r="J291" s="2282">
        <f t="shared" si="127"/>
        <v>0</v>
      </c>
      <c r="K291" s="2282">
        <f t="shared" si="127"/>
        <v>0</v>
      </c>
      <c r="L291" s="2282">
        <f t="shared" si="127"/>
        <v>0</v>
      </c>
      <c r="M291" s="2282">
        <f t="shared" si="127"/>
        <v>0</v>
      </c>
      <c r="N291" s="2282">
        <f t="shared" si="127"/>
        <v>0</v>
      </c>
      <c r="O291" s="2282">
        <f t="shared" si="127"/>
        <v>0</v>
      </c>
      <c r="P291" s="2282">
        <f t="shared" si="127"/>
        <v>0</v>
      </c>
      <c r="Q291" s="2161">
        <f>SUM(E291:P291)</f>
        <v>0</v>
      </c>
      <c r="R291" s="1891">
        <f t="shared" si="123"/>
        <v>0</v>
      </c>
      <c r="S291" s="1891">
        <v>0</v>
      </c>
    </row>
    <row r="292" spans="1:19" s="2070" customFormat="1">
      <c r="A292" s="1854"/>
      <c r="B292" s="2727" t="s">
        <v>50</v>
      </c>
      <c r="C292" s="200" t="s">
        <v>72</v>
      </c>
      <c r="D292" s="1964">
        <f>TARGET!D287</f>
        <v>0</v>
      </c>
      <c r="E292" s="2581">
        <v>0</v>
      </c>
      <c r="F292" s="2581">
        <v>0</v>
      </c>
      <c r="G292" s="2581">
        <v>0</v>
      </c>
      <c r="H292" s="2581">
        <v>0</v>
      </c>
      <c r="I292" s="2581">
        <v>0</v>
      </c>
      <c r="J292" s="2581">
        <v>0</v>
      </c>
      <c r="K292" s="2581">
        <v>0</v>
      </c>
      <c r="L292" s="2581">
        <v>0</v>
      </c>
      <c r="M292" s="2581">
        <v>0</v>
      </c>
      <c r="N292" s="2581">
        <v>0</v>
      </c>
      <c r="O292" s="2581">
        <v>0</v>
      </c>
      <c r="P292" s="2581">
        <v>0</v>
      </c>
      <c r="Q292" s="2161">
        <f t="shared" si="122"/>
        <v>0</v>
      </c>
      <c r="R292" s="1891">
        <f t="shared" si="123"/>
        <v>0</v>
      </c>
      <c r="S292" s="1891">
        <v>0</v>
      </c>
    </row>
    <row r="293" spans="1:19" s="2070" customFormat="1">
      <c r="A293" s="1854"/>
      <c r="B293" s="2727" t="s">
        <v>50</v>
      </c>
      <c r="C293" s="200" t="s">
        <v>73</v>
      </c>
      <c r="D293" s="1964">
        <f>TARGET!D288</f>
        <v>0</v>
      </c>
      <c r="E293" s="2581">
        <v>0</v>
      </c>
      <c r="F293" s="2581">
        <v>0</v>
      </c>
      <c r="G293" s="2581">
        <v>0</v>
      </c>
      <c r="H293" s="2581">
        <v>0</v>
      </c>
      <c r="I293" s="2581">
        <v>0</v>
      </c>
      <c r="J293" s="2581">
        <v>0</v>
      </c>
      <c r="K293" s="2581">
        <v>0</v>
      </c>
      <c r="L293" s="2581">
        <v>0</v>
      </c>
      <c r="M293" s="2581">
        <v>0</v>
      </c>
      <c r="N293" s="2581">
        <v>0</v>
      </c>
      <c r="O293" s="2581">
        <v>0</v>
      </c>
      <c r="P293" s="2581">
        <v>0</v>
      </c>
      <c r="Q293" s="2161">
        <f t="shared" si="122"/>
        <v>0</v>
      </c>
      <c r="R293" s="1891">
        <f t="shared" si="123"/>
        <v>0</v>
      </c>
      <c r="S293" s="1891">
        <v>0</v>
      </c>
    </row>
    <row r="294" spans="1:19" s="2070" customFormat="1">
      <c r="A294" s="1854"/>
      <c r="B294" s="2727" t="s">
        <v>50</v>
      </c>
      <c r="C294" s="200" t="s">
        <v>74</v>
      </c>
      <c r="D294" s="1964">
        <f>TARGET!D289</f>
        <v>0</v>
      </c>
      <c r="E294" s="2581">
        <v>0</v>
      </c>
      <c r="F294" s="2581">
        <v>0</v>
      </c>
      <c r="G294" s="2581">
        <v>0</v>
      </c>
      <c r="H294" s="2581">
        <v>0</v>
      </c>
      <c r="I294" s="2581">
        <v>0</v>
      </c>
      <c r="J294" s="2581">
        <v>0</v>
      </c>
      <c r="K294" s="2581">
        <v>0</v>
      </c>
      <c r="L294" s="2581">
        <v>0</v>
      </c>
      <c r="M294" s="2581">
        <v>0</v>
      </c>
      <c r="N294" s="2581">
        <v>0</v>
      </c>
      <c r="O294" s="2581">
        <v>0</v>
      </c>
      <c r="P294" s="2581">
        <v>0</v>
      </c>
      <c r="Q294" s="2161">
        <f t="shared" si="122"/>
        <v>0</v>
      </c>
      <c r="R294" s="1891">
        <f t="shared" si="123"/>
        <v>0</v>
      </c>
      <c r="S294" s="1891">
        <v>0</v>
      </c>
    </row>
    <row r="295" spans="1:19" s="2070" customFormat="1">
      <c r="A295" s="1854"/>
      <c r="B295" s="2727" t="s">
        <v>50</v>
      </c>
      <c r="C295" s="206" t="s">
        <v>75</v>
      </c>
      <c r="D295" s="1964">
        <f>TARGET!D290</f>
        <v>0</v>
      </c>
      <c r="E295" s="2581">
        <v>0</v>
      </c>
      <c r="F295" s="2581">
        <v>0</v>
      </c>
      <c r="G295" s="2581">
        <v>0</v>
      </c>
      <c r="H295" s="2581">
        <v>0</v>
      </c>
      <c r="I295" s="2581">
        <v>0</v>
      </c>
      <c r="J295" s="2581">
        <v>0</v>
      </c>
      <c r="K295" s="2581">
        <v>0</v>
      </c>
      <c r="L295" s="2581">
        <v>0</v>
      </c>
      <c r="M295" s="2581">
        <v>0</v>
      </c>
      <c r="N295" s="2581">
        <v>0</v>
      </c>
      <c r="O295" s="2581">
        <v>0</v>
      </c>
      <c r="P295" s="2581">
        <v>0</v>
      </c>
      <c r="Q295" s="2161">
        <f t="shared" si="122"/>
        <v>0</v>
      </c>
      <c r="R295" s="1891">
        <f t="shared" si="123"/>
        <v>0</v>
      </c>
      <c r="S295" s="1891">
        <v>0</v>
      </c>
    </row>
    <row r="296" spans="1:19" s="2070" customFormat="1">
      <c r="A296" s="1854"/>
      <c r="B296" s="2727" t="s">
        <v>50</v>
      </c>
      <c r="C296" s="206" t="s">
        <v>85</v>
      </c>
      <c r="D296" s="1964">
        <f>TARGET!D291</f>
        <v>0</v>
      </c>
      <c r="E296" s="2581">
        <v>0</v>
      </c>
      <c r="F296" s="2581">
        <v>0</v>
      </c>
      <c r="G296" s="2581">
        <v>0</v>
      </c>
      <c r="H296" s="2581">
        <v>0</v>
      </c>
      <c r="I296" s="2581">
        <v>0</v>
      </c>
      <c r="J296" s="2581">
        <v>0</v>
      </c>
      <c r="K296" s="2581">
        <v>0</v>
      </c>
      <c r="L296" s="2581">
        <v>0</v>
      </c>
      <c r="M296" s="2581">
        <v>0</v>
      </c>
      <c r="N296" s="2581">
        <v>0</v>
      </c>
      <c r="O296" s="2581">
        <v>0</v>
      </c>
      <c r="P296" s="2581">
        <v>0</v>
      </c>
      <c r="Q296" s="2161">
        <f t="shared" si="122"/>
        <v>0</v>
      </c>
      <c r="R296" s="1891">
        <f t="shared" si="123"/>
        <v>0</v>
      </c>
      <c r="S296" s="1891">
        <v>0</v>
      </c>
    </row>
    <row r="297" spans="1:19" s="2070" customFormat="1" ht="5.35" customHeight="1">
      <c r="A297" s="1465"/>
      <c r="B297" s="2298"/>
      <c r="C297" s="2298"/>
      <c r="D297" s="2310">
        <v>0</v>
      </c>
      <c r="E297" s="2310">
        <v>0</v>
      </c>
      <c r="F297" s="2310">
        <v>0</v>
      </c>
      <c r="G297" s="2310">
        <v>0</v>
      </c>
      <c r="H297" s="2310">
        <v>0</v>
      </c>
      <c r="I297" s="2310">
        <v>0</v>
      </c>
      <c r="J297" s="2310">
        <v>0</v>
      </c>
      <c r="K297" s="2310">
        <v>0</v>
      </c>
      <c r="L297" s="2310">
        <v>0</v>
      </c>
      <c r="M297" s="2310">
        <v>0</v>
      </c>
      <c r="N297" s="2310">
        <v>0</v>
      </c>
      <c r="O297" s="2310">
        <v>0</v>
      </c>
      <c r="P297" s="2310">
        <v>0</v>
      </c>
      <c r="Q297" s="2311">
        <v>0</v>
      </c>
      <c r="R297" s="2311">
        <v>0</v>
      </c>
      <c r="S297" s="2311">
        <v>0</v>
      </c>
    </row>
    <row r="298" spans="1:19" s="2073" customFormat="1" ht="15.05">
      <c r="A298" s="2528"/>
      <c r="B298" s="2195" t="s">
        <v>161</v>
      </c>
      <c r="C298" s="2313" t="s">
        <v>162</v>
      </c>
      <c r="D298" s="2306">
        <f t="shared" ref="D298:P298" si="128">SUM(D299)</f>
        <v>0</v>
      </c>
      <c r="E298" s="2306">
        <f t="shared" si="128"/>
        <v>0</v>
      </c>
      <c r="F298" s="2306">
        <f t="shared" si="128"/>
        <v>0</v>
      </c>
      <c r="G298" s="2306">
        <f t="shared" si="128"/>
        <v>0</v>
      </c>
      <c r="H298" s="2306">
        <f t="shared" si="128"/>
        <v>0</v>
      </c>
      <c r="I298" s="2306">
        <f t="shared" si="128"/>
        <v>0</v>
      </c>
      <c r="J298" s="2306">
        <f t="shared" si="128"/>
        <v>0</v>
      </c>
      <c r="K298" s="2306">
        <f t="shared" si="128"/>
        <v>0</v>
      </c>
      <c r="L298" s="2306">
        <f t="shared" si="128"/>
        <v>0</v>
      </c>
      <c r="M298" s="2306">
        <f t="shared" si="128"/>
        <v>0</v>
      </c>
      <c r="N298" s="2306">
        <f t="shared" si="128"/>
        <v>0</v>
      </c>
      <c r="O298" s="2306">
        <f t="shared" si="128"/>
        <v>0</v>
      </c>
      <c r="P298" s="2306">
        <f t="shared" si="128"/>
        <v>0</v>
      </c>
      <c r="Q298" s="2147">
        <f>SUM(E298:P298)</f>
        <v>0</v>
      </c>
      <c r="R298" s="2147">
        <f>Q298-D298</f>
        <v>0</v>
      </c>
      <c r="S298" s="2147">
        <f>R298-E298</f>
        <v>0</v>
      </c>
    </row>
    <row r="299" spans="1:19" s="2070" customFormat="1">
      <c r="A299" s="1854"/>
      <c r="B299" s="202" t="s">
        <v>71</v>
      </c>
      <c r="C299" s="202"/>
      <c r="D299" s="2307">
        <f t="shared" ref="D299:P299" si="129">SUM(D300:D304)</f>
        <v>0</v>
      </c>
      <c r="E299" s="2307">
        <f t="shared" si="129"/>
        <v>0</v>
      </c>
      <c r="F299" s="2307">
        <f t="shared" si="129"/>
        <v>0</v>
      </c>
      <c r="G299" s="2307">
        <f t="shared" si="129"/>
        <v>0</v>
      </c>
      <c r="H299" s="2307">
        <f t="shared" si="129"/>
        <v>0</v>
      </c>
      <c r="I299" s="2307">
        <f t="shared" si="129"/>
        <v>0</v>
      </c>
      <c r="J299" s="2307">
        <f t="shared" si="129"/>
        <v>0</v>
      </c>
      <c r="K299" s="2307">
        <f t="shared" si="129"/>
        <v>0</v>
      </c>
      <c r="L299" s="2307">
        <f t="shared" si="129"/>
        <v>0</v>
      </c>
      <c r="M299" s="2307">
        <f t="shared" si="129"/>
        <v>0</v>
      </c>
      <c r="N299" s="2307">
        <f t="shared" si="129"/>
        <v>0</v>
      </c>
      <c r="O299" s="2307">
        <f t="shared" si="129"/>
        <v>0</v>
      </c>
      <c r="P299" s="2307">
        <f t="shared" si="129"/>
        <v>0</v>
      </c>
      <c r="Q299" s="2161">
        <f t="shared" ref="Q299:Q304" si="130">SUM(E299:P299)</f>
        <v>0</v>
      </c>
      <c r="R299" s="1891">
        <f t="shared" ref="R299:R304" si="131">Q299-D299</f>
        <v>0</v>
      </c>
      <c r="S299" s="1891">
        <v>0</v>
      </c>
    </row>
    <row r="300" spans="1:19" s="2070" customFormat="1">
      <c r="A300" s="1854"/>
      <c r="B300" s="2727" t="s">
        <v>50</v>
      </c>
      <c r="C300" s="200" t="s">
        <v>72</v>
      </c>
      <c r="D300" s="1964">
        <f>TARGET!D295</f>
        <v>0</v>
      </c>
      <c r="E300" s="2589">
        <v>0</v>
      </c>
      <c r="F300" s="2589">
        <v>0</v>
      </c>
      <c r="G300" s="2589">
        <v>0</v>
      </c>
      <c r="H300" s="2589">
        <v>0</v>
      </c>
      <c r="I300" s="2589">
        <v>0</v>
      </c>
      <c r="J300" s="2589">
        <v>0</v>
      </c>
      <c r="K300" s="2589">
        <v>0</v>
      </c>
      <c r="L300" s="2589">
        <v>0</v>
      </c>
      <c r="M300" s="2589">
        <v>0</v>
      </c>
      <c r="N300" s="2589">
        <v>0</v>
      </c>
      <c r="O300" s="2589">
        <v>0</v>
      </c>
      <c r="P300" s="2589">
        <v>0</v>
      </c>
      <c r="Q300" s="2161">
        <f t="shared" si="130"/>
        <v>0</v>
      </c>
      <c r="R300" s="1891">
        <f t="shared" si="131"/>
        <v>0</v>
      </c>
      <c r="S300" s="1891">
        <v>0</v>
      </c>
    </row>
    <row r="301" spans="1:19" s="2070" customFormat="1">
      <c r="A301" s="1854"/>
      <c r="B301" s="2727" t="s">
        <v>50</v>
      </c>
      <c r="C301" s="200" t="s">
        <v>73</v>
      </c>
      <c r="D301" s="1964">
        <f>TARGET!D296</f>
        <v>0</v>
      </c>
      <c r="E301" s="2589">
        <v>0</v>
      </c>
      <c r="F301" s="2589">
        <v>0</v>
      </c>
      <c r="G301" s="2589">
        <v>0</v>
      </c>
      <c r="H301" s="2589">
        <v>0</v>
      </c>
      <c r="I301" s="2589">
        <v>0</v>
      </c>
      <c r="J301" s="2589">
        <v>0</v>
      </c>
      <c r="K301" s="2589">
        <v>0</v>
      </c>
      <c r="L301" s="2589">
        <v>0</v>
      </c>
      <c r="M301" s="2589">
        <v>0</v>
      </c>
      <c r="N301" s="2589">
        <v>0</v>
      </c>
      <c r="O301" s="2589">
        <v>0</v>
      </c>
      <c r="P301" s="2589">
        <v>0</v>
      </c>
      <c r="Q301" s="2161">
        <f t="shared" si="130"/>
        <v>0</v>
      </c>
      <c r="R301" s="1891">
        <f t="shared" si="131"/>
        <v>0</v>
      </c>
      <c r="S301" s="1891">
        <v>0</v>
      </c>
    </row>
    <row r="302" spans="1:19" s="2070" customFormat="1">
      <c r="A302" s="1854"/>
      <c r="B302" s="2727" t="s">
        <v>50</v>
      </c>
      <c r="C302" s="200" t="s">
        <v>74</v>
      </c>
      <c r="D302" s="1964">
        <f>TARGET!D297</f>
        <v>0</v>
      </c>
      <c r="E302" s="2589">
        <v>0</v>
      </c>
      <c r="F302" s="2589">
        <v>0</v>
      </c>
      <c r="G302" s="2589">
        <v>0</v>
      </c>
      <c r="H302" s="2589">
        <v>0</v>
      </c>
      <c r="I302" s="2589">
        <v>0</v>
      </c>
      <c r="J302" s="2589">
        <v>0</v>
      </c>
      <c r="K302" s="2589">
        <v>0</v>
      </c>
      <c r="L302" s="2589">
        <v>0</v>
      </c>
      <c r="M302" s="2589">
        <v>0</v>
      </c>
      <c r="N302" s="2589">
        <v>0</v>
      </c>
      <c r="O302" s="2589">
        <v>0</v>
      </c>
      <c r="P302" s="2589">
        <v>0</v>
      </c>
      <c r="Q302" s="2161">
        <f t="shared" si="130"/>
        <v>0</v>
      </c>
      <c r="R302" s="1891">
        <f t="shared" si="131"/>
        <v>0</v>
      </c>
      <c r="S302" s="1891">
        <v>0</v>
      </c>
    </row>
    <row r="303" spans="1:19" s="2070" customFormat="1">
      <c r="A303" s="1854"/>
      <c r="B303" s="2727" t="s">
        <v>50</v>
      </c>
      <c r="C303" s="206" t="s">
        <v>75</v>
      </c>
      <c r="D303" s="1964">
        <f>TARGET!D298</f>
        <v>0</v>
      </c>
      <c r="E303" s="2581">
        <v>0</v>
      </c>
      <c r="F303" s="2581">
        <v>0</v>
      </c>
      <c r="G303" s="2581">
        <v>0</v>
      </c>
      <c r="H303" s="2581">
        <v>0</v>
      </c>
      <c r="I303" s="2581">
        <v>0</v>
      </c>
      <c r="J303" s="2581">
        <v>0</v>
      </c>
      <c r="K303" s="2581">
        <v>0</v>
      </c>
      <c r="L303" s="2581">
        <v>0</v>
      </c>
      <c r="M303" s="2581">
        <v>0</v>
      </c>
      <c r="N303" s="2581">
        <v>0</v>
      </c>
      <c r="O303" s="2581">
        <v>0</v>
      </c>
      <c r="P303" s="2581">
        <v>0</v>
      </c>
      <c r="Q303" s="2161">
        <f t="shared" si="130"/>
        <v>0</v>
      </c>
      <c r="R303" s="1891">
        <f t="shared" si="131"/>
        <v>0</v>
      </c>
      <c r="S303" s="1891">
        <v>0</v>
      </c>
    </row>
    <row r="304" spans="1:19" s="2070" customFormat="1">
      <c r="A304" s="1854"/>
      <c r="B304" s="2727" t="s">
        <v>50</v>
      </c>
      <c r="C304" s="206" t="s">
        <v>85</v>
      </c>
      <c r="D304" s="1964">
        <f>TARGET!D299</f>
        <v>0</v>
      </c>
      <c r="E304" s="2581">
        <v>0</v>
      </c>
      <c r="F304" s="2581">
        <v>0</v>
      </c>
      <c r="G304" s="2581">
        <v>0</v>
      </c>
      <c r="H304" s="2581">
        <v>0</v>
      </c>
      <c r="I304" s="2581">
        <v>0</v>
      </c>
      <c r="J304" s="2581">
        <v>0</v>
      </c>
      <c r="K304" s="2581">
        <v>0</v>
      </c>
      <c r="L304" s="2581">
        <v>0</v>
      </c>
      <c r="M304" s="2581">
        <v>0</v>
      </c>
      <c r="N304" s="2581">
        <v>0</v>
      </c>
      <c r="O304" s="2581">
        <v>0</v>
      </c>
      <c r="P304" s="2581">
        <v>0</v>
      </c>
      <c r="Q304" s="2161">
        <f t="shared" si="130"/>
        <v>0</v>
      </c>
      <c r="R304" s="1891">
        <f t="shared" si="131"/>
        <v>0</v>
      </c>
      <c r="S304" s="1891">
        <v>0</v>
      </c>
    </row>
    <row r="305" spans="1:19" s="2070" customFormat="1" ht="5.35" customHeight="1">
      <c r="A305" s="1465"/>
      <c r="B305" s="2117"/>
      <c r="C305" s="2117"/>
      <c r="D305" s="2314"/>
      <c r="E305" s="2314"/>
      <c r="F305" s="2314"/>
      <c r="G305" s="2314"/>
      <c r="H305" s="2314"/>
      <c r="I305" s="2314"/>
      <c r="J305" s="2314"/>
      <c r="K305" s="2314"/>
      <c r="L305" s="2314"/>
      <c r="M305" s="2314"/>
      <c r="N305" s="2314"/>
      <c r="O305" s="2314"/>
      <c r="P305" s="2314"/>
      <c r="Q305" s="2315"/>
      <c r="R305" s="2315"/>
      <c r="S305" s="2315"/>
    </row>
    <row r="306" spans="1:19" s="2073" customFormat="1" ht="15.05">
      <c r="A306" s="2528"/>
      <c r="B306" s="2195" t="s">
        <v>163</v>
      </c>
      <c r="C306" s="2313" t="s">
        <v>164</v>
      </c>
      <c r="D306" s="2306">
        <f t="shared" ref="D306:P306" si="132">SUM(D307)</f>
        <v>0</v>
      </c>
      <c r="E306" s="2306">
        <f t="shared" si="132"/>
        <v>0</v>
      </c>
      <c r="F306" s="2306">
        <f t="shared" si="132"/>
        <v>0</v>
      </c>
      <c r="G306" s="2306">
        <f t="shared" si="132"/>
        <v>0</v>
      </c>
      <c r="H306" s="2306">
        <f t="shared" si="132"/>
        <v>0</v>
      </c>
      <c r="I306" s="2306">
        <f t="shared" si="132"/>
        <v>0</v>
      </c>
      <c r="J306" s="2306">
        <f t="shared" si="132"/>
        <v>0</v>
      </c>
      <c r="K306" s="2306">
        <f t="shared" si="132"/>
        <v>0</v>
      </c>
      <c r="L306" s="2306">
        <f t="shared" si="132"/>
        <v>0</v>
      </c>
      <c r="M306" s="2306">
        <f t="shared" si="132"/>
        <v>0</v>
      </c>
      <c r="N306" s="2306">
        <f t="shared" si="132"/>
        <v>0</v>
      </c>
      <c r="O306" s="2306">
        <f t="shared" si="132"/>
        <v>0</v>
      </c>
      <c r="P306" s="2306">
        <f t="shared" si="132"/>
        <v>0</v>
      </c>
      <c r="Q306" s="2147">
        <f>SUM(E306:P306)</f>
        <v>0</v>
      </c>
      <c r="R306" s="2147">
        <f>Q306-D306</f>
        <v>0</v>
      </c>
      <c r="S306" s="2147">
        <f>R306-E306</f>
        <v>0</v>
      </c>
    </row>
    <row r="307" spans="1:19" s="2070" customFormat="1">
      <c r="A307" s="1854"/>
      <c r="B307" s="202" t="s">
        <v>71</v>
      </c>
      <c r="C307" s="202"/>
      <c r="D307" s="2307">
        <f t="shared" ref="D307:P307" si="133">SUM(D308:D312)</f>
        <v>0</v>
      </c>
      <c r="E307" s="2307">
        <f t="shared" si="133"/>
        <v>0</v>
      </c>
      <c r="F307" s="2307">
        <f t="shared" si="133"/>
        <v>0</v>
      </c>
      <c r="G307" s="2307">
        <f t="shared" si="133"/>
        <v>0</v>
      </c>
      <c r="H307" s="2307">
        <f t="shared" si="133"/>
        <v>0</v>
      </c>
      <c r="I307" s="2307">
        <f t="shared" si="133"/>
        <v>0</v>
      </c>
      <c r="J307" s="2307">
        <f t="shared" si="133"/>
        <v>0</v>
      </c>
      <c r="K307" s="2307">
        <f t="shared" si="133"/>
        <v>0</v>
      </c>
      <c r="L307" s="2307">
        <f t="shared" si="133"/>
        <v>0</v>
      </c>
      <c r="M307" s="2307">
        <f t="shared" si="133"/>
        <v>0</v>
      </c>
      <c r="N307" s="2307">
        <f t="shared" si="133"/>
        <v>0</v>
      </c>
      <c r="O307" s="2307">
        <f t="shared" si="133"/>
        <v>0</v>
      </c>
      <c r="P307" s="2307">
        <f t="shared" si="133"/>
        <v>0</v>
      </c>
      <c r="Q307" s="2161">
        <f t="shared" ref="Q307:Q312" si="134">SUM(E307:P307)</f>
        <v>0</v>
      </c>
      <c r="R307" s="1891">
        <f t="shared" ref="R307:R312" si="135">Q307-D307</f>
        <v>0</v>
      </c>
      <c r="S307" s="1891">
        <v>0</v>
      </c>
    </row>
    <row r="308" spans="1:19" s="2070" customFormat="1">
      <c r="A308" s="1854"/>
      <c r="B308" s="2727" t="s">
        <v>50</v>
      </c>
      <c r="C308" s="200" t="s">
        <v>72</v>
      </c>
      <c r="D308" s="1964">
        <f>TARGET!D303</f>
        <v>0</v>
      </c>
      <c r="E308" s="2589">
        <v>0</v>
      </c>
      <c r="F308" s="2589">
        <v>0</v>
      </c>
      <c r="G308" s="2589">
        <v>0</v>
      </c>
      <c r="H308" s="2589">
        <v>0</v>
      </c>
      <c r="I308" s="2589">
        <v>0</v>
      </c>
      <c r="J308" s="2589">
        <v>0</v>
      </c>
      <c r="K308" s="2589">
        <v>0</v>
      </c>
      <c r="L308" s="2589">
        <v>0</v>
      </c>
      <c r="M308" s="2589">
        <v>0</v>
      </c>
      <c r="N308" s="2589">
        <v>0</v>
      </c>
      <c r="O308" s="2589">
        <v>0</v>
      </c>
      <c r="P308" s="2589">
        <v>0</v>
      </c>
      <c r="Q308" s="2161">
        <f t="shared" si="134"/>
        <v>0</v>
      </c>
      <c r="R308" s="1891">
        <f t="shared" si="135"/>
        <v>0</v>
      </c>
      <c r="S308" s="1891">
        <v>0</v>
      </c>
    </row>
    <row r="309" spans="1:19" s="2070" customFormat="1">
      <c r="A309" s="1854"/>
      <c r="B309" s="2727" t="s">
        <v>50</v>
      </c>
      <c r="C309" s="200" t="s">
        <v>73</v>
      </c>
      <c r="D309" s="1964">
        <f>TARGET!D304</f>
        <v>0</v>
      </c>
      <c r="E309" s="2589">
        <v>0</v>
      </c>
      <c r="F309" s="2589">
        <v>0</v>
      </c>
      <c r="G309" s="2589">
        <v>0</v>
      </c>
      <c r="H309" s="2589">
        <v>0</v>
      </c>
      <c r="I309" s="2589">
        <v>0</v>
      </c>
      <c r="J309" s="2589">
        <v>0</v>
      </c>
      <c r="K309" s="2589">
        <v>0</v>
      </c>
      <c r="L309" s="2589">
        <v>0</v>
      </c>
      <c r="M309" s="2589">
        <v>0</v>
      </c>
      <c r="N309" s="2589">
        <v>0</v>
      </c>
      <c r="O309" s="2589">
        <v>0</v>
      </c>
      <c r="P309" s="2589">
        <v>0</v>
      </c>
      <c r="Q309" s="2161">
        <f t="shared" si="134"/>
        <v>0</v>
      </c>
      <c r="R309" s="1891">
        <f t="shared" si="135"/>
        <v>0</v>
      </c>
      <c r="S309" s="1891">
        <v>0</v>
      </c>
    </row>
    <row r="310" spans="1:19" s="2070" customFormat="1">
      <c r="A310" s="1854"/>
      <c r="B310" s="2727" t="s">
        <v>50</v>
      </c>
      <c r="C310" s="200" t="s">
        <v>74</v>
      </c>
      <c r="D310" s="1964">
        <f>TARGET!D305</f>
        <v>0</v>
      </c>
      <c r="E310" s="2589">
        <v>0</v>
      </c>
      <c r="F310" s="2589">
        <v>0</v>
      </c>
      <c r="G310" s="2589">
        <v>0</v>
      </c>
      <c r="H310" s="2589">
        <v>0</v>
      </c>
      <c r="I310" s="2589">
        <v>0</v>
      </c>
      <c r="J310" s="2589">
        <v>0</v>
      </c>
      <c r="K310" s="2589">
        <v>0</v>
      </c>
      <c r="L310" s="2589">
        <v>0</v>
      </c>
      <c r="M310" s="2589">
        <v>0</v>
      </c>
      <c r="N310" s="2589">
        <v>0</v>
      </c>
      <c r="O310" s="2589">
        <v>0</v>
      </c>
      <c r="P310" s="2589">
        <v>0</v>
      </c>
      <c r="Q310" s="2161">
        <f t="shared" si="134"/>
        <v>0</v>
      </c>
      <c r="R310" s="1891">
        <f t="shared" si="135"/>
        <v>0</v>
      </c>
      <c r="S310" s="1891">
        <v>0</v>
      </c>
    </row>
    <row r="311" spans="1:19" s="2070" customFormat="1">
      <c r="A311" s="1854"/>
      <c r="B311" s="2727" t="s">
        <v>50</v>
      </c>
      <c r="C311" s="206" t="s">
        <v>75</v>
      </c>
      <c r="D311" s="1964">
        <f>TARGET!D306</f>
        <v>0</v>
      </c>
      <c r="E311" s="2581">
        <v>0</v>
      </c>
      <c r="F311" s="2581">
        <v>0</v>
      </c>
      <c r="G311" s="2581">
        <v>0</v>
      </c>
      <c r="H311" s="2581">
        <v>0</v>
      </c>
      <c r="I311" s="2581">
        <v>0</v>
      </c>
      <c r="J311" s="2581">
        <v>0</v>
      </c>
      <c r="K311" s="2581">
        <v>0</v>
      </c>
      <c r="L311" s="2581">
        <v>0</v>
      </c>
      <c r="M311" s="2581">
        <v>0</v>
      </c>
      <c r="N311" s="2581">
        <v>0</v>
      </c>
      <c r="O311" s="2581">
        <v>0</v>
      </c>
      <c r="P311" s="2581">
        <v>0</v>
      </c>
      <c r="Q311" s="2161">
        <f t="shared" si="134"/>
        <v>0</v>
      </c>
      <c r="R311" s="1891">
        <f t="shared" si="135"/>
        <v>0</v>
      </c>
      <c r="S311" s="1891">
        <v>0</v>
      </c>
    </row>
    <row r="312" spans="1:19" s="2070" customFormat="1">
      <c r="A312" s="1854"/>
      <c r="B312" s="2727" t="s">
        <v>50</v>
      </c>
      <c r="C312" s="206" t="s">
        <v>85</v>
      </c>
      <c r="D312" s="1964">
        <f>TARGET!D307</f>
        <v>0</v>
      </c>
      <c r="E312" s="2581">
        <v>0</v>
      </c>
      <c r="F312" s="2581">
        <v>0</v>
      </c>
      <c r="G312" s="2581">
        <v>0</v>
      </c>
      <c r="H312" s="2581">
        <v>0</v>
      </c>
      <c r="I312" s="2581">
        <v>0</v>
      </c>
      <c r="J312" s="2581">
        <v>0</v>
      </c>
      <c r="K312" s="2581">
        <v>0</v>
      </c>
      <c r="L312" s="2581">
        <v>0</v>
      </c>
      <c r="M312" s="2581">
        <v>0</v>
      </c>
      <c r="N312" s="2581">
        <v>0</v>
      </c>
      <c r="O312" s="2581">
        <v>0</v>
      </c>
      <c r="P312" s="2581">
        <v>0</v>
      </c>
      <c r="Q312" s="2161">
        <f t="shared" si="134"/>
        <v>0</v>
      </c>
      <c r="R312" s="1891">
        <f t="shared" si="135"/>
        <v>0</v>
      </c>
      <c r="S312" s="1891">
        <v>0</v>
      </c>
    </row>
    <row r="313" spans="1:19" s="2070" customFormat="1" ht="5.35" customHeight="1">
      <c r="A313" s="1854"/>
      <c r="B313" s="200"/>
      <c r="C313" s="200"/>
      <c r="D313" s="2303"/>
      <c r="E313" s="2303"/>
      <c r="F313" s="2303"/>
      <c r="G313" s="2303"/>
      <c r="H313" s="2303"/>
      <c r="I313" s="2303"/>
      <c r="J313" s="2303"/>
      <c r="K313" s="2303"/>
      <c r="L313" s="2303"/>
      <c r="M313" s="2303"/>
      <c r="N313" s="2303"/>
      <c r="O313" s="2303"/>
      <c r="P313" s="2303"/>
      <c r="Q313" s="2304"/>
      <c r="R313" s="2304"/>
      <c r="S313" s="2304"/>
    </row>
    <row r="314" spans="1:19" s="2073" customFormat="1" ht="15.05">
      <c r="A314" s="2528"/>
      <c r="B314" s="2195" t="s">
        <v>165</v>
      </c>
      <c r="C314" s="2313" t="s">
        <v>166</v>
      </c>
      <c r="D314" s="2306">
        <f t="shared" ref="D314:P314" si="136">SUM(D315)</f>
        <v>0</v>
      </c>
      <c r="E314" s="2306">
        <f t="shared" si="136"/>
        <v>0</v>
      </c>
      <c r="F314" s="2306">
        <f t="shared" si="136"/>
        <v>0</v>
      </c>
      <c r="G314" s="2306">
        <f t="shared" si="136"/>
        <v>0</v>
      </c>
      <c r="H314" s="2306">
        <f t="shared" si="136"/>
        <v>0</v>
      </c>
      <c r="I314" s="2306">
        <f t="shared" si="136"/>
        <v>0</v>
      </c>
      <c r="J314" s="2306">
        <f t="shared" si="136"/>
        <v>0</v>
      </c>
      <c r="K314" s="2306">
        <f t="shared" si="136"/>
        <v>0</v>
      </c>
      <c r="L314" s="2306">
        <f t="shared" si="136"/>
        <v>0</v>
      </c>
      <c r="M314" s="2306">
        <f t="shared" si="136"/>
        <v>0</v>
      </c>
      <c r="N314" s="2306">
        <f t="shared" si="136"/>
        <v>0</v>
      </c>
      <c r="O314" s="2306">
        <f t="shared" si="136"/>
        <v>0</v>
      </c>
      <c r="P314" s="2306">
        <f t="shared" si="136"/>
        <v>0</v>
      </c>
      <c r="Q314" s="2147">
        <f>SUM(E314:P314)</f>
        <v>0</v>
      </c>
      <c r="R314" s="2147">
        <f>Q314-D314</f>
        <v>0</v>
      </c>
      <c r="S314" s="2147">
        <f>R314-E314</f>
        <v>0</v>
      </c>
    </row>
    <row r="315" spans="1:19" s="2070" customFormat="1">
      <c r="A315" s="1854"/>
      <c r="B315" s="202" t="s">
        <v>71</v>
      </c>
      <c r="C315" s="202"/>
      <c r="D315" s="2307">
        <f t="shared" ref="D315:P315" si="137">SUM(D316:D320)</f>
        <v>0</v>
      </c>
      <c r="E315" s="2307">
        <f t="shared" si="137"/>
        <v>0</v>
      </c>
      <c r="F315" s="2307">
        <f t="shared" si="137"/>
        <v>0</v>
      </c>
      <c r="G315" s="2307">
        <f t="shared" si="137"/>
        <v>0</v>
      </c>
      <c r="H315" s="2307">
        <f t="shared" si="137"/>
        <v>0</v>
      </c>
      <c r="I315" s="2307">
        <f t="shared" si="137"/>
        <v>0</v>
      </c>
      <c r="J315" s="2307">
        <f t="shared" si="137"/>
        <v>0</v>
      </c>
      <c r="K315" s="2307">
        <f t="shared" si="137"/>
        <v>0</v>
      </c>
      <c r="L315" s="2307">
        <f t="shared" si="137"/>
        <v>0</v>
      </c>
      <c r="M315" s="2307">
        <f t="shared" si="137"/>
        <v>0</v>
      </c>
      <c r="N315" s="2307">
        <f t="shared" si="137"/>
        <v>0</v>
      </c>
      <c r="O315" s="2307">
        <f t="shared" si="137"/>
        <v>0</v>
      </c>
      <c r="P315" s="2307">
        <f t="shared" si="137"/>
        <v>0</v>
      </c>
      <c r="Q315" s="2161">
        <f t="shared" ref="Q315:Q320" si="138">SUM(E315:P315)</f>
        <v>0</v>
      </c>
      <c r="R315" s="1891">
        <f t="shared" ref="R315:R320" si="139">Q315-D315</f>
        <v>0</v>
      </c>
      <c r="S315" s="1891">
        <v>0</v>
      </c>
    </row>
    <row r="316" spans="1:19" s="2070" customFormat="1">
      <c r="A316" s="1854"/>
      <c r="B316" s="2727" t="s">
        <v>50</v>
      </c>
      <c r="C316" s="200" t="s">
        <v>72</v>
      </c>
      <c r="D316" s="1964">
        <f>TARGET!D311</f>
        <v>0</v>
      </c>
      <c r="E316" s="2589">
        <v>0</v>
      </c>
      <c r="F316" s="2589">
        <v>0</v>
      </c>
      <c r="G316" s="2589">
        <v>0</v>
      </c>
      <c r="H316" s="2589">
        <v>0</v>
      </c>
      <c r="I316" s="2589">
        <v>0</v>
      </c>
      <c r="J316" s="2589">
        <v>0</v>
      </c>
      <c r="K316" s="2589">
        <v>0</v>
      </c>
      <c r="L316" s="2589">
        <v>0</v>
      </c>
      <c r="M316" s="2589">
        <v>0</v>
      </c>
      <c r="N316" s="2589">
        <v>0</v>
      </c>
      <c r="O316" s="2589">
        <v>0</v>
      </c>
      <c r="P316" s="2589">
        <v>0</v>
      </c>
      <c r="Q316" s="2161">
        <f t="shared" si="138"/>
        <v>0</v>
      </c>
      <c r="R316" s="1891">
        <f t="shared" si="139"/>
        <v>0</v>
      </c>
      <c r="S316" s="1891">
        <v>0</v>
      </c>
    </row>
    <row r="317" spans="1:19" s="2070" customFormat="1">
      <c r="A317" s="1854"/>
      <c r="B317" s="2727" t="s">
        <v>50</v>
      </c>
      <c r="C317" s="200" t="s">
        <v>73</v>
      </c>
      <c r="D317" s="1964">
        <f>TARGET!D312</f>
        <v>0</v>
      </c>
      <c r="E317" s="2589">
        <v>0</v>
      </c>
      <c r="F317" s="2589">
        <v>0</v>
      </c>
      <c r="G317" s="2589">
        <v>0</v>
      </c>
      <c r="H317" s="2589">
        <v>0</v>
      </c>
      <c r="I317" s="2589">
        <v>0</v>
      </c>
      <c r="J317" s="2589">
        <v>0</v>
      </c>
      <c r="K317" s="2589">
        <v>0</v>
      </c>
      <c r="L317" s="2589">
        <v>0</v>
      </c>
      <c r="M317" s="2589">
        <v>0</v>
      </c>
      <c r="N317" s="2589">
        <v>0</v>
      </c>
      <c r="O317" s="2589">
        <v>0</v>
      </c>
      <c r="P317" s="2589">
        <v>0</v>
      </c>
      <c r="Q317" s="2161">
        <f t="shared" si="138"/>
        <v>0</v>
      </c>
      <c r="R317" s="1891">
        <f t="shared" si="139"/>
        <v>0</v>
      </c>
      <c r="S317" s="1891">
        <v>0</v>
      </c>
    </row>
    <row r="318" spans="1:19" s="2070" customFormat="1">
      <c r="A318" s="1854"/>
      <c r="B318" s="2727" t="s">
        <v>50</v>
      </c>
      <c r="C318" s="200" t="s">
        <v>74</v>
      </c>
      <c r="D318" s="1964">
        <f>TARGET!D313</f>
        <v>0</v>
      </c>
      <c r="E318" s="2589">
        <v>0</v>
      </c>
      <c r="F318" s="2589">
        <v>0</v>
      </c>
      <c r="G318" s="2589">
        <v>0</v>
      </c>
      <c r="H318" s="2589">
        <v>0</v>
      </c>
      <c r="I318" s="2589">
        <v>0</v>
      </c>
      <c r="J318" s="2589">
        <v>0</v>
      </c>
      <c r="K318" s="2589">
        <v>0</v>
      </c>
      <c r="L318" s="2589">
        <v>0</v>
      </c>
      <c r="M318" s="2589">
        <v>0</v>
      </c>
      <c r="N318" s="2589">
        <v>0</v>
      </c>
      <c r="O318" s="2589">
        <v>0</v>
      </c>
      <c r="P318" s="2589">
        <v>0</v>
      </c>
      <c r="Q318" s="2161">
        <f t="shared" si="138"/>
        <v>0</v>
      </c>
      <c r="R318" s="1891">
        <f t="shared" si="139"/>
        <v>0</v>
      </c>
      <c r="S318" s="1891">
        <v>0</v>
      </c>
    </row>
    <row r="319" spans="1:19" s="2070" customFormat="1">
      <c r="A319" s="1854"/>
      <c r="B319" s="2727" t="s">
        <v>50</v>
      </c>
      <c r="C319" s="206" t="s">
        <v>75</v>
      </c>
      <c r="D319" s="1964">
        <f>TARGET!D314</f>
        <v>0</v>
      </c>
      <c r="E319" s="2581">
        <v>0</v>
      </c>
      <c r="F319" s="2581">
        <v>0</v>
      </c>
      <c r="G319" s="2581">
        <v>0</v>
      </c>
      <c r="H319" s="2581">
        <v>0</v>
      </c>
      <c r="I319" s="2581">
        <v>0</v>
      </c>
      <c r="J319" s="2581">
        <v>0</v>
      </c>
      <c r="K319" s="2581">
        <v>0</v>
      </c>
      <c r="L319" s="2581">
        <v>0</v>
      </c>
      <c r="M319" s="2581">
        <v>0</v>
      </c>
      <c r="N319" s="2581">
        <v>0</v>
      </c>
      <c r="O319" s="2581">
        <v>0</v>
      </c>
      <c r="P319" s="2581">
        <v>0</v>
      </c>
      <c r="Q319" s="2161">
        <f t="shared" si="138"/>
        <v>0</v>
      </c>
      <c r="R319" s="1891">
        <f t="shared" si="139"/>
        <v>0</v>
      </c>
      <c r="S319" s="1891">
        <v>0</v>
      </c>
    </row>
    <row r="320" spans="1:19" s="2070" customFormat="1">
      <c r="A320" s="1854"/>
      <c r="B320" s="2727" t="s">
        <v>50</v>
      </c>
      <c r="C320" s="206" t="s">
        <v>85</v>
      </c>
      <c r="D320" s="1964">
        <f>TARGET!D315</f>
        <v>0</v>
      </c>
      <c r="E320" s="2581">
        <v>0</v>
      </c>
      <c r="F320" s="2581">
        <v>0</v>
      </c>
      <c r="G320" s="2581">
        <v>0</v>
      </c>
      <c r="H320" s="2581">
        <v>0</v>
      </c>
      <c r="I320" s="2581">
        <v>0</v>
      </c>
      <c r="J320" s="2581">
        <v>0</v>
      </c>
      <c r="K320" s="2581">
        <v>0</v>
      </c>
      <c r="L320" s="2581">
        <v>0</v>
      </c>
      <c r="M320" s="2581">
        <v>0</v>
      </c>
      <c r="N320" s="2581">
        <v>0</v>
      </c>
      <c r="O320" s="2581">
        <v>0</v>
      </c>
      <c r="P320" s="2581">
        <v>0</v>
      </c>
      <c r="Q320" s="2161">
        <f t="shared" si="138"/>
        <v>0</v>
      </c>
      <c r="R320" s="1891">
        <f t="shared" si="139"/>
        <v>0</v>
      </c>
      <c r="S320" s="1891">
        <v>0</v>
      </c>
    </row>
    <row r="321" spans="1:19" s="2070" customFormat="1" ht="4.55" customHeight="1">
      <c r="A321" s="1854"/>
      <c r="B321" s="200"/>
      <c r="C321" s="257"/>
      <c r="D321" s="2309"/>
      <c r="E321" s="2309"/>
      <c r="F321" s="2309"/>
      <c r="G321" s="2309"/>
      <c r="H321" s="2309"/>
      <c r="I321" s="2309"/>
      <c r="J321" s="2309"/>
      <c r="K321" s="2309"/>
      <c r="L321" s="2309"/>
      <c r="M321" s="2309"/>
      <c r="N321" s="2309"/>
      <c r="O321" s="2309"/>
      <c r="P321" s="2309"/>
      <c r="Q321" s="2318"/>
      <c r="R321" s="2318"/>
      <c r="S321" s="2318"/>
    </row>
    <row r="322" spans="1:19" s="2070" customFormat="1" ht="15.05">
      <c r="A322" s="2590"/>
      <c r="B322" s="2736" t="s">
        <v>167</v>
      </c>
      <c r="C322" s="2313" t="s">
        <v>168</v>
      </c>
      <c r="D322" s="2332">
        <f t="shared" ref="D322:P322" si="140">SUM(D323)</f>
        <v>0</v>
      </c>
      <c r="E322" s="2332">
        <f t="shared" si="140"/>
        <v>0</v>
      </c>
      <c r="F322" s="2332">
        <f t="shared" si="140"/>
        <v>0</v>
      </c>
      <c r="G322" s="2332">
        <f t="shared" si="140"/>
        <v>0</v>
      </c>
      <c r="H322" s="2332">
        <f t="shared" si="140"/>
        <v>0</v>
      </c>
      <c r="I322" s="2332">
        <f t="shared" si="140"/>
        <v>0</v>
      </c>
      <c r="J322" s="2332">
        <f t="shared" si="140"/>
        <v>0</v>
      </c>
      <c r="K322" s="2332">
        <f t="shared" si="140"/>
        <v>0</v>
      </c>
      <c r="L322" s="2332">
        <f t="shared" si="140"/>
        <v>0</v>
      </c>
      <c r="M322" s="2332">
        <f t="shared" si="140"/>
        <v>0</v>
      </c>
      <c r="N322" s="2332">
        <f t="shared" si="140"/>
        <v>0</v>
      </c>
      <c r="O322" s="2332">
        <f t="shared" si="140"/>
        <v>0</v>
      </c>
      <c r="P322" s="2332">
        <f t="shared" si="140"/>
        <v>0</v>
      </c>
      <c r="Q322" s="2147">
        <f>SUM(E322:P322)</f>
        <v>0</v>
      </c>
      <c r="R322" s="2147">
        <f>Q322-D322</f>
        <v>0</v>
      </c>
      <c r="S322" s="2147">
        <f>R322-E322</f>
        <v>0</v>
      </c>
    </row>
    <row r="323" spans="1:19" s="2070" customFormat="1">
      <c r="A323" s="2591"/>
      <c r="B323" s="2322" t="s">
        <v>71</v>
      </c>
      <c r="C323" s="2322"/>
      <c r="D323" s="2333">
        <f t="shared" ref="D323:P323" si="141">SUM(D324:D328)</f>
        <v>0</v>
      </c>
      <c r="E323" s="2333">
        <f t="shared" si="141"/>
        <v>0</v>
      </c>
      <c r="F323" s="2333">
        <f t="shared" si="141"/>
        <v>0</v>
      </c>
      <c r="G323" s="2333">
        <f t="shared" si="141"/>
        <v>0</v>
      </c>
      <c r="H323" s="2333">
        <f t="shared" si="141"/>
        <v>0</v>
      </c>
      <c r="I323" s="2333">
        <f t="shared" si="141"/>
        <v>0</v>
      </c>
      <c r="J323" s="2333">
        <f t="shared" si="141"/>
        <v>0</v>
      </c>
      <c r="K323" s="2333">
        <f t="shared" si="141"/>
        <v>0</v>
      </c>
      <c r="L323" s="2333">
        <f t="shared" si="141"/>
        <v>0</v>
      </c>
      <c r="M323" s="2333">
        <f t="shared" si="141"/>
        <v>0</v>
      </c>
      <c r="N323" s="2333">
        <f t="shared" si="141"/>
        <v>0</v>
      </c>
      <c r="O323" s="2333">
        <f t="shared" si="141"/>
        <v>0</v>
      </c>
      <c r="P323" s="2333">
        <f t="shared" si="141"/>
        <v>0</v>
      </c>
      <c r="Q323" s="2161">
        <f t="shared" ref="Q323:Q328" si="142">SUM(E323:P323)</f>
        <v>0</v>
      </c>
      <c r="R323" s="1891">
        <f t="shared" ref="R323:R328" si="143">Q323-D323</f>
        <v>0</v>
      </c>
      <c r="S323" s="1891">
        <v>0</v>
      </c>
    </row>
    <row r="324" spans="1:19" s="2070" customFormat="1">
      <c r="A324" s="2591"/>
      <c r="B324" s="200" t="s">
        <v>50</v>
      </c>
      <c r="C324" s="224" t="s">
        <v>73</v>
      </c>
      <c r="D324" s="1964">
        <f>TARGET!D319</f>
        <v>0</v>
      </c>
      <c r="E324" s="2592">
        <v>0</v>
      </c>
      <c r="F324" s="2592">
        <v>0</v>
      </c>
      <c r="G324" s="2592">
        <v>0</v>
      </c>
      <c r="H324" s="2592">
        <v>0</v>
      </c>
      <c r="I324" s="2592">
        <v>0</v>
      </c>
      <c r="J324" s="2592">
        <v>0</v>
      </c>
      <c r="K324" s="2592">
        <v>0</v>
      </c>
      <c r="L324" s="2592">
        <v>0</v>
      </c>
      <c r="M324" s="2592">
        <v>0</v>
      </c>
      <c r="N324" s="2592">
        <v>0</v>
      </c>
      <c r="O324" s="2592">
        <v>0</v>
      </c>
      <c r="P324" s="2592">
        <v>0</v>
      </c>
      <c r="Q324" s="2161">
        <f t="shared" si="142"/>
        <v>0</v>
      </c>
      <c r="R324" s="1891">
        <f t="shared" si="143"/>
        <v>0</v>
      </c>
      <c r="S324" s="1891">
        <v>0</v>
      </c>
    </row>
    <row r="325" spans="1:19" s="2070" customFormat="1">
      <c r="A325" s="2591"/>
      <c r="B325" s="200" t="s">
        <v>50</v>
      </c>
      <c r="C325" s="200" t="s">
        <v>74</v>
      </c>
      <c r="D325" s="1964">
        <f>TARGET!D320</f>
        <v>0</v>
      </c>
      <c r="E325" s="2592">
        <v>0</v>
      </c>
      <c r="F325" s="2592">
        <v>0</v>
      </c>
      <c r="G325" s="2592">
        <v>0</v>
      </c>
      <c r="H325" s="2592">
        <v>0</v>
      </c>
      <c r="I325" s="2592">
        <v>0</v>
      </c>
      <c r="J325" s="2592">
        <v>0</v>
      </c>
      <c r="K325" s="2592">
        <v>0</v>
      </c>
      <c r="L325" s="2592">
        <v>0</v>
      </c>
      <c r="M325" s="2592">
        <v>0</v>
      </c>
      <c r="N325" s="2592">
        <v>0</v>
      </c>
      <c r="O325" s="2592">
        <v>0</v>
      </c>
      <c r="P325" s="2592">
        <v>0</v>
      </c>
      <c r="Q325" s="2161">
        <f t="shared" si="142"/>
        <v>0</v>
      </c>
      <c r="R325" s="1891">
        <f t="shared" si="143"/>
        <v>0</v>
      </c>
      <c r="S325" s="1891">
        <v>0</v>
      </c>
    </row>
    <row r="326" spans="1:19" s="2070" customFormat="1">
      <c r="A326" s="2591"/>
      <c r="B326" s="200" t="s">
        <v>50</v>
      </c>
      <c r="C326" s="200" t="s">
        <v>75</v>
      </c>
      <c r="D326" s="1964">
        <f>TARGET!D321</f>
        <v>0</v>
      </c>
      <c r="E326" s="2592">
        <v>0</v>
      </c>
      <c r="F326" s="2592">
        <v>0</v>
      </c>
      <c r="G326" s="2592">
        <v>0</v>
      </c>
      <c r="H326" s="2592">
        <v>0</v>
      </c>
      <c r="I326" s="2592">
        <v>0</v>
      </c>
      <c r="J326" s="2592">
        <v>0</v>
      </c>
      <c r="K326" s="2592">
        <v>0</v>
      </c>
      <c r="L326" s="2592">
        <v>0</v>
      </c>
      <c r="M326" s="2592">
        <v>0</v>
      </c>
      <c r="N326" s="2592">
        <v>0</v>
      </c>
      <c r="O326" s="2592">
        <v>0</v>
      </c>
      <c r="P326" s="2592">
        <v>0</v>
      </c>
      <c r="Q326" s="2161">
        <f t="shared" si="142"/>
        <v>0</v>
      </c>
      <c r="R326" s="1891">
        <f t="shared" si="143"/>
        <v>0</v>
      </c>
      <c r="S326" s="1891">
        <v>0</v>
      </c>
    </row>
    <row r="327" spans="1:19" s="2070" customFormat="1">
      <c r="A327" s="2591"/>
      <c r="B327" s="200" t="s">
        <v>50</v>
      </c>
      <c r="C327" s="200" t="s">
        <v>169</v>
      </c>
      <c r="D327" s="1964">
        <f>TARGET!D322</f>
        <v>0</v>
      </c>
      <c r="E327" s="2592">
        <v>0</v>
      </c>
      <c r="F327" s="2592">
        <v>0</v>
      </c>
      <c r="G327" s="2592">
        <v>0</v>
      </c>
      <c r="H327" s="2592">
        <v>0</v>
      </c>
      <c r="I327" s="2592">
        <v>0</v>
      </c>
      <c r="J327" s="2592">
        <v>0</v>
      </c>
      <c r="K327" s="2592">
        <v>0</v>
      </c>
      <c r="L327" s="2592">
        <v>0</v>
      </c>
      <c r="M327" s="2592">
        <v>0</v>
      </c>
      <c r="N327" s="2592">
        <v>0</v>
      </c>
      <c r="O327" s="2592">
        <v>0</v>
      </c>
      <c r="P327" s="2592">
        <v>0</v>
      </c>
      <c r="Q327" s="2161">
        <f t="shared" si="142"/>
        <v>0</v>
      </c>
      <c r="R327" s="1891">
        <f t="shared" si="143"/>
        <v>0</v>
      </c>
      <c r="S327" s="1891">
        <v>0</v>
      </c>
    </row>
    <row r="328" spans="1:19" s="2070" customFormat="1">
      <c r="A328" s="2591"/>
      <c r="B328" s="200" t="s">
        <v>50</v>
      </c>
      <c r="C328" s="200" t="s">
        <v>85</v>
      </c>
      <c r="D328" s="1964">
        <f>TARGET!D323</f>
        <v>0</v>
      </c>
      <c r="E328" s="2592">
        <v>0</v>
      </c>
      <c r="F328" s="2592">
        <v>0</v>
      </c>
      <c r="G328" s="2592">
        <v>0</v>
      </c>
      <c r="H328" s="2592">
        <v>0</v>
      </c>
      <c r="I328" s="2592">
        <v>0</v>
      </c>
      <c r="J328" s="2592">
        <v>0</v>
      </c>
      <c r="K328" s="2592">
        <v>0</v>
      </c>
      <c r="L328" s="2592">
        <v>0</v>
      </c>
      <c r="M328" s="2592">
        <v>0</v>
      </c>
      <c r="N328" s="2592">
        <v>0</v>
      </c>
      <c r="O328" s="2592">
        <v>0</v>
      </c>
      <c r="P328" s="2592">
        <v>0</v>
      </c>
      <c r="Q328" s="2161">
        <f t="shared" si="142"/>
        <v>0</v>
      </c>
      <c r="R328" s="1891">
        <f t="shared" si="143"/>
        <v>0</v>
      </c>
      <c r="S328" s="1891">
        <v>0</v>
      </c>
    </row>
    <row r="329" spans="1:19" s="2070" customFormat="1" ht="4.55" customHeight="1">
      <c r="A329" s="1854"/>
      <c r="B329" s="200"/>
      <c r="C329" s="200"/>
      <c r="D329" s="2303"/>
      <c r="E329" s="2303"/>
      <c r="F329" s="2303"/>
      <c r="G329" s="2303"/>
      <c r="H329" s="2303"/>
      <c r="I329" s="2303"/>
      <c r="J329" s="2303"/>
      <c r="K329" s="2303"/>
      <c r="L329" s="2303"/>
      <c r="M329" s="2303"/>
      <c r="N329" s="2303"/>
      <c r="O329" s="2303"/>
      <c r="P329" s="2303"/>
      <c r="Q329" s="2304"/>
      <c r="R329" s="2304"/>
      <c r="S329" s="2304"/>
    </row>
    <row r="330" spans="1:19" s="2073" customFormat="1" ht="15.05">
      <c r="A330" s="2528"/>
      <c r="B330" s="2195" t="s">
        <v>170</v>
      </c>
      <c r="C330" s="2313" t="s">
        <v>171</v>
      </c>
      <c r="D330" s="2306">
        <f t="shared" ref="D330:P330" si="144">SUM(D331)</f>
        <v>0</v>
      </c>
      <c r="E330" s="2306">
        <f t="shared" si="144"/>
        <v>0</v>
      </c>
      <c r="F330" s="2306">
        <f t="shared" si="144"/>
        <v>0</v>
      </c>
      <c r="G330" s="2306">
        <f t="shared" si="144"/>
        <v>0</v>
      </c>
      <c r="H330" s="2306">
        <f t="shared" si="144"/>
        <v>0</v>
      </c>
      <c r="I330" s="2306">
        <f t="shared" si="144"/>
        <v>0</v>
      </c>
      <c r="J330" s="2306">
        <f t="shared" si="144"/>
        <v>0</v>
      </c>
      <c r="K330" s="2306">
        <f t="shared" si="144"/>
        <v>0</v>
      </c>
      <c r="L330" s="2306">
        <f t="shared" si="144"/>
        <v>0</v>
      </c>
      <c r="M330" s="2306">
        <f t="shared" si="144"/>
        <v>0</v>
      </c>
      <c r="N330" s="2306">
        <f t="shared" si="144"/>
        <v>0</v>
      </c>
      <c r="O330" s="2306">
        <f t="shared" si="144"/>
        <v>0</v>
      </c>
      <c r="P330" s="2306">
        <f t="shared" si="144"/>
        <v>0</v>
      </c>
      <c r="Q330" s="2147">
        <f>SUM(E330:P330)</f>
        <v>0</v>
      </c>
      <c r="R330" s="2147">
        <f>Q330-D330</f>
        <v>0</v>
      </c>
      <c r="S330" s="2147">
        <f>R330-E330</f>
        <v>0</v>
      </c>
    </row>
    <row r="331" spans="1:19" s="2070" customFormat="1">
      <c r="A331" s="1854"/>
      <c r="B331" s="202" t="s">
        <v>71</v>
      </c>
      <c r="C331" s="202"/>
      <c r="D331" s="2307">
        <f t="shared" ref="D331:P331" si="145">SUM(D332:D336)</f>
        <v>0</v>
      </c>
      <c r="E331" s="2307">
        <f t="shared" si="145"/>
        <v>0</v>
      </c>
      <c r="F331" s="2307">
        <f t="shared" si="145"/>
        <v>0</v>
      </c>
      <c r="G331" s="2307">
        <f t="shared" si="145"/>
        <v>0</v>
      </c>
      <c r="H331" s="2307">
        <f t="shared" si="145"/>
        <v>0</v>
      </c>
      <c r="I331" s="2307">
        <f t="shared" si="145"/>
        <v>0</v>
      </c>
      <c r="J331" s="2307">
        <f t="shared" si="145"/>
        <v>0</v>
      </c>
      <c r="K331" s="2307">
        <f t="shared" si="145"/>
        <v>0</v>
      </c>
      <c r="L331" s="2307">
        <f t="shared" si="145"/>
        <v>0</v>
      </c>
      <c r="M331" s="2307">
        <f t="shared" si="145"/>
        <v>0</v>
      </c>
      <c r="N331" s="2307">
        <f t="shared" si="145"/>
        <v>0</v>
      </c>
      <c r="O331" s="2307">
        <f t="shared" si="145"/>
        <v>0</v>
      </c>
      <c r="P331" s="2307">
        <f t="shared" si="145"/>
        <v>0</v>
      </c>
      <c r="Q331" s="2161">
        <f t="shared" ref="Q331:Q336" si="146">SUM(E331:P331)</f>
        <v>0</v>
      </c>
      <c r="R331" s="1891">
        <f t="shared" ref="R331:R336" si="147">Q331-D331</f>
        <v>0</v>
      </c>
      <c r="S331" s="1891">
        <v>0</v>
      </c>
    </row>
    <row r="332" spans="1:19" s="2070" customFormat="1">
      <c r="A332" s="1854"/>
      <c r="B332" s="2727" t="s">
        <v>50</v>
      </c>
      <c r="C332" s="200" t="s">
        <v>72</v>
      </c>
      <c r="D332" s="1964">
        <f>TARGET!D327</f>
        <v>0</v>
      </c>
      <c r="E332" s="2589">
        <v>0</v>
      </c>
      <c r="F332" s="2589">
        <v>0</v>
      </c>
      <c r="G332" s="2589">
        <v>0</v>
      </c>
      <c r="H332" s="2589">
        <v>0</v>
      </c>
      <c r="I332" s="2589">
        <v>0</v>
      </c>
      <c r="J332" s="2589">
        <v>0</v>
      </c>
      <c r="K332" s="2589">
        <v>0</v>
      </c>
      <c r="L332" s="2589">
        <v>0</v>
      </c>
      <c r="M332" s="2589">
        <v>0</v>
      </c>
      <c r="N332" s="2589">
        <v>0</v>
      </c>
      <c r="O332" s="2589">
        <v>0</v>
      </c>
      <c r="P332" s="2589">
        <v>0</v>
      </c>
      <c r="Q332" s="2161">
        <f t="shared" si="146"/>
        <v>0</v>
      </c>
      <c r="R332" s="1891">
        <f t="shared" si="147"/>
        <v>0</v>
      </c>
      <c r="S332" s="1891">
        <v>0</v>
      </c>
    </row>
    <row r="333" spans="1:19" s="2070" customFormat="1">
      <c r="A333" s="1854"/>
      <c r="B333" s="2727" t="s">
        <v>50</v>
      </c>
      <c r="C333" s="200" t="s">
        <v>73</v>
      </c>
      <c r="D333" s="1964">
        <f>TARGET!D328</f>
        <v>0</v>
      </c>
      <c r="E333" s="2589">
        <v>0</v>
      </c>
      <c r="F333" s="2589">
        <v>0</v>
      </c>
      <c r="G333" s="2589">
        <v>0</v>
      </c>
      <c r="H333" s="2589">
        <v>0</v>
      </c>
      <c r="I333" s="2589">
        <v>0</v>
      </c>
      <c r="J333" s="2589">
        <v>0</v>
      </c>
      <c r="K333" s="2589">
        <v>0</v>
      </c>
      <c r="L333" s="2589">
        <v>0</v>
      </c>
      <c r="M333" s="2589">
        <v>0</v>
      </c>
      <c r="N333" s="2589">
        <v>0</v>
      </c>
      <c r="O333" s="2589">
        <v>0</v>
      </c>
      <c r="P333" s="2589">
        <v>0</v>
      </c>
      <c r="Q333" s="2161">
        <f t="shared" si="146"/>
        <v>0</v>
      </c>
      <c r="R333" s="1891">
        <f t="shared" si="147"/>
        <v>0</v>
      </c>
      <c r="S333" s="1891">
        <v>0</v>
      </c>
    </row>
    <row r="334" spans="1:19" s="2070" customFormat="1">
      <c r="A334" s="1854"/>
      <c r="B334" s="2727" t="s">
        <v>50</v>
      </c>
      <c r="C334" s="200" t="s">
        <v>74</v>
      </c>
      <c r="D334" s="1964">
        <f>TARGET!D329</f>
        <v>0</v>
      </c>
      <c r="E334" s="2589">
        <v>0</v>
      </c>
      <c r="F334" s="2589">
        <v>0</v>
      </c>
      <c r="G334" s="2589">
        <v>0</v>
      </c>
      <c r="H334" s="2589">
        <v>0</v>
      </c>
      <c r="I334" s="2589">
        <v>0</v>
      </c>
      <c r="J334" s="2589">
        <v>0</v>
      </c>
      <c r="K334" s="2589">
        <v>0</v>
      </c>
      <c r="L334" s="2589">
        <v>0</v>
      </c>
      <c r="M334" s="2589">
        <v>0</v>
      </c>
      <c r="N334" s="2589">
        <v>0</v>
      </c>
      <c r="O334" s="2589">
        <v>0</v>
      </c>
      <c r="P334" s="2589">
        <v>0</v>
      </c>
      <c r="Q334" s="2161">
        <f t="shared" si="146"/>
        <v>0</v>
      </c>
      <c r="R334" s="1891">
        <f t="shared" si="147"/>
        <v>0</v>
      </c>
      <c r="S334" s="1891">
        <v>0</v>
      </c>
    </row>
    <row r="335" spans="1:19" s="2070" customFormat="1">
      <c r="A335" s="1854"/>
      <c r="B335" s="2727" t="s">
        <v>50</v>
      </c>
      <c r="C335" s="206" t="s">
        <v>75</v>
      </c>
      <c r="D335" s="1964">
        <f>TARGET!D330</f>
        <v>0</v>
      </c>
      <c r="E335" s="2581">
        <v>0</v>
      </c>
      <c r="F335" s="2581">
        <v>0</v>
      </c>
      <c r="G335" s="2581">
        <v>0</v>
      </c>
      <c r="H335" s="2581">
        <v>0</v>
      </c>
      <c r="I335" s="2581">
        <v>0</v>
      </c>
      <c r="J335" s="2581">
        <v>0</v>
      </c>
      <c r="K335" s="2581">
        <v>0</v>
      </c>
      <c r="L335" s="2581">
        <v>0</v>
      </c>
      <c r="M335" s="2581">
        <v>0</v>
      </c>
      <c r="N335" s="2581">
        <v>0</v>
      </c>
      <c r="O335" s="2581">
        <v>0</v>
      </c>
      <c r="P335" s="2581">
        <v>0</v>
      </c>
      <c r="Q335" s="2161">
        <f t="shared" si="146"/>
        <v>0</v>
      </c>
      <c r="R335" s="1891">
        <f t="shared" si="147"/>
        <v>0</v>
      </c>
      <c r="S335" s="1891">
        <v>0</v>
      </c>
    </row>
    <row r="336" spans="1:19" s="2070" customFormat="1">
      <c r="A336" s="1854"/>
      <c r="B336" s="2727" t="s">
        <v>50</v>
      </c>
      <c r="C336" s="206" t="s">
        <v>85</v>
      </c>
      <c r="D336" s="1964">
        <f>TARGET!D331</f>
        <v>0</v>
      </c>
      <c r="E336" s="2581">
        <v>0</v>
      </c>
      <c r="F336" s="2581">
        <v>0</v>
      </c>
      <c r="G336" s="2581">
        <v>0</v>
      </c>
      <c r="H336" s="2581">
        <v>0</v>
      </c>
      <c r="I336" s="2581">
        <v>0</v>
      </c>
      <c r="J336" s="2581">
        <v>0</v>
      </c>
      <c r="K336" s="2581">
        <v>0</v>
      </c>
      <c r="L336" s="2581">
        <v>0</v>
      </c>
      <c r="M336" s="2581">
        <v>0</v>
      </c>
      <c r="N336" s="2581">
        <v>0</v>
      </c>
      <c r="O336" s="2581">
        <v>0</v>
      </c>
      <c r="P336" s="2581">
        <v>0</v>
      </c>
      <c r="Q336" s="2161">
        <f t="shared" si="146"/>
        <v>0</v>
      </c>
      <c r="R336" s="1891">
        <f t="shared" si="147"/>
        <v>0</v>
      </c>
      <c r="S336" s="1891">
        <v>0</v>
      </c>
    </row>
    <row r="337" spans="1:19" s="2070" customFormat="1" ht="7.55" customHeight="1">
      <c r="A337" s="1902"/>
      <c r="B337" s="856"/>
      <c r="C337" s="203"/>
      <c r="D337" s="2309"/>
      <c r="E337" s="2309"/>
      <c r="F337" s="2309"/>
      <c r="G337" s="2309"/>
      <c r="H337" s="2309"/>
      <c r="I337" s="2309"/>
      <c r="J337" s="2309"/>
      <c r="K337" s="2309"/>
      <c r="L337" s="2309"/>
      <c r="M337" s="2309"/>
      <c r="N337" s="2309"/>
      <c r="O337" s="2309"/>
      <c r="P337" s="2309"/>
      <c r="Q337" s="2318"/>
      <c r="R337" s="2318"/>
      <c r="S337" s="2318"/>
    </row>
    <row r="338" spans="1:19" s="2070" customFormat="1" ht="15.05">
      <c r="A338" s="2528"/>
      <c r="B338" s="2323" t="s">
        <v>172</v>
      </c>
      <c r="C338" s="2313" t="s">
        <v>173</v>
      </c>
      <c r="D338" s="2306">
        <f t="shared" ref="D338:P338" si="148">SUM(D339)</f>
        <v>0</v>
      </c>
      <c r="E338" s="2306">
        <f t="shared" si="148"/>
        <v>0</v>
      </c>
      <c r="F338" s="2306">
        <f t="shared" si="148"/>
        <v>0</v>
      </c>
      <c r="G338" s="2306">
        <f t="shared" si="148"/>
        <v>0</v>
      </c>
      <c r="H338" s="2306">
        <f t="shared" si="148"/>
        <v>0</v>
      </c>
      <c r="I338" s="2306">
        <f t="shared" si="148"/>
        <v>0</v>
      </c>
      <c r="J338" s="2306">
        <f t="shared" si="148"/>
        <v>0</v>
      </c>
      <c r="K338" s="2306">
        <f t="shared" si="148"/>
        <v>0</v>
      </c>
      <c r="L338" s="2306">
        <f t="shared" si="148"/>
        <v>0</v>
      </c>
      <c r="M338" s="2306">
        <f t="shared" si="148"/>
        <v>0</v>
      </c>
      <c r="N338" s="2306">
        <f t="shared" si="148"/>
        <v>0</v>
      </c>
      <c r="O338" s="2306">
        <f t="shared" si="148"/>
        <v>0</v>
      </c>
      <c r="P338" s="2306">
        <f t="shared" si="148"/>
        <v>0</v>
      </c>
      <c r="Q338" s="2147">
        <f>SUM(E338:P338)</f>
        <v>0</v>
      </c>
      <c r="R338" s="2147">
        <f>Q338-D338</f>
        <v>0</v>
      </c>
      <c r="S338" s="2147">
        <f>R338-E338</f>
        <v>0</v>
      </c>
    </row>
    <row r="339" spans="1:19" s="2070" customFormat="1">
      <c r="A339" s="2593"/>
      <c r="B339" s="202" t="s">
        <v>71</v>
      </c>
      <c r="C339" s="202"/>
      <c r="D339" s="2307">
        <f t="shared" ref="D339:P339" si="149">SUM(D340:D344)</f>
        <v>0</v>
      </c>
      <c r="E339" s="2307">
        <f t="shared" si="149"/>
        <v>0</v>
      </c>
      <c r="F339" s="2307">
        <f t="shared" si="149"/>
        <v>0</v>
      </c>
      <c r="G339" s="2307">
        <f t="shared" si="149"/>
        <v>0</v>
      </c>
      <c r="H339" s="2307">
        <f t="shared" si="149"/>
        <v>0</v>
      </c>
      <c r="I339" s="2307">
        <f t="shared" si="149"/>
        <v>0</v>
      </c>
      <c r="J339" s="2307">
        <f t="shared" si="149"/>
        <v>0</v>
      </c>
      <c r="K339" s="2307">
        <f t="shared" si="149"/>
        <v>0</v>
      </c>
      <c r="L339" s="2307">
        <f t="shared" si="149"/>
        <v>0</v>
      </c>
      <c r="M339" s="2307">
        <f t="shared" si="149"/>
        <v>0</v>
      </c>
      <c r="N339" s="2307">
        <f t="shared" si="149"/>
        <v>0</v>
      </c>
      <c r="O339" s="2307">
        <f t="shared" si="149"/>
        <v>0</v>
      </c>
      <c r="P339" s="2307">
        <f t="shared" si="149"/>
        <v>0</v>
      </c>
      <c r="Q339" s="2161">
        <f t="shared" ref="Q339:Q344" si="150">SUM(E339:P339)</f>
        <v>0</v>
      </c>
      <c r="R339" s="1891">
        <f t="shared" ref="R339:R344" si="151">Q339-D339</f>
        <v>0</v>
      </c>
      <c r="S339" s="1891">
        <v>0</v>
      </c>
    </row>
    <row r="340" spans="1:19" s="2070" customFormat="1">
      <c r="A340" s="2594"/>
      <c r="B340" s="257" t="s">
        <v>50</v>
      </c>
      <c r="C340" s="200" t="s">
        <v>72</v>
      </c>
      <c r="D340" s="1964">
        <f>TARGET!D335</f>
        <v>0</v>
      </c>
      <c r="E340" s="2491">
        <v>0</v>
      </c>
      <c r="F340" s="2491">
        <v>0</v>
      </c>
      <c r="G340" s="2491">
        <v>0</v>
      </c>
      <c r="H340" s="2491">
        <v>0</v>
      </c>
      <c r="I340" s="2491">
        <v>0</v>
      </c>
      <c r="J340" s="2491">
        <v>0</v>
      </c>
      <c r="K340" s="2491">
        <v>0</v>
      </c>
      <c r="L340" s="2491">
        <v>0</v>
      </c>
      <c r="M340" s="2491">
        <v>0</v>
      </c>
      <c r="N340" s="2491">
        <v>0</v>
      </c>
      <c r="O340" s="2491">
        <v>0</v>
      </c>
      <c r="P340" s="2491">
        <v>0</v>
      </c>
      <c r="Q340" s="2161">
        <f t="shared" si="150"/>
        <v>0</v>
      </c>
      <c r="R340" s="1891">
        <f t="shared" si="151"/>
        <v>0</v>
      </c>
      <c r="S340" s="1891">
        <v>0</v>
      </c>
    </row>
    <row r="341" spans="1:19" s="2070" customFormat="1">
      <c r="A341" s="2594"/>
      <c r="B341" s="257" t="s">
        <v>50</v>
      </c>
      <c r="C341" s="200" t="s">
        <v>73</v>
      </c>
      <c r="D341" s="1964">
        <f>TARGET!D336</f>
        <v>0</v>
      </c>
      <c r="E341" s="2491">
        <v>0</v>
      </c>
      <c r="F341" s="2491">
        <v>0</v>
      </c>
      <c r="G341" s="2491">
        <v>0</v>
      </c>
      <c r="H341" s="2491">
        <v>0</v>
      </c>
      <c r="I341" s="2491">
        <v>0</v>
      </c>
      <c r="J341" s="2491">
        <v>0</v>
      </c>
      <c r="K341" s="2491">
        <v>0</v>
      </c>
      <c r="L341" s="2491">
        <v>0</v>
      </c>
      <c r="M341" s="2491">
        <v>0</v>
      </c>
      <c r="N341" s="2491">
        <v>0</v>
      </c>
      <c r="O341" s="2491">
        <v>0</v>
      </c>
      <c r="P341" s="2491">
        <v>0</v>
      </c>
      <c r="Q341" s="2161">
        <f t="shared" si="150"/>
        <v>0</v>
      </c>
      <c r="R341" s="1891">
        <f t="shared" si="151"/>
        <v>0</v>
      </c>
      <c r="S341" s="1891">
        <v>0</v>
      </c>
    </row>
    <row r="342" spans="1:19" s="2070" customFormat="1">
      <c r="A342" s="2594"/>
      <c r="B342" s="257" t="s">
        <v>50</v>
      </c>
      <c r="C342" s="200" t="s">
        <v>74</v>
      </c>
      <c r="D342" s="1964">
        <f>TARGET!D337</f>
        <v>0</v>
      </c>
      <c r="E342" s="2491">
        <v>0</v>
      </c>
      <c r="F342" s="2491">
        <v>0</v>
      </c>
      <c r="G342" s="2491">
        <v>0</v>
      </c>
      <c r="H342" s="2491">
        <v>0</v>
      </c>
      <c r="I342" s="2491">
        <v>0</v>
      </c>
      <c r="J342" s="2491">
        <v>0</v>
      </c>
      <c r="K342" s="2491">
        <v>0</v>
      </c>
      <c r="L342" s="2491">
        <v>0</v>
      </c>
      <c r="M342" s="2491">
        <v>0</v>
      </c>
      <c r="N342" s="2491">
        <v>0</v>
      </c>
      <c r="O342" s="2491">
        <v>0</v>
      </c>
      <c r="P342" s="2491">
        <v>0</v>
      </c>
      <c r="Q342" s="2161">
        <f t="shared" si="150"/>
        <v>0</v>
      </c>
      <c r="R342" s="1891">
        <f t="shared" si="151"/>
        <v>0</v>
      </c>
      <c r="S342" s="1891">
        <v>0</v>
      </c>
    </row>
    <row r="343" spans="1:19" s="2070" customFormat="1">
      <c r="A343" s="2594"/>
      <c r="B343" s="257" t="s">
        <v>50</v>
      </c>
      <c r="C343" s="200" t="s">
        <v>75</v>
      </c>
      <c r="D343" s="1964">
        <f>TARGET!D338</f>
        <v>0</v>
      </c>
      <c r="E343" s="2491">
        <v>0</v>
      </c>
      <c r="F343" s="2491">
        <v>0</v>
      </c>
      <c r="G343" s="2491">
        <v>0</v>
      </c>
      <c r="H343" s="2491">
        <v>0</v>
      </c>
      <c r="I343" s="2491">
        <v>0</v>
      </c>
      <c r="J343" s="2491">
        <v>0</v>
      </c>
      <c r="K343" s="2491">
        <v>0</v>
      </c>
      <c r="L343" s="2491">
        <v>0</v>
      </c>
      <c r="M343" s="2491">
        <v>0</v>
      </c>
      <c r="N343" s="2491">
        <v>0</v>
      </c>
      <c r="O343" s="2491">
        <v>0</v>
      </c>
      <c r="P343" s="2491">
        <v>0</v>
      </c>
      <c r="Q343" s="2161">
        <f t="shared" si="150"/>
        <v>0</v>
      </c>
      <c r="R343" s="1891">
        <f t="shared" si="151"/>
        <v>0</v>
      </c>
      <c r="S343" s="1891">
        <v>0</v>
      </c>
    </row>
    <row r="344" spans="1:19" s="2070" customFormat="1">
      <c r="A344" s="2594"/>
      <c r="B344" s="2214" t="s">
        <v>50</v>
      </c>
      <c r="C344" s="200" t="s">
        <v>85</v>
      </c>
      <c r="D344" s="1964">
        <f>TARGET!D339</f>
        <v>0</v>
      </c>
      <c r="E344" s="2491">
        <v>0</v>
      </c>
      <c r="F344" s="2491">
        <v>0</v>
      </c>
      <c r="G344" s="2491">
        <v>0</v>
      </c>
      <c r="H344" s="2491">
        <v>0</v>
      </c>
      <c r="I344" s="2491">
        <v>0</v>
      </c>
      <c r="J344" s="2491">
        <v>0</v>
      </c>
      <c r="K344" s="2491">
        <v>0</v>
      </c>
      <c r="L344" s="2491">
        <v>0</v>
      </c>
      <c r="M344" s="2491">
        <v>0</v>
      </c>
      <c r="N344" s="2491">
        <v>0</v>
      </c>
      <c r="O344" s="2491">
        <v>0</v>
      </c>
      <c r="P344" s="2491">
        <v>0</v>
      </c>
      <c r="Q344" s="2161">
        <f t="shared" si="150"/>
        <v>0</v>
      </c>
      <c r="R344" s="1891">
        <f t="shared" si="151"/>
        <v>0</v>
      </c>
      <c r="S344" s="1891">
        <v>0</v>
      </c>
    </row>
    <row r="345" spans="1:19" s="2070" customFormat="1" ht="5.95" customHeight="1">
      <c r="A345" s="1902"/>
      <c r="B345" s="856"/>
      <c r="C345" s="203"/>
      <c r="D345" s="2334"/>
      <c r="E345" s="2334"/>
      <c r="F345" s="2334"/>
      <c r="G345" s="2334"/>
      <c r="H345" s="2334"/>
      <c r="I345" s="2334"/>
      <c r="J345" s="2334"/>
      <c r="K345" s="2334"/>
      <c r="L345" s="2334"/>
      <c r="M345" s="2334"/>
      <c r="N345" s="2334"/>
      <c r="O345" s="2334"/>
      <c r="P345" s="2334"/>
      <c r="Q345" s="2336"/>
      <c r="R345" s="2336"/>
      <c r="S345" s="2336"/>
    </row>
    <row r="346" spans="1:19" s="2073" customFormat="1" ht="15.05">
      <c r="A346" s="2595" t="s">
        <v>174</v>
      </c>
      <c r="B346" s="2313" t="s">
        <v>175</v>
      </c>
      <c r="C346" s="2313"/>
      <c r="D346" s="2338">
        <f t="shared" ref="D346:P346" si="152">SUM(D347)</f>
        <v>0</v>
      </c>
      <c r="E346" s="2338">
        <f t="shared" si="152"/>
        <v>0</v>
      </c>
      <c r="F346" s="2338">
        <f t="shared" si="152"/>
        <v>0</v>
      </c>
      <c r="G346" s="2338">
        <f t="shared" si="152"/>
        <v>0</v>
      </c>
      <c r="H346" s="2338">
        <f t="shared" si="152"/>
        <v>0</v>
      </c>
      <c r="I346" s="2338">
        <f t="shared" si="152"/>
        <v>0</v>
      </c>
      <c r="J346" s="2338">
        <f t="shared" si="152"/>
        <v>0</v>
      </c>
      <c r="K346" s="2338">
        <f t="shared" si="152"/>
        <v>0</v>
      </c>
      <c r="L346" s="2338">
        <f t="shared" si="152"/>
        <v>0</v>
      </c>
      <c r="M346" s="2338">
        <f t="shared" si="152"/>
        <v>0</v>
      </c>
      <c r="N346" s="2338">
        <f t="shared" si="152"/>
        <v>0</v>
      </c>
      <c r="O346" s="2338">
        <f t="shared" si="152"/>
        <v>0</v>
      </c>
      <c r="P346" s="2338">
        <f t="shared" si="152"/>
        <v>0</v>
      </c>
      <c r="Q346" s="2147">
        <f t="shared" ref="Q346:Q352" si="153">SUM(E346:P346)</f>
        <v>0</v>
      </c>
      <c r="R346" s="2147">
        <f>Q346-D346</f>
        <v>0</v>
      </c>
      <c r="S346" s="2147">
        <v>0</v>
      </c>
    </row>
    <row r="347" spans="1:19" s="2070" customFormat="1">
      <c r="A347" s="1854"/>
      <c r="B347" s="202" t="s">
        <v>71</v>
      </c>
      <c r="C347" s="202"/>
      <c r="D347" s="2307">
        <f t="shared" ref="D347:P347" si="154">SUM(D348:D352)</f>
        <v>0</v>
      </c>
      <c r="E347" s="2307">
        <f t="shared" si="154"/>
        <v>0</v>
      </c>
      <c r="F347" s="2307">
        <f t="shared" si="154"/>
        <v>0</v>
      </c>
      <c r="G347" s="2307">
        <f t="shared" si="154"/>
        <v>0</v>
      </c>
      <c r="H347" s="2307">
        <f t="shared" si="154"/>
        <v>0</v>
      </c>
      <c r="I347" s="2307">
        <f t="shared" si="154"/>
        <v>0</v>
      </c>
      <c r="J347" s="2307">
        <f t="shared" si="154"/>
        <v>0</v>
      </c>
      <c r="K347" s="2307">
        <f t="shared" si="154"/>
        <v>0</v>
      </c>
      <c r="L347" s="2307">
        <f t="shared" si="154"/>
        <v>0</v>
      </c>
      <c r="M347" s="2307">
        <f t="shared" si="154"/>
        <v>0</v>
      </c>
      <c r="N347" s="2307">
        <f t="shared" si="154"/>
        <v>0</v>
      </c>
      <c r="O347" s="2307">
        <f t="shared" si="154"/>
        <v>0</v>
      </c>
      <c r="P347" s="2307">
        <f t="shared" si="154"/>
        <v>0</v>
      </c>
      <c r="Q347" s="2161">
        <f t="shared" si="153"/>
        <v>0</v>
      </c>
      <c r="R347" s="1891">
        <f t="shared" ref="R347:R352" si="155">Q347-D347</f>
        <v>0</v>
      </c>
      <c r="S347" s="1891">
        <v>0</v>
      </c>
    </row>
    <row r="348" spans="1:19" s="2070" customFormat="1">
      <c r="A348" s="1854"/>
      <c r="B348" s="2727" t="s">
        <v>50</v>
      </c>
      <c r="C348" s="200" t="s">
        <v>72</v>
      </c>
      <c r="D348" s="1964">
        <f>TARGET!D343</f>
        <v>0</v>
      </c>
      <c r="E348" s="2581">
        <v>0</v>
      </c>
      <c r="F348" s="2581">
        <v>0</v>
      </c>
      <c r="G348" s="2581">
        <v>0</v>
      </c>
      <c r="H348" s="2581">
        <v>0</v>
      </c>
      <c r="I348" s="2581">
        <v>0</v>
      </c>
      <c r="J348" s="2581">
        <v>0</v>
      </c>
      <c r="K348" s="2581">
        <v>0</v>
      </c>
      <c r="L348" s="2581">
        <v>0</v>
      </c>
      <c r="M348" s="2581">
        <v>0</v>
      </c>
      <c r="N348" s="2581">
        <v>0</v>
      </c>
      <c r="O348" s="2581">
        <v>0</v>
      </c>
      <c r="P348" s="2581">
        <v>0</v>
      </c>
      <c r="Q348" s="2161">
        <f t="shared" si="153"/>
        <v>0</v>
      </c>
      <c r="R348" s="1891">
        <f t="shared" si="155"/>
        <v>0</v>
      </c>
      <c r="S348" s="1891">
        <v>0</v>
      </c>
    </row>
    <row r="349" spans="1:19" s="2070" customFormat="1">
      <c r="A349" s="1854"/>
      <c r="B349" s="2727" t="s">
        <v>50</v>
      </c>
      <c r="C349" s="200" t="s">
        <v>73</v>
      </c>
      <c r="D349" s="1964">
        <f>TARGET!D344</f>
        <v>0</v>
      </c>
      <c r="E349" s="2491">
        <v>0</v>
      </c>
      <c r="F349" s="2491">
        <v>0</v>
      </c>
      <c r="G349" s="2491">
        <v>0</v>
      </c>
      <c r="H349" s="2491">
        <v>0</v>
      </c>
      <c r="I349" s="2491">
        <v>0</v>
      </c>
      <c r="J349" s="2491">
        <v>0</v>
      </c>
      <c r="K349" s="2491">
        <v>0</v>
      </c>
      <c r="L349" s="2491">
        <v>0</v>
      </c>
      <c r="M349" s="2491">
        <v>0</v>
      </c>
      <c r="N349" s="2491">
        <v>0</v>
      </c>
      <c r="O349" s="2491">
        <v>0</v>
      </c>
      <c r="P349" s="2491">
        <v>0</v>
      </c>
      <c r="Q349" s="2161">
        <f t="shared" si="153"/>
        <v>0</v>
      </c>
      <c r="R349" s="1891">
        <f t="shared" si="155"/>
        <v>0</v>
      </c>
      <c r="S349" s="1891">
        <v>0</v>
      </c>
    </row>
    <row r="350" spans="1:19" s="2070" customFormat="1">
      <c r="A350" s="1854"/>
      <c r="B350" s="2727" t="s">
        <v>50</v>
      </c>
      <c r="C350" s="200" t="s">
        <v>74</v>
      </c>
      <c r="D350" s="1964">
        <f>TARGET!D345</f>
        <v>0</v>
      </c>
      <c r="E350" s="2491">
        <v>0</v>
      </c>
      <c r="F350" s="2491">
        <v>0</v>
      </c>
      <c r="G350" s="2491">
        <v>0</v>
      </c>
      <c r="H350" s="2491">
        <v>0</v>
      </c>
      <c r="I350" s="2491">
        <v>0</v>
      </c>
      <c r="J350" s="2491">
        <v>0</v>
      </c>
      <c r="K350" s="2491">
        <v>0</v>
      </c>
      <c r="L350" s="2491">
        <v>0</v>
      </c>
      <c r="M350" s="2491">
        <v>0</v>
      </c>
      <c r="N350" s="2491">
        <v>0</v>
      </c>
      <c r="O350" s="2491">
        <v>0</v>
      </c>
      <c r="P350" s="2491">
        <v>0</v>
      </c>
      <c r="Q350" s="2161">
        <f t="shared" si="153"/>
        <v>0</v>
      </c>
      <c r="R350" s="1891">
        <f t="shared" si="155"/>
        <v>0</v>
      </c>
      <c r="S350" s="1891">
        <v>0</v>
      </c>
    </row>
    <row r="351" spans="1:19" s="2070" customFormat="1">
      <c r="A351" s="1854"/>
      <c r="B351" s="2727" t="s">
        <v>50</v>
      </c>
      <c r="C351" s="206" t="s">
        <v>75</v>
      </c>
      <c r="D351" s="1964">
        <f>TARGET!D346</f>
        <v>0</v>
      </c>
      <c r="E351" s="2491">
        <v>0</v>
      </c>
      <c r="F351" s="2491">
        <v>0</v>
      </c>
      <c r="G351" s="2491">
        <v>0</v>
      </c>
      <c r="H351" s="2491">
        <v>0</v>
      </c>
      <c r="I351" s="2491">
        <v>0</v>
      </c>
      <c r="J351" s="2491">
        <v>0</v>
      </c>
      <c r="K351" s="2491">
        <v>0</v>
      </c>
      <c r="L351" s="2491">
        <v>0</v>
      </c>
      <c r="M351" s="2491">
        <v>0</v>
      </c>
      <c r="N351" s="2491">
        <v>0</v>
      </c>
      <c r="O351" s="2491">
        <v>0</v>
      </c>
      <c r="P351" s="2491">
        <v>0</v>
      </c>
      <c r="Q351" s="2161">
        <f t="shared" si="153"/>
        <v>0</v>
      </c>
      <c r="R351" s="1891">
        <f t="shared" si="155"/>
        <v>0</v>
      </c>
      <c r="S351" s="1891">
        <v>0</v>
      </c>
    </row>
    <row r="352" spans="1:19" s="2070" customFormat="1">
      <c r="A352" s="1854"/>
      <c r="B352" s="2727" t="s">
        <v>50</v>
      </c>
      <c r="C352" s="206" t="s">
        <v>85</v>
      </c>
      <c r="D352" s="1964">
        <f>TARGET!D347</f>
        <v>0</v>
      </c>
      <c r="E352" s="2491">
        <v>0</v>
      </c>
      <c r="F352" s="2491">
        <v>0</v>
      </c>
      <c r="G352" s="2491">
        <v>0</v>
      </c>
      <c r="H352" s="2491">
        <v>0</v>
      </c>
      <c r="I352" s="2491">
        <v>0</v>
      </c>
      <c r="J352" s="2491">
        <v>0</v>
      </c>
      <c r="K352" s="2491">
        <v>0</v>
      </c>
      <c r="L352" s="2491">
        <v>0</v>
      </c>
      <c r="M352" s="2491">
        <v>0</v>
      </c>
      <c r="N352" s="2491">
        <v>0</v>
      </c>
      <c r="O352" s="2491">
        <v>0</v>
      </c>
      <c r="P352" s="2491">
        <v>0</v>
      </c>
      <c r="Q352" s="2161">
        <f t="shared" si="153"/>
        <v>0</v>
      </c>
      <c r="R352" s="1891">
        <f t="shared" si="155"/>
        <v>0</v>
      </c>
      <c r="S352" s="1891">
        <v>0</v>
      </c>
    </row>
    <row r="353" spans="1:19" s="2070" customFormat="1" ht="6.75" customHeight="1">
      <c r="A353" s="2596"/>
      <c r="B353" s="2326"/>
      <c r="C353" s="2326"/>
      <c r="D353" s="2314"/>
      <c r="E353" s="2314"/>
      <c r="F353" s="2314"/>
      <c r="G353" s="2314"/>
      <c r="H353" s="2314"/>
      <c r="I353" s="2314"/>
      <c r="J353" s="2314"/>
      <c r="K353" s="2314"/>
      <c r="L353" s="2314"/>
      <c r="M353" s="2314"/>
      <c r="N353" s="2314"/>
      <c r="O353" s="2314"/>
      <c r="P353" s="2314"/>
      <c r="Q353" s="2315"/>
      <c r="R353" s="2315"/>
      <c r="S353" s="2315"/>
    </row>
    <row r="354" spans="1:19" s="2070" customFormat="1" ht="15.05">
      <c r="A354" s="2528" t="s">
        <v>176</v>
      </c>
      <c r="B354" s="2313" t="s">
        <v>177</v>
      </c>
      <c r="C354" s="2195"/>
      <c r="D354" s="2147">
        <f t="shared" ref="D354:P354" si="156">D355</f>
        <v>181842529274</v>
      </c>
      <c r="E354" s="2147">
        <f t="shared" si="156"/>
        <v>0</v>
      </c>
      <c r="F354" s="2147">
        <f t="shared" si="156"/>
        <v>0</v>
      </c>
      <c r="G354" s="2147">
        <f t="shared" si="156"/>
        <v>0</v>
      </c>
      <c r="H354" s="2147">
        <f t="shared" si="156"/>
        <v>0</v>
      </c>
      <c r="I354" s="2147">
        <f t="shared" si="156"/>
        <v>0</v>
      </c>
      <c r="J354" s="2147">
        <f t="shared" si="156"/>
        <v>0</v>
      </c>
      <c r="K354" s="2147">
        <f t="shared" si="156"/>
        <v>0</v>
      </c>
      <c r="L354" s="2147">
        <f t="shared" si="156"/>
        <v>0</v>
      </c>
      <c r="M354" s="2147">
        <f t="shared" si="156"/>
        <v>0</v>
      </c>
      <c r="N354" s="2147">
        <f t="shared" si="156"/>
        <v>0</v>
      </c>
      <c r="O354" s="2147">
        <f t="shared" si="156"/>
        <v>0</v>
      </c>
      <c r="P354" s="2147">
        <f t="shared" si="156"/>
        <v>0</v>
      </c>
      <c r="Q354" s="2147">
        <f>SUM(E354:P354)</f>
        <v>0</v>
      </c>
      <c r="R354" s="2147">
        <f>Q354-D354</f>
        <v>-181842529274</v>
      </c>
      <c r="S354" s="2147">
        <f>Q354/D354*100</f>
        <v>0</v>
      </c>
    </row>
    <row r="355" spans="1:19" s="2070" customFormat="1">
      <c r="A355" s="2597" t="s">
        <v>179</v>
      </c>
      <c r="B355" s="202" t="s">
        <v>180</v>
      </c>
      <c r="C355" s="202"/>
      <c r="D355" s="1891">
        <f t="shared" ref="D355:P355" si="157">D356+D371+D385</f>
        <v>181842529274</v>
      </c>
      <c r="E355" s="1891">
        <f t="shared" si="157"/>
        <v>0</v>
      </c>
      <c r="F355" s="1891">
        <f t="shared" si="157"/>
        <v>0</v>
      </c>
      <c r="G355" s="1891">
        <f t="shared" si="157"/>
        <v>0</v>
      </c>
      <c r="H355" s="1891">
        <f t="shared" si="157"/>
        <v>0</v>
      </c>
      <c r="I355" s="1891">
        <f t="shared" si="157"/>
        <v>0</v>
      </c>
      <c r="J355" s="1891">
        <f t="shared" si="157"/>
        <v>0</v>
      </c>
      <c r="K355" s="1891">
        <f t="shared" si="157"/>
        <v>0</v>
      </c>
      <c r="L355" s="1891">
        <f t="shared" si="157"/>
        <v>0</v>
      </c>
      <c r="M355" s="1891">
        <f t="shared" si="157"/>
        <v>0</v>
      </c>
      <c r="N355" s="1891">
        <f t="shared" si="157"/>
        <v>0</v>
      </c>
      <c r="O355" s="1891">
        <f t="shared" si="157"/>
        <v>0</v>
      </c>
      <c r="P355" s="1891">
        <f t="shared" si="157"/>
        <v>0</v>
      </c>
      <c r="Q355" s="2161">
        <f t="shared" ref="Q355:Q418" si="158">SUM(E355:P355)</f>
        <v>0</v>
      </c>
      <c r="R355" s="1891">
        <f t="shared" ref="R355:S418" si="159">Q355-D355</f>
        <v>-181842529274</v>
      </c>
      <c r="S355" s="1891">
        <f t="shared" ref="S355:S361" si="160">Q355/D355*100</f>
        <v>0</v>
      </c>
    </row>
    <row r="356" spans="1:19" s="2511" customFormat="1">
      <c r="A356" s="1861"/>
      <c r="B356" s="1862" t="s">
        <v>106</v>
      </c>
      <c r="C356" s="1862"/>
      <c r="D356" s="2161">
        <f t="shared" ref="D356:P356" si="161">D358</f>
        <v>2235631500</v>
      </c>
      <c r="E356" s="2161">
        <f t="shared" si="161"/>
        <v>0</v>
      </c>
      <c r="F356" s="2161">
        <f t="shared" si="161"/>
        <v>0</v>
      </c>
      <c r="G356" s="2161">
        <f t="shared" si="161"/>
        <v>0</v>
      </c>
      <c r="H356" s="2161">
        <f t="shared" si="161"/>
        <v>0</v>
      </c>
      <c r="I356" s="2161">
        <f t="shared" si="161"/>
        <v>0</v>
      </c>
      <c r="J356" s="2161">
        <f t="shared" si="161"/>
        <v>0</v>
      </c>
      <c r="K356" s="2161">
        <f t="shared" si="161"/>
        <v>0</v>
      </c>
      <c r="L356" s="2161">
        <f t="shared" si="161"/>
        <v>0</v>
      </c>
      <c r="M356" s="2161">
        <f t="shared" si="161"/>
        <v>0</v>
      </c>
      <c r="N356" s="2161">
        <f t="shared" si="161"/>
        <v>0</v>
      </c>
      <c r="O356" s="2161">
        <f t="shared" si="161"/>
        <v>0</v>
      </c>
      <c r="P356" s="2161">
        <f t="shared" si="161"/>
        <v>0</v>
      </c>
      <c r="Q356" s="2161">
        <f t="shared" si="158"/>
        <v>0</v>
      </c>
      <c r="R356" s="2161">
        <f t="shared" si="159"/>
        <v>-2235631500</v>
      </c>
      <c r="S356" s="2161">
        <f t="shared" si="160"/>
        <v>0</v>
      </c>
    </row>
    <row r="357" spans="1:19" s="2511" customFormat="1">
      <c r="A357" s="1861"/>
      <c r="B357" s="1862" t="s">
        <v>109</v>
      </c>
      <c r="C357" s="1862"/>
      <c r="D357" s="2161">
        <f t="shared" ref="D357:P357" si="162">D359</f>
        <v>2235631500</v>
      </c>
      <c r="E357" s="2161">
        <f t="shared" si="162"/>
        <v>0</v>
      </c>
      <c r="F357" s="2161">
        <f t="shared" si="162"/>
        <v>0</v>
      </c>
      <c r="G357" s="2161">
        <f t="shared" si="162"/>
        <v>0</v>
      </c>
      <c r="H357" s="2161">
        <f t="shared" si="162"/>
        <v>0</v>
      </c>
      <c r="I357" s="2161">
        <f t="shared" si="162"/>
        <v>0</v>
      </c>
      <c r="J357" s="2161">
        <f t="shared" si="162"/>
        <v>0</v>
      </c>
      <c r="K357" s="2161">
        <f t="shared" si="162"/>
        <v>0</v>
      </c>
      <c r="L357" s="2161">
        <f t="shared" si="162"/>
        <v>0</v>
      </c>
      <c r="M357" s="2161">
        <f t="shared" si="162"/>
        <v>0</v>
      </c>
      <c r="N357" s="2161">
        <f t="shared" si="162"/>
        <v>0</v>
      </c>
      <c r="O357" s="2161">
        <f t="shared" si="162"/>
        <v>0</v>
      </c>
      <c r="P357" s="2161">
        <f t="shared" si="162"/>
        <v>0</v>
      </c>
      <c r="Q357" s="2161">
        <f t="shared" si="158"/>
        <v>0</v>
      </c>
      <c r="R357" s="2161">
        <f t="shared" si="159"/>
        <v>-2235631500</v>
      </c>
      <c r="S357" s="2161">
        <f t="shared" si="160"/>
        <v>0</v>
      </c>
    </row>
    <row r="358" spans="1:19" s="2511" customFormat="1" ht="15.05">
      <c r="A358" s="2598"/>
      <c r="B358" s="1917" t="s">
        <v>181</v>
      </c>
      <c r="C358" s="2599"/>
      <c r="D358" s="2156">
        <f t="shared" ref="D358:P358" si="163">D359</f>
        <v>2235631500</v>
      </c>
      <c r="E358" s="2156">
        <f t="shared" si="163"/>
        <v>0</v>
      </c>
      <c r="F358" s="2156">
        <f t="shared" si="163"/>
        <v>0</v>
      </c>
      <c r="G358" s="2156">
        <f t="shared" si="163"/>
        <v>0</v>
      </c>
      <c r="H358" s="2156">
        <f t="shared" si="163"/>
        <v>0</v>
      </c>
      <c r="I358" s="2156">
        <f t="shared" si="163"/>
        <v>0</v>
      </c>
      <c r="J358" s="2156">
        <f t="shared" si="163"/>
        <v>0</v>
      </c>
      <c r="K358" s="2156">
        <f t="shared" si="163"/>
        <v>0</v>
      </c>
      <c r="L358" s="2156">
        <f t="shared" si="163"/>
        <v>0</v>
      </c>
      <c r="M358" s="2156">
        <f t="shared" si="163"/>
        <v>0</v>
      </c>
      <c r="N358" s="2156">
        <f t="shared" si="163"/>
        <v>0</v>
      </c>
      <c r="O358" s="2156">
        <f t="shared" si="163"/>
        <v>0</v>
      </c>
      <c r="P358" s="2156">
        <f t="shared" si="163"/>
        <v>0</v>
      </c>
      <c r="Q358" s="2156">
        <f t="shared" si="158"/>
        <v>0</v>
      </c>
      <c r="R358" s="2156">
        <f t="shared" si="159"/>
        <v>-2235631500</v>
      </c>
      <c r="S358" s="2161">
        <f t="shared" si="160"/>
        <v>0</v>
      </c>
    </row>
    <row r="359" spans="1:19" s="2076" customFormat="1" ht="15.05">
      <c r="A359" s="1854"/>
      <c r="B359" s="2727" t="s">
        <v>156</v>
      </c>
      <c r="C359" s="200" t="s">
        <v>182</v>
      </c>
      <c r="D359" s="1749">
        <f t="shared" ref="D359:P359" si="164">SUM(D360:D363)</f>
        <v>2235631500</v>
      </c>
      <c r="E359" s="1749">
        <f t="shared" si="164"/>
        <v>0</v>
      </c>
      <c r="F359" s="1749">
        <f t="shared" si="164"/>
        <v>0</v>
      </c>
      <c r="G359" s="1749">
        <f t="shared" si="164"/>
        <v>0</v>
      </c>
      <c r="H359" s="1749">
        <f t="shared" si="164"/>
        <v>0</v>
      </c>
      <c r="I359" s="1749">
        <f t="shared" si="164"/>
        <v>0</v>
      </c>
      <c r="J359" s="1749">
        <f t="shared" si="164"/>
        <v>0</v>
      </c>
      <c r="K359" s="1749">
        <f t="shared" si="164"/>
        <v>0</v>
      </c>
      <c r="L359" s="1749">
        <f t="shared" si="164"/>
        <v>0</v>
      </c>
      <c r="M359" s="1749">
        <f t="shared" si="164"/>
        <v>0</v>
      </c>
      <c r="N359" s="1749">
        <f t="shared" si="164"/>
        <v>0</v>
      </c>
      <c r="O359" s="1749">
        <f t="shared" si="164"/>
        <v>0</v>
      </c>
      <c r="P359" s="1749">
        <f t="shared" si="164"/>
        <v>0</v>
      </c>
      <c r="Q359" s="2156">
        <f t="shared" si="158"/>
        <v>0</v>
      </c>
      <c r="R359" s="1749">
        <f t="shared" si="159"/>
        <v>-2235631500</v>
      </c>
      <c r="S359" s="1891">
        <f t="shared" si="160"/>
        <v>0</v>
      </c>
    </row>
    <row r="360" spans="1:19" s="2076" customFormat="1">
      <c r="A360" s="1854"/>
      <c r="B360" s="200"/>
      <c r="C360" s="2727" t="s">
        <v>183</v>
      </c>
      <c r="D360" s="1964">
        <f>TARGET!D355</f>
        <v>1043101100</v>
      </c>
      <c r="E360" s="2241">
        <v>0</v>
      </c>
      <c r="F360" s="2241">
        <v>0</v>
      </c>
      <c r="G360" s="2241">
        <v>0</v>
      </c>
      <c r="H360" s="2241">
        <v>0</v>
      </c>
      <c r="I360" s="2241">
        <v>0</v>
      </c>
      <c r="J360" s="2241">
        <v>0</v>
      </c>
      <c r="K360" s="2241">
        <v>0</v>
      </c>
      <c r="L360" s="2241">
        <v>0</v>
      </c>
      <c r="M360" s="2241">
        <v>0</v>
      </c>
      <c r="N360" s="2241">
        <v>0</v>
      </c>
      <c r="O360" s="2241">
        <v>0</v>
      </c>
      <c r="P360" s="2241">
        <v>0</v>
      </c>
      <c r="Q360" s="2161">
        <f t="shared" si="158"/>
        <v>0</v>
      </c>
      <c r="R360" s="1891">
        <f t="shared" si="159"/>
        <v>-1043101100</v>
      </c>
      <c r="S360" s="1891">
        <f t="shared" si="160"/>
        <v>0</v>
      </c>
    </row>
    <row r="361" spans="1:19" s="2076" customFormat="1">
      <c r="A361" s="1854"/>
      <c r="B361" s="200"/>
      <c r="C361" s="2727" t="s">
        <v>184</v>
      </c>
      <c r="D361" s="1964">
        <f>TARGET!D356</f>
        <v>532280400</v>
      </c>
      <c r="E361" s="2241">
        <v>0</v>
      </c>
      <c r="F361" s="2241">
        <v>0</v>
      </c>
      <c r="G361" s="2241">
        <v>0</v>
      </c>
      <c r="H361" s="2241">
        <v>0</v>
      </c>
      <c r="I361" s="2241">
        <v>0</v>
      </c>
      <c r="J361" s="2241">
        <v>0</v>
      </c>
      <c r="K361" s="2241">
        <v>0</v>
      </c>
      <c r="L361" s="2241">
        <v>0</v>
      </c>
      <c r="M361" s="2241">
        <v>0</v>
      </c>
      <c r="N361" s="2241">
        <v>0</v>
      </c>
      <c r="O361" s="2241">
        <v>0</v>
      </c>
      <c r="P361" s="2241">
        <v>0</v>
      </c>
      <c r="Q361" s="2161">
        <f t="shared" si="158"/>
        <v>0</v>
      </c>
      <c r="R361" s="1891">
        <f t="shared" si="159"/>
        <v>-532280400</v>
      </c>
      <c r="S361" s="1891">
        <f t="shared" si="160"/>
        <v>0</v>
      </c>
    </row>
    <row r="362" spans="1:19" s="2076" customFormat="1">
      <c r="A362" s="1854"/>
      <c r="B362" s="2727" t="s">
        <v>161</v>
      </c>
      <c r="C362" s="2727" t="s">
        <v>185</v>
      </c>
      <c r="D362" s="1964">
        <f>TARGET!D357</f>
        <v>500000000</v>
      </c>
      <c r="E362" s="2241">
        <v>0</v>
      </c>
      <c r="F362" s="2241">
        <v>0</v>
      </c>
      <c r="G362" s="2241">
        <v>0</v>
      </c>
      <c r="H362" s="2241">
        <v>0</v>
      </c>
      <c r="I362" s="2241">
        <v>0</v>
      </c>
      <c r="J362" s="2241">
        <v>0</v>
      </c>
      <c r="K362" s="2241">
        <v>0</v>
      </c>
      <c r="L362" s="2241">
        <v>0</v>
      </c>
      <c r="M362" s="2241">
        <v>0</v>
      </c>
      <c r="N362" s="2241">
        <v>0</v>
      </c>
      <c r="O362" s="2241">
        <v>0</v>
      </c>
      <c r="P362" s="2241">
        <v>0</v>
      </c>
      <c r="Q362" s="2161">
        <f t="shared" si="158"/>
        <v>0</v>
      </c>
      <c r="R362" s="1891">
        <f t="shared" si="159"/>
        <v>-500000000</v>
      </c>
      <c r="S362" s="1891">
        <f t="shared" ref="S362:S368" si="165">Q362/D362*100</f>
        <v>0</v>
      </c>
    </row>
    <row r="363" spans="1:19" s="2076" customFormat="1" ht="15.05">
      <c r="A363" s="1854"/>
      <c r="B363" s="2727" t="s">
        <v>163</v>
      </c>
      <c r="C363" s="200" t="s">
        <v>186</v>
      </c>
      <c r="D363" s="1749">
        <f t="shared" ref="D363:P363" si="166">SUM(D364:D369)</f>
        <v>160250000</v>
      </c>
      <c r="E363" s="1749">
        <f t="shared" si="166"/>
        <v>0</v>
      </c>
      <c r="F363" s="1749">
        <f t="shared" si="166"/>
        <v>0</v>
      </c>
      <c r="G363" s="1749">
        <f t="shared" si="166"/>
        <v>0</v>
      </c>
      <c r="H363" s="1749">
        <f t="shared" si="166"/>
        <v>0</v>
      </c>
      <c r="I363" s="1749">
        <f t="shared" si="166"/>
        <v>0</v>
      </c>
      <c r="J363" s="1749">
        <f t="shared" si="166"/>
        <v>0</v>
      </c>
      <c r="K363" s="1749">
        <f t="shared" si="166"/>
        <v>0</v>
      </c>
      <c r="L363" s="1749">
        <f t="shared" si="166"/>
        <v>0</v>
      </c>
      <c r="M363" s="1749">
        <f t="shared" si="166"/>
        <v>0</v>
      </c>
      <c r="N363" s="1749">
        <f t="shared" si="166"/>
        <v>0</v>
      </c>
      <c r="O363" s="1749">
        <f t="shared" si="166"/>
        <v>0</v>
      </c>
      <c r="P363" s="1749">
        <f t="shared" si="166"/>
        <v>0</v>
      </c>
      <c r="Q363" s="2156">
        <f t="shared" si="158"/>
        <v>0</v>
      </c>
      <c r="R363" s="1749">
        <f t="shared" si="159"/>
        <v>-160250000</v>
      </c>
      <c r="S363" s="1891">
        <f t="shared" si="165"/>
        <v>0</v>
      </c>
    </row>
    <row r="364" spans="1:19" s="2076" customFormat="1">
      <c r="A364" s="1854"/>
      <c r="B364" s="200"/>
      <c r="C364" s="2727" t="s">
        <v>187</v>
      </c>
      <c r="D364" s="1964">
        <f>TARGET!D359</f>
        <v>35000000</v>
      </c>
      <c r="E364" s="2241">
        <v>0</v>
      </c>
      <c r="F364" s="2241">
        <v>0</v>
      </c>
      <c r="G364" s="2241">
        <v>0</v>
      </c>
      <c r="H364" s="2241">
        <v>0</v>
      </c>
      <c r="I364" s="2241">
        <v>0</v>
      </c>
      <c r="J364" s="2241">
        <v>0</v>
      </c>
      <c r="K364" s="2241">
        <v>0</v>
      </c>
      <c r="L364" s="2241">
        <v>0</v>
      </c>
      <c r="M364" s="2241">
        <v>0</v>
      </c>
      <c r="N364" s="2241">
        <v>0</v>
      </c>
      <c r="O364" s="2241">
        <v>0</v>
      </c>
      <c r="P364" s="2241">
        <v>0</v>
      </c>
      <c r="Q364" s="2161">
        <f t="shared" si="158"/>
        <v>0</v>
      </c>
      <c r="R364" s="1891">
        <f t="shared" si="159"/>
        <v>-35000000</v>
      </c>
      <c r="S364" s="1891">
        <f t="shared" si="165"/>
        <v>0</v>
      </c>
    </row>
    <row r="365" spans="1:19" s="2076" customFormat="1">
      <c r="A365" s="1854"/>
      <c r="B365" s="200"/>
      <c r="C365" s="2727" t="s">
        <v>188</v>
      </c>
      <c r="D365" s="1964">
        <f>TARGET!D360</f>
        <v>28000000</v>
      </c>
      <c r="E365" s="2241">
        <v>0</v>
      </c>
      <c r="F365" s="2241">
        <v>0</v>
      </c>
      <c r="G365" s="2241">
        <v>0</v>
      </c>
      <c r="H365" s="2241">
        <v>0</v>
      </c>
      <c r="I365" s="2241">
        <v>0</v>
      </c>
      <c r="J365" s="2241">
        <v>0</v>
      </c>
      <c r="K365" s="2241">
        <v>0</v>
      </c>
      <c r="L365" s="2241">
        <v>0</v>
      </c>
      <c r="M365" s="2241">
        <v>0</v>
      </c>
      <c r="N365" s="2241">
        <v>0</v>
      </c>
      <c r="O365" s="2241">
        <v>0</v>
      </c>
      <c r="P365" s="2241">
        <v>0</v>
      </c>
      <c r="Q365" s="2161">
        <f t="shared" si="158"/>
        <v>0</v>
      </c>
      <c r="R365" s="1891">
        <f t="shared" si="159"/>
        <v>-28000000</v>
      </c>
      <c r="S365" s="1891">
        <f t="shared" si="165"/>
        <v>0</v>
      </c>
    </row>
    <row r="366" spans="1:19" s="2076" customFormat="1">
      <c r="A366" s="1854"/>
      <c r="B366" s="200"/>
      <c r="C366" s="2727" t="s">
        <v>189</v>
      </c>
      <c r="D366" s="1964">
        <f>TARGET!D361</f>
        <v>17250000</v>
      </c>
      <c r="E366" s="2241">
        <v>0</v>
      </c>
      <c r="F366" s="2241">
        <v>0</v>
      </c>
      <c r="G366" s="2241">
        <v>0</v>
      </c>
      <c r="H366" s="2241">
        <v>0</v>
      </c>
      <c r="I366" s="2241">
        <v>0</v>
      </c>
      <c r="J366" s="2241">
        <v>0</v>
      </c>
      <c r="K366" s="2241">
        <v>0</v>
      </c>
      <c r="L366" s="2241">
        <v>0</v>
      </c>
      <c r="M366" s="2241">
        <v>0</v>
      </c>
      <c r="N366" s="2241">
        <v>0</v>
      </c>
      <c r="O366" s="2241">
        <v>0</v>
      </c>
      <c r="P366" s="2241">
        <v>0</v>
      </c>
      <c r="Q366" s="2161">
        <f t="shared" si="158"/>
        <v>0</v>
      </c>
      <c r="R366" s="1891">
        <f t="shared" si="159"/>
        <v>-17250000</v>
      </c>
      <c r="S366" s="1891">
        <f t="shared" si="165"/>
        <v>0</v>
      </c>
    </row>
    <row r="367" spans="1:19" s="2076" customFormat="1">
      <c r="A367" s="1854"/>
      <c r="B367" s="202"/>
      <c r="C367" s="2727" t="s">
        <v>190</v>
      </c>
      <c r="D367" s="1964">
        <f>TARGET!D362</f>
        <v>30000000</v>
      </c>
      <c r="E367" s="2241">
        <v>0</v>
      </c>
      <c r="F367" s="2241">
        <v>0</v>
      </c>
      <c r="G367" s="2241">
        <v>0</v>
      </c>
      <c r="H367" s="2241">
        <v>0</v>
      </c>
      <c r="I367" s="2241">
        <v>0</v>
      </c>
      <c r="J367" s="2241">
        <v>0</v>
      </c>
      <c r="K367" s="2241">
        <v>0</v>
      </c>
      <c r="L367" s="2241">
        <v>0</v>
      </c>
      <c r="M367" s="2241">
        <v>0</v>
      </c>
      <c r="N367" s="2241">
        <v>0</v>
      </c>
      <c r="O367" s="2241">
        <v>0</v>
      </c>
      <c r="P367" s="2241">
        <v>0</v>
      </c>
      <c r="Q367" s="2161">
        <f t="shared" si="158"/>
        <v>0</v>
      </c>
      <c r="R367" s="1891">
        <f t="shared" si="159"/>
        <v>-30000000</v>
      </c>
      <c r="S367" s="1891">
        <f t="shared" si="165"/>
        <v>0</v>
      </c>
    </row>
    <row r="368" spans="1:19" s="2076" customFormat="1">
      <c r="A368" s="1854"/>
      <c r="B368" s="202"/>
      <c r="C368" s="2727" t="s">
        <v>191</v>
      </c>
      <c r="D368" s="1964">
        <f>TARGET!D363</f>
        <v>50000000</v>
      </c>
      <c r="E368" s="2241">
        <v>0</v>
      </c>
      <c r="F368" s="2241">
        <v>0</v>
      </c>
      <c r="G368" s="2241">
        <v>0</v>
      </c>
      <c r="H368" s="2241">
        <v>0</v>
      </c>
      <c r="I368" s="2241">
        <v>0</v>
      </c>
      <c r="J368" s="2241">
        <v>0</v>
      </c>
      <c r="K368" s="2241">
        <v>0</v>
      </c>
      <c r="L368" s="2241">
        <v>0</v>
      </c>
      <c r="M368" s="2241">
        <v>0</v>
      </c>
      <c r="N368" s="2241">
        <v>0</v>
      </c>
      <c r="O368" s="2241">
        <v>0</v>
      </c>
      <c r="P368" s="2241">
        <v>0</v>
      </c>
      <c r="Q368" s="2161">
        <f t="shared" si="158"/>
        <v>0</v>
      </c>
      <c r="R368" s="1891">
        <f t="shared" si="159"/>
        <v>-50000000</v>
      </c>
      <c r="S368" s="1891">
        <f t="shared" si="165"/>
        <v>0</v>
      </c>
    </row>
    <row r="369" spans="1:19" s="2076" customFormat="1">
      <c r="A369" s="1854"/>
      <c r="B369" s="2727" t="s">
        <v>165</v>
      </c>
      <c r="C369" s="200" t="s">
        <v>192</v>
      </c>
      <c r="D369" s="1964">
        <f>TARGET!D364</f>
        <v>0</v>
      </c>
      <c r="E369" s="2540">
        <v>0</v>
      </c>
      <c r="F369" s="2540">
        <v>0</v>
      </c>
      <c r="G369" s="2540">
        <v>0</v>
      </c>
      <c r="H369" s="2540">
        <v>0</v>
      </c>
      <c r="I369" s="2540">
        <v>0</v>
      </c>
      <c r="J369" s="2540">
        <v>0</v>
      </c>
      <c r="K369" s="2540">
        <v>0</v>
      </c>
      <c r="L369" s="2540">
        <v>0</v>
      </c>
      <c r="M369" s="2540">
        <v>0</v>
      </c>
      <c r="N369" s="2540">
        <v>0</v>
      </c>
      <c r="O369" s="2540">
        <v>0</v>
      </c>
      <c r="P369" s="2540">
        <v>0</v>
      </c>
      <c r="Q369" s="2161">
        <f t="shared" si="158"/>
        <v>0</v>
      </c>
      <c r="R369" s="1891">
        <f t="shared" si="159"/>
        <v>0</v>
      </c>
      <c r="S369" s="1891">
        <v>0</v>
      </c>
    </row>
    <row r="370" spans="1:19" s="2076" customFormat="1" ht="6.75" customHeight="1">
      <c r="A370" s="1854"/>
      <c r="B370" s="202"/>
      <c r="C370" s="200"/>
      <c r="D370" s="2161"/>
      <c r="E370" s="2161"/>
      <c r="F370" s="2161"/>
      <c r="G370" s="2161"/>
      <c r="H370" s="2161"/>
      <c r="I370" s="2161"/>
      <c r="J370" s="2161"/>
      <c r="K370" s="2161"/>
      <c r="L370" s="2161"/>
      <c r="M370" s="2161"/>
      <c r="N370" s="2161"/>
      <c r="O370" s="2161"/>
      <c r="P370" s="2161"/>
      <c r="Q370" s="2161">
        <f t="shared" si="158"/>
        <v>0</v>
      </c>
      <c r="R370" s="1891">
        <f t="shared" si="159"/>
        <v>0</v>
      </c>
      <c r="S370" s="1891">
        <f t="shared" si="159"/>
        <v>0</v>
      </c>
    </row>
    <row r="371" spans="1:19" s="2076" customFormat="1" ht="15.05">
      <c r="A371" s="2597" t="s">
        <v>179</v>
      </c>
      <c r="B371" s="2330" t="s">
        <v>193</v>
      </c>
      <c r="C371" s="1466"/>
      <c r="D371" s="1469">
        <f>+D372+D382</f>
        <v>92558485190</v>
      </c>
      <c r="E371" s="1469">
        <f t="shared" ref="D371:P372" si="167">+E372</f>
        <v>0</v>
      </c>
      <c r="F371" s="1469">
        <f t="shared" si="167"/>
        <v>0</v>
      </c>
      <c r="G371" s="1469">
        <f t="shared" si="167"/>
        <v>0</v>
      </c>
      <c r="H371" s="1469">
        <f t="shared" si="167"/>
        <v>0</v>
      </c>
      <c r="I371" s="1469">
        <f t="shared" si="167"/>
        <v>0</v>
      </c>
      <c r="J371" s="1469">
        <f t="shared" si="167"/>
        <v>0</v>
      </c>
      <c r="K371" s="1469">
        <f t="shared" si="167"/>
        <v>0</v>
      </c>
      <c r="L371" s="1469">
        <f t="shared" si="167"/>
        <v>0</v>
      </c>
      <c r="M371" s="1469">
        <f t="shared" si="167"/>
        <v>0</v>
      </c>
      <c r="N371" s="1469">
        <f t="shared" si="167"/>
        <v>0</v>
      </c>
      <c r="O371" s="1469">
        <f t="shared" si="167"/>
        <v>0</v>
      </c>
      <c r="P371" s="1469">
        <f t="shared" si="167"/>
        <v>0</v>
      </c>
      <c r="Q371" s="2342">
        <f t="shared" si="158"/>
        <v>0</v>
      </c>
      <c r="R371" s="1891">
        <f t="shared" si="159"/>
        <v>-92558485190</v>
      </c>
      <c r="S371" s="1891">
        <f t="shared" ref="S371:S380" si="168">Q371/D371*100</f>
        <v>0</v>
      </c>
    </row>
    <row r="372" spans="1:19" s="2076" customFormat="1">
      <c r="A372" s="1854"/>
      <c r="B372" s="200" t="s">
        <v>194</v>
      </c>
      <c r="C372" s="200"/>
      <c r="D372" s="1891">
        <f t="shared" si="167"/>
        <v>90558485190</v>
      </c>
      <c r="E372" s="1891">
        <f t="shared" si="167"/>
        <v>0</v>
      </c>
      <c r="F372" s="1891">
        <f t="shared" si="167"/>
        <v>0</v>
      </c>
      <c r="G372" s="1891">
        <f t="shared" si="167"/>
        <v>0</v>
      </c>
      <c r="H372" s="1891">
        <f t="shared" si="167"/>
        <v>0</v>
      </c>
      <c r="I372" s="1891">
        <f t="shared" si="167"/>
        <v>0</v>
      </c>
      <c r="J372" s="1891">
        <f t="shared" si="167"/>
        <v>0</v>
      </c>
      <c r="K372" s="1891">
        <f t="shared" si="167"/>
        <v>0</v>
      </c>
      <c r="L372" s="1891">
        <f t="shared" si="167"/>
        <v>0</v>
      </c>
      <c r="M372" s="1891">
        <f t="shared" si="167"/>
        <v>0</v>
      </c>
      <c r="N372" s="1891">
        <f t="shared" si="167"/>
        <v>0</v>
      </c>
      <c r="O372" s="1891">
        <f t="shared" si="167"/>
        <v>0</v>
      </c>
      <c r="P372" s="1891">
        <f t="shared" si="167"/>
        <v>0</v>
      </c>
      <c r="Q372" s="2344">
        <f t="shared" si="158"/>
        <v>0</v>
      </c>
      <c r="R372" s="1891">
        <f t="shared" si="159"/>
        <v>-90558485190</v>
      </c>
      <c r="S372" s="1891">
        <f t="shared" si="168"/>
        <v>0</v>
      </c>
    </row>
    <row r="373" spans="1:19" s="2076" customFormat="1" ht="15.05">
      <c r="A373" s="1854"/>
      <c r="B373" s="200" t="s">
        <v>195</v>
      </c>
      <c r="C373" s="200"/>
      <c r="D373" s="2345">
        <f>SUM(D374:D380)</f>
        <v>90558485190</v>
      </c>
      <c r="E373" s="2345">
        <f t="shared" ref="E373:P373" si="169">SUM(E374:E382)</f>
        <v>0</v>
      </c>
      <c r="F373" s="2345">
        <f t="shared" si="169"/>
        <v>0</v>
      </c>
      <c r="G373" s="2345">
        <f t="shared" si="169"/>
        <v>0</v>
      </c>
      <c r="H373" s="2345">
        <f t="shared" si="169"/>
        <v>0</v>
      </c>
      <c r="I373" s="2345">
        <f t="shared" si="169"/>
        <v>0</v>
      </c>
      <c r="J373" s="2345">
        <f t="shared" si="169"/>
        <v>0</v>
      </c>
      <c r="K373" s="2345">
        <f t="shared" si="169"/>
        <v>0</v>
      </c>
      <c r="L373" s="2345">
        <f t="shared" si="169"/>
        <v>0</v>
      </c>
      <c r="M373" s="2345">
        <f t="shared" si="169"/>
        <v>0</v>
      </c>
      <c r="N373" s="2345">
        <f t="shared" si="169"/>
        <v>0</v>
      </c>
      <c r="O373" s="2345">
        <f t="shared" si="169"/>
        <v>0</v>
      </c>
      <c r="P373" s="2345">
        <f t="shared" si="169"/>
        <v>0</v>
      </c>
      <c r="Q373" s="2156">
        <f t="shared" si="158"/>
        <v>0</v>
      </c>
      <c r="R373" s="1749">
        <f t="shared" si="159"/>
        <v>-90558485190</v>
      </c>
      <c r="S373" s="1891">
        <f t="shared" si="168"/>
        <v>0</v>
      </c>
    </row>
    <row r="374" spans="1:19" s="2076" customFormat="1">
      <c r="A374" s="1854"/>
      <c r="B374" s="200" t="s">
        <v>50</v>
      </c>
      <c r="C374" s="200" t="s">
        <v>196</v>
      </c>
      <c r="D374" s="1964">
        <f>TARGET!D369</f>
        <v>13374571865</v>
      </c>
      <c r="E374" s="2241">
        <v>0</v>
      </c>
      <c r="F374" s="2241">
        <v>0</v>
      </c>
      <c r="G374" s="2241">
        <v>0</v>
      </c>
      <c r="H374" s="2241">
        <v>0</v>
      </c>
      <c r="I374" s="2241">
        <v>0</v>
      </c>
      <c r="J374" s="2241">
        <v>0</v>
      </c>
      <c r="K374" s="2241">
        <v>0</v>
      </c>
      <c r="L374" s="2241">
        <v>0</v>
      </c>
      <c r="M374" s="2241">
        <v>0</v>
      </c>
      <c r="N374" s="2241">
        <v>0</v>
      </c>
      <c r="O374" s="2241">
        <v>0</v>
      </c>
      <c r="P374" s="2241">
        <v>0</v>
      </c>
      <c r="Q374" s="2161">
        <f t="shared" si="158"/>
        <v>0</v>
      </c>
      <c r="R374" s="1891">
        <f t="shared" si="159"/>
        <v>-13374571865</v>
      </c>
      <c r="S374" s="1891">
        <f t="shared" si="168"/>
        <v>0</v>
      </c>
    </row>
    <row r="375" spans="1:19" s="2076" customFormat="1">
      <c r="A375" s="1854"/>
      <c r="B375" s="200" t="s">
        <v>50</v>
      </c>
      <c r="C375" s="200" t="s">
        <v>197</v>
      </c>
      <c r="D375" s="1964">
        <f>TARGET!D370</f>
        <v>59958450102</v>
      </c>
      <c r="E375" s="2241">
        <v>0</v>
      </c>
      <c r="F375" s="2241">
        <v>0</v>
      </c>
      <c r="G375" s="2241">
        <v>0</v>
      </c>
      <c r="H375" s="2241">
        <v>0</v>
      </c>
      <c r="I375" s="2241">
        <v>0</v>
      </c>
      <c r="J375" s="2241">
        <v>0</v>
      </c>
      <c r="K375" s="2241">
        <v>0</v>
      </c>
      <c r="L375" s="2241">
        <v>0</v>
      </c>
      <c r="M375" s="2241">
        <v>0</v>
      </c>
      <c r="N375" s="2241">
        <v>0</v>
      </c>
      <c r="O375" s="2241">
        <v>0</v>
      </c>
      <c r="P375" s="2241">
        <v>0</v>
      </c>
      <c r="Q375" s="2161">
        <f t="shared" si="158"/>
        <v>0</v>
      </c>
      <c r="R375" s="1891">
        <f t="shared" si="159"/>
        <v>-59958450102</v>
      </c>
      <c r="S375" s="1891">
        <f t="shared" si="168"/>
        <v>0</v>
      </c>
    </row>
    <row r="376" spans="1:19" s="2076" customFormat="1">
      <c r="A376" s="1854"/>
      <c r="B376" s="200" t="s">
        <v>50</v>
      </c>
      <c r="C376" s="200" t="s">
        <v>198</v>
      </c>
      <c r="D376" s="1964">
        <f>TARGET!D371</f>
        <v>1000000000</v>
      </c>
      <c r="E376" s="2241">
        <v>0</v>
      </c>
      <c r="F376" s="2241">
        <v>0</v>
      </c>
      <c r="G376" s="2241">
        <v>0</v>
      </c>
      <c r="H376" s="2241">
        <v>0</v>
      </c>
      <c r="I376" s="2241">
        <v>0</v>
      </c>
      <c r="J376" s="2241">
        <v>0</v>
      </c>
      <c r="K376" s="2241">
        <v>0</v>
      </c>
      <c r="L376" s="2241">
        <v>0</v>
      </c>
      <c r="M376" s="2241">
        <v>0</v>
      </c>
      <c r="N376" s="2241">
        <v>0</v>
      </c>
      <c r="O376" s="2241">
        <v>0</v>
      </c>
      <c r="P376" s="2241">
        <v>0</v>
      </c>
      <c r="Q376" s="2161">
        <f t="shared" si="158"/>
        <v>0</v>
      </c>
      <c r="R376" s="1891">
        <f t="shared" si="159"/>
        <v>-1000000000</v>
      </c>
      <c r="S376" s="1891">
        <f t="shared" si="168"/>
        <v>0</v>
      </c>
    </row>
    <row r="377" spans="1:19" s="2076" customFormat="1">
      <c r="A377" s="1854"/>
      <c r="B377" s="200" t="s">
        <v>50</v>
      </c>
      <c r="C377" s="200" t="s">
        <v>199</v>
      </c>
      <c r="D377" s="1964">
        <f>TARGET!D372</f>
        <v>16000000000</v>
      </c>
      <c r="E377" s="2241">
        <v>0</v>
      </c>
      <c r="F377" s="2241">
        <v>0</v>
      </c>
      <c r="G377" s="2241">
        <v>0</v>
      </c>
      <c r="H377" s="2241">
        <v>0</v>
      </c>
      <c r="I377" s="2241">
        <v>0</v>
      </c>
      <c r="J377" s="2241">
        <v>0</v>
      </c>
      <c r="K377" s="2241">
        <v>0</v>
      </c>
      <c r="L377" s="2241">
        <v>0</v>
      </c>
      <c r="M377" s="2241">
        <v>0</v>
      </c>
      <c r="N377" s="2241">
        <v>0</v>
      </c>
      <c r="O377" s="2241">
        <v>0</v>
      </c>
      <c r="P377" s="2241">
        <v>0</v>
      </c>
      <c r="Q377" s="2161">
        <f t="shared" si="158"/>
        <v>0</v>
      </c>
      <c r="R377" s="1891">
        <f t="shared" si="159"/>
        <v>-16000000000</v>
      </c>
      <c r="S377" s="1891">
        <f t="shared" si="168"/>
        <v>0</v>
      </c>
    </row>
    <row r="378" spans="1:19" s="2076" customFormat="1">
      <c r="A378" s="1854"/>
      <c r="B378" s="200" t="s">
        <v>50</v>
      </c>
      <c r="C378" s="200" t="s">
        <v>200</v>
      </c>
      <c r="D378" s="1964">
        <f>TARGET!D373</f>
        <v>0</v>
      </c>
      <c r="E378" s="2241">
        <v>0</v>
      </c>
      <c r="F378" s="2241">
        <v>0</v>
      </c>
      <c r="G378" s="2241">
        <v>0</v>
      </c>
      <c r="H378" s="2241">
        <v>0</v>
      </c>
      <c r="I378" s="2241">
        <v>0</v>
      </c>
      <c r="J378" s="2241">
        <v>0</v>
      </c>
      <c r="K378" s="2241">
        <v>0</v>
      </c>
      <c r="L378" s="2241">
        <v>0</v>
      </c>
      <c r="M378" s="2241">
        <v>0</v>
      </c>
      <c r="N378" s="2241">
        <v>0</v>
      </c>
      <c r="O378" s="2241">
        <v>0</v>
      </c>
      <c r="P378" s="2241">
        <v>0</v>
      </c>
      <c r="Q378" s="2161">
        <f t="shared" si="158"/>
        <v>0</v>
      </c>
      <c r="R378" s="1891">
        <f t="shared" si="159"/>
        <v>0</v>
      </c>
      <c r="S378" s="1891">
        <v>0</v>
      </c>
    </row>
    <row r="379" spans="1:19" s="2076" customFormat="1">
      <c r="A379" s="1854"/>
      <c r="B379" s="200" t="s">
        <v>50</v>
      </c>
      <c r="C379" s="200" t="s">
        <v>201</v>
      </c>
      <c r="D379" s="1964">
        <f>TARGET!D374</f>
        <v>136702012</v>
      </c>
      <c r="E379" s="2241">
        <v>0</v>
      </c>
      <c r="F379" s="2241">
        <v>0</v>
      </c>
      <c r="G379" s="2241">
        <v>0</v>
      </c>
      <c r="H379" s="2241">
        <v>0</v>
      </c>
      <c r="I379" s="2241">
        <v>0</v>
      </c>
      <c r="J379" s="2241">
        <v>0</v>
      </c>
      <c r="K379" s="2241">
        <v>0</v>
      </c>
      <c r="L379" s="2241">
        <v>0</v>
      </c>
      <c r="M379" s="2241">
        <v>0</v>
      </c>
      <c r="N379" s="2241">
        <v>0</v>
      </c>
      <c r="O379" s="2241">
        <v>0</v>
      </c>
      <c r="P379" s="2241">
        <v>0</v>
      </c>
      <c r="Q379" s="2161">
        <f t="shared" si="158"/>
        <v>0</v>
      </c>
      <c r="R379" s="1891">
        <f t="shared" si="159"/>
        <v>-136702012</v>
      </c>
      <c r="S379" s="1891">
        <f t="shared" si="168"/>
        <v>0</v>
      </c>
    </row>
    <row r="380" spans="1:19" s="2076" customFormat="1">
      <c r="A380" s="1854"/>
      <c r="B380" s="200" t="s">
        <v>50</v>
      </c>
      <c r="C380" s="200" t="s">
        <v>202</v>
      </c>
      <c r="D380" s="1964">
        <f>TARGET!D375</f>
        <v>88761211</v>
      </c>
      <c r="E380" s="2241">
        <v>0</v>
      </c>
      <c r="F380" s="2241">
        <v>0</v>
      </c>
      <c r="G380" s="2241">
        <v>0</v>
      </c>
      <c r="H380" s="2241">
        <v>0</v>
      </c>
      <c r="I380" s="2241">
        <v>0</v>
      </c>
      <c r="J380" s="2241">
        <v>0</v>
      </c>
      <c r="K380" s="2241">
        <v>0</v>
      </c>
      <c r="L380" s="2241">
        <v>0</v>
      </c>
      <c r="M380" s="2241">
        <v>0</v>
      </c>
      <c r="N380" s="2241">
        <v>0</v>
      </c>
      <c r="O380" s="2241">
        <v>0</v>
      </c>
      <c r="P380" s="2241">
        <v>0</v>
      </c>
      <c r="Q380" s="2161">
        <f t="shared" si="158"/>
        <v>0</v>
      </c>
      <c r="R380" s="1891">
        <f t="shared" si="159"/>
        <v>-88761211</v>
      </c>
      <c r="S380" s="1891">
        <f t="shared" si="168"/>
        <v>0</v>
      </c>
    </row>
    <row r="381" spans="1:19" s="2511" customFormat="1" ht="6.75" customHeight="1">
      <c r="A381" s="1861"/>
      <c r="B381" s="201"/>
      <c r="C381" s="2599"/>
      <c r="D381" s="2346"/>
      <c r="E381" s="2346"/>
      <c r="F381" s="2346"/>
      <c r="G381" s="2346"/>
      <c r="H381" s="2346"/>
      <c r="I381" s="2346"/>
      <c r="J381" s="2346"/>
      <c r="K381" s="2346"/>
      <c r="L381" s="2346"/>
      <c r="M381" s="2346"/>
      <c r="N381" s="2346"/>
      <c r="O381" s="2346"/>
      <c r="P381" s="2346"/>
      <c r="Q381" s="2161">
        <f t="shared" si="158"/>
        <v>0</v>
      </c>
      <c r="R381" s="2161">
        <f t="shared" si="159"/>
        <v>0</v>
      </c>
      <c r="S381" s="2161">
        <f t="shared" si="159"/>
        <v>0</v>
      </c>
    </row>
    <row r="382" spans="1:19" s="2511" customFormat="1" ht="15.05">
      <c r="A382" s="1861"/>
      <c r="B382" s="201" t="s">
        <v>203</v>
      </c>
      <c r="C382" s="2599"/>
      <c r="D382" s="2161">
        <f t="shared" ref="D382:P382" si="170">D383</f>
        <v>2000000000</v>
      </c>
      <c r="E382" s="2161">
        <f t="shared" si="170"/>
        <v>0</v>
      </c>
      <c r="F382" s="2161">
        <f t="shared" si="170"/>
        <v>0</v>
      </c>
      <c r="G382" s="2161">
        <f t="shared" si="170"/>
        <v>0</v>
      </c>
      <c r="H382" s="2161">
        <f t="shared" si="170"/>
        <v>0</v>
      </c>
      <c r="I382" s="2161">
        <f t="shared" si="170"/>
        <v>0</v>
      </c>
      <c r="J382" s="2161">
        <f t="shared" si="170"/>
        <v>0</v>
      </c>
      <c r="K382" s="2161">
        <f t="shared" si="170"/>
        <v>0</v>
      </c>
      <c r="L382" s="2161">
        <f t="shared" si="170"/>
        <v>0</v>
      </c>
      <c r="M382" s="2161">
        <f t="shared" si="170"/>
        <v>0</v>
      </c>
      <c r="N382" s="2161">
        <f t="shared" si="170"/>
        <v>0</v>
      </c>
      <c r="O382" s="2161">
        <f t="shared" si="170"/>
        <v>0</v>
      </c>
      <c r="P382" s="2161">
        <f t="shared" si="170"/>
        <v>0</v>
      </c>
      <c r="Q382" s="2161">
        <f t="shared" si="158"/>
        <v>0</v>
      </c>
      <c r="R382" s="2161">
        <f t="shared" si="159"/>
        <v>-2000000000</v>
      </c>
      <c r="S382" s="2161">
        <f>Q382/D382*100</f>
        <v>0</v>
      </c>
    </row>
    <row r="383" spans="1:19" s="2076" customFormat="1">
      <c r="A383" s="1854"/>
      <c r="B383" s="2728" t="s">
        <v>50</v>
      </c>
      <c r="C383" s="200" t="s">
        <v>204</v>
      </c>
      <c r="D383" s="1964">
        <f>TARGET!D378</f>
        <v>2000000000</v>
      </c>
      <c r="E383" s="2530">
        <v>0</v>
      </c>
      <c r="F383" s="2530">
        <v>0</v>
      </c>
      <c r="G383" s="2530">
        <v>0</v>
      </c>
      <c r="H383" s="2530">
        <v>0</v>
      </c>
      <c r="I383" s="2530">
        <v>0</v>
      </c>
      <c r="J383" s="2530">
        <v>0</v>
      </c>
      <c r="K383" s="2530">
        <v>0</v>
      </c>
      <c r="L383" s="2530">
        <v>0</v>
      </c>
      <c r="M383" s="2530">
        <v>0</v>
      </c>
      <c r="N383" s="2530">
        <v>0</v>
      </c>
      <c r="O383" s="2530">
        <v>0</v>
      </c>
      <c r="P383" s="2530">
        <v>0</v>
      </c>
      <c r="Q383" s="2161">
        <f t="shared" si="158"/>
        <v>0</v>
      </c>
      <c r="R383" s="1891">
        <f t="shared" si="159"/>
        <v>-2000000000</v>
      </c>
      <c r="S383" s="1891">
        <f>Q383/D383*100</f>
        <v>0</v>
      </c>
    </row>
    <row r="384" spans="1:19" s="2511" customFormat="1" ht="5.95" customHeight="1">
      <c r="A384" s="1861"/>
      <c r="B384" s="1862"/>
      <c r="C384" s="201"/>
      <c r="D384" s="2218"/>
      <c r="E384" s="2218"/>
      <c r="F384" s="2218"/>
      <c r="G384" s="2218"/>
      <c r="H384" s="2218"/>
      <c r="I384" s="2218"/>
      <c r="J384" s="2218"/>
      <c r="K384" s="2218"/>
      <c r="L384" s="2218"/>
      <c r="M384" s="2218"/>
      <c r="N384" s="2218"/>
      <c r="O384" s="2218"/>
      <c r="P384" s="2218"/>
      <c r="Q384" s="2161">
        <f t="shared" si="158"/>
        <v>0</v>
      </c>
      <c r="R384" s="2161">
        <f t="shared" si="159"/>
        <v>0</v>
      </c>
      <c r="S384" s="2161">
        <f t="shared" si="159"/>
        <v>0</v>
      </c>
    </row>
    <row r="385" spans="1:19" s="2076" customFormat="1" ht="15.05">
      <c r="A385" s="2597" t="s">
        <v>179</v>
      </c>
      <c r="B385" s="2331" t="s">
        <v>71</v>
      </c>
      <c r="C385" s="2347"/>
      <c r="D385" s="2348">
        <f t="shared" ref="D385:P385" si="171">D386+D393+D397+D400+D404+D407+D420</f>
        <v>87048412584</v>
      </c>
      <c r="E385" s="2348">
        <f t="shared" si="171"/>
        <v>0</v>
      </c>
      <c r="F385" s="2348">
        <f t="shared" si="171"/>
        <v>0</v>
      </c>
      <c r="G385" s="2348">
        <f t="shared" si="171"/>
        <v>0</v>
      </c>
      <c r="H385" s="2348">
        <f t="shared" si="171"/>
        <v>0</v>
      </c>
      <c r="I385" s="2348">
        <f t="shared" si="171"/>
        <v>0</v>
      </c>
      <c r="J385" s="2348">
        <f t="shared" si="171"/>
        <v>0</v>
      </c>
      <c r="K385" s="2348">
        <f t="shared" si="171"/>
        <v>0</v>
      </c>
      <c r="L385" s="2348">
        <f t="shared" si="171"/>
        <v>0</v>
      </c>
      <c r="M385" s="2348">
        <f t="shared" si="171"/>
        <v>0</v>
      </c>
      <c r="N385" s="2348">
        <f t="shared" si="171"/>
        <v>0</v>
      </c>
      <c r="O385" s="2348">
        <f t="shared" si="171"/>
        <v>0</v>
      </c>
      <c r="P385" s="2348">
        <f t="shared" si="171"/>
        <v>0</v>
      </c>
      <c r="Q385" s="2350">
        <f t="shared" si="158"/>
        <v>0</v>
      </c>
      <c r="R385" s="2351">
        <f t="shared" si="159"/>
        <v>-87048412584</v>
      </c>
      <c r="S385" s="1891">
        <f t="shared" ref="S385:S391" si="172">Q385/D385*100</f>
        <v>0</v>
      </c>
    </row>
    <row r="386" spans="1:19" s="2076" customFormat="1" ht="15.05">
      <c r="A386" s="2600" t="s">
        <v>205</v>
      </c>
      <c r="B386" s="212" t="s">
        <v>206</v>
      </c>
      <c r="C386" s="1318"/>
      <c r="D386" s="2376">
        <f t="shared" ref="D386:P386" si="173">SUM(D387:D391)</f>
        <v>250000000</v>
      </c>
      <c r="E386" s="2376">
        <f t="shared" si="173"/>
        <v>0</v>
      </c>
      <c r="F386" s="2376">
        <f t="shared" si="173"/>
        <v>0</v>
      </c>
      <c r="G386" s="2376">
        <f t="shared" si="173"/>
        <v>0</v>
      </c>
      <c r="H386" s="2376">
        <f t="shared" si="173"/>
        <v>0</v>
      </c>
      <c r="I386" s="2376">
        <f t="shared" si="173"/>
        <v>0</v>
      </c>
      <c r="J386" s="2376">
        <f t="shared" si="173"/>
        <v>0</v>
      </c>
      <c r="K386" s="2376">
        <f t="shared" si="173"/>
        <v>0</v>
      </c>
      <c r="L386" s="2376">
        <f t="shared" si="173"/>
        <v>0</v>
      </c>
      <c r="M386" s="2376">
        <f t="shared" si="173"/>
        <v>0</v>
      </c>
      <c r="N386" s="2376">
        <f t="shared" si="173"/>
        <v>0</v>
      </c>
      <c r="O386" s="2376">
        <f t="shared" si="173"/>
        <v>0</v>
      </c>
      <c r="P386" s="2376">
        <f t="shared" si="173"/>
        <v>0</v>
      </c>
      <c r="Q386" s="2378">
        <f t="shared" si="158"/>
        <v>0</v>
      </c>
      <c r="R386" s="2379">
        <f t="shared" si="159"/>
        <v>-250000000</v>
      </c>
      <c r="S386" s="1891">
        <f t="shared" si="172"/>
        <v>0</v>
      </c>
    </row>
    <row r="387" spans="1:19" s="2076" customFormat="1">
      <c r="A387" s="1854"/>
      <c r="B387" s="2746" t="s">
        <v>50</v>
      </c>
      <c r="C387" s="2380" t="s">
        <v>207</v>
      </c>
      <c r="D387" s="1964">
        <f>TARGET!D382</f>
        <v>0</v>
      </c>
      <c r="E387" s="2241">
        <v>0</v>
      </c>
      <c r="F387" s="2241">
        <v>0</v>
      </c>
      <c r="G387" s="2241">
        <v>0</v>
      </c>
      <c r="H387" s="2241">
        <v>0</v>
      </c>
      <c r="I387" s="2241">
        <v>0</v>
      </c>
      <c r="J387" s="2241">
        <v>0</v>
      </c>
      <c r="K387" s="2241">
        <v>0</v>
      </c>
      <c r="L387" s="2241">
        <v>0</v>
      </c>
      <c r="M387" s="2241">
        <v>0</v>
      </c>
      <c r="N387" s="2241">
        <v>0</v>
      </c>
      <c r="O387" s="2241">
        <v>0</v>
      </c>
      <c r="P387" s="2241">
        <v>0</v>
      </c>
      <c r="Q387" s="2344">
        <f t="shared" si="158"/>
        <v>0</v>
      </c>
      <c r="R387" s="2260">
        <f t="shared" si="159"/>
        <v>0</v>
      </c>
      <c r="S387" s="1891">
        <v>0</v>
      </c>
    </row>
    <row r="388" spans="1:19" s="2076" customFormat="1">
      <c r="A388" s="1854"/>
      <c r="B388" s="2746" t="s">
        <v>50</v>
      </c>
      <c r="C388" s="2380" t="s">
        <v>208</v>
      </c>
      <c r="D388" s="1964">
        <f>TARGET!D383</f>
        <v>50000000</v>
      </c>
      <c r="E388" s="2241">
        <v>0</v>
      </c>
      <c r="F388" s="2241">
        <v>0</v>
      </c>
      <c r="G388" s="2241">
        <v>0</v>
      </c>
      <c r="H388" s="2241">
        <v>0</v>
      </c>
      <c r="I388" s="2241">
        <v>0</v>
      </c>
      <c r="J388" s="2241">
        <v>0</v>
      </c>
      <c r="K388" s="2241">
        <v>0</v>
      </c>
      <c r="L388" s="2241">
        <v>0</v>
      </c>
      <c r="M388" s="2241">
        <v>0</v>
      </c>
      <c r="N388" s="2241">
        <v>0</v>
      </c>
      <c r="O388" s="2241">
        <v>0</v>
      </c>
      <c r="P388" s="2241">
        <v>0</v>
      </c>
      <c r="Q388" s="2161">
        <f t="shared" si="158"/>
        <v>0</v>
      </c>
      <c r="R388" s="1891">
        <f t="shared" si="159"/>
        <v>-50000000</v>
      </c>
      <c r="S388" s="1891">
        <f t="shared" si="172"/>
        <v>0</v>
      </c>
    </row>
    <row r="389" spans="1:19" s="2076" customFormat="1">
      <c r="A389" s="1854"/>
      <c r="B389" s="2746" t="s">
        <v>50</v>
      </c>
      <c r="C389" s="2380" t="s">
        <v>209</v>
      </c>
      <c r="D389" s="1964">
        <f>TARGET!D384</f>
        <v>0</v>
      </c>
      <c r="E389" s="2241">
        <v>0</v>
      </c>
      <c r="F389" s="2241">
        <v>0</v>
      </c>
      <c r="G389" s="2241">
        <v>0</v>
      </c>
      <c r="H389" s="2241">
        <v>0</v>
      </c>
      <c r="I389" s="2241">
        <v>0</v>
      </c>
      <c r="J389" s="2241">
        <v>0</v>
      </c>
      <c r="K389" s="2241">
        <v>0</v>
      </c>
      <c r="L389" s="2241">
        <v>0</v>
      </c>
      <c r="M389" s="2241">
        <v>0</v>
      </c>
      <c r="N389" s="2241">
        <v>0</v>
      </c>
      <c r="O389" s="2241">
        <v>0</v>
      </c>
      <c r="P389" s="2241">
        <v>0</v>
      </c>
      <c r="Q389" s="2161">
        <f t="shared" si="158"/>
        <v>0</v>
      </c>
      <c r="R389" s="1891">
        <f t="shared" si="159"/>
        <v>0</v>
      </c>
      <c r="S389" s="1891">
        <v>0</v>
      </c>
    </row>
    <row r="390" spans="1:19" s="2076" customFormat="1">
      <c r="A390" s="1854"/>
      <c r="B390" s="2746" t="s">
        <v>50</v>
      </c>
      <c r="C390" s="2380" t="s">
        <v>210</v>
      </c>
      <c r="D390" s="1964">
        <f>TARGET!D385</f>
        <v>0</v>
      </c>
      <c r="E390" s="2241">
        <v>0</v>
      </c>
      <c r="F390" s="2241">
        <v>0</v>
      </c>
      <c r="G390" s="2241">
        <v>0</v>
      </c>
      <c r="H390" s="2241">
        <v>0</v>
      </c>
      <c r="I390" s="2241">
        <v>0</v>
      </c>
      <c r="J390" s="2241">
        <v>0</v>
      </c>
      <c r="K390" s="2241">
        <v>0</v>
      </c>
      <c r="L390" s="2241">
        <v>0</v>
      </c>
      <c r="M390" s="2241">
        <v>0</v>
      </c>
      <c r="N390" s="2241">
        <v>0</v>
      </c>
      <c r="O390" s="2241">
        <v>0</v>
      </c>
      <c r="P390" s="2241">
        <v>0</v>
      </c>
      <c r="Q390" s="2161">
        <f t="shared" si="158"/>
        <v>0</v>
      </c>
      <c r="R390" s="1891">
        <f t="shared" si="159"/>
        <v>0</v>
      </c>
      <c r="S390" s="1891">
        <v>0</v>
      </c>
    </row>
    <row r="391" spans="1:19" s="2076" customFormat="1">
      <c r="A391" s="1854"/>
      <c r="B391" s="2746" t="s">
        <v>50</v>
      </c>
      <c r="C391" s="2380" t="s">
        <v>211</v>
      </c>
      <c r="D391" s="1964">
        <f>TARGET!D386</f>
        <v>200000000</v>
      </c>
      <c r="E391" s="2241">
        <v>0</v>
      </c>
      <c r="F391" s="2241">
        <v>0</v>
      </c>
      <c r="G391" s="2241">
        <v>0</v>
      </c>
      <c r="H391" s="2241">
        <v>0</v>
      </c>
      <c r="I391" s="2241">
        <v>0</v>
      </c>
      <c r="J391" s="2241">
        <v>0</v>
      </c>
      <c r="K391" s="2241">
        <v>0</v>
      </c>
      <c r="L391" s="2241">
        <v>0</v>
      </c>
      <c r="M391" s="2241">
        <v>0</v>
      </c>
      <c r="N391" s="2241">
        <v>0</v>
      </c>
      <c r="O391" s="2241">
        <v>0</v>
      </c>
      <c r="P391" s="2241">
        <v>0</v>
      </c>
      <c r="Q391" s="2161">
        <f t="shared" si="158"/>
        <v>0</v>
      </c>
      <c r="R391" s="1891">
        <f t="shared" si="159"/>
        <v>-200000000</v>
      </c>
      <c r="S391" s="1891">
        <f t="shared" si="172"/>
        <v>0</v>
      </c>
    </row>
    <row r="392" spans="1:19" s="2076" customFormat="1" ht="5.95" customHeight="1">
      <c r="A392" s="1854"/>
      <c r="B392" s="201"/>
      <c r="C392" s="2601"/>
      <c r="D392" s="2218"/>
      <c r="E392" s="2218"/>
      <c r="F392" s="2218"/>
      <c r="G392" s="2218"/>
      <c r="H392" s="2218"/>
      <c r="I392" s="2218"/>
      <c r="J392" s="2218"/>
      <c r="K392" s="2218"/>
      <c r="L392" s="2218"/>
      <c r="M392" s="2218"/>
      <c r="N392" s="2218"/>
      <c r="O392" s="2218"/>
      <c r="P392" s="2218"/>
      <c r="Q392" s="2161">
        <f t="shared" si="158"/>
        <v>0</v>
      </c>
      <c r="R392" s="1891">
        <f t="shared" si="159"/>
        <v>0</v>
      </c>
      <c r="S392" s="1891">
        <f t="shared" si="159"/>
        <v>0</v>
      </c>
    </row>
    <row r="393" spans="1:19" s="2076" customFormat="1" ht="15.05">
      <c r="A393" s="2600" t="s">
        <v>205</v>
      </c>
      <c r="B393" s="2602" t="s">
        <v>212</v>
      </c>
      <c r="C393" s="1914"/>
      <c r="D393" s="2381">
        <f t="shared" ref="D393:P393" si="174">SUM(D394:D395)</f>
        <v>4500000000</v>
      </c>
      <c r="E393" s="2381">
        <f t="shared" si="174"/>
        <v>0</v>
      </c>
      <c r="F393" s="2381">
        <f t="shared" si="174"/>
        <v>0</v>
      </c>
      <c r="G393" s="2381">
        <f t="shared" si="174"/>
        <v>0</v>
      </c>
      <c r="H393" s="2381">
        <f t="shared" si="174"/>
        <v>0</v>
      </c>
      <c r="I393" s="2381">
        <f t="shared" si="174"/>
        <v>0</v>
      </c>
      <c r="J393" s="2381">
        <f t="shared" si="174"/>
        <v>0</v>
      </c>
      <c r="K393" s="2381">
        <f t="shared" si="174"/>
        <v>0</v>
      </c>
      <c r="L393" s="2381">
        <f t="shared" si="174"/>
        <v>0</v>
      </c>
      <c r="M393" s="2381">
        <f t="shared" si="174"/>
        <v>0</v>
      </c>
      <c r="N393" s="2381">
        <f t="shared" si="174"/>
        <v>0</v>
      </c>
      <c r="O393" s="2381">
        <f t="shared" si="174"/>
        <v>0</v>
      </c>
      <c r="P393" s="2381">
        <f t="shared" si="174"/>
        <v>0</v>
      </c>
      <c r="Q393" s="2350">
        <f t="shared" si="158"/>
        <v>0</v>
      </c>
      <c r="R393" s="1749">
        <f t="shared" si="159"/>
        <v>-4500000000</v>
      </c>
      <c r="S393" s="1891">
        <f>Q393/D393*100</f>
        <v>0</v>
      </c>
    </row>
    <row r="394" spans="1:19" s="2076" customFormat="1">
      <c r="A394" s="1854"/>
      <c r="B394" s="2603" t="s">
        <v>50</v>
      </c>
      <c r="C394" s="2601" t="s">
        <v>213</v>
      </c>
      <c r="D394" s="1964">
        <f>TARGET!D389</f>
        <v>4500000000</v>
      </c>
      <c r="E394" s="2556">
        <v>0</v>
      </c>
      <c r="F394" s="2556">
        <v>0</v>
      </c>
      <c r="G394" s="2556">
        <v>0</v>
      </c>
      <c r="H394" s="2556">
        <v>0</v>
      </c>
      <c r="I394" s="2556">
        <v>0</v>
      </c>
      <c r="J394" s="2556">
        <v>0</v>
      </c>
      <c r="K394" s="2556">
        <v>0</v>
      </c>
      <c r="L394" s="2556">
        <v>0</v>
      </c>
      <c r="M394" s="2556">
        <v>0</v>
      </c>
      <c r="N394" s="2556">
        <v>0</v>
      </c>
      <c r="O394" s="2556">
        <v>0</v>
      </c>
      <c r="P394" s="2556">
        <v>0</v>
      </c>
      <c r="Q394" s="2344">
        <f t="shared" si="158"/>
        <v>0</v>
      </c>
      <c r="R394" s="1891">
        <f t="shared" si="159"/>
        <v>-4500000000</v>
      </c>
      <c r="S394" s="1891">
        <f>Q394/D394*100</f>
        <v>0</v>
      </c>
    </row>
    <row r="395" spans="1:19" s="2076" customFormat="1">
      <c r="A395" s="1854"/>
      <c r="B395" s="1918" t="s">
        <v>50</v>
      </c>
      <c r="C395" s="201" t="s">
        <v>214</v>
      </c>
      <c r="D395" s="1964">
        <f>TARGET!D390</f>
        <v>0</v>
      </c>
      <c r="E395" s="2241">
        <v>0</v>
      </c>
      <c r="F395" s="2241">
        <v>0</v>
      </c>
      <c r="G395" s="2241">
        <v>0</v>
      </c>
      <c r="H395" s="2241">
        <v>0</v>
      </c>
      <c r="I395" s="2241">
        <v>0</v>
      </c>
      <c r="J395" s="2241">
        <v>0</v>
      </c>
      <c r="K395" s="2241">
        <v>0</v>
      </c>
      <c r="L395" s="2241">
        <v>0</v>
      </c>
      <c r="M395" s="2241">
        <v>0</v>
      </c>
      <c r="N395" s="2241">
        <v>0</v>
      </c>
      <c r="O395" s="2241">
        <v>0</v>
      </c>
      <c r="P395" s="2241">
        <v>0</v>
      </c>
      <c r="Q395" s="2161">
        <f t="shared" si="158"/>
        <v>0</v>
      </c>
      <c r="R395" s="1891">
        <f t="shared" si="159"/>
        <v>0</v>
      </c>
      <c r="S395" s="1891">
        <v>0</v>
      </c>
    </row>
    <row r="396" spans="1:19" s="2076" customFormat="1" ht="3.8" customHeight="1">
      <c r="A396" s="1854"/>
      <c r="B396" s="201"/>
      <c r="C396" s="201"/>
      <c r="D396" s="2218"/>
      <c r="E396" s="2218"/>
      <c r="F396" s="2218"/>
      <c r="G396" s="2218"/>
      <c r="H396" s="2218"/>
      <c r="I396" s="2218"/>
      <c r="J396" s="2218"/>
      <c r="K396" s="2218"/>
      <c r="L396" s="2218"/>
      <c r="M396" s="2218"/>
      <c r="N396" s="2218"/>
      <c r="O396" s="2218"/>
      <c r="P396" s="2218"/>
      <c r="Q396" s="2161">
        <f t="shared" si="158"/>
        <v>0</v>
      </c>
      <c r="R396" s="1891">
        <f t="shared" si="159"/>
        <v>0</v>
      </c>
      <c r="S396" s="1891">
        <f t="shared" si="159"/>
        <v>0</v>
      </c>
    </row>
    <row r="397" spans="1:19" s="2076" customFormat="1" ht="15.05">
      <c r="A397" s="2600" t="s">
        <v>205</v>
      </c>
      <c r="B397" s="2602" t="s">
        <v>215</v>
      </c>
      <c r="C397" s="2604"/>
      <c r="D397" s="2381">
        <f t="shared" ref="D397:P397" si="175">D398</f>
        <v>6875000000</v>
      </c>
      <c r="E397" s="2381">
        <f t="shared" si="175"/>
        <v>0</v>
      </c>
      <c r="F397" s="2381">
        <f t="shared" si="175"/>
        <v>0</v>
      </c>
      <c r="G397" s="2381">
        <f t="shared" si="175"/>
        <v>0</v>
      </c>
      <c r="H397" s="2381">
        <f t="shared" si="175"/>
        <v>0</v>
      </c>
      <c r="I397" s="2381">
        <f t="shared" si="175"/>
        <v>0</v>
      </c>
      <c r="J397" s="2381">
        <f t="shared" si="175"/>
        <v>0</v>
      </c>
      <c r="K397" s="2381">
        <f t="shared" si="175"/>
        <v>0</v>
      </c>
      <c r="L397" s="2381">
        <f t="shared" si="175"/>
        <v>0</v>
      </c>
      <c r="M397" s="2381">
        <f t="shared" si="175"/>
        <v>0</v>
      </c>
      <c r="N397" s="2381">
        <f t="shared" si="175"/>
        <v>0</v>
      </c>
      <c r="O397" s="2381">
        <f t="shared" si="175"/>
        <v>0</v>
      </c>
      <c r="P397" s="2381">
        <f t="shared" si="175"/>
        <v>0</v>
      </c>
      <c r="Q397" s="2350">
        <f t="shared" si="158"/>
        <v>0</v>
      </c>
      <c r="R397" s="1749">
        <f t="shared" si="159"/>
        <v>-6875000000</v>
      </c>
      <c r="S397" s="1891">
        <f>Q397/D397*100</f>
        <v>0</v>
      </c>
    </row>
    <row r="398" spans="1:19" s="2076" customFormat="1">
      <c r="A398" s="1854"/>
      <c r="B398" s="2603" t="s">
        <v>50</v>
      </c>
      <c r="C398" s="2601" t="s">
        <v>216</v>
      </c>
      <c r="D398" s="1964">
        <f>TARGET!D393</f>
        <v>6875000000</v>
      </c>
      <c r="E398" s="2556">
        <v>0</v>
      </c>
      <c r="F398" s="2556">
        <v>0</v>
      </c>
      <c r="G398" s="2556">
        <v>0</v>
      </c>
      <c r="H398" s="2556">
        <v>0</v>
      </c>
      <c r="I398" s="2556">
        <v>0</v>
      </c>
      <c r="J398" s="2556">
        <v>0</v>
      </c>
      <c r="K398" s="2556">
        <v>0</v>
      </c>
      <c r="L398" s="2556">
        <v>0</v>
      </c>
      <c r="M398" s="2556">
        <v>0</v>
      </c>
      <c r="N398" s="2556">
        <v>0</v>
      </c>
      <c r="O398" s="2556">
        <v>0</v>
      </c>
      <c r="P398" s="2556">
        <v>0</v>
      </c>
      <c r="Q398" s="2344">
        <f t="shared" si="158"/>
        <v>0</v>
      </c>
      <c r="R398" s="1891">
        <f t="shared" si="159"/>
        <v>-6875000000</v>
      </c>
      <c r="S398" s="1891">
        <f>Q398/D398*100</f>
        <v>0</v>
      </c>
    </row>
    <row r="399" spans="1:19" s="2076" customFormat="1" ht="3.8" customHeight="1">
      <c r="A399" s="1854"/>
      <c r="B399" s="201"/>
      <c r="C399" s="201"/>
      <c r="D399" s="2218"/>
      <c r="E399" s="2218"/>
      <c r="F399" s="2218"/>
      <c r="G399" s="2218"/>
      <c r="H399" s="2218"/>
      <c r="I399" s="2218"/>
      <c r="J399" s="2218"/>
      <c r="K399" s="2218"/>
      <c r="L399" s="2218"/>
      <c r="M399" s="2218"/>
      <c r="N399" s="2218"/>
      <c r="O399" s="2218"/>
      <c r="P399" s="2218"/>
      <c r="Q399" s="2161">
        <f t="shared" si="158"/>
        <v>0</v>
      </c>
      <c r="R399" s="1891">
        <f t="shared" si="159"/>
        <v>0</v>
      </c>
      <c r="S399" s="1891">
        <f t="shared" si="159"/>
        <v>0</v>
      </c>
    </row>
    <row r="400" spans="1:19" s="2076" customFormat="1" ht="15.05">
      <c r="A400" s="2600" t="s">
        <v>205</v>
      </c>
      <c r="B400" s="2602" t="s">
        <v>217</v>
      </c>
      <c r="C400" s="1914"/>
      <c r="D400" s="2381">
        <f t="shared" ref="D400:P400" si="176">SUM(D401:D402)</f>
        <v>1205211975</v>
      </c>
      <c r="E400" s="2381">
        <f t="shared" si="176"/>
        <v>0</v>
      </c>
      <c r="F400" s="2381">
        <f t="shared" si="176"/>
        <v>0</v>
      </c>
      <c r="G400" s="2381">
        <f t="shared" si="176"/>
        <v>0</v>
      </c>
      <c r="H400" s="2381">
        <f t="shared" si="176"/>
        <v>0</v>
      </c>
      <c r="I400" s="2381">
        <f t="shared" si="176"/>
        <v>0</v>
      </c>
      <c r="J400" s="2381">
        <f t="shared" si="176"/>
        <v>0</v>
      </c>
      <c r="K400" s="2381">
        <f t="shared" si="176"/>
        <v>0</v>
      </c>
      <c r="L400" s="2381">
        <f t="shared" si="176"/>
        <v>0</v>
      </c>
      <c r="M400" s="2381">
        <f t="shared" si="176"/>
        <v>0</v>
      </c>
      <c r="N400" s="2381">
        <f t="shared" si="176"/>
        <v>0</v>
      </c>
      <c r="O400" s="2381">
        <f t="shared" si="176"/>
        <v>0</v>
      </c>
      <c r="P400" s="2381">
        <f t="shared" si="176"/>
        <v>0</v>
      </c>
      <c r="Q400" s="2350">
        <f t="shared" si="158"/>
        <v>0</v>
      </c>
      <c r="R400" s="1749">
        <f t="shared" si="159"/>
        <v>-1205211975</v>
      </c>
      <c r="S400" s="1891">
        <f>Q400/D400*100</f>
        <v>0</v>
      </c>
    </row>
    <row r="401" spans="1:19" s="2070" customFormat="1">
      <c r="A401" s="1854"/>
      <c r="B401" s="2603" t="s">
        <v>50</v>
      </c>
      <c r="C401" s="2601" t="s">
        <v>218</v>
      </c>
      <c r="D401" s="1964">
        <f>TARGET!D396</f>
        <v>1190211975</v>
      </c>
      <c r="E401" s="2556">
        <v>0</v>
      </c>
      <c r="F401" s="2556">
        <v>0</v>
      </c>
      <c r="G401" s="2556">
        <v>0</v>
      </c>
      <c r="H401" s="2556">
        <v>0</v>
      </c>
      <c r="I401" s="2556">
        <v>0</v>
      </c>
      <c r="J401" s="2556">
        <v>0</v>
      </c>
      <c r="K401" s="2556">
        <v>0</v>
      </c>
      <c r="L401" s="2556">
        <v>0</v>
      </c>
      <c r="M401" s="2556">
        <v>0</v>
      </c>
      <c r="N401" s="2556">
        <v>0</v>
      </c>
      <c r="O401" s="2556">
        <v>0</v>
      </c>
      <c r="P401" s="2556">
        <v>0</v>
      </c>
      <c r="Q401" s="2344">
        <f t="shared" si="158"/>
        <v>0</v>
      </c>
      <c r="R401" s="1891">
        <f t="shared" si="159"/>
        <v>-1190211975</v>
      </c>
      <c r="S401" s="1891">
        <f>Q401/D401*100</f>
        <v>0</v>
      </c>
    </row>
    <row r="402" spans="1:19" s="2070" customFormat="1">
      <c r="A402" s="1854"/>
      <c r="B402" s="1918" t="s">
        <v>50</v>
      </c>
      <c r="C402" s="201" t="s">
        <v>219</v>
      </c>
      <c r="D402" s="1964">
        <f>TARGET!D397</f>
        <v>15000000</v>
      </c>
      <c r="E402" s="2241">
        <v>0</v>
      </c>
      <c r="F402" s="2241">
        <v>0</v>
      </c>
      <c r="G402" s="2241">
        <v>0</v>
      </c>
      <c r="H402" s="2241">
        <v>0</v>
      </c>
      <c r="I402" s="2241">
        <v>0</v>
      </c>
      <c r="J402" s="2241">
        <v>0</v>
      </c>
      <c r="K402" s="2241">
        <v>0</v>
      </c>
      <c r="L402" s="2241">
        <v>0</v>
      </c>
      <c r="M402" s="2241">
        <v>0</v>
      </c>
      <c r="N402" s="2241">
        <v>0</v>
      </c>
      <c r="O402" s="2241">
        <v>0</v>
      </c>
      <c r="P402" s="2241">
        <v>0</v>
      </c>
      <c r="Q402" s="2161">
        <f t="shared" si="158"/>
        <v>0</v>
      </c>
      <c r="R402" s="1891">
        <f t="shared" si="159"/>
        <v>-15000000</v>
      </c>
      <c r="S402" s="1891">
        <f>Q402/D402*100</f>
        <v>0</v>
      </c>
    </row>
    <row r="403" spans="1:19" s="2070" customFormat="1" ht="5.35" customHeight="1">
      <c r="A403" s="2605"/>
      <c r="B403" s="1929"/>
      <c r="C403" s="237"/>
      <c r="D403" s="2382"/>
      <c r="E403" s="2382"/>
      <c r="F403" s="2382"/>
      <c r="G403" s="2382"/>
      <c r="H403" s="2382"/>
      <c r="I403" s="2382"/>
      <c r="J403" s="2382"/>
      <c r="K403" s="2382"/>
      <c r="L403" s="2382"/>
      <c r="M403" s="2382"/>
      <c r="N403" s="2382"/>
      <c r="O403" s="2382"/>
      <c r="P403" s="2382"/>
      <c r="Q403" s="2161">
        <f t="shared" si="158"/>
        <v>0</v>
      </c>
      <c r="R403" s="1891">
        <f t="shared" si="159"/>
        <v>0</v>
      </c>
      <c r="S403" s="1891">
        <f t="shared" si="159"/>
        <v>0</v>
      </c>
    </row>
    <row r="404" spans="1:19" s="2070" customFormat="1" ht="15.05">
      <c r="A404" s="2600" t="s">
        <v>205</v>
      </c>
      <c r="B404" s="2357" t="s">
        <v>220</v>
      </c>
      <c r="C404" s="1914"/>
      <c r="D404" s="2348">
        <f t="shared" ref="D404:P404" si="177">SUM(D405:D405)</f>
        <v>217536159</v>
      </c>
      <c r="E404" s="2348">
        <f t="shared" si="177"/>
        <v>0</v>
      </c>
      <c r="F404" s="2348">
        <f t="shared" si="177"/>
        <v>0</v>
      </c>
      <c r="G404" s="2348">
        <f t="shared" si="177"/>
        <v>0</v>
      </c>
      <c r="H404" s="2348">
        <f t="shared" si="177"/>
        <v>0</v>
      </c>
      <c r="I404" s="2348">
        <f t="shared" si="177"/>
        <v>0</v>
      </c>
      <c r="J404" s="2348">
        <f t="shared" si="177"/>
        <v>0</v>
      </c>
      <c r="K404" s="2348">
        <f t="shared" si="177"/>
        <v>0</v>
      </c>
      <c r="L404" s="2348">
        <f t="shared" si="177"/>
        <v>0</v>
      </c>
      <c r="M404" s="2348">
        <f t="shared" si="177"/>
        <v>0</v>
      </c>
      <c r="N404" s="2348">
        <f t="shared" si="177"/>
        <v>0</v>
      </c>
      <c r="O404" s="2348">
        <f t="shared" si="177"/>
        <v>0</v>
      </c>
      <c r="P404" s="2348">
        <f t="shared" si="177"/>
        <v>0</v>
      </c>
      <c r="Q404" s="2350">
        <f t="shared" si="158"/>
        <v>0</v>
      </c>
      <c r="R404" s="1749">
        <f t="shared" si="159"/>
        <v>-217536159</v>
      </c>
      <c r="S404" s="1891">
        <f>Q404/D404*100</f>
        <v>0</v>
      </c>
    </row>
    <row r="405" spans="1:19" s="2070" customFormat="1">
      <c r="A405" s="2605"/>
      <c r="B405" s="2606" t="s">
        <v>50</v>
      </c>
      <c r="C405" s="2383" t="s">
        <v>221</v>
      </c>
      <c r="D405" s="1964">
        <f>TARGET!D400</f>
        <v>217536159</v>
      </c>
      <c r="E405" s="2556">
        <v>0</v>
      </c>
      <c r="F405" s="2556">
        <v>0</v>
      </c>
      <c r="G405" s="2556">
        <v>0</v>
      </c>
      <c r="H405" s="2556">
        <v>0</v>
      </c>
      <c r="I405" s="2556">
        <v>0</v>
      </c>
      <c r="J405" s="2556">
        <v>0</v>
      </c>
      <c r="K405" s="2556">
        <v>0</v>
      </c>
      <c r="L405" s="2556">
        <v>0</v>
      </c>
      <c r="M405" s="2556">
        <v>0</v>
      </c>
      <c r="N405" s="2556">
        <v>0</v>
      </c>
      <c r="O405" s="2556">
        <v>0</v>
      </c>
      <c r="P405" s="2556">
        <v>0</v>
      </c>
      <c r="Q405" s="2344">
        <f t="shared" si="158"/>
        <v>0</v>
      </c>
      <c r="R405" s="1891">
        <f t="shared" si="159"/>
        <v>-217536159</v>
      </c>
      <c r="S405" s="1891">
        <f>Q405/D405*100</f>
        <v>0</v>
      </c>
    </row>
    <row r="406" spans="1:19" s="2070" customFormat="1" ht="4.55" customHeight="1">
      <c r="A406" s="2605"/>
      <c r="B406" s="1915"/>
      <c r="C406" s="201"/>
      <c r="D406" s="2218"/>
      <c r="E406" s="2218"/>
      <c r="F406" s="2218"/>
      <c r="G406" s="2218"/>
      <c r="H406" s="2218"/>
      <c r="I406" s="2218"/>
      <c r="J406" s="2218"/>
      <c r="K406" s="2218"/>
      <c r="L406" s="2218"/>
      <c r="M406" s="2218"/>
      <c r="N406" s="2218"/>
      <c r="O406" s="2218"/>
      <c r="P406" s="2218"/>
      <c r="Q406" s="2156">
        <f t="shared" si="158"/>
        <v>0</v>
      </c>
      <c r="R406" s="1891">
        <f t="shared" si="159"/>
        <v>0</v>
      </c>
      <c r="S406" s="1891">
        <f t="shared" si="159"/>
        <v>0</v>
      </c>
    </row>
    <row r="407" spans="1:19" s="2070" customFormat="1" ht="15.05">
      <c r="A407" s="2600" t="s">
        <v>205</v>
      </c>
      <c r="B407" s="2602" t="s">
        <v>222</v>
      </c>
      <c r="C407" s="1914"/>
      <c r="D407" s="2381">
        <f>SUM(D408:D415)-D410</f>
        <v>73939763650</v>
      </c>
      <c r="E407" s="2381">
        <f t="shared" ref="E407:P407" si="178">SUM(E408:E415)</f>
        <v>0</v>
      </c>
      <c r="F407" s="2381">
        <f t="shared" si="178"/>
        <v>0</v>
      </c>
      <c r="G407" s="2381">
        <f t="shared" si="178"/>
        <v>0</v>
      </c>
      <c r="H407" s="2381">
        <f t="shared" si="178"/>
        <v>0</v>
      </c>
      <c r="I407" s="2381">
        <f t="shared" si="178"/>
        <v>0</v>
      </c>
      <c r="J407" s="2381">
        <f t="shared" si="178"/>
        <v>0</v>
      </c>
      <c r="K407" s="2381">
        <f t="shared" si="178"/>
        <v>0</v>
      </c>
      <c r="L407" s="2381">
        <f t="shared" si="178"/>
        <v>0</v>
      </c>
      <c r="M407" s="2381">
        <f t="shared" si="178"/>
        <v>0</v>
      </c>
      <c r="N407" s="2381">
        <f t="shared" si="178"/>
        <v>0</v>
      </c>
      <c r="O407" s="2381">
        <f t="shared" si="178"/>
        <v>0</v>
      </c>
      <c r="P407" s="2381">
        <f t="shared" si="178"/>
        <v>0</v>
      </c>
      <c r="Q407" s="2350">
        <f t="shared" si="158"/>
        <v>0</v>
      </c>
      <c r="R407" s="1749">
        <f t="shared" si="159"/>
        <v>-73939763650</v>
      </c>
      <c r="S407" s="1891">
        <f>Q407/D407*100</f>
        <v>0</v>
      </c>
    </row>
    <row r="408" spans="1:19" s="2070" customFormat="1">
      <c r="A408" s="2605"/>
      <c r="B408" s="2606" t="s">
        <v>50</v>
      </c>
      <c r="C408" s="2601" t="s">
        <v>73</v>
      </c>
      <c r="D408" s="1964">
        <f>TARGET!D403</f>
        <v>0</v>
      </c>
      <c r="E408" s="2556">
        <v>0</v>
      </c>
      <c r="F408" s="2556">
        <v>0</v>
      </c>
      <c r="G408" s="2556">
        <v>0</v>
      </c>
      <c r="H408" s="2556">
        <v>0</v>
      </c>
      <c r="I408" s="2556">
        <v>0</v>
      </c>
      <c r="J408" s="2556">
        <v>0</v>
      </c>
      <c r="K408" s="2556">
        <v>0</v>
      </c>
      <c r="L408" s="2556">
        <v>0</v>
      </c>
      <c r="M408" s="2556">
        <v>0</v>
      </c>
      <c r="N408" s="2556">
        <v>0</v>
      </c>
      <c r="O408" s="2556">
        <v>0</v>
      </c>
      <c r="P408" s="2556">
        <v>0</v>
      </c>
      <c r="Q408" s="2344">
        <f t="shared" si="158"/>
        <v>0</v>
      </c>
      <c r="R408" s="1891">
        <f t="shared" si="159"/>
        <v>0</v>
      </c>
      <c r="S408" s="1891">
        <v>0</v>
      </c>
    </row>
    <row r="409" spans="1:19" s="2070" customFormat="1">
      <c r="A409" s="2605"/>
      <c r="B409" s="1916" t="s">
        <v>50</v>
      </c>
      <c r="C409" s="201" t="s">
        <v>74</v>
      </c>
      <c r="D409" s="1964">
        <f>TARGET!D404</f>
        <v>0</v>
      </c>
      <c r="E409" s="2241">
        <v>0</v>
      </c>
      <c r="F409" s="2241">
        <v>0</v>
      </c>
      <c r="G409" s="2241">
        <v>0</v>
      </c>
      <c r="H409" s="2241">
        <v>0</v>
      </c>
      <c r="I409" s="2241">
        <v>0</v>
      </c>
      <c r="J409" s="2241">
        <v>0</v>
      </c>
      <c r="K409" s="2241">
        <v>0</v>
      </c>
      <c r="L409" s="2241">
        <v>0</v>
      </c>
      <c r="M409" s="2241">
        <v>0</v>
      </c>
      <c r="N409" s="2241">
        <v>0</v>
      </c>
      <c r="O409" s="2241">
        <v>0</v>
      </c>
      <c r="P409" s="2241">
        <v>0</v>
      </c>
      <c r="Q409" s="2161">
        <f t="shared" si="158"/>
        <v>0</v>
      </c>
      <c r="R409" s="1891">
        <f t="shared" si="159"/>
        <v>0</v>
      </c>
      <c r="S409" s="1891">
        <v>0</v>
      </c>
    </row>
    <row r="410" spans="1:19" s="2070" customFormat="1">
      <c r="A410" s="2605"/>
      <c r="B410" s="1916" t="s">
        <v>50</v>
      </c>
      <c r="C410" s="201" t="s">
        <v>75</v>
      </c>
      <c r="D410" s="1964">
        <f>TARGET!D405</f>
        <v>3000000000</v>
      </c>
      <c r="E410" s="2224">
        <f t="shared" ref="E410:P410" si="179">SUM(E411:E413)</f>
        <v>0</v>
      </c>
      <c r="F410" s="2224">
        <f t="shared" si="179"/>
        <v>0</v>
      </c>
      <c r="G410" s="2224">
        <f t="shared" si="179"/>
        <v>0</v>
      </c>
      <c r="H410" s="2224">
        <f t="shared" si="179"/>
        <v>0</v>
      </c>
      <c r="I410" s="2224">
        <f t="shared" si="179"/>
        <v>0</v>
      </c>
      <c r="J410" s="2224">
        <f t="shared" si="179"/>
        <v>0</v>
      </c>
      <c r="K410" s="2224">
        <f t="shared" si="179"/>
        <v>0</v>
      </c>
      <c r="L410" s="2224">
        <f t="shared" si="179"/>
        <v>0</v>
      </c>
      <c r="M410" s="2224">
        <f t="shared" si="179"/>
        <v>0</v>
      </c>
      <c r="N410" s="2224">
        <f t="shared" si="179"/>
        <v>0</v>
      </c>
      <c r="O410" s="2224">
        <f t="shared" si="179"/>
        <v>0</v>
      </c>
      <c r="P410" s="2224">
        <f t="shared" si="179"/>
        <v>0</v>
      </c>
      <c r="Q410" s="2161">
        <f t="shared" si="158"/>
        <v>0</v>
      </c>
      <c r="R410" s="1891">
        <f t="shared" si="159"/>
        <v>-3000000000</v>
      </c>
      <c r="S410" s="1891">
        <f>Q410/D410*100</f>
        <v>0</v>
      </c>
    </row>
    <row r="411" spans="1:19" s="2070" customFormat="1">
      <c r="A411" s="2605"/>
      <c r="B411" s="1916"/>
      <c r="C411" s="201" t="s">
        <v>223</v>
      </c>
      <c r="D411" s="1964">
        <f>TARGET!D406</f>
        <v>3000000000</v>
      </c>
      <c r="E411" s="2558">
        <v>0</v>
      </c>
      <c r="F411" s="2558">
        <v>0</v>
      </c>
      <c r="G411" s="2558">
        <v>0</v>
      </c>
      <c r="H411" s="2558">
        <v>0</v>
      </c>
      <c r="I411" s="2558">
        <v>0</v>
      </c>
      <c r="J411" s="2558">
        <v>0</v>
      </c>
      <c r="K411" s="2558">
        <v>0</v>
      </c>
      <c r="L411" s="2558">
        <v>0</v>
      </c>
      <c r="M411" s="2558">
        <v>0</v>
      </c>
      <c r="N411" s="2558">
        <v>0</v>
      </c>
      <c r="O411" s="2558">
        <v>0</v>
      </c>
      <c r="P411" s="2558">
        <v>0</v>
      </c>
      <c r="Q411" s="2161">
        <f t="shared" si="158"/>
        <v>0</v>
      </c>
      <c r="R411" s="1891">
        <f t="shared" si="159"/>
        <v>-3000000000</v>
      </c>
      <c r="S411" s="1891">
        <f>Q411/D411*100</f>
        <v>0</v>
      </c>
    </row>
    <row r="412" spans="1:19" s="2070" customFormat="1">
      <c r="A412" s="2605"/>
      <c r="B412" s="1916"/>
      <c r="C412" s="201" t="s">
        <v>224</v>
      </c>
      <c r="D412" s="1964">
        <f>TARGET!D407</f>
        <v>0</v>
      </c>
      <c r="E412" s="2530">
        <v>0</v>
      </c>
      <c r="F412" s="2530">
        <v>0</v>
      </c>
      <c r="G412" s="2530">
        <v>0</v>
      </c>
      <c r="H412" s="2530">
        <v>0</v>
      </c>
      <c r="I412" s="2530">
        <v>0</v>
      </c>
      <c r="J412" s="2530">
        <v>0</v>
      </c>
      <c r="K412" s="2530">
        <v>0</v>
      </c>
      <c r="L412" s="2530">
        <v>0</v>
      </c>
      <c r="M412" s="2530">
        <v>0</v>
      </c>
      <c r="N412" s="2530">
        <v>0</v>
      </c>
      <c r="O412" s="2530">
        <v>0</v>
      </c>
      <c r="P412" s="2530">
        <v>0</v>
      </c>
      <c r="Q412" s="2161">
        <f t="shared" si="158"/>
        <v>0</v>
      </c>
      <c r="R412" s="1891">
        <f t="shared" si="159"/>
        <v>0</v>
      </c>
      <c r="S412" s="1891">
        <f t="shared" si="159"/>
        <v>0</v>
      </c>
    </row>
    <row r="413" spans="1:19" s="2070" customFormat="1">
      <c r="A413" s="2605"/>
      <c r="B413" s="1916"/>
      <c r="C413" s="201" t="s">
        <v>225</v>
      </c>
      <c r="D413" s="1964">
        <f>TARGET!D408</f>
        <v>0</v>
      </c>
      <c r="E413" s="2558">
        <v>0</v>
      </c>
      <c r="F413" s="2558">
        <v>0</v>
      </c>
      <c r="G413" s="2558">
        <v>0</v>
      </c>
      <c r="H413" s="2558">
        <v>0</v>
      </c>
      <c r="I413" s="2558">
        <v>0</v>
      </c>
      <c r="J413" s="2558">
        <v>0</v>
      </c>
      <c r="K413" s="2558">
        <v>0</v>
      </c>
      <c r="L413" s="2558">
        <v>0</v>
      </c>
      <c r="M413" s="2558">
        <v>0</v>
      </c>
      <c r="N413" s="2558">
        <v>0</v>
      </c>
      <c r="O413" s="2558">
        <v>0</v>
      </c>
      <c r="P413" s="2558">
        <v>0</v>
      </c>
      <c r="Q413" s="2161">
        <f t="shared" si="158"/>
        <v>0</v>
      </c>
      <c r="R413" s="1891">
        <f t="shared" si="159"/>
        <v>0</v>
      </c>
      <c r="S413" s="1891">
        <f t="shared" si="159"/>
        <v>0</v>
      </c>
    </row>
    <row r="414" spans="1:19" s="2070" customFormat="1" ht="3.8" customHeight="1">
      <c r="A414" s="2605"/>
      <c r="B414" s="1916"/>
      <c r="C414" s="201"/>
      <c r="D414" s="2218"/>
      <c r="E414" s="2218"/>
      <c r="F414" s="2218"/>
      <c r="G414" s="2218"/>
      <c r="H414" s="2218"/>
      <c r="I414" s="2218"/>
      <c r="J414" s="2218"/>
      <c r="K414" s="2218"/>
      <c r="L414" s="2218"/>
      <c r="M414" s="2218"/>
      <c r="N414" s="2218"/>
      <c r="O414" s="2218"/>
      <c r="P414" s="2218"/>
      <c r="Q414" s="2161">
        <f t="shared" si="158"/>
        <v>0</v>
      </c>
      <c r="R414" s="1891">
        <f t="shared" si="159"/>
        <v>0</v>
      </c>
      <c r="S414" s="1891">
        <f t="shared" si="159"/>
        <v>0</v>
      </c>
    </row>
    <row r="415" spans="1:19" s="2070" customFormat="1" ht="15.05">
      <c r="A415" s="1854"/>
      <c r="B415" s="2607" t="s">
        <v>50</v>
      </c>
      <c r="C415" s="2608" t="s">
        <v>226</v>
      </c>
      <c r="D415" s="2609">
        <f t="shared" ref="D415:P415" si="180">SUM(D416:D418)</f>
        <v>70939763650</v>
      </c>
      <c r="E415" s="2609">
        <f t="shared" si="180"/>
        <v>0</v>
      </c>
      <c r="F415" s="2609">
        <f t="shared" si="180"/>
        <v>0</v>
      </c>
      <c r="G415" s="2609">
        <f t="shared" si="180"/>
        <v>0</v>
      </c>
      <c r="H415" s="2609">
        <f t="shared" si="180"/>
        <v>0</v>
      </c>
      <c r="I415" s="2609">
        <f t="shared" si="180"/>
        <v>0</v>
      </c>
      <c r="J415" s="2609">
        <f t="shared" si="180"/>
        <v>0</v>
      </c>
      <c r="K415" s="2609">
        <f t="shared" si="180"/>
        <v>0</v>
      </c>
      <c r="L415" s="2609">
        <f t="shared" si="180"/>
        <v>0</v>
      </c>
      <c r="M415" s="2609">
        <f t="shared" si="180"/>
        <v>0</v>
      </c>
      <c r="N415" s="2609">
        <f t="shared" si="180"/>
        <v>0</v>
      </c>
      <c r="O415" s="2609">
        <f t="shared" si="180"/>
        <v>0</v>
      </c>
      <c r="P415" s="2609">
        <f t="shared" si="180"/>
        <v>0</v>
      </c>
      <c r="Q415" s="2624">
        <f t="shared" si="158"/>
        <v>0</v>
      </c>
      <c r="R415" s="2625">
        <f t="shared" si="159"/>
        <v>-70939763650</v>
      </c>
      <c r="S415" s="2625">
        <f>Q415/D415*100</f>
        <v>0</v>
      </c>
    </row>
    <row r="416" spans="1:19" s="2070" customFormat="1">
      <c r="A416" s="1854"/>
      <c r="B416" s="224"/>
      <c r="C416" s="2737" t="s">
        <v>227</v>
      </c>
      <c r="D416" s="1964">
        <f>TARGET!D411</f>
        <v>70939763650</v>
      </c>
      <c r="E416" s="2556">
        <v>0</v>
      </c>
      <c r="F416" s="2556">
        <v>0</v>
      </c>
      <c r="G416" s="2556">
        <v>0</v>
      </c>
      <c r="H416" s="2556">
        <v>0</v>
      </c>
      <c r="I416" s="2556">
        <v>0</v>
      </c>
      <c r="J416" s="2556">
        <v>0</v>
      </c>
      <c r="K416" s="2556">
        <v>0</v>
      </c>
      <c r="L416" s="2556">
        <v>0</v>
      </c>
      <c r="M416" s="2556">
        <v>0</v>
      </c>
      <c r="N416" s="2556">
        <v>0</v>
      </c>
      <c r="O416" s="2556">
        <v>0</v>
      </c>
      <c r="P416" s="2556">
        <v>0</v>
      </c>
      <c r="Q416" s="2344">
        <f t="shared" si="158"/>
        <v>0</v>
      </c>
      <c r="R416" s="1891">
        <f t="shared" si="159"/>
        <v>-70939763650</v>
      </c>
      <c r="S416" s="1891">
        <f>Q416/D416*100</f>
        <v>0</v>
      </c>
    </row>
    <row r="417" spans="1:19" s="2070" customFormat="1">
      <c r="A417" s="1854"/>
      <c r="B417" s="200"/>
      <c r="C417" s="2738" t="s">
        <v>228</v>
      </c>
      <c r="D417" s="1964">
        <f>TARGET!D412</f>
        <v>0</v>
      </c>
      <c r="E417" s="2241">
        <v>0</v>
      </c>
      <c r="F417" s="2241">
        <v>0</v>
      </c>
      <c r="G417" s="2241">
        <v>0</v>
      </c>
      <c r="H417" s="2241">
        <v>0</v>
      </c>
      <c r="I417" s="2241">
        <v>0</v>
      </c>
      <c r="J417" s="2241">
        <v>0</v>
      </c>
      <c r="K417" s="2241">
        <v>0</v>
      </c>
      <c r="L417" s="2241">
        <v>0</v>
      </c>
      <c r="M417" s="2241">
        <v>0</v>
      </c>
      <c r="N417" s="2241">
        <v>0</v>
      </c>
      <c r="O417" s="2241">
        <v>0</v>
      </c>
      <c r="P417" s="2241">
        <v>0</v>
      </c>
      <c r="Q417" s="2161">
        <f t="shared" si="158"/>
        <v>0</v>
      </c>
      <c r="R417" s="1891">
        <f t="shared" si="159"/>
        <v>0</v>
      </c>
      <c r="S417" s="1891" t="e">
        <f>Q417/D417*100</f>
        <v>#DIV/0!</v>
      </c>
    </row>
    <row r="418" spans="1:19" s="2070" customFormat="1">
      <c r="A418" s="1854"/>
      <c r="B418" s="200"/>
      <c r="C418" s="2738" t="s">
        <v>229</v>
      </c>
      <c r="D418" s="1964">
        <f>TARGET!D413</f>
        <v>0</v>
      </c>
      <c r="E418" s="2241">
        <v>0</v>
      </c>
      <c r="F418" s="2241">
        <v>0</v>
      </c>
      <c r="G418" s="2241">
        <v>0</v>
      </c>
      <c r="H418" s="2241">
        <v>0</v>
      </c>
      <c r="I418" s="2241">
        <v>0</v>
      </c>
      <c r="J418" s="2241">
        <v>0</v>
      </c>
      <c r="K418" s="2241">
        <v>0</v>
      </c>
      <c r="L418" s="2241">
        <v>0</v>
      </c>
      <c r="M418" s="2241">
        <v>0</v>
      </c>
      <c r="N418" s="2241">
        <v>0</v>
      </c>
      <c r="O418" s="2241">
        <v>0</v>
      </c>
      <c r="P418" s="2241">
        <v>0</v>
      </c>
      <c r="Q418" s="2161">
        <f t="shared" si="158"/>
        <v>0</v>
      </c>
      <c r="R418" s="1891">
        <f t="shared" si="159"/>
        <v>0</v>
      </c>
      <c r="S418" s="1891" t="e">
        <f>Q418/D418*100</f>
        <v>#DIV/0!</v>
      </c>
    </row>
    <row r="419" spans="1:19" s="2070" customFormat="1" ht="5.35" customHeight="1">
      <c r="A419" s="1854"/>
      <c r="B419" s="200"/>
      <c r="C419" s="2601"/>
      <c r="D419" s="2218"/>
      <c r="E419" s="2218"/>
      <c r="F419" s="2218"/>
      <c r="G419" s="2218"/>
      <c r="H419" s="2218"/>
      <c r="I419" s="2218"/>
      <c r="J419" s="2218"/>
      <c r="K419" s="2218"/>
      <c r="L419" s="2218"/>
      <c r="M419" s="2218"/>
      <c r="N419" s="2218"/>
      <c r="O419" s="2218"/>
      <c r="P419" s="2218"/>
      <c r="Q419" s="2161">
        <f t="shared" ref="Q419:Q425" si="181">SUM(E419:P419)</f>
        <v>0</v>
      </c>
      <c r="R419" s="1891">
        <f t="shared" ref="R419:S425" si="182">Q419-D419</f>
        <v>0</v>
      </c>
      <c r="S419" s="1891">
        <f t="shared" si="182"/>
        <v>0</v>
      </c>
    </row>
    <row r="420" spans="1:19" s="2070" customFormat="1" ht="15.05">
      <c r="A420" s="2600" t="s">
        <v>205</v>
      </c>
      <c r="B420" s="2361" t="s">
        <v>230</v>
      </c>
      <c r="C420" s="2610"/>
      <c r="D420" s="2387">
        <f t="shared" ref="D420:P420" si="183">D421+D423</f>
        <v>60900800</v>
      </c>
      <c r="E420" s="2387">
        <f t="shared" si="183"/>
        <v>0</v>
      </c>
      <c r="F420" s="2387">
        <f t="shared" si="183"/>
        <v>0</v>
      </c>
      <c r="G420" s="2387">
        <f t="shared" si="183"/>
        <v>0</v>
      </c>
      <c r="H420" s="2387">
        <f t="shared" si="183"/>
        <v>0</v>
      </c>
      <c r="I420" s="2387">
        <f t="shared" si="183"/>
        <v>0</v>
      </c>
      <c r="J420" s="2387">
        <f t="shared" si="183"/>
        <v>0</v>
      </c>
      <c r="K420" s="2387">
        <f t="shared" si="183"/>
        <v>0</v>
      </c>
      <c r="L420" s="2387">
        <f t="shared" si="183"/>
        <v>0</v>
      </c>
      <c r="M420" s="2387">
        <f t="shared" si="183"/>
        <v>0</v>
      </c>
      <c r="N420" s="2387">
        <f t="shared" si="183"/>
        <v>0</v>
      </c>
      <c r="O420" s="2387">
        <f t="shared" si="183"/>
        <v>0</v>
      </c>
      <c r="P420" s="2387">
        <f t="shared" si="183"/>
        <v>0</v>
      </c>
      <c r="Q420" s="2350">
        <f t="shared" si="181"/>
        <v>0</v>
      </c>
      <c r="R420" s="1749">
        <f t="shared" si="182"/>
        <v>-60900800</v>
      </c>
      <c r="S420" s="1891">
        <f t="shared" ref="S420:S425" si="184">Q420/D420*100</f>
        <v>0</v>
      </c>
    </row>
    <row r="421" spans="1:19" s="2074" customFormat="1">
      <c r="A421" s="1854"/>
      <c r="B421" s="2362" t="s">
        <v>231</v>
      </c>
      <c r="C421" s="2611"/>
      <c r="D421" s="2291">
        <f t="shared" ref="D421:P421" si="185">D422</f>
        <v>12035600</v>
      </c>
      <c r="E421" s="2291">
        <f t="shared" si="185"/>
        <v>0</v>
      </c>
      <c r="F421" s="2291">
        <f t="shared" si="185"/>
        <v>0</v>
      </c>
      <c r="G421" s="2291">
        <f t="shared" si="185"/>
        <v>0</v>
      </c>
      <c r="H421" s="2291">
        <f t="shared" si="185"/>
        <v>0</v>
      </c>
      <c r="I421" s="2291">
        <f t="shared" si="185"/>
        <v>0</v>
      </c>
      <c r="J421" s="2291">
        <f t="shared" si="185"/>
        <v>0</v>
      </c>
      <c r="K421" s="2291">
        <f t="shared" si="185"/>
        <v>0</v>
      </c>
      <c r="L421" s="2291">
        <f t="shared" si="185"/>
        <v>0</v>
      </c>
      <c r="M421" s="2291">
        <f t="shared" si="185"/>
        <v>0</v>
      </c>
      <c r="N421" s="2291">
        <f t="shared" si="185"/>
        <v>0</v>
      </c>
      <c r="O421" s="2291">
        <f t="shared" si="185"/>
        <v>0</v>
      </c>
      <c r="P421" s="2291">
        <f t="shared" si="185"/>
        <v>0</v>
      </c>
      <c r="Q421" s="2344">
        <f t="shared" si="181"/>
        <v>0</v>
      </c>
      <c r="R421" s="1891">
        <f t="shared" si="182"/>
        <v>-12035600</v>
      </c>
      <c r="S421" s="1891">
        <f t="shared" si="184"/>
        <v>0</v>
      </c>
    </row>
    <row r="422" spans="1:19" s="2070" customFormat="1">
      <c r="A422" s="1854"/>
      <c r="B422" s="213" t="s">
        <v>50</v>
      </c>
      <c r="C422" s="1912" t="s">
        <v>232</v>
      </c>
      <c r="D422" s="1964">
        <f>TARGET!D417</f>
        <v>12035600</v>
      </c>
      <c r="E422" s="2241">
        <v>0</v>
      </c>
      <c r="F422" s="2241">
        <v>0</v>
      </c>
      <c r="G422" s="2241">
        <v>0</v>
      </c>
      <c r="H422" s="2241">
        <v>0</v>
      </c>
      <c r="I422" s="2241">
        <v>0</v>
      </c>
      <c r="J422" s="2241">
        <v>0</v>
      </c>
      <c r="K422" s="2241">
        <v>0</v>
      </c>
      <c r="L422" s="2241">
        <v>0</v>
      </c>
      <c r="M422" s="2241">
        <v>0</v>
      </c>
      <c r="N422" s="2241">
        <v>0</v>
      </c>
      <c r="O422" s="2241">
        <v>0</v>
      </c>
      <c r="P422" s="2241">
        <v>0</v>
      </c>
      <c r="Q422" s="2161">
        <f t="shared" si="181"/>
        <v>0</v>
      </c>
      <c r="R422" s="1891">
        <f t="shared" si="182"/>
        <v>-12035600</v>
      </c>
      <c r="S422" s="1891">
        <f t="shared" si="184"/>
        <v>0</v>
      </c>
    </row>
    <row r="423" spans="1:19" s="2074" customFormat="1">
      <c r="A423" s="1854"/>
      <c r="B423" s="2363" t="s">
        <v>233</v>
      </c>
      <c r="C423" s="2611"/>
      <c r="D423" s="2283">
        <f t="shared" ref="D423:P423" si="186">SUM(D424:D425)</f>
        <v>48865200</v>
      </c>
      <c r="E423" s="2283">
        <f t="shared" si="186"/>
        <v>0</v>
      </c>
      <c r="F423" s="2283">
        <f t="shared" si="186"/>
        <v>0</v>
      </c>
      <c r="G423" s="2283">
        <f t="shared" si="186"/>
        <v>0</v>
      </c>
      <c r="H423" s="2283">
        <f t="shared" si="186"/>
        <v>0</v>
      </c>
      <c r="I423" s="2283">
        <f t="shared" si="186"/>
        <v>0</v>
      </c>
      <c r="J423" s="2283">
        <f t="shared" si="186"/>
        <v>0</v>
      </c>
      <c r="K423" s="2283">
        <f t="shared" si="186"/>
        <v>0</v>
      </c>
      <c r="L423" s="2283">
        <f t="shared" si="186"/>
        <v>0</v>
      </c>
      <c r="M423" s="2283">
        <f t="shared" si="186"/>
        <v>0</v>
      </c>
      <c r="N423" s="2283">
        <f t="shared" si="186"/>
        <v>0</v>
      </c>
      <c r="O423" s="2283">
        <f t="shared" si="186"/>
        <v>0</v>
      </c>
      <c r="P423" s="2283">
        <f t="shared" si="186"/>
        <v>0</v>
      </c>
      <c r="Q423" s="2161">
        <f t="shared" si="181"/>
        <v>0</v>
      </c>
      <c r="R423" s="1891">
        <f t="shared" si="182"/>
        <v>-48865200</v>
      </c>
      <c r="S423" s="1891">
        <f t="shared" si="184"/>
        <v>0</v>
      </c>
    </row>
    <row r="424" spans="1:19" s="2070" customFormat="1">
      <c r="A424" s="1854"/>
      <c r="B424" s="213" t="s">
        <v>50</v>
      </c>
      <c r="C424" s="2738" t="s">
        <v>234</v>
      </c>
      <c r="D424" s="1964">
        <f>TARGET!D419</f>
        <v>4492800</v>
      </c>
      <c r="E424" s="2241">
        <v>0</v>
      </c>
      <c r="F424" s="2241">
        <v>0</v>
      </c>
      <c r="G424" s="2241">
        <v>0</v>
      </c>
      <c r="H424" s="2241">
        <v>0</v>
      </c>
      <c r="I424" s="2241">
        <v>0</v>
      </c>
      <c r="J424" s="2241">
        <v>0</v>
      </c>
      <c r="K424" s="2241">
        <v>0</v>
      </c>
      <c r="L424" s="2241">
        <v>0</v>
      </c>
      <c r="M424" s="2241">
        <v>0</v>
      </c>
      <c r="N424" s="2241">
        <v>0</v>
      </c>
      <c r="O424" s="2241">
        <v>0</v>
      </c>
      <c r="P424" s="2241">
        <v>0</v>
      </c>
      <c r="Q424" s="2161">
        <f t="shared" si="181"/>
        <v>0</v>
      </c>
      <c r="R424" s="1891">
        <f t="shared" si="182"/>
        <v>-4492800</v>
      </c>
      <c r="S424" s="1891">
        <f t="shared" si="184"/>
        <v>0</v>
      </c>
    </row>
    <row r="425" spans="1:19" s="2070" customFormat="1">
      <c r="A425" s="1854"/>
      <c r="B425" s="213" t="s">
        <v>50</v>
      </c>
      <c r="C425" s="2738" t="s">
        <v>235</v>
      </c>
      <c r="D425" s="1964">
        <f>TARGET!D420</f>
        <v>44372400</v>
      </c>
      <c r="E425" s="2241">
        <v>0</v>
      </c>
      <c r="F425" s="2241">
        <v>0</v>
      </c>
      <c r="G425" s="2241">
        <v>0</v>
      </c>
      <c r="H425" s="2241">
        <v>0</v>
      </c>
      <c r="I425" s="2241">
        <v>0</v>
      </c>
      <c r="J425" s="2241">
        <v>0</v>
      </c>
      <c r="K425" s="2241">
        <v>0</v>
      </c>
      <c r="L425" s="2241">
        <v>0</v>
      </c>
      <c r="M425" s="2241">
        <v>0</v>
      </c>
      <c r="N425" s="2241">
        <v>0</v>
      </c>
      <c r="O425" s="2241">
        <v>0</v>
      </c>
      <c r="P425" s="2241">
        <v>0</v>
      </c>
      <c r="Q425" s="2161">
        <f t="shared" si="181"/>
        <v>0</v>
      </c>
      <c r="R425" s="1891">
        <f t="shared" si="182"/>
        <v>-44372400</v>
      </c>
      <c r="S425" s="1891">
        <f t="shared" si="184"/>
        <v>0</v>
      </c>
    </row>
    <row r="426" spans="1:19" s="2070" customFormat="1" ht="5.35" customHeight="1">
      <c r="A426" s="1902"/>
      <c r="B426" s="2364"/>
      <c r="C426" s="2612"/>
      <c r="D426" s="2389"/>
      <c r="E426" s="2389"/>
      <c r="F426" s="2389"/>
      <c r="G426" s="2389"/>
      <c r="H426" s="2389"/>
      <c r="I426" s="2389"/>
      <c r="J426" s="2389"/>
      <c r="K426" s="2389"/>
      <c r="L426" s="2389"/>
      <c r="M426" s="2389"/>
      <c r="N426" s="2389"/>
      <c r="O426" s="2389"/>
      <c r="P426" s="2389"/>
      <c r="Q426" s="2391"/>
      <c r="R426" s="2391"/>
      <c r="S426" s="2391"/>
    </row>
    <row r="427" spans="1:19" s="2077" customFormat="1" ht="15.05">
      <c r="A427" s="2613"/>
      <c r="B427" s="2313" t="s">
        <v>236</v>
      </c>
      <c r="C427" s="2393"/>
      <c r="D427" s="2394">
        <f t="shared" ref="D427:Q427" si="187">+D428+D441+D446+D456+D490</f>
        <v>3289786024210</v>
      </c>
      <c r="E427" s="2394">
        <f t="shared" si="187"/>
        <v>0</v>
      </c>
      <c r="F427" s="2394">
        <f t="shared" si="187"/>
        <v>0</v>
      </c>
      <c r="G427" s="2394">
        <f t="shared" si="187"/>
        <v>0</v>
      </c>
      <c r="H427" s="2394">
        <f t="shared" si="187"/>
        <v>0</v>
      </c>
      <c r="I427" s="2394">
        <f t="shared" si="187"/>
        <v>0</v>
      </c>
      <c r="J427" s="2394">
        <f t="shared" si="187"/>
        <v>0</v>
      </c>
      <c r="K427" s="2394">
        <f t="shared" si="187"/>
        <v>0</v>
      </c>
      <c r="L427" s="2394">
        <f t="shared" si="187"/>
        <v>0</v>
      </c>
      <c r="M427" s="2394">
        <f t="shared" si="187"/>
        <v>0</v>
      </c>
      <c r="N427" s="2394">
        <f t="shared" si="187"/>
        <v>0</v>
      </c>
      <c r="O427" s="2394">
        <f t="shared" si="187"/>
        <v>0</v>
      </c>
      <c r="P427" s="2394">
        <f t="shared" si="187"/>
        <v>0</v>
      </c>
      <c r="Q427" s="2394">
        <f t="shared" si="187"/>
        <v>0</v>
      </c>
      <c r="R427" s="2147">
        <f>Q427-D427</f>
        <v>-3289786024210</v>
      </c>
      <c r="S427" s="2147">
        <f>Q427/D427*100</f>
        <v>0</v>
      </c>
    </row>
    <row r="428" spans="1:19" s="2078" customFormat="1" ht="14.25" customHeight="1">
      <c r="A428" s="2614" t="s">
        <v>237</v>
      </c>
      <c r="B428" s="2370" t="s">
        <v>238</v>
      </c>
      <c r="C428" s="2370"/>
      <c r="D428" s="2396">
        <f t="shared" ref="D428:P428" si="188">+D429+D436</f>
        <v>353125684600</v>
      </c>
      <c r="E428" s="2396">
        <f t="shared" si="188"/>
        <v>0</v>
      </c>
      <c r="F428" s="2396">
        <f t="shared" si="188"/>
        <v>0</v>
      </c>
      <c r="G428" s="2396">
        <f t="shared" si="188"/>
        <v>0</v>
      </c>
      <c r="H428" s="2396">
        <f t="shared" si="188"/>
        <v>0</v>
      </c>
      <c r="I428" s="2396">
        <f t="shared" si="188"/>
        <v>0</v>
      </c>
      <c r="J428" s="2396">
        <f t="shared" si="188"/>
        <v>0</v>
      </c>
      <c r="K428" s="2396">
        <f t="shared" si="188"/>
        <v>0</v>
      </c>
      <c r="L428" s="2396">
        <f t="shared" si="188"/>
        <v>0</v>
      </c>
      <c r="M428" s="2396">
        <f t="shared" si="188"/>
        <v>0</v>
      </c>
      <c r="N428" s="2396">
        <f t="shared" si="188"/>
        <v>0</v>
      </c>
      <c r="O428" s="2396">
        <f t="shared" si="188"/>
        <v>0</v>
      </c>
      <c r="P428" s="2396">
        <f t="shared" si="188"/>
        <v>0</v>
      </c>
      <c r="Q428" s="2396">
        <f t="shared" ref="Q428:Q444" si="189">SUM(E428:P428)</f>
        <v>0</v>
      </c>
      <c r="R428" s="2396">
        <f>Q428-D428</f>
        <v>-353125684600</v>
      </c>
      <c r="S428" s="2396">
        <f>Q428/D428*100</f>
        <v>0</v>
      </c>
    </row>
    <row r="429" spans="1:19" s="2070" customFormat="1" ht="15.05">
      <c r="A429" s="1905"/>
      <c r="B429" s="1890" t="s">
        <v>239</v>
      </c>
      <c r="C429" s="2601"/>
      <c r="D429" s="2399">
        <f t="shared" ref="D429:P429" si="190">SUM(D430:D434)</f>
        <v>185190481600</v>
      </c>
      <c r="E429" s="2399">
        <f t="shared" si="190"/>
        <v>0</v>
      </c>
      <c r="F429" s="2399">
        <f t="shared" si="190"/>
        <v>0</v>
      </c>
      <c r="G429" s="2399">
        <f t="shared" si="190"/>
        <v>0</v>
      </c>
      <c r="H429" s="2399">
        <f t="shared" si="190"/>
        <v>0</v>
      </c>
      <c r="I429" s="2399">
        <f t="shared" si="190"/>
        <v>0</v>
      </c>
      <c r="J429" s="2399">
        <f t="shared" si="190"/>
        <v>0</v>
      </c>
      <c r="K429" s="2399">
        <f t="shared" si="190"/>
        <v>0</v>
      </c>
      <c r="L429" s="2399">
        <f t="shared" si="190"/>
        <v>0</v>
      </c>
      <c r="M429" s="2399">
        <f t="shared" si="190"/>
        <v>0</v>
      </c>
      <c r="N429" s="2399">
        <f t="shared" si="190"/>
        <v>0</v>
      </c>
      <c r="O429" s="2399">
        <f t="shared" si="190"/>
        <v>0</v>
      </c>
      <c r="P429" s="2399">
        <f t="shared" si="190"/>
        <v>0</v>
      </c>
      <c r="Q429" s="2401">
        <f t="shared" si="189"/>
        <v>0</v>
      </c>
      <c r="R429" s="1749">
        <f t="shared" ref="R429:S439" si="191">Q429-D429</f>
        <v>-185190481600</v>
      </c>
      <c r="S429" s="1891">
        <f>Q429/D429*100</f>
        <v>0</v>
      </c>
    </row>
    <row r="430" spans="1:19" s="2070" customFormat="1">
      <c r="A430" s="1902"/>
      <c r="B430" s="2747" t="s">
        <v>50</v>
      </c>
      <c r="C430" s="237" t="s">
        <v>240</v>
      </c>
      <c r="D430" s="1964">
        <f>TARGET!D425</f>
        <v>10416269000</v>
      </c>
      <c r="E430" s="2615">
        <v>0</v>
      </c>
      <c r="F430" s="2615">
        <v>0</v>
      </c>
      <c r="G430" s="2615">
        <v>0</v>
      </c>
      <c r="H430" s="2615">
        <v>0</v>
      </c>
      <c r="I430" s="2615">
        <v>0</v>
      </c>
      <c r="J430" s="2615">
        <v>0</v>
      </c>
      <c r="K430" s="2615">
        <v>0</v>
      </c>
      <c r="L430" s="2615">
        <v>0</v>
      </c>
      <c r="M430" s="2615">
        <v>0</v>
      </c>
      <c r="N430" s="2615">
        <v>0</v>
      </c>
      <c r="O430" s="2615">
        <v>0</v>
      </c>
      <c r="P430" s="2615">
        <v>0</v>
      </c>
      <c r="Q430" s="2161">
        <f t="shared" si="189"/>
        <v>0</v>
      </c>
      <c r="R430" s="1891">
        <f t="shared" si="191"/>
        <v>-10416269000</v>
      </c>
      <c r="S430" s="1891">
        <f>Q430/D430*100</f>
        <v>0</v>
      </c>
    </row>
    <row r="431" spans="1:19" s="2070" customFormat="1">
      <c r="A431" s="2616"/>
      <c r="B431" s="2747" t="s">
        <v>50</v>
      </c>
      <c r="C431" s="1903" t="s">
        <v>241</v>
      </c>
      <c r="D431" s="1964">
        <f>TARGET!D426</f>
        <v>0</v>
      </c>
      <c r="E431" s="2592">
        <v>0</v>
      </c>
      <c r="F431" s="2592">
        <v>0</v>
      </c>
      <c r="G431" s="2592">
        <v>0</v>
      </c>
      <c r="H431" s="2592">
        <v>0</v>
      </c>
      <c r="I431" s="2592">
        <v>0</v>
      </c>
      <c r="J431" s="2592">
        <v>0</v>
      </c>
      <c r="K431" s="2592">
        <v>0</v>
      </c>
      <c r="L431" s="2592">
        <v>0</v>
      </c>
      <c r="M431" s="2592">
        <v>0</v>
      </c>
      <c r="N431" s="2592">
        <v>0</v>
      </c>
      <c r="O431" s="2592">
        <v>0</v>
      </c>
      <c r="P431" s="2592">
        <v>0</v>
      </c>
      <c r="Q431" s="2161">
        <f t="shared" si="189"/>
        <v>0</v>
      </c>
      <c r="R431" s="1891">
        <f t="shared" si="191"/>
        <v>0</v>
      </c>
      <c r="S431" s="1891">
        <v>0</v>
      </c>
    </row>
    <row r="432" spans="1:19" s="2070" customFormat="1">
      <c r="A432" s="2616"/>
      <c r="B432" s="2747" t="s">
        <v>50</v>
      </c>
      <c r="C432" s="1903" t="s">
        <v>242</v>
      </c>
      <c r="D432" s="1964">
        <f>TARGET!D427</f>
        <v>104034902000</v>
      </c>
      <c r="E432" s="2592">
        <v>0</v>
      </c>
      <c r="F432" s="2592">
        <v>0</v>
      </c>
      <c r="G432" s="2592">
        <v>0</v>
      </c>
      <c r="H432" s="2592">
        <v>0</v>
      </c>
      <c r="I432" s="2592">
        <v>0</v>
      </c>
      <c r="J432" s="2592">
        <v>0</v>
      </c>
      <c r="K432" s="2592">
        <v>0</v>
      </c>
      <c r="L432" s="2592">
        <v>0</v>
      </c>
      <c r="M432" s="2592">
        <v>0</v>
      </c>
      <c r="N432" s="2592">
        <v>0</v>
      </c>
      <c r="O432" s="2592">
        <v>0</v>
      </c>
      <c r="P432" s="2592">
        <v>0</v>
      </c>
      <c r="Q432" s="2161">
        <f t="shared" si="189"/>
        <v>0</v>
      </c>
      <c r="R432" s="1891">
        <f t="shared" si="191"/>
        <v>-104034902000</v>
      </c>
      <c r="S432" s="1891">
        <f>Q432/D432*100</f>
        <v>0</v>
      </c>
    </row>
    <row r="433" spans="1:19" s="2070" customFormat="1">
      <c r="A433" s="2616"/>
      <c r="B433" s="237"/>
      <c r="C433" s="1903" t="s">
        <v>243</v>
      </c>
      <c r="D433" s="1964">
        <f>TARGET!D428</f>
        <v>0</v>
      </c>
      <c r="E433" s="2592">
        <v>0</v>
      </c>
      <c r="F433" s="2592">
        <v>0</v>
      </c>
      <c r="G433" s="2592">
        <v>0</v>
      </c>
      <c r="H433" s="2592">
        <v>0</v>
      </c>
      <c r="I433" s="2592">
        <v>0</v>
      </c>
      <c r="J433" s="2592">
        <v>0</v>
      </c>
      <c r="K433" s="2592">
        <v>0</v>
      </c>
      <c r="L433" s="2592">
        <v>0</v>
      </c>
      <c r="M433" s="2592">
        <v>0</v>
      </c>
      <c r="N433" s="2592">
        <v>0</v>
      </c>
      <c r="O433" s="2592">
        <v>0</v>
      </c>
      <c r="P433" s="2592">
        <v>0</v>
      </c>
      <c r="Q433" s="2161">
        <f t="shared" si="189"/>
        <v>0</v>
      </c>
      <c r="R433" s="1891">
        <f t="shared" si="191"/>
        <v>0</v>
      </c>
      <c r="S433" s="1891">
        <f t="shared" si="191"/>
        <v>0</v>
      </c>
    </row>
    <row r="434" spans="1:19" s="2070" customFormat="1">
      <c r="A434" s="2616"/>
      <c r="B434" s="2747" t="s">
        <v>50</v>
      </c>
      <c r="C434" s="1903" t="s">
        <v>244</v>
      </c>
      <c r="D434" s="1964">
        <f>TARGET!D429</f>
        <v>70739310600</v>
      </c>
      <c r="E434" s="2592">
        <v>0</v>
      </c>
      <c r="F434" s="2592">
        <v>0</v>
      </c>
      <c r="G434" s="2592">
        <v>0</v>
      </c>
      <c r="H434" s="2592">
        <v>0</v>
      </c>
      <c r="I434" s="2592">
        <v>0</v>
      </c>
      <c r="J434" s="2592">
        <v>0</v>
      </c>
      <c r="K434" s="2592">
        <v>0</v>
      </c>
      <c r="L434" s="2592">
        <v>0</v>
      </c>
      <c r="M434" s="2592">
        <v>0</v>
      </c>
      <c r="N434" s="2592">
        <v>0</v>
      </c>
      <c r="O434" s="2592">
        <v>0</v>
      </c>
      <c r="P434" s="2592">
        <v>0</v>
      </c>
      <c r="Q434" s="2161">
        <f t="shared" si="189"/>
        <v>0</v>
      </c>
      <c r="R434" s="1891">
        <f t="shared" si="191"/>
        <v>-70739310600</v>
      </c>
      <c r="S434" s="1891">
        <f>Q434/D434*100</f>
        <v>0</v>
      </c>
    </row>
    <row r="435" spans="1:19" s="2070" customFormat="1" ht="5.95" customHeight="1">
      <c r="A435" s="2616"/>
      <c r="B435" s="237"/>
      <c r="C435" s="1903"/>
      <c r="D435" s="2402"/>
      <c r="E435" s="2402"/>
      <c r="F435" s="2402"/>
      <c r="G435" s="2402"/>
      <c r="H435" s="2402"/>
      <c r="I435" s="2402"/>
      <c r="J435" s="2402"/>
      <c r="K435" s="2402"/>
      <c r="L435" s="2402"/>
      <c r="M435" s="2402"/>
      <c r="N435" s="2402"/>
      <c r="O435" s="2402"/>
      <c r="P435" s="2402"/>
      <c r="Q435" s="2161">
        <f t="shared" si="189"/>
        <v>0</v>
      </c>
      <c r="R435" s="1891">
        <f t="shared" si="191"/>
        <v>0</v>
      </c>
      <c r="S435" s="1891">
        <f t="shared" si="191"/>
        <v>0</v>
      </c>
    </row>
    <row r="436" spans="1:19" s="2070" customFormat="1" ht="15.05">
      <c r="A436" s="2616"/>
      <c r="B436" s="2748" t="s">
        <v>245</v>
      </c>
      <c r="C436" s="1903"/>
      <c r="D436" s="1962">
        <f t="shared" ref="D436:P436" si="192">SUM(D437:D439)</f>
        <v>167935203000</v>
      </c>
      <c r="E436" s="1962">
        <f t="shared" si="192"/>
        <v>0</v>
      </c>
      <c r="F436" s="1962">
        <f t="shared" si="192"/>
        <v>0</v>
      </c>
      <c r="G436" s="1962">
        <f t="shared" si="192"/>
        <v>0</v>
      </c>
      <c r="H436" s="1962">
        <f t="shared" si="192"/>
        <v>0</v>
      </c>
      <c r="I436" s="1962">
        <f t="shared" si="192"/>
        <v>0</v>
      </c>
      <c r="J436" s="1962">
        <f t="shared" si="192"/>
        <v>0</v>
      </c>
      <c r="K436" s="1962">
        <f t="shared" si="192"/>
        <v>0</v>
      </c>
      <c r="L436" s="1962">
        <f t="shared" si="192"/>
        <v>0</v>
      </c>
      <c r="M436" s="1962">
        <f t="shared" si="192"/>
        <v>0</v>
      </c>
      <c r="N436" s="1962">
        <f t="shared" si="192"/>
        <v>0</v>
      </c>
      <c r="O436" s="1962">
        <f t="shared" si="192"/>
        <v>0</v>
      </c>
      <c r="P436" s="1962">
        <f t="shared" si="192"/>
        <v>0</v>
      </c>
      <c r="Q436" s="2156">
        <f t="shared" si="189"/>
        <v>0</v>
      </c>
      <c r="R436" s="1749">
        <f t="shared" si="191"/>
        <v>-167935203000</v>
      </c>
      <c r="S436" s="1891">
        <f>Q436/D436*100</f>
        <v>0</v>
      </c>
    </row>
    <row r="437" spans="1:19" s="2070" customFormat="1">
      <c r="A437" s="2616"/>
      <c r="B437" s="2749" t="s">
        <v>50</v>
      </c>
      <c r="C437" s="1903" t="s">
        <v>246</v>
      </c>
      <c r="D437" s="1964">
        <f>TARGET!D432</f>
        <v>511170000</v>
      </c>
      <c r="E437" s="2592">
        <v>0</v>
      </c>
      <c r="F437" s="2592">
        <v>0</v>
      </c>
      <c r="G437" s="2592">
        <v>0</v>
      </c>
      <c r="H437" s="2592">
        <v>0</v>
      </c>
      <c r="I437" s="2592">
        <v>0</v>
      </c>
      <c r="J437" s="2592">
        <v>0</v>
      </c>
      <c r="K437" s="2592">
        <v>0</v>
      </c>
      <c r="L437" s="2592">
        <v>0</v>
      </c>
      <c r="M437" s="2592">
        <v>0</v>
      </c>
      <c r="N437" s="2592">
        <v>0</v>
      </c>
      <c r="O437" s="2592">
        <v>0</v>
      </c>
      <c r="P437" s="2592">
        <v>0</v>
      </c>
      <c r="Q437" s="2161">
        <f t="shared" si="189"/>
        <v>0</v>
      </c>
      <c r="R437" s="1891">
        <f t="shared" si="191"/>
        <v>-511170000</v>
      </c>
      <c r="S437" s="1891">
        <f>Q437/D437*100</f>
        <v>0</v>
      </c>
    </row>
    <row r="438" spans="1:19" s="2070" customFormat="1">
      <c r="A438" s="2616"/>
      <c r="B438" s="2749" t="s">
        <v>50</v>
      </c>
      <c r="C438" s="1903" t="s">
        <v>247</v>
      </c>
      <c r="D438" s="1964">
        <f>TARGET!D433</f>
        <v>4168131000</v>
      </c>
      <c r="E438" s="2592">
        <v>0</v>
      </c>
      <c r="F438" s="2592">
        <v>0</v>
      </c>
      <c r="G438" s="2592">
        <v>0</v>
      </c>
      <c r="H438" s="2592">
        <v>0</v>
      </c>
      <c r="I438" s="2592">
        <v>0</v>
      </c>
      <c r="J438" s="2592">
        <v>0</v>
      </c>
      <c r="K438" s="2592">
        <v>0</v>
      </c>
      <c r="L438" s="2592">
        <v>0</v>
      </c>
      <c r="M438" s="2592">
        <v>0</v>
      </c>
      <c r="N438" s="2592">
        <v>0</v>
      </c>
      <c r="O438" s="2592">
        <v>0</v>
      </c>
      <c r="P438" s="2592">
        <v>0</v>
      </c>
      <c r="Q438" s="2161">
        <f t="shared" si="189"/>
        <v>0</v>
      </c>
      <c r="R438" s="1891">
        <f t="shared" si="191"/>
        <v>-4168131000</v>
      </c>
      <c r="S438" s="1891">
        <f>Q438/D438*100</f>
        <v>0</v>
      </c>
    </row>
    <row r="439" spans="1:19" s="2070" customFormat="1">
      <c r="A439" s="2616"/>
      <c r="B439" s="2749" t="s">
        <v>50</v>
      </c>
      <c r="C439" s="1903" t="s">
        <v>248</v>
      </c>
      <c r="D439" s="1964">
        <f>TARGET!D434</f>
        <v>163255902000</v>
      </c>
      <c r="E439" s="2592">
        <v>0</v>
      </c>
      <c r="F439" s="2592">
        <v>0</v>
      </c>
      <c r="G439" s="2592">
        <v>0</v>
      </c>
      <c r="H439" s="2592">
        <v>0</v>
      </c>
      <c r="I439" s="2592">
        <v>0</v>
      </c>
      <c r="J439" s="2592">
        <v>0</v>
      </c>
      <c r="K439" s="2592">
        <v>0</v>
      </c>
      <c r="L439" s="2592">
        <v>0</v>
      </c>
      <c r="M439" s="2592">
        <v>0</v>
      </c>
      <c r="N439" s="2592">
        <v>0</v>
      </c>
      <c r="O439" s="2592">
        <v>0</v>
      </c>
      <c r="P439" s="2592">
        <v>0</v>
      </c>
      <c r="Q439" s="2161">
        <f t="shared" si="189"/>
        <v>0</v>
      </c>
      <c r="R439" s="1891">
        <f t="shared" si="191"/>
        <v>-163255902000</v>
      </c>
      <c r="S439" s="1891">
        <f>Q439/D439*100</f>
        <v>0</v>
      </c>
    </row>
    <row r="440" spans="1:19" s="2070" customFormat="1" ht="5.35" customHeight="1">
      <c r="A440" s="2617"/>
      <c r="B440" s="2618"/>
      <c r="C440" s="2618"/>
      <c r="D440" s="2619"/>
      <c r="E440" s="2619"/>
      <c r="F440" s="2619"/>
      <c r="G440" s="2619"/>
      <c r="H440" s="2619"/>
      <c r="I440" s="2619"/>
      <c r="J440" s="2619"/>
      <c r="K440" s="2619"/>
      <c r="L440" s="2619"/>
      <c r="M440" s="2619"/>
      <c r="N440" s="2619"/>
      <c r="O440" s="2619"/>
      <c r="P440" s="2619"/>
      <c r="Q440" s="2161">
        <f t="shared" si="189"/>
        <v>0</v>
      </c>
      <c r="R440" s="2161">
        <f>SUM(F440:Q440)</f>
        <v>0</v>
      </c>
      <c r="S440" s="2161">
        <f>SUM(G440:R440)</f>
        <v>0</v>
      </c>
    </row>
    <row r="441" spans="1:19" s="2077" customFormat="1" ht="15.05">
      <c r="A441" s="2620" t="s">
        <v>249</v>
      </c>
      <c r="B441" s="2739" t="s">
        <v>250</v>
      </c>
      <c r="C441" s="2405"/>
      <c r="D441" s="2406">
        <f t="shared" ref="D441:P441" si="193">D442</f>
        <v>1496972549710</v>
      </c>
      <c r="E441" s="2406">
        <f t="shared" si="193"/>
        <v>0</v>
      </c>
      <c r="F441" s="2406">
        <f t="shared" si="193"/>
        <v>0</v>
      </c>
      <c r="G441" s="2406">
        <f t="shared" si="193"/>
        <v>0</v>
      </c>
      <c r="H441" s="2406">
        <f t="shared" si="193"/>
        <v>0</v>
      </c>
      <c r="I441" s="2406">
        <f t="shared" si="193"/>
        <v>0</v>
      </c>
      <c r="J441" s="2406">
        <f t="shared" si="193"/>
        <v>0</v>
      </c>
      <c r="K441" s="2406">
        <f t="shared" si="193"/>
        <v>0</v>
      </c>
      <c r="L441" s="2406">
        <f t="shared" si="193"/>
        <v>0</v>
      </c>
      <c r="M441" s="2406">
        <f t="shared" si="193"/>
        <v>0</v>
      </c>
      <c r="N441" s="2406">
        <f t="shared" si="193"/>
        <v>0</v>
      </c>
      <c r="O441" s="2406">
        <f t="shared" si="193"/>
        <v>0</v>
      </c>
      <c r="P441" s="2406">
        <f t="shared" si="193"/>
        <v>0</v>
      </c>
      <c r="Q441" s="2396">
        <f t="shared" si="189"/>
        <v>0</v>
      </c>
      <c r="R441" s="2396">
        <f>Q441-D441</f>
        <v>-1496972549710</v>
      </c>
      <c r="S441" s="2396">
        <f>Q441/D441*100</f>
        <v>0</v>
      </c>
    </row>
    <row r="442" spans="1:19" s="2070" customFormat="1">
      <c r="A442" s="2621"/>
      <c r="B442" s="2750" t="s">
        <v>251</v>
      </c>
      <c r="C442" s="2289"/>
      <c r="D442" s="2407">
        <f t="shared" ref="D442:P442" si="194">SUM(D443:D444)</f>
        <v>1496972549710</v>
      </c>
      <c r="E442" s="2407">
        <f t="shared" si="194"/>
        <v>0</v>
      </c>
      <c r="F442" s="2407">
        <f t="shared" si="194"/>
        <v>0</v>
      </c>
      <c r="G442" s="2407">
        <f t="shared" si="194"/>
        <v>0</v>
      </c>
      <c r="H442" s="2407">
        <f t="shared" si="194"/>
        <v>0</v>
      </c>
      <c r="I442" s="2407">
        <f t="shared" si="194"/>
        <v>0</v>
      </c>
      <c r="J442" s="2407">
        <f t="shared" si="194"/>
        <v>0</v>
      </c>
      <c r="K442" s="2407">
        <f t="shared" si="194"/>
        <v>0</v>
      </c>
      <c r="L442" s="2407">
        <f t="shared" si="194"/>
        <v>0</v>
      </c>
      <c r="M442" s="2407">
        <f t="shared" si="194"/>
        <v>0</v>
      </c>
      <c r="N442" s="2407">
        <f t="shared" si="194"/>
        <v>0</v>
      </c>
      <c r="O442" s="2407">
        <f t="shared" si="194"/>
        <v>0</v>
      </c>
      <c r="P442" s="2407">
        <f t="shared" si="194"/>
        <v>0</v>
      </c>
      <c r="Q442" s="2161">
        <f t="shared" si="189"/>
        <v>0</v>
      </c>
      <c r="R442" s="1891">
        <f>Q442-D442</f>
        <v>-1496972549710</v>
      </c>
      <c r="S442" s="1891">
        <f>Q442/D442*100</f>
        <v>0</v>
      </c>
    </row>
    <row r="443" spans="1:19" s="2070" customFormat="1">
      <c r="A443" s="2616"/>
      <c r="B443" s="2749" t="s">
        <v>50</v>
      </c>
      <c r="C443" s="1903" t="s">
        <v>252</v>
      </c>
      <c r="D443" s="1964">
        <f>TARGET!D438</f>
        <v>1416022952000</v>
      </c>
      <c r="E443" s="2592">
        <v>0</v>
      </c>
      <c r="F443" s="2592">
        <v>0</v>
      </c>
      <c r="G443" s="2592">
        <v>0</v>
      </c>
      <c r="H443" s="2592">
        <v>0</v>
      </c>
      <c r="I443" s="2592">
        <v>0</v>
      </c>
      <c r="J443" s="2592">
        <v>0</v>
      </c>
      <c r="K443" s="2592">
        <v>0</v>
      </c>
      <c r="L443" s="2592">
        <v>0</v>
      </c>
      <c r="M443" s="2592">
        <v>0</v>
      </c>
      <c r="N443" s="2592">
        <v>0</v>
      </c>
      <c r="O443" s="2592">
        <v>0</v>
      </c>
      <c r="P443" s="2592">
        <v>0</v>
      </c>
      <c r="Q443" s="2161">
        <f t="shared" si="189"/>
        <v>0</v>
      </c>
      <c r="R443" s="1891">
        <f>Q443-D443</f>
        <v>-1416022952000</v>
      </c>
      <c r="S443" s="1891">
        <f>Q443/D443*100</f>
        <v>0</v>
      </c>
    </row>
    <row r="444" spans="1:19" s="2070" customFormat="1">
      <c r="A444" s="2616"/>
      <c r="B444" s="2749" t="s">
        <v>50</v>
      </c>
      <c r="C444" s="1903" t="s">
        <v>253</v>
      </c>
      <c r="D444" s="1964">
        <f>TARGET!D439</f>
        <v>80949597710</v>
      </c>
      <c r="E444" s="2592">
        <v>0</v>
      </c>
      <c r="F444" s="2592">
        <v>0</v>
      </c>
      <c r="G444" s="2592">
        <v>0</v>
      </c>
      <c r="H444" s="2592">
        <v>0</v>
      </c>
      <c r="I444" s="2592">
        <v>0</v>
      </c>
      <c r="J444" s="2592">
        <v>0</v>
      </c>
      <c r="K444" s="2592">
        <v>0</v>
      </c>
      <c r="L444" s="2592">
        <v>0</v>
      </c>
      <c r="M444" s="2592">
        <v>0</v>
      </c>
      <c r="N444" s="2592">
        <v>0</v>
      </c>
      <c r="O444" s="2592">
        <v>0</v>
      </c>
      <c r="P444" s="2592">
        <v>0</v>
      </c>
      <c r="Q444" s="2161">
        <f t="shared" si="189"/>
        <v>0</v>
      </c>
      <c r="R444" s="1891">
        <f>Q444-D444</f>
        <v>-80949597710</v>
      </c>
      <c r="S444" s="1891">
        <f>Q444/D444*100</f>
        <v>0</v>
      </c>
    </row>
    <row r="445" spans="1:19" s="2070" customFormat="1" ht="5.95" customHeight="1">
      <c r="A445" s="2617"/>
      <c r="B445" s="2618"/>
      <c r="C445" s="2618"/>
      <c r="D445" s="2408"/>
      <c r="E445" s="2408"/>
      <c r="F445" s="2408"/>
      <c r="G445" s="2408"/>
      <c r="H445" s="2408"/>
      <c r="I445" s="2408"/>
      <c r="J445" s="2408"/>
      <c r="K445" s="2408"/>
      <c r="L445" s="2408"/>
      <c r="M445" s="2408"/>
      <c r="N445" s="2408"/>
      <c r="O445" s="2408"/>
      <c r="P445" s="2408"/>
      <c r="Q445" s="2410"/>
      <c r="R445" s="2410"/>
      <c r="S445" s="2410"/>
    </row>
    <row r="446" spans="1:19" s="2078" customFormat="1" ht="15.05">
      <c r="A446" s="2620" t="s">
        <v>254</v>
      </c>
      <c r="B446" s="2739" t="s">
        <v>255</v>
      </c>
      <c r="C446" s="2405"/>
      <c r="D446" s="2406">
        <f t="shared" ref="D446:P446" si="195">D447</f>
        <v>1372422968000</v>
      </c>
      <c r="E446" s="2406">
        <f t="shared" si="195"/>
        <v>0</v>
      </c>
      <c r="F446" s="2406">
        <f t="shared" si="195"/>
        <v>0</v>
      </c>
      <c r="G446" s="2406">
        <f t="shared" si="195"/>
        <v>0</v>
      </c>
      <c r="H446" s="2406">
        <f t="shared" si="195"/>
        <v>0</v>
      </c>
      <c r="I446" s="2406">
        <f t="shared" si="195"/>
        <v>0</v>
      </c>
      <c r="J446" s="2406">
        <f t="shared" si="195"/>
        <v>0</v>
      </c>
      <c r="K446" s="2406">
        <f t="shared" si="195"/>
        <v>0</v>
      </c>
      <c r="L446" s="2406">
        <f t="shared" si="195"/>
        <v>0</v>
      </c>
      <c r="M446" s="2406">
        <f t="shared" si="195"/>
        <v>0</v>
      </c>
      <c r="N446" s="2406">
        <f t="shared" si="195"/>
        <v>0</v>
      </c>
      <c r="O446" s="2406">
        <f t="shared" si="195"/>
        <v>0</v>
      </c>
      <c r="P446" s="2406">
        <f t="shared" si="195"/>
        <v>0</v>
      </c>
      <c r="Q446" s="2396">
        <f>SUM(E446:P446)</f>
        <v>0</v>
      </c>
      <c r="R446" s="2396">
        <f>Q446-D446</f>
        <v>-1372422968000</v>
      </c>
      <c r="S446" s="2396">
        <f>Q446/D446*100</f>
        <v>0</v>
      </c>
    </row>
    <row r="447" spans="1:19" s="2070" customFormat="1">
      <c r="A447" s="2622"/>
      <c r="B447" s="2750" t="s">
        <v>256</v>
      </c>
      <c r="C447" s="2289"/>
      <c r="D447" s="2407">
        <f t="shared" ref="D447:P447" si="196">D448+D454</f>
        <v>1372422968000</v>
      </c>
      <c r="E447" s="2407">
        <f t="shared" si="196"/>
        <v>0</v>
      </c>
      <c r="F447" s="2407">
        <f t="shared" si="196"/>
        <v>0</v>
      </c>
      <c r="G447" s="2407">
        <f t="shared" si="196"/>
        <v>0</v>
      </c>
      <c r="H447" s="2407">
        <f t="shared" si="196"/>
        <v>0</v>
      </c>
      <c r="I447" s="2407">
        <f t="shared" si="196"/>
        <v>0</v>
      </c>
      <c r="J447" s="2407">
        <f t="shared" si="196"/>
        <v>0</v>
      </c>
      <c r="K447" s="2407">
        <f t="shared" si="196"/>
        <v>0</v>
      </c>
      <c r="L447" s="2407">
        <f t="shared" si="196"/>
        <v>0</v>
      </c>
      <c r="M447" s="2407">
        <f t="shared" si="196"/>
        <v>0</v>
      </c>
      <c r="N447" s="2407">
        <f t="shared" si="196"/>
        <v>0</v>
      </c>
      <c r="O447" s="2407">
        <f t="shared" si="196"/>
        <v>0</v>
      </c>
      <c r="P447" s="2407">
        <f t="shared" si="196"/>
        <v>0</v>
      </c>
      <c r="Q447" s="2161">
        <f t="shared" ref="Q447:Q454" si="197">SUM(E447:P447)</f>
        <v>0</v>
      </c>
      <c r="R447" s="1891">
        <f t="shared" ref="R447:R454" si="198">Q447-D447</f>
        <v>-1372422968000</v>
      </c>
      <c r="S447" s="1891">
        <f t="shared" ref="S447:S453" si="199">Q447/D447*100</f>
        <v>0</v>
      </c>
    </row>
    <row r="448" spans="1:19" s="2070" customFormat="1" ht="15.05">
      <c r="A448" s="2623"/>
      <c r="B448" s="2749" t="s">
        <v>50</v>
      </c>
      <c r="C448" s="1903" t="s">
        <v>257</v>
      </c>
      <c r="D448" s="1962">
        <f t="shared" ref="D448:P448" si="200">SUM(D449:D453)</f>
        <v>1074923968000</v>
      </c>
      <c r="E448" s="1962">
        <f t="shared" si="200"/>
        <v>0</v>
      </c>
      <c r="F448" s="1962">
        <f t="shared" si="200"/>
        <v>0</v>
      </c>
      <c r="G448" s="1962">
        <f t="shared" si="200"/>
        <v>0</v>
      </c>
      <c r="H448" s="1962">
        <f t="shared" si="200"/>
        <v>0</v>
      </c>
      <c r="I448" s="1962">
        <f t="shared" si="200"/>
        <v>0</v>
      </c>
      <c r="J448" s="1962">
        <f t="shared" si="200"/>
        <v>0</v>
      </c>
      <c r="K448" s="1962">
        <f t="shared" si="200"/>
        <v>0</v>
      </c>
      <c r="L448" s="1962">
        <f t="shared" si="200"/>
        <v>0</v>
      </c>
      <c r="M448" s="1962">
        <f t="shared" si="200"/>
        <v>0</v>
      </c>
      <c r="N448" s="1962">
        <f t="shared" si="200"/>
        <v>0</v>
      </c>
      <c r="O448" s="1962">
        <f t="shared" si="200"/>
        <v>0</v>
      </c>
      <c r="P448" s="1962">
        <f t="shared" si="200"/>
        <v>0</v>
      </c>
      <c r="Q448" s="2156">
        <f t="shared" si="197"/>
        <v>0</v>
      </c>
      <c r="R448" s="1749">
        <f t="shared" si="198"/>
        <v>-1074923968000</v>
      </c>
      <c r="S448" s="1891">
        <f t="shared" si="199"/>
        <v>0</v>
      </c>
    </row>
    <row r="449" spans="1:19" s="2070" customFormat="1">
      <c r="A449" s="2623"/>
      <c r="B449" s="1903"/>
      <c r="C449" s="2749" t="s">
        <v>258</v>
      </c>
      <c r="D449" s="1964">
        <f>TARGET!D444</f>
        <v>858778000000</v>
      </c>
      <c r="E449" s="2592">
        <v>0</v>
      </c>
      <c r="F449" s="2592">
        <v>0</v>
      </c>
      <c r="G449" s="2592">
        <v>0</v>
      </c>
      <c r="H449" s="2592">
        <v>0</v>
      </c>
      <c r="I449" s="2592">
        <v>0</v>
      </c>
      <c r="J449" s="2592">
        <v>0</v>
      </c>
      <c r="K449" s="2592">
        <v>0</v>
      </c>
      <c r="L449" s="2592">
        <v>0</v>
      </c>
      <c r="M449" s="2592">
        <v>0</v>
      </c>
      <c r="N449" s="2592">
        <v>0</v>
      </c>
      <c r="O449" s="2592">
        <v>0</v>
      </c>
      <c r="P449" s="2592">
        <v>0</v>
      </c>
      <c r="Q449" s="2161">
        <f t="shared" si="197"/>
        <v>0</v>
      </c>
      <c r="R449" s="1891">
        <f t="shared" si="198"/>
        <v>-858778000000</v>
      </c>
      <c r="S449" s="1891">
        <f t="shared" si="199"/>
        <v>0</v>
      </c>
    </row>
    <row r="450" spans="1:19" s="2070" customFormat="1">
      <c r="A450" s="2623"/>
      <c r="B450" s="1903"/>
      <c r="C450" s="2749" t="s">
        <v>259</v>
      </c>
      <c r="D450" s="1964">
        <f>TARGET!D445</f>
        <v>207376785000</v>
      </c>
      <c r="E450" s="2592">
        <v>0</v>
      </c>
      <c r="F450" s="2592">
        <v>0</v>
      </c>
      <c r="G450" s="2592">
        <v>0</v>
      </c>
      <c r="H450" s="2592">
        <v>0</v>
      </c>
      <c r="I450" s="2592">
        <v>0</v>
      </c>
      <c r="J450" s="2592">
        <v>0</v>
      </c>
      <c r="K450" s="2592">
        <v>0</v>
      </c>
      <c r="L450" s="2592">
        <v>0</v>
      </c>
      <c r="M450" s="2592">
        <v>0</v>
      </c>
      <c r="N450" s="2592">
        <v>0</v>
      </c>
      <c r="O450" s="2592">
        <v>0</v>
      </c>
      <c r="P450" s="2592">
        <v>0</v>
      </c>
      <c r="Q450" s="2161">
        <f t="shared" si="197"/>
        <v>0</v>
      </c>
      <c r="R450" s="1891">
        <f t="shared" si="198"/>
        <v>-207376785000</v>
      </c>
      <c r="S450" s="1891">
        <f t="shared" si="199"/>
        <v>0</v>
      </c>
    </row>
    <row r="451" spans="1:19" s="2070" customFormat="1">
      <c r="A451" s="2623"/>
      <c r="B451" s="1903"/>
      <c r="C451" s="2749" t="s">
        <v>260</v>
      </c>
      <c r="D451" s="1964">
        <f>TARGET!D446</f>
        <v>4737000000</v>
      </c>
      <c r="E451" s="2592">
        <v>0</v>
      </c>
      <c r="F451" s="2592">
        <v>0</v>
      </c>
      <c r="G451" s="2592">
        <v>0</v>
      </c>
      <c r="H451" s="2592">
        <v>0</v>
      </c>
      <c r="I451" s="2592">
        <v>0</v>
      </c>
      <c r="J451" s="2592">
        <v>0</v>
      </c>
      <c r="K451" s="2592">
        <v>0</v>
      </c>
      <c r="L451" s="2592">
        <v>0</v>
      </c>
      <c r="M451" s="2592">
        <v>0</v>
      </c>
      <c r="N451" s="2592">
        <v>0</v>
      </c>
      <c r="O451" s="2592">
        <v>0</v>
      </c>
      <c r="P451" s="2592">
        <v>0</v>
      </c>
      <c r="Q451" s="2161">
        <f t="shared" si="197"/>
        <v>0</v>
      </c>
      <c r="R451" s="1891">
        <f t="shared" si="198"/>
        <v>-4737000000</v>
      </c>
      <c r="S451" s="1891">
        <f t="shared" si="199"/>
        <v>0</v>
      </c>
    </row>
    <row r="452" spans="1:19" s="2070" customFormat="1">
      <c r="A452" s="2623"/>
      <c r="B452" s="1903"/>
      <c r="C452" s="2749" t="s">
        <v>261</v>
      </c>
      <c r="D452" s="1964">
        <f>TARGET!D447</f>
        <v>2500000000</v>
      </c>
      <c r="E452" s="2592">
        <v>0</v>
      </c>
      <c r="F452" s="2592">
        <v>0</v>
      </c>
      <c r="G452" s="2592">
        <v>0</v>
      </c>
      <c r="H452" s="2592">
        <v>0</v>
      </c>
      <c r="I452" s="2592">
        <v>0</v>
      </c>
      <c r="J452" s="2592">
        <v>0</v>
      </c>
      <c r="K452" s="2592">
        <v>0</v>
      </c>
      <c r="L452" s="2592">
        <v>0</v>
      </c>
      <c r="M452" s="2592">
        <v>0</v>
      </c>
      <c r="N452" s="2592">
        <v>0</v>
      </c>
      <c r="O452" s="2592">
        <v>0</v>
      </c>
      <c r="P452" s="2592">
        <v>0</v>
      </c>
      <c r="Q452" s="2161">
        <f t="shared" si="197"/>
        <v>0</v>
      </c>
      <c r="R452" s="1891">
        <f t="shared" si="198"/>
        <v>-2500000000</v>
      </c>
      <c r="S452" s="1891">
        <f t="shared" si="199"/>
        <v>0</v>
      </c>
    </row>
    <row r="453" spans="1:19" s="2070" customFormat="1">
      <c r="A453" s="2623"/>
      <c r="B453" s="1903"/>
      <c r="C453" s="2749" t="s">
        <v>262</v>
      </c>
      <c r="D453" s="1964">
        <f>TARGET!D448</f>
        <v>1532183000</v>
      </c>
      <c r="E453" s="2592">
        <v>0</v>
      </c>
      <c r="F453" s="2592">
        <v>0</v>
      </c>
      <c r="G453" s="2592">
        <v>0</v>
      </c>
      <c r="H453" s="2592">
        <v>0</v>
      </c>
      <c r="I453" s="2592">
        <v>0</v>
      </c>
      <c r="J453" s="2592">
        <v>0</v>
      </c>
      <c r="K453" s="2592">
        <v>0</v>
      </c>
      <c r="L453" s="2592">
        <v>0</v>
      </c>
      <c r="M453" s="2592">
        <v>0</v>
      </c>
      <c r="N453" s="2592">
        <v>0</v>
      </c>
      <c r="O453" s="2592">
        <v>0</v>
      </c>
      <c r="P453" s="2592">
        <v>0</v>
      </c>
      <c r="Q453" s="2161">
        <f t="shared" si="197"/>
        <v>0</v>
      </c>
      <c r="R453" s="1891">
        <f t="shared" si="198"/>
        <v>-1532183000</v>
      </c>
      <c r="S453" s="1891">
        <f t="shared" si="199"/>
        <v>0</v>
      </c>
    </row>
    <row r="454" spans="1:19" s="2070" customFormat="1" ht="15.05">
      <c r="A454" s="2623"/>
      <c r="B454" s="2749" t="s">
        <v>50</v>
      </c>
      <c r="C454" s="1903" t="s">
        <v>263</v>
      </c>
      <c r="D454" s="2418">
        <f>TARGET!D449</f>
        <v>297499000000</v>
      </c>
      <c r="E454" s="2626">
        <v>0</v>
      </c>
      <c r="F454" s="2626">
        <v>0</v>
      </c>
      <c r="G454" s="2626">
        <v>0</v>
      </c>
      <c r="H454" s="2626">
        <v>0</v>
      </c>
      <c r="I454" s="2626">
        <v>0</v>
      </c>
      <c r="J454" s="2626">
        <v>0</v>
      </c>
      <c r="K454" s="2626">
        <v>0</v>
      </c>
      <c r="L454" s="2626">
        <v>0</v>
      </c>
      <c r="M454" s="2626">
        <v>0</v>
      </c>
      <c r="N454" s="2626">
        <v>0</v>
      </c>
      <c r="O454" s="2626">
        <v>0</v>
      </c>
      <c r="P454" s="2626">
        <v>0</v>
      </c>
      <c r="Q454" s="2156">
        <f t="shared" si="197"/>
        <v>0</v>
      </c>
      <c r="R454" s="1749">
        <f t="shared" si="198"/>
        <v>-297499000000</v>
      </c>
      <c r="S454" s="1891">
        <f>Q454/D454*100</f>
        <v>0</v>
      </c>
    </row>
    <row r="455" spans="1:19" s="2070" customFormat="1" ht="6.75" customHeight="1">
      <c r="A455" s="2627"/>
      <c r="B455" s="2618"/>
      <c r="C455" s="2618"/>
      <c r="D455" s="2333"/>
      <c r="E455" s="2408"/>
      <c r="F455" s="2408"/>
      <c r="G455" s="2408"/>
      <c r="H455" s="2408"/>
      <c r="I455" s="2408"/>
      <c r="J455" s="2408"/>
      <c r="K455" s="2408"/>
      <c r="L455" s="2408"/>
      <c r="M455" s="2408"/>
      <c r="N455" s="2408"/>
      <c r="O455" s="2408"/>
      <c r="P455" s="2408"/>
      <c r="Q455" s="2410"/>
      <c r="R455" s="2410"/>
      <c r="S455" s="2410"/>
    </row>
    <row r="456" spans="1:19" s="2079" customFormat="1" ht="15.05">
      <c r="A456" s="2614" t="s">
        <v>264</v>
      </c>
      <c r="B456" s="2741" t="s">
        <v>265</v>
      </c>
      <c r="C456" s="2370"/>
      <c r="D456" s="2406">
        <f t="shared" ref="D456:P456" si="201">D457</f>
        <v>13870510900</v>
      </c>
      <c r="E456" s="2406">
        <f t="shared" si="201"/>
        <v>0</v>
      </c>
      <c r="F456" s="2406">
        <f t="shared" si="201"/>
        <v>0</v>
      </c>
      <c r="G456" s="2406">
        <f t="shared" si="201"/>
        <v>0</v>
      </c>
      <c r="H456" s="2406">
        <f t="shared" si="201"/>
        <v>0</v>
      </c>
      <c r="I456" s="2406">
        <f t="shared" si="201"/>
        <v>0</v>
      </c>
      <c r="J456" s="2406">
        <f t="shared" si="201"/>
        <v>0</v>
      </c>
      <c r="K456" s="2406">
        <f t="shared" si="201"/>
        <v>0</v>
      </c>
      <c r="L456" s="2406">
        <f t="shared" si="201"/>
        <v>0</v>
      </c>
      <c r="M456" s="2406">
        <f t="shared" si="201"/>
        <v>0</v>
      </c>
      <c r="N456" s="2406">
        <f t="shared" si="201"/>
        <v>0</v>
      </c>
      <c r="O456" s="2406">
        <f t="shared" si="201"/>
        <v>0</v>
      </c>
      <c r="P456" s="2406">
        <f t="shared" si="201"/>
        <v>0</v>
      </c>
      <c r="Q456" s="2396">
        <f>SUM(E456:P456)</f>
        <v>0</v>
      </c>
      <c r="R456" s="2396">
        <f>Q456-D456</f>
        <v>-13870510900</v>
      </c>
      <c r="S456" s="2396">
        <f>Q456/D456*100</f>
        <v>0</v>
      </c>
    </row>
    <row r="457" spans="1:19" s="2074" customFormat="1">
      <c r="A457" s="2628" t="s">
        <v>264</v>
      </c>
      <c r="B457" s="2751" t="s">
        <v>266</v>
      </c>
      <c r="C457" s="2290"/>
      <c r="D457" s="1961">
        <f t="shared" ref="D457:P457" si="202">D458+D461+D482</f>
        <v>13870510900</v>
      </c>
      <c r="E457" s="1961">
        <f t="shared" si="202"/>
        <v>0</v>
      </c>
      <c r="F457" s="1961">
        <f t="shared" si="202"/>
        <v>0</v>
      </c>
      <c r="G457" s="1961">
        <f t="shared" si="202"/>
        <v>0</v>
      </c>
      <c r="H457" s="1961">
        <f t="shared" si="202"/>
        <v>0</v>
      </c>
      <c r="I457" s="1961">
        <f t="shared" si="202"/>
        <v>0</v>
      </c>
      <c r="J457" s="1961">
        <f t="shared" si="202"/>
        <v>0</v>
      </c>
      <c r="K457" s="1961">
        <f t="shared" si="202"/>
        <v>0</v>
      </c>
      <c r="L457" s="1961">
        <f t="shared" si="202"/>
        <v>0</v>
      </c>
      <c r="M457" s="1961">
        <f t="shared" si="202"/>
        <v>0</v>
      </c>
      <c r="N457" s="1961">
        <f t="shared" si="202"/>
        <v>0</v>
      </c>
      <c r="O457" s="1961">
        <f t="shared" si="202"/>
        <v>0</v>
      </c>
      <c r="P457" s="1961">
        <f t="shared" si="202"/>
        <v>0</v>
      </c>
      <c r="Q457" s="2161">
        <f t="shared" ref="Q457:Q488" si="203">SUM(E457:P457)</f>
        <v>0</v>
      </c>
      <c r="R457" s="1891">
        <f t="shared" ref="R457:S488" si="204">Q457-D457</f>
        <v>-13870510900</v>
      </c>
      <c r="S457" s="1891">
        <f>Q457/D457*100</f>
        <v>0</v>
      </c>
    </row>
    <row r="458" spans="1:19" s="2074" customFormat="1">
      <c r="A458" s="2623" t="s">
        <v>205</v>
      </c>
      <c r="B458" s="2748" t="s">
        <v>267</v>
      </c>
      <c r="C458" s="2208"/>
      <c r="D458" s="2420">
        <f t="shared" ref="D458:P458" si="205">SUM(D459)</f>
        <v>0</v>
      </c>
      <c r="E458" s="2420">
        <f t="shared" si="205"/>
        <v>0</v>
      </c>
      <c r="F458" s="2420">
        <f t="shared" si="205"/>
        <v>0</v>
      </c>
      <c r="G458" s="2420">
        <f t="shared" si="205"/>
        <v>0</v>
      </c>
      <c r="H458" s="2420">
        <f t="shared" si="205"/>
        <v>0</v>
      </c>
      <c r="I458" s="2420">
        <f t="shared" si="205"/>
        <v>0</v>
      </c>
      <c r="J458" s="2420">
        <f t="shared" si="205"/>
        <v>0</v>
      </c>
      <c r="K458" s="2420">
        <f t="shared" si="205"/>
        <v>0</v>
      </c>
      <c r="L458" s="2420">
        <f t="shared" si="205"/>
        <v>0</v>
      </c>
      <c r="M458" s="2420">
        <f t="shared" si="205"/>
        <v>0</v>
      </c>
      <c r="N458" s="2420">
        <f t="shared" si="205"/>
        <v>0</v>
      </c>
      <c r="O458" s="2420">
        <f t="shared" si="205"/>
        <v>0</v>
      </c>
      <c r="P458" s="2420">
        <f t="shared" si="205"/>
        <v>0</v>
      </c>
      <c r="Q458" s="2161">
        <f t="shared" si="203"/>
        <v>0</v>
      </c>
      <c r="R458" s="1891">
        <f t="shared" si="204"/>
        <v>0</v>
      </c>
      <c r="S458" s="1891">
        <v>0</v>
      </c>
    </row>
    <row r="459" spans="1:19" s="2070" customFormat="1">
      <c r="A459" s="2623"/>
      <c r="B459" s="2748" t="s">
        <v>50</v>
      </c>
      <c r="C459" s="1903" t="s">
        <v>268</v>
      </c>
      <c r="D459" s="1964">
        <f>TARGET!D454</f>
        <v>0</v>
      </c>
      <c r="E459" s="2592">
        <v>0</v>
      </c>
      <c r="F459" s="2592">
        <v>0</v>
      </c>
      <c r="G459" s="2592">
        <v>0</v>
      </c>
      <c r="H459" s="2592">
        <v>0</v>
      </c>
      <c r="I459" s="2592">
        <v>0</v>
      </c>
      <c r="J459" s="2592">
        <v>0</v>
      </c>
      <c r="K459" s="2592">
        <v>0</v>
      </c>
      <c r="L459" s="2592">
        <v>0</v>
      </c>
      <c r="M459" s="2592">
        <v>0</v>
      </c>
      <c r="N459" s="2592">
        <v>0</v>
      </c>
      <c r="O459" s="2592">
        <v>0</v>
      </c>
      <c r="P459" s="2592">
        <v>0</v>
      </c>
      <c r="Q459" s="2161">
        <f t="shared" si="203"/>
        <v>0</v>
      </c>
      <c r="R459" s="1891">
        <f t="shared" si="204"/>
        <v>0</v>
      </c>
      <c r="S459" s="1891">
        <v>0</v>
      </c>
    </row>
    <row r="460" spans="1:19" s="2070" customFormat="1" ht="6.75" customHeight="1">
      <c r="A460" s="2623"/>
      <c r="B460" s="2208"/>
      <c r="C460" s="1903"/>
      <c r="D460" s="2421"/>
      <c r="E460" s="2421"/>
      <c r="F460" s="2421"/>
      <c r="G460" s="2421"/>
      <c r="H460" s="2421"/>
      <c r="I460" s="2421"/>
      <c r="J460" s="2421"/>
      <c r="K460" s="2421"/>
      <c r="L460" s="2421"/>
      <c r="M460" s="2421"/>
      <c r="N460" s="2421"/>
      <c r="O460" s="2421"/>
      <c r="P460" s="2421"/>
      <c r="Q460" s="2161">
        <f t="shared" si="203"/>
        <v>0</v>
      </c>
      <c r="R460" s="1891">
        <f t="shared" si="204"/>
        <v>0</v>
      </c>
      <c r="S460" s="1891">
        <f t="shared" si="204"/>
        <v>0</v>
      </c>
    </row>
    <row r="461" spans="1:19" s="2074" customFormat="1" ht="15.05">
      <c r="A461" s="2623" t="s">
        <v>205</v>
      </c>
      <c r="B461" s="2748" t="s">
        <v>269</v>
      </c>
      <c r="C461" s="2208"/>
      <c r="D461" s="2422">
        <f t="shared" ref="D461:P461" si="206">SUM(D462)</f>
        <v>10177085900</v>
      </c>
      <c r="E461" s="2423">
        <f t="shared" si="206"/>
        <v>0</v>
      </c>
      <c r="F461" s="2423">
        <f t="shared" si="206"/>
        <v>0</v>
      </c>
      <c r="G461" s="2423">
        <f t="shared" si="206"/>
        <v>0</v>
      </c>
      <c r="H461" s="2423">
        <f t="shared" si="206"/>
        <v>0</v>
      </c>
      <c r="I461" s="2423">
        <f t="shared" si="206"/>
        <v>0</v>
      </c>
      <c r="J461" s="2423">
        <f t="shared" si="206"/>
        <v>0</v>
      </c>
      <c r="K461" s="2423">
        <f t="shared" si="206"/>
        <v>0</v>
      </c>
      <c r="L461" s="2423">
        <f t="shared" si="206"/>
        <v>0</v>
      </c>
      <c r="M461" s="2423">
        <f t="shared" si="206"/>
        <v>0</v>
      </c>
      <c r="N461" s="2423">
        <f t="shared" si="206"/>
        <v>0</v>
      </c>
      <c r="O461" s="2423">
        <f t="shared" si="206"/>
        <v>0</v>
      </c>
      <c r="P461" s="2423">
        <f t="shared" si="206"/>
        <v>0</v>
      </c>
      <c r="Q461" s="2156">
        <f t="shared" si="203"/>
        <v>0</v>
      </c>
      <c r="R461" s="1749">
        <f t="shared" si="204"/>
        <v>-10177085900</v>
      </c>
      <c r="S461" s="1891">
        <f t="shared" ref="S461:S480" si="207">Q461/D461*100</f>
        <v>0</v>
      </c>
    </row>
    <row r="462" spans="1:19" s="2070" customFormat="1">
      <c r="A462" s="2623"/>
      <c r="B462" s="2749" t="s">
        <v>270</v>
      </c>
      <c r="C462" s="1903"/>
      <c r="D462" s="2421">
        <f t="shared" ref="D462:P462" si="208">D463+D464+D466+D471+D475+D476+D477+D480</f>
        <v>10177085900</v>
      </c>
      <c r="E462" s="2421">
        <f t="shared" si="208"/>
        <v>0</v>
      </c>
      <c r="F462" s="2421">
        <f t="shared" si="208"/>
        <v>0</v>
      </c>
      <c r="G462" s="2421">
        <f t="shared" si="208"/>
        <v>0</v>
      </c>
      <c r="H462" s="2421">
        <f t="shared" si="208"/>
        <v>0</v>
      </c>
      <c r="I462" s="2421">
        <f t="shared" si="208"/>
        <v>0</v>
      </c>
      <c r="J462" s="2421">
        <f t="shared" si="208"/>
        <v>0</v>
      </c>
      <c r="K462" s="2421">
        <f t="shared" si="208"/>
        <v>0</v>
      </c>
      <c r="L462" s="2421">
        <f t="shared" si="208"/>
        <v>0</v>
      </c>
      <c r="M462" s="2421">
        <f t="shared" si="208"/>
        <v>0</v>
      </c>
      <c r="N462" s="2421">
        <f t="shared" si="208"/>
        <v>0</v>
      </c>
      <c r="O462" s="2421">
        <f t="shared" si="208"/>
        <v>0</v>
      </c>
      <c r="P462" s="2421">
        <f t="shared" si="208"/>
        <v>0</v>
      </c>
      <c r="Q462" s="2161">
        <f t="shared" si="203"/>
        <v>0</v>
      </c>
      <c r="R462" s="1891">
        <f t="shared" si="204"/>
        <v>-10177085900</v>
      </c>
      <c r="S462" s="1891">
        <f t="shared" si="207"/>
        <v>0</v>
      </c>
    </row>
    <row r="463" spans="1:19" s="2070" customFormat="1">
      <c r="A463" s="2623"/>
      <c r="B463" s="2749" t="s">
        <v>50</v>
      </c>
      <c r="C463" s="2208" t="s">
        <v>223</v>
      </c>
      <c r="D463" s="1964">
        <f>TARGET!D458</f>
        <v>3291945800</v>
      </c>
      <c r="E463" s="2592">
        <v>0</v>
      </c>
      <c r="F463" s="2592">
        <v>0</v>
      </c>
      <c r="G463" s="2592">
        <v>0</v>
      </c>
      <c r="H463" s="2592">
        <v>0</v>
      </c>
      <c r="I463" s="2592">
        <v>0</v>
      </c>
      <c r="J463" s="2592">
        <v>0</v>
      </c>
      <c r="K463" s="2592">
        <v>0</v>
      </c>
      <c r="L463" s="2592">
        <v>0</v>
      </c>
      <c r="M463" s="2592">
        <v>0</v>
      </c>
      <c r="N463" s="2592">
        <v>0</v>
      </c>
      <c r="O463" s="2592">
        <v>0</v>
      </c>
      <c r="P463" s="2592">
        <v>0</v>
      </c>
      <c r="Q463" s="2161">
        <f t="shared" si="203"/>
        <v>0</v>
      </c>
      <c r="R463" s="1891">
        <f t="shared" si="204"/>
        <v>-3291945800</v>
      </c>
      <c r="S463" s="1891">
        <f t="shared" si="207"/>
        <v>0</v>
      </c>
    </row>
    <row r="464" spans="1:19" s="2070" customFormat="1" ht="15.05">
      <c r="A464" s="2623"/>
      <c r="B464" s="2748" t="s">
        <v>50</v>
      </c>
      <c r="C464" s="2208" t="s">
        <v>271</v>
      </c>
      <c r="D464" s="1962">
        <f t="shared" ref="D464:P464" si="209">D465</f>
        <v>51419400</v>
      </c>
      <c r="E464" s="1962">
        <f t="shared" si="209"/>
        <v>0</v>
      </c>
      <c r="F464" s="1962">
        <f t="shared" si="209"/>
        <v>0</v>
      </c>
      <c r="G464" s="1962">
        <f t="shared" si="209"/>
        <v>0</v>
      </c>
      <c r="H464" s="1962">
        <f t="shared" si="209"/>
        <v>0</v>
      </c>
      <c r="I464" s="1962">
        <f t="shared" si="209"/>
        <v>0</v>
      </c>
      <c r="J464" s="1962">
        <f t="shared" si="209"/>
        <v>0</v>
      </c>
      <c r="K464" s="1962">
        <f t="shared" si="209"/>
        <v>0</v>
      </c>
      <c r="L464" s="1962">
        <f t="shared" si="209"/>
        <v>0</v>
      </c>
      <c r="M464" s="1962">
        <f t="shared" si="209"/>
        <v>0</v>
      </c>
      <c r="N464" s="1962">
        <f t="shared" si="209"/>
        <v>0</v>
      </c>
      <c r="O464" s="1962">
        <f t="shared" si="209"/>
        <v>0</v>
      </c>
      <c r="P464" s="1962">
        <f t="shared" si="209"/>
        <v>0</v>
      </c>
      <c r="Q464" s="2156">
        <f t="shared" si="203"/>
        <v>0</v>
      </c>
      <c r="R464" s="1749">
        <f t="shared" si="204"/>
        <v>-51419400</v>
      </c>
      <c r="S464" s="1891">
        <f t="shared" si="207"/>
        <v>0</v>
      </c>
    </row>
    <row r="465" spans="1:19" s="2070" customFormat="1">
      <c r="A465" s="2623"/>
      <c r="B465" s="2208"/>
      <c r="C465" s="1903" t="s">
        <v>272</v>
      </c>
      <c r="D465" s="1964">
        <f>TARGET!D460</f>
        <v>51419400</v>
      </c>
      <c r="E465" s="2592">
        <v>0</v>
      </c>
      <c r="F465" s="2592">
        <v>0</v>
      </c>
      <c r="G465" s="2592">
        <v>0</v>
      </c>
      <c r="H465" s="2592">
        <v>0</v>
      </c>
      <c r="I465" s="2592">
        <v>0</v>
      </c>
      <c r="J465" s="2592">
        <v>0</v>
      </c>
      <c r="K465" s="2592">
        <v>0</v>
      </c>
      <c r="L465" s="2592">
        <v>0</v>
      </c>
      <c r="M465" s="2592">
        <v>0</v>
      </c>
      <c r="N465" s="2592">
        <v>0</v>
      </c>
      <c r="O465" s="2592">
        <v>0</v>
      </c>
      <c r="P465" s="2592">
        <v>0</v>
      </c>
      <c r="Q465" s="2161">
        <f t="shared" si="203"/>
        <v>0</v>
      </c>
      <c r="R465" s="1891">
        <f t="shared" si="204"/>
        <v>-51419400</v>
      </c>
      <c r="S465" s="1891">
        <f t="shared" si="207"/>
        <v>0</v>
      </c>
    </row>
    <row r="466" spans="1:19" s="2070" customFormat="1" ht="15.05">
      <c r="A466" s="2623"/>
      <c r="B466" s="2748" t="s">
        <v>50</v>
      </c>
      <c r="C466" s="2208" t="s">
        <v>273</v>
      </c>
      <c r="D466" s="1962">
        <f t="shared" ref="D466:P466" si="210">SUM(D467:D470)</f>
        <v>335291000</v>
      </c>
      <c r="E466" s="1962">
        <f t="shared" si="210"/>
        <v>0</v>
      </c>
      <c r="F466" s="1962">
        <f t="shared" si="210"/>
        <v>0</v>
      </c>
      <c r="G466" s="1962">
        <f t="shared" si="210"/>
        <v>0</v>
      </c>
      <c r="H466" s="1962">
        <f t="shared" si="210"/>
        <v>0</v>
      </c>
      <c r="I466" s="1962">
        <f t="shared" si="210"/>
        <v>0</v>
      </c>
      <c r="J466" s="1962">
        <f t="shared" si="210"/>
        <v>0</v>
      </c>
      <c r="K466" s="1962">
        <f t="shared" si="210"/>
        <v>0</v>
      </c>
      <c r="L466" s="1962">
        <f t="shared" si="210"/>
        <v>0</v>
      </c>
      <c r="M466" s="1962">
        <f t="shared" si="210"/>
        <v>0</v>
      </c>
      <c r="N466" s="1962">
        <f t="shared" si="210"/>
        <v>0</v>
      </c>
      <c r="O466" s="1962">
        <f t="shared" si="210"/>
        <v>0</v>
      </c>
      <c r="P466" s="1962">
        <f t="shared" si="210"/>
        <v>0</v>
      </c>
      <c r="Q466" s="2156">
        <f t="shared" si="203"/>
        <v>0</v>
      </c>
      <c r="R466" s="1749">
        <f t="shared" si="204"/>
        <v>-335291000</v>
      </c>
      <c r="S466" s="1891">
        <f t="shared" si="207"/>
        <v>0</v>
      </c>
    </row>
    <row r="467" spans="1:19" s="2070" customFormat="1">
      <c r="A467" s="2623"/>
      <c r="B467" s="2208"/>
      <c r="C467" s="1903" t="s">
        <v>274</v>
      </c>
      <c r="D467" s="1964">
        <f>TARGET!D462</f>
        <v>55355000</v>
      </c>
      <c r="E467" s="2592">
        <v>0</v>
      </c>
      <c r="F467" s="2592">
        <v>0</v>
      </c>
      <c r="G467" s="2592">
        <v>0</v>
      </c>
      <c r="H467" s="2592">
        <v>0</v>
      </c>
      <c r="I467" s="2592">
        <v>0</v>
      </c>
      <c r="J467" s="2592">
        <v>0</v>
      </c>
      <c r="K467" s="2592">
        <v>0</v>
      </c>
      <c r="L467" s="2592">
        <v>0</v>
      </c>
      <c r="M467" s="2592">
        <v>0</v>
      </c>
      <c r="N467" s="2592">
        <v>0</v>
      </c>
      <c r="O467" s="2592">
        <v>0</v>
      </c>
      <c r="P467" s="2592">
        <v>0</v>
      </c>
      <c r="Q467" s="2161">
        <f t="shared" si="203"/>
        <v>0</v>
      </c>
      <c r="R467" s="1891">
        <f t="shared" si="204"/>
        <v>-55355000</v>
      </c>
      <c r="S467" s="1891">
        <f t="shared" si="207"/>
        <v>0</v>
      </c>
    </row>
    <row r="468" spans="1:19" s="2070" customFormat="1">
      <c r="A468" s="2623"/>
      <c r="B468" s="2208"/>
      <c r="C468" s="1903" t="s">
        <v>138</v>
      </c>
      <c r="D468" s="1964">
        <f>TARGET!D463</f>
        <v>57136000</v>
      </c>
      <c r="E468" s="2592">
        <v>0</v>
      </c>
      <c r="F468" s="2592">
        <v>0</v>
      </c>
      <c r="G468" s="2592">
        <v>0</v>
      </c>
      <c r="H468" s="2592">
        <v>0</v>
      </c>
      <c r="I468" s="2592">
        <v>0</v>
      </c>
      <c r="J468" s="2592">
        <v>0</v>
      </c>
      <c r="K468" s="2592">
        <v>0</v>
      </c>
      <c r="L468" s="2592">
        <v>0</v>
      </c>
      <c r="M468" s="2592">
        <v>0</v>
      </c>
      <c r="N468" s="2592">
        <v>0</v>
      </c>
      <c r="O468" s="2592">
        <v>0</v>
      </c>
      <c r="P468" s="2592">
        <v>0</v>
      </c>
      <c r="Q468" s="2161">
        <f t="shared" si="203"/>
        <v>0</v>
      </c>
      <c r="R468" s="1891">
        <f t="shared" si="204"/>
        <v>-57136000</v>
      </c>
      <c r="S468" s="1891">
        <f t="shared" si="207"/>
        <v>0</v>
      </c>
    </row>
    <row r="469" spans="1:19" s="2070" customFormat="1">
      <c r="A469" s="2623"/>
      <c r="B469" s="2208"/>
      <c r="C469" s="1903" t="s">
        <v>275</v>
      </c>
      <c r="D469" s="1964">
        <f>TARGET!D464</f>
        <v>24760000</v>
      </c>
      <c r="E469" s="2592">
        <v>0</v>
      </c>
      <c r="F469" s="2592">
        <v>0</v>
      </c>
      <c r="G469" s="2592">
        <v>0</v>
      </c>
      <c r="H469" s="2592">
        <v>0</v>
      </c>
      <c r="I469" s="2592">
        <v>0</v>
      </c>
      <c r="J469" s="2592">
        <v>0</v>
      </c>
      <c r="K469" s="2592">
        <v>0</v>
      </c>
      <c r="L469" s="2592">
        <v>0</v>
      </c>
      <c r="M469" s="2592">
        <v>0</v>
      </c>
      <c r="N469" s="2592">
        <v>0</v>
      </c>
      <c r="O469" s="2592">
        <v>0</v>
      </c>
      <c r="P469" s="2592">
        <v>0</v>
      </c>
      <c r="Q469" s="2161">
        <f t="shared" si="203"/>
        <v>0</v>
      </c>
      <c r="R469" s="1891">
        <f t="shared" si="204"/>
        <v>-24760000</v>
      </c>
      <c r="S469" s="1891">
        <f t="shared" si="207"/>
        <v>0</v>
      </c>
    </row>
    <row r="470" spans="1:19" s="2070" customFormat="1">
      <c r="A470" s="2623"/>
      <c r="B470" s="2208"/>
      <c r="C470" s="1903" t="s">
        <v>140</v>
      </c>
      <c r="D470" s="1964">
        <f>TARGET!D465</f>
        <v>198040000</v>
      </c>
      <c r="E470" s="2592">
        <v>0</v>
      </c>
      <c r="F470" s="2592">
        <v>0</v>
      </c>
      <c r="G470" s="2592">
        <v>0</v>
      </c>
      <c r="H470" s="2592">
        <v>0</v>
      </c>
      <c r="I470" s="2592">
        <v>0</v>
      </c>
      <c r="J470" s="2592">
        <v>0</v>
      </c>
      <c r="K470" s="2592">
        <v>0</v>
      </c>
      <c r="L470" s="2592">
        <v>0</v>
      </c>
      <c r="M470" s="2592">
        <v>0</v>
      </c>
      <c r="N470" s="2592">
        <v>0</v>
      </c>
      <c r="O470" s="2592">
        <v>0</v>
      </c>
      <c r="P470" s="2592">
        <v>0</v>
      </c>
      <c r="Q470" s="2161">
        <f t="shared" si="203"/>
        <v>0</v>
      </c>
      <c r="R470" s="1891">
        <f t="shared" si="204"/>
        <v>-198040000</v>
      </c>
      <c r="S470" s="1891">
        <f t="shared" si="207"/>
        <v>0</v>
      </c>
    </row>
    <row r="471" spans="1:19" s="2070" customFormat="1" ht="15.05">
      <c r="A471" s="2623"/>
      <c r="B471" s="2749" t="s">
        <v>50</v>
      </c>
      <c r="C471" s="2208" t="s">
        <v>224</v>
      </c>
      <c r="D471" s="1962">
        <f t="shared" ref="D471:P471" si="211">SUM(D472:D474)</f>
        <v>400714300</v>
      </c>
      <c r="E471" s="1962">
        <f t="shared" si="211"/>
        <v>0</v>
      </c>
      <c r="F471" s="1962">
        <f t="shared" si="211"/>
        <v>0</v>
      </c>
      <c r="G471" s="1962">
        <f t="shared" si="211"/>
        <v>0</v>
      </c>
      <c r="H471" s="1962">
        <f t="shared" si="211"/>
        <v>0</v>
      </c>
      <c r="I471" s="1962">
        <f t="shared" si="211"/>
        <v>0</v>
      </c>
      <c r="J471" s="1962">
        <f t="shared" si="211"/>
        <v>0</v>
      </c>
      <c r="K471" s="1962">
        <f t="shared" si="211"/>
        <v>0</v>
      </c>
      <c r="L471" s="1962">
        <f t="shared" si="211"/>
        <v>0</v>
      </c>
      <c r="M471" s="1962">
        <f t="shared" si="211"/>
        <v>0</v>
      </c>
      <c r="N471" s="1962">
        <f t="shared" si="211"/>
        <v>0</v>
      </c>
      <c r="O471" s="1962">
        <f t="shared" si="211"/>
        <v>0</v>
      </c>
      <c r="P471" s="1962">
        <f t="shared" si="211"/>
        <v>0</v>
      </c>
      <c r="Q471" s="2156">
        <f t="shared" si="203"/>
        <v>0</v>
      </c>
      <c r="R471" s="1749">
        <f t="shared" si="204"/>
        <v>-400714300</v>
      </c>
      <c r="S471" s="1891">
        <f t="shared" si="207"/>
        <v>0</v>
      </c>
    </row>
    <row r="472" spans="1:19" s="2070" customFormat="1">
      <c r="A472" s="2623"/>
      <c r="B472" s="2208"/>
      <c r="C472" s="2749" t="s">
        <v>276</v>
      </c>
      <c r="D472" s="1964">
        <f>TARGET!D467</f>
        <v>63698000</v>
      </c>
      <c r="E472" s="2592">
        <v>0</v>
      </c>
      <c r="F472" s="2592">
        <v>0</v>
      </c>
      <c r="G472" s="2592">
        <v>0</v>
      </c>
      <c r="H472" s="2592">
        <v>0</v>
      </c>
      <c r="I472" s="2592">
        <v>0</v>
      </c>
      <c r="J472" s="2592">
        <v>0</v>
      </c>
      <c r="K472" s="2592">
        <v>0</v>
      </c>
      <c r="L472" s="2592">
        <v>0</v>
      </c>
      <c r="M472" s="2592">
        <v>0</v>
      </c>
      <c r="N472" s="2592">
        <v>0</v>
      </c>
      <c r="O472" s="2592">
        <v>0</v>
      </c>
      <c r="P472" s="2592">
        <v>0</v>
      </c>
      <c r="Q472" s="2161">
        <f t="shared" si="203"/>
        <v>0</v>
      </c>
      <c r="R472" s="1891">
        <f t="shared" si="204"/>
        <v>-63698000</v>
      </c>
      <c r="S472" s="1891">
        <f t="shared" si="207"/>
        <v>0</v>
      </c>
    </row>
    <row r="473" spans="1:19" s="2070" customFormat="1">
      <c r="A473" s="2623"/>
      <c r="B473" s="2208"/>
      <c r="C473" s="2749" t="s">
        <v>277</v>
      </c>
      <c r="D473" s="1964">
        <f>TARGET!D468</f>
        <v>285233000</v>
      </c>
      <c r="E473" s="2592">
        <v>0</v>
      </c>
      <c r="F473" s="2592">
        <v>0</v>
      </c>
      <c r="G473" s="2592">
        <v>0</v>
      </c>
      <c r="H473" s="2592">
        <v>0</v>
      </c>
      <c r="I473" s="2592">
        <v>0</v>
      </c>
      <c r="J473" s="2592">
        <v>0</v>
      </c>
      <c r="K473" s="2592">
        <v>0</v>
      </c>
      <c r="L473" s="2592">
        <v>0</v>
      </c>
      <c r="M473" s="2592">
        <v>0</v>
      </c>
      <c r="N473" s="2592">
        <v>0</v>
      </c>
      <c r="O473" s="2592">
        <v>0</v>
      </c>
      <c r="P473" s="2592">
        <v>0</v>
      </c>
      <c r="Q473" s="2161">
        <f t="shared" si="203"/>
        <v>0</v>
      </c>
      <c r="R473" s="1891">
        <f t="shared" si="204"/>
        <v>-285233000</v>
      </c>
      <c r="S473" s="1891">
        <f t="shared" si="207"/>
        <v>0</v>
      </c>
    </row>
    <row r="474" spans="1:19" s="2070" customFormat="1">
      <c r="A474" s="2623"/>
      <c r="B474" s="2208"/>
      <c r="C474" s="2749" t="s">
        <v>278</v>
      </c>
      <c r="D474" s="1964">
        <f>TARGET!D469</f>
        <v>51783300</v>
      </c>
      <c r="E474" s="2592">
        <v>0</v>
      </c>
      <c r="F474" s="2592">
        <v>0</v>
      </c>
      <c r="G474" s="2592">
        <v>0</v>
      </c>
      <c r="H474" s="2592">
        <v>0</v>
      </c>
      <c r="I474" s="2592">
        <v>0</v>
      </c>
      <c r="J474" s="2592">
        <v>0</v>
      </c>
      <c r="K474" s="2592">
        <v>0</v>
      </c>
      <c r="L474" s="2592">
        <v>0</v>
      </c>
      <c r="M474" s="2592">
        <v>0</v>
      </c>
      <c r="N474" s="2592">
        <v>0</v>
      </c>
      <c r="O474" s="2592">
        <v>0</v>
      </c>
      <c r="P474" s="2592">
        <v>0</v>
      </c>
      <c r="Q474" s="2161">
        <f t="shared" si="203"/>
        <v>0</v>
      </c>
      <c r="R474" s="1891">
        <f t="shared" si="204"/>
        <v>-51783300</v>
      </c>
      <c r="S474" s="1891">
        <f t="shared" si="207"/>
        <v>0</v>
      </c>
    </row>
    <row r="475" spans="1:19" s="2070" customFormat="1">
      <c r="A475" s="2623"/>
      <c r="B475" s="2748" t="s">
        <v>50</v>
      </c>
      <c r="C475" s="2208" t="s">
        <v>279</v>
      </c>
      <c r="D475" s="1964">
        <f>TARGET!D470</f>
        <v>25741600</v>
      </c>
      <c r="E475" s="2592">
        <v>0</v>
      </c>
      <c r="F475" s="2592">
        <v>0</v>
      </c>
      <c r="G475" s="2592">
        <v>0</v>
      </c>
      <c r="H475" s="2592">
        <v>0</v>
      </c>
      <c r="I475" s="2592">
        <v>0</v>
      </c>
      <c r="J475" s="2592">
        <v>0</v>
      </c>
      <c r="K475" s="2592">
        <v>0</v>
      </c>
      <c r="L475" s="2592">
        <v>0</v>
      </c>
      <c r="M475" s="2592">
        <v>0</v>
      </c>
      <c r="N475" s="2592">
        <v>0</v>
      </c>
      <c r="O475" s="2592">
        <v>0</v>
      </c>
      <c r="P475" s="2592">
        <v>0</v>
      </c>
      <c r="Q475" s="2161">
        <f t="shared" si="203"/>
        <v>0</v>
      </c>
      <c r="R475" s="1891">
        <f t="shared" si="204"/>
        <v>-25741600</v>
      </c>
      <c r="S475" s="1891">
        <f t="shared" si="207"/>
        <v>0</v>
      </c>
    </row>
    <row r="476" spans="1:19" s="2070" customFormat="1">
      <c r="A476" s="2623"/>
      <c r="B476" s="2748" t="s">
        <v>50</v>
      </c>
      <c r="C476" s="2208" t="s">
        <v>280</v>
      </c>
      <c r="D476" s="1964">
        <f>TARGET!D471</f>
        <v>1100000</v>
      </c>
      <c r="E476" s="2592">
        <v>0</v>
      </c>
      <c r="F476" s="2592">
        <v>0</v>
      </c>
      <c r="G476" s="2592">
        <v>0</v>
      </c>
      <c r="H476" s="2592">
        <v>0</v>
      </c>
      <c r="I476" s="2592">
        <v>0</v>
      </c>
      <c r="J476" s="2592">
        <v>0</v>
      </c>
      <c r="K476" s="2592">
        <v>0</v>
      </c>
      <c r="L476" s="2592">
        <v>0</v>
      </c>
      <c r="M476" s="2592">
        <v>0</v>
      </c>
      <c r="N476" s="2592">
        <v>0</v>
      </c>
      <c r="O476" s="2592">
        <v>0</v>
      </c>
      <c r="P476" s="2592">
        <v>0</v>
      </c>
      <c r="Q476" s="2161">
        <f t="shared" si="203"/>
        <v>0</v>
      </c>
      <c r="R476" s="1891">
        <f t="shared" si="204"/>
        <v>-1100000</v>
      </c>
      <c r="S476" s="1891">
        <f t="shared" si="207"/>
        <v>0</v>
      </c>
    </row>
    <row r="477" spans="1:19" s="2070" customFormat="1" ht="15.05">
      <c r="A477" s="2623"/>
      <c r="B477" s="2748" t="s">
        <v>50</v>
      </c>
      <c r="C477" s="2208" t="s">
        <v>281</v>
      </c>
      <c r="D477" s="1962">
        <f t="shared" ref="D477:P477" si="212">SUM(D478:D479)</f>
        <v>4562382400</v>
      </c>
      <c r="E477" s="1962">
        <f t="shared" si="212"/>
        <v>0</v>
      </c>
      <c r="F477" s="1962">
        <f t="shared" si="212"/>
        <v>0</v>
      </c>
      <c r="G477" s="1962">
        <f t="shared" si="212"/>
        <v>0</v>
      </c>
      <c r="H477" s="1962">
        <f t="shared" si="212"/>
        <v>0</v>
      </c>
      <c r="I477" s="1962">
        <f t="shared" si="212"/>
        <v>0</v>
      </c>
      <c r="J477" s="1962">
        <f t="shared" si="212"/>
        <v>0</v>
      </c>
      <c r="K477" s="1962">
        <f t="shared" si="212"/>
        <v>0</v>
      </c>
      <c r="L477" s="1962">
        <f t="shared" si="212"/>
        <v>0</v>
      </c>
      <c r="M477" s="1962">
        <f t="shared" si="212"/>
        <v>0</v>
      </c>
      <c r="N477" s="1962">
        <f t="shared" si="212"/>
        <v>0</v>
      </c>
      <c r="O477" s="1962">
        <f t="shared" si="212"/>
        <v>0</v>
      </c>
      <c r="P477" s="1962">
        <f t="shared" si="212"/>
        <v>0</v>
      </c>
      <c r="Q477" s="2156">
        <f t="shared" si="203"/>
        <v>0</v>
      </c>
      <c r="R477" s="1749">
        <f t="shared" si="204"/>
        <v>-4562382400</v>
      </c>
      <c r="S477" s="1891">
        <f t="shared" si="207"/>
        <v>0</v>
      </c>
    </row>
    <row r="478" spans="1:19" s="2070" customFormat="1">
      <c r="A478" s="2623"/>
      <c r="B478" s="2208"/>
      <c r="C478" s="2749" t="s">
        <v>282</v>
      </c>
      <c r="D478" s="1964">
        <f>TARGET!D473</f>
        <v>1439364000</v>
      </c>
      <c r="E478" s="2592">
        <v>0</v>
      </c>
      <c r="F478" s="2592">
        <v>0</v>
      </c>
      <c r="G478" s="2592">
        <v>0</v>
      </c>
      <c r="H478" s="2592">
        <v>0</v>
      </c>
      <c r="I478" s="2592">
        <v>0</v>
      </c>
      <c r="J478" s="2592">
        <v>0</v>
      </c>
      <c r="K478" s="2592">
        <v>0</v>
      </c>
      <c r="L478" s="2592">
        <v>0</v>
      </c>
      <c r="M478" s="2592">
        <v>0</v>
      </c>
      <c r="N478" s="2592">
        <v>0</v>
      </c>
      <c r="O478" s="2592">
        <v>0</v>
      </c>
      <c r="P478" s="2592">
        <v>0</v>
      </c>
      <c r="Q478" s="2161">
        <f t="shared" si="203"/>
        <v>0</v>
      </c>
      <c r="R478" s="1891">
        <f t="shared" si="204"/>
        <v>-1439364000</v>
      </c>
      <c r="S478" s="1891">
        <f t="shared" si="207"/>
        <v>0</v>
      </c>
    </row>
    <row r="479" spans="1:19" s="2070" customFormat="1">
      <c r="A479" s="2623"/>
      <c r="B479" s="2208"/>
      <c r="C479" s="2749" t="s">
        <v>283</v>
      </c>
      <c r="D479" s="1964">
        <f>TARGET!D474</f>
        <v>3123018400</v>
      </c>
      <c r="E479" s="2592">
        <v>0</v>
      </c>
      <c r="F479" s="2592">
        <v>0</v>
      </c>
      <c r="G479" s="2592">
        <v>0</v>
      </c>
      <c r="H479" s="2592">
        <v>0</v>
      </c>
      <c r="I479" s="2592">
        <v>0</v>
      </c>
      <c r="J479" s="2592">
        <v>0</v>
      </c>
      <c r="K479" s="2592">
        <v>0</v>
      </c>
      <c r="L479" s="2592">
        <v>0</v>
      </c>
      <c r="M479" s="2592">
        <v>0</v>
      </c>
      <c r="N479" s="2592">
        <v>0</v>
      </c>
      <c r="O479" s="2592">
        <v>0</v>
      </c>
      <c r="P479" s="2592">
        <v>0</v>
      </c>
      <c r="Q479" s="2161">
        <f t="shared" si="203"/>
        <v>0</v>
      </c>
      <c r="R479" s="1891">
        <f t="shared" si="204"/>
        <v>-3123018400</v>
      </c>
      <c r="S479" s="1891">
        <f t="shared" si="207"/>
        <v>0</v>
      </c>
    </row>
    <row r="480" spans="1:19" s="2070" customFormat="1">
      <c r="A480" s="2623"/>
      <c r="B480" s="2748" t="s">
        <v>50</v>
      </c>
      <c r="C480" s="2208" t="s">
        <v>284</v>
      </c>
      <c r="D480" s="1964">
        <f>TARGET!D475</f>
        <v>1508491400</v>
      </c>
      <c r="E480" s="2592">
        <v>0</v>
      </c>
      <c r="F480" s="2592">
        <v>0</v>
      </c>
      <c r="G480" s="2592">
        <v>0</v>
      </c>
      <c r="H480" s="2592">
        <v>0</v>
      </c>
      <c r="I480" s="2592">
        <v>0</v>
      </c>
      <c r="J480" s="2592">
        <v>0</v>
      </c>
      <c r="K480" s="2592">
        <v>0</v>
      </c>
      <c r="L480" s="2592">
        <v>0</v>
      </c>
      <c r="M480" s="2592">
        <v>0</v>
      </c>
      <c r="N480" s="2592">
        <v>0</v>
      </c>
      <c r="O480" s="2592">
        <v>0</v>
      </c>
      <c r="P480" s="2592">
        <v>0</v>
      </c>
      <c r="Q480" s="2161">
        <f t="shared" si="203"/>
        <v>0</v>
      </c>
      <c r="R480" s="1891">
        <f t="shared" si="204"/>
        <v>-1508491400</v>
      </c>
      <c r="S480" s="1891">
        <f t="shared" si="207"/>
        <v>0</v>
      </c>
    </row>
    <row r="481" spans="1:19" s="2070" customFormat="1" ht="5.95" customHeight="1">
      <c r="A481" s="2623"/>
      <c r="B481" s="2208"/>
      <c r="C481" s="1903"/>
      <c r="D481" s="2421"/>
      <c r="E481" s="2421"/>
      <c r="F481" s="2421"/>
      <c r="G481" s="2421"/>
      <c r="H481" s="2421"/>
      <c r="I481" s="2421"/>
      <c r="J481" s="2421"/>
      <c r="K481" s="2421"/>
      <c r="L481" s="2421"/>
      <c r="M481" s="2421"/>
      <c r="N481" s="2421"/>
      <c r="O481" s="2421"/>
      <c r="P481" s="2421"/>
      <c r="Q481" s="2161">
        <f t="shared" si="203"/>
        <v>0</v>
      </c>
      <c r="R481" s="1891">
        <f t="shared" si="204"/>
        <v>0</v>
      </c>
      <c r="S481" s="1891">
        <f t="shared" si="204"/>
        <v>0</v>
      </c>
    </row>
    <row r="482" spans="1:19" s="2070" customFormat="1" ht="15.05">
      <c r="A482" s="2623" t="s">
        <v>205</v>
      </c>
      <c r="B482" s="2748" t="s">
        <v>285</v>
      </c>
      <c r="C482" s="1903"/>
      <c r="D482" s="1962">
        <f t="shared" ref="D482:P482" si="213">D483</f>
        <v>3693425000</v>
      </c>
      <c r="E482" s="1962">
        <f t="shared" si="213"/>
        <v>0</v>
      </c>
      <c r="F482" s="1962">
        <f t="shared" si="213"/>
        <v>0</v>
      </c>
      <c r="G482" s="1962">
        <f t="shared" si="213"/>
        <v>0</v>
      </c>
      <c r="H482" s="1962">
        <f t="shared" si="213"/>
        <v>0</v>
      </c>
      <c r="I482" s="1962">
        <f t="shared" si="213"/>
        <v>0</v>
      </c>
      <c r="J482" s="1962">
        <f t="shared" si="213"/>
        <v>0</v>
      </c>
      <c r="K482" s="1962">
        <f t="shared" si="213"/>
        <v>0</v>
      </c>
      <c r="L482" s="1962">
        <f t="shared" si="213"/>
        <v>0</v>
      </c>
      <c r="M482" s="1962">
        <f t="shared" si="213"/>
        <v>0</v>
      </c>
      <c r="N482" s="1962">
        <f t="shared" si="213"/>
        <v>0</v>
      </c>
      <c r="O482" s="1962">
        <f t="shared" si="213"/>
        <v>0</v>
      </c>
      <c r="P482" s="1962">
        <f t="shared" si="213"/>
        <v>0</v>
      </c>
      <c r="Q482" s="2156">
        <f t="shared" si="203"/>
        <v>0</v>
      </c>
      <c r="R482" s="1749">
        <f t="shared" si="204"/>
        <v>-3693425000</v>
      </c>
      <c r="S482" s="1891">
        <f>Q482/D482*100</f>
        <v>0</v>
      </c>
    </row>
    <row r="483" spans="1:19" s="2070" customFormat="1">
      <c r="A483" s="2623"/>
      <c r="B483" s="2749" t="s">
        <v>286</v>
      </c>
      <c r="C483" s="1903"/>
      <c r="D483" s="2421">
        <f t="shared" ref="D483:P483" si="214">D484+D487</f>
        <v>3693425000</v>
      </c>
      <c r="E483" s="2421">
        <f t="shared" si="214"/>
        <v>0</v>
      </c>
      <c r="F483" s="2421">
        <f t="shared" si="214"/>
        <v>0</v>
      </c>
      <c r="G483" s="2421">
        <f t="shared" si="214"/>
        <v>0</v>
      </c>
      <c r="H483" s="2421">
        <f t="shared" si="214"/>
        <v>0</v>
      </c>
      <c r="I483" s="2421">
        <f t="shared" si="214"/>
        <v>0</v>
      </c>
      <c r="J483" s="2421">
        <f t="shared" si="214"/>
        <v>0</v>
      </c>
      <c r="K483" s="2421">
        <f t="shared" si="214"/>
        <v>0</v>
      </c>
      <c r="L483" s="2421">
        <f t="shared" si="214"/>
        <v>0</v>
      </c>
      <c r="M483" s="2421">
        <f t="shared" si="214"/>
        <v>0</v>
      </c>
      <c r="N483" s="2421">
        <f t="shared" si="214"/>
        <v>0</v>
      </c>
      <c r="O483" s="2421">
        <f t="shared" si="214"/>
        <v>0</v>
      </c>
      <c r="P483" s="2421">
        <f t="shared" si="214"/>
        <v>0</v>
      </c>
      <c r="Q483" s="2161">
        <f t="shared" si="203"/>
        <v>0</v>
      </c>
      <c r="R483" s="1891">
        <f t="shared" si="204"/>
        <v>-3693425000</v>
      </c>
      <c r="S483" s="1891">
        <f>Q483/D483*100</f>
        <v>0</v>
      </c>
    </row>
    <row r="484" spans="1:19" s="2070" customFormat="1">
      <c r="A484" s="2623"/>
      <c r="B484" s="2748" t="s">
        <v>50</v>
      </c>
      <c r="C484" s="1903" t="s">
        <v>287</v>
      </c>
      <c r="D484" s="2421">
        <f t="shared" ref="D484:P484" si="215">D485+D486</f>
        <v>4625000</v>
      </c>
      <c r="E484" s="2421">
        <f t="shared" si="215"/>
        <v>0</v>
      </c>
      <c r="F484" s="2421">
        <f t="shared" si="215"/>
        <v>0</v>
      </c>
      <c r="G484" s="2421">
        <f t="shared" si="215"/>
        <v>0</v>
      </c>
      <c r="H484" s="2421">
        <f t="shared" si="215"/>
        <v>0</v>
      </c>
      <c r="I484" s="2421">
        <f t="shared" si="215"/>
        <v>0</v>
      </c>
      <c r="J484" s="2421">
        <f t="shared" si="215"/>
        <v>0</v>
      </c>
      <c r="K484" s="2421">
        <f t="shared" si="215"/>
        <v>0</v>
      </c>
      <c r="L484" s="2421">
        <f t="shared" si="215"/>
        <v>0</v>
      </c>
      <c r="M484" s="2421">
        <f t="shared" si="215"/>
        <v>0</v>
      </c>
      <c r="N484" s="2421">
        <f t="shared" si="215"/>
        <v>0</v>
      </c>
      <c r="O484" s="2421">
        <f t="shared" si="215"/>
        <v>0</v>
      </c>
      <c r="P484" s="2421">
        <f t="shared" si="215"/>
        <v>0</v>
      </c>
      <c r="Q484" s="2161">
        <f t="shared" si="203"/>
        <v>0</v>
      </c>
      <c r="R484" s="1891">
        <f t="shared" si="204"/>
        <v>-4625000</v>
      </c>
      <c r="S484" s="1891">
        <f>Q484/D484*100</f>
        <v>0</v>
      </c>
    </row>
    <row r="485" spans="1:19" s="2070" customFormat="1">
      <c r="A485" s="2623"/>
      <c r="B485" s="2208"/>
      <c r="C485" s="2749" t="s">
        <v>288</v>
      </c>
      <c r="D485" s="1964">
        <f>TARGET!D480</f>
        <v>4625000</v>
      </c>
      <c r="E485" s="2592">
        <v>0</v>
      </c>
      <c r="F485" s="2592">
        <v>0</v>
      </c>
      <c r="G485" s="2592">
        <v>0</v>
      </c>
      <c r="H485" s="2592">
        <v>0</v>
      </c>
      <c r="I485" s="2592">
        <v>0</v>
      </c>
      <c r="J485" s="2592">
        <v>0</v>
      </c>
      <c r="K485" s="2592">
        <v>0</v>
      </c>
      <c r="L485" s="2592">
        <v>0</v>
      </c>
      <c r="M485" s="2592">
        <v>0</v>
      </c>
      <c r="N485" s="2592">
        <v>0</v>
      </c>
      <c r="O485" s="2592">
        <v>0</v>
      </c>
      <c r="P485" s="2592">
        <v>0</v>
      </c>
      <c r="Q485" s="2161">
        <f t="shared" si="203"/>
        <v>0</v>
      </c>
      <c r="R485" s="1891">
        <f t="shared" si="204"/>
        <v>-4625000</v>
      </c>
      <c r="S485" s="1891">
        <f>Q485/D485*100</f>
        <v>0</v>
      </c>
    </row>
    <row r="486" spans="1:19" s="2070" customFormat="1">
      <c r="A486" s="2623"/>
      <c r="B486" s="2208"/>
      <c r="C486" s="2749" t="s">
        <v>289</v>
      </c>
      <c r="D486" s="1964">
        <f>TARGET!D481</f>
        <v>0</v>
      </c>
      <c r="E486" s="2592">
        <v>0</v>
      </c>
      <c r="F486" s="2592">
        <v>0</v>
      </c>
      <c r="G486" s="2592">
        <v>0</v>
      </c>
      <c r="H486" s="2592">
        <v>0</v>
      </c>
      <c r="I486" s="2592">
        <v>0</v>
      </c>
      <c r="J486" s="2592">
        <v>0</v>
      </c>
      <c r="K486" s="2592">
        <v>0</v>
      </c>
      <c r="L486" s="2592">
        <v>0</v>
      </c>
      <c r="M486" s="2592">
        <v>0</v>
      </c>
      <c r="N486" s="2592">
        <v>0</v>
      </c>
      <c r="O486" s="2592">
        <v>0</v>
      </c>
      <c r="P486" s="2592">
        <v>0</v>
      </c>
      <c r="Q486" s="2161">
        <f t="shared" si="203"/>
        <v>0</v>
      </c>
      <c r="R486" s="1891">
        <f t="shared" si="204"/>
        <v>0</v>
      </c>
      <c r="S486" s="1891">
        <v>0</v>
      </c>
    </row>
    <row r="487" spans="1:19" s="2070" customFormat="1">
      <c r="A487" s="2623"/>
      <c r="B487" s="2748" t="s">
        <v>50</v>
      </c>
      <c r="C487" s="1903" t="s">
        <v>223</v>
      </c>
      <c r="D487" s="2421">
        <f t="shared" ref="D487:P487" si="216">D488</f>
        <v>3688800000</v>
      </c>
      <c r="E487" s="2421">
        <f t="shared" si="216"/>
        <v>0</v>
      </c>
      <c r="F487" s="2421">
        <f t="shared" si="216"/>
        <v>0</v>
      </c>
      <c r="G487" s="2421">
        <f t="shared" si="216"/>
        <v>0</v>
      </c>
      <c r="H487" s="2421">
        <f t="shared" si="216"/>
        <v>0</v>
      </c>
      <c r="I487" s="2421">
        <f t="shared" si="216"/>
        <v>0</v>
      </c>
      <c r="J487" s="2421">
        <f t="shared" si="216"/>
        <v>0</v>
      </c>
      <c r="K487" s="2421">
        <f t="shared" si="216"/>
        <v>0</v>
      </c>
      <c r="L487" s="2421">
        <f t="shared" si="216"/>
        <v>0</v>
      </c>
      <c r="M487" s="2421">
        <f t="shared" si="216"/>
        <v>0</v>
      </c>
      <c r="N487" s="2421">
        <f t="shared" si="216"/>
        <v>0</v>
      </c>
      <c r="O487" s="2421">
        <f t="shared" si="216"/>
        <v>0</v>
      </c>
      <c r="P487" s="2421">
        <f t="shared" si="216"/>
        <v>0</v>
      </c>
      <c r="Q487" s="2161">
        <f t="shared" si="203"/>
        <v>0</v>
      </c>
      <c r="R487" s="1891">
        <f t="shared" si="204"/>
        <v>-3688800000</v>
      </c>
      <c r="S487" s="1891">
        <f>Q487/D487*100</f>
        <v>0</v>
      </c>
    </row>
    <row r="488" spans="1:19" s="2074" customFormat="1">
      <c r="A488" s="2623"/>
      <c r="B488" s="2208"/>
      <c r="C488" s="2748" t="s">
        <v>290</v>
      </c>
      <c r="D488" s="2181">
        <f>TARGET!D483</f>
        <v>3688800000</v>
      </c>
      <c r="E488" s="2629">
        <v>0</v>
      </c>
      <c r="F488" s="2629">
        <v>0</v>
      </c>
      <c r="G488" s="2629">
        <v>0</v>
      </c>
      <c r="H488" s="2629">
        <v>0</v>
      </c>
      <c r="I488" s="2629">
        <v>0</v>
      </c>
      <c r="J488" s="2629">
        <v>0</v>
      </c>
      <c r="K488" s="2629">
        <v>0</v>
      </c>
      <c r="L488" s="2629">
        <v>0</v>
      </c>
      <c r="M488" s="2629">
        <v>0</v>
      </c>
      <c r="N488" s="2629">
        <v>0</v>
      </c>
      <c r="O488" s="2629">
        <v>0</v>
      </c>
      <c r="P488" s="2629">
        <v>0</v>
      </c>
      <c r="Q488" s="2161">
        <f t="shared" si="203"/>
        <v>0</v>
      </c>
      <c r="R488" s="1891">
        <f t="shared" si="204"/>
        <v>-3688800000</v>
      </c>
      <c r="S488" s="1891">
        <f>Q488/D488*100</f>
        <v>0</v>
      </c>
    </row>
    <row r="489" spans="1:19" s="2070" customFormat="1" ht="5.95" customHeight="1">
      <c r="A489" s="2627"/>
      <c r="B489" s="2630"/>
      <c r="C489" s="2618"/>
      <c r="D489" s="2408"/>
      <c r="E489" s="2408"/>
      <c r="F489" s="2408"/>
      <c r="G489" s="2408"/>
      <c r="H489" s="2408"/>
      <c r="I489" s="2408"/>
      <c r="J489" s="2408"/>
      <c r="K489" s="2408"/>
      <c r="L489" s="2408"/>
      <c r="M489" s="2408"/>
      <c r="N489" s="2408"/>
      <c r="O489" s="2408"/>
      <c r="P489" s="2408"/>
      <c r="Q489" s="2410"/>
      <c r="R489" s="2410"/>
      <c r="S489" s="2410"/>
    </row>
    <row r="490" spans="1:19" s="2079" customFormat="1" ht="15.05">
      <c r="A490" s="2614" t="s">
        <v>291</v>
      </c>
      <c r="B490" s="2741" t="s">
        <v>292</v>
      </c>
      <c r="C490" s="2370"/>
      <c r="D490" s="2406">
        <f>D491</f>
        <v>53394311000</v>
      </c>
      <c r="E490" s="2406">
        <f t="shared" ref="D490:P492" si="217">E491</f>
        <v>0</v>
      </c>
      <c r="F490" s="2406">
        <f t="shared" si="217"/>
        <v>0</v>
      </c>
      <c r="G490" s="2406">
        <f t="shared" si="217"/>
        <v>0</v>
      </c>
      <c r="H490" s="2406">
        <f t="shared" si="217"/>
        <v>0</v>
      </c>
      <c r="I490" s="2406">
        <f t="shared" si="217"/>
        <v>0</v>
      </c>
      <c r="J490" s="2406">
        <f t="shared" si="217"/>
        <v>0</v>
      </c>
      <c r="K490" s="2406">
        <f t="shared" si="217"/>
        <v>0</v>
      </c>
      <c r="L490" s="2406">
        <f t="shared" si="217"/>
        <v>0</v>
      </c>
      <c r="M490" s="2406">
        <f t="shared" si="217"/>
        <v>0</v>
      </c>
      <c r="N490" s="2406">
        <f t="shared" si="217"/>
        <v>0</v>
      </c>
      <c r="O490" s="2406">
        <f t="shared" si="217"/>
        <v>0</v>
      </c>
      <c r="P490" s="2406">
        <f t="shared" si="217"/>
        <v>0</v>
      </c>
      <c r="Q490" s="2396">
        <f>SUM(E490:P490)</f>
        <v>0</v>
      </c>
      <c r="R490" s="2396">
        <f>Q490-D490</f>
        <v>-53394311000</v>
      </c>
      <c r="S490" s="2396">
        <f>Q490/D490*100</f>
        <v>0</v>
      </c>
    </row>
    <row r="491" spans="1:19" s="2074" customFormat="1">
      <c r="A491" s="2628"/>
      <c r="B491" s="2751" t="s">
        <v>293</v>
      </c>
      <c r="C491" s="2290"/>
      <c r="D491" s="1961">
        <f t="shared" si="217"/>
        <v>53394311000</v>
      </c>
      <c r="E491" s="1961">
        <f t="shared" si="217"/>
        <v>0</v>
      </c>
      <c r="F491" s="1961">
        <f t="shared" si="217"/>
        <v>0</v>
      </c>
      <c r="G491" s="1961">
        <f t="shared" si="217"/>
        <v>0</v>
      </c>
      <c r="H491" s="1961">
        <f t="shared" si="217"/>
        <v>0</v>
      </c>
      <c r="I491" s="1961">
        <f t="shared" si="217"/>
        <v>0</v>
      </c>
      <c r="J491" s="1961">
        <f t="shared" si="217"/>
        <v>0</v>
      </c>
      <c r="K491" s="1961">
        <f t="shared" si="217"/>
        <v>0</v>
      </c>
      <c r="L491" s="1961">
        <f t="shared" si="217"/>
        <v>0</v>
      </c>
      <c r="M491" s="1961">
        <f t="shared" si="217"/>
        <v>0</v>
      </c>
      <c r="N491" s="1961">
        <f t="shared" si="217"/>
        <v>0</v>
      </c>
      <c r="O491" s="1961">
        <f t="shared" si="217"/>
        <v>0</v>
      </c>
      <c r="P491" s="1961">
        <f t="shared" si="217"/>
        <v>0</v>
      </c>
      <c r="Q491" s="2161">
        <f t="shared" ref="Q491:Q497" si="218">SUM(E491:P491)</f>
        <v>0</v>
      </c>
      <c r="R491" s="1891">
        <f t="shared" ref="R491:R497" si="219">Q491-D491</f>
        <v>-53394311000</v>
      </c>
      <c r="S491" s="1891">
        <f>Q491/D491*100</f>
        <v>0</v>
      </c>
    </row>
    <row r="492" spans="1:19" s="2074" customFormat="1">
      <c r="A492" s="2623"/>
      <c r="B492" s="2748" t="s">
        <v>294</v>
      </c>
      <c r="C492" s="2208"/>
      <c r="D492" s="2420">
        <f>D493+D496</f>
        <v>53394311000</v>
      </c>
      <c r="E492" s="2420">
        <f t="shared" si="217"/>
        <v>0</v>
      </c>
      <c r="F492" s="2420">
        <f t="shared" si="217"/>
        <v>0</v>
      </c>
      <c r="G492" s="2420">
        <f t="shared" si="217"/>
        <v>0</v>
      </c>
      <c r="H492" s="2420">
        <f t="shared" si="217"/>
        <v>0</v>
      </c>
      <c r="I492" s="2420">
        <f t="shared" si="217"/>
        <v>0</v>
      </c>
      <c r="J492" s="2420">
        <f t="shared" si="217"/>
        <v>0</v>
      </c>
      <c r="K492" s="2420">
        <f t="shared" si="217"/>
        <v>0</v>
      </c>
      <c r="L492" s="2420">
        <f t="shared" si="217"/>
        <v>0</v>
      </c>
      <c r="M492" s="2420">
        <f t="shared" si="217"/>
        <v>0</v>
      </c>
      <c r="N492" s="2420">
        <f t="shared" si="217"/>
        <v>0</v>
      </c>
      <c r="O492" s="2420">
        <f t="shared" si="217"/>
        <v>0</v>
      </c>
      <c r="P492" s="2420">
        <f t="shared" si="217"/>
        <v>0</v>
      </c>
      <c r="Q492" s="2161">
        <f t="shared" si="218"/>
        <v>0</v>
      </c>
      <c r="R492" s="1891">
        <f t="shared" si="219"/>
        <v>-53394311000</v>
      </c>
      <c r="S492" s="1891">
        <f>Q492/D492*100</f>
        <v>0</v>
      </c>
    </row>
    <row r="493" spans="1:19" s="2070" customFormat="1" ht="15.05">
      <c r="A493" s="2623"/>
      <c r="B493" s="2748" t="s">
        <v>50</v>
      </c>
      <c r="C493" s="2631" t="s">
        <v>295</v>
      </c>
      <c r="D493" s="1962">
        <f t="shared" ref="D493:P493" si="220">SUM(D494:D495)</f>
        <v>53394311000</v>
      </c>
      <c r="E493" s="1962">
        <f t="shared" si="220"/>
        <v>0</v>
      </c>
      <c r="F493" s="1962">
        <f t="shared" si="220"/>
        <v>0</v>
      </c>
      <c r="G493" s="1962">
        <f t="shared" si="220"/>
        <v>0</v>
      </c>
      <c r="H493" s="1962">
        <f t="shared" si="220"/>
        <v>0</v>
      </c>
      <c r="I493" s="1962">
        <f t="shared" si="220"/>
        <v>0</v>
      </c>
      <c r="J493" s="1962">
        <f t="shared" si="220"/>
        <v>0</v>
      </c>
      <c r="K493" s="1962">
        <f t="shared" si="220"/>
        <v>0</v>
      </c>
      <c r="L493" s="1962">
        <f t="shared" si="220"/>
        <v>0</v>
      </c>
      <c r="M493" s="1962">
        <f t="shared" si="220"/>
        <v>0</v>
      </c>
      <c r="N493" s="1962">
        <f t="shared" si="220"/>
        <v>0</v>
      </c>
      <c r="O493" s="1962">
        <f t="shared" si="220"/>
        <v>0</v>
      </c>
      <c r="P493" s="1962">
        <f t="shared" si="220"/>
        <v>0</v>
      </c>
      <c r="Q493" s="2156">
        <f t="shared" si="218"/>
        <v>0</v>
      </c>
      <c r="R493" s="1749">
        <f t="shared" si="219"/>
        <v>-53394311000</v>
      </c>
      <c r="S493" s="1891">
        <f>Q493/D493*100</f>
        <v>0</v>
      </c>
    </row>
    <row r="494" spans="1:19" s="2070" customFormat="1">
      <c r="A494" s="2623"/>
      <c r="B494" s="2208"/>
      <c r="C494" s="2749" t="s">
        <v>296</v>
      </c>
      <c r="D494" s="1964">
        <f>TARGET!D489</f>
        <v>0</v>
      </c>
      <c r="E494" s="2592">
        <v>0</v>
      </c>
      <c r="F494" s="2592">
        <v>0</v>
      </c>
      <c r="G494" s="2592">
        <v>0</v>
      </c>
      <c r="H494" s="2592">
        <v>0</v>
      </c>
      <c r="I494" s="2592">
        <v>0</v>
      </c>
      <c r="J494" s="2592">
        <v>0</v>
      </c>
      <c r="K494" s="2592">
        <v>0</v>
      </c>
      <c r="L494" s="2592">
        <v>0</v>
      </c>
      <c r="M494" s="2592">
        <v>0</v>
      </c>
      <c r="N494" s="2592">
        <v>0</v>
      </c>
      <c r="O494" s="2592">
        <v>0</v>
      </c>
      <c r="P494" s="2592">
        <v>0</v>
      </c>
      <c r="Q494" s="2161">
        <f t="shared" si="218"/>
        <v>0</v>
      </c>
      <c r="R494" s="1891">
        <f t="shared" si="219"/>
        <v>0</v>
      </c>
      <c r="S494" s="1891">
        <v>0</v>
      </c>
    </row>
    <row r="495" spans="1:19" s="2070" customFormat="1">
      <c r="A495" s="2623"/>
      <c r="B495" s="2208"/>
      <c r="C495" s="2749" t="s">
        <v>297</v>
      </c>
      <c r="D495" s="1964">
        <f>TARGET!D490</f>
        <v>53394311000</v>
      </c>
      <c r="E495" s="2592">
        <v>0</v>
      </c>
      <c r="F495" s="2592">
        <v>0</v>
      </c>
      <c r="G495" s="2592">
        <v>0</v>
      </c>
      <c r="H495" s="2592">
        <v>0</v>
      </c>
      <c r="I495" s="2592">
        <v>0</v>
      </c>
      <c r="J495" s="2592">
        <v>0</v>
      </c>
      <c r="K495" s="2592">
        <v>0</v>
      </c>
      <c r="L495" s="2592">
        <v>0</v>
      </c>
      <c r="M495" s="2592">
        <v>0</v>
      </c>
      <c r="N495" s="2592">
        <v>0</v>
      </c>
      <c r="O495" s="2592">
        <v>0</v>
      </c>
      <c r="P495" s="2592">
        <v>0</v>
      </c>
      <c r="Q495" s="2161">
        <f t="shared" si="218"/>
        <v>0</v>
      </c>
      <c r="R495" s="1891">
        <f t="shared" si="219"/>
        <v>-53394311000</v>
      </c>
      <c r="S495" s="1891">
        <f>Q495/D495*100</f>
        <v>0</v>
      </c>
    </row>
    <row r="496" spans="1:19" s="2070" customFormat="1" ht="15.05">
      <c r="A496" s="2623"/>
      <c r="B496" s="2748" t="s">
        <v>50</v>
      </c>
      <c r="C496" s="2631" t="s">
        <v>298</v>
      </c>
      <c r="D496" s="1962">
        <f t="shared" ref="D496:P496" si="221">SUM(D497)</f>
        <v>0</v>
      </c>
      <c r="E496" s="1962">
        <f t="shared" si="221"/>
        <v>0</v>
      </c>
      <c r="F496" s="1962">
        <f t="shared" si="221"/>
        <v>0</v>
      </c>
      <c r="G496" s="1962">
        <f t="shared" si="221"/>
        <v>0</v>
      </c>
      <c r="H496" s="1962">
        <f t="shared" si="221"/>
        <v>0</v>
      </c>
      <c r="I496" s="1962">
        <f t="shared" si="221"/>
        <v>0</v>
      </c>
      <c r="J496" s="1962">
        <f t="shared" si="221"/>
        <v>0</v>
      </c>
      <c r="K496" s="1962">
        <f t="shared" si="221"/>
        <v>0</v>
      </c>
      <c r="L496" s="1962">
        <f t="shared" si="221"/>
        <v>0</v>
      </c>
      <c r="M496" s="1962">
        <f t="shared" si="221"/>
        <v>0</v>
      </c>
      <c r="N496" s="1962">
        <f t="shared" si="221"/>
        <v>0</v>
      </c>
      <c r="O496" s="1962">
        <f t="shared" si="221"/>
        <v>0</v>
      </c>
      <c r="P496" s="1962">
        <f t="shared" si="221"/>
        <v>0</v>
      </c>
      <c r="Q496" s="2156">
        <f t="shared" si="218"/>
        <v>0</v>
      </c>
      <c r="R496" s="1749">
        <f t="shared" si="219"/>
        <v>0</v>
      </c>
      <c r="S496" s="1891">
        <v>0</v>
      </c>
    </row>
    <row r="497" spans="1:19" s="2070" customFormat="1">
      <c r="A497" s="2623"/>
      <c r="B497" s="2208"/>
      <c r="C497" s="2749" t="s">
        <v>299</v>
      </c>
      <c r="D497" s="1964">
        <f>TARGET!D492</f>
        <v>0</v>
      </c>
      <c r="E497" s="2592">
        <v>0</v>
      </c>
      <c r="F497" s="2592">
        <v>0</v>
      </c>
      <c r="G497" s="2592">
        <v>0</v>
      </c>
      <c r="H497" s="2592">
        <v>0</v>
      </c>
      <c r="I497" s="2592">
        <v>0</v>
      </c>
      <c r="J497" s="2592">
        <v>0</v>
      </c>
      <c r="K497" s="2592">
        <v>0</v>
      </c>
      <c r="L497" s="2592">
        <v>0</v>
      </c>
      <c r="M497" s="2592">
        <v>0</v>
      </c>
      <c r="N497" s="2592">
        <v>0</v>
      </c>
      <c r="O497" s="2592">
        <v>0</v>
      </c>
      <c r="P497" s="2592">
        <v>0</v>
      </c>
      <c r="Q497" s="2161">
        <f t="shared" si="218"/>
        <v>0</v>
      </c>
      <c r="R497" s="1891">
        <f t="shared" si="219"/>
        <v>0</v>
      </c>
      <c r="S497" s="1891">
        <v>0</v>
      </c>
    </row>
    <row r="498" spans="1:19" s="2070" customFormat="1" ht="4.55" customHeight="1">
      <c r="A498" s="2591"/>
      <c r="B498" s="1833"/>
      <c r="C498" s="1832"/>
      <c r="D498" s="2408"/>
      <c r="E498" s="2408"/>
      <c r="F498" s="2408"/>
      <c r="G498" s="2408"/>
      <c r="H498" s="2408"/>
      <c r="I498" s="2408"/>
      <c r="J498" s="2408"/>
      <c r="K498" s="2408"/>
      <c r="L498" s="2408"/>
      <c r="M498" s="2408"/>
      <c r="N498" s="2408"/>
      <c r="O498" s="2408"/>
      <c r="P498" s="2408"/>
      <c r="Q498" s="2410"/>
      <c r="R498" s="2410"/>
      <c r="S498" s="2410"/>
    </row>
    <row r="499" spans="1:19" s="2070" customFormat="1" ht="15.05">
      <c r="A499" s="2590" t="s">
        <v>300</v>
      </c>
      <c r="B499" s="2736" t="s">
        <v>50</v>
      </c>
      <c r="C499" s="2313" t="s">
        <v>301</v>
      </c>
      <c r="D499" s="2332">
        <f t="shared" ref="D499:P499" si="222">SUM(D500)</f>
        <v>0</v>
      </c>
      <c r="E499" s="2332">
        <f t="shared" si="222"/>
        <v>0</v>
      </c>
      <c r="F499" s="2332">
        <f t="shared" si="222"/>
        <v>0</v>
      </c>
      <c r="G499" s="2332">
        <f t="shared" si="222"/>
        <v>0</v>
      </c>
      <c r="H499" s="2332">
        <f t="shared" si="222"/>
        <v>0</v>
      </c>
      <c r="I499" s="2332">
        <f t="shared" si="222"/>
        <v>0</v>
      </c>
      <c r="J499" s="2332">
        <f t="shared" si="222"/>
        <v>0</v>
      </c>
      <c r="K499" s="2332">
        <f t="shared" si="222"/>
        <v>0</v>
      </c>
      <c r="L499" s="2332">
        <f t="shared" si="222"/>
        <v>0</v>
      </c>
      <c r="M499" s="2332">
        <f t="shared" si="222"/>
        <v>0</v>
      </c>
      <c r="N499" s="2332">
        <f t="shared" si="222"/>
        <v>0</v>
      </c>
      <c r="O499" s="2332">
        <f t="shared" si="222"/>
        <v>0</v>
      </c>
      <c r="P499" s="2332">
        <f t="shared" si="222"/>
        <v>0</v>
      </c>
      <c r="Q499" s="2431">
        <f>SUM(E499:P499)</f>
        <v>0</v>
      </c>
      <c r="R499" s="2147">
        <f>Q499-D499</f>
        <v>0</v>
      </c>
      <c r="S499" s="2147">
        <v>0</v>
      </c>
    </row>
    <row r="500" spans="1:19" s="2070" customFormat="1">
      <c r="A500" s="2628"/>
      <c r="B500" s="2322" t="s">
        <v>71</v>
      </c>
      <c r="C500" s="2322"/>
      <c r="D500" s="2407">
        <f t="shared" ref="D500:P500" si="223">SUM(D501:D505)</f>
        <v>0</v>
      </c>
      <c r="E500" s="2407">
        <f t="shared" si="223"/>
        <v>0</v>
      </c>
      <c r="F500" s="2407">
        <f t="shared" si="223"/>
        <v>0</v>
      </c>
      <c r="G500" s="2407">
        <f t="shared" si="223"/>
        <v>0</v>
      </c>
      <c r="H500" s="2407">
        <f t="shared" si="223"/>
        <v>0</v>
      </c>
      <c r="I500" s="2407">
        <f t="shared" si="223"/>
        <v>0</v>
      </c>
      <c r="J500" s="2407">
        <f t="shared" si="223"/>
        <v>0</v>
      </c>
      <c r="K500" s="2407">
        <f t="shared" si="223"/>
        <v>0</v>
      </c>
      <c r="L500" s="2407">
        <f t="shared" si="223"/>
        <v>0</v>
      </c>
      <c r="M500" s="2407">
        <f t="shared" si="223"/>
        <v>0</v>
      </c>
      <c r="N500" s="2407">
        <f t="shared" si="223"/>
        <v>0</v>
      </c>
      <c r="O500" s="2407">
        <f t="shared" si="223"/>
        <v>0</v>
      </c>
      <c r="P500" s="2407">
        <f t="shared" si="223"/>
        <v>0</v>
      </c>
      <c r="Q500" s="2161">
        <f t="shared" ref="Q500:Q505" si="224">SUM(E500:P500)</f>
        <v>0</v>
      </c>
      <c r="R500" s="1891">
        <f t="shared" ref="R500:R505" si="225">Q500-D500</f>
        <v>0</v>
      </c>
      <c r="S500" s="1891">
        <v>0</v>
      </c>
    </row>
    <row r="501" spans="1:19" s="2070" customFormat="1">
      <c r="A501" s="2627"/>
      <c r="B501" s="200" t="s">
        <v>50</v>
      </c>
      <c r="C501" s="224" t="s">
        <v>73</v>
      </c>
      <c r="D501" s="1964">
        <f>TARGET!D496</f>
        <v>0</v>
      </c>
      <c r="E501" s="2632">
        <v>0</v>
      </c>
      <c r="F501" s="2632">
        <v>0</v>
      </c>
      <c r="G501" s="2632">
        <v>0</v>
      </c>
      <c r="H501" s="2632">
        <v>0</v>
      </c>
      <c r="I501" s="2632">
        <v>0</v>
      </c>
      <c r="J501" s="2632">
        <v>0</v>
      </c>
      <c r="K501" s="2632">
        <v>0</v>
      </c>
      <c r="L501" s="2632">
        <v>0</v>
      </c>
      <c r="M501" s="2632">
        <v>0</v>
      </c>
      <c r="N501" s="2632">
        <v>0</v>
      </c>
      <c r="O501" s="2632">
        <v>0</v>
      </c>
      <c r="P501" s="2632">
        <v>0</v>
      </c>
      <c r="Q501" s="2161">
        <f t="shared" si="224"/>
        <v>0</v>
      </c>
      <c r="R501" s="1891">
        <f t="shared" si="225"/>
        <v>0</v>
      </c>
      <c r="S501" s="1891">
        <v>0</v>
      </c>
    </row>
    <row r="502" spans="1:19" s="2070" customFormat="1">
      <c r="A502" s="2591"/>
      <c r="B502" s="200" t="s">
        <v>50</v>
      </c>
      <c r="C502" s="200" t="s">
        <v>74</v>
      </c>
      <c r="D502" s="1964">
        <f>TARGET!D497</f>
        <v>0</v>
      </c>
      <c r="E502" s="2632">
        <v>0</v>
      </c>
      <c r="F502" s="2632">
        <v>0</v>
      </c>
      <c r="G502" s="2632">
        <v>0</v>
      </c>
      <c r="H502" s="2632">
        <v>0</v>
      </c>
      <c r="I502" s="2632">
        <v>0</v>
      </c>
      <c r="J502" s="2632">
        <v>0</v>
      </c>
      <c r="K502" s="2632">
        <v>0</v>
      </c>
      <c r="L502" s="2632">
        <v>0</v>
      </c>
      <c r="M502" s="2632">
        <v>0</v>
      </c>
      <c r="N502" s="2632">
        <v>0</v>
      </c>
      <c r="O502" s="2632">
        <v>0</v>
      </c>
      <c r="P502" s="2632">
        <v>0</v>
      </c>
      <c r="Q502" s="2161">
        <f t="shared" si="224"/>
        <v>0</v>
      </c>
      <c r="R502" s="1891">
        <f t="shared" si="225"/>
        <v>0</v>
      </c>
      <c r="S502" s="1891">
        <v>0</v>
      </c>
    </row>
    <row r="503" spans="1:19" s="2070" customFormat="1">
      <c r="A503" s="2591"/>
      <c r="B503" s="200" t="s">
        <v>50</v>
      </c>
      <c r="C503" s="200" t="s">
        <v>75</v>
      </c>
      <c r="D503" s="1964">
        <f>TARGET!D498</f>
        <v>0</v>
      </c>
      <c r="E503" s="2632">
        <v>0</v>
      </c>
      <c r="F503" s="2632">
        <v>0</v>
      </c>
      <c r="G503" s="2632">
        <v>0</v>
      </c>
      <c r="H503" s="2632">
        <v>0</v>
      </c>
      <c r="I503" s="2632">
        <v>0</v>
      </c>
      <c r="J503" s="2632">
        <v>0</v>
      </c>
      <c r="K503" s="2632">
        <v>0</v>
      </c>
      <c r="L503" s="2632">
        <v>0</v>
      </c>
      <c r="M503" s="2632">
        <v>0</v>
      </c>
      <c r="N503" s="2632">
        <v>0</v>
      </c>
      <c r="O503" s="2632">
        <v>0</v>
      </c>
      <c r="P503" s="2632">
        <v>0</v>
      </c>
      <c r="Q503" s="2161">
        <f t="shared" si="224"/>
        <v>0</v>
      </c>
      <c r="R503" s="1891">
        <f t="shared" si="225"/>
        <v>0</v>
      </c>
      <c r="S503" s="1891">
        <v>0</v>
      </c>
    </row>
    <row r="504" spans="1:19" s="2070" customFormat="1">
      <c r="A504" s="2591"/>
      <c r="B504" s="200" t="s">
        <v>50</v>
      </c>
      <c r="C504" s="200" t="s">
        <v>169</v>
      </c>
      <c r="D504" s="1964">
        <f>TARGET!D499</f>
        <v>0</v>
      </c>
      <c r="E504" s="2632">
        <v>0</v>
      </c>
      <c r="F504" s="2632">
        <v>0</v>
      </c>
      <c r="G504" s="2632">
        <v>0</v>
      </c>
      <c r="H504" s="2632">
        <v>0</v>
      </c>
      <c r="I504" s="2632">
        <v>0</v>
      </c>
      <c r="J504" s="2632">
        <v>0</v>
      </c>
      <c r="K504" s="2632">
        <v>0</v>
      </c>
      <c r="L504" s="2632">
        <v>0</v>
      </c>
      <c r="M504" s="2632">
        <v>0</v>
      </c>
      <c r="N504" s="2632">
        <v>0</v>
      </c>
      <c r="O504" s="2632">
        <v>0</v>
      </c>
      <c r="P504" s="2632">
        <v>0</v>
      </c>
      <c r="Q504" s="2161">
        <f t="shared" si="224"/>
        <v>0</v>
      </c>
      <c r="R504" s="1891">
        <f t="shared" si="225"/>
        <v>0</v>
      </c>
      <c r="S504" s="1891">
        <v>0</v>
      </c>
    </row>
    <row r="505" spans="1:19" s="2070" customFormat="1">
      <c r="A505" s="2591"/>
      <c r="B505" s="200" t="s">
        <v>50</v>
      </c>
      <c r="C505" s="200" t="s">
        <v>85</v>
      </c>
      <c r="D505" s="1964">
        <f>TARGET!D500</f>
        <v>0</v>
      </c>
      <c r="E505" s="2632">
        <v>0</v>
      </c>
      <c r="F505" s="2632">
        <v>0</v>
      </c>
      <c r="G505" s="2632">
        <v>0</v>
      </c>
      <c r="H505" s="2632">
        <v>0</v>
      </c>
      <c r="I505" s="2632">
        <v>0</v>
      </c>
      <c r="J505" s="2632">
        <v>0</v>
      </c>
      <c r="K505" s="2632">
        <v>0</v>
      </c>
      <c r="L505" s="2632">
        <v>0</v>
      </c>
      <c r="M505" s="2632">
        <v>0</v>
      </c>
      <c r="N505" s="2632">
        <v>0</v>
      </c>
      <c r="O505" s="2632">
        <v>0</v>
      </c>
      <c r="P505" s="2632">
        <v>0</v>
      </c>
      <c r="Q505" s="2161">
        <f t="shared" si="224"/>
        <v>0</v>
      </c>
      <c r="R505" s="1891">
        <f t="shared" si="225"/>
        <v>0</v>
      </c>
      <c r="S505" s="1891">
        <v>0</v>
      </c>
    </row>
    <row r="506" spans="1:19" s="2070" customFormat="1" ht="5.35" customHeight="1">
      <c r="A506" s="2633"/>
      <c r="B506" s="2131"/>
      <c r="C506" s="224"/>
      <c r="D506" s="2432"/>
      <c r="E506" s="2432"/>
      <c r="F506" s="2432"/>
      <c r="G506" s="2432"/>
      <c r="H506" s="2432"/>
      <c r="I506" s="2432"/>
      <c r="J506" s="2432"/>
      <c r="K506" s="2432"/>
      <c r="L506" s="2432"/>
      <c r="M506" s="2432"/>
      <c r="N506" s="2432"/>
      <c r="O506" s="2432"/>
      <c r="P506" s="2432"/>
      <c r="Q506" s="2434"/>
      <c r="R506" s="2434"/>
      <c r="S506" s="2434"/>
    </row>
    <row r="507" spans="1:19" s="2073" customFormat="1" ht="15.05">
      <c r="A507" s="2528" t="s">
        <v>302</v>
      </c>
      <c r="B507" s="2417" t="s">
        <v>303</v>
      </c>
      <c r="C507" s="2436"/>
      <c r="D507" s="2437">
        <f t="shared" ref="D507:P507" si="226">D508+D511</f>
        <v>1500000000</v>
      </c>
      <c r="E507" s="2437">
        <f t="shared" si="226"/>
        <v>0</v>
      </c>
      <c r="F507" s="2437">
        <f t="shared" si="226"/>
        <v>0</v>
      </c>
      <c r="G507" s="2437">
        <f t="shared" si="226"/>
        <v>0</v>
      </c>
      <c r="H507" s="2437">
        <f t="shared" si="226"/>
        <v>0</v>
      </c>
      <c r="I507" s="2437">
        <f t="shared" si="226"/>
        <v>0</v>
      </c>
      <c r="J507" s="2437">
        <f t="shared" si="226"/>
        <v>0</v>
      </c>
      <c r="K507" s="2437">
        <f t="shared" si="226"/>
        <v>0</v>
      </c>
      <c r="L507" s="2437">
        <f t="shared" si="226"/>
        <v>0</v>
      </c>
      <c r="M507" s="2437">
        <f t="shared" si="226"/>
        <v>0</v>
      </c>
      <c r="N507" s="2437">
        <f t="shared" si="226"/>
        <v>0</v>
      </c>
      <c r="O507" s="2437">
        <f t="shared" si="226"/>
        <v>0</v>
      </c>
      <c r="P507" s="2437">
        <f t="shared" si="226"/>
        <v>0</v>
      </c>
      <c r="Q507" s="2431">
        <f>SUM(E507:P507)</f>
        <v>0</v>
      </c>
      <c r="R507" s="2147">
        <f>Q507-D507</f>
        <v>-1500000000</v>
      </c>
      <c r="S507" s="2147">
        <f>Q507/D507*100</f>
        <v>0</v>
      </c>
    </row>
    <row r="508" spans="1:19" s="2070" customFormat="1">
      <c r="A508" s="2529"/>
      <c r="B508" s="2099" t="s">
        <v>63</v>
      </c>
      <c r="C508" s="2438"/>
      <c r="D508" s="2439">
        <f t="shared" ref="D508:P508" si="227">D509</f>
        <v>1500000000</v>
      </c>
      <c r="E508" s="2439">
        <f t="shared" si="227"/>
        <v>0</v>
      </c>
      <c r="F508" s="2439">
        <f t="shared" si="227"/>
        <v>0</v>
      </c>
      <c r="G508" s="2439">
        <f t="shared" si="227"/>
        <v>0</v>
      </c>
      <c r="H508" s="2439">
        <f t="shared" si="227"/>
        <v>0</v>
      </c>
      <c r="I508" s="2439">
        <f t="shared" si="227"/>
        <v>0</v>
      </c>
      <c r="J508" s="2439">
        <f t="shared" si="227"/>
        <v>0</v>
      </c>
      <c r="K508" s="2439">
        <f t="shared" si="227"/>
        <v>0</v>
      </c>
      <c r="L508" s="2439">
        <f t="shared" si="227"/>
        <v>0</v>
      </c>
      <c r="M508" s="2439">
        <f t="shared" si="227"/>
        <v>0</v>
      </c>
      <c r="N508" s="2439">
        <f t="shared" si="227"/>
        <v>0</v>
      </c>
      <c r="O508" s="2439">
        <f t="shared" si="227"/>
        <v>0</v>
      </c>
      <c r="P508" s="2439">
        <f t="shared" si="227"/>
        <v>0</v>
      </c>
      <c r="Q508" s="2161">
        <f t="shared" ref="Q508:Q516" si="228">SUM(E508:P508)</f>
        <v>0</v>
      </c>
      <c r="R508" s="1891">
        <f t="shared" ref="R508:S516" si="229">Q508-D508</f>
        <v>-1500000000</v>
      </c>
      <c r="S508" s="1891">
        <f>Q508/D508*100</f>
        <v>0</v>
      </c>
    </row>
    <row r="509" spans="1:19" s="2070" customFormat="1">
      <c r="A509" s="1854"/>
      <c r="B509" s="2727" t="s">
        <v>50</v>
      </c>
      <c r="C509" s="200" t="s">
        <v>304</v>
      </c>
      <c r="D509" s="1964">
        <f>TARGET!D504</f>
        <v>1500000000</v>
      </c>
      <c r="E509" s="2581">
        <v>0</v>
      </c>
      <c r="F509" s="2581">
        <v>0</v>
      </c>
      <c r="G509" s="2581">
        <v>0</v>
      </c>
      <c r="H509" s="2581">
        <v>0</v>
      </c>
      <c r="I509" s="2581">
        <v>0</v>
      </c>
      <c r="J509" s="2581">
        <v>0</v>
      </c>
      <c r="K509" s="2581">
        <v>0</v>
      </c>
      <c r="L509" s="2581">
        <v>0</v>
      </c>
      <c r="M509" s="2581">
        <v>0</v>
      </c>
      <c r="N509" s="2581">
        <v>0</v>
      </c>
      <c r="O509" s="2581">
        <v>0</v>
      </c>
      <c r="P509" s="2581">
        <v>0</v>
      </c>
      <c r="Q509" s="2161">
        <f t="shared" si="228"/>
        <v>0</v>
      </c>
      <c r="R509" s="1891">
        <f t="shared" si="229"/>
        <v>-1500000000</v>
      </c>
      <c r="S509" s="1891">
        <f>Q509/D509*100</f>
        <v>0</v>
      </c>
    </row>
    <row r="510" spans="1:19" s="2070" customFormat="1" ht="4.55" customHeight="1">
      <c r="A510" s="1854"/>
      <c r="B510" s="200"/>
      <c r="C510" s="200"/>
      <c r="D510" s="2282"/>
      <c r="E510" s="2282"/>
      <c r="F510" s="2282"/>
      <c r="G510" s="2282"/>
      <c r="H510" s="2282"/>
      <c r="I510" s="2282"/>
      <c r="J510" s="2282"/>
      <c r="K510" s="2282"/>
      <c r="L510" s="2282"/>
      <c r="M510" s="2282"/>
      <c r="N510" s="2282"/>
      <c r="O510" s="2282"/>
      <c r="P510" s="2282"/>
      <c r="Q510" s="2161">
        <f t="shared" si="228"/>
        <v>0</v>
      </c>
      <c r="R510" s="1891">
        <f t="shared" si="229"/>
        <v>0</v>
      </c>
      <c r="S510" s="1891">
        <f t="shared" si="229"/>
        <v>0</v>
      </c>
    </row>
    <row r="511" spans="1:19" s="2070" customFormat="1">
      <c r="A511" s="1854"/>
      <c r="B511" s="202" t="s">
        <v>71</v>
      </c>
      <c r="C511" s="202"/>
      <c r="D511" s="2283">
        <f t="shared" ref="D511:P511" si="230">SUM(D512:D516)</f>
        <v>0</v>
      </c>
      <c r="E511" s="2283">
        <f t="shared" si="230"/>
        <v>0</v>
      </c>
      <c r="F511" s="2283">
        <f t="shared" si="230"/>
        <v>0</v>
      </c>
      <c r="G511" s="2283">
        <f t="shared" si="230"/>
        <v>0</v>
      </c>
      <c r="H511" s="2283">
        <f t="shared" si="230"/>
        <v>0</v>
      </c>
      <c r="I511" s="2283">
        <f t="shared" si="230"/>
        <v>0</v>
      </c>
      <c r="J511" s="2283">
        <f t="shared" si="230"/>
        <v>0</v>
      </c>
      <c r="K511" s="2283">
        <f t="shared" si="230"/>
        <v>0</v>
      </c>
      <c r="L511" s="2283">
        <f t="shared" si="230"/>
        <v>0</v>
      </c>
      <c r="M511" s="2283">
        <f t="shared" si="230"/>
        <v>0</v>
      </c>
      <c r="N511" s="2283">
        <f t="shared" si="230"/>
        <v>0</v>
      </c>
      <c r="O511" s="2283">
        <f t="shared" si="230"/>
        <v>0</v>
      </c>
      <c r="P511" s="2283">
        <f t="shared" si="230"/>
        <v>0</v>
      </c>
      <c r="Q511" s="2161">
        <f t="shared" si="228"/>
        <v>0</v>
      </c>
      <c r="R511" s="1891">
        <f t="shared" si="229"/>
        <v>0</v>
      </c>
      <c r="S511" s="1891">
        <v>0</v>
      </c>
    </row>
    <row r="512" spans="1:19" s="2070" customFormat="1">
      <c r="A512" s="1854"/>
      <c r="B512" s="2727" t="s">
        <v>50</v>
      </c>
      <c r="C512" s="200" t="s">
        <v>72</v>
      </c>
      <c r="D512" s="1964">
        <f>TARGET!D507</f>
        <v>0</v>
      </c>
      <c r="E512" s="2581">
        <v>0</v>
      </c>
      <c r="F512" s="2581">
        <v>0</v>
      </c>
      <c r="G512" s="2581">
        <v>0</v>
      </c>
      <c r="H512" s="2581">
        <v>0</v>
      </c>
      <c r="I512" s="2581">
        <v>0</v>
      </c>
      <c r="J512" s="2581">
        <v>0</v>
      </c>
      <c r="K512" s="2581">
        <v>0</v>
      </c>
      <c r="L512" s="2581">
        <v>0</v>
      </c>
      <c r="M512" s="2581">
        <v>0</v>
      </c>
      <c r="N512" s="2581">
        <v>0</v>
      </c>
      <c r="O512" s="2581">
        <v>0</v>
      </c>
      <c r="P512" s="2581">
        <v>0</v>
      </c>
      <c r="Q512" s="2161">
        <f t="shared" si="228"/>
        <v>0</v>
      </c>
      <c r="R512" s="1891">
        <f t="shared" si="229"/>
        <v>0</v>
      </c>
      <c r="S512" s="1891">
        <v>0</v>
      </c>
    </row>
    <row r="513" spans="1:19" s="2070" customFormat="1">
      <c r="A513" s="1854"/>
      <c r="B513" s="2727" t="s">
        <v>50</v>
      </c>
      <c r="C513" s="200" t="s">
        <v>73</v>
      </c>
      <c r="D513" s="1964">
        <f>TARGET!D508</f>
        <v>0</v>
      </c>
      <c r="E513" s="2581">
        <v>0</v>
      </c>
      <c r="F513" s="2581">
        <v>0</v>
      </c>
      <c r="G513" s="2581">
        <v>0</v>
      </c>
      <c r="H513" s="2581">
        <v>0</v>
      </c>
      <c r="I513" s="2581">
        <v>0</v>
      </c>
      <c r="J513" s="2581">
        <v>0</v>
      </c>
      <c r="K513" s="2581">
        <v>0</v>
      </c>
      <c r="L513" s="2581">
        <v>0</v>
      </c>
      <c r="M513" s="2581">
        <v>0</v>
      </c>
      <c r="N513" s="2581">
        <v>0</v>
      </c>
      <c r="O513" s="2581">
        <v>0</v>
      </c>
      <c r="P513" s="2581">
        <v>0</v>
      </c>
      <c r="Q513" s="2161">
        <f t="shared" si="228"/>
        <v>0</v>
      </c>
      <c r="R513" s="1891">
        <f t="shared" si="229"/>
        <v>0</v>
      </c>
      <c r="S513" s="1891">
        <v>0</v>
      </c>
    </row>
    <row r="514" spans="1:19" s="2070" customFormat="1">
      <c r="A514" s="1902"/>
      <c r="B514" s="2727" t="s">
        <v>50</v>
      </c>
      <c r="C514" s="200" t="s">
        <v>74</v>
      </c>
      <c r="D514" s="1964">
        <f>TARGET!D509</f>
        <v>0</v>
      </c>
      <c r="E514" s="2581">
        <v>0</v>
      </c>
      <c r="F514" s="2581">
        <v>0</v>
      </c>
      <c r="G514" s="2581">
        <v>0</v>
      </c>
      <c r="H514" s="2581">
        <v>0</v>
      </c>
      <c r="I514" s="2581">
        <v>0</v>
      </c>
      <c r="J514" s="2581">
        <v>0</v>
      </c>
      <c r="K514" s="2581">
        <v>0</v>
      </c>
      <c r="L514" s="2581">
        <v>0</v>
      </c>
      <c r="M514" s="2581">
        <v>0</v>
      </c>
      <c r="N514" s="2581">
        <v>0</v>
      </c>
      <c r="O514" s="2581">
        <v>0</v>
      </c>
      <c r="P514" s="2581">
        <v>0</v>
      </c>
      <c r="Q514" s="2161">
        <f t="shared" si="228"/>
        <v>0</v>
      </c>
      <c r="R514" s="1891">
        <f t="shared" si="229"/>
        <v>0</v>
      </c>
      <c r="S514" s="1891">
        <v>0</v>
      </c>
    </row>
    <row r="515" spans="1:19" s="2070" customFormat="1">
      <c r="A515" s="1902"/>
      <c r="B515" s="2727" t="s">
        <v>50</v>
      </c>
      <c r="C515" s="206" t="s">
        <v>75</v>
      </c>
      <c r="D515" s="1964">
        <f>TARGET!D510</f>
        <v>0</v>
      </c>
      <c r="E515" s="2581">
        <v>0</v>
      </c>
      <c r="F515" s="2581">
        <v>0</v>
      </c>
      <c r="G515" s="2581">
        <v>0</v>
      </c>
      <c r="H515" s="2581">
        <v>0</v>
      </c>
      <c r="I515" s="2581">
        <v>0</v>
      </c>
      <c r="J515" s="2581">
        <v>0</v>
      </c>
      <c r="K515" s="2581">
        <v>0</v>
      </c>
      <c r="L515" s="2581">
        <v>0</v>
      </c>
      <c r="M515" s="2581">
        <v>0</v>
      </c>
      <c r="N515" s="2581">
        <v>0</v>
      </c>
      <c r="O515" s="2581">
        <v>0</v>
      </c>
      <c r="P515" s="2581">
        <v>0</v>
      </c>
      <c r="Q515" s="2161">
        <f t="shared" si="228"/>
        <v>0</v>
      </c>
      <c r="R515" s="1891">
        <f t="shared" si="229"/>
        <v>0</v>
      </c>
      <c r="S515" s="1891">
        <v>0</v>
      </c>
    </row>
    <row r="516" spans="1:19" s="2070" customFormat="1">
      <c r="A516" s="1902"/>
      <c r="B516" s="2727" t="s">
        <v>50</v>
      </c>
      <c r="C516" s="206" t="s">
        <v>85</v>
      </c>
      <c r="D516" s="1964">
        <f>TARGET!D511</f>
        <v>0</v>
      </c>
      <c r="E516" s="2581">
        <v>0</v>
      </c>
      <c r="F516" s="2581">
        <v>0</v>
      </c>
      <c r="G516" s="2581">
        <v>0</v>
      </c>
      <c r="H516" s="2581">
        <v>0</v>
      </c>
      <c r="I516" s="2581">
        <v>0</v>
      </c>
      <c r="J516" s="2581">
        <v>0</v>
      </c>
      <c r="K516" s="2581">
        <v>0</v>
      </c>
      <c r="L516" s="2581">
        <v>0</v>
      </c>
      <c r="M516" s="2581">
        <v>0</v>
      </c>
      <c r="N516" s="2581">
        <v>0</v>
      </c>
      <c r="O516" s="2581">
        <v>0</v>
      </c>
      <c r="P516" s="2581">
        <v>0</v>
      </c>
      <c r="Q516" s="2161">
        <f t="shared" si="228"/>
        <v>0</v>
      </c>
      <c r="R516" s="1891">
        <f t="shared" si="229"/>
        <v>0</v>
      </c>
      <c r="S516" s="1891">
        <v>0</v>
      </c>
    </row>
    <row r="517" spans="1:19" s="2070" customFormat="1" ht="5.35" customHeight="1">
      <c r="A517" s="1465"/>
      <c r="B517" s="2117"/>
      <c r="C517" s="2117"/>
      <c r="D517" s="2310"/>
      <c r="E517" s="2310"/>
      <c r="F517" s="2310"/>
      <c r="G517" s="2310"/>
      <c r="H517" s="2310"/>
      <c r="I517" s="2310"/>
      <c r="J517" s="2310"/>
      <c r="K517" s="2310"/>
      <c r="L517" s="2310"/>
      <c r="M517" s="2310"/>
      <c r="N517" s="2310"/>
      <c r="O517" s="2310"/>
      <c r="P517" s="2310"/>
      <c r="Q517" s="2311"/>
      <c r="R517" s="2311"/>
      <c r="S517" s="2311"/>
    </row>
    <row r="518" spans="1:19" s="2070" customFormat="1" ht="15.65">
      <c r="A518" s="2528" t="s">
        <v>305</v>
      </c>
      <c r="B518" s="2093" t="s">
        <v>306</v>
      </c>
      <c r="C518" s="2195"/>
      <c r="D518" s="2306">
        <f t="shared" ref="D518:P518" si="231">D520</f>
        <v>18548560000</v>
      </c>
      <c r="E518" s="2306">
        <f t="shared" si="231"/>
        <v>0</v>
      </c>
      <c r="F518" s="2306">
        <f t="shared" si="231"/>
        <v>0</v>
      </c>
      <c r="G518" s="2306">
        <f t="shared" si="231"/>
        <v>0</v>
      </c>
      <c r="H518" s="2306">
        <f t="shared" si="231"/>
        <v>0</v>
      </c>
      <c r="I518" s="2306">
        <f t="shared" si="231"/>
        <v>0</v>
      </c>
      <c r="J518" s="2306">
        <f t="shared" si="231"/>
        <v>0</v>
      </c>
      <c r="K518" s="2306">
        <f t="shared" si="231"/>
        <v>0</v>
      </c>
      <c r="L518" s="2306">
        <f t="shared" si="231"/>
        <v>0</v>
      </c>
      <c r="M518" s="2306">
        <f t="shared" si="231"/>
        <v>0</v>
      </c>
      <c r="N518" s="2306">
        <f t="shared" si="231"/>
        <v>0</v>
      </c>
      <c r="O518" s="2306">
        <f t="shared" si="231"/>
        <v>0</v>
      </c>
      <c r="P518" s="2306">
        <f t="shared" si="231"/>
        <v>0</v>
      </c>
      <c r="Q518" s="2431">
        <f>SUM(E518:P518)</f>
        <v>0</v>
      </c>
      <c r="R518" s="2147">
        <f>Q518-D518</f>
        <v>-18548560000</v>
      </c>
      <c r="S518" s="2147">
        <v>0</v>
      </c>
    </row>
    <row r="519" spans="1:19" s="2070" customFormat="1" ht="5.35" customHeight="1">
      <c r="A519" s="2529"/>
      <c r="B519" s="2438"/>
      <c r="C519" s="2438"/>
      <c r="D519" s="2439"/>
      <c r="E519" s="2439"/>
      <c r="F519" s="2439"/>
      <c r="G519" s="2439"/>
      <c r="H519" s="2439"/>
      <c r="I519" s="2439"/>
      <c r="J519" s="2439"/>
      <c r="K519" s="2439"/>
      <c r="L519" s="2439"/>
      <c r="M519" s="2439"/>
      <c r="N519" s="2439"/>
      <c r="O519" s="2439"/>
      <c r="P519" s="2439"/>
      <c r="Q519" s="2447"/>
      <c r="R519" s="2447"/>
      <c r="S519" s="2447"/>
    </row>
    <row r="520" spans="1:19" s="2070" customFormat="1">
      <c r="A520" s="1854"/>
      <c r="B520" s="202" t="s">
        <v>71</v>
      </c>
      <c r="C520" s="202"/>
      <c r="D520" s="2307">
        <f t="shared" ref="D520:P520" si="232">D523+D534+D545+D560+D562+D564+D574</f>
        <v>18548560000</v>
      </c>
      <c r="E520" s="2307">
        <f t="shared" si="232"/>
        <v>0</v>
      </c>
      <c r="F520" s="2307">
        <f t="shared" si="232"/>
        <v>0</v>
      </c>
      <c r="G520" s="2307">
        <f t="shared" si="232"/>
        <v>0</v>
      </c>
      <c r="H520" s="2307">
        <f t="shared" si="232"/>
        <v>0</v>
      </c>
      <c r="I520" s="2307">
        <f t="shared" si="232"/>
        <v>0</v>
      </c>
      <c r="J520" s="2307">
        <f t="shared" si="232"/>
        <v>0</v>
      </c>
      <c r="K520" s="2307">
        <f t="shared" si="232"/>
        <v>0</v>
      </c>
      <c r="L520" s="2307">
        <f t="shared" si="232"/>
        <v>0</v>
      </c>
      <c r="M520" s="2307">
        <f t="shared" si="232"/>
        <v>0</v>
      </c>
      <c r="N520" s="2307">
        <f t="shared" si="232"/>
        <v>0</v>
      </c>
      <c r="O520" s="2307">
        <f t="shared" si="232"/>
        <v>0</v>
      </c>
      <c r="P520" s="2307">
        <f t="shared" si="232"/>
        <v>0</v>
      </c>
      <c r="Q520" s="2161">
        <f t="shared" ref="Q520:Q575" si="233">SUM(E520:P520)</f>
        <v>0</v>
      </c>
      <c r="R520" s="1891">
        <f t="shared" ref="R520:S575" si="234">Q520-D520</f>
        <v>-18548560000</v>
      </c>
      <c r="S520" s="1891">
        <v>0</v>
      </c>
    </row>
    <row r="521" spans="1:19" s="2070" customFormat="1" ht="4.55" customHeight="1">
      <c r="A521" s="1854"/>
      <c r="B521" s="202"/>
      <c r="C521" s="202"/>
      <c r="D521" s="2307"/>
      <c r="E521" s="2307"/>
      <c r="F521" s="2307"/>
      <c r="G521" s="2307"/>
      <c r="H521" s="2307"/>
      <c r="I521" s="2307"/>
      <c r="J521" s="2307"/>
      <c r="K521" s="2307"/>
      <c r="L521" s="2307"/>
      <c r="M521" s="2307"/>
      <c r="N521" s="2307"/>
      <c r="O521" s="2307"/>
      <c r="P521" s="2307"/>
      <c r="Q521" s="2161">
        <f t="shared" si="233"/>
        <v>0</v>
      </c>
      <c r="R521" s="1891">
        <f t="shared" si="234"/>
        <v>0</v>
      </c>
      <c r="S521" s="1891">
        <f t="shared" si="234"/>
        <v>0</v>
      </c>
    </row>
    <row r="522" spans="1:19" s="2070" customFormat="1">
      <c r="A522" s="1854"/>
      <c r="B522" s="202" t="s">
        <v>307</v>
      </c>
      <c r="C522" s="200"/>
      <c r="D522" s="2307">
        <f t="shared" ref="D522:P522" si="235">D523+D534</f>
        <v>18548560000</v>
      </c>
      <c r="E522" s="2307">
        <f t="shared" si="235"/>
        <v>0</v>
      </c>
      <c r="F522" s="2307">
        <f t="shared" si="235"/>
        <v>0</v>
      </c>
      <c r="G522" s="2307">
        <f t="shared" si="235"/>
        <v>0</v>
      </c>
      <c r="H522" s="2307">
        <f t="shared" si="235"/>
        <v>0</v>
      </c>
      <c r="I522" s="2307">
        <f t="shared" si="235"/>
        <v>0</v>
      </c>
      <c r="J522" s="2307">
        <f t="shared" si="235"/>
        <v>0</v>
      </c>
      <c r="K522" s="2307">
        <f t="shared" si="235"/>
        <v>0</v>
      </c>
      <c r="L522" s="2307">
        <f t="shared" si="235"/>
        <v>0</v>
      </c>
      <c r="M522" s="2307">
        <f t="shared" si="235"/>
        <v>0</v>
      </c>
      <c r="N522" s="2307">
        <f t="shared" si="235"/>
        <v>0</v>
      </c>
      <c r="O522" s="2307">
        <f t="shared" si="235"/>
        <v>0</v>
      </c>
      <c r="P522" s="2307">
        <f t="shared" si="235"/>
        <v>0</v>
      </c>
      <c r="Q522" s="2161">
        <f t="shared" si="233"/>
        <v>0</v>
      </c>
      <c r="R522" s="1891">
        <f t="shared" si="234"/>
        <v>-18548560000</v>
      </c>
      <c r="S522" s="1891">
        <v>0</v>
      </c>
    </row>
    <row r="523" spans="1:19" s="2070" customFormat="1" ht="15.05">
      <c r="A523" s="1854" t="s">
        <v>308</v>
      </c>
      <c r="B523" s="202" t="s">
        <v>309</v>
      </c>
      <c r="C523" s="202"/>
      <c r="D523" s="2449">
        <f t="shared" ref="D523:P523" si="236">SUM(D524:D532)</f>
        <v>18448560000</v>
      </c>
      <c r="E523" s="2449">
        <f t="shared" si="236"/>
        <v>0</v>
      </c>
      <c r="F523" s="2449">
        <f t="shared" si="236"/>
        <v>0</v>
      </c>
      <c r="G523" s="2449">
        <f t="shared" si="236"/>
        <v>0</v>
      </c>
      <c r="H523" s="2449">
        <f t="shared" si="236"/>
        <v>0</v>
      </c>
      <c r="I523" s="2449">
        <f t="shared" si="236"/>
        <v>0</v>
      </c>
      <c r="J523" s="2449">
        <f t="shared" si="236"/>
        <v>0</v>
      </c>
      <c r="K523" s="2449">
        <f t="shared" si="236"/>
        <v>0</v>
      </c>
      <c r="L523" s="2449">
        <f t="shared" si="236"/>
        <v>0</v>
      </c>
      <c r="M523" s="2449">
        <f t="shared" si="236"/>
        <v>0</v>
      </c>
      <c r="N523" s="2449">
        <f t="shared" si="236"/>
        <v>0</v>
      </c>
      <c r="O523" s="2449">
        <f t="shared" si="236"/>
        <v>0</v>
      </c>
      <c r="P523" s="2449">
        <f t="shared" si="236"/>
        <v>0</v>
      </c>
      <c r="Q523" s="2156">
        <f t="shared" si="233"/>
        <v>0</v>
      </c>
      <c r="R523" s="1749">
        <f t="shared" si="234"/>
        <v>-18448560000</v>
      </c>
      <c r="S523" s="1891">
        <v>0</v>
      </c>
    </row>
    <row r="524" spans="1:19" s="2070" customFormat="1">
      <c r="A524" s="1854"/>
      <c r="B524" s="213">
        <v>1</v>
      </c>
      <c r="C524" s="200" t="s">
        <v>310</v>
      </c>
      <c r="D524" s="1964">
        <f>TARGET!D519</f>
        <v>18448560000</v>
      </c>
      <c r="E524" s="2581">
        <v>0</v>
      </c>
      <c r="F524" s="2581">
        <v>0</v>
      </c>
      <c r="G524" s="2581">
        <v>0</v>
      </c>
      <c r="H524" s="2581">
        <v>0</v>
      </c>
      <c r="I524" s="2581">
        <v>0</v>
      </c>
      <c r="J524" s="2581">
        <v>0</v>
      </c>
      <c r="K524" s="2581">
        <v>0</v>
      </c>
      <c r="L524" s="2581">
        <v>0</v>
      </c>
      <c r="M524" s="2581">
        <v>0</v>
      </c>
      <c r="N524" s="2581">
        <v>0</v>
      </c>
      <c r="O524" s="2581">
        <v>0</v>
      </c>
      <c r="P524" s="2581">
        <v>0</v>
      </c>
      <c r="Q524" s="2161">
        <f t="shared" si="233"/>
        <v>0</v>
      </c>
      <c r="R524" s="1891">
        <f t="shared" si="234"/>
        <v>-18448560000</v>
      </c>
      <c r="S524" s="1891">
        <v>0</v>
      </c>
    </row>
    <row r="525" spans="1:19" s="2070" customFormat="1">
      <c r="A525" s="1854"/>
      <c r="B525" s="213">
        <v>2</v>
      </c>
      <c r="C525" s="200" t="s">
        <v>311</v>
      </c>
      <c r="D525" s="1964">
        <f>TARGET!D520</f>
        <v>0</v>
      </c>
      <c r="E525" s="2581">
        <v>0</v>
      </c>
      <c r="F525" s="2581">
        <v>0</v>
      </c>
      <c r="G525" s="2581">
        <v>0</v>
      </c>
      <c r="H525" s="2581">
        <v>0</v>
      </c>
      <c r="I525" s="2581">
        <v>0</v>
      </c>
      <c r="J525" s="2581">
        <v>0</v>
      </c>
      <c r="K525" s="2581">
        <v>0</v>
      </c>
      <c r="L525" s="2581">
        <v>0</v>
      </c>
      <c r="M525" s="2581">
        <v>0</v>
      </c>
      <c r="N525" s="2581">
        <v>0</v>
      </c>
      <c r="O525" s="2581">
        <v>0</v>
      </c>
      <c r="P525" s="2581">
        <v>0</v>
      </c>
      <c r="Q525" s="2161">
        <f t="shared" si="233"/>
        <v>0</v>
      </c>
      <c r="R525" s="1891">
        <f t="shared" si="234"/>
        <v>0</v>
      </c>
      <c r="S525" s="1891">
        <v>0</v>
      </c>
    </row>
    <row r="526" spans="1:19" s="2070" customFormat="1">
      <c r="A526" s="1854"/>
      <c r="B526" s="213">
        <v>3</v>
      </c>
      <c r="C526" s="200" t="s">
        <v>312</v>
      </c>
      <c r="D526" s="1964">
        <f>TARGET!D521</f>
        <v>0</v>
      </c>
      <c r="E526" s="2581">
        <v>0</v>
      </c>
      <c r="F526" s="2581">
        <v>0</v>
      </c>
      <c r="G526" s="2581">
        <v>0</v>
      </c>
      <c r="H526" s="2581">
        <v>0</v>
      </c>
      <c r="I526" s="2581">
        <v>0</v>
      </c>
      <c r="J526" s="2581">
        <v>0</v>
      </c>
      <c r="K526" s="2581">
        <v>0</v>
      </c>
      <c r="L526" s="2581">
        <v>0</v>
      </c>
      <c r="M526" s="2581">
        <v>0</v>
      </c>
      <c r="N526" s="2581">
        <v>0</v>
      </c>
      <c r="O526" s="2581">
        <v>0</v>
      </c>
      <c r="P526" s="2581">
        <v>0</v>
      </c>
      <c r="Q526" s="2161">
        <f t="shared" si="233"/>
        <v>0</v>
      </c>
      <c r="R526" s="1891">
        <f t="shared" si="234"/>
        <v>0</v>
      </c>
      <c r="S526" s="1891">
        <v>0</v>
      </c>
    </row>
    <row r="527" spans="1:19" s="2070" customFormat="1">
      <c r="A527" s="1854"/>
      <c r="B527" s="213">
        <v>4</v>
      </c>
      <c r="C527" s="200" t="s">
        <v>313</v>
      </c>
      <c r="D527" s="1964">
        <f>TARGET!D522</f>
        <v>0</v>
      </c>
      <c r="E527" s="2581">
        <v>0</v>
      </c>
      <c r="F527" s="2581">
        <v>0</v>
      </c>
      <c r="G527" s="2581">
        <v>0</v>
      </c>
      <c r="H527" s="2581">
        <v>0</v>
      </c>
      <c r="I527" s="2581">
        <v>0</v>
      </c>
      <c r="J527" s="2581">
        <v>0</v>
      </c>
      <c r="K527" s="2581">
        <v>0</v>
      </c>
      <c r="L527" s="2581">
        <v>0</v>
      </c>
      <c r="M527" s="2581">
        <v>0</v>
      </c>
      <c r="N527" s="2581">
        <v>0</v>
      </c>
      <c r="O527" s="2581">
        <v>0</v>
      </c>
      <c r="P527" s="2581">
        <v>0</v>
      </c>
      <c r="Q527" s="2161">
        <f t="shared" si="233"/>
        <v>0</v>
      </c>
      <c r="R527" s="1891">
        <f t="shared" si="234"/>
        <v>0</v>
      </c>
      <c r="S527" s="1891">
        <v>0</v>
      </c>
    </row>
    <row r="528" spans="1:19" s="2070" customFormat="1">
      <c r="A528" s="1854"/>
      <c r="B528" s="213">
        <v>5</v>
      </c>
      <c r="C528" s="200" t="s">
        <v>314</v>
      </c>
      <c r="D528" s="1964">
        <f>TARGET!D523</f>
        <v>0</v>
      </c>
      <c r="E528" s="2581">
        <v>0</v>
      </c>
      <c r="F528" s="2581">
        <v>0</v>
      </c>
      <c r="G528" s="2581">
        <v>0</v>
      </c>
      <c r="H528" s="2581">
        <v>0</v>
      </c>
      <c r="I528" s="2581">
        <v>0</v>
      </c>
      <c r="J528" s="2581">
        <v>0</v>
      </c>
      <c r="K528" s="2581">
        <v>0</v>
      </c>
      <c r="L528" s="2581">
        <v>0</v>
      </c>
      <c r="M528" s="2581">
        <v>0</v>
      </c>
      <c r="N528" s="2581">
        <v>0</v>
      </c>
      <c r="O528" s="2581">
        <v>0</v>
      </c>
      <c r="P528" s="2581">
        <v>0</v>
      </c>
      <c r="Q528" s="2161">
        <f t="shared" si="233"/>
        <v>0</v>
      </c>
      <c r="R528" s="1891">
        <f t="shared" si="234"/>
        <v>0</v>
      </c>
      <c r="S528" s="1891">
        <v>0</v>
      </c>
    </row>
    <row r="529" spans="1:19" s="2070" customFormat="1">
      <c r="A529" s="1854"/>
      <c r="B529" s="213">
        <v>6</v>
      </c>
      <c r="C529" s="200" t="s">
        <v>315</v>
      </c>
      <c r="D529" s="1964">
        <f>TARGET!D524</f>
        <v>0</v>
      </c>
      <c r="E529" s="2581">
        <v>0</v>
      </c>
      <c r="F529" s="2581">
        <v>0</v>
      </c>
      <c r="G529" s="2581">
        <v>0</v>
      </c>
      <c r="H529" s="2581">
        <v>0</v>
      </c>
      <c r="I529" s="2581">
        <v>0</v>
      </c>
      <c r="J529" s="2581">
        <v>0</v>
      </c>
      <c r="K529" s="2581">
        <v>0</v>
      </c>
      <c r="L529" s="2581">
        <v>0</v>
      </c>
      <c r="M529" s="2581">
        <v>0</v>
      </c>
      <c r="N529" s="2581">
        <v>0</v>
      </c>
      <c r="O529" s="2581">
        <v>0</v>
      </c>
      <c r="P529" s="2581">
        <v>0</v>
      </c>
      <c r="Q529" s="2161">
        <f t="shared" si="233"/>
        <v>0</v>
      </c>
      <c r="R529" s="1891">
        <f t="shared" si="234"/>
        <v>0</v>
      </c>
      <c r="S529" s="1891">
        <v>0</v>
      </c>
    </row>
    <row r="530" spans="1:19" s="2070" customFormat="1">
      <c r="A530" s="1854"/>
      <c r="B530" s="213">
        <v>7</v>
      </c>
      <c r="C530" s="200" t="s">
        <v>316</v>
      </c>
      <c r="D530" s="1964">
        <f>TARGET!D525</f>
        <v>0</v>
      </c>
      <c r="E530" s="2581">
        <v>0</v>
      </c>
      <c r="F530" s="2581">
        <v>0</v>
      </c>
      <c r="G530" s="2581">
        <v>0</v>
      </c>
      <c r="H530" s="2581">
        <v>0</v>
      </c>
      <c r="I530" s="2581">
        <v>0</v>
      </c>
      <c r="J530" s="2581">
        <v>0</v>
      </c>
      <c r="K530" s="2581">
        <v>0</v>
      </c>
      <c r="L530" s="2581">
        <v>0</v>
      </c>
      <c r="M530" s="2581">
        <v>0</v>
      </c>
      <c r="N530" s="2581">
        <v>0</v>
      </c>
      <c r="O530" s="2581">
        <v>0</v>
      </c>
      <c r="P530" s="2581">
        <v>0</v>
      </c>
      <c r="Q530" s="2161">
        <f t="shared" si="233"/>
        <v>0</v>
      </c>
      <c r="R530" s="1891">
        <f t="shared" si="234"/>
        <v>0</v>
      </c>
      <c r="S530" s="1891">
        <v>0</v>
      </c>
    </row>
    <row r="531" spans="1:19" s="2070" customFormat="1">
      <c r="A531" s="1854"/>
      <c r="B531" s="213">
        <v>8</v>
      </c>
      <c r="C531" s="200" t="s">
        <v>317</v>
      </c>
      <c r="D531" s="1964">
        <f>TARGET!D526</f>
        <v>0</v>
      </c>
      <c r="E531" s="2581">
        <v>0</v>
      </c>
      <c r="F531" s="2581">
        <v>0</v>
      </c>
      <c r="G531" s="2581">
        <v>0</v>
      </c>
      <c r="H531" s="2581">
        <v>0</v>
      </c>
      <c r="I531" s="2581">
        <v>0</v>
      </c>
      <c r="J531" s="2581">
        <v>0</v>
      </c>
      <c r="K531" s="2581">
        <v>0</v>
      </c>
      <c r="L531" s="2581">
        <v>0</v>
      </c>
      <c r="M531" s="2581">
        <v>0</v>
      </c>
      <c r="N531" s="2581">
        <v>0</v>
      </c>
      <c r="O531" s="2581">
        <v>0</v>
      </c>
      <c r="P531" s="2581">
        <v>0</v>
      </c>
      <c r="Q531" s="2161">
        <f t="shared" si="233"/>
        <v>0</v>
      </c>
      <c r="R531" s="1891">
        <f t="shared" si="234"/>
        <v>0</v>
      </c>
      <c r="S531" s="1891">
        <v>0</v>
      </c>
    </row>
    <row r="532" spans="1:19" s="2070" customFormat="1">
      <c r="A532" s="1854"/>
      <c r="B532" s="213">
        <v>9</v>
      </c>
      <c r="C532" s="200" t="s">
        <v>318</v>
      </c>
      <c r="D532" s="1964">
        <f>TARGET!D527</f>
        <v>0</v>
      </c>
      <c r="E532" s="2581">
        <v>0</v>
      </c>
      <c r="F532" s="2581">
        <v>0</v>
      </c>
      <c r="G532" s="2581">
        <v>0</v>
      </c>
      <c r="H532" s="2581">
        <v>0</v>
      </c>
      <c r="I532" s="2581">
        <v>0</v>
      </c>
      <c r="J532" s="2581">
        <v>0</v>
      </c>
      <c r="K532" s="2581">
        <v>0</v>
      </c>
      <c r="L532" s="2581">
        <v>0</v>
      </c>
      <c r="M532" s="2581">
        <v>0</v>
      </c>
      <c r="N532" s="2581">
        <v>0</v>
      </c>
      <c r="O532" s="2581">
        <v>0</v>
      </c>
      <c r="P532" s="2581">
        <v>0</v>
      </c>
      <c r="Q532" s="2161">
        <f t="shared" si="233"/>
        <v>0</v>
      </c>
      <c r="R532" s="1891">
        <f t="shared" si="234"/>
        <v>0</v>
      </c>
      <c r="S532" s="1891">
        <v>0</v>
      </c>
    </row>
    <row r="533" spans="1:19" s="2070" customFormat="1" ht="7.55" customHeight="1">
      <c r="A533" s="1854"/>
      <c r="B533" s="213"/>
      <c r="C533" s="200"/>
      <c r="D533" s="2282"/>
      <c r="E533" s="2282"/>
      <c r="F533" s="2282"/>
      <c r="G533" s="2282"/>
      <c r="H533" s="2282"/>
      <c r="I533" s="2282"/>
      <c r="J533" s="2282"/>
      <c r="K533" s="2282"/>
      <c r="L533" s="2282"/>
      <c r="M533" s="2282"/>
      <c r="N533" s="2282"/>
      <c r="O533" s="2282"/>
      <c r="P533" s="2282"/>
      <c r="Q533" s="2161">
        <f t="shared" si="233"/>
        <v>0</v>
      </c>
      <c r="R533" s="1891">
        <f t="shared" si="234"/>
        <v>0</v>
      </c>
      <c r="S533" s="1891">
        <f t="shared" si="234"/>
        <v>0</v>
      </c>
    </row>
    <row r="534" spans="1:19" s="2070" customFormat="1" ht="15.05">
      <c r="A534" s="1854" t="s">
        <v>308</v>
      </c>
      <c r="B534" s="202" t="s">
        <v>319</v>
      </c>
      <c r="C534" s="202"/>
      <c r="D534" s="2452">
        <f t="shared" ref="D534:P534" si="237">SUM(D535:D543)</f>
        <v>100000000</v>
      </c>
      <c r="E534" s="2452">
        <f t="shared" si="237"/>
        <v>0</v>
      </c>
      <c r="F534" s="2452">
        <f t="shared" si="237"/>
        <v>0</v>
      </c>
      <c r="G534" s="2452">
        <f t="shared" si="237"/>
        <v>0</v>
      </c>
      <c r="H534" s="2452">
        <f t="shared" si="237"/>
        <v>0</v>
      </c>
      <c r="I534" s="2452">
        <f t="shared" si="237"/>
        <v>0</v>
      </c>
      <c r="J534" s="2452">
        <f t="shared" si="237"/>
        <v>0</v>
      </c>
      <c r="K534" s="2452">
        <f t="shared" si="237"/>
        <v>0</v>
      </c>
      <c r="L534" s="2452">
        <f t="shared" si="237"/>
        <v>0</v>
      </c>
      <c r="M534" s="2452">
        <f t="shared" si="237"/>
        <v>0</v>
      </c>
      <c r="N534" s="2452">
        <f t="shared" si="237"/>
        <v>0</v>
      </c>
      <c r="O534" s="2452">
        <f t="shared" si="237"/>
        <v>0</v>
      </c>
      <c r="P534" s="2452">
        <f t="shared" si="237"/>
        <v>0</v>
      </c>
      <c r="Q534" s="2156">
        <f t="shared" si="233"/>
        <v>0</v>
      </c>
      <c r="R534" s="1749">
        <f t="shared" si="234"/>
        <v>-100000000</v>
      </c>
      <c r="S534" s="1891">
        <v>0</v>
      </c>
    </row>
    <row r="535" spans="1:19" s="2070" customFormat="1">
      <c r="A535" s="1854"/>
      <c r="B535" s="213">
        <v>1</v>
      </c>
      <c r="C535" s="200" t="s">
        <v>310</v>
      </c>
      <c r="D535" s="1964">
        <f>TARGET!D530</f>
        <v>100000000</v>
      </c>
      <c r="E535" s="2581">
        <v>0</v>
      </c>
      <c r="F535" s="2581">
        <v>0</v>
      </c>
      <c r="G535" s="2581">
        <v>0</v>
      </c>
      <c r="H535" s="2581">
        <v>0</v>
      </c>
      <c r="I535" s="2581">
        <v>0</v>
      </c>
      <c r="J535" s="2581">
        <v>0</v>
      </c>
      <c r="K535" s="2581">
        <v>0</v>
      </c>
      <c r="L535" s="2581">
        <v>0</v>
      </c>
      <c r="M535" s="2581">
        <v>0</v>
      </c>
      <c r="N535" s="2581">
        <v>0</v>
      </c>
      <c r="O535" s="2581">
        <v>0</v>
      </c>
      <c r="P535" s="2581">
        <v>0</v>
      </c>
      <c r="Q535" s="2161">
        <f t="shared" si="233"/>
        <v>0</v>
      </c>
      <c r="R535" s="1891">
        <f t="shared" si="234"/>
        <v>-100000000</v>
      </c>
      <c r="S535" s="1891">
        <v>0</v>
      </c>
    </row>
    <row r="536" spans="1:19" s="2070" customFormat="1">
      <c r="A536" s="1854"/>
      <c r="B536" s="213">
        <v>2</v>
      </c>
      <c r="C536" s="200" t="s">
        <v>311</v>
      </c>
      <c r="D536" s="1964">
        <f>TARGET!D531</f>
        <v>0</v>
      </c>
      <c r="E536" s="2581">
        <v>0</v>
      </c>
      <c r="F536" s="2581">
        <v>0</v>
      </c>
      <c r="G536" s="2581">
        <v>0</v>
      </c>
      <c r="H536" s="2581">
        <v>0</v>
      </c>
      <c r="I536" s="2581">
        <v>0</v>
      </c>
      <c r="J536" s="2581">
        <v>0</v>
      </c>
      <c r="K536" s="2581">
        <v>0</v>
      </c>
      <c r="L536" s="2581">
        <v>0</v>
      </c>
      <c r="M536" s="2581">
        <v>0</v>
      </c>
      <c r="N536" s="2581">
        <v>0</v>
      </c>
      <c r="O536" s="2581">
        <v>0</v>
      </c>
      <c r="P536" s="2581">
        <v>0</v>
      </c>
      <c r="Q536" s="2161">
        <f t="shared" si="233"/>
        <v>0</v>
      </c>
      <c r="R536" s="1891">
        <f t="shared" si="234"/>
        <v>0</v>
      </c>
      <c r="S536" s="1891">
        <v>0</v>
      </c>
    </row>
    <row r="537" spans="1:19" s="2070" customFormat="1">
      <c r="A537" s="1854"/>
      <c r="B537" s="213">
        <v>3</v>
      </c>
      <c r="C537" s="200" t="s">
        <v>312</v>
      </c>
      <c r="D537" s="1964">
        <f>TARGET!D532</f>
        <v>0</v>
      </c>
      <c r="E537" s="2581">
        <v>0</v>
      </c>
      <c r="F537" s="2581">
        <v>0</v>
      </c>
      <c r="G537" s="2581">
        <v>0</v>
      </c>
      <c r="H537" s="2581">
        <v>0</v>
      </c>
      <c r="I537" s="2581">
        <v>0</v>
      </c>
      <c r="J537" s="2581">
        <v>0</v>
      </c>
      <c r="K537" s="2581">
        <v>0</v>
      </c>
      <c r="L537" s="2581">
        <v>0</v>
      </c>
      <c r="M537" s="2581">
        <v>0</v>
      </c>
      <c r="N537" s="2581">
        <v>0</v>
      </c>
      <c r="O537" s="2581">
        <v>0</v>
      </c>
      <c r="P537" s="2581">
        <v>0</v>
      </c>
      <c r="Q537" s="2161">
        <f t="shared" si="233"/>
        <v>0</v>
      </c>
      <c r="R537" s="1891">
        <f t="shared" si="234"/>
        <v>0</v>
      </c>
      <c r="S537" s="1891">
        <v>0</v>
      </c>
    </row>
    <row r="538" spans="1:19" s="2070" customFormat="1">
      <c r="A538" s="1854"/>
      <c r="B538" s="213">
        <v>4</v>
      </c>
      <c r="C538" s="200" t="s">
        <v>313</v>
      </c>
      <c r="D538" s="1964">
        <f>TARGET!D533</f>
        <v>0</v>
      </c>
      <c r="E538" s="2581">
        <v>0</v>
      </c>
      <c r="F538" s="2581">
        <v>0</v>
      </c>
      <c r="G538" s="2581">
        <v>0</v>
      </c>
      <c r="H538" s="2581">
        <v>0</v>
      </c>
      <c r="I538" s="2581">
        <v>0</v>
      </c>
      <c r="J538" s="2581">
        <v>0</v>
      </c>
      <c r="K538" s="2581">
        <v>0</v>
      </c>
      <c r="L538" s="2581">
        <v>0</v>
      </c>
      <c r="M538" s="2581">
        <v>0</v>
      </c>
      <c r="N538" s="2581">
        <v>0</v>
      </c>
      <c r="O538" s="2581">
        <v>0</v>
      </c>
      <c r="P538" s="2581">
        <v>0</v>
      </c>
      <c r="Q538" s="2161">
        <f t="shared" si="233"/>
        <v>0</v>
      </c>
      <c r="R538" s="1891">
        <f t="shared" si="234"/>
        <v>0</v>
      </c>
      <c r="S538" s="1891">
        <v>0</v>
      </c>
    </row>
    <row r="539" spans="1:19" s="2070" customFormat="1">
      <c r="A539" s="1854"/>
      <c r="B539" s="213">
        <v>5</v>
      </c>
      <c r="C539" s="200" t="s">
        <v>314</v>
      </c>
      <c r="D539" s="1964">
        <f>TARGET!D534</f>
        <v>0</v>
      </c>
      <c r="E539" s="2581">
        <v>0</v>
      </c>
      <c r="F539" s="2581">
        <v>0</v>
      </c>
      <c r="G539" s="2581">
        <v>0</v>
      </c>
      <c r="H539" s="2581">
        <v>0</v>
      </c>
      <c r="I539" s="2581">
        <v>0</v>
      </c>
      <c r="J539" s="2581">
        <v>0</v>
      </c>
      <c r="K539" s="2581">
        <v>0</v>
      </c>
      <c r="L539" s="2581">
        <v>0</v>
      </c>
      <c r="M539" s="2581">
        <v>0</v>
      </c>
      <c r="N539" s="2581">
        <v>0</v>
      </c>
      <c r="O539" s="2581">
        <v>0</v>
      </c>
      <c r="P539" s="2581">
        <v>0</v>
      </c>
      <c r="Q539" s="2161">
        <f t="shared" si="233"/>
        <v>0</v>
      </c>
      <c r="R539" s="1891">
        <f t="shared" si="234"/>
        <v>0</v>
      </c>
      <c r="S539" s="1891">
        <v>0</v>
      </c>
    </row>
    <row r="540" spans="1:19" s="2070" customFormat="1">
      <c r="A540" s="1854"/>
      <c r="B540" s="213">
        <v>6</v>
      </c>
      <c r="C540" s="200" t="s">
        <v>315</v>
      </c>
      <c r="D540" s="1964">
        <f>TARGET!D535</f>
        <v>0</v>
      </c>
      <c r="E540" s="2581">
        <v>0</v>
      </c>
      <c r="F540" s="2581">
        <v>0</v>
      </c>
      <c r="G540" s="2581">
        <v>0</v>
      </c>
      <c r="H540" s="2581">
        <v>0</v>
      </c>
      <c r="I540" s="2581">
        <v>0</v>
      </c>
      <c r="J540" s="2581">
        <v>0</v>
      </c>
      <c r="K540" s="2581">
        <v>0</v>
      </c>
      <c r="L540" s="2581">
        <v>0</v>
      </c>
      <c r="M540" s="2581">
        <v>0</v>
      </c>
      <c r="N540" s="2581">
        <v>0</v>
      </c>
      <c r="O540" s="2581">
        <v>0</v>
      </c>
      <c r="P540" s="2581">
        <v>0</v>
      </c>
      <c r="Q540" s="2161">
        <f t="shared" si="233"/>
        <v>0</v>
      </c>
      <c r="R540" s="1891">
        <f t="shared" si="234"/>
        <v>0</v>
      </c>
      <c r="S540" s="1891">
        <v>0</v>
      </c>
    </row>
    <row r="541" spans="1:19" s="2070" customFormat="1">
      <c r="A541" s="1854"/>
      <c r="B541" s="213">
        <v>7</v>
      </c>
      <c r="C541" s="200" t="s">
        <v>316</v>
      </c>
      <c r="D541" s="1964">
        <f>TARGET!D536</f>
        <v>0</v>
      </c>
      <c r="E541" s="2581">
        <v>0</v>
      </c>
      <c r="F541" s="2581">
        <v>0</v>
      </c>
      <c r="G541" s="2581">
        <v>0</v>
      </c>
      <c r="H541" s="2581">
        <v>0</v>
      </c>
      <c r="I541" s="2581">
        <v>0</v>
      </c>
      <c r="J541" s="2581">
        <v>0</v>
      </c>
      <c r="K541" s="2581">
        <v>0</v>
      </c>
      <c r="L541" s="2581">
        <v>0</v>
      </c>
      <c r="M541" s="2581">
        <v>0</v>
      </c>
      <c r="N541" s="2581">
        <v>0</v>
      </c>
      <c r="O541" s="2581">
        <v>0</v>
      </c>
      <c r="P541" s="2581">
        <v>0</v>
      </c>
      <c r="Q541" s="2161">
        <f t="shared" si="233"/>
        <v>0</v>
      </c>
      <c r="R541" s="1891">
        <f t="shared" si="234"/>
        <v>0</v>
      </c>
      <c r="S541" s="1891">
        <v>0</v>
      </c>
    </row>
    <row r="542" spans="1:19" s="2070" customFormat="1">
      <c r="A542" s="1854"/>
      <c r="B542" s="213">
        <v>8</v>
      </c>
      <c r="C542" s="200" t="s">
        <v>317</v>
      </c>
      <c r="D542" s="1964">
        <f>TARGET!D537</f>
        <v>0</v>
      </c>
      <c r="E542" s="2581">
        <v>0</v>
      </c>
      <c r="F542" s="2581">
        <v>0</v>
      </c>
      <c r="G542" s="2581">
        <v>0</v>
      </c>
      <c r="H542" s="2581">
        <v>0</v>
      </c>
      <c r="I542" s="2581">
        <v>0</v>
      </c>
      <c r="J542" s="2581">
        <v>0</v>
      </c>
      <c r="K542" s="2581">
        <v>0</v>
      </c>
      <c r="L542" s="2581">
        <v>0</v>
      </c>
      <c r="M542" s="2581">
        <v>0</v>
      </c>
      <c r="N542" s="2581">
        <v>0</v>
      </c>
      <c r="O542" s="2581">
        <v>0</v>
      </c>
      <c r="P542" s="2581">
        <v>0</v>
      </c>
      <c r="Q542" s="2161">
        <f t="shared" si="233"/>
        <v>0</v>
      </c>
      <c r="R542" s="1891">
        <f t="shared" si="234"/>
        <v>0</v>
      </c>
      <c r="S542" s="1891">
        <v>0</v>
      </c>
    </row>
    <row r="543" spans="1:19" s="2070" customFormat="1">
      <c r="A543" s="1854"/>
      <c r="B543" s="213">
        <v>9</v>
      </c>
      <c r="C543" s="200" t="s">
        <v>318</v>
      </c>
      <c r="D543" s="1964">
        <f>TARGET!D538</f>
        <v>0</v>
      </c>
      <c r="E543" s="2581">
        <v>0</v>
      </c>
      <c r="F543" s="2581">
        <v>0</v>
      </c>
      <c r="G543" s="2581">
        <v>0</v>
      </c>
      <c r="H543" s="2581">
        <v>0</v>
      </c>
      <c r="I543" s="2581">
        <v>0</v>
      </c>
      <c r="J543" s="2581">
        <v>0</v>
      </c>
      <c r="K543" s="2581">
        <v>0</v>
      </c>
      <c r="L543" s="2581">
        <v>0</v>
      </c>
      <c r="M543" s="2581">
        <v>0</v>
      </c>
      <c r="N543" s="2581">
        <v>0</v>
      </c>
      <c r="O543" s="2581">
        <v>0</v>
      </c>
      <c r="P543" s="2581">
        <v>0</v>
      </c>
      <c r="Q543" s="2161">
        <f t="shared" si="233"/>
        <v>0</v>
      </c>
      <c r="R543" s="1891">
        <f t="shared" si="234"/>
        <v>0</v>
      </c>
      <c r="S543" s="1891">
        <v>0</v>
      </c>
    </row>
    <row r="544" spans="1:19" s="2070" customFormat="1" ht="4.55" customHeight="1">
      <c r="A544" s="1854"/>
      <c r="B544" s="213"/>
      <c r="C544" s="2453"/>
      <c r="D544" s="2282"/>
      <c r="E544" s="2282"/>
      <c r="F544" s="2282"/>
      <c r="G544" s="2282"/>
      <c r="H544" s="2282"/>
      <c r="I544" s="2282"/>
      <c r="J544" s="2282"/>
      <c r="K544" s="2282"/>
      <c r="L544" s="2282"/>
      <c r="M544" s="2282"/>
      <c r="N544" s="2282"/>
      <c r="O544" s="2282"/>
      <c r="P544" s="2282"/>
      <c r="Q544" s="2161">
        <f t="shared" si="233"/>
        <v>0</v>
      </c>
      <c r="R544" s="1891">
        <f t="shared" si="234"/>
        <v>0</v>
      </c>
      <c r="S544" s="1891">
        <f t="shared" si="234"/>
        <v>0</v>
      </c>
    </row>
    <row r="545" spans="1:19" s="2070" customFormat="1" ht="15.05">
      <c r="A545" s="1854" t="s">
        <v>308</v>
      </c>
      <c r="B545" s="202" t="s">
        <v>222</v>
      </c>
      <c r="C545" s="202"/>
      <c r="D545" s="2452">
        <f t="shared" ref="D545:P545" si="238">SUM(D546:D548)</f>
        <v>0</v>
      </c>
      <c r="E545" s="2452">
        <f t="shared" si="238"/>
        <v>0</v>
      </c>
      <c r="F545" s="2452">
        <f t="shared" si="238"/>
        <v>0</v>
      </c>
      <c r="G545" s="2452">
        <f t="shared" si="238"/>
        <v>0</v>
      </c>
      <c r="H545" s="2452">
        <f t="shared" si="238"/>
        <v>0</v>
      </c>
      <c r="I545" s="2452">
        <f t="shared" si="238"/>
        <v>0</v>
      </c>
      <c r="J545" s="2452">
        <f t="shared" si="238"/>
        <v>0</v>
      </c>
      <c r="K545" s="2452">
        <f t="shared" si="238"/>
        <v>0</v>
      </c>
      <c r="L545" s="2452">
        <f t="shared" si="238"/>
        <v>0</v>
      </c>
      <c r="M545" s="2452">
        <f t="shared" si="238"/>
        <v>0</v>
      </c>
      <c r="N545" s="2452">
        <f t="shared" si="238"/>
        <v>0</v>
      </c>
      <c r="O545" s="2452">
        <f t="shared" si="238"/>
        <v>0</v>
      </c>
      <c r="P545" s="2452">
        <f t="shared" si="238"/>
        <v>0</v>
      </c>
      <c r="Q545" s="2156">
        <f t="shared" si="233"/>
        <v>0</v>
      </c>
      <c r="R545" s="1749">
        <f t="shared" si="234"/>
        <v>0</v>
      </c>
      <c r="S545" s="1891">
        <v>0</v>
      </c>
    </row>
    <row r="546" spans="1:19" s="2070" customFormat="1">
      <c r="A546" s="1855"/>
      <c r="B546" s="2743" t="s">
        <v>50</v>
      </c>
      <c r="C546" s="200" t="s">
        <v>73</v>
      </c>
      <c r="D546" s="1964">
        <f>TARGET!D541</f>
        <v>0</v>
      </c>
      <c r="E546" s="2581">
        <v>0</v>
      </c>
      <c r="F546" s="2581">
        <v>0</v>
      </c>
      <c r="G546" s="2581">
        <v>0</v>
      </c>
      <c r="H546" s="2581">
        <v>0</v>
      </c>
      <c r="I546" s="2581">
        <v>0</v>
      </c>
      <c r="J546" s="2581">
        <v>0</v>
      </c>
      <c r="K546" s="2581">
        <v>0</v>
      </c>
      <c r="L546" s="2581">
        <v>0</v>
      </c>
      <c r="M546" s="2581">
        <v>0</v>
      </c>
      <c r="N546" s="2581">
        <v>0</v>
      </c>
      <c r="O546" s="2581">
        <v>0</v>
      </c>
      <c r="P546" s="2581">
        <v>0</v>
      </c>
      <c r="Q546" s="2161">
        <f t="shared" si="233"/>
        <v>0</v>
      </c>
      <c r="R546" s="1891">
        <f t="shared" si="234"/>
        <v>0</v>
      </c>
      <c r="S546" s="1891">
        <v>0</v>
      </c>
    </row>
    <row r="547" spans="1:19" s="2070" customFormat="1">
      <c r="A547" s="1855"/>
      <c r="B547" s="2743" t="s">
        <v>50</v>
      </c>
      <c r="C547" s="200" t="s">
        <v>74</v>
      </c>
      <c r="D547" s="1964">
        <f>TARGET!D542</f>
        <v>0</v>
      </c>
      <c r="E547" s="2581">
        <v>0</v>
      </c>
      <c r="F547" s="2581">
        <v>0</v>
      </c>
      <c r="G547" s="2581">
        <v>0</v>
      </c>
      <c r="H547" s="2581">
        <v>0</v>
      </c>
      <c r="I547" s="2581">
        <v>0</v>
      </c>
      <c r="J547" s="2581">
        <v>0</v>
      </c>
      <c r="K547" s="2581">
        <v>0</v>
      </c>
      <c r="L547" s="2581">
        <v>0</v>
      </c>
      <c r="M547" s="2581">
        <v>0</v>
      </c>
      <c r="N547" s="2581">
        <v>0</v>
      </c>
      <c r="O547" s="2581">
        <v>0</v>
      </c>
      <c r="P547" s="2581">
        <v>0</v>
      </c>
      <c r="Q547" s="2161">
        <f t="shared" si="233"/>
        <v>0</v>
      </c>
      <c r="R547" s="1891">
        <f t="shared" si="234"/>
        <v>0</v>
      </c>
      <c r="S547" s="1891">
        <v>0</v>
      </c>
    </row>
    <row r="548" spans="1:19" s="2070" customFormat="1" ht="15.05">
      <c r="A548" s="1855"/>
      <c r="B548" s="2743" t="s">
        <v>50</v>
      </c>
      <c r="C548" s="200" t="s">
        <v>75</v>
      </c>
      <c r="D548" s="2454">
        <f t="shared" ref="D548:P548" si="239">SUM(D549:D558)</f>
        <v>0</v>
      </c>
      <c r="E548" s="2454">
        <f t="shared" si="239"/>
        <v>0</v>
      </c>
      <c r="F548" s="2454">
        <f t="shared" si="239"/>
        <v>0</v>
      </c>
      <c r="G548" s="2454">
        <f t="shared" si="239"/>
        <v>0</v>
      </c>
      <c r="H548" s="2454">
        <f t="shared" si="239"/>
        <v>0</v>
      </c>
      <c r="I548" s="2454">
        <f t="shared" si="239"/>
        <v>0</v>
      </c>
      <c r="J548" s="2454">
        <f t="shared" si="239"/>
        <v>0</v>
      </c>
      <c r="K548" s="2454">
        <f t="shared" si="239"/>
        <v>0</v>
      </c>
      <c r="L548" s="2454">
        <f t="shared" si="239"/>
        <v>0</v>
      </c>
      <c r="M548" s="2454">
        <f t="shared" si="239"/>
        <v>0</v>
      </c>
      <c r="N548" s="2454">
        <f t="shared" si="239"/>
        <v>0</v>
      </c>
      <c r="O548" s="2454">
        <f t="shared" si="239"/>
        <v>0</v>
      </c>
      <c r="P548" s="2454">
        <f t="shared" si="239"/>
        <v>0</v>
      </c>
      <c r="Q548" s="2156">
        <f t="shared" si="233"/>
        <v>0</v>
      </c>
      <c r="R548" s="1749">
        <f t="shared" si="234"/>
        <v>0</v>
      </c>
      <c r="S548" s="1891">
        <v>0</v>
      </c>
    </row>
    <row r="549" spans="1:19" s="2070" customFormat="1">
      <c r="A549" s="1855"/>
      <c r="B549" s="213">
        <v>1</v>
      </c>
      <c r="C549" s="200" t="s">
        <v>320</v>
      </c>
      <c r="D549" s="1964">
        <f>TARGET!D544</f>
        <v>0</v>
      </c>
      <c r="E549" s="2581">
        <v>0</v>
      </c>
      <c r="F549" s="2581">
        <v>0</v>
      </c>
      <c r="G549" s="2581">
        <v>0</v>
      </c>
      <c r="H549" s="2581">
        <v>0</v>
      </c>
      <c r="I549" s="2581">
        <v>0</v>
      </c>
      <c r="J549" s="2581">
        <v>0</v>
      </c>
      <c r="K549" s="2581">
        <v>0</v>
      </c>
      <c r="L549" s="2581">
        <v>0</v>
      </c>
      <c r="M549" s="2581">
        <v>0</v>
      </c>
      <c r="N549" s="2581">
        <v>0</v>
      </c>
      <c r="O549" s="2581">
        <v>0</v>
      </c>
      <c r="P549" s="2581">
        <v>0</v>
      </c>
      <c r="Q549" s="2161">
        <f t="shared" si="233"/>
        <v>0</v>
      </c>
      <c r="R549" s="1891">
        <f t="shared" si="234"/>
        <v>0</v>
      </c>
      <c r="S549" s="1891">
        <v>0</v>
      </c>
    </row>
    <row r="550" spans="1:19" s="2070" customFormat="1">
      <c r="A550" s="1855"/>
      <c r="B550" s="213">
        <v>2</v>
      </c>
      <c r="C550" s="200" t="s">
        <v>310</v>
      </c>
      <c r="D550" s="1964">
        <f>TARGET!D545</f>
        <v>0</v>
      </c>
      <c r="E550" s="2581">
        <v>0</v>
      </c>
      <c r="F550" s="2581">
        <v>0</v>
      </c>
      <c r="G550" s="2581">
        <v>0</v>
      </c>
      <c r="H550" s="2581">
        <v>0</v>
      </c>
      <c r="I550" s="2581">
        <v>0</v>
      </c>
      <c r="J550" s="2581">
        <v>0</v>
      </c>
      <c r="K550" s="2581">
        <v>0</v>
      </c>
      <c r="L550" s="2581">
        <v>0</v>
      </c>
      <c r="M550" s="2581">
        <v>0</v>
      </c>
      <c r="N550" s="2581">
        <v>0</v>
      </c>
      <c r="O550" s="2581">
        <v>0</v>
      </c>
      <c r="P550" s="2581">
        <v>0</v>
      </c>
      <c r="Q550" s="2161">
        <f t="shared" si="233"/>
        <v>0</v>
      </c>
      <c r="R550" s="1891">
        <f t="shared" si="234"/>
        <v>0</v>
      </c>
      <c r="S550" s="1891">
        <v>0</v>
      </c>
    </row>
    <row r="551" spans="1:19" s="2070" customFormat="1">
      <c r="A551" s="1855"/>
      <c r="B551" s="213">
        <v>3</v>
      </c>
      <c r="C551" s="200" t="s">
        <v>311</v>
      </c>
      <c r="D551" s="1964">
        <f>TARGET!D546</f>
        <v>0</v>
      </c>
      <c r="E551" s="2581">
        <v>0</v>
      </c>
      <c r="F551" s="2581">
        <v>0</v>
      </c>
      <c r="G551" s="2581">
        <v>0</v>
      </c>
      <c r="H551" s="2581">
        <v>0</v>
      </c>
      <c r="I551" s="2581">
        <v>0</v>
      </c>
      <c r="J551" s="2581">
        <v>0</v>
      </c>
      <c r="K551" s="2581">
        <v>0</v>
      </c>
      <c r="L551" s="2581">
        <v>0</v>
      </c>
      <c r="M551" s="2581">
        <v>0</v>
      </c>
      <c r="N551" s="2581">
        <v>0</v>
      </c>
      <c r="O551" s="2581">
        <v>0</v>
      </c>
      <c r="P551" s="2581">
        <v>0</v>
      </c>
      <c r="Q551" s="2161">
        <f t="shared" si="233"/>
        <v>0</v>
      </c>
      <c r="R551" s="1891">
        <f t="shared" si="234"/>
        <v>0</v>
      </c>
      <c r="S551" s="1891">
        <v>0</v>
      </c>
    </row>
    <row r="552" spans="1:19" s="2070" customFormat="1">
      <c r="A552" s="1855"/>
      <c r="B552" s="213">
        <v>4</v>
      </c>
      <c r="C552" s="200" t="s">
        <v>312</v>
      </c>
      <c r="D552" s="1964">
        <f>TARGET!D547</f>
        <v>0</v>
      </c>
      <c r="E552" s="2581">
        <v>0</v>
      </c>
      <c r="F552" s="2581">
        <v>0</v>
      </c>
      <c r="G552" s="2581">
        <v>0</v>
      </c>
      <c r="H552" s="2581">
        <v>0</v>
      </c>
      <c r="I552" s="2581">
        <v>0</v>
      </c>
      <c r="J552" s="2581">
        <v>0</v>
      </c>
      <c r="K552" s="2581">
        <v>0</v>
      </c>
      <c r="L552" s="2581">
        <v>0</v>
      </c>
      <c r="M552" s="2581">
        <v>0</v>
      </c>
      <c r="N552" s="2581">
        <v>0</v>
      </c>
      <c r="O552" s="2581">
        <v>0</v>
      </c>
      <c r="P552" s="2581">
        <v>0</v>
      </c>
      <c r="Q552" s="2161">
        <f t="shared" si="233"/>
        <v>0</v>
      </c>
      <c r="R552" s="1891">
        <f t="shared" si="234"/>
        <v>0</v>
      </c>
      <c r="S552" s="1891">
        <v>0</v>
      </c>
    </row>
    <row r="553" spans="1:19" s="2070" customFormat="1">
      <c r="A553" s="1855"/>
      <c r="B553" s="213">
        <v>5</v>
      </c>
      <c r="C553" s="200" t="s">
        <v>313</v>
      </c>
      <c r="D553" s="1964">
        <f>TARGET!D548</f>
        <v>0</v>
      </c>
      <c r="E553" s="2581">
        <v>0</v>
      </c>
      <c r="F553" s="2581">
        <v>0</v>
      </c>
      <c r="G553" s="2581">
        <v>0</v>
      </c>
      <c r="H553" s="2581">
        <v>0</v>
      </c>
      <c r="I553" s="2581">
        <v>0</v>
      </c>
      <c r="J553" s="2581">
        <v>0</v>
      </c>
      <c r="K553" s="2581">
        <v>0</v>
      </c>
      <c r="L553" s="2581">
        <v>0</v>
      </c>
      <c r="M553" s="2581">
        <v>0</v>
      </c>
      <c r="N553" s="2581">
        <v>0</v>
      </c>
      <c r="O553" s="2581">
        <v>0</v>
      </c>
      <c r="P553" s="2581">
        <v>0</v>
      </c>
      <c r="Q553" s="2161">
        <f t="shared" si="233"/>
        <v>0</v>
      </c>
      <c r="R553" s="1891">
        <f t="shared" si="234"/>
        <v>0</v>
      </c>
      <c r="S553" s="1891">
        <v>0</v>
      </c>
    </row>
    <row r="554" spans="1:19" s="2070" customFormat="1">
      <c r="A554" s="1855"/>
      <c r="B554" s="213">
        <v>6</v>
      </c>
      <c r="C554" s="200" t="s">
        <v>314</v>
      </c>
      <c r="D554" s="1964">
        <f>TARGET!D549</f>
        <v>0</v>
      </c>
      <c r="E554" s="2581">
        <v>0</v>
      </c>
      <c r="F554" s="2581">
        <v>0</v>
      </c>
      <c r="G554" s="2581">
        <v>0</v>
      </c>
      <c r="H554" s="2581">
        <v>0</v>
      </c>
      <c r="I554" s="2581">
        <v>0</v>
      </c>
      <c r="J554" s="2581">
        <v>0</v>
      </c>
      <c r="K554" s="2581">
        <v>0</v>
      </c>
      <c r="L554" s="2581">
        <v>0</v>
      </c>
      <c r="M554" s="2581">
        <v>0</v>
      </c>
      <c r="N554" s="2581">
        <v>0</v>
      </c>
      <c r="O554" s="2581">
        <v>0</v>
      </c>
      <c r="P554" s="2581">
        <v>0</v>
      </c>
      <c r="Q554" s="2161">
        <f t="shared" si="233"/>
        <v>0</v>
      </c>
      <c r="R554" s="1891">
        <f t="shared" si="234"/>
        <v>0</v>
      </c>
      <c r="S554" s="1891">
        <v>0</v>
      </c>
    </row>
    <row r="555" spans="1:19" s="2070" customFormat="1">
      <c r="A555" s="1854"/>
      <c r="B555" s="213">
        <v>7</v>
      </c>
      <c r="C555" s="200" t="s">
        <v>315</v>
      </c>
      <c r="D555" s="1964">
        <f>TARGET!D550</f>
        <v>0</v>
      </c>
      <c r="E555" s="2581">
        <v>0</v>
      </c>
      <c r="F555" s="2581">
        <v>0</v>
      </c>
      <c r="G555" s="2581">
        <v>0</v>
      </c>
      <c r="H555" s="2581">
        <v>0</v>
      </c>
      <c r="I555" s="2581">
        <v>0</v>
      </c>
      <c r="J555" s="2581">
        <v>0</v>
      </c>
      <c r="K555" s="2581">
        <v>0</v>
      </c>
      <c r="L555" s="2581">
        <v>0</v>
      </c>
      <c r="M555" s="2581">
        <v>0</v>
      </c>
      <c r="N555" s="2581">
        <v>0</v>
      </c>
      <c r="O555" s="2581">
        <v>0</v>
      </c>
      <c r="P555" s="2581">
        <v>0</v>
      </c>
      <c r="Q555" s="2161">
        <f t="shared" si="233"/>
        <v>0</v>
      </c>
      <c r="R555" s="1891">
        <f t="shared" si="234"/>
        <v>0</v>
      </c>
      <c r="S555" s="1891">
        <v>0</v>
      </c>
    </row>
    <row r="556" spans="1:19" s="2070" customFormat="1">
      <c r="A556" s="1854"/>
      <c r="B556" s="213">
        <v>8</v>
      </c>
      <c r="C556" s="200" t="s">
        <v>316</v>
      </c>
      <c r="D556" s="1964">
        <f>TARGET!D551</f>
        <v>0</v>
      </c>
      <c r="E556" s="2581">
        <v>0</v>
      </c>
      <c r="F556" s="2581">
        <v>0</v>
      </c>
      <c r="G556" s="2581">
        <v>0</v>
      </c>
      <c r="H556" s="2581">
        <v>0</v>
      </c>
      <c r="I556" s="2581">
        <v>0</v>
      </c>
      <c r="J556" s="2581">
        <v>0</v>
      </c>
      <c r="K556" s="2581">
        <v>0</v>
      </c>
      <c r="L556" s="2581">
        <v>0</v>
      </c>
      <c r="M556" s="2581">
        <v>0</v>
      </c>
      <c r="N556" s="2581">
        <v>0</v>
      </c>
      <c r="O556" s="2581">
        <v>0</v>
      </c>
      <c r="P556" s="2581">
        <v>0</v>
      </c>
      <c r="Q556" s="2161">
        <f t="shared" si="233"/>
        <v>0</v>
      </c>
      <c r="R556" s="1891">
        <f t="shared" si="234"/>
        <v>0</v>
      </c>
      <c r="S556" s="1891">
        <v>0</v>
      </c>
    </row>
    <row r="557" spans="1:19" s="2070" customFormat="1">
      <c r="A557" s="1854"/>
      <c r="B557" s="213">
        <v>9</v>
      </c>
      <c r="C557" s="200" t="s">
        <v>317</v>
      </c>
      <c r="D557" s="1964">
        <f>TARGET!D552</f>
        <v>0</v>
      </c>
      <c r="E557" s="2581">
        <v>0</v>
      </c>
      <c r="F557" s="2581">
        <v>0</v>
      </c>
      <c r="G557" s="2581">
        <v>0</v>
      </c>
      <c r="H557" s="2581">
        <v>0</v>
      </c>
      <c r="I557" s="2581">
        <v>0</v>
      </c>
      <c r="J557" s="2581">
        <v>0</v>
      </c>
      <c r="K557" s="2581">
        <v>0</v>
      </c>
      <c r="L557" s="2581">
        <v>0</v>
      </c>
      <c r="M557" s="2581">
        <v>0</v>
      </c>
      <c r="N557" s="2581">
        <v>0</v>
      </c>
      <c r="O557" s="2581">
        <v>0</v>
      </c>
      <c r="P557" s="2581">
        <v>0</v>
      </c>
      <c r="Q557" s="2161">
        <f t="shared" si="233"/>
        <v>0</v>
      </c>
      <c r="R557" s="1891">
        <f t="shared" si="234"/>
        <v>0</v>
      </c>
      <c r="S557" s="1891">
        <v>0</v>
      </c>
    </row>
    <row r="558" spans="1:19" s="2070" customFormat="1">
      <c r="A558" s="1854"/>
      <c r="B558" s="213">
        <v>10</v>
      </c>
      <c r="C558" s="200" t="s">
        <v>318</v>
      </c>
      <c r="D558" s="1964">
        <f>TARGET!D553</f>
        <v>0</v>
      </c>
      <c r="E558" s="2581">
        <v>0</v>
      </c>
      <c r="F558" s="2581">
        <v>0</v>
      </c>
      <c r="G558" s="2581">
        <v>0</v>
      </c>
      <c r="H558" s="2581">
        <v>0</v>
      </c>
      <c r="I558" s="2581">
        <v>0</v>
      </c>
      <c r="J558" s="2581">
        <v>0</v>
      </c>
      <c r="K558" s="2581">
        <v>0</v>
      </c>
      <c r="L558" s="2581">
        <v>0</v>
      </c>
      <c r="M558" s="2581">
        <v>0</v>
      </c>
      <c r="N558" s="2581">
        <v>0</v>
      </c>
      <c r="O558" s="2581">
        <v>0</v>
      </c>
      <c r="P558" s="2581">
        <v>0</v>
      </c>
      <c r="Q558" s="2161">
        <f t="shared" si="233"/>
        <v>0</v>
      </c>
      <c r="R558" s="1891">
        <f t="shared" si="234"/>
        <v>0</v>
      </c>
      <c r="S558" s="1891">
        <v>0</v>
      </c>
    </row>
    <row r="559" spans="1:19" s="2070" customFormat="1" ht="5.35" customHeight="1">
      <c r="A559" s="1854"/>
      <c r="B559" s="213"/>
      <c r="C559" s="200"/>
      <c r="D559" s="2455"/>
      <c r="E559" s="2455"/>
      <c r="F559" s="2455"/>
      <c r="G559" s="2455"/>
      <c r="H559" s="2455"/>
      <c r="I559" s="2455"/>
      <c r="J559" s="2455"/>
      <c r="K559" s="2455"/>
      <c r="L559" s="2455"/>
      <c r="M559" s="2455"/>
      <c r="N559" s="2455"/>
      <c r="O559" s="2455"/>
      <c r="P559" s="2455"/>
      <c r="Q559" s="2161">
        <f t="shared" si="233"/>
        <v>0</v>
      </c>
      <c r="R559" s="1891">
        <f t="shared" si="234"/>
        <v>0</v>
      </c>
      <c r="S559" s="1891">
        <f t="shared" si="234"/>
        <v>0</v>
      </c>
    </row>
    <row r="560" spans="1:19" s="2070" customFormat="1" ht="15.05">
      <c r="A560" s="1854" t="s">
        <v>308</v>
      </c>
      <c r="B560" s="202" t="s">
        <v>321</v>
      </c>
      <c r="C560" s="200"/>
      <c r="D560" s="2449">
        <v>0</v>
      </c>
      <c r="E560" s="2456">
        <v>0</v>
      </c>
      <c r="F560" s="2456">
        <v>0</v>
      </c>
      <c r="G560" s="2456">
        <v>0</v>
      </c>
      <c r="H560" s="2456">
        <v>0</v>
      </c>
      <c r="I560" s="2456">
        <v>0</v>
      </c>
      <c r="J560" s="2456">
        <v>0</v>
      </c>
      <c r="K560" s="2456">
        <v>0</v>
      </c>
      <c r="L560" s="2456">
        <v>0</v>
      </c>
      <c r="M560" s="2456">
        <v>0</v>
      </c>
      <c r="N560" s="2456">
        <v>0</v>
      </c>
      <c r="O560" s="2456">
        <v>0</v>
      </c>
      <c r="P560" s="2456">
        <v>0</v>
      </c>
      <c r="Q560" s="2156">
        <f t="shared" si="233"/>
        <v>0</v>
      </c>
      <c r="R560" s="1749">
        <f t="shared" si="234"/>
        <v>0</v>
      </c>
      <c r="S560" s="1891">
        <v>0</v>
      </c>
    </row>
    <row r="561" spans="1:19" s="2070" customFormat="1" ht="4.55" customHeight="1">
      <c r="A561" s="1854"/>
      <c r="B561" s="202"/>
      <c r="C561" s="200"/>
      <c r="D561" s="2307"/>
      <c r="E561" s="2307"/>
      <c r="F561" s="2307"/>
      <c r="G561" s="2307"/>
      <c r="H561" s="2307"/>
      <c r="I561" s="2307"/>
      <c r="J561" s="2307"/>
      <c r="K561" s="2307"/>
      <c r="L561" s="2307"/>
      <c r="M561" s="2307"/>
      <c r="N561" s="2307"/>
      <c r="O561" s="2307"/>
      <c r="P561" s="2307"/>
      <c r="Q561" s="2161">
        <f t="shared" si="233"/>
        <v>0</v>
      </c>
      <c r="R561" s="1891">
        <f t="shared" si="234"/>
        <v>0</v>
      </c>
      <c r="S561" s="1891">
        <f t="shared" si="234"/>
        <v>0</v>
      </c>
    </row>
    <row r="562" spans="1:19" s="2070" customFormat="1">
      <c r="A562" s="1854" t="s">
        <v>308</v>
      </c>
      <c r="B562" s="202" t="s">
        <v>322</v>
      </c>
      <c r="C562" s="200"/>
      <c r="D562" s="1964">
        <f>TARGET!D557</f>
        <v>0</v>
      </c>
      <c r="E562" s="2581">
        <v>0</v>
      </c>
      <c r="F562" s="2581">
        <v>0</v>
      </c>
      <c r="G562" s="2581">
        <v>0</v>
      </c>
      <c r="H562" s="2581">
        <v>0</v>
      </c>
      <c r="I562" s="2581">
        <v>0</v>
      </c>
      <c r="J562" s="2581">
        <v>0</v>
      </c>
      <c r="K562" s="2581">
        <v>0</v>
      </c>
      <c r="L562" s="2581">
        <v>0</v>
      </c>
      <c r="M562" s="2581">
        <v>0</v>
      </c>
      <c r="N562" s="2581">
        <v>0</v>
      </c>
      <c r="O562" s="2581">
        <v>0</v>
      </c>
      <c r="P562" s="2581">
        <v>0</v>
      </c>
      <c r="Q562" s="2161">
        <f t="shared" si="233"/>
        <v>0</v>
      </c>
      <c r="R562" s="1891">
        <f t="shared" si="234"/>
        <v>0</v>
      </c>
      <c r="S562" s="1891">
        <v>0</v>
      </c>
    </row>
    <row r="563" spans="1:19" s="2070" customFormat="1" ht="5.35" customHeight="1">
      <c r="A563" s="1854"/>
      <c r="B563" s="202"/>
      <c r="C563" s="200"/>
      <c r="D563" s="2283"/>
      <c r="E563" s="2283"/>
      <c r="F563" s="2283"/>
      <c r="G563" s="2283"/>
      <c r="H563" s="2283"/>
      <c r="I563" s="2283"/>
      <c r="J563" s="2283"/>
      <c r="K563" s="2283"/>
      <c r="L563" s="2283"/>
      <c r="M563" s="2283"/>
      <c r="N563" s="2283"/>
      <c r="O563" s="2283"/>
      <c r="P563" s="2283"/>
      <c r="Q563" s="2161">
        <f t="shared" si="233"/>
        <v>0</v>
      </c>
      <c r="R563" s="1891">
        <f t="shared" si="234"/>
        <v>0</v>
      </c>
      <c r="S563" s="1891">
        <f t="shared" si="234"/>
        <v>0</v>
      </c>
    </row>
    <row r="564" spans="1:19" s="2070" customFormat="1" ht="15.05">
      <c r="A564" s="1854" t="s">
        <v>308</v>
      </c>
      <c r="B564" s="5737" t="s">
        <v>323</v>
      </c>
      <c r="C564" s="5737"/>
      <c r="D564" s="2452">
        <f t="shared" ref="D564:P564" si="240">SUM(D565:D573)</f>
        <v>0</v>
      </c>
      <c r="E564" s="2452">
        <f t="shared" si="240"/>
        <v>0</v>
      </c>
      <c r="F564" s="2452">
        <f t="shared" si="240"/>
        <v>0</v>
      </c>
      <c r="G564" s="2452">
        <f t="shared" si="240"/>
        <v>0</v>
      </c>
      <c r="H564" s="2452">
        <f t="shared" si="240"/>
        <v>0</v>
      </c>
      <c r="I564" s="2452">
        <f t="shared" si="240"/>
        <v>0</v>
      </c>
      <c r="J564" s="2452">
        <f t="shared" si="240"/>
        <v>0</v>
      </c>
      <c r="K564" s="2452">
        <f t="shared" si="240"/>
        <v>0</v>
      </c>
      <c r="L564" s="2452">
        <f t="shared" si="240"/>
        <v>0</v>
      </c>
      <c r="M564" s="2452">
        <f t="shared" si="240"/>
        <v>0</v>
      </c>
      <c r="N564" s="2452">
        <f t="shared" si="240"/>
        <v>0</v>
      </c>
      <c r="O564" s="2452">
        <f t="shared" si="240"/>
        <v>0</v>
      </c>
      <c r="P564" s="2452">
        <f t="shared" si="240"/>
        <v>0</v>
      </c>
      <c r="Q564" s="2156">
        <f t="shared" si="233"/>
        <v>0</v>
      </c>
      <c r="R564" s="1749">
        <f t="shared" si="234"/>
        <v>0</v>
      </c>
      <c r="S564" s="1891">
        <v>0</v>
      </c>
    </row>
    <row r="565" spans="1:19" s="2070" customFormat="1">
      <c r="A565" s="1854"/>
      <c r="B565" s="213"/>
      <c r="C565" s="200" t="s">
        <v>310</v>
      </c>
      <c r="D565" s="1964">
        <f>TARGET!D560</f>
        <v>0</v>
      </c>
      <c r="E565" s="2581">
        <v>0</v>
      </c>
      <c r="F565" s="2581">
        <v>0</v>
      </c>
      <c r="G565" s="2581">
        <v>0</v>
      </c>
      <c r="H565" s="2581">
        <v>0</v>
      </c>
      <c r="I565" s="2581">
        <v>0</v>
      </c>
      <c r="J565" s="2581">
        <v>0</v>
      </c>
      <c r="K565" s="2581">
        <v>0</v>
      </c>
      <c r="L565" s="2581">
        <v>0</v>
      </c>
      <c r="M565" s="2581">
        <v>0</v>
      </c>
      <c r="N565" s="2581">
        <v>0</v>
      </c>
      <c r="O565" s="2581">
        <v>0</v>
      </c>
      <c r="P565" s="2581">
        <v>0</v>
      </c>
      <c r="Q565" s="2161">
        <f t="shared" si="233"/>
        <v>0</v>
      </c>
      <c r="R565" s="1891">
        <f t="shared" si="234"/>
        <v>0</v>
      </c>
      <c r="S565" s="1891">
        <f t="shared" si="234"/>
        <v>0</v>
      </c>
    </row>
    <row r="566" spans="1:19" s="2070" customFormat="1">
      <c r="A566" s="1854"/>
      <c r="B566" s="213"/>
      <c r="C566" s="200" t="s">
        <v>311</v>
      </c>
      <c r="D566" s="1964">
        <f>TARGET!D561</f>
        <v>0</v>
      </c>
      <c r="E566" s="2581">
        <v>0</v>
      </c>
      <c r="F566" s="2581">
        <v>0</v>
      </c>
      <c r="G566" s="2581">
        <v>0</v>
      </c>
      <c r="H566" s="2581">
        <v>0</v>
      </c>
      <c r="I566" s="2581">
        <v>0</v>
      </c>
      <c r="J566" s="2581">
        <v>0</v>
      </c>
      <c r="K566" s="2581">
        <v>0</v>
      </c>
      <c r="L566" s="2581">
        <v>0</v>
      </c>
      <c r="M566" s="2581">
        <v>0</v>
      </c>
      <c r="N566" s="2581">
        <v>0</v>
      </c>
      <c r="O566" s="2581">
        <v>0</v>
      </c>
      <c r="P566" s="2581">
        <v>0</v>
      </c>
      <c r="Q566" s="2161">
        <f t="shared" si="233"/>
        <v>0</v>
      </c>
      <c r="R566" s="1891">
        <f t="shared" si="234"/>
        <v>0</v>
      </c>
      <c r="S566" s="1891">
        <f t="shared" si="234"/>
        <v>0</v>
      </c>
    </row>
    <row r="567" spans="1:19" s="2070" customFormat="1">
      <c r="A567" s="1854"/>
      <c r="B567" s="213"/>
      <c r="C567" s="200" t="s">
        <v>312</v>
      </c>
      <c r="D567" s="1964">
        <f>TARGET!D562</f>
        <v>0</v>
      </c>
      <c r="E567" s="2581">
        <v>0</v>
      </c>
      <c r="F567" s="2581">
        <v>0</v>
      </c>
      <c r="G567" s="2581">
        <v>0</v>
      </c>
      <c r="H567" s="2581">
        <v>0</v>
      </c>
      <c r="I567" s="2581">
        <v>0</v>
      </c>
      <c r="J567" s="2581">
        <v>0</v>
      </c>
      <c r="K567" s="2581">
        <v>0</v>
      </c>
      <c r="L567" s="2581">
        <v>0</v>
      </c>
      <c r="M567" s="2581">
        <v>0</v>
      </c>
      <c r="N567" s="2581">
        <v>0</v>
      </c>
      <c r="O567" s="2581">
        <v>0</v>
      </c>
      <c r="P567" s="2581">
        <v>0</v>
      </c>
      <c r="Q567" s="2161">
        <f t="shared" si="233"/>
        <v>0</v>
      </c>
      <c r="R567" s="1891">
        <f t="shared" si="234"/>
        <v>0</v>
      </c>
      <c r="S567" s="1891">
        <f t="shared" si="234"/>
        <v>0</v>
      </c>
    </row>
    <row r="568" spans="1:19" s="2070" customFormat="1">
      <c r="A568" s="1854"/>
      <c r="B568" s="213"/>
      <c r="C568" s="200" t="s">
        <v>313</v>
      </c>
      <c r="D568" s="1964">
        <f>TARGET!D563</f>
        <v>0</v>
      </c>
      <c r="E568" s="2581">
        <v>0</v>
      </c>
      <c r="F568" s="2581">
        <v>0</v>
      </c>
      <c r="G568" s="2581">
        <v>0</v>
      </c>
      <c r="H568" s="2581">
        <v>0</v>
      </c>
      <c r="I568" s="2581">
        <v>0</v>
      </c>
      <c r="J568" s="2581">
        <v>0</v>
      </c>
      <c r="K568" s="2581">
        <v>0</v>
      </c>
      <c r="L568" s="2581">
        <v>0</v>
      </c>
      <c r="M568" s="2581">
        <v>0</v>
      </c>
      <c r="N568" s="2581">
        <v>0</v>
      </c>
      <c r="O568" s="2581">
        <v>0</v>
      </c>
      <c r="P568" s="2581">
        <v>0</v>
      </c>
      <c r="Q568" s="2161">
        <f t="shared" si="233"/>
        <v>0</v>
      </c>
      <c r="R568" s="1891">
        <f t="shared" si="234"/>
        <v>0</v>
      </c>
      <c r="S568" s="1891">
        <f t="shared" si="234"/>
        <v>0</v>
      </c>
    </row>
    <row r="569" spans="1:19" s="2070" customFormat="1">
      <c r="A569" s="1854"/>
      <c r="B569" s="213"/>
      <c r="C569" s="200" t="s">
        <v>314</v>
      </c>
      <c r="D569" s="1964">
        <f>TARGET!D564</f>
        <v>0</v>
      </c>
      <c r="E569" s="2581">
        <v>0</v>
      </c>
      <c r="F569" s="2581">
        <v>0</v>
      </c>
      <c r="G569" s="2581">
        <v>0</v>
      </c>
      <c r="H569" s="2581">
        <v>0</v>
      </c>
      <c r="I569" s="2581">
        <v>0</v>
      </c>
      <c r="J569" s="2581">
        <v>0</v>
      </c>
      <c r="K569" s="2581">
        <v>0</v>
      </c>
      <c r="L569" s="2581">
        <v>0</v>
      </c>
      <c r="M569" s="2581">
        <v>0</v>
      </c>
      <c r="N569" s="2581">
        <v>0</v>
      </c>
      <c r="O569" s="2581">
        <v>0</v>
      </c>
      <c r="P569" s="2581">
        <v>0</v>
      </c>
      <c r="Q569" s="2161">
        <f t="shared" si="233"/>
        <v>0</v>
      </c>
      <c r="R569" s="1891">
        <f t="shared" si="234"/>
        <v>0</v>
      </c>
      <c r="S569" s="1891">
        <f t="shared" si="234"/>
        <v>0</v>
      </c>
    </row>
    <row r="570" spans="1:19" s="2070" customFormat="1">
      <c r="A570" s="1854"/>
      <c r="B570" s="213"/>
      <c r="C570" s="200" t="s">
        <v>315</v>
      </c>
      <c r="D570" s="1964">
        <f>TARGET!D565</f>
        <v>0</v>
      </c>
      <c r="E570" s="2581">
        <v>0</v>
      </c>
      <c r="F570" s="2581">
        <v>0</v>
      </c>
      <c r="G570" s="2581">
        <v>0</v>
      </c>
      <c r="H570" s="2581">
        <v>0</v>
      </c>
      <c r="I570" s="2581">
        <v>0</v>
      </c>
      <c r="J570" s="2581">
        <v>0</v>
      </c>
      <c r="K570" s="2581">
        <v>0</v>
      </c>
      <c r="L570" s="2581">
        <v>0</v>
      </c>
      <c r="M570" s="2581">
        <v>0</v>
      </c>
      <c r="N570" s="2581">
        <v>0</v>
      </c>
      <c r="O570" s="2581">
        <v>0</v>
      </c>
      <c r="P570" s="2581">
        <v>0</v>
      </c>
      <c r="Q570" s="2161">
        <f t="shared" si="233"/>
        <v>0</v>
      </c>
      <c r="R570" s="1891">
        <f t="shared" si="234"/>
        <v>0</v>
      </c>
      <c r="S570" s="1891">
        <f t="shared" si="234"/>
        <v>0</v>
      </c>
    </row>
    <row r="571" spans="1:19" s="2070" customFormat="1">
      <c r="A571" s="1854"/>
      <c r="B571" s="213"/>
      <c r="C571" s="200" t="s">
        <v>316</v>
      </c>
      <c r="D571" s="1964">
        <f>TARGET!D566</f>
        <v>0</v>
      </c>
      <c r="E571" s="2581">
        <v>0</v>
      </c>
      <c r="F571" s="2581">
        <v>0</v>
      </c>
      <c r="G571" s="2581">
        <v>0</v>
      </c>
      <c r="H571" s="2581">
        <v>0</v>
      </c>
      <c r="I571" s="2581">
        <v>0</v>
      </c>
      <c r="J571" s="2581">
        <v>0</v>
      </c>
      <c r="K571" s="2581">
        <v>0</v>
      </c>
      <c r="L571" s="2581">
        <v>0</v>
      </c>
      <c r="M571" s="2581">
        <v>0</v>
      </c>
      <c r="N571" s="2581">
        <v>0</v>
      </c>
      <c r="O571" s="2581">
        <v>0</v>
      </c>
      <c r="P571" s="2581">
        <v>0</v>
      </c>
      <c r="Q571" s="2161">
        <f t="shared" si="233"/>
        <v>0</v>
      </c>
      <c r="R571" s="1891">
        <f t="shared" si="234"/>
        <v>0</v>
      </c>
      <c r="S571" s="1891">
        <f t="shared" si="234"/>
        <v>0</v>
      </c>
    </row>
    <row r="572" spans="1:19" s="2070" customFormat="1">
      <c r="A572" s="1854"/>
      <c r="B572" s="213"/>
      <c r="C572" s="200" t="s">
        <v>317</v>
      </c>
      <c r="D572" s="1964">
        <f>TARGET!D567</f>
        <v>0</v>
      </c>
      <c r="E572" s="2581">
        <v>0</v>
      </c>
      <c r="F572" s="2581">
        <v>0</v>
      </c>
      <c r="G572" s="2581">
        <v>0</v>
      </c>
      <c r="H572" s="2581">
        <v>0</v>
      </c>
      <c r="I572" s="2581">
        <v>0</v>
      </c>
      <c r="J572" s="2581">
        <v>0</v>
      </c>
      <c r="K572" s="2581">
        <v>0</v>
      </c>
      <c r="L572" s="2581">
        <v>0</v>
      </c>
      <c r="M572" s="2581">
        <v>0</v>
      </c>
      <c r="N572" s="2581">
        <v>0</v>
      </c>
      <c r="O572" s="2581">
        <v>0</v>
      </c>
      <c r="P572" s="2581">
        <v>0</v>
      </c>
      <c r="Q572" s="2161">
        <f t="shared" si="233"/>
        <v>0</v>
      </c>
      <c r="R572" s="1891">
        <f t="shared" si="234"/>
        <v>0</v>
      </c>
      <c r="S572" s="1891">
        <f t="shared" si="234"/>
        <v>0</v>
      </c>
    </row>
    <row r="573" spans="1:19" s="2070" customFormat="1">
      <c r="A573" s="1854"/>
      <c r="B573" s="213"/>
      <c r="C573" s="200" t="s">
        <v>318</v>
      </c>
      <c r="D573" s="1964">
        <f>TARGET!D568</f>
        <v>0</v>
      </c>
      <c r="E573" s="2581">
        <v>0</v>
      </c>
      <c r="F573" s="2581">
        <v>0</v>
      </c>
      <c r="G573" s="2581">
        <v>0</v>
      </c>
      <c r="H573" s="2581">
        <v>0</v>
      </c>
      <c r="I573" s="2581">
        <v>0</v>
      </c>
      <c r="J573" s="2581">
        <v>0</v>
      </c>
      <c r="K573" s="2581">
        <v>0</v>
      </c>
      <c r="L573" s="2581">
        <v>0</v>
      </c>
      <c r="M573" s="2581">
        <v>0</v>
      </c>
      <c r="N573" s="2581">
        <v>0</v>
      </c>
      <c r="O573" s="2581">
        <v>0</v>
      </c>
      <c r="P573" s="2581">
        <v>0</v>
      </c>
      <c r="Q573" s="2161">
        <f t="shared" si="233"/>
        <v>0</v>
      </c>
      <c r="R573" s="1891">
        <f t="shared" si="234"/>
        <v>0</v>
      </c>
      <c r="S573" s="1891">
        <f t="shared" si="234"/>
        <v>0</v>
      </c>
    </row>
    <row r="574" spans="1:19" s="2070" customFormat="1">
      <c r="A574" s="1854" t="s">
        <v>308</v>
      </c>
      <c r="B574" s="5738" t="s">
        <v>85</v>
      </c>
      <c r="C574" s="5738"/>
      <c r="D574" s="2283">
        <f t="shared" ref="D574:P574" si="241">SUM(D575)</f>
        <v>0</v>
      </c>
      <c r="E574" s="2283">
        <f t="shared" si="241"/>
        <v>0</v>
      </c>
      <c r="F574" s="2283">
        <f t="shared" si="241"/>
        <v>0</v>
      </c>
      <c r="G574" s="2283">
        <f t="shared" si="241"/>
        <v>0</v>
      </c>
      <c r="H574" s="2283">
        <f t="shared" si="241"/>
        <v>0</v>
      </c>
      <c r="I574" s="2283">
        <f t="shared" si="241"/>
        <v>0</v>
      </c>
      <c r="J574" s="2283">
        <f t="shared" si="241"/>
        <v>0</v>
      </c>
      <c r="K574" s="2283">
        <f t="shared" si="241"/>
        <v>0</v>
      </c>
      <c r="L574" s="2283">
        <f t="shared" si="241"/>
        <v>0</v>
      </c>
      <c r="M574" s="2283">
        <f t="shared" si="241"/>
        <v>0</v>
      </c>
      <c r="N574" s="2283">
        <f t="shared" si="241"/>
        <v>0</v>
      </c>
      <c r="O574" s="2283">
        <f t="shared" si="241"/>
        <v>0</v>
      </c>
      <c r="P574" s="2283">
        <f t="shared" si="241"/>
        <v>0</v>
      </c>
      <c r="Q574" s="2161">
        <f t="shared" si="233"/>
        <v>0</v>
      </c>
      <c r="R574" s="1891">
        <f t="shared" si="234"/>
        <v>0</v>
      </c>
      <c r="S574" s="1891">
        <v>0</v>
      </c>
    </row>
    <row r="575" spans="1:19" s="2070" customFormat="1">
      <c r="A575" s="1854"/>
      <c r="B575" s="213"/>
      <c r="C575" s="202" t="s">
        <v>324</v>
      </c>
      <c r="D575" s="1964">
        <f>TARGET!D570</f>
        <v>0</v>
      </c>
      <c r="E575" s="2581">
        <v>0</v>
      </c>
      <c r="F575" s="2581">
        <v>0</v>
      </c>
      <c r="G575" s="2581">
        <v>0</v>
      </c>
      <c r="H575" s="2581">
        <v>0</v>
      </c>
      <c r="I575" s="2581">
        <v>0</v>
      </c>
      <c r="J575" s="2581">
        <v>0</v>
      </c>
      <c r="K575" s="2581">
        <v>0</v>
      </c>
      <c r="L575" s="2581">
        <v>0</v>
      </c>
      <c r="M575" s="2581">
        <v>0</v>
      </c>
      <c r="N575" s="2581">
        <v>0</v>
      </c>
      <c r="O575" s="2581">
        <v>0</v>
      </c>
      <c r="P575" s="2581">
        <v>0</v>
      </c>
      <c r="Q575" s="2161">
        <f t="shared" si="233"/>
        <v>0</v>
      </c>
      <c r="R575" s="1891">
        <f t="shared" si="234"/>
        <v>0</v>
      </c>
      <c r="S575" s="1891">
        <f t="shared" si="234"/>
        <v>0</v>
      </c>
    </row>
    <row r="576" spans="1:19" s="2070" customFormat="1" ht="6.75" customHeight="1">
      <c r="A576" s="1465"/>
      <c r="B576" s="2117"/>
      <c r="C576" s="2117"/>
      <c r="D576" s="2310"/>
      <c r="E576" s="2310"/>
      <c r="F576" s="2310"/>
      <c r="G576" s="2310"/>
      <c r="H576" s="2310"/>
      <c r="I576" s="2310"/>
      <c r="J576" s="2310"/>
      <c r="K576" s="2310"/>
      <c r="L576" s="2310"/>
      <c r="M576" s="2310"/>
      <c r="N576" s="2310"/>
      <c r="O576" s="2310"/>
      <c r="P576" s="2310"/>
      <c r="Q576" s="2311"/>
      <c r="R576" s="2311"/>
      <c r="S576" s="2311"/>
    </row>
    <row r="577" spans="1:19" s="2073" customFormat="1" ht="15.65">
      <c r="A577" s="2528" t="s">
        <v>325</v>
      </c>
      <c r="B577" s="2093" t="s">
        <v>326</v>
      </c>
      <c r="C577" s="2195"/>
      <c r="D577" s="2306">
        <f t="shared" ref="D577:P577" si="242">D578+D586</f>
        <v>4692225000</v>
      </c>
      <c r="E577" s="2306">
        <f t="shared" si="242"/>
        <v>0</v>
      </c>
      <c r="F577" s="2306">
        <f t="shared" si="242"/>
        <v>0</v>
      </c>
      <c r="G577" s="2306">
        <f t="shared" si="242"/>
        <v>0</v>
      </c>
      <c r="H577" s="2306">
        <f t="shared" si="242"/>
        <v>0</v>
      </c>
      <c r="I577" s="2306">
        <f t="shared" si="242"/>
        <v>0</v>
      </c>
      <c r="J577" s="2306">
        <f t="shared" si="242"/>
        <v>0</v>
      </c>
      <c r="K577" s="2306">
        <f t="shared" si="242"/>
        <v>0</v>
      </c>
      <c r="L577" s="2306">
        <f t="shared" si="242"/>
        <v>0</v>
      </c>
      <c r="M577" s="2306">
        <f t="shared" si="242"/>
        <v>0</v>
      </c>
      <c r="N577" s="2306">
        <f t="shared" si="242"/>
        <v>0</v>
      </c>
      <c r="O577" s="2306">
        <f t="shared" si="242"/>
        <v>0</v>
      </c>
      <c r="P577" s="2306">
        <f t="shared" si="242"/>
        <v>0</v>
      </c>
      <c r="Q577" s="2306">
        <f>SUM(E577:P577)</f>
        <v>0</v>
      </c>
      <c r="R577" s="2147">
        <f>Q577-D577</f>
        <v>-4692225000</v>
      </c>
      <c r="S577" s="2147">
        <f>Q577/D577*100</f>
        <v>0</v>
      </c>
    </row>
    <row r="578" spans="1:19" s="2074" customFormat="1">
      <c r="A578" s="2529"/>
      <c r="B578" s="2248" t="s">
        <v>106</v>
      </c>
      <c r="C578" s="2099"/>
      <c r="D578" s="2447">
        <f t="shared" ref="D578:P578" si="243">D579</f>
        <v>300000000</v>
      </c>
      <c r="E578" s="2447">
        <f t="shared" si="243"/>
        <v>0</v>
      </c>
      <c r="F578" s="2447">
        <f t="shared" si="243"/>
        <v>0</v>
      </c>
      <c r="G578" s="2447">
        <f t="shared" si="243"/>
        <v>0</v>
      </c>
      <c r="H578" s="2447">
        <f t="shared" si="243"/>
        <v>0</v>
      </c>
      <c r="I578" s="2447">
        <f t="shared" si="243"/>
        <v>0</v>
      </c>
      <c r="J578" s="2447">
        <f t="shared" si="243"/>
        <v>0</v>
      </c>
      <c r="K578" s="2447">
        <f t="shared" si="243"/>
        <v>0</v>
      </c>
      <c r="L578" s="2447">
        <f t="shared" si="243"/>
        <v>0</v>
      </c>
      <c r="M578" s="2447">
        <f t="shared" si="243"/>
        <v>0</v>
      </c>
      <c r="N578" s="2447">
        <f t="shared" si="243"/>
        <v>0</v>
      </c>
      <c r="O578" s="2447">
        <f t="shared" si="243"/>
        <v>0</v>
      </c>
      <c r="P578" s="2447">
        <f t="shared" si="243"/>
        <v>0</v>
      </c>
      <c r="Q578" s="2161">
        <f t="shared" ref="Q578:Q593" si="244">SUM(E578:P578)</f>
        <v>0</v>
      </c>
      <c r="R578" s="1891">
        <f t="shared" ref="R578:S593" si="245">Q578-D578</f>
        <v>-300000000</v>
      </c>
      <c r="S578" s="1891">
        <f>Q578/D578*100</f>
        <v>0</v>
      </c>
    </row>
    <row r="579" spans="1:19" s="2074" customFormat="1" ht="15.05">
      <c r="A579" s="1905"/>
      <c r="B579" s="212" t="s">
        <v>63</v>
      </c>
      <c r="C579" s="212"/>
      <c r="D579" s="2463">
        <f t="shared" ref="D579:P579" si="246">D580+D582</f>
        <v>300000000</v>
      </c>
      <c r="E579" s="2463">
        <f t="shared" si="246"/>
        <v>0</v>
      </c>
      <c r="F579" s="2463">
        <f t="shared" si="246"/>
        <v>0</v>
      </c>
      <c r="G579" s="2463">
        <f t="shared" si="246"/>
        <v>0</v>
      </c>
      <c r="H579" s="2463">
        <f t="shared" si="246"/>
        <v>0</v>
      </c>
      <c r="I579" s="2463">
        <f t="shared" si="246"/>
        <v>0</v>
      </c>
      <c r="J579" s="2463">
        <f t="shared" si="246"/>
        <v>0</v>
      </c>
      <c r="K579" s="2463">
        <f t="shared" si="246"/>
        <v>0</v>
      </c>
      <c r="L579" s="2463">
        <f t="shared" si="246"/>
        <v>0</v>
      </c>
      <c r="M579" s="2463">
        <f t="shared" si="246"/>
        <v>0</v>
      </c>
      <c r="N579" s="2463">
        <f t="shared" si="246"/>
        <v>0</v>
      </c>
      <c r="O579" s="2463">
        <f t="shared" si="246"/>
        <v>0</v>
      </c>
      <c r="P579" s="2463">
        <f t="shared" si="246"/>
        <v>0</v>
      </c>
      <c r="Q579" s="2156">
        <f t="shared" si="244"/>
        <v>0</v>
      </c>
      <c r="R579" s="1749">
        <f t="shared" si="245"/>
        <v>-300000000</v>
      </c>
      <c r="S579" s="1891">
        <f>Q579/D579*100</f>
        <v>0</v>
      </c>
    </row>
    <row r="580" spans="1:19" s="2074" customFormat="1">
      <c r="A580" s="1854"/>
      <c r="B580" s="2728" t="s">
        <v>50</v>
      </c>
      <c r="C580" s="202" t="s">
        <v>304</v>
      </c>
      <c r="D580" s="2465">
        <v>150000000</v>
      </c>
      <c r="E580" s="2634">
        <v>0</v>
      </c>
      <c r="F580" s="2634">
        <v>0</v>
      </c>
      <c r="G580" s="2634">
        <v>0</v>
      </c>
      <c r="H580" s="2634">
        <v>0</v>
      </c>
      <c r="I580" s="2634">
        <v>0</v>
      </c>
      <c r="J580" s="2634">
        <v>0</v>
      </c>
      <c r="K580" s="2634">
        <v>0</v>
      </c>
      <c r="L580" s="2634">
        <v>0</v>
      </c>
      <c r="M580" s="2634">
        <v>0</v>
      </c>
      <c r="N580" s="2634">
        <v>0</v>
      </c>
      <c r="O580" s="2634">
        <v>0</v>
      </c>
      <c r="P580" s="2634">
        <v>0</v>
      </c>
      <c r="Q580" s="2161">
        <f t="shared" si="244"/>
        <v>0</v>
      </c>
      <c r="R580" s="1891">
        <f t="shared" si="245"/>
        <v>-150000000</v>
      </c>
      <c r="S580" s="1891">
        <f>Q580/D580*100</f>
        <v>0</v>
      </c>
    </row>
    <row r="581" spans="1:19" s="2070" customFormat="1" ht="3.8" customHeight="1">
      <c r="A581" s="1854"/>
      <c r="B581" s="200"/>
      <c r="C581" s="200"/>
      <c r="D581" s="2466"/>
      <c r="E581" s="2466"/>
      <c r="F581" s="2466"/>
      <c r="G581" s="2466"/>
      <c r="H581" s="2466"/>
      <c r="I581" s="2466"/>
      <c r="J581" s="2466"/>
      <c r="K581" s="2466"/>
      <c r="L581" s="2466"/>
      <c r="M581" s="2466"/>
      <c r="N581" s="2466"/>
      <c r="O581" s="2466"/>
      <c r="P581" s="2466"/>
      <c r="Q581" s="2161">
        <f t="shared" si="244"/>
        <v>0</v>
      </c>
      <c r="R581" s="1891">
        <f t="shared" si="245"/>
        <v>0</v>
      </c>
      <c r="S581" s="1891">
        <f t="shared" si="245"/>
        <v>0</v>
      </c>
    </row>
    <row r="582" spans="1:19" s="2074" customFormat="1">
      <c r="A582" s="1854"/>
      <c r="B582" s="2728" t="s">
        <v>50</v>
      </c>
      <c r="C582" s="202" t="s">
        <v>64</v>
      </c>
      <c r="D582" s="2465">
        <f t="shared" ref="D582:P582" si="247">SUM(D583:D584)</f>
        <v>150000000</v>
      </c>
      <c r="E582" s="2465">
        <f t="shared" si="247"/>
        <v>0</v>
      </c>
      <c r="F582" s="2465">
        <f t="shared" si="247"/>
        <v>0</v>
      </c>
      <c r="G582" s="2465">
        <f t="shared" si="247"/>
        <v>0</v>
      </c>
      <c r="H582" s="2465">
        <f t="shared" si="247"/>
        <v>0</v>
      </c>
      <c r="I582" s="2465">
        <f t="shared" si="247"/>
        <v>0</v>
      </c>
      <c r="J582" s="2465">
        <f t="shared" si="247"/>
        <v>0</v>
      </c>
      <c r="K582" s="2465">
        <f t="shared" si="247"/>
        <v>0</v>
      </c>
      <c r="L582" s="2465">
        <f t="shared" si="247"/>
        <v>0</v>
      </c>
      <c r="M582" s="2465">
        <f t="shared" si="247"/>
        <v>0</v>
      </c>
      <c r="N582" s="2465">
        <f t="shared" si="247"/>
        <v>0</v>
      </c>
      <c r="O582" s="2465">
        <f t="shared" si="247"/>
        <v>0</v>
      </c>
      <c r="P582" s="2465">
        <f t="shared" si="247"/>
        <v>0</v>
      </c>
      <c r="Q582" s="2161">
        <f t="shared" si="244"/>
        <v>0</v>
      </c>
      <c r="R582" s="1891">
        <f t="shared" si="245"/>
        <v>-150000000</v>
      </c>
      <c r="S582" s="1891">
        <f>Q582/D582*100</f>
        <v>0</v>
      </c>
    </row>
    <row r="583" spans="1:19" s="2070" customFormat="1">
      <c r="A583" s="1855"/>
      <c r="B583" s="200"/>
      <c r="C583" s="2727" t="s">
        <v>327</v>
      </c>
      <c r="D583" s="1964">
        <f>TARGET!D578</f>
        <v>100000000</v>
      </c>
      <c r="E583" s="2635">
        <v>0</v>
      </c>
      <c r="F583" s="2635">
        <v>0</v>
      </c>
      <c r="G583" s="2635">
        <v>0</v>
      </c>
      <c r="H583" s="2635">
        <v>0</v>
      </c>
      <c r="I583" s="2635">
        <v>0</v>
      </c>
      <c r="J583" s="2635">
        <v>0</v>
      </c>
      <c r="K583" s="2635">
        <v>0</v>
      </c>
      <c r="L583" s="2635">
        <v>0</v>
      </c>
      <c r="M583" s="2635">
        <v>0</v>
      </c>
      <c r="N583" s="2635">
        <v>0</v>
      </c>
      <c r="O583" s="2635">
        <v>0</v>
      </c>
      <c r="P583" s="2635">
        <v>0</v>
      </c>
      <c r="Q583" s="2161">
        <f t="shared" si="244"/>
        <v>0</v>
      </c>
      <c r="R583" s="1891">
        <f t="shared" si="245"/>
        <v>-100000000</v>
      </c>
      <c r="S583" s="1891">
        <f>Q583/D583*100</f>
        <v>0</v>
      </c>
    </row>
    <row r="584" spans="1:19" s="2070" customFormat="1">
      <c r="A584" s="1855"/>
      <c r="B584" s="200"/>
      <c r="C584" s="2727" t="str">
        <f>TARGET!C579</f>
        <v xml:space="preserve">- Sewa Kelas </v>
      </c>
      <c r="D584" s="1964">
        <f>TARGET!D579</f>
        <v>50000000</v>
      </c>
      <c r="E584" s="2635">
        <v>0</v>
      </c>
      <c r="F584" s="2635">
        <v>0</v>
      </c>
      <c r="G584" s="2635">
        <v>0</v>
      </c>
      <c r="H584" s="2635">
        <v>0</v>
      </c>
      <c r="I584" s="2635">
        <v>0</v>
      </c>
      <c r="J584" s="2635">
        <v>0</v>
      </c>
      <c r="K584" s="2635">
        <v>0</v>
      </c>
      <c r="L584" s="2635">
        <v>0</v>
      </c>
      <c r="M584" s="2635">
        <v>0</v>
      </c>
      <c r="N584" s="2635">
        <v>0</v>
      </c>
      <c r="O584" s="2635">
        <v>0</v>
      </c>
      <c r="P584" s="2635">
        <v>0</v>
      </c>
      <c r="Q584" s="2161">
        <f t="shared" si="244"/>
        <v>0</v>
      </c>
      <c r="R584" s="1891">
        <f t="shared" si="245"/>
        <v>-50000000</v>
      </c>
      <c r="S584" s="1891">
        <f>Q584/D584*100</f>
        <v>0</v>
      </c>
    </row>
    <row r="585" spans="1:19" s="2070" customFormat="1" ht="5.35" customHeight="1">
      <c r="A585" s="1854"/>
      <c r="B585" s="200"/>
      <c r="C585" s="200"/>
      <c r="D585" s="2468"/>
      <c r="E585" s="2468"/>
      <c r="F585" s="2468"/>
      <c r="G585" s="2468"/>
      <c r="H585" s="2468"/>
      <c r="I585" s="2468"/>
      <c r="J585" s="2468"/>
      <c r="K585" s="2468"/>
      <c r="L585" s="2468"/>
      <c r="M585" s="2468"/>
      <c r="N585" s="2468"/>
      <c r="O585" s="2468"/>
      <c r="P585" s="2468"/>
      <c r="Q585" s="2161">
        <f t="shared" si="244"/>
        <v>0</v>
      </c>
      <c r="R585" s="1891">
        <f t="shared" si="245"/>
        <v>0</v>
      </c>
      <c r="S585" s="1891">
        <f t="shared" si="245"/>
        <v>0</v>
      </c>
    </row>
    <row r="586" spans="1:19" s="2070" customFormat="1" ht="15.05">
      <c r="A586" s="1854"/>
      <c r="B586" s="202" t="s">
        <v>71</v>
      </c>
      <c r="C586" s="202"/>
      <c r="D586" s="2469">
        <f t="shared" ref="D586:P586" si="248">SUM(D587:D590)</f>
        <v>4392225000</v>
      </c>
      <c r="E586" s="2469">
        <f t="shared" si="248"/>
        <v>0</v>
      </c>
      <c r="F586" s="2469">
        <f t="shared" si="248"/>
        <v>0</v>
      </c>
      <c r="G586" s="2469">
        <f t="shared" si="248"/>
        <v>0</v>
      </c>
      <c r="H586" s="2469">
        <f t="shared" si="248"/>
        <v>0</v>
      </c>
      <c r="I586" s="2469">
        <f t="shared" si="248"/>
        <v>0</v>
      </c>
      <c r="J586" s="2469">
        <f t="shared" si="248"/>
        <v>0</v>
      </c>
      <c r="K586" s="2469">
        <f t="shared" si="248"/>
        <v>0</v>
      </c>
      <c r="L586" s="2469">
        <f t="shared" si="248"/>
        <v>0</v>
      </c>
      <c r="M586" s="2469">
        <f t="shared" si="248"/>
        <v>0</v>
      </c>
      <c r="N586" s="2469">
        <f t="shared" si="248"/>
        <v>0</v>
      </c>
      <c r="O586" s="2469">
        <f t="shared" si="248"/>
        <v>0</v>
      </c>
      <c r="P586" s="2469">
        <f t="shared" si="248"/>
        <v>0</v>
      </c>
      <c r="Q586" s="2156">
        <f t="shared" si="244"/>
        <v>0</v>
      </c>
      <c r="R586" s="1749">
        <f t="shared" si="245"/>
        <v>-4392225000</v>
      </c>
      <c r="S586" s="1891">
        <f>Q586/D586*100</f>
        <v>0</v>
      </c>
    </row>
    <row r="587" spans="1:19" s="2070" customFormat="1">
      <c r="A587" s="1855"/>
      <c r="B587" s="2727" t="s">
        <v>50</v>
      </c>
      <c r="C587" s="200" t="s">
        <v>73</v>
      </c>
      <c r="D587" s="1964">
        <f>TARGET!D582</f>
        <v>0</v>
      </c>
      <c r="E587" s="2491">
        <v>0</v>
      </c>
      <c r="F587" s="2491">
        <v>0</v>
      </c>
      <c r="G587" s="2491">
        <v>0</v>
      </c>
      <c r="H587" s="2491">
        <v>0</v>
      </c>
      <c r="I587" s="2491">
        <v>0</v>
      </c>
      <c r="J587" s="2491">
        <v>0</v>
      </c>
      <c r="K587" s="2491">
        <v>0</v>
      </c>
      <c r="L587" s="2491">
        <v>0</v>
      </c>
      <c r="M587" s="2491">
        <v>0</v>
      </c>
      <c r="N587" s="2491">
        <v>0</v>
      </c>
      <c r="O587" s="2491">
        <v>0</v>
      </c>
      <c r="P587" s="2491">
        <v>0</v>
      </c>
      <c r="Q587" s="2161">
        <f t="shared" si="244"/>
        <v>0</v>
      </c>
      <c r="R587" s="1891">
        <f t="shared" si="245"/>
        <v>0</v>
      </c>
      <c r="S587" s="1891">
        <v>0</v>
      </c>
    </row>
    <row r="588" spans="1:19" s="2070" customFormat="1">
      <c r="A588" s="1855"/>
      <c r="B588" s="2727" t="s">
        <v>50</v>
      </c>
      <c r="C588" s="200" t="s">
        <v>74</v>
      </c>
      <c r="D588" s="1964">
        <f>TARGET!D583</f>
        <v>0</v>
      </c>
      <c r="E588" s="2491">
        <v>0</v>
      </c>
      <c r="F588" s="2491">
        <v>0</v>
      </c>
      <c r="G588" s="2491">
        <v>0</v>
      </c>
      <c r="H588" s="2491">
        <v>0</v>
      </c>
      <c r="I588" s="2491">
        <v>0</v>
      </c>
      <c r="J588" s="2491">
        <v>0</v>
      </c>
      <c r="K588" s="2491">
        <v>0</v>
      </c>
      <c r="L588" s="2491">
        <v>0</v>
      </c>
      <c r="M588" s="2491">
        <v>0</v>
      </c>
      <c r="N588" s="2491">
        <v>0</v>
      </c>
      <c r="O588" s="2491">
        <v>0</v>
      </c>
      <c r="P588" s="2491">
        <v>0</v>
      </c>
      <c r="Q588" s="2161">
        <f t="shared" si="244"/>
        <v>0</v>
      </c>
      <c r="R588" s="1891">
        <f t="shared" si="245"/>
        <v>0</v>
      </c>
      <c r="S588" s="1891">
        <v>0</v>
      </c>
    </row>
    <row r="589" spans="1:19" s="2070" customFormat="1">
      <c r="A589" s="1855"/>
      <c r="B589" s="2727" t="s">
        <v>50</v>
      </c>
      <c r="C589" s="200" t="s">
        <v>75</v>
      </c>
      <c r="D589" s="1964">
        <f>TARGET!D584</f>
        <v>0</v>
      </c>
      <c r="E589" s="2491">
        <v>0</v>
      </c>
      <c r="F589" s="2491">
        <v>0</v>
      </c>
      <c r="G589" s="2491">
        <v>0</v>
      </c>
      <c r="H589" s="2491">
        <v>0</v>
      </c>
      <c r="I589" s="2491">
        <v>0</v>
      </c>
      <c r="J589" s="2491">
        <v>0</v>
      </c>
      <c r="K589" s="2491">
        <v>0</v>
      </c>
      <c r="L589" s="2491">
        <v>0</v>
      </c>
      <c r="M589" s="2491">
        <v>0</v>
      </c>
      <c r="N589" s="2491">
        <v>0</v>
      </c>
      <c r="O589" s="2491">
        <v>0</v>
      </c>
      <c r="P589" s="2491">
        <v>0</v>
      </c>
      <c r="Q589" s="2161">
        <f t="shared" si="244"/>
        <v>0</v>
      </c>
      <c r="R589" s="1891">
        <f t="shared" si="245"/>
        <v>0</v>
      </c>
      <c r="S589" s="1891">
        <v>0</v>
      </c>
    </row>
    <row r="590" spans="1:19" s="2070" customFormat="1">
      <c r="A590" s="1855"/>
      <c r="B590" s="2728" t="s">
        <v>50</v>
      </c>
      <c r="C590" s="202" t="s">
        <v>329</v>
      </c>
      <c r="D590" s="2465">
        <f>SUM(D591:D593)</f>
        <v>4392225000</v>
      </c>
      <c r="E590" s="2465">
        <f t="shared" ref="E590:Q590" si="249">SUM(E591:E593)</f>
        <v>0</v>
      </c>
      <c r="F590" s="2465">
        <f t="shared" si="249"/>
        <v>0</v>
      </c>
      <c r="G590" s="2465">
        <f t="shared" si="249"/>
        <v>0</v>
      </c>
      <c r="H590" s="2465">
        <f t="shared" si="249"/>
        <v>0</v>
      </c>
      <c r="I590" s="2465">
        <f t="shared" si="249"/>
        <v>0</v>
      </c>
      <c r="J590" s="2465">
        <f t="shared" si="249"/>
        <v>0</v>
      </c>
      <c r="K590" s="2465">
        <f t="shared" si="249"/>
        <v>0</v>
      </c>
      <c r="L590" s="2465">
        <f t="shared" si="249"/>
        <v>0</v>
      </c>
      <c r="M590" s="2465">
        <f t="shared" si="249"/>
        <v>0</v>
      </c>
      <c r="N590" s="2465">
        <f t="shared" si="249"/>
        <v>0</v>
      </c>
      <c r="O590" s="2465">
        <f t="shared" si="249"/>
        <v>0</v>
      </c>
      <c r="P590" s="2465">
        <f t="shared" si="249"/>
        <v>0</v>
      </c>
      <c r="Q590" s="2465">
        <f t="shared" si="249"/>
        <v>0</v>
      </c>
      <c r="R590" s="1891">
        <f t="shared" si="245"/>
        <v>-4392225000</v>
      </c>
      <c r="S590" s="1891">
        <f>Q590/D590*100</f>
        <v>0</v>
      </c>
    </row>
    <row r="591" spans="1:19" s="2070" customFormat="1">
      <c r="A591" s="1886"/>
      <c r="B591" s="856"/>
      <c r="C591" s="2729" t="s">
        <v>330</v>
      </c>
      <c r="D591" s="1964">
        <f>TARGET!D586</f>
        <v>4392225000</v>
      </c>
      <c r="E591" s="2635">
        <v>0</v>
      </c>
      <c r="F591" s="2635">
        <v>0</v>
      </c>
      <c r="G591" s="2635">
        <v>0</v>
      </c>
      <c r="H591" s="2635">
        <v>0</v>
      </c>
      <c r="I591" s="2635">
        <v>0</v>
      </c>
      <c r="J591" s="2635">
        <v>0</v>
      </c>
      <c r="K591" s="2635">
        <v>0</v>
      </c>
      <c r="L591" s="2635">
        <v>0</v>
      </c>
      <c r="M591" s="2635">
        <v>0</v>
      </c>
      <c r="N591" s="2635">
        <v>0</v>
      </c>
      <c r="O591" s="2635">
        <v>0</v>
      </c>
      <c r="P591" s="2635">
        <v>0</v>
      </c>
      <c r="Q591" s="2161">
        <f t="shared" si="244"/>
        <v>0</v>
      </c>
      <c r="R591" s="1891">
        <f t="shared" si="245"/>
        <v>-4392225000</v>
      </c>
      <c r="S591" s="1891">
        <v>0</v>
      </c>
    </row>
    <row r="592" spans="1:19" s="2070" customFormat="1">
      <c r="A592" s="1886"/>
      <c r="B592" s="856"/>
      <c r="C592" s="2729" t="s">
        <v>331</v>
      </c>
      <c r="D592" s="1964">
        <f>TARGET!D587</f>
        <v>0</v>
      </c>
      <c r="E592" s="2635">
        <v>0</v>
      </c>
      <c r="F592" s="2635">
        <v>0</v>
      </c>
      <c r="G592" s="2635">
        <v>0</v>
      </c>
      <c r="H592" s="2635">
        <v>0</v>
      </c>
      <c r="I592" s="2635">
        <v>0</v>
      </c>
      <c r="J592" s="2635">
        <v>0</v>
      </c>
      <c r="K592" s="2635">
        <v>0</v>
      </c>
      <c r="L592" s="2635">
        <v>0</v>
      </c>
      <c r="M592" s="2635">
        <v>0</v>
      </c>
      <c r="N592" s="2635">
        <v>0</v>
      </c>
      <c r="O592" s="2635">
        <v>0</v>
      </c>
      <c r="P592" s="2635">
        <v>0</v>
      </c>
      <c r="Q592" s="2161">
        <f t="shared" si="244"/>
        <v>0</v>
      </c>
      <c r="R592" s="1891">
        <f t="shared" si="245"/>
        <v>0</v>
      </c>
      <c r="S592" s="1891">
        <v>0</v>
      </c>
    </row>
    <row r="593" spans="1:19" s="2070" customFormat="1">
      <c r="A593" s="1886"/>
      <c r="B593" s="856"/>
      <c r="C593" s="2729" t="s">
        <v>332</v>
      </c>
      <c r="D593" s="1964">
        <f>TARGET!D588</f>
        <v>0</v>
      </c>
      <c r="E593" s="2636">
        <v>0</v>
      </c>
      <c r="F593" s="2636">
        <v>0</v>
      </c>
      <c r="G593" s="2636">
        <v>0</v>
      </c>
      <c r="H593" s="2636">
        <v>0</v>
      </c>
      <c r="I593" s="2636">
        <v>0</v>
      </c>
      <c r="J593" s="2636">
        <v>0</v>
      </c>
      <c r="K593" s="2636">
        <v>0</v>
      </c>
      <c r="L593" s="2636">
        <v>0</v>
      </c>
      <c r="M593" s="2636">
        <v>0</v>
      </c>
      <c r="N593" s="2636">
        <v>0</v>
      </c>
      <c r="O593" s="2636">
        <v>0</v>
      </c>
      <c r="P593" s="2636">
        <v>0</v>
      </c>
      <c r="Q593" s="2161">
        <f t="shared" si="244"/>
        <v>0</v>
      </c>
      <c r="R593" s="1891">
        <f t="shared" si="245"/>
        <v>0</v>
      </c>
      <c r="S593" s="1891">
        <v>0</v>
      </c>
    </row>
    <row r="594" spans="1:19" s="2070" customFormat="1" ht="4.55" customHeight="1">
      <c r="A594" s="1465"/>
      <c r="B594" s="2117"/>
      <c r="C594" s="2117"/>
      <c r="D594" s="2310"/>
      <c r="E594" s="2310"/>
      <c r="F594" s="2310"/>
      <c r="G594" s="2310"/>
      <c r="H594" s="2310"/>
      <c r="I594" s="2310"/>
      <c r="J594" s="2310"/>
      <c r="K594" s="2310"/>
      <c r="L594" s="2310"/>
      <c r="M594" s="2310"/>
      <c r="N594" s="2310"/>
      <c r="O594" s="2310"/>
      <c r="P594" s="2310"/>
      <c r="Q594" s="2311"/>
      <c r="R594" s="2311"/>
      <c r="S594" s="2311"/>
    </row>
    <row r="595" spans="1:19" s="2070" customFormat="1" ht="15.65">
      <c r="A595" s="2528" t="s">
        <v>333</v>
      </c>
      <c r="B595" s="2093" t="s">
        <v>334</v>
      </c>
      <c r="C595" s="2195"/>
      <c r="D595" s="2306">
        <f t="shared" ref="D595:P595" si="250">D596</f>
        <v>0</v>
      </c>
      <c r="E595" s="2306">
        <f t="shared" si="250"/>
        <v>0</v>
      </c>
      <c r="F595" s="2306">
        <f t="shared" si="250"/>
        <v>0</v>
      </c>
      <c r="G595" s="2306">
        <f t="shared" si="250"/>
        <v>0</v>
      </c>
      <c r="H595" s="2306">
        <f t="shared" si="250"/>
        <v>0</v>
      </c>
      <c r="I595" s="2306">
        <f t="shared" si="250"/>
        <v>0</v>
      </c>
      <c r="J595" s="2306">
        <f t="shared" si="250"/>
        <v>0</v>
      </c>
      <c r="K595" s="2306">
        <f t="shared" si="250"/>
        <v>0</v>
      </c>
      <c r="L595" s="2306">
        <f t="shared" si="250"/>
        <v>0</v>
      </c>
      <c r="M595" s="2306">
        <f t="shared" si="250"/>
        <v>0</v>
      </c>
      <c r="N595" s="2306">
        <f t="shared" si="250"/>
        <v>0</v>
      </c>
      <c r="O595" s="2306">
        <f t="shared" si="250"/>
        <v>0</v>
      </c>
      <c r="P595" s="2306">
        <f t="shared" si="250"/>
        <v>0</v>
      </c>
      <c r="Q595" s="2306">
        <f>SUM(E595:P595)</f>
        <v>0</v>
      </c>
      <c r="R595" s="2147">
        <f>Q595-D595</f>
        <v>0</v>
      </c>
      <c r="S595" s="2147">
        <v>0</v>
      </c>
    </row>
    <row r="596" spans="1:19" s="2070" customFormat="1">
      <c r="A596" s="1902"/>
      <c r="B596" s="2322" t="s">
        <v>71</v>
      </c>
      <c r="C596" s="2322"/>
      <c r="D596" s="2304">
        <f t="shared" ref="D596:P596" si="251">SUM(D597:D601)</f>
        <v>0</v>
      </c>
      <c r="E596" s="2304">
        <f t="shared" si="251"/>
        <v>0</v>
      </c>
      <c r="F596" s="2304">
        <f t="shared" si="251"/>
        <v>0</v>
      </c>
      <c r="G596" s="2304">
        <f t="shared" si="251"/>
        <v>0</v>
      </c>
      <c r="H596" s="2304">
        <f t="shared" si="251"/>
        <v>0</v>
      </c>
      <c r="I596" s="2304">
        <f t="shared" si="251"/>
        <v>0</v>
      </c>
      <c r="J596" s="2304">
        <f t="shared" si="251"/>
        <v>0</v>
      </c>
      <c r="K596" s="2304">
        <f t="shared" si="251"/>
        <v>0</v>
      </c>
      <c r="L596" s="2304">
        <f t="shared" si="251"/>
        <v>0</v>
      </c>
      <c r="M596" s="2304">
        <f t="shared" si="251"/>
        <v>0</v>
      </c>
      <c r="N596" s="2304">
        <f t="shared" si="251"/>
        <v>0</v>
      </c>
      <c r="O596" s="2304">
        <f t="shared" si="251"/>
        <v>0</v>
      </c>
      <c r="P596" s="2304">
        <f t="shared" si="251"/>
        <v>0</v>
      </c>
      <c r="Q596" s="2161">
        <f t="shared" ref="Q596:Q601" si="252">SUM(E596:P596)</f>
        <v>0</v>
      </c>
      <c r="R596" s="1891">
        <f t="shared" ref="R596:R601" si="253">Q596-D596</f>
        <v>0</v>
      </c>
      <c r="S596" s="1891">
        <v>0</v>
      </c>
    </row>
    <row r="597" spans="1:19" s="2070" customFormat="1">
      <c r="A597" s="1889"/>
      <c r="B597" s="200" t="s">
        <v>50</v>
      </c>
      <c r="C597" s="224" t="s">
        <v>73</v>
      </c>
      <c r="D597" s="1964">
        <f>TARGET!D592</f>
        <v>0</v>
      </c>
      <c r="E597" s="2491">
        <v>0</v>
      </c>
      <c r="F597" s="2491">
        <v>0</v>
      </c>
      <c r="G597" s="2491">
        <v>0</v>
      </c>
      <c r="H597" s="2491">
        <v>0</v>
      </c>
      <c r="I597" s="2491">
        <v>0</v>
      </c>
      <c r="J597" s="2491">
        <v>0</v>
      </c>
      <c r="K597" s="2491">
        <v>0</v>
      </c>
      <c r="L597" s="2491">
        <v>0</v>
      </c>
      <c r="M597" s="2491">
        <v>0</v>
      </c>
      <c r="N597" s="2491">
        <v>0</v>
      </c>
      <c r="O597" s="2491">
        <v>0</v>
      </c>
      <c r="P597" s="2491">
        <v>0</v>
      </c>
      <c r="Q597" s="2161">
        <f t="shared" si="252"/>
        <v>0</v>
      </c>
      <c r="R597" s="1891">
        <f t="shared" si="253"/>
        <v>0</v>
      </c>
      <c r="S597" s="1891">
        <v>0</v>
      </c>
    </row>
    <row r="598" spans="1:19" s="2070" customFormat="1">
      <c r="A598" s="1855"/>
      <c r="B598" s="200" t="s">
        <v>50</v>
      </c>
      <c r="C598" s="200" t="s">
        <v>74</v>
      </c>
      <c r="D598" s="1964">
        <f>TARGET!D593</f>
        <v>0</v>
      </c>
      <c r="E598" s="2491">
        <v>0</v>
      </c>
      <c r="F598" s="2491">
        <v>0</v>
      </c>
      <c r="G598" s="2491">
        <v>0</v>
      </c>
      <c r="H598" s="2491">
        <v>0</v>
      </c>
      <c r="I598" s="2491">
        <v>0</v>
      </c>
      <c r="J598" s="2491">
        <v>0</v>
      </c>
      <c r="K598" s="2491">
        <v>0</v>
      </c>
      <c r="L598" s="2491">
        <v>0</v>
      </c>
      <c r="M598" s="2491">
        <v>0</v>
      </c>
      <c r="N598" s="2491">
        <v>0</v>
      </c>
      <c r="O598" s="2491">
        <v>0</v>
      </c>
      <c r="P598" s="2491">
        <v>0</v>
      </c>
      <c r="Q598" s="2161">
        <f t="shared" si="252"/>
        <v>0</v>
      </c>
      <c r="R598" s="1891">
        <f t="shared" si="253"/>
        <v>0</v>
      </c>
      <c r="S598" s="1891">
        <v>0</v>
      </c>
    </row>
    <row r="599" spans="1:19" s="2070" customFormat="1">
      <c r="A599" s="1855"/>
      <c r="B599" s="200" t="s">
        <v>50</v>
      </c>
      <c r="C599" s="200" t="s">
        <v>75</v>
      </c>
      <c r="D599" s="1964">
        <f>TARGET!D594</f>
        <v>0</v>
      </c>
      <c r="E599" s="2491">
        <v>0</v>
      </c>
      <c r="F599" s="2491">
        <v>0</v>
      </c>
      <c r="G599" s="2491">
        <v>0</v>
      </c>
      <c r="H599" s="2491">
        <v>0</v>
      </c>
      <c r="I599" s="2491">
        <v>0</v>
      </c>
      <c r="J599" s="2491">
        <v>0</v>
      </c>
      <c r="K599" s="2491">
        <v>0</v>
      </c>
      <c r="L599" s="2491">
        <v>0</v>
      </c>
      <c r="M599" s="2491">
        <v>0</v>
      </c>
      <c r="N599" s="2491">
        <v>0</v>
      </c>
      <c r="O599" s="2491">
        <v>0</v>
      </c>
      <c r="P599" s="2491">
        <v>0</v>
      </c>
      <c r="Q599" s="2161">
        <f t="shared" si="252"/>
        <v>0</v>
      </c>
      <c r="R599" s="1891">
        <f t="shared" si="253"/>
        <v>0</v>
      </c>
      <c r="S599" s="1891">
        <v>0</v>
      </c>
    </row>
    <row r="600" spans="1:19" s="2070" customFormat="1">
      <c r="A600" s="1855"/>
      <c r="B600" s="200" t="s">
        <v>50</v>
      </c>
      <c r="C600" s="200" t="s">
        <v>169</v>
      </c>
      <c r="D600" s="1964">
        <f>TARGET!D595</f>
        <v>0</v>
      </c>
      <c r="E600" s="2491">
        <v>0</v>
      </c>
      <c r="F600" s="2491">
        <v>0</v>
      </c>
      <c r="G600" s="2491">
        <v>0</v>
      </c>
      <c r="H600" s="2491">
        <v>0</v>
      </c>
      <c r="I600" s="2491">
        <v>0</v>
      </c>
      <c r="J600" s="2491">
        <v>0</v>
      </c>
      <c r="K600" s="2491">
        <v>0</v>
      </c>
      <c r="L600" s="2491">
        <v>0</v>
      </c>
      <c r="M600" s="2491">
        <v>0</v>
      </c>
      <c r="N600" s="2491">
        <v>0</v>
      </c>
      <c r="O600" s="2491">
        <v>0</v>
      </c>
      <c r="P600" s="2491">
        <v>0</v>
      </c>
      <c r="Q600" s="2161">
        <f t="shared" si="252"/>
        <v>0</v>
      </c>
      <c r="R600" s="1891">
        <f t="shared" si="253"/>
        <v>0</v>
      </c>
      <c r="S600" s="1891">
        <v>0</v>
      </c>
    </row>
    <row r="601" spans="1:19" s="2070" customFormat="1">
      <c r="A601" s="1854"/>
      <c r="B601" s="200" t="s">
        <v>50</v>
      </c>
      <c r="C601" s="200" t="s">
        <v>85</v>
      </c>
      <c r="D601" s="1964">
        <f>TARGET!D596</f>
        <v>0</v>
      </c>
      <c r="E601" s="2491">
        <v>0</v>
      </c>
      <c r="F601" s="2491">
        <v>0</v>
      </c>
      <c r="G601" s="2491">
        <v>0</v>
      </c>
      <c r="H601" s="2491">
        <v>0</v>
      </c>
      <c r="I601" s="2491">
        <v>0</v>
      </c>
      <c r="J601" s="2491">
        <v>0</v>
      </c>
      <c r="K601" s="2491">
        <v>0</v>
      </c>
      <c r="L601" s="2491">
        <v>0</v>
      </c>
      <c r="M601" s="2491">
        <v>0</v>
      </c>
      <c r="N601" s="2491">
        <v>0</v>
      </c>
      <c r="O601" s="2491">
        <v>0</v>
      </c>
      <c r="P601" s="2491">
        <v>0</v>
      </c>
      <c r="Q601" s="2161">
        <f t="shared" si="252"/>
        <v>0</v>
      </c>
      <c r="R601" s="1891">
        <f t="shared" si="253"/>
        <v>0</v>
      </c>
      <c r="S601" s="1891">
        <v>0</v>
      </c>
    </row>
    <row r="602" spans="1:19" s="2070" customFormat="1" ht="5.35" customHeight="1">
      <c r="A602" s="1854"/>
      <c r="B602" s="200"/>
      <c r="C602" s="200"/>
      <c r="D602" s="2470"/>
      <c r="E602" s="2470"/>
      <c r="F602" s="2470"/>
      <c r="G602" s="2470"/>
      <c r="H602" s="2470"/>
      <c r="I602" s="2470"/>
      <c r="J602" s="2470"/>
      <c r="K602" s="2470"/>
      <c r="L602" s="2470"/>
      <c r="M602" s="2470"/>
      <c r="N602" s="2470"/>
      <c r="O602" s="2470"/>
      <c r="P602" s="2470"/>
      <c r="Q602" s="2472"/>
      <c r="R602" s="2472"/>
      <c r="S602" s="2472"/>
    </row>
    <row r="603" spans="1:19" s="2070" customFormat="1" ht="15.65">
      <c r="A603" s="2637" t="s">
        <v>335</v>
      </c>
      <c r="B603" s="2119" t="s">
        <v>336</v>
      </c>
      <c r="C603" s="2436"/>
      <c r="D603" s="2437">
        <f t="shared" ref="D603:P603" si="254">D604</f>
        <v>0</v>
      </c>
      <c r="E603" s="2437">
        <f t="shared" si="254"/>
        <v>0</v>
      </c>
      <c r="F603" s="2437">
        <f t="shared" si="254"/>
        <v>0</v>
      </c>
      <c r="G603" s="2437">
        <f t="shared" si="254"/>
        <v>0</v>
      </c>
      <c r="H603" s="2437">
        <f t="shared" si="254"/>
        <v>0</v>
      </c>
      <c r="I603" s="2437">
        <f t="shared" si="254"/>
        <v>0</v>
      </c>
      <c r="J603" s="2437">
        <f t="shared" si="254"/>
        <v>0</v>
      </c>
      <c r="K603" s="2437">
        <f t="shared" si="254"/>
        <v>0</v>
      </c>
      <c r="L603" s="2437">
        <f t="shared" si="254"/>
        <v>0</v>
      </c>
      <c r="M603" s="2437">
        <f t="shared" si="254"/>
        <v>0</v>
      </c>
      <c r="N603" s="2437">
        <f t="shared" si="254"/>
        <v>0</v>
      </c>
      <c r="O603" s="2437">
        <f t="shared" si="254"/>
        <v>0</v>
      </c>
      <c r="P603" s="2437">
        <f t="shared" si="254"/>
        <v>0</v>
      </c>
      <c r="Q603" s="2306">
        <f>SUM(E603:P603)</f>
        <v>0</v>
      </c>
      <c r="R603" s="2147">
        <f>Q603-D603</f>
        <v>0</v>
      </c>
      <c r="S603" s="2147">
        <v>0</v>
      </c>
    </row>
    <row r="604" spans="1:19" s="2070" customFormat="1">
      <c r="A604" s="2533"/>
      <c r="B604" s="2113" t="s">
        <v>71</v>
      </c>
      <c r="C604" s="2113"/>
      <c r="D604" s="2474">
        <f t="shared" ref="D604:P604" si="255">SUM(D605:D609)</f>
        <v>0</v>
      </c>
      <c r="E604" s="2474">
        <f t="shared" si="255"/>
        <v>0</v>
      </c>
      <c r="F604" s="2474">
        <f t="shared" si="255"/>
        <v>0</v>
      </c>
      <c r="G604" s="2474">
        <f t="shared" si="255"/>
        <v>0</v>
      </c>
      <c r="H604" s="2474">
        <f t="shared" si="255"/>
        <v>0</v>
      </c>
      <c r="I604" s="2474">
        <f t="shared" si="255"/>
        <v>0</v>
      </c>
      <c r="J604" s="2474">
        <f t="shared" si="255"/>
        <v>0</v>
      </c>
      <c r="K604" s="2474">
        <f t="shared" si="255"/>
        <v>0</v>
      </c>
      <c r="L604" s="2474">
        <f t="shared" si="255"/>
        <v>0</v>
      </c>
      <c r="M604" s="2474">
        <f t="shared" si="255"/>
        <v>0</v>
      </c>
      <c r="N604" s="2474">
        <f t="shared" si="255"/>
        <v>0</v>
      </c>
      <c r="O604" s="2474">
        <f t="shared" si="255"/>
        <v>0</v>
      </c>
      <c r="P604" s="2474">
        <f t="shared" si="255"/>
        <v>0</v>
      </c>
      <c r="Q604" s="2161">
        <f t="shared" ref="Q604:Q609" si="256">SUM(E604:P604)</f>
        <v>0</v>
      </c>
      <c r="R604" s="1891">
        <f t="shared" ref="R604:R609" si="257">Q604-D604</f>
        <v>0</v>
      </c>
      <c r="S604" s="1891">
        <v>0</v>
      </c>
    </row>
    <row r="605" spans="1:19" s="2070" customFormat="1">
      <c r="A605" s="1855"/>
      <c r="B605" s="200" t="s">
        <v>50</v>
      </c>
      <c r="C605" s="200" t="s">
        <v>73</v>
      </c>
      <c r="D605" s="1964">
        <f>TARGET!D600</f>
        <v>0</v>
      </c>
      <c r="E605" s="2491">
        <v>0</v>
      </c>
      <c r="F605" s="2491">
        <v>0</v>
      </c>
      <c r="G605" s="2491">
        <v>0</v>
      </c>
      <c r="H605" s="2491">
        <v>0</v>
      </c>
      <c r="I605" s="2491">
        <v>0</v>
      </c>
      <c r="J605" s="2491">
        <v>0</v>
      </c>
      <c r="K605" s="2491">
        <v>0</v>
      </c>
      <c r="L605" s="2491">
        <v>0</v>
      </c>
      <c r="M605" s="2491">
        <v>0</v>
      </c>
      <c r="N605" s="2491">
        <v>0</v>
      </c>
      <c r="O605" s="2491">
        <v>0</v>
      </c>
      <c r="P605" s="2491">
        <v>0</v>
      </c>
      <c r="Q605" s="2161">
        <f t="shared" si="256"/>
        <v>0</v>
      </c>
      <c r="R605" s="1891">
        <f t="shared" si="257"/>
        <v>0</v>
      </c>
      <c r="S605" s="1891">
        <v>0</v>
      </c>
    </row>
    <row r="606" spans="1:19" s="2070" customFormat="1">
      <c r="A606" s="1855"/>
      <c r="B606" s="200" t="s">
        <v>50</v>
      </c>
      <c r="C606" s="200" t="s">
        <v>74</v>
      </c>
      <c r="D606" s="1964">
        <f>TARGET!D601</f>
        <v>0</v>
      </c>
      <c r="E606" s="2491">
        <v>0</v>
      </c>
      <c r="F606" s="2491">
        <v>0</v>
      </c>
      <c r="G606" s="2491">
        <v>0</v>
      </c>
      <c r="H606" s="2491">
        <v>0</v>
      </c>
      <c r="I606" s="2491">
        <v>0</v>
      </c>
      <c r="J606" s="2491">
        <v>0</v>
      </c>
      <c r="K606" s="2491">
        <v>0</v>
      </c>
      <c r="L606" s="2491">
        <v>0</v>
      </c>
      <c r="M606" s="2491">
        <v>0</v>
      </c>
      <c r="N606" s="2491">
        <v>0</v>
      </c>
      <c r="O606" s="2491">
        <v>0</v>
      </c>
      <c r="P606" s="2491">
        <v>0</v>
      </c>
      <c r="Q606" s="2161">
        <f t="shared" si="256"/>
        <v>0</v>
      </c>
      <c r="R606" s="1891">
        <f t="shared" si="257"/>
        <v>0</v>
      </c>
      <c r="S606" s="1891">
        <v>0</v>
      </c>
    </row>
    <row r="607" spans="1:19" s="2070" customFormat="1">
      <c r="A607" s="1855"/>
      <c r="B607" s="200" t="s">
        <v>50</v>
      </c>
      <c r="C607" s="200" t="s">
        <v>75</v>
      </c>
      <c r="D607" s="1964">
        <f>TARGET!D602</f>
        <v>0</v>
      </c>
      <c r="E607" s="2491">
        <v>0</v>
      </c>
      <c r="F607" s="2491">
        <v>0</v>
      </c>
      <c r="G607" s="2491">
        <v>0</v>
      </c>
      <c r="H607" s="2491">
        <v>0</v>
      </c>
      <c r="I607" s="2491">
        <v>0</v>
      </c>
      <c r="J607" s="2491">
        <v>0</v>
      </c>
      <c r="K607" s="2491">
        <v>0</v>
      </c>
      <c r="L607" s="2491">
        <v>0</v>
      </c>
      <c r="M607" s="2491">
        <v>0</v>
      </c>
      <c r="N607" s="2491">
        <v>0</v>
      </c>
      <c r="O607" s="2491">
        <v>0</v>
      </c>
      <c r="P607" s="2491">
        <v>0</v>
      </c>
      <c r="Q607" s="2161">
        <f t="shared" si="256"/>
        <v>0</v>
      </c>
      <c r="R607" s="1891">
        <f t="shared" si="257"/>
        <v>0</v>
      </c>
      <c r="S607" s="1891">
        <v>0</v>
      </c>
    </row>
    <row r="608" spans="1:19" s="2070" customFormat="1">
      <c r="A608" s="1855"/>
      <c r="B608" s="200" t="s">
        <v>50</v>
      </c>
      <c r="C608" s="200" t="s">
        <v>337</v>
      </c>
      <c r="D608" s="1964">
        <f>TARGET!D603</f>
        <v>0</v>
      </c>
      <c r="E608" s="2491">
        <v>0</v>
      </c>
      <c r="F608" s="2491">
        <v>0</v>
      </c>
      <c r="G608" s="2491">
        <v>0</v>
      </c>
      <c r="H608" s="2491">
        <v>0</v>
      </c>
      <c r="I608" s="2491">
        <v>0</v>
      </c>
      <c r="J608" s="2491">
        <v>0</v>
      </c>
      <c r="K608" s="2491">
        <v>0</v>
      </c>
      <c r="L608" s="2491">
        <v>0</v>
      </c>
      <c r="M608" s="2491">
        <v>0</v>
      </c>
      <c r="N608" s="2491">
        <v>0</v>
      </c>
      <c r="O608" s="2491">
        <v>0</v>
      </c>
      <c r="P608" s="2491">
        <v>0</v>
      </c>
      <c r="Q608" s="2161">
        <f t="shared" si="256"/>
        <v>0</v>
      </c>
      <c r="R608" s="1891">
        <f t="shared" si="257"/>
        <v>0</v>
      </c>
      <c r="S608" s="1891">
        <v>0</v>
      </c>
    </row>
    <row r="609" spans="1:19" s="2070" customFormat="1">
      <c r="A609" s="1855"/>
      <c r="B609" s="200" t="s">
        <v>50</v>
      </c>
      <c r="C609" s="200" t="s">
        <v>338</v>
      </c>
      <c r="D609" s="1964">
        <f>TARGET!D604</f>
        <v>0</v>
      </c>
      <c r="E609" s="2491">
        <v>0</v>
      </c>
      <c r="F609" s="2491">
        <v>0</v>
      </c>
      <c r="G609" s="2491">
        <v>0</v>
      </c>
      <c r="H609" s="2491">
        <v>0</v>
      </c>
      <c r="I609" s="2491">
        <v>0</v>
      </c>
      <c r="J609" s="2491">
        <v>0</v>
      </c>
      <c r="K609" s="2491">
        <v>0</v>
      </c>
      <c r="L609" s="2491">
        <v>0</v>
      </c>
      <c r="M609" s="2491">
        <v>0</v>
      </c>
      <c r="N609" s="2491">
        <v>0</v>
      </c>
      <c r="O609" s="2491">
        <v>0</v>
      </c>
      <c r="P609" s="2491">
        <v>0</v>
      </c>
      <c r="Q609" s="2161">
        <f t="shared" si="256"/>
        <v>0</v>
      </c>
      <c r="R609" s="1891">
        <f t="shared" si="257"/>
        <v>0</v>
      </c>
      <c r="S609" s="1891">
        <v>0</v>
      </c>
    </row>
    <row r="610" spans="1:19" s="2070" customFormat="1" ht="5.95" customHeight="1">
      <c r="A610" s="1913"/>
      <c r="B610" s="238"/>
      <c r="C610" s="238"/>
      <c r="D610" s="2470"/>
      <c r="E610" s="2470"/>
      <c r="F610" s="2470"/>
      <c r="G610" s="2470"/>
      <c r="H610" s="2470"/>
      <c r="I610" s="2470"/>
      <c r="J610" s="2470"/>
      <c r="K610" s="2470"/>
      <c r="L610" s="2470"/>
      <c r="M610" s="2470"/>
      <c r="N610" s="2470"/>
      <c r="O610" s="2470"/>
      <c r="P610" s="2470"/>
      <c r="Q610" s="2475"/>
      <c r="R610" s="2475"/>
      <c r="S610" s="2475"/>
    </row>
    <row r="611" spans="1:19" s="2070" customFormat="1" ht="15.65">
      <c r="A611" s="2638" t="s">
        <v>339</v>
      </c>
      <c r="B611" s="2459" t="s">
        <v>340</v>
      </c>
      <c r="C611" s="2477"/>
      <c r="D611" s="2478">
        <f t="shared" ref="D611:P611" si="258">D612+D630</f>
        <v>1274387000</v>
      </c>
      <c r="E611" s="2478">
        <f t="shared" si="258"/>
        <v>0</v>
      </c>
      <c r="F611" s="2478">
        <f t="shared" si="258"/>
        <v>0</v>
      </c>
      <c r="G611" s="2478">
        <f t="shared" si="258"/>
        <v>0</v>
      </c>
      <c r="H611" s="2478">
        <f t="shared" si="258"/>
        <v>0</v>
      </c>
      <c r="I611" s="2478">
        <f t="shared" si="258"/>
        <v>0</v>
      </c>
      <c r="J611" s="2478">
        <f t="shared" si="258"/>
        <v>0</v>
      </c>
      <c r="K611" s="2478">
        <f t="shared" si="258"/>
        <v>0</v>
      </c>
      <c r="L611" s="2478">
        <f t="shared" si="258"/>
        <v>0</v>
      </c>
      <c r="M611" s="2478">
        <f t="shared" si="258"/>
        <v>0</v>
      </c>
      <c r="N611" s="2478">
        <f t="shared" si="258"/>
        <v>0</v>
      </c>
      <c r="O611" s="2478">
        <f t="shared" si="258"/>
        <v>0</v>
      </c>
      <c r="P611" s="2478">
        <f t="shared" si="258"/>
        <v>0</v>
      </c>
      <c r="Q611" s="2306">
        <f>SUM(E611:P611)</f>
        <v>0</v>
      </c>
      <c r="R611" s="2147">
        <f>Q611-D611</f>
        <v>-1274387000</v>
      </c>
      <c r="S611" s="2147">
        <f>Q611/D611*100</f>
        <v>0</v>
      </c>
    </row>
    <row r="612" spans="1:19" s="2070" customFormat="1" ht="15.05">
      <c r="A612" s="2529"/>
      <c r="B612" s="1318" t="s">
        <v>106</v>
      </c>
      <c r="C612" s="2099"/>
      <c r="D612" s="2479">
        <f t="shared" ref="D612:P612" si="259">D613+D617</f>
        <v>1274387000</v>
      </c>
      <c r="E612" s="2479">
        <f t="shared" si="259"/>
        <v>0</v>
      </c>
      <c r="F612" s="2479">
        <f t="shared" si="259"/>
        <v>0</v>
      </c>
      <c r="G612" s="2479">
        <f t="shared" si="259"/>
        <v>0</v>
      </c>
      <c r="H612" s="2479">
        <f t="shared" si="259"/>
        <v>0</v>
      </c>
      <c r="I612" s="2479">
        <f t="shared" si="259"/>
        <v>0</v>
      </c>
      <c r="J612" s="2479">
        <f t="shared" si="259"/>
        <v>0</v>
      </c>
      <c r="K612" s="2479">
        <f t="shared" si="259"/>
        <v>0</v>
      </c>
      <c r="L612" s="2479">
        <f t="shared" si="259"/>
        <v>0</v>
      </c>
      <c r="M612" s="2479">
        <f t="shared" si="259"/>
        <v>0</v>
      </c>
      <c r="N612" s="2479">
        <f t="shared" si="259"/>
        <v>0</v>
      </c>
      <c r="O612" s="2479">
        <f t="shared" si="259"/>
        <v>0</v>
      </c>
      <c r="P612" s="2479">
        <f t="shared" si="259"/>
        <v>0</v>
      </c>
      <c r="Q612" s="2156">
        <f t="shared" ref="Q612:Q635" si="260">SUM(E612:P612)</f>
        <v>0</v>
      </c>
      <c r="R612" s="1749">
        <f t="shared" ref="R612:S635" si="261">Q612-D612</f>
        <v>-1274387000</v>
      </c>
      <c r="S612" s="1891">
        <f>Q612/D612*100</f>
        <v>0</v>
      </c>
    </row>
    <row r="613" spans="1:19" s="2070" customFormat="1">
      <c r="A613" s="1905"/>
      <c r="B613" s="212" t="s">
        <v>63</v>
      </c>
      <c r="C613" s="212"/>
      <c r="D613" s="2480">
        <f t="shared" ref="D613:P613" si="262">D614</f>
        <v>200000000</v>
      </c>
      <c r="E613" s="2480">
        <f t="shared" si="262"/>
        <v>0</v>
      </c>
      <c r="F613" s="2480">
        <f t="shared" si="262"/>
        <v>0</v>
      </c>
      <c r="G613" s="2480">
        <f t="shared" si="262"/>
        <v>0</v>
      </c>
      <c r="H613" s="2480">
        <f t="shared" si="262"/>
        <v>0</v>
      </c>
      <c r="I613" s="2480">
        <f t="shared" si="262"/>
        <v>0</v>
      </c>
      <c r="J613" s="2480">
        <f t="shared" si="262"/>
        <v>0</v>
      </c>
      <c r="K613" s="2480">
        <f t="shared" si="262"/>
        <v>0</v>
      </c>
      <c r="L613" s="2480">
        <f t="shared" si="262"/>
        <v>0</v>
      </c>
      <c r="M613" s="2480">
        <f t="shared" si="262"/>
        <v>0</v>
      </c>
      <c r="N613" s="2480">
        <f t="shared" si="262"/>
        <v>0</v>
      </c>
      <c r="O613" s="2480">
        <f t="shared" si="262"/>
        <v>0</v>
      </c>
      <c r="P613" s="2480">
        <f t="shared" si="262"/>
        <v>0</v>
      </c>
      <c r="Q613" s="2161">
        <f t="shared" si="260"/>
        <v>0</v>
      </c>
      <c r="R613" s="1891">
        <f t="shared" si="261"/>
        <v>-200000000</v>
      </c>
      <c r="S613" s="1891">
        <f>Q613/D613*100</f>
        <v>0</v>
      </c>
    </row>
    <row r="614" spans="1:19" s="2070" customFormat="1" ht="15.05">
      <c r="A614" s="1905"/>
      <c r="B614" s="2744" t="s">
        <v>50</v>
      </c>
      <c r="C614" s="224" t="s">
        <v>304</v>
      </c>
      <c r="D614" s="2481">
        <f t="shared" ref="D614:P614" si="263">SUM(D615)</f>
        <v>200000000</v>
      </c>
      <c r="E614" s="2481">
        <f t="shared" si="263"/>
        <v>0</v>
      </c>
      <c r="F614" s="2481">
        <f t="shared" si="263"/>
        <v>0</v>
      </c>
      <c r="G614" s="2481">
        <f t="shared" si="263"/>
        <v>0</v>
      </c>
      <c r="H614" s="2481">
        <f t="shared" si="263"/>
        <v>0</v>
      </c>
      <c r="I614" s="2481">
        <f t="shared" si="263"/>
        <v>0</v>
      </c>
      <c r="J614" s="2481">
        <f t="shared" si="263"/>
        <v>0</v>
      </c>
      <c r="K614" s="2481">
        <f t="shared" si="263"/>
        <v>0</v>
      </c>
      <c r="L614" s="2481">
        <f t="shared" si="263"/>
        <v>0</v>
      </c>
      <c r="M614" s="2481">
        <f t="shared" si="263"/>
        <v>0</v>
      </c>
      <c r="N614" s="2481">
        <f t="shared" si="263"/>
        <v>0</v>
      </c>
      <c r="O614" s="2481">
        <f t="shared" si="263"/>
        <v>0</v>
      </c>
      <c r="P614" s="2481">
        <f t="shared" si="263"/>
        <v>0</v>
      </c>
      <c r="Q614" s="2156">
        <f t="shared" si="260"/>
        <v>0</v>
      </c>
      <c r="R614" s="1749">
        <f t="shared" si="261"/>
        <v>-200000000</v>
      </c>
      <c r="S614" s="1891">
        <f>Q614/D614*100</f>
        <v>0</v>
      </c>
    </row>
    <row r="615" spans="1:19" s="2070" customFormat="1">
      <c r="A615" s="1905"/>
      <c r="B615" s="212"/>
      <c r="C615" s="2733" t="s">
        <v>341</v>
      </c>
      <c r="D615" s="1964">
        <f>TARGET!D610</f>
        <v>200000000</v>
      </c>
      <c r="E615" s="2639">
        <v>0</v>
      </c>
      <c r="F615" s="2639">
        <v>0</v>
      </c>
      <c r="G615" s="2639">
        <v>0</v>
      </c>
      <c r="H615" s="2639">
        <v>0</v>
      </c>
      <c r="I615" s="2639">
        <v>0</v>
      </c>
      <c r="J615" s="2639">
        <v>0</v>
      </c>
      <c r="K615" s="2639">
        <v>0</v>
      </c>
      <c r="L615" s="2639">
        <v>0</v>
      </c>
      <c r="M615" s="2639">
        <v>0</v>
      </c>
      <c r="N615" s="2639">
        <v>0</v>
      </c>
      <c r="O615" s="2639">
        <v>0</v>
      </c>
      <c r="P615" s="2639">
        <v>0</v>
      </c>
      <c r="Q615" s="2161">
        <f t="shared" si="260"/>
        <v>0</v>
      </c>
      <c r="R615" s="1891">
        <f t="shared" si="261"/>
        <v>-200000000</v>
      </c>
      <c r="S615" s="1891">
        <f>Q615/D615*100</f>
        <v>0</v>
      </c>
    </row>
    <row r="616" spans="1:19" s="2070" customFormat="1" ht="5.35" customHeight="1">
      <c r="A616" s="1905"/>
      <c r="B616" s="212"/>
      <c r="C616" s="212"/>
      <c r="D616" s="2480"/>
      <c r="E616" s="2480"/>
      <c r="F616" s="2480"/>
      <c r="G616" s="2480"/>
      <c r="H616" s="2480"/>
      <c r="I616" s="2480"/>
      <c r="J616" s="2480"/>
      <c r="K616" s="2480"/>
      <c r="L616" s="2480"/>
      <c r="M616" s="2480"/>
      <c r="N616" s="2480"/>
      <c r="O616" s="2480"/>
      <c r="P616" s="2480"/>
      <c r="Q616" s="2161">
        <f t="shared" si="260"/>
        <v>0</v>
      </c>
      <c r="R616" s="1891">
        <f t="shared" si="261"/>
        <v>0</v>
      </c>
      <c r="S616" s="1891">
        <f t="shared" si="261"/>
        <v>0</v>
      </c>
    </row>
    <row r="617" spans="1:19" s="2070" customFormat="1">
      <c r="A617" s="1905"/>
      <c r="B617" s="2099" t="s">
        <v>342</v>
      </c>
      <c r="C617" s="212"/>
      <c r="D617" s="2482">
        <f t="shared" ref="D617:P617" si="264">SUM(D618:D628)</f>
        <v>1074387000</v>
      </c>
      <c r="E617" s="2482">
        <f t="shared" si="264"/>
        <v>0</v>
      </c>
      <c r="F617" s="2482">
        <f t="shared" si="264"/>
        <v>0</v>
      </c>
      <c r="G617" s="2482">
        <f t="shared" si="264"/>
        <v>0</v>
      </c>
      <c r="H617" s="2482">
        <f t="shared" si="264"/>
        <v>0</v>
      </c>
      <c r="I617" s="2482">
        <f t="shared" si="264"/>
        <v>0</v>
      </c>
      <c r="J617" s="2482">
        <f t="shared" si="264"/>
        <v>0</v>
      </c>
      <c r="K617" s="2482">
        <f t="shared" si="264"/>
        <v>0</v>
      </c>
      <c r="L617" s="2482">
        <f t="shared" si="264"/>
        <v>0</v>
      </c>
      <c r="M617" s="2482">
        <f t="shared" si="264"/>
        <v>0</v>
      </c>
      <c r="N617" s="2482">
        <f t="shared" si="264"/>
        <v>0</v>
      </c>
      <c r="O617" s="2482">
        <f t="shared" si="264"/>
        <v>0</v>
      </c>
      <c r="P617" s="2482">
        <f t="shared" si="264"/>
        <v>0</v>
      </c>
      <c r="Q617" s="2161">
        <f t="shared" si="260"/>
        <v>0</v>
      </c>
      <c r="R617" s="1891">
        <f t="shared" si="261"/>
        <v>-1074387000</v>
      </c>
      <c r="S617" s="1891">
        <f t="shared" ref="S617:S628" si="265">Q617/D617*100</f>
        <v>0</v>
      </c>
    </row>
    <row r="618" spans="1:19" s="2070" customFormat="1">
      <c r="A618" s="1854"/>
      <c r="B618" s="200" t="s">
        <v>50</v>
      </c>
      <c r="C618" s="200" t="s">
        <v>343</v>
      </c>
      <c r="D618" s="1964">
        <f>TARGET!D613</f>
        <v>259229500</v>
      </c>
      <c r="E618" s="2491">
        <v>0</v>
      </c>
      <c r="F618" s="2491">
        <v>0</v>
      </c>
      <c r="G618" s="2491">
        <v>0</v>
      </c>
      <c r="H618" s="2491">
        <v>0</v>
      </c>
      <c r="I618" s="2491">
        <v>0</v>
      </c>
      <c r="J618" s="2491">
        <v>0</v>
      </c>
      <c r="K618" s="2491">
        <v>0</v>
      </c>
      <c r="L618" s="2491">
        <v>0</v>
      </c>
      <c r="M618" s="2491">
        <v>0</v>
      </c>
      <c r="N618" s="2491">
        <v>0</v>
      </c>
      <c r="O618" s="2491">
        <v>0</v>
      </c>
      <c r="P618" s="2491">
        <v>0</v>
      </c>
      <c r="Q618" s="2161">
        <f t="shared" si="260"/>
        <v>0</v>
      </c>
      <c r="R618" s="1891">
        <f t="shared" si="261"/>
        <v>-259229500</v>
      </c>
      <c r="S618" s="1891">
        <f t="shared" si="265"/>
        <v>0</v>
      </c>
    </row>
    <row r="619" spans="1:19" s="2070" customFormat="1">
      <c r="A619" s="1854"/>
      <c r="B619" s="200" t="s">
        <v>50</v>
      </c>
      <c r="C619" s="200" t="s">
        <v>344</v>
      </c>
      <c r="D619" s="1964">
        <f>TARGET!D614</f>
        <v>374739500</v>
      </c>
      <c r="E619" s="2491">
        <v>0</v>
      </c>
      <c r="F619" s="2491">
        <v>0</v>
      </c>
      <c r="G619" s="2491">
        <v>0</v>
      </c>
      <c r="H619" s="2491">
        <v>0</v>
      </c>
      <c r="I619" s="2491">
        <v>0</v>
      </c>
      <c r="J619" s="2491">
        <v>0</v>
      </c>
      <c r="K619" s="2491">
        <v>0</v>
      </c>
      <c r="L619" s="2491">
        <v>0</v>
      </c>
      <c r="M619" s="2491">
        <v>0</v>
      </c>
      <c r="N619" s="2491">
        <v>0</v>
      </c>
      <c r="O619" s="2491">
        <v>0</v>
      </c>
      <c r="P619" s="2491">
        <v>0</v>
      </c>
      <c r="Q619" s="2161">
        <f t="shared" si="260"/>
        <v>0</v>
      </c>
      <c r="R619" s="1891">
        <f t="shared" si="261"/>
        <v>-374739500</v>
      </c>
      <c r="S619" s="1891">
        <f t="shared" si="265"/>
        <v>0</v>
      </c>
    </row>
    <row r="620" spans="1:19" s="2070" customFormat="1">
      <c r="A620" s="1854"/>
      <c r="B620" s="200" t="s">
        <v>50</v>
      </c>
      <c r="C620" s="200" t="s">
        <v>345</v>
      </c>
      <c r="D620" s="1964">
        <f>TARGET!D615</f>
        <v>271618000</v>
      </c>
      <c r="E620" s="2491">
        <v>0</v>
      </c>
      <c r="F620" s="2491">
        <v>0</v>
      </c>
      <c r="G620" s="2491">
        <v>0</v>
      </c>
      <c r="H620" s="2491">
        <v>0</v>
      </c>
      <c r="I620" s="2491">
        <v>0</v>
      </c>
      <c r="J620" s="2491">
        <v>0</v>
      </c>
      <c r="K620" s="2491">
        <v>0</v>
      </c>
      <c r="L620" s="2491">
        <v>0</v>
      </c>
      <c r="M620" s="2491">
        <v>0</v>
      </c>
      <c r="N620" s="2491">
        <v>0</v>
      </c>
      <c r="O620" s="2491">
        <v>0</v>
      </c>
      <c r="P620" s="2491">
        <v>0</v>
      </c>
      <c r="Q620" s="2161">
        <f t="shared" si="260"/>
        <v>0</v>
      </c>
      <c r="R620" s="1891">
        <f t="shared" si="261"/>
        <v>-271618000</v>
      </c>
      <c r="S620" s="1891">
        <f t="shared" si="265"/>
        <v>0</v>
      </c>
    </row>
    <row r="621" spans="1:19" s="2070" customFormat="1">
      <c r="A621" s="1854"/>
      <c r="B621" s="200" t="s">
        <v>50</v>
      </c>
      <c r="C621" s="200" t="s">
        <v>346</v>
      </c>
      <c r="D621" s="1964">
        <f>TARGET!D616</f>
        <v>0</v>
      </c>
      <c r="E621" s="2491">
        <v>0</v>
      </c>
      <c r="F621" s="2491">
        <v>0</v>
      </c>
      <c r="G621" s="2491">
        <v>0</v>
      </c>
      <c r="H621" s="2491">
        <v>0</v>
      </c>
      <c r="I621" s="2491">
        <v>0</v>
      </c>
      <c r="J621" s="2491">
        <v>0</v>
      </c>
      <c r="K621" s="2491">
        <v>0</v>
      </c>
      <c r="L621" s="2491">
        <v>0</v>
      </c>
      <c r="M621" s="2491">
        <v>0</v>
      </c>
      <c r="N621" s="2491">
        <v>0</v>
      </c>
      <c r="O621" s="2491">
        <v>0</v>
      </c>
      <c r="P621" s="2491">
        <v>0</v>
      </c>
      <c r="Q621" s="2161">
        <f t="shared" si="260"/>
        <v>0</v>
      </c>
      <c r="R621" s="1891">
        <f t="shared" si="261"/>
        <v>0</v>
      </c>
      <c r="S621" s="1891">
        <v>0</v>
      </c>
    </row>
    <row r="622" spans="1:19" s="2070" customFormat="1">
      <c r="A622" s="1854"/>
      <c r="B622" s="200" t="s">
        <v>50</v>
      </c>
      <c r="C622" s="200" t="s">
        <v>347</v>
      </c>
      <c r="D622" s="1964">
        <f>TARGET!D617</f>
        <v>0</v>
      </c>
      <c r="E622" s="2491">
        <v>0</v>
      </c>
      <c r="F622" s="2491">
        <v>0</v>
      </c>
      <c r="G622" s="2491">
        <v>0</v>
      </c>
      <c r="H622" s="2491">
        <v>0</v>
      </c>
      <c r="I622" s="2491">
        <v>0</v>
      </c>
      <c r="J622" s="2491">
        <v>0</v>
      </c>
      <c r="K622" s="2491">
        <v>0</v>
      </c>
      <c r="L622" s="2491">
        <v>0</v>
      </c>
      <c r="M622" s="2491">
        <v>0</v>
      </c>
      <c r="N622" s="2491">
        <v>0</v>
      </c>
      <c r="O622" s="2491">
        <v>0</v>
      </c>
      <c r="P622" s="2491">
        <v>0</v>
      </c>
      <c r="Q622" s="2161">
        <f t="shared" si="260"/>
        <v>0</v>
      </c>
      <c r="R622" s="1891">
        <f t="shared" si="261"/>
        <v>0</v>
      </c>
      <c r="S622" s="1891">
        <v>0</v>
      </c>
    </row>
    <row r="623" spans="1:19" s="2070" customFormat="1">
      <c r="A623" s="1854"/>
      <c r="B623" s="200" t="s">
        <v>50</v>
      </c>
      <c r="C623" s="200" t="s">
        <v>348</v>
      </c>
      <c r="D623" s="1964">
        <f>TARGET!D618</f>
        <v>46200000</v>
      </c>
      <c r="E623" s="2491">
        <v>0</v>
      </c>
      <c r="F623" s="2491">
        <v>0</v>
      </c>
      <c r="G623" s="2491">
        <v>0</v>
      </c>
      <c r="H623" s="2491">
        <v>0</v>
      </c>
      <c r="I623" s="2491">
        <v>0</v>
      </c>
      <c r="J623" s="2491">
        <v>0</v>
      </c>
      <c r="K623" s="2491">
        <v>0</v>
      </c>
      <c r="L623" s="2491">
        <v>0</v>
      </c>
      <c r="M623" s="2491">
        <v>0</v>
      </c>
      <c r="N623" s="2491">
        <v>0</v>
      </c>
      <c r="O623" s="2491">
        <v>0</v>
      </c>
      <c r="P623" s="2491">
        <v>0</v>
      </c>
      <c r="Q623" s="2161">
        <f t="shared" si="260"/>
        <v>0</v>
      </c>
      <c r="R623" s="1891">
        <f t="shared" si="261"/>
        <v>-46200000</v>
      </c>
      <c r="S623" s="1891">
        <f t="shared" si="265"/>
        <v>0</v>
      </c>
    </row>
    <row r="624" spans="1:19" s="2070" customFormat="1">
      <c r="A624" s="1854"/>
      <c r="B624" s="200" t="s">
        <v>50</v>
      </c>
      <c r="C624" s="200" t="s">
        <v>349</v>
      </c>
      <c r="D624" s="1964">
        <f>TARGET!D619</f>
        <v>88200000</v>
      </c>
      <c r="E624" s="2491">
        <v>0</v>
      </c>
      <c r="F624" s="2491">
        <v>0</v>
      </c>
      <c r="G624" s="2491">
        <v>0</v>
      </c>
      <c r="H624" s="2491">
        <v>0</v>
      </c>
      <c r="I624" s="2491">
        <v>0</v>
      </c>
      <c r="J624" s="2491">
        <v>0</v>
      </c>
      <c r="K624" s="2491">
        <v>0</v>
      </c>
      <c r="L624" s="2491">
        <v>0</v>
      </c>
      <c r="M624" s="2491">
        <v>0</v>
      </c>
      <c r="N624" s="2491">
        <v>0</v>
      </c>
      <c r="O624" s="2491">
        <v>0</v>
      </c>
      <c r="P624" s="2491">
        <v>0</v>
      </c>
      <c r="Q624" s="2161">
        <f t="shared" si="260"/>
        <v>0</v>
      </c>
      <c r="R624" s="1891">
        <f t="shared" si="261"/>
        <v>-88200000</v>
      </c>
      <c r="S624" s="1891">
        <f t="shared" si="265"/>
        <v>0</v>
      </c>
    </row>
    <row r="625" spans="1:19" s="2070" customFormat="1">
      <c r="A625" s="1854"/>
      <c r="B625" s="200" t="s">
        <v>50</v>
      </c>
      <c r="C625" s="200" t="s">
        <v>350</v>
      </c>
      <c r="D625" s="1964">
        <f>TARGET!D620</f>
        <v>24400000</v>
      </c>
      <c r="E625" s="2491">
        <v>0</v>
      </c>
      <c r="F625" s="2491">
        <v>0</v>
      </c>
      <c r="G625" s="2491">
        <v>0</v>
      </c>
      <c r="H625" s="2491">
        <v>0</v>
      </c>
      <c r="I625" s="2491">
        <v>0</v>
      </c>
      <c r="J625" s="2491">
        <v>0</v>
      </c>
      <c r="K625" s="2491">
        <v>0</v>
      </c>
      <c r="L625" s="2491">
        <v>0</v>
      </c>
      <c r="M625" s="2491">
        <v>0</v>
      </c>
      <c r="N625" s="2491">
        <v>0</v>
      </c>
      <c r="O625" s="2491">
        <v>0</v>
      </c>
      <c r="P625" s="2491">
        <v>0</v>
      </c>
      <c r="Q625" s="2161">
        <f t="shared" si="260"/>
        <v>0</v>
      </c>
      <c r="R625" s="1891">
        <f t="shared" si="261"/>
        <v>-24400000</v>
      </c>
      <c r="S625" s="1891">
        <f t="shared" si="265"/>
        <v>0</v>
      </c>
    </row>
    <row r="626" spans="1:19" s="2070" customFormat="1">
      <c r="A626" s="1854"/>
      <c r="B626" s="200" t="s">
        <v>50</v>
      </c>
      <c r="C626" s="200" t="s">
        <v>351</v>
      </c>
      <c r="D626" s="1964">
        <f>TARGET!D621</f>
        <v>0</v>
      </c>
      <c r="E626" s="2491">
        <v>0</v>
      </c>
      <c r="F626" s="2491">
        <v>0</v>
      </c>
      <c r="G626" s="2491">
        <v>0</v>
      </c>
      <c r="H626" s="2491">
        <v>0</v>
      </c>
      <c r="I626" s="2491">
        <v>0</v>
      </c>
      <c r="J626" s="2491">
        <v>0</v>
      </c>
      <c r="K626" s="2491">
        <v>0</v>
      </c>
      <c r="L626" s="2491">
        <v>0</v>
      </c>
      <c r="M626" s="2491">
        <v>0</v>
      </c>
      <c r="N626" s="2491">
        <v>0</v>
      </c>
      <c r="O626" s="2491">
        <v>0</v>
      </c>
      <c r="P626" s="2491">
        <v>0</v>
      </c>
      <c r="Q626" s="2161">
        <f t="shared" si="260"/>
        <v>0</v>
      </c>
      <c r="R626" s="1891">
        <f t="shared" si="261"/>
        <v>0</v>
      </c>
      <c r="S626" s="1891">
        <v>0</v>
      </c>
    </row>
    <row r="627" spans="1:19" s="2070" customFormat="1">
      <c r="A627" s="1854"/>
      <c r="B627" s="2460" t="s">
        <v>50</v>
      </c>
      <c r="C627" s="2483" t="s">
        <v>352</v>
      </c>
      <c r="D627" s="1964">
        <f>TARGET!D622</f>
        <v>0</v>
      </c>
      <c r="E627" s="2581">
        <v>0</v>
      </c>
      <c r="F627" s="2581">
        <v>0</v>
      </c>
      <c r="G627" s="2581">
        <v>0</v>
      </c>
      <c r="H627" s="2581">
        <v>0</v>
      </c>
      <c r="I627" s="2581">
        <v>0</v>
      </c>
      <c r="J627" s="2581">
        <v>0</v>
      </c>
      <c r="K627" s="2581">
        <v>0</v>
      </c>
      <c r="L627" s="2581">
        <v>0</v>
      </c>
      <c r="M627" s="2581">
        <v>0</v>
      </c>
      <c r="N627" s="2581">
        <v>0</v>
      </c>
      <c r="O627" s="2581">
        <v>0</v>
      </c>
      <c r="P627" s="2581">
        <v>0</v>
      </c>
      <c r="Q627" s="2161">
        <f t="shared" si="260"/>
        <v>0</v>
      </c>
      <c r="R627" s="1891">
        <f t="shared" si="261"/>
        <v>0</v>
      </c>
      <c r="S627" s="1891">
        <v>0</v>
      </c>
    </row>
    <row r="628" spans="1:19" s="2070" customFormat="1">
      <c r="A628" s="1854"/>
      <c r="B628" s="2745" t="s">
        <v>50</v>
      </c>
      <c r="C628" s="2483" t="s">
        <v>353</v>
      </c>
      <c r="D628" s="1964">
        <f>TARGET!D623</f>
        <v>10000000</v>
      </c>
      <c r="E628" s="2581">
        <v>0</v>
      </c>
      <c r="F628" s="2581">
        <v>0</v>
      </c>
      <c r="G628" s="2581">
        <v>0</v>
      </c>
      <c r="H628" s="2581">
        <v>0</v>
      </c>
      <c r="I628" s="2581">
        <v>0</v>
      </c>
      <c r="J628" s="2581">
        <v>0</v>
      </c>
      <c r="K628" s="2581">
        <v>0</v>
      </c>
      <c r="L628" s="2581">
        <v>0</v>
      </c>
      <c r="M628" s="2581">
        <v>0</v>
      </c>
      <c r="N628" s="2581">
        <v>0</v>
      </c>
      <c r="O628" s="2581">
        <v>0</v>
      </c>
      <c r="P628" s="2581">
        <v>0</v>
      </c>
      <c r="Q628" s="2161">
        <f t="shared" si="260"/>
        <v>0</v>
      </c>
      <c r="R628" s="1891">
        <f t="shared" si="261"/>
        <v>-10000000</v>
      </c>
      <c r="S628" s="1891">
        <f t="shared" si="265"/>
        <v>0</v>
      </c>
    </row>
    <row r="629" spans="1:19" s="2070" customFormat="1" ht="5.35" customHeight="1">
      <c r="A629" s="1854"/>
      <c r="B629" s="200"/>
      <c r="C629" s="200"/>
      <c r="D629" s="2282"/>
      <c r="E629" s="2282"/>
      <c r="F629" s="2282"/>
      <c r="G629" s="2282"/>
      <c r="H629" s="2282"/>
      <c r="I629" s="2282"/>
      <c r="J629" s="2282"/>
      <c r="K629" s="2282"/>
      <c r="L629" s="2282"/>
      <c r="M629" s="2282"/>
      <c r="N629" s="2282"/>
      <c r="O629" s="2282"/>
      <c r="P629" s="2282"/>
      <c r="Q629" s="2161">
        <f t="shared" si="260"/>
        <v>0</v>
      </c>
      <c r="R629" s="1891">
        <f t="shared" si="261"/>
        <v>0</v>
      </c>
      <c r="S629" s="1891">
        <f t="shared" si="261"/>
        <v>0</v>
      </c>
    </row>
    <row r="630" spans="1:19" s="2070" customFormat="1">
      <c r="A630" s="1854"/>
      <c r="B630" s="202" t="s">
        <v>71</v>
      </c>
      <c r="C630" s="202"/>
      <c r="D630" s="2283">
        <f t="shared" ref="D630:P630" si="266">SUM(D631:D635)</f>
        <v>0</v>
      </c>
      <c r="E630" s="2283">
        <f t="shared" si="266"/>
        <v>0</v>
      </c>
      <c r="F630" s="2283">
        <f t="shared" si="266"/>
        <v>0</v>
      </c>
      <c r="G630" s="2283">
        <f t="shared" si="266"/>
        <v>0</v>
      </c>
      <c r="H630" s="2283">
        <f t="shared" si="266"/>
        <v>0</v>
      </c>
      <c r="I630" s="2283">
        <f t="shared" si="266"/>
        <v>0</v>
      </c>
      <c r="J630" s="2283">
        <f t="shared" si="266"/>
        <v>0</v>
      </c>
      <c r="K630" s="2283">
        <f t="shared" si="266"/>
        <v>0</v>
      </c>
      <c r="L630" s="2283">
        <f t="shared" si="266"/>
        <v>0</v>
      </c>
      <c r="M630" s="2283">
        <f t="shared" si="266"/>
        <v>0</v>
      </c>
      <c r="N630" s="2283">
        <f t="shared" si="266"/>
        <v>0</v>
      </c>
      <c r="O630" s="2283">
        <f t="shared" si="266"/>
        <v>0</v>
      </c>
      <c r="P630" s="2283">
        <f t="shared" si="266"/>
        <v>0</v>
      </c>
      <c r="Q630" s="2161">
        <f t="shared" si="260"/>
        <v>0</v>
      </c>
      <c r="R630" s="1891">
        <f t="shared" si="261"/>
        <v>0</v>
      </c>
      <c r="S630" s="1891">
        <v>0</v>
      </c>
    </row>
    <row r="631" spans="1:19" s="2070" customFormat="1">
      <c r="A631" s="1855"/>
      <c r="B631" s="200" t="s">
        <v>50</v>
      </c>
      <c r="C631" s="200" t="s">
        <v>73</v>
      </c>
      <c r="D631" s="1964">
        <f>TARGET!D626</f>
        <v>0</v>
      </c>
      <c r="E631" s="2491">
        <v>0</v>
      </c>
      <c r="F631" s="2491">
        <v>0</v>
      </c>
      <c r="G631" s="2491">
        <v>0</v>
      </c>
      <c r="H631" s="2491">
        <v>0</v>
      </c>
      <c r="I631" s="2491">
        <v>0</v>
      </c>
      <c r="J631" s="2491">
        <v>0</v>
      </c>
      <c r="K631" s="2491">
        <v>0</v>
      </c>
      <c r="L631" s="2491">
        <v>0</v>
      </c>
      <c r="M631" s="2491">
        <v>0</v>
      </c>
      <c r="N631" s="2491">
        <v>0</v>
      </c>
      <c r="O631" s="2491">
        <v>0</v>
      </c>
      <c r="P631" s="2491">
        <v>0</v>
      </c>
      <c r="Q631" s="2161">
        <f t="shared" si="260"/>
        <v>0</v>
      </c>
      <c r="R631" s="1891">
        <f t="shared" si="261"/>
        <v>0</v>
      </c>
      <c r="S631" s="1891">
        <v>0</v>
      </c>
    </row>
    <row r="632" spans="1:19" s="2070" customFormat="1">
      <c r="A632" s="1855"/>
      <c r="B632" s="200" t="s">
        <v>50</v>
      </c>
      <c r="C632" s="200" t="s">
        <v>74</v>
      </c>
      <c r="D632" s="1964">
        <f>TARGET!D627</f>
        <v>0</v>
      </c>
      <c r="E632" s="2491">
        <v>0</v>
      </c>
      <c r="F632" s="2491">
        <v>0</v>
      </c>
      <c r="G632" s="2491">
        <v>0</v>
      </c>
      <c r="H632" s="2491">
        <v>0</v>
      </c>
      <c r="I632" s="2491">
        <v>0</v>
      </c>
      <c r="J632" s="2491">
        <v>0</v>
      </c>
      <c r="K632" s="2491">
        <v>0</v>
      </c>
      <c r="L632" s="2491">
        <v>0</v>
      </c>
      <c r="M632" s="2491">
        <v>0</v>
      </c>
      <c r="N632" s="2491">
        <v>0</v>
      </c>
      <c r="O632" s="2491">
        <v>0</v>
      </c>
      <c r="P632" s="2491">
        <v>0</v>
      </c>
      <c r="Q632" s="2161">
        <f t="shared" si="260"/>
        <v>0</v>
      </c>
      <c r="R632" s="1891">
        <f t="shared" si="261"/>
        <v>0</v>
      </c>
      <c r="S632" s="1891">
        <v>0</v>
      </c>
    </row>
    <row r="633" spans="1:19" s="2070" customFormat="1">
      <c r="A633" s="1855"/>
      <c r="B633" s="200" t="s">
        <v>50</v>
      </c>
      <c r="C633" s="200" t="s">
        <v>75</v>
      </c>
      <c r="D633" s="1964">
        <f>TARGET!D628</f>
        <v>0</v>
      </c>
      <c r="E633" s="2491">
        <v>0</v>
      </c>
      <c r="F633" s="2491">
        <v>0</v>
      </c>
      <c r="G633" s="2491">
        <v>0</v>
      </c>
      <c r="H633" s="2491">
        <v>0</v>
      </c>
      <c r="I633" s="2491">
        <v>0</v>
      </c>
      <c r="J633" s="2491">
        <v>0</v>
      </c>
      <c r="K633" s="2491">
        <v>0</v>
      </c>
      <c r="L633" s="2491">
        <v>0</v>
      </c>
      <c r="M633" s="2491">
        <v>0</v>
      </c>
      <c r="N633" s="2491">
        <v>0</v>
      </c>
      <c r="O633" s="2491">
        <v>0</v>
      </c>
      <c r="P633" s="2491">
        <v>0</v>
      </c>
      <c r="Q633" s="2161">
        <f t="shared" si="260"/>
        <v>0</v>
      </c>
      <c r="R633" s="1891">
        <f t="shared" si="261"/>
        <v>0</v>
      </c>
      <c r="S633" s="1891">
        <v>0</v>
      </c>
    </row>
    <row r="634" spans="1:19" s="2070" customFormat="1">
      <c r="A634" s="1854"/>
      <c r="B634" s="200" t="s">
        <v>50</v>
      </c>
      <c r="C634" s="200" t="s">
        <v>354</v>
      </c>
      <c r="D634" s="1964">
        <f>TARGET!D629</f>
        <v>0</v>
      </c>
      <c r="E634" s="2491">
        <v>0</v>
      </c>
      <c r="F634" s="2491">
        <v>0</v>
      </c>
      <c r="G634" s="2491">
        <v>0</v>
      </c>
      <c r="H634" s="2491">
        <v>0</v>
      </c>
      <c r="I634" s="2491">
        <v>0</v>
      </c>
      <c r="J634" s="2491">
        <v>0</v>
      </c>
      <c r="K634" s="2491">
        <v>0</v>
      </c>
      <c r="L634" s="2491">
        <v>0</v>
      </c>
      <c r="M634" s="2491">
        <v>0</v>
      </c>
      <c r="N634" s="2491">
        <v>0</v>
      </c>
      <c r="O634" s="2491">
        <v>0</v>
      </c>
      <c r="P634" s="2491">
        <v>0</v>
      </c>
      <c r="Q634" s="2161">
        <f t="shared" si="260"/>
        <v>0</v>
      </c>
      <c r="R634" s="1891">
        <f t="shared" si="261"/>
        <v>0</v>
      </c>
      <c r="S634" s="1891">
        <v>0</v>
      </c>
    </row>
    <row r="635" spans="1:19" s="2070" customFormat="1">
      <c r="A635" s="1854"/>
      <c r="B635" s="2461" t="s">
        <v>50</v>
      </c>
      <c r="C635" s="2461" t="s">
        <v>324</v>
      </c>
      <c r="D635" s="1964">
        <f>TARGET!D630</f>
        <v>0</v>
      </c>
      <c r="E635" s="2491">
        <v>0</v>
      </c>
      <c r="F635" s="2491">
        <v>0</v>
      </c>
      <c r="G635" s="2491">
        <v>0</v>
      </c>
      <c r="H635" s="2491">
        <v>0</v>
      </c>
      <c r="I635" s="2491">
        <v>0</v>
      </c>
      <c r="J635" s="2491">
        <v>0</v>
      </c>
      <c r="K635" s="2491">
        <v>0</v>
      </c>
      <c r="L635" s="2491">
        <v>0</v>
      </c>
      <c r="M635" s="2491">
        <v>0</v>
      </c>
      <c r="N635" s="2491">
        <v>0</v>
      </c>
      <c r="O635" s="2491">
        <v>0</v>
      </c>
      <c r="P635" s="2491">
        <v>0</v>
      </c>
      <c r="Q635" s="2161">
        <f t="shared" si="260"/>
        <v>0</v>
      </c>
      <c r="R635" s="1891">
        <f t="shared" si="261"/>
        <v>0</v>
      </c>
      <c r="S635" s="1891">
        <v>0</v>
      </c>
    </row>
    <row r="636" spans="1:19" s="2070" customFormat="1" ht="5.35" customHeight="1">
      <c r="A636" s="1465"/>
      <c r="B636" s="2117"/>
      <c r="C636" s="2117"/>
      <c r="D636" s="2484"/>
      <c r="E636" s="2484"/>
      <c r="F636" s="2484"/>
      <c r="G636" s="2484"/>
      <c r="H636" s="2484"/>
      <c r="I636" s="2484"/>
      <c r="J636" s="2484"/>
      <c r="K636" s="2484"/>
      <c r="L636" s="2484"/>
      <c r="M636" s="2484"/>
      <c r="N636" s="2484"/>
      <c r="O636" s="2484"/>
      <c r="P636" s="2484"/>
      <c r="Q636" s="2485"/>
      <c r="R636" s="2485"/>
      <c r="S636" s="2485"/>
    </row>
    <row r="637" spans="1:19" s="2070" customFormat="1" ht="15.65">
      <c r="A637" s="2528" t="s">
        <v>355</v>
      </c>
      <c r="B637" s="2093" t="s">
        <v>356</v>
      </c>
      <c r="C637" s="2195"/>
      <c r="D637" s="2306">
        <f t="shared" ref="D637:P637" si="267">D638+D654</f>
        <v>1004500000</v>
      </c>
      <c r="E637" s="2306">
        <f t="shared" si="267"/>
        <v>0</v>
      </c>
      <c r="F637" s="2306">
        <f t="shared" si="267"/>
        <v>0</v>
      </c>
      <c r="G637" s="2306">
        <f t="shared" si="267"/>
        <v>0</v>
      </c>
      <c r="H637" s="2306">
        <f t="shared" si="267"/>
        <v>0</v>
      </c>
      <c r="I637" s="2306">
        <f t="shared" si="267"/>
        <v>0</v>
      </c>
      <c r="J637" s="2306">
        <f t="shared" si="267"/>
        <v>0</v>
      </c>
      <c r="K637" s="2306">
        <f t="shared" si="267"/>
        <v>0</v>
      </c>
      <c r="L637" s="2306">
        <f t="shared" si="267"/>
        <v>0</v>
      </c>
      <c r="M637" s="2306">
        <f t="shared" si="267"/>
        <v>0</v>
      </c>
      <c r="N637" s="2306">
        <f t="shared" si="267"/>
        <v>0</v>
      </c>
      <c r="O637" s="2306">
        <f t="shared" si="267"/>
        <v>0</v>
      </c>
      <c r="P637" s="2306">
        <f t="shared" si="267"/>
        <v>0</v>
      </c>
      <c r="Q637" s="2306">
        <f>SUM(E637:P637)</f>
        <v>0</v>
      </c>
      <c r="R637" s="2147">
        <f>Q637-D637</f>
        <v>-1004500000</v>
      </c>
      <c r="S637" s="2147">
        <f t="shared" ref="S637:S642" si="268">Q637/D637*100</f>
        <v>0</v>
      </c>
    </row>
    <row r="638" spans="1:19" s="2070" customFormat="1" ht="15.05">
      <c r="A638" s="2529"/>
      <c r="B638" s="2099" t="s">
        <v>63</v>
      </c>
      <c r="C638" s="2438"/>
      <c r="D638" s="2487">
        <f t="shared" ref="D638:P638" si="269">+D639+D645</f>
        <v>1004500000</v>
      </c>
      <c r="E638" s="2487">
        <f t="shared" si="269"/>
        <v>0</v>
      </c>
      <c r="F638" s="2487">
        <f t="shared" si="269"/>
        <v>0</v>
      </c>
      <c r="G638" s="2487">
        <f t="shared" si="269"/>
        <v>0</v>
      </c>
      <c r="H638" s="2487">
        <f t="shared" si="269"/>
        <v>0</v>
      </c>
      <c r="I638" s="2487">
        <f t="shared" si="269"/>
        <v>0</v>
      </c>
      <c r="J638" s="2487">
        <f t="shared" si="269"/>
        <v>0</v>
      </c>
      <c r="K638" s="2487">
        <f t="shared" si="269"/>
        <v>0</v>
      </c>
      <c r="L638" s="2487">
        <f t="shared" si="269"/>
        <v>0</v>
      </c>
      <c r="M638" s="2487">
        <f t="shared" si="269"/>
        <v>0</v>
      </c>
      <c r="N638" s="2487">
        <f t="shared" si="269"/>
        <v>0</v>
      </c>
      <c r="O638" s="2487">
        <f t="shared" si="269"/>
        <v>0</v>
      </c>
      <c r="P638" s="2487">
        <f t="shared" si="269"/>
        <v>0</v>
      </c>
      <c r="Q638" s="2156">
        <f t="shared" ref="Q638:Q658" si="270">SUM(E638:P638)</f>
        <v>0</v>
      </c>
      <c r="R638" s="1749">
        <f t="shared" ref="R638:S658" si="271">Q638-D638</f>
        <v>-1004500000</v>
      </c>
      <c r="S638" s="1891">
        <f t="shared" si="268"/>
        <v>0</v>
      </c>
    </row>
    <row r="639" spans="1:19" s="2070" customFormat="1" ht="15.05">
      <c r="A639" s="1855"/>
      <c r="B639" s="202" t="s">
        <v>64</v>
      </c>
      <c r="C639" s="200"/>
      <c r="D639" s="2452">
        <f t="shared" ref="D639:P639" si="272">SUM(D640:D643)</f>
        <v>785500000</v>
      </c>
      <c r="E639" s="2452">
        <f t="shared" si="272"/>
        <v>0</v>
      </c>
      <c r="F639" s="2452">
        <f t="shared" si="272"/>
        <v>0</v>
      </c>
      <c r="G639" s="2452">
        <f t="shared" si="272"/>
        <v>0</v>
      </c>
      <c r="H639" s="2452">
        <f t="shared" si="272"/>
        <v>0</v>
      </c>
      <c r="I639" s="2452">
        <f t="shared" si="272"/>
        <v>0</v>
      </c>
      <c r="J639" s="2452">
        <f t="shared" si="272"/>
        <v>0</v>
      </c>
      <c r="K639" s="2452">
        <f t="shared" si="272"/>
        <v>0</v>
      </c>
      <c r="L639" s="2452">
        <f t="shared" si="272"/>
        <v>0</v>
      </c>
      <c r="M639" s="2452">
        <f t="shared" si="272"/>
        <v>0</v>
      </c>
      <c r="N639" s="2452">
        <f t="shared" si="272"/>
        <v>0</v>
      </c>
      <c r="O639" s="2452">
        <f t="shared" si="272"/>
        <v>0</v>
      </c>
      <c r="P639" s="2452">
        <f t="shared" si="272"/>
        <v>0</v>
      </c>
      <c r="Q639" s="2156">
        <f t="shared" si="270"/>
        <v>0</v>
      </c>
      <c r="R639" s="1749">
        <f t="shared" si="271"/>
        <v>-785500000</v>
      </c>
      <c r="S639" s="1891">
        <f t="shared" si="268"/>
        <v>0</v>
      </c>
    </row>
    <row r="640" spans="1:19" s="2070" customFormat="1">
      <c r="A640" s="1854"/>
      <c r="B640" s="200" t="s">
        <v>50</v>
      </c>
      <c r="C640" s="200" t="s">
        <v>357</v>
      </c>
      <c r="D640" s="1964">
        <f>TARGET!D635</f>
        <v>40000000</v>
      </c>
      <c r="E640" s="2491">
        <v>0</v>
      </c>
      <c r="F640" s="2491">
        <v>0</v>
      </c>
      <c r="G640" s="2491">
        <v>0</v>
      </c>
      <c r="H640" s="2491">
        <v>0</v>
      </c>
      <c r="I640" s="2491">
        <v>0</v>
      </c>
      <c r="J640" s="2491">
        <v>0</v>
      </c>
      <c r="K640" s="2491">
        <v>0</v>
      </c>
      <c r="L640" s="2491">
        <v>0</v>
      </c>
      <c r="M640" s="2491">
        <v>0</v>
      </c>
      <c r="N640" s="2491">
        <v>0</v>
      </c>
      <c r="O640" s="2491">
        <v>0</v>
      </c>
      <c r="P640" s="2491">
        <v>0</v>
      </c>
      <c r="Q640" s="2161">
        <f t="shared" si="270"/>
        <v>0</v>
      </c>
      <c r="R640" s="1891">
        <f t="shared" si="271"/>
        <v>-40000000</v>
      </c>
      <c r="S640" s="1891">
        <f t="shared" si="268"/>
        <v>0</v>
      </c>
    </row>
    <row r="641" spans="1:19" s="2070" customFormat="1">
      <c r="A641" s="1854"/>
      <c r="B641" s="200" t="s">
        <v>50</v>
      </c>
      <c r="C641" s="200" t="s">
        <v>358</v>
      </c>
      <c r="D641" s="1964">
        <f>TARGET!D636</f>
        <v>23000000</v>
      </c>
      <c r="E641" s="2491">
        <v>0</v>
      </c>
      <c r="F641" s="2491">
        <v>0</v>
      </c>
      <c r="G641" s="2491">
        <v>0</v>
      </c>
      <c r="H641" s="2491">
        <v>0</v>
      </c>
      <c r="I641" s="2491">
        <v>0</v>
      </c>
      <c r="J641" s="2491">
        <v>0</v>
      </c>
      <c r="K641" s="2491">
        <v>0</v>
      </c>
      <c r="L641" s="2491">
        <v>0</v>
      </c>
      <c r="M641" s="2491">
        <v>0</v>
      </c>
      <c r="N641" s="2491">
        <v>0</v>
      </c>
      <c r="O641" s="2491">
        <v>0</v>
      </c>
      <c r="P641" s="2491">
        <v>0</v>
      </c>
      <c r="Q641" s="2161">
        <f t="shared" si="270"/>
        <v>0</v>
      </c>
      <c r="R641" s="1891">
        <f t="shared" si="271"/>
        <v>-23000000</v>
      </c>
      <c r="S641" s="1891">
        <f t="shared" si="268"/>
        <v>0</v>
      </c>
    </row>
    <row r="642" spans="1:19" s="2070" customFormat="1">
      <c r="A642" s="1854"/>
      <c r="B642" s="200" t="s">
        <v>50</v>
      </c>
      <c r="C642" s="200" t="s">
        <v>359</v>
      </c>
      <c r="D642" s="1964">
        <f>TARGET!D637</f>
        <v>722500000</v>
      </c>
      <c r="E642" s="2491">
        <v>0</v>
      </c>
      <c r="F642" s="2491">
        <v>0</v>
      </c>
      <c r="G642" s="2491">
        <v>0</v>
      </c>
      <c r="H642" s="2491">
        <v>0</v>
      </c>
      <c r="I642" s="2491">
        <v>0</v>
      </c>
      <c r="J642" s="2491">
        <v>0</v>
      </c>
      <c r="K642" s="2491">
        <v>0</v>
      </c>
      <c r="L642" s="2491">
        <v>0</v>
      </c>
      <c r="M642" s="2491">
        <v>0</v>
      </c>
      <c r="N642" s="2491">
        <v>0</v>
      </c>
      <c r="O642" s="2491">
        <v>0</v>
      </c>
      <c r="P642" s="2491">
        <v>0</v>
      </c>
      <c r="Q642" s="2161">
        <f t="shared" si="270"/>
        <v>0</v>
      </c>
      <c r="R642" s="1891">
        <f t="shared" si="271"/>
        <v>-722500000</v>
      </c>
      <c r="S642" s="1891">
        <f t="shared" si="268"/>
        <v>0</v>
      </c>
    </row>
    <row r="643" spans="1:19" s="2070" customFormat="1">
      <c r="A643" s="1854"/>
      <c r="B643" s="200" t="s">
        <v>50</v>
      </c>
      <c r="C643" s="200" t="s">
        <v>360</v>
      </c>
      <c r="D643" s="1964">
        <f>TARGET!D638</f>
        <v>0</v>
      </c>
      <c r="E643" s="2491">
        <v>0</v>
      </c>
      <c r="F643" s="2491">
        <v>0</v>
      </c>
      <c r="G643" s="2491">
        <v>0</v>
      </c>
      <c r="H643" s="2491">
        <v>0</v>
      </c>
      <c r="I643" s="2491">
        <v>0</v>
      </c>
      <c r="J643" s="2491">
        <v>0</v>
      </c>
      <c r="K643" s="2491">
        <v>0</v>
      </c>
      <c r="L643" s="2491">
        <v>0</v>
      </c>
      <c r="M643" s="2491">
        <v>0</v>
      </c>
      <c r="N643" s="2491">
        <v>0</v>
      </c>
      <c r="O643" s="2491">
        <v>0</v>
      </c>
      <c r="P643" s="2491">
        <v>0</v>
      </c>
      <c r="Q643" s="2161">
        <f t="shared" si="270"/>
        <v>0</v>
      </c>
      <c r="R643" s="1891">
        <f t="shared" si="271"/>
        <v>0</v>
      </c>
      <c r="S643" s="1891">
        <v>0</v>
      </c>
    </row>
    <row r="644" spans="1:19" s="2070" customFormat="1" ht="3.8" customHeight="1">
      <c r="A644" s="1854"/>
      <c r="B644" s="200"/>
      <c r="C644" s="200"/>
      <c r="D644" s="2282"/>
      <c r="E644" s="2282"/>
      <c r="F644" s="2282"/>
      <c r="G644" s="2282"/>
      <c r="H644" s="2282"/>
      <c r="I644" s="2282"/>
      <c r="J644" s="2282"/>
      <c r="K644" s="2282"/>
      <c r="L644" s="2282"/>
      <c r="M644" s="2282"/>
      <c r="N644" s="2282"/>
      <c r="O644" s="2282"/>
      <c r="P644" s="2282"/>
      <c r="Q644" s="2161">
        <f t="shared" si="270"/>
        <v>0</v>
      </c>
      <c r="R644" s="1891">
        <f t="shared" si="271"/>
        <v>0</v>
      </c>
      <c r="S644" s="1891">
        <f t="shared" si="271"/>
        <v>0</v>
      </c>
    </row>
    <row r="645" spans="1:19" s="2070" customFormat="1" ht="15.05">
      <c r="A645" s="1854"/>
      <c r="B645" s="202" t="s">
        <v>361</v>
      </c>
      <c r="C645" s="200"/>
      <c r="D645" s="2452">
        <f t="shared" ref="D645:P645" si="273">SUM(D646:D652)</f>
        <v>219000000</v>
      </c>
      <c r="E645" s="2452">
        <f t="shared" si="273"/>
        <v>0</v>
      </c>
      <c r="F645" s="2452">
        <f t="shared" si="273"/>
        <v>0</v>
      </c>
      <c r="G645" s="2452">
        <f t="shared" si="273"/>
        <v>0</v>
      </c>
      <c r="H645" s="2452">
        <f t="shared" si="273"/>
        <v>0</v>
      </c>
      <c r="I645" s="2452">
        <f t="shared" si="273"/>
        <v>0</v>
      </c>
      <c r="J645" s="2452">
        <f t="shared" si="273"/>
        <v>0</v>
      </c>
      <c r="K645" s="2452">
        <f t="shared" si="273"/>
        <v>0</v>
      </c>
      <c r="L645" s="2452">
        <f t="shared" si="273"/>
        <v>0</v>
      </c>
      <c r="M645" s="2452">
        <f t="shared" si="273"/>
        <v>0</v>
      </c>
      <c r="N645" s="2452">
        <f t="shared" si="273"/>
        <v>0</v>
      </c>
      <c r="O645" s="2452">
        <f t="shared" si="273"/>
        <v>0</v>
      </c>
      <c r="P645" s="2452">
        <f t="shared" si="273"/>
        <v>0</v>
      </c>
      <c r="Q645" s="2156">
        <f t="shared" si="270"/>
        <v>0</v>
      </c>
      <c r="R645" s="1749">
        <f t="shared" si="271"/>
        <v>-219000000</v>
      </c>
      <c r="S645" s="1891">
        <f>Q645/D645*100</f>
        <v>0</v>
      </c>
    </row>
    <row r="646" spans="1:19" s="2070" customFormat="1">
      <c r="A646" s="1854"/>
      <c r="B646" s="200" t="s">
        <v>50</v>
      </c>
      <c r="C646" s="200" t="s">
        <v>362</v>
      </c>
      <c r="D646" s="1964">
        <f>TARGET!D641</f>
        <v>0</v>
      </c>
      <c r="E646" s="2491">
        <v>0</v>
      </c>
      <c r="F646" s="2491">
        <v>0</v>
      </c>
      <c r="G646" s="2491">
        <v>0</v>
      </c>
      <c r="H646" s="2491">
        <v>0</v>
      </c>
      <c r="I646" s="2491">
        <v>0</v>
      </c>
      <c r="J646" s="2491">
        <v>0</v>
      </c>
      <c r="K646" s="2491">
        <v>0</v>
      </c>
      <c r="L646" s="2491">
        <v>0</v>
      </c>
      <c r="M646" s="2491">
        <v>0</v>
      </c>
      <c r="N646" s="2491">
        <v>0</v>
      </c>
      <c r="O646" s="2491">
        <v>0</v>
      </c>
      <c r="P646" s="2491">
        <v>0</v>
      </c>
      <c r="Q646" s="2161">
        <f t="shared" si="270"/>
        <v>0</v>
      </c>
      <c r="R646" s="1891">
        <f t="shared" si="271"/>
        <v>0</v>
      </c>
      <c r="S646" s="1891">
        <v>0</v>
      </c>
    </row>
    <row r="647" spans="1:19" s="2070" customFormat="1">
      <c r="A647" s="1854"/>
      <c r="B647" s="200" t="s">
        <v>50</v>
      </c>
      <c r="C647" s="200" t="s">
        <v>363</v>
      </c>
      <c r="D647" s="1964">
        <f>TARGET!D642</f>
        <v>75000000</v>
      </c>
      <c r="E647" s="2491">
        <v>0</v>
      </c>
      <c r="F647" s="2491">
        <v>0</v>
      </c>
      <c r="G647" s="2491">
        <v>0</v>
      </c>
      <c r="H647" s="2491">
        <v>0</v>
      </c>
      <c r="I647" s="2491">
        <v>0</v>
      </c>
      <c r="J647" s="2491">
        <v>0</v>
      </c>
      <c r="K647" s="2491">
        <v>0</v>
      </c>
      <c r="L647" s="2491">
        <v>0</v>
      </c>
      <c r="M647" s="2491">
        <v>0</v>
      </c>
      <c r="N647" s="2491">
        <v>0</v>
      </c>
      <c r="O647" s="2491">
        <v>0</v>
      </c>
      <c r="P647" s="2491">
        <v>0</v>
      </c>
      <c r="Q647" s="2161">
        <f t="shared" si="270"/>
        <v>0</v>
      </c>
      <c r="R647" s="1891">
        <f t="shared" si="271"/>
        <v>-75000000</v>
      </c>
      <c r="S647" s="1891">
        <f>Q647/D647*100</f>
        <v>0</v>
      </c>
    </row>
    <row r="648" spans="1:19" s="2070" customFormat="1">
      <c r="A648" s="1854"/>
      <c r="B648" s="200" t="s">
        <v>50</v>
      </c>
      <c r="C648" s="200" t="s">
        <v>364</v>
      </c>
      <c r="D648" s="1964">
        <f>TARGET!D643</f>
        <v>19000000</v>
      </c>
      <c r="E648" s="2491">
        <v>0</v>
      </c>
      <c r="F648" s="2491">
        <v>0</v>
      </c>
      <c r="G648" s="2491">
        <v>0</v>
      </c>
      <c r="H648" s="2491">
        <v>0</v>
      </c>
      <c r="I648" s="2491">
        <v>0</v>
      </c>
      <c r="J648" s="2491">
        <v>0</v>
      </c>
      <c r="K648" s="2491">
        <v>0</v>
      </c>
      <c r="L648" s="2491">
        <v>0</v>
      </c>
      <c r="M648" s="2491">
        <v>0</v>
      </c>
      <c r="N648" s="2491">
        <v>0</v>
      </c>
      <c r="O648" s="2491">
        <v>0</v>
      </c>
      <c r="P648" s="2491">
        <v>0</v>
      </c>
      <c r="Q648" s="2161">
        <f t="shared" si="270"/>
        <v>0</v>
      </c>
      <c r="R648" s="1891">
        <f t="shared" si="271"/>
        <v>-19000000</v>
      </c>
      <c r="S648" s="1891">
        <f>Q648/D648*100</f>
        <v>0</v>
      </c>
    </row>
    <row r="649" spans="1:19" s="2070" customFormat="1">
      <c r="A649" s="1854"/>
      <c r="B649" s="200" t="s">
        <v>50</v>
      </c>
      <c r="C649" s="200" t="s">
        <v>365</v>
      </c>
      <c r="D649" s="1964">
        <f>TARGET!D644</f>
        <v>125000000</v>
      </c>
      <c r="E649" s="2491">
        <v>0</v>
      </c>
      <c r="F649" s="2491">
        <v>0</v>
      </c>
      <c r="G649" s="2491">
        <v>0</v>
      </c>
      <c r="H649" s="2491">
        <v>0</v>
      </c>
      <c r="I649" s="2491">
        <v>0</v>
      </c>
      <c r="J649" s="2491">
        <v>0</v>
      </c>
      <c r="K649" s="2491">
        <v>0</v>
      </c>
      <c r="L649" s="2491">
        <v>0</v>
      </c>
      <c r="M649" s="2491">
        <v>0</v>
      </c>
      <c r="N649" s="2491">
        <v>0</v>
      </c>
      <c r="O649" s="2491">
        <v>0</v>
      </c>
      <c r="P649" s="2491">
        <v>0</v>
      </c>
      <c r="Q649" s="2161">
        <f t="shared" si="270"/>
        <v>0</v>
      </c>
      <c r="R649" s="1891">
        <f t="shared" si="271"/>
        <v>-125000000</v>
      </c>
      <c r="S649" s="1891">
        <f>Q649/D649*100</f>
        <v>0</v>
      </c>
    </row>
    <row r="650" spans="1:19" s="2070" customFormat="1">
      <c r="A650" s="1854"/>
      <c r="B650" s="200" t="s">
        <v>50</v>
      </c>
      <c r="C650" s="200" t="s">
        <v>366</v>
      </c>
      <c r="D650" s="1964">
        <f>TARGET!D645</f>
        <v>0</v>
      </c>
      <c r="E650" s="2491">
        <v>0</v>
      </c>
      <c r="F650" s="2491">
        <v>0</v>
      </c>
      <c r="G650" s="2491">
        <v>0</v>
      </c>
      <c r="H650" s="2491">
        <v>0</v>
      </c>
      <c r="I650" s="2491">
        <v>0</v>
      </c>
      <c r="J650" s="2491">
        <v>0</v>
      </c>
      <c r="K650" s="2491">
        <v>0</v>
      </c>
      <c r="L650" s="2491">
        <v>0</v>
      </c>
      <c r="M650" s="2491">
        <v>0</v>
      </c>
      <c r="N650" s="2491">
        <v>0</v>
      </c>
      <c r="O650" s="2491">
        <v>0</v>
      </c>
      <c r="P650" s="2491">
        <v>0</v>
      </c>
      <c r="Q650" s="2161">
        <f t="shared" si="270"/>
        <v>0</v>
      </c>
      <c r="R650" s="1891">
        <f t="shared" si="271"/>
        <v>0</v>
      </c>
      <c r="S650" s="1891">
        <v>0</v>
      </c>
    </row>
    <row r="651" spans="1:19" s="2070" customFormat="1">
      <c r="A651" s="1854"/>
      <c r="B651" s="200" t="s">
        <v>50</v>
      </c>
      <c r="C651" s="200" t="s">
        <v>367</v>
      </c>
      <c r="D651" s="1964">
        <f>TARGET!D646</f>
        <v>0</v>
      </c>
      <c r="E651" s="2491">
        <v>0</v>
      </c>
      <c r="F651" s="2491">
        <v>0</v>
      </c>
      <c r="G651" s="2491">
        <v>0</v>
      </c>
      <c r="H651" s="2491">
        <v>0</v>
      </c>
      <c r="I651" s="2491">
        <v>0</v>
      </c>
      <c r="J651" s="2491">
        <v>0</v>
      </c>
      <c r="K651" s="2491">
        <v>0</v>
      </c>
      <c r="L651" s="2491">
        <v>0</v>
      </c>
      <c r="M651" s="2491">
        <v>0</v>
      </c>
      <c r="N651" s="2491">
        <v>0</v>
      </c>
      <c r="O651" s="2491">
        <v>0</v>
      </c>
      <c r="P651" s="2491">
        <v>0</v>
      </c>
      <c r="Q651" s="2161">
        <f t="shared" si="270"/>
        <v>0</v>
      </c>
      <c r="R651" s="1891">
        <f t="shared" si="271"/>
        <v>0</v>
      </c>
      <c r="S651" s="1891">
        <v>0</v>
      </c>
    </row>
    <row r="652" spans="1:19" s="2070" customFormat="1">
      <c r="A652" s="1854"/>
      <c r="B652" s="200" t="s">
        <v>50</v>
      </c>
      <c r="C652" s="200" t="s">
        <v>368</v>
      </c>
      <c r="D652" s="1964">
        <f>TARGET!D647</f>
        <v>0</v>
      </c>
      <c r="E652" s="2491">
        <v>0</v>
      </c>
      <c r="F652" s="2491">
        <v>0</v>
      </c>
      <c r="G652" s="2491">
        <v>0</v>
      </c>
      <c r="H652" s="2491">
        <v>0</v>
      </c>
      <c r="I652" s="2491">
        <v>0</v>
      </c>
      <c r="J652" s="2491">
        <v>0</v>
      </c>
      <c r="K652" s="2491">
        <v>0</v>
      </c>
      <c r="L652" s="2491">
        <v>0</v>
      </c>
      <c r="M652" s="2491">
        <v>0</v>
      </c>
      <c r="N652" s="2491">
        <v>0</v>
      </c>
      <c r="O652" s="2491">
        <v>0</v>
      </c>
      <c r="P652" s="2491">
        <v>0</v>
      </c>
      <c r="Q652" s="2161">
        <f t="shared" si="270"/>
        <v>0</v>
      </c>
      <c r="R652" s="1891">
        <f t="shared" si="271"/>
        <v>0</v>
      </c>
      <c r="S652" s="1891">
        <v>0</v>
      </c>
    </row>
    <row r="653" spans="1:19" s="2070" customFormat="1" ht="4.55" customHeight="1">
      <c r="A653" s="1854"/>
      <c r="B653" s="200"/>
      <c r="C653" s="200"/>
      <c r="D653" s="2282"/>
      <c r="E653" s="2282"/>
      <c r="F653" s="2282"/>
      <c r="G653" s="2282"/>
      <c r="H653" s="2282"/>
      <c r="I653" s="2282"/>
      <c r="J653" s="2282"/>
      <c r="K653" s="2282"/>
      <c r="L653" s="2282"/>
      <c r="M653" s="2282"/>
      <c r="N653" s="2282"/>
      <c r="O653" s="2282"/>
      <c r="P653" s="2282"/>
      <c r="Q653" s="2161">
        <f t="shared" si="270"/>
        <v>0</v>
      </c>
      <c r="R653" s="1891">
        <f t="shared" si="271"/>
        <v>0</v>
      </c>
      <c r="S653" s="1891">
        <f t="shared" si="271"/>
        <v>0</v>
      </c>
    </row>
    <row r="654" spans="1:19" s="2070" customFormat="1">
      <c r="A654" s="1854"/>
      <c r="B654" s="202" t="s">
        <v>71</v>
      </c>
      <c r="C654" s="202"/>
      <c r="D654" s="2283">
        <f t="shared" ref="D654:P654" si="274">SUM(D655:D658)</f>
        <v>0</v>
      </c>
      <c r="E654" s="2283">
        <f t="shared" si="274"/>
        <v>0</v>
      </c>
      <c r="F654" s="2283">
        <f t="shared" si="274"/>
        <v>0</v>
      </c>
      <c r="G654" s="2283">
        <f t="shared" si="274"/>
        <v>0</v>
      </c>
      <c r="H654" s="2283">
        <f t="shared" si="274"/>
        <v>0</v>
      </c>
      <c r="I654" s="2283">
        <f t="shared" si="274"/>
        <v>0</v>
      </c>
      <c r="J654" s="2283">
        <f t="shared" si="274"/>
        <v>0</v>
      </c>
      <c r="K654" s="2283">
        <f t="shared" si="274"/>
        <v>0</v>
      </c>
      <c r="L654" s="2283">
        <f t="shared" si="274"/>
        <v>0</v>
      </c>
      <c r="M654" s="2283">
        <f t="shared" si="274"/>
        <v>0</v>
      </c>
      <c r="N654" s="2283">
        <f t="shared" si="274"/>
        <v>0</v>
      </c>
      <c r="O654" s="2283">
        <f t="shared" si="274"/>
        <v>0</v>
      </c>
      <c r="P654" s="2283">
        <f t="shared" si="274"/>
        <v>0</v>
      </c>
      <c r="Q654" s="2161">
        <f t="shared" si="270"/>
        <v>0</v>
      </c>
      <c r="R654" s="1891">
        <f t="shared" si="271"/>
        <v>0</v>
      </c>
      <c r="S654" s="1891">
        <v>0</v>
      </c>
    </row>
    <row r="655" spans="1:19" s="2070" customFormat="1">
      <c r="A655" s="1855"/>
      <c r="B655" s="200" t="s">
        <v>50</v>
      </c>
      <c r="C655" s="2329" t="s">
        <v>369</v>
      </c>
      <c r="D655" s="1964">
        <f>TARGET!D650</f>
        <v>0</v>
      </c>
      <c r="E655" s="2491">
        <v>0</v>
      </c>
      <c r="F655" s="2491">
        <v>0</v>
      </c>
      <c r="G655" s="2491">
        <v>0</v>
      </c>
      <c r="H655" s="2491">
        <v>0</v>
      </c>
      <c r="I655" s="2491">
        <v>0</v>
      </c>
      <c r="J655" s="2491">
        <v>0</v>
      </c>
      <c r="K655" s="2491">
        <v>0</v>
      </c>
      <c r="L655" s="2491">
        <v>0</v>
      </c>
      <c r="M655" s="2491">
        <v>0</v>
      </c>
      <c r="N655" s="2491">
        <v>0</v>
      </c>
      <c r="O655" s="2491">
        <v>0</v>
      </c>
      <c r="P655" s="2491">
        <v>0</v>
      </c>
      <c r="Q655" s="2161">
        <f t="shared" si="270"/>
        <v>0</v>
      </c>
      <c r="R655" s="1891">
        <f t="shared" si="271"/>
        <v>0</v>
      </c>
      <c r="S655" s="1891">
        <v>0</v>
      </c>
    </row>
    <row r="656" spans="1:19" s="2070" customFormat="1">
      <c r="A656" s="1855"/>
      <c r="B656" s="200" t="s">
        <v>50</v>
      </c>
      <c r="C656" s="200" t="s">
        <v>74</v>
      </c>
      <c r="D656" s="1964">
        <f>TARGET!D651</f>
        <v>0</v>
      </c>
      <c r="E656" s="2491">
        <v>0</v>
      </c>
      <c r="F656" s="2491">
        <v>0</v>
      </c>
      <c r="G656" s="2491">
        <v>0</v>
      </c>
      <c r="H656" s="2491">
        <v>0</v>
      </c>
      <c r="I656" s="2491">
        <v>0</v>
      </c>
      <c r="J656" s="2491">
        <v>0</v>
      </c>
      <c r="K656" s="2491">
        <v>0</v>
      </c>
      <c r="L656" s="2491">
        <v>0</v>
      </c>
      <c r="M656" s="2491">
        <v>0</v>
      </c>
      <c r="N656" s="2491">
        <v>0</v>
      </c>
      <c r="O656" s="2491">
        <v>0</v>
      </c>
      <c r="P656" s="2491">
        <v>0</v>
      </c>
      <c r="Q656" s="2161">
        <f t="shared" si="270"/>
        <v>0</v>
      </c>
      <c r="R656" s="1891">
        <f t="shared" si="271"/>
        <v>0</v>
      </c>
      <c r="S656" s="1891">
        <v>0</v>
      </c>
    </row>
    <row r="657" spans="1:19" s="2070" customFormat="1">
      <c r="A657" s="1855"/>
      <c r="B657" s="200" t="s">
        <v>50</v>
      </c>
      <c r="C657" s="200" t="s">
        <v>75</v>
      </c>
      <c r="D657" s="1964">
        <f>TARGET!D652</f>
        <v>0</v>
      </c>
      <c r="E657" s="2491">
        <v>0</v>
      </c>
      <c r="F657" s="2491">
        <v>0</v>
      </c>
      <c r="G657" s="2491">
        <v>0</v>
      </c>
      <c r="H657" s="2491">
        <v>0</v>
      </c>
      <c r="I657" s="2491">
        <v>0</v>
      </c>
      <c r="J657" s="2491">
        <v>0</v>
      </c>
      <c r="K657" s="2491">
        <v>0</v>
      </c>
      <c r="L657" s="2491">
        <v>0</v>
      </c>
      <c r="M657" s="2491">
        <v>0</v>
      </c>
      <c r="N657" s="2491">
        <v>0</v>
      </c>
      <c r="O657" s="2491">
        <v>0</v>
      </c>
      <c r="P657" s="2491">
        <v>0</v>
      </c>
      <c r="Q657" s="2161">
        <f t="shared" si="270"/>
        <v>0</v>
      </c>
      <c r="R657" s="1891">
        <f t="shared" si="271"/>
        <v>0</v>
      </c>
      <c r="S657" s="1891">
        <v>0</v>
      </c>
    </row>
    <row r="658" spans="1:19" s="2070" customFormat="1">
      <c r="A658" s="1855"/>
      <c r="B658" s="200" t="s">
        <v>50</v>
      </c>
      <c r="C658" s="200" t="s">
        <v>85</v>
      </c>
      <c r="D658" s="1964">
        <f>TARGET!D653</f>
        <v>0</v>
      </c>
      <c r="E658" s="2491">
        <v>0</v>
      </c>
      <c r="F658" s="2491">
        <v>0</v>
      </c>
      <c r="G658" s="2491">
        <v>0</v>
      </c>
      <c r="H658" s="2491">
        <v>0</v>
      </c>
      <c r="I658" s="2491">
        <v>0</v>
      </c>
      <c r="J658" s="2491">
        <v>0</v>
      </c>
      <c r="K658" s="2491">
        <v>0</v>
      </c>
      <c r="L658" s="2491">
        <v>0</v>
      </c>
      <c r="M658" s="2491">
        <v>0</v>
      </c>
      <c r="N658" s="2491">
        <v>0</v>
      </c>
      <c r="O658" s="2491">
        <v>0</v>
      </c>
      <c r="P658" s="2491">
        <v>0</v>
      </c>
      <c r="Q658" s="2161">
        <f t="shared" si="270"/>
        <v>0</v>
      </c>
      <c r="R658" s="1891">
        <f t="shared" si="271"/>
        <v>0</v>
      </c>
      <c r="S658" s="1891">
        <v>0</v>
      </c>
    </row>
    <row r="659" spans="1:19" s="2070" customFormat="1" ht="5.35" customHeight="1">
      <c r="A659" s="1465"/>
      <c r="B659" s="2117"/>
      <c r="C659" s="2117"/>
      <c r="D659" s="2310"/>
      <c r="E659" s="2310"/>
      <c r="F659" s="2310"/>
      <c r="G659" s="2310"/>
      <c r="H659" s="2310"/>
      <c r="I659" s="2310"/>
      <c r="J659" s="2310"/>
      <c r="K659" s="2310"/>
      <c r="L659" s="2310"/>
      <c r="M659" s="2310"/>
      <c r="N659" s="2310"/>
      <c r="O659" s="2310"/>
      <c r="P659" s="2310"/>
      <c r="Q659" s="2311"/>
      <c r="R659" s="2311"/>
      <c r="S659" s="2311"/>
    </row>
    <row r="660" spans="1:19" s="2070" customFormat="1" ht="15.65">
      <c r="A660" s="2528" t="s">
        <v>370</v>
      </c>
      <c r="B660" s="2093" t="s">
        <v>371</v>
      </c>
      <c r="C660" s="2195"/>
      <c r="D660" s="2306">
        <f t="shared" ref="D660:P660" si="275">D661</f>
        <v>0</v>
      </c>
      <c r="E660" s="2306">
        <f t="shared" si="275"/>
        <v>0</v>
      </c>
      <c r="F660" s="2306">
        <f t="shared" si="275"/>
        <v>0</v>
      </c>
      <c r="G660" s="2306">
        <f t="shared" si="275"/>
        <v>0</v>
      </c>
      <c r="H660" s="2306">
        <f t="shared" si="275"/>
        <v>0</v>
      </c>
      <c r="I660" s="2306">
        <f t="shared" si="275"/>
        <v>0</v>
      </c>
      <c r="J660" s="2306">
        <f t="shared" si="275"/>
        <v>0</v>
      </c>
      <c r="K660" s="2306">
        <f t="shared" si="275"/>
        <v>0</v>
      </c>
      <c r="L660" s="2306">
        <f t="shared" si="275"/>
        <v>0</v>
      </c>
      <c r="M660" s="2306">
        <f t="shared" si="275"/>
        <v>0</v>
      </c>
      <c r="N660" s="2306">
        <f t="shared" si="275"/>
        <v>0</v>
      </c>
      <c r="O660" s="2306">
        <f t="shared" si="275"/>
        <v>0</v>
      </c>
      <c r="P660" s="2306">
        <f t="shared" si="275"/>
        <v>0</v>
      </c>
      <c r="Q660" s="2306">
        <f>SUM(E660:P660)</f>
        <v>0</v>
      </c>
      <c r="R660" s="2147">
        <f>Q660-D660</f>
        <v>0</v>
      </c>
      <c r="S660" s="2147">
        <v>0</v>
      </c>
    </row>
    <row r="661" spans="1:19" s="2070" customFormat="1">
      <c r="A661" s="1902"/>
      <c r="B661" s="2322" t="s">
        <v>71</v>
      </c>
      <c r="C661" s="2322"/>
      <c r="D661" s="2304">
        <f t="shared" ref="D661:P661" si="276">SUM(D662:D666)</f>
        <v>0</v>
      </c>
      <c r="E661" s="2304">
        <f t="shared" si="276"/>
        <v>0</v>
      </c>
      <c r="F661" s="2304">
        <f t="shared" si="276"/>
        <v>0</v>
      </c>
      <c r="G661" s="2304">
        <f t="shared" si="276"/>
        <v>0</v>
      </c>
      <c r="H661" s="2304">
        <f t="shared" si="276"/>
        <v>0</v>
      </c>
      <c r="I661" s="2304">
        <f t="shared" si="276"/>
        <v>0</v>
      </c>
      <c r="J661" s="2304">
        <f t="shared" si="276"/>
        <v>0</v>
      </c>
      <c r="K661" s="2304">
        <f t="shared" si="276"/>
        <v>0</v>
      </c>
      <c r="L661" s="2304">
        <f t="shared" si="276"/>
        <v>0</v>
      </c>
      <c r="M661" s="2304">
        <f t="shared" si="276"/>
        <v>0</v>
      </c>
      <c r="N661" s="2304">
        <f t="shared" si="276"/>
        <v>0</v>
      </c>
      <c r="O661" s="2304">
        <f t="shared" si="276"/>
        <v>0</v>
      </c>
      <c r="P661" s="2304">
        <f t="shared" si="276"/>
        <v>0</v>
      </c>
      <c r="Q661" s="2161">
        <f t="shared" ref="Q661:Q666" si="277">SUM(E661:P661)</f>
        <v>0</v>
      </c>
      <c r="R661" s="1891">
        <f t="shared" ref="R661:R666" si="278">Q661-D661</f>
        <v>0</v>
      </c>
      <c r="S661" s="1891">
        <v>0</v>
      </c>
    </row>
    <row r="662" spans="1:19" s="2070" customFormat="1">
      <c r="A662" s="1854"/>
      <c r="B662" s="257" t="s">
        <v>50</v>
      </c>
      <c r="C662" s="200" t="s">
        <v>72</v>
      </c>
      <c r="D662" s="1964">
        <f>TARGET!D657</f>
        <v>0</v>
      </c>
      <c r="E662" s="2491">
        <v>0</v>
      </c>
      <c r="F662" s="2491">
        <v>0</v>
      </c>
      <c r="G662" s="2491">
        <v>0</v>
      </c>
      <c r="H662" s="2491">
        <v>0</v>
      </c>
      <c r="I662" s="2491">
        <v>0</v>
      </c>
      <c r="J662" s="2491">
        <v>0</v>
      </c>
      <c r="K662" s="2491">
        <v>0</v>
      </c>
      <c r="L662" s="2491">
        <v>0</v>
      </c>
      <c r="M662" s="2491">
        <v>0</v>
      </c>
      <c r="N662" s="2491">
        <v>0</v>
      </c>
      <c r="O662" s="2491">
        <v>0</v>
      </c>
      <c r="P662" s="2491">
        <v>0</v>
      </c>
      <c r="Q662" s="2161">
        <f t="shared" si="277"/>
        <v>0</v>
      </c>
      <c r="R662" s="1891">
        <f t="shared" si="278"/>
        <v>0</v>
      </c>
      <c r="S662" s="1891">
        <v>0</v>
      </c>
    </row>
    <row r="663" spans="1:19" s="2070" customFormat="1">
      <c r="A663" s="1855"/>
      <c r="B663" s="257" t="s">
        <v>50</v>
      </c>
      <c r="C663" s="200" t="s">
        <v>73</v>
      </c>
      <c r="D663" s="1964">
        <f>TARGET!D658</f>
        <v>0</v>
      </c>
      <c r="E663" s="2491">
        <v>0</v>
      </c>
      <c r="F663" s="2491">
        <v>0</v>
      </c>
      <c r="G663" s="2491">
        <v>0</v>
      </c>
      <c r="H663" s="2491">
        <v>0</v>
      </c>
      <c r="I663" s="2491">
        <v>0</v>
      </c>
      <c r="J663" s="2491">
        <v>0</v>
      </c>
      <c r="K663" s="2491">
        <v>0</v>
      </c>
      <c r="L663" s="2491">
        <v>0</v>
      </c>
      <c r="M663" s="2491">
        <v>0</v>
      </c>
      <c r="N663" s="2491">
        <v>0</v>
      </c>
      <c r="O663" s="2491">
        <v>0</v>
      </c>
      <c r="P663" s="2491">
        <v>0</v>
      </c>
      <c r="Q663" s="2161">
        <f t="shared" si="277"/>
        <v>0</v>
      </c>
      <c r="R663" s="1891">
        <f t="shared" si="278"/>
        <v>0</v>
      </c>
      <c r="S663" s="1891">
        <v>0</v>
      </c>
    </row>
    <row r="664" spans="1:19" s="2070" customFormat="1">
      <c r="A664" s="1855"/>
      <c r="B664" s="257" t="s">
        <v>50</v>
      </c>
      <c r="C664" s="200" t="s">
        <v>74</v>
      </c>
      <c r="D664" s="1964">
        <f>TARGET!D659</f>
        <v>0</v>
      </c>
      <c r="E664" s="2491">
        <v>0</v>
      </c>
      <c r="F664" s="2491">
        <v>0</v>
      </c>
      <c r="G664" s="2491">
        <v>0</v>
      </c>
      <c r="H664" s="2491">
        <v>0</v>
      </c>
      <c r="I664" s="2491">
        <v>0</v>
      </c>
      <c r="J664" s="2491">
        <v>0</v>
      </c>
      <c r="K664" s="2491">
        <v>0</v>
      </c>
      <c r="L664" s="2491">
        <v>0</v>
      </c>
      <c r="M664" s="2491">
        <v>0</v>
      </c>
      <c r="N664" s="2491">
        <v>0</v>
      </c>
      <c r="O664" s="2491">
        <v>0</v>
      </c>
      <c r="P664" s="2491">
        <v>0</v>
      </c>
      <c r="Q664" s="2161">
        <f t="shared" si="277"/>
        <v>0</v>
      </c>
      <c r="R664" s="1891">
        <f t="shared" si="278"/>
        <v>0</v>
      </c>
      <c r="S664" s="1891">
        <v>0</v>
      </c>
    </row>
    <row r="665" spans="1:19" s="2070" customFormat="1">
      <c r="A665" s="1855"/>
      <c r="B665" s="257" t="s">
        <v>50</v>
      </c>
      <c r="C665" s="200" t="s">
        <v>75</v>
      </c>
      <c r="D665" s="1964">
        <f>TARGET!D660</f>
        <v>0</v>
      </c>
      <c r="E665" s="2491">
        <v>0</v>
      </c>
      <c r="F665" s="2491">
        <v>0</v>
      </c>
      <c r="G665" s="2491">
        <v>0</v>
      </c>
      <c r="H665" s="2491">
        <v>0</v>
      </c>
      <c r="I665" s="2491">
        <v>0</v>
      </c>
      <c r="J665" s="2491">
        <v>0</v>
      </c>
      <c r="K665" s="2491">
        <v>0</v>
      </c>
      <c r="L665" s="2491">
        <v>0</v>
      </c>
      <c r="M665" s="2491">
        <v>0</v>
      </c>
      <c r="N665" s="2491">
        <v>0</v>
      </c>
      <c r="O665" s="2491">
        <v>0</v>
      </c>
      <c r="P665" s="2491">
        <v>0</v>
      </c>
      <c r="Q665" s="2161">
        <f t="shared" si="277"/>
        <v>0</v>
      </c>
      <c r="R665" s="1891">
        <f t="shared" si="278"/>
        <v>0</v>
      </c>
      <c r="S665" s="1891">
        <v>0</v>
      </c>
    </row>
    <row r="666" spans="1:19" s="2070" customFormat="1">
      <c r="A666" s="1854"/>
      <c r="B666" s="2214" t="s">
        <v>50</v>
      </c>
      <c r="C666" s="200" t="s">
        <v>85</v>
      </c>
      <c r="D666" s="1964">
        <f>TARGET!D661</f>
        <v>0</v>
      </c>
      <c r="E666" s="2491">
        <v>0</v>
      </c>
      <c r="F666" s="2491">
        <v>0</v>
      </c>
      <c r="G666" s="2491">
        <v>0</v>
      </c>
      <c r="H666" s="2491">
        <v>0</v>
      </c>
      <c r="I666" s="2491">
        <v>0</v>
      </c>
      <c r="J666" s="2491">
        <v>0</v>
      </c>
      <c r="K666" s="2491">
        <v>0</v>
      </c>
      <c r="L666" s="2491">
        <v>0</v>
      </c>
      <c r="M666" s="2491">
        <v>0</v>
      </c>
      <c r="N666" s="2491">
        <v>0</v>
      </c>
      <c r="O666" s="2491">
        <v>0</v>
      </c>
      <c r="P666" s="2491">
        <v>0</v>
      </c>
      <c r="Q666" s="2161">
        <f t="shared" si="277"/>
        <v>0</v>
      </c>
      <c r="R666" s="1891">
        <f t="shared" si="278"/>
        <v>0</v>
      </c>
      <c r="S666" s="1891">
        <v>0</v>
      </c>
    </row>
    <row r="667" spans="1:19" s="2070" customFormat="1" ht="5.35" customHeight="1">
      <c r="A667" s="1465"/>
      <c r="B667" s="2326"/>
      <c r="C667" s="2326"/>
      <c r="D667" s="2314"/>
      <c r="E667" s="2314"/>
      <c r="F667" s="2314"/>
      <c r="G667" s="2314"/>
      <c r="H667" s="2314"/>
      <c r="I667" s="2314"/>
      <c r="J667" s="2314"/>
      <c r="K667" s="2314"/>
      <c r="L667" s="2314"/>
      <c r="M667" s="2314"/>
      <c r="N667" s="2314"/>
      <c r="O667" s="2314"/>
      <c r="P667" s="2314"/>
      <c r="Q667" s="2315"/>
      <c r="R667" s="2315"/>
      <c r="S667" s="2315"/>
    </row>
    <row r="668" spans="1:19" s="2070" customFormat="1" ht="15.65">
      <c r="A668" s="2528" t="s">
        <v>372</v>
      </c>
      <c r="B668" s="2093" t="s">
        <v>373</v>
      </c>
      <c r="C668" s="2195"/>
      <c r="D668" s="2306">
        <f t="shared" ref="D668:P668" si="279">D670+D694</f>
        <v>1338680000</v>
      </c>
      <c r="E668" s="2306">
        <f t="shared" si="279"/>
        <v>0</v>
      </c>
      <c r="F668" s="2306">
        <f t="shared" si="279"/>
        <v>0</v>
      </c>
      <c r="G668" s="2306">
        <f t="shared" si="279"/>
        <v>0</v>
      </c>
      <c r="H668" s="2306">
        <f t="shared" si="279"/>
        <v>0</v>
      </c>
      <c r="I668" s="2306">
        <f t="shared" si="279"/>
        <v>0</v>
      </c>
      <c r="J668" s="2306">
        <f t="shared" si="279"/>
        <v>0</v>
      </c>
      <c r="K668" s="2306">
        <f t="shared" si="279"/>
        <v>0</v>
      </c>
      <c r="L668" s="2306">
        <f t="shared" si="279"/>
        <v>0</v>
      </c>
      <c r="M668" s="2306">
        <f t="shared" si="279"/>
        <v>0</v>
      </c>
      <c r="N668" s="2306">
        <f t="shared" si="279"/>
        <v>0</v>
      </c>
      <c r="O668" s="2306">
        <f t="shared" si="279"/>
        <v>0</v>
      </c>
      <c r="P668" s="2306">
        <f t="shared" si="279"/>
        <v>0</v>
      </c>
      <c r="Q668" s="2489">
        <f>SUM(E668:P668)</f>
        <v>0</v>
      </c>
      <c r="R668" s="2147">
        <f>Q668-D668</f>
        <v>-1338680000</v>
      </c>
      <c r="S668" s="2147">
        <f>Q668/D668*100</f>
        <v>0</v>
      </c>
    </row>
    <row r="669" spans="1:19" s="2070" customFormat="1" ht="3.8" customHeight="1">
      <c r="A669" s="2529"/>
      <c r="B669" s="2438"/>
      <c r="C669" s="2099"/>
      <c r="D669" s="2439"/>
      <c r="E669" s="2439"/>
      <c r="F669" s="2439"/>
      <c r="G669" s="2439"/>
      <c r="H669" s="2439"/>
      <c r="I669" s="2439"/>
      <c r="J669" s="2439"/>
      <c r="K669" s="2439"/>
      <c r="L669" s="2439"/>
      <c r="M669" s="2439"/>
      <c r="N669" s="2439"/>
      <c r="O669" s="2439"/>
      <c r="P669" s="2439"/>
      <c r="Q669" s="2447"/>
      <c r="R669" s="2447"/>
      <c r="S669" s="2447"/>
    </row>
    <row r="670" spans="1:19" s="2070" customFormat="1" ht="15.05">
      <c r="A670" s="1854"/>
      <c r="B670" s="202" t="s">
        <v>106</v>
      </c>
      <c r="C670" s="202"/>
      <c r="D670" s="2490">
        <f t="shared" ref="D670:P670" si="280">+D672+D692+D684</f>
        <v>1338680000</v>
      </c>
      <c r="E670" s="2490">
        <f t="shared" si="280"/>
        <v>0</v>
      </c>
      <c r="F670" s="2490">
        <f t="shared" si="280"/>
        <v>0</v>
      </c>
      <c r="G670" s="2490">
        <f t="shared" si="280"/>
        <v>0</v>
      </c>
      <c r="H670" s="2490">
        <f t="shared" si="280"/>
        <v>0</v>
      </c>
      <c r="I670" s="2490">
        <f t="shared" si="280"/>
        <v>0</v>
      </c>
      <c r="J670" s="2490">
        <f t="shared" si="280"/>
        <v>0</v>
      </c>
      <c r="K670" s="2490">
        <f t="shared" si="280"/>
        <v>0</v>
      </c>
      <c r="L670" s="2490">
        <f t="shared" si="280"/>
        <v>0</v>
      </c>
      <c r="M670" s="2490">
        <f t="shared" si="280"/>
        <v>0</v>
      </c>
      <c r="N670" s="2490">
        <f t="shared" si="280"/>
        <v>0</v>
      </c>
      <c r="O670" s="2490">
        <f t="shared" si="280"/>
        <v>0</v>
      </c>
      <c r="P670" s="2490">
        <f t="shared" si="280"/>
        <v>0</v>
      </c>
      <c r="Q670" s="2156">
        <f t="shared" ref="Q670:Q699" si="281">SUM(E670:P670)</f>
        <v>0</v>
      </c>
      <c r="R670" s="1749">
        <f t="shared" ref="R670:S699" si="282">Q670-D670</f>
        <v>-1338680000</v>
      </c>
      <c r="S670" s="1891">
        <f>Q670/D670*100</f>
        <v>0</v>
      </c>
    </row>
    <row r="671" spans="1:19" s="2070" customFormat="1" ht="3.8" customHeight="1">
      <c r="A671" s="1854"/>
      <c r="B671" s="200"/>
      <c r="C671" s="200"/>
      <c r="D671" s="2455"/>
      <c r="E671" s="2455"/>
      <c r="F671" s="2455"/>
      <c r="G671" s="2455"/>
      <c r="H671" s="2455"/>
      <c r="I671" s="2455"/>
      <c r="J671" s="2455"/>
      <c r="K671" s="2455"/>
      <c r="L671" s="2455"/>
      <c r="M671" s="2455"/>
      <c r="N671" s="2455"/>
      <c r="O671" s="2455"/>
      <c r="P671" s="2455"/>
      <c r="Q671" s="2161">
        <f t="shared" si="281"/>
        <v>0</v>
      </c>
      <c r="R671" s="1891">
        <f t="shared" si="282"/>
        <v>0</v>
      </c>
      <c r="S671" s="1891">
        <f t="shared" si="282"/>
        <v>0</v>
      </c>
    </row>
    <row r="672" spans="1:19" s="2070" customFormat="1">
      <c r="A672" s="1854"/>
      <c r="B672" s="202" t="s">
        <v>374</v>
      </c>
      <c r="C672" s="202"/>
      <c r="D672" s="2307">
        <f t="shared" ref="D672:P672" si="283">+D673</f>
        <v>518680000</v>
      </c>
      <c r="E672" s="2307">
        <f t="shared" si="283"/>
        <v>0</v>
      </c>
      <c r="F672" s="2307">
        <f t="shared" si="283"/>
        <v>0</v>
      </c>
      <c r="G672" s="2307">
        <f t="shared" si="283"/>
        <v>0</v>
      </c>
      <c r="H672" s="2307">
        <f t="shared" si="283"/>
        <v>0</v>
      </c>
      <c r="I672" s="2307">
        <f t="shared" si="283"/>
        <v>0</v>
      </c>
      <c r="J672" s="2307">
        <f t="shared" si="283"/>
        <v>0</v>
      </c>
      <c r="K672" s="2307">
        <f t="shared" si="283"/>
        <v>0</v>
      </c>
      <c r="L672" s="2307">
        <f t="shared" si="283"/>
        <v>0</v>
      </c>
      <c r="M672" s="2307">
        <f t="shared" si="283"/>
        <v>0</v>
      </c>
      <c r="N672" s="2307">
        <f t="shared" si="283"/>
        <v>0</v>
      </c>
      <c r="O672" s="2307">
        <f t="shared" si="283"/>
        <v>0</v>
      </c>
      <c r="P672" s="2307">
        <f t="shared" si="283"/>
        <v>0</v>
      </c>
      <c r="Q672" s="2161">
        <f t="shared" si="281"/>
        <v>0</v>
      </c>
      <c r="R672" s="1891">
        <f t="shared" si="282"/>
        <v>-518680000</v>
      </c>
      <c r="S672" s="1891">
        <f t="shared" ref="S672:S680" si="284">Q672/D672*100</f>
        <v>0</v>
      </c>
    </row>
    <row r="673" spans="1:19" s="2070" customFormat="1" ht="15.05">
      <c r="A673" s="1855"/>
      <c r="B673" s="202" t="s">
        <v>64</v>
      </c>
      <c r="C673" s="202"/>
      <c r="D673" s="2490">
        <f t="shared" ref="D673:P673" si="285">SUM(D674:D682)</f>
        <v>518680000</v>
      </c>
      <c r="E673" s="2490">
        <f t="shared" si="285"/>
        <v>0</v>
      </c>
      <c r="F673" s="2490">
        <f t="shared" si="285"/>
        <v>0</v>
      </c>
      <c r="G673" s="2490">
        <f t="shared" si="285"/>
        <v>0</v>
      </c>
      <c r="H673" s="2490">
        <f t="shared" si="285"/>
        <v>0</v>
      </c>
      <c r="I673" s="2490">
        <f t="shared" si="285"/>
        <v>0</v>
      </c>
      <c r="J673" s="2490">
        <f t="shared" si="285"/>
        <v>0</v>
      </c>
      <c r="K673" s="2490">
        <f t="shared" si="285"/>
        <v>0</v>
      </c>
      <c r="L673" s="2490">
        <f t="shared" si="285"/>
        <v>0</v>
      </c>
      <c r="M673" s="2490">
        <f t="shared" si="285"/>
        <v>0</v>
      </c>
      <c r="N673" s="2490">
        <f t="shared" si="285"/>
        <v>0</v>
      </c>
      <c r="O673" s="2490">
        <f t="shared" si="285"/>
        <v>0</v>
      </c>
      <c r="P673" s="2490">
        <f t="shared" si="285"/>
        <v>0</v>
      </c>
      <c r="Q673" s="2156">
        <f t="shared" si="281"/>
        <v>0</v>
      </c>
      <c r="R673" s="1749">
        <f t="shared" si="282"/>
        <v>-518680000</v>
      </c>
      <c r="S673" s="1891">
        <f t="shared" si="284"/>
        <v>0</v>
      </c>
    </row>
    <row r="674" spans="1:19" s="2070" customFormat="1">
      <c r="A674" s="1854"/>
      <c r="B674" s="202" t="s">
        <v>50</v>
      </c>
      <c r="C674" s="200" t="s">
        <v>375</v>
      </c>
      <c r="D674" s="1964">
        <f>TARGET!D669</f>
        <v>328430000</v>
      </c>
      <c r="E674" s="2491">
        <v>0</v>
      </c>
      <c r="F674" s="2491">
        <v>0</v>
      </c>
      <c r="G674" s="2491">
        <v>0</v>
      </c>
      <c r="H674" s="2491">
        <v>0</v>
      </c>
      <c r="I674" s="2491">
        <v>0</v>
      </c>
      <c r="J674" s="2491">
        <v>0</v>
      </c>
      <c r="K674" s="2491">
        <v>0</v>
      </c>
      <c r="L674" s="2491">
        <v>0</v>
      </c>
      <c r="M674" s="2491">
        <v>0</v>
      </c>
      <c r="N674" s="2491">
        <v>0</v>
      </c>
      <c r="O674" s="2491">
        <v>0</v>
      </c>
      <c r="P674" s="2491">
        <v>0</v>
      </c>
      <c r="Q674" s="2161">
        <f t="shared" si="281"/>
        <v>0</v>
      </c>
      <c r="R674" s="1891">
        <f t="shared" si="282"/>
        <v>-328430000</v>
      </c>
      <c r="S674" s="1891">
        <f t="shared" si="284"/>
        <v>0</v>
      </c>
    </row>
    <row r="675" spans="1:19" s="2070" customFormat="1">
      <c r="A675" s="1854"/>
      <c r="B675" s="200" t="s">
        <v>50</v>
      </c>
      <c r="C675" s="200" t="s">
        <v>376</v>
      </c>
      <c r="D675" s="1964">
        <f>TARGET!D670</f>
        <v>15000000</v>
      </c>
      <c r="E675" s="2491">
        <v>0</v>
      </c>
      <c r="F675" s="2491">
        <v>0</v>
      </c>
      <c r="G675" s="2491">
        <v>0</v>
      </c>
      <c r="H675" s="2491">
        <v>0</v>
      </c>
      <c r="I675" s="2491">
        <v>0</v>
      </c>
      <c r="J675" s="2491">
        <v>0</v>
      </c>
      <c r="K675" s="2491">
        <v>0</v>
      </c>
      <c r="L675" s="2491">
        <v>0</v>
      </c>
      <c r="M675" s="2491">
        <v>0</v>
      </c>
      <c r="N675" s="2491">
        <v>0</v>
      </c>
      <c r="O675" s="2491">
        <v>0</v>
      </c>
      <c r="P675" s="2491">
        <v>0</v>
      </c>
      <c r="Q675" s="2161">
        <f t="shared" si="281"/>
        <v>0</v>
      </c>
      <c r="R675" s="1891">
        <f t="shared" si="282"/>
        <v>-15000000</v>
      </c>
      <c r="S675" s="1891">
        <f t="shared" si="284"/>
        <v>0</v>
      </c>
    </row>
    <row r="676" spans="1:19" s="2070" customFormat="1">
      <c r="A676" s="1854"/>
      <c r="B676" s="200" t="s">
        <v>50</v>
      </c>
      <c r="C676" s="200" t="s">
        <v>377</v>
      </c>
      <c r="D676" s="1964">
        <f>TARGET!D671</f>
        <v>50000000</v>
      </c>
      <c r="E676" s="2491">
        <v>0</v>
      </c>
      <c r="F676" s="2491">
        <v>0</v>
      </c>
      <c r="G676" s="2491">
        <v>0</v>
      </c>
      <c r="H676" s="2491">
        <v>0</v>
      </c>
      <c r="I676" s="2491">
        <v>0</v>
      </c>
      <c r="J676" s="2491">
        <v>0</v>
      </c>
      <c r="K676" s="2491">
        <v>0</v>
      </c>
      <c r="L676" s="2491">
        <v>0</v>
      </c>
      <c r="M676" s="2491">
        <v>0</v>
      </c>
      <c r="N676" s="2491">
        <v>0</v>
      </c>
      <c r="O676" s="2491">
        <v>0</v>
      </c>
      <c r="P676" s="2491">
        <v>0</v>
      </c>
      <c r="Q676" s="2161">
        <f t="shared" si="281"/>
        <v>0</v>
      </c>
      <c r="R676" s="1891">
        <f t="shared" si="282"/>
        <v>-50000000</v>
      </c>
      <c r="S676" s="1891">
        <f t="shared" si="284"/>
        <v>0</v>
      </c>
    </row>
    <row r="677" spans="1:19" s="2070" customFormat="1">
      <c r="A677" s="1854"/>
      <c r="B677" s="202" t="s">
        <v>50</v>
      </c>
      <c r="C677" s="200" t="s">
        <v>378</v>
      </c>
      <c r="D677" s="1964">
        <f>TARGET!D672</f>
        <v>40250000</v>
      </c>
      <c r="E677" s="2491">
        <v>0</v>
      </c>
      <c r="F677" s="2491">
        <v>0</v>
      </c>
      <c r="G677" s="2491">
        <v>0</v>
      </c>
      <c r="H677" s="2491">
        <v>0</v>
      </c>
      <c r="I677" s="2491">
        <v>0</v>
      </c>
      <c r="J677" s="2491">
        <v>0</v>
      </c>
      <c r="K677" s="2491">
        <v>0</v>
      </c>
      <c r="L677" s="2491">
        <v>0</v>
      </c>
      <c r="M677" s="2491">
        <v>0</v>
      </c>
      <c r="N677" s="2491">
        <v>0</v>
      </c>
      <c r="O677" s="2491">
        <v>0</v>
      </c>
      <c r="P677" s="2491">
        <v>0</v>
      </c>
      <c r="Q677" s="2161">
        <f t="shared" si="281"/>
        <v>0</v>
      </c>
      <c r="R677" s="1891">
        <f t="shared" si="282"/>
        <v>-40250000</v>
      </c>
      <c r="S677" s="1891">
        <f t="shared" si="284"/>
        <v>0</v>
      </c>
    </row>
    <row r="678" spans="1:19" s="2070" customFormat="1">
      <c r="A678" s="1854"/>
      <c r="B678" s="200" t="s">
        <v>50</v>
      </c>
      <c r="C678" s="200" t="s">
        <v>379</v>
      </c>
      <c r="D678" s="1964">
        <f>TARGET!D673</f>
        <v>25000000</v>
      </c>
      <c r="E678" s="2491">
        <v>0</v>
      </c>
      <c r="F678" s="2491">
        <v>0</v>
      </c>
      <c r="G678" s="2491">
        <v>0</v>
      </c>
      <c r="H678" s="2491">
        <v>0</v>
      </c>
      <c r="I678" s="2491">
        <v>0</v>
      </c>
      <c r="J678" s="2491">
        <v>0</v>
      </c>
      <c r="K678" s="2491">
        <v>0</v>
      </c>
      <c r="L678" s="2491">
        <v>0</v>
      </c>
      <c r="M678" s="2491">
        <v>0</v>
      </c>
      <c r="N678" s="2491">
        <v>0</v>
      </c>
      <c r="O678" s="2491">
        <v>0</v>
      </c>
      <c r="P678" s="2491">
        <v>0</v>
      </c>
      <c r="Q678" s="2161">
        <f t="shared" si="281"/>
        <v>0</v>
      </c>
      <c r="R678" s="1891">
        <f t="shared" si="282"/>
        <v>-25000000</v>
      </c>
      <c r="S678" s="1891">
        <f t="shared" si="284"/>
        <v>0</v>
      </c>
    </row>
    <row r="679" spans="1:19" s="2070" customFormat="1">
      <c r="A679" s="1854"/>
      <c r="B679" s="200" t="s">
        <v>50</v>
      </c>
      <c r="C679" s="200" t="s">
        <v>380</v>
      </c>
      <c r="D679" s="1964">
        <f>TARGET!D674</f>
        <v>0</v>
      </c>
      <c r="E679" s="2491">
        <v>0</v>
      </c>
      <c r="F679" s="2491">
        <v>0</v>
      </c>
      <c r="G679" s="2491">
        <v>0</v>
      </c>
      <c r="H679" s="2491">
        <v>0</v>
      </c>
      <c r="I679" s="2491">
        <v>0</v>
      </c>
      <c r="J679" s="2491">
        <v>0</v>
      </c>
      <c r="K679" s="2491">
        <v>0</v>
      </c>
      <c r="L679" s="2491">
        <v>0</v>
      </c>
      <c r="M679" s="2491">
        <v>0</v>
      </c>
      <c r="N679" s="2491">
        <v>0</v>
      </c>
      <c r="O679" s="2491">
        <v>0</v>
      </c>
      <c r="P679" s="2491">
        <v>0</v>
      </c>
      <c r="Q679" s="2161">
        <f t="shared" si="281"/>
        <v>0</v>
      </c>
      <c r="R679" s="1891">
        <f t="shared" si="282"/>
        <v>0</v>
      </c>
      <c r="S679" s="1891">
        <v>0</v>
      </c>
    </row>
    <row r="680" spans="1:19" s="2070" customFormat="1">
      <c r="A680" s="1854"/>
      <c r="B680" s="200" t="s">
        <v>50</v>
      </c>
      <c r="C680" s="200" t="s">
        <v>381</v>
      </c>
      <c r="D680" s="1964">
        <f>TARGET!D675</f>
        <v>60000000</v>
      </c>
      <c r="E680" s="2491">
        <v>0</v>
      </c>
      <c r="F680" s="2491">
        <v>0</v>
      </c>
      <c r="G680" s="2491">
        <v>0</v>
      </c>
      <c r="H680" s="2491">
        <v>0</v>
      </c>
      <c r="I680" s="2491">
        <v>0</v>
      </c>
      <c r="J680" s="2491">
        <v>0</v>
      </c>
      <c r="K680" s="2491">
        <v>0</v>
      </c>
      <c r="L680" s="2491">
        <v>0</v>
      </c>
      <c r="M680" s="2491">
        <v>0</v>
      </c>
      <c r="N680" s="2491">
        <v>0</v>
      </c>
      <c r="O680" s="2491">
        <v>0</v>
      </c>
      <c r="P680" s="2491">
        <v>0</v>
      </c>
      <c r="Q680" s="2161">
        <f t="shared" si="281"/>
        <v>0</v>
      </c>
      <c r="R680" s="1891">
        <f t="shared" si="282"/>
        <v>-60000000</v>
      </c>
      <c r="S680" s="1891">
        <f t="shared" si="284"/>
        <v>0</v>
      </c>
    </row>
    <row r="681" spans="1:19" s="2070" customFormat="1">
      <c r="A681" s="1854"/>
      <c r="B681" s="200" t="s">
        <v>50</v>
      </c>
      <c r="C681" s="200" t="s">
        <v>382</v>
      </c>
      <c r="D681" s="1964">
        <f>TARGET!D676</f>
        <v>0</v>
      </c>
      <c r="E681" s="2491">
        <v>0</v>
      </c>
      <c r="F681" s="2491">
        <v>0</v>
      </c>
      <c r="G681" s="2491">
        <v>0</v>
      </c>
      <c r="H681" s="2491">
        <v>0</v>
      </c>
      <c r="I681" s="2491">
        <v>0</v>
      </c>
      <c r="J681" s="2491">
        <v>0</v>
      </c>
      <c r="K681" s="2491">
        <v>0</v>
      </c>
      <c r="L681" s="2491">
        <v>0</v>
      </c>
      <c r="M681" s="2491">
        <v>0</v>
      </c>
      <c r="N681" s="2491">
        <v>0</v>
      </c>
      <c r="O681" s="2491">
        <v>0</v>
      </c>
      <c r="P681" s="2491">
        <v>0</v>
      </c>
      <c r="Q681" s="2161">
        <f t="shared" si="281"/>
        <v>0</v>
      </c>
      <c r="R681" s="1891">
        <f t="shared" si="282"/>
        <v>0</v>
      </c>
      <c r="S681" s="1891">
        <v>0</v>
      </c>
    </row>
    <row r="682" spans="1:19" s="2070" customFormat="1">
      <c r="A682" s="1854"/>
      <c r="B682" s="200" t="s">
        <v>50</v>
      </c>
      <c r="C682" s="200" t="s">
        <v>383</v>
      </c>
      <c r="D682" s="1964">
        <f>TARGET!D677</f>
        <v>0</v>
      </c>
      <c r="E682" s="2491">
        <v>0</v>
      </c>
      <c r="F682" s="2491">
        <v>0</v>
      </c>
      <c r="G682" s="2491">
        <v>0</v>
      </c>
      <c r="H682" s="2491">
        <v>0</v>
      </c>
      <c r="I682" s="2491">
        <v>0</v>
      </c>
      <c r="J682" s="2491">
        <v>0</v>
      </c>
      <c r="K682" s="2491">
        <v>0</v>
      </c>
      <c r="L682" s="2491">
        <v>0</v>
      </c>
      <c r="M682" s="2491">
        <v>0</v>
      </c>
      <c r="N682" s="2491">
        <v>0</v>
      </c>
      <c r="O682" s="2491">
        <v>0</v>
      </c>
      <c r="P682" s="2491">
        <v>0</v>
      </c>
      <c r="Q682" s="2161">
        <f t="shared" si="281"/>
        <v>0</v>
      </c>
      <c r="R682" s="1891">
        <f t="shared" si="282"/>
        <v>0</v>
      </c>
      <c r="S682" s="1891">
        <v>0</v>
      </c>
    </row>
    <row r="683" spans="1:19" s="2070" customFormat="1" ht="7.55" customHeight="1">
      <c r="A683" s="1854"/>
      <c r="B683" s="202"/>
      <c r="C683" s="200"/>
      <c r="D683" s="2282"/>
      <c r="E683" s="2282"/>
      <c r="F683" s="2282"/>
      <c r="G683" s="2282"/>
      <c r="H683" s="2282"/>
      <c r="I683" s="2282"/>
      <c r="J683" s="2282"/>
      <c r="K683" s="2282"/>
      <c r="L683" s="2282"/>
      <c r="M683" s="2282"/>
      <c r="N683" s="2282"/>
      <c r="O683" s="2282"/>
      <c r="P683" s="2282"/>
      <c r="Q683" s="2161">
        <f t="shared" si="281"/>
        <v>0</v>
      </c>
      <c r="R683" s="1891">
        <f t="shared" si="282"/>
        <v>0</v>
      </c>
      <c r="S683" s="1891">
        <f t="shared" si="282"/>
        <v>0</v>
      </c>
    </row>
    <row r="684" spans="1:19" s="2070" customFormat="1" ht="15.05">
      <c r="A684" s="1854"/>
      <c r="B684" s="202" t="s">
        <v>361</v>
      </c>
      <c r="C684" s="202"/>
      <c r="D684" s="2490">
        <f t="shared" ref="D684:P684" si="286">SUM(D685:D691)</f>
        <v>820000000</v>
      </c>
      <c r="E684" s="2490">
        <f t="shared" si="286"/>
        <v>0</v>
      </c>
      <c r="F684" s="2490">
        <f t="shared" si="286"/>
        <v>0</v>
      </c>
      <c r="G684" s="2490">
        <f t="shared" si="286"/>
        <v>0</v>
      </c>
      <c r="H684" s="2490">
        <f t="shared" si="286"/>
        <v>0</v>
      </c>
      <c r="I684" s="2490">
        <f t="shared" si="286"/>
        <v>0</v>
      </c>
      <c r="J684" s="2490">
        <f t="shared" si="286"/>
        <v>0</v>
      </c>
      <c r="K684" s="2490">
        <f t="shared" si="286"/>
        <v>0</v>
      </c>
      <c r="L684" s="2490">
        <f t="shared" si="286"/>
        <v>0</v>
      </c>
      <c r="M684" s="2490">
        <f t="shared" si="286"/>
        <v>0</v>
      </c>
      <c r="N684" s="2490">
        <f t="shared" si="286"/>
        <v>0</v>
      </c>
      <c r="O684" s="2490">
        <f t="shared" si="286"/>
        <v>0</v>
      </c>
      <c r="P684" s="2490">
        <f t="shared" si="286"/>
        <v>0</v>
      </c>
      <c r="Q684" s="2156">
        <f t="shared" si="281"/>
        <v>0</v>
      </c>
      <c r="R684" s="1749">
        <f t="shared" si="282"/>
        <v>-820000000</v>
      </c>
      <c r="S684" s="1891">
        <f t="shared" ref="S684:S691" si="287">Q684/D684*100</f>
        <v>0</v>
      </c>
    </row>
    <row r="685" spans="1:19" s="2070" customFormat="1">
      <c r="A685" s="1854"/>
      <c r="B685" s="200" t="s">
        <v>50</v>
      </c>
      <c r="C685" s="200" t="s">
        <v>384</v>
      </c>
      <c r="D685" s="1964">
        <f>TARGET!D680</f>
        <v>190000000</v>
      </c>
      <c r="E685" s="2491">
        <v>0</v>
      </c>
      <c r="F685" s="2491">
        <v>0</v>
      </c>
      <c r="G685" s="2491">
        <v>0</v>
      </c>
      <c r="H685" s="2491">
        <v>0</v>
      </c>
      <c r="I685" s="2491">
        <v>0</v>
      </c>
      <c r="J685" s="2491">
        <v>0</v>
      </c>
      <c r="K685" s="2491">
        <v>0</v>
      </c>
      <c r="L685" s="2491">
        <v>0</v>
      </c>
      <c r="M685" s="2491">
        <v>0</v>
      </c>
      <c r="N685" s="2491">
        <v>0</v>
      </c>
      <c r="O685" s="2491">
        <v>0</v>
      </c>
      <c r="P685" s="2491">
        <v>0</v>
      </c>
      <c r="Q685" s="2161">
        <f t="shared" si="281"/>
        <v>0</v>
      </c>
      <c r="R685" s="1891">
        <f t="shared" si="282"/>
        <v>-190000000</v>
      </c>
      <c r="S685" s="1891">
        <f t="shared" si="287"/>
        <v>0</v>
      </c>
    </row>
    <row r="686" spans="1:19" s="2070" customFormat="1">
      <c r="A686" s="1854"/>
      <c r="B686" s="200" t="s">
        <v>50</v>
      </c>
      <c r="C686" s="200" t="s">
        <v>385</v>
      </c>
      <c r="D686" s="1964">
        <f>TARGET!D681</f>
        <v>160000000</v>
      </c>
      <c r="E686" s="2491">
        <v>0</v>
      </c>
      <c r="F686" s="2491">
        <v>0</v>
      </c>
      <c r="G686" s="2491">
        <v>0</v>
      </c>
      <c r="H686" s="2491">
        <v>0</v>
      </c>
      <c r="I686" s="2491">
        <v>0</v>
      </c>
      <c r="J686" s="2491">
        <v>0</v>
      </c>
      <c r="K686" s="2491">
        <v>0</v>
      </c>
      <c r="L686" s="2491">
        <v>0</v>
      </c>
      <c r="M686" s="2491">
        <v>0</v>
      </c>
      <c r="N686" s="2491">
        <v>0</v>
      </c>
      <c r="O686" s="2491">
        <v>0</v>
      </c>
      <c r="P686" s="2491">
        <v>0</v>
      </c>
      <c r="Q686" s="2161">
        <f t="shared" si="281"/>
        <v>0</v>
      </c>
      <c r="R686" s="1891">
        <f t="shared" si="282"/>
        <v>-160000000</v>
      </c>
      <c r="S686" s="1891">
        <f t="shared" si="287"/>
        <v>0</v>
      </c>
    </row>
    <row r="687" spans="1:19" s="2070" customFormat="1">
      <c r="A687" s="1854"/>
      <c r="B687" s="200" t="s">
        <v>50</v>
      </c>
      <c r="C687" s="200" t="s">
        <v>386</v>
      </c>
      <c r="D687" s="1964">
        <f>TARGET!D682</f>
        <v>90000000</v>
      </c>
      <c r="E687" s="2491">
        <v>0</v>
      </c>
      <c r="F687" s="2491">
        <v>0</v>
      </c>
      <c r="G687" s="2491">
        <v>0</v>
      </c>
      <c r="H687" s="2491">
        <v>0</v>
      </c>
      <c r="I687" s="2491">
        <v>0</v>
      </c>
      <c r="J687" s="2491">
        <v>0</v>
      </c>
      <c r="K687" s="2491">
        <v>0</v>
      </c>
      <c r="L687" s="2491">
        <v>0</v>
      </c>
      <c r="M687" s="2491">
        <v>0</v>
      </c>
      <c r="N687" s="2491">
        <v>0</v>
      </c>
      <c r="O687" s="2491">
        <v>0</v>
      </c>
      <c r="P687" s="2491">
        <v>0</v>
      </c>
      <c r="Q687" s="2161">
        <f t="shared" si="281"/>
        <v>0</v>
      </c>
      <c r="R687" s="1891">
        <f t="shared" si="282"/>
        <v>-90000000</v>
      </c>
      <c r="S687" s="1891">
        <f t="shared" si="287"/>
        <v>0</v>
      </c>
    </row>
    <row r="688" spans="1:19" s="2070" customFormat="1">
      <c r="A688" s="1854"/>
      <c r="B688" s="200" t="s">
        <v>50</v>
      </c>
      <c r="C688" s="200" t="s">
        <v>387</v>
      </c>
      <c r="D688" s="1964">
        <f>TARGET!D683</f>
        <v>0</v>
      </c>
      <c r="E688" s="2491"/>
      <c r="F688" s="2491"/>
      <c r="G688" s="2491"/>
      <c r="H688" s="2491"/>
      <c r="I688" s="2491"/>
      <c r="J688" s="2491"/>
      <c r="K688" s="2491"/>
      <c r="L688" s="2491"/>
      <c r="M688" s="2491"/>
      <c r="N688" s="2491"/>
      <c r="O688" s="2491"/>
      <c r="P688" s="2491"/>
      <c r="Q688" s="2161">
        <f t="shared" si="281"/>
        <v>0</v>
      </c>
      <c r="R688" s="1891">
        <f t="shared" si="282"/>
        <v>0</v>
      </c>
      <c r="S688" s="1891">
        <v>0</v>
      </c>
    </row>
    <row r="689" spans="1:19" s="2070" customFormat="1">
      <c r="A689" s="1854"/>
      <c r="B689" s="200" t="s">
        <v>50</v>
      </c>
      <c r="C689" s="200" t="s">
        <v>388</v>
      </c>
      <c r="D689" s="1964">
        <f>TARGET!D684</f>
        <v>15000000</v>
      </c>
      <c r="E689" s="2491">
        <v>0</v>
      </c>
      <c r="F689" s="2491">
        <v>0</v>
      </c>
      <c r="G689" s="2491">
        <v>0</v>
      </c>
      <c r="H689" s="2491">
        <v>0</v>
      </c>
      <c r="I689" s="2491">
        <v>0</v>
      </c>
      <c r="J689" s="2491">
        <v>0</v>
      </c>
      <c r="K689" s="2491">
        <v>0</v>
      </c>
      <c r="L689" s="2491">
        <v>0</v>
      </c>
      <c r="M689" s="2491">
        <v>0</v>
      </c>
      <c r="N689" s="2491">
        <v>0</v>
      </c>
      <c r="O689" s="2491">
        <v>0</v>
      </c>
      <c r="P689" s="2491">
        <v>0</v>
      </c>
      <c r="Q689" s="2161">
        <f t="shared" si="281"/>
        <v>0</v>
      </c>
      <c r="R689" s="1891">
        <f t="shared" si="282"/>
        <v>-15000000</v>
      </c>
      <c r="S689" s="1891">
        <f t="shared" si="287"/>
        <v>0</v>
      </c>
    </row>
    <row r="690" spans="1:19" s="2070" customFormat="1">
      <c r="A690" s="1854"/>
      <c r="B690" s="200" t="s">
        <v>50</v>
      </c>
      <c r="C690" s="200" t="s">
        <v>389</v>
      </c>
      <c r="D690" s="1964">
        <f>TARGET!D685</f>
        <v>30000000</v>
      </c>
      <c r="E690" s="2491">
        <v>0</v>
      </c>
      <c r="F690" s="2491">
        <v>0</v>
      </c>
      <c r="G690" s="2491">
        <v>0</v>
      </c>
      <c r="H690" s="2491">
        <v>0</v>
      </c>
      <c r="I690" s="2491">
        <v>0</v>
      </c>
      <c r="J690" s="2491">
        <v>0</v>
      </c>
      <c r="K690" s="2491">
        <v>0</v>
      </c>
      <c r="L690" s="2491">
        <v>0</v>
      </c>
      <c r="M690" s="2491">
        <v>0</v>
      </c>
      <c r="N690" s="2491">
        <v>0</v>
      </c>
      <c r="O690" s="2491">
        <v>0</v>
      </c>
      <c r="P690" s="2491">
        <v>0</v>
      </c>
      <c r="Q690" s="2161">
        <f t="shared" si="281"/>
        <v>0</v>
      </c>
      <c r="R690" s="1891">
        <f t="shared" si="282"/>
        <v>-30000000</v>
      </c>
      <c r="S690" s="1891">
        <f t="shared" si="287"/>
        <v>0</v>
      </c>
    </row>
    <row r="691" spans="1:19" s="2070" customFormat="1">
      <c r="A691" s="1854"/>
      <c r="B691" s="200" t="s">
        <v>50</v>
      </c>
      <c r="C691" s="200" t="s">
        <v>390</v>
      </c>
      <c r="D691" s="1964">
        <f>TARGET!D686</f>
        <v>335000000</v>
      </c>
      <c r="E691" s="2491">
        <v>0</v>
      </c>
      <c r="F691" s="2491">
        <v>0</v>
      </c>
      <c r="G691" s="2491">
        <v>0</v>
      </c>
      <c r="H691" s="2491">
        <v>0</v>
      </c>
      <c r="I691" s="2491">
        <v>0</v>
      </c>
      <c r="J691" s="2491">
        <v>0</v>
      </c>
      <c r="K691" s="2491">
        <v>0</v>
      </c>
      <c r="L691" s="2491">
        <v>0</v>
      </c>
      <c r="M691" s="2491">
        <v>0</v>
      </c>
      <c r="N691" s="2491">
        <v>0</v>
      </c>
      <c r="O691" s="2491">
        <v>0</v>
      </c>
      <c r="P691" s="2491">
        <v>0</v>
      </c>
      <c r="Q691" s="2161">
        <f t="shared" si="281"/>
        <v>0</v>
      </c>
      <c r="R691" s="1891">
        <f t="shared" si="282"/>
        <v>-335000000</v>
      </c>
      <c r="S691" s="1891">
        <f t="shared" si="287"/>
        <v>0</v>
      </c>
    </row>
    <row r="692" spans="1:19" s="2070" customFormat="1">
      <c r="A692" s="1854"/>
      <c r="B692" s="202" t="s">
        <v>391</v>
      </c>
      <c r="C692" s="200"/>
      <c r="D692" s="1964">
        <f>TARGET!D687</f>
        <v>0</v>
      </c>
      <c r="E692" s="2491">
        <v>0</v>
      </c>
      <c r="F692" s="2491">
        <v>0</v>
      </c>
      <c r="G692" s="2491">
        <v>0</v>
      </c>
      <c r="H692" s="2491">
        <v>0</v>
      </c>
      <c r="I692" s="2491">
        <v>0</v>
      </c>
      <c r="J692" s="2491">
        <v>0</v>
      </c>
      <c r="K692" s="2491">
        <v>0</v>
      </c>
      <c r="L692" s="2491">
        <v>0</v>
      </c>
      <c r="M692" s="2491">
        <v>0</v>
      </c>
      <c r="N692" s="2491">
        <v>0</v>
      </c>
      <c r="O692" s="2491">
        <v>0</v>
      </c>
      <c r="P692" s="2491">
        <v>0</v>
      </c>
      <c r="Q692" s="2161">
        <f t="shared" si="281"/>
        <v>0</v>
      </c>
      <c r="R692" s="1891">
        <f t="shared" si="282"/>
        <v>0</v>
      </c>
      <c r="S692" s="1891">
        <v>0</v>
      </c>
    </row>
    <row r="693" spans="1:19" s="2070" customFormat="1" ht="5.95" customHeight="1">
      <c r="A693" s="1854"/>
      <c r="B693" s="200"/>
      <c r="C693" s="200"/>
      <c r="D693" s="2282"/>
      <c r="E693" s="2282"/>
      <c r="F693" s="2282"/>
      <c r="G693" s="2282"/>
      <c r="H693" s="2282"/>
      <c r="I693" s="2282"/>
      <c r="J693" s="2282"/>
      <c r="K693" s="2282"/>
      <c r="L693" s="2282"/>
      <c r="M693" s="2282"/>
      <c r="N693" s="2282"/>
      <c r="O693" s="2282"/>
      <c r="P693" s="2282"/>
      <c r="Q693" s="2161">
        <f t="shared" si="281"/>
        <v>0</v>
      </c>
      <c r="R693" s="1891">
        <f t="shared" si="282"/>
        <v>0</v>
      </c>
      <c r="S693" s="1891">
        <f t="shared" si="282"/>
        <v>0</v>
      </c>
    </row>
    <row r="694" spans="1:19" s="2070" customFormat="1">
      <c r="A694" s="1854"/>
      <c r="B694" s="202" t="s">
        <v>71</v>
      </c>
      <c r="C694" s="202"/>
      <c r="D694" s="2283">
        <f t="shared" ref="D694:P694" si="288">SUM(D695:D699)</f>
        <v>0</v>
      </c>
      <c r="E694" s="2283">
        <f t="shared" si="288"/>
        <v>0</v>
      </c>
      <c r="F694" s="2283">
        <f t="shared" si="288"/>
        <v>0</v>
      </c>
      <c r="G694" s="2283">
        <f t="shared" si="288"/>
        <v>0</v>
      </c>
      <c r="H694" s="2283">
        <f t="shared" si="288"/>
        <v>0</v>
      </c>
      <c r="I694" s="2283">
        <f t="shared" si="288"/>
        <v>0</v>
      </c>
      <c r="J694" s="2283">
        <f t="shared" si="288"/>
        <v>0</v>
      </c>
      <c r="K694" s="2283">
        <f t="shared" si="288"/>
        <v>0</v>
      </c>
      <c r="L694" s="2283">
        <f t="shared" si="288"/>
        <v>0</v>
      </c>
      <c r="M694" s="2283">
        <f t="shared" si="288"/>
        <v>0</v>
      </c>
      <c r="N694" s="2283">
        <f t="shared" si="288"/>
        <v>0</v>
      </c>
      <c r="O694" s="2283">
        <f t="shared" si="288"/>
        <v>0</v>
      </c>
      <c r="P694" s="2283">
        <f t="shared" si="288"/>
        <v>0</v>
      </c>
      <c r="Q694" s="2161">
        <f t="shared" si="281"/>
        <v>0</v>
      </c>
      <c r="R694" s="1891">
        <f t="shared" si="282"/>
        <v>0</v>
      </c>
      <c r="S694" s="1891">
        <v>0</v>
      </c>
    </row>
    <row r="695" spans="1:19" s="2070" customFormat="1">
      <c r="A695" s="1855"/>
      <c r="B695" s="257" t="s">
        <v>50</v>
      </c>
      <c r="C695" s="200" t="s">
        <v>72</v>
      </c>
      <c r="D695" s="1964">
        <f>TARGET!D690</f>
        <v>0</v>
      </c>
      <c r="E695" s="2491">
        <v>0</v>
      </c>
      <c r="F695" s="2491">
        <v>0</v>
      </c>
      <c r="G695" s="2491">
        <v>0</v>
      </c>
      <c r="H695" s="2491">
        <v>0</v>
      </c>
      <c r="I695" s="2491">
        <v>0</v>
      </c>
      <c r="J695" s="2491">
        <v>0</v>
      </c>
      <c r="K695" s="2491">
        <v>0</v>
      </c>
      <c r="L695" s="2491">
        <v>0</v>
      </c>
      <c r="M695" s="2491">
        <v>0</v>
      </c>
      <c r="N695" s="2491">
        <v>0</v>
      </c>
      <c r="O695" s="2491">
        <v>0</v>
      </c>
      <c r="P695" s="2491">
        <v>0</v>
      </c>
      <c r="Q695" s="2161">
        <f t="shared" si="281"/>
        <v>0</v>
      </c>
      <c r="R695" s="1891">
        <f t="shared" si="282"/>
        <v>0</v>
      </c>
      <c r="S695" s="1891">
        <v>0</v>
      </c>
    </row>
    <row r="696" spans="1:19" s="2070" customFormat="1">
      <c r="A696" s="1855"/>
      <c r="B696" s="257" t="s">
        <v>50</v>
      </c>
      <c r="C696" s="200" t="s">
        <v>73</v>
      </c>
      <c r="D696" s="1964">
        <f>TARGET!D691</f>
        <v>0</v>
      </c>
      <c r="E696" s="2491">
        <v>0</v>
      </c>
      <c r="F696" s="2491">
        <v>0</v>
      </c>
      <c r="G696" s="2491">
        <v>0</v>
      </c>
      <c r="H696" s="2491">
        <v>0</v>
      </c>
      <c r="I696" s="2491">
        <v>0</v>
      </c>
      <c r="J696" s="2491">
        <v>0</v>
      </c>
      <c r="K696" s="2491">
        <v>0</v>
      </c>
      <c r="L696" s="2491">
        <v>0</v>
      </c>
      <c r="M696" s="2491">
        <v>0</v>
      </c>
      <c r="N696" s="2491">
        <v>0</v>
      </c>
      <c r="O696" s="2491">
        <v>0</v>
      </c>
      <c r="P696" s="2491">
        <v>0</v>
      </c>
      <c r="Q696" s="2161">
        <f t="shared" si="281"/>
        <v>0</v>
      </c>
      <c r="R696" s="1891">
        <f t="shared" si="282"/>
        <v>0</v>
      </c>
      <c r="S696" s="1891">
        <v>0</v>
      </c>
    </row>
    <row r="697" spans="1:19" s="2070" customFormat="1">
      <c r="A697" s="1855"/>
      <c r="B697" s="257" t="s">
        <v>50</v>
      </c>
      <c r="C697" s="200" t="s">
        <v>74</v>
      </c>
      <c r="D697" s="1964">
        <f>TARGET!D692</f>
        <v>0</v>
      </c>
      <c r="E697" s="2491">
        <v>0</v>
      </c>
      <c r="F697" s="2491">
        <v>0</v>
      </c>
      <c r="G697" s="2491">
        <v>0</v>
      </c>
      <c r="H697" s="2491">
        <v>0</v>
      </c>
      <c r="I697" s="2491">
        <v>0</v>
      </c>
      <c r="J697" s="2491">
        <v>0</v>
      </c>
      <c r="K697" s="2491">
        <v>0</v>
      </c>
      <c r="L697" s="2491">
        <v>0</v>
      </c>
      <c r="M697" s="2491">
        <v>0</v>
      </c>
      <c r="N697" s="2491">
        <v>0</v>
      </c>
      <c r="O697" s="2491">
        <v>0</v>
      </c>
      <c r="P697" s="2491">
        <v>0</v>
      </c>
      <c r="Q697" s="2161">
        <f t="shared" si="281"/>
        <v>0</v>
      </c>
      <c r="R697" s="1891">
        <f t="shared" si="282"/>
        <v>0</v>
      </c>
      <c r="S697" s="1891">
        <v>0</v>
      </c>
    </row>
    <row r="698" spans="1:19" s="2070" customFormat="1">
      <c r="A698" s="1854"/>
      <c r="B698" s="257" t="s">
        <v>50</v>
      </c>
      <c r="C698" s="200" t="s">
        <v>75</v>
      </c>
      <c r="D698" s="1964">
        <f>TARGET!D693</f>
        <v>0</v>
      </c>
      <c r="E698" s="2491">
        <v>0</v>
      </c>
      <c r="F698" s="2491">
        <v>0</v>
      </c>
      <c r="G698" s="2491">
        <v>0</v>
      </c>
      <c r="H698" s="2491">
        <v>0</v>
      </c>
      <c r="I698" s="2491">
        <v>0</v>
      </c>
      <c r="J698" s="2491">
        <v>0</v>
      </c>
      <c r="K698" s="2491">
        <v>0</v>
      </c>
      <c r="L698" s="2491">
        <v>0</v>
      </c>
      <c r="M698" s="2491">
        <v>0</v>
      </c>
      <c r="N698" s="2491">
        <v>0</v>
      </c>
      <c r="O698" s="2491">
        <v>0</v>
      </c>
      <c r="P698" s="2491">
        <v>0</v>
      </c>
      <c r="Q698" s="2161">
        <f t="shared" si="281"/>
        <v>0</v>
      </c>
      <c r="R698" s="1891">
        <f t="shared" si="282"/>
        <v>0</v>
      </c>
      <c r="S698" s="1891">
        <v>0</v>
      </c>
    </row>
    <row r="699" spans="1:19" s="2070" customFormat="1">
      <c r="A699" s="1854"/>
      <c r="B699" s="2214" t="s">
        <v>50</v>
      </c>
      <c r="C699" s="200" t="s">
        <v>85</v>
      </c>
      <c r="D699" s="1964">
        <f>TARGET!D694</f>
        <v>0</v>
      </c>
      <c r="E699" s="2491">
        <v>0</v>
      </c>
      <c r="F699" s="2491">
        <v>0</v>
      </c>
      <c r="G699" s="2491">
        <v>0</v>
      </c>
      <c r="H699" s="2491">
        <v>0</v>
      </c>
      <c r="I699" s="2491">
        <v>0</v>
      </c>
      <c r="J699" s="2491">
        <v>0</v>
      </c>
      <c r="K699" s="2491">
        <v>0</v>
      </c>
      <c r="L699" s="2491">
        <v>0</v>
      </c>
      <c r="M699" s="2491">
        <v>0</v>
      </c>
      <c r="N699" s="2491">
        <v>0</v>
      </c>
      <c r="O699" s="2491">
        <v>0</v>
      </c>
      <c r="P699" s="2491">
        <v>0</v>
      </c>
      <c r="Q699" s="2161">
        <f t="shared" si="281"/>
        <v>0</v>
      </c>
      <c r="R699" s="1891">
        <f t="shared" si="282"/>
        <v>0</v>
      </c>
      <c r="S699" s="1891">
        <v>0</v>
      </c>
    </row>
    <row r="700" spans="1:19" s="2070" customFormat="1" ht="5.35" customHeight="1">
      <c r="A700" s="1465"/>
      <c r="B700" s="2117"/>
      <c r="C700" s="2117"/>
      <c r="D700" s="2310"/>
      <c r="E700" s="2310"/>
      <c r="F700" s="2310"/>
      <c r="G700" s="2310"/>
      <c r="H700" s="2310"/>
      <c r="I700" s="2310"/>
      <c r="J700" s="2310"/>
      <c r="K700" s="2310"/>
      <c r="L700" s="2310"/>
      <c r="M700" s="2310"/>
      <c r="N700" s="2310"/>
      <c r="O700" s="2310"/>
      <c r="P700" s="2310"/>
      <c r="Q700" s="2311"/>
      <c r="R700" s="2311"/>
      <c r="S700" s="2311"/>
    </row>
    <row r="701" spans="1:19" s="2073" customFormat="1" ht="15.65">
      <c r="A701" s="2528" t="s">
        <v>392</v>
      </c>
      <c r="B701" s="2093" t="s">
        <v>393</v>
      </c>
      <c r="C701" s="2195"/>
      <c r="D701" s="2306">
        <f t="shared" ref="D701:P701" si="289">D703+D707</f>
        <v>0</v>
      </c>
      <c r="E701" s="2306">
        <f t="shared" si="289"/>
        <v>0</v>
      </c>
      <c r="F701" s="2306">
        <f t="shared" si="289"/>
        <v>0</v>
      </c>
      <c r="G701" s="2306">
        <f t="shared" si="289"/>
        <v>0</v>
      </c>
      <c r="H701" s="2306">
        <f t="shared" si="289"/>
        <v>0</v>
      </c>
      <c r="I701" s="2306">
        <f t="shared" si="289"/>
        <v>0</v>
      </c>
      <c r="J701" s="2306">
        <f t="shared" si="289"/>
        <v>0</v>
      </c>
      <c r="K701" s="2306">
        <f t="shared" si="289"/>
        <v>0</v>
      </c>
      <c r="L701" s="2306">
        <f t="shared" si="289"/>
        <v>0</v>
      </c>
      <c r="M701" s="2306">
        <f t="shared" si="289"/>
        <v>0</v>
      </c>
      <c r="N701" s="2306">
        <f t="shared" si="289"/>
        <v>0</v>
      </c>
      <c r="O701" s="2306">
        <f t="shared" si="289"/>
        <v>0</v>
      </c>
      <c r="P701" s="2306">
        <f t="shared" si="289"/>
        <v>0</v>
      </c>
      <c r="Q701" s="2489">
        <f>SUM(E701:P701)</f>
        <v>0</v>
      </c>
      <c r="R701" s="2147">
        <f>Q701-D701</f>
        <v>0</v>
      </c>
      <c r="S701" s="2147" t="e">
        <f>Q701/D701*100</f>
        <v>#DIV/0!</v>
      </c>
    </row>
    <row r="702" spans="1:19" s="2070" customFormat="1" ht="3.8" customHeight="1">
      <c r="A702" s="2640"/>
      <c r="B702" s="2438"/>
      <c r="C702" s="2099"/>
      <c r="D702" s="2439"/>
      <c r="E702" s="2439"/>
      <c r="F702" s="2439"/>
      <c r="G702" s="2439"/>
      <c r="H702" s="2439"/>
      <c r="I702" s="2439"/>
      <c r="J702" s="2439"/>
      <c r="K702" s="2439"/>
      <c r="L702" s="2439"/>
      <c r="M702" s="2439"/>
      <c r="N702" s="2439"/>
      <c r="O702" s="2439"/>
      <c r="P702" s="2439"/>
      <c r="Q702" s="2447"/>
      <c r="R702" s="2447"/>
      <c r="S702" s="2447"/>
    </row>
    <row r="703" spans="1:19" s="2070" customFormat="1">
      <c r="A703" s="2593"/>
      <c r="B703" s="202" t="s">
        <v>106</v>
      </c>
      <c r="C703" s="202"/>
      <c r="D703" s="2283">
        <f t="shared" ref="D703:P704" si="290">D704</f>
        <v>0</v>
      </c>
      <c r="E703" s="2283">
        <f t="shared" si="290"/>
        <v>0</v>
      </c>
      <c r="F703" s="2283">
        <f t="shared" si="290"/>
        <v>0</v>
      </c>
      <c r="G703" s="2283">
        <f t="shared" si="290"/>
        <v>0</v>
      </c>
      <c r="H703" s="2283">
        <f t="shared" si="290"/>
        <v>0</v>
      </c>
      <c r="I703" s="2283">
        <f t="shared" si="290"/>
        <v>0</v>
      </c>
      <c r="J703" s="2283">
        <f t="shared" si="290"/>
        <v>0</v>
      </c>
      <c r="K703" s="2283">
        <f t="shared" si="290"/>
        <v>0</v>
      </c>
      <c r="L703" s="2283">
        <f t="shared" si="290"/>
        <v>0</v>
      </c>
      <c r="M703" s="2283">
        <f t="shared" si="290"/>
        <v>0</v>
      </c>
      <c r="N703" s="2283">
        <f t="shared" si="290"/>
        <v>0</v>
      </c>
      <c r="O703" s="2283">
        <f t="shared" si="290"/>
        <v>0</v>
      </c>
      <c r="P703" s="2283">
        <f t="shared" si="290"/>
        <v>0</v>
      </c>
      <c r="Q703" s="2161">
        <f t="shared" ref="Q703:Q712" si="291">SUM(E703:P703)</f>
        <v>0</v>
      </c>
      <c r="R703" s="1891">
        <f t="shared" ref="R703:S712" si="292">Q703-D703</f>
        <v>0</v>
      </c>
      <c r="S703" s="1891" t="e">
        <f>Q703/D703*100</f>
        <v>#DIV/0!</v>
      </c>
    </row>
    <row r="704" spans="1:19" s="2070" customFormat="1">
      <c r="A704" s="2593"/>
      <c r="B704" s="200" t="s">
        <v>107</v>
      </c>
      <c r="C704" s="202"/>
      <c r="D704" s="2282">
        <f t="shared" si="290"/>
        <v>0</v>
      </c>
      <c r="E704" s="2282">
        <f t="shared" si="290"/>
        <v>0</v>
      </c>
      <c r="F704" s="2282">
        <f t="shared" si="290"/>
        <v>0</v>
      </c>
      <c r="G704" s="2282">
        <f t="shared" si="290"/>
        <v>0</v>
      </c>
      <c r="H704" s="2282">
        <f t="shared" si="290"/>
        <v>0</v>
      </c>
      <c r="I704" s="2282">
        <f t="shared" si="290"/>
        <v>0</v>
      </c>
      <c r="J704" s="2282">
        <f t="shared" si="290"/>
        <v>0</v>
      </c>
      <c r="K704" s="2282">
        <f t="shared" si="290"/>
        <v>0</v>
      </c>
      <c r="L704" s="2282">
        <f t="shared" si="290"/>
        <v>0</v>
      </c>
      <c r="M704" s="2282">
        <f t="shared" si="290"/>
        <v>0</v>
      </c>
      <c r="N704" s="2282">
        <f t="shared" si="290"/>
        <v>0</v>
      </c>
      <c r="O704" s="2282">
        <f t="shared" si="290"/>
        <v>0</v>
      </c>
      <c r="P704" s="2282">
        <f t="shared" si="290"/>
        <v>0</v>
      </c>
      <c r="Q704" s="2161">
        <f t="shared" si="291"/>
        <v>0</v>
      </c>
      <c r="R704" s="1891">
        <f t="shared" si="292"/>
        <v>0</v>
      </c>
      <c r="S704" s="1891" t="e">
        <f>Q704/D704*100</f>
        <v>#DIV/0!</v>
      </c>
    </row>
    <row r="705" spans="1:19" s="2070" customFormat="1">
      <c r="A705" s="2593"/>
      <c r="B705" s="200" t="s">
        <v>50</v>
      </c>
      <c r="C705" s="200" t="s">
        <v>394</v>
      </c>
      <c r="D705" s="1964">
        <f>TARGET!D700</f>
        <v>0</v>
      </c>
      <c r="E705" s="2491">
        <v>0</v>
      </c>
      <c r="F705" s="2491">
        <v>0</v>
      </c>
      <c r="G705" s="2491">
        <v>0</v>
      </c>
      <c r="H705" s="2491">
        <v>0</v>
      </c>
      <c r="I705" s="2491">
        <v>0</v>
      </c>
      <c r="J705" s="2491">
        <v>0</v>
      </c>
      <c r="K705" s="2491">
        <v>0</v>
      </c>
      <c r="L705" s="2491">
        <v>0</v>
      </c>
      <c r="M705" s="2491">
        <v>0</v>
      </c>
      <c r="N705" s="2491">
        <v>0</v>
      </c>
      <c r="O705" s="2491">
        <v>0</v>
      </c>
      <c r="P705" s="2491">
        <v>0</v>
      </c>
      <c r="Q705" s="2161">
        <f t="shared" si="291"/>
        <v>0</v>
      </c>
      <c r="R705" s="1891">
        <f t="shared" si="292"/>
        <v>0</v>
      </c>
      <c r="S705" s="1891" t="e">
        <f>Q705/D705*100</f>
        <v>#DIV/0!</v>
      </c>
    </row>
    <row r="706" spans="1:19" s="2070" customFormat="1" ht="5.95" customHeight="1">
      <c r="A706" s="2593"/>
      <c r="B706" s="200"/>
      <c r="C706" s="200"/>
      <c r="D706" s="2282"/>
      <c r="E706" s="2282"/>
      <c r="F706" s="2282"/>
      <c r="G706" s="2282"/>
      <c r="H706" s="2282"/>
      <c r="I706" s="2282"/>
      <c r="J706" s="2282"/>
      <c r="K706" s="2282"/>
      <c r="L706" s="2282"/>
      <c r="M706" s="2282"/>
      <c r="N706" s="2282"/>
      <c r="O706" s="2282"/>
      <c r="P706" s="2282"/>
      <c r="Q706" s="2161">
        <f t="shared" si="291"/>
        <v>0</v>
      </c>
      <c r="R706" s="1891">
        <f t="shared" si="292"/>
        <v>0</v>
      </c>
      <c r="S706" s="1891">
        <f t="shared" si="292"/>
        <v>0</v>
      </c>
    </row>
    <row r="707" spans="1:19" s="2070" customFormat="1">
      <c r="A707" s="2593"/>
      <c r="B707" s="202" t="s">
        <v>71</v>
      </c>
      <c r="C707" s="202"/>
      <c r="D707" s="2283">
        <f t="shared" ref="D707:P707" si="293">SUM(D708:D712)</f>
        <v>0</v>
      </c>
      <c r="E707" s="2283">
        <f t="shared" si="293"/>
        <v>0</v>
      </c>
      <c r="F707" s="2283">
        <f t="shared" si="293"/>
        <v>0</v>
      </c>
      <c r="G707" s="2283">
        <f t="shared" si="293"/>
        <v>0</v>
      </c>
      <c r="H707" s="2283">
        <f t="shared" si="293"/>
        <v>0</v>
      </c>
      <c r="I707" s="2283">
        <f t="shared" si="293"/>
        <v>0</v>
      </c>
      <c r="J707" s="2283">
        <f t="shared" si="293"/>
        <v>0</v>
      </c>
      <c r="K707" s="2283">
        <f t="shared" si="293"/>
        <v>0</v>
      </c>
      <c r="L707" s="2283">
        <f t="shared" si="293"/>
        <v>0</v>
      </c>
      <c r="M707" s="2283">
        <f t="shared" si="293"/>
        <v>0</v>
      </c>
      <c r="N707" s="2283">
        <f t="shared" si="293"/>
        <v>0</v>
      </c>
      <c r="O707" s="2283">
        <f t="shared" si="293"/>
        <v>0</v>
      </c>
      <c r="P707" s="2283">
        <f t="shared" si="293"/>
        <v>0</v>
      </c>
      <c r="Q707" s="2161">
        <f t="shared" si="291"/>
        <v>0</v>
      </c>
      <c r="R707" s="1891">
        <f t="shared" si="292"/>
        <v>0</v>
      </c>
      <c r="S707" s="1891">
        <v>0</v>
      </c>
    </row>
    <row r="708" spans="1:19" s="2070" customFormat="1">
      <c r="A708" s="2594"/>
      <c r="B708" s="257" t="s">
        <v>50</v>
      </c>
      <c r="C708" s="200" t="s">
        <v>72</v>
      </c>
      <c r="D708" s="1964">
        <f>TARGET!D703</f>
        <v>0</v>
      </c>
      <c r="E708" s="2491">
        <v>0</v>
      </c>
      <c r="F708" s="2491">
        <v>0</v>
      </c>
      <c r="G708" s="2491">
        <v>0</v>
      </c>
      <c r="H708" s="2491">
        <v>0</v>
      </c>
      <c r="I708" s="2491">
        <v>0</v>
      </c>
      <c r="J708" s="2491">
        <v>0</v>
      </c>
      <c r="K708" s="2491">
        <v>0</v>
      </c>
      <c r="L708" s="2491">
        <v>0</v>
      </c>
      <c r="M708" s="2491">
        <v>0</v>
      </c>
      <c r="N708" s="2491">
        <v>0</v>
      </c>
      <c r="O708" s="2491">
        <v>0</v>
      </c>
      <c r="P708" s="2491">
        <v>0</v>
      </c>
      <c r="Q708" s="2161">
        <f t="shared" si="291"/>
        <v>0</v>
      </c>
      <c r="R708" s="1891">
        <f t="shared" si="292"/>
        <v>0</v>
      </c>
      <c r="S708" s="1891">
        <v>0</v>
      </c>
    </row>
    <row r="709" spans="1:19" s="2070" customFormat="1">
      <c r="A709" s="2594"/>
      <c r="B709" s="257" t="s">
        <v>50</v>
      </c>
      <c r="C709" s="200" t="s">
        <v>73</v>
      </c>
      <c r="D709" s="1964">
        <f>TARGET!D704</f>
        <v>0</v>
      </c>
      <c r="E709" s="2491">
        <v>0</v>
      </c>
      <c r="F709" s="2491">
        <v>0</v>
      </c>
      <c r="G709" s="2491">
        <v>0</v>
      </c>
      <c r="H709" s="2491">
        <v>0</v>
      </c>
      <c r="I709" s="2491">
        <v>0</v>
      </c>
      <c r="J709" s="2491">
        <v>0</v>
      </c>
      <c r="K709" s="2491">
        <v>0</v>
      </c>
      <c r="L709" s="2491">
        <v>0</v>
      </c>
      <c r="M709" s="2491">
        <v>0</v>
      </c>
      <c r="N709" s="2491">
        <v>0</v>
      </c>
      <c r="O709" s="2491">
        <v>0</v>
      </c>
      <c r="P709" s="2491">
        <v>0</v>
      </c>
      <c r="Q709" s="2161">
        <f t="shared" si="291"/>
        <v>0</v>
      </c>
      <c r="R709" s="1891">
        <f t="shared" si="292"/>
        <v>0</v>
      </c>
      <c r="S709" s="1891">
        <v>0</v>
      </c>
    </row>
    <row r="710" spans="1:19" s="2070" customFormat="1">
      <c r="A710" s="2594"/>
      <c r="B710" s="257" t="s">
        <v>50</v>
      </c>
      <c r="C710" s="200" t="s">
        <v>74</v>
      </c>
      <c r="D710" s="1964">
        <f>TARGET!D705</f>
        <v>0</v>
      </c>
      <c r="E710" s="2491">
        <v>0</v>
      </c>
      <c r="F710" s="2491">
        <v>0</v>
      </c>
      <c r="G710" s="2491">
        <v>0</v>
      </c>
      <c r="H710" s="2491">
        <v>0</v>
      </c>
      <c r="I710" s="2491">
        <v>0</v>
      </c>
      <c r="J710" s="2491">
        <v>0</v>
      </c>
      <c r="K710" s="2491">
        <v>0</v>
      </c>
      <c r="L710" s="2491">
        <v>0</v>
      </c>
      <c r="M710" s="2491">
        <v>0</v>
      </c>
      <c r="N710" s="2491">
        <v>0</v>
      </c>
      <c r="O710" s="2491">
        <v>0</v>
      </c>
      <c r="P710" s="2491">
        <v>0</v>
      </c>
      <c r="Q710" s="2161">
        <f t="shared" si="291"/>
        <v>0</v>
      </c>
      <c r="R710" s="1891">
        <f t="shared" si="292"/>
        <v>0</v>
      </c>
      <c r="S710" s="1891">
        <v>0</v>
      </c>
    </row>
    <row r="711" spans="1:19" s="2070" customFormat="1">
      <c r="A711" s="2593"/>
      <c r="B711" s="257" t="s">
        <v>50</v>
      </c>
      <c r="C711" s="200" t="s">
        <v>75</v>
      </c>
      <c r="D711" s="1964">
        <f>TARGET!D706</f>
        <v>0</v>
      </c>
      <c r="E711" s="2491">
        <v>0</v>
      </c>
      <c r="F711" s="2491">
        <v>0</v>
      </c>
      <c r="G711" s="2491">
        <v>0</v>
      </c>
      <c r="H711" s="2491">
        <v>0</v>
      </c>
      <c r="I711" s="2491">
        <v>0</v>
      </c>
      <c r="J711" s="2491">
        <v>0</v>
      </c>
      <c r="K711" s="2491">
        <v>0</v>
      </c>
      <c r="L711" s="2491">
        <v>0</v>
      </c>
      <c r="M711" s="2491">
        <v>0</v>
      </c>
      <c r="N711" s="2491">
        <v>0</v>
      </c>
      <c r="O711" s="2491">
        <v>0</v>
      </c>
      <c r="P711" s="2491">
        <v>0</v>
      </c>
      <c r="Q711" s="2161">
        <f t="shared" si="291"/>
        <v>0</v>
      </c>
      <c r="R711" s="1891">
        <f t="shared" si="292"/>
        <v>0</v>
      </c>
      <c r="S711" s="1891">
        <v>0</v>
      </c>
    </row>
    <row r="712" spans="1:19" s="2070" customFormat="1">
      <c r="A712" s="2593"/>
      <c r="B712" s="2214" t="s">
        <v>50</v>
      </c>
      <c r="C712" s="200" t="s">
        <v>85</v>
      </c>
      <c r="D712" s="1964">
        <f>TARGET!D707</f>
        <v>0</v>
      </c>
      <c r="E712" s="2491">
        <v>0</v>
      </c>
      <c r="F712" s="2491">
        <v>0</v>
      </c>
      <c r="G712" s="2491">
        <v>0</v>
      </c>
      <c r="H712" s="2491">
        <v>0</v>
      </c>
      <c r="I712" s="2491">
        <v>0</v>
      </c>
      <c r="J712" s="2491">
        <v>0</v>
      </c>
      <c r="K712" s="2491">
        <v>0</v>
      </c>
      <c r="L712" s="2491">
        <v>0</v>
      </c>
      <c r="M712" s="2491">
        <v>0</v>
      </c>
      <c r="N712" s="2491">
        <v>0</v>
      </c>
      <c r="O712" s="2491">
        <v>0</v>
      </c>
      <c r="P712" s="2491">
        <v>0</v>
      </c>
      <c r="Q712" s="2161">
        <f t="shared" si="291"/>
        <v>0</v>
      </c>
      <c r="R712" s="1891">
        <f t="shared" si="292"/>
        <v>0</v>
      </c>
      <c r="S712" s="1891">
        <v>0</v>
      </c>
    </row>
    <row r="713" spans="1:19" s="2070" customFormat="1" ht="5.35" customHeight="1">
      <c r="A713" s="2641"/>
      <c r="B713" s="2117"/>
      <c r="C713" s="2117"/>
      <c r="D713" s="2310"/>
      <c r="E713" s="2310"/>
      <c r="F713" s="2310"/>
      <c r="G713" s="2310"/>
      <c r="H713" s="2310"/>
      <c r="I713" s="2310"/>
      <c r="J713" s="2310"/>
      <c r="K713" s="2310"/>
      <c r="L713" s="2310"/>
      <c r="M713" s="2310"/>
      <c r="N713" s="2310"/>
      <c r="O713" s="2310"/>
      <c r="P713" s="2310"/>
      <c r="Q713" s="2311"/>
      <c r="R713" s="2311"/>
      <c r="S713" s="2311"/>
    </row>
    <row r="714" spans="1:19" s="2070" customFormat="1" ht="15.65">
      <c r="A714" s="2528" t="s">
        <v>396</v>
      </c>
      <c r="B714" s="2492" t="s">
        <v>397</v>
      </c>
      <c r="C714" s="2195"/>
      <c r="D714" s="2306">
        <f t="shared" ref="D714:P714" si="294">SUM(D716)</f>
        <v>0</v>
      </c>
      <c r="E714" s="2306">
        <f t="shared" si="294"/>
        <v>0</v>
      </c>
      <c r="F714" s="2306">
        <f t="shared" si="294"/>
        <v>0</v>
      </c>
      <c r="G714" s="2306">
        <f t="shared" si="294"/>
        <v>0</v>
      </c>
      <c r="H714" s="2306">
        <f t="shared" si="294"/>
        <v>0</v>
      </c>
      <c r="I714" s="2306">
        <f t="shared" si="294"/>
        <v>0</v>
      </c>
      <c r="J714" s="2306">
        <f t="shared" si="294"/>
        <v>0</v>
      </c>
      <c r="K714" s="2306">
        <f t="shared" si="294"/>
        <v>0</v>
      </c>
      <c r="L714" s="2306">
        <f t="shared" si="294"/>
        <v>0</v>
      </c>
      <c r="M714" s="2306">
        <f t="shared" si="294"/>
        <v>0</v>
      </c>
      <c r="N714" s="2306">
        <f t="shared" si="294"/>
        <v>0</v>
      </c>
      <c r="O714" s="2306">
        <f t="shared" si="294"/>
        <v>0</v>
      </c>
      <c r="P714" s="2306">
        <f t="shared" si="294"/>
        <v>0</v>
      </c>
      <c r="Q714" s="2489">
        <f>SUM(E714:P714)</f>
        <v>0</v>
      </c>
      <c r="R714" s="2147">
        <f>Q714-D714</f>
        <v>0</v>
      </c>
      <c r="S714" s="2147">
        <v>0</v>
      </c>
    </row>
    <row r="715" spans="1:19" s="2070" customFormat="1" ht="4.55" customHeight="1">
      <c r="A715" s="2640"/>
      <c r="B715" s="2438"/>
      <c r="C715" s="2438"/>
      <c r="D715" s="2439"/>
      <c r="E715" s="2439"/>
      <c r="F715" s="2439"/>
      <c r="G715" s="2439"/>
      <c r="H715" s="2439"/>
      <c r="I715" s="2439"/>
      <c r="J715" s="2439"/>
      <c r="K715" s="2439"/>
      <c r="L715" s="2439"/>
      <c r="M715" s="2439"/>
      <c r="N715" s="2439"/>
      <c r="O715" s="2439"/>
      <c r="P715" s="2439"/>
      <c r="Q715" s="2447"/>
      <c r="R715" s="2447"/>
      <c r="S715" s="2447"/>
    </row>
    <row r="716" spans="1:19" s="2070" customFormat="1">
      <c r="A716" s="2593"/>
      <c r="B716" s="202" t="s">
        <v>71</v>
      </c>
      <c r="C716" s="202"/>
      <c r="D716" s="2307">
        <f t="shared" ref="D716:P716" si="295">SUM(D717:D721)</f>
        <v>0</v>
      </c>
      <c r="E716" s="2307">
        <f t="shared" si="295"/>
        <v>0</v>
      </c>
      <c r="F716" s="2307">
        <f t="shared" si="295"/>
        <v>0</v>
      </c>
      <c r="G716" s="2307">
        <f t="shared" si="295"/>
        <v>0</v>
      </c>
      <c r="H716" s="2307">
        <f t="shared" si="295"/>
        <v>0</v>
      </c>
      <c r="I716" s="2307">
        <f t="shared" si="295"/>
        <v>0</v>
      </c>
      <c r="J716" s="2307">
        <f t="shared" si="295"/>
        <v>0</v>
      </c>
      <c r="K716" s="2307">
        <f t="shared" si="295"/>
        <v>0</v>
      </c>
      <c r="L716" s="2307">
        <f t="shared" si="295"/>
        <v>0</v>
      </c>
      <c r="M716" s="2307">
        <f t="shared" si="295"/>
        <v>0</v>
      </c>
      <c r="N716" s="2307">
        <f t="shared" si="295"/>
        <v>0</v>
      </c>
      <c r="O716" s="2307">
        <f t="shared" si="295"/>
        <v>0</v>
      </c>
      <c r="P716" s="2307">
        <f t="shared" si="295"/>
        <v>0</v>
      </c>
      <c r="Q716" s="2161">
        <f t="shared" ref="Q716:Q721" si="296">SUM(E716:P716)</f>
        <v>0</v>
      </c>
      <c r="R716" s="1891">
        <f t="shared" ref="R716:R721" si="297">Q716-D716</f>
        <v>0</v>
      </c>
      <c r="S716" s="1891">
        <v>0</v>
      </c>
    </row>
    <row r="717" spans="1:19" s="2070" customFormat="1">
      <c r="A717" s="2594"/>
      <c r="B717" s="257" t="s">
        <v>50</v>
      </c>
      <c r="C717" s="200" t="s">
        <v>72</v>
      </c>
      <c r="D717" s="1964">
        <f>TARGET!D712</f>
        <v>0</v>
      </c>
      <c r="E717" s="2491">
        <v>0</v>
      </c>
      <c r="F717" s="2491">
        <v>0</v>
      </c>
      <c r="G717" s="2491">
        <v>0</v>
      </c>
      <c r="H717" s="2491">
        <v>0</v>
      </c>
      <c r="I717" s="2491">
        <v>0</v>
      </c>
      <c r="J717" s="2491">
        <v>0</v>
      </c>
      <c r="K717" s="2491">
        <v>0</v>
      </c>
      <c r="L717" s="2491">
        <v>0</v>
      </c>
      <c r="M717" s="2491">
        <v>0</v>
      </c>
      <c r="N717" s="2491">
        <v>0</v>
      </c>
      <c r="O717" s="2491">
        <v>0</v>
      </c>
      <c r="P717" s="2491">
        <v>0</v>
      </c>
      <c r="Q717" s="2161">
        <f t="shared" si="296"/>
        <v>0</v>
      </c>
      <c r="R717" s="1891">
        <f t="shared" si="297"/>
        <v>0</v>
      </c>
      <c r="S717" s="1891">
        <v>0</v>
      </c>
    </row>
    <row r="718" spans="1:19" s="2070" customFormat="1">
      <c r="A718" s="2594"/>
      <c r="B718" s="257" t="s">
        <v>50</v>
      </c>
      <c r="C718" s="200" t="s">
        <v>73</v>
      </c>
      <c r="D718" s="1964">
        <f>TARGET!D713</f>
        <v>0</v>
      </c>
      <c r="E718" s="2491">
        <v>0</v>
      </c>
      <c r="F718" s="2491">
        <v>0</v>
      </c>
      <c r="G718" s="2491">
        <v>0</v>
      </c>
      <c r="H718" s="2491">
        <v>0</v>
      </c>
      <c r="I718" s="2491">
        <v>0</v>
      </c>
      <c r="J718" s="2491">
        <v>0</v>
      </c>
      <c r="K718" s="2491">
        <v>0</v>
      </c>
      <c r="L718" s="2491">
        <v>0</v>
      </c>
      <c r="M718" s="2491">
        <v>0</v>
      </c>
      <c r="N718" s="2491">
        <v>0</v>
      </c>
      <c r="O718" s="2491">
        <v>0</v>
      </c>
      <c r="P718" s="2491">
        <v>0</v>
      </c>
      <c r="Q718" s="2161">
        <f t="shared" si="296"/>
        <v>0</v>
      </c>
      <c r="R718" s="1891">
        <f t="shared" si="297"/>
        <v>0</v>
      </c>
      <c r="S718" s="1891">
        <v>0</v>
      </c>
    </row>
    <row r="719" spans="1:19" s="2070" customFormat="1">
      <c r="A719" s="2594"/>
      <c r="B719" s="257" t="s">
        <v>50</v>
      </c>
      <c r="C719" s="200" t="s">
        <v>74</v>
      </c>
      <c r="D719" s="1964">
        <f>TARGET!D714</f>
        <v>0</v>
      </c>
      <c r="E719" s="2491">
        <v>0</v>
      </c>
      <c r="F719" s="2491">
        <v>0</v>
      </c>
      <c r="G719" s="2491">
        <v>0</v>
      </c>
      <c r="H719" s="2491">
        <v>0</v>
      </c>
      <c r="I719" s="2491">
        <v>0</v>
      </c>
      <c r="J719" s="2491">
        <v>0</v>
      </c>
      <c r="K719" s="2491">
        <v>0</v>
      </c>
      <c r="L719" s="2491">
        <v>0</v>
      </c>
      <c r="M719" s="2491">
        <v>0</v>
      </c>
      <c r="N719" s="2491">
        <v>0</v>
      </c>
      <c r="O719" s="2491">
        <v>0</v>
      </c>
      <c r="P719" s="2491">
        <v>0</v>
      </c>
      <c r="Q719" s="2161">
        <f t="shared" si="296"/>
        <v>0</v>
      </c>
      <c r="R719" s="1891">
        <f t="shared" si="297"/>
        <v>0</v>
      </c>
      <c r="S719" s="1891">
        <v>0</v>
      </c>
    </row>
    <row r="720" spans="1:19" s="2070" customFormat="1">
      <c r="A720" s="2594"/>
      <c r="B720" s="257" t="s">
        <v>50</v>
      </c>
      <c r="C720" s="200" t="s">
        <v>75</v>
      </c>
      <c r="D720" s="1964">
        <f>TARGET!D715</f>
        <v>0</v>
      </c>
      <c r="E720" s="2491">
        <v>0</v>
      </c>
      <c r="F720" s="2491">
        <v>0</v>
      </c>
      <c r="G720" s="2491">
        <v>0</v>
      </c>
      <c r="H720" s="2491">
        <v>0</v>
      </c>
      <c r="I720" s="2491">
        <v>0</v>
      </c>
      <c r="J720" s="2491">
        <v>0</v>
      </c>
      <c r="K720" s="2491">
        <v>0</v>
      </c>
      <c r="L720" s="2491">
        <v>0</v>
      </c>
      <c r="M720" s="2491">
        <v>0</v>
      </c>
      <c r="N720" s="2491">
        <v>0</v>
      </c>
      <c r="O720" s="2491">
        <v>0</v>
      </c>
      <c r="P720" s="2491">
        <v>0</v>
      </c>
      <c r="Q720" s="2161">
        <f t="shared" si="296"/>
        <v>0</v>
      </c>
      <c r="R720" s="1891">
        <f t="shared" si="297"/>
        <v>0</v>
      </c>
      <c r="S720" s="1891">
        <v>0</v>
      </c>
    </row>
    <row r="721" spans="1:19" s="2070" customFormat="1">
      <c r="A721" s="2642"/>
      <c r="B721" s="2214" t="s">
        <v>50</v>
      </c>
      <c r="C721" s="200" t="s">
        <v>85</v>
      </c>
      <c r="D721" s="1964">
        <f>TARGET!D716</f>
        <v>0</v>
      </c>
      <c r="E721" s="2643"/>
      <c r="F721" s="2643"/>
      <c r="G721" s="2643"/>
      <c r="H721" s="2643"/>
      <c r="I721" s="2643"/>
      <c r="J721" s="2643"/>
      <c r="K721" s="2643"/>
      <c r="L721" s="2643"/>
      <c r="M721" s="2643"/>
      <c r="N721" s="2643"/>
      <c r="O721" s="2643"/>
      <c r="P721" s="2643"/>
      <c r="Q721" s="2161">
        <f t="shared" si="296"/>
        <v>0</v>
      </c>
      <c r="R721" s="1891">
        <f t="shared" si="297"/>
        <v>0</v>
      </c>
      <c r="S721" s="1891">
        <v>0</v>
      </c>
    </row>
    <row r="722" spans="1:19" s="2070" customFormat="1" ht="5.95" customHeight="1">
      <c r="A722" s="2644"/>
      <c r="B722" s="257"/>
      <c r="C722" s="257"/>
      <c r="D722" s="2494"/>
      <c r="E722" s="2494"/>
      <c r="F722" s="2494"/>
      <c r="G722" s="2494"/>
      <c r="H722" s="2494"/>
      <c r="I722" s="2494"/>
      <c r="J722" s="2494"/>
      <c r="K722" s="2494"/>
      <c r="L722" s="2494"/>
      <c r="M722" s="2494"/>
      <c r="N722" s="2494"/>
      <c r="O722" s="2494"/>
      <c r="P722" s="2494"/>
      <c r="Q722" s="2496"/>
      <c r="R722" s="2496"/>
      <c r="S722" s="2496"/>
    </row>
    <row r="723" spans="1:19" s="2073" customFormat="1" ht="15.65">
      <c r="A723" s="2528" t="s">
        <v>398</v>
      </c>
      <c r="B723" s="2093" t="s">
        <v>399</v>
      </c>
      <c r="C723" s="2195"/>
      <c r="D723" s="2306">
        <f t="shared" ref="D723:P723" si="298">SUM(D725)</f>
        <v>0</v>
      </c>
      <c r="E723" s="2306">
        <f t="shared" si="298"/>
        <v>0</v>
      </c>
      <c r="F723" s="2306">
        <f t="shared" si="298"/>
        <v>0</v>
      </c>
      <c r="G723" s="2306">
        <f t="shared" si="298"/>
        <v>0</v>
      </c>
      <c r="H723" s="2306">
        <f t="shared" si="298"/>
        <v>0</v>
      </c>
      <c r="I723" s="2306">
        <f t="shared" si="298"/>
        <v>0</v>
      </c>
      <c r="J723" s="2306">
        <f t="shared" si="298"/>
        <v>0</v>
      </c>
      <c r="K723" s="2306">
        <f t="shared" si="298"/>
        <v>0</v>
      </c>
      <c r="L723" s="2306">
        <f t="shared" si="298"/>
        <v>0</v>
      </c>
      <c r="M723" s="2306">
        <f t="shared" si="298"/>
        <v>0</v>
      </c>
      <c r="N723" s="2306">
        <f t="shared" si="298"/>
        <v>0</v>
      </c>
      <c r="O723" s="2306">
        <f t="shared" si="298"/>
        <v>0</v>
      </c>
      <c r="P723" s="2306">
        <f t="shared" si="298"/>
        <v>0</v>
      </c>
      <c r="Q723" s="2489">
        <f>SUM(E723:P723)</f>
        <v>0</v>
      </c>
      <c r="R723" s="2147">
        <f>Q723-D723</f>
        <v>0</v>
      </c>
      <c r="S723" s="2147">
        <v>0</v>
      </c>
    </row>
    <row r="724" spans="1:19" s="2070" customFormat="1" ht="5.95" customHeight="1">
      <c r="A724" s="2640"/>
      <c r="B724" s="2438"/>
      <c r="C724" s="2438"/>
      <c r="D724" s="2439"/>
      <c r="E724" s="2439"/>
      <c r="F724" s="2439"/>
      <c r="G724" s="2439"/>
      <c r="H724" s="2439"/>
      <c r="I724" s="2439"/>
      <c r="J724" s="2439"/>
      <c r="K724" s="2439"/>
      <c r="L724" s="2439"/>
      <c r="M724" s="2439"/>
      <c r="N724" s="2439"/>
      <c r="O724" s="2439"/>
      <c r="P724" s="2439"/>
      <c r="Q724" s="2447"/>
      <c r="R724" s="2447"/>
      <c r="S724" s="2447"/>
    </row>
    <row r="725" spans="1:19" s="2070" customFormat="1">
      <c r="A725" s="2593"/>
      <c r="B725" s="202" t="s">
        <v>71</v>
      </c>
      <c r="C725" s="202"/>
      <c r="D725" s="2307">
        <f t="shared" ref="D725:P725" si="299">SUM(D726:D730)</f>
        <v>0</v>
      </c>
      <c r="E725" s="2307">
        <f t="shared" si="299"/>
        <v>0</v>
      </c>
      <c r="F725" s="2307">
        <f t="shared" si="299"/>
        <v>0</v>
      </c>
      <c r="G725" s="2307">
        <f t="shared" si="299"/>
        <v>0</v>
      </c>
      <c r="H725" s="2307">
        <f t="shared" si="299"/>
        <v>0</v>
      </c>
      <c r="I725" s="2307">
        <f t="shared" si="299"/>
        <v>0</v>
      </c>
      <c r="J725" s="2307">
        <f t="shared" si="299"/>
        <v>0</v>
      </c>
      <c r="K725" s="2307">
        <f t="shared" si="299"/>
        <v>0</v>
      </c>
      <c r="L725" s="2307">
        <f t="shared" si="299"/>
        <v>0</v>
      </c>
      <c r="M725" s="2307">
        <f t="shared" si="299"/>
        <v>0</v>
      </c>
      <c r="N725" s="2307">
        <f t="shared" si="299"/>
        <v>0</v>
      </c>
      <c r="O725" s="2307">
        <f t="shared" si="299"/>
        <v>0</v>
      </c>
      <c r="P725" s="2307">
        <f t="shared" si="299"/>
        <v>0</v>
      </c>
      <c r="Q725" s="2161">
        <f t="shared" ref="Q725:Q730" si="300">SUM(E725:P725)</f>
        <v>0</v>
      </c>
      <c r="R725" s="1891">
        <f t="shared" ref="R725:R730" si="301">Q725-D725</f>
        <v>0</v>
      </c>
      <c r="S725" s="1891">
        <v>0</v>
      </c>
    </row>
    <row r="726" spans="1:19" s="2070" customFormat="1">
      <c r="A726" s="2594"/>
      <c r="B726" s="257" t="s">
        <v>50</v>
      </c>
      <c r="C726" s="200" t="s">
        <v>72</v>
      </c>
      <c r="D726" s="1964">
        <f>TARGET!D721</f>
        <v>0</v>
      </c>
      <c r="E726" s="2491">
        <v>0</v>
      </c>
      <c r="F726" s="2491">
        <v>0</v>
      </c>
      <c r="G726" s="2491">
        <v>0</v>
      </c>
      <c r="H726" s="2491">
        <v>0</v>
      </c>
      <c r="I726" s="2491">
        <v>0</v>
      </c>
      <c r="J726" s="2491">
        <v>0</v>
      </c>
      <c r="K726" s="2491">
        <v>0</v>
      </c>
      <c r="L726" s="2491">
        <v>0</v>
      </c>
      <c r="M726" s="2491">
        <v>0</v>
      </c>
      <c r="N726" s="2491">
        <v>0</v>
      </c>
      <c r="O726" s="2491">
        <v>0</v>
      </c>
      <c r="P726" s="2491">
        <v>0</v>
      </c>
      <c r="Q726" s="2161">
        <f t="shared" si="300"/>
        <v>0</v>
      </c>
      <c r="R726" s="1891">
        <f t="shared" si="301"/>
        <v>0</v>
      </c>
      <c r="S726" s="1891">
        <v>0</v>
      </c>
    </row>
    <row r="727" spans="1:19" s="2070" customFormat="1">
      <c r="A727" s="2594"/>
      <c r="B727" s="257" t="s">
        <v>50</v>
      </c>
      <c r="C727" s="200" t="s">
        <v>73</v>
      </c>
      <c r="D727" s="1964">
        <f>TARGET!D722</f>
        <v>0</v>
      </c>
      <c r="E727" s="2491">
        <v>0</v>
      </c>
      <c r="F727" s="2491">
        <v>0</v>
      </c>
      <c r="G727" s="2491">
        <v>0</v>
      </c>
      <c r="H727" s="2491">
        <v>0</v>
      </c>
      <c r="I727" s="2491">
        <v>0</v>
      </c>
      <c r="J727" s="2491">
        <v>0</v>
      </c>
      <c r="K727" s="2491">
        <v>0</v>
      </c>
      <c r="L727" s="2491">
        <v>0</v>
      </c>
      <c r="M727" s="2491">
        <v>0</v>
      </c>
      <c r="N727" s="2491">
        <v>0</v>
      </c>
      <c r="O727" s="2491">
        <v>0</v>
      </c>
      <c r="P727" s="2491">
        <v>0</v>
      </c>
      <c r="Q727" s="2161">
        <f t="shared" si="300"/>
        <v>0</v>
      </c>
      <c r="R727" s="1891">
        <f t="shared" si="301"/>
        <v>0</v>
      </c>
      <c r="S727" s="1891">
        <v>0</v>
      </c>
    </row>
    <row r="728" spans="1:19" s="2070" customFormat="1">
      <c r="A728" s="2594"/>
      <c r="B728" s="257" t="s">
        <v>50</v>
      </c>
      <c r="C728" s="200" t="s">
        <v>74</v>
      </c>
      <c r="D728" s="1964">
        <f>TARGET!D723</f>
        <v>0</v>
      </c>
      <c r="E728" s="2491">
        <v>0</v>
      </c>
      <c r="F728" s="2491">
        <v>0</v>
      </c>
      <c r="G728" s="2491">
        <v>0</v>
      </c>
      <c r="H728" s="2491">
        <v>0</v>
      </c>
      <c r="I728" s="2491">
        <v>0</v>
      </c>
      <c r="J728" s="2491">
        <v>0</v>
      </c>
      <c r="K728" s="2491">
        <v>0</v>
      </c>
      <c r="L728" s="2491">
        <v>0</v>
      </c>
      <c r="M728" s="2491">
        <v>0</v>
      </c>
      <c r="N728" s="2491">
        <v>0</v>
      </c>
      <c r="O728" s="2491">
        <v>0</v>
      </c>
      <c r="P728" s="2491">
        <v>0</v>
      </c>
      <c r="Q728" s="2161">
        <f t="shared" si="300"/>
        <v>0</v>
      </c>
      <c r="R728" s="1891">
        <f t="shared" si="301"/>
        <v>0</v>
      </c>
      <c r="S728" s="1891">
        <v>0</v>
      </c>
    </row>
    <row r="729" spans="1:19" s="2070" customFormat="1">
      <c r="A729" s="2594"/>
      <c r="B729" s="257" t="s">
        <v>50</v>
      </c>
      <c r="C729" s="200" t="s">
        <v>75</v>
      </c>
      <c r="D729" s="1964">
        <f>TARGET!D724</f>
        <v>0</v>
      </c>
      <c r="E729" s="2491">
        <v>0</v>
      </c>
      <c r="F729" s="2491">
        <v>0</v>
      </c>
      <c r="G729" s="2491">
        <v>0</v>
      </c>
      <c r="H729" s="2491">
        <v>0</v>
      </c>
      <c r="I729" s="2491">
        <v>0</v>
      </c>
      <c r="J729" s="2491">
        <v>0</v>
      </c>
      <c r="K729" s="2491">
        <v>0</v>
      </c>
      <c r="L729" s="2491">
        <v>0</v>
      </c>
      <c r="M729" s="2491">
        <v>0</v>
      </c>
      <c r="N729" s="2491">
        <v>0</v>
      </c>
      <c r="O729" s="2491">
        <v>0</v>
      </c>
      <c r="P729" s="2491">
        <v>0</v>
      </c>
      <c r="Q729" s="2161">
        <f t="shared" si="300"/>
        <v>0</v>
      </c>
      <c r="R729" s="1891">
        <f t="shared" si="301"/>
        <v>0</v>
      </c>
      <c r="S729" s="1891">
        <v>0</v>
      </c>
    </row>
    <row r="730" spans="1:19" s="2070" customFormat="1">
      <c r="A730" s="2642"/>
      <c r="B730" s="2214" t="s">
        <v>50</v>
      </c>
      <c r="C730" s="200" t="s">
        <v>85</v>
      </c>
      <c r="D730" s="1964">
        <f>TARGET!D725</f>
        <v>0</v>
      </c>
      <c r="E730" s="2580">
        <v>0</v>
      </c>
      <c r="F730" s="2580">
        <v>0</v>
      </c>
      <c r="G730" s="2580">
        <v>0</v>
      </c>
      <c r="H730" s="2580">
        <v>0</v>
      </c>
      <c r="I730" s="2580">
        <v>0</v>
      </c>
      <c r="J730" s="2580">
        <v>0</v>
      </c>
      <c r="K730" s="2580">
        <v>0</v>
      </c>
      <c r="L730" s="2580">
        <v>0</v>
      </c>
      <c r="M730" s="2580">
        <v>0</v>
      </c>
      <c r="N730" s="2580">
        <v>0</v>
      </c>
      <c r="O730" s="2580">
        <v>0</v>
      </c>
      <c r="P730" s="2580">
        <v>0</v>
      </c>
      <c r="Q730" s="2161">
        <f t="shared" si="300"/>
        <v>0</v>
      </c>
      <c r="R730" s="1891">
        <f t="shared" si="301"/>
        <v>0</v>
      </c>
      <c r="S730" s="1891">
        <v>0</v>
      </c>
    </row>
    <row r="731" spans="1:19" s="2070" customFormat="1" ht="5.35" customHeight="1">
      <c r="A731" s="2644"/>
      <c r="B731" s="257"/>
      <c r="C731" s="257"/>
      <c r="D731" s="2314"/>
      <c r="E731" s="2314"/>
      <c r="F731" s="2314"/>
      <c r="G731" s="2314"/>
      <c r="H731" s="2314"/>
      <c r="I731" s="2314"/>
      <c r="J731" s="2314"/>
      <c r="K731" s="2314"/>
      <c r="L731" s="2314"/>
      <c r="M731" s="2314"/>
      <c r="N731" s="2314"/>
      <c r="O731" s="2314"/>
      <c r="P731" s="2314"/>
      <c r="Q731" s="2315"/>
      <c r="R731" s="2315"/>
      <c r="S731" s="2315"/>
    </row>
    <row r="732" spans="1:19" s="2073" customFormat="1" ht="15.65">
      <c r="A732" s="2528" t="s">
        <v>400</v>
      </c>
      <c r="B732" s="2493" t="s">
        <v>401</v>
      </c>
      <c r="C732" s="2195"/>
      <c r="D732" s="2306">
        <f t="shared" ref="D732:P732" si="302">SUM(D734)</f>
        <v>0</v>
      </c>
      <c r="E732" s="2306">
        <f t="shared" si="302"/>
        <v>0</v>
      </c>
      <c r="F732" s="2306">
        <f t="shared" si="302"/>
        <v>0</v>
      </c>
      <c r="G732" s="2306">
        <f t="shared" si="302"/>
        <v>0</v>
      </c>
      <c r="H732" s="2306">
        <f t="shared" si="302"/>
        <v>0</v>
      </c>
      <c r="I732" s="2306">
        <f t="shared" si="302"/>
        <v>0</v>
      </c>
      <c r="J732" s="2306">
        <f t="shared" si="302"/>
        <v>0</v>
      </c>
      <c r="K732" s="2306">
        <f t="shared" si="302"/>
        <v>0</v>
      </c>
      <c r="L732" s="2306">
        <f t="shared" si="302"/>
        <v>0</v>
      </c>
      <c r="M732" s="2306">
        <f t="shared" si="302"/>
        <v>0</v>
      </c>
      <c r="N732" s="2306">
        <f t="shared" si="302"/>
        <v>0</v>
      </c>
      <c r="O732" s="2306">
        <f t="shared" si="302"/>
        <v>0</v>
      </c>
      <c r="P732" s="2306">
        <f t="shared" si="302"/>
        <v>0</v>
      </c>
      <c r="Q732" s="2489">
        <f>SUM(E732:P732)</f>
        <v>0</v>
      </c>
      <c r="R732" s="2147">
        <f>Q732-D732</f>
        <v>0</v>
      </c>
      <c r="S732" s="2147">
        <v>0</v>
      </c>
    </row>
    <row r="733" spans="1:19" s="2070" customFormat="1" ht="3.8" customHeight="1">
      <c r="A733" s="2593"/>
      <c r="B733" s="224"/>
      <c r="C733" s="200"/>
      <c r="D733" s="2455"/>
      <c r="E733" s="2455"/>
      <c r="F733" s="2455"/>
      <c r="G733" s="2455"/>
      <c r="H733" s="2455"/>
      <c r="I733" s="2455"/>
      <c r="J733" s="2455"/>
      <c r="K733" s="2455"/>
      <c r="L733" s="2455"/>
      <c r="M733" s="2455"/>
      <c r="N733" s="2455"/>
      <c r="O733" s="2455"/>
      <c r="P733" s="2455"/>
      <c r="Q733" s="2307"/>
      <c r="R733" s="2307"/>
      <c r="S733" s="2307"/>
    </row>
    <row r="734" spans="1:19" s="2070" customFormat="1">
      <c r="A734" s="2593"/>
      <c r="B734" s="202" t="s">
        <v>71</v>
      </c>
      <c r="C734" s="202"/>
      <c r="D734" s="2307">
        <f t="shared" ref="D734:P734" si="303">SUM(D735:D739)</f>
        <v>0</v>
      </c>
      <c r="E734" s="2307">
        <f t="shared" si="303"/>
        <v>0</v>
      </c>
      <c r="F734" s="2307">
        <f t="shared" si="303"/>
        <v>0</v>
      </c>
      <c r="G734" s="2307">
        <f t="shared" si="303"/>
        <v>0</v>
      </c>
      <c r="H734" s="2307">
        <f t="shared" si="303"/>
        <v>0</v>
      </c>
      <c r="I734" s="2307">
        <f t="shared" si="303"/>
        <v>0</v>
      </c>
      <c r="J734" s="2307">
        <f t="shared" si="303"/>
        <v>0</v>
      </c>
      <c r="K734" s="2307">
        <f t="shared" si="303"/>
        <v>0</v>
      </c>
      <c r="L734" s="2307">
        <f t="shared" si="303"/>
        <v>0</v>
      </c>
      <c r="M734" s="2307">
        <f t="shared" si="303"/>
        <v>0</v>
      </c>
      <c r="N734" s="2307">
        <f t="shared" si="303"/>
        <v>0</v>
      </c>
      <c r="O734" s="2307">
        <f t="shared" si="303"/>
        <v>0</v>
      </c>
      <c r="P734" s="2307">
        <f t="shared" si="303"/>
        <v>0</v>
      </c>
      <c r="Q734" s="2161">
        <f t="shared" ref="Q734:Q739" si="304">SUM(E734:P734)</f>
        <v>0</v>
      </c>
      <c r="R734" s="1891">
        <f t="shared" ref="R734:R739" si="305">Q734-D734</f>
        <v>0</v>
      </c>
      <c r="S734" s="1891">
        <v>0</v>
      </c>
    </row>
    <row r="735" spans="1:19" s="2070" customFormat="1">
      <c r="A735" s="2594"/>
      <c r="B735" s="257" t="s">
        <v>50</v>
      </c>
      <c r="C735" s="200" t="s">
        <v>72</v>
      </c>
      <c r="D735" s="1964">
        <f>TARGET!D730</f>
        <v>0</v>
      </c>
      <c r="E735" s="2491">
        <v>0</v>
      </c>
      <c r="F735" s="2491">
        <v>0</v>
      </c>
      <c r="G735" s="2491">
        <v>0</v>
      </c>
      <c r="H735" s="2491">
        <v>0</v>
      </c>
      <c r="I735" s="2491">
        <v>0</v>
      </c>
      <c r="J735" s="2491">
        <v>0</v>
      </c>
      <c r="K735" s="2491">
        <v>0</v>
      </c>
      <c r="L735" s="2491">
        <v>0</v>
      </c>
      <c r="M735" s="2491">
        <v>0</v>
      </c>
      <c r="N735" s="2491">
        <v>0</v>
      </c>
      <c r="O735" s="2491">
        <v>0</v>
      </c>
      <c r="P735" s="2491">
        <v>0</v>
      </c>
      <c r="Q735" s="2161">
        <f t="shared" si="304"/>
        <v>0</v>
      </c>
      <c r="R735" s="1891">
        <f t="shared" si="305"/>
        <v>0</v>
      </c>
      <c r="S735" s="1891">
        <v>0</v>
      </c>
    </row>
    <row r="736" spans="1:19" s="2070" customFormat="1">
      <c r="A736" s="2594"/>
      <c r="B736" s="257" t="s">
        <v>50</v>
      </c>
      <c r="C736" s="200" t="s">
        <v>73</v>
      </c>
      <c r="D736" s="1964">
        <f>TARGET!D731</f>
        <v>0</v>
      </c>
      <c r="E736" s="2491">
        <v>0</v>
      </c>
      <c r="F736" s="2491">
        <v>0</v>
      </c>
      <c r="G736" s="2491">
        <v>0</v>
      </c>
      <c r="H736" s="2491">
        <v>0</v>
      </c>
      <c r="I736" s="2491">
        <v>0</v>
      </c>
      <c r="J736" s="2491">
        <v>0</v>
      </c>
      <c r="K736" s="2491">
        <v>0</v>
      </c>
      <c r="L736" s="2491">
        <v>0</v>
      </c>
      <c r="M736" s="2491">
        <v>0</v>
      </c>
      <c r="N736" s="2491">
        <v>0</v>
      </c>
      <c r="O736" s="2491">
        <v>0</v>
      </c>
      <c r="P736" s="2491">
        <v>0</v>
      </c>
      <c r="Q736" s="2161">
        <f t="shared" si="304"/>
        <v>0</v>
      </c>
      <c r="R736" s="1891">
        <f t="shared" si="305"/>
        <v>0</v>
      </c>
      <c r="S736" s="1891">
        <v>0</v>
      </c>
    </row>
    <row r="737" spans="1:19" s="2070" customFormat="1">
      <c r="A737" s="2594"/>
      <c r="B737" s="257" t="s">
        <v>50</v>
      </c>
      <c r="C737" s="200" t="s">
        <v>74</v>
      </c>
      <c r="D737" s="1964">
        <f>TARGET!D732</f>
        <v>0</v>
      </c>
      <c r="E737" s="2491">
        <v>0</v>
      </c>
      <c r="F737" s="2491">
        <v>0</v>
      </c>
      <c r="G737" s="2491">
        <v>0</v>
      </c>
      <c r="H737" s="2491">
        <v>0</v>
      </c>
      <c r="I737" s="2491">
        <v>0</v>
      </c>
      <c r="J737" s="2491">
        <v>0</v>
      </c>
      <c r="K737" s="2491">
        <v>0</v>
      </c>
      <c r="L737" s="2491">
        <v>0</v>
      </c>
      <c r="M737" s="2491">
        <v>0</v>
      </c>
      <c r="N737" s="2491">
        <v>0</v>
      </c>
      <c r="O737" s="2491">
        <v>0</v>
      </c>
      <c r="P737" s="2491">
        <v>0</v>
      </c>
      <c r="Q737" s="2161">
        <f t="shared" si="304"/>
        <v>0</v>
      </c>
      <c r="R737" s="1891">
        <f t="shared" si="305"/>
        <v>0</v>
      </c>
      <c r="S737" s="1891">
        <v>0</v>
      </c>
    </row>
    <row r="738" spans="1:19" s="2070" customFormat="1">
      <c r="A738" s="2594"/>
      <c r="B738" s="257" t="s">
        <v>50</v>
      </c>
      <c r="C738" s="200" t="s">
        <v>75</v>
      </c>
      <c r="D738" s="1964">
        <f>TARGET!D733</f>
        <v>0</v>
      </c>
      <c r="E738" s="2491">
        <v>0</v>
      </c>
      <c r="F738" s="2491">
        <v>0</v>
      </c>
      <c r="G738" s="2491">
        <v>0</v>
      </c>
      <c r="H738" s="2491">
        <v>0</v>
      </c>
      <c r="I738" s="2491">
        <v>0</v>
      </c>
      <c r="J738" s="2491">
        <v>0</v>
      </c>
      <c r="K738" s="2491">
        <v>0</v>
      </c>
      <c r="L738" s="2491">
        <v>0</v>
      </c>
      <c r="M738" s="2491">
        <v>0</v>
      </c>
      <c r="N738" s="2491">
        <v>0</v>
      </c>
      <c r="O738" s="2491">
        <v>0</v>
      </c>
      <c r="P738" s="2491">
        <v>0</v>
      </c>
      <c r="Q738" s="2161">
        <f t="shared" si="304"/>
        <v>0</v>
      </c>
      <c r="R738" s="1891">
        <f t="shared" si="305"/>
        <v>0</v>
      </c>
      <c r="S738" s="1891">
        <v>0</v>
      </c>
    </row>
    <row r="739" spans="1:19" s="2070" customFormat="1">
      <c r="A739" s="2645"/>
      <c r="B739" s="2214" t="s">
        <v>50</v>
      </c>
      <c r="C739" s="200" t="s">
        <v>85</v>
      </c>
      <c r="D739" s="1964">
        <f>TARGET!D734</f>
        <v>0</v>
      </c>
      <c r="E739" s="2636">
        <v>0</v>
      </c>
      <c r="F739" s="2636">
        <v>0</v>
      </c>
      <c r="G739" s="2636">
        <v>0</v>
      </c>
      <c r="H739" s="2636">
        <v>0</v>
      </c>
      <c r="I739" s="2636">
        <v>0</v>
      </c>
      <c r="J739" s="2636">
        <v>0</v>
      </c>
      <c r="K739" s="2636">
        <v>0</v>
      </c>
      <c r="L739" s="2636">
        <v>0</v>
      </c>
      <c r="M739" s="2636">
        <v>0</v>
      </c>
      <c r="N739" s="2636">
        <v>0</v>
      </c>
      <c r="O739" s="2636">
        <v>0</v>
      </c>
      <c r="P739" s="2636">
        <v>0</v>
      </c>
      <c r="Q739" s="2161">
        <f t="shared" si="304"/>
        <v>0</v>
      </c>
      <c r="R739" s="1891">
        <f t="shared" si="305"/>
        <v>0</v>
      </c>
      <c r="S739" s="1891">
        <v>0</v>
      </c>
    </row>
    <row r="740" spans="1:19" s="2070" customFormat="1" ht="5.95" customHeight="1">
      <c r="A740" s="2641"/>
      <c r="B740" s="2117"/>
      <c r="C740" s="2117"/>
      <c r="D740" s="2310"/>
      <c r="E740" s="2310"/>
      <c r="F740" s="2310"/>
      <c r="G740" s="2310"/>
      <c r="H740" s="2310"/>
      <c r="I740" s="2310"/>
      <c r="J740" s="2310"/>
      <c r="K740" s="2310"/>
      <c r="L740" s="2310"/>
      <c r="M740" s="2310"/>
      <c r="N740" s="2310"/>
      <c r="O740" s="2310"/>
      <c r="P740" s="2310"/>
      <c r="Q740" s="2311"/>
      <c r="R740" s="2311"/>
      <c r="S740" s="2311"/>
    </row>
    <row r="741" spans="1:19" s="2073" customFormat="1" ht="15.65">
      <c r="A741" s="2528" t="s">
        <v>402</v>
      </c>
      <c r="B741" s="2093" t="s">
        <v>403</v>
      </c>
      <c r="C741" s="2195"/>
      <c r="D741" s="2306">
        <f t="shared" ref="D741:P741" si="306">SUM(D743)</f>
        <v>0</v>
      </c>
      <c r="E741" s="2306">
        <f t="shared" si="306"/>
        <v>0</v>
      </c>
      <c r="F741" s="2306">
        <f t="shared" si="306"/>
        <v>0</v>
      </c>
      <c r="G741" s="2306">
        <f t="shared" si="306"/>
        <v>0</v>
      </c>
      <c r="H741" s="2306">
        <f t="shared" si="306"/>
        <v>0</v>
      </c>
      <c r="I741" s="2306">
        <f t="shared" si="306"/>
        <v>0</v>
      </c>
      <c r="J741" s="2306">
        <f t="shared" si="306"/>
        <v>0</v>
      </c>
      <c r="K741" s="2306">
        <f t="shared" si="306"/>
        <v>0</v>
      </c>
      <c r="L741" s="2306">
        <f t="shared" si="306"/>
        <v>0</v>
      </c>
      <c r="M741" s="2306">
        <f t="shared" si="306"/>
        <v>0</v>
      </c>
      <c r="N741" s="2306">
        <f t="shared" si="306"/>
        <v>0</v>
      </c>
      <c r="O741" s="2306">
        <f t="shared" si="306"/>
        <v>0</v>
      </c>
      <c r="P741" s="2306">
        <f t="shared" si="306"/>
        <v>0</v>
      </c>
      <c r="Q741" s="2489">
        <f>SUM(E741:P741)</f>
        <v>0</v>
      </c>
      <c r="R741" s="2147">
        <f>Q741-D741</f>
        <v>0</v>
      </c>
      <c r="S741" s="2147">
        <v>0</v>
      </c>
    </row>
    <row r="742" spans="1:19" s="2070" customFormat="1" ht="5.35" customHeight="1">
      <c r="A742" s="2640"/>
      <c r="B742" s="2438"/>
      <c r="C742" s="2438"/>
      <c r="D742" s="2439"/>
      <c r="E742" s="2439"/>
      <c r="F742" s="2439"/>
      <c r="G742" s="2439"/>
      <c r="H742" s="2439"/>
      <c r="I742" s="2439"/>
      <c r="J742" s="2439"/>
      <c r="K742" s="2439"/>
      <c r="L742" s="2439"/>
      <c r="M742" s="2439"/>
      <c r="N742" s="2439"/>
      <c r="O742" s="2439"/>
      <c r="P742" s="2439"/>
      <c r="Q742" s="2447"/>
      <c r="R742" s="2447"/>
      <c r="S742" s="2447"/>
    </row>
    <row r="743" spans="1:19" s="2070" customFormat="1">
      <c r="A743" s="2593"/>
      <c r="B743" s="202" t="s">
        <v>71</v>
      </c>
      <c r="C743" s="202"/>
      <c r="D743" s="2307">
        <f t="shared" ref="D743:P743" si="307">SUM(D744:D748)</f>
        <v>0</v>
      </c>
      <c r="E743" s="2307">
        <f t="shared" si="307"/>
        <v>0</v>
      </c>
      <c r="F743" s="2307">
        <f t="shared" si="307"/>
        <v>0</v>
      </c>
      <c r="G743" s="2307">
        <f t="shared" si="307"/>
        <v>0</v>
      </c>
      <c r="H743" s="2307">
        <f t="shared" si="307"/>
        <v>0</v>
      </c>
      <c r="I743" s="2307">
        <f t="shared" si="307"/>
        <v>0</v>
      </c>
      <c r="J743" s="2307">
        <f t="shared" si="307"/>
        <v>0</v>
      </c>
      <c r="K743" s="2307">
        <f t="shared" si="307"/>
        <v>0</v>
      </c>
      <c r="L743" s="2307">
        <f t="shared" si="307"/>
        <v>0</v>
      </c>
      <c r="M743" s="2307">
        <f t="shared" si="307"/>
        <v>0</v>
      </c>
      <c r="N743" s="2307">
        <f t="shared" si="307"/>
        <v>0</v>
      </c>
      <c r="O743" s="2307">
        <f t="shared" si="307"/>
        <v>0</v>
      </c>
      <c r="P743" s="2307">
        <f t="shared" si="307"/>
        <v>0</v>
      </c>
      <c r="Q743" s="2161">
        <f t="shared" ref="Q743:Q748" si="308">SUM(E743:P743)</f>
        <v>0</v>
      </c>
      <c r="R743" s="1891">
        <f t="shared" ref="R743:R748" si="309">Q743-D743</f>
        <v>0</v>
      </c>
      <c r="S743" s="1891">
        <v>0</v>
      </c>
    </row>
    <row r="744" spans="1:19" s="2070" customFormat="1">
      <c r="A744" s="2594"/>
      <c r="B744" s="257" t="s">
        <v>50</v>
      </c>
      <c r="C744" s="200" t="s">
        <v>72</v>
      </c>
      <c r="D744" s="1964">
        <f>TARGET!D739</f>
        <v>0</v>
      </c>
      <c r="E744" s="2491">
        <v>0</v>
      </c>
      <c r="F744" s="2491">
        <v>0</v>
      </c>
      <c r="G744" s="2491">
        <v>0</v>
      </c>
      <c r="H744" s="2491">
        <v>0</v>
      </c>
      <c r="I744" s="2491">
        <v>0</v>
      </c>
      <c r="J744" s="2491">
        <v>0</v>
      </c>
      <c r="K744" s="2491">
        <v>0</v>
      </c>
      <c r="L744" s="2491">
        <v>0</v>
      </c>
      <c r="M744" s="2491">
        <v>0</v>
      </c>
      <c r="N744" s="2491">
        <v>0</v>
      </c>
      <c r="O744" s="2491">
        <v>0</v>
      </c>
      <c r="P744" s="2491">
        <v>0</v>
      </c>
      <c r="Q744" s="2161">
        <f t="shared" si="308"/>
        <v>0</v>
      </c>
      <c r="R744" s="1891">
        <f t="shared" si="309"/>
        <v>0</v>
      </c>
      <c r="S744" s="1891">
        <v>0</v>
      </c>
    </row>
    <row r="745" spans="1:19" s="2070" customFormat="1">
      <c r="A745" s="2594"/>
      <c r="B745" s="257" t="s">
        <v>50</v>
      </c>
      <c r="C745" s="200" t="s">
        <v>73</v>
      </c>
      <c r="D745" s="1964">
        <f>TARGET!D740</f>
        <v>0</v>
      </c>
      <c r="E745" s="2491">
        <v>0</v>
      </c>
      <c r="F745" s="2491">
        <v>0</v>
      </c>
      <c r="G745" s="2491">
        <v>0</v>
      </c>
      <c r="H745" s="2491">
        <v>0</v>
      </c>
      <c r="I745" s="2491">
        <v>0</v>
      </c>
      <c r="J745" s="2491">
        <v>0</v>
      </c>
      <c r="K745" s="2491">
        <v>0</v>
      </c>
      <c r="L745" s="2491">
        <v>0</v>
      </c>
      <c r="M745" s="2491">
        <v>0</v>
      </c>
      <c r="N745" s="2491">
        <v>0</v>
      </c>
      <c r="O745" s="2491">
        <v>0</v>
      </c>
      <c r="P745" s="2491">
        <v>0</v>
      </c>
      <c r="Q745" s="2161">
        <f t="shared" si="308"/>
        <v>0</v>
      </c>
      <c r="R745" s="1891">
        <f t="shared" si="309"/>
        <v>0</v>
      </c>
      <c r="S745" s="1891">
        <v>0</v>
      </c>
    </row>
    <row r="746" spans="1:19" s="2070" customFormat="1">
      <c r="A746" s="2594"/>
      <c r="B746" s="257" t="s">
        <v>50</v>
      </c>
      <c r="C746" s="200" t="s">
        <v>74</v>
      </c>
      <c r="D746" s="1964">
        <f>TARGET!D741</f>
        <v>0</v>
      </c>
      <c r="E746" s="2491">
        <v>0</v>
      </c>
      <c r="F746" s="2491">
        <v>0</v>
      </c>
      <c r="G746" s="2491">
        <v>0</v>
      </c>
      <c r="H746" s="2491">
        <v>0</v>
      </c>
      <c r="I746" s="2491">
        <v>0</v>
      </c>
      <c r="J746" s="2491">
        <v>0</v>
      </c>
      <c r="K746" s="2491">
        <v>0</v>
      </c>
      <c r="L746" s="2491">
        <v>0</v>
      </c>
      <c r="M746" s="2491">
        <v>0</v>
      </c>
      <c r="N746" s="2491">
        <v>0</v>
      </c>
      <c r="O746" s="2491">
        <v>0</v>
      </c>
      <c r="P746" s="2491">
        <v>0</v>
      </c>
      <c r="Q746" s="2161">
        <f t="shared" si="308"/>
        <v>0</v>
      </c>
      <c r="R746" s="1891">
        <f t="shared" si="309"/>
        <v>0</v>
      </c>
      <c r="S746" s="1891">
        <v>0</v>
      </c>
    </row>
    <row r="747" spans="1:19" s="2070" customFormat="1">
      <c r="A747" s="2594"/>
      <c r="B747" s="257" t="s">
        <v>50</v>
      </c>
      <c r="C747" s="200" t="s">
        <v>75</v>
      </c>
      <c r="D747" s="1964">
        <f>TARGET!D742</f>
        <v>0</v>
      </c>
      <c r="E747" s="2491">
        <v>0</v>
      </c>
      <c r="F747" s="2491">
        <v>0</v>
      </c>
      <c r="G747" s="2491">
        <v>0</v>
      </c>
      <c r="H747" s="2491">
        <v>0</v>
      </c>
      <c r="I747" s="2491">
        <v>0</v>
      </c>
      <c r="J747" s="2491">
        <v>0</v>
      </c>
      <c r="K747" s="2491">
        <v>0</v>
      </c>
      <c r="L747" s="2491">
        <v>0</v>
      </c>
      <c r="M747" s="2491">
        <v>0</v>
      </c>
      <c r="N747" s="2491">
        <v>0</v>
      </c>
      <c r="O747" s="2491">
        <v>0</v>
      </c>
      <c r="P747" s="2491">
        <v>0</v>
      </c>
      <c r="Q747" s="2161">
        <f t="shared" si="308"/>
        <v>0</v>
      </c>
      <c r="R747" s="1891">
        <f t="shared" si="309"/>
        <v>0</v>
      </c>
      <c r="S747" s="1891">
        <v>0</v>
      </c>
    </row>
    <row r="748" spans="1:19" s="2070" customFormat="1">
      <c r="A748" s="2645"/>
      <c r="B748" s="2214" t="s">
        <v>50</v>
      </c>
      <c r="C748" s="200" t="s">
        <v>85</v>
      </c>
      <c r="D748" s="1964">
        <f>TARGET!D743</f>
        <v>0</v>
      </c>
      <c r="E748" s="2636">
        <v>0</v>
      </c>
      <c r="F748" s="2636">
        <v>0</v>
      </c>
      <c r="G748" s="2636">
        <v>0</v>
      </c>
      <c r="H748" s="2636">
        <v>0</v>
      </c>
      <c r="I748" s="2636">
        <v>0</v>
      </c>
      <c r="J748" s="2636">
        <v>0</v>
      </c>
      <c r="K748" s="2636">
        <v>0</v>
      </c>
      <c r="L748" s="2636">
        <v>0</v>
      </c>
      <c r="M748" s="2636">
        <v>0</v>
      </c>
      <c r="N748" s="2636">
        <v>0</v>
      </c>
      <c r="O748" s="2636">
        <v>0</v>
      </c>
      <c r="P748" s="2636">
        <v>0</v>
      </c>
      <c r="Q748" s="2161">
        <f t="shared" si="308"/>
        <v>0</v>
      </c>
      <c r="R748" s="1891">
        <f t="shared" si="309"/>
        <v>0</v>
      </c>
      <c r="S748" s="1891">
        <v>0</v>
      </c>
    </row>
    <row r="749" spans="1:19" s="2070" customFormat="1" ht="5.95" customHeight="1">
      <c r="A749" s="2641"/>
      <c r="B749" s="2117"/>
      <c r="C749" s="2117"/>
      <c r="D749" s="2310"/>
      <c r="E749" s="2310"/>
      <c r="F749" s="2310"/>
      <c r="G749" s="2310"/>
      <c r="H749" s="2310"/>
      <c r="I749" s="2310"/>
      <c r="J749" s="2310"/>
      <c r="K749" s="2310"/>
      <c r="L749" s="2310"/>
      <c r="M749" s="2310"/>
      <c r="N749" s="2310"/>
      <c r="O749" s="2310"/>
      <c r="P749" s="2310"/>
      <c r="Q749" s="2311"/>
      <c r="R749" s="2311"/>
      <c r="S749" s="2311"/>
    </row>
    <row r="750" spans="1:19" s="2070" customFormat="1" ht="15.05">
      <c r="A750" s="2595" t="s">
        <v>404</v>
      </c>
      <c r="B750" s="2313" t="s">
        <v>405</v>
      </c>
      <c r="C750" s="2313"/>
      <c r="D750" s="2489">
        <f t="shared" ref="D750:P750" si="310">SUM(D752)</f>
        <v>0</v>
      </c>
      <c r="E750" s="2489">
        <f t="shared" si="310"/>
        <v>0</v>
      </c>
      <c r="F750" s="2489">
        <f t="shared" si="310"/>
        <v>0</v>
      </c>
      <c r="G750" s="2489">
        <f t="shared" si="310"/>
        <v>0</v>
      </c>
      <c r="H750" s="2489">
        <f t="shared" si="310"/>
        <v>0</v>
      </c>
      <c r="I750" s="2489">
        <f t="shared" si="310"/>
        <v>0</v>
      </c>
      <c r="J750" s="2489">
        <f t="shared" si="310"/>
        <v>0</v>
      </c>
      <c r="K750" s="2489">
        <f t="shared" si="310"/>
        <v>0</v>
      </c>
      <c r="L750" s="2489">
        <f t="shared" si="310"/>
        <v>0</v>
      </c>
      <c r="M750" s="2489">
        <f t="shared" si="310"/>
        <v>0</v>
      </c>
      <c r="N750" s="2489">
        <f t="shared" si="310"/>
        <v>0</v>
      </c>
      <c r="O750" s="2489">
        <f t="shared" si="310"/>
        <v>0</v>
      </c>
      <c r="P750" s="2489">
        <f t="shared" si="310"/>
        <v>0</v>
      </c>
      <c r="Q750" s="2489">
        <f>SUM(E750:P750)</f>
        <v>0</v>
      </c>
      <c r="R750" s="2147">
        <f>Q750-D750</f>
        <v>0</v>
      </c>
      <c r="S750" s="2147">
        <v>0</v>
      </c>
    </row>
    <row r="751" spans="1:19" s="2070" customFormat="1" ht="5.35" customHeight="1">
      <c r="A751" s="2646"/>
      <c r="B751" s="257"/>
      <c r="C751" s="257"/>
      <c r="D751" s="2499"/>
      <c r="E751" s="2499"/>
      <c r="F751" s="2499"/>
      <c r="G751" s="2499"/>
      <c r="H751" s="2499"/>
      <c r="I751" s="2499"/>
      <c r="J751" s="2499"/>
      <c r="K751" s="2499"/>
      <c r="L751" s="2499"/>
      <c r="M751" s="2499"/>
      <c r="N751" s="2499"/>
      <c r="O751" s="2499"/>
      <c r="P751" s="2499"/>
      <c r="Q751" s="2501"/>
      <c r="R751" s="2501"/>
      <c r="S751" s="2501"/>
    </row>
    <row r="752" spans="1:19" s="2070" customFormat="1">
      <c r="A752" s="2645"/>
      <c r="B752" s="202" t="s">
        <v>71</v>
      </c>
      <c r="C752" s="202"/>
      <c r="D752" s="2466">
        <f t="shared" ref="D752:P752" si="311">SUM(D753:D757)</f>
        <v>0</v>
      </c>
      <c r="E752" s="2466">
        <f t="shared" si="311"/>
        <v>0</v>
      </c>
      <c r="F752" s="2466">
        <f t="shared" si="311"/>
        <v>0</v>
      </c>
      <c r="G752" s="2466">
        <f t="shared" si="311"/>
        <v>0</v>
      </c>
      <c r="H752" s="2466">
        <f t="shared" si="311"/>
        <v>0</v>
      </c>
      <c r="I752" s="2466">
        <f t="shared" si="311"/>
        <v>0</v>
      </c>
      <c r="J752" s="2466">
        <f t="shared" si="311"/>
        <v>0</v>
      </c>
      <c r="K752" s="2466">
        <f t="shared" si="311"/>
        <v>0</v>
      </c>
      <c r="L752" s="2466">
        <f t="shared" si="311"/>
        <v>0</v>
      </c>
      <c r="M752" s="2466">
        <f t="shared" si="311"/>
        <v>0</v>
      </c>
      <c r="N752" s="2466">
        <f t="shared" si="311"/>
        <v>0</v>
      </c>
      <c r="O752" s="2466">
        <f t="shared" si="311"/>
        <v>0</v>
      </c>
      <c r="P752" s="2466">
        <f t="shared" si="311"/>
        <v>0</v>
      </c>
      <c r="Q752" s="2161">
        <f t="shared" ref="Q752:Q757" si="312">SUM(E752:P752)</f>
        <v>0</v>
      </c>
      <c r="R752" s="1891">
        <f t="shared" ref="R752:R757" si="313">Q752-D752</f>
        <v>0</v>
      </c>
      <c r="S752" s="1891">
        <v>0</v>
      </c>
    </row>
    <row r="753" spans="1:19" s="2070" customFormat="1">
      <c r="A753" s="2645"/>
      <c r="B753" s="257" t="s">
        <v>50</v>
      </c>
      <c r="C753" s="200" t="s">
        <v>72</v>
      </c>
      <c r="D753" s="1964">
        <f>TARGET!D748</f>
        <v>0</v>
      </c>
      <c r="E753" s="2491">
        <v>0</v>
      </c>
      <c r="F753" s="2491">
        <v>0</v>
      </c>
      <c r="G753" s="2491">
        <v>0</v>
      </c>
      <c r="H753" s="2491">
        <v>0</v>
      </c>
      <c r="I753" s="2491">
        <v>0</v>
      </c>
      <c r="J753" s="2491">
        <v>0</v>
      </c>
      <c r="K753" s="2491">
        <v>0</v>
      </c>
      <c r="L753" s="2491">
        <v>0</v>
      </c>
      <c r="M753" s="2491">
        <v>0</v>
      </c>
      <c r="N753" s="2491">
        <v>0</v>
      </c>
      <c r="O753" s="2491">
        <v>0</v>
      </c>
      <c r="P753" s="2491">
        <v>0</v>
      </c>
      <c r="Q753" s="2161">
        <f t="shared" si="312"/>
        <v>0</v>
      </c>
      <c r="R753" s="1891">
        <f t="shared" si="313"/>
        <v>0</v>
      </c>
      <c r="S753" s="1891">
        <v>0</v>
      </c>
    </row>
    <row r="754" spans="1:19" s="2070" customFormat="1">
      <c r="A754" s="2645"/>
      <c r="B754" s="257" t="s">
        <v>50</v>
      </c>
      <c r="C754" s="200" t="s">
        <v>73</v>
      </c>
      <c r="D754" s="1964">
        <f>TARGET!D749</f>
        <v>0</v>
      </c>
      <c r="E754" s="2491">
        <v>0</v>
      </c>
      <c r="F754" s="2491">
        <v>0</v>
      </c>
      <c r="G754" s="2491">
        <v>0</v>
      </c>
      <c r="H754" s="2491">
        <v>0</v>
      </c>
      <c r="I754" s="2491">
        <v>0</v>
      </c>
      <c r="J754" s="2491">
        <v>0</v>
      </c>
      <c r="K754" s="2491">
        <v>0</v>
      </c>
      <c r="L754" s="2491">
        <v>0</v>
      </c>
      <c r="M754" s="2491">
        <v>0</v>
      </c>
      <c r="N754" s="2491">
        <v>0</v>
      </c>
      <c r="O754" s="2491">
        <v>0</v>
      </c>
      <c r="P754" s="2491">
        <v>0</v>
      </c>
      <c r="Q754" s="2161">
        <f t="shared" si="312"/>
        <v>0</v>
      </c>
      <c r="R754" s="1891">
        <f t="shared" si="313"/>
        <v>0</v>
      </c>
      <c r="S754" s="1891">
        <v>0</v>
      </c>
    </row>
    <row r="755" spans="1:19" s="2070" customFormat="1">
      <c r="A755" s="2645"/>
      <c r="B755" s="257" t="s">
        <v>50</v>
      </c>
      <c r="C755" s="200" t="s">
        <v>74</v>
      </c>
      <c r="D755" s="1964">
        <f>TARGET!D750</f>
        <v>0</v>
      </c>
      <c r="E755" s="2491">
        <v>0</v>
      </c>
      <c r="F755" s="2491">
        <v>0</v>
      </c>
      <c r="G755" s="2491">
        <v>0</v>
      </c>
      <c r="H755" s="2491">
        <v>0</v>
      </c>
      <c r="I755" s="2491">
        <v>0</v>
      </c>
      <c r="J755" s="2491">
        <v>0</v>
      </c>
      <c r="K755" s="2491">
        <v>0</v>
      </c>
      <c r="L755" s="2491">
        <v>0</v>
      </c>
      <c r="M755" s="2491">
        <v>0</v>
      </c>
      <c r="N755" s="2491">
        <v>0</v>
      </c>
      <c r="O755" s="2491">
        <v>0</v>
      </c>
      <c r="P755" s="2491">
        <v>0</v>
      </c>
      <c r="Q755" s="2161">
        <f t="shared" si="312"/>
        <v>0</v>
      </c>
      <c r="R755" s="1891">
        <f t="shared" si="313"/>
        <v>0</v>
      </c>
      <c r="S755" s="1891">
        <v>0</v>
      </c>
    </row>
    <row r="756" spans="1:19" s="2070" customFormat="1">
      <c r="A756" s="2645"/>
      <c r="B756" s="257" t="s">
        <v>50</v>
      </c>
      <c r="C756" s="200" t="s">
        <v>75</v>
      </c>
      <c r="D756" s="1964">
        <f>TARGET!D751</f>
        <v>0</v>
      </c>
      <c r="E756" s="2491">
        <v>0</v>
      </c>
      <c r="F756" s="2491">
        <v>0</v>
      </c>
      <c r="G756" s="2491">
        <v>0</v>
      </c>
      <c r="H756" s="2491">
        <v>0</v>
      </c>
      <c r="I756" s="2491">
        <v>0</v>
      </c>
      <c r="J756" s="2491">
        <v>0</v>
      </c>
      <c r="K756" s="2491">
        <v>0</v>
      </c>
      <c r="L756" s="2491">
        <v>0</v>
      </c>
      <c r="M756" s="2491">
        <v>0</v>
      </c>
      <c r="N756" s="2491">
        <v>0</v>
      </c>
      <c r="O756" s="2491">
        <v>0</v>
      </c>
      <c r="P756" s="2491">
        <v>0</v>
      </c>
      <c r="Q756" s="2161">
        <f t="shared" si="312"/>
        <v>0</v>
      </c>
      <c r="R756" s="1891">
        <f t="shared" si="313"/>
        <v>0</v>
      </c>
      <c r="S756" s="1891">
        <v>0</v>
      </c>
    </row>
    <row r="757" spans="1:19" s="2070" customFormat="1">
      <c r="A757" s="2645"/>
      <c r="B757" s="2214" t="s">
        <v>50</v>
      </c>
      <c r="C757" s="200" t="s">
        <v>85</v>
      </c>
      <c r="D757" s="1964">
        <f>TARGET!D752</f>
        <v>0</v>
      </c>
      <c r="E757" s="2491">
        <v>0</v>
      </c>
      <c r="F757" s="2491">
        <v>0</v>
      </c>
      <c r="G757" s="2491">
        <v>0</v>
      </c>
      <c r="H757" s="2491">
        <v>0</v>
      </c>
      <c r="I757" s="2491">
        <v>0</v>
      </c>
      <c r="J757" s="2491">
        <v>0</v>
      </c>
      <c r="K757" s="2491">
        <v>0</v>
      </c>
      <c r="L757" s="2491">
        <v>0</v>
      </c>
      <c r="M757" s="2491">
        <v>0</v>
      </c>
      <c r="N757" s="2491">
        <v>0</v>
      </c>
      <c r="O757" s="2491">
        <v>0</v>
      </c>
      <c r="P757" s="2491">
        <v>0</v>
      </c>
      <c r="Q757" s="2161">
        <f t="shared" si="312"/>
        <v>0</v>
      </c>
      <c r="R757" s="1891">
        <f t="shared" si="313"/>
        <v>0</v>
      </c>
      <c r="S757" s="1891">
        <v>0</v>
      </c>
    </row>
    <row r="758" spans="1:19" s="2070" customFormat="1" ht="6.75" customHeight="1">
      <c r="A758" s="2645"/>
      <c r="B758" s="856"/>
      <c r="C758" s="856"/>
      <c r="D758" s="2503"/>
      <c r="E758" s="2503"/>
      <c r="F758" s="2503"/>
      <c r="G758" s="2503"/>
      <c r="H758" s="2503"/>
      <c r="I758" s="2503"/>
      <c r="J758" s="2503"/>
      <c r="K758" s="2503"/>
      <c r="L758" s="2503"/>
      <c r="M758" s="2503"/>
      <c r="N758" s="2503"/>
      <c r="O758" s="2503"/>
      <c r="P758" s="2503"/>
      <c r="Q758" s="2505"/>
      <c r="R758" s="2505"/>
      <c r="S758" s="2505"/>
    </row>
    <row r="759" spans="1:19" s="2070" customFormat="1" ht="15.05">
      <c r="A759" s="2595" t="s">
        <v>406</v>
      </c>
      <c r="B759" s="2313" t="s">
        <v>407</v>
      </c>
      <c r="C759" s="2313"/>
      <c r="D759" s="2489">
        <f t="shared" ref="D759:P759" si="314">SUM(D761)</f>
        <v>0</v>
      </c>
      <c r="E759" s="2489">
        <f t="shared" si="314"/>
        <v>0</v>
      </c>
      <c r="F759" s="2489">
        <f t="shared" si="314"/>
        <v>0</v>
      </c>
      <c r="G759" s="2489">
        <f t="shared" si="314"/>
        <v>0</v>
      </c>
      <c r="H759" s="2489">
        <f t="shared" si="314"/>
        <v>0</v>
      </c>
      <c r="I759" s="2489">
        <f t="shared" si="314"/>
        <v>0</v>
      </c>
      <c r="J759" s="2489">
        <f t="shared" si="314"/>
        <v>0</v>
      </c>
      <c r="K759" s="2489">
        <f t="shared" si="314"/>
        <v>0</v>
      </c>
      <c r="L759" s="2489">
        <f t="shared" si="314"/>
        <v>0</v>
      </c>
      <c r="M759" s="2489">
        <f t="shared" si="314"/>
        <v>0</v>
      </c>
      <c r="N759" s="2489">
        <f t="shared" si="314"/>
        <v>0</v>
      </c>
      <c r="O759" s="2489">
        <f t="shared" si="314"/>
        <v>0</v>
      </c>
      <c r="P759" s="2489">
        <f t="shared" si="314"/>
        <v>0</v>
      </c>
      <c r="Q759" s="2489">
        <f>SUM(E759:P759)</f>
        <v>0</v>
      </c>
      <c r="R759" s="2147">
        <f>Q759-D759</f>
        <v>0</v>
      </c>
      <c r="S759" s="2147">
        <v>0</v>
      </c>
    </row>
    <row r="760" spans="1:19" s="2070" customFormat="1" ht="6.75" customHeight="1">
      <c r="A760" s="2646"/>
      <c r="B760" s="257"/>
      <c r="C760" s="257"/>
      <c r="D760" s="2499"/>
      <c r="E760" s="2499"/>
      <c r="F760" s="2499"/>
      <c r="G760" s="2499"/>
      <c r="H760" s="2499"/>
      <c r="I760" s="2499"/>
      <c r="J760" s="2499"/>
      <c r="K760" s="2499"/>
      <c r="L760" s="2499"/>
      <c r="M760" s="2499"/>
      <c r="N760" s="2499"/>
      <c r="O760" s="2499"/>
      <c r="P760" s="2499"/>
      <c r="Q760" s="2501"/>
      <c r="R760" s="2501"/>
      <c r="S760" s="2501"/>
    </row>
    <row r="761" spans="1:19" s="2070" customFormat="1">
      <c r="A761" s="2645"/>
      <c r="B761" s="202" t="s">
        <v>71</v>
      </c>
      <c r="C761" s="202"/>
      <c r="D761" s="2466">
        <f t="shared" ref="D761:P761" si="315">SUM(D762:D766)</f>
        <v>0</v>
      </c>
      <c r="E761" s="2466">
        <f t="shared" si="315"/>
        <v>0</v>
      </c>
      <c r="F761" s="2466">
        <f t="shared" si="315"/>
        <v>0</v>
      </c>
      <c r="G761" s="2466">
        <f t="shared" si="315"/>
        <v>0</v>
      </c>
      <c r="H761" s="2466">
        <f t="shared" si="315"/>
        <v>0</v>
      </c>
      <c r="I761" s="2466">
        <f t="shared" si="315"/>
        <v>0</v>
      </c>
      <c r="J761" s="2466">
        <f t="shared" si="315"/>
        <v>0</v>
      </c>
      <c r="K761" s="2466">
        <f t="shared" si="315"/>
        <v>0</v>
      </c>
      <c r="L761" s="2466">
        <f t="shared" si="315"/>
        <v>0</v>
      </c>
      <c r="M761" s="2466">
        <f t="shared" si="315"/>
        <v>0</v>
      </c>
      <c r="N761" s="2466">
        <f t="shared" si="315"/>
        <v>0</v>
      </c>
      <c r="O761" s="2466">
        <f t="shared" si="315"/>
        <v>0</v>
      </c>
      <c r="P761" s="2466">
        <f t="shared" si="315"/>
        <v>0</v>
      </c>
      <c r="Q761" s="2161">
        <f t="shared" ref="Q761:Q766" si="316">SUM(E761:P761)</f>
        <v>0</v>
      </c>
      <c r="R761" s="1891">
        <f t="shared" ref="R761:R766" si="317">Q761-D761</f>
        <v>0</v>
      </c>
      <c r="S761" s="1891">
        <v>0</v>
      </c>
    </row>
    <row r="762" spans="1:19" s="2070" customFormat="1">
      <c r="A762" s="2645"/>
      <c r="B762" s="257" t="s">
        <v>50</v>
      </c>
      <c r="C762" s="200" t="s">
        <v>72</v>
      </c>
      <c r="D762" s="1964">
        <f>TARGET!D757</f>
        <v>0</v>
      </c>
      <c r="E762" s="2491">
        <v>0</v>
      </c>
      <c r="F762" s="2491">
        <v>0</v>
      </c>
      <c r="G762" s="2491">
        <v>0</v>
      </c>
      <c r="H762" s="2491">
        <v>0</v>
      </c>
      <c r="I762" s="2491">
        <v>0</v>
      </c>
      <c r="J762" s="2491">
        <v>0</v>
      </c>
      <c r="K762" s="2491">
        <v>0</v>
      </c>
      <c r="L762" s="2491">
        <v>0</v>
      </c>
      <c r="M762" s="2491">
        <v>0</v>
      </c>
      <c r="N762" s="2491">
        <v>0</v>
      </c>
      <c r="O762" s="2491">
        <v>0</v>
      </c>
      <c r="P762" s="2491">
        <v>0</v>
      </c>
      <c r="Q762" s="2161">
        <f t="shared" si="316"/>
        <v>0</v>
      </c>
      <c r="R762" s="1891">
        <f t="shared" si="317"/>
        <v>0</v>
      </c>
      <c r="S762" s="1891">
        <v>0</v>
      </c>
    </row>
    <row r="763" spans="1:19" s="2070" customFormat="1">
      <c r="A763" s="2645"/>
      <c r="B763" s="257" t="s">
        <v>50</v>
      </c>
      <c r="C763" s="200" t="s">
        <v>73</v>
      </c>
      <c r="D763" s="1964">
        <f>TARGET!D758</f>
        <v>0</v>
      </c>
      <c r="E763" s="2491">
        <v>0</v>
      </c>
      <c r="F763" s="2491">
        <v>0</v>
      </c>
      <c r="G763" s="2491">
        <v>0</v>
      </c>
      <c r="H763" s="2491">
        <v>0</v>
      </c>
      <c r="I763" s="2491">
        <v>0</v>
      </c>
      <c r="J763" s="2491">
        <v>0</v>
      </c>
      <c r="K763" s="2491">
        <v>0</v>
      </c>
      <c r="L763" s="2491">
        <v>0</v>
      </c>
      <c r="M763" s="2491">
        <v>0</v>
      </c>
      <c r="N763" s="2491">
        <v>0</v>
      </c>
      <c r="O763" s="2491">
        <v>0</v>
      </c>
      <c r="P763" s="2491">
        <v>0</v>
      </c>
      <c r="Q763" s="2161">
        <f t="shared" si="316"/>
        <v>0</v>
      </c>
      <c r="R763" s="1891">
        <f t="shared" si="317"/>
        <v>0</v>
      </c>
      <c r="S763" s="1891">
        <v>0</v>
      </c>
    </row>
    <row r="764" spans="1:19" s="2070" customFormat="1">
      <c r="A764" s="2645"/>
      <c r="B764" s="257" t="s">
        <v>50</v>
      </c>
      <c r="C764" s="200" t="s">
        <v>74</v>
      </c>
      <c r="D764" s="1964">
        <f>TARGET!D759</f>
        <v>0</v>
      </c>
      <c r="E764" s="2491">
        <v>0</v>
      </c>
      <c r="F764" s="2491">
        <v>0</v>
      </c>
      <c r="G764" s="2491">
        <v>0</v>
      </c>
      <c r="H764" s="2491">
        <v>0</v>
      </c>
      <c r="I764" s="2491">
        <v>0</v>
      </c>
      <c r="J764" s="2491">
        <v>0</v>
      </c>
      <c r="K764" s="2491">
        <v>0</v>
      </c>
      <c r="L764" s="2491">
        <v>0</v>
      </c>
      <c r="M764" s="2491">
        <v>0</v>
      </c>
      <c r="N764" s="2491">
        <v>0</v>
      </c>
      <c r="O764" s="2491">
        <v>0</v>
      </c>
      <c r="P764" s="2491">
        <v>0</v>
      </c>
      <c r="Q764" s="2161">
        <f t="shared" si="316"/>
        <v>0</v>
      </c>
      <c r="R764" s="1891">
        <f t="shared" si="317"/>
        <v>0</v>
      </c>
      <c r="S764" s="1891">
        <v>0</v>
      </c>
    </row>
    <row r="765" spans="1:19" s="2070" customFormat="1">
      <c r="A765" s="2645"/>
      <c r="B765" s="257" t="s">
        <v>50</v>
      </c>
      <c r="C765" s="200" t="s">
        <v>75</v>
      </c>
      <c r="D765" s="1964">
        <f>TARGET!D760</f>
        <v>0</v>
      </c>
      <c r="E765" s="2491">
        <v>0</v>
      </c>
      <c r="F765" s="2491">
        <v>0</v>
      </c>
      <c r="G765" s="2491">
        <v>0</v>
      </c>
      <c r="H765" s="2491">
        <v>0</v>
      </c>
      <c r="I765" s="2491">
        <v>0</v>
      </c>
      <c r="J765" s="2491">
        <v>0</v>
      </c>
      <c r="K765" s="2491">
        <v>0</v>
      </c>
      <c r="L765" s="2491">
        <v>0</v>
      </c>
      <c r="M765" s="2491">
        <v>0</v>
      </c>
      <c r="N765" s="2491">
        <v>0</v>
      </c>
      <c r="O765" s="2491">
        <v>0</v>
      </c>
      <c r="P765" s="2491">
        <v>0</v>
      </c>
      <c r="Q765" s="2161">
        <f t="shared" si="316"/>
        <v>0</v>
      </c>
      <c r="R765" s="1891">
        <f t="shared" si="317"/>
        <v>0</v>
      </c>
      <c r="S765" s="1891">
        <v>0</v>
      </c>
    </row>
    <row r="766" spans="1:19" s="2070" customFormat="1">
      <c r="A766" s="2645"/>
      <c r="B766" s="2214" t="s">
        <v>50</v>
      </c>
      <c r="C766" s="200" t="s">
        <v>85</v>
      </c>
      <c r="D766" s="1964">
        <f>TARGET!D761</f>
        <v>0</v>
      </c>
      <c r="E766" s="2491">
        <v>0</v>
      </c>
      <c r="F766" s="2491">
        <v>0</v>
      </c>
      <c r="G766" s="2491">
        <v>0</v>
      </c>
      <c r="H766" s="2491">
        <v>0</v>
      </c>
      <c r="I766" s="2491">
        <v>0</v>
      </c>
      <c r="J766" s="2491">
        <v>0</v>
      </c>
      <c r="K766" s="2491">
        <v>0</v>
      </c>
      <c r="L766" s="2491">
        <v>0</v>
      </c>
      <c r="M766" s="2491">
        <v>0</v>
      </c>
      <c r="N766" s="2491">
        <v>0</v>
      </c>
      <c r="O766" s="2491">
        <v>0</v>
      </c>
      <c r="P766" s="2491">
        <v>0</v>
      </c>
      <c r="Q766" s="2161">
        <f t="shared" si="316"/>
        <v>0</v>
      </c>
      <c r="R766" s="1891">
        <f t="shared" si="317"/>
        <v>0</v>
      </c>
      <c r="S766" s="1891">
        <v>0</v>
      </c>
    </row>
    <row r="767" spans="1:19" s="2070" customFormat="1" ht="6.75" customHeight="1">
      <c r="A767" s="2645"/>
      <c r="B767" s="856"/>
      <c r="C767" s="856"/>
      <c r="D767" s="2503"/>
      <c r="E767" s="2503"/>
      <c r="F767" s="2503"/>
      <c r="G767" s="2503"/>
      <c r="H767" s="2503"/>
      <c r="I767" s="2503"/>
      <c r="J767" s="2503"/>
      <c r="K767" s="2503"/>
      <c r="L767" s="2503"/>
      <c r="M767" s="2503"/>
      <c r="N767" s="2503"/>
      <c r="O767" s="2503"/>
      <c r="P767" s="2503"/>
      <c r="Q767" s="2505"/>
      <c r="R767" s="2505"/>
      <c r="S767" s="2505"/>
    </row>
    <row r="768" spans="1:19" s="2070" customFormat="1" ht="15.05">
      <c r="A768" s="2595" t="s">
        <v>408</v>
      </c>
      <c r="B768" s="2313" t="s">
        <v>409</v>
      </c>
      <c r="C768" s="2313"/>
      <c r="D768" s="2489">
        <f t="shared" ref="D768:P768" si="318">D770</f>
        <v>0</v>
      </c>
      <c r="E768" s="2489">
        <f t="shared" si="318"/>
        <v>0</v>
      </c>
      <c r="F768" s="2489">
        <f t="shared" si="318"/>
        <v>0</v>
      </c>
      <c r="G768" s="2489">
        <f t="shared" si="318"/>
        <v>0</v>
      </c>
      <c r="H768" s="2489">
        <f t="shared" si="318"/>
        <v>0</v>
      </c>
      <c r="I768" s="2489">
        <f t="shared" si="318"/>
        <v>0</v>
      </c>
      <c r="J768" s="2489">
        <f t="shared" si="318"/>
        <v>0</v>
      </c>
      <c r="K768" s="2489">
        <f t="shared" si="318"/>
        <v>0</v>
      </c>
      <c r="L768" s="2489">
        <f t="shared" si="318"/>
        <v>0</v>
      </c>
      <c r="M768" s="2489">
        <f t="shared" si="318"/>
        <v>0</v>
      </c>
      <c r="N768" s="2489">
        <f t="shared" si="318"/>
        <v>0</v>
      </c>
      <c r="O768" s="2489">
        <f t="shared" si="318"/>
        <v>0</v>
      </c>
      <c r="P768" s="2489">
        <f t="shared" si="318"/>
        <v>0</v>
      </c>
      <c r="Q768" s="2489">
        <f>SUM(E768:P768)</f>
        <v>0</v>
      </c>
      <c r="R768" s="2147">
        <f>Q768-D768</f>
        <v>0</v>
      </c>
      <c r="S768" s="2147">
        <v>0</v>
      </c>
    </row>
    <row r="769" spans="1:19" s="2070" customFormat="1" ht="5.95" customHeight="1">
      <c r="A769" s="2646"/>
      <c r="B769" s="257"/>
      <c r="C769" s="257"/>
      <c r="D769" s="2499"/>
      <c r="E769" s="2499"/>
      <c r="F769" s="2499"/>
      <c r="G769" s="2499"/>
      <c r="H769" s="2499"/>
      <c r="I769" s="2499"/>
      <c r="J769" s="2499"/>
      <c r="K769" s="2499"/>
      <c r="L769" s="2499"/>
      <c r="M769" s="2499"/>
      <c r="N769" s="2499"/>
      <c r="O769" s="2499"/>
      <c r="P769" s="2499"/>
      <c r="Q769" s="2501"/>
      <c r="R769" s="2501"/>
      <c r="S769" s="2501"/>
    </row>
    <row r="770" spans="1:19" s="2070" customFormat="1">
      <c r="A770" s="2645"/>
      <c r="B770" s="202" t="s">
        <v>71</v>
      </c>
      <c r="C770" s="202"/>
      <c r="D770" s="2466">
        <f t="shared" ref="D770:P770" si="319">SUM(D771:D775)</f>
        <v>0</v>
      </c>
      <c r="E770" s="2466">
        <f t="shared" si="319"/>
        <v>0</v>
      </c>
      <c r="F770" s="2466">
        <f t="shared" si="319"/>
        <v>0</v>
      </c>
      <c r="G770" s="2466">
        <f t="shared" si="319"/>
        <v>0</v>
      </c>
      <c r="H770" s="2466">
        <f t="shared" si="319"/>
        <v>0</v>
      </c>
      <c r="I770" s="2466">
        <f t="shared" si="319"/>
        <v>0</v>
      </c>
      <c r="J770" s="2466">
        <f t="shared" si="319"/>
        <v>0</v>
      </c>
      <c r="K770" s="2466">
        <f t="shared" si="319"/>
        <v>0</v>
      </c>
      <c r="L770" s="2466">
        <f t="shared" si="319"/>
        <v>0</v>
      </c>
      <c r="M770" s="2466">
        <f t="shared" si="319"/>
        <v>0</v>
      </c>
      <c r="N770" s="2466">
        <f t="shared" si="319"/>
        <v>0</v>
      </c>
      <c r="O770" s="2466">
        <f t="shared" si="319"/>
        <v>0</v>
      </c>
      <c r="P770" s="2466">
        <f t="shared" si="319"/>
        <v>0</v>
      </c>
      <c r="Q770" s="2161">
        <f t="shared" ref="Q770:Q775" si="320">SUM(E770:P770)</f>
        <v>0</v>
      </c>
      <c r="R770" s="1891">
        <f t="shared" ref="R770:R775" si="321">Q770-D770</f>
        <v>0</v>
      </c>
      <c r="S770" s="1891">
        <v>0</v>
      </c>
    </row>
    <row r="771" spans="1:19" s="2070" customFormat="1">
      <c r="A771" s="2645"/>
      <c r="B771" s="257" t="s">
        <v>50</v>
      </c>
      <c r="C771" s="200" t="s">
        <v>72</v>
      </c>
      <c r="D771" s="1964">
        <f>TARGET!D766</f>
        <v>0</v>
      </c>
      <c r="E771" s="2491">
        <v>0</v>
      </c>
      <c r="F771" s="2491">
        <v>0</v>
      </c>
      <c r="G771" s="2491">
        <v>0</v>
      </c>
      <c r="H771" s="2491">
        <v>0</v>
      </c>
      <c r="I771" s="2491">
        <v>0</v>
      </c>
      <c r="J771" s="2491">
        <v>0</v>
      </c>
      <c r="K771" s="2491">
        <v>0</v>
      </c>
      <c r="L771" s="2491">
        <v>0</v>
      </c>
      <c r="M771" s="2491">
        <v>0</v>
      </c>
      <c r="N771" s="2491">
        <v>0</v>
      </c>
      <c r="O771" s="2491">
        <v>0</v>
      </c>
      <c r="P771" s="2491">
        <v>0</v>
      </c>
      <c r="Q771" s="2161">
        <f t="shared" si="320"/>
        <v>0</v>
      </c>
      <c r="R771" s="1891">
        <f t="shared" si="321"/>
        <v>0</v>
      </c>
      <c r="S771" s="1891">
        <v>0</v>
      </c>
    </row>
    <row r="772" spans="1:19" s="2070" customFormat="1">
      <c r="A772" s="2645"/>
      <c r="B772" s="257" t="s">
        <v>50</v>
      </c>
      <c r="C772" s="200" t="s">
        <v>73</v>
      </c>
      <c r="D772" s="1964">
        <f>TARGET!D767</f>
        <v>0</v>
      </c>
      <c r="E772" s="2491">
        <v>0</v>
      </c>
      <c r="F772" s="2491">
        <v>0</v>
      </c>
      <c r="G772" s="2491">
        <v>0</v>
      </c>
      <c r="H772" s="2491">
        <v>0</v>
      </c>
      <c r="I772" s="2491">
        <v>0</v>
      </c>
      <c r="J772" s="2491">
        <v>0</v>
      </c>
      <c r="K772" s="2491">
        <v>0</v>
      </c>
      <c r="L772" s="2491">
        <v>0</v>
      </c>
      <c r="M772" s="2491">
        <v>0</v>
      </c>
      <c r="N772" s="2491">
        <v>0</v>
      </c>
      <c r="O772" s="2491">
        <v>0</v>
      </c>
      <c r="P772" s="2491">
        <v>0</v>
      </c>
      <c r="Q772" s="2161">
        <f t="shared" si="320"/>
        <v>0</v>
      </c>
      <c r="R772" s="1891">
        <f t="shared" si="321"/>
        <v>0</v>
      </c>
      <c r="S772" s="1891">
        <v>0</v>
      </c>
    </row>
    <row r="773" spans="1:19" s="2070" customFormat="1">
      <c r="A773" s="2645"/>
      <c r="B773" s="257" t="s">
        <v>50</v>
      </c>
      <c r="C773" s="200" t="s">
        <v>74</v>
      </c>
      <c r="D773" s="1964">
        <f>TARGET!D768</f>
        <v>0</v>
      </c>
      <c r="E773" s="2491">
        <v>0</v>
      </c>
      <c r="F773" s="2491">
        <v>0</v>
      </c>
      <c r="G773" s="2491">
        <v>0</v>
      </c>
      <c r="H773" s="2491">
        <v>0</v>
      </c>
      <c r="I773" s="2491">
        <v>0</v>
      </c>
      <c r="J773" s="2491">
        <v>0</v>
      </c>
      <c r="K773" s="2491">
        <v>0</v>
      </c>
      <c r="L773" s="2491">
        <v>0</v>
      </c>
      <c r="M773" s="2491">
        <v>0</v>
      </c>
      <c r="N773" s="2491">
        <v>0</v>
      </c>
      <c r="O773" s="2491">
        <v>0</v>
      </c>
      <c r="P773" s="2491">
        <v>0</v>
      </c>
      <c r="Q773" s="2161">
        <f t="shared" si="320"/>
        <v>0</v>
      </c>
      <c r="R773" s="1891">
        <f t="shared" si="321"/>
        <v>0</v>
      </c>
      <c r="S773" s="1891">
        <v>0</v>
      </c>
    </row>
    <row r="774" spans="1:19" s="2070" customFormat="1">
      <c r="A774" s="2645"/>
      <c r="B774" s="257" t="s">
        <v>50</v>
      </c>
      <c r="C774" s="200" t="s">
        <v>75</v>
      </c>
      <c r="D774" s="1964">
        <f>TARGET!D769</f>
        <v>0</v>
      </c>
      <c r="E774" s="2491">
        <v>0</v>
      </c>
      <c r="F774" s="2491">
        <v>0</v>
      </c>
      <c r="G774" s="2491">
        <v>0</v>
      </c>
      <c r="H774" s="2491">
        <v>0</v>
      </c>
      <c r="I774" s="2491">
        <v>0</v>
      </c>
      <c r="J774" s="2491">
        <v>0</v>
      </c>
      <c r="K774" s="2491">
        <v>0</v>
      </c>
      <c r="L774" s="2491">
        <v>0</v>
      </c>
      <c r="M774" s="2491">
        <v>0</v>
      </c>
      <c r="N774" s="2491">
        <v>0</v>
      </c>
      <c r="O774" s="2491">
        <v>0</v>
      </c>
      <c r="P774" s="2491">
        <v>0</v>
      </c>
      <c r="Q774" s="2161">
        <f t="shared" si="320"/>
        <v>0</v>
      </c>
      <c r="R774" s="1891">
        <f t="shared" si="321"/>
        <v>0</v>
      </c>
      <c r="S774" s="1891">
        <v>0</v>
      </c>
    </row>
    <row r="775" spans="1:19" s="2070" customFormat="1">
      <c r="A775" s="2645"/>
      <c r="B775" s="2214" t="s">
        <v>50</v>
      </c>
      <c r="C775" s="200" t="s">
        <v>85</v>
      </c>
      <c r="D775" s="1964">
        <f>TARGET!D770</f>
        <v>0</v>
      </c>
      <c r="E775" s="2491">
        <v>0</v>
      </c>
      <c r="F775" s="2491">
        <v>0</v>
      </c>
      <c r="G775" s="2491">
        <v>0</v>
      </c>
      <c r="H775" s="2491">
        <v>0</v>
      </c>
      <c r="I775" s="2491">
        <v>0</v>
      </c>
      <c r="J775" s="2491">
        <v>0</v>
      </c>
      <c r="K775" s="2491">
        <v>0</v>
      </c>
      <c r="L775" s="2491">
        <v>0</v>
      </c>
      <c r="M775" s="2491">
        <v>0</v>
      </c>
      <c r="N775" s="2491">
        <v>0</v>
      </c>
      <c r="O775" s="2491">
        <v>0</v>
      </c>
      <c r="P775" s="2491">
        <v>0</v>
      </c>
      <c r="Q775" s="2161">
        <f t="shared" si="320"/>
        <v>0</v>
      </c>
      <c r="R775" s="1891">
        <f t="shared" si="321"/>
        <v>0</v>
      </c>
      <c r="S775" s="1891">
        <v>0</v>
      </c>
    </row>
    <row r="776" spans="1:19" s="2070" customFormat="1" ht="6.75" customHeight="1">
      <c r="A776" s="2645"/>
      <c r="B776" s="856"/>
      <c r="C776" s="856"/>
      <c r="D776" s="2503"/>
      <c r="E776" s="2503"/>
      <c r="F776" s="2503"/>
      <c r="G776" s="2503"/>
      <c r="H776" s="2503"/>
      <c r="I776" s="2503"/>
      <c r="J776" s="2503"/>
      <c r="K776" s="2503"/>
      <c r="L776" s="2503"/>
      <c r="M776" s="2503"/>
      <c r="N776" s="2503"/>
      <c r="O776" s="2503"/>
      <c r="P776" s="2503"/>
      <c r="Q776" s="2505"/>
      <c r="R776" s="2505"/>
      <c r="S776" s="2505"/>
    </row>
    <row r="777" spans="1:19" s="2070" customFormat="1" ht="15.05">
      <c r="A777" s="2595" t="s">
        <v>410</v>
      </c>
      <c r="B777" s="2313" t="s">
        <v>411</v>
      </c>
      <c r="C777" s="2313"/>
      <c r="D777" s="2489">
        <f t="shared" ref="D777:P777" si="322">D778+D782</f>
        <v>0</v>
      </c>
      <c r="E777" s="2489">
        <f t="shared" si="322"/>
        <v>0</v>
      </c>
      <c r="F777" s="2489">
        <f t="shared" si="322"/>
        <v>0</v>
      </c>
      <c r="G777" s="2489">
        <f t="shared" si="322"/>
        <v>0</v>
      </c>
      <c r="H777" s="2489">
        <f t="shared" si="322"/>
        <v>0</v>
      </c>
      <c r="I777" s="2489">
        <f t="shared" si="322"/>
        <v>0</v>
      </c>
      <c r="J777" s="2489">
        <f t="shared" si="322"/>
        <v>0</v>
      </c>
      <c r="K777" s="2489">
        <f t="shared" si="322"/>
        <v>0</v>
      </c>
      <c r="L777" s="2489">
        <f t="shared" si="322"/>
        <v>0</v>
      </c>
      <c r="M777" s="2489">
        <f t="shared" si="322"/>
        <v>0</v>
      </c>
      <c r="N777" s="2489">
        <f t="shared" si="322"/>
        <v>0</v>
      </c>
      <c r="O777" s="2489">
        <f t="shared" si="322"/>
        <v>0</v>
      </c>
      <c r="P777" s="2489">
        <f t="shared" si="322"/>
        <v>0</v>
      </c>
      <c r="Q777" s="2489">
        <f>SUM(E777:P777)</f>
        <v>0</v>
      </c>
      <c r="R777" s="2147">
        <f>Q777-D777</f>
        <v>0</v>
      </c>
      <c r="S777" s="2147">
        <v>0</v>
      </c>
    </row>
    <row r="778" spans="1:19" s="2070" customFormat="1">
      <c r="A778" s="2646"/>
      <c r="B778" s="1318" t="s">
        <v>412</v>
      </c>
      <c r="C778" s="212"/>
      <c r="D778" s="2499">
        <f t="shared" ref="D778:P779" si="323">D779</f>
        <v>0</v>
      </c>
      <c r="E778" s="2499">
        <f t="shared" si="323"/>
        <v>0</v>
      </c>
      <c r="F778" s="2499">
        <f t="shared" si="323"/>
        <v>0</v>
      </c>
      <c r="G778" s="2499">
        <f t="shared" si="323"/>
        <v>0</v>
      </c>
      <c r="H778" s="2499">
        <f t="shared" si="323"/>
        <v>0</v>
      </c>
      <c r="I778" s="2499">
        <f t="shared" si="323"/>
        <v>0</v>
      </c>
      <c r="J778" s="2499">
        <f t="shared" si="323"/>
        <v>0</v>
      </c>
      <c r="K778" s="2499">
        <f t="shared" si="323"/>
        <v>0</v>
      </c>
      <c r="L778" s="2499">
        <f t="shared" si="323"/>
        <v>0</v>
      </c>
      <c r="M778" s="2499">
        <f t="shared" si="323"/>
        <v>0</v>
      </c>
      <c r="N778" s="2499">
        <f t="shared" si="323"/>
        <v>0</v>
      </c>
      <c r="O778" s="2499">
        <f t="shared" si="323"/>
        <v>0</v>
      </c>
      <c r="P778" s="2499">
        <f t="shared" si="323"/>
        <v>0</v>
      </c>
      <c r="Q778" s="2161">
        <f t="shared" ref="Q778:Q787" si="324">SUM(E778:P778)</f>
        <v>0</v>
      </c>
      <c r="R778" s="1891">
        <f t="shared" ref="R778:S787" si="325">Q778-D778</f>
        <v>0</v>
      </c>
      <c r="S778" s="1891">
        <v>0</v>
      </c>
    </row>
    <row r="779" spans="1:19" s="2070" customFormat="1">
      <c r="A779" s="2645"/>
      <c r="B779" s="212" t="s">
        <v>109</v>
      </c>
      <c r="C779" s="212"/>
      <c r="D779" s="2466">
        <f t="shared" si="323"/>
        <v>0</v>
      </c>
      <c r="E779" s="2466">
        <f t="shared" si="323"/>
        <v>0</v>
      </c>
      <c r="F779" s="2466">
        <f t="shared" si="323"/>
        <v>0</v>
      </c>
      <c r="G779" s="2466">
        <f t="shared" si="323"/>
        <v>0</v>
      </c>
      <c r="H779" s="2466">
        <f t="shared" si="323"/>
        <v>0</v>
      </c>
      <c r="I779" s="2466">
        <f t="shared" si="323"/>
        <v>0</v>
      </c>
      <c r="J779" s="2466">
        <f t="shared" si="323"/>
        <v>0</v>
      </c>
      <c r="K779" s="2466">
        <f t="shared" si="323"/>
        <v>0</v>
      </c>
      <c r="L779" s="2466">
        <f t="shared" si="323"/>
        <v>0</v>
      </c>
      <c r="M779" s="2466">
        <f t="shared" si="323"/>
        <v>0</v>
      </c>
      <c r="N779" s="2466">
        <f t="shared" si="323"/>
        <v>0</v>
      </c>
      <c r="O779" s="2466">
        <f t="shared" si="323"/>
        <v>0</v>
      </c>
      <c r="P779" s="2466">
        <f t="shared" si="323"/>
        <v>0</v>
      </c>
      <c r="Q779" s="2161">
        <f t="shared" si="324"/>
        <v>0</v>
      </c>
      <c r="R779" s="1891">
        <f t="shared" si="325"/>
        <v>0</v>
      </c>
      <c r="S779" s="1891">
        <v>0</v>
      </c>
    </row>
    <row r="780" spans="1:19" s="2070" customFormat="1">
      <c r="A780" s="2645"/>
      <c r="B780" s="2744" t="s">
        <v>50</v>
      </c>
      <c r="C780" s="224" t="s">
        <v>413</v>
      </c>
      <c r="D780" s="1964">
        <f>TARGET!D775</f>
        <v>0</v>
      </c>
      <c r="E780" s="2491">
        <v>0</v>
      </c>
      <c r="F780" s="2491">
        <v>0</v>
      </c>
      <c r="G780" s="2491">
        <v>0</v>
      </c>
      <c r="H780" s="2491">
        <v>0</v>
      </c>
      <c r="I780" s="2491">
        <v>0</v>
      </c>
      <c r="J780" s="2491">
        <v>0</v>
      </c>
      <c r="K780" s="2491">
        <v>0</v>
      </c>
      <c r="L780" s="2491">
        <v>0</v>
      </c>
      <c r="M780" s="2491">
        <v>0</v>
      </c>
      <c r="N780" s="2491">
        <v>0</v>
      </c>
      <c r="O780" s="2491">
        <v>0</v>
      </c>
      <c r="P780" s="2491">
        <v>0</v>
      </c>
      <c r="Q780" s="2161">
        <f t="shared" si="324"/>
        <v>0</v>
      </c>
      <c r="R780" s="1891">
        <f t="shared" si="325"/>
        <v>0</v>
      </c>
      <c r="S780" s="1891">
        <v>0</v>
      </c>
    </row>
    <row r="781" spans="1:19" s="2070" customFormat="1" ht="5.95" customHeight="1">
      <c r="A781" s="2645"/>
      <c r="B781" s="856"/>
      <c r="C781" s="856"/>
      <c r="D781" s="2466"/>
      <c r="E781" s="2466"/>
      <c r="F781" s="2466"/>
      <c r="G781" s="2466"/>
      <c r="H781" s="2466"/>
      <c r="I781" s="2466"/>
      <c r="J781" s="2466"/>
      <c r="K781" s="2466"/>
      <c r="L781" s="2466"/>
      <c r="M781" s="2466"/>
      <c r="N781" s="2466"/>
      <c r="O781" s="2466"/>
      <c r="P781" s="2466"/>
      <c r="Q781" s="2161">
        <f t="shared" si="324"/>
        <v>0</v>
      </c>
      <c r="R781" s="1891">
        <f t="shared" si="325"/>
        <v>0</v>
      </c>
      <c r="S781" s="1891">
        <f t="shared" si="325"/>
        <v>0</v>
      </c>
    </row>
    <row r="782" spans="1:19" s="2070" customFormat="1">
      <c r="A782" s="2645"/>
      <c r="B782" s="202" t="s">
        <v>71</v>
      </c>
      <c r="C782" s="202"/>
      <c r="D782" s="2466">
        <f t="shared" ref="D782:P782" si="326">SUM(D783:D787)</f>
        <v>0</v>
      </c>
      <c r="E782" s="2466">
        <f t="shared" si="326"/>
        <v>0</v>
      </c>
      <c r="F782" s="2466">
        <f t="shared" si="326"/>
        <v>0</v>
      </c>
      <c r="G782" s="2466">
        <f t="shared" si="326"/>
        <v>0</v>
      </c>
      <c r="H782" s="2466">
        <f t="shared" si="326"/>
        <v>0</v>
      </c>
      <c r="I782" s="2466">
        <f t="shared" si="326"/>
        <v>0</v>
      </c>
      <c r="J782" s="2466">
        <f t="shared" si="326"/>
        <v>0</v>
      </c>
      <c r="K782" s="2466">
        <f t="shared" si="326"/>
        <v>0</v>
      </c>
      <c r="L782" s="2466">
        <f t="shared" si="326"/>
        <v>0</v>
      </c>
      <c r="M782" s="2466">
        <f t="shared" si="326"/>
        <v>0</v>
      </c>
      <c r="N782" s="2466">
        <f t="shared" si="326"/>
        <v>0</v>
      </c>
      <c r="O782" s="2466">
        <f t="shared" si="326"/>
        <v>0</v>
      </c>
      <c r="P782" s="2466">
        <f t="shared" si="326"/>
        <v>0</v>
      </c>
      <c r="Q782" s="2161">
        <f t="shared" si="324"/>
        <v>0</v>
      </c>
      <c r="R782" s="1891">
        <f t="shared" si="325"/>
        <v>0</v>
      </c>
      <c r="S782" s="1891">
        <v>0</v>
      </c>
    </row>
    <row r="783" spans="1:19" s="2070" customFormat="1">
      <c r="A783" s="2645"/>
      <c r="B783" s="257" t="s">
        <v>50</v>
      </c>
      <c r="C783" s="200" t="s">
        <v>72</v>
      </c>
      <c r="D783" s="1964">
        <f>TARGET!D778</f>
        <v>0</v>
      </c>
      <c r="E783" s="2491">
        <v>0</v>
      </c>
      <c r="F783" s="2491">
        <v>0</v>
      </c>
      <c r="G783" s="2491">
        <v>0</v>
      </c>
      <c r="H783" s="2491">
        <v>0</v>
      </c>
      <c r="I783" s="2491">
        <v>0</v>
      </c>
      <c r="J783" s="2491">
        <v>0</v>
      </c>
      <c r="K783" s="2491">
        <v>0</v>
      </c>
      <c r="L783" s="2491">
        <v>0</v>
      </c>
      <c r="M783" s="2491">
        <v>0</v>
      </c>
      <c r="N783" s="2491">
        <v>0</v>
      </c>
      <c r="O783" s="2491">
        <v>0</v>
      </c>
      <c r="P783" s="2491">
        <v>0</v>
      </c>
      <c r="Q783" s="2161">
        <f t="shared" si="324"/>
        <v>0</v>
      </c>
      <c r="R783" s="1891">
        <f t="shared" si="325"/>
        <v>0</v>
      </c>
      <c r="S783" s="1891">
        <v>0</v>
      </c>
    </row>
    <row r="784" spans="1:19" s="2070" customFormat="1">
      <c r="A784" s="2645"/>
      <c r="B784" s="257" t="s">
        <v>50</v>
      </c>
      <c r="C784" s="200" t="s">
        <v>73</v>
      </c>
      <c r="D784" s="1964">
        <f>TARGET!D779</f>
        <v>0</v>
      </c>
      <c r="E784" s="2491">
        <v>0</v>
      </c>
      <c r="F784" s="2491">
        <v>0</v>
      </c>
      <c r="G784" s="2491">
        <v>0</v>
      </c>
      <c r="H784" s="2491">
        <v>0</v>
      </c>
      <c r="I784" s="2491">
        <v>0</v>
      </c>
      <c r="J784" s="2491">
        <v>0</v>
      </c>
      <c r="K784" s="2491">
        <v>0</v>
      </c>
      <c r="L784" s="2491">
        <v>0</v>
      </c>
      <c r="M784" s="2491">
        <v>0</v>
      </c>
      <c r="N784" s="2491">
        <v>0</v>
      </c>
      <c r="O784" s="2491">
        <v>0</v>
      </c>
      <c r="P784" s="2491">
        <v>0</v>
      </c>
      <c r="Q784" s="2161">
        <f t="shared" si="324"/>
        <v>0</v>
      </c>
      <c r="R784" s="1891">
        <f t="shared" si="325"/>
        <v>0</v>
      </c>
      <c r="S784" s="1891">
        <v>0</v>
      </c>
    </row>
    <row r="785" spans="1:19" s="2070" customFormat="1">
      <c r="A785" s="2645"/>
      <c r="B785" s="257" t="s">
        <v>50</v>
      </c>
      <c r="C785" s="200" t="s">
        <v>74</v>
      </c>
      <c r="D785" s="1964">
        <f>TARGET!D780</f>
        <v>0</v>
      </c>
      <c r="E785" s="2491">
        <v>0</v>
      </c>
      <c r="F785" s="2491">
        <v>0</v>
      </c>
      <c r="G785" s="2491">
        <v>0</v>
      </c>
      <c r="H785" s="2491">
        <v>0</v>
      </c>
      <c r="I785" s="2491">
        <v>0</v>
      </c>
      <c r="J785" s="2491">
        <v>0</v>
      </c>
      <c r="K785" s="2491">
        <v>0</v>
      </c>
      <c r="L785" s="2491">
        <v>0</v>
      </c>
      <c r="M785" s="2491">
        <v>0</v>
      </c>
      <c r="N785" s="2491">
        <v>0</v>
      </c>
      <c r="O785" s="2491">
        <v>0</v>
      </c>
      <c r="P785" s="2491">
        <v>0</v>
      </c>
      <c r="Q785" s="2161">
        <f t="shared" si="324"/>
        <v>0</v>
      </c>
      <c r="R785" s="1891">
        <f t="shared" si="325"/>
        <v>0</v>
      </c>
      <c r="S785" s="1891">
        <v>0</v>
      </c>
    </row>
    <row r="786" spans="1:19" s="2070" customFormat="1">
      <c r="A786" s="2645"/>
      <c r="B786" s="257" t="s">
        <v>50</v>
      </c>
      <c r="C786" s="200" t="s">
        <v>75</v>
      </c>
      <c r="D786" s="1964">
        <f>TARGET!D781</f>
        <v>0</v>
      </c>
      <c r="E786" s="2491">
        <v>0</v>
      </c>
      <c r="F786" s="2491">
        <v>0</v>
      </c>
      <c r="G786" s="2491">
        <v>0</v>
      </c>
      <c r="H786" s="2491">
        <v>0</v>
      </c>
      <c r="I786" s="2491">
        <v>0</v>
      </c>
      <c r="J786" s="2491">
        <v>0</v>
      </c>
      <c r="K786" s="2491">
        <v>0</v>
      </c>
      <c r="L786" s="2491">
        <v>0</v>
      </c>
      <c r="M786" s="2491">
        <v>0</v>
      </c>
      <c r="N786" s="2491">
        <v>0</v>
      </c>
      <c r="O786" s="2491">
        <v>0</v>
      </c>
      <c r="P786" s="2491">
        <v>0</v>
      </c>
      <c r="Q786" s="2161">
        <f t="shared" si="324"/>
        <v>0</v>
      </c>
      <c r="R786" s="1891">
        <f t="shared" si="325"/>
        <v>0</v>
      </c>
      <c r="S786" s="1891">
        <v>0</v>
      </c>
    </row>
    <row r="787" spans="1:19" s="2070" customFormat="1">
      <c r="A787" s="2645"/>
      <c r="B787" s="2214" t="s">
        <v>50</v>
      </c>
      <c r="C787" s="200" t="s">
        <v>85</v>
      </c>
      <c r="D787" s="1964">
        <f>TARGET!D782</f>
        <v>0</v>
      </c>
      <c r="E787" s="2647">
        <v>0</v>
      </c>
      <c r="F787" s="2647">
        <v>0</v>
      </c>
      <c r="G787" s="2647">
        <v>0</v>
      </c>
      <c r="H787" s="2647">
        <v>0</v>
      </c>
      <c r="I787" s="2647">
        <v>0</v>
      </c>
      <c r="J787" s="2647">
        <v>0</v>
      </c>
      <c r="K787" s="2647">
        <v>0</v>
      </c>
      <c r="L787" s="2647">
        <v>0</v>
      </c>
      <c r="M787" s="2647">
        <v>0</v>
      </c>
      <c r="N787" s="2647">
        <v>0</v>
      </c>
      <c r="O787" s="2647">
        <v>0</v>
      </c>
      <c r="P787" s="2647">
        <v>0</v>
      </c>
      <c r="Q787" s="2161">
        <f t="shared" si="324"/>
        <v>0</v>
      </c>
      <c r="R787" s="1891">
        <f t="shared" si="325"/>
        <v>0</v>
      </c>
      <c r="S787" s="1891">
        <v>0</v>
      </c>
    </row>
    <row r="788" spans="1:19" s="2070" customFormat="1" ht="7.55" customHeight="1">
      <c r="A788" s="2641"/>
      <c r="D788" s="2310"/>
      <c r="E788" s="2310"/>
      <c r="F788" s="2310"/>
      <c r="G788" s="2310"/>
      <c r="H788" s="2310"/>
      <c r="I788" s="2310"/>
      <c r="J788" s="2310"/>
      <c r="K788" s="2310"/>
      <c r="L788" s="2310"/>
      <c r="M788" s="2310"/>
      <c r="N788" s="2310"/>
      <c r="O788" s="2310"/>
      <c r="P788" s="2310"/>
      <c r="Q788" s="2311"/>
      <c r="R788" s="2311"/>
      <c r="S788" s="2311"/>
    </row>
    <row r="789" spans="1:19" s="2070" customFormat="1" ht="21.8" customHeight="1">
      <c r="A789" s="5739" t="s">
        <v>414</v>
      </c>
      <c r="B789" s="5739"/>
      <c r="C789" s="5739"/>
      <c r="D789" s="2507">
        <f t="shared" ref="D789:Q789" si="327">D777+D768+D759+D750+D741+D732+D723+D714+D701+D668+D660+D637+D611+D603+D595+D577+D518+D507+D499+D427+D354+D346+D338+D330+D322+D314+D306+D298+D283+D273+D265+D257+D237+D215+D197+D182+D169+D154+D146+D129+D116+D104+D91+D78+D66+D54+D43+D31+D10</f>
        <v>3669258351634</v>
      </c>
      <c r="E789" s="2507">
        <f t="shared" si="327"/>
        <v>0</v>
      </c>
      <c r="F789" s="2507">
        <f t="shared" si="327"/>
        <v>0</v>
      </c>
      <c r="G789" s="2507">
        <f t="shared" si="327"/>
        <v>0</v>
      </c>
      <c r="H789" s="2507">
        <f t="shared" si="327"/>
        <v>0</v>
      </c>
      <c r="I789" s="2507">
        <f t="shared" si="327"/>
        <v>0</v>
      </c>
      <c r="J789" s="2507">
        <f t="shared" si="327"/>
        <v>0</v>
      </c>
      <c r="K789" s="2507">
        <f t="shared" si="327"/>
        <v>0</v>
      </c>
      <c r="L789" s="2507">
        <f t="shared" si="327"/>
        <v>0</v>
      </c>
      <c r="M789" s="2507">
        <f t="shared" si="327"/>
        <v>0</v>
      </c>
      <c r="N789" s="2507">
        <f t="shared" si="327"/>
        <v>0</v>
      </c>
      <c r="O789" s="2507">
        <f t="shared" si="327"/>
        <v>0</v>
      </c>
      <c r="P789" s="2507">
        <f t="shared" si="327"/>
        <v>0</v>
      </c>
      <c r="Q789" s="2507">
        <f t="shared" si="327"/>
        <v>0</v>
      </c>
      <c r="R789" s="2508">
        <f>Q789-D789</f>
        <v>-3669258351634</v>
      </c>
      <c r="S789" s="2648">
        <f>Q789/D789*100</f>
        <v>0</v>
      </c>
    </row>
  </sheetData>
  <autoFilter ref="D8:E789"/>
  <mergeCells count="6">
    <mergeCell ref="A789:C789"/>
    <mergeCell ref="A2:S2"/>
    <mergeCell ref="B5:C5"/>
    <mergeCell ref="B6:C6"/>
    <mergeCell ref="B564:C564"/>
    <mergeCell ref="B574:C574"/>
  </mergeCells>
  <pageMargins left="0.69930555555555596" right="0.69930555555555596" top="0.75" bottom="0.69930555555555596" header="0.3" footer="0.3"/>
  <pageSetup paperSize="8" scale="90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6"/>
  <sheetViews>
    <sheetView workbookViewId="0">
      <selection activeCell="H108" sqref="H108"/>
    </sheetView>
  </sheetViews>
  <sheetFormatPr defaultRowHeight="12.55"/>
  <cols>
    <col min="2" max="2" width="4.44140625" customWidth="1"/>
  </cols>
  <sheetData>
    <row r="26" spans="3:3" ht="62">
      <c r="C26" s="5622" t="s">
        <v>1505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55"/>
  <sheetData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G1302"/>
  <sheetViews>
    <sheetView view="pageBreakPreview" zoomScale="97" zoomScaleSheetLayoutView="97" workbookViewId="0">
      <pane xSplit="12" ySplit="10" topLeftCell="S1069" activePane="bottomRight" state="frozen"/>
      <selection activeCell="D1" sqref="D1"/>
      <selection pane="topRight" activeCell="L1" sqref="L1"/>
      <selection pane="bottomLeft" activeCell="D10" sqref="D10"/>
      <selection pane="bottomRight" activeCell="AB1071" sqref="AB1071"/>
    </sheetView>
  </sheetViews>
  <sheetFormatPr defaultColWidth="9.109375" defaultRowHeight="13.15"/>
  <cols>
    <col min="1" max="1" width="3.109375" style="5336" hidden="1" customWidth="1"/>
    <col min="2" max="2" width="3" style="5336" hidden="1" customWidth="1"/>
    <col min="3" max="3" width="3.109375" style="5336" hidden="1" customWidth="1"/>
    <col min="4" max="8" width="3.33203125" style="5336" customWidth="1"/>
    <col min="9" max="9" width="3.6640625" style="5336" customWidth="1"/>
    <col min="10" max="10" width="4.33203125" style="5332" customWidth="1"/>
    <col min="11" max="11" width="31.5546875" style="5332" customWidth="1"/>
    <col min="12" max="12" width="6.33203125" style="5332" customWidth="1"/>
    <col min="13" max="14" width="15.88671875" style="5332" hidden="1" customWidth="1"/>
    <col min="15" max="15" width="13.5546875" style="5332" hidden="1" customWidth="1"/>
    <col min="16" max="16" width="19.33203125" style="5335" hidden="1" customWidth="1"/>
    <col min="17" max="17" width="15.33203125" style="5332" hidden="1" customWidth="1"/>
    <col min="18" max="18" width="7.33203125" style="5332" hidden="1" customWidth="1"/>
    <col min="19" max="19" width="20.33203125" style="5332" customWidth="1"/>
    <col min="20" max="20" width="13.5546875" style="5332" hidden="1" customWidth="1"/>
    <col min="21" max="21" width="17.44140625" style="5335" hidden="1" customWidth="1"/>
    <col min="22" max="22" width="16.109375" style="5332" hidden="1" customWidth="1"/>
    <col min="23" max="23" width="8.109375" style="5332" hidden="1" customWidth="1"/>
    <col min="24" max="24" width="20.109375" style="5332" customWidth="1"/>
    <col min="25" max="25" width="13.5546875" style="5332" hidden="1" customWidth="1"/>
    <col min="26" max="26" width="17.44140625" style="5335" hidden="1" customWidth="1"/>
    <col min="27" max="27" width="16" style="5332" customWidth="1"/>
    <col min="28" max="28" width="8.109375" style="5332" customWidth="1"/>
    <col min="29" max="31" width="17.5546875" style="5332" customWidth="1"/>
    <col min="32" max="32" width="15.88671875" style="5334" customWidth="1"/>
    <col min="33" max="33" width="18.44140625" style="5333" customWidth="1"/>
    <col min="34" max="16384" width="9.109375" style="5332"/>
  </cols>
  <sheetData>
    <row r="1" spans="1:33" ht="9.6999999999999993" customHeight="1"/>
    <row r="2" spans="1:33" ht="16.45" customHeight="1">
      <c r="D2" s="5627" t="s">
        <v>1506</v>
      </c>
      <c r="E2" s="5562"/>
      <c r="F2" s="5560"/>
      <c r="G2" s="5560"/>
      <c r="H2" s="5560"/>
      <c r="I2" s="5560"/>
      <c r="J2" s="5560"/>
      <c r="K2" s="5560"/>
      <c r="L2" s="5560"/>
      <c r="M2" s="5560"/>
      <c r="N2" s="5560"/>
      <c r="O2" s="5560"/>
      <c r="P2" s="5561"/>
      <c r="Q2" s="5560"/>
      <c r="R2" s="5560"/>
      <c r="S2" s="5560"/>
      <c r="T2" s="5560"/>
      <c r="U2" s="5561"/>
      <c r="V2" s="5560"/>
      <c r="W2" s="5560"/>
      <c r="X2" s="5560"/>
      <c r="Y2" s="5560"/>
      <c r="Z2" s="5561"/>
      <c r="AA2" s="5560"/>
      <c r="AB2" s="5560"/>
    </row>
    <row r="3" spans="1:33" ht="16.45" customHeight="1">
      <c r="D3" s="5973" t="s">
        <v>1077</v>
      </c>
      <c r="E3" s="5973"/>
      <c r="F3" s="5973"/>
      <c r="G3" s="5973"/>
      <c r="H3" s="5973"/>
      <c r="I3" s="5973"/>
      <c r="J3" s="5973"/>
      <c r="K3" s="5973"/>
      <c r="L3" s="5973"/>
      <c r="M3" s="5973"/>
      <c r="N3" s="5973"/>
      <c r="O3" s="5973"/>
      <c r="P3" s="5973"/>
      <c r="Q3" s="5973"/>
      <c r="R3" s="5973"/>
      <c r="S3" s="5973"/>
      <c r="T3" s="5973"/>
      <c r="U3" s="5973"/>
      <c r="V3" s="5973"/>
      <c r="W3" s="5973"/>
      <c r="X3" s="5973"/>
      <c r="Y3" s="5973"/>
      <c r="Z3" s="5973"/>
      <c r="AA3" s="5973"/>
      <c r="AB3" s="5973"/>
    </row>
    <row r="4" spans="1:33" ht="9.1" hidden="1" customHeight="1">
      <c r="D4" s="5560"/>
      <c r="E4" s="5559"/>
      <c r="F4" s="5559"/>
      <c r="G4" s="5559"/>
      <c r="H4" s="5559"/>
      <c r="I4" s="5559"/>
      <c r="J4" s="5558"/>
      <c r="K4" s="5558"/>
      <c r="L4" s="5558"/>
      <c r="M4" s="5556"/>
      <c r="N4" s="5556"/>
      <c r="O4" s="5557"/>
      <c r="Q4" s="5557"/>
      <c r="R4" s="5556"/>
      <c r="S4" s="5556"/>
      <c r="T4" s="5557"/>
      <c r="V4" s="5557"/>
      <c r="W4" s="5556"/>
      <c r="X4" s="5556"/>
      <c r="Y4" s="5557"/>
      <c r="AA4" s="5557"/>
      <c r="AB4" s="5556"/>
    </row>
    <row r="5" spans="1:33">
      <c r="M5" s="5555"/>
      <c r="N5" s="5555"/>
      <c r="O5" s="5555"/>
      <c r="Q5" s="5555"/>
      <c r="R5" s="5555"/>
      <c r="S5" s="5555"/>
      <c r="T5" s="5555"/>
      <c r="V5" s="5555"/>
      <c r="W5" s="5555"/>
      <c r="X5" s="5555"/>
      <c r="Y5" s="5555"/>
      <c r="AA5" s="5555"/>
      <c r="AB5" s="5555"/>
    </row>
    <row r="6" spans="1:33" s="5333" customFormat="1" ht="13" customHeight="1">
      <c r="A6" s="5340"/>
      <c r="B6" s="5340"/>
      <c r="C6" s="5340"/>
      <c r="D6" s="5974" t="s">
        <v>1112</v>
      </c>
      <c r="E6" s="5975"/>
      <c r="F6" s="5975"/>
      <c r="G6" s="5975"/>
      <c r="H6" s="5976"/>
      <c r="I6" s="5690"/>
      <c r="J6" s="5980" t="s">
        <v>1258</v>
      </c>
      <c r="K6" s="5981"/>
      <c r="L6" s="5982"/>
      <c r="M6" s="5623" t="s">
        <v>1491</v>
      </c>
      <c r="N6" s="5623" t="s">
        <v>1492</v>
      </c>
      <c r="O6" s="5963" t="s">
        <v>477</v>
      </c>
      <c r="P6" s="5624" t="s">
        <v>1491</v>
      </c>
      <c r="Q6" s="5963" t="s">
        <v>477</v>
      </c>
      <c r="R6" s="5986" t="s">
        <v>6</v>
      </c>
      <c r="S6" s="5623" t="s">
        <v>1491</v>
      </c>
      <c r="T6" s="5963" t="s">
        <v>477</v>
      </c>
      <c r="U6" s="5624" t="s">
        <v>1491</v>
      </c>
      <c r="V6" s="5963" t="s">
        <v>477</v>
      </c>
      <c r="W6" s="5965" t="s">
        <v>1490</v>
      </c>
      <c r="X6" s="5623" t="s">
        <v>1492</v>
      </c>
      <c r="Y6" s="5963" t="s">
        <v>477</v>
      </c>
      <c r="Z6" s="5624" t="s">
        <v>1491</v>
      </c>
      <c r="AA6" s="5963" t="s">
        <v>477</v>
      </c>
      <c r="AB6" s="5965" t="s">
        <v>6</v>
      </c>
      <c r="AF6" s="5338"/>
    </row>
    <row r="7" spans="1:33" s="5333" customFormat="1" ht="13" customHeight="1">
      <c r="A7" s="5340"/>
      <c r="B7" s="5340"/>
      <c r="C7" s="5340"/>
      <c r="D7" s="5977"/>
      <c r="E7" s="5978"/>
      <c r="F7" s="5978"/>
      <c r="G7" s="5978"/>
      <c r="H7" s="5979"/>
      <c r="I7" s="5628"/>
      <c r="J7" s="5983"/>
      <c r="K7" s="5984"/>
      <c r="L7" s="5985"/>
      <c r="M7" s="5625" t="s">
        <v>1489</v>
      </c>
      <c r="N7" s="5625" t="s">
        <v>1489</v>
      </c>
      <c r="O7" s="5964"/>
      <c r="P7" s="5626" t="s">
        <v>1488</v>
      </c>
      <c r="Q7" s="5964"/>
      <c r="R7" s="5987"/>
      <c r="S7" s="5625" t="s">
        <v>1493</v>
      </c>
      <c r="T7" s="5964"/>
      <c r="U7" s="5626" t="s">
        <v>1488</v>
      </c>
      <c r="V7" s="5964"/>
      <c r="W7" s="5966"/>
      <c r="X7" s="5625" t="s">
        <v>1493</v>
      </c>
      <c r="Y7" s="5964"/>
      <c r="Z7" s="5626" t="s">
        <v>1488</v>
      </c>
      <c r="AA7" s="5964"/>
      <c r="AB7" s="5966"/>
      <c r="AF7" s="5338"/>
    </row>
    <row r="8" spans="1:33" s="5333" customFormat="1" ht="13" customHeight="1">
      <c r="A8" s="5340"/>
      <c r="B8" s="5340"/>
      <c r="C8" s="5340"/>
      <c r="D8" s="5554">
        <v>1</v>
      </c>
      <c r="E8" s="5553"/>
      <c r="F8" s="5553"/>
      <c r="G8" s="5553"/>
      <c r="H8" s="5552"/>
      <c r="I8" s="5553"/>
      <c r="J8" s="5551" t="s">
        <v>460</v>
      </c>
      <c r="K8" s="5550"/>
      <c r="L8" s="5549"/>
      <c r="M8" s="5547">
        <v>3</v>
      </c>
      <c r="N8" s="5547">
        <v>3</v>
      </c>
      <c r="O8" s="5547">
        <v>5</v>
      </c>
      <c r="P8" s="5548" t="s">
        <v>457</v>
      </c>
      <c r="Q8" s="5547">
        <v>5</v>
      </c>
      <c r="R8" s="5547" t="s">
        <v>483</v>
      </c>
      <c r="S8" s="5547">
        <v>3</v>
      </c>
      <c r="T8" s="5547">
        <v>5</v>
      </c>
      <c r="U8" s="5548" t="s">
        <v>443</v>
      </c>
      <c r="V8" s="5547">
        <v>5</v>
      </c>
      <c r="W8" s="5547" t="s">
        <v>483</v>
      </c>
      <c r="X8" s="5547">
        <v>4</v>
      </c>
      <c r="Y8" s="5547">
        <v>5</v>
      </c>
      <c r="Z8" s="5548" t="s">
        <v>443</v>
      </c>
      <c r="AA8" s="5547">
        <v>5</v>
      </c>
      <c r="AB8" s="5569" t="s">
        <v>1494</v>
      </c>
      <c r="AF8" s="5338"/>
    </row>
    <row r="9" spans="1:33" s="5333" customFormat="1" ht="13.5" customHeight="1">
      <c r="A9" s="5340"/>
      <c r="B9" s="5340"/>
      <c r="C9" s="5340"/>
      <c r="D9" s="5546"/>
      <c r="E9" s="5545"/>
      <c r="F9" s="5545"/>
      <c r="G9" s="5545"/>
      <c r="H9" s="5544"/>
      <c r="I9" s="5545"/>
      <c r="J9" s="5543"/>
      <c r="K9" s="5542"/>
      <c r="L9" s="5541"/>
      <c r="M9" s="5539" t="e">
        <f>M10-[64]komponen!M11</f>
        <v>#REF!</v>
      </c>
      <c r="N9" s="5539" t="e">
        <f>N10-[64]komponen!N11</f>
        <v>#REF!</v>
      </c>
      <c r="O9" s="5539" t="e">
        <f>O10-[64]komponen!O11</f>
        <v>#REF!</v>
      </c>
      <c r="P9" s="5540" t="e">
        <f>P10-[64]komponen!P11</f>
        <v>#REF!</v>
      </c>
      <c r="Q9" s="5539"/>
      <c r="R9" s="5539"/>
      <c r="S9" s="5620" t="e">
        <f>S10-[64]komponen!S11</f>
        <v>#REF!</v>
      </c>
      <c r="T9" s="5620" t="e">
        <f>T10-[64]komponen!AD11</f>
        <v>#REF!</v>
      </c>
      <c r="U9" s="5621">
        <f>U10-[64]komponen!AE11</f>
        <v>2203291939258</v>
      </c>
      <c r="V9" s="5620" t="e">
        <f>V10-[64]komponen!V11</f>
        <v>#REF!</v>
      </c>
      <c r="W9" s="5620"/>
      <c r="X9" s="5667" t="e">
        <f>X10-#REF!</f>
        <v>#REF!</v>
      </c>
      <c r="Y9" s="5620" t="e">
        <f>Y10-[64]komponen!AI11</f>
        <v>#REF!</v>
      </c>
      <c r="Z9" s="5621">
        <f>Z10-[64]komponen!AJ11</f>
        <v>3576520815258</v>
      </c>
      <c r="AA9" s="5620" t="e">
        <f>AA10-[64]komponen!AA11</f>
        <v>#REF!</v>
      </c>
      <c r="AB9" s="5539"/>
      <c r="AC9" s="5357"/>
      <c r="AD9" s="5538"/>
      <c r="AE9" s="5538"/>
      <c r="AF9" s="5338"/>
    </row>
    <row r="10" spans="1:33" s="5521" customFormat="1" ht="15.05" customHeight="1">
      <c r="A10" s="5523"/>
      <c r="B10" s="5523"/>
      <c r="C10" s="5523"/>
      <c r="D10" s="5537"/>
      <c r="E10" s="5536"/>
      <c r="F10" s="5536"/>
      <c r="G10" s="5536"/>
      <c r="H10" s="5471"/>
      <c r="I10" s="5536"/>
      <c r="J10" s="5535" t="s">
        <v>60</v>
      </c>
      <c r="K10" s="5371"/>
      <c r="L10" s="5370"/>
      <c r="M10" s="5486">
        <v>3039987551600</v>
      </c>
      <c r="N10" s="5486">
        <f>+N12+N35+N44+N119+N211+N229+N250+N262+N285+N312+N327+N360+N391+N427+N448+N734+N743+N765+N773+N835+N859+N906+N931+N957+N967+N984+N1003+N1040+N296+N377+N415+N758+N889</f>
        <v>3555737341478.4399</v>
      </c>
      <c r="O10" s="5486">
        <f>N10-M10</f>
        <v>515749789878.43994</v>
      </c>
      <c r="P10" s="5485">
        <f>+P12+P35+P44+P119+P211+P229+P250+P262+P285+P312+P327+P360+P391+P427+P448+P734+P743+P765+P773+P835+P859+P906+P931+P957+P967+P984+P1003+P1040+P296+P377+P415+P758+P889</f>
        <v>3576520815258</v>
      </c>
      <c r="Q10" s="5596">
        <f>+P10-N10</f>
        <v>20783473779.560059</v>
      </c>
      <c r="R10" s="5597">
        <f>P10/N10*100-100</f>
        <v>0.58450531587685362</v>
      </c>
      <c r="S10" s="5485" t="e">
        <f t="shared" ref="S10:X10" si="0">S12+S35+S44+S107+S119+S211+S229+S250+S262+S285+S296+S312+S327+S360+S427+S448+S702+S714+S723+S734+S743+S758+S765+S773+S835+S859+S931+S957+S984+S1003+S1040+S1063</f>
        <v>#REF!</v>
      </c>
      <c r="T10" s="5485" t="e">
        <f t="shared" si="0"/>
        <v>#REF!</v>
      </c>
      <c r="U10" s="5485">
        <f t="shared" si="0"/>
        <v>2203291939258</v>
      </c>
      <c r="V10" s="5485" t="e">
        <f t="shared" si="0"/>
        <v>#REF!</v>
      </c>
      <c r="W10" s="5485" t="e">
        <f t="shared" si="0"/>
        <v>#REF!</v>
      </c>
      <c r="X10" s="5485" t="e">
        <f t="shared" si="0"/>
        <v>#REF!</v>
      </c>
      <c r="Y10" s="5486" t="e">
        <f>X10-W10</f>
        <v>#REF!</v>
      </c>
      <c r="Z10" s="5485">
        <f>+Z12+Z35+Z44+Z119+Z211+Z229+Z250+Z262+Z285+Z312+Z327+Z360+Z391+Z427+Z448+Z734+Z743+Z765+Z773+Z835+Z859+Z906+Z931+Z957+Z967+Z984+Z1003+Z1040+Z296+Z377+Z415+Z758+Z889</f>
        <v>3576520815258</v>
      </c>
      <c r="AA10" s="5596" t="e">
        <f>X10-S10</f>
        <v>#REF!</v>
      </c>
      <c r="AB10" s="5597" t="e">
        <f>X10/S10*100-100</f>
        <v>#REF!</v>
      </c>
      <c r="AC10" s="5594"/>
      <c r="AD10" s="5594"/>
      <c r="AE10" s="5594"/>
      <c r="AF10" s="5598"/>
      <c r="AG10" s="5594"/>
    </row>
    <row r="11" spans="1:33" s="5333" customFormat="1" ht="8.3000000000000007" customHeight="1">
      <c r="A11" s="5340"/>
      <c r="B11" s="5340"/>
      <c r="C11" s="5340"/>
      <c r="D11" s="5534"/>
      <c r="E11" s="5533"/>
      <c r="F11" s="5533"/>
      <c r="G11" s="5533"/>
      <c r="H11" s="5467"/>
      <c r="I11" s="5533"/>
      <c r="J11" s="5512"/>
      <c r="K11" s="5466"/>
      <c r="L11" s="5532"/>
      <c r="M11" s="5453"/>
      <c r="N11" s="5453"/>
      <c r="O11" s="5453"/>
      <c r="P11" s="5358"/>
      <c r="Q11" s="5453"/>
      <c r="R11" s="5453"/>
      <c r="S11" s="5358"/>
      <c r="T11" s="5453"/>
      <c r="U11" s="5358"/>
      <c r="V11" s="5453"/>
      <c r="W11" s="5453"/>
      <c r="X11" s="5358"/>
      <c r="Y11" s="5453"/>
      <c r="Z11" s="5358"/>
      <c r="AA11" s="5453"/>
      <c r="AB11" s="5453"/>
      <c r="AF11" s="5338"/>
      <c r="AG11" s="5349"/>
    </row>
    <row r="12" spans="1:33" s="5521" customFormat="1" ht="15.05" customHeight="1">
      <c r="A12" s="5464" t="s">
        <v>58</v>
      </c>
      <c r="B12" s="5464" t="s">
        <v>437</v>
      </c>
      <c r="C12" s="5464" t="s">
        <v>437</v>
      </c>
      <c r="D12" s="5393" t="s">
        <v>58</v>
      </c>
      <c r="E12" s="5393" t="s">
        <v>437</v>
      </c>
      <c r="F12" s="5393" t="s">
        <v>437</v>
      </c>
      <c r="G12" s="5393"/>
      <c r="H12" s="5393"/>
      <c r="I12" s="5629" t="s">
        <v>58</v>
      </c>
      <c r="J12" s="5391" t="s">
        <v>62</v>
      </c>
      <c r="K12" s="5390"/>
      <c r="L12" s="5389"/>
      <c r="M12" s="5502">
        <v>68500000</v>
      </c>
      <c r="N12" s="5502">
        <f>N16+N27</f>
        <v>68500000</v>
      </c>
      <c r="O12" s="5502">
        <f>N12-M12</f>
        <v>0</v>
      </c>
      <c r="P12" s="5501">
        <f>P16+P27</f>
        <v>68500000</v>
      </c>
      <c r="Q12" s="5502">
        <f>+P12-N12</f>
        <v>0</v>
      </c>
      <c r="R12" s="5501">
        <f>P12/N12*100-100</f>
        <v>0</v>
      </c>
      <c r="S12" s="5501">
        <f>S16+S27</f>
        <v>161895000</v>
      </c>
      <c r="T12" s="5502">
        <f>S12-R12</f>
        <v>161895000</v>
      </c>
      <c r="U12" s="5501">
        <f>U16+U27</f>
        <v>68500000</v>
      </c>
      <c r="V12" s="5502">
        <f>S12-P12</f>
        <v>93395000</v>
      </c>
      <c r="W12" s="5501">
        <f>S12/P12*100-100</f>
        <v>136.34306569343067</v>
      </c>
      <c r="X12" s="5501">
        <f>X16+X27</f>
        <v>166895000</v>
      </c>
      <c r="Y12" s="5502">
        <f>X12-W12</f>
        <v>166894863.65693432</v>
      </c>
      <c r="Z12" s="5501">
        <f>Z16+Z27</f>
        <v>68500000</v>
      </c>
      <c r="AA12" s="5502">
        <f>X12-S12</f>
        <v>5000000</v>
      </c>
      <c r="AB12" s="5501">
        <f>X12/S12*100-100</f>
        <v>3.0884215077673787</v>
      </c>
      <c r="AF12" s="5594">
        <f t="shared" ref="AF12:AF19" si="1">S12-P12</f>
        <v>93395000</v>
      </c>
      <c r="AG12" s="5595">
        <f t="shared" ref="AG12:AG19" si="2">AF12-V12</f>
        <v>0</v>
      </c>
    </row>
    <row r="13" spans="1:33" s="5333" customFormat="1" ht="5.95" customHeight="1">
      <c r="A13" s="5340"/>
      <c r="B13" s="5340"/>
      <c r="C13" s="5340"/>
      <c r="D13" s="5387"/>
      <c r="E13" s="5387"/>
      <c r="F13" s="5387"/>
      <c r="G13" s="5387"/>
      <c r="H13" s="5387"/>
      <c r="I13" s="5630"/>
      <c r="J13" s="5385"/>
      <c r="K13" s="5384"/>
      <c r="L13" s="5383"/>
      <c r="M13" s="5382"/>
      <c r="N13" s="5382"/>
      <c r="O13" s="5382"/>
      <c r="P13" s="5381"/>
      <c r="Q13" s="5382"/>
      <c r="R13" s="5381"/>
      <c r="S13" s="5381"/>
      <c r="T13" s="5382"/>
      <c r="U13" s="5381"/>
      <c r="V13" s="5382"/>
      <c r="W13" s="5381"/>
      <c r="X13" s="5381"/>
      <c r="Y13" s="5382"/>
      <c r="Z13" s="5381"/>
      <c r="AA13" s="5382"/>
      <c r="AB13" s="5381"/>
      <c r="AC13" s="5349"/>
      <c r="AD13" s="5349"/>
      <c r="AE13" s="5349"/>
      <c r="AF13" s="5349">
        <f t="shared" si="1"/>
        <v>0</v>
      </c>
      <c r="AG13" s="5338">
        <f t="shared" si="2"/>
        <v>0</v>
      </c>
    </row>
    <row r="14" spans="1:33" s="5333" customFormat="1" ht="15.05" customHeight="1">
      <c r="A14" s="5340"/>
      <c r="B14" s="5340"/>
      <c r="C14" s="5340"/>
      <c r="D14" s="5374">
        <v>4</v>
      </c>
      <c r="E14" s="5374">
        <v>1</v>
      </c>
      <c r="F14" s="5374"/>
      <c r="G14" s="5374"/>
      <c r="H14" s="5374"/>
      <c r="I14" s="5537"/>
      <c r="J14" s="5372" t="s">
        <v>180</v>
      </c>
      <c r="K14" s="5371"/>
      <c r="L14" s="5370"/>
      <c r="M14" s="5357">
        <v>68500000</v>
      </c>
      <c r="N14" s="5357">
        <f>N16+N27</f>
        <v>68500000</v>
      </c>
      <c r="O14" s="5357">
        <f>N14-M14</f>
        <v>0</v>
      </c>
      <c r="P14" s="5358">
        <f>P16+P27</f>
        <v>68500000</v>
      </c>
      <c r="Q14" s="5529">
        <f>+P14-N14</f>
        <v>0</v>
      </c>
      <c r="R14" s="5358">
        <f>P14/N14*100-100</f>
        <v>0</v>
      </c>
      <c r="S14" s="5358">
        <f>S16+S27</f>
        <v>161895000</v>
      </c>
      <c r="T14" s="5357">
        <f>S14-R14</f>
        <v>161895000</v>
      </c>
      <c r="U14" s="5358">
        <f>U16+U27</f>
        <v>68500000</v>
      </c>
      <c r="V14" s="5529">
        <f>S14-P14</f>
        <v>93395000</v>
      </c>
      <c r="W14" s="5358">
        <f>S14/P14*100-100</f>
        <v>136.34306569343067</v>
      </c>
      <c r="X14" s="5358">
        <f>X16+X27</f>
        <v>166895000</v>
      </c>
      <c r="Y14" s="5357">
        <f>X14-W14</f>
        <v>166894863.65693432</v>
      </c>
      <c r="Z14" s="5358">
        <f>Z16+Z27</f>
        <v>68500000</v>
      </c>
      <c r="AA14" s="5529">
        <f>X14-S14</f>
        <v>5000000</v>
      </c>
      <c r="AB14" s="5358">
        <f>X14/S14*100-100</f>
        <v>3.0884215077673787</v>
      </c>
      <c r="AC14" s="5349" t="e">
        <f>X17+X96+X237+X317+X335+X365+X396+X442+X453+X770+X840+X864+X894+X911+X936+X1008</f>
        <v>#REF!</v>
      </c>
      <c r="AD14" s="5349" t="e">
        <f>X18+X97+X238+X318+X366+X443+X454+X841+X937+X1009</f>
        <v>#REF!</v>
      </c>
      <c r="AE14" s="5349"/>
      <c r="AF14" s="5349">
        <f t="shared" si="1"/>
        <v>93395000</v>
      </c>
      <c r="AG14" s="5338">
        <f t="shared" si="2"/>
        <v>0</v>
      </c>
    </row>
    <row r="15" spans="1:33" s="5333" customFormat="1" ht="5.95" customHeight="1">
      <c r="A15" s="5340"/>
      <c r="B15" s="5340"/>
      <c r="C15" s="5340"/>
      <c r="D15" s="5367"/>
      <c r="E15" s="5380"/>
      <c r="F15" s="5380"/>
      <c r="G15" s="5380"/>
      <c r="H15" s="5380"/>
      <c r="I15" s="5496"/>
      <c r="J15" s="5366"/>
      <c r="K15" s="5371"/>
      <c r="L15" s="5370"/>
      <c r="M15" s="5357"/>
      <c r="N15" s="5357"/>
      <c r="O15" s="5357"/>
      <c r="P15" s="5358"/>
      <c r="Q15" s="5529"/>
      <c r="R15" s="5358"/>
      <c r="S15" s="5358"/>
      <c r="T15" s="5357"/>
      <c r="U15" s="5358"/>
      <c r="V15" s="5529"/>
      <c r="W15" s="5358"/>
      <c r="X15" s="5358"/>
      <c r="Y15" s="5357"/>
      <c r="Z15" s="5358"/>
      <c r="AA15" s="5529"/>
      <c r="AB15" s="5358"/>
      <c r="AC15" s="5349"/>
      <c r="AD15" s="5349"/>
      <c r="AE15" s="5349"/>
      <c r="AF15" s="5349">
        <f t="shared" si="1"/>
        <v>0</v>
      </c>
      <c r="AG15" s="5338">
        <f t="shared" si="2"/>
        <v>0</v>
      </c>
    </row>
    <row r="16" spans="1:33" s="5333" customFormat="1" ht="15.05" customHeight="1">
      <c r="A16" s="5340"/>
      <c r="B16" s="5340"/>
      <c r="C16" s="5340"/>
      <c r="D16" s="5374">
        <v>4</v>
      </c>
      <c r="E16" s="5374">
        <v>1</v>
      </c>
      <c r="F16" s="5374">
        <v>2</v>
      </c>
      <c r="G16" s="5374"/>
      <c r="H16" s="5374"/>
      <c r="I16" s="5537"/>
      <c r="J16" s="5372" t="s">
        <v>106</v>
      </c>
      <c r="K16" s="5371"/>
      <c r="L16" s="5370"/>
      <c r="M16" s="5357">
        <v>68500000</v>
      </c>
      <c r="N16" s="5357">
        <f>+N17</f>
        <v>68500000</v>
      </c>
      <c r="O16" s="5357">
        <f>N16-M16</f>
        <v>0</v>
      </c>
      <c r="P16" s="5358">
        <f>+P17</f>
        <v>68500000</v>
      </c>
      <c r="Q16" s="5529">
        <f>+P16-N16</f>
        <v>0</v>
      </c>
      <c r="R16" s="5358">
        <f>P16/N16*100-100</f>
        <v>0</v>
      </c>
      <c r="S16" s="5358">
        <f>+S17</f>
        <v>161895000</v>
      </c>
      <c r="T16" s="5357">
        <f>S16-R16</f>
        <v>161895000</v>
      </c>
      <c r="U16" s="5358">
        <f>+U17</f>
        <v>68500000</v>
      </c>
      <c r="V16" s="5529">
        <f>S16-P16</f>
        <v>93395000</v>
      </c>
      <c r="W16" s="5358">
        <f>S16/P16*100-100</f>
        <v>136.34306569343067</v>
      </c>
      <c r="X16" s="5358">
        <f>+X17</f>
        <v>166895000</v>
      </c>
      <c r="Y16" s="5357">
        <f>X16-W16</f>
        <v>166894863.65693432</v>
      </c>
      <c r="Z16" s="5358">
        <f>+Z17</f>
        <v>68500000</v>
      </c>
      <c r="AA16" s="5529">
        <f>X16-S16</f>
        <v>5000000</v>
      </c>
      <c r="AB16" s="5358">
        <f t="shared" ref="AB16:AB21" si="3">X16/S16*100-100</f>
        <v>3.0884215077673787</v>
      </c>
      <c r="AC16" s="5531" t="e">
        <f>AC14/AF12*100</f>
        <v>#REF!</v>
      </c>
      <c r="AD16" s="5531"/>
      <c r="AE16" s="5531"/>
      <c r="AF16" s="5349">
        <f t="shared" si="1"/>
        <v>93395000</v>
      </c>
      <c r="AG16" s="5338">
        <f t="shared" si="2"/>
        <v>0</v>
      </c>
    </row>
    <row r="17" spans="1:33" s="5333" customFormat="1" ht="15.05" customHeight="1">
      <c r="A17" s="5340"/>
      <c r="B17" s="5340"/>
      <c r="C17" s="5340"/>
      <c r="D17" s="5367">
        <v>4</v>
      </c>
      <c r="E17" s="5367">
        <v>1</v>
      </c>
      <c r="F17" s="5367">
        <v>2</v>
      </c>
      <c r="G17" s="5368" t="s">
        <v>438</v>
      </c>
      <c r="H17" s="5367"/>
      <c r="I17" s="5631"/>
      <c r="J17" s="5366" t="s">
        <v>374</v>
      </c>
      <c r="K17" s="5361"/>
      <c r="L17" s="5365"/>
      <c r="M17" s="5357">
        <v>68500000</v>
      </c>
      <c r="N17" s="5498">
        <f>+N23+N18</f>
        <v>68500000</v>
      </c>
      <c r="O17" s="5357">
        <f>N17-M17</f>
        <v>0</v>
      </c>
      <c r="P17" s="5530">
        <f>+P23+P18</f>
        <v>68500000</v>
      </c>
      <c r="Q17" s="5529">
        <f>+P17-N17</f>
        <v>0</v>
      </c>
      <c r="R17" s="5358">
        <f>P17/N17*100-100</f>
        <v>0</v>
      </c>
      <c r="S17" s="5530">
        <f>+S23+S18</f>
        <v>161895000</v>
      </c>
      <c r="T17" s="5357">
        <f>S17-R17</f>
        <v>161895000</v>
      </c>
      <c r="U17" s="5530">
        <f>+U23+U18</f>
        <v>68500000</v>
      </c>
      <c r="V17" s="5529">
        <f>S17-P17</f>
        <v>93395000</v>
      </c>
      <c r="W17" s="5358">
        <f>S17/P17*100-100</f>
        <v>136.34306569343067</v>
      </c>
      <c r="X17" s="5530">
        <f>+X23+X18</f>
        <v>166895000</v>
      </c>
      <c r="Y17" s="5357">
        <f>X17-W17</f>
        <v>166894863.65693432</v>
      </c>
      <c r="Z17" s="5530">
        <f>+Z23+Z18</f>
        <v>68500000</v>
      </c>
      <c r="AA17" s="5529">
        <f>X17-S17</f>
        <v>5000000</v>
      </c>
      <c r="AB17" s="5358">
        <f t="shared" si="3"/>
        <v>3.0884215077673787</v>
      </c>
      <c r="AC17" s="5349"/>
      <c r="AD17" s="5349"/>
      <c r="AE17" s="5349"/>
      <c r="AF17" s="5349">
        <f t="shared" si="1"/>
        <v>93395000</v>
      </c>
      <c r="AG17" s="5338">
        <f t="shared" si="2"/>
        <v>0</v>
      </c>
    </row>
    <row r="18" spans="1:33" s="5333" customFormat="1" ht="15.05" customHeight="1">
      <c r="A18" s="5340"/>
      <c r="B18" s="5340"/>
      <c r="C18" s="5340"/>
      <c r="D18" s="5367">
        <v>4</v>
      </c>
      <c r="E18" s="5367">
        <v>1</v>
      </c>
      <c r="F18" s="5367">
        <v>2</v>
      </c>
      <c r="G18" s="5368" t="s">
        <v>438</v>
      </c>
      <c r="H18" s="5368" t="s">
        <v>437</v>
      </c>
      <c r="I18" s="5632"/>
      <c r="J18" s="5366" t="s">
        <v>64</v>
      </c>
      <c r="K18" s="5361"/>
      <c r="L18" s="5365"/>
      <c r="M18" s="5357">
        <v>8500000</v>
      </c>
      <c r="N18" s="5357">
        <f>N19</f>
        <v>8500000</v>
      </c>
      <c r="O18" s="5357">
        <f>N18-M18</f>
        <v>0</v>
      </c>
      <c r="P18" s="5358">
        <f>P19</f>
        <v>8500000</v>
      </c>
      <c r="Q18" s="5529">
        <f>+P18-N18</f>
        <v>0</v>
      </c>
      <c r="R18" s="5358">
        <f>P18/N18*100-100</f>
        <v>0</v>
      </c>
      <c r="S18" s="5358">
        <f>SUM(S19:S21)</f>
        <v>98395000</v>
      </c>
      <c r="T18" s="5357">
        <f>S18-R18</f>
        <v>98395000</v>
      </c>
      <c r="U18" s="5358">
        <f>U19</f>
        <v>8500000</v>
      </c>
      <c r="V18" s="5529">
        <f>S18-P18</f>
        <v>89895000</v>
      </c>
      <c r="W18" s="5358">
        <f>S18/P18*100-100</f>
        <v>1057.5882352941176</v>
      </c>
      <c r="X18" s="5358">
        <f>X19+X20+X21</f>
        <v>98395000</v>
      </c>
      <c r="Y18" s="5357">
        <f>X18-W18</f>
        <v>98393942.411764711</v>
      </c>
      <c r="Z18" s="5358">
        <f>Z19</f>
        <v>8500000</v>
      </c>
      <c r="AA18" s="5529">
        <f>X18-S18</f>
        <v>0</v>
      </c>
      <c r="AB18" s="5358">
        <f t="shared" si="3"/>
        <v>0</v>
      </c>
      <c r="AC18" s="5349" t="e">
        <f>AC14-9234718500</f>
        <v>#REF!</v>
      </c>
      <c r="AD18" s="5349"/>
      <c r="AE18" s="5349"/>
      <c r="AF18" s="5349">
        <f t="shared" si="1"/>
        <v>89895000</v>
      </c>
      <c r="AG18" s="5338">
        <f t="shared" si="2"/>
        <v>0</v>
      </c>
    </row>
    <row r="19" spans="1:33" s="5333" customFormat="1" ht="15.05" customHeight="1">
      <c r="A19" s="5340"/>
      <c r="B19" s="5340"/>
      <c r="C19" s="5340"/>
      <c r="D19" s="5368"/>
      <c r="E19" s="5380"/>
      <c r="F19" s="5379"/>
      <c r="G19" s="5368"/>
      <c r="H19" s="5367"/>
      <c r="I19" s="5631"/>
      <c r="J19" s="5366" t="s">
        <v>50</v>
      </c>
      <c r="K19" s="5361" t="s">
        <v>65</v>
      </c>
      <c r="L19" s="5365"/>
      <c r="M19" s="5357">
        <v>8500000</v>
      </c>
      <c r="N19" s="5357">
        <v>8500000</v>
      </c>
      <c r="O19" s="5359">
        <f>N19-M19</f>
        <v>0</v>
      </c>
      <c r="P19" s="5358">
        <v>8500000</v>
      </c>
      <c r="Q19" s="5529">
        <f>+P19-N19</f>
        <v>0</v>
      </c>
      <c r="R19" s="5358">
        <f>P19/N19*100-100</f>
        <v>0</v>
      </c>
      <c r="S19" s="5358">
        <f>'rekap perdinas Kua PPAS'!J13</f>
        <v>33395000</v>
      </c>
      <c r="T19" s="5359">
        <f>S19-R19</f>
        <v>33395000</v>
      </c>
      <c r="U19" s="5358">
        <v>8500000</v>
      </c>
      <c r="V19" s="5529">
        <f>S19-P19</f>
        <v>24895000</v>
      </c>
      <c r="W19" s="5358">
        <f>S19/P19*100-100</f>
        <v>292.88235294117646</v>
      </c>
      <c r="X19" s="5358">
        <v>33395000</v>
      </c>
      <c r="Y19" s="5359">
        <f>X19-W19</f>
        <v>33394707.117647059</v>
      </c>
      <c r="Z19" s="5358">
        <v>8500000</v>
      </c>
      <c r="AA19" s="5529">
        <f>X19-S19</f>
        <v>0</v>
      </c>
      <c r="AB19" s="5358">
        <f t="shared" si="3"/>
        <v>0</v>
      </c>
      <c r="AC19" s="5349"/>
      <c r="AD19" s="5349"/>
      <c r="AE19" s="5349"/>
      <c r="AF19" s="5349">
        <f t="shared" si="1"/>
        <v>24895000</v>
      </c>
      <c r="AG19" s="5338">
        <f t="shared" si="2"/>
        <v>0</v>
      </c>
    </row>
    <row r="20" spans="1:33" s="5333" customFormat="1" ht="15.05" customHeight="1">
      <c r="A20" s="5340"/>
      <c r="B20" s="5340"/>
      <c r="C20" s="5340"/>
      <c r="D20" s="5368"/>
      <c r="E20" s="5380"/>
      <c r="F20" s="5379"/>
      <c r="G20" s="5368"/>
      <c r="H20" s="5367"/>
      <c r="I20" s="5631"/>
      <c r="J20" s="5366" t="s">
        <v>50</v>
      </c>
      <c r="K20" s="5475" t="s">
        <v>66</v>
      </c>
      <c r="L20" s="5563"/>
      <c r="M20" s="5564"/>
      <c r="N20" s="5564"/>
      <c r="O20" s="5565"/>
      <c r="P20" s="5566"/>
      <c r="Q20" s="5567"/>
      <c r="R20" s="5566"/>
      <c r="S20" s="5566">
        <f>'rekap perdinas Kua PPAS'!J14</f>
        <v>25000000</v>
      </c>
      <c r="T20" s="5565"/>
      <c r="U20" s="5566"/>
      <c r="V20" s="5567"/>
      <c r="W20" s="5566"/>
      <c r="X20" s="5566">
        <v>25000000</v>
      </c>
      <c r="Y20" s="5359"/>
      <c r="Z20" s="5358"/>
      <c r="AA20" s="5529"/>
      <c r="AB20" s="5358">
        <f t="shared" si="3"/>
        <v>0</v>
      </c>
      <c r="AC20" s="5349"/>
      <c r="AD20" s="5349"/>
      <c r="AE20" s="5349"/>
      <c r="AF20" s="5349"/>
      <c r="AG20" s="5338"/>
    </row>
    <row r="21" spans="1:33" s="5333" customFormat="1" ht="15.05" customHeight="1">
      <c r="A21" s="5340"/>
      <c r="B21" s="5340"/>
      <c r="C21" s="5340"/>
      <c r="D21" s="5368"/>
      <c r="E21" s="5380"/>
      <c r="F21" s="5379"/>
      <c r="G21" s="5368"/>
      <c r="H21" s="5367"/>
      <c r="I21" s="5631"/>
      <c r="J21" s="5366" t="s">
        <v>50</v>
      </c>
      <c r="K21" s="5475" t="s">
        <v>67</v>
      </c>
      <c r="L21" s="5563"/>
      <c r="M21" s="5564"/>
      <c r="N21" s="5564"/>
      <c r="O21" s="5565"/>
      <c r="P21" s="5566"/>
      <c r="Q21" s="5567"/>
      <c r="R21" s="5566"/>
      <c r="S21" s="5566">
        <f>'rekap perdinas Kua PPAS'!J15</f>
        <v>40000000</v>
      </c>
      <c r="T21" s="5565"/>
      <c r="U21" s="5566"/>
      <c r="V21" s="5567"/>
      <c r="W21" s="5566"/>
      <c r="X21" s="5566">
        <v>40000000</v>
      </c>
      <c r="Y21" s="5359"/>
      <c r="Z21" s="5358"/>
      <c r="AA21" s="5529"/>
      <c r="AB21" s="5358">
        <f t="shared" si="3"/>
        <v>0</v>
      </c>
      <c r="AC21" s="5349"/>
      <c r="AD21" s="5349"/>
      <c r="AE21" s="5349"/>
      <c r="AF21" s="5349"/>
      <c r="AG21" s="5338"/>
    </row>
    <row r="22" spans="1:33" s="5333" customFormat="1" ht="8.3000000000000007" customHeight="1">
      <c r="A22" s="5340"/>
      <c r="B22" s="5340"/>
      <c r="C22" s="5340"/>
      <c r="D22" s="5367"/>
      <c r="E22" s="5367"/>
      <c r="F22" s="5367"/>
      <c r="G22" s="5368"/>
      <c r="H22" s="5367"/>
      <c r="I22" s="5631"/>
      <c r="J22" s="5366"/>
      <c r="K22" s="5475"/>
      <c r="L22" s="5563"/>
      <c r="M22" s="5564"/>
      <c r="N22" s="5564"/>
      <c r="O22" s="5564"/>
      <c r="P22" s="5566"/>
      <c r="Q22" s="5567"/>
      <c r="R22" s="5566"/>
      <c r="S22" s="5566"/>
      <c r="T22" s="5564"/>
      <c r="U22" s="5566"/>
      <c r="V22" s="5567"/>
      <c r="W22" s="5566"/>
      <c r="X22" s="5566"/>
      <c r="Y22" s="5357"/>
      <c r="Z22" s="5358"/>
      <c r="AA22" s="5529"/>
      <c r="AB22" s="5358"/>
      <c r="AC22" s="5349"/>
      <c r="AD22" s="5349"/>
      <c r="AE22" s="5349"/>
      <c r="AF22" s="5349">
        <f>S22-P22</f>
        <v>0</v>
      </c>
      <c r="AG22" s="5338">
        <f>AF22-V22</f>
        <v>0</v>
      </c>
    </row>
    <row r="23" spans="1:33" s="5333" customFormat="1" ht="15.05" customHeight="1">
      <c r="A23" s="5340"/>
      <c r="B23" s="5340"/>
      <c r="C23" s="5340"/>
      <c r="D23" s="5367" t="s">
        <v>1487</v>
      </c>
      <c r="E23" s="5367">
        <v>1</v>
      </c>
      <c r="F23" s="5367">
        <v>2</v>
      </c>
      <c r="G23" s="5368" t="s">
        <v>438</v>
      </c>
      <c r="H23" s="5368" t="s">
        <v>440</v>
      </c>
      <c r="I23" s="5632"/>
      <c r="J23" s="5366" t="s">
        <v>304</v>
      </c>
      <c r="K23" s="5475"/>
      <c r="L23" s="5563"/>
      <c r="M23" s="5564">
        <v>60000000</v>
      </c>
      <c r="N23" s="5564">
        <f>+N25</f>
        <v>60000000</v>
      </c>
      <c r="O23" s="5564">
        <f>N23-M23</f>
        <v>0</v>
      </c>
      <c r="P23" s="5566">
        <f>+P25</f>
        <v>60000000</v>
      </c>
      <c r="Q23" s="5567">
        <f>+P23-N23</f>
        <v>0</v>
      </c>
      <c r="R23" s="5566">
        <f>P23/N23*100-100</f>
        <v>0</v>
      </c>
      <c r="S23" s="5566">
        <f>S24+S25</f>
        <v>63500000</v>
      </c>
      <c r="T23" s="5564">
        <f>S23-R23</f>
        <v>63500000</v>
      </c>
      <c r="U23" s="5566">
        <f>+U25</f>
        <v>60000000</v>
      </c>
      <c r="V23" s="5567">
        <f>S23-P23</f>
        <v>3500000</v>
      </c>
      <c r="W23" s="5566">
        <f>S23/P23*100-100</f>
        <v>5.8333333333333286</v>
      </c>
      <c r="X23" s="5566">
        <f>X24+X25</f>
        <v>68500000</v>
      </c>
      <c r="Y23" s="5357">
        <f>X23-W23</f>
        <v>68499994.166666672</v>
      </c>
      <c r="Z23" s="5358">
        <f>+Z25</f>
        <v>60000000</v>
      </c>
      <c r="AA23" s="5529">
        <f>X23-S23</f>
        <v>5000000</v>
      </c>
      <c r="AB23" s="5358">
        <f>X23/S23*100-100</f>
        <v>7.8740157480315105</v>
      </c>
      <c r="AC23" s="5349"/>
      <c r="AD23" s="5349">
        <f>X23+X100+X340+X369+X771+X848+X895</f>
        <v>2443500000</v>
      </c>
      <c r="AE23" s="5349">
        <f>AD23-2490625000</f>
        <v>-47125000</v>
      </c>
      <c r="AF23" s="5349">
        <f>S23-P23</f>
        <v>3500000</v>
      </c>
      <c r="AG23" s="5338">
        <f>AF23-V23</f>
        <v>0</v>
      </c>
    </row>
    <row r="24" spans="1:33" s="5333" customFormat="1" ht="15.05" customHeight="1">
      <c r="A24" s="5340"/>
      <c r="B24" s="5340"/>
      <c r="C24" s="5340"/>
      <c r="D24" s="5367"/>
      <c r="E24" s="5367"/>
      <c r="F24" s="5367"/>
      <c r="G24" s="5368"/>
      <c r="H24" s="5368"/>
      <c r="I24" s="5632"/>
      <c r="J24" s="5408" t="s">
        <v>50</v>
      </c>
      <c r="K24" s="5475" t="s">
        <v>69</v>
      </c>
      <c r="L24" s="5563"/>
      <c r="M24" s="5565">
        <v>60000000</v>
      </c>
      <c r="N24" s="5565">
        <v>60000000</v>
      </c>
      <c r="O24" s="5565">
        <f>N24-M24</f>
        <v>0</v>
      </c>
      <c r="P24" s="5566">
        <v>60000000</v>
      </c>
      <c r="Q24" s="5567">
        <f>+P24-N24</f>
        <v>0</v>
      </c>
      <c r="R24" s="5566">
        <f>P24/N24*100-100</f>
        <v>0</v>
      </c>
      <c r="S24" s="5566">
        <f>'rekap perdinas Kua PPAS'!J18</f>
        <v>60000000</v>
      </c>
      <c r="T24" s="5565">
        <f>S24-R24</f>
        <v>60000000</v>
      </c>
      <c r="U24" s="5566">
        <v>60000000</v>
      </c>
      <c r="V24" s="5567">
        <f>S24-P24</f>
        <v>0</v>
      </c>
      <c r="W24" s="5566">
        <f>S24/P24*100-100</f>
        <v>0</v>
      </c>
      <c r="X24" s="5566">
        <v>65000000</v>
      </c>
      <c r="Y24" s="5357"/>
      <c r="Z24" s="5358"/>
      <c r="AA24" s="5529">
        <f>SUM(X24-S24)</f>
        <v>5000000</v>
      </c>
      <c r="AB24" s="5358">
        <f>SUM(X24/S24*100-100)</f>
        <v>8.3333333333333286</v>
      </c>
      <c r="AC24" s="5349"/>
      <c r="AD24" s="5349"/>
      <c r="AE24" s="5349"/>
      <c r="AF24" s="5349"/>
      <c r="AG24" s="5338"/>
    </row>
    <row r="25" spans="1:33" s="5333" customFormat="1" ht="15.05" customHeight="1">
      <c r="A25" s="5340"/>
      <c r="B25" s="5340"/>
      <c r="C25" s="5340"/>
      <c r="D25" s="5368"/>
      <c r="E25" s="5367"/>
      <c r="F25" s="5367"/>
      <c r="G25" s="5368"/>
      <c r="H25" s="5368"/>
      <c r="I25" s="5632"/>
      <c r="J25" s="5408" t="s">
        <v>50</v>
      </c>
      <c r="K25" s="5475" t="s">
        <v>70</v>
      </c>
      <c r="L25" s="5563"/>
      <c r="M25" s="5565">
        <v>60000000</v>
      </c>
      <c r="N25" s="5565">
        <v>60000000</v>
      </c>
      <c r="O25" s="5565">
        <f>N25-M25</f>
        <v>0</v>
      </c>
      <c r="P25" s="5566">
        <v>60000000</v>
      </c>
      <c r="Q25" s="5567">
        <f>+P25-N25</f>
        <v>0</v>
      </c>
      <c r="R25" s="5566">
        <f>P25/N25*100-100</f>
        <v>0</v>
      </c>
      <c r="S25" s="5566">
        <f>'rekap perdinas Kua PPAS'!J19</f>
        <v>3500000</v>
      </c>
      <c r="T25" s="5565">
        <f>S25-R25</f>
        <v>3500000</v>
      </c>
      <c r="U25" s="5566">
        <v>60000000</v>
      </c>
      <c r="V25" s="5567">
        <f>S25-P25</f>
        <v>-56500000</v>
      </c>
      <c r="W25" s="5566">
        <f>S25/P25*100-100</f>
        <v>-94.166666666666671</v>
      </c>
      <c r="X25" s="5566">
        <v>3500000</v>
      </c>
      <c r="Y25" s="5359">
        <f>X25-W25</f>
        <v>3500094.1666666665</v>
      </c>
      <c r="Z25" s="5358">
        <v>60000000</v>
      </c>
      <c r="AA25" s="5529">
        <f>X25-S25</f>
        <v>0</v>
      </c>
      <c r="AB25" s="5358">
        <f>X25/S25*100-100</f>
        <v>0</v>
      </c>
      <c r="AC25" s="5350"/>
      <c r="AD25" s="5350"/>
      <c r="AE25" s="5350"/>
      <c r="AF25" s="5349">
        <f t="shared" ref="AF25:AF88" si="4">S25-P25</f>
        <v>-56500000</v>
      </c>
      <c r="AG25" s="5338">
        <f t="shared" ref="AG25:AG88" si="5">AF25-V25</f>
        <v>0</v>
      </c>
    </row>
    <row r="26" spans="1:33" s="5333" customFormat="1" ht="9.1" customHeight="1">
      <c r="A26" s="5340"/>
      <c r="B26" s="5340"/>
      <c r="C26" s="5340"/>
      <c r="D26" s="5368"/>
      <c r="E26" s="5367"/>
      <c r="F26" s="5367"/>
      <c r="G26" s="5368"/>
      <c r="H26" s="5368"/>
      <c r="I26" s="5632"/>
      <c r="J26" s="5408"/>
      <c r="K26" s="5361"/>
      <c r="L26" s="5365"/>
      <c r="M26" s="5357"/>
      <c r="N26" s="5357"/>
      <c r="O26" s="5357"/>
      <c r="P26" s="5358"/>
      <c r="Q26" s="5357"/>
      <c r="R26" s="5358"/>
      <c r="S26" s="5358"/>
      <c r="T26" s="5357"/>
      <c r="U26" s="5358"/>
      <c r="V26" s="5357"/>
      <c r="W26" s="5358"/>
      <c r="X26" s="5358"/>
      <c r="Y26" s="5357"/>
      <c r="Z26" s="5358"/>
      <c r="AA26" s="5357"/>
      <c r="AB26" s="5358"/>
      <c r="AC26" s="5349"/>
      <c r="AD26" s="5349"/>
      <c r="AE26" s="5349"/>
      <c r="AF26" s="5349">
        <f t="shared" si="4"/>
        <v>0</v>
      </c>
      <c r="AG26" s="5338">
        <f t="shared" si="5"/>
        <v>0</v>
      </c>
    </row>
    <row r="27" spans="1:33" s="5333" customFormat="1" ht="15.05" hidden="1" customHeight="1">
      <c r="A27" s="5340"/>
      <c r="B27" s="5340"/>
      <c r="C27" s="5340"/>
      <c r="D27" s="5374">
        <v>4</v>
      </c>
      <c r="E27" s="5374">
        <v>1</v>
      </c>
      <c r="F27" s="5374">
        <v>4</v>
      </c>
      <c r="G27" s="5373"/>
      <c r="H27" s="5373"/>
      <c r="I27" s="5633"/>
      <c r="J27" s="5372" t="s">
        <v>71</v>
      </c>
      <c r="K27" s="5371"/>
      <c r="L27" s="5370"/>
      <c r="M27" s="5357">
        <v>0</v>
      </c>
      <c r="N27" s="5357">
        <f>SUM(N29+N31)</f>
        <v>0</v>
      </c>
      <c r="O27" s="5359">
        <f t="shared" ref="O27:O35" si="6">N27-M27</f>
        <v>0</v>
      </c>
      <c r="P27" s="5358"/>
      <c r="Q27" s="5359"/>
      <c r="R27" s="5358" t="e">
        <f t="shared" ref="R27:R34" si="7">P27/N27*100-100</f>
        <v>#DIV/0!</v>
      </c>
      <c r="S27" s="5358"/>
      <c r="T27" s="5359" t="e">
        <f t="shared" ref="T27:T35" si="8">S27-R27</f>
        <v>#DIV/0!</v>
      </c>
      <c r="U27" s="5358"/>
      <c r="V27" s="5359">
        <f t="shared" ref="V27:V33" si="9">S27-P27</f>
        <v>0</v>
      </c>
      <c r="W27" s="5358" t="e">
        <f t="shared" ref="W27:W33" si="10">S27/P27*100-100</f>
        <v>#DIV/0!</v>
      </c>
      <c r="X27" s="5358"/>
      <c r="Y27" s="5359" t="e">
        <f t="shared" ref="Y27:Y35" si="11">X27-W27</f>
        <v>#DIV/0!</v>
      </c>
      <c r="Z27" s="5358"/>
      <c r="AA27" s="5359">
        <f t="shared" ref="AA27:AA33" si="12">X27-S27</f>
        <v>0</v>
      </c>
      <c r="AB27" s="5358" t="e">
        <f t="shared" ref="AB27:AB33" si="13">X27/S27*100-100</f>
        <v>#DIV/0!</v>
      </c>
      <c r="AC27" s="5349"/>
      <c r="AD27" s="5349"/>
      <c r="AE27" s="5349"/>
      <c r="AF27" s="5349">
        <f t="shared" si="4"/>
        <v>0</v>
      </c>
      <c r="AG27" s="5338">
        <f t="shared" si="5"/>
        <v>0</v>
      </c>
    </row>
    <row r="28" spans="1:33" s="5333" customFormat="1" ht="15.05" hidden="1" customHeight="1">
      <c r="A28" s="5340"/>
      <c r="B28" s="5340"/>
      <c r="C28" s="5340"/>
      <c r="D28" s="5367">
        <v>4</v>
      </c>
      <c r="E28" s="5367">
        <v>1</v>
      </c>
      <c r="F28" s="5367">
        <v>4</v>
      </c>
      <c r="G28" s="5367" t="s">
        <v>444</v>
      </c>
      <c r="H28" s="5367"/>
      <c r="I28" s="5631"/>
      <c r="J28" s="5366" t="s">
        <v>222</v>
      </c>
      <c r="K28" s="5361"/>
      <c r="L28" s="5365"/>
      <c r="M28" s="5357">
        <v>0</v>
      </c>
      <c r="N28" s="5357">
        <f>N29</f>
        <v>0</v>
      </c>
      <c r="O28" s="5359">
        <f t="shared" si="6"/>
        <v>0</v>
      </c>
      <c r="P28" s="5358"/>
      <c r="Q28" s="5359"/>
      <c r="R28" s="5358" t="e">
        <f t="shared" si="7"/>
        <v>#DIV/0!</v>
      </c>
      <c r="S28" s="5358"/>
      <c r="T28" s="5359" t="e">
        <f t="shared" si="8"/>
        <v>#DIV/0!</v>
      </c>
      <c r="U28" s="5358"/>
      <c r="V28" s="5359">
        <f t="shared" si="9"/>
        <v>0</v>
      </c>
      <c r="W28" s="5358" t="e">
        <f t="shared" si="10"/>
        <v>#DIV/0!</v>
      </c>
      <c r="X28" s="5358"/>
      <c r="Y28" s="5359" t="e">
        <f t="shared" si="11"/>
        <v>#DIV/0!</v>
      </c>
      <c r="Z28" s="5358"/>
      <c r="AA28" s="5359">
        <f t="shared" si="12"/>
        <v>0</v>
      </c>
      <c r="AB28" s="5358" t="e">
        <f t="shared" si="13"/>
        <v>#DIV/0!</v>
      </c>
      <c r="AC28" s="5349"/>
      <c r="AD28" s="5349"/>
      <c r="AE28" s="5349"/>
      <c r="AF28" s="5349">
        <f t="shared" si="4"/>
        <v>0</v>
      </c>
      <c r="AG28" s="5338">
        <f t="shared" si="5"/>
        <v>0</v>
      </c>
    </row>
    <row r="29" spans="1:33" s="5333" customFormat="1" ht="15.05" hidden="1" customHeight="1">
      <c r="A29" s="5340"/>
      <c r="B29" s="5340"/>
      <c r="C29" s="5340"/>
      <c r="D29" s="5400">
        <v>4</v>
      </c>
      <c r="E29" s="5400">
        <v>1</v>
      </c>
      <c r="F29" s="5400">
        <v>4</v>
      </c>
      <c r="G29" s="5400" t="s">
        <v>444</v>
      </c>
      <c r="H29" s="5400" t="s">
        <v>441</v>
      </c>
      <c r="I29" s="5634"/>
      <c r="J29" s="5366" t="s">
        <v>1283</v>
      </c>
      <c r="K29" s="5361"/>
      <c r="L29" s="5365"/>
      <c r="M29" s="5357">
        <v>0</v>
      </c>
      <c r="N29" s="5357">
        <v>0</v>
      </c>
      <c r="O29" s="5359">
        <f t="shared" si="6"/>
        <v>0</v>
      </c>
      <c r="P29" s="5358"/>
      <c r="Q29" s="5359"/>
      <c r="R29" s="5358" t="e">
        <f t="shared" si="7"/>
        <v>#DIV/0!</v>
      </c>
      <c r="S29" s="5358"/>
      <c r="T29" s="5359" t="e">
        <f t="shared" si="8"/>
        <v>#DIV/0!</v>
      </c>
      <c r="U29" s="5358"/>
      <c r="V29" s="5359">
        <f t="shared" si="9"/>
        <v>0</v>
      </c>
      <c r="W29" s="5358" t="e">
        <f t="shared" si="10"/>
        <v>#DIV/0!</v>
      </c>
      <c r="X29" s="5358"/>
      <c r="Y29" s="5359" t="e">
        <f t="shared" si="11"/>
        <v>#DIV/0!</v>
      </c>
      <c r="Z29" s="5358"/>
      <c r="AA29" s="5359">
        <f t="shared" si="12"/>
        <v>0</v>
      </c>
      <c r="AB29" s="5358" t="e">
        <f t="shared" si="13"/>
        <v>#DIV/0!</v>
      </c>
      <c r="AC29" s="5349"/>
      <c r="AD29" s="5349"/>
      <c r="AE29" s="5349"/>
      <c r="AF29" s="5349">
        <f t="shared" si="4"/>
        <v>0</v>
      </c>
      <c r="AG29" s="5338">
        <f t="shared" si="5"/>
        <v>0</v>
      </c>
    </row>
    <row r="30" spans="1:33" s="5333" customFormat="1" ht="10.5" hidden="1" customHeight="1">
      <c r="A30" s="5340"/>
      <c r="B30" s="5340"/>
      <c r="C30" s="5340"/>
      <c r="D30" s="5367"/>
      <c r="E30" s="5380"/>
      <c r="F30" s="5380"/>
      <c r="G30" s="5379"/>
      <c r="H30" s="5379"/>
      <c r="I30" s="5495"/>
      <c r="J30" s="5366"/>
      <c r="K30" s="5361"/>
      <c r="L30" s="5365"/>
      <c r="M30" s="5357"/>
      <c r="N30" s="5357"/>
      <c r="O30" s="5357">
        <f t="shared" si="6"/>
        <v>0</v>
      </c>
      <c r="P30" s="5358"/>
      <c r="Q30" s="5357"/>
      <c r="R30" s="5358" t="e">
        <f t="shared" si="7"/>
        <v>#DIV/0!</v>
      </c>
      <c r="S30" s="5358"/>
      <c r="T30" s="5357" t="e">
        <f t="shared" si="8"/>
        <v>#DIV/0!</v>
      </c>
      <c r="U30" s="5358"/>
      <c r="V30" s="5357">
        <f t="shared" si="9"/>
        <v>0</v>
      </c>
      <c r="W30" s="5358" t="e">
        <f t="shared" si="10"/>
        <v>#DIV/0!</v>
      </c>
      <c r="X30" s="5358"/>
      <c r="Y30" s="5357" t="e">
        <f t="shared" si="11"/>
        <v>#DIV/0!</v>
      </c>
      <c r="Z30" s="5358"/>
      <c r="AA30" s="5357">
        <f t="shared" si="12"/>
        <v>0</v>
      </c>
      <c r="AB30" s="5358" t="e">
        <f t="shared" si="13"/>
        <v>#DIV/0!</v>
      </c>
      <c r="AC30" s="5349"/>
      <c r="AD30" s="5349"/>
      <c r="AE30" s="5349"/>
      <c r="AF30" s="5349">
        <f t="shared" si="4"/>
        <v>0</v>
      </c>
      <c r="AG30" s="5338">
        <f t="shared" si="5"/>
        <v>0</v>
      </c>
    </row>
    <row r="31" spans="1:33" s="5333" customFormat="1" ht="15.05" hidden="1" customHeight="1">
      <c r="A31" s="5340"/>
      <c r="B31" s="5340"/>
      <c r="C31" s="5340"/>
      <c r="D31" s="5367">
        <v>4</v>
      </c>
      <c r="E31" s="5367">
        <v>1</v>
      </c>
      <c r="F31" s="5367">
        <v>4</v>
      </c>
      <c r="G31" s="5367" t="s">
        <v>948</v>
      </c>
      <c r="H31" s="5368"/>
      <c r="I31" s="5632"/>
      <c r="J31" s="5366" t="s">
        <v>321</v>
      </c>
      <c r="K31" s="5361"/>
      <c r="L31" s="5365"/>
      <c r="M31" s="5357">
        <v>0</v>
      </c>
      <c r="N31" s="5357">
        <f>N32</f>
        <v>0</v>
      </c>
      <c r="O31" s="5359">
        <f t="shared" si="6"/>
        <v>0</v>
      </c>
      <c r="P31" s="5358"/>
      <c r="Q31" s="5359"/>
      <c r="R31" s="5358" t="e">
        <f t="shared" si="7"/>
        <v>#DIV/0!</v>
      </c>
      <c r="S31" s="5358"/>
      <c r="T31" s="5359" t="e">
        <f t="shared" si="8"/>
        <v>#DIV/0!</v>
      </c>
      <c r="U31" s="5358"/>
      <c r="V31" s="5359">
        <f t="shared" si="9"/>
        <v>0</v>
      </c>
      <c r="W31" s="5358" t="e">
        <f t="shared" si="10"/>
        <v>#DIV/0!</v>
      </c>
      <c r="X31" s="5358"/>
      <c r="Y31" s="5359" t="e">
        <f t="shared" si="11"/>
        <v>#DIV/0!</v>
      </c>
      <c r="Z31" s="5358"/>
      <c r="AA31" s="5359">
        <f t="shared" si="12"/>
        <v>0</v>
      </c>
      <c r="AB31" s="5358" t="e">
        <f t="shared" si="13"/>
        <v>#DIV/0!</v>
      </c>
      <c r="AC31" s="5349"/>
      <c r="AD31" s="5349"/>
      <c r="AE31" s="5349"/>
      <c r="AF31" s="5349">
        <f t="shared" si="4"/>
        <v>0</v>
      </c>
      <c r="AG31" s="5338">
        <f t="shared" si="5"/>
        <v>0</v>
      </c>
    </row>
    <row r="32" spans="1:33" s="5333" customFormat="1" ht="15.05" hidden="1" customHeight="1">
      <c r="A32" s="5340"/>
      <c r="B32" s="5340"/>
      <c r="C32" s="5340"/>
      <c r="D32" s="5367">
        <v>4</v>
      </c>
      <c r="E32" s="5367">
        <v>1</v>
      </c>
      <c r="F32" s="5367">
        <v>4</v>
      </c>
      <c r="G32" s="5367" t="s">
        <v>948</v>
      </c>
      <c r="H32" s="5367" t="s">
        <v>437</v>
      </c>
      <c r="I32" s="5631"/>
      <c r="J32" s="5366" t="s">
        <v>85</v>
      </c>
      <c r="K32" s="5361"/>
      <c r="L32" s="5365"/>
      <c r="M32" s="5357">
        <v>0</v>
      </c>
      <c r="N32" s="5357">
        <f>N33</f>
        <v>0</v>
      </c>
      <c r="O32" s="5359">
        <f t="shared" si="6"/>
        <v>0</v>
      </c>
      <c r="P32" s="5358"/>
      <c r="Q32" s="5359"/>
      <c r="R32" s="5358" t="e">
        <f t="shared" si="7"/>
        <v>#DIV/0!</v>
      </c>
      <c r="S32" s="5358"/>
      <c r="T32" s="5359" t="e">
        <f t="shared" si="8"/>
        <v>#DIV/0!</v>
      </c>
      <c r="U32" s="5358"/>
      <c r="V32" s="5359">
        <f t="shared" si="9"/>
        <v>0</v>
      </c>
      <c r="W32" s="5358" t="e">
        <f t="shared" si="10"/>
        <v>#DIV/0!</v>
      </c>
      <c r="X32" s="5358"/>
      <c r="Y32" s="5359" t="e">
        <f t="shared" si="11"/>
        <v>#DIV/0!</v>
      </c>
      <c r="Z32" s="5358"/>
      <c r="AA32" s="5359">
        <f t="shared" si="12"/>
        <v>0</v>
      </c>
      <c r="AB32" s="5358" t="e">
        <f t="shared" si="13"/>
        <v>#DIV/0!</v>
      </c>
      <c r="AC32" s="5349"/>
      <c r="AD32" s="5349"/>
      <c r="AE32" s="5349"/>
      <c r="AF32" s="5349">
        <f t="shared" si="4"/>
        <v>0</v>
      </c>
      <c r="AG32" s="5338">
        <f t="shared" si="5"/>
        <v>0</v>
      </c>
    </row>
    <row r="33" spans="1:33" s="5333" customFormat="1" ht="15.05" hidden="1" customHeight="1">
      <c r="A33" s="5340"/>
      <c r="B33" s="5340"/>
      <c r="C33" s="5340"/>
      <c r="D33" s="5364"/>
      <c r="E33" s="5363"/>
      <c r="F33" s="5363"/>
      <c r="G33" s="5363"/>
      <c r="H33" s="5363"/>
      <c r="I33" s="5635"/>
      <c r="J33" s="5362" t="s">
        <v>50</v>
      </c>
      <c r="K33" s="5376" t="s">
        <v>85</v>
      </c>
      <c r="L33" s="5375"/>
      <c r="M33" s="5359">
        <v>0</v>
      </c>
      <c r="N33" s="5359">
        <v>0</v>
      </c>
      <c r="O33" s="5359">
        <f t="shared" si="6"/>
        <v>0</v>
      </c>
      <c r="P33" s="5358"/>
      <c r="Q33" s="5359"/>
      <c r="R33" s="5356" t="e">
        <f t="shared" si="7"/>
        <v>#DIV/0!</v>
      </c>
      <c r="S33" s="5358"/>
      <c r="T33" s="5359" t="e">
        <f t="shared" si="8"/>
        <v>#DIV/0!</v>
      </c>
      <c r="U33" s="5358"/>
      <c r="V33" s="5359">
        <f t="shared" si="9"/>
        <v>0</v>
      </c>
      <c r="W33" s="5356" t="e">
        <f t="shared" si="10"/>
        <v>#DIV/0!</v>
      </c>
      <c r="X33" s="5358"/>
      <c r="Y33" s="5359" t="e">
        <f t="shared" si="11"/>
        <v>#DIV/0!</v>
      </c>
      <c r="Z33" s="5358"/>
      <c r="AA33" s="5359">
        <f t="shared" si="12"/>
        <v>0</v>
      </c>
      <c r="AB33" s="5356" t="e">
        <f t="shared" si="13"/>
        <v>#DIV/0!</v>
      </c>
      <c r="AC33" s="5350"/>
      <c r="AD33" s="5350"/>
      <c r="AE33" s="5350"/>
      <c r="AF33" s="5349">
        <f t="shared" si="4"/>
        <v>0</v>
      </c>
      <c r="AG33" s="5338">
        <f t="shared" si="5"/>
        <v>0</v>
      </c>
    </row>
    <row r="34" spans="1:33" s="5333" customFormat="1" ht="7.55" hidden="1" customHeight="1">
      <c r="A34" s="5340"/>
      <c r="B34" s="5340"/>
      <c r="C34" s="5340"/>
      <c r="D34" s="5364"/>
      <c r="E34" s="5363"/>
      <c r="F34" s="5363"/>
      <c r="G34" s="5363"/>
      <c r="H34" s="5363"/>
      <c r="I34" s="5635"/>
      <c r="J34" s="5377"/>
      <c r="K34" s="5376"/>
      <c r="L34" s="5375"/>
      <c r="M34" s="5398"/>
      <c r="N34" s="5398"/>
      <c r="O34" s="5398">
        <f t="shared" si="6"/>
        <v>0</v>
      </c>
      <c r="P34" s="5396"/>
      <c r="Q34" s="5398"/>
      <c r="R34" s="5396" t="e">
        <f t="shared" si="7"/>
        <v>#DIV/0!</v>
      </c>
      <c r="S34" s="5396"/>
      <c r="T34" s="5398" t="e">
        <f t="shared" si="8"/>
        <v>#DIV/0!</v>
      </c>
      <c r="U34" s="5396"/>
      <c r="V34" s="5398"/>
      <c r="W34" s="5396"/>
      <c r="X34" s="5396"/>
      <c r="Y34" s="5398">
        <f t="shared" si="11"/>
        <v>0</v>
      </c>
      <c r="Z34" s="5396"/>
      <c r="AA34" s="5398"/>
      <c r="AB34" s="5396"/>
      <c r="AC34" s="5349"/>
      <c r="AD34" s="5349"/>
      <c r="AE34" s="5349"/>
      <c r="AF34" s="5349">
        <f t="shared" si="4"/>
        <v>0</v>
      </c>
      <c r="AG34" s="5338">
        <f t="shared" si="5"/>
        <v>0</v>
      </c>
    </row>
    <row r="35" spans="1:33" s="5521" customFormat="1" ht="15.05" customHeight="1">
      <c r="A35" s="5464" t="s">
        <v>58</v>
      </c>
      <c r="B35" s="5464" t="s">
        <v>437</v>
      </c>
      <c r="C35" s="5464" t="s">
        <v>438</v>
      </c>
      <c r="D35" s="5393" t="s">
        <v>58</v>
      </c>
      <c r="E35" s="5393" t="s">
        <v>437</v>
      </c>
      <c r="F35" s="5393" t="s">
        <v>438</v>
      </c>
      <c r="G35" s="5393"/>
      <c r="H35" s="5393"/>
      <c r="I35" s="5629" t="s">
        <v>460</v>
      </c>
      <c r="J35" s="5391" t="s">
        <v>1486</v>
      </c>
      <c r="K35" s="5390"/>
      <c r="L35" s="5389"/>
      <c r="M35" s="5502">
        <v>0</v>
      </c>
      <c r="N35" s="5502">
        <f>+N2</f>
        <v>0</v>
      </c>
      <c r="O35" s="5502">
        <f t="shared" si="6"/>
        <v>0</v>
      </c>
      <c r="P35" s="5501"/>
      <c r="Q35" s="5502"/>
      <c r="R35" s="5501">
        <v>0</v>
      </c>
      <c r="S35" s="5501"/>
      <c r="T35" s="5502">
        <f t="shared" si="8"/>
        <v>0</v>
      </c>
      <c r="U35" s="5501"/>
      <c r="V35" s="5502">
        <f>S35-P35</f>
        <v>0</v>
      </c>
      <c r="W35" s="5501">
        <v>0</v>
      </c>
      <c r="X35" s="5501"/>
      <c r="Y35" s="5502">
        <f t="shared" si="11"/>
        <v>0</v>
      </c>
      <c r="Z35" s="5501"/>
      <c r="AA35" s="5502">
        <f>X35-S35</f>
        <v>0</v>
      </c>
      <c r="AB35" s="5501">
        <v>0</v>
      </c>
      <c r="AC35" s="5594" t="s">
        <v>1485</v>
      </c>
      <c r="AD35" s="5594"/>
      <c r="AE35" s="5594"/>
      <c r="AF35" s="5594">
        <f t="shared" si="4"/>
        <v>0</v>
      </c>
      <c r="AG35" s="5595">
        <f t="shared" si="5"/>
        <v>0</v>
      </c>
    </row>
    <row r="36" spans="1:33" s="5333" customFormat="1" ht="9.1" customHeight="1">
      <c r="A36" s="5340"/>
      <c r="B36" s="5340"/>
      <c r="C36" s="5340"/>
      <c r="D36" s="5387"/>
      <c r="E36" s="5386"/>
      <c r="F36" s="5386"/>
      <c r="G36" s="5386"/>
      <c r="H36" s="5386"/>
      <c r="I36" s="5636"/>
      <c r="J36" s="5385"/>
      <c r="K36" s="5384"/>
      <c r="L36" s="5383"/>
      <c r="M36" s="5382"/>
      <c r="N36" s="5382"/>
      <c r="O36" s="5382"/>
      <c r="P36" s="5381"/>
      <c r="Q36" s="5382"/>
      <c r="R36" s="5381"/>
      <c r="S36" s="5381"/>
      <c r="T36" s="5382"/>
      <c r="U36" s="5381"/>
      <c r="V36" s="5382"/>
      <c r="W36" s="5381"/>
      <c r="X36" s="5381"/>
      <c r="Y36" s="5382"/>
      <c r="Z36" s="5381"/>
      <c r="AA36" s="5382"/>
      <c r="AB36" s="5381"/>
      <c r="AC36" s="5349"/>
      <c r="AD36" s="5349"/>
      <c r="AE36" s="5349"/>
      <c r="AF36" s="5349">
        <f t="shared" si="4"/>
        <v>0</v>
      </c>
      <c r="AG36" s="5338">
        <f t="shared" si="5"/>
        <v>0</v>
      </c>
    </row>
    <row r="37" spans="1:33" s="5333" customFormat="1" ht="15.05" hidden="1" customHeight="1">
      <c r="A37" s="5340"/>
      <c r="B37" s="5340"/>
      <c r="C37" s="5340"/>
      <c r="D37" s="5374">
        <v>4</v>
      </c>
      <c r="E37" s="5374">
        <v>1</v>
      </c>
      <c r="F37" s="5374"/>
      <c r="G37" s="5374"/>
      <c r="H37" s="5374"/>
      <c r="I37" s="5537"/>
      <c r="J37" s="5372" t="s">
        <v>180</v>
      </c>
      <c r="K37" s="5371"/>
      <c r="L37" s="5370"/>
      <c r="M37" s="5357">
        <v>0</v>
      </c>
      <c r="N37" s="5357">
        <f>N39</f>
        <v>0</v>
      </c>
      <c r="O37" s="5359">
        <f t="shared" ref="O37:O53" si="14">N37-M37</f>
        <v>0</v>
      </c>
      <c r="P37" s="5358"/>
      <c r="Q37" s="5359"/>
      <c r="R37" s="5358" t="e">
        <f t="shared" ref="R37:R44" si="15">P37/N37*100-100</f>
        <v>#DIV/0!</v>
      </c>
      <c r="S37" s="5358"/>
      <c r="T37" s="5359" t="e">
        <f t="shared" ref="T37:T43" si="16">S37-R37</f>
        <v>#DIV/0!</v>
      </c>
      <c r="U37" s="5358"/>
      <c r="V37" s="5359">
        <f>S37-P37</f>
        <v>0</v>
      </c>
      <c r="W37" s="5358">
        <v>0</v>
      </c>
      <c r="X37" s="5358"/>
      <c r="Y37" s="5359">
        <f t="shared" ref="Y37:Y53" si="17">X37-W37</f>
        <v>0</v>
      </c>
      <c r="Z37" s="5358"/>
      <c r="AA37" s="5359">
        <f>X37-S37</f>
        <v>0</v>
      </c>
      <c r="AB37" s="5358">
        <v>0</v>
      </c>
      <c r="AC37" s="5349"/>
      <c r="AD37" s="5349"/>
      <c r="AE37" s="5349"/>
      <c r="AF37" s="5349">
        <f t="shared" si="4"/>
        <v>0</v>
      </c>
      <c r="AG37" s="5338">
        <f t="shared" si="5"/>
        <v>0</v>
      </c>
    </row>
    <row r="38" spans="1:33" s="5333" customFormat="1" ht="8.3000000000000007" hidden="1" customHeight="1">
      <c r="A38" s="5340"/>
      <c r="B38" s="5340"/>
      <c r="C38" s="5340"/>
      <c r="D38" s="5367"/>
      <c r="E38" s="5380"/>
      <c r="F38" s="5380"/>
      <c r="G38" s="5379"/>
      <c r="H38" s="5379"/>
      <c r="I38" s="5495"/>
      <c r="J38" s="5366"/>
      <c r="K38" s="5361"/>
      <c r="L38" s="5365"/>
      <c r="M38" s="5357"/>
      <c r="N38" s="5357"/>
      <c r="O38" s="5357">
        <f t="shared" si="14"/>
        <v>0</v>
      </c>
      <c r="P38" s="5358"/>
      <c r="Q38" s="5357"/>
      <c r="R38" s="5358" t="e">
        <f t="shared" si="15"/>
        <v>#DIV/0!</v>
      </c>
      <c r="S38" s="5358"/>
      <c r="T38" s="5357" t="e">
        <f t="shared" si="16"/>
        <v>#DIV/0!</v>
      </c>
      <c r="U38" s="5358"/>
      <c r="V38" s="5357"/>
      <c r="W38" s="5358"/>
      <c r="X38" s="5358"/>
      <c r="Y38" s="5357">
        <f t="shared" si="17"/>
        <v>0</v>
      </c>
      <c r="Z38" s="5358"/>
      <c r="AA38" s="5357"/>
      <c r="AB38" s="5358"/>
      <c r="AC38" s="5349"/>
      <c r="AD38" s="5349"/>
      <c r="AE38" s="5349"/>
      <c r="AF38" s="5349">
        <f t="shared" si="4"/>
        <v>0</v>
      </c>
      <c r="AG38" s="5338">
        <f t="shared" si="5"/>
        <v>0</v>
      </c>
    </row>
    <row r="39" spans="1:33" s="5333" customFormat="1" ht="15.05" hidden="1" customHeight="1">
      <c r="A39" s="5340"/>
      <c r="B39" s="5340"/>
      <c r="C39" s="5340"/>
      <c r="D39" s="5374">
        <v>4</v>
      </c>
      <c r="E39" s="5374">
        <v>1</v>
      </c>
      <c r="F39" s="5374">
        <v>4</v>
      </c>
      <c r="G39" s="5373"/>
      <c r="H39" s="5373"/>
      <c r="I39" s="5633"/>
      <c r="J39" s="5372" t="s">
        <v>71</v>
      </c>
      <c r="K39" s="5371"/>
      <c r="L39" s="5370"/>
      <c r="M39" s="5357">
        <v>0</v>
      </c>
      <c r="N39" s="5357">
        <f>N40</f>
        <v>0</v>
      </c>
      <c r="O39" s="5359">
        <f t="shared" si="14"/>
        <v>0</v>
      </c>
      <c r="P39" s="5358"/>
      <c r="Q39" s="5359"/>
      <c r="R39" s="5358" t="e">
        <f t="shared" si="15"/>
        <v>#DIV/0!</v>
      </c>
      <c r="S39" s="5358"/>
      <c r="T39" s="5359" t="e">
        <f t="shared" si="16"/>
        <v>#DIV/0!</v>
      </c>
      <c r="U39" s="5358"/>
      <c r="V39" s="5359">
        <f>S39-P39</f>
        <v>0</v>
      </c>
      <c r="W39" s="5358">
        <v>0</v>
      </c>
      <c r="X39" s="5358"/>
      <c r="Y39" s="5359">
        <f t="shared" si="17"/>
        <v>0</v>
      </c>
      <c r="Z39" s="5358"/>
      <c r="AA39" s="5359">
        <f t="shared" ref="AA39:AA44" si="18">X39-S39</f>
        <v>0</v>
      </c>
      <c r="AB39" s="5358">
        <v>0</v>
      </c>
      <c r="AC39" s="5349"/>
      <c r="AD39" s="5349"/>
      <c r="AE39" s="5349"/>
      <c r="AF39" s="5349">
        <f t="shared" si="4"/>
        <v>0</v>
      </c>
      <c r="AG39" s="5338">
        <f t="shared" si="5"/>
        <v>0</v>
      </c>
    </row>
    <row r="40" spans="1:33" s="5333" customFormat="1" ht="15.05" hidden="1" customHeight="1">
      <c r="A40" s="5340"/>
      <c r="B40" s="5340"/>
      <c r="C40" s="5340"/>
      <c r="D40" s="5367">
        <v>4</v>
      </c>
      <c r="E40" s="5367">
        <v>1</v>
      </c>
      <c r="F40" s="5367">
        <v>4</v>
      </c>
      <c r="G40" s="5367" t="s">
        <v>948</v>
      </c>
      <c r="H40" s="5368"/>
      <c r="I40" s="5632"/>
      <c r="J40" s="5366" t="s">
        <v>321</v>
      </c>
      <c r="K40" s="5361"/>
      <c r="L40" s="5365"/>
      <c r="M40" s="5357">
        <v>0</v>
      </c>
      <c r="N40" s="5357">
        <f>N41</f>
        <v>0</v>
      </c>
      <c r="O40" s="5359">
        <f t="shared" si="14"/>
        <v>0</v>
      </c>
      <c r="P40" s="5358"/>
      <c r="Q40" s="5359"/>
      <c r="R40" s="5358" t="e">
        <f t="shared" si="15"/>
        <v>#DIV/0!</v>
      </c>
      <c r="S40" s="5358"/>
      <c r="T40" s="5359" t="e">
        <f t="shared" si="16"/>
        <v>#DIV/0!</v>
      </c>
      <c r="U40" s="5358"/>
      <c r="V40" s="5359">
        <f>S40-P40</f>
        <v>0</v>
      </c>
      <c r="W40" s="5358">
        <v>0</v>
      </c>
      <c r="X40" s="5358"/>
      <c r="Y40" s="5359">
        <f t="shared" si="17"/>
        <v>0</v>
      </c>
      <c r="Z40" s="5358"/>
      <c r="AA40" s="5359">
        <f t="shared" si="18"/>
        <v>0</v>
      </c>
      <c r="AB40" s="5358">
        <v>0</v>
      </c>
      <c r="AC40" s="5349">
        <f>17000000*65*12</f>
        <v>13260000000</v>
      </c>
      <c r="AD40" s="5349"/>
      <c r="AE40" s="5349"/>
      <c r="AF40" s="5349">
        <f t="shared" si="4"/>
        <v>0</v>
      </c>
      <c r="AG40" s="5338">
        <f t="shared" si="5"/>
        <v>0</v>
      </c>
    </row>
    <row r="41" spans="1:33" s="5333" customFormat="1" ht="15.05" hidden="1" customHeight="1">
      <c r="A41" s="5340"/>
      <c r="B41" s="5340"/>
      <c r="C41" s="5340"/>
      <c r="D41" s="5367">
        <v>4</v>
      </c>
      <c r="E41" s="5367">
        <v>1</v>
      </c>
      <c r="F41" s="5367">
        <v>4</v>
      </c>
      <c r="G41" s="5367" t="s">
        <v>948</v>
      </c>
      <c r="H41" s="5367" t="s">
        <v>437</v>
      </c>
      <c r="I41" s="5631"/>
      <c r="J41" s="5366" t="s">
        <v>85</v>
      </c>
      <c r="K41" s="5361"/>
      <c r="L41" s="5365"/>
      <c r="M41" s="5357">
        <v>0</v>
      </c>
      <c r="N41" s="5357">
        <f>N42</f>
        <v>0</v>
      </c>
      <c r="O41" s="5359">
        <f t="shared" si="14"/>
        <v>0</v>
      </c>
      <c r="P41" s="5358"/>
      <c r="Q41" s="5359"/>
      <c r="R41" s="5358" t="e">
        <f t="shared" si="15"/>
        <v>#DIV/0!</v>
      </c>
      <c r="S41" s="5358"/>
      <c r="T41" s="5359" t="e">
        <f t="shared" si="16"/>
        <v>#DIV/0!</v>
      </c>
      <c r="U41" s="5358"/>
      <c r="V41" s="5359">
        <f>S41-P41</f>
        <v>0</v>
      </c>
      <c r="W41" s="5358">
        <v>0</v>
      </c>
      <c r="X41" s="5358"/>
      <c r="Y41" s="5359">
        <f t="shared" si="17"/>
        <v>0</v>
      </c>
      <c r="Z41" s="5358"/>
      <c r="AA41" s="5359">
        <f t="shared" si="18"/>
        <v>0</v>
      </c>
      <c r="AB41" s="5358">
        <v>0</v>
      </c>
      <c r="AC41" s="5349"/>
      <c r="AD41" s="5349"/>
      <c r="AE41" s="5349"/>
      <c r="AF41" s="5349">
        <f t="shared" si="4"/>
        <v>0</v>
      </c>
      <c r="AG41" s="5338">
        <f t="shared" si="5"/>
        <v>0</v>
      </c>
    </row>
    <row r="42" spans="1:33" s="5333" customFormat="1" ht="15.05" hidden="1" customHeight="1">
      <c r="A42" s="5340"/>
      <c r="B42" s="5340"/>
      <c r="C42" s="5340"/>
      <c r="D42" s="5367"/>
      <c r="E42" s="5367"/>
      <c r="F42" s="5367"/>
      <c r="G42" s="5368"/>
      <c r="H42" s="5367"/>
      <c r="I42" s="5631"/>
      <c r="J42" s="5408" t="s">
        <v>50</v>
      </c>
      <c r="K42" s="5361" t="s">
        <v>615</v>
      </c>
      <c r="L42" s="5365"/>
      <c r="M42" s="5359">
        <v>0</v>
      </c>
      <c r="N42" s="5359">
        <v>0</v>
      </c>
      <c r="O42" s="5359">
        <f t="shared" si="14"/>
        <v>0</v>
      </c>
      <c r="P42" s="5358"/>
      <c r="Q42" s="5359"/>
      <c r="R42" s="5356" t="e">
        <f t="shared" si="15"/>
        <v>#DIV/0!</v>
      </c>
      <c r="S42" s="5358"/>
      <c r="T42" s="5359" t="e">
        <f t="shared" si="16"/>
        <v>#DIV/0!</v>
      </c>
      <c r="U42" s="5358"/>
      <c r="V42" s="5359">
        <f>S42-P42</f>
        <v>0</v>
      </c>
      <c r="W42" s="5356">
        <v>0</v>
      </c>
      <c r="X42" s="5358"/>
      <c r="Y42" s="5359">
        <f t="shared" si="17"/>
        <v>0</v>
      </c>
      <c r="Z42" s="5358"/>
      <c r="AA42" s="5359">
        <f t="shared" si="18"/>
        <v>0</v>
      </c>
      <c r="AB42" s="5356">
        <v>0</v>
      </c>
      <c r="AC42" s="5350"/>
      <c r="AD42" s="5350"/>
      <c r="AE42" s="5350"/>
      <c r="AF42" s="5349">
        <f t="shared" si="4"/>
        <v>0</v>
      </c>
      <c r="AG42" s="5338">
        <f t="shared" si="5"/>
        <v>0</v>
      </c>
    </row>
    <row r="43" spans="1:33" s="5333" customFormat="1" ht="15.05" hidden="1" customHeight="1">
      <c r="A43" s="5340"/>
      <c r="B43" s="5340"/>
      <c r="C43" s="5340"/>
      <c r="D43" s="5367"/>
      <c r="E43" s="5367"/>
      <c r="F43" s="5367"/>
      <c r="G43" s="5368"/>
      <c r="H43" s="5367"/>
      <c r="I43" s="5631"/>
      <c r="J43" s="5408" t="s">
        <v>50</v>
      </c>
      <c r="K43" s="5361" t="s">
        <v>85</v>
      </c>
      <c r="L43" s="5365"/>
      <c r="M43" s="5359">
        <v>0</v>
      </c>
      <c r="N43" s="5359">
        <v>0</v>
      </c>
      <c r="O43" s="5359">
        <f t="shared" si="14"/>
        <v>0</v>
      </c>
      <c r="P43" s="5358"/>
      <c r="Q43" s="5359"/>
      <c r="R43" s="5356" t="e">
        <f t="shared" si="15"/>
        <v>#DIV/0!</v>
      </c>
      <c r="S43" s="5358"/>
      <c r="T43" s="5359" t="e">
        <f t="shared" si="16"/>
        <v>#DIV/0!</v>
      </c>
      <c r="U43" s="5358"/>
      <c r="V43" s="5359">
        <f>S43-P43</f>
        <v>0</v>
      </c>
      <c r="W43" s="5356">
        <v>0</v>
      </c>
      <c r="X43" s="5358"/>
      <c r="Y43" s="5359">
        <f t="shared" si="17"/>
        <v>0</v>
      </c>
      <c r="Z43" s="5358"/>
      <c r="AA43" s="5359">
        <f t="shared" si="18"/>
        <v>0</v>
      </c>
      <c r="AB43" s="5356">
        <v>0</v>
      </c>
      <c r="AC43" s="5350"/>
      <c r="AD43" s="5350"/>
      <c r="AE43" s="5350"/>
      <c r="AF43" s="5349">
        <f t="shared" si="4"/>
        <v>0</v>
      </c>
      <c r="AG43" s="5338">
        <f t="shared" si="5"/>
        <v>0</v>
      </c>
    </row>
    <row r="44" spans="1:33" s="5521" customFormat="1" ht="15.05" customHeight="1">
      <c r="A44" s="5464" t="s">
        <v>58</v>
      </c>
      <c r="B44" s="5463" t="s">
        <v>438</v>
      </c>
      <c r="C44" s="5463" t="s">
        <v>437</v>
      </c>
      <c r="D44" s="5393" t="s">
        <v>58</v>
      </c>
      <c r="E44" s="5392" t="s">
        <v>438</v>
      </c>
      <c r="F44" s="5392" t="s">
        <v>437</v>
      </c>
      <c r="G44" s="5392"/>
      <c r="H44" s="5392"/>
      <c r="I44" s="5637" t="s">
        <v>457</v>
      </c>
      <c r="J44" s="5391" t="s">
        <v>79</v>
      </c>
      <c r="K44" s="5390"/>
      <c r="L44" s="5389"/>
      <c r="M44" s="5502">
        <v>7742464300</v>
      </c>
      <c r="N44" s="5502">
        <f>N45+N55+N66+N79+N93+N107</f>
        <v>15461329922.440001</v>
      </c>
      <c r="O44" s="5502">
        <f t="shared" si="14"/>
        <v>7718865622.4400005</v>
      </c>
      <c r="P44" s="5501">
        <f>P45+P55+P66+P79+P93+P107</f>
        <v>18813286650</v>
      </c>
      <c r="Q44" s="5501">
        <f>Q45+Q55+Q66+Q79+Q93+Q107</f>
        <v>3351956727.5599995</v>
      </c>
      <c r="R44" s="5501">
        <f t="shared" si="15"/>
        <v>21.679614524589468</v>
      </c>
      <c r="S44" s="5501">
        <f t="shared" ref="S44:X44" si="19">S45+S55+S66+S79+S93</f>
        <v>9997286650</v>
      </c>
      <c r="T44" s="5501">
        <f t="shared" si="19"/>
        <v>9997286732.7927933</v>
      </c>
      <c r="U44" s="5501">
        <f t="shared" si="19"/>
        <v>6813286650</v>
      </c>
      <c r="V44" s="5501">
        <f t="shared" si="19"/>
        <v>3184000000</v>
      </c>
      <c r="W44" s="5501">
        <f t="shared" si="19"/>
        <v>168.81720430107526</v>
      </c>
      <c r="X44" s="5501">
        <f t="shared" si="19"/>
        <v>10000000000</v>
      </c>
      <c r="Y44" s="5502">
        <f t="shared" si="17"/>
        <v>9999999831.1827965</v>
      </c>
      <c r="Z44" s="5501">
        <f>Z45+Z55+Z66+Z79+Z93+Z107</f>
        <v>18813286650</v>
      </c>
      <c r="AA44" s="5501">
        <f t="shared" si="18"/>
        <v>2713350</v>
      </c>
      <c r="AB44" s="5501">
        <f>X44/S44*100-100</f>
        <v>2.7140864266399944E-2</v>
      </c>
      <c r="AC44" s="5594">
        <f>X44-X107</f>
        <v>-9000000000</v>
      </c>
      <c r="AD44" s="5594"/>
      <c r="AE44" s="5594"/>
      <c r="AF44" s="5594">
        <f t="shared" si="4"/>
        <v>-8816000000</v>
      </c>
      <c r="AG44" s="5595">
        <f t="shared" si="5"/>
        <v>-12000000000</v>
      </c>
    </row>
    <row r="45" spans="1:33" s="5333" customFormat="1" ht="15.05" customHeight="1">
      <c r="A45" s="5340"/>
      <c r="B45" s="5340"/>
      <c r="C45" s="5340"/>
      <c r="D45" s="5387"/>
      <c r="E45" s="5386"/>
      <c r="F45" s="5386"/>
      <c r="G45" s="5386"/>
      <c r="H45" s="5386"/>
      <c r="I45" s="5636"/>
      <c r="J45" s="5385" t="s">
        <v>79</v>
      </c>
      <c r="K45" s="5384"/>
      <c r="L45" s="5383"/>
      <c r="M45" s="5382">
        <v>0</v>
      </c>
      <c r="N45" s="5382">
        <f>N47</f>
        <v>0</v>
      </c>
      <c r="O45" s="5382">
        <f t="shared" si="14"/>
        <v>0</v>
      </c>
      <c r="P45" s="5381"/>
      <c r="Q45" s="5382"/>
      <c r="R45" s="5381"/>
      <c r="S45" s="5381"/>
      <c r="T45" s="5382">
        <f t="shared" ref="T45:T53" si="20">S45-R45</f>
        <v>0</v>
      </c>
      <c r="U45" s="5381"/>
      <c r="V45" s="5382"/>
      <c r="W45" s="5381"/>
      <c r="X45" s="5381"/>
      <c r="Y45" s="5382">
        <f t="shared" si="17"/>
        <v>0</v>
      </c>
      <c r="Z45" s="5381"/>
      <c r="AA45" s="5382">
        <f>SUM(AA39:AA44)</f>
        <v>2713350</v>
      </c>
      <c r="AB45" s="5381">
        <f>SUM(AB39:AB44)</f>
        <v>2.7140864266399944E-2</v>
      </c>
      <c r="AC45" s="5349"/>
      <c r="AD45" s="5349"/>
      <c r="AE45" s="5349"/>
      <c r="AF45" s="5349">
        <f t="shared" si="4"/>
        <v>0</v>
      </c>
      <c r="AG45" s="5338">
        <f t="shared" si="5"/>
        <v>0</v>
      </c>
    </row>
    <row r="46" spans="1:33" s="5333" customFormat="1" ht="9.1" customHeight="1">
      <c r="A46" s="5340"/>
      <c r="B46" s="5340"/>
      <c r="C46" s="5340"/>
      <c r="D46" s="5367"/>
      <c r="E46" s="5380"/>
      <c r="F46" s="5380"/>
      <c r="G46" s="5380"/>
      <c r="H46" s="5380"/>
      <c r="I46" s="5496"/>
      <c r="J46" s="5372"/>
      <c r="K46" s="5371"/>
      <c r="L46" s="5370"/>
      <c r="M46" s="5357"/>
      <c r="N46" s="5357"/>
      <c r="O46" s="5357">
        <f t="shared" si="14"/>
        <v>0</v>
      </c>
      <c r="P46" s="5358"/>
      <c r="Q46" s="5357"/>
      <c r="R46" s="5358"/>
      <c r="S46" s="5358"/>
      <c r="T46" s="5357">
        <f t="shared" si="20"/>
        <v>0</v>
      </c>
      <c r="U46" s="5358"/>
      <c r="V46" s="5357"/>
      <c r="W46" s="5358"/>
      <c r="X46" s="5358"/>
      <c r="Y46" s="5357">
        <f t="shared" si="17"/>
        <v>0</v>
      </c>
      <c r="Z46" s="5358"/>
      <c r="AA46" s="5357"/>
      <c r="AB46" s="5358"/>
      <c r="AC46" s="5349"/>
      <c r="AD46" s="5349"/>
      <c r="AE46" s="5349"/>
      <c r="AF46" s="5349">
        <f t="shared" si="4"/>
        <v>0</v>
      </c>
      <c r="AG46" s="5338">
        <f t="shared" si="5"/>
        <v>0</v>
      </c>
    </row>
    <row r="47" spans="1:33" s="5333" customFormat="1" ht="15.05" hidden="1" customHeight="1">
      <c r="A47" s="5426"/>
      <c r="B47" s="5426"/>
      <c r="C47" s="5426"/>
      <c r="D47" s="5374">
        <v>4</v>
      </c>
      <c r="E47" s="5374">
        <v>1</v>
      </c>
      <c r="F47" s="5374"/>
      <c r="G47" s="5374"/>
      <c r="H47" s="5374"/>
      <c r="I47" s="5537"/>
      <c r="J47" s="5372" t="s">
        <v>180</v>
      </c>
      <c r="K47" s="5371"/>
      <c r="L47" s="5370"/>
      <c r="M47" s="5357">
        <v>0</v>
      </c>
      <c r="N47" s="5357">
        <f>N49</f>
        <v>0</v>
      </c>
      <c r="O47" s="5359">
        <f t="shared" si="14"/>
        <v>0</v>
      </c>
      <c r="P47" s="5358"/>
      <c r="Q47" s="5359"/>
      <c r="R47" s="5358"/>
      <c r="S47" s="5358"/>
      <c r="T47" s="5359">
        <f t="shared" si="20"/>
        <v>0</v>
      </c>
      <c r="U47" s="5358"/>
      <c r="V47" s="5359">
        <f t="shared" ref="V47:V53" si="21">S47-P47</f>
        <v>0</v>
      </c>
      <c r="W47" s="5358"/>
      <c r="X47" s="5358"/>
      <c r="Y47" s="5359">
        <f t="shared" si="17"/>
        <v>0</v>
      </c>
      <c r="Z47" s="5358"/>
      <c r="AA47" s="5359">
        <f t="shared" ref="AA47:AA53" si="22">X47-S47</f>
        <v>0</v>
      </c>
      <c r="AB47" s="5358" t="e">
        <f t="shared" ref="AB47:AB53" si="23">X47/S47*100-100</f>
        <v>#DIV/0!</v>
      </c>
      <c r="AC47" s="5349"/>
      <c r="AD47" s="5349"/>
      <c r="AE47" s="5349"/>
      <c r="AF47" s="5349">
        <f t="shared" si="4"/>
        <v>0</v>
      </c>
      <c r="AG47" s="5338">
        <f t="shared" si="5"/>
        <v>0</v>
      </c>
    </row>
    <row r="48" spans="1:33" s="5333" customFormat="1" ht="5.35" hidden="1" customHeight="1">
      <c r="A48" s="5340"/>
      <c r="B48" s="5340"/>
      <c r="C48" s="5340"/>
      <c r="D48" s="5367"/>
      <c r="E48" s="5380"/>
      <c r="F48" s="5380"/>
      <c r="G48" s="5380"/>
      <c r="H48" s="5380"/>
      <c r="I48" s="5496"/>
      <c r="J48" s="5366"/>
      <c r="K48" s="5371"/>
      <c r="L48" s="5370"/>
      <c r="M48" s="5357"/>
      <c r="N48" s="5357"/>
      <c r="O48" s="5357">
        <f t="shared" si="14"/>
        <v>0</v>
      </c>
      <c r="P48" s="5358"/>
      <c r="Q48" s="5357"/>
      <c r="R48" s="5358"/>
      <c r="S48" s="5358"/>
      <c r="T48" s="5357">
        <f t="shared" si="20"/>
        <v>0</v>
      </c>
      <c r="U48" s="5358"/>
      <c r="V48" s="5357">
        <f t="shared" si="21"/>
        <v>0</v>
      </c>
      <c r="W48" s="5358"/>
      <c r="X48" s="5358"/>
      <c r="Y48" s="5357">
        <f t="shared" si="17"/>
        <v>0</v>
      </c>
      <c r="Z48" s="5358"/>
      <c r="AA48" s="5357">
        <f t="shared" si="22"/>
        <v>0</v>
      </c>
      <c r="AB48" s="5358" t="e">
        <f t="shared" si="23"/>
        <v>#DIV/0!</v>
      </c>
      <c r="AC48" s="5349"/>
      <c r="AD48" s="5349"/>
      <c r="AE48" s="5349"/>
      <c r="AF48" s="5349">
        <f t="shared" si="4"/>
        <v>0</v>
      </c>
      <c r="AG48" s="5338">
        <f t="shared" si="5"/>
        <v>0</v>
      </c>
    </row>
    <row r="49" spans="1:33" s="5333" customFormat="1" ht="15.05" hidden="1" customHeight="1">
      <c r="A49" s="5426"/>
      <c r="B49" s="5426"/>
      <c r="C49" s="5426"/>
      <c r="D49" s="5374">
        <v>4</v>
      </c>
      <c r="E49" s="5374">
        <v>1</v>
      </c>
      <c r="F49" s="5374">
        <v>2</v>
      </c>
      <c r="G49" s="5374"/>
      <c r="H49" s="5374"/>
      <c r="I49" s="5537"/>
      <c r="J49" s="5372" t="s">
        <v>106</v>
      </c>
      <c r="K49" s="5371"/>
      <c r="L49" s="5370"/>
      <c r="M49" s="5357">
        <v>0</v>
      </c>
      <c r="N49" s="5357">
        <f>N51</f>
        <v>0</v>
      </c>
      <c r="O49" s="5359">
        <f t="shared" si="14"/>
        <v>0</v>
      </c>
      <c r="P49" s="5358"/>
      <c r="Q49" s="5359"/>
      <c r="R49" s="5358"/>
      <c r="S49" s="5358"/>
      <c r="T49" s="5359">
        <f t="shared" si="20"/>
        <v>0</v>
      </c>
      <c r="U49" s="5358"/>
      <c r="V49" s="5359">
        <f t="shared" si="21"/>
        <v>0</v>
      </c>
      <c r="W49" s="5358" t="e">
        <f>S49/P49*100-100</f>
        <v>#DIV/0!</v>
      </c>
      <c r="X49" s="5358"/>
      <c r="Y49" s="5359" t="e">
        <f t="shared" si="17"/>
        <v>#DIV/0!</v>
      </c>
      <c r="Z49" s="5358"/>
      <c r="AA49" s="5359">
        <f t="shared" si="22"/>
        <v>0</v>
      </c>
      <c r="AB49" s="5358" t="e">
        <f t="shared" si="23"/>
        <v>#DIV/0!</v>
      </c>
      <c r="AC49" s="5349"/>
      <c r="AD49" s="5349"/>
      <c r="AE49" s="5349"/>
      <c r="AF49" s="5349">
        <f t="shared" si="4"/>
        <v>0</v>
      </c>
      <c r="AG49" s="5338">
        <f t="shared" si="5"/>
        <v>0</v>
      </c>
    </row>
    <row r="50" spans="1:33" s="5333" customFormat="1" ht="4.55" hidden="1" customHeight="1">
      <c r="A50" s="5340"/>
      <c r="B50" s="5340"/>
      <c r="C50" s="5340"/>
      <c r="D50" s="5368"/>
      <c r="E50" s="5380"/>
      <c r="F50" s="5380"/>
      <c r="G50" s="5379"/>
      <c r="H50" s="5380"/>
      <c r="I50" s="5496"/>
      <c r="J50" s="5366"/>
      <c r="K50" s="5361"/>
      <c r="L50" s="5365"/>
      <c r="M50" s="5357"/>
      <c r="N50" s="5357"/>
      <c r="O50" s="5357">
        <f t="shared" si="14"/>
        <v>0</v>
      </c>
      <c r="P50" s="5358"/>
      <c r="Q50" s="5357"/>
      <c r="R50" s="5358"/>
      <c r="S50" s="5358"/>
      <c r="T50" s="5357">
        <f t="shared" si="20"/>
        <v>0</v>
      </c>
      <c r="U50" s="5358"/>
      <c r="V50" s="5357">
        <f t="shared" si="21"/>
        <v>0</v>
      </c>
      <c r="W50" s="5358"/>
      <c r="X50" s="5358"/>
      <c r="Y50" s="5357">
        <f t="shared" si="17"/>
        <v>0</v>
      </c>
      <c r="Z50" s="5358"/>
      <c r="AA50" s="5357">
        <f t="shared" si="22"/>
        <v>0</v>
      </c>
      <c r="AB50" s="5358" t="e">
        <f t="shared" si="23"/>
        <v>#DIV/0!</v>
      </c>
      <c r="AC50" s="5349"/>
      <c r="AD50" s="5349"/>
      <c r="AE50" s="5349"/>
      <c r="AF50" s="5349">
        <f t="shared" si="4"/>
        <v>0</v>
      </c>
      <c r="AG50" s="5338">
        <f t="shared" si="5"/>
        <v>0</v>
      </c>
    </row>
    <row r="51" spans="1:33" s="5333" customFormat="1" ht="15.05" hidden="1" customHeight="1">
      <c r="A51" s="5426"/>
      <c r="B51" s="5426"/>
      <c r="C51" s="5426"/>
      <c r="D51" s="5367">
        <v>4</v>
      </c>
      <c r="E51" s="5367">
        <v>1</v>
      </c>
      <c r="F51" s="5367">
        <v>2</v>
      </c>
      <c r="G51" s="5368" t="s">
        <v>438</v>
      </c>
      <c r="H51" s="5368"/>
      <c r="I51" s="5632"/>
      <c r="J51" s="5366" t="s">
        <v>374</v>
      </c>
      <c r="K51" s="5361"/>
      <c r="L51" s="5365"/>
      <c r="M51" s="5357">
        <v>0</v>
      </c>
      <c r="N51" s="5357">
        <f>N52</f>
        <v>0</v>
      </c>
      <c r="O51" s="5359">
        <f t="shared" si="14"/>
        <v>0</v>
      </c>
      <c r="P51" s="5358"/>
      <c r="Q51" s="5359"/>
      <c r="R51" s="5358"/>
      <c r="S51" s="5358"/>
      <c r="T51" s="5359">
        <f t="shared" si="20"/>
        <v>0</v>
      </c>
      <c r="U51" s="5358"/>
      <c r="V51" s="5359">
        <f t="shared" si="21"/>
        <v>0</v>
      </c>
      <c r="W51" s="5358" t="e">
        <f>S51/P51*100-100</f>
        <v>#DIV/0!</v>
      </c>
      <c r="X51" s="5358"/>
      <c r="Y51" s="5359" t="e">
        <f t="shared" si="17"/>
        <v>#DIV/0!</v>
      </c>
      <c r="Z51" s="5358"/>
      <c r="AA51" s="5359">
        <f t="shared" si="22"/>
        <v>0</v>
      </c>
      <c r="AB51" s="5358" t="e">
        <f t="shared" si="23"/>
        <v>#DIV/0!</v>
      </c>
      <c r="AC51" s="5349"/>
      <c r="AD51" s="5349"/>
      <c r="AE51" s="5349"/>
      <c r="AF51" s="5349">
        <f t="shared" si="4"/>
        <v>0</v>
      </c>
      <c r="AG51" s="5338">
        <f t="shared" si="5"/>
        <v>0</v>
      </c>
    </row>
    <row r="52" spans="1:33" s="5333" customFormat="1" ht="15.05" hidden="1" customHeight="1">
      <c r="A52" s="5426"/>
      <c r="B52" s="5426"/>
      <c r="C52" s="5426"/>
      <c r="D52" s="5367">
        <v>4</v>
      </c>
      <c r="E52" s="5367">
        <v>1</v>
      </c>
      <c r="F52" s="5367">
        <v>2</v>
      </c>
      <c r="G52" s="5368" t="s">
        <v>438</v>
      </c>
      <c r="H52" s="5368" t="s">
        <v>448</v>
      </c>
      <c r="I52" s="5632"/>
      <c r="J52" s="5366" t="s">
        <v>361</v>
      </c>
      <c r="K52" s="5361"/>
      <c r="L52" s="5365"/>
      <c r="M52" s="5357">
        <v>0</v>
      </c>
      <c r="N52" s="5357">
        <f>N53</f>
        <v>0</v>
      </c>
      <c r="O52" s="5359">
        <f t="shared" si="14"/>
        <v>0</v>
      </c>
      <c r="P52" s="5358"/>
      <c r="Q52" s="5359"/>
      <c r="R52" s="5358"/>
      <c r="S52" s="5358"/>
      <c r="T52" s="5359">
        <f t="shared" si="20"/>
        <v>0</v>
      </c>
      <c r="U52" s="5358"/>
      <c r="V52" s="5359">
        <f t="shared" si="21"/>
        <v>0</v>
      </c>
      <c r="W52" s="5358" t="e">
        <f>S52/P52*100-100</f>
        <v>#DIV/0!</v>
      </c>
      <c r="X52" s="5358"/>
      <c r="Y52" s="5359" t="e">
        <f t="shared" si="17"/>
        <v>#DIV/0!</v>
      </c>
      <c r="Z52" s="5358"/>
      <c r="AA52" s="5359">
        <f t="shared" si="22"/>
        <v>0</v>
      </c>
      <c r="AB52" s="5358" t="e">
        <f t="shared" si="23"/>
        <v>#DIV/0!</v>
      </c>
      <c r="AC52" s="5349"/>
      <c r="AD52" s="5349"/>
      <c r="AE52" s="5349"/>
      <c r="AF52" s="5349">
        <f t="shared" si="4"/>
        <v>0</v>
      </c>
      <c r="AG52" s="5338">
        <f t="shared" si="5"/>
        <v>0</v>
      </c>
    </row>
    <row r="53" spans="1:33" s="5333" customFormat="1" ht="15.05" hidden="1" customHeight="1">
      <c r="A53" s="5340"/>
      <c r="B53" s="5340"/>
      <c r="C53" s="5340"/>
      <c r="D53" s="5367"/>
      <c r="E53" s="5380"/>
      <c r="F53" s="5380"/>
      <c r="G53" s="5379"/>
      <c r="H53" s="5379"/>
      <c r="I53" s="5495"/>
      <c r="J53" s="5366" t="s">
        <v>50</v>
      </c>
      <c r="K53" s="5361" t="s">
        <v>1484</v>
      </c>
      <c r="L53" s="5365"/>
      <c r="M53" s="5359">
        <v>0</v>
      </c>
      <c r="N53" s="5359">
        <v>0</v>
      </c>
      <c r="O53" s="5359">
        <f t="shared" si="14"/>
        <v>0</v>
      </c>
      <c r="P53" s="5358"/>
      <c r="Q53" s="5359"/>
      <c r="R53" s="5358"/>
      <c r="S53" s="5358"/>
      <c r="T53" s="5359">
        <f t="shared" si="20"/>
        <v>0</v>
      </c>
      <c r="U53" s="5358"/>
      <c r="V53" s="5359">
        <f t="shared" si="21"/>
        <v>0</v>
      </c>
      <c r="W53" s="5358" t="e">
        <f>S53/P53*100-100</f>
        <v>#DIV/0!</v>
      </c>
      <c r="X53" s="5358"/>
      <c r="Y53" s="5359" t="e">
        <f t="shared" si="17"/>
        <v>#DIV/0!</v>
      </c>
      <c r="Z53" s="5358"/>
      <c r="AA53" s="5359">
        <f t="shared" si="22"/>
        <v>0</v>
      </c>
      <c r="AB53" s="5358" t="e">
        <f t="shared" si="23"/>
        <v>#DIV/0!</v>
      </c>
      <c r="AC53" s="5350"/>
      <c r="AD53" s="5350"/>
      <c r="AE53" s="5350"/>
      <c r="AF53" s="5349">
        <f t="shared" si="4"/>
        <v>0</v>
      </c>
      <c r="AG53" s="5338">
        <f t="shared" si="5"/>
        <v>0</v>
      </c>
    </row>
    <row r="54" spans="1:33" s="5333" customFormat="1" ht="10.5" hidden="1" customHeight="1">
      <c r="A54" s="5340"/>
      <c r="B54" s="5340"/>
      <c r="C54" s="5340"/>
      <c r="D54" s="5367"/>
      <c r="E54" s="5380"/>
      <c r="F54" s="5380"/>
      <c r="G54" s="5379"/>
      <c r="H54" s="5379"/>
      <c r="I54" s="5495"/>
      <c r="J54" s="5366"/>
      <c r="K54" s="5361"/>
      <c r="L54" s="5365"/>
      <c r="M54" s="5357"/>
      <c r="N54" s="5357"/>
      <c r="O54" s="5357"/>
      <c r="P54" s="5358"/>
      <c r="Q54" s="5357"/>
      <c r="R54" s="5358"/>
      <c r="S54" s="5358"/>
      <c r="T54" s="5357"/>
      <c r="U54" s="5358"/>
      <c r="V54" s="5357"/>
      <c r="W54" s="5358"/>
      <c r="X54" s="5358"/>
      <c r="Y54" s="5357"/>
      <c r="Z54" s="5358"/>
      <c r="AA54" s="5357"/>
      <c r="AB54" s="5358"/>
      <c r="AC54" s="5349"/>
      <c r="AD54" s="5349"/>
      <c r="AE54" s="5349"/>
      <c r="AF54" s="5349">
        <f t="shared" si="4"/>
        <v>0</v>
      </c>
      <c r="AG54" s="5338">
        <f t="shared" si="5"/>
        <v>0</v>
      </c>
    </row>
    <row r="55" spans="1:33" s="5333" customFormat="1" ht="15.05" customHeight="1">
      <c r="A55" s="5340"/>
      <c r="B55" s="5340"/>
      <c r="C55" s="5340"/>
      <c r="D55" s="5367"/>
      <c r="E55" s="5380"/>
      <c r="F55" s="5380"/>
      <c r="G55" s="5380"/>
      <c r="H55" s="5380"/>
      <c r="I55" s="5496"/>
      <c r="J55" s="5568" t="s">
        <v>724</v>
      </c>
      <c r="K55" s="5361"/>
      <c r="L55" s="5365"/>
      <c r="M55" s="5357">
        <v>1900000000</v>
      </c>
      <c r="N55" s="5357">
        <f>N57+N61</f>
        <v>3000000000</v>
      </c>
      <c r="O55" s="5357">
        <f t="shared" ref="O55:O64" si="24">N55-M55</f>
        <v>1100000000</v>
      </c>
      <c r="P55" s="5358">
        <f>P57+P61</f>
        <v>3500000000</v>
      </c>
      <c r="Q55" s="5357">
        <f t="shared" ref="Q55:Q64" si="25">+P55-N55</f>
        <v>500000000</v>
      </c>
      <c r="R55" s="5358">
        <f t="shared" ref="R55:R64" si="26">P55/N55*100-100</f>
        <v>16.666666666666671</v>
      </c>
      <c r="S55" s="5358">
        <f>S57+S61</f>
        <v>4500000000</v>
      </c>
      <c r="T55" s="5357">
        <f t="shared" ref="T55:T64" si="27">S55-R55</f>
        <v>4499999983.333333</v>
      </c>
      <c r="U55" s="5358">
        <f>U57+U61</f>
        <v>3500000000</v>
      </c>
      <c r="V55" s="5357">
        <f>S55-P55</f>
        <v>1000000000</v>
      </c>
      <c r="W55" s="5358"/>
      <c r="X55" s="5358">
        <f>X57+X61</f>
        <v>5500000000</v>
      </c>
      <c r="Y55" s="5357">
        <f t="shared" ref="Y55:Y64" si="28">X55-W55</f>
        <v>5500000000</v>
      </c>
      <c r="Z55" s="5358">
        <f>Z57+Z61</f>
        <v>3500000000</v>
      </c>
      <c r="AA55" s="5357">
        <f>X55-S55</f>
        <v>1000000000</v>
      </c>
      <c r="AB55" s="5358">
        <f>X55/S55*100-100</f>
        <v>22.222222222222229</v>
      </c>
      <c r="AC55" s="5349"/>
      <c r="AD55" s="5349"/>
      <c r="AE55" s="5349"/>
      <c r="AF55" s="5349">
        <f t="shared" si="4"/>
        <v>1000000000</v>
      </c>
      <c r="AG55" s="5338">
        <f t="shared" si="5"/>
        <v>0</v>
      </c>
    </row>
    <row r="56" spans="1:33" s="5333" customFormat="1" ht="15.05" customHeight="1">
      <c r="A56" s="5426"/>
      <c r="B56" s="5426"/>
      <c r="C56" s="5426"/>
      <c r="D56" s="5374">
        <v>4</v>
      </c>
      <c r="E56" s="5374">
        <v>1</v>
      </c>
      <c r="F56" s="5374"/>
      <c r="G56" s="5374"/>
      <c r="H56" s="5374"/>
      <c r="I56" s="5537"/>
      <c r="J56" s="5372" t="s">
        <v>180</v>
      </c>
      <c r="K56" s="5371"/>
      <c r="L56" s="5370"/>
      <c r="M56" s="5357">
        <v>1900000000</v>
      </c>
      <c r="N56" s="5357">
        <f>N57+N61</f>
        <v>3000000000</v>
      </c>
      <c r="O56" s="5359">
        <f t="shared" si="24"/>
        <v>1100000000</v>
      </c>
      <c r="P56" s="5358">
        <f>P57+P61</f>
        <v>3500000000</v>
      </c>
      <c r="Q56" s="5357">
        <f t="shared" si="25"/>
        <v>500000000</v>
      </c>
      <c r="R56" s="5358">
        <f t="shared" si="26"/>
        <v>16.666666666666671</v>
      </c>
      <c r="S56" s="5358">
        <f>S57+S61</f>
        <v>4500000000</v>
      </c>
      <c r="T56" s="5359">
        <f t="shared" si="27"/>
        <v>4499999983.333333</v>
      </c>
      <c r="U56" s="5358">
        <f>U57+U61</f>
        <v>3500000000</v>
      </c>
      <c r="V56" s="5357">
        <f>S56-P56</f>
        <v>1000000000</v>
      </c>
      <c r="W56" s="5358">
        <f>S56/P56*100-100</f>
        <v>28.571428571428584</v>
      </c>
      <c r="X56" s="5358">
        <f>X57+X61</f>
        <v>5500000000</v>
      </c>
      <c r="Y56" s="5359">
        <f t="shared" si="28"/>
        <v>5499999971.4285717</v>
      </c>
      <c r="Z56" s="5358">
        <f>Z57+Z61</f>
        <v>3500000000</v>
      </c>
      <c r="AA56" s="5357">
        <f>X56-S56</f>
        <v>1000000000</v>
      </c>
      <c r="AB56" s="5358">
        <f>X56/S56*100-100</f>
        <v>22.222222222222229</v>
      </c>
      <c r="AC56" s="5349"/>
      <c r="AD56" s="5349"/>
      <c r="AE56" s="5349"/>
      <c r="AF56" s="5349">
        <f t="shared" si="4"/>
        <v>1000000000</v>
      </c>
      <c r="AG56" s="5338">
        <f t="shared" si="5"/>
        <v>0</v>
      </c>
    </row>
    <row r="57" spans="1:33" s="5333" customFormat="1" ht="15.05" customHeight="1">
      <c r="A57" s="5426"/>
      <c r="B57" s="5426"/>
      <c r="C57" s="5426"/>
      <c r="D57" s="5374">
        <v>4</v>
      </c>
      <c r="E57" s="5374">
        <v>1</v>
      </c>
      <c r="F57" s="5374">
        <v>2</v>
      </c>
      <c r="G57" s="5374"/>
      <c r="H57" s="5374"/>
      <c r="I57" s="5537"/>
      <c r="J57" s="5372" t="s">
        <v>106</v>
      </c>
      <c r="K57" s="5371"/>
      <c r="L57" s="5370"/>
      <c r="M57" s="5357">
        <v>1900000000</v>
      </c>
      <c r="N57" s="5357">
        <f>N58</f>
        <v>3000000000</v>
      </c>
      <c r="O57" s="5359">
        <f t="shared" si="24"/>
        <v>1100000000</v>
      </c>
      <c r="P57" s="5358">
        <f>P58</f>
        <v>3500000000</v>
      </c>
      <c r="Q57" s="5357">
        <f t="shared" si="25"/>
        <v>500000000</v>
      </c>
      <c r="R57" s="5358">
        <f t="shared" si="26"/>
        <v>16.666666666666671</v>
      </c>
      <c r="S57" s="5358">
        <f>S58</f>
        <v>4500000000</v>
      </c>
      <c r="T57" s="5359">
        <f t="shared" si="27"/>
        <v>4499999983.333333</v>
      </c>
      <c r="U57" s="5358">
        <f>U58</f>
        <v>3500000000</v>
      </c>
      <c r="V57" s="5357">
        <f>S57-P57</f>
        <v>1000000000</v>
      </c>
      <c r="W57" s="5358">
        <f>S57/P57*100-100</f>
        <v>28.571428571428584</v>
      </c>
      <c r="X57" s="5358">
        <f>X58</f>
        <v>5500000000</v>
      </c>
      <c r="Y57" s="5359">
        <f t="shared" si="28"/>
        <v>5499999971.4285717</v>
      </c>
      <c r="Z57" s="5358">
        <f>Z58</f>
        <v>3500000000</v>
      </c>
      <c r="AA57" s="5357">
        <f>X57-S57</f>
        <v>1000000000</v>
      </c>
      <c r="AB57" s="5358">
        <f>X57/S57*100-100</f>
        <v>22.222222222222229</v>
      </c>
      <c r="AC57" s="5349"/>
      <c r="AD57" s="5349"/>
      <c r="AE57" s="5349"/>
      <c r="AF57" s="5349">
        <f t="shared" si="4"/>
        <v>1000000000</v>
      </c>
      <c r="AG57" s="5338">
        <f t="shared" si="5"/>
        <v>0</v>
      </c>
    </row>
    <row r="58" spans="1:33" s="5333" customFormat="1" ht="15.05" customHeight="1">
      <c r="A58" s="5426"/>
      <c r="B58" s="5426"/>
      <c r="C58" s="5426"/>
      <c r="D58" s="5367">
        <v>4</v>
      </c>
      <c r="E58" s="5367">
        <v>1</v>
      </c>
      <c r="F58" s="5367">
        <v>2</v>
      </c>
      <c r="G58" s="5368" t="s">
        <v>437</v>
      </c>
      <c r="H58" s="5367"/>
      <c r="I58" s="5631"/>
      <c r="J58" s="5366" t="s">
        <v>107</v>
      </c>
      <c r="K58" s="5371"/>
      <c r="L58" s="5370"/>
      <c r="M58" s="5357">
        <v>1900000000</v>
      </c>
      <c r="N58" s="5357">
        <f>N59</f>
        <v>3000000000</v>
      </c>
      <c r="O58" s="5359">
        <f t="shared" si="24"/>
        <v>1100000000</v>
      </c>
      <c r="P58" s="5358">
        <f>P59</f>
        <v>3500000000</v>
      </c>
      <c r="Q58" s="5357">
        <f t="shared" si="25"/>
        <v>500000000</v>
      </c>
      <c r="R58" s="5358">
        <f t="shared" si="26"/>
        <v>16.666666666666671</v>
      </c>
      <c r="S58" s="5358">
        <f>S59</f>
        <v>4500000000</v>
      </c>
      <c r="T58" s="5359">
        <f t="shared" si="27"/>
        <v>4499999983.333333</v>
      </c>
      <c r="U58" s="5358">
        <f>U59</f>
        <v>3500000000</v>
      </c>
      <c r="V58" s="5357">
        <f>S58-P58</f>
        <v>1000000000</v>
      </c>
      <c r="W58" s="5358">
        <f>S58/P58*100-100</f>
        <v>28.571428571428584</v>
      </c>
      <c r="X58" s="5358">
        <f>X59</f>
        <v>5500000000</v>
      </c>
      <c r="Y58" s="5359">
        <f t="shared" si="28"/>
        <v>5499999971.4285717</v>
      </c>
      <c r="Z58" s="5358">
        <f>Z59</f>
        <v>3500000000</v>
      </c>
      <c r="AA58" s="5357">
        <f>X58-S58</f>
        <v>1000000000</v>
      </c>
      <c r="AB58" s="5358">
        <f>X58/S58*100-100</f>
        <v>22.222222222222229</v>
      </c>
      <c r="AC58" s="5349"/>
      <c r="AD58" s="5349"/>
      <c r="AE58" s="5349"/>
      <c r="AF58" s="5349">
        <f t="shared" si="4"/>
        <v>1000000000</v>
      </c>
      <c r="AG58" s="5338">
        <f t="shared" si="5"/>
        <v>0</v>
      </c>
    </row>
    <row r="59" spans="1:33" s="5333" customFormat="1" ht="15.05" customHeight="1">
      <c r="A59" s="5426"/>
      <c r="B59" s="5426"/>
      <c r="C59" s="5426"/>
      <c r="D59" s="5367">
        <v>4</v>
      </c>
      <c r="E59" s="5367">
        <v>1</v>
      </c>
      <c r="F59" s="5367">
        <v>2</v>
      </c>
      <c r="G59" s="5368" t="s">
        <v>437</v>
      </c>
      <c r="H59" s="5368" t="s">
        <v>437</v>
      </c>
      <c r="I59" s="5632"/>
      <c r="J59" s="5366" t="s">
        <v>1422</v>
      </c>
      <c r="K59" s="5361"/>
      <c r="L59" s="5365"/>
      <c r="M59" s="5359">
        <v>1900000000</v>
      </c>
      <c r="N59" s="5359">
        <v>3000000000</v>
      </c>
      <c r="O59" s="5359">
        <f t="shared" si="24"/>
        <v>1100000000</v>
      </c>
      <c r="P59" s="5358">
        <v>3500000000</v>
      </c>
      <c r="Q59" s="5357">
        <f t="shared" si="25"/>
        <v>500000000</v>
      </c>
      <c r="R59" s="5358">
        <f t="shared" si="26"/>
        <v>16.666666666666671</v>
      </c>
      <c r="S59" s="5358">
        <f>'rekap perdinas Kua PPAS'!J45</f>
        <v>4500000000</v>
      </c>
      <c r="T59" s="5359">
        <f t="shared" si="27"/>
        <v>4499999983.333333</v>
      </c>
      <c r="U59" s="5358">
        <v>3500000000</v>
      </c>
      <c r="V59" s="5357">
        <f>S59-P59</f>
        <v>1000000000</v>
      </c>
      <c r="W59" s="5358">
        <f>S59/P59*100-100</f>
        <v>28.571428571428584</v>
      </c>
      <c r="X59" s="5358">
        <f>'rekap perdinas Kua PPAS'!N45</f>
        <v>5500000000</v>
      </c>
      <c r="Y59" s="5359">
        <f t="shared" si="28"/>
        <v>5499999971.4285717</v>
      </c>
      <c r="Z59" s="5358">
        <v>3500000000</v>
      </c>
      <c r="AA59" s="5357">
        <f>X59-S59</f>
        <v>1000000000</v>
      </c>
      <c r="AB59" s="5358">
        <f>X59/S59*100-100</f>
        <v>22.222222222222229</v>
      </c>
      <c r="AC59" s="5350"/>
      <c r="AD59" s="5350"/>
      <c r="AE59" s="5350"/>
      <c r="AF59" s="5349">
        <f t="shared" si="4"/>
        <v>1000000000</v>
      </c>
      <c r="AG59" s="5338">
        <f t="shared" si="5"/>
        <v>0</v>
      </c>
    </row>
    <row r="60" spans="1:33" s="5333" customFormat="1" ht="10.5" customHeight="1">
      <c r="A60" s="5340"/>
      <c r="B60" s="5340"/>
      <c r="C60" s="5340"/>
      <c r="D60" s="5367"/>
      <c r="E60" s="5380"/>
      <c r="F60" s="5380"/>
      <c r="G60" s="5379"/>
      <c r="H60" s="5379"/>
      <c r="I60" s="5495"/>
      <c r="J60" s="5366"/>
      <c r="K60" s="5361"/>
      <c r="L60" s="5365"/>
      <c r="M60" s="5357"/>
      <c r="N60" s="5357"/>
      <c r="O60" s="5357">
        <f t="shared" si="24"/>
        <v>0</v>
      </c>
      <c r="P60" s="5358"/>
      <c r="Q60" s="5357">
        <f t="shared" si="25"/>
        <v>0</v>
      </c>
      <c r="R60" s="5358" t="e">
        <f t="shared" si="26"/>
        <v>#DIV/0!</v>
      </c>
      <c r="S60" s="5358"/>
      <c r="T60" s="5357" t="e">
        <f t="shared" si="27"/>
        <v>#DIV/0!</v>
      </c>
      <c r="U60" s="5358"/>
      <c r="V60" s="5357"/>
      <c r="W60" s="5358"/>
      <c r="X60" s="5358"/>
      <c r="Y60" s="5357">
        <f t="shared" si="28"/>
        <v>0</v>
      </c>
      <c r="Z60" s="5358"/>
      <c r="AA60" s="5357"/>
      <c r="AB60" s="5358"/>
      <c r="AC60" s="5349"/>
      <c r="AD60" s="5349"/>
      <c r="AE60" s="5349"/>
      <c r="AF60" s="5349">
        <f t="shared" si="4"/>
        <v>0</v>
      </c>
      <c r="AG60" s="5338">
        <f t="shared" si="5"/>
        <v>0</v>
      </c>
    </row>
    <row r="61" spans="1:33" s="5333" customFormat="1" ht="15.05" hidden="1" customHeight="1">
      <c r="A61" s="5426"/>
      <c r="B61" s="5426"/>
      <c r="C61" s="5426"/>
      <c r="D61" s="5374">
        <v>4</v>
      </c>
      <c r="E61" s="5374">
        <v>1</v>
      </c>
      <c r="F61" s="5374">
        <v>4</v>
      </c>
      <c r="G61" s="5373"/>
      <c r="H61" s="5373"/>
      <c r="I61" s="5633"/>
      <c r="J61" s="5372" t="s">
        <v>71</v>
      </c>
      <c r="K61" s="5371"/>
      <c r="L61" s="5370"/>
      <c r="M61" s="5357">
        <v>0</v>
      </c>
      <c r="N61" s="5357">
        <f>N62</f>
        <v>0</v>
      </c>
      <c r="O61" s="5359">
        <f t="shared" si="24"/>
        <v>0</v>
      </c>
      <c r="P61" s="5358"/>
      <c r="Q61" s="5357">
        <f t="shared" si="25"/>
        <v>0</v>
      </c>
      <c r="R61" s="5358" t="e">
        <f t="shared" si="26"/>
        <v>#DIV/0!</v>
      </c>
      <c r="S61" s="5358"/>
      <c r="T61" s="5359" t="e">
        <f t="shared" si="27"/>
        <v>#DIV/0!</v>
      </c>
      <c r="U61" s="5358"/>
      <c r="V61" s="5357">
        <f>S61-P61</f>
        <v>0</v>
      </c>
      <c r="W61" s="5358" t="e">
        <f>S61/P61*100-100</f>
        <v>#DIV/0!</v>
      </c>
      <c r="X61" s="5358"/>
      <c r="Y61" s="5359" t="e">
        <f t="shared" si="28"/>
        <v>#DIV/0!</v>
      </c>
      <c r="Z61" s="5358"/>
      <c r="AA61" s="5357">
        <f t="shared" ref="AA61:AA72" si="29">X61-S61</f>
        <v>0</v>
      </c>
      <c r="AB61" s="5358" t="e">
        <f t="shared" ref="AB61:AB72" si="30">X61/S61*100-100</f>
        <v>#DIV/0!</v>
      </c>
      <c r="AC61" s="5349"/>
      <c r="AD61" s="5349"/>
      <c r="AE61" s="5349"/>
      <c r="AF61" s="5349">
        <f t="shared" si="4"/>
        <v>0</v>
      </c>
      <c r="AG61" s="5338">
        <f t="shared" si="5"/>
        <v>0</v>
      </c>
    </row>
    <row r="62" spans="1:33" s="5333" customFormat="1" ht="15.05" hidden="1" customHeight="1">
      <c r="A62" s="5340"/>
      <c r="B62" s="5340"/>
      <c r="C62" s="5340"/>
      <c r="D62" s="5367">
        <v>4</v>
      </c>
      <c r="E62" s="5367">
        <v>1</v>
      </c>
      <c r="F62" s="5367">
        <v>4</v>
      </c>
      <c r="G62" s="5367" t="s">
        <v>948</v>
      </c>
      <c r="H62" s="5368"/>
      <c r="I62" s="5632"/>
      <c r="J62" s="5366" t="s">
        <v>321</v>
      </c>
      <c r="K62" s="5361"/>
      <c r="L62" s="5365"/>
      <c r="M62" s="5357">
        <v>0</v>
      </c>
      <c r="N62" s="5357">
        <f>N63</f>
        <v>0</v>
      </c>
      <c r="O62" s="5359">
        <f t="shared" si="24"/>
        <v>0</v>
      </c>
      <c r="P62" s="5358"/>
      <c r="Q62" s="5357">
        <f t="shared" si="25"/>
        <v>0</v>
      </c>
      <c r="R62" s="5358" t="e">
        <f t="shared" si="26"/>
        <v>#DIV/0!</v>
      </c>
      <c r="S62" s="5358"/>
      <c r="T62" s="5359" t="e">
        <f t="shared" si="27"/>
        <v>#DIV/0!</v>
      </c>
      <c r="U62" s="5358"/>
      <c r="V62" s="5357">
        <f>S62-P62</f>
        <v>0</v>
      </c>
      <c r="W62" s="5358" t="e">
        <f>S62/P62*100-100</f>
        <v>#DIV/0!</v>
      </c>
      <c r="X62" s="5358"/>
      <c r="Y62" s="5359" t="e">
        <f t="shared" si="28"/>
        <v>#DIV/0!</v>
      </c>
      <c r="Z62" s="5358"/>
      <c r="AA62" s="5357">
        <f t="shared" si="29"/>
        <v>0</v>
      </c>
      <c r="AB62" s="5358" t="e">
        <f t="shared" si="30"/>
        <v>#DIV/0!</v>
      </c>
      <c r="AC62" s="5349"/>
      <c r="AD62" s="5349"/>
      <c r="AE62" s="5349"/>
      <c r="AF62" s="5349">
        <f t="shared" si="4"/>
        <v>0</v>
      </c>
      <c r="AG62" s="5338">
        <f t="shared" si="5"/>
        <v>0</v>
      </c>
    </row>
    <row r="63" spans="1:33" s="5333" customFormat="1" ht="15.05" hidden="1" customHeight="1">
      <c r="A63" s="5340"/>
      <c r="B63" s="5340"/>
      <c r="C63" s="5340"/>
      <c r="D63" s="5367">
        <v>4</v>
      </c>
      <c r="E63" s="5367">
        <v>1</v>
      </c>
      <c r="F63" s="5367">
        <v>4</v>
      </c>
      <c r="G63" s="5367" t="s">
        <v>948</v>
      </c>
      <c r="H63" s="5367" t="s">
        <v>437</v>
      </c>
      <c r="I63" s="5631"/>
      <c r="J63" s="5366" t="s">
        <v>85</v>
      </c>
      <c r="K63" s="5361"/>
      <c r="L63" s="5365"/>
      <c r="M63" s="5357">
        <v>0</v>
      </c>
      <c r="N63" s="5357">
        <f>N64</f>
        <v>0</v>
      </c>
      <c r="O63" s="5359">
        <f t="shared" si="24"/>
        <v>0</v>
      </c>
      <c r="P63" s="5358"/>
      <c r="Q63" s="5357">
        <f t="shared" si="25"/>
        <v>0</v>
      </c>
      <c r="R63" s="5358" t="e">
        <f t="shared" si="26"/>
        <v>#DIV/0!</v>
      </c>
      <c r="S63" s="5358"/>
      <c r="T63" s="5359" t="e">
        <f t="shared" si="27"/>
        <v>#DIV/0!</v>
      </c>
      <c r="U63" s="5358"/>
      <c r="V63" s="5357">
        <f>S63-P63</f>
        <v>0</v>
      </c>
      <c r="W63" s="5358" t="e">
        <f>S63/P63*100-100</f>
        <v>#DIV/0!</v>
      </c>
      <c r="X63" s="5358"/>
      <c r="Y63" s="5359" t="e">
        <f t="shared" si="28"/>
        <v>#DIV/0!</v>
      </c>
      <c r="Z63" s="5358"/>
      <c r="AA63" s="5357">
        <f t="shared" si="29"/>
        <v>0</v>
      </c>
      <c r="AB63" s="5358" t="e">
        <f t="shared" si="30"/>
        <v>#DIV/0!</v>
      </c>
      <c r="AC63" s="5349"/>
      <c r="AD63" s="5349"/>
      <c r="AE63" s="5349"/>
      <c r="AF63" s="5349">
        <f t="shared" si="4"/>
        <v>0</v>
      </c>
      <c r="AG63" s="5338">
        <f t="shared" si="5"/>
        <v>0</v>
      </c>
    </row>
    <row r="64" spans="1:33" s="5333" customFormat="1" ht="15.05" hidden="1" customHeight="1">
      <c r="A64" s="5340"/>
      <c r="B64" s="5340"/>
      <c r="C64" s="5340"/>
      <c r="D64" s="5367"/>
      <c r="E64" s="5367"/>
      <c r="F64" s="5367"/>
      <c r="G64" s="5368"/>
      <c r="H64" s="5367"/>
      <c r="I64" s="5631"/>
      <c r="J64" s="5408" t="s">
        <v>50</v>
      </c>
      <c r="K64" s="5361" t="s">
        <v>85</v>
      </c>
      <c r="L64" s="5365"/>
      <c r="M64" s="5359">
        <v>0</v>
      </c>
      <c r="N64" s="5359">
        <v>0</v>
      </c>
      <c r="O64" s="5359">
        <f t="shared" si="24"/>
        <v>0</v>
      </c>
      <c r="P64" s="5358"/>
      <c r="Q64" s="5357">
        <f t="shared" si="25"/>
        <v>0</v>
      </c>
      <c r="R64" s="5356" t="e">
        <f t="shared" si="26"/>
        <v>#DIV/0!</v>
      </c>
      <c r="S64" s="5358"/>
      <c r="T64" s="5359" t="e">
        <f t="shared" si="27"/>
        <v>#DIV/0!</v>
      </c>
      <c r="U64" s="5358"/>
      <c r="V64" s="5357">
        <f>S64-P64</f>
        <v>0</v>
      </c>
      <c r="W64" s="5356" t="e">
        <f>S64/P64*100-100</f>
        <v>#DIV/0!</v>
      </c>
      <c r="X64" s="5358"/>
      <c r="Y64" s="5359" t="e">
        <f t="shared" si="28"/>
        <v>#DIV/0!</v>
      </c>
      <c r="Z64" s="5358"/>
      <c r="AA64" s="5357">
        <f t="shared" si="29"/>
        <v>0</v>
      </c>
      <c r="AB64" s="5356" t="e">
        <f t="shared" si="30"/>
        <v>#DIV/0!</v>
      </c>
      <c r="AC64" s="5350"/>
      <c r="AD64" s="5350"/>
      <c r="AE64" s="5350"/>
      <c r="AF64" s="5349">
        <f t="shared" si="4"/>
        <v>0</v>
      </c>
      <c r="AG64" s="5338">
        <f t="shared" si="5"/>
        <v>0</v>
      </c>
    </row>
    <row r="65" spans="1:33" s="5333" customFormat="1" ht="15.05" hidden="1" customHeight="1">
      <c r="A65" s="5340"/>
      <c r="B65" s="5340"/>
      <c r="C65" s="5340"/>
      <c r="D65" s="5368"/>
      <c r="E65" s="5380"/>
      <c r="F65" s="5380"/>
      <c r="G65" s="5379"/>
      <c r="H65" s="5380"/>
      <c r="I65" s="5496"/>
      <c r="J65" s="5366"/>
      <c r="K65" s="5361"/>
      <c r="L65" s="5365"/>
      <c r="M65" s="5357"/>
      <c r="N65" s="5357"/>
      <c r="O65" s="5357"/>
      <c r="P65" s="5358"/>
      <c r="Q65" s="5357"/>
      <c r="R65" s="5358"/>
      <c r="S65" s="5358"/>
      <c r="T65" s="5357"/>
      <c r="U65" s="5358"/>
      <c r="V65" s="5357"/>
      <c r="W65" s="5358"/>
      <c r="X65" s="5358"/>
      <c r="Y65" s="5357"/>
      <c r="Z65" s="5358"/>
      <c r="AA65" s="5357">
        <f t="shared" si="29"/>
        <v>0</v>
      </c>
      <c r="AB65" s="5358" t="e">
        <f t="shared" si="30"/>
        <v>#DIV/0!</v>
      </c>
      <c r="AC65" s="5349"/>
      <c r="AD65" s="5349"/>
      <c r="AE65" s="5349"/>
      <c r="AF65" s="5349">
        <f t="shared" si="4"/>
        <v>0</v>
      </c>
      <c r="AG65" s="5338">
        <f t="shared" si="5"/>
        <v>0</v>
      </c>
    </row>
    <row r="66" spans="1:33" s="5333" customFormat="1" ht="15.05" customHeight="1">
      <c r="A66" s="5340"/>
      <c r="B66" s="5340"/>
      <c r="C66" s="5340"/>
      <c r="D66" s="5367"/>
      <c r="E66" s="5380"/>
      <c r="F66" s="5380"/>
      <c r="G66" s="5380"/>
      <c r="H66" s="5380"/>
      <c r="I66" s="5496"/>
      <c r="J66" s="5568" t="s">
        <v>1483</v>
      </c>
      <c r="K66" s="5361"/>
      <c r="L66" s="5365"/>
      <c r="M66" s="5357">
        <v>993600000</v>
      </c>
      <c r="N66" s="5357">
        <f>N68+N74</f>
        <v>1110000000</v>
      </c>
      <c r="O66" s="5357">
        <f t="shared" ref="O66:O77" si="31">N66-M66</f>
        <v>116400000</v>
      </c>
      <c r="P66" s="5358">
        <f>P68+P74</f>
        <v>1116000000</v>
      </c>
      <c r="Q66" s="5357">
        <f t="shared" ref="Q66:Q77" si="32">+P66-N66</f>
        <v>6000000</v>
      </c>
      <c r="R66" s="5358">
        <f t="shared" ref="R66:R77" si="33">P66/N66*100-100</f>
        <v>0.54054054054053324</v>
      </c>
      <c r="S66" s="5358">
        <f>S68+S74</f>
        <v>3000000000</v>
      </c>
      <c r="T66" s="5357">
        <f t="shared" ref="T66:T77" si="34">S66-R66</f>
        <v>2999999999.4594593</v>
      </c>
      <c r="U66" s="5358">
        <f>U68+U74</f>
        <v>1116000000</v>
      </c>
      <c r="V66" s="5357">
        <f t="shared" ref="V66:V72" si="35">S66-P66</f>
        <v>1884000000</v>
      </c>
      <c r="W66" s="5358">
        <f t="shared" ref="W66:W72" si="36">S66/P66*100-100</f>
        <v>168.81720430107526</v>
      </c>
      <c r="X66" s="5358">
        <f>X68+X74</f>
        <v>2000000000</v>
      </c>
      <c r="Y66" s="5357">
        <f t="shared" ref="Y66:Y77" si="37">X66-W66</f>
        <v>1999999831.1827958</v>
      </c>
      <c r="Z66" s="5358">
        <f>Z68+Z74</f>
        <v>1116000000</v>
      </c>
      <c r="AA66" s="5357">
        <f t="shared" si="29"/>
        <v>-1000000000</v>
      </c>
      <c r="AB66" s="5358">
        <f t="shared" si="30"/>
        <v>-33.333333333333343</v>
      </c>
      <c r="AC66" s="5349"/>
      <c r="AD66" s="5349"/>
      <c r="AE66" s="5349"/>
      <c r="AF66" s="5349">
        <f t="shared" si="4"/>
        <v>1884000000</v>
      </c>
      <c r="AG66" s="5338">
        <f t="shared" si="5"/>
        <v>0</v>
      </c>
    </row>
    <row r="67" spans="1:33" s="5333" customFormat="1" ht="17.25" customHeight="1">
      <c r="A67" s="5426"/>
      <c r="B67" s="5426"/>
      <c r="C67" s="5426"/>
      <c r="D67" s="5374">
        <v>4</v>
      </c>
      <c r="E67" s="5374">
        <v>1</v>
      </c>
      <c r="F67" s="5374"/>
      <c r="G67" s="5374"/>
      <c r="H67" s="5374"/>
      <c r="I67" s="5537"/>
      <c r="J67" s="5372" t="s">
        <v>180</v>
      </c>
      <c r="K67" s="5371"/>
      <c r="L67" s="5370"/>
      <c r="M67" s="5357">
        <v>993600000</v>
      </c>
      <c r="N67" s="5357">
        <f>N68+N74</f>
        <v>1110000000</v>
      </c>
      <c r="O67" s="5359">
        <f t="shared" si="31"/>
        <v>116400000</v>
      </c>
      <c r="P67" s="5358">
        <f>P68+P74</f>
        <v>1116000000</v>
      </c>
      <c r="Q67" s="5357">
        <f t="shared" si="32"/>
        <v>6000000</v>
      </c>
      <c r="R67" s="5358">
        <f t="shared" si="33"/>
        <v>0.54054054054053324</v>
      </c>
      <c r="S67" s="5358">
        <f>S68+S74</f>
        <v>3000000000</v>
      </c>
      <c r="T67" s="5359">
        <f t="shared" si="34"/>
        <v>2999999999.4594593</v>
      </c>
      <c r="U67" s="5358">
        <f>U68+U74</f>
        <v>1116000000</v>
      </c>
      <c r="V67" s="5357">
        <f t="shared" si="35"/>
        <v>1884000000</v>
      </c>
      <c r="W67" s="5358">
        <f t="shared" si="36"/>
        <v>168.81720430107526</v>
      </c>
      <c r="X67" s="5358">
        <f>X68+X74</f>
        <v>2000000000</v>
      </c>
      <c r="Y67" s="5359">
        <f t="shared" si="37"/>
        <v>1999999831.1827958</v>
      </c>
      <c r="Z67" s="5358">
        <f>Z68+Z74</f>
        <v>1116000000</v>
      </c>
      <c r="AA67" s="5357">
        <f t="shared" si="29"/>
        <v>-1000000000</v>
      </c>
      <c r="AB67" s="5358">
        <f t="shared" si="30"/>
        <v>-33.333333333333343</v>
      </c>
      <c r="AC67" s="5349"/>
      <c r="AD67" s="5349"/>
      <c r="AE67" s="5349"/>
      <c r="AF67" s="5349">
        <f t="shared" si="4"/>
        <v>1884000000</v>
      </c>
      <c r="AG67" s="5338">
        <f t="shared" si="5"/>
        <v>0</v>
      </c>
    </row>
    <row r="68" spans="1:33" s="5333" customFormat="1" ht="17.25" customHeight="1">
      <c r="A68" s="5426"/>
      <c r="B68" s="5426"/>
      <c r="C68" s="5426"/>
      <c r="D68" s="5374">
        <v>4</v>
      </c>
      <c r="E68" s="5374">
        <v>1</v>
      </c>
      <c r="F68" s="5374">
        <v>2</v>
      </c>
      <c r="G68" s="5374"/>
      <c r="H68" s="5374"/>
      <c r="I68" s="5537"/>
      <c r="J68" s="5372" t="s">
        <v>106</v>
      </c>
      <c r="K68" s="5361"/>
      <c r="L68" s="5365"/>
      <c r="M68" s="5357">
        <v>993600000</v>
      </c>
      <c r="N68" s="5357">
        <f>+N69</f>
        <v>1110000000</v>
      </c>
      <c r="O68" s="5359">
        <f t="shared" si="31"/>
        <v>116400000</v>
      </c>
      <c r="P68" s="5358">
        <f>+P69</f>
        <v>1116000000</v>
      </c>
      <c r="Q68" s="5357">
        <f t="shared" si="32"/>
        <v>6000000</v>
      </c>
      <c r="R68" s="5358">
        <f t="shared" si="33"/>
        <v>0.54054054054053324</v>
      </c>
      <c r="S68" s="5358">
        <f>+S69</f>
        <v>3000000000</v>
      </c>
      <c r="T68" s="5359">
        <f t="shared" si="34"/>
        <v>2999999999.4594593</v>
      </c>
      <c r="U68" s="5358">
        <f>+U69</f>
        <v>1116000000</v>
      </c>
      <c r="V68" s="5357">
        <f t="shared" si="35"/>
        <v>1884000000</v>
      </c>
      <c r="W68" s="5358">
        <f t="shared" si="36"/>
        <v>168.81720430107526</v>
      </c>
      <c r="X68" s="5358">
        <f>+X69</f>
        <v>2000000000</v>
      </c>
      <c r="Y68" s="5359">
        <f t="shared" si="37"/>
        <v>1999999831.1827958</v>
      </c>
      <c r="Z68" s="5358">
        <f>+Z69</f>
        <v>1116000000</v>
      </c>
      <c r="AA68" s="5357">
        <f t="shared" si="29"/>
        <v>-1000000000</v>
      </c>
      <c r="AB68" s="5358">
        <f t="shared" si="30"/>
        <v>-33.333333333333343</v>
      </c>
      <c r="AC68" s="5349"/>
      <c r="AD68" s="5349"/>
      <c r="AE68" s="5349"/>
      <c r="AF68" s="5349">
        <f t="shared" si="4"/>
        <v>1884000000</v>
      </c>
      <c r="AG68" s="5338">
        <f t="shared" si="5"/>
        <v>0</v>
      </c>
    </row>
    <row r="69" spans="1:33" s="5333" customFormat="1" ht="13.5" customHeight="1">
      <c r="A69" s="5426"/>
      <c r="B69" s="5426"/>
      <c r="C69" s="5426"/>
      <c r="D69" s="5367">
        <v>4</v>
      </c>
      <c r="E69" s="5367">
        <v>1</v>
      </c>
      <c r="F69" s="5367">
        <v>2</v>
      </c>
      <c r="G69" s="5368" t="s">
        <v>437</v>
      </c>
      <c r="H69" s="5367"/>
      <c r="I69" s="5631"/>
      <c r="J69" s="5366" t="s">
        <v>107</v>
      </c>
      <c r="K69" s="5361"/>
      <c r="L69" s="5365"/>
      <c r="M69" s="5357">
        <v>993600000</v>
      </c>
      <c r="N69" s="5357">
        <f>+N70</f>
        <v>1110000000</v>
      </c>
      <c r="O69" s="5359">
        <f t="shared" si="31"/>
        <v>116400000</v>
      </c>
      <c r="P69" s="5358">
        <f>+P70</f>
        <v>1116000000</v>
      </c>
      <c r="Q69" s="5357">
        <f t="shared" si="32"/>
        <v>6000000</v>
      </c>
      <c r="R69" s="5358">
        <f t="shared" si="33"/>
        <v>0.54054054054053324</v>
      </c>
      <c r="S69" s="5358">
        <f>+S70</f>
        <v>3000000000</v>
      </c>
      <c r="T69" s="5359">
        <f t="shared" si="34"/>
        <v>2999999999.4594593</v>
      </c>
      <c r="U69" s="5358">
        <f>+U70</f>
        <v>1116000000</v>
      </c>
      <c r="V69" s="5357">
        <f t="shared" si="35"/>
        <v>1884000000</v>
      </c>
      <c r="W69" s="5358">
        <f t="shared" si="36"/>
        <v>168.81720430107526</v>
      </c>
      <c r="X69" s="5358">
        <f>+X70</f>
        <v>2000000000</v>
      </c>
      <c r="Y69" s="5359">
        <f t="shared" si="37"/>
        <v>1999999831.1827958</v>
      </c>
      <c r="Z69" s="5358">
        <f>+Z70</f>
        <v>1116000000</v>
      </c>
      <c r="AA69" s="5357">
        <f t="shared" si="29"/>
        <v>-1000000000</v>
      </c>
      <c r="AB69" s="5358">
        <f t="shared" si="30"/>
        <v>-33.333333333333343</v>
      </c>
      <c r="AC69" s="5349"/>
      <c r="AD69" s="5349"/>
      <c r="AE69" s="5349"/>
      <c r="AF69" s="5349">
        <f t="shared" si="4"/>
        <v>1884000000</v>
      </c>
      <c r="AG69" s="5338">
        <f t="shared" si="5"/>
        <v>0</v>
      </c>
    </row>
    <row r="70" spans="1:33" s="5333" customFormat="1" ht="13.5" customHeight="1">
      <c r="A70" s="5426"/>
      <c r="B70" s="5426"/>
      <c r="C70" s="5426"/>
      <c r="D70" s="5367">
        <v>4</v>
      </c>
      <c r="E70" s="5367">
        <v>1</v>
      </c>
      <c r="F70" s="5367">
        <v>2</v>
      </c>
      <c r="G70" s="5368" t="s">
        <v>437</v>
      </c>
      <c r="H70" s="5368" t="s">
        <v>437</v>
      </c>
      <c r="I70" s="5632"/>
      <c r="J70" s="5366" t="s">
        <v>1422</v>
      </c>
      <c r="K70" s="5361"/>
      <c r="L70" s="5365"/>
      <c r="M70" s="5359">
        <v>993600000</v>
      </c>
      <c r="N70" s="5359">
        <f>SUM(N71:N72)</f>
        <v>1110000000</v>
      </c>
      <c r="O70" s="5359">
        <f t="shared" si="31"/>
        <v>116400000</v>
      </c>
      <c r="P70" s="5358">
        <f>SUM(P71:P72)</f>
        <v>1116000000</v>
      </c>
      <c r="Q70" s="5357">
        <f t="shared" si="32"/>
        <v>6000000</v>
      </c>
      <c r="R70" s="5358">
        <f t="shared" si="33"/>
        <v>0.54054054054053324</v>
      </c>
      <c r="S70" s="5358">
        <f>SUM(S71:S72)</f>
        <v>3000000000</v>
      </c>
      <c r="T70" s="5359">
        <f t="shared" si="34"/>
        <v>2999999999.4594593</v>
      </c>
      <c r="U70" s="5358">
        <f>SUM(U71:U72)</f>
        <v>1116000000</v>
      </c>
      <c r="V70" s="5357">
        <f t="shared" si="35"/>
        <v>1884000000</v>
      </c>
      <c r="W70" s="5358">
        <f t="shared" si="36"/>
        <v>168.81720430107526</v>
      </c>
      <c r="X70" s="5358">
        <f>SUM(X71:X72)</f>
        <v>2000000000</v>
      </c>
      <c r="Y70" s="5359">
        <f t="shared" si="37"/>
        <v>1999999831.1827958</v>
      </c>
      <c r="Z70" s="5358">
        <f>SUM(Z71:Z72)</f>
        <v>1116000000</v>
      </c>
      <c r="AA70" s="5357">
        <f t="shared" si="29"/>
        <v>-1000000000</v>
      </c>
      <c r="AB70" s="5358">
        <f t="shared" si="30"/>
        <v>-33.333333333333343</v>
      </c>
      <c r="AC70" s="5350"/>
      <c r="AD70" s="5350"/>
      <c r="AE70" s="5350"/>
      <c r="AF70" s="5349">
        <f t="shared" si="4"/>
        <v>1884000000</v>
      </c>
      <c r="AG70" s="5338">
        <f t="shared" si="5"/>
        <v>0</v>
      </c>
    </row>
    <row r="71" spans="1:33" s="5333" customFormat="1" ht="13.5" customHeight="1">
      <c r="A71" s="5426"/>
      <c r="B71" s="5426"/>
      <c r="C71" s="5426"/>
      <c r="D71" s="5367"/>
      <c r="E71" s="5380"/>
      <c r="F71" s="5380"/>
      <c r="G71" s="5379"/>
      <c r="H71" s="5379"/>
      <c r="I71" s="5495"/>
      <c r="J71" s="5408" t="s">
        <v>50</v>
      </c>
      <c r="K71" s="5361" t="s">
        <v>1482</v>
      </c>
      <c r="L71" s="5365"/>
      <c r="M71" s="5359">
        <v>900000000</v>
      </c>
      <c r="N71" s="5359">
        <v>1000000000</v>
      </c>
      <c r="O71" s="5359">
        <f t="shared" si="31"/>
        <v>100000000</v>
      </c>
      <c r="P71" s="5358">
        <f>1200000000-200000000</f>
        <v>1000000000</v>
      </c>
      <c r="Q71" s="5357">
        <f t="shared" si="32"/>
        <v>0</v>
      </c>
      <c r="R71" s="5358">
        <f t="shared" si="33"/>
        <v>0</v>
      </c>
      <c r="S71" s="5358">
        <f>'rekap perdinas Kua PPAS'!J56</f>
        <v>3000000000</v>
      </c>
      <c r="T71" s="5359">
        <f t="shared" si="34"/>
        <v>3000000000</v>
      </c>
      <c r="U71" s="5358">
        <f>1200000000-200000000</f>
        <v>1000000000</v>
      </c>
      <c r="V71" s="5357">
        <f t="shared" si="35"/>
        <v>2000000000</v>
      </c>
      <c r="W71" s="5358">
        <f t="shared" si="36"/>
        <v>200</v>
      </c>
      <c r="X71" s="5358">
        <f>'rekap perdinas Kua PPAS'!N56</f>
        <v>2000000000</v>
      </c>
      <c r="Y71" s="5359">
        <f t="shared" si="37"/>
        <v>1999999800</v>
      </c>
      <c r="Z71" s="5358">
        <f>1200000000-200000000</f>
        <v>1000000000</v>
      </c>
      <c r="AA71" s="5357">
        <f t="shared" si="29"/>
        <v>-1000000000</v>
      </c>
      <c r="AB71" s="5358">
        <f t="shared" si="30"/>
        <v>-33.333333333333343</v>
      </c>
      <c r="AC71" s="5350"/>
      <c r="AD71" s="5350"/>
      <c r="AE71" s="5350"/>
      <c r="AF71" s="5349">
        <f t="shared" si="4"/>
        <v>2000000000</v>
      </c>
      <c r="AG71" s="5338">
        <f t="shared" si="5"/>
        <v>0</v>
      </c>
    </row>
    <row r="72" spans="1:33" s="5333" customFormat="1" ht="13.5" hidden="1" customHeight="1">
      <c r="A72" s="5426"/>
      <c r="B72" s="5426"/>
      <c r="C72" s="5426"/>
      <c r="D72" s="5367"/>
      <c r="E72" s="5380"/>
      <c r="F72" s="5380"/>
      <c r="G72" s="5379"/>
      <c r="H72" s="5379"/>
      <c r="I72" s="5495"/>
      <c r="J72" s="5408" t="s">
        <v>50</v>
      </c>
      <c r="K72" s="5510" t="s">
        <v>1481</v>
      </c>
      <c r="L72" s="5509"/>
      <c r="M72" s="5508">
        <v>93600000</v>
      </c>
      <c r="N72" s="5508">
        <v>110000000</v>
      </c>
      <c r="O72" s="5508">
        <f t="shared" si="31"/>
        <v>16400000</v>
      </c>
      <c r="P72" s="5431">
        <v>116000000</v>
      </c>
      <c r="Q72" s="5507">
        <f t="shared" si="32"/>
        <v>6000000</v>
      </c>
      <c r="R72" s="5431">
        <f t="shared" si="33"/>
        <v>5.454545454545439</v>
      </c>
      <c r="S72" s="5431">
        <v>0</v>
      </c>
      <c r="T72" s="5508">
        <f t="shared" si="34"/>
        <v>-5.454545454545439</v>
      </c>
      <c r="U72" s="5431">
        <v>116000000</v>
      </c>
      <c r="V72" s="5507">
        <f t="shared" si="35"/>
        <v>-116000000</v>
      </c>
      <c r="W72" s="5431">
        <f t="shared" si="36"/>
        <v>-100</v>
      </c>
      <c r="X72" s="5431">
        <v>0</v>
      </c>
      <c r="Y72" s="5359">
        <f t="shared" si="37"/>
        <v>100</v>
      </c>
      <c r="Z72" s="5358">
        <v>116000000</v>
      </c>
      <c r="AA72" s="5357">
        <f t="shared" si="29"/>
        <v>0</v>
      </c>
      <c r="AB72" s="5358" t="e">
        <f t="shared" si="30"/>
        <v>#DIV/0!</v>
      </c>
      <c r="AC72" s="5350"/>
      <c r="AD72" s="5350"/>
      <c r="AE72" s="5350"/>
      <c r="AF72" s="5349">
        <f t="shared" si="4"/>
        <v>-116000000</v>
      </c>
      <c r="AG72" s="5338">
        <f t="shared" si="5"/>
        <v>0</v>
      </c>
    </row>
    <row r="73" spans="1:33" s="5333" customFormat="1">
      <c r="A73" s="5340"/>
      <c r="B73" s="5340"/>
      <c r="C73" s="5340"/>
      <c r="D73" s="5367"/>
      <c r="E73" s="5380"/>
      <c r="F73" s="5380"/>
      <c r="G73" s="5379"/>
      <c r="H73" s="5379"/>
      <c r="I73" s="5495"/>
      <c r="J73" s="5366"/>
      <c r="K73" s="5361"/>
      <c r="L73" s="5365"/>
      <c r="M73" s="5357"/>
      <c r="N73" s="5357"/>
      <c r="O73" s="5357">
        <f t="shared" si="31"/>
        <v>0</v>
      </c>
      <c r="P73" s="5358"/>
      <c r="Q73" s="5357">
        <f t="shared" si="32"/>
        <v>0</v>
      </c>
      <c r="R73" s="5358" t="e">
        <f t="shared" si="33"/>
        <v>#DIV/0!</v>
      </c>
      <c r="S73" s="5358"/>
      <c r="T73" s="5357" t="e">
        <f t="shared" si="34"/>
        <v>#DIV/0!</v>
      </c>
      <c r="U73" s="5358"/>
      <c r="V73" s="5357"/>
      <c r="W73" s="5358"/>
      <c r="X73" s="5358"/>
      <c r="Y73" s="5357">
        <f t="shared" si="37"/>
        <v>0</v>
      </c>
      <c r="Z73" s="5358"/>
      <c r="AA73" s="5357"/>
      <c r="AB73" s="5358"/>
      <c r="AC73" s="5349"/>
      <c r="AD73" s="5349"/>
      <c r="AE73" s="5349"/>
      <c r="AF73" s="5349">
        <f t="shared" si="4"/>
        <v>0</v>
      </c>
      <c r="AG73" s="5338">
        <f t="shared" si="5"/>
        <v>0</v>
      </c>
    </row>
    <row r="74" spans="1:33" s="5333" customFormat="1" ht="13.5" hidden="1" customHeight="1">
      <c r="A74" s="5426"/>
      <c r="B74" s="5426"/>
      <c r="C74" s="5426"/>
      <c r="D74" s="5374">
        <v>4</v>
      </c>
      <c r="E74" s="5374">
        <v>1</v>
      </c>
      <c r="F74" s="5374">
        <v>4</v>
      </c>
      <c r="G74" s="5373"/>
      <c r="H74" s="5373"/>
      <c r="I74" s="5633"/>
      <c r="J74" s="5372" t="s">
        <v>71</v>
      </c>
      <c r="K74" s="5371"/>
      <c r="L74" s="5370"/>
      <c r="M74" s="5357">
        <v>0</v>
      </c>
      <c r="N74" s="5357">
        <f>N75</f>
        <v>0</v>
      </c>
      <c r="O74" s="5359">
        <f t="shared" si="31"/>
        <v>0</v>
      </c>
      <c r="P74" s="5358"/>
      <c r="Q74" s="5357">
        <f t="shared" si="32"/>
        <v>0</v>
      </c>
      <c r="R74" s="5358" t="e">
        <f t="shared" si="33"/>
        <v>#DIV/0!</v>
      </c>
      <c r="S74" s="5358"/>
      <c r="T74" s="5359" t="e">
        <f t="shared" si="34"/>
        <v>#DIV/0!</v>
      </c>
      <c r="U74" s="5358"/>
      <c r="V74" s="5357">
        <f t="shared" ref="V74:V79" si="38">S74-P74</f>
        <v>0</v>
      </c>
      <c r="W74" s="5358" t="e">
        <f t="shared" ref="W74:W79" si="39">S74/P74*100-100</f>
        <v>#DIV/0!</v>
      </c>
      <c r="X74" s="5358"/>
      <c r="Y74" s="5359" t="e">
        <f t="shared" si="37"/>
        <v>#DIV/0!</v>
      </c>
      <c r="Z74" s="5358"/>
      <c r="AA74" s="5357">
        <f t="shared" ref="AA74:AA79" si="40">X74-S74</f>
        <v>0</v>
      </c>
      <c r="AB74" s="5358" t="e">
        <f t="shared" ref="AB74:AB79" si="41">X74/S74*100-100</f>
        <v>#DIV/0!</v>
      </c>
      <c r="AC74" s="5349"/>
      <c r="AD74" s="5349"/>
      <c r="AE74" s="5349"/>
      <c r="AF74" s="5349">
        <f t="shared" si="4"/>
        <v>0</v>
      </c>
      <c r="AG74" s="5338">
        <f t="shared" si="5"/>
        <v>0</v>
      </c>
    </row>
    <row r="75" spans="1:33" s="5333" customFormat="1" ht="13.5" hidden="1" customHeight="1">
      <c r="A75" s="5340"/>
      <c r="B75" s="5340"/>
      <c r="C75" s="5340"/>
      <c r="D75" s="5367">
        <v>4</v>
      </c>
      <c r="E75" s="5367">
        <v>1</v>
      </c>
      <c r="F75" s="5367">
        <v>4</v>
      </c>
      <c r="G75" s="5367" t="s">
        <v>948</v>
      </c>
      <c r="H75" s="5368"/>
      <c r="I75" s="5632"/>
      <c r="J75" s="5366" t="s">
        <v>321</v>
      </c>
      <c r="K75" s="5361"/>
      <c r="L75" s="5365"/>
      <c r="M75" s="5357">
        <v>0</v>
      </c>
      <c r="N75" s="5357">
        <f>N76</f>
        <v>0</v>
      </c>
      <c r="O75" s="5359">
        <f t="shared" si="31"/>
        <v>0</v>
      </c>
      <c r="P75" s="5358"/>
      <c r="Q75" s="5357">
        <f t="shared" si="32"/>
        <v>0</v>
      </c>
      <c r="R75" s="5358" t="e">
        <f t="shared" si="33"/>
        <v>#DIV/0!</v>
      </c>
      <c r="S75" s="5358"/>
      <c r="T75" s="5359" t="e">
        <f t="shared" si="34"/>
        <v>#DIV/0!</v>
      </c>
      <c r="U75" s="5358"/>
      <c r="V75" s="5357">
        <f t="shared" si="38"/>
        <v>0</v>
      </c>
      <c r="W75" s="5358" t="e">
        <f t="shared" si="39"/>
        <v>#DIV/0!</v>
      </c>
      <c r="X75" s="5358"/>
      <c r="Y75" s="5359" t="e">
        <f t="shared" si="37"/>
        <v>#DIV/0!</v>
      </c>
      <c r="Z75" s="5358"/>
      <c r="AA75" s="5357">
        <f t="shared" si="40"/>
        <v>0</v>
      </c>
      <c r="AB75" s="5358" t="e">
        <f t="shared" si="41"/>
        <v>#DIV/0!</v>
      </c>
      <c r="AC75" s="5349"/>
      <c r="AD75" s="5349"/>
      <c r="AE75" s="5349"/>
      <c r="AF75" s="5349">
        <f t="shared" si="4"/>
        <v>0</v>
      </c>
      <c r="AG75" s="5338">
        <f t="shared" si="5"/>
        <v>0</v>
      </c>
    </row>
    <row r="76" spans="1:33" s="5333" customFormat="1" ht="13.5" hidden="1" customHeight="1">
      <c r="A76" s="5340"/>
      <c r="B76" s="5340"/>
      <c r="C76" s="5340"/>
      <c r="D76" s="5367">
        <v>4</v>
      </c>
      <c r="E76" s="5367">
        <v>1</v>
      </c>
      <c r="F76" s="5367">
        <v>4</v>
      </c>
      <c r="G76" s="5367" t="s">
        <v>948</v>
      </c>
      <c r="H76" s="5367" t="s">
        <v>437</v>
      </c>
      <c r="I76" s="5631"/>
      <c r="J76" s="5366" t="s">
        <v>85</v>
      </c>
      <c r="K76" s="5361"/>
      <c r="L76" s="5365"/>
      <c r="M76" s="5357">
        <v>0</v>
      </c>
      <c r="N76" s="5357">
        <f>N77</f>
        <v>0</v>
      </c>
      <c r="O76" s="5359">
        <f t="shared" si="31"/>
        <v>0</v>
      </c>
      <c r="P76" s="5358"/>
      <c r="Q76" s="5357">
        <f t="shared" si="32"/>
        <v>0</v>
      </c>
      <c r="R76" s="5358" t="e">
        <f t="shared" si="33"/>
        <v>#DIV/0!</v>
      </c>
      <c r="S76" s="5358"/>
      <c r="T76" s="5359" t="e">
        <f t="shared" si="34"/>
        <v>#DIV/0!</v>
      </c>
      <c r="U76" s="5358"/>
      <c r="V76" s="5357">
        <f t="shared" si="38"/>
        <v>0</v>
      </c>
      <c r="W76" s="5358" t="e">
        <f t="shared" si="39"/>
        <v>#DIV/0!</v>
      </c>
      <c r="X76" s="5358"/>
      <c r="Y76" s="5359" t="e">
        <f t="shared" si="37"/>
        <v>#DIV/0!</v>
      </c>
      <c r="Z76" s="5358"/>
      <c r="AA76" s="5357">
        <f t="shared" si="40"/>
        <v>0</v>
      </c>
      <c r="AB76" s="5358" t="e">
        <f t="shared" si="41"/>
        <v>#DIV/0!</v>
      </c>
      <c r="AC76" s="5349"/>
      <c r="AD76" s="5349"/>
      <c r="AE76" s="5349"/>
      <c r="AF76" s="5349">
        <f t="shared" si="4"/>
        <v>0</v>
      </c>
      <c r="AG76" s="5338">
        <f t="shared" si="5"/>
        <v>0</v>
      </c>
    </row>
    <row r="77" spans="1:33" s="5333" customFormat="1" ht="13.5" hidden="1" customHeight="1">
      <c r="A77" s="5340"/>
      <c r="B77" s="5340"/>
      <c r="C77" s="5340"/>
      <c r="D77" s="5367"/>
      <c r="E77" s="5367"/>
      <c r="F77" s="5367"/>
      <c r="G77" s="5368"/>
      <c r="H77" s="5367"/>
      <c r="I77" s="5631"/>
      <c r="J77" s="5408" t="s">
        <v>50</v>
      </c>
      <c r="K77" s="5361" t="s">
        <v>85</v>
      </c>
      <c r="L77" s="5365"/>
      <c r="M77" s="5359">
        <v>0</v>
      </c>
      <c r="N77" s="5359">
        <v>0</v>
      </c>
      <c r="O77" s="5359">
        <f t="shared" si="31"/>
        <v>0</v>
      </c>
      <c r="P77" s="5358"/>
      <c r="Q77" s="5357">
        <f t="shared" si="32"/>
        <v>0</v>
      </c>
      <c r="R77" s="5356" t="e">
        <f t="shared" si="33"/>
        <v>#DIV/0!</v>
      </c>
      <c r="S77" s="5358"/>
      <c r="T77" s="5359" t="e">
        <f t="shared" si="34"/>
        <v>#DIV/0!</v>
      </c>
      <c r="U77" s="5358"/>
      <c r="V77" s="5357">
        <f t="shared" si="38"/>
        <v>0</v>
      </c>
      <c r="W77" s="5356" t="e">
        <f t="shared" si="39"/>
        <v>#DIV/0!</v>
      </c>
      <c r="X77" s="5358"/>
      <c r="Y77" s="5359" t="e">
        <f t="shared" si="37"/>
        <v>#DIV/0!</v>
      </c>
      <c r="Z77" s="5358"/>
      <c r="AA77" s="5357">
        <f t="shared" si="40"/>
        <v>0</v>
      </c>
      <c r="AB77" s="5356" t="e">
        <f t="shared" si="41"/>
        <v>#DIV/0!</v>
      </c>
      <c r="AC77" s="5350"/>
      <c r="AD77" s="5350"/>
      <c r="AE77" s="5350"/>
      <c r="AF77" s="5349">
        <f t="shared" si="4"/>
        <v>0</v>
      </c>
      <c r="AG77" s="5338">
        <f t="shared" si="5"/>
        <v>0</v>
      </c>
    </row>
    <row r="78" spans="1:33" s="5333" customFormat="1" ht="6.75" hidden="1" customHeight="1">
      <c r="A78" s="5340"/>
      <c r="B78" s="5340"/>
      <c r="C78" s="5340"/>
      <c r="D78" s="5368"/>
      <c r="E78" s="5380"/>
      <c r="F78" s="5380"/>
      <c r="G78" s="5379"/>
      <c r="H78" s="5380"/>
      <c r="I78" s="5496"/>
      <c r="J78" s="5366"/>
      <c r="K78" s="5361"/>
      <c r="L78" s="5365"/>
      <c r="M78" s="5357"/>
      <c r="N78" s="5357"/>
      <c r="O78" s="5357"/>
      <c r="P78" s="5358"/>
      <c r="Q78" s="5357"/>
      <c r="R78" s="5358"/>
      <c r="S78" s="5358"/>
      <c r="T78" s="5357"/>
      <c r="U78" s="5358"/>
      <c r="V78" s="5357">
        <f t="shared" si="38"/>
        <v>0</v>
      </c>
      <c r="W78" s="5358" t="e">
        <f t="shared" si="39"/>
        <v>#DIV/0!</v>
      </c>
      <c r="X78" s="5358"/>
      <c r="Y78" s="5357"/>
      <c r="Z78" s="5358"/>
      <c r="AA78" s="5357">
        <f t="shared" si="40"/>
        <v>0</v>
      </c>
      <c r="AB78" s="5358" t="e">
        <f t="shared" si="41"/>
        <v>#DIV/0!</v>
      </c>
      <c r="AC78" s="5349"/>
      <c r="AD78" s="5349"/>
      <c r="AE78" s="5349"/>
      <c r="AF78" s="5349">
        <f t="shared" si="4"/>
        <v>0</v>
      </c>
      <c r="AG78" s="5338">
        <f t="shared" si="5"/>
        <v>0</v>
      </c>
    </row>
    <row r="79" spans="1:33" s="5333" customFormat="1" ht="15.05" customHeight="1">
      <c r="A79" s="5340"/>
      <c r="B79" s="5340"/>
      <c r="C79" s="5340"/>
      <c r="D79" s="5367"/>
      <c r="E79" s="5380"/>
      <c r="F79" s="5380"/>
      <c r="G79" s="5380"/>
      <c r="H79" s="5380"/>
      <c r="I79" s="5496"/>
      <c r="J79" s="5568" t="s">
        <v>1268</v>
      </c>
      <c r="K79" s="5361"/>
      <c r="L79" s="5365"/>
      <c r="M79" s="5357">
        <v>2197286650</v>
      </c>
      <c r="N79" s="5357">
        <f>N87</f>
        <v>2197286650</v>
      </c>
      <c r="O79" s="5357">
        <f t="shared" ref="O79:O90" si="42">N79-M79</f>
        <v>0</v>
      </c>
      <c r="P79" s="5358">
        <f>P87</f>
        <v>2197286650</v>
      </c>
      <c r="Q79" s="5357">
        <f t="shared" ref="Q79:Q91" si="43">+P79-N79</f>
        <v>0</v>
      </c>
      <c r="R79" s="5358">
        <f t="shared" ref="R79:R90" si="44">P79/N79*100-100</f>
        <v>0</v>
      </c>
      <c r="S79" s="5358">
        <f>S87</f>
        <v>2197286650</v>
      </c>
      <c r="T79" s="5357">
        <f t="shared" ref="T79:T90" si="45">S79-R79</f>
        <v>2197286650</v>
      </c>
      <c r="U79" s="5358">
        <f>U87</f>
        <v>2197286650</v>
      </c>
      <c r="V79" s="5357">
        <f t="shared" si="38"/>
        <v>0</v>
      </c>
      <c r="W79" s="5358">
        <f t="shared" si="39"/>
        <v>0</v>
      </c>
      <c r="X79" s="5358">
        <f>X87</f>
        <v>2200000000</v>
      </c>
      <c r="Y79" s="5357">
        <f t="shared" ref="Y79:Y90" si="46">X79-W79</f>
        <v>2200000000</v>
      </c>
      <c r="Z79" s="5358">
        <f>Z87</f>
        <v>2197286650</v>
      </c>
      <c r="AA79" s="5357">
        <f t="shared" si="40"/>
        <v>2713350</v>
      </c>
      <c r="AB79" s="5358">
        <f t="shared" si="41"/>
        <v>0.1234863917277238</v>
      </c>
      <c r="AC79" s="5349"/>
      <c r="AD79" s="5349"/>
      <c r="AE79" s="5349"/>
      <c r="AF79" s="5349">
        <f t="shared" si="4"/>
        <v>0</v>
      </c>
      <c r="AG79" s="5338">
        <f t="shared" si="5"/>
        <v>0</v>
      </c>
    </row>
    <row r="80" spans="1:33" s="5333" customFormat="1" ht="6.75" hidden="1" customHeight="1">
      <c r="A80" s="5340"/>
      <c r="B80" s="5340"/>
      <c r="C80" s="5340"/>
      <c r="D80" s="5367"/>
      <c r="E80" s="5380"/>
      <c r="F80" s="5380"/>
      <c r="G80" s="5380"/>
      <c r="H80" s="5380"/>
      <c r="I80" s="5496"/>
      <c r="J80" s="5372"/>
      <c r="K80" s="5361"/>
      <c r="L80" s="5365"/>
      <c r="M80" s="5357"/>
      <c r="N80" s="5357"/>
      <c r="O80" s="5357">
        <f t="shared" si="42"/>
        <v>0</v>
      </c>
      <c r="P80" s="5358"/>
      <c r="Q80" s="5357">
        <f t="shared" si="43"/>
        <v>0</v>
      </c>
      <c r="R80" s="5358" t="e">
        <f t="shared" si="44"/>
        <v>#DIV/0!</v>
      </c>
      <c r="S80" s="5358"/>
      <c r="T80" s="5357" t="e">
        <f t="shared" si="45"/>
        <v>#DIV/0!</v>
      </c>
      <c r="U80" s="5358"/>
      <c r="V80" s="5357"/>
      <c r="W80" s="5358"/>
      <c r="X80" s="5358"/>
      <c r="Y80" s="5357">
        <f t="shared" si="46"/>
        <v>0</v>
      </c>
      <c r="Z80" s="5358"/>
      <c r="AA80" s="5357"/>
      <c r="AB80" s="5358"/>
      <c r="AC80" s="5349"/>
      <c r="AD80" s="5349"/>
      <c r="AE80" s="5349"/>
      <c r="AF80" s="5349">
        <f t="shared" si="4"/>
        <v>0</v>
      </c>
      <c r="AG80" s="5338">
        <f t="shared" si="5"/>
        <v>0</v>
      </c>
    </row>
    <row r="81" spans="1:33" s="5333" customFormat="1" ht="13.5" hidden="1" customHeight="1">
      <c r="A81" s="5426"/>
      <c r="B81" s="5426"/>
      <c r="C81" s="5426"/>
      <c r="D81" s="5374">
        <v>4</v>
      </c>
      <c r="E81" s="5374">
        <v>1</v>
      </c>
      <c r="F81" s="5374"/>
      <c r="G81" s="5374"/>
      <c r="H81" s="5374"/>
      <c r="I81" s="5537"/>
      <c r="J81" s="5372" t="s">
        <v>180</v>
      </c>
      <c r="K81" s="5371"/>
      <c r="L81" s="5370"/>
      <c r="M81" s="5357">
        <v>0</v>
      </c>
      <c r="N81" s="5357">
        <f>N83</f>
        <v>0</v>
      </c>
      <c r="O81" s="5359">
        <f t="shared" si="42"/>
        <v>0</v>
      </c>
      <c r="P81" s="5358">
        <f>P83</f>
        <v>0</v>
      </c>
      <c r="Q81" s="5357">
        <f t="shared" si="43"/>
        <v>0</v>
      </c>
      <c r="R81" s="5358" t="e">
        <f t="shared" si="44"/>
        <v>#DIV/0!</v>
      </c>
      <c r="S81" s="5358">
        <f>S83</f>
        <v>0</v>
      </c>
      <c r="T81" s="5359" t="e">
        <f t="shared" si="45"/>
        <v>#DIV/0!</v>
      </c>
      <c r="U81" s="5358">
        <f>U83</f>
        <v>0</v>
      </c>
      <c r="V81" s="5357">
        <f>S81-P81</f>
        <v>0</v>
      </c>
      <c r="W81" s="5358">
        <v>0</v>
      </c>
      <c r="X81" s="5358">
        <f>X83</f>
        <v>0</v>
      </c>
      <c r="Y81" s="5359">
        <f t="shared" si="46"/>
        <v>0</v>
      </c>
      <c r="Z81" s="5358">
        <f>Z83</f>
        <v>0</v>
      </c>
      <c r="AA81" s="5357">
        <f>X81-S81</f>
        <v>0</v>
      </c>
      <c r="AB81" s="5358">
        <v>0</v>
      </c>
      <c r="AC81" s="5349"/>
      <c r="AD81" s="5349"/>
      <c r="AE81" s="5349"/>
      <c r="AF81" s="5349">
        <f t="shared" si="4"/>
        <v>0</v>
      </c>
      <c r="AG81" s="5338">
        <f t="shared" si="5"/>
        <v>0</v>
      </c>
    </row>
    <row r="82" spans="1:33" s="5333" customFormat="1" ht="5.35" hidden="1" customHeight="1">
      <c r="A82" s="5340"/>
      <c r="B82" s="5340"/>
      <c r="C82" s="5340"/>
      <c r="D82" s="5367"/>
      <c r="E82" s="5380"/>
      <c r="F82" s="5380"/>
      <c r="G82" s="5380"/>
      <c r="H82" s="5380"/>
      <c r="I82" s="5496"/>
      <c r="J82" s="5366"/>
      <c r="K82" s="5361"/>
      <c r="L82" s="5365"/>
      <c r="M82" s="5357"/>
      <c r="N82" s="5357"/>
      <c r="O82" s="5357">
        <f t="shared" si="42"/>
        <v>0</v>
      </c>
      <c r="P82" s="5358"/>
      <c r="Q82" s="5357">
        <f t="shared" si="43"/>
        <v>0</v>
      </c>
      <c r="R82" s="5358" t="e">
        <f t="shared" si="44"/>
        <v>#DIV/0!</v>
      </c>
      <c r="S82" s="5358"/>
      <c r="T82" s="5357" t="e">
        <f t="shared" si="45"/>
        <v>#DIV/0!</v>
      </c>
      <c r="U82" s="5358"/>
      <c r="V82" s="5357">
        <f>S82-P82</f>
        <v>0</v>
      </c>
      <c r="W82" s="5358" t="e">
        <f t="shared" ref="W82:W90" si="47">S82/P82*100-100</f>
        <v>#DIV/0!</v>
      </c>
      <c r="X82" s="5358"/>
      <c r="Y82" s="5357" t="e">
        <f t="shared" si="46"/>
        <v>#DIV/0!</v>
      </c>
      <c r="Z82" s="5358"/>
      <c r="AA82" s="5357"/>
      <c r="AB82" s="5358"/>
      <c r="AC82" s="5349"/>
      <c r="AD82" s="5349"/>
      <c r="AE82" s="5349"/>
      <c r="AF82" s="5349">
        <f t="shared" si="4"/>
        <v>0</v>
      </c>
      <c r="AG82" s="5338">
        <f t="shared" si="5"/>
        <v>0</v>
      </c>
    </row>
    <row r="83" spans="1:33" s="5333" customFormat="1" ht="13.5" hidden="1" customHeight="1">
      <c r="A83" s="5426"/>
      <c r="B83" s="5426"/>
      <c r="C83" s="5426"/>
      <c r="D83" s="5374">
        <v>4</v>
      </c>
      <c r="E83" s="5374">
        <v>1</v>
      </c>
      <c r="F83" s="5374">
        <v>2</v>
      </c>
      <c r="G83" s="5374"/>
      <c r="H83" s="5374"/>
      <c r="I83" s="5537"/>
      <c r="J83" s="5372" t="s">
        <v>106</v>
      </c>
      <c r="K83" s="5361"/>
      <c r="L83" s="5365"/>
      <c r="M83" s="5357">
        <v>0</v>
      </c>
      <c r="N83" s="5357">
        <f>N84</f>
        <v>0</v>
      </c>
      <c r="O83" s="5359">
        <f t="shared" si="42"/>
        <v>0</v>
      </c>
      <c r="P83" s="5358">
        <f>P84</f>
        <v>0</v>
      </c>
      <c r="Q83" s="5357">
        <f t="shared" si="43"/>
        <v>0</v>
      </c>
      <c r="R83" s="5358" t="e">
        <f t="shared" si="44"/>
        <v>#DIV/0!</v>
      </c>
      <c r="S83" s="5358">
        <f>S84</f>
        <v>0</v>
      </c>
      <c r="T83" s="5359" t="e">
        <f t="shared" si="45"/>
        <v>#DIV/0!</v>
      </c>
      <c r="U83" s="5358">
        <f>U84</f>
        <v>0</v>
      </c>
      <c r="V83" s="5357">
        <f>S83-P83</f>
        <v>0</v>
      </c>
      <c r="W83" s="5358" t="e">
        <f t="shared" si="47"/>
        <v>#DIV/0!</v>
      </c>
      <c r="X83" s="5358">
        <f>X84</f>
        <v>0</v>
      </c>
      <c r="Y83" s="5359" t="e">
        <f t="shared" si="46"/>
        <v>#DIV/0!</v>
      </c>
      <c r="Z83" s="5358">
        <f>Z84</f>
        <v>0</v>
      </c>
      <c r="AA83" s="5357">
        <f t="shared" ref="AA83:AA91" si="48">X83-S83</f>
        <v>0</v>
      </c>
      <c r="AB83" s="5358" t="e">
        <f t="shared" ref="AB83:AB90" si="49">X83/S83*100-100</f>
        <v>#DIV/0!</v>
      </c>
      <c r="AC83" s="5349"/>
      <c r="AD83" s="5349"/>
      <c r="AE83" s="5349"/>
      <c r="AF83" s="5349">
        <f t="shared" si="4"/>
        <v>0</v>
      </c>
      <c r="AG83" s="5338">
        <f t="shared" si="5"/>
        <v>0</v>
      </c>
    </row>
    <row r="84" spans="1:33" s="5333" customFormat="1" ht="13.5" hidden="1" customHeight="1">
      <c r="A84" s="5426"/>
      <c r="B84" s="5426"/>
      <c r="C84" s="5426"/>
      <c r="D84" s="5367">
        <v>4</v>
      </c>
      <c r="E84" s="5367">
        <v>1</v>
      </c>
      <c r="F84" s="5367">
        <v>2</v>
      </c>
      <c r="G84" s="5368" t="s">
        <v>437</v>
      </c>
      <c r="H84" s="5367"/>
      <c r="I84" s="5631"/>
      <c r="J84" s="5366" t="s">
        <v>107</v>
      </c>
      <c r="K84" s="5361"/>
      <c r="L84" s="5365"/>
      <c r="M84" s="5357">
        <v>0</v>
      </c>
      <c r="N84" s="5357">
        <f>N85</f>
        <v>0</v>
      </c>
      <c r="O84" s="5359">
        <f t="shared" si="42"/>
        <v>0</v>
      </c>
      <c r="P84" s="5358">
        <f>P85</f>
        <v>0</v>
      </c>
      <c r="Q84" s="5357">
        <f t="shared" si="43"/>
        <v>0</v>
      </c>
      <c r="R84" s="5358" t="e">
        <f t="shared" si="44"/>
        <v>#DIV/0!</v>
      </c>
      <c r="S84" s="5358">
        <f>S85</f>
        <v>0</v>
      </c>
      <c r="T84" s="5359" t="e">
        <f t="shared" si="45"/>
        <v>#DIV/0!</v>
      </c>
      <c r="U84" s="5358">
        <f>U85</f>
        <v>0</v>
      </c>
      <c r="V84" s="5357">
        <f>S84-P84</f>
        <v>0</v>
      </c>
      <c r="W84" s="5358" t="e">
        <f t="shared" si="47"/>
        <v>#DIV/0!</v>
      </c>
      <c r="X84" s="5358">
        <f>X85</f>
        <v>0</v>
      </c>
      <c r="Y84" s="5359" t="e">
        <f t="shared" si="46"/>
        <v>#DIV/0!</v>
      </c>
      <c r="Z84" s="5358">
        <f>Z85</f>
        <v>0</v>
      </c>
      <c r="AA84" s="5357">
        <f t="shared" si="48"/>
        <v>0</v>
      </c>
      <c r="AB84" s="5358" t="e">
        <f t="shared" si="49"/>
        <v>#DIV/0!</v>
      </c>
      <c r="AC84" s="5349"/>
      <c r="AD84" s="5349"/>
      <c r="AE84" s="5349"/>
      <c r="AF84" s="5349">
        <f t="shared" si="4"/>
        <v>0</v>
      </c>
      <c r="AG84" s="5338">
        <f t="shared" si="5"/>
        <v>0</v>
      </c>
    </row>
    <row r="85" spans="1:33" s="5333" customFormat="1" ht="13.5" hidden="1" customHeight="1">
      <c r="A85" s="5426"/>
      <c r="B85" s="5426"/>
      <c r="C85" s="5426"/>
      <c r="D85" s="5367">
        <v>4</v>
      </c>
      <c r="E85" s="5367">
        <v>1</v>
      </c>
      <c r="F85" s="5367">
        <v>2</v>
      </c>
      <c r="G85" s="5368" t="s">
        <v>437</v>
      </c>
      <c r="H85" s="5368" t="s">
        <v>451</v>
      </c>
      <c r="I85" s="5632"/>
      <c r="J85" s="5366" t="s">
        <v>1480</v>
      </c>
      <c r="K85" s="5361"/>
      <c r="L85" s="5365"/>
      <c r="M85" s="5359">
        <v>0</v>
      </c>
      <c r="N85" s="5359">
        <v>0</v>
      </c>
      <c r="O85" s="5359">
        <f t="shared" si="42"/>
        <v>0</v>
      </c>
      <c r="P85" s="5358">
        <v>0</v>
      </c>
      <c r="Q85" s="5357">
        <f t="shared" si="43"/>
        <v>0</v>
      </c>
      <c r="R85" s="5356" t="e">
        <f t="shared" si="44"/>
        <v>#DIV/0!</v>
      </c>
      <c r="S85" s="5358">
        <v>0</v>
      </c>
      <c r="T85" s="5359" t="e">
        <f t="shared" si="45"/>
        <v>#DIV/0!</v>
      </c>
      <c r="U85" s="5358">
        <v>0</v>
      </c>
      <c r="V85" s="5357">
        <f>S85-P85</f>
        <v>0</v>
      </c>
      <c r="W85" s="5356" t="e">
        <f t="shared" si="47"/>
        <v>#DIV/0!</v>
      </c>
      <c r="X85" s="5358">
        <v>0</v>
      </c>
      <c r="Y85" s="5359" t="e">
        <f t="shared" si="46"/>
        <v>#DIV/0!</v>
      </c>
      <c r="Z85" s="5358">
        <v>0</v>
      </c>
      <c r="AA85" s="5357">
        <f t="shared" si="48"/>
        <v>0</v>
      </c>
      <c r="AB85" s="5356" t="e">
        <f t="shared" si="49"/>
        <v>#DIV/0!</v>
      </c>
      <c r="AC85" s="5350"/>
      <c r="AD85" s="5350"/>
      <c r="AE85" s="5350"/>
      <c r="AF85" s="5349">
        <f t="shared" si="4"/>
        <v>0</v>
      </c>
      <c r="AG85" s="5338">
        <f t="shared" si="5"/>
        <v>0</v>
      </c>
    </row>
    <row r="86" spans="1:33" s="5333" customFormat="1" ht="7.55" hidden="1" customHeight="1">
      <c r="A86" s="5340"/>
      <c r="B86" s="5340"/>
      <c r="C86" s="5340"/>
      <c r="D86" s="5364"/>
      <c r="E86" s="5363"/>
      <c r="F86" s="5363"/>
      <c r="G86" s="5399"/>
      <c r="H86" s="5399"/>
      <c r="I86" s="5638"/>
      <c r="J86" s="5362"/>
      <c r="K86" s="5376"/>
      <c r="L86" s="5375"/>
      <c r="M86" s="5411"/>
      <c r="N86" s="5411"/>
      <c r="O86" s="5411">
        <f t="shared" si="42"/>
        <v>0</v>
      </c>
      <c r="P86" s="5396"/>
      <c r="Q86" s="5357">
        <f t="shared" si="43"/>
        <v>0</v>
      </c>
      <c r="R86" s="5410" t="e">
        <f t="shared" si="44"/>
        <v>#DIV/0!</v>
      </c>
      <c r="S86" s="5396"/>
      <c r="T86" s="5411" t="e">
        <f t="shared" si="45"/>
        <v>#DIV/0!</v>
      </c>
      <c r="U86" s="5396"/>
      <c r="V86" s="5357"/>
      <c r="W86" s="5410" t="e">
        <f t="shared" si="47"/>
        <v>#DIV/0!</v>
      </c>
      <c r="X86" s="5396"/>
      <c r="Y86" s="5411" t="e">
        <f t="shared" si="46"/>
        <v>#DIV/0!</v>
      </c>
      <c r="Z86" s="5396"/>
      <c r="AA86" s="5357">
        <f t="shared" si="48"/>
        <v>0</v>
      </c>
      <c r="AB86" s="5410" t="e">
        <f t="shared" si="49"/>
        <v>#DIV/0!</v>
      </c>
      <c r="AC86" s="5350"/>
      <c r="AD86" s="5350"/>
      <c r="AE86" s="5350"/>
      <c r="AF86" s="5349">
        <f t="shared" si="4"/>
        <v>0</v>
      </c>
      <c r="AG86" s="5338">
        <f t="shared" si="5"/>
        <v>0</v>
      </c>
    </row>
    <row r="87" spans="1:33" s="5333" customFormat="1" ht="15.05" customHeight="1">
      <c r="A87" s="5426"/>
      <c r="B87" s="5426"/>
      <c r="C87" s="5426"/>
      <c r="D87" s="5374">
        <v>4</v>
      </c>
      <c r="E87" s="5374">
        <v>1</v>
      </c>
      <c r="F87" s="5374">
        <v>4</v>
      </c>
      <c r="G87" s="5373"/>
      <c r="H87" s="5373"/>
      <c r="I87" s="5633"/>
      <c r="J87" s="5372" t="s">
        <v>71</v>
      </c>
      <c r="K87" s="5371"/>
      <c r="L87" s="5370"/>
      <c r="M87" s="5357">
        <v>2197286650</v>
      </c>
      <c r="N87" s="5357">
        <f>+N88</f>
        <v>2197286650</v>
      </c>
      <c r="O87" s="5357">
        <f t="shared" si="42"/>
        <v>0</v>
      </c>
      <c r="P87" s="5358">
        <f>+P88</f>
        <v>2197286650</v>
      </c>
      <c r="Q87" s="5357">
        <f t="shared" si="43"/>
        <v>0</v>
      </c>
      <c r="R87" s="5358">
        <f t="shared" si="44"/>
        <v>0</v>
      </c>
      <c r="S87" s="5358">
        <f>+S88</f>
        <v>2197286650</v>
      </c>
      <c r="T87" s="5357">
        <f t="shared" si="45"/>
        <v>2197286650</v>
      </c>
      <c r="U87" s="5358">
        <f>+U88</f>
        <v>2197286650</v>
      </c>
      <c r="V87" s="5357">
        <f>S87-P87</f>
        <v>0</v>
      </c>
      <c r="W87" s="5358">
        <f t="shared" si="47"/>
        <v>0</v>
      </c>
      <c r="X87" s="5358">
        <f>+X88</f>
        <v>2200000000</v>
      </c>
      <c r="Y87" s="5357">
        <f t="shared" si="46"/>
        <v>2200000000</v>
      </c>
      <c r="Z87" s="5358">
        <f>+Z88</f>
        <v>2197286650</v>
      </c>
      <c r="AA87" s="5357">
        <f t="shared" si="48"/>
        <v>2713350</v>
      </c>
      <c r="AB87" s="5358">
        <f t="shared" si="49"/>
        <v>0.1234863917277238</v>
      </c>
      <c r="AC87" s="5349"/>
      <c r="AD87" s="5349"/>
      <c r="AE87" s="5349"/>
      <c r="AF87" s="5349">
        <f t="shared" si="4"/>
        <v>0</v>
      </c>
      <c r="AG87" s="5338">
        <f t="shared" si="5"/>
        <v>0</v>
      </c>
    </row>
    <row r="88" spans="1:33" s="5333" customFormat="1" ht="15.05" customHeight="1">
      <c r="A88" s="5426"/>
      <c r="B88" s="5426"/>
      <c r="C88" s="5426"/>
      <c r="D88" s="5367">
        <v>4</v>
      </c>
      <c r="E88" s="5367">
        <v>1</v>
      </c>
      <c r="F88" s="5367">
        <v>4</v>
      </c>
      <c r="G88" s="5367" t="s">
        <v>449</v>
      </c>
      <c r="H88" s="5363"/>
      <c r="I88" s="5635"/>
      <c r="J88" s="5377" t="s">
        <v>89</v>
      </c>
      <c r="K88" s="5376"/>
      <c r="L88" s="5375"/>
      <c r="M88" s="5411">
        <v>2197286650</v>
      </c>
      <c r="N88" s="5411">
        <f>+N89</f>
        <v>2197286650</v>
      </c>
      <c r="O88" s="5411">
        <f t="shared" si="42"/>
        <v>0</v>
      </c>
      <c r="P88" s="5396">
        <f>+P89</f>
        <v>2197286650</v>
      </c>
      <c r="Q88" s="5357">
        <f t="shared" si="43"/>
        <v>0</v>
      </c>
      <c r="R88" s="5358">
        <f t="shared" si="44"/>
        <v>0</v>
      </c>
      <c r="S88" s="5396">
        <f>+S89</f>
        <v>2197286650</v>
      </c>
      <c r="T88" s="5411">
        <f t="shared" si="45"/>
        <v>2197286650</v>
      </c>
      <c r="U88" s="5396">
        <f>+U89</f>
        <v>2197286650</v>
      </c>
      <c r="V88" s="5357">
        <f>S88-P88</f>
        <v>0</v>
      </c>
      <c r="W88" s="5358">
        <f t="shared" si="47"/>
        <v>0</v>
      </c>
      <c r="X88" s="5396">
        <f>+X89</f>
        <v>2200000000</v>
      </c>
      <c r="Y88" s="5411">
        <f t="shared" si="46"/>
        <v>2200000000</v>
      </c>
      <c r="Z88" s="5396">
        <f>+Z89</f>
        <v>2197286650</v>
      </c>
      <c r="AA88" s="5357">
        <f t="shared" si="48"/>
        <v>2713350</v>
      </c>
      <c r="AB88" s="5358">
        <f t="shared" si="49"/>
        <v>0.1234863917277238</v>
      </c>
      <c r="AC88" s="5350"/>
      <c r="AD88" s="5350"/>
      <c r="AE88" s="5350"/>
      <c r="AF88" s="5349">
        <f t="shared" si="4"/>
        <v>0</v>
      </c>
      <c r="AG88" s="5338">
        <f t="shared" si="5"/>
        <v>0</v>
      </c>
    </row>
    <row r="89" spans="1:33" s="5333" customFormat="1" ht="15.05" customHeight="1">
      <c r="A89" s="5426"/>
      <c r="B89" s="5426"/>
      <c r="C89" s="5426"/>
      <c r="D89" s="5367">
        <v>4</v>
      </c>
      <c r="E89" s="5367">
        <v>1</v>
      </c>
      <c r="F89" s="5367">
        <v>4</v>
      </c>
      <c r="G89" s="5367" t="s">
        <v>449</v>
      </c>
      <c r="H89" s="5399" t="s">
        <v>437</v>
      </c>
      <c r="I89" s="5638"/>
      <c r="J89" s="5377" t="s">
        <v>90</v>
      </c>
      <c r="K89" s="5376"/>
      <c r="L89" s="5375"/>
      <c r="M89" s="5359">
        <v>2197286650</v>
      </c>
      <c r="N89" s="5359">
        <f>N90+N91</f>
        <v>2197286650</v>
      </c>
      <c r="O89" s="5359">
        <f t="shared" si="42"/>
        <v>0</v>
      </c>
      <c r="P89" s="5358">
        <f>P90+P91</f>
        <v>2197286650</v>
      </c>
      <c r="Q89" s="5357">
        <f t="shared" si="43"/>
        <v>0</v>
      </c>
      <c r="R89" s="5358">
        <f t="shared" si="44"/>
        <v>0</v>
      </c>
      <c r="S89" s="5358">
        <f>S90+S91</f>
        <v>2197286650</v>
      </c>
      <c r="T89" s="5359">
        <f t="shared" si="45"/>
        <v>2197286650</v>
      </c>
      <c r="U89" s="5358">
        <f>U90+U91</f>
        <v>2197286650</v>
      </c>
      <c r="V89" s="5357">
        <f>S89-P89</f>
        <v>0</v>
      </c>
      <c r="W89" s="5358">
        <f t="shared" si="47"/>
        <v>0</v>
      </c>
      <c r="X89" s="5358">
        <f>X90+X91</f>
        <v>2200000000</v>
      </c>
      <c r="Y89" s="5359">
        <f t="shared" si="46"/>
        <v>2200000000</v>
      </c>
      <c r="Z89" s="5358">
        <f>Z90+Z91</f>
        <v>2197286650</v>
      </c>
      <c r="AA89" s="5357">
        <f t="shared" si="48"/>
        <v>2713350</v>
      </c>
      <c r="AB89" s="5358">
        <f t="shared" si="49"/>
        <v>0.1234863917277238</v>
      </c>
      <c r="AC89" s="5350"/>
      <c r="AD89" s="5350"/>
      <c r="AE89" s="5350"/>
      <c r="AF89" s="5349">
        <f t="shared" ref="AF89:AF96" si="50">S89-P89</f>
        <v>0</v>
      </c>
      <c r="AG89" s="5338">
        <f t="shared" ref="AG89:AG96" si="51">AF89-V89</f>
        <v>0</v>
      </c>
    </row>
    <row r="90" spans="1:33" s="5333" customFormat="1" ht="15.05" customHeight="1">
      <c r="A90" s="5426"/>
      <c r="B90" s="5426"/>
      <c r="C90" s="5426"/>
      <c r="D90" s="5367"/>
      <c r="E90" s="5380"/>
      <c r="F90" s="5380"/>
      <c r="G90" s="5380"/>
      <c r="H90" s="5399"/>
      <c r="I90" s="5638"/>
      <c r="J90" s="5362" t="s">
        <v>50</v>
      </c>
      <c r="K90" s="5376" t="s">
        <v>89</v>
      </c>
      <c r="L90" s="5375"/>
      <c r="M90" s="5359">
        <v>2197286650</v>
      </c>
      <c r="N90" s="5359">
        <v>2197286650</v>
      </c>
      <c r="O90" s="5359">
        <f t="shared" si="42"/>
        <v>0</v>
      </c>
      <c r="P90" s="5358">
        <v>2197286650</v>
      </c>
      <c r="Q90" s="5357">
        <f t="shared" si="43"/>
        <v>0</v>
      </c>
      <c r="R90" s="5358">
        <f t="shared" si="44"/>
        <v>0</v>
      </c>
      <c r="S90" s="5358">
        <f>'rekap perdinas Kua PPAS'!J70</f>
        <v>2197286650</v>
      </c>
      <c r="T90" s="5359">
        <f t="shared" si="45"/>
        <v>2197286650</v>
      </c>
      <c r="U90" s="5358">
        <v>2197286650</v>
      </c>
      <c r="V90" s="5357">
        <f>S90-P90</f>
        <v>0</v>
      </c>
      <c r="W90" s="5358">
        <f t="shared" si="47"/>
        <v>0</v>
      </c>
      <c r="X90" s="5358">
        <f>'rekap perdinas Kua PPAS'!N70</f>
        <v>2200000000</v>
      </c>
      <c r="Y90" s="5359">
        <f t="shared" si="46"/>
        <v>2200000000</v>
      </c>
      <c r="Z90" s="5358">
        <v>2197286650</v>
      </c>
      <c r="AA90" s="5357">
        <f t="shared" si="48"/>
        <v>2713350</v>
      </c>
      <c r="AB90" s="5358">
        <f t="shared" si="49"/>
        <v>0.1234863917277238</v>
      </c>
      <c r="AC90" s="5349"/>
      <c r="AD90" s="5349"/>
      <c r="AE90" s="5349"/>
      <c r="AF90" s="5349">
        <f t="shared" si="50"/>
        <v>0</v>
      </c>
      <c r="AG90" s="5338">
        <f t="shared" si="51"/>
        <v>0</v>
      </c>
    </row>
    <row r="91" spans="1:33" s="5333" customFormat="1" ht="15.05" customHeight="1">
      <c r="A91" s="5426"/>
      <c r="B91" s="5426"/>
      <c r="C91" s="5426"/>
      <c r="D91" s="5367"/>
      <c r="E91" s="5380"/>
      <c r="F91" s="5380"/>
      <c r="G91" s="5380"/>
      <c r="H91" s="5399"/>
      <c r="I91" s="5638"/>
      <c r="J91" s="5362" t="s">
        <v>50</v>
      </c>
      <c r="K91" s="5376" t="s">
        <v>91</v>
      </c>
      <c r="L91" s="5375"/>
      <c r="M91" s="5359">
        <v>0</v>
      </c>
      <c r="N91" s="5359">
        <v>0</v>
      </c>
      <c r="O91" s="5359">
        <v>0</v>
      </c>
      <c r="P91" s="5358"/>
      <c r="Q91" s="5357">
        <f t="shared" si="43"/>
        <v>0</v>
      </c>
      <c r="R91" s="5358">
        <v>0</v>
      </c>
      <c r="S91" s="5358"/>
      <c r="T91" s="5359">
        <v>0</v>
      </c>
      <c r="U91" s="5358"/>
      <c r="V91" s="5357">
        <f>S91-P91</f>
        <v>0</v>
      </c>
      <c r="W91" s="5358">
        <v>0</v>
      </c>
      <c r="X91" s="5358"/>
      <c r="Y91" s="5359">
        <v>0</v>
      </c>
      <c r="Z91" s="5358"/>
      <c r="AA91" s="5357">
        <f t="shared" si="48"/>
        <v>0</v>
      </c>
      <c r="AB91" s="5358">
        <v>0</v>
      </c>
      <c r="AC91" s="5349"/>
      <c r="AD91" s="5349"/>
      <c r="AE91" s="5349"/>
      <c r="AF91" s="5349">
        <f t="shared" si="50"/>
        <v>0</v>
      </c>
      <c r="AG91" s="5338">
        <f t="shared" si="51"/>
        <v>0</v>
      </c>
    </row>
    <row r="92" spans="1:33" s="5333" customFormat="1">
      <c r="A92" s="5340"/>
      <c r="B92" s="5340"/>
      <c r="C92" s="5340"/>
      <c r="D92" s="5367"/>
      <c r="E92" s="5380"/>
      <c r="F92" s="5380"/>
      <c r="G92" s="5379"/>
      <c r="H92" s="5379"/>
      <c r="I92" s="5495"/>
      <c r="J92" s="5366"/>
      <c r="K92" s="5361"/>
      <c r="L92" s="5365"/>
      <c r="M92" s="5357"/>
      <c r="N92" s="5357"/>
      <c r="O92" s="5357"/>
      <c r="P92" s="5358"/>
      <c r="Q92" s="5357"/>
      <c r="R92" s="5358"/>
      <c r="S92" s="5358"/>
      <c r="T92" s="5357"/>
      <c r="U92" s="5358"/>
      <c r="V92" s="5357"/>
      <c r="W92" s="5358"/>
      <c r="X92" s="5358"/>
      <c r="Y92" s="5357"/>
      <c r="Z92" s="5358"/>
      <c r="AA92" s="5357"/>
      <c r="AB92" s="5358"/>
      <c r="AC92" s="5349"/>
      <c r="AD92" s="5349"/>
      <c r="AE92" s="5349"/>
      <c r="AF92" s="5349">
        <f t="shared" si="50"/>
        <v>0</v>
      </c>
      <c r="AG92" s="5338">
        <f t="shared" si="51"/>
        <v>0</v>
      </c>
    </row>
    <row r="93" spans="1:33" s="5333" customFormat="1" ht="16.45" customHeight="1">
      <c r="A93" s="5340"/>
      <c r="B93" s="5340"/>
      <c r="C93" s="5340"/>
      <c r="D93" s="5367" t="s">
        <v>700</v>
      </c>
      <c r="E93" s="5367"/>
      <c r="F93" s="5367"/>
      <c r="G93" s="5367"/>
      <c r="H93" s="5367"/>
      <c r="I93" s="5631"/>
      <c r="J93" s="5568" t="s">
        <v>1507</v>
      </c>
      <c r="K93" s="5361"/>
      <c r="L93" s="5365"/>
      <c r="M93" s="5357">
        <v>450000000</v>
      </c>
      <c r="N93" s="5357">
        <f>N95+N102</f>
        <v>150000000</v>
      </c>
      <c r="O93" s="5357">
        <f>N93-M93</f>
        <v>-300000000</v>
      </c>
      <c r="P93" s="5358">
        <f>P95+P102</f>
        <v>0</v>
      </c>
      <c r="Q93" s="5357">
        <f>+P93-N93</f>
        <v>-150000000</v>
      </c>
      <c r="R93" s="5358">
        <f>P93/N93*100-100</f>
        <v>-100</v>
      </c>
      <c r="S93" s="5358">
        <f>S94</f>
        <v>300000000</v>
      </c>
      <c r="T93" s="5357">
        <f>S93-R93</f>
        <v>300000100</v>
      </c>
      <c r="U93" s="5358">
        <f>U95+U102</f>
        <v>0</v>
      </c>
      <c r="V93" s="5357">
        <f>S93-P93</f>
        <v>300000000</v>
      </c>
      <c r="W93" s="5358">
        <v>0</v>
      </c>
      <c r="X93" s="5358">
        <f>X94</f>
        <v>300000000</v>
      </c>
      <c r="Y93" s="5357">
        <f>X93-W93</f>
        <v>300000000</v>
      </c>
      <c r="Z93" s="5358">
        <f>Z95+Z102</f>
        <v>0</v>
      </c>
      <c r="AA93" s="5357">
        <f t="shared" ref="AA93:AA98" si="52">X93-S93</f>
        <v>0</v>
      </c>
      <c r="AB93" s="5358">
        <f t="shared" ref="AB93:AB98" si="53">X93/S93*100-100</f>
        <v>0</v>
      </c>
      <c r="AC93" s="5349"/>
      <c r="AD93" s="5349"/>
      <c r="AE93" s="5349"/>
      <c r="AF93" s="5349">
        <f t="shared" si="50"/>
        <v>300000000</v>
      </c>
      <c r="AG93" s="5338">
        <f t="shared" si="51"/>
        <v>0</v>
      </c>
    </row>
    <row r="94" spans="1:33" s="5333" customFormat="1" ht="13.5" customHeight="1">
      <c r="A94" s="5426"/>
      <c r="B94" s="5426"/>
      <c r="C94" s="5426"/>
      <c r="D94" s="5374">
        <v>4</v>
      </c>
      <c r="E94" s="5374">
        <v>1</v>
      </c>
      <c r="F94" s="5374"/>
      <c r="G94" s="5374"/>
      <c r="H94" s="5374"/>
      <c r="I94" s="5537"/>
      <c r="J94" s="5372" t="s">
        <v>180</v>
      </c>
      <c r="K94" s="5371"/>
      <c r="L94" s="5370"/>
      <c r="M94" s="5357">
        <v>450000000</v>
      </c>
      <c r="N94" s="5357">
        <f>+N95+N102</f>
        <v>150000000</v>
      </c>
      <c r="O94" s="5359">
        <f>N94-M94</f>
        <v>-300000000</v>
      </c>
      <c r="P94" s="5358">
        <f>+P95+P102</f>
        <v>0</v>
      </c>
      <c r="Q94" s="5357">
        <f>+P94-N94</f>
        <v>-150000000</v>
      </c>
      <c r="R94" s="5358">
        <f>P94/N94*100-100</f>
        <v>-100</v>
      </c>
      <c r="S94" s="5358">
        <f>S95</f>
        <v>300000000</v>
      </c>
      <c r="T94" s="5359">
        <f>S94-R94</f>
        <v>300000100</v>
      </c>
      <c r="U94" s="5358">
        <f>+U95+U102</f>
        <v>0</v>
      </c>
      <c r="V94" s="5357">
        <f>S94-P94</f>
        <v>300000000</v>
      </c>
      <c r="W94" s="5358">
        <v>0</v>
      </c>
      <c r="X94" s="5358">
        <f>X95</f>
        <v>300000000</v>
      </c>
      <c r="Y94" s="5359">
        <f>X94-W94</f>
        <v>300000000</v>
      </c>
      <c r="Z94" s="5358">
        <f>+Z95+Z102</f>
        <v>0</v>
      </c>
      <c r="AA94" s="5357">
        <f t="shared" si="52"/>
        <v>0</v>
      </c>
      <c r="AB94" s="5358">
        <f t="shared" si="53"/>
        <v>0</v>
      </c>
      <c r="AC94" s="5349"/>
      <c r="AD94" s="5349"/>
      <c r="AE94" s="5349"/>
      <c r="AF94" s="5349">
        <f t="shared" si="50"/>
        <v>300000000</v>
      </c>
      <c r="AG94" s="5338">
        <f t="shared" si="51"/>
        <v>0</v>
      </c>
    </row>
    <row r="95" spans="1:33" s="5333" customFormat="1" ht="13.5" customHeight="1">
      <c r="A95" s="5426"/>
      <c r="B95" s="5426"/>
      <c r="C95" s="5426"/>
      <c r="D95" s="5374">
        <v>4</v>
      </c>
      <c r="E95" s="5374">
        <v>1</v>
      </c>
      <c r="F95" s="5374">
        <v>2</v>
      </c>
      <c r="G95" s="5374"/>
      <c r="H95" s="5374"/>
      <c r="I95" s="5537"/>
      <c r="J95" s="5372" t="s">
        <v>106</v>
      </c>
      <c r="K95" s="5361"/>
      <c r="L95" s="5365"/>
      <c r="M95" s="5357">
        <v>450000000</v>
      </c>
      <c r="N95" s="5357">
        <f>N96</f>
        <v>150000000</v>
      </c>
      <c r="O95" s="5359">
        <f>N95-M95</f>
        <v>-300000000</v>
      </c>
      <c r="P95" s="5358">
        <f>P96</f>
        <v>0</v>
      </c>
      <c r="Q95" s="5357">
        <f>+P95-N95</f>
        <v>-150000000</v>
      </c>
      <c r="R95" s="5358">
        <f>P95/N95*100-100</f>
        <v>-100</v>
      </c>
      <c r="S95" s="5358">
        <f>S96</f>
        <v>300000000</v>
      </c>
      <c r="T95" s="5359">
        <f>S95-R95</f>
        <v>300000100</v>
      </c>
      <c r="U95" s="5358">
        <f>U96</f>
        <v>0</v>
      </c>
      <c r="V95" s="5357">
        <f>S95-P95</f>
        <v>300000000</v>
      </c>
      <c r="W95" s="5358">
        <v>0</v>
      </c>
      <c r="X95" s="5358">
        <f>X96</f>
        <v>300000000</v>
      </c>
      <c r="Y95" s="5359">
        <f>X95-W95</f>
        <v>300000000</v>
      </c>
      <c r="Z95" s="5358">
        <f>Z96</f>
        <v>0</v>
      </c>
      <c r="AA95" s="5357">
        <f t="shared" si="52"/>
        <v>0</v>
      </c>
      <c r="AB95" s="5358">
        <f t="shared" si="53"/>
        <v>0</v>
      </c>
      <c r="AC95" s="5350" t="s">
        <v>1479</v>
      </c>
      <c r="AD95" s="5350"/>
      <c r="AE95" s="5350"/>
      <c r="AF95" s="5349">
        <f t="shared" si="50"/>
        <v>300000000</v>
      </c>
      <c r="AG95" s="5338">
        <f t="shared" si="51"/>
        <v>0</v>
      </c>
    </row>
    <row r="96" spans="1:33" s="5333" customFormat="1" ht="13.5" customHeight="1">
      <c r="A96" s="5426"/>
      <c r="B96" s="5426"/>
      <c r="C96" s="5426"/>
      <c r="D96" s="5364">
        <v>4</v>
      </c>
      <c r="E96" s="5364">
        <v>1</v>
      </c>
      <c r="F96" s="5364">
        <v>2</v>
      </c>
      <c r="G96" s="5378" t="s">
        <v>438</v>
      </c>
      <c r="H96" s="5378"/>
      <c r="I96" s="5639"/>
      <c r="J96" s="5366" t="s">
        <v>374</v>
      </c>
      <c r="K96" s="5361"/>
      <c r="L96" s="5365"/>
      <c r="M96" s="5357">
        <v>450000000</v>
      </c>
      <c r="N96" s="5357">
        <f>N100</f>
        <v>150000000</v>
      </c>
      <c r="O96" s="5359">
        <f>N96-M96</f>
        <v>-300000000</v>
      </c>
      <c r="P96" s="5358">
        <f>P100</f>
        <v>0</v>
      </c>
      <c r="Q96" s="5357">
        <f>+P96-N96</f>
        <v>-150000000</v>
      </c>
      <c r="R96" s="5358">
        <f>P96/N96*100-100</f>
        <v>-100</v>
      </c>
      <c r="S96" s="5358">
        <f>S97+S100</f>
        <v>300000000</v>
      </c>
      <c r="T96" s="5359">
        <f>S96-R96</f>
        <v>300000100</v>
      </c>
      <c r="U96" s="5358">
        <f>U100</f>
        <v>0</v>
      </c>
      <c r="V96" s="5357">
        <f>S96-P96</f>
        <v>300000000</v>
      </c>
      <c r="W96" s="5358">
        <v>0</v>
      </c>
      <c r="X96" s="5358">
        <f>X97+X100</f>
        <v>300000000</v>
      </c>
      <c r="Y96" s="5359">
        <f>X96-W96</f>
        <v>300000000</v>
      </c>
      <c r="Z96" s="5358">
        <f>Z100</f>
        <v>0</v>
      </c>
      <c r="AA96" s="5357">
        <f t="shared" si="52"/>
        <v>0</v>
      </c>
      <c r="AB96" s="5358">
        <f t="shared" si="53"/>
        <v>0</v>
      </c>
      <c r="AC96" s="5349"/>
      <c r="AD96" s="5349"/>
      <c r="AE96" s="5349"/>
      <c r="AF96" s="5349">
        <f t="shared" si="50"/>
        <v>300000000</v>
      </c>
      <c r="AG96" s="5338">
        <f t="shared" si="51"/>
        <v>0</v>
      </c>
    </row>
    <row r="97" spans="1:33" s="5333" customFormat="1" ht="13.5" customHeight="1">
      <c r="A97" s="5426"/>
      <c r="B97" s="5426"/>
      <c r="C97" s="5426"/>
      <c r="D97" s="5440">
        <v>4</v>
      </c>
      <c r="E97" s="5440">
        <v>1</v>
      </c>
      <c r="F97" s="5440">
        <v>2</v>
      </c>
      <c r="G97" s="5570" t="s">
        <v>438</v>
      </c>
      <c r="H97" s="5570" t="s">
        <v>437</v>
      </c>
      <c r="I97" s="5640"/>
      <c r="J97" s="5480" t="s">
        <v>64</v>
      </c>
      <c r="K97" s="5361"/>
      <c r="L97" s="5365"/>
      <c r="M97" s="5357"/>
      <c r="N97" s="5357"/>
      <c r="O97" s="5359"/>
      <c r="P97" s="5358">
        <f>P98</f>
        <v>0</v>
      </c>
      <c r="Q97" s="5357"/>
      <c r="R97" s="5358"/>
      <c r="S97" s="5358">
        <f>S98</f>
        <v>90000000</v>
      </c>
      <c r="T97" s="5359"/>
      <c r="U97" s="5358"/>
      <c r="V97" s="5357"/>
      <c r="W97" s="5358">
        <v>0</v>
      </c>
      <c r="X97" s="5358">
        <f>X98</f>
        <v>90000000</v>
      </c>
      <c r="Y97" s="5359"/>
      <c r="Z97" s="5358"/>
      <c r="AA97" s="5357">
        <f t="shared" si="52"/>
        <v>0</v>
      </c>
      <c r="AB97" s="5358">
        <f t="shared" si="53"/>
        <v>0</v>
      </c>
      <c r="AC97" s="5349">
        <v>9</v>
      </c>
      <c r="AD97" s="5349"/>
      <c r="AE97" s="5349"/>
      <c r="AF97" s="5349"/>
      <c r="AG97" s="5338"/>
    </row>
    <row r="98" spans="1:33" s="5333" customFormat="1" ht="13.5" customHeight="1">
      <c r="A98" s="5426"/>
      <c r="B98" s="5426"/>
      <c r="C98" s="5426"/>
      <c r="D98" s="5440"/>
      <c r="E98" s="5440"/>
      <c r="F98" s="5440"/>
      <c r="G98" s="5570"/>
      <c r="H98" s="5570"/>
      <c r="I98" s="5640"/>
      <c r="J98" s="5528" t="s">
        <v>50</v>
      </c>
      <c r="K98" s="5361" t="s">
        <v>1478</v>
      </c>
      <c r="L98" s="5365"/>
      <c r="M98" s="5357"/>
      <c r="N98" s="5357"/>
      <c r="O98" s="5359"/>
      <c r="P98" s="5358">
        <v>0</v>
      </c>
      <c r="Q98" s="5357"/>
      <c r="R98" s="5358"/>
      <c r="S98" s="5358">
        <f>'rekap perdinas Kua PPAS'!J80</f>
        <v>90000000</v>
      </c>
      <c r="T98" s="5359"/>
      <c r="U98" s="5358"/>
      <c r="V98" s="5357"/>
      <c r="W98" s="5358">
        <v>0</v>
      </c>
      <c r="X98" s="5358">
        <v>90000000</v>
      </c>
      <c r="Y98" s="5359"/>
      <c r="Z98" s="5358"/>
      <c r="AA98" s="5357">
        <f t="shared" si="52"/>
        <v>0</v>
      </c>
      <c r="AB98" s="5358">
        <f t="shared" si="53"/>
        <v>0</v>
      </c>
      <c r="AC98" s="5349"/>
      <c r="AD98" s="5349"/>
      <c r="AE98" s="5349"/>
      <c r="AF98" s="5349"/>
      <c r="AG98" s="5338"/>
    </row>
    <row r="99" spans="1:33" s="5333" customFormat="1" ht="13.5" customHeight="1">
      <c r="A99" s="5426"/>
      <c r="B99" s="5426"/>
      <c r="C99" s="5426"/>
      <c r="D99" s="5440"/>
      <c r="E99" s="5440"/>
      <c r="F99" s="5440"/>
      <c r="G99" s="5570"/>
      <c r="H99" s="5570"/>
      <c r="I99" s="5640"/>
      <c r="J99" s="5480"/>
      <c r="K99" s="5361"/>
      <c r="L99" s="5365"/>
      <c r="M99" s="5357"/>
      <c r="N99" s="5357"/>
      <c r="O99" s="5359"/>
      <c r="P99" s="5358"/>
      <c r="Q99" s="5357"/>
      <c r="R99" s="5358"/>
      <c r="S99" s="5358"/>
      <c r="T99" s="5359"/>
      <c r="U99" s="5358"/>
      <c r="V99" s="5357"/>
      <c r="W99" s="5358"/>
      <c r="X99" s="5358"/>
      <c r="Y99" s="5359"/>
      <c r="Z99" s="5358"/>
      <c r="AA99" s="5357"/>
      <c r="AB99" s="5358"/>
      <c r="AC99" s="5349"/>
      <c r="AD99" s="5349"/>
      <c r="AE99" s="5349"/>
      <c r="AF99" s="5349"/>
      <c r="AG99" s="5338"/>
    </row>
    <row r="100" spans="1:33" s="5333" customFormat="1" ht="13.5" customHeight="1">
      <c r="A100" s="5426"/>
      <c r="B100" s="5426"/>
      <c r="C100" s="5426"/>
      <c r="D100" s="5367">
        <v>4</v>
      </c>
      <c r="E100" s="5367">
        <v>1</v>
      </c>
      <c r="F100" s="5367">
        <v>2</v>
      </c>
      <c r="G100" s="5368" t="s">
        <v>438</v>
      </c>
      <c r="H100" s="5368" t="s">
        <v>440</v>
      </c>
      <c r="I100" s="5632"/>
      <c r="J100" s="5366" t="s">
        <v>304</v>
      </c>
      <c r="K100" s="5361"/>
      <c r="L100" s="5365"/>
      <c r="M100" s="5359">
        <v>450000000</v>
      </c>
      <c r="N100" s="5359">
        <v>150000000</v>
      </c>
      <c r="O100" s="5359">
        <f t="shared" ref="O100:O105" si="54">N100-M100</f>
        <v>-300000000</v>
      </c>
      <c r="P100" s="5358">
        <v>0</v>
      </c>
      <c r="Q100" s="5357">
        <f t="shared" ref="Q100:Q105" si="55">+P100-N100</f>
        <v>-150000000</v>
      </c>
      <c r="R100" s="5358">
        <f t="shared" ref="R100:R105" si="56">P100/N100*100-100</f>
        <v>-100</v>
      </c>
      <c r="S100" s="5358">
        <f>'rekap perdinas Kua PPAS'!J82</f>
        <v>210000000</v>
      </c>
      <c r="T100" s="5359">
        <f t="shared" ref="T100:T105" si="57">S100-R100</f>
        <v>210000100</v>
      </c>
      <c r="U100" s="5358">
        <v>0</v>
      </c>
      <c r="V100" s="5357">
        <f>S100-P100</f>
        <v>210000000</v>
      </c>
      <c r="W100" s="5358">
        <v>0</v>
      </c>
      <c r="X100" s="5358">
        <v>210000000</v>
      </c>
      <c r="Y100" s="5359">
        <f t="shared" ref="Y100:Y105" si="58">X100-W100</f>
        <v>210000000</v>
      </c>
      <c r="Z100" s="5358">
        <v>0</v>
      </c>
      <c r="AA100" s="5357">
        <f>X100-S100</f>
        <v>0</v>
      </c>
      <c r="AB100" s="5358">
        <f>X100/S100*100-100</f>
        <v>0</v>
      </c>
      <c r="AC100" s="5349"/>
      <c r="AD100" s="5349"/>
      <c r="AE100" s="5349"/>
      <c r="AF100" s="5349">
        <f t="shared" ref="AF100:AF112" si="59">S100-P100</f>
        <v>210000000</v>
      </c>
      <c r="AG100" s="5338">
        <f t="shared" ref="AG100:AG112" si="60">AF100-V100</f>
        <v>0</v>
      </c>
    </row>
    <row r="101" spans="1:33" s="5333" customFormat="1" ht="12.7" customHeight="1">
      <c r="A101" s="5340"/>
      <c r="B101" s="5340"/>
      <c r="C101" s="5340"/>
      <c r="D101" s="5367"/>
      <c r="E101" s="5380"/>
      <c r="F101" s="5380"/>
      <c r="G101" s="5379"/>
      <c r="H101" s="5379"/>
      <c r="I101" s="5495"/>
      <c r="J101" s="5366"/>
      <c r="K101" s="5361"/>
      <c r="L101" s="5365"/>
      <c r="M101" s="5357"/>
      <c r="N101" s="5357"/>
      <c r="O101" s="5357">
        <f t="shared" si="54"/>
        <v>0</v>
      </c>
      <c r="P101" s="5358"/>
      <c r="Q101" s="5357">
        <f t="shared" si="55"/>
        <v>0</v>
      </c>
      <c r="R101" s="5358" t="e">
        <f t="shared" si="56"/>
        <v>#DIV/0!</v>
      </c>
      <c r="S101" s="5358"/>
      <c r="T101" s="5357" t="e">
        <f t="shared" si="57"/>
        <v>#DIV/0!</v>
      </c>
      <c r="U101" s="5358"/>
      <c r="V101" s="5357"/>
      <c r="W101" s="5358"/>
      <c r="X101" s="5358"/>
      <c r="Y101" s="5357">
        <f t="shared" si="58"/>
        <v>0</v>
      </c>
      <c r="Z101" s="5358"/>
      <c r="AA101" s="5357"/>
      <c r="AB101" s="5358"/>
      <c r="AC101" s="5349"/>
      <c r="AD101" s="5349"/>
      <c r="AE101" s="5349"/>
      <c r="AF101" s="5349">
        <f t="shared" si="59"/>
        <v>0</v>
      </c>
      <c r="AG101" s="5338">
        <f t="shared" si="60"/>
        <v>0</v>
      </c>
    </row>
    <row r="102" spans="1:33" s="5333" customFormat="1" ht="16.45" hidden="1" customHeight="1">
      <c r="A102" s="5426"/>
      <c r="B102" s="5426"/>
      <c r="C102" s="5426"/>
      <c r="D102" s="5374">
        <v>4</v>
      </c>
      <c r="E102" s="5374">
        <v>1</v>
      </c>
      <c r="F102" s="5374">
        <v>4</v>
      </c>
      <c r="G102" s="5373"/>
      <c r="H102" s="5373"/>
      <c r="I102" s="5633"/>
      <c r="J102" s="5372" t="s">
        <v>71</v>
      </c>
      <c r="K102" s="5371"/>
      <c r="L102" s="5370"/>
      <c r="M102" s="5357">
        <v>0</v>
      </c>
      <c r="N102" s="5357">
        <f>N103</f>
        <v>0</v>
      </c>
      <c r="O102" s="5359">
        <f t="shared" si="54"/>
        <v>0</v>
      </c>
      <c r="P102" s="5358"/>
      <c r="Q102" s="5357">
        <f t="shared" si="55"/>
        <v>0</v>
      </c>
      <c r="R102" s="5358" t="e">
        <f t="shared" si="56"/>
        <v>#DIV/0!</v>
      </c>
      <c r="S102" s="5358"/>
      <c r="T102" s="5359" t="e">
        <f t="shared" si="57"/>
        <v>#DIV/0!</v>
      </c>
      <c r="U102" s="5358"/>
      <c r="V102" s="5357">
        <f>S102-P102</f>
        <v>0</v>
      </c>
      <c r="W102" s="5358">
        <v>0</v>
      </c>
      <c r="X102" s="5358"/>
      <c r="Y102" s="5359">
        <f t="shared" si="58"/>
        <v>0</v>
      </c>
      <c r="Z102" s="5358"/>
      <c r="AA102" s="5357">
        <f>X102-S102</f>
        <v>0</v>
      </c>
      <c r="AB102" s="5358" t="e">
        <f>X102/S102*100-100</f>
        <v>#DIV/0!</v>
      </c>
      <c r="AC102" s="5349"/>
      <c r="AD102" s="5349"/>
      <c r="AE102" s="5349"/>
      <c r="AF102" s="5349">
        <f t="shared" si="59"/>
        <v>0</v>
      </c>
      <c r="AG102" s="5338">
        <f t="shared" si="60"/>
        <v>0</v>
      </c>
    </row>
    <row r="103" spans="1:33" s="5333" customFormat="1" ht="13.5" hidden="1" customHeight="1">
      <c r="A103" s="5340"/>
      <c r="B103" s="5340"/>
      <c r="C103" s="5340"/>
      <c r="D103" s="5367">
        <v>4</v>
      </c>
      <c r="E103" s="5367">
        <v>1</v>
      </c>
      <c r="F103" s="5367">
        <v>4</v>
      </c>
      <c r="G103" s="5367" t="s">
        <v>948</v>
      </c>
      <c r="H103" s="5368"/>
      <c r="I103" s="5632"/>
      <c r="J103" s="5366" t="s">
        <v>321</v>
      </c>
      <c r="K103" s="5361"/>
      <c r="L103" s="5365"/>
      <c r="M103" s="5357">
        <v>0</v>
      </c>
      <c r="N103" s="5357">
        <f>N104</f>
        <v>0</v>
      </c>
      <c r="O103" s="5359">
        <f t="shared" si="54"/>
        <v>0</v>
      </c>
      <c r="P103" s="5358"/>
      <c r="Q103" s="5357">
        <f t="shared" si="55"/>
        <v>0</v>
      </c>
      <c r="R103" s="5358" t="e">
        <f t="shared" si="56"/>
        <v>#DIV/0!</v>
      </c>
      <c r="S103" s="5358"/>
      <c r="T103" s="5359" t="e">
        <f t="shared" si="57"/>
        <v>#DIV/0!</v>
      </c>
      <c r="U103" s="5358"/>
      <c r="V103" s="5357">
        <f>S103-P103</f>
        <v>0</v>
      </c>
      <c r="W103" s="5358" t="e">
        <f>S103/P103*100-100</f>
        <v>#DIV/0!</v>
      </c>
      <c r="X103" s="5358"/>
      <c r="Y103" s="5359" t="e">
        <f t="shared" si="58"/>
        <v>#DIV/0!</v>
      </c>
      <c r="Z103" s="5358"/>
      <c r="AA103" s="5357">
        <f>X103-S103</f>
        <v>0</v>
      </c>
      <c r="AB103" s="5358" t="e">
        <f>X103/S103*100-100</f>
        <v>#DIV/0!</v>
      </c>
      <c r="AC103" s="5350"/>
      <c r="AD103" s="5350"/>
      <c r="AE103" s="5350"/>
      <c r="AF103" s="5349">
        <f t="shared" si="59"/>
        <v>0</v>
      </c>
      <c r="AG103" s="5338">
        <f t="shared" si="60"/>
        <v>0</v>
      </c>
    </row>
    <row r="104" spans="1:33" s="5333" customFormat="1" ht="13.5" hidden="1" customHeight="1">
      <c r="A104" s="5340"/>
      <c r="B104" s="5340"/>
      <c r="C104" s="5340"/>
      <c r="D104" s="5367">
        <v>4</v>
      </c>
      <c r="E104" s="5367">
        <v>1</v>
      </c>
      <c r="F104" s="5367">
        <v>4</v>
      </c>
      <c r="G104" s="5367" t="s">
        <v>948</v>
      </c>
      <c r="H104" s="5367" t="s">
        <v>437</v>
      </c>
      <c r="I104" s="5631"/>
      <c r="J104" s="5366" t="s">
        <v>85</v>
      </c>
      <c r="K104" s="5361"/>
      <c r="L104" s="5365"/>
      <c r="M104" s="5357">
        <v>0</v>
      </c>
      <c r="N104" s="5357">
        <f>N105</f>
        <v>0</v>
      </c>
      <c r="O104" s="5359">
        <f t="shared" si="54"/>
        <v>0</v>
      </c>
      <c r="P104" s="5358"/>
      <c r="Q104" s="5357">
        <f t="shared" si="55"/>
        <v>0</v>
      </c>
      <c r="R104" s="5358" t="e">
        <f t="shared" si="56"/>
        <v>#DIV/0!</v>
      </c>
      <c r="S104" s="5358"/>
      <c r="T104" s="5359" t="e">
        <f t="shared" si="57"/>
        <v>#DIV/0!</v>
      </c>
      <c r="U104" s="5358"/>
      <c r="V104" s="5357">
        <f>S104-P104</f>
        <v>0</v>
      </c>
      <c r="W104" s="5358" t="e">
        <f>S104/P104*100-100</f>
        <v>#DIV/0!</v>
      </c>
      <c r="X104" s="5358"/>
      <c r="Y104" s="5359" t="e">
        <f t="shared" si="58"/>
        <v>#DIV/0!</v>
      </c>
      <c r="Z104" s="5358"/>
      <c r="AA104" s="5357">
        <f>X104-S104</f>
        <v>0</v>
      </c>
      <c r="AB104" s="5358" t="e">
        <f>X104/S104*100-100</f>
        <v>#DIV/0!</v>
      </c>
      <c r="AC104" s="5350"/>
      <c r="AD104" s="5350"/>
      <c r="AE104" s="5350"/>
      <c r="AF104" s="5349">
        <f t="shared" si="59"/>
        <v>0</v>
      </c>
      <c r="AG104" s="5338">
        <f t="shared" si="60"/>
        <v>0</v>
      </c>
    </row>
    <row r="105" spans="1:33" s="5333" customFormat="1" ht="13.5" hidden="1" customHeight="1">
      <c r="A105" s="5340"/>
      <c r="B105" s="5340"/>
      <c r="C105" s="5340"/>
      <c r="D105" s="5367"/>
      <c r="E105" s="5367"/>
      <c r="F105" s="5367"/>
      <c r="G105" s="5368"/>
      <c r="H105" s="5367"/>
      <c r="I105" s="5631"/>
      <c r="J105" s="5408" t="s">
        <v>50</v>
      </c>
      <c r="K105" s="5361" t="s">
        <v>85</v>
      </c>
      <c r="L105" s="5365"/>
      <c r="M105" s="5359">
        <v>0</v>
      </c>
      <c r="N105" s="5359">
        <v>0</v>
      </c>
      <c r="O105" s="5359">
        <f t="shared" si="54"/>
        <v>0</v>
      </c>
      <c r="P105" s="5358"/>
      <c r="Q105" s="5357">
        <f t="shared" si="55"/>
        <v>0</v>
      </c>
      <c r="R105" s="5356" t="e">
        <f t="shared" si="56"/>
        <v>#DIV/0!</v>
      </c>
      <c r="S105" s="5358"/>
      <c r="T105" s="5359" t="e">
        <f t="shared" si="57"/>
        <v>#DIV/0!</v>
      </c>
      <c r="U105" s="5358"/>
      <c r="V105" s="5357">
        <f>S105-P105</f>
        <v>0</v>
      </c>
      <c r="W105" s="5356" t="e">
        <f>S105/P105*100-100</f>
        <v>#DIV/0!</v>
      </c>
      <c r="X105" s="5358"/>
      <c r="Y105" s="5359" t="e">
        <f t="shared" si="58"/>
        <v>#DIV/0!</v>
      </c>
      <c r="Z105" s="5358"/>
      <c r="AA105" s="5357">
        <f>X105-S105</f>
        <v>0</v>
      </c>
      <c r="AB105" s="5356" t="e">
        <f>X105/S105*100-100</f>
        <v>#DIV/0!</v>
      </c>
      <c r="AC105" s="5349"/>
      <c r="AD105" s="5349"/>
      <c r="AE105" s="5349"/>
      <c r="AF105" s="5349">
        <f t="shared" si="59"/>
        <v>0</v>
      </c>
      <c r="AG105" s="5338">
        <f t="shared" si="60"/>
        <v>0</v>
      </c>
    </row>
    <row r="106" spans="1:33" s="5333" customFormat="1" ht="7.55" hidden="1" customHeight="1">
      <c r="A106" s="5340"/>
      <c r="B106" s="5340"/>
      <c r="C106" s="5340"/>
      <c r="D106" s="5364"/>
      <c r="E106" s="5363"/>
      <c r="F106" s="5363"/>
      <c r="G106" s="5399"/>
      <c r="H106" s="5363"/>
      <c r="I106" s="5635"/>
      <c r="J106" s="5362"/>
      <c r="K106" s="5376"/>
      <c r="L106" s="5375"/>
      <c r="M106" s="5411"/>
      <c r="N106" s="5411"/>
      <c r="O106" s="5411"/>
      <c r="P106" s="5396"/>
      <c r="Q106" s="5398"/>
      <c r="R106" s="5410"/>
      <c r="S106" s="5396"/>
      <c r="T106" s="5411"/>
      <c r="U106" s="5396"/>
      <c r="V106" s="5398"/>
      <c r="W106" s="5410"/>
      <c r="X106" s="5396"/>
      <c r="Y106" s="5411"/>
      <c r="Z106" s="5396"/>
      <c r="AA106" s="5398"/>
      <c r="AB106" s="5410"/>
      <c r="AC106" s="5349"/>
      <c r="AD106" s="5349"/>
      <c r="AE106" s="5349"/>
      <c r="AF106" s="5349">
        <f t="shared" si="59"/>
        <v>0</v>
      </c>
      <c r="AG106" s="5338">
        <f t="shared" si="60"/>
        <v>0</v>
      </c>
    </row>
    <row r="107" spans="1:33" s="5521" customFormat="1" ht="29.3" customHeight="1">
      <c r="A107" s="5523"/>
      <c r="B107" s="5523"/>
      <c r="C107" s="5523"/>
      <c r="D107" s="5393"/>
      <c r="E107" s="5392"/>
      <c r="F107" s="5392"/>
      <c r="G107" s="5392"/>
      <c r="H107" s="5392"/>
      <c r="I107" s="5689" t="s">
        <v>443</v>
      </c>
      <c r="J107" s="5967" t="s">
        <v>1477</v>
      </c>
      <c r="K107" s="5968"/>
      <c r="L107" s="5969"/>
      <c r="M107" s="5599">
        <v>2201577650</v>
      </c>
      <c r="N107" s="5599">
        <f>N109</f>
        <v>9004043272.4400005</v>
      </c>
      <c r="O107" s="5599">
        <f>N107-M107</f>
        <v>6802465622.4400005</v>
      </c>
      <c r="P107" s="5600">
        <f>P109</f>
        <v>12000000000</v>
      </c>
      <c r="Q107" s="5599">
        <f>+P107-N107</f>
        <v>2995956727.5599995</v>
      </c>
      <c r="R107" s="5600">
        <f>P107/N107*100-100</f>
        <v>33.273459899178476</v>
      </c>
      <c r="S107" s="5600">
        <f>S109</f>
        <v>16250000000</v>
      </c>
      <c r="T107" s="5599">
        <f>S107-R107</f>
        <v>16249999966.72654</v>
      </c>
      <c r="U107" s="5600">
        <f>U109</f>
        <v>12000000000</v>
      </c>
      <c r="V107" s="5599">
        <f>S107-P107</f>
        <v>4250000000</v>
      </c>
      <c r="W107" s="5600">
        <f>S107/P107*100-100</f>
        <v>35.416666666666686</v>
      </c>
      <c r="X107" s="5600">
        <f>X109</f>
        <v>19000000000</v>
      </c>
      <c r="Y107" s="5599">
        <f>X107-W107</f>
        <v>18999999964.583332</v>
      </c>
      <c r="Z107" s="5600">
        <f>Z109</f>
        <v>12000000000</v>
      </c>
      <c r="AA107" s="5599">
        <f>X107-S107</f>
        <v>2750000000</v>
      </c>
      <c r="AB107" s="5600">
        <f>X107/S107*100-100</f>
        <v>16.923076923076934</v>
      </c>
      <c r="AC107" s="5594"/>
      <c r="AD107" s="5594"/>
      <c r="AE107" s="5594"/>
      <c r="AF107" s="5594">
        <f t="shared" si="59"/>
        <v>4250000000</v>
      </c>
      <c r="AG107" s="5595">
        <f t="shared" si="60"/>
        <v>0</v>
      </c>
    </row>
    <row r="108" spans="1:33" s="5333" customFormat="1" ht="6.75" customHeight="1">
      <c r="A108" s="5340"/>
      <c r="B108" s="5340"/>
      <c r="C108" s="5340"/>
      <c r="D108" s="5387"/>
      <c r="E108" s="5386"/>
      <c r="F108" s="5386"/>
      <c r="G108" s="5386"/>
      <c r="H108" s="5386"/>
      <c r="I108" s="5636"/>
      <c r="J108" s="5385"/>
      <c r="K108" s="5413"/>
      <c r="L108" s="5412"/>
      <c r="M108" s="5382"/>
      <c r="N108" s="5382"/>
      <c r="O108" s="5382"/>
      <c r="P108" s="5381"/>
      <c r="Q108" s="5382"/>
      <c r="R108" s="5381"/>
      <c r="S108" s="5381"/>
      <c r="T108" s="5382"/>
      <c r="U108" s="5381"/>
      <c r="V108" s="5382"/>
      <c r="W108" s="5381"/>
      <c r="X108" s="5381"/>
      <c r="Y108" s="5382"/>
      <c r="Z108" s="5381"/>
      <c r="AA108" s="5382"/>
      <c r="AB108" s="5381"/>
      <c r="AC108" s="5349"/>
      <c r="AD108" s="5349"/>
      <c r="AE108" s="5349"/>
      <c r="AF108" s="5349">
        <f t="shared" si="59"/>
        <v>0</v>
      </c>
      <c r="AG108" s="5338">
        <f t="shared" si="60"/>
        <v>0</v>
      </c>
    </row>
    <row r="109" spans="1:33" s="5333" customFormat="1" ht="13.5" customHeight="1">
      <c r="A109" s="5426"/>
      <c r="B109" s="5426"/>
      <c r="C109" s="5426"/>
      <c r="D109" s="5374">
        <v>4</v>
      </c>
      <c r="E109" s="5374">
        <v>1</v>
      </c>
      <c r="F109" s="5374"/>
      <c r="G109" s="5374"/>
      <c r="H109" s="5374"/>
      <c r="I109" s="5537"/>
      <c r="J109" s="5372" t="s">
        <v>180</v>
      </c>
      <c r="K109" s="5371"/>
      <c r="L109" s="5370"/>
      <c r="M109" s="5357">
        <f>M110+M115</f>
        <v>2201577650</v>
      </c>
      <c r="N109" s="5357">
        <f>N110+N115</f>
        <v>9004043272.4400005</v>
      </c>
      <c r="O109" s="5359">
        <f>N109-M109</f>
        <v>6802465622.4400005</v>
      </c>
      <c r="P109" s="5358">
        <f>P110+P115</f>
        <v>12000000000</v>
      </c>
      <c r="Q109" s="5357">
        <f>+P109-N109</f>
        <v>2995956727.5599995</v>
      </c>
      <c r="R109" s="5358">
        <f>P109/N109*100-100</f>
        <v>33.273459899178476</v>
      </c>
      <c r="S109" s="5358">
        <f>S110+S115</f>
        <v>16250000000</v>
      </c>
      <c r="T109" s="5359">
        <f>S109-R109</f>
        <v>16249999966.72654</v>
      </c>
      <c r="U109" s="5358">
        <f>U110+U115</f>
        <v>12000000000</v>
      </c>
      <c r="V109" s="5357">
        <f>S109-P109</f>
        <v>4250000000</v>
      </c>
      <c r="W109" s="5358">
        <f>S109/P109*100-100</f>
        <v>35.416666666666686</v>
      </c>
      <c r="X109" s="5358">
        <f>X110+X115</f>
        <v>19000000000</v>
      </c>
      <c r="Y109" s="5359">
        <f>X109-W109</f>
        <v>18999999964.583332</v>
      </c>
      <c r="Z109" s="5358">
        <f>Z110+Z115</f>
        <v>12000000000</v>
      </c>
      <c r="AA109" s="5357">
        <f>X109-S109</f>
        <v>2750000000</v>
      </c>
      <c r="AB109" s="5358">
        <f>X109/S109*100-100</f>
        <v>16.923076923076934</v>
      </c>
      <c r="AC109" s="5349"/>
      <c r="AD109" s="5349"/>
      <c r="AE109" s="5349"/>
      <c r="AF109" s="5349">
        <f t="shared" si="59"/>
        <v>4250000000</v>
      </c>
      <c r="AG109" s="5338">
        <f t="shared" si="60"/>
        <v>0</v>
      </c>
    </row>
    <row r="110" spans="1:33" s="5333" customFormat="1" ht="13.5" customHeight="1">
      <c r="A110" s="5426"/>
      <c r="B110" s="5426"/>
      <c r="C110" s="5426"/>
      <c r="D110" s="5374">
        <v>4</v>
      </c>
      <c r="E110" s="5374">
        <v>1</v>
      </c>
      <c r="F110" s="5374" t="s">
        <v>443</v>
      </c>
      <c r="G110" s="5374"/>
      <c r="H110" s="5374"/>
      <c r="I110" s="5537"/>
      <c r="J110" s="5372" t="s">
        <v>106</v>
      </c>
      <c r="K110" s="5361"/>
      <c r="L110" s="5365"/>
      <c r="M110" s="5357">
        <v>2201577650</v>
      </c>
      <c r="N110" s="5357">
        <f>N111</f>
        <v>9001557650</v>
      </c>
      <c r="O110" s="5359">
        <f>N110-M110</f>
        <v>6799980000</v>
      </c>
      <c r="P110" s="5358">
        <f>P111</f>
        <v>12000000000</v>
      </c>
      <c r="Q110" s="5357">
        <f>+P110-N110</f>
        <v>2998442350</v>
      </c>
      <c r="R110" s="5358">
        <f>P110/N110*100-100</f>
        <v>33.310261030211819</v>
      </c>
      <c r="S110" s="5358">
        <f>S111</f>
        <v>16250000000</v>
      </c>
      <c r="T110" s="5359">
        <f>S110-R110</f>
        <v>16249999966.689739</v>
      </c>
      <c r="U110" s="5358">
        <f>U111</f>
        <v>12000000000</v>
      </c>
      <c r="V110" s="5357">
        <f>S110-P110</f>
        <v>4250000000</v>
      </c>
      <c r="W110" s="5358">
        <f>S110/P110*100-100</f>
        <v>35.416666666666686</v>
      </c>
      <c r="X110" s="5358">
        <f>X111</f>
        <v>19000000000</v>
      </c>
      <c r="Y110" s="5359">
        <f>X110-W110</f>
        <v>18999999964.583332</v>
      </c>
      <c r="Z110" s="5358">
        <f>Z111</f>
        <v>12000000000</v>
      </c>
      <c r="AA110" s="5357">
        <f>X110-S110</f>
        <v>2750000000</v>
      </c>
      <c r="AB110" s="5358">
        <f>X110/S110*100-100</f>
        <v>16.923076923076934</v>
      </c>
      <c r="AC110" s="5350"/>
      <c r="AD110" s="5350"/>
      <c r="AE110" s="5350"/>
      <c r="AF110" s="5349">
        <f t="shared" si="59"/>
        <v>4250000000</v>
      </c>
      <c r="AG110" s="5338">
        <f t="shared" si="60"/>
        <v>0</v>
      </c>
    </row>
    <row r="111" spans="1:33" s="5333" customFormat="1" ht="13.5" customHeight="1">
      <c r="A111" s="5426"/>
      <c r="B111" s="5426"/>
      <c r="C111" s="5426"/>
      <c r="D111" s="5367">
        <v>4</v>
      </c>
      <c r="E111" s="5367">
        <v>1</v>
      </c>
      <c r="F111" s="5367" t="s">
        <v>443</v>
      </c>
      <c r="G111" s="5368" t="s">
        <v>449</v>
      </c>
      <c r="H111" s="5367"/>
      <c r="I111" s="5631"/>
      <c r="J111" s="5366" t="s">
        <v>89</v>
      </c>
      <c r="K111" s="5361"/>
      <c r="L111" s="5365"/>
      <c r="M111" s="5357">
        <v>2201577650</v>
      </c>
      <c r="N111" s="5357">
        <f>N112</f>
        <v>9001557650</v>
      </c>
      <c r="O111" s="5359">
        <f>N111-M111</f>
        <v>6799980000</v>
      </c>
      <c r="P111" s="5358">
        <f>P112</f>
        <v>12000000000</v>
      </c>
      <c r="Q111" s="5357">
        <f>+P111-N111</f>
        <v>2998442350</v>
      </c>
      <c r="R111" s="5358">
        <f>P111/N111*100-100</f>
        <v>33.310261030211819</v>
      </c>
      <c r="S111" s="5358">
        <f>S112+S113</f>
        <v>16250000000</v>
      </c>
      <c r="T111" s="5359">
        <f>S111-R111</f>
        <v>16249999966.689739</v>
      </c>
      <c r="U111" s="5358">
        <f>U112</f>
        <v>12000000000</v>
      </c>
      <c r="V111" s="5357">
        <f>S111-P111</f>
        <v>4250000000</v>
      </c>
      <c r="W111" s="5358">
        <f>S111/P111*100-100</f>
        <v>35.416666666666686</v>
      </c>
      <c r="X111" s="5358">
        <f>X112+X113</f>
        <v>19000000000</v>
      </c>
      <c r="Y111" s="5359">
        <f>X111-W111</f>
        <v>18999999964.583332</v>
      </c>
      <c r="Z111" s="5358">
        <f>Z112</f>
        <v>12000000000</v>
      </c>
      <c r="AA111" s="5357">
        <f>X111-S111</f>
        <v>2750000000</v>
      </c>
      <c r="AB111" s="5358">
        <f>X111/S111*100-100</f>
        <v>16.923076923076934</v>
      </c>
      <c r="AC111" s="5350"/>
      <c r="AD111" s="5350"/>
      <c r="AE111" s="5350"/>
      <c r="AF111" s="5349">
        <f t="shared" si="59"/>
        <v>4250000000</v>
      </c>
      <c r="AG111" s="5338">
        <f t="shared" si="60"/>
        <v>0</v>
      </c>
    </row>
    <row r="112" spans="1:33" s="5333" customFormat="1" ht="13.5" customHeight="1">
      <c r="A112" s="5426"/>
      <c r="B112" s="5426"/>
      <c r="C112" s="5426"/>
      <c r="D112" s="5367">
        <v>4</v>
      </c>
      <c r="E112" s="5367">
        <v>1</v>
      </c>
      <c r="F112" s="5367" t="s">
        <v>443</v>
      </c>
      <c r="G112" s="5368" t="s">
        <v>449</v>
      </c>
      <c r="H112" s="5368" t="s">
        <v>437</v>
      </c>
      <c r="I112" s="5632"/>
      <c r="J112" s="5366" t="s">
        <v>97</v>
      </c>
      <c r="K112" s="5361"/>
      <c r="L112" s="5365"/>
      <c r="M112" s="5359">
        <v>2201577650</v>
      </c>
      <c r="N112" s="5359">
        <v>9001557650</v>
      </c>
      <c r="O112" s="5359">
        <f>N112-M112</f>
        <v>6799980000</v>
      </c>
      <c r="P112" s="5358">
        <f>6500000000+6000000000-500000000</f>
        <v>12000000000</v>
      </c>
      <c r="Q112" s="5357">
        <f>+P112-N112</f>
        <v>2998442350</v>
      </c>
      <c r="R112" s="5358">
        <f>P112/N112*100-100</f>
        <v>33.310261030211819</v>
      </c>
      <c r="S112" s="5358">
        <v>16000000000</v>
      </c>
      <c r="T112" s="5359">
        <f>S112-R112</f>
        <v>15999999966.689739</v>
      </c>
      <c r="U112" s="5358">
        <f>6500000000+6000000000-500000000</f>
        <v>12000000000</v>
      </c>
      <c r="V112" s="5357">
        <f>S112-P112</f>
        <v>4000000000</v>
      </c>
      <c r="W112" s="5358">
        <f>S112/P112*100-100</f>
        <v>33.333333333333314</v>
      </c>
      <c r="X112" s="5358">
        <f>'rekap perdinas Kua PPAS'!N95</f>
        <v>19000000000</v>
      </c>
      <c r="Y112" s="5359">
        <f>X112-W112</f>
        <v>18999999966.666668</v>
      </c>
      <c r="Z112" s="5358">
        <f>6500000000+6000000000-500000000</f>
        <v>12000000000</v>
      </c>
      <c r="AA112" s="5357">
        <f>X112-S112</f>
        <v>3000000000</v>
      </c>
      <c r="AB112" s="5358">
        <f>X112/S112*100-100</f>
        <v>18.75</v>
      </c>
      <c r="AC112" s="5350"/>
      <c r="AD112" s="5350"/>
      <c r="AE112" s="5350"/>
      <c r="AF112" s="5349">
        <f t="shared" si="59"/>
        <v>4000000000</v>
      </c>
      <c r="AG112" s="5338">
        <f t="shared" si="60"/>
        <v>0</v>
      </c>
    </row>
    <row r="113" spans="1:33" s="5333" customFormat="1" ht="13.5" customHeight="1">
      <c r="A113" s="5426"/>
      <c r="B113" s="5426"/>
      <c r="C113" s="5426"/>
      <c r="D113" s="5364"/>
      <c r="E113" s="5363"/>
      <c r="F113" s="5363"/>
      <c r="G113" s="5399"/>
      <c r="H113" s="5399"/>
      <c r="I113" s="5638"/>
      <c r="J113" s="5577" t="s">
        <v>98</v>
      </c>
      <c r="K113" s="5571"/>
      <c r="L113" s="5572"/>
      <c r="M113" s="5573"/>
      <c r="N113" s="5573"/>
      <c r="O113" s="5573"/>
      <c r="P113" s="5574"/>
      <c r="Q113" s="5564"/>
      <c r="R113" s="5574"/>
      <c r="S113" s="5566">
        <v>250000000</v>
      </c>
      <c r="T113" s="5573"/>
      <c r="U113" s="5574"/>
      <c r="V113" s="5564"/>
      <c r="W113" s="5574"/>
      <c r="X113" s="5566">
        <v>0</v>
      </c>
      <c r="Y113" s="5573"/>
      <c r="Z113" s="5574"/>
      <c r="AA113" s="5564">
        <f>X113-S113</f>
        <v>-250000000</v>
      </c>
      <c r="AB113" s="5358">
        <f>X113/S113*100-100</f>
        <v>-100</v>
      </c>
      <c r="AC113" s="5350"/>
      <c r="AD113" s="5350"/>
      <c r="AE113" s="5350"/>
      <c r="AF113" s="5349"/>
      <c r="AG113" s="5338"/>
    </row>
    <row r="114" spans="1:33" s="5333" customFormat="1" ht="13.5" hidden="1" customHeight="1">
      <c r="A114" s="5426"/>
      <c r="B114" s="5426"/>
      <c r="C114" s="5426"/>
      <c r="D114" s="5364"/>
      <c r="E114" s="5363"/>
      <c r="F114" s="5363"/>
      <c r="G114" s="5399"/>
      <c r="H114" s="5399"/>
      <c r="I114" s="5638"/>
      <c r="J114" s="5575"/>
      <c r="K114" s="5571"/>
      <c r="L114" s="5572"/>
      <c r="M114" s="5573"/>
      <c r="N114" s="5573"/>
      <c r="O114" s="5573"/>
      <c r="P114" s="5574"/>
      <c r="Q114" s="5564"/>
      <c r="R114" s="5574"/>
      <c r="S114" s="5574"/>
      <c r="T114" s="5573"/>
      <c r="U114" s="5574"/>
      <c r="V114" s="5564"/>
      <c r="W114" s="5574"/>
      <c r="X114" s="5574"/>
      <c r="Y114" s="5573"/>
      <c r="Z114" s="5574"/>
      <c r="AA114" s="5564"/>
      <c r="AB114" s="5396"/>
      <c r="AF114" s="5349">
        <f t="shared" ref="AF114:AF177" si="61">S114-P114</f>
        <v>0</v>
      </c>
      <c r="AG114" s="5338">
        <f t="shared" ref="AG114:AG177" si="62">AF114-V114</f>
        <v>0</v>
      </c>
    </row>
    <row r="115" spans="1:33" s="5333" customFormat="1" ht="13.5" hidden="1" customHeight="1">
      <c r="A115" s="5426"/>
      <c r="B115" s="5426"/>
      <c r="C115" s="5426"/>
      <c r="D115" s="5374">
        <v>4</v>
      </c>
      <c r="E115" s="5374">
        <v>1</v>
      </c>
      <c r="F115" s="5374">
        <v>4</v>
      </c>
      <c r="G115" s="5373"/>
      <c r="H115" s="5373"/>
      <c r="I115" s="5633"/>
      <c r="J115" s="5576" t="s">
        <v>71</v>
      </c>
      <c r="K115" s="5571"/>
      <c r="L115" s="5572"/>
      <c r="M115" s="5573">
        <f>M116</f>
        <v>0</v>
      </c>
      <c r="N115" s="5573">
        <f>N116</f>
        <v>2485622.44</v>
      </c>
      <c r="O115" s="5565">
        <f>N115-M115</f>
        <v>2485622.44</v>
      </c>
      <c r="P115" s="5574">
        <f>P116</f>
        <v>0</v>
      </c>
      <c r="Q115" s="5564">
        <f>+P115-N115</f>
        <v>-2485622.44</v>
      </c>
      <c r="R115" s="5574">
        <f>P115/N115*100-100</f>
        <v>-100</v>
      </c>
      <c r="S115" s="5574">
        <f>S116</f>
        <v>0</v>
      </c>
      <c r="T115" s="5565">
        <f>S115-R115</f>
        <v>100</v>
      </c>
      <c r="U115" s="5574">
        <f>U116</f>
        <v>0</v>
      </c>
      <c r="V115" s="5564">
        <f>S115-P115</f>
        <v>0</v>
      </c>
      <c r="W115" s="5574" t="e">
        <f>S115/P115*100-100</f>
        <v>#DIV/0!</v>
      </c>
      <c r="X115" s="5574">
        <f>X116</f>
        <v>0</v>
      </c>
      <c r="Y115" s="5565" t="e">
        <f>X115-W115</f>
        <v>#DIV/0!</v>
      </c>
      <c r="Z115" s="5574">
        <f>Z116</f>
        <v>0</v>
      </c>
      <c r="AA115" s="5564">
        <f>X115-S115</f>
        <v>0</v>
      </c>
      <c r="AB115" s="5396" t="e">
        <f>X115/S115*100-100</f>
        <v>#DIV/0!</v>
      </c>
      <c r="AF115" s="5349">
        <f t="shared" si="61"/>
        <v>0</v>
      </c>
      <c r="AG115" s="5338">
        <f t="shared" si="62"/>
        <v>0</v>
      </c>
    </row>
    <row r="116" spans="1:33" s="5333" customFormat="1" ht="13.5" hidden="1" customHeight="1">
      <c r="A116" s="5426"/>
      <c r="B116" s="5426"/>
      <c r="C116" s="5426"/>
      <c r="D116" s="5367">
        <v>4</v>
      </c>
      <c r="E116" s="5367">
        <v>1</v>
      </c>
      <c r="F116" s="5367">
        <v>4</v>
      </c>
      <c r="G116" s="5367" t="s">
        <v>948</v>
      </c>
      <c r="H116" s="5368"/>
      <c r="I116" s="5632"/>
      <c r="J116" s="5577" t="s">
        <v>85</v>
      </c>
      <c r="K116" s="5571"/>
      <c r="L116" s="5572"/>
      <c r="M116" s="5573">
        <f>M117</f>
        <v>0</v>
      </c>
      <c r="N116" s="5573">
        <f>N117</f>
        <v>2485622.44</v>
      </c>
      <c r="O116" s="5565">
        <f>N116-M116</f>
        <v>2485622.44</v>
      </c>
      <c r="P116" s="5573">
        <f>P117</f>
        <v>0</v>
      </c>
      <c r="Q116" s="5564">
        <f>+P116-N116</f>
        <v>-2485622.44</v>
      </c>
      <c r="R116" s="5574">
        <f>P116/N116*100-100</f>
        <v>-100</v>
      </c>
      <c r="S116" s="5573">
        <f>S117</f>
        <v>0</v>
      </c>
      <c r="T116" s="5565">
        <f>S116-R116</f>
        <v>100</v>
      </c>
      <c r="U116" s="5573">
        <f>U117</f>
        <v>0</v>
      </c>
      <c r="V116" s="5564">
        <f>S116-P116</f>
        <v>0</v>
      </c>
      <c r="W116" s="5574" t="e">
        <f>S116/P116*100-100</f>
        <v>#DIV/0!</v>
      </c>
      <c r="X116" s="5573">
        <f>X117</f>
        <v>0</v>
      </c>
      <c r="Y116" s="5565" t="e">
        <f>X116-W116</f>
        <v>#DIV/0!</v>
      </c>
      <c r="Z116" s="5573">
        <f>Z117</f>
        <v>0</v>
      </c>
      <c r="AA116" s="5564">
        <f>X116-S116</f>
        <v>0</v>
      </c>
      <c r="AB116" s="5396" t="e">
        <f>X116/S116*100-100</f>
        <v>#DIV/0!</v>
      </c>
      <c r="AF116" s="5349">
        <f t="shared" si="61"/>
        <v>0</v>
      </c>
      <c r="AG116" s="5338">
        <f t="shared" si="62"/>
        <v>0</v>
      </c>
    </row>
    <row r="117" spans="1:33" s="5333" customFormat="1" ht="13.5" hidden="1" customHeight="1">
      <c r="A117" s="5426"/>
      <c r="B117" s="5426"/>
      <c r="C117" s="5426"/>
      <c r="D117" s="5364"/>
      <c r="E117" s="5363"/>
      <c r="F117" s="5363"/>
      <c r="G117" s="5399"/>
      <c r="H117" s="5399"/>
      <c r="I117" s="5638"/>
      <c r="J117" s="5578" t="s">
        <v>50</v>
      </c>
      <c r="K117" s="5571" t="s">
        <v>954</v>
      </c>
      <c r="L117" s="5572"/>
      <c r="M117" s="5573">
        <v>0</v>
      </c>
      <c r="N117" s="5579">
        <v>2485622.44</v>
      </c>
      <c r="O117" s="5565">
        <f>N117-M117</f>
        <v>2485622.44</v>
      </c>
      <c r="P117" s="5574">
        <v>0</v>
      </c>
      <c r="Q117" s="5564">
        <f>+P117-N117</f>
        <v>-2485622.44</v>
      </c>
      <c r="R117" s="5574">
        <f>P117/N117*100-100</f>
        <v>-100</v>
      </c>
      <c r="S117" s="5574">
        <v>0</v>
      </c>
      <c r="T117" s="5565">
        <f>S117-R117</f>
        <v>100</v>
      </c>
      <c r="U117" s="5574">
        <v>0</v>
      </c>
      <c r="V117" s="5564">
        <f>S117-P117</f>
        <v>0</v>
      </c>
      <c r="W117" s="5574" t="e">
        <f>S117/P117*100-100</f>
        <v>#DIV/0!</v>
      </c>
      <c r="X117" s="5574">
        <v>0</v>
      </c>
      <c r="Y117" s="5565" t="e">
        <f>X117-W117</f>
        <v>#DIV/0!</v>
      </c>
      <c r="Z117" s="5574">
        <v>0</v>
      </c>
      <c r="AA117" s="5564">
        <f>X117-S117</f>
        <v>0</v>
      </c>
      <c r="AB117" s="5396" t="e">
        <f>X117/S117*100-100</f>
        <v>#DIV/0!</v>
      </c>
      <c r="AF117" s="5349">
        <f t="shared" si="61"/>
        <v>0</v>
      </c>
      <c r="AG117" s="5338">
        <f t="shared" si="62"/>
        <v>0</v>
      </c>
    </row>
    <row r="118" spans="1:33" s="5333" customFormat="1" ht="10.5" customHeight="1">
      <c r="A118" s="5340"/>
      <c r="B118" s="5340"/>
      <c r="C118" s="5340"/>
      <c r="D118" s="5364"/>
      <c r="E118" s="5363"/>
      <c r="F118" s="5363"/>
      <c r="G118" s="5363"/>
      <c r="H118" s="5363"/>
      <c r="I118" s="5635"/>
      <c r="J118" s="5578"/>
      <c r="K118" s="5571"/>
      <c r="L118" s="5572"/>
      <c r="M118" s="5574"/>
      <c r="N118" s="5574"/>
      <c r="O118" s="5580"/>
      <c r="P118" s="5574"/>
      <c r="Q118" s="5580"/>
      <c r="R118" s="5574"/>
      <c r="S118" s="5574"/>
      <c r="T118" s="5580"/>
      <c r="U118" s="5574"/>
      <c r="V118" s="5580"/>
      <c r="W118" s="5574"/>
      <c r="X118" s="5574"/>
      <c r="Y118" s="5580"/>
      <c r="Z118" s="5574"/>
      <c r="AA118" s="5580"/>
      <c r="AB118" s="5396"/>
      <c r="AF118" s="5349">
        <f t="shared" si="61"/>
        <v>0</v>
      </c>
      <c r="AG118" s="5338">
        <f t="shared" si="62"/>
        <v>0</v>
      </c>
    </row>
    <row r="119" spans="1:33" s="5521" customFormat="1" ht="13.5" customHeight="1">
      <c r="A119" s="5464" t="s">
        <v>58</v>
      </c>
      <c r="B119" s="5463" t="s">
        <v>438</v>
      </c>
      <c r="C119" s="5463" t="s">
        <v>438</v>
      </c>
      <c r="D119" s="5393" t="s">
        <v>58</v>
      </c>
      <c r="E119" s="5392" t="s">
        <v>438</v>
      </c>
      <c r="F119" s="5392" t="s">
        <v>438</v>
      </c>
      <c r="G119" s="5392"/>
      <c r="H119" s="5392"/>
      <c r="I119" s="5637" t="s">
        <v>482</v>
      </c>
      <c r="J119" s="5581" t="s">
        <v>1476</v>
      </c>
      <c r="K119" s="5582"/>
      <c r="L119" s="5583"/>
      <c r="M119" s="5601">
        <v>64000000000</v>
      </c>
      <c r="N119" s="5601">
        <f>N121</f>
        <v>105181111701</v>
      </c>
      <c r="O119" s="5601">
        <f>N119-M119</f>
        <v>41181111701</v>
      </c>
      <c r="P119" s="5602">
        <f>P121</f>
        <v>80365000000</v>
      </c>
      <c r="Q119" s="5601">
        <f>+P119-N119</f>
        <v>-24816111701</v>
      </c>
      <c r="R119" s="5602">
        <f>P119/N119*100-100</f>
        <v>-23.593695958971367</v>
      </c>
      <c r="S119" s="5602">
        <f>S121</f>
        <v>125000000000</v>
      </c>
      <c r="T119" s="5601">
        <f>S119-R119</f>
        <v>125000000023.59369</v>
      </c>
      <c r="U119" s="5602">
        <f>U121</f>
        <v>80365000000</v>
      </c>
      <c r="V119" s="5601">
        <f>S119-P119</f>
        <v>44635000000</v>
      </c>
      <c r="W119" s="5602">
        <f>S119/P119*100-100</f>
        <v>55.540347166054858</v>
      </c>
      <c r="X119" s="5602">
        <f>X121</f>
        <v>141100000000</v>
      </c>
      <c r="Y119" s="5601">
        <f>X119-W119</f>
        <v>141099999944.45966</v>
      </c>
      <c r="Z119" s="5602">
        <f>Z121</f>
        <v>80365000000</v>
      </c>
      <c r="AA119" s="5601">
        <f>X119-S119</f>
        <v>16100000000</v>
      </c>
      <c r="AB119" s="5501">
        <f>X119/S119*100-100</f>
        <v>12.879999999999995</v>
      </c>
      <c r="AC119" s="5594" t="s">
        <v>1475</v>
      </c>
      <c r="AD119" s="5594"/>
      <c r="AE119" s="5594"/>
      <c r="AF119" s="5594">
        <f t="shared" si="61"/>
        <v>44635000000</v>
      </c>
      <c r="AG119" s="5595">
        <f t="shared" si="62"/>
        <v>0</v>
      </c>
    </row>
    <row r="120" spans="1:33" s="5333" customFormat="1" ht="7.55" customHeight="1">
      <c r="A120" s="5340"/>
      <c r="B120" s="5340"/>
      <c r="C120" s="5340"/>
      <c r="D120" s="5387"/>
      <c r="E120" s="5386"/>
      <c r="F120" s="5386"/>
      <c r="G120" s="5386"/>
      <c r="H120" s="5386"/>
      <c r="I120" s="5636"/>
      <c r="J120" s="5584"/>
      <c r="K120" s="5585"/>
      <c r="L120" s="5586"/>
      <c r="M120" s="5587"/>
      <c r="N120" s="5587"/>
      <c r="O120" s="5587"/>
      <c r="P120" s="5588"/>
      <c r="Q120" s="5587"/>
      <c r="R120" s="5588"/>
      <c r="S120" s="5588"/>
      <c r="T120" s="5587"/>
      <c r="U120" s="5588"/>
      <c r="V120" s="5587"/>
      <c r="W120" s="5588"/>
      <c r="X120" s="5588"/>
      <c r="Y120" s="5587"/>
      <c r="Z120" s="5588"/>
      <c r="AA120" s="5587"/>
      <c r="AB120" s="5381"/>
      <c r="AC120" s="5349"/>
      <c r="AD120" s="5349"/>
      <c r="AE120" s="5349"/>
      <c r="AF120" s="5349">
        <f t="shared" si="61"/>
        <v>0</v>
      </c>
      <c r="AG120" s="5338">
        <f t="shared" si="62"/>
        <v>0</v>
      </c>
    </row>
    <row r="121" spans="1:33" s="5333" customFormat="1" ht="15.05" customHeight="1">
      <c r="A121" s="5426"/>
      <c r="B121" s="5426"/>
      <c r="C121" s="5426"/>
      <c r="D121" s="5374">
        <v>4</v>
      </c>
      <c r="E121" s="5374">
        <v>1</v>
      </c>
      <c r="F121" s="5367"/>
      <c r="G121" s="5367"/>
      <c r="H121" s="5367"/>
      <c r="I121" s="5631"/>
      <c r="J121" s="5576" t="s">
        <v>180</v>
      </c>
      <c r="K121" s="5589"/>
      <c r="L121" s="5590"/>
      <c r="M121" s="5564">
        <v>64000000000</v>
      </c>
      <c r="N121" s="5564">
        <f>+N122+N147</f>
        <v>105181111701</v>
      </c>
      <c r="O121" s="5564">
        <f>N121-M121</f>
        <v>41181111701</v>
      </c>
      <c r="P121" s="5566">
        <f>+P122+P147</f>
        <v>80365000000</v>
      </c>
      <c r="Q121" s="5564">
        <f>+P121-N121</f>
        <v>-24816111701</v>
      </c>
      <c r="R121" s="5566">
        <f>P121/N121*100-100</f>
        <v>-23.593695958971367</v>
      </c>
      <c r="S121" s="5566">
        <f>+S122+S147</f>
        <v>125000000000</v>
      </c>
      <c r="T121" s="5564">
        <f>S121-R121</f>
        <v>125000000023.59369</v>
      </c>
      <c r="U121" s="5566">
        <f>+U122+U147</f>
        <v>80365000000</v>
      </c>
      <c r="V121" s="5564">
        <f>S121-P121</f>
        <v>44635000000</v>
      </c>
      <c r="W121" s="5566">
        <f t="shared" ref="W121:W145" si="63">S121/P121*100-100</f>
        <v>55.540347166054858</v>
      </c>
      <c r="X121" s="5566">
        <f>+X122+X147</f>
        <v>141100000000</v>
      </c>
      <c r="Y121" s="5564">
        <f>X121-W121</f>
        <v>141099999944.45966</v>
      </c>
      <c r="Z121" s="5566">
        <f>+Z122+Z147</f>
        <v>80365000000</v>
      </c>
      <c r="AA121" s="5564">
        <f t="shared" ref="AA121:AA145" si="64">X121-S121</f>
        <v>16100000000</v>
      </c>
      <c r="AB121" s="5358">
        <f t="shared" ref="AB121:AB145" si="65">X121/S121*100-100</f>
        <v>12.879999999999995</v>
      </c>
      <c r="AC121" s="5349">
        <f>V119+V211</f>
        <v>45635000000</v>
      </c>
      <c r="AD121" s="5349"/>
      <c r="AE121" s="5349"/>
      <c r="AF121" s="5349">
        <f t="shared" si="61"/>
        <v>44635000000</v>
      </c>
      <c r="AG121" s="5338">
        <f t="shared" si="62"/>
        <v>0</v>
      </c>
    </row>
    <row r="122" spans="1:33" s="5333" customFormat="1" ht="12.05" hidden="1" customHeight="1">
      <c r="A122" s="5426"/>
      <c r="B122" s="5426"/>
      <c r="C122" s="5426"/>
      <c r="D122" s="5374">
        <v>4</v>
      </c>
      <c r="E122" s="5374">
        <v>1</v>
      </c>
      <c r="F122" s="5374">
        <v>2</v>
      </c>
      <c r="G122" s="5374"/>
      <c r="H122" s="5374"/>
      <c r="I122" s="5537"/>
      <c r="J122" s="5372" t="s">
        <v>106</v>
      </c>
      <c r="K122" s="5371"/>
      <c r="L122" s="5370"/>
      <c r="M122" s="5357">
        <v>0</v>
      </c>
      <c r="N122" s="5357">
        <f>+N123</f>
        <v>0</v>
      </c>
      <c r="O122" s="5357"/>
      <c r="P122" s="5358">
        <f>+P123</f>
        <v>0</v>
      </c>
      <c r="Q122" s="5357"/>
      <c r="R122" s="5358"/>
      <c r="S122" s="5358">
        <f>+S123</f>
        <v>0</v>
      </c>
      <c r="T122" s="5357"/>
      <c r="U122" s="5358">
        <f>+U123</f>
        <v>0</v>
      </c>
      <c r="V122" s="5357"/>
      <c r="W122" s="5358" t="e">
        <f t="shared" si="63"/>
        <v>#DIV/0!</v>
      </c>
      <c r="X122" s="5358">
        <f>+X123</f>
        <v>0</v>
      </c>
      <c r="Y122" s="5357"/>
      <c r="Z122" s="5358">
        <f>+Z123</f>
        <v>0</v>
      </c>
      <c r="AA122" s="5357">
        <f t="shared" si="64"/>
        <v>0</v>
      </c>
      <c r="AB122" s="5358" t="e">
        <f t="shared" si="65"/>
        <v>#DIV/0!</v>
      </c>
      <c r="AC122" s="5349"/>
      <c r="AD122" s="5349"/>
      <c r="AE122" s="5349"/>
      <c r="AF122" s="5349">
        <f t="shared" si="61"/>
        <v>0</v>
      </c>
      <c r="AG122" s="5338">
        <f t="shared" si="62"/>
        <v>0</v>
      </c>
    </row>
    <row r="123" spans="1:33" s="5333" customFormat="1" ht="12.05" hidden="1" customHeight="1">
      <c r="A123" s="5426"/>
      <c r="B123" s="5426"/>
      <c r="C123" s="5426"/>
      <c r="D123" s="5367">
        <v>4</v>
      </c>
      <c r="E123" s="5367">
        <v>1</v>
      </c>
      <c r="F123" s="5367">
        <v>2</v>
      </c>
      <c r="G123" s="5368" t="s">
        <v>437</v>
      </c>
      <c r="H123" s="5367"/>
      <c r="I123" s="5631"/>
      <c r="J123" s="5366" t="s">
        <v>107</v>
      </c>
      <c r="K123" s="5371"/>
      <c r="L123" s="5370"/>
      <c r="M123" s="5357">
        <v>0</v>
      </c>
      <c r="N123" s="5357">
        <f>+N124</f>
        <v>0</v>
      </c>
      <c r="O123" s="5357"/>
      <c r="P123" s="5358">
        <f>+P124</f>
        <v>0</v>
      </c>
      <c r="Q123" s="5357"/>
      <c r="R123" s="5358"/>
      <c r="S123" s="5358">
        <f>+S124</f>
        <v>0</v>
      </c>
      <c r="T123" s="5357"/>
      <c r="U123" s="5358">
        <f>+U124</f>
        <v>0</v>
      </c>
      <c r="V123" s="5357"/>
      <c r="W123" s="5358" t="e">
        <f t="shared" si="63"/>
        <v>#DIV/0!</v>
      </c>
      <c r="X123" s="5358">
        <f>+X124</f>
        <v>0</v>
      </c>
      <c r="Y123" s="5357"/>
      <c r="Z123" s="5358">
        <f>+Z124</f>
        <v>0</v>
      </c>
      <c r="AA123" s="5357">
        <f t="shared" si="64"/>
        <v>0</v>
      </c>
      <c r="AB123" s="5358" t="e">
        <f t="shared" si="65"/>
        <v>#DIV/0!</v>
      </c>
      <c r="AC123" s="5349"/>
      <c r="AD123" s="5349"/>
      <c r="AE123" s="5349"/>
      <c r="AF123" s="5349">
        <f t="shared" si="61"/>
        <v>0</v>
      </c>
      <c r="AG123" s="5338">
        <f t="shared" si="62"/>
        <v>0</v>
      </c>
    </row>
    <row r="124" spans="1:33" s="5333" customFormat="1" ht="15.85" hidden="1" customHeight="1">
      <c r="A124" s="5426"/>
      <c r="B124" s="5426"/>
      <c r="C124" s="5426"/>
      <c r="D124" s="5367">
        <v>4</v>
      </c>
      <c r="E124" s="5367">
        <v>1</v>
      </c>
      <c r="F124" s="5367">
        <v>2</v>
      </c>
      <c r="G124" s="5368" t="s">
        <v>437</v>
      </c>
      <c r="H124" s="5368" t="s">
        <v>437</v>
      </c>
      <c r="I124" s="5632"/>
      <c r="J124" s="5366" t="s">
        <v>1422</v>
      </c>
      <c r="K124" s="5361"/>
      <c r="L124" s="5365"/>
      <c r="M124" s="5402">
        <v>0</v>
      </c>
      <c r="N124" s="5402">
        <f>SUM(N125:N145)</f>
        <v>0</v>
      </c>
      <c r="O124" s="5402"/>
      <c r="P124" s="5401">
        <f>SUM(P125:P145)</f>
        <v>0</v>
      </c>
      <c r="Q124" s="5357"/>
      <c r="R124" s="5358"/>
      <c r="S124" s="5401">
        <f>SUM(S125:S145)</f>
        <v>0</v>
      </c>
      <c r="T124" s="5402"/>
      <c r="U124" s="5401">
        <f>SUM(U125:U145)</f>
        <v>0</v>
      </c>
      <c r="V124" s="5357"/>
      <c r="W124" s="5358" t="e">
        <f t="shared" si="63"/>
        <v>#DIV/0!</v>
      </c>
      <c r="X124" s="5401">
        <f>SUM(X125:X145)</f>
        <v>0</v>
      </c>
      <c r="Y124" s="5402"/>
      <c r="Z124" s="5401">
        <f>SUM(Z125:Z145)</f>
        <v>0</v>
      </c>
      <c r="AA124" s="5357">
        <f t="shared" si="64"/>
        <v>0</v>
      </c>
      <c r="AB124" s="5358" t="e">
        <f t="shared" si="65"/>
        <v>#DIV/0!</v>
      </c>
      <c r="AC124" s="5349"/>
      <c r="AD124" s="5349"/>
      <c r="AE124" s="5349"/>
      <c r="AF124" s="5349">
        <f t="shared" si="61"/>
        <v>0</v>
      </c>
      <c r="AG124" s="5338">
        <f t="shared" si="62"/>
        <v>0</v>
      </c>
    </row>
    <row r="125" spans="1:33" s="5333" customFormat="1" ht="12.05" hidden="1" customHeight="1">
      <c r="A125" s="5340"/>
      <c r="B125" s="5340"/>
      <c r="C125" s="5340"/>
      <c r="D125" s="5367"/>
      <c r="E125" s="5380"/>
      <c r="F125" s="5380"/>
      <c r="G125" s="5379"/>
      <c r="H125" s="5379"/>
      <c r="I125" s="5495"/>
      <c r="J125" s="5408" t="s">
        <v>50</v>
      </c>
      <c r="K125" s="5361" t="s">
        <v>1474</v>
      </c>
      <c r="L125" s="5365"/>
      <c r="M125" s="5359">
        <v>0</v>
      </c>
      <c r="N125" s="5359">
        <v>0</v>
      </c>
      <c r="O125" s="5359"/>
      <c r="P125" s="5358">
        <v>0</v>
      </c>
      <c r="Q125" s="5357"/>
      <c r="R125" s="5358"/>
      <c r="S125" s="5358">
        <v>0</v>
      </c>
      <c r="T125" s="5359"/>
      <c r="U125" s="5358">
        <v>0</v>
      </c>
      <c r="V125" s="5357"/>
      <c r="W125" s="5358" t="e">
        <f t="shared" si="63"/>
        <v>#DIV/0!</v>
      </c>
      <c r="X125" s="5358">
        <v>0</v>
      </c>
      <c r="Y125" s="5359"/>
      <c r="Z125" s="5358">
        <v>0</v>
      </c>
      <c r="AA125" s="5357">
        <f t="shared" si="64"/>
        <v>0</v>
      </c>
      <c r="AB125" s="5358" t="e">
        <f t="shared" si="65"/>
        <v>#DIV/0!</v>
      </c>
      <c r="AC125" s="5350"/>
      <c r="AD125" s="5350"/>
      <c r="AE125" s="5350"/>
      <c r="AF125" s="5349">
        <f t="shared" si="61"/>
        <v>0</v>
      </c>
      <c r="AG125" s="5338">
        <f t="shared" si="62"/>
        <v>0</v>
      </c>
    </row>
    <row r="126" spans="1:33" s="5333" customFormat="1" ht="12.05" hidden="1" customHeight="1">
      <c r="A126" s="5340"/>
      <c r="B126" s="5340"/>
      <c r="C126" s="5340"/>
      <c r="D126" s="5367"/>
      <c r="E126" s="5380"/>
      <c r="F126" s="5380"/>
      <c r="G126" s="5379"/>
      <c r="H126" s="5379"/>
      <c r="I126" s="5495"/>
      <c r="J126" s="5408" t="s">
        <v>50</v>
      </c>
      <c r="K126" s="5361" t="s">
        <v>1473</v>
      </c>
      <c r="L126" s="5365"/>
      <c r="M126" s="5359">
        <v>0</v>
      </c>
      <c r="N126" s="5359">
        <v>0</v>
      </c>
      <c r="O126" s="5359"/>
      <c r="P126" s="5358">
        <v>0</v>
      </c>
      <c r="Q126" s="5357"/>
      <c r="R126" s="5358"/>
      <c r="S126" s="5358">
        <v>0</v>
      </c>
      <c r="T126" s="5359"/>
      <c r="U126" s="5358">
        <v>0</v>
      </c>
      <c r="V126" s="5357"/>
      <c r="W126" s="5358" t="e">
        <f t="shared" si="63"/>
        <v>#DIV/0!</v>
      </c>
      <c r="X126" s="5358">
        <v>0</v>
      </c>
      <c r="Y126" s="5359"/>
      <c r="Z126" s="5358">
        <v>0</v>
      </c>
      <c r="AA126" s="5357">
        <f t="shared" si="64"/>
        <v>0</v>
      </c>
      <c r="AB126" s="5358" t="e">
        <f t="shared" si="65"/>
        <v>#DIV/0!</v>
      </c>
      <c r="AC126" s="5350"/>
      <c r="AD126" s="5350"/>
      <c r="AE126" s="5350"/>
      <c r="AF126" s="5349">
        <f t="shared" si="61"/>
        <v>0</v>
      </c>
      <c r="AG126" s="5338">
        <f t="shared" si="62"/>
        <v>0</v>
      </c>
    </row>
    <row r="127" spans="1:33" s="5333" customFormat="1" ht="12.05" hidden="1" customHeight="1">
      <c r="A127" s="5340"/>
      <c r="B127" s="5340"/>
      <c r="C127" s="5340"/>
      <c r="D127" s="5367"/>
      <c r="E127" s="5380"/>
      <c r="F127" s="5380"/>
      <c r="G127" s="5379"/>
      <c r="H127" s="5379"/>
      <c r="I127" s="5495"/>
      <c r="J127" s="5408" t="s">
        <v>50</v>
      </c>
      <c r="K127" s="5361" t="s">
        <v>1472</v>
      </c>
      <c r="L127" s="5365"/>
      <c r="M127" s="5359">
        <v>0</v>
      </c>
      <c r="N127" s="5359">
        <v>0</v>
      </c>
      <c r="O127" s="5359"/>
      <c r="P127" s="5358">
        <v>0</v>
      </c>
      <c r="Q127" s="5357"/>
      <c r="R127" s="5358"/>
      <c r="S127" s="5358">
        <v>0</v>
      </c>
      <c r="T127" s="5359"/>
      <c r="U127" s="5358">
        <v>0</v>
      </c>
      <c r="V127" s="5357"/>
      <c r="W127" s="5358" t="e">
        <f t="shared" si="63"/>
        <v>#DIV/0!</v>
      </c>
      <c r="X127" s="5358">
        <v>0</v>
      </c>
      <c r="Y127" s="5359"/>
      <c r="Z127" s="5358">
        <v>0</v>
      </c>
      <c r="AA127" s="5357">
        <f t="shared" si="64"/>
        <v>0</v>
      </c>
      <c r="AB127" s="5358" t="e">
        <f t="shared" si="65"/>
        <v>#DIV/0!</v>
      </c>
      <c r="AC127" s="5350"/>
      <c r="AD127" s="5350"/>
      <c r="AE127" s="5350"/>
      <c r="AF127" s="5349">
        <f t="shared" si="61"/>
        <v>0</v>
      </c>
      <c r="AG127" s="5338">
        <f t="shared" si="62"/>
        <v>0</v>
      </c>
    </row>
    <row r="128" spans="1:33" s="5333" customFormat="1" ht="12.05" hidden="1" customHeight="1">
      <c r="A128" s="5340"/>
      <c r="B128" s="5340"/>
      <c r="C128" s="5340"/>
      <c r="D128" s="5367"/>
      <c r="E128" s="5380"/>
      <c r="F128" s="5380"/>
      <c r="G128" s="5379"/>
      <c r="H128" s="5379"/>
      <c r="I128" s="5495"/>
      <c r="J128" s="5408" t="s">
        <v>50</v>
      </c>
      <c r="K128" s="5361" t="s">
        <v>1471</v>
      </c>
      <c r="L128" s="5365"/>
      <c r="M128" s="5359">
        <v>0</v>
      </c>
      <c r="N128" s="5359">
        <v>0</v>
      </c>
      <c r="O128" s="5359"/>
      <c r="P128" s="5358">
        <v>0</v>
      </c>
      <c r="Q128" s="5357"/>
      <c r="R128" s="5358"/>
      <c r="S128" s="5358">
        <v>0</v>
      </c>
      <c r="T128" s="5359"/>
      <c r="U128" s="5358">
        <v>0</v>
      </c>
      <c r="V128" s="5357"/>
      <c r="W128" s="5358" t="e">
        <f t="shared" si="63"/>
        <v>#DIV/0!</v>
      </c>
      <c r="X128" s="5358">
        <v>0</v>
      </c>
      <c r="Y128" s="5359"/>
      <c r="Z128" s="5358">
        <v>0</v>
      </c>
      <c r="AA128" s="5357">
        <f t="shared" si="64"/>
        <v>0</v>
      </c>
      <c r="AB128" s="5358" t="e">
        <f t="shared" si="65"/>
        <v>#DIV/0!</v>
      </c>
      <c r="AC128" s="5350"/>
      <c r="AD128" s="5350"/>
      <c r="AE128" s="5350"/>
      <c r="AF128" s="5349">
        <f t="shared" si="61"/>
        <v>0</v>
      </c>
      <c r="AG128" s="5338">
        <f t="shared" si="62"/>
        <v>0</v>
      </c>
    </row>
    <row r="129" spans="1:33" s="5333" customFormat="1" ht="12.05" hidden="1" customHeight="1">
      <c r="A129" s="5340"/>
      <c r="B129" s="5340"/>
      <c r="C129" s="5340"/>
      <c r="D129" s="5367"/>
      <c r="E129" s="5380"/>
      <c r="F129" s="5380"/>
      <c r="G129" s="5379"/>
      <c r="H129" s="5379"/>
      <c r="I129" s="5495"/>
      <c r="J129" s="5408" t="s">
        <v>50</v>
      </c>
      <c r="K129" s="5361" t="s">
        <v>1470</v>
      </c>
      <c r="L129" s="5365"/>
      <c r="M129" s="5359">
        <v>0</v>
      </c>
      <c r="N129" s="5359">
        <v>0</v>
      </c>
      <c r="O129" s="5359"/>
      <c r="P129" s="5358">
        <v>0</v>
      </c>
      <c r="Q129" s="5357"/>
      <c r="R129" s="5358"/>
      <c r="S129" s="5358">
        <v>0</v>
      </c>
      <c r="T129" s="5359"/>
      <c r="U129" s="5358">
        <v>0</v>
      </c>
      <c r="V129" s="5357"/>
      <c r="W129" s="5358" t="e">
        <f t="shared" si="63"/>
        <v>#DIV/0!</v>
      </c>
      <c r="X129" s="5358">
        <v>0</v>
      </c>
      <c r="Y129" s="5359"/>
      <c r="Z129" s="5358">
        <v>0</v>
      </c>
      <c r="AA129" s="5357">
        <f t="shared" si="64"/>
        <v>0</v>
      </c>
      <c r="AB129" s="5358" t="e">
        <f t="shared" si="65"/>
        <v>#DIV/0!</v>
      </c>
      <c r="AC129" s="5350"/>
      <c r="AD129" s="5350"/>
      <c r="AE129" s="5350"/>
      <c r="AF129" s="5349">
        <f t="shared" si="61"/>
        <v>0</v>
      </c>
      <c r="AG129" s="5338">
        <f t="shared" si="62"/>
        <v>0</v>
      </c>
    </row>
    <row r="130" spans="1:33" s="5333" customFormat="1" ht="12.05" hidden="1" customHeight="1">
      <c r="A130" s="5340"/>
      <c r="B130" s="5340"/>
      <c r="C130" s="5340"/>
      <c r="D130" s="5367"/>
      <c r="E130" s="5380"/>
      <c r="F130" s="5380"/>
      <c r="G130" s="5379"/>
      <c r="H130" s="5379"/>
      <c r="I130" s="5495"/>
      <c r="J130" s="5408" t="s">
        <v>50</v>
      </c>
      <c r="K130" s="5361" t="s">
        <v>1469</v>
      </c>
      <c r="L130" s="5365"/>
      <c r="M130" s="5359">
        <v>0</v>
      </c>
      <c r="N130" s="5359">
        <v>0</v>
      </c>
      <c r="O130" s="5359"/>
      <c r="P130" s="5358">
        <v>0</v>
      </c>
      <c r="Q130" s="5357"/>
      <c r="R130" s="5358"/>
      <c r="S130" s="5358">
        <v>0</v>
      </c>
      <c r="T130" s="5359"/>
      <c r="U130" s="5358">
        <v>0</v>
      </c>
      <c r="V130" s="5357"/>
      <c r="W130" s="5358" t="e">
        <f t="shared" si="63"/>
        <v>#DIV/0!</v>
      </c>
      <c r="X130" s="5358">
        <v>0</v>
      </c>
      <c r="Y130" s="5359"/>
      <c r="Z130" s="5358">
        <v>0</v>
      </c>
      <c r="AA130" s="5357">
        <f t="shared" si="64"/>
        <v>0</v>
      </c>
      <c r="AB130" s="5358" t="e">
        <f t="shared" si="65"/>
        <v>#DIV/0!</v>
      </c>
      <c r="AC130" s="5350"/>
      <c r="AD130" s="5350"/>
      <c r="AE130" s="5350"/>
      <c r="AF130" s="5349">
        <f t="shared" si="61"/>
        <v>0</v>
      </c>
      <c r="AG130" s="5338">
        <f t="shared" si="62"/>
        <v>0</v>
      </c>
    </row>
    <row r="131" spans="1:33" s="5333" customFormat="1" ht="12.05" hidden="1" customHeight="1">
      <c r="A131" s="5340"/>
      <c r="B131" s="5340"/>
      <c r="C131" s="5340"/>
      <c r="D131" s="5367"/>
      <c r="E131" s="5380"/>
      <c r="F131" s="5380"/>
      <c r="G131" s="5379"/>
      <c r="H131" s="5379"/>
      <c r="I131" s="5495"/>
      <c r="J131" s="5408" t="s">
        <v>50</v>
      </c>
      <c r="K131" s="5361" t="s">
        <v>1468</v>
      </c>
      <c r="L131" s="5365"/>
      <c r="M131" s="5359">
        <v>0</v>
      </c>
      <c r="N131" s="5359">
        <v>0</v>
      </c>
      <c r="O131" s="5359"/>
      <c r="P131" s="5358">
        <v>0</v>
      </c>
      <c r="Q131" s="5357"/>
      <c r="R131" s="5358"/>
      <c r="S131" s="5358">
        <v>0</v>
      </c>
      <c r="T131" s="5359"/>
      <c r="U131" s="5358">
        <v>0</v>
      </c>
      <c r="V131" s="5357"/>
      <c r="W131" s="5358" t="e">
        <f t="shared" si="63"/>
        <v>#DIV/0!</v>
      </c>
      <c r="X131" s="5358">
        <v>0</v>
      </c>
      <c r="Y131" s="5359"/>
      <c r="Z131" s="5358">
        <v>0</v>
      </c>
      <c r="AA131" s="5357">
        <f t="shared" si="64"/>
        <v>0</v>
      </c>
      <c r="AB131" s="5358" t="e">
        <f t="shared" si="65"/>
        <v>#DIV/0!</v>
      </c>
      <c r="AC131" s="5350"/>
      <c r="AD131" s="5350"/>
      <c r="AE131" s="5350"/>
      <c r="AF131" s="5349">
        <f t="shared" si="61"/>
        <v>0</v>
      </c>
      <c r="AG131" s="5338">
        <f t="shared" si="62"/>
        <v>0</v>
      </c>
    </row>
    <row r="132" spans="1:33" s="5333" customFormat="1" ht="12.05" hidden="1" customHeight="1">
      <c r="A132" s="5340"/>
      <c r="B132" s="5340"/>
      <c r="C132" s="5340"/>
      <c r="D132" s="5367"/>
      <c r="E132" s="5380"/>
      <c r="F132" s="5380"/>
      <c r="G132" s="5379"/>
      <c r="H132" s="5379"/>
      <c r="I132" s="5495"/>
      <c r="J132" s="5408" t="s">
        <v>50</v>
      </c>
      <c r="K132" s="5361" t="s">
        <v>1443</v>
      </c>
      <c r="L132" s="5365"/>
      <c r="M132" s="5359">
        <v>0</v>
      </c>
      <c r="N132" s="5359">
        <v>0</v>
      </c>
      <c r="O132" s="5359"/>
      <c r="P132" s="5358">
        <v>0</v>
      </c>
      <c r="Q132" s="5357"/>
      <c r="R132" s="5358"/>
      <c r="S132" s="5358">
        <v>0</v>
      </c>
      <c r="T132" s="5359"/>
      <c r="U132" s="5358">
        <v>0</v>
      </c>
      <c r="V132" s="5357"/>
      <c r="W132" s="5358" t="e">
        <f t="shared" si="63"/>
        <v>#DIV/0!</v>
      </c>
      <c r="X132" s="5358">
        <v>0</v>
      </c>
      <c r="Y132" s="5359"/>
      <c r="Z132" s="5358">
        <v>0</v>
      </c>
      <c r="AA132" s="5357">
        <f t="shared" si="64"/>
        <v>0</v>
      </c>
      <c r="AB132" s="5358" t="e">
        <f t="shared" si="65"/>
        <v>#DIV/0!</v>
      </c>
      <c r="AC132" s="5350"/>
      <c r="AD132" s="5350"/>
      <c r="AE132" s="5350"/>
      <c r="AF132" s="5349">
        <f t="shared" si="61"/>
        <v>0</v>
      </c>
      <c r="AG132" s="5338">
        <f t="shared" si="62"/>
        <v>0</v>
      </c>
    </row>
    <row r="133" spans="1:33" s="5333" customFormat="1" ht="12.05" hidden="1" customHeight="1">
      <c r="A133" s="5340"/>
      <c r="B133" s="5340"/>
      <c r="C133" s="5340"/>
      <c r="D133" s="5367"/>
      <c r="E133" s="5380"/>
      <c r="F133" s="5380"/>
      <c r="G133" s="5379"/>
      <c r="H133" s="5379"/>
      <c r="I133" s="5495"/>
      <c r="J133" s="5408" t="s">
        <v>50</v>
      </c>
      <c r="K133" s="5361" t="s">
        <v>1435</v>
      </c>
      <c r="L133" s="5365"/>
      <c r="M133" s="5359">
        <v>0</v>
      </c>
      <c r="N133" s="5359">
        <v>0</v>
      </c>
      <c r="O133" s="5359"/>
      <c r="P133" s="5358">
        <v>0</v>
      </c>
      <c r="Q133" s="5357"/>
      <c r="R133" s="5358"/>
      <c r="S133" s="5358">
        <v>0</v>
      </c>
      <c r="T133" s="5359"/>
      <c r="U133" s="5358">
        <v>0</v>
      </c>
      <c r="V133" s="5357"/>
      <c r="W133" s="5358" t="e">
        <f t="shared" si="63"/>
        <v>#DIV/0!</v>
      </c>
      <c r="X133" s="5358">
        <v>0</v>
      </c>
      <c r="Y133" s="5359"/>
      <c r="Z133" s="5358">
        <v>0</v>
      </c>
      <c r="AA133" s="5357">
        <f t="shared" si="64"/>
        <v>0</v>
      </c>
      <c r="AB133" s="5358" t="e">
        <f t="shared" si="65"/>
        <v>#DIV/0!</v>
      </c>
      <c r="AC133" s="5350"/>
      <c r="AD133" s="5350"/>
      <c r="AE133" s="5350"/>
      <c r="AF133" s="5349">
        <f t="shared" si="61"/>
        <v>0</v>
      </c>
      <c r="AG133" s="5338">
        <f t="shared" si="62"/>
        <v>0</v>
      </c>
    </row>
    <row r="134" spans="1:33" s="5333" customFormat="1" ht="12.05" hidden="1" customHeight="1">
      <c r="A134" s="5340"/>
      <c r="B134" s="5340"/>
      <c r="C134" s="5340"/>
      <c r="D134" s="5367"/>
      <c r="E134" s="5380"/>
      <c r="F134" s="5380"/>
      <c r="G134" s="5379"/>
      <c r="H134" s="5379"/>
      <c r="I134" s="5495"/>
      <c r="J134" s="5408" t="s">
        <v>50</v>
      </c>
      <c r="K134" s="5361" t="s">
        <v>1467</v>
      </c>
      <c r="L134" s="5365"/>
      <c r="M134" s="5359">
        <v>0</v>
      </c>
      <c r="N134" s="5359">
        <v>0</v>
      </c>
      <c r="O134" s="5359"/>
      <c r="P134" s="5358">
        <v>0</v>
      </c>
      <c r="Q134" s="5357"/>
      <c r="R134" s="5358"/>
      <c r="S134" s="5358">
        <v>0</v>
      </c>
      <c r="T134" s="5359"/>
      <c r="U134" s="5358">
        <v>0</v>
      </c>
      <c r="V134" s="5357"/>
      <c r="W134" s="5358" t="e">
        <f t="shared" si="63"/>
        <v>#DIV/0!</v>
      </c>
      <c r="X134" s="5358">
        <v>0</v>
      </c>
      <c r="Y134" s="5359"/>
      <c r="Z134" s="5358">
        <v>0</v>
      </c>
      <c r="AA134" s="5357">
        <f t="shared" si="64"/>
        <v>0</v>
      </c>
      <c r="AB134" s="5358" t="e">
        <f t="shared" si="65"/>
        <v>#DIV/0!</v>
      </c>
      <c r="AC134" s="5350"/>
      <c r="AD134" s="5350"/>
      <c r="AE134" s="5350"/>
      <c r="AF134" s="5349">
        <f t="shared" si="61"/>
        <v>0</v>
      </c>
      <c r="AG134" s="5338">
        <f t="shared" si="62"/>
        <v>0</v>
      </c>
    </row>
    <row r="135" spans="1:33" s="5333" customFormat="1" ht="12.05" hidden="1" customHeight="1">
      <c r="A135" s="5340"/>
      <c r="B135" s="5340"/>
      <c r="C135" s="5340"/>
      <c r="D135" s="5367"/>
      <c r="E135" s="5380"/>
      <c r="F135" s="5380"/>
      <c r="G135" s="5379"/>
      <c r="H135" s="5379"/>
      <c r="I135" s="5495"/>
      <c r="J135" s="5408" t="s">
        <v>50</v>
      </c>
      <c r="K135" s="5361" t="s">
        <v>1466</v>
      </c>
      <c r="L135" s="5365"/>
      <c r="M135" s="5359">
        <v>0</v>
      </c>
      <c r="N135" s="5359">
        <v>0</v>
      </c>
      <c r="O135" s="5359"/>
      <c r="P135" s="5358">
        <v>0</v>
      </c>
      <c r="Q135" s="5357"/>
      <c r="R135" s="5358"/>
      <c r="S135" s="5358">
        <v>0</v>
      </c>
      <c r="T135" s="5359"/>
      <c r="U135" s="5358">
        <v>0</v>
      </c>
      <c r="V135" s="5357"/>
      <c r="W135" s="5358" t="e">
        <f t="shared" si="63"/>
        <v>#DIV/0!</v>
      </c>
      <c r="X135" s="5358">
        <v>0</v>
      </c>
      <c r="Y135" s="5359"/>
      <c r="Z135" s="5358">
        <v>0</v>
      </c>
      <c r="AA135" s="5357">
        <f t="shared" si="64"/>
        <v>0</v>
      </c>
      <c r="AB135" s="5358" t="e">
        <f t="shared" si="65"/>
        <v>#DIV/0!</v>
      </c>
      <c r="AC135" s="5350"/>
      <c r="AD135" s="5350"/>
      <c r="AE135" s="5350"/>
      <c r="AF135" s="5349">
        <f t="shared" si="61"/>
        <v>0</v>
      </c>
      <c r="AG135" s="5338">
        <f t="shared" si="62"/>
        <v>0</v>
      </c>
    </row>
    <row r="136" spans="1:33" s="5333" customFormat="1" ht="12.05" hidden="1" customHeight="1">
      <c r="A136" s="5340"/>
      <c r="B136" s="5340"/>
      <c r="C136" s="5340"/>
      <c r="D136" s="5367"/>
      <c r="E136" s="5380"/>
      <c r="F136" s="5380"/>
      <c r="G136" s="5379"/>
      <c r="H136" s="5379"/>
      <c r="I136" s="5495"/>
      <c r="J136" s="5408" t="s">
        <v>50</v>
      </c>
      <c r="K136" s="5361" t="s">
        <v>1465</v>
      </c>
      <c r="L136" s="5365"/>
      <c r="M136" s="5359">
        <v>0</v>
      </c>
      <c r="N136" s="5359">
        <v>0</v>
      </c>
      <c r="O136" s="5359"/>
      <c r="P136" s="5358">
        <v>0</v>
      </c>
      <c r="Q136" s="5357"/>
      <c r="R136" s="5358"/>
      <c r="S136" s="5358">
        <v>0</v>
      </c>
      <c r="T136" s="5359"/>
      <c r="U136" s="5358">
        <v>0</v>
      </c>
      <c r="V136" s="5357"/>
      <c r="W136" s="5358" t="e">
        <f t="shared" si="63"/>
        <v>#DIV/0!</v>
      </c>
      <c r="X136" s="5358">
        <v>0</v>
      </c>
      <c r="Y136" s="5359"/>
      <c r="Z136" s="5358">
        <v>0</v>
      </c>
      <c r="AA136" s="5357">
        <f t="shared" si="64"/>
        <v>0</v>
      </c>
      <c r="AB136" s="5358" t="e">
        <f t="shared" si="65"/>
        <v>#DIV/0!</v>
      </c>
      <c r="AC136" s="5350"/>
      <c r="AD136" s="5350"/>
      <c r="AE136" s="5350"/>
      <c r="AF136" s="5349">
        <f t="shared" si="61"/>
        <v>0</v>
      </c>
      <c r="AG136" s="5338">
        <f t="shared" si="62"/>
        <v>0</v>
      </c>
    </row>
    <row r="137" spans="1:33" s="5333" customFormat="1" ht="12.05" hidden="1" customHeight="1">
      <c r="A137" s="5340"/>
      <c r="B137" s="5340"/>
      <c r="C137" s="5340"/>
      <c r="D137" s="5367"/>
      <c r="E137" s="5380"/>
      <c r="F137" s="5380"/>
      <c r="G137" s="5379"/>
      <c r="H137" s="5379"/>
      <c r="I137" s="5495"/>
      <c r="J137" s="5408" t="s">
        <v>50</v>
      </c>
      <c r="K137" s="5361" t="s">
        <v>1464</v>
      </c>
      <c r="L137" s="5365"/>
      <c r="M137" s="5359">
        <v>0</v>
      </c>
      <c r="N137" s="5359">
        <v>0</v>
      </c>
      <c r="O137" s="5359"/>
      <c r="P137" s="5358">
        <v>0</v>
      </c>
      <c r="Q137" s="5357"/>
      <c r="R137" s="5358"/>
      <c r="S137" s="5358">
        <v>0</v>
      </c>
      <c r="T137" s="5359"/>
      <c r="U137" s="5358">
        <v>0</v>
      </c>
      <c r="V137" s="5357"/>
      <c r="W137" s="5358" t="e">
        <f t="shared" si="63"/>
        <v>#DIV/0!</v>
      </c>
      <c r="X137" s="5358">
        <v>0</v>
      </c>
      <c r="Y137" s="5359"/>
      <c r="Z137" s="5358">
        <v>0</v>
      </c>
      <c r="AA137" s="5357">
        <f t="shared" si="64"/>
        <v>0</v>
      </c>
      <c r="AB137" s="5358" t="e">
        <f t="shared" si="65"/>
        <v>#DIV/0!</v>
      </c>
      <c r="AC137" s="5350"/>
      <c r="AD137" s="5350"/>
      <c r="AE137" s="5350"/>
      <c r="AF137" s="5349">
        <f t="shared" si="61"/>
        <v>0</v>
      </c>
      <c r="AG137" s="5338">
        <f t="shared" si="62"/>
        <v>0</v>
      </c>
    </row>
    <row r="138" spans="1:33" s="5333" customFormat="1" ht="12.05" hidden="1" customHeight="1">
      <c r="A138" s="5340"/>
      <c r="B138" s="5340"/>
      <c r="C138" s="5340"/>
      <c r="D138" s="5367"/>
      <c r="E138" s="5380"/>
      <c r="F138" s="5380"/>
      <c r="G138" s="5379"/>
      <c r="H138" s="5379"/>
      <c r="I138" s="5495"/>
      <c r="J138" s="5408" t="s">
        <v>50</v>
      </c>
      <c r="K138" s="5361" t="s">
        <v>1463</v>
      </c>
      <c r="L138" s="5365"/>
      <c r="M138" s="5359">
        <v>0</v>
      </c>
      <c r="N138" s="5359">
        <v>0</v>
      </c>
      <c r="O138" s="5359"/>
      <c r="P138" s="5358">
        <v>0</v>
      </c>
      <c r="Q138" s="5357"/>
      <c r="R138" s="5358"/>
      <c r="S138" s="5358">
        <v>0</v>
      </c>
      <c r="T138" s="5359"/>
      <c r="U138" s="5358">
        <v>0</v>
      </c>
      <c r="V138" s="5357"/>
      <c r="W138" s="5358" t="e">
        <f t="shared" si="63"/>
        <v>#DIV/0!</v>
      </c>
      <c r="X138" s="5358">
        <v>0</v>
      </c>
      <c r="Y138" s="5359"/>
      <c r="Z138" s="5358">
        <v>0</v>
      </c>
      <c r="AA138" s="5357">
        <f t="shared" si="64"/>
        <v>0</v>
      </c>
      <c r="AB138" s="5358" t="e">
        <f t="shared" si="65"/>
        <v>#DIV/0!</v>
      </c>
      <c r="AC138" s="5350"/>
      <c r="AD138" s="5350"/>
      <c r="AE138" s="5350"/>
      <c r="AF138" s="5349">
        <f t="shared" si="61"/>
        <v>0</v>
      </c>
      <c r="AG138" s="5338">
        <f t="shared" si="62"/>
        <v>0</v>
      </c>
    </row>
    <row r="139" spans="1:33" s="5333" customFormat="1" ht="12.05" hidden="1" customHeight="1">
      <c r="A139" s="5340"/>
      <c r="B139" s="5340"/>
      <c r="C139" s="5340"/>
      <c r="D139" s="5367"/>
      <c r="E139" s="5380"/>
      <c r="F139" s="5380"/>
      <c r="G139" s="5379"/>
      <c r="H139" s="5379"/>
      <c r="I139" s="5495"/>
      <c r="J139" s="5408" t="s">
        <v>50</v>
      </c>
      <c r="K139" s="5361" t="s">
        <v>1437</v>
      </c>
      <c r="L139" s="5365"/>
      <c r="M139" s="5359">
        <v>0</v>
      </c>
      <c r="N139" s="5359">
        <v>0</v>
      </c>
      <c r="O139" s="5359"/>
      <c r="P139" s="5358">
        <v>0</v>
      </c>
      <c r="Q139" s="5357"/>
      <c r="R139" s="5358"/>
      <c r="S139" s="5358">
        <v>0</v>
      </c>
      <c r="T139" s="5359"/>
      <c r="U139" s="5358">
        <v>0</v>
      </c>
      <c r="V139" s="5357"/>
      <c r="W139" s="5358" t="e">
        <f t="shared" si="63"/>
        <v>#DIV/0!</v>
      </c>
      <c r="X139" s="5358">
        <v>0</v>
      </c>
      <c r="Y139" s="5359"/>
      <c r="Z139" s="5358">
        <v>0</v>
      </c>
      <c r="AA139" s="5357">
        <f t="shared" si="64"/>
        <v>0</v>
      </c>
      <c r="AB139" s="5358" t="e">
        <f t="shared" si="65"/>
        <v>#DIV/0!</v>
      </c>
      <c r="AC139" s="5350"/>
      <c r="AD139" s="5350"/>
      <c r="AE139" s="5350"/>
      <c r="AF139" s="5349">
        <f t="shared" si="61"/>
        <v>0</v>
      </c>
      <c r="AG139" s="5338">
        <f t="shared" si="62"/>
        <v>0</v>
      </c>
    </row>
    <row r="140" spans="1:33" s="5333" customFormat="1" ht="12.05" hidden="1" customHeight="1">
      <c r="A140" s="5340"/>
      <c r="B140" s="5340"/>
      <c r="C140" s="5340"/>
      <c r="D140" s="5367"/>
      <c r="E140" s="5380"/>
      <c r="F140" s="5380"/>
      <c r="G140" s="5379"/>
      <c r="H140" s="5379"/>
      <c r="I140" s="5495"/>
      <c r="J140" s="5408" t="s">
        <v>50</v>
      </c>
      <c r="K140" s="5361" t="s">
        <v>1462</v>
      </c>
      <c r="L140" s="5365"/>
      <c r="M140" s="5359">
        <v>0</v>
      </c>
      <c r="N140" s="5359">
        <v>0</v>
      </c>
      <c r="O140" s="5359"/>
      <c r="P140" s="5358">
        <v>0</v>
      </c>
      <c r="Q140" s="5357"/>
      <c r="R140" s="5358"/>
      <c r="S140" s="5358">
        <v>0</v>
      </c>
      <c r="T140" s="5359"/>
      <c r="U140" s="5358">
        <v>0</v>
      </c>
      <c r="V140" s="5357"/>
      <c r="W140" s="5358" t="e">
        <f t="shared" si="63"/>
        <v>#DIV/0!</v>
      </c>
      <c r="X140" s="5358">
        <v>0</v>
      </c>
      <c r="Y140" s="5359"/>
      <c r="Z140" s="5358">
        <v>0</v>
      </c>
      <c r="AA140" s="5357">
        <f t="shared" si="64"/>
        <v>0</v>
      </c>
      <c r="AB140" s="5358" t="e">
        <f t="shared" si="65"/>
        <v>#DIV/0!</v>
      </c>
      <c r="AC140" s="5350"/>
      <c r="AD140" s="5350"/>
      <c r="AE140" s="5350"/>
      <c r="AF140" s="5349">
        <f t="shared" si="61"/>
        <v>0</v>
      </c>
      <c r="AG140" s="5338">
        <f t="shared" si="62"/>
        <v>0</v>
      </c>
    </row>
    <row r="141" spans="1:33" s="5333" customFormat="1" ht="12.05" hidden="1" customHeight="1">
      <c r="A141" s="5340"/>
      <c r="B141" s="5340"/>
      <c r="C141" s="5340"/>
      <c r="D141" s="5367"/>
      <c r="E141" s="5380"/>
      <c r="F141" s="5380"/>
      <c r="G141" s="5379"/>
      <c r="H141" s="5379"/>
      <c r="I141" s="5495"/>
      <c r="J141" s="5408" t="s">
        <v>50</v>
      </c>
      <c r="K141" s="5361" t="s">
        <v>1461</v>
      </c>
      <c r="L141" s="5365"/>
      <c r="M141" s="5359">
        <v>0</v>
      </c>
      <c r="N141" s="5359">
        <v>0</v>
      </c>
      <c r="O141" s="5359"/>
      <c r="P141" s="5358">
        <v>0</v>
      </c>
      <c r="Q141" s="5357"/>
      <c r="R141" s="5358"/>
      <c r="S141" s="5358">
        <v>0</v>
      </c>
      <c r="T141" s="5359"/>
      <c r="U141" s="5358">
        <v>0</v>
      </c>
      <c r="V141" s="5357"/>
      <c r="W141" s="5358" t="e">
        <f t="shared" si="63"/>
        <v>#DIV/0!</v>
      </c>
      <c r="X141" s="5358">
        <v>0</v>
      </c>
      <c r="Y141" s="5359"/>
      <c r="Z141" s="5358">
        <v>0</v>
      </c>
      <c r="AA141" s="5357">
        <f t="shared" si="64"/>
        <v>0</v>
      </c>
      <c r="AB141" s="5358" t="e">
        <f t="shared" si="65"/>
        <v>#DIV/0!</v>
      </c>
      <c r="AC141" s="5350"/>
      <c r="AD141" s="5350"/>
      <c r="AE141" s="5350"/>
      <c r="AF141" s="5349">
        <f t="shared" si="61"/>
        <v>0</v>
      </c>
      <c r="AG141" s="5338">
        <f t="shared" si="62"/>
        <v>0</v>
      </c>
    </row>
    <row r="142" spans="1:33" s="5333" customFormat="1" ht="12.05" hidden="1" customHeight="1">
      <c r="A142" s="5340"/>
      <c r="B142" s="5340"/>
      <c r="C142" s="5340"/>
      <c r="D142" s="5367"/>
      <c r="E142" s="5380"/>
      <c r="F142" s="5380"/>
      <c r="G142" s="5379"/>
      <c r="H142" s="5379"/>
      <c r="I142" s="5495"/>
      <c r="J142" s="5408" t="s">
        <v>50</v>
      </c>
      <c r="K142" s="5361" t="s">
        <v>1460</v>
      </c>
      <c r="L142" s="5365"/>
      <c r="M142" s="5359">
        <v>0</v>
      </c>
      <c r="N142" s="5359">
        <v>0</v>
      </c>
      <c r="O142" s="5359"/>
      <c r="P142" s="5358">
        <v>0</v>
      </c>
      <c r="Q142" s="5357"/>
      <c r="R142" s="5358"/>
      <c r="S142" s="5358">
        <v>0</v>
      </c>
      <c r="T142" s="5359"/>
      <c r="U142" s="5358">
        <v>0</v>
      </c>
      <c r="V142" s="5357"/>
      <c r="W142" s="5358" t="e">
        <f t="shared" si="63"/>
        <v>#DIV/0!</v>
      </c>
      <c r="X142" s="5358">
        <v>0</v>
      </c>
      <c r="Y142" s="5359"/>
      <c r="Z142" s="5358">
        <v>0</v>
      </c>
      <c r="AA142" s="5357">
        <f t="shared" si="64"/>
        <v>0</v>
      </c>
      <c r="AB142" s="5358" t="e">
        <f t="shared" si="65"/>
        <v>#DIV/0!</v>
      </c>
      <c r="AC142" s="5350"/>
      <c r="AD142" s="5350"/>
      <c r="AE142" s="5350"/>
      <c r="AF142" s="5349">
        <f t="shared" si="61"/>
        <v>0</v>
      </c>
      <c r="AG142" s="5338">
        <f t="shared" si="62"/>
        <v>0</v>
      </c>
    </row>
    <row r="143" spans="1:33" s="5333" customFormat="1" ht="12.05" hidden="1" customHeight="1">
      <c r="A143" s="5340"/>
      <c r="B143" s="5340"/>
      <c r="C143" s="5340"/>
      <c r="D143" s="5367"/>
      <c r="E143" s="5380"/>
      <c r="F143" s="5380"/>
      <c r="G143" s="5379"/>
      <c r="H143" s="5379"/>
      <c r="I143" s="5495"/>
      <c r="J143" s="5408" t="s">
        <v>50</v>
      </c>
      <c r="K143" s="5361" t="s">
        <v>1459</v>
      </c>
      <c r="L143" s="5365"/>
      <c r="M143" s="5359">
        <v>0</v>
      </c>
      <c r="N143" s="5359">
        <v>0</v>
      </c>
      <c r="O143" s="5359"/>
      <c r="P143" s="5358">
        <v>0</v>
      </c>
      <c r="Q143" s="5357"/>
      <c r="R143" s="5358"/>
      <c r="S143" s="5358">
        <v>0</v>
      </c>
      <c r="T143" s="5359"/>
      <c r="U143" s="5358">
        <v>0</v>
      </c>
      <c r="V143" s="5357"/>
      <c r="W143" s="5358" t="e">
        <f t="shared" si="63"/>
        <v>#DIV/0!</v>
      </c>
      <c r="X143" s="5358">
        <v>0</v>
      </c>
      <c r="Y143" s="5359"/>
      <c r="Z143" s="5358">
        <v>0</v>
      </c>
      <c r="AA143" s="5357">
        <f t="shared" si="64"/>
        <v>0</v>
      </c>
      <c r="AB143" s="5358" t="e">
        <f t="shared" si="65"/>
        <v>#DIV/0!</v>
      </c>
      <c r="AC143" s="5350"/>
      <c r="AD143" s="5350"/>
      <c r="AE143" s="5350"/>
      <c r="AF143" s="5349">
        <f t="shared" si="61"/>
        <v>0</v>
      </c>
      <c r="AG143" s="5338">
        <f t="shared" si="62"/>
        <v>0</v>
      </c>
    </row>
    <row r="144" spans="1:33" s="5333" customFormat="1" ht="12.05" hidden="1" customHeight="1">
      <c r="A144" s="5340"/>
      <c r="B144" s="5340"/>
      <c r="C144" s="5340"/>
      <c r="D144" s="5367"/>
      <c r="E144" s="5380"/>
      <c r="F144" s="5380"/>
      <c r="G144" s="5379"/>
      <c r="H144" s="5379"/>
      <c r="I144" s="5495"/>
      <c r="J144" s="5408" t="s">
        <v>50</v>
      </c>
      <c r="K144" s="5361" t="s">
        <v>1440</v>
      </c>
      <c r="L144" s="5365"/>
      <c r="M144" s="5359">
        <v>0</v>
      </c>
      <c r="N144" s="5359">
        <v>0</v>
      </c>
      <c r="O144" s="5359"/>
      <c r="P144" s="5358">
        <v>0</v>
      </c>
      <c r="Q144" s="5357"/>
      <c r="R144" s="5358"/>
      <c r="S144" s="5358">
        <v>0</v>
      </c>
      <c r="T144" s="5359"/>
      <c r="U144" s="5358">
        <v>0</v>
      </c>
      <c r="V144" s="5357"/>
      <c r="W144" s="5358" t="e">
        <f t="shared" si="63"/>
        <v>#DIV/0!</v>
      </c>
      <c r="X144" s="5358">
        <v>0</v>
      </c>
      <c r="Y144" s="5359"/>
      <c r="Z144" s="5358">
        <v>0</v>
      </c>
      <c r="AA144" s="5357">
        <f t="shared" si="64"/>
        <v>0</v>
      </c>
      <c r="AB144" s="5358" t="e">
        <f t="shared" si="65"/>
        <v>#DIV/0!</v>
      </c>
      <c r="AC144" s="5350"/>
      <c r="AD144" s="5350"/>
      <c r="AE144" s="5350"/>
      <c r="AF144" s="5349">
        <f t="shared" si="61"/>
        <v>0</v>
      </c>
      <c r="AG144" s="5338">
        <f t="shared" si="62"/>
        <v>0</v>
      </c>
    </row>
    <row r="145" spans="1:33" s="5333" customFormat="1" ht="12.05" hidden="1" customHeight="1">
      <c r="A145" s="5340"/>
      <c r="B145" s="5340"/>
      <c r="C145" s="5340"/>
      <c r="D145" s="5367"/>
      <c r="E145" s="5380"/>
      <c r="F145" s="5380"/>
      <c r="G145" s="5379"/>
      <c r="H145" s="5379"/>
      <c r="I145" s="5495"/>
      <c r="J145" s="5408" t="s">
        <v>50</v>
      </c>
      <c r="K145" s="5361" t="s">
        <v>1458</v>
      </c>
      <c r="L145" s="5365"/>
      <c r="M145" s="5359">
        <v>0</v>
      </c>
      <c r="N145" s="5359">
        <v>0</v>
      </c>
      <c r="O145" s="5359"/>
      <c r="P145" s="5358">
        <v>0</v>
      </c>
      <c r="Q145" s="5357"/>
      <c r="R145" s="5358"/>
      <c r="S145" s="5358">
        <v>0</v>
      </c>
      <c r="T145" s="5359"/>
      <c r="U145" s="5358">
        <v>0</v>
      </c>
      <c r="V145" s="5357"/>
      <c r="W145" s="5358" t="e">
        <f t="shared" si="63"/>
        <v>#DIV/0!</v>
      </c>
      <c r="X145" s="5358">
        <v>0</v>
      </c>
      <c r="Y145" s="5359"/>
      <c r="Z145" s="5358">
        <v>0</v>
      </c>
      <c r="AA145" s="5357">
        <f t="shared" si="64"/>
        <v>0</v>
      </c>
      <c r="AB145" s="5358" t="e">
        <f t="shared" si="65"/>
        <v>#DIV/0!</v>
      </c>
      <c r="AC145" s="5350"/>
      <c r="AD145" s="5350"/>
      <c r="AE145" s="5350"/>
      <c r="AF145" s="5349">
        <f t="shared" si="61"/>
        <v>0</v>
      </c>
      <c r="AG145" s="5338">
        <f t="shared" si="62"/>
        <v>0</v>
      </c>
    </row>
    <row r="146" spans="1:33" s="5333" customFormat="1" ht="7.55" hidden="1" customHeight="1">
      <c r="A146" s="5340"/>
      <c r="B146" s="5340"/>
      <c r="C146" s="5340"/>
      <c r="D146" s="5364"/>
      <c r="E146" s="5363"/>
      <c r="F146" s="5363"/>
      <c r="G146" s="5399"/>
      <c r="H146" s="5399"/>
      <c r="I146" s="5638"/>
      <c r="J146" s="5362"/>
      <c r="K146" s="5376"/>
      <c r="L146" s="5375"/>
      <c r="M146" s="5411"/>
      <c r="N146" s="5411"/>
      <c r="O146" s="5411"/>
      <c r="P146" s="5396"/>
      <c r="Q146" s="5357"/>
      <c r="R146" s="5410"/>
      <c r="S146" s="5396"/>
      <c r="T146" s="5411"/>
      <c r="U146" s="5396"/>
      <c r="V146" s="5357"/>
      <c r="W146" s="5410"/>
      <c r="X146" s="5396"/>
      <c r="Y146" s="5411"/>
      <c r="Z146" s="5396"/>
      <c r="AA146" s="5357"/>
      <c r="AB146" s="5410"/>
      <c r="AC146" s="5350"/>
      <c r="AD146" s="5350"/>
      <c r="AE146" s="5350"/>
      <c r="AF146" s="5349">
        <f t="shared" si="61"/>
        <v>0</v>
      </c>
      <c r="AG146" s="5338">
        <f t="shared" si="62"/>
        <v>0</v>
      </c>
    </row>
    <row r="147" spans="1:33" s="5333" customFormat="1" ht="15.05" customHeight="1">
      <c r="A147" s="5426"/>
      <c r="B147" s="5426"/>
      <c r="C147" s="5426"/>
      <c r="D147" s="5374">
        <v>4</v>
      </c>
      <c r="E147" s="5374">
        <v>1</v>
      </c>
      <c r="F147" s="5374">
        <v>4</v>
      </c>
      <c r="G147" s="5373"/>
      <c r="H147" s="5373"/>
      <c r="I147" s="5633"/>
      <c r="J147" s="5372" t="s">
        <v>71</v>
      </c>
      <c r="K147" s="5371"/>
      <c r="L147" s="5370"/>
      <c r="M147" s="5357">
        <v>64000000000</v>
      </c>
      <c r="N147" s="5357">
        <f>+N148</f>
        <v>105181111701</v>
      </c>
      <c r="O147" s="5357">
        <f t="shared" ref="O147:O206" si="66">N147-M147</f>
        <v>41181111701</v>
      </c>
      <c r="P147" s="5358">
        <f>+P148</f>
        <v>80365000000</v>
      </c>
      <c r="Q147" s="5357">
        <f t="shared" ref="Q147:Q206" si="67">+P147-N147</f>
        <v>-24816111701</v>
      </c>
      <c r="R147" s="5358">
        <f t="shared" ref="R147:R205" si="68">P147/N147*100-100</f>
        <v>-23.593695958971367</v>
      </c>
      <c r="S147" s="5358">
        <f>+S148</f>
        <v>125000000000</v>
      </c>
      <c r="T147" s="5357">
        <f t="shared" ref="T147:T206" si="69">S147-R147</f>
        <v>125000000023.59369</v>
      </c>
      <c r="U147" s="5358">
        <f>+U148</f>
        <v>80365000000</v>
      </c>
      <c r="V147" s="5357">
        <f t="shared" ref="V147:V206" si="70">S147-P147</f>
        <v>44635000000</v>
      </c>
      <c r="W147" s="5358">
        <f t="shared" ref="W147:W209" si="71">S147/P147*100-100</f>
        <v>55.540347166054858</v>
      </c>
      <c r="X147" s="5358">
        <f>+X148</f>
        <v>141100000000</v>
      </c>
      <c r="Y147" s="5357">
        <f t="shared" ref="Y147:Y206" si="72">X147-W147</f>
        <v>141099999944.45966</v>
      </c>
      <c r="Z147" s="5358">
        <f>+Z148</f>
        <v>80365000000</v>
      </c>
      <c r="AA147" s="5357">
        <f t="shared" ref="AA147:AA170" si="73">X147-S147</f>
        <v>16100000000</v>
      </c>
      <c r="AB147" s="5358">
        <f t="shared" ref="AB147:AB170" si="74">X147/S147*100-100</f>
        <v>12.879999999999995</v>
      </c>
      <c r="AC147" s="5349"/>
      <c r="AD147" s="5349"/>
      <c r="AE147" s="5349"/>
      <c r="AF147" s="5349">
        <f t="shared" si="61"/>
        <v>44635000000</v>
      </c>
      <c r="AG147" s="5338">
        <f t="shared" si="62"/>
        <v>0</v>
      </c>
    </row>
    <row r="148" spans="1:33" s="5333" customFormat="1" ht="15.05" customHeight="1">
      <c r="A148" s="5426"/>
      <c r="B148" s="5426"/>
      <c r="C148" s="5426"/>
      <c r="D148" s="5367">
        <v>4</v>
      </c>
      <c r="E148" s="5367">
        <v>1</v>
      </c>
      <c r="F148" s="5367">
        <v>4</v>
      </c>
      <c r="G148" s="5367" t="s">
        <v>449</v>
      </c>
      <c r="H148" s="5363"/>
      <c r="I148" s="5635"/>
      <c r="J148" s="5377" t="s">
        <v>89</v>
      </c>
      <c r="K148" s="5376"/>
      <c r="L148" s="5375"/>
      <c r="M148" s="5411">
        <v>64000000000</v>
      </c>
      <c r="N148" s="5411">
        <f>+N149+N208</f>
        <v>105181111701</v>
      </c>
      <c r="O148" s="5411">
        <f t="shared" si="66"/>
        <v>41181111701</v>
      </c>
      <c r="P148" s="5396">
        <f>+P149+P208</f>
        <v>80365000000</v>
      </c>
      <c r="Q148" s="5357">
        <f t="shared" si="67"/>
        <v>-24816111701</v>
      </c>
      <c r="R148" s="5358">
        <f t="shared" si="68"/>
        <v>-23.593695958971367</v>
      </c>
      <c r="S148" s="5396">
        <f>+S149+S208</f>
        <v>125000000000</v>
      </c>
      <c r="T148" s="5411">
        <f t="shared" si="69"/>
        <v>125000000023.59369</v>
      </c>
      <c r="U148" s="5396">
        <f>+U149+U208</f>
        <v>80365000000</v>
      </c>
      <c r="V148" s="5357">
        <f t="shared" si="70"/>
        <v>44635000000</v>
      </c>
      <c r="W148" s="5358">
        <f t="shared" si="71"/>
        <v>55.540347166054858</v>
      </c>
      <c r="X148" s="5396">
        <f>+X149+X208</f>
        <v>141100000000</v>
      </c>
      <c r="Y148" s="5411">
        <f t="shared" si="72"/>
        <v>141099999944.45966</v>
      </c>
      <c r="Z148" s="5396">
        <f>+Z149+Z208</f>
        <v>80365000000</v>
      </c>
      <c r="AA148" s="5357">
        <f t="shared" si="73"/>
        <v>16100000000</v>
      </c>
      <c r="AB148" s="5358">
        <f t="shared" si="74"/>
        <v>12.879999999999995</v>
      </c>
      <c r="AC148" s="5350"/>
      <c r="AD148" s="5350"/>
      <c r="AE148" s="5350"/>
      <c r="AF148" s="5349">
        <f t="shared" si="61"/>
        <v>44635000000</v>
      </c>
      <c r="AG148" s="5338">
        <f t="shared" si="62"/>
        <v>0</v>
      </c>
    </row>
    <row r="149" spans="1:33" s="5333" customFormat="1" ht="15.05" customHeight="1">
      <c r="A149" s="5426"/>
      <c r="B149" s="5426"/>
      <c r="C149" s="5426"/>
      <c r="D149" s="5367">
        <v>4</v>
      </c>
      <c r="E149" s="5367">
        <v>1</v>
      </c>
      <c r="F149" s="5367">
        <v>4</v>
      </c>
      <c r="G149" s="5367" t="s">
        <v>449</v>
      </c>
      <c r="H149" s="5399" t="s">
        <v>437</v>
      </c>
      <c r="I149" s="5638"/>
      <c r="J149" s="5377" t="s">
        <v>97</v>
      </c>
      <c r="K149" s="5376"/>
      <c r="L149" s="5375"/>
      <c r="M149" s="5359">
        <v>64000000000</v>
      </c>
      <c r="N149" s="5359">
        <f>+N172+N193+N196+N200+N203</f>
        <v>75000000000</v>
      </c>
      <c r="O149" s="5359">
        <f t="shared" si="66"/>
        <v>11000000000</v>
      </c>
      <c r="P149" s="5358">
        <f>+P172+P193+P196+P200+P203</f>
        <v>80365000000</v>
      </c>
      <c r="Q149" s="5357">
        <f t="shared" si="67"/>
        <v>5365000000</v>
      </c>
      <c r="R149" s="5358">
        <f t="shared" si="68"/>
        <v>7.1533333333333218</v>
      </c>
      <c r="S149" s="5358">
        <f>'rekap perdinas Kua PPAS'!J108</f>
        <v>125000000000</v>
      </c>
      <c r="T149" s="5359">
        <f t="shared" si="69"/>
        <v>124999999992.84666</v>
      </c>
      <c r="U149" s="5358">
        <f>+U172+U193+U196+U200+U203</f>
        <v>80365000000</v>
      </c>
      <c r="V149" s="5357">
        <f t="shared" si="70"/>
        <v>44635000000</v>
      </c>
      <c r="W149" s="5358">
        <f t="shared" si="71"/>
        <v>55.540347166054858</v>
      </c>
      <c r="X149" s="5566">
        <f>'rekap perdinas Kua PPAS'!N108</f>
        <v>141100000000</v>
      </c>
      <c r="Y149" s="5359">
        <f t="shared" si="72"/>
        <v>141099999944.45966</v>
      </c>
      <c r="Z149" s="5358">
        <f>+Z172+Z193+Z196+Z200+Z203</f>
        <v>80365000000</v>
      </c>
      <c r="AA149" s="5357">
        <f t="shared" si="73"/>
        <v>16100000000</v>
      </c>
      <c r="AB149" s="5358">
        <f t="shared" si="74"/>
        <v>12.879999999999995</v>
      </c>
      <c r="AC149" s="5350"/>
      <c r="AD149" s="5350"/>
      <c r="AE149" s="5350"/>
      <c r="AF149" s="5349">
        <f t="shared" si="61"/>
        <v>44635000000</v>
      </c>
      <c r="AG149" s="5338">
        <f t="shared" si="62"/>
        <v>0</v>
      </c>
    </row>
    <row r="150" spans="1:33" s="5333" customFormat="1" ht="12.05" hidden="1" customHeight="1">
      <c r="A150" s="5340"/>
      <c r="B150" s="5340"/>
      <c r="C150" s="5340"/>
      <c r="D150" s="5364"/>
      <c r="E150" s="5363"/>
      <c r="F150" s="5363"/>
      <c r="G150" s="5399"/>
      <c r="H150" s="5399"/>
      <c r="I150" s="5638"/>
      <c r="J150" s="5408" t="s">
        <v>50</v>
      </c>
      <c r="K150" s="5361" t="s">
        <v>1474</v>
      </c>
      <c r="L150" s="5365"/>
      <c r="M150" s="5359">
        <v>0</v>
      </c>
      <c r="N150" s="5359">
        <v>0</v>
      </c>
      <c r="O150" s="5359">
        <f t="shared" si="66"/>
        <v>0</v>
      </c>
      <c r="P150" s="5358"/>
      <c r="Q150" s="5357">
        <f t="shared" si="67"/>
        <v>0</v>
      </c>
      <c r="R150" s="5358" t="e">
        <f t="shared" si="68"/>
        <v>#DIV/0!</v>
      </c>
      <c r="S150" s="5358"/>
      <c r="T150" s="5359" t="e">
        <f t="shared" si="69"/>
        <v>#DIV/0!</v>
      </c>
      <c r="U150" s="5358"/>
      <c r="V150" s="5357">
        <f t="shared" si="70"/>
        <v>0</v>
      </c>
      <c r="W150" s="5358" t="e">
        <f t="shared" si="71"/>
        <v>#DIV/0!</v>
      </c>
      <c r="X150" s="5358"/>
      <c r="Y150" s="5359" t="e">
        <f t="shared" si="72"/>
        <v>#DIV/0!</v>
      </c>
      <c r="Z150" s="5358"/>
      <c r="AA150" s="5357">
        <f t="shared" si="73"/>
        <v>0</v>
      </c>
      <c r="AB150" s="5358" t="e">
        <f t="shared" si="74"/>
        <v>#DIV/0!</v>
      </c>
      <c r="AC150" s="5350"/>
      <c r="AD150" s="5350"/>
      <c r="AE150" s="5350"/>
      <c r="AF150" s="5349">
        <f t="shared" si="61"/>
        <v>0</v>
      </c>
      <c r="AG150" s="5338">
        <f t="shared" si="62"/>
        <v>0</v>
      </c>
    </row>
    <row r="151" spans="1:33" s="5333" customFormat="1" ht="12.05" hidden="1" customHeight="1">
      <c r="A151" s="5340"/>
      <c r="B151" s="5340"/>
      <c r="C151" s="5340"/>
      <c r="D151" s="5364"/>
      <c r="E151" s="5363"/>
      <c r="F151" s="5363"/>
      <c r="G151" s="5399"/>
      <c r="H151" s="5399"/>
      <c r="I151" s="5638"/>
      <c r="J151" s="5408" t="s">
        <v>50</v>
      </c>
      <c r="K151" s="5361" t="s">
        <v>1473</v>
      </c>
      <c r="L151" s="5365"/>
      <c r="M151" s="5359">
        <v>0</v>
      </c>
      <c r="N151" s="5359">
        <v>0</v>
      </c>
      <c r="O151" s="5359">
        <f t="shared" si="66"/>
        <v>0</v>
      </c>
      <c r="P151" s="5358"/>
      <c r="Q151" s="5357">
        <f t="shared" si="67"/>
        <v>0</v>
      </c>
      <c r="R151" s="5358" t="e">
        <f t="shared" si="68"/>
        <v>#DIV/0!</v>
      </c>
      <c r="S151" s="5358"/>
      <c r="T151" s="5359" t="e">
        <f t="shared" si="69"/>
        <v>#DIV/0!</v>
      </c>
      <c r="U151" s="5358"/>
      <c r="V151" s="5357">
        <f t="shared" si="70"/>
        <v>0</v>
      </c>
      <c r="W151" s="5358" t="e">
        <f t="shared" si="71"/>
        <v>#DIV/0!</v>
      </c>
      <c r="X151" s="5358"/>
      <c r="Y151" s="5359" t="e">
        <f t="shared" si="72"/>
        <v>#DIV/0!</v>
      </c>
      <c r="Z151" s="5358"/>
      <c r="AA151" s="5357">
        <f t="shared" si="73"/>
        <v>0</v>
      </c>
      <c r="AB151" s="5358" t="e">
        <f t="shared" si="74"/>
        <v>#DIV/0!</v>
      </c>
      <c r="AC151" s="5350"/>
      <c r="AD151" s="5350"/>
      <c r="AE151" s="5350"/>
      <c r="AF151" s="5349">
        <f t="shared" si="61"/>
        <v>0</v>
      </c>
      <c r="AG151" s="5338">
        <f t="shared" si="62"/>
        <v>0</v>
      </c>
    </row>
    <row r="152" spans="1:33" s="5333" customFormat="1" ht="12.05" hidden="1" customHeight="1">
      <c r="A152" s="5340"/>
      <c r="B152" s="5340"/>
      <c r="C152" s="5340"/>
      <c r="D152" s="5364"/>
      <c r="E152" s="5363"/>
      <c r="F152" s="5363"/>
      <c r="G152" s="5399"/>
      <c r="H152" s="5399"/>
      <c r="I152" s="5638"/>
      <c r="J152" s="5408" t="s">
        <v>50</v>
      </c>
      <c r="K152" s="5361" t="s">
        <v>1472</v>
      </c>
      <c r="L152" s="5365"/>
      <c r="M152" s="5359">
        <v>0</v>
      </c>
      <c r="N152" s="5359">
        <v>0</v>
      </c>
      <c r="O152" s="5359">
        <f t="shared" si="66"/>
        <v>0</v>
      </c>
      <c r="P152" s="5358"/>
      <c r="Q152" s="5357">
        <f t="shared" si="67"/>
        <v>0</v>
      </c>
      <c r="R152" s="5358" t="e">
        <f t="shared" si="68"/>
        <v>#DIV/0!</v>
      </c>
      <c r="S152" s="5358"/>
      <c r="T152" s="5359" t="e">
        <f t="shared" si="69"/>
        <v>#DIV/0!</v>
      </c>
      <c r="U152" s="5358"/>
      <c r="V152" s="5357">
        <f t="shared" si="70"/>
        <v>0</v>
      </c>
      <c r="W152" s="5358" t="e">
        <f t="shared" si="71"/>
        <v>#DIV/0!</v>
      </c>
      <c r="X152" s="5358"/>
      <c r="Y152" s="5359" t="e">
        <f t="shared" si="72"/>
        <v>#DIV/0!</v>
      </c>
      <c r="Z152" s="5358"/>
      <c r="AA152" s="5357">
        <f t="shared" si="73"/>
        <v>0</v>
      </c>
      <c r="AB152" s="5358" t="e">
        <f t="shared" si="74"/>
        <v>#DIV/0!</v>
      </c>
      <c r="AC152" s="5350"/>
      <c r="AD152" s="5350"/>
      <c r="AE152" s="5350"/>
      <c r="AF152" s="5349">
        <f t="shared" si="61"/>
        <v>0</v>
      </c>
      <c r="AG152" s="5338">
        <f t="shared" si="62"/>
        <v>0</v>
      </c>
    </row>
    <row r="153" spans="1:33" s="5333" customFormat="1" ht="12.05" hidden="1" customHeight="1">
      <c r="A153" s="5340"/>
      <c r="B153" s="5340"/>
      <c r="C153" s="5340"/>
      <c r="D153" s="5364"/>
      <c r="E153" s="5363"/>
      <c r="F153" s="5363"/>
      <c r="G153" s="5399"/>
      <c r="H153" s="5399"/>
      <c r="I153" s="5638"/>
      <c r="J153" s="5408" t="s">
        <v>50</v>
      </c>
      <c r="K153" s="5361" t="s">
        <v>1471</v>
      </c>
      <c r="L153" s="5365"/>
      <c r="M153" s="5359">
        <v>0</v>
      </c>
      <c r="N153" s="5359">
        <v>0</v>
      </c>
      <c r="O153" s="5359">
        <f t="shared" si="66"/>
        <v>0</v>
      </c>
      <c r="P153" s="5358"/>
      <c r="Q153" s="5357">
        <f t="shared" si="67"/>
        <v>0</v>
      </c>
      <c r="R153" s="5358" t="e">
        <f t="shared" si="68"/>
        <v>#DIV/0!</v>
      </c>
      <c r="S153" s="5358"/>
      <c r="T153" s="5359" t="e">
        <f t="shared" si="69"/>
        <v>#DIV/0!</v>
      </c>
      <c r="U153" s="5358"/>
      <c r="V153" s="5357">
        <f t="shared" si="70"/>
        <v>0</v>
      </c>
      <c r="W153" s="5358" t="e">
        <f t="shared" si="71"/>
        <v>#DIV/0!</v>
      </c>
      <c r="X153" s="5358"/>
      <c r="Y153" s="5359" t="e">
        <f t="shared" si="72"/>
        <v>#DIV/0!</v>
      </c>
      <c r="Z153" s="5358"/>
      <c r="AA153" s="5357">
        <f t="shared" si="73"/>
        <v>0</v>
      </c>
      <c r="AB153" s="5358" t="e">
        <f t="shared" si="74"/>
        <v>#DIV/0!</v>
      </c>
      <c r="AC153" s="5350"/>
      <c r="AD153" s="5350"/>
      <c r="AE153" s="5350"/>
      <c r="AF153" s="5349">
        <f t="shared" si="61"/>
        <v>0</v>
      </c>
      <c r="AG153" s="5338">
        <f t="shared" si="62"/>
        <v>0</v>
      </c>
    </row>
    <row r="154" spans="1:33" s="5333" customFormat="1" ht="12.05" hidden="1" customHeight="1">
      <c r="A154" s="5340"/>
      <c r="B154" s="5340"/>
      <c r="C154" s="5340"/>
      <c r="D154" s="5364"/>
      <c r="E154" s="5363"/>
      <c r="F154" s="5363"/>
      <c r="G154" s="5399"/>
      <c r="H154" s="5399"/>
      <c r="I154" s="5638"/>
      <c r="J154" s="5408" t="s">
        <v>50</v>
      </c>
      <c r="K154" s="5361" t="s">
        <v>1470</v>
      </c>
      <c r="L154" s="5365"/>
      <c r="M154" s="5359">
        <v>0</v>
      </c>
      <c r="N154" s="5359">
        <v>0</v>
      </c>
      <c r="O154" s="5359">
        <f t="shared" si="66"/>
        <v>0</v>
      </c>
      <c r="P154" s="5358"/>
      <c r="Q154" s="5357">
        <f t="shared" si="67"/>
        <v>0</v>
      </c>
      <c r="R154" s="5358" t="e">
        <f t="shared" si="68"/>
        <v>#DIV/0!</v>
      </c>
      <c r="S154" s="5358"/>
      <c r="T154" s="5359" t="e">
        <f t="shared" si="69"/>
        <v>#DIV/0!</v>
      </c>
      <c r="U154" s="5358"/>
      <c r="V154" s="5357">
        <f t="shared" si="70"/>
        <v>0</v>
      </c>
      <c r="W154" s="5358" t="e">
        <f t="shared" si="71"/>
        <v>#DIV/0!</v>
      </c>
      <c r="X154" s="5358"/>
      <c r="Y154" s="5359" t="e">
        <f t="shared" si="72"/>
        <v>#DIV/0!</v>
      </c>
      <c r="Z154" s="5358"/>
      <c r="AA154" s="5357">
        <f t="shared" si="73"/>
        <v>0</v>
      </c>
      <c r="AB154" s="5358" t="e">
        <f t="shared" si="74"/>
        <v>#DIV/0!</v>
      </c>
      <c r="AC154" s="5350"/>
      <c r="AD154" s="5350"/>
      <c r="AE154" s="5350"/>
      <c r="AF154" s="5349">
        <f t="shared" si="61"/>
        <v>0</v>
      </c>
      <c r="AG154" s="5338">
        <f t="shared" si="62"/>
        <v>0</v>
      </c>
    </row>
    <row r="155" spans="1:33" s="5333" customFormat="1" ht="12.05" hidden="1" customHeight="1">
      <c r="A155" s="5340"/>
      <c r="B155" s="5340"/>
      <c r="C155" s="5340"/>
      <c r="D155" s="5364"/>
      <c r="E155" s="5363"/>
      <c r="F155" s="5363"/>
      <c r="G155" s="5399"/>
      <c r="H155" s="5399"/>
      <c r="I155" s="5638"/>
      <c r="J155" s="5408" t="s">
        <v>50</v>
      </c>
      <c r="K155" s="5361" t="s">
        <v>1469</v>
      </c>
      <c r="L155" s="5365"/>
      <c r="M155" s="5359">
        <v>0</v>
      </c>
      <c r="N155" s="5359">
        <v>0</v>
      </c>
      <c r="O155" s="5359">
        <f t="shared" si="66"/>
        <v>0</v>
      </c>
      <c r="P155" s="5358"/>
      <c r="Q155" s="5357">
        <f t="shared" si="67"/>
        <v>0</v>
      </c>
      <c r="R155" s="5358" t="e">
        <f t="shared" si="68"/>
        <v>#DIV/0!</v>
      </c>
      <c r="S155" s="5358"/>
      <c r="T155" s="5359" t="e">
        <f t="shared" si="69"/>
        <v>#DIV/0!</v>
      </c>
      <c r="U155" s="5358"/>
      <c r="V155" s="5357">
        <f t="shared" si="70"/>
        <v>0</v>
      </c>
      <c r="W155" s="5358" t="e">
        <f t="shared" si="71"/>
        <v>#DIV/0!</v>
      </c>
      <c r="X155" s="5358"/>
      <c r="Y155" s="5359" t="e">
        <f t="shared" si="72"/>
        <v>#DIV/0!</v>
      </c>
      <c r="Z155" s="5358"/>
      <c r="AA155" s="5357">
        <f t="shared" si="73"/>
        <v>0</v>
      </c>
      <c r="AB155" s="5358" t="e">
        <f t="shared" si="74"/>
        <v>#DIV/0!</v>
      </c>
      <c r="AC155" s="5350"/>
      <c r="AD155" s="5350"/>
      <c r="AE155" s="5350"/>
      <c r="AF155" s="5349">
        <f t="shared" si="61"/>
        <v>0</v>
      </c>
      <c r="AG155" s="5338">
        <f t="shared" si="62"/>
        <v>0</v>
      </c>
    </row>
    <row r="156" spans="1:33" s="5333" customFormat="1" ht="12.05" hidden="1" customHeight="1">
      <c r="A156" s="5340"/>
      <c r="B156" s="5340"/>
      <c r="C156" s="5340"/>
      <c r="D156" s="5364"/>
      <c r="E156" s="5363"/>
      <c r="F156" s="5363"/>
      <c r="G156" s="5399"/>
      <c r="H156" s="5399"/>
      <c r="I156" s="5638"/>
      <c r="J156" s="5408" t="s">
        <v>50</v>
      </c>
      <c r="K156" s="5361" t="s">
        <v>1468</v>
      </c>
      <c r="L156" s="5365"/>
      <c r="M156" s="5359">
        <v>0</v>
      </c>
      <c r="N156" s="5359">
        <v>0</v>
      </c>
      <c r="O156" s="5359">
        <f t="shared" si="66"/>
        <v>0</v>
      </c>
      <c r="P156" s="5358"/>
      <c r="Q156" s="5357">
        <f t="shared" si="67"/>
        <v>0</v>
      </c>
      <c r="R156" s="5358" t="e">
        <f t="shared" si="68"/>
        <v>#DIV/0!</v>
      </c>
      <c r="S156" s="5358"/>
      <c r="T156" s="5359" t="e">
        <f t="shared" si="69"/>
        <v>#DIV/0!</v>
      </c>
      <c r="U156" s="5358"/>
      <c r="V156" s="5357">
        <f t="shared" si="70"/>
        <v>0</v>
      </c>
      <c r="W156" s="5358" t="e">
        <f t="shared" si="71"/>
        <v>#DIV/0!</v>
      </c>
      <c r="X156" s="5358"/>
      <c r="Y156" s="5359" t="e">
        <f t="shared" si="72"/>
        <v>#DIV/0!</v>
      </c>
      <c r="Z156" s="5358"/>
      <c r="AA156" s="5357">
        <f t="shared" si="73"/>
        <v>0</v>
      </c>
      <c r="AB156" s="5358" t="e">
        <f t="shared" si="74"/>
        <v>#DIV/0!</v>
      </c>
      <c r="AC156" s="5350"/>
      <c r="AD156" s="5350"/>
      <c r="AE156" s="5350"/>
      <c r="AF156" s="5349">
        <f t="shared" si="61"/>
        <v>0</v>
      </c>
      <c r="AG156" s="5338">
        <f t="shared" si="62"/>
        <v>0</v>
      </c>
    </row>
    <row r="157" spans="1:33" s="5333" customFormat="1" ht="12.05" hidden="1" customHeight="1">
      <c r="A157" s="5340"/>
      <c r="B157" s="5340"/>
      <c r="C157" s="5340"/>
      <c r="D157" s="5364"/>
      <c r="E157" s="5363"/>
      <c r="F157" s="5363"/>
      <c r="G157" s="5399"/>
      <c r="H157" s="5399"/>
      <c r="I157" s="5638"/>
      <c r="J157" s="5408" t="s">
        <v>50</v>
      </c>
      <c r="K157" s="5361" t="s">
        <v>1443</v>
      </c>
      <c r="L157" s="5365"/>
      <c r="M157" s="5359">
        <v>0</v>
      </c>
      <c r="N157" s="5359">
        <v>0</v>
      </c>
      <c r="O157" s="5359">
        <f t="shared" si="66"/>
        <v>0</v>
      </c>
      <c r="P157" s="5358"/>
      <c r="Q157" s="5357">
        <f t="shared" si="67"/>
        <v>0</v>
      </c>
      <c r="R157" s="5358" t="e">
        <f t="shared" si="68"/>
        <v>#DIV/0!</v>
      </c>
      <c r="S157" s="5358"/>
      <c r="T157" s="5359" t="e">
        <f t="shared" si="69"/>
        <v>#DIV/0!</v>
      </c>
      <c r="U157" s="5358"/>
      <c r="V157" s="5357">
        <f t="shared" si="70"/>
        <v>0</v>
      </c>
      <c r="W157" s="5358" t="e">
        <f t="shared" si="71"/>
        <v>#DIV/0!</v>
      </c>
      <c r="X157" s="5358"/>
      <c r="Y157" s="5359" t="e">
        <f t="shared" si="72"/>
        <v>#DIV/0!</v>
      </c>
      <c r="Z157" s="5358"/>
      <c r="AA157" s="5357">
        <f t="shared" si="73"/>
        <v>0</v>
      </c>
      <c r="AB157" s="5358" t="e">
        <f t="shared" si="74"/>
        <v>#DIV/0!</v>
      </c>
      <c r="AC157" s="5350"/>
      <c r="AD157" s="5350"/>
      <c r="AE157" s="5350"/>
      <c r="AF157" s="5349">
        <f t="shared" si="61"/>
        <v>0</v>
      </c>
      <c r="AG157" s="5338">
        <f t="shared" si="62"/>
        <v>0</v>
      </c>
    </row>
    <row r="158" spans="1:33" s="5333" customFormat="1" ht="12.05" hidden="1" customHeight="1">
      <c r="A158" s="5340"/>
      <c r="B158" s="5340"/>
      <c r="C158" s="5340"/>
      <c r="D158" s="5364"/>
      <c r="E158" s="5363"/>
      <c r="F158" s="5363"/>
      <c r="G158" s="5399"/>
      <c r="H158" s="5399"/>
      <c r="I158" s="5638"/>
      <c r="J158" s="5408" t="s">
        <v>50</v>
      </c>
      <c r="K158" s="5361" t="s">
        <v>1435</v>
      </c>
      <c r="L158" s="5365"/>
      <c r="M158" s="5359">
        <v>0</v>
      </c>
      <c r="N158" s="5359">
        <v>0</v>
      </c>
      <c r="O158" s="5359">
        <f t="shared" si="66"/>
        <v>0</v>
      </c>
      <c r="P158" s="5358"/>
      <c r="Q158" s="5357">
        <f t="shared" si="67"/>
        <v>0</v>
      </c>
      <c r="R158" s="5358" t="e">
        <f t="shared" si="68"/>
        <v>#DIV/0!</v>
      </c>
      <c r="S158" s="5358"/>
      <c r="T158" s="5359" t="e">
        <f t="shared" si="69"/>
        <v>#DIV/0!</v>
      </c>
      <c r="U158" s="5358"/>
      <c r="V158" s="5357">
        <f t="shared" si="70"/>
        <v>0</v>
      </c>
      <c r="W158" s="5358" t="e">
        <f t="shared" si="71"/>
        <v>#DIV/0!</v>
      </c>
      <c r="X158" s="5358"/>
      <c r="Y158" s="5359" t="e">
        <f t="shared" si="72"/>
        <v>#DIV/0!</v>
      </c>
      <c r="Z158" s="5358"/>
      <c r="AA158" s="5357">
        <f t="shared" si="73"/>
        <v>0</v>
      </c>
      <c r="AB158" s="5358" t="e">
        <f t="shared" si="74"/>
        <v>#DIV/0!</v>
      </c>
      <c r="AC158" s="5350"/>
      <c r="AD158" s="5350"/>
      <c r="AE158" s="5350"/>
      <c r="AF158" s="5349">
        <f t="shared" si="61"/>
        <v>0</v>
      </c>
      <c r="AG158" s="5338">
        <f t="shared" si="62"/>
        <v>0</v>
      </c>
    </row>
    <row r="159" spans="1:33" s="5333" customFormat="1" ht="12.05" hidden="1" customHeight="1">
      <c r="A159" s="5340"/>
      <c r="B159" s="5340"/>
      <c r="C159" s="5340"/>
      <c r="D159" s="5364"/>
      <c r="E159" s="5363"/>
      <c r="F159" s="5363"/>
      <c r="G159" s="5399"/>
      <c r="H159" s="5399"/>
      <c r="I159" s="5638"/>
      <c r="J159" s="5408" t="s">
        <v>50</v>
      </c>
      <c r="K159" s="5361" t="s">
        <v>1467</v>
      </c>
      <c r="L159" s="5365"/>
      <c r="M159" s="5359">
        <v>0</v>
      </c>
      <c r="N159" s="5359">
        <v>0</v>
      </c>
      <c r="O159" s="5359">
        <f t="shared" si="66"/>
        <v>0</v>
      </c>
      <c r="P159" s="5358"/>
      <c r="Q159" s="5357">
        <f t="shared" si="67"/>
        <v>0</v>
      </c>
      <c r="R159" s="5358" t="e">
        <f t="shared" si="68"/>
        <v>#DIV/0!</v>
      </c>
      <c r="S159" s="5358"/>
      <c r="T159" s="5359" t="e">
        <f t="shared" si="69"/>
        <v>#DIV/0!</v>
      </c>
      <c r="U159" s="5358"/>
      <c r="V159" s="5357">
        <f t="shared" si="70"/>
        <v>0</v>
      </c>
      <c r="W159" s="5358" t="e">
        <f t="shared" si="71"/>
        <v>#DIV/0!</v>
      </c>
      <c r="X159" s="5358"/>
      <c r="Y159" s="5359" t="e">
        <f t="shared" si="72"/>
        <v>#DIV/0!</v>
      </c>
      <c r="Z159" s="5358"/>
      <c r="AA159" s="5357">
        <f t="shared" si="73"/>
        <v>0</v>
      </c>
      <c r="AB159" s="5358" t="e">
        <f t="shared" si="74"/>
        <v>#DIV/0!</v>
      </c>
      <c r="AC159" s="5350"/>
      <c r="AD159" s="5350"/>
      <c r="AE159" s="5350"/>
      <c r="AF159" s="5349">
        <f t="shared" si="61"/>
        <v>0</v>
      </c>
      <c r="AG159" s="5338">
        <f t="shared" si="62"/>
        <v>0</v>
      </c>
    </row>
    <row r="160" spans="1:33" s="5333" customFormat="1" ht="12.05" hidden="1" customHeight="1">
      <c r="A160" s="5340"/>
      <c r="B160" s="5340"/>
      <c r="C160" s="5340"/>
      <c r="D160" s="5364"/>
      <c r="E160" s="5363"/>
      <c r="F160" s="5363"/>
      <c r="G160" s="5399"/>
      <c r="H160" s="5399"/>
      <c r="I160" s="5638"/>
      <c r="J160" s="5408" t="s">
        <v>50</v>
      </c>
      <c r="K160" s="5361" t="s">
        <v>1466</v>
      </c>
      <c r="L160" s="5365"/>
      <c r="M160" s="5359">
        <v>0</v>
      </c>
      <c r="N160" s="5359">
        <v>0</v>
      </c>
      <c r="O160" s="5359">
        <f t="shared" si="66"/>
        <v>0</v>
      </c>
      <c r="P160" s="5358"/>
      <c r="Q160" s="5357">
        <f t="shared" si="67"/>
        <v>0</v>
      </c>
      <c r="R160" s="5358" t="e">
        <f t="shared" si="68"/>
        <v>#DIV/0!</v>
      </c>
      <c r="S160" s="5358"/>
      <c r="T160" s="5359" t="e">
        <f t="shared" si="69"/>
        <v>#DIV/0!</v>
      </c>
      <c r="U160" s="5358"/>
      <c r="V160" s="5357">
        <f t="shared" si="70"/>
        <v>0</v>
      </c>
      <c r="W160" s="5358" t="e">
        <f t="shared" si="71"/>
        <v>#DIV/0!</v>
      </c>
      <c r="X160" s="5358"/>
      <c r="Y160" s="5359" t="e">
        <f t="shared" si="72"/>
        <v>#DIV/0!</v>
      </c>
      <c r="Z160" s="5358"/>
      <c r="AA160" s="5357">
        <f t="shared" si="73"/>
        <v>0</v>
      </c>
      <c r="AB160" s="5358" t="e">
        <f t="shared" si="74"/>
        <v>#DIV/0!</v>
      </c>
      <c r="AC160" s="5350"/>
      <c r="AD160" s="5350"/>
      <c r="AE160" s="5350"/>
      <c r="AF160" s="5349">
        <f t="shared" si="61"/>
        <v>0</v>
      </c>
      <c r="AG160" s="5338">
        <f t="shared" si="62"/>
        <v>0</v>
      </c>
    </row>
    <row r="161" spans="1:33" s="5333" customFormat="1" ht="12.05" hidden="1" customHeight="1">
      <c r="A161" s="5340"/>
      <c r="B161" s="5340"/>
      <c r="C161" s="5340"/>
      <c r="D161" s="5364"/>
      <c r="E161" s="5363"/>
      <c r="F161" s="5363"/>
      <c r="G161" s="5399"/>
      <c r="H161" s="5399"/>
      <c r="I161" s="5638"/>
      <c r="J161" s="5408" t="s">
        <v>50</v>
      </c>
      <c r="K161" s="5361" t="s">
        <v>1465</v>
      </c>
      <c r="L161" s="5365"/>
      <c r="M161" s="5359">
        <v>0</v>
      </c>
      <c r="N161" s="5359">
        <v>0</v>
      </c>
      <c r="O161" s="5359">
        <f t="shared" si="66"/>
        <v>0</v>
      </c>
      <c r="P161" s="5358"/>
      <c r="Q161" s="5357">
        <f t="shared" si="67"/>
        <v>0</v>
      </c>
      <c r="R161" s="5358" t="e">
        <f t="shared" si="68"/>
        <v>#DIV/0!</v>
      </c>
      <c r="S161" s="5358"/>
      <c r="T161" s="5359" t="e">
        <f t="shared" si="69"/>
        <v>#DIV/0!</v>
      </c>
      <c r="U161" s="5358"/>
      <c r="V161" s="5357">
        <f t="shared" si="70"/>
        <v>0</v>
      </c>
      <c r="W161" s="5358" t="e">
        <f t="shared" si="71"/>
        <v>#DIV/0!</v>
      </c>
      <c r="X161" s="5358"/>
      <c r="Y161" s="5359" t="e">
        <f t="shared" si="72"/>
        <v>#DIV/0!</v>
      </c>
      <c r="Z161" s="5358"/>
      <c r="AA161" s="5357">
        <f t="shared" si="73"/>
        <v>0</v>
      </c>
      <c r="AB161" s="5358" t="e">
        <f t="shared" si="74"/>
        <v>#DIV/0!</v>
      </c>
      <c r="AC161" s="5350"/>
      <c r="AD161" s="5350"/>
      <c r="AE161" s="5350"/>
      <c r="AF161" s="5349">
        <f t="shared" si="61"/>
        <v>0</v>
      </c>
      <c r="AG161" s="5338">
        <f t="shared" si="62"/>
        <v>0</v>
      </c>
    </row>
    <row r="162" spans="1:33" s="5333" customFormat="1" ht="12.05" hidden="1" customHeight="1">
      <c r="A162" s="5340"/>
      <c r="B162" s="5340"/>
      <c r="C162" s="5340"/>
      <c r="D162" s="5364"/>
      <c r="E162" s="5363"/>
      <c r="F162" s="5363"/>
      <c r="G162" s="5399"/>
      <c r="H162" s="5399"/>
      <c r="I162" s="5638"/>
      <c r="J162" s="5408" t="s">
        <v>50</v>
      </c>
      <c r="K162" s="5361" t="s">
        <v>1464</v>
      </c>
      <c r="L162" s="5365"/>
      <c r="M162" s="5359">
        <v>0</v>
      </c>
      <c r="N162" s="5359">
        <v>0</v>
      </c>
      <c r="O162" s="5359">
        <f t="shared" si="66"/>
        <v>0</v>
      </c>
      <c r="P162" s="5358"/>
      <c r="Q162" s="5357">
        <f t="shared" si="67"/>
        <v>0</v>
      </c>
      <c r="R162" s="5358" t="e">
        <f t="shared" si="68"/>
        <v>#DIV/0!</v>
      </c>
      <c r="S162" s="5358"/>
      <c r="T162" s="5359" t="e">
        <f t="shared" si="69"/>
        <v>#DIV/0!</v>
      </c>
      <c r="U162" s="5358"/>
      <c r="V162" s="5357">
        <f t="shared" si="70"/>
        <v>0</v>
      </c>
      <c r="W162" s="5358" t="e">
        <f t="shared" si="71"/>
        <v>#DIV/0!</v>
      </c>
      <c r="X162" s="5358"/>
      <c r="Y162" s="5359" t="e">
        <f t="shared" si="72"/>
        <v>#DIV/0!</v>
      </c>
      <c r="Z162" s="5358"/>
      <c r="AA162" s="5357">
        <f t="shared" si="73"/>
        <v>0</v>
      </c>
      <c r="AB162" s="5358" t="e">
        <f t="shared" si="74"/>
        <v>#DIV/0!</v>
      </c>
      <c r="AC162" s="5350"/>
      <c r="AD162" s="5350"/>
      <c r="AE162" s="5350"/>
      <c r="AF162" s="5349">
        <f t="shared" si="61"/>
        <v>0</v>
      </c>
      <c r="AG162" s="5338">
        <f t="shared" si="62"/>
        <v>0</v>
      </c>
    </row>
    <row r="163" spans="1:33" s="5333" customFormat="1" ht="12.05" hidden="1" customHeight="1">
      <c r="A163" s="5340"/>
      <c r="B163" s="5340"/>
      <c r="C163" s="5340"/>
      <c r="D163" s="5364"/>
      <c r="E163" s="5363"/>
      <c r="F163" s="5363"/>
      <c r="G163" s="5399"/>
      <c r="H163" s="5399"/>
      <c r="I163" s="5638"/>
      <c r="J163" s="5408" t="s">
        <v>50</v>
      </c>
      <c r="K163" s="5361" t="s">
        <v>1463</v>
      </c>
      <c r="L163" s="5365"/>
      <c r="M163" s="5359">
        <v>0</v>
      </c>
      <c r="N163" s="5359">
        <v>0</v>
      </c>
      <c r="O163" s="5359">
        <f t="shared" si="66"/>
        <v>0</v>
      </c>
      <c r="P163" s="5358"/>
      <c r="Q163" s="5357">
        <f t="shared" si="67"/>
        <v>0</v>
      </c>
      <c r="R163" s="5358" t="e">
        <f t="shared" si="68"/>
        <v>#DIV/0!</v>
      </c>
      <c r="S163" s="5358"/>
      <c r="T163" s="5359" t="e">
        <f t="shared" si="69"/>
        <v>#DIV/0!</v>
      </c>
      <c r="U163" s="5358"/>
      <c r="V163" s="5357">
        <f t="shared" si="70"/>
        <v>0</v>
      </c>
      <c r="W163" s="5358" t="e">
        <f t="shared" si="71"/>
        <v>#DIV/0!</v>
      </c>
      <c r="X163" s="5358"/>
      <c r="Y163" s="5359" t="e">
        <f t="shared" si="72"/>
        <v>#DIV/0!</v>
      </c>
      <c r="Z163" s="5358"/>
      <c r="AA163" s="5357">
        <f t="shared" si="73"/>
        <v>0</v>
      </c>
      <c r="AB163" s="5358" t="e">
        <f t="shared" si="74"/>
        <v>#DIV/0!</v>
      </c>
      <c r="AC163" s="5350"/>
      <c r="AD163" s="5350"/>
      <c r="AE163" s="5350"/>
      <c r="AF163" s="5349">
        <f t="shared" si="61"/>
        <v>0</v>
      </c>
      <c r="AG163" s="5338">
        <f t="shared" si="62"/>
        <v>0</v>
      </c>
    </row>
    <row r="164" spans="1:33" s="5333" customFormat="1" ht="12.05" hidden="1" customHeight="1">
      <c r="A164" s="5340"/>
      <c r="B164" s="5340"/>
      <c r="C164" s="5340"/>
      <c r="D164" s="5364"/>
      <c r="E164" s="5363"/>
      <c r="F164" s="5363"/>
      <c r="G164" s="5399"/>
      <c r="H164" s="5399"/>
      <c r="I164" s="5638"/>
      <c r="J164" s="5408" t="s">
        <v>50</v>
      </c>
      <c r="K164" s="5361" t="s">
        <v>1437</v>
      </c>
      <c r="L164" s="5365"/>
      <c r="M164" s="5359">
        <v>0</v>
      </c>
      <c r="N164" s="5359">
        <v>0</v>
      </c>
      <c r="O164" s="5359">
        <f t="shared" si="66"/>
        <v>0</v>
      </c>
      <c r="P164" s="5358"/>
      <c r="Q164" s="5357">
        <f t="shared" si="67"/>
        <v>0</v>
      </c>
      <c r="R164" s="5358" t="e">
        <f t="shared" si="68"/>
        <v>#DIV/0!</v>
      </c>
      <c r="S164" s="5358"/>
      <c r="T164" s="5359" t="e">
        <f t="shared" si="69"/>
        <v>#DIV/0!</v>
      </c>
      <c r="U164" s="5358"/>
      <c r="V164" s="5357">
        <f t="shared" si="70"/>
        <v>0</v>
      </c>
      <c r="W164" s="5358" t="e">
        <f t="shared" si="71"/>
        <v>#DIV/0!</v>
      </c>
      <c r="X164" s="5358"/>
      <c r="Y164" s="5359" t="e">
        <f t="shared" si="72"/>
        <v>#DIV/0!</v>
      </c>
      <c r="Z164" s="5358"/>
      <c r="AA164" s="5357">
        <f t="shared" si="73"/>
        <v>0</v>
      </c>
      <c r="AB164" s="5358" t="e">
        <f t="shared" si="74"/>
        <v>#DIV/0!</v>
      </c>
      <c r="AC164" s="5350"/>
      <c r="AD164" s="5350"/>
      <c r="AE164" s="5350"/>
      <c r="AF164" s="5349">
        <f t="shared" si="61"/>
        <v>0</v>
      </c>
      <c r="AG164" s="5338">
        <f t="shared" si="62"/>
        <v>0</v>
      </c>
    </row>
    <row r="165" spans="1:33" s="5333" customFormat="1" ht="12.05" hidden="1" customHeight="1">
      <c r="A165" s="5340"/>
      <c r="B165" s="5340"/>
      <c r="C165" s="5340"/>
      <c r="D165" s="5364"/>
      <c r="E165" s="5363"/>
      <c r="F165" s="5363"/>
      <c r="G165" s="5399"/>
      <c r="H165" s="5399"/>
      <c r="I165" s="5638"/>
      <c r="J165" s="5408" t="s">
        <v>50</v>
      </c>
      <c r="K165" s="5361" t="s">
        <v>1462</v>
      </c>
      <c r="L165" s="5365"/>
      <c r="M165" s="5359">
        <v>0</v>
      </c>
      <c r="N165" s="5359">
        <v>0</v>
      </c>
      <c r="O165" s="5359">
        <f t="shared" si="66"/>
        <v>0</v>
      </c>
      <c r="P165" s="5358"/>
      <c r="Q165" s="5357">
        <f t="shared" si="67"/>
        <v>0</v>
      </c>
      <c r="R165" s="5358" t="e">
        <f t="shared" si="68"/>
        <v>#DIV/0!</v>
      </c>
      <c r="S165" s="5358"/>
      <c r="T165" s="5359" t="e">
        <f t="shared" si="69"/>
        <v>#DIV/0!</v>
      </c>
      <c r="U165" s="5358"/>
      <c r="V165" s="5357">
        <f t="shared" si="70"/>
        <v>0</v>
      </c>
      <c r="W165" s="5358" t="e">
        <f t="shared" si="71"/>
        <v>#DIV/0!</v>
      </c>
      <c r="X165" s="5358"/>
      <c r="Y165" s="5359" t="e">
        <f t="shared" si="72"/>
        <v>#DIV/0!</v>
      </c>
      <c r="Z165" s="5358"/>
      <c r="AA165" s="5357">
        <f t="shared" si="73"/>
        <v>0</v>
      </c>
      <c r="AB165" s="5358" t="e">
        <f t="shared" si="74"/>
        <v>#DIV/0!</v>
      </c>
      <c r="AC165" s="5350"/>
      <c r="AD165" s="5350"/>
      <c r="AE165" s="5350"/>
      <c r="AF165" s="5349">
        <f t="shared" si="61"/>
        <v>0</v>
      </c>
      <c r="AG165" s="5338">
        <f t="shared" si="62"/>
        <v>0</v>
      </c>
    </row>
    <row r="166" spans="1:33" s="5333" customFormat="1" ht="12.05" hidden="1" customHeight="1">
      <c r="A166" s="5340"/>
      <c r="B166" s="5340"/>
      <c r="C166" s="5340"/>
      <c r="D166" s="5364"/>
      <c r="E166" s="5363"/>
      <c r="F166" s="5363"/>
      <c r="G166" s="5399"/>
      <c r="H166" s="5399"/>
      <c r="I166" s="5638"/>
      <c r="J166" s="5408" t="s">
        <v>50</v>
      </c>
      <c r="K166" s="5361" t="s">
        <v>1461</v>
      </c>
      <c r="L166" s="5365"/>
      <c r="M166" s="5359">
        <v>0</v>
      </c>
      <c r="N166" s="5359">
        <v>0</v>
      </c>
      <c r="O166" s="5359">
        <f t="shared" si="66"/>
        <v>0</v>
      </c>
      <c r="P166" s="5358"/>
      <c r="Q166" s="5357">
        <f t="shared" si="67"/>
        <v>0</v>
      </c>
      <c r="R166" s="5358" t="e">
        <f t="shared" si="68"/>
        <v>#DIV/0!</v>
      </c>
      <c r="S166" s="5358"/>
      <c r="T166" s="5359" t="e">
        <f t="shared" si="69"/>
        <v>#DIV/0!</v>
      </c>
      <c r="U166" s="5358"/>
      <c r="V166" s="5357">
        <f t="shared" si="70"/>
        <v>0</v>
      </c>
      <c r="W166" s="5358" t="e">
        <f t="shared" si="71"/>
        <v>#DIV/0!</v>
      </c>
      <c r="X166" s="5358"/>
      <c r="Y166" s="5359" t="e">
        <f t="shared" si="72"/>
        <v>#DIV/0!</v>
      </c>
      <c r="Z166" s="5358"/>
      <c r="AA166" s="5357">
        <f t="shared" si="73"/>
        <v>0</v>
      </c>
      <c r="AB166" s="5358" t="e">
        <f t="shared" si="74"/>
        <v>#DIV/0!</v>
      </c>
      <c r="AC166" s="5350"/>
      <c r="AD166" s="5350"/>
      <c r="AE166" s="5350"/>
      <c r="AF166" s="5349">
        <f t="shared" si="61"/>
        <v>0</v>
      </c>
      <c r="AG166" s="5338">
        <f t="shared" si="62"/>
        <v>0</v>
      </c>
    </row>
    <row r="167" spans="1:33" s="5333" customFormat="1" ht="12.05" hidden="1" customHeight="1">
      <c r="A167" s="5340"/>
      <c r="B167" s="5340"/>
      <c r="C167" s="5340"/>
      <c r="D167" s="5364"/>
      <c r="E167" s="5363"/>
      <c r="F167" s="5363"/>
      <c r="G167" s="5399"/>
      <c r="H167" s="5399"/>
      <c r="I167" s="5638"/>
      <c r="J167" s="5408" t="s">
        <v>50</v>
      </c>
      <c r="K167" s="5361" t="s">
        <v>1460</v>
      </c>
      <c r="L167" s="5365"/>
      <c r="M167" s="5359">
        <v>0</v>
      </c>
      <c r="N167" s="5359">
        <v>0</v>
      </c>
      <c r="O167" s="5359">
        <f t="shared" si="66"/>
        <v>0</v>
      </c>
      <c r="P167" s="5358"/>
      <c r="Q167" s="5357">
        <f t="shared" si="67"/>
        <v>0</v>
      </c>
      <c r="R167" s="5358" t="e">
        <f t="shared" si="68"/>
        <v>#DIV/0!</v>
      </c>
      <c r="S167" s="5358"/>
      <c r="T167" s="5359" t="e">
        <f t="shared" si="69"/>
        <v>#DIV/0!</v>
      </c>
      <c r="U167" s="5358"/>
      <c r="V167" s="5357">
        <f t="shared" si="70"/>
        <v>0</v>
      </c>
      <c r="W167" s="5358" t="e">
        <f t="shared" si="71"/>
        <v>#DIV/0!</v>
      </c>
      <c r="X167" s="5358"/>
      <c r="Y167" s="5359" t="e">
        <f t="shared" si="72"/>
        <v>#DIV/0!</v>
      </c>
      <c r="Z167" s="5358"/>
      <c r="AA167" s="5357">
        <f t="shared" si="73"/>
        <v>0</v>
      </c>
      <c r="AB167" s="5358" t="e">
        <f t="shared" si="74"/>
        <v>#DIV/0!</v>
      </c>
      <c r="AC167" s="5350"/>
      <c r="AD167" s="5350"/>
      <c r="AE167" s="5350"/>
      <c r="AF167" s="5349">
        <f t="shared" si="61"/>
        <v>0</v>
      </c>
      <c r="AG167" s="5338">
        <f t="shared" si="62"/>
        <v>0</v>
      </c>
    </row>
    <row r="168" spans="1:33" s="5333" customFormat="1" ht="12.05" hidden="1" customHeight="1">
      <c r="A168" s="5340"/>
      <c r="B168" s="5340"/>
      <c r="C168" s="5340"/>
      <c r="D168" s="5364"/>
      <c r="E168" s="5363"/>
      <c r="F168" s="5363"/>
      <c r="G168" s="5399"/>
      <c r="H168" s="5399"/>
      <c r="I168" s="5638"/>
      <c r="J168" s="5408" t="s">
        <v>50</v>
      </c>
      <c r="K168" s="5361" t="s">
        <v>1459</v>
      </c>
      <c r="L168" s="5365"/>
      <c r="M168" s="5359">
        <v>0</v>
      </c>
      <c r="N168" s="5359">
        <v>0</v>
      </c>
      <c r="O168" s="5359">
        <f t="shared" si="66"/>
        <v>0</v>
      </c>
      <c r="P168" s="5358"/>
      <c r="Q168" s="5357">
        <f t="shared" si="67"/>
        <v>0</v>
      </c>
      <c r="R168" s="5358" t="e">
        <f t="shared" si="68"/>
        <v>#DIV/0!</v>
      </c>
      <c r="S168" s="5358"/>
      <c r="T168" s="5359" t="e">
        <f t="shared" si="69"/>
        <v>#DIV/0!</v>
      </c>
      <c r="U168" s="5358"/>
      <c r="V168" s="5357">
        <f t="shared" si="70"/>
        <v>0</v>
      </c>
      <c r="W168" s="5358" t="e">
        <f t="shared" si="71"/>
        <v>#DIV/0!</v>
      </c>
      <c r="X168" s="5358"/>
      <c r="Y168" s="5359" t="e">
        <f t="shared" si="72"/>
        <v>#DIV/0!</v>
      </c>
      <c r="Z168" s="5358"/>
      <c r="AA168" s="5357">
        <f t="shared" si="73"/>
        <v>0</v>
      </c>
      <c r="AB168" s="5358" t="e">
        <f t="shared" si="74"/>
        <v>#DIV/0!</v>
      </c>
      <c r="AC168" s="5350"/>
      <c r="AD168" s="5350"/>
      <c r="AE168" s="5350"/>
      <c r="AF168" s="5349">
        <f t="shared" si="61"/>
        <v>0</v>
      </c>
      <c r="AG168" s="5338">
        <f t="shared" si="62"/>
        <v>0</v>
      </c>
    </row>
    <row r="169" spans="1:33" s="5333" customFormat="1" ht="12.05" hidden="1" customHeight="1">
      <c r="A169" s="5340"/>
      <c r="B169" s="5340"/>
      <c r="C169" s="5340"/>
      <c r="D169" s="5364"/>
      <c r="E169" s="5363"/>
      <c r="F169" s="5363"/>
      <c r="G169" s="5399"/>
      <c r="H169" s="5399"/>
      <c r="I169" s="5638"/>
      <c r="J169" s="5408" t="s">
        <v>50</v>
      </c>
      <c r="K169" s="5361" t="s">
        <v>1440</v>
      </c>
      <c r="L169" s="5365"/>
      <c r="M169" s="5359">
        <v>0</v>
      </c>
      <c r="N169" s="5359">
        <v>0</v>
      </c>
      <c r="O169" s="5359">
        <f t="shared" si="66"/>
        <v>0</v>
      </c>
      <c r="P169" s="5358"/>
      <c r="Q169" s="5357">
        <f t="shared" si="67"/>
        <v>0</v>
      </c>
      <c r="R169" s="5358" t="e">
        <f t="shared" si="68"/>
        <v>#DIV/0!</v>
      </c>
      <c r="S169" s="5358"/>
      <c r="T169" s="5359" t="e">
        <f t="shared" si="69"/>
        <v>#DIV/0!</v>
      </c>
      <c r="U169" s="5358"/>
      <c r="V169" s="5357">
        <f t="shared" si="70"/>
        <v>0</v>
      </c>
      <c r="W169" s="5358" t="e">
        <f t="shared" si="71"/>
        <v>#DIV/0!</v>
      </c>
      <c r="X169" s="5358"/>
      <c r="Y169" s="5359" t="e">
        <f t="shared" si="72"/>
        <v>#DIV/0!</v>
      </c>
      <c r="Z169" s="5358"/>
      <c r="AA169" s="5357">
        <f t="shared" si="73"/>
        <v>0</v>
      </c>
      <c r="AB169" s="5358" t="e">
        <f t="shared" si="74"/>
        <v>#DIV/0!</v>
      </c>
      <c r="AC169" s="5350"/>
      <c r="AD169" s="5350"/>
      <c r="AE169" s="5350"/>
      <c r="AF169" s="5349">
        <f t="shared" si="61"/>
        <v>0</v>
      </c>
      <c r="AG169" s="5338">
        <f t="shared" si="62"/>
        <v>0</v>
      </c>
    </row>
    <row r="170" spans="1:33" s="5333" customFormat="1" ht="12.05" hidden="1" customHeight="1">
      <c r="A170" s="5340"/>
      <c r="B170" s="5340"/>
      <c r="C170" s="5340"/>
      <c r="D170" s="5364"/>
      <c r="E170" s="5363"/>
      <c r="F170" s="5363"/>
      <c r="G170" s="5399"/>
      <c r="H170" s="5399"/>
      <c r="I170" s="5638"/>
      <c r="J170" s="5408" t="s">
        <v>50</v>
      </c>
      <c r="K170" s="5361" t="s">
        <v>1458</v>
      </c>
      <c r="L170" s="5365"/>
      <c r="M170" s="5359">
        <v>0</v>
      </c>
      <c r="N170" s="5359">
        <v>0</v>
      </c>
      <c r="O170" s="5359">
        <f t="shared" si="66"/>
        <v>0</v>
      </c>
      <c r="P170" s="5358"/>
      <c r="Q170" s="5357">
        <f t="shared" si="67"/>
        <v>0</v>
      </c>
      <c r="R170" s="5358" t="e">
        <f t="shared" si="68"/>
        <v>#DIV/0!</v>
      </c>
      <c r="S170" s="5358"/>
      <c r="T170" s="5359" t="e">
        <f t="shared" si="69"/>
        <v>#DIV/0!</v>
      </c>
      <c r="U170" s="5358"/>
      <c r="V170" s="5357">
        <f t="shared" si="70"/>
        <v>0</v>
      </c>
      <c r="W170" s="5358" t="e">
        <f t="shared" si="71"/>
        <v>#DIV/0!</v>
      </c>
      <c r="X170" s="5358"/>
      <c r="Y170" s="5359" t="e">
        <f t="shared" si="72"/>
        <v>#DIV/0!</v>
      </c>
      <c r="Z170" s="5358"/>
      <c r="AA170" s="5357">
        <f t="shared" si="73"/>
        <v>0</v>
      </c>
      <c r="AB170" s="5358" t="e">
        <f t="shared" si="74"/>
        <v>#DIV/0!</v>
      </c>
      <c r="AC170" s="5350"/>
      <c r="AD170" s="5350"/>
      <c r="AE170" s="5350"/>
      <c r="AF170" s="5349">
        <f t="shared" si="61"/>
        <v>0</v>
      </c>
      <c r="AG170" s="5338">
        <f t="shared" si="62"/>
        <v>0</v>
      </c>
    </row>
    <row r="171" spans="1:33" s="5333" customFormat="1" ht="12.05" hidden="1" customHeight="1">
      <c r="A171" s="5340"/>
      <c r="B171" s="5340"/>
      <c r="C171" s="5340"/>
      <c r="D171" s="5364"/>
      <c r="E171" s="5363"/>
      <c r="F171" s="5363"/>
      <c r="G171" s="5399"/>
      <c r="H171" s="5399"/>
      <c r="I171" s="5638"/>
      <c r="J171" s="5362"/>
      <c r="K171" s="5376"/>
      <c r="L171" s="5375"/>
      <c r="M171" s="5411"/>
      <c r="N171" s="5411"/>
      <c r="O171" s="5411">
        <f t="shared" si="66"/>
        <v>0</v>
      </c>
      <c r="P171" s="5396"/>
      <c r="Q171" s="5357">
        <f t="shared" si="67"/>
        <v>0</v>
      </c>
      <c r="R171" s="5358" t="e">
        <f t="shared" si="68"/>
        <v>#DIV/0!</v>
      </c>
      <c r="S171" s="5396"/>
      <c r="T171" s="5411" t="e">
        <f t="shared" si="69"/>
        <v>#DIV/0!</v>
      </c>
      <c r="U171" s="5396"/>
      <c r="V171" s="5357">
        <f t="shared" si="70"/>
        <v>0</v>
      </c>
      <c r="W171" s="5358" t="e">
        <f t="shared" si="71"/>
        <v>#DIV/0!</v>
      </c>
      <c r="X171" s="5396"/>
      <c r="Y171" s="5411" t="e">
        <f t="shared" si="72"/>
        <v>#DIV/0!</v>
      </c>
      <c r="Z171" s="5396"/>
      <c r="AA171" s="5357"/>
      <c r="AB171" s="5358"/>
      <c r="AC171" s="5350"/>
      <c r="AD171" s="5350"/>
      <c r="AE171" s="5350"/>
      <c r="AF171" s="5349">
        <f t="shared" si="61"/>
        <v>0</v>
      </c>
      <c r="AG171" s="5338">
        <f t="shared" si="62"/>
        <v>0</v>
      </c>
    </row>
    <row r="172" spans="1:33" s="5333" customFormat="1" ht="12.05" hidden="1" customHeight="1">
      <c r="A172" s="5340"/>
      <c r="B172" s="5340"/>
      <c r="C172" s="5340"/>
      <c r="D172" s="5367">
        <v>4</v>
      </c>
      <c r="E172" s="5367">
        <v>1</v>
      </c>
      <c r="F172" s="5367">
        <v>4</v>
      </c>
      <c r="G172" s="5367" t="s">
        <v>449</v>
      </c>
      <c r="H172" s="5399" t="s">
        <v>437</v>
      </c>
      <c r="I172" s="5638"/>
      <c r="J172" s="5377" t="s">
        <v>1457</v>
      </c>
      <c r="K172" s="5376"/>
      <c r="L172" s="5375"/>
      <c r="M172" s="5411">
        <v>9272989000</v>
      </c>
      <c r="N172" s="5411">
        <f>SUM(N173:N192)</f>
        <v>9563717700</v>
      </c>
      <c r="O172" s="5359">
        <f t="shared" si="66"/>
        <v>290728700</v>
      </c>
      <c r="P172" s="5358">
        <f>SUM(P173:P192)</f>
        <v>10520086950</v>
      </c>
      <c r="Q172" s="5357">
        <f t="shared" si="67"/>
        <v>956369250</v>
      </c>
      <c r="R172" s="5358">
        <f t="shared" si="68"/>
        <v>9.9999736504142049</v>
      </c>
      <c r="S172" s="5358">
        <f>SUM(S173:S192)</f>
        <v>10520086950</v>
      </c>
      <c r="T172" s="5359">
        <f t="shared" si="69"/>
        <v>10520086940.000027</v>
      </c>
      <c r="U172" s="5358">
        <f>SUM(U173:U192)</f>
        <v>10520086950</v>
      </c>
      <c r="V172" s="5357">
        <f t="shared" si="70"/>
        <v>0</v>
      </c>
      <c r="W172" s="5358">
        <f t="shared" si="71"/>
        <v>0</v>
      </c>
      <c r="X172" s="5358">
        <f>SUM(X173:X192)</f>
        <v>10520086950</v>
      </c>
      <c r="Y172" s="5359">
        <f t="shared" si="72"/>
        <v>10520086950</v>
      </c>
      <c r="Z172" s="5358">
        <f>SUM(Z173:Z192)</f>
        <v>10520086950</v>
      </c>
      <c r="AA172" s="5357">
        <f t="shared" ref="AA172:AA209" si="75">X172-S172</f>
        <v>0</v>
      </c>
      <c r="AB172" s="5358">
        <f t="shared" ref="AB172:AB209" si="76">X172/S172*100-100</f>
        <v>0</v>
      </c>
      <c r="AC172" s="5350"/>
      <c r="AD172" s="5350"/>
      <c r="AE172" s="5350"/>
      <c r="AF172" s="5349">
        <f t="shared" si="61"/>
        <v>0</v>
      </c>
      <c r="AG172" s="5338">
        <f t="shared" si="62"/>
        <v>0</v>
      </c>
    </row>
    <row r="173" spans="1:33" s="5333" customFormat="1" ht="12.05" hidden="1" customHeight="1">
      <c r="A173" s="5340"/>
      <c r="B173" s="5340"/>
      <c r="C173" s="5340"/>
      <c r="D173" s="5364"/>
      <c r="E173" s="5363"/>
      <c r="F173" s="5363"/>
      <c r="G173" s="5399"/>
      <c r="H173" s="5399"/>
      <c r="I173" s="5638"/>
      <c r="J173" s="5408" t="s">
        <v>50</v>
      </c>
      <c r="K173" s="5376" t="s">
        <v>1456</v>
      </c>
      <c r="L173" s="5375"/>
      <c r="M173" s="5411">
        <v>989137600</v>
      </c>
      <c r="N173" s="5411">
        <v>989137600</v>
      </c>
      <c r="O173" s="5359">
        <f t="shared" si="66"/>
        <v>0</v>
      </c>
      <c r="P173" s="5358">
        <v>1088050600</v>
      </c>
      <c r="Q173" s="5357">
        <f t="shared" si="67"/>
        <v>98913000</v>
      </c>
      <c r="R173" s="5358">
        <f t="shared" si="68"/>
        <v>9.9999231653917491</v>
      </c>
      <c r="S173" s="5358">
        <v>1088050600</v>
      </c>
      <c r="T173" s="5359">
        <f t="shared" si="69"/>
        <v>1088050590.0000768</v>
      </c>
      <c r="U173" s="5358">
        <v>1088050600</v>
      </c>
      <c r="V173" s="5357">
        <f t="shared" si="70"/>
        <v>0</v>
      </c>
      <c r="W173" s="5358">
        <f t="shared" si="71"/>
        <v>0</v>
      </c>
      <c r="X173" s="5358">
        <v>1088050600</v>
      </c>
      <c r="Y173" s="5359">
        <f t="shared" si="72"/>
        <v>1088050600</v>
      </c>
      <c r="Z173" s="5358">
        <v>1088050600</v>
      </c>
      <c r="AA173" s="5357">
        <f t="shared" si="75"/>
        <v>0</v>
      </c>
      <c r="AB173" s="5358">
        <f t="shared" si="76"/>
        <v>0</v>
      </c>
      <c r="AC173" s="5350"/>
      <c r="AD173" s="5350"/>
      <c r="AE173" s="5350"/>
      <c r="AF173" s="5349">
        <f t="shared" si="61"/>
        <v>0</v>
      </c>
      <c r="AG173" s="5338">
        <f t="shared" si="62"/>
        <v>0</v>
      </c>
    </row>
    <row r="174" spans="1:33" s="5333" customFormat="1" ht="12.05" hidden="1" customHeight="1">
      <c r="A174" s="5340"/>
      <c r="B174" s="5340"/>
      <c r="C174" s="5340"/>
      <c r="D174" s="5364"/>
      <c r="E174" s="5363"/>
      <c r="F174" s="5363"/>
      <c r="G174" s="5399"/>
      <c r="H174" s="5399"/>
      <c r="I174" s="5638"/>
      <c r="J174" s="5408" t="s">
        <v>50</v>
      </c>
      <c r="K174" s="5376" t="s">
        <v>1455</v>
      </c>
      <c r="L174" s="5375"/>
      <c r="M174" s="5411">
        <v>561982300</v>
      </c>
      <c r="N174" s="5411">
        <v>561982300</v>
      </c>
      <c r="O174" s="5359">
        <f t="shared" si="66"/>
        <v>0</v>
      </c>
      <c r="P174" s="5358">
        <v>618180500</v>
      </c>
      <c r="Q174" s="5357">
        <f t="shared" si="67"/>
        <v>56198200</v>
      </c>
      <c r="R174" s="5358">
        <f t="shared" si="68"/>
        <v>9.9999946617535898</v>
      </c>
      <c r="S174" s="5358">
        <v>618180500</v>
      </c>
      <c r="T174" s="5359">
        <f t="shared" si="69"/>
        <v>618180490.00000536</v>
      </c>
      <c r="U174" s="5358">
        <v>618180500</v>
      </c>
      <c r="V174" s="5357">
        <f t="shared" si="70"/>
        <v>0</v>
      </c>
      <c r="W174" s="5358">
        <f t="shared" si="71"/>
        <v>0</v>
      </c>
      <c r="X174" s="5358">
        <v>618180500</v>
      </c>
      <c r="Y174" s="5359">
        <f t="shared" si="72"/>
        <v>618180500</v>
      </c>
      <c r="Z174" s="5358">
        <v>618180500</v>
      </c>
      <c r="AA174" s="5357">
        <f t="shared" si="75"/>
        <v>0</v>
      </c>
      <c r="AB174" s="5358">
        <f t="shared" si="76"/>
        <v>0</v>
      </c>
      <c r="AC174" s="5350"/>
      <c r="AD174" s="5350"/>
      <c r="AE174" s="5350"/>
      <c r="AF174" s="5349">
        <f t="shared" si="61"/>
        <v>0</v>
      </c>
      <c r="AG174" s="5338">
        <f t="shared" si="62"/>
        <v>0</v>
      </c>
    </row>
    <row r="175" spans="1:33" s="5333" customFormat="1" ht="12.05" hidden="1" customHeight="1">
      <c r="A175" s="5340"/>
      <c r="B175" s="5340"/>
      <c r="C175" s="5340"/>
      <c r="D175" s="5364"/>
      <c r="E175" s="5363"/>
      <c r="F175" s="5363"/>
      <c r="G175" s="5399"/>
      <c r="H175" s="5399"/>
      <c r="I175" s="5638"/>
      <c r="J175" s="5408" t="s">
        <v>50</v>
      </c>
      <c r="K175" s="5376" t="s">
        <v>1454</v>
      </c>
      <c r="L175" s="5375"/>
      <c r="M175" s="5411">
        <v>2370907250</v>
      </c>
      <c r="N175" s="5411">
        <v>2370907250</v>
      </c>
      <c r="O175" s="5359">
        <f t="shared" si="66"/>
        <v>0</v>
      </c>
      <c r="P175" s="5358">
        <v>2607997975</v>
      </c>
      <c r="Q175" s="5357">
        <f t="shared" si="67"/>
        <v>237090725</v>
      </c>
      <c r="R175" s="5358">
        <f t="shared" si="68"/>
        <v>10.000000000000014</v>
      </c>
      <c r="S175" s="5358">
        <v>2607997975</v>
      </c>
      <c r="T175" s="5359">
        <f t="shared" si="69"/>
        <v>2607997965</v>
      </c>
      <c r="U175" s="5358">
        <v>2607997975</v>
      </c>
      <c r="V175" s="5357">
        <f t="shared" si="70"/>
        <v>0</v>
      </c>
      <c r="W175" s="5358">
        <f t="shared" si="71"/>
        <v>0</v>
      </c>
      <c r="X175" s="5358">
        <v>2607997975</v>
      </c>
      <c r="Y175" s="5359">
        <f t="shared" si="72"/>
        <v>2607997975</v>
      </c>
      <c r="Z175" s="5358">
        <v>2607997975</v>
      </c>
      <c r="AA175" s="5357">
        <f t="shared" si="75"/>
        <v>0</v>
      </c>
      <c r="AB175" s="5358">
        <f t="shared" si="76"/>
        <v>0</v>
      </c>
      <c r="AC175" s="5350"/>
      <c r="AD175" s="5350"/>
      <c r="AE175" s="5350"/>
      <c r="AF175" s="5349">
        <f t="shared" si="61"/>
        <v>0</v>
      </c>
      <c r="AG175" s="5338">
        <f t="shared" si="62"/>
        <v>0</v>
      </c>
    </row>
    <row r="176" spans="1:33" s="5333" customFormat="1" ht="12.05" hidden="1" customHeight="1">
      <c r="A176" s="5340"/>
      <c r="B176" s="5340"/>
      <c r="C176" s="5340"/>
      <c r="D176" s="5364"/>
      <c r="E176" s="5363"/>
      <c r="F176" s="5363"/>
      <c r="G176" s="5399"/>
      <c r="H176" s="5399"/>
      <c r="I176" s="5638"/>
      <c r="J176" s="5408" t="s">
        <v>50</v>
      </c>
      <c r="K176" s="5376" t="s">
        <v>1453</v>
      </c>
      <c r="L176" s="5375"/>
      <c r="M176" s="5411">
        <v>371427000</v>
      </c>
      <c r="N176" s="5411">
        <v>477444200</v>
      </c>
      <c r="O176" s="5359">
        <f t="shared" si="66"/>
        <v>106017200</v>
      </c>
      <c r="P176" s="5358">
        <v>525188600</v>
      </c>
      <c r="Q176" s="5357">
        <f t="shared" si="67"/>
        <v>47744400</v>
      </c>
      <c r="R176" s="5358">
        <f t="shared" si="68"/>
        <v>9.9999958110288105</v>
      </c>
      <c r="S176" s="5358">
        <v>525188600</v>
      </c>
      <c r="T176" s="5359">
        <f t="shared" si="69"/>
        <v>525188590.00000417</v>
      </c>
      <c r="U176" s="5358">
        <v>525188600</v>
      </c>
      <c r="V176" s="5357">
        <f t="shared" si="70"/>
        <v>0</v>
      </c>
      <c r="W176" s="5358">
        <f t="shared" si="71"/>
        <v>0</v>
      </c>
      <c r="X176" s="5358">
        <v>525188600</v>
      </c>
      <c r="Y176" s="5359">
        <f t="shared" si="72"/>
        <v>525188600</v>
      </c>
      <c r="Z176" s="5358">
        <v>525188600</v>
      </c>
      <c r="AA176" s="5357">
        <f t="shared" si="75"/>
        <v>0</v>
      </c>
      <c r="AB176" s="5358">
        <f t="shared" si="76"/>
        <v>0</v>
      </c>
      <c r="AC176" s="5350"/>
      <c r="AD176" s="5350"/>
      <c r="AE176" s="5350"/>
      <c r="AF176" s="5349">
        <f t="shared" si="61"/>
        <v>0</v>
      </c>
      <c r="AG176" s="5338">
        <f t="shared" si="62"/>
        <v>0</v>
      </c>
    </row>
    <row r="177" spans="1:33" s="5333" customFormat="1" ht="12.05" hidden="1" customHeight="1">
      <c r="A177" s="5340"/>
      <c r="B177" s="5340"/>
      <c r="C177" s="5340"/>
      <c r="D177" s="5364"/>
      <c r="E177" s="5363"/>
      <c r="F177" s="5363"/>
      <c r="G177" s="5399"/>
      <c r="H177" s="5399"/>
      <c r="I177" s="5638"/>
      <c r="J177" s="5408" t="s">
        <v>50</v>
      </c>
      <c r="K177" s="5376" t="s">
        <v>1452</v>
      </c>
      <c r="L177" s="5375"/>
      <c r="M177" s="5411">
        <v>1515011700</v>
      </c>
      <c r="N177" s="5411">
        <v>1515011700</v>
      </c>
      <c r="O177" s="5359">
        <f t="shared" si="66"/>
        <v>0</v>
      </c>
      <c r="P177" s="5358">
        <v>1666512800</v>
      </c>
      <c r="Q177" s="5357">
        <f t="shared" si="67"/>
        <v>151501100</v>
      </c>
      <c r="R177" s="5358">
        <f t="shared" si="68"/>
        <v>9.9999953795736332</v>
      </c>
      <c r="S177" s="5358">
        <v>1666512800</v>
      </c>
      <c r="T177" s="5359">
        <f t="shared" si="69"/>
        <v>1666512790.0000045</v>
      </c>
      <c r="U177" s="5358">
        <v>1666512800</v>
      </c>
      <c r="V177" s="5357">
        <f t="shared" si="70"/>
        <v>0</v>
      </c>
      <c r="W177" s="5358">
        <f t="shared" si="71"/>
        <v>0</v>
      </c>
      <c r="X177" s="5358">
        <v>1666512800</v>
      </c>
      <c r="Y177" s="5359">
        <f t="shared" si="72"/>
        <v>1666512800</v>
      </c>
      <c r="Z177" s="5358">
        <v>1666512800</v>
      </c>
      <c r="AA177" s="5357">
        <f t="shared" si="75"/>
        <v>0</v>
      </c>
      <c r="AB177" s="5358">
        <f t="shared" si="76"/>
        <v>0</v>
      </c>
      <c r="AC177" s="5350"/>
      <c r="AD177" s="5350"/>
      <c r="AE177" s="5350"/>
      <c r="AF177" s="5349">
        <f t="shared" si="61"/>
        <v>0</v>
      </c>
      <c r="AG177" s="5338">
        <f t="shared" si="62"/>
        <v>0</v>
      </c>
    </row>
    <row r="178" spans="1:33" s="5333" customFormat="1" ht="12.05" hidden="1" customHeight="1">
      <c r="A178" s="5340"/>
      <c r="B178" s="5340"/>
      <c r="C178" s="5340"/>
      <c r="D178" s="5364"/>
      <c r="E178" s="5363"/>
      <c r="F178" s="5363"/>
      <c r="G178" s="5399"/>
      <c r="H178" s="5399"/>
      <c r="I178" s="5638"/>
      <c r="J178" s="5408" t="s">
        <v>50</v>
      </c>
      <c r="K178" s="5376" t="s">
        <v>1451</v>
      </c>
      <c r="L178" s="5375"/>
      <c r="M178" s="5411">
        <v>770604400</v>
      </c>
      <c r="N178" s="5411">
        <v>770604400</v>
      </c>
      <c r="O178" s="5359">
        <f t="shared" si="66"/>
        <v>0</v>
      </c>
      <c r="P178" s="5358">
        <v>847664400</v>
      </c>
      <c r="Q178" s="5357">
        <f t="shared" si="67"/>
        <v>77060000</v>
      </c>
      <c r="R178" s="5358">
        <f t="shared" si="68"/>
        <v>9.9999429019611057</v>
      </c>
      <c r="S178" s="5358">
        <v>847664400</v>
      </c>
      <c r="T178" s="5359">
        <f t="shared" si="69"/>
        <v>847664390.0000571</v>
      </c>
      <c r="U178" s="5358">
        <v>847664400</v>
      </c>
      <c r="V178" s="5357">
        <f t="shared" si="70"/>
        <v>0</v>
      </c>
      <c r="W178" s="5358">
        <f t="shared" si="71"/>
        <v>0</v>
      </c>
      <c r="X178" s="5358">
        <v>847664400</v>
      </c>
      <c r="Y178" s="5359">
        <f t="shared" si="72"/>
        <v>847664400</v>
      </c>
      <c r="Z178" s="5358">
        <v>847664400</v>
      </c>
      <c r="AA178" s="5357">
        <f t="shared" si="75"/>
        <v>0</v>
      </c>
      <c r="AB178" s="5358">
        <f t="shared" si="76"/>
        <v>0</v>
      </c>
      <c r="AC178" s="5350"/>
      <c r="AD178" s="5350"/>
      <c r="AE178" s="5350"/>
      <c r="AF178" s="5349">
        <f t="shared" ref="AF178:AF241" si="77">S178-P178</f>
        <v>0</v>
      </c>
      <c r="AG178" s="5338">
        <f t="shared" ref="AG178:AG241" si="78">AF178-V178</f>
        <v>0</v>
      </c>
    </row>
    <row r="179" spans="1:33" s="5333" customFormat="1" ht="12.05" hidden="1" customHeight="1">
      <c r="A179" s="5340"/>
      <c r="B179" s="5340"/>
      <c r="C179" s="5340"/>
      <c r="D179" s="5364"/>
      <c r="E179" s="5363"/>
      <c r="F179" s="5363"/>
      <c r="G179" s="5399"/>
      <c r="H179" s="5399"/>
      <c r="I179" s="5638"/>
      <c r="J179" s="5408" t="s">
        <v>50</v>
      </c>
      <c r="K179" s="5376" t="s">
        <v>1450</v>
      </c>
      <c r="L179" s="5375"/>
      <c r="M179" s="5411">
        <v>390818350</v>
      </c>
      <c r="N179" s="5411">
        <v>390818350</v>
      </c>
      <c r="O179" s="5359">
        <f t="shared" si="66"/>
        <v>0</v>
      </c>
      <c r="P179" s="5358">
        <v>429899350</v>
      </c>
      <c r="Q179" s="5357">
        <f t="shared" si="67"/>
        <v>39081000</v>
      </c>
      <c r="R179" s="5358">
        <f t="shared" si="68"/>
        <v>9.9997863457537193</v>
      </c>
      <c r="S179" s="5358">
        <v>429899350</v>
      </c>
      <c r="T179" s="5359">
        <f t="shared" si="69"/>
        <v>429899340.00021368</v>
      </c>
      <c r="U179" s="5358">
        <v>429899350</v>
      </c>
      <c r="V179" s="5357">
        <f t="shared" si="70"/>
        <v>0</v>
      </c>
      <c r="W179" s="5358">
        <f t="shared" si="71"/>
        <v>0</v>
      </c>
      <c r="X179" s="5358">
        <v>429899350</v>
      </c>
      <c r="Y179" s="5359">
        <f t="shared" si="72"/>
        <v>429899350</v>
      </c>
      <c r="Z179" s="5358">
        <v>429899350</v>
      </c>
      <c r="AA179" s="5357">
        <f t="shared" si="75"/>
        <v>0</v>
      </c>
      <c r="AB179" s="5358">
        <f t="shared" si="76"/>
        <v>0</v>
      </c>
      <c r="AC179" s="5350"/>
      <c r="AD179" s="5350"/>
      <c r="AE179" s="5350"/>
      <c r="AF179" s="5349">
        <f t="shared" si="77"/>
        <v>0</v>
      </c>
      <c r="AG179" s="5338">
        <f t="shared" si="78"/>
        <v>0</v>
      </c>
    </row>
    <row r="180" spans="1:33" s="5333" customFormat="1" ht="12.05" hidden="1" customHeight="1">
      <c r="A180" s="5340"/>
      <c r="B180" s="5340"/>
      <c r="C180" s="5340"/>
      <c r="D180" s="5364"/>
      <c r="E180" s="5363"/>
      <c r="F180" s="5363"/>
      <c r="G180" s="5399"/>
      <c r="H180" s="5399"/>
      <c r="I180" s="5638"/>
      <c r="J180" s="5408" t="s">
        <v>50</v>
      </c>
      <c r="K180" s="5376" t="s">
        <v>1449</v>
      </c>
      <c r="L180" s="5375"/>
      <c r="M180" s="5411">
        <v>65463000</v>
      </c>
      <c r="N180" s="5411">
        <v>65463000</v>
      </c>
      <c r="O180" s="5359">
        <f t="shared" si="66"/>
        <v>0</v>
      </c>
      <c r="P180" s="5358">
        <v>72009300</v>
      </c>
      <c r="Q180" s="5357">
        <f t="shared" si="67"/>
        <v>6546300</v>
      </c>
      <c r="R180" s="5358">
        <f t="shared" si="68"/>
        <v>10.000000000000014</v>
      </c>
      <c r="S180" s="5358">
        <v>72009300</v>
      </c>
      <c r="T180" s="5359">
        <f t="shared" si="69"/>
        <v>72009290</v>
      </c>
      <c r="U180" s="5358">
        <v>72009300</v>
      </c>
      <c r="V180" s="5357">
        <f t="shared" si="70"/>
        <v>0</v>
      </c>
      <c r="W180" s="5358">
        <f t="shared" si="71"/>
        <v>0</v>
      </c>
      <c r="X180" s="5358">
        <v>72009300</v>
      </c>
      <c r="Y180" s="5359">
        <f t="shared" si="72"/>
        <v>72009300</v>
      </c>
      <c r="Z180" s="5358">
        <v>72009300</v>
      </c>
      <c r="AA180" s="5357">
        <f t="shared" si="75"/>
        <v>0</v>
      </c>
      <c r="AB180" s="5358">
        <f t="shared" si="76"/>
        <v>0</v>
      </c>
      <c r="AC180" s="5350"/>
      <c r="AD180" s="5350"/>
      <c r="AE180" s="5350"/>
      <c r="AF180" s="5349">
        <f t="shared" si="77"/>
        <v>0</v>
      </c>
      <c r="AG180" s="5338">
        <f t="shared" si="78"/>
        <v>0</v>
      </c>
    </row>
    <row r="181" spans="1:33" s="5333" customFormat="1" ht="12.05" hidden="1" customHeight="1">
      <c r="A181" s="5340"/>
      <c r="B181" s="5340"/>
      <c r="C181" s="5340"/>
      <c r="D181" s="5364"/>
      <c r="E181" s="5363"/>
      <c r="F181" s="5363"/>
      <c r="G181" s="5399"/>
      <c r="H181" s="5399"/>
      <c r="I181" s="5638"/>
      <c r="J181" s="5408" t="s">
        <v>50</v>
      </c>
      <c r="K181" s="5376" t="s">
        <v>1448</v>
      </c>
      <c r="L181" s="5375"/>
      <c r="M181" s="5411">
        <v>7815000</v>
      </c>
      <c r="N181" s="5411">
        <v>7815000</v>
      </c>
      <c r="O181" s="5359">
        <f t="shared" si="66"/>
        <v>0</v>
      </c>
      <c r="P181" s="5358">
        <v>8596500</v>
      </c>
      <c r="Q181" s="5357">
        <f t="shared" si="67"/>
        <v>781500</v>
      </c>
      <c r="R181" s="5358">
        <f t="shared" si="68"/>
        <v>10.000000000000014</v>
      </c>
      <c r="S181" s="5358">
        <v>8596500</v>
      </c>
      <c r="T181" s="5359">
        <f t="shared" si="69"/>
        <v>8596490</v>
      </c>
      <c r="U181" s="5358">
        <v>8596500</v>
      </c>
      <c r="V181" s="5357">
        <f t="shared" si="70"/>
        <v>0</v>
      </c>
      <c r="W181" s="5358">
        <f t="shared" si="71"/>
        <v>0</v>
      </c>
      <c r="X181" s="5358">
        <v>8596500</v>
      </c>
      <c r="Y181" s="5359">
        <f t="shared" si="72"/>
        <v>8596500</v>
      </c>
      <c r="Z181" s="5358">
        <v>8596500</v>
      </c>
      <c r="AA181" s="5357">
        <f t="shared" si="75"/>
        <v>0</v>
      </c>
      <c r="AB181" s="5358">
        <f t="shared" si="76"/>
        <v>0</v>
      </c>
      <c r="AC181" s="5350"/>
      <c r="AD181" s="5350"/>
      <c r="AE181" s="5350"/>
      <c r="AF181" s="5349">
        <f t="shared" si="77"/>
        <v>0</v>
      </c>
      <c r="AG181" s="5338">
        <f t="shared" si="78"/>
        <v>0</v>
      </c>
    </row>
    <row r="182" spans="1:33" s="5333" customFormat="1" ht="12.05" hidden="1" customHeight="1">
      <c r="A182" s="5340"/>
      <c r="B182" s="5340"/>
      <c r="C182" s="5340"/>
      <c r="D182" s="5364"/>
      <c r="E182" s="5363"/>
      <c r="F182" s="5363"/>
      <c r="G182" s="5399"/>
      <c r="H182" s="5399"/>
      <c r="I182" s="5638"/>
      <c r="J182" s="5408" t="s">
        <v>50</v>
      </c>
      <c r="K182" s="5376" t="s">
        <v>1447</v>
      </c>
      <c r="L182" s="5375"/>
      <c r="M182" s="5411">
        <v>782500300</v>
      </c>
      <c r="N182" s="5411">
        <v>782500300</v>
      </c>
      <c r="O182" s="5359">
        <f t="shared" si="66"/>
        <v>0</v>
      </c>
      <c r="P182" s="5358">
        <v>860750300</v>
      </c>
      <c r="Q182" s="5357">
        <f t="shared" si="67"/>
        <v>78250000</v>
      </c>
      <c r="R182" s="5358">
        <f t="shared" si="68"/>
        <v>9.9999961661356451</v>
      </c>
      <c r="S182" s="5358">
        <v>860750300</v>
      </c>
      <c r="T182" s="5359">
        <f t="shared" si="69"/>
        <v>860750290.00000381</v>
      </c>
      <c r="U182" s="5358">
        <v>860750300</v>
      </c>
      <c r="V182" s="5357">
        <f t="shared" si="70"/>
        <v>0</v>
      </c>
      <c r="W182" s="5358">
        <f t="shared" si="71"/>
        <v>0</v>
      </c>
      <c r="X182" s="5358">
        <v>860750300</v>
      </c>
      <c r="Y182" s="5359">
        <f t="shared" si="72"/>
        <v>860750300</v>
      </c>
      <c r="Z182" s="5358">
        <v>860750300</v>
      </c>
      <c r="AA182" s="5357">
        <f t="shared" si="75"/>
        <v>0</v>
      </c>
      <c r="AB182" s="5358">
        <f t="shared" si="76"/>
        <v>0</v>
      </c>
      <c r="AC182" s="5350"/>
      <c r="AD182" s="5350"/>
      <c r="AE182" s="5350"/>
      <c r="AF182" s="5349">
        <f t="shared" si="77"/>
        <v>0</v>
      </c>
      <c r="AG182" s="5338">
        <f t="shared" si="78"/>
        <v>0</v>
      </c>
    </row>
    <row r="183" spans="1:33" s="5333" customFormat="1" ht="12.05" hidden="1" customHeight="1">
      <c r="A183" s="5340"/>
      <c r="B183" s="5340"/>
      <c r="C183" s="5340"/>
      <c r="D183" s="5364"/>
      <c r="E183" s="5363"/>
      <c r="F183" s="5363"/>
      <c r="G183" s="5399"/>
      <c r="H183" s="5399"/>
      <c r="I183" s="5638"/>
      <c r="J183" s="5408" t="s">
        <v>50</v>
      </c>
      <c r="K183" s="5376" t="s">
        <v>1446</v>
      </c>
      <c r="L183" s="5375"/>
      <c r="M183" s="5411">
        <v>7345100</v>
      </c>
      <c r="N183" s="5411">
        <v>7345100</v>
      </c>
      <c r="O183" s="5359">
        <f t="shared" si="66"/>
        <v>0</v>
      </c>
      <c r="P183" s="5358">
        <v>8079600</v>
      </c>
      <c r="Q183" s="5357">
        <f t="shared" si="67"/>
        <v>734500</v>
      </c>
      <c r="R183" s="5358">
        <f t="shared" si="68"/>
        <v>9.9998638548147767</v>
      </c>
      <c r="S183" s="5358">
        <v>8079600</v>
      </c>
      <c r="T183" s="5359">
        <f t="shared" si="69"/>
        <v>8079590.0001361454</v>
      </c>
      <c r="U183" s="5358">
        <v>8079600</v>
      </c>
      <c r="V183" s="5357">
        <f t="shared" si="70"/>
        <v>0</v>
      </c>
      <c r="W183" s="5358">
        <f t="shared" si="71"/>
        <v>0</v>
      </c>
      <c r="X183" s="5358">
        <v>8079600</v>
      </c>
      <c r="Y183" s="5359">
        <f t="shared" si="72"/>
        <v>8079600</v>
      </c>
      <c r="Z183" s="5358">
        <v>8079600</v>
      </c>
      <c r="AA183" s="5357">
        <f t="shared" si="75"/>
        <v>0</v>
      </c>
      <c r="AB183" s="5358">
        <f t="shared" si="76"/>
        <v>0</v>
      </c>
      <c r="AC183" s="5350"/>
      <c r="AD183" s="5350"/>
      <c r="AE183" s="5350"/>
      <c r="AF183" s="5349">
        <f t="shared" si="77"/>
        <v>0</v>
      </c>
      <c r="AG183" s="5338">
        <f t="shared" si="78"/>
        <v>0</v>
      </c>
    </row>
    <row r="184" spans="1:33" s="5333" customFormat="1" ht="12.05" hidden="1" customHeight="1">
      <c r="A184" s="5340"/>
      <c r="B184" s="5340"/>
      <c r="C184" s="5340"/>
      <c r="D184" s="5364"/>
      <c r="E184" s="5363"/>
      <c r="F184" s="5363"/>
      <c r="G184" s="5399"/>
      <c r="H184" s="5399"/>
      <c r="I184" s="5638"/>
      <c r="J184" s="5408" t="s">
        <v>50</v>
      </c>
      <c r="K184" s="5376" t="s">
        <v>1445</v>
      </c>
      <c r="L184" s="5375"/>
      <c r="M184" s="5411">
        <v>305521800</v>
      </c>
      <c r="N184" s="5411">
        <v>305521800</v>
      </c>
      <c r="O184" s="5359">
        <f t="shared" si="66"/>
        <v>0</v>
      </c>
      <c r="P184" s="5358">
        <v>336073900</v>
      </c>
      <c r="Q184" s="5357">
        <f t="shared" si="67"/>
        <v>30552100</v>
      </c>
      <c r="R184" s="5358">
        <f t="shared" si="68"/>
        <v>9.999973815289124</v>
      </c>
      <c r="S184" s="5358">
        <v>336073900</v>
      </c>
      <c r="T184" s="5359">
        <f t="shared" si="69"/>
        <v>336073890.00002617</v>
      </c>
      <c r="U184" s="5358">
        <v>336073900</v>
      </c>
      <c r="V184" s="5357">
        <f t="shared" si="70"/>
        <v>0</v>
      </c>
      <c r="W184" s="5358">
        <f t="shared" si="71"/>
        <v>0</v>
      </c>
      <c r="X184" s="5358">
        <v>336073900</v>
      </c>
      <c r="Y184" s="5359">
        <f t="shared" si="72"/>
        <v>336073900</v>
      </c>
      <c r="Z184" s="5358">
        <v>336073900</v>
      </c>
      <c r="AA184" s="5357">
        <f t="shared" si="75"/>
        <v>0</v>
      </c>
      <c r="AB184" s="5358">
        <f t="shared" si="76"/>
        <v>0</v>
      </c>
      <c r="AC184" s="5350"/>
      <c r="AD184" s="5350"/>
      <c r="AE184" s="5350"/>
      <c r="AF184" s="5349">
        <f t="shared" si="77"/>
        <v>0</v>
      </c>
      <c r="AG184" s="5338">
        <f t="shared" si="78"/>
        <v>0</v>
      </c>
    </row>
    <row r="185" spans="1:33" s="5333" customFormat="1" ht="12.05" hidden="1" customHeight="1">
      <c r="A185" s="5340"/>
      <c r="B185" s="5340"/>
      <c r="C185" s="5340"/>
      <c r="D185" s="5364"/>
      <c r="E185" s="5363"/>
      <c r="F185" s="5363"/>
      <c r="G185" s="5399"/>
      <c r="H185" s="5399"/>
      <c r="I185" s="5638"/>
      <c r="J185" s="5408" t="s">
        <v>50</v>
      </c>
      <c r="K185" s="5376" t="s">
        <v>1444</v>
      </c>
      <c r="L185" s="5375"/>
      <c r="M185" s="5411">
        <v>178926250</v>
      </c>
      <c r="N185" s="5411">
        <v>235914250</v>
      </c>
      <c r="O185" s="5359">
        <f t="shared" si="66"/>
        <v>56988000</v>
      </c>
      <c r="P185" s="5358">
        <v>259505675</v>
      </c>
      <c r="Q185" s="5357">
        <f t="shared" si="67"/>
        <v>23591425</v>
      </c>
      <c r="R185" s="5358">
        <f t="shared" si="68"/>
        <v>10.000000000000014</v>
      </c>
      <c r="S185" s="5358">
        <v>259505675</v>
      </c>
      <c r="T185" s="5359">
        <f t="shared" si="69"/>
        <v>259505665</v>
      </c>
      <c r="U185" s="5358">
        <v>259505675</v>
      </c>
      <c r="V185" s="5357">
        <f t="shared" si="70"/>
        <v>0</v>
      </c>
      <c r="W185" s="5358">
        <f t="shared" si="71"/>
        <v>0</v>
      </c>
      <c r="X185" s="5358">
        <v>259505675</v>
      </c>
      <c r="Y185" s="5359">
        <f t="shared" si="72"/>
        <v>259505675</v>
      </c>
      <c r="Z185" s="5358">
        <v>259505675</v>
      </c>
      <c r="AA185" s="5357">
        <f t="shared" si="75"/>
        <v>0</v>
      </c>
      <c r="AB185" s="5358">
        <f t="shared" si="76"/>
        <v>0</v>
      </c>
      <c r="AC185" s="5350"/>
      <c r="AD185" s="5350"/>
      <c r="AE185" s="5350"/>
      <c r="AF185" s="5349">
        <f t="shared" si="77"/>
        <v>0</v>
      </c>
      <c r="AG185" s="5338">
        <f t="shared" si="78"/>
        <v>0</v>
      </c>
    </row>
    <row r="186" spans="1:33" s="5333" customFormat="1" ht="12.05" hidden="1" customHeight="1">
      <c r="A186" s="5340"/>
      <c r="B186" s="5340"/>
      <c r="C186" s="5340"/>
      <c r="D186" s="5364"/>
      <c r="E186" s="5363"/>
      <c r="F186" s="5363"/>
      <c r="G186" s="5399"/>
      <c r="H186" s="5399"/>
      <c r="I186" s="5638"/>
      <c r="J186" s="5408" t="s">
        <v>50</v>
      </c>
      <c r="K186" s="5376" t="s">
        <v>1443</v>
      </c>
      <c r="L186" s="5375"/>
      <c r="M186" s="5411">
        <v>129318000</v>
      </c>
      <c r="N186" s="5411">
        <v>132473800</v>
      </c>
      <c r="O186" s="5359">
        <f t="shared" si="66"/>
        <v>3155800</v>
      </c>
      <c r="P186" s="5358">
        <v>145721100</v>
      </c>
      <c r="Q186" s="5357">
        <f t="shared" si="67"/>
        <v>13247300</v>
      </c>
      <c r="R186" s="5358">
        <f t="shared" si="68"/>
        <v>9.9999396107003804</v>
      </c>
      <c r="S186" s="5358">
        <v>145721100</v>
      </c>
      <c r="T186" s="5359">
        <f t="shared" si="69"/>
        <v>145721090.00006038</v>
      </c>
      <c r="U186" s="5358">
        <v>145721100</v>
      </c>
      <c r="V186" s="5357">
        <f t="shared" si="70"/>
        <v>0</v>
      </c>
      <c r="W186" s="5358">
        <f t="shared" si="71"/>
        <v>0</v>
      </c>
      <c r="X186" s="5358">
        <v>145721100</v>
      </c>
      <c r="Y186" s="5359">
        <f t="shared" si="72"/>
        <v>145721100</v>
      </c>
      <c r="Z186" s="5358">
        <v>145721100</v>
      </c>
      <c r="AA186" s="5357">
        <f t="shared" si="75"/>
        <v>0</v>
      </c>
      <c r="AB186" s="5358">
        <f t="shared" si="76"/>
        <v>0</v>
      </c>
      <c r="AC186" s="5350"/>
      <c r="AD186" s="5350"/>
      <c r="AE186" s="5350"/>
      <c r="AF186" s="5349">
        <f t="shared" si="77"/>
        <v>0</v>
      </c>
      <c r="AG186" s="5338">
        <f t="shared" si="78"/>
        <v>0</v>
      </c>
    </row>
    <row r="187" spans="1:33" s="5333" customFormat="1" ht="12.05" hidden="1" customHeight="1">
      <c r="A187" s="5340"/>
      <c r="B187" s="5340"/>
      <c r="C187" s="5340"/>
      <c r="D187" s="5364"/>
      <c r="E187" s="5363"/>
      <c r="F187" s="5363"/>
      <c r="G187" s="5399"/>
      <c r="H187" s="5399"/>
      <c r="I187" s="5638"/>
      <c r="J187" s="5408" t="s">
        <v>50</v>
      </c>
      <c r="K187" s="5376" t="s">
        <v>1442</v>
      </c>
      <c r="L187" s="5375"/>
      <c r="M187" s="5411">
        <v>391107300</v>
      </c>
      <c r="N187" s="5411">
        <v>515675000</v>
      </c>
      <c r="O187" s="5359">
        <f t="shared" si="66"/>
        <v>124567700</v>
      </c>
      <c r="P187" s="5358">
        <v>567242500</v>
      </c>
      <c r="Q187" s="5357">
        <f t="shared" si="67"/>
        <v>51567500</v>
      </c>
      <c r="R187" s="5358">
        <f t="shared" si="68"/>
        <v>10.000000000000014</v>
      </c>
      <c r="S187" s="5358">
        <v>567242500</v>
      </c>
      <c r="T187" s="5359">
        <f t="shared" si="69"/>
        <v>567242490</v>
      </c>
      <c r="U187" s="5358">
        <v>567242500</v>
      </c>
      <c r="V187" s="5357">
        <f t="shared" si="70"/>
        <v>0</v>
      </c>
      <c r="W187" s="5358">
        <f t="shared" si="71"/>
        <v>0</v>
      </c>
      <c r="X187" s="5358">
        <v>567242500</v>
      </c>
      <c r="Y187" s="5359">
        <f t="shared" si="72"/>
        <v>567242500</v>
      </c>
      <c r="Z187" s="5358">
        <v>567242500</v>
      </c>
      <c r="AA187" s="5357">
        <f t="shared" si="75"/>
        <v>0</v>
      </c>
      <c r="AB187" s="5358">
        <f t="shared" si="76"/>
        <v>0</v>
      </c>
      <c r="AC187" s="5350"/>
      <c r="AD187" s="5350"/>
      <c r="AE187" s="5350"/>
      <c r="AF187" s="5349">
        <f t="shared" si="77"/>
        <v>0</v>
      </c>
      <c r="AG187" s="5338">
        <f t="shared" si="78"/>
        <v>0</v>
      </c>
    </row>
    <row r="188" spans="1:33" s="5333" customFormat="1" ht="12.05" hidden="1" customHeight="1">
      <c r="A188" s="5340"/>
      <c r="B188" s="5340"/>
      <c r="C188" s="5340"/>
      <c r="D188" s="5364"/>
      <c r="E188" s="5363"/>
      <c r="F188" s="5363"/>
      <c r="G188" s="5399"/>
      <c r="H188" s="5399"/>
      <c r="I188" s="5638"/>
      <c r="J188" s="5408" t="s">
        <v>50</v>
      </c>
      <c r="K188" s="5376" t="s">
        <v>1441</v>
      </c>
      <c r="L188" s="5375"/>
      <c r="M188" s="5411">
        <v>214951900</v>
      </c>
      <c r="N188" s="5411">
        <v>214951900</v>
      </c>
      <c r="O188" s="5359">
        <f t="shared" si="66"/>
        <v>0</v>
      </c>
      <c r="P188" s="5358">
        <v>236447000</v>
      </c>
      <c r="Q188" s="5357">
        <f t="shared" si="67"/>
        <v>21495100</v>
      </c>
      <c r="R188" s="5358">
        <f t="shared" si="68"/>
        <v>9.9999581301677125</v>
      </c>
      <c r="S188" s="5358">
        <v>236447000</v>
      </c>
      <c r="T188" s="5359">
        <f t="shared" si="69"/>
        <v>236446990.00004187</v>
      </c>
      <c r="U188" s="5358">
        <v>236447000</v>
      </c>
      <c r="V188" s="5357">
        <f t="shared" si="70"/>
        <v>0</v>
      </c>
      <c r="W188" s="5358">
        <f t="shared" si="71"/>
        <v>0</v>
      </c>
      <c r="X188" s="5358">
        <v>236447000</v>
      </c>
      <c r="Y188" s="5359">
        <f t="shared" si="72"/>
        <v>236447000</v>
      </c>
      <c r="Z188" s="5358">
        <v>236447000</v>
      </c>
      <c r="AA188" s="5357">
        <f t="shared" si="75"/>
        <v>0</v>
      </c>
      <c r="AB188" s="5358">
        <f t="shared" si="76"/>
        <v>0</v>
      </c>
      <c r="AC188" s="5350"/>
      <c r="AD188" s="5350"/>
      <c r="AE188" s="5350"/>
      <c r="AF188" s="5349">
        <f t="shared" si="77"/>
        <v>0</v>
      </c>
      <c r="AG188" s="5338">
        <f t="shared" si="78"/>
        <v>0</v>
      </c>
    </row>
    <row r="189" spans="1:33" s="5333" customFormat="1" ht="12.05" hidden="1" customHeight="1">
      <c r="A189" s="5340"/>
      <c r="B189" s="5340"/>
      <c r="C189" s="5340"/>
      <c r="D189" s="5364"/>
      <c r="E189" s="5363"/>
      <c r="F189" s="5363"/>
      <c r="G189" s="5399"/>
      <c r="H189" s="5399"/>
      <c r="I189" s="5638"/>
      <c r="J189" s="5408" t="s">
        <v>50</v>
      </c>
      <c r="K189" s="5376" t="s">
        <v>1440</v>
      </c>
      <c r="L189" s="5375"/>
      <c r="M189" s="5411">
        <v>34850000</v>
      </c>
      <c r="N189" s="5411">
        <v>34850000</v>
      </c>
      <c r="O189" s="5359">
        <f t="shared" si="66"/>
        <v>0</v>
      </c>
      <c r="P189" s="5358">
        <v>38335000</v>
      </c>
      <c r="Q189" s="5357">
        <f t="shared" si="67"/>
        <v>3485000</v>
      </c>
      <c r="R189" s="5358">
        <f t="shared" si="68"/>
        <v>10.000000000000014</v>
      </c>
      <c r="S189" s="5358">
        <v>38335000</v>
      </c>
      <c r="T189" s="5359">
        <f t="shared" si="69"/>
        <v>38334990</v>
      </c>
      <c r="U189" s="5358">
        <v>38335000</v>
      </c>
      <c r="V189" s="5357">
        <f t="shared" si="70"/>
        <v>0</v>
      </c>
      <c r="W189" s="5358">
        <f t="shared" si="71"/>
        <v>0</v>
      </c>
      <c r="X189" s="5358">
        <v>38335000</v>
      </c>
      <c r="Y189" s="5359">
        <f t="shared" si="72"/>
        <v>38335000</v>
      </c>
      <c r="Z189" s="5358">
        <v>38335000</v>
      </c>
      <c r="AA189" s="5357">
        <f t="shared" si="75"/>
        <v>0</v>
      </c>
      <c r="AB189" s="5358">
        <f t="shared" si="76"/>
        <v>0</v>
      </c>
      <c r="AC189" s="5350"/>
      <c r="AD189" s="5350"/>
      <c r="AE189" s="5350"/>
      <c r="AF189" s="5349">
        <f t="shared" si="77"/>
        <v>0</v>
      </c>
      <c r="AG189" s="5338">
        <f t="shared" si="78"/>
        <v>0</v>
      </c>
    </row>
    <row r="190" spans="1:33" s="5333" customFormat="1" ht="12.05" hidden="1" customHeight="1">
      <c r="A190" s="5340"/>
      <c r="B190" s="5340"/>
      <c r="C190" s="5340"/>
      <c r="D190" s="5364"/>
      <c r="E190" s="5363"/>
      <c r="F190" s="5363"/>
      <c r="G190" s="5399"/>
      <c r="H190" s="5399"/>
      <c r="I190" s="5638"/>
      <c r="J190" s="5408" t="s">
        <v>50</v>
      </c>
      <c r="K190" s="5376" t="s">
        <v>1439</v>
      </c>
      <c r="L190" s="5375"/>
      <c r="M190" s="5411">
        <v>4800000</v>
      </c>
      <c r="N190" s="5411">
        <v>4800000</v>
      </c>
      <c r="O190" s="5359">
        <f t="shared" si="66"/>
        <v>0</v>
      </c>
      <c r="P190" s="5358">
        <v>5280000</v>
      </c>
      <c r="Q190" s="5357">
        <f t="shared" si="67"/>
        <v>480000</v>
      </c>
      <c r="R190" s="5358">
        <f t="shared" si="68"/>
        <v>10.000000000000014</v>
      </c>
      <c r="S190" s="5358">
        <v>5280000</v>
      </c>
      <c r="T190" s="5359">
        <f t="shared" si="69"/>
        <v>5279990</v>
      </c>
      <c r="U190" s="5358">
        <v>5280000</v>
      </c>
      <c r="V190" s="5357">
        <f t="shared" si="70"/>
        <v>0</v>
      </c>
      <c r="W190" s="5358">
        <f t="shared" si="71"/>
        <v>0</v>
      </c>
      <c r="X190" s="5358">
        <v>5280000</v>
      </c>
      <c r="Y190" s="5359">
        <f t="shared" si="72"/>
        <v>5280000</v>
      </c>
      <c r="Z190" s="5358">
        <v>5280000</v>
      </c>
      <c r="AA190" s="5357">
        <f t="shared" si="75"/>
        <v>0</v>
      </c>
      <c r="AB190" s="5358">
        <f t="shared" si="76"/>
        <v>0</v>
      </c>
      <c r="AC190" s="5350"/>
      <c r="AD190" s="5350"/>
      <c r="AE190" s="5350"/>
      <c r="AF190" s="5349">
        <f t="shared" si="77"/>
        <v>0</v>
      </c>
      <c r="AG190" s="5338">
        <f t="shared" si="78"/>
        <v>0</v>
      </c>
    </row>
    <row r="191" spans="1:33" s="5333" customFormat="1" ht="12.05" hidden="1" customHeight="1">
      <c r="A191" s="5340"/>
      <c r="B191" s="5340"/>
      <c r="C191" s="5340"/>
      <c r="D191" s="5364"/>
      <c r="E191" s="5363"/>
      <c r="F191" s="5363"/>
      <c r="G191" s="5399"/>
      <c r="H191" s="5399"/>
      <c r="I191" s="5638"/>
      <c r="J191" s="5408" t="s">
        <v>50</v>
      </c>
      <c r="K191" s="5376" t="s">
        <v>1438</v>
      </c>
      <c r="L191" s="5375"/>
      <c r="M191" s="5411">
        <v>164736000</v>
      </c>
      <c r="N191" s="5411">
        <v>164736000</v>
      </c>
      <c r="O191" s="5359">
        <f t="shared" si="66"/>
        <v>0</v>
      </c>
      <c r="P191" s="5358">
        <v>181209600</v>
      </c>
      <c r="Q191" s="5357">
        <f t="shared" si="67"/>
        <v>16473600</v>
      </c>
      <c r="R191" s="5358">
        <f t="shared" si="68"/>
        <v>10.000000000000014</v>
      </c>
      <c r="S191" s="5358">
        <v>181209600</v>
      </c>
      <c r="T191" s="5359">
        <f t="shared" si="69"/>
        <v>181209590</v>
      </c>
      <c r="U191" s="5358">
        <v>181209600</v>
      </c>
      <c r="V191" s="5357">
        <f t="shared" si="70"/>
        <v>0</v>
      </c>
      <c r="W191" s="5358">
        <f t="shared" si="71"/>
        <v>0</v>
      </c>
      <c r="X191" s="5358">
        <v>181209600</v>
      </c>
      <c r="Y191" s="5359">
        <f t="shared" si="72"/>
        <v>181209600</v>
      </c>
      <c r="Z191" s="5358">
        <v>181209600</v>
      </c>
      <c r="AA191" s="5357">
        <f t="shared" si="75"/>
        <v>0</v>
      </c>
      <c r="AB191" s="5358">
        <f t="shared" si="76"/>
        <v>0</v>
      </c>
      <c r="AC191" s="5350"/>
      <c r="AD191" s="5350"/>
      <c r="AE191" s="5350"/>
      <c r="AF191" s="5349">
        <f t="shared" si="77"/>
        <v>0</v>
      </c>
      <c r="AG191" s="5338">
        <f t="shared" si="78"/>
        <v>0</v>
      </c>
    </row>
    <row r="192" spans="1:33" s="5333" customFormat="1" ht="12.05" hidden="1" customHeight="1">
      <c r="A192" s="5340"/>
      <c r="B192" s="5340"/>
      <c r="C192" s="5340"/>
      <c r="D192" s="5364"/>
      <c r="E192" s="5363"/>
      <c r="F192" s="5363"/>
      <c r="G192" s="5399"/>
      <c r="H192" s="5399"/>
      <c r="I192" s="5638"/>
      <c r="J192" s="5408" t="s">
        <v>50</v>
      </c>
      <c r="K192" s="5376" t="s">
        <v>1437</v>
      </c>
      <c r="L192" s="5375"/>
      <c r="M192" s="5411">
        <v>15765750</v>
      </c>
      <c r="N192" s="5411">
        <v>15765750</v>
      </c>
      <c r="O192" s="5359">
        <f t="shared" si="66"/>
        <v>0</v>
      </c>
      <c r="P192" s="5358">
        <v>17342250</v>
      </c>
      <c r="Q192" s="5357">
        <f t="shared" si="67"/>
        <v>1576500</v>
      </c>
      <c r="R192" s="5358">
        <f t="shared" si="68"/>
        <v>9.9995242852385786</v>
      </c>
      <c r="S192" s="5358">
        <v>17342250</v>
      </c>
      <c r="T192" s="5359">
        <f t="shared" si="69"/>
        <v>17342240.000475716</v>
      </c>
      <c r="U192" s="5358">
        <v>17342250</v>
      </c>
      <c r="V192" s="5357">
        <f t="shared" si="70"/>
        <v>0</v>
      </c>
      <c r="W192" s="5358">
        <f t="shared" si="71"/>
        <v>0</v>
      </c>
      <c r="X192" s="5358">
        <v>17342250</v>
      </c>
      <c r="Y192" s="5359">
        <f t="shared" si="72"/>
        <v>17342250</v>
      </c>
      <c r="Z192" s="5358">
        <v>17342250</v>
      </c>
      <c r="AA192" s="5357">
        <f t="shared" si="75"/>
        <v>0</v>
      </c>
      <c r="AB192" s="5358">
        <f t="shared" si="76"/>
        <v>0</v>
      </c>
      <c r="AC192" s="5350"/>
      <c r="AD192" s="5350"/>
      <c r="AE192" s="5350"/>
      <c r="AF192" s="5349">
        <f t="shared" si="77"/>
        <v>0</v>
      </c>
      <c r="AG192" s="5338">
        <f t="shared" si="78"/>
        <v>0</v>
      </c>
    </row>
    <row r="193" spans="1:33" s="5333" customFormat="1" ht="15.85" hidden="1" customHeight="1">
      <c r="A193" s="5340"/>
      <c r="B193" s="5340"/>
      <c r="C193" s="5340"/>
      <c r="D193" s="5367">
        <v>4</v>
      </c>
      <c r="E193" s="5367">
        <v>1</v>
      </c>
      <c r="F193" s="5367">
        <v>4</v>
      </c>
      <c r="G193" s="5367" t="s">
        <v>449</v>
      </c>
      <c r="H193" s="5399" t="s">
        <v>438</v>
      </c>
      <c r="I193" s="5638"/>
      <c r="J193" s="5377" t="s">
        <v>1436</v>
      </c>
      <c r="K193" s="5376"/>
      <c r="L193" s="5375"/>
      <c r="M193" s="5527">
        <v>2368124750</v>
      </c>
      <c r="N193" s="5527">
        <f>+N194+N195</f>
        <v>2368124750</v>
      </c>
      <c r="O193" s="5359">
        <f t="shared" si="66"/>
        <v>0</v>
      </c>
      <c r="P193" s="5401">
        <f>SUM(P194:P195)</f>
        <v>2604937150</v>
      </c>
      <c r="Q193" s="5357">
        <f t="shared" si="67"/>
        <v>236812400</v>
      </c>
      <c r="R193" s="5358">
        <f t="shared" si="68"/>
        <v>9.9999968329371143</v>
      </c>
      <c r="S193" s="5401">
        <f>SUM(S194:S195)</f>
        <v>2604937150</v>
      </c>
      <c r="T193" s="5359">
        <f t="shared" si="69"/>
        <v>2604937140.0000033</v>
      </c>
      <c r="U193" s="5401">
        <f>SUM(U194:U195)</f>
        <v>2604937150</v>
      </c>
      <c r="V193" s="5357">
        <f t="shared" si="70"/>
        <v>0</v>
      </c>
      <c r="W193" s="5358">
        <f t="shared" si="71"/>
        <v>0</v>
      </c>
      <c r="X193" s="5401">
        <f>SUM(X194:X195)</f>
        <v>2604937150</v>
      </c>
      <c r="Y193" s="5359">
        <f t="shared" si="72"/>
        <v>2604937150</v>
      </c>
      <c r="Z193" s="5401">
        <f>SUM(Z194:Z195)</f>
        <v>2604937150</v>
      </c>
      <c r="AA193" s="5357">
        <f t="shared" si="75"/>
        <v>0</v>
      </c>
      <c r="AB193" s="5358">
        <f t="shared" si="76"/>
        <v>0</v>
      </c>
      <c r="AC193" s="5350"/>
      <c r="AD193" s="5350"/>
      <c r="AE193" s="5350"/>
      <c r="AF193" s="5349">
        <f t="shared" si="77"/>
        <v>0</v>
      </c>
      <c r="AG193" s="5338">
        <f t="shared" si="78"/>
        <v>0</v>
      </c>
    </row>
    <row r="194" spans="1:33" s="5333" customFormat="1" ht="12.05" hidden="1" customHeight="1">
      <c r="A194" s="5340"/>
      <c r="B194" s="5340"/>
      <c r="C194" s="5340"/>
      <c r="D194" s="5364"/>
      <c r="E194" s="5363"/>
      <c r="F194" s="5363"/>
      <c r="G194" s="5399"/>
      <c r="H194" s="5399"/>
      <c r="I194" s="5638"/>
      <c r="J194" s="5362" t="s">
        <v>50</v>
      </c>
      <c r="K194" s="5376" t="s">
        <v>1435</v>
      </c>
      <c r="L194" s="5375"/>
      <c r="M194" s="5411">
        <v>1391628500</v>
      </c>
      <c r="N194" s="5411">
        <v>1391628500</v>
      </c>
      <c r="O194" s="5359">
        <f t="shared" si="66"/>
        <v>0</v>
      </c>
      <c r="P194" s="5358">
        <v>1530791300</v>
      </c>
      <c r="Q194" s="5357">
        <f t="shared" si="67"/>
        <v>139162800</v>
      </c>
      <c r="R194" s="5358">
        <f t="shared" si="68"/>
        <v>9.9999964070870817</v>
      </c>
      <c r="S194" s="5358">
        <v>1530791300</v>
      </c>
      <c r="T194" s="5359">
        <f t="shared" si="69"/>
        <v>1530791290.0000036</v>
      </c>
      <c r="U194" s="5358">
        <v>1530791300</v>
      </c>
      <c r="V194" s="5357">
        <f t="shared" si="70"/>
        <v>0</v>
      </c>
      <c r="W194" s="5358">
        <f t="shared" si="71"/>
        <v>0</v>
      </c>
      <c r="X194" s="5358">
        <v>1530791300</v>
      </c>
      <c r="Y194" s="5359">
        <f t="shared" si="72"/>
        <v>1530791300</v>
      </c>
      <c r="Z194" s="5358">
        <v>1530791300</v>
      </c>
      <c r="AA194" s="5357">
        <f t="shared" si="75"/>
        <v>0</v>
      </c>
      <c r="AB194" s="5358">
        <f t="shared" si="76"/>
        <v>0</v>
      </c>
      <c r="AC194" s="5350"/>
      <c r="AD194" s="5350"/>
      <c r="AE194" s="5350"/>
      <c r="AF194" s="5349">
        <f t="shared" si="77"/>
        <v>0</v>
      </c>
      <c r="AG194" s="5338">
        <f t="shared" si="78"/>
        <v>0</v>
      </c>
    </row>
    <row r="195" spans="1:33" s="5333" customFormat="1" ht="12.05" hidden="1" customHeight="1">
      <c r="A195" s="5340"/>
      <c r="B195" s="5340"/>
      <c r="C195" s="5340"/>
      <c r="D195" s="5364"/>
      <c r="E195" s="5363"/>
      <c r="F195" s="5363"/>
      <c r="G195" s="5399"/>
      <c r="H195" s="5399"/>
      <c r="I195" s="5638"/>
      <c r="J195" s="5362" t="s">
        <v>50</v>
      </c>
      <c r="K195" s="5376" t="s">
        <v>1434</v>
      </c>
      <c r="L195" s="5375"/>
      <c r="M195" s="5411">
        <v>976496250</v>
      </c>
      <c r="N195" s="5411">
        <v>976496250</v>
      </c>
      <c r="O195" s="5359">
        <f t="shared" si="66"/>
        <v>0</v>
      </c>
      <c r="P195" s="5358">
        <v>1074145850</v>
      </c>
      <c r="Q195" s="5357">
        <f t="shared" si="67"/>
        <v>97649600</v>
      </c>
      <c r="R195" s="5358">
        <f t="shared" si="68"/>
        <v>9.9999974398263163</v>
      </c>
      <c r="S195" s="5358">
        <v>1074145850</v>
      </c>
      <c r="T195" s="5359">
        <f t="shared" si="69"/>
        <v>1074145840.0000026</v>
      </c>
      <c r="U195" s="5358">
        <v>1074145850</v>
      </c>
      <c r="V195" s="5357">
        <f t="shared" si="70"/>
        <v>0</v>
      </c>
      <c r="W195" s="5358">
        <f t="shared" si="71"/>
        <v>0</v>
      </c>
      <c r="X195" s="5358">
        <v>1074145850</v>
      </c>
      <c r="Y195" s="5359">
        <f t="shared" si="72"/>
        <v>1074145850</v>
      </c>
      <c r="Z195" s="5358">
        <v>1074145850</v>
      </c>
      <c r="AA195" s="5357">
        <f t="shared" si="75"/>
        <v>0</v>
      </c>
      <c r="AB195" s="5358">
        <f t="shared" si="76"/>
        <v>0</v>
      </c>
      <c r="AC195" s="5350"/>
      <c r="AD195" s="5350"/>
      <c r="AE195" s="5350"/>
      <c r="AF195" s="5349">
        <f t="shared" si="77"/>
        <v>0</v>
      </c>
      <c r="AG195" s="5338">
        <f t="shared" si="78"/>
        <v>0</v>
      </c>
    </row>
    <row r="196" spans="1:33" s="5333" customFormat="1" ht="15.85" hidden="1" customHeight="1">
      <c r="A196" s="5340"/>
      <c r="B196" s="5340"/>
      <c r="C196" s="5340"/>
      <c r="D196" s="5367">
        <v>4</v>
      </c>
      <c r="E196" s="5367">
        <v>1</v>
      </c>
      <c r="F196" s="5367">
        <v>4</v>
      </c>
      <c r="G196" s="5367" t="s">
        <v>449</v>
      </c>
      <c r="H196" s="5399" t="s">
        <v>440</v>
      </c>
      <c r="I196" s="5638"/>
      <c r="J196" s="5377" t="s">
        <v>1433</v>
      </c>
      <c r="K196" s="5376"/>
      <c r="L196" s="5375"/>
      <c r="M196" s="5527">
        <v>51137226447</v>
      </c>
      <c r="N196" s="5527">
        <f>+N197+N198+N199</f>
        <v>61846497747</v>
      </c>
      <c r="O196" s="5359">
        <f t="shared" si="66"/>
        <v>10709271300</v>
      </c>
      <c r="P196" s="5401">
        <f>+P197+P198+P199</f>
        <v>66280038097</v>
      </c>
      <c r="Q196" s="5357">
        <f t="shared" si="67"/>
        <v>4433540350</v>
      </c>
      <c r="R196" s="5358">
        <f t="shared" si="68"/>
        <v>7.1686199081742785</v>
      </c>
      <c r="S196" s="5401">
        <f>+S197+S198+S199</f>
        <v>66280038097</v>
      </c>
      <c r="T196" s="5359">
        <f t="shared" si="69"/>
        <v>66280038089.831383</v>
      </c>
      <c r="U196" s="5401">
        <f>+U197+U198+U199</f>
        <v>66280038097</v>
      </c>
      <c r="V196" s="5357">
        <f t="shared" si="70"/>
        <v>0</v>
      </c>
      <c r="W196" s="5358">
        <f t="shared" si="71"/>
        <v>0</v>
      </c>
      <c r="X196" s="5401">
        <f>+X197+X198+X199</f>
        <v>66280038097</v>
      </c>
      <c r="Y196" s="5359">
        <f t="shared" si="72"/>
        <v>66280038097</v>
      </c>
      <c r="Z196" s="5401">
        <f>+Z197+Z198+Z199</f>
        <v>66280038097</v>
      </c>
      <c r="AA196" s="5357">
        <f t="shared" si="75"/>
        <v>0</v>
      </c>
      <c r="AB196" s="5358">
        <f t="shared" si="76"/>
        <v>0</v>
      </c>
      <c r="AC196" s="5350"/>
      <c r="AD196" s="5350"/>
      <c r="AE196" s="5350"/>
      <c r="AF196" s="5349">
        <f t="shared" si="77"/>
        <v>0</v>
      </c>
      <c r="AG196" s="5338">
        <f t="shared" si="78"/>
        <v>0</v>
      </c>
    </row>
    <row r="197" spans="1:33" s="5333" customFormat="1" ht="12.05" hidden="1" customHeight="1">
      <c r="A197" s="5340"/>
      <c r="B197" s="5340"/>
      <c r="C197" s="5340"/>
      <c r="D197" s="5364"/>
      <c r="E197" s="5363"/>
      <c r="F197" s="5363"/>
      <c r="G197" s="5399"/>
      <c r="H197" s="5399"/>
      <c r="I197" s="5638"/>
      <c r="J197" s="5362" t="s">
        <v>50</v>
      </c>
      <c r="K197" s="5376" t="s">
        <v>1432</v>
      </c>
      <c r="L197" s="5375"/>
      <c r="M197" s="5411">
        <v>38399952547</v>
      </c>
      <c r="N197" s="5411">
        <v>60311175682</v>
      </c>
      <c r="O197" s="5359">
        <f t="shared" si="66"/>
        <v>21911223135</v>
      </c>
      <c r="P197" s="5358">
        <v>65166143350</v>
      </c>
      <c r="Q197" s="5357">
        <f t="shared" si="67"/>
        <v>4854967668</v>
      </c>
      <c r="R197" s="5358">
        <f t="shared" si="68"/>
        <v>8.0498640809102682</v>
      </c>
      <c r="S197" s="5358">
        <v>65166143350</v>
      </c>
      <c r="T197" s="5359">
        <f t="shared" si="69"/>
        <v>65166143341.950134</v>
      </c>
      <c r="U197" s="5358">
        <v>65166143350</v>
      </c>
      <c r="V197" s="5357">
        <f t="shared" si="70"/>
        <v>0</v>
      </c>
      <c r="W197" s="5358">
        <f t="shared" si="71"/>
        <v>0</v>
      </c>
      <c r="X197" s="5358">
        <v>65166143350</v>
      </c>
      <c r="Y197" s="5359">
        <f t="shared" si="72"/>
        <v>65166143350</v>
      </c>
      <c r="Z197" s="5358">
        <v>65166143350</v>
      </c>
      <c r="AA197" s="5357">
        <f t="shared" si="75"/>
        <v>0</v>
      </c>
      <c r="AB197" s="5358">
        <f t="shared" si="76"/>
        <v>0</v>
      </c>
      <c r="AC197" s="5350"/>
      <c r="AD197" s="5350"/>
      <c r="AE197" s="5350"/>
      <c r="AF197" s="5349">
        <f t="shared" si="77"/>
        <v>0</v>
      </c>
      <c r="AG197" s="5338">
        <f t="shared" si="78"/>
        <v>0</v>
      </c>
    </row>
    <row r="198" spans="1:33" s="5333" customFormat="1" ht="12.05" hidden="1" customHeight="1">
      <c r="A198" s="5340"/>
      <c r="B198" s="5340"/>
      <c r="C198" s="5340"/>
      <c r="D198" s="5364"/>
      <c r="E198" s="5363"/>
      <c r="F198" s="5363"/>
      <c r="G198" s="5399"/>
      <c r="H198" s="5399"/>
      <c r="I198" s="5638"/>
      <c r="J198" s="5362" t="s">
        <v>50</v>
      </c>
      <c r="K198" s="5376" t="s">
        <v>1431</v>
      </c>
      <c r="L198" s="5375"/>
      <c r="M198" s="5411">
        <v>12665854700</v>
      </c>
      <c r="N198" s="5411">
        <v>1463902865</v>
      </c>
      <c r="O198" s="5359">
        <f t="shared" si="66"/>
        <v>-11201951835</v>
      </c>
      <c r="P198" s="5358">
        <v>1033894747</v>
      </c>
      <c r="Q198" s="5357">
        <f t="shared" si="67"/>
        <v>-430008118</v>
      </c>
      <c r="R198" s="5358">
        <f t="shared" si="68"/>
        <v>-29.374088150309078</v>
      </c>
      <c r="S198" s="5358">
        <v>1033894747</v>
      </c>
      <c r="T198" s="5359">
        <f t="shared" si="69"/>
        <v>1033894776.3740882</v>
      </c>
      <c r="U198" s="5358">
        <v>1033894747</v>
      </c>
      <c r="V198" s="5357">
        <f t="shared" si="70"/>
        <v>0</v>
      </c>
      <c r="W198" s="5358">
        <f t="shared" si="71"/>
        <v>0</v>
      </c>
      <c r="X198" s="5358">
        <v>1033894747</v>
      </c>
      <c r="Y198" s="5359">
        <f t="shared" si="72"/>
        <v>1033894747</v>
      </c>
      <c r="Z198" s="5358">
        <v>1033894747</v>
      </c>
      <c r="AA198" s="5357">
        <f t="shared" si="75"/>
        <v>0</v>
      </c>
      <c r="AB198" s="5358">
        <f t="shared" si="76"/>
        <v>0</v>
      </c>
      <c r="AC198" s="5350"/>
      <c r="AD198" s="5350"/>
      <c r="AE198" s="5350"/>
      <c r="AF198" s="5349">
        <f t="shared" si="77"/>
        <v>0</v>
      </c>
      <c r="AG198" s="5338">
        <f t="shared" si="78"/>
        <v>0</v>
      </c>
    </row>
    <row r="199" spans="1:33" s="5333" customFormat="1" ht="12.05" hidden="1" customHeight="1">
      <c r="A199" s="5340"/>
      <c r="B199" s="5340"/>
      <c r="C199" s="5340"/>
      <c r="D199" s="5364"/>
      <c r="E199" s="5363"/>
      <c r="F199" s="5363"/>
      <c r="G199" s="5399"/>
      <c r="H199" s="5399"/>
      <c r="I199" s="5638"/>
      <c r="J199" s="5362" t="s">
        <v>50</v>
      </c>
      <c r="K199" s="5376" t="s">
        <v>1430</v>
      </c>
      <c r="L199" s="5375"/>
      <c r="M199" s="5411">
        <v>71419200</v>
      </c>
      <c r="N199" s="5411">
        <v>71419200</v>
      </c>
      <c r="O199" s="5359">
        <f t="shared" si="66"/>
        <v>0</v>
      </c>
      <c r="P199" s="5358">
        <v>80000000</v>
      </c>
      <c r="Q199" s="5357">
        <f t="shared" si="67"/>
        <v>8580800</v>
      </c>
      <c r="R199" s="5358">
        <f t="shared" si="68"/>
        <v>12.014696328158266</v>
      </c>
      <c r="S199" s="5358">
        <v>80000000</v>
      </c>
      <c r="T199" s="5359">
        <f t="shared" si="69"/>
        <v>79999987.98530367</v>
      </c>
      <c r="U199" s="5358">
        <v>80000000</v>
      </c>
      <c r="V199" s="5357">
        <f t="shared" si="70"/>
        <v>0</v>
      </c>
      <c r="W199" s="5358">
        <f t="shared" si="71"/>
        <v>0</v>
      </c>
      <c r="X199" s="5358">
        <v>80000000</v>
      </c>
      <c r="Y199" s="5359">
        <f t="shared" si="72"/>
        <v>80000000</v>
      </c>
      <c r="Z199" s="5358">
        <v>80000000</v>
      </c>
      <c r="AA199" s="5357">
        <f t="shared" si="75"/>
        <v>0</v>
      </c>
      <c r="AB199" s="5358">
        <f t="shared" si="76"/>
        <v>0</v>
      </c>
      <c r="AC199" s="5350"/>
      <c r="AD199" s="5350"/>
      <c r="AE199" s="5350"/>
      <c r="AF199" s="5349">
        <f t="shared" si="77"/>
        <v>0</v>
      </c>
      <c r="AG199" s="5338">
        <f t="shared" si="78"/>
        <v>0</v>
      </c>
    </row>
    <row r="200" spans="1:33" s="5333" customFormat="1" ht="14.25" hidden="1" customHeight="1">
      <c r="A200" s="5340"/>
      <c r="B200" s="5340"/>
      <c r="C200" s="5340"/>
      <c r="D200" s="5367">
        <v>4</v>
      </c>
      <c r="E200" s="5367">
        <v>1</v>
      </c>
      <c r="F200" s="5367">
        <v>4</v>
      </c>
      <c r="G200" s="5367" t="s">
        <v>449</v>
      </c>
      <c r="H200" s="5399" t="s">
        <v>445</v>
      </c>
      <c r="I200" s="5638"/>
      <c r="J200" s="5377" t="s">
        <v>1429</v>
      </c>
      <c r="K200" s="5376"/>
      <c r="L200" s="5375"/>
      <c r="M200" s="5527">
        <v>52825000</v>
      </c>
      <c r="N200" s="5527">
        <f>+N201+N202</f>
        <v>52825000</v>
      </c>
      <c r="O200" s="5359">
        <f t="shared" si="66"/>
        <v>0</v>
      </c>
      <c r="P200" s="5401">
        <f>+P201+P202</f>
        <v>58107500</v>
      </c>
      <c r="Q200" s="5357">
        <f t="shared" si="67"/>
        <v>5282500</v>
      </c>
      <c r="R200" s="5358">
        <f t="shared" si="68"/>
        <v>10.000000000000014</v>
      </c>
      <c r="S200" s="5401">
        <f>+S201+S202</f>
        <v>58107500</v>
      </c>
      <c r="T200" s="5359">
        <f t="shared" si="69"/>
        <v>58107490</v>
      </c>
      <c r="U200" s="5401">
        <f>+U201+U202</f>
        <v>58107500</v>
      </c>
      <c r="V200" s="5357">
        <f t="shared" si="70"/>
        <v>0</v>
      </c>
      <c r="W200" s="5358">
        <f t="shared" si="71"/>
        <v>0</v>
      </c>
      <c r="X200" s="5401">
        <f>+X201+X202</f>
        <v>58107500</v>
      </c>
      <c r="Y200" s="5359">
        <f t="shared" si="72"/>
        <v>58107500</v>
      </c>
      <c r="Z200" s="5401">
        <f>+Z201+Z202</f>
        <v>58107500</v>
      </c>
      <c r="AA200" s="5357">
        <f t="shared" si="75"/>
        <v>0</v>
      </c>
      <c r="AB200" s="5358">
        <f t="shared" si="76"/>
        <v>0</v>
      </c>
      <c r="AC200" s="5350"/>
      <c r="AD200" s="5350"/>
      <c r="AE200" s="5350"/>
      <c r="AF200" s="5349">
        <f t="shared" si="77"/>
        <v>0</v>
      </c>
      <c r="AG200" s="5338">
        <f t="shared" si="78"/>
        <v>0</v>
      </c>
    </row>
    <row r="201" spans="1:33" s="5333" customFormat="1" ht="12.05" hidden="1" customHeight="1">
      <c r="A201" s="5340"/>
      <c r="B201" s="5340"/>
      <c r="C201" s="5340"/>
      <c r="D201" s="5364"/>
      <c r="E201" s="5363"/>
      <c r="F201" s="5363"/>
      <c r="G201" s="5399"/>
      <c r="H201" s="5399"/>
      <c r="I201" s="5638"/>
      <c r="J201" s="5362" t="s">
        <v>50</v>
      </c>
      <c r="K201" s="5376" t="s">
        <v>1428</v>
      </c>
      <c r="L201" s="5375"/>
      <c r="M201" s="5411">
        <v>6000000</v>
      </c>
      <c r="N201" s="5411">
        <v>6000000</v>
      </c>
      <c r="O201" s="5359">
        <f t="shared" si="66"/>
        <v>0</v>
      </c>
      <c r="P201" s="5358">
        <v>6600000</v>
      </c>
      <c r="Q201" s="5357">
        <f t="shared" si="67"/>
        <v>600000</v>
      </c>
      <c r="R201" s="5358">
        <f t="shared" si="68"/>
        <v>10.000000000000014</v>
      </c>
      <c r="S201" s="5358">
        <v>6600000</v>
      </c>
      <c r="T201" s="5359">
        <f t="shared" si="69"/>
        <v>6599990</v>
      </c>
      <c r="U201" s="5358">
        <v>6600000</v>
      </c>
      <c r="V201" s="5357">
        <f t="shared" si="70"/>
        <v>0</v>
      </c>
      <c r="W201" s="5358">
        <f t="shared" si="71"/>
        <v>0</v>
      </c>
      <c r="X201" s="5358">
        <v>6600000</v>
      </c>
      <c r="Y201" s="5359">
        <f t="shared" si="72"/>
        <v>6600000</v>
      </c>
      <c r="Z201" s="5358">
        <v>6600000</v>
      </c>
      <c r="AA201" s="5357">
        <f t="shared" si="75"/>
        <v>0</v>
      </c>
      <c r="AB201" s="5358">
        <f t="shared" si="76"/>
        <v>0</v>
      </c>
      <c r="AC201" s="5350"/>
      <c r="AD201" s="5350"/>
      <c r="AE201" s="5350"/>
      <c r="AF201" s="5349">
        <f t="shared" si="77"/>
        <v>0</v>
      </c>
      <c r="AG201" s="5338">
        <f t="shared" si="78"/>
        <v>0</v>
      </c>
    </row>
    <row r="202" spans="1:33" s="5333" customFormat="1" ht="12.05" hidden="1" customHeight="1">
      <c r="A202" s="5340"/>
      <c r="B202" s="5340"/>
      <c r="C202" s="5340"/>
      <c r="D202" s="5364"/>
      <c r="E202" s="5363"/>
      <c r="F202" s="5363"/>
      <c r="G202" s="5399"/>
      <c r="H202" s="5399"/>
      <c r="I202" s="5638"/>
      <c r="J202" s="5362" t="s">
        <v>50</v>
      </c>
      <c r="K202" s="5376" t="s">
        <v>1427</v>
      </c>
      <c r="L202" s="5375"/>
      <c r="M202" s="5411">
        <v>46825000</v>
      </c>
      <c r="N202" s="5411">
        <v>46825000</v>
      </c>
      <c r="O202" s="5359">
        <f t="shared" si="66"/>
        <v>0</v>
      </c>
      <c r="P202" s="5358">
        <v>51507500</v>
      </c>
      <c r="Q202" s="5357">
        <f t="shared" si="67"/>
        <v>4682500</v>
      </c>
      <c r="R202" s="5358">
        <f t="shared" si="68"/>
        <v>10.000000000000014</v>
      </c>
      <c r="S202" s="5358">
        <v>51507500</v>
      </c>
      <c r="T202" s="5359">
        <f t="shared" si="69"/>
        <v>51507490</v>
      </c>
      <c r="U202" s="5358">
        <v>51507500</v>
      </c>
      <c r="V202" s="5357">
        <f t="shared" si="70"/>
        <v>0</v>
      </c>
      <c r="W202" s="5358">
        <f t="shared" si="71"/>
        <v>0</v>
      </c>
      <c r="X202" s="5358">
        <v>51507500</v>
      </c>
      <c r="Y202" s="5359">
        <f t="shared" si="72"/>
        <v>51507500</v>
      </c>
      <c r="Z202" s="5358">
        <v>51507500</v>
      </c>
      <c r="AA202" s="5357">
        <f t="shared" si="75"/>
        <v>0</v>
      </c>
      <c r="AB202" s="5358">
        <f t="shared" si="76"/>
        <v>0</v>
      </c>
      <c r="AC202" s="5350"/>
      <c r="AD202" s="5350"/>
      <c r="AE202" s="5350"/>
      <c r="AF202" s="5349">
        <f t="shared" si="77"/>
        <v>0</v>
      </c>
      <c r="AG202" s="5338">
        <f t="shared" si="78"/>
        <v>0</v>
      </c>
    </row>
    <row r="203" spans="1:33" s="5333" customFormat="1" ht="15.05" hidden="1" customHeight="1">
      <c r="A203" s="5340"/>
      <c r="B203" s="5340"/>
      <c r="C203" s="5340"/>
      <c r="D203" s="5367">
        <v>4</v>
      </c>
      <c r="E203" s="5367">
        <v>1</v>
      </c>
      <c r="F203" s="5367">
        <v>4</v>
      </c>
      <c r="G203" s="5367" t="s">
        <v>449</v>
      </c>
      <c r="H203" s="5399" t="s">
        <v>451</v>
      </c>
      <c r="I203" s="5638"/>
      <c r="J203" s="5377" t="s">
        <v>1426</v>
      </c>
      <c r="K203" s="5376"/>
      <c r="L203" s="5375"/>
      <c r="M203" s="5527">
        <v>1168834803</v>
      </c>
      <c r="N203" s="5527">
        <f>+N204+N205+N206</f>
        <v>1168834803</v>
      </c>
      <c r="O203" s="5359">
        <f t="shared" si="66"/>
        <v>0</v>
      </c>
      <c r="P203" s="5401">
        <f>+P204+P205+P206</f>
        <v>901830303</v>
      </c>
      <c r="Q203" s="5357">
        <f t="shared" si="67"/>
        <v>-267004500</v>
      </c>
      <c r="R203" s="5358">
        <f t="shared" si="68"/>
        <v>-22.84364730710368</v>
      </c>
      <c r="S203" s="5401">
        <f>+S204+S205+S206</f>
        <v>901830303</v>
      </c>
      <c r="T203" s="5359">
        <f t="shared" si="69"/>
        <v>901830325.84364736</v>
      </c>
      <c r="U203" s="5401">
        <f>+U204+U205+U206</f>
        <v>901830303</v>
      </c>
      <c r="V203" s="5357">
        <f t="shared" si="70"/>
        <v>0</v>
      </c>
      <c r="W203" s="5358">
        <f t="shared" si="71"/>
        <v>0</v>
      </c>
      <c r="X203" s="5401">
        <f>+X204+X205+X206</f>
        <v>901830303</v>
      </c>
      <c r="Y203" s="5359">
        <f t="shared" si="72"/>
        <v>901830303</v>
      </c>
      <c r="Z203" s="5401">
        <f>+Z204+Z205+Z206</f>
        <v>901830303</v>
      </c>
      <c r="AA203" s="5357">
        <f t="shared" si="75"/>
        <v>0</v>
      </c>
      <c r="AB203" s="5358">
        <f t="shared" si="76"/>
        <v>0</v>
      </c>
      <c r="AC203" s="5350"/>
      <c r="AD203" s="5350"/>
      <c r="AE203" s="5350"/>
      <c r="AF203" s="5349">
        <f t="shared" si="77"/>
        <v>0</v>
      </c>
      <c r="AG203" s="5338">
        <f t="shared" si="78"/>
        <v>0</v>
      </c>
    </row>
    <row r="204" spans="1:33" s="5333" customFormat="1" ht="12.05" hidden="1" customHeight="1">
      <c r="A204" s="5340"/>
      <c r="B204" s="5340"/>
      <c r="C204" s="5340"/>
      <c r="D204" s="5364"/>
      <c r="E204" s="5363"/>
      <c r="F204" s="5363"/>
      <c r="G204" s="5399"/>
      <c r="H204" s="5399"/>
      <c r="I204" s="5638"/>
      <c r="J204" s="5362" t="s">
        <v>50</v>
      </c>
      <c r="K204" s="5376" t="s">
        <v>1423</v>
      </c>
      <c r="L204" s="5375"/>
      <c r="M204" s="5411">
        <v>819845803</v>
      </c>
      <c r="N204" s="5411">
        <v>819845803</v>
      </c>
      <c r="O204" s="5359">
        <f t="shared" si="66"/>
        <v>0</v>
      </c>
      <c r="P204" s="5358">
        <v>901830303</v>
      </c>
      <c r="Q204" s="5357">
        <f t="shared" si="67"/>
        <v>81984500</v>
      </c>
      <c r="R204" s="5358">
        <f t="shared" si="68"/>
        <v>9.9999902054752567</v>
      </c>
      <c r="S204" s="5358">
        <v>901830303</v>
      </c>
      <c r="T204" s="5359">
        <f t="shared" si="69"/>
        <v>901830293.00000978</v>
      </c>
      <c r="U204" s="5358">
        <v>901830303</v>
      </c>
      <c r="V204" s="5357">
        <f t="shared" si="70"/>
        <v>0</v>
      </c>
      <c r="W204" s="5358">
        <f t="shared" si="71"/>
        <v>0</v>
      </c>
      <c r="X204" s="5358">
        <v>901830303</v>
      </c>
      <c r="Y204" s="5359">
        <f t="shared" si="72"/>
        <v>901830303</v>
      </c>
      <c r="Z204" s="5358">
        <v>901830303</v>
      </c>
      <c r="AA204" s="5357">
        <f t="shared" si="75"/>
        <v>0</v>
      </c>
      <c r="AB204" s="5358">
        <f t="shared" si="76"/>
        <v>0</v>
      </c>
      <c r="AC204" s="5350"/>
      <c r="AD204" s="5350"/>
      <c r="AE204" s="5350"/>
      <c r="AF204" s="5349">
        <f t="shared" si="77"/>
        <v>0</v>
      </c>
      <c r="AG204" s="5338">
        <f t="shared" si="78"/>
        <v>0</v>
      </c>
    </row>
    <row r="205" spans="1:33" s="5333" customFormat="1" ht="12.05" hidden="1" customHeight="1">
      <c r="A205" s="5340"/>
      <c r="B205" s="5340"/>
      <c r="C205" s="5340"/>
      <c r="D205" s="5364"/>
      <c r="E205" s="5363"/>
      <c r="F205" s="5363"/>
      <c r="G205" s="5399"/>
      <c r="H205" s="5399"/>
      <c r="I205" s="5638"/>
      <c r="J205" s="5362" t="s">
        <v>50</v>
      </c>
      <c r="K205" s="5376" t="s">
        <v>1425</v>
      </c>
      <c r="L205" s="5375"/>
      <c r="M205" s="5411">
        <v>348989000</v>
      </c>
      <c r="N205" s="5411">
        <v>348989000</v>
      </c>
      <c r="O205" s="5411">
        <f t="shared" si="66"/>
        <v>0</v>
      </c>
      <c r="P205" s="5396">
        <v>0</v>
      </c>
      <c r="Q205" s="5357">
        <f t="shared" si="67"/>
        <v>-348989000</v>
      </c>
      <c r="R205" s="5358">
        <f t="shared" si="68"/>
        <v>-100</v>
      </c>
      <c r="S205" s="5396">
        <v>0</v>
      </c>
      <c r="T205" s="5411">
        <f t="shared" si="69"/>
        <v>100</v>
      </c>
      <c r="U205" s="5396">
        <v>0</v>
      </c>
      <c r="V205" s="5357">
        <f t="shared" si="70"/>
        <v>0</v>
      </c>
      <c r="W205" s="5358" t="e">
        <f t="shared" si="71"/>
        <v>#DIV/0!</v>
      </c>
      <c r="X205" s="5396">
        <v>0</v>
      </c>
      <c r="Y205" s="5411" t="e">
        <f t="shared" si="72"/>
        <v>#DIV/0!</v>
      </c>
      <c r="Z205" s="5396">
        <v>0</v>
      </c>
      <c r="AA205" s="5357">
        <f t="shared" si="75"/>
        <v>0</v>
      </c>
      <c r="AB205" s="5358" t="e">
        <f t="shared" si="76"/>
        <v>#DIV/0!</v>
      </c>
      <c r="AC205" s="5350"/>
      <c r="AD205" s="5350"/>
      <c r="AE205" s="5350"/>
      <c r="AF205" s="5349">
        <f t="shared" si="77"/>
        <v>0</v>
      </c>
      <c r="AG205" s="5338">
        <f t="shared" si="78"/>
        <v>0</v>
      </c>
    </row>
    <row r="206" spans="1:33" s="5333" customFormat="1" ht="12.05" hidden="1" customHeight="1">
      <c r="A206" s="5340"/>
      <c r="B206" s="5340"/>
      <c r="C206" s="5340"/>
      <c r="D206" s="5364"/>
      <c r="E206" s="5363"/>
      <c r="F206" s="5363"/>
      <c r="G206" s="5399"/>
      <c r="H206" s="5399"/>
      <c r="I206" s="5638"/>
      <c r="J206" s="5362" t="s">
        <v>50</v>
      </c>
      <c r="K206" s="5376" t="s">
        <v>103</v>
      </c>
      <c r="L206" s="5375"/>
      <c r="M206" s="5411">
        <v>0</v>
      </c>
      <c r="N206" s="5411">
        <v>0</v>
      </c>
      <c r="O206" s="5411">
        <f t="shared" si="66"/>
        <v>0</v>
      </c>
      <c r="P206" s="5396">
        <v>0</v>
      </c>
      <c r="Q206" s="5357">
        <f t="shared" si="67"/>
        <v>0</v>
      </c>
      <c r="R206" s="5358">
        <v>0</v>
      </c>
      <c r="S206" s="5396">
        <v>0</v>
      </c>
      <c r="T206" s="5411">
        <f t="shared" si="69"/>
        <v>0</v>
      </c>
      <c r="U206" s="5396">
        <v>0</v>
      </c>
      <c r="V206" s="5357">
        <f t="shared" si="70"/>
        <v>0</v>
      </c>
      <c r="W206" s="5358" t="e">
        <f t="shared" si="71"/>
        <v>#DIV/0!</v>
      </c>
      <c r="X206" s="5396">
        <v>0</v>
      </c>
      <c r="Y206" s="5411" t="e">
        <f t="shared" si="72"/>
        <v>#DIV/0!</v>
      </c>
      <c r="Z206" s="5396">
        <v>0</v>
      </c>
      <c r="AA206" s="5357">
        <f t="shared" si="75"/>
        <v>0</v>
      </c>
      <c r="AB206" s="5358" t="e">
        <f t="shared" si="76"/>
        <v>#DIV/0!</v>
      </c>
      <c r="AC206" s="5349"/>
      <c r="AD206" s="5349"/>
      <c r="AE206" s="5349"/>
      <c r="AF206" s="5349">
        <f t="shared" si="77"/>
        <v>0</v>
      </c>
      <c r="AG206" s="5338">
        <f t="shared" si="78"/>
        <v>0</v>
      </c>
    </row>
    <row r="207" spans="1:33" s="5333" customFormat="1" ht="12.05" hidden="1" customHeight="1">
      <c r="A207" s="5340"/>
      <c r="B207" s="5340"/>
      <c r="C207" s="5340"/>
      <c r="D207" s="5364"/>
      <c r="E207" s="5363"/>
      <c r="F207" s="5363"/>
      <c r="G207" s="5399"/>
      <c r="H207" s="5399"/>
      <c r="I207" s="5638"/>
      <c r="J207" s="5362"/>
      <c r="K207" s="5376"/>
      <c r="L207" s="5375"/>
      <c r="M207" s="5411"/>
      <c r="N207" s="5411"/>
      <c r="O207" s="5411"/>
      <c r="P207" s="5396"/>
      <c r="Q207" s="5357"/>
      <c r="R207" s="5358"/>
      <c r="S207" s="5396"/>
      <c r="T207" s="5411"/>
      <c r="U207" s="5396"/>
      <c r="V207" s="5357"/>
      <c r="W207" s="5358" t="e">
        <f t="shared" si="71"/>
        <v>#DIV/0!</v>
      </c>
      <c r="X207" s="5396"/>
      <c r="Y207" s="5411"/>
      <c r="Z207" s="5396"/>
      <c r="AA207" s="5357">
        <f t="shared" si="75"/>
        <v>0</v>
      </c>
      <c r="AB207" s="5358" t="e">
        <f t="shared" si="76"/>
        <v>#DIV/0!</v>
      </c>
      <c r="AF207" s="5349">
        <f t="shared" si="77"/>
        <v>0</v>
      </c>
      <c r="AG207" s="5338">
        <f t="shared" si="78"/>
        <v>0</v>
      </c>
    </row>
    <row r="208" spans="1:33" s="5333" customFormat="1" ht="15.05" hidden="1" customHeight="1">
      <c r="A208" s="5340"/>
      <c r="B208" s="5340"/>
      <c r="C208" s="5340"/>
      <c r="D208" s="5367">
        <v>4</v>
      </c>
      <c r="E208" s="5367">
        <v>1</v>
      </c>
      <c r="F208" s="5367">
        <v>4</v>
      </c>
      <c r="G208" s="5367" t="s">
        <v>449</v>
      </c>
      <c r="H208" s="5399" t="s">
        <v>441</v>
      </c>
      <c r="I208" s="5638"/>
      <c r="J208" s="5377" t="s">
        <v>1424</v>
      </c>
      <c r="K208" s="5376"/>
      <c r="L208" s="5375"/>
      <c r="M208" s="5527">
        <f>M209</f>
        <v>0</v>
      </c>
      <c r="N208" s="5527">
        <f>+N209+N210</f>
        <v>30181111701</v>
      </c>
      <c r="O208" s="5359">
        <f>N208-M208</f>
        <v>30181111701</v>
      </c>
      <c r="P208" s="5527">
        <f>+P209+P210</f>
        <v>0</v>
      </c>
      <c r="Q208" s="5357">
        <f>+P208-N208</f>
        <v>-30181111701</v>
      </c>
      <c r="R208" s="5358">
        <f>P208/N208*100-100</f>
        <v>-100</v>
      </c>
      <c r="S208" s="5527">
        <f>+S209+S210</f>
        <v>0</v>
      </c>
      <c r="T208" s="5359">
        <f>S208-R208</f>
        <v>100</v>
      </c>
      <c r="U208" s="5527">
        <f>+U209+U210</f>
        <v>0</v>
      </c>
      <c r="V208" s="5357">
        <f>S208-P208</f>
        <v>0</v>
      </c>
      <c r="W208" s="5358" t="e">
        <f t="shared" si="71"/>
        <v>#DIV/0!</v>
      </c>
      <c r="X208" s="5527">
        <f>+X209+X210</f>
        <v>0</v>
      </c>
      <c r="Y208" s="5359" t="e">
        <f>X208-W208</f>
        <v>#DIV/0!</v>
      </c>
      <c r="Z208" s="5527">
        <f>+Z209+Z210</f>
        <v>0</v>
      </c>
      <c r="AA208" s="5357">
        <f t="shared" si="75"/>
        <v>0</v>
      </c>
      <c r="AB208" s="5358" t="e">
        <f t="shared" si="76"/>
        <v>#DIV/0!</v>
      </c>
      <c r="AF208" s="5349">
        <f t="shared" si="77"/>
        <v>0</v>
      </c>
      <c r="AG208" s="5338">
        <f t="shared" si="78"/>
        <v>0</v>
      </c>
    </row>
    <row r="209" spans="1:33" s="5333" customFormat="1" ht="12.05" hidden="1" customHeight="1">
      <c r="A209" s="5340"/>
      <c r="B209" s="5340"/>
      <c r="C209" s="5340"/>
      <c r="D209" s="5364"/>
      <c r="E209" s="5363"/>
      <c r="F209" s="5363"/>
      <c r="G209" s="5399"/>
      <c r="H209" s="5399"/>
      <c r="I209" s="5638"/>
      <c r="J209" s="5362" t="s">
        <v>50</v>
      </c>
      <c r="K209" s="5376" t="s">
        <v>1423</v>
      </c>
      <c r="L209" s="5375"/>
      <c r="M209" s="5411">
        <v>0</v>
      </c>
      <c r="N209" s="5411">
        <v>30181111701</v>
      </c>
      <c r="O209" s="5359">
        <f>N209-M209</f>
        <v>30181111701</v>
      </c>
      <c r="P209" s="5358">
        <v>0</v>
      </c>
      <c r="Q209" s="5357">
        <f>+P209-N209</f>
        <v>-30181111701</v>
      </c>
      <c r="R209" s="5358">
        <f>P209/N209*100-100</f>
        <v>-100</v>
      </c>
      <c r="S209" s="5358">
        <v>0</v>
      </c>
      <c r="T209" s="5359">
        <f>S209-R209</f>
        <v>100</v>
      </c>
      <c r="U209" s="5358">
        <v>0</v>
      </c>
      <c r="V209" s="5357">
        <f>S209-P209</f>
        <v>0</v>
      </c>
      <c r="W209" s="5358" t="e">
        <f t="shared" si="71"/>
        <v>#DIV/0!</v>
      </c>
      <c r="X209" s="5358">
        <v>0</v>
      </c>
      <c r="Y209" s="5359" t="e">
        <f>X209-W209</f>
        <v>#DIV/0!</v>
      </c>
      <c r="Z209" s="5358">
        <v>0</v>
      </c>
      <c r="AA209" s="5357">
        <f t="shared" si="75"/>
        <v>0</v>
      </c>
      <c r="AB209" s="5358" t="e">
        <f t="shared" si="76"/>
        <v>#DIV/0!</v>
      </c>
      <c r="AF209" s="5349">
        <f t="shared" si="77"/>
        <v>0</v>
      </c>
      <c r="AG209" s="5338">
        <f t="shared" si="78"/>
        <v>0</v>
      </c>
    </row>
    <row r="210" spans="1:33" s="5333" customFormat="1" ht="5.95" customHeight="1">
      <c r="A210" s="5340"/>
      <c r="B210" s="5340"/>
      <c r="C210" s="5340"/>
      <c r="D210" s="5417"/>
      <c r="E210" s="5419"/>
      <c r="F210" s="5419"/>
      <c r="G210" s="5419"/>
      <c r="H210" s="5419"/>
      <c r="I210" s="5635"/>
      <c r="J210" s="5377"/>
      <c r="K210" s="5376"/>
      <c r="L210" s="5375"/>
      <c r="M210" s="5398"/>
      <c r="N210" s="5398"/>
      <c r="O210" s="5398"/>
      <c r="P210" s="5396"/>
      <c r="Q210" s="5397"/>
      <c r="R210" s="5396"/>
      <c r="S210" s="5396"/>
      <c r="T210" s="5398"/>
      <c r="U210" s="5396"/>
      <c r="V210" s="5397"/>
      <c r="W210" s="5396"/>
      <c r="X210" s="5396"/>
      <c r="Y210" s="5398"/>
      <c r="Z210" s="5396"/>
      <c r="AA210" s="5397"/>
      <c r="AB210" s="5396"/>
      <c r="AF210" s="5349">
        <f t="shared" si="77"/>
        <v>0</v>
      </c>
      <c r="AG210" s="5338">
        <f t="shared" si="78"/>
        <v>0</v>
      </c>
    </row>
    <row r="211" spans="1:33" s="5521" customFormat="1" ht="15.05" customHeight="1">
      <c r="A211" s="5464" t="s">
        <v>58</v>
      </c>
      <c r="B211" s="5463" t="s">
        <v>438</v>
      </c>
      <c r="C211" s="5463" t="s">
        <v>440</v>
      </c>
      <c r="D211" s="5393" t="s">
        <v>58</v>
      </c>
      <c r="E211" s="5392" t="s">
        <v>438</v>
      </c>
      <c r="F211" s="5392" t="s">
        <v>440</v>
      </c>
      <c r="G211" s="5392"/>
      <c r="H211" s="5392"/>
      <c r="I211" s="5637" t="s">
        <v>483</v>
      </c>
      <c r="J211" s="5391" t="s">
        <v>1359</v>
      </c>
      <c r="K211" s="5390"/>
      <c r="L211" s="5389"/>
      <c r="M211" s="5502">
        <v>10000000000</v>
      </c>
      <c r="N211" s="5502">
        <f>N213</f>
        <v>16016065500</v>
      </c>
      <c r="O211" s="5502">
        <f>N211-M211</f>
        <v>6016065500</v>
      </c>
      <c r="P211" s="5501">
        <f>P213</f>
        <v>14000000000</v>
      </c>
      <c r="Q211" s="5502">
        <f>+P211-N211</f>
        <v>-2016065500</v>
      </c>
      <c r="R211" s="5501">
        <f>P211/N211*100-100</f>
        <v>-12.587770073742519</v>
      </c>
      <c r="S211" s="5501">
        <f>S213</f>
        <v>15000000000</v>
      </c>
      <c r="T211" s="5502">
        <f>S211-R211</f>
        <v>15000000012.58777</v>
      </c>
      <c r="U211" s="5501">
        <f>U213</f>
        <v>14000000000</v>
      </c>
      <c r="V211" s="5502">
        <f>S211-P211</f>
        <v>1000000000</v>
      </c>
      <c r="W211" s="5501">
        <f>S211/P211*100-100</f>
        <v>7.1428571428571388</v>
      </c>
      <c r="X211" s="5501">
        <f>X213</f>
        <v>15000000000</v>
      </c>
      <c r="Y211" s="5502">
        <f>X211-W211</f>
        <v>14999999992.857143</v>
      </c>
      <c r="Z211" s="5501">
        <f>Z213</f>
        <v>14000000000</v>
      </c>
      <c r="AA211" s="5502">
        <f>X211-S211</f>
        <v>0</v>
      </c>
      <c r="AB211" s="5501">
        <f>X211/S211*100-100</f>
        <v>0</v>
      </c>
      <c r="AC211" s="5594"/>
      <c r="AD211" s="5594"/>
      <c r="AE211" s="5594"/>
      <c r="AF211" s="5594">
        <f t="shared" si="77"/>
        <v>1000000000</v>
      </c>
      <c r="AG211" s="5595">
        <f t="shared" si="78"/>
        <v>0</v>
      </c>
    </row>
    <row r="212" spans="1:33" s="5333" customFormat="1" ht="7.55" customHeight="1">
      <c r="A212" s="5340"/>
      <c r="B212" s="5340"/>
      <c r="C212" s="5340"/>
      <c r="D212" s="5387"/>
      <c r="E212" s="5386"/>
      <c r="F212" s="5386"/>
      <c r="G212" s="5386"/>
      <c r="H212" s="5386"/>
      <c r="I212" s="5636"/>
      <c r="J212" s="5385"/>
      <c r="K212" s="5413"/>
      <c r="L212" s="5412"/>
      <c r="M212" s="5382"/>
      <c r="N212" s="5382"/>
      <c r="O212" s="5382"/>
      <c r="P212" s="5381"/>
      <c r="Q212" s="5382"/>
      <c r="R212" s="5381"/>
      <c r="S212" s="5381"/>
      <c r="T212" s="5382"/>
      <c r="U212" s="5381"/>
      <c r="V212" s="5382"/>
      <c r="W212" s="5381"/>
      <c r="X212" s="5381"/>
      <c r="Y212" s="5382"/>
      <c r="Z212" s="5381"/>
      <c r="AA212" s="5382"/>
      <c r="AB212" s="5381"/>
      <c r="AC212" s="5349"/>
      <c r="AD212" s="5349"/>
      <c r="AE212" s="5349"/>
      <c r="AF212" s="5349">
        <f t="shared" si="77"/>
        <v>0</v>
      </c>
      <c r="AG212" s="5338">
        <f t="shared" si="78"/>
        <v>0</v>
      </c>
    </row>
    <row r="213" spans="1:33" s="5333" customFormat="1" ht="13.5" customHeight="1">
      <c r="A213" s="5426"/>
      <c r="B213" s="5426"/>
      <c r="C213" s="5426"/>
      <c r="D213" s="5374">
        <v>4</v>
      </c>
      <c r="E213" s="5374">
        <v>1</v>
      </c>
      <c r="F213" s="5374"/>
      <c r="G213" s="5374"/>
      <c r="H213" s="5374"/>
      <c r="I213" s="5537"/>
      <c r="J213" s="5372" t="s">
        <v>180</v>
      </c>
      <c r="K213" s="5371"/>
      <c r="L213" s="5370"/>
      <c r="M213" s="5357">
        <v>10000000000</v>
      </c>
      <c r="N213" s="5357">
        <f>N214+N218</f>
        <v>16016065500</v>
      </c>
      <c r="O213" s="5357">
        <f>N213-M213</f>
        <v>6016065500</v>
      </c>
      <c r="P213" s="5358">
        <f>P214+P218</f>
        <v>14000000000</v>
      </c>
      <c r="Q213" s="5357">
        <f>+P213-N213</f>
        <v>-2016065500</v>
      </c>
      <c r="R213" s="5358">
        <f>P213/N213*100-100</f>
        <v>-12.587770073742519</v>
      </c>
      <c r="S213" s="5358">
        <f>S214+S218</f>
        <v>15000000000</v>
      </c>
      <c r="T213" s="5357">
        <f>S213-R213</f>
        <v>15000000012.58777</v>
      </c>
      <c r="U213" s="5358">
        <f>U214+U218</f>
        <v>14000000000</v>
      </c>
      <c r="V213" s="5357">
        <f>S213-P213</f>
        <v>1000000000</v>
      </c>
      <c r="W213" s="5358">
        <f t="shared" ref="W213:W226" si="79">S213/P213*100-100</f>
        <v>7.1428571428571388</v>
      </c>
      <c r="X213" s="5358">
        <f>X214+X218</f>
        <v>15000000000</v>
      </c>
      <c r="Y213" s="5357">
        <f>X213-W213</f>
        <v>14999999992.857143</v>
      </c>
      <c r="Z213" s="5358">
        <f>Z214+Z218</f>
        <v>14000000000</v>
      </c>
      <c r="AA213" s="5357">
        <f t="shared" ref="AA213:AA227" si="80">X213-S213</f>
        <v>0</v>
      </c>
      <c r="AB213" s="5358">
        <f t="shared" ref="AB213:AB226" si="81">X213/S213*100-100</f>
        <v>0</v>
      </c>
      <c r="AC213" s="5349"/>
      <c r="AD213" s="5349"/>
      <c r="AE213" s="5349"/>
      <c r="AF213" s="5349">
        <f t="shared" si="77"/>
        <v>1000000000</v>
      </c>
      <c r="AG213" s="5338">
        <f t="shared" si="78"/>
        <v>0</v>
      </c>
    </row>
    <row r="214" spans="1:33" s="5333" customFormat="1" ht="17.25" hidden="1" customHeight="1">
      <c r="A214" s="5426"/>
      <c r="B214" s="5426"/>
      <c r="C214" s="5426"/>
      <c r="D214" s="5374">
        <v>4</v>
      </c>
      <c r="E214" s="5374">
        <v>1</v>
      </c>
      <c r="F214" s="5374">
        <v>2</v>
      </c>
      <c r="G214" s="5374"/>
      <c r="H214" s="5374"/>
      <c r="I214" s="5537"/>
      <c r="J214" s="5372" t="s">
        <v>106</v>
      </c>
      <c r="K214" s="5361"/>
      <c r="L214" s="5365"/>
      <c r="M214" s="5357">
        <v>0</v>
      </c>
      <c r="N214" s="5357">
        <f>N215</f>
        <v>0</v>
      </c>
      <c r="O214" s="5357">
        <f>N214-M214</f>
        <v>0</v>
      </c>
      <c r="P214" s="5358">
        <f>P215</f>
        <v>0</v>
      </c>
      <c r="Q214" s="5357">
        <f>+P214-N214</f>
        <v>0</v>
      </c>
      <c r="R214" s="5358" t="e">
        <f>P214/N214*100-100</f>
        <v>#DIV/0!</v>
      </c>
      <c r="S214" s="5358">
        <f>S215</f>
        <v>0</v>
      </c>
      <c r="T214" s="5357" t="e">
        <f>S214-R214</f>
        <v>#DIV/0!</v>
      </c>
      <c r="U214" s="5358">
        <f>U215</f>
        <v>0</v>
      </c>
      <c r="V214" s="5357">
        <f>S214-P214</f>
        <v>0</v>
      </c>
      <c r="W214" s="5358" t="e">
        <f t="shared" si="79"/>
        <v>#DIV/0!</v>
      </c>
      <c r="X214" s="5358">
        <f>X215</f>
        <v>0</v>
      </c>
      <c r="Y214" s="5357" t="e">
        <f>X214-W214</f>
        <v>#DIV/0!</v>
      </c>
      <c r="Z214" s="5358">
        <f>Z215</f>
        <v>0</v>
      </c>
      <c r="AA214" s="5357">
        <f t="shared" si="80"/>
        <v>0</v>
      </c>
      <c r="AB214" s="5358" t="e">
        <f t="shared" si="81"/>
        <v>#DIV/0!</v>
      </c>
      <c r="AC214" s="5349"/>
      <c r="AD214" s="5349"/>
      <c r="AE214" s="5349"/>
      <c r="AF214" s="5349">
        <f t="shared" si="77"/>
        <v>0</v>
      </c>
      <c r="AG214" s="5338">
        <f t="shared" si="78"/>
        <v>0</v>
      </c>
    </row>
    <row r="215" spans="1:33" s="5333" customFormat="1" ht="17.25" hidden="1" customHeight="1">
      <c r="A215" s="5426"/>
      <c r="B215" s="5426"/>
      <c r="C215" s="5426"/>
      <c r="D215" s="5367">
        <v>4</v>
      </c>
      <c r="E215" s="5367">
        <v>1</v>
      </c>
      <c r="F215" s="5367">
        <v>2</v>
      </c>
      <c r="G215" s="5368" t="s">
        <v>437</v>
      </c>
      <c r="H215" s="5367"/>
      <c r="I215" s="5631"/>
      <c r="J215" s="5366" t="s">
        <v>107</v>
      </c>
      <c r="K215" s="5361"/>
      <c r="L215" s="5365"/>
      <c r="M215" s="5357">
        <v>0</v>
      </c>
      <c r="N215" s="5357">
        <f>N216</f>
        <v>0</v>
      </c>
      <c r="O215" s="5357">
        <f>N215-M215</f>
        <v>0</v>
      </c>
      <c r="P215" s="5358">
        <f>P216</f>
        <v>0</v>
      </c>
      <c r="Q215" s="5357">
        <f>+P215-N215</f>
        <v>0</v>
      </c>
      <c r="R215" s="5358" t="e">
        <f>P215/N215*100-100</f>
        <v>#DIV/0!</v>
      </c>
      <c r="S215" s="5358">
        <f>S216</f>
        <v>0</v>
      </c>
      <c r="T215" s="5357" t="e">
        <f>S215-R215</f>
        <v>#DIV/0!</v>
      </c>
      <c r="U215" s="5358">
        <f>U216</f>
        <v>0</v>
      </c>
      <c r="V215" s="5357">
        <f>S215-P215</f>
        <v>0</v>
      </c>
      <c r="W215" s="5358" t="e">
        <f t="shared" si="79"/>
        <v>#DIV/0!</v>
      </c>
      <c r="X215" s="5358">
        <f>X216</f>
        <v>0</v>
      </c>
      <c r="Y215" s="5357" t="e">
        <f>X215-W215</f>
        <v>#DIV/0!</v>
      </c>
      <c r="Z215" s="5358">
        <f>Z216</f>
        <v>0</v>
      </c>
      <c r="AA215" s="5357">
        <f t="shared" si="80"/>
        <v>0</v>
      </c>
      <c r="AB215" s="5358" t="e">
        <f t="shared" si="81"/>
        <v>#DIV/0!</v>
      </c>
      <c r="AC215" s="5349"/>
      <c r="AD215" s="5349"/>
      <c r="AE215" s="5349"/>
      <c r="AF215" s="5349">
        <f t="shared" si="77"/>
        <v>0</v>
      </c>
      <c r="AG215" s="5338">
        <f t="shared" si="78"/>
        <v>0</v>
      </c>
    </row>
    <row r="216" spans="1:33" s="5333" customFormat="1" ht="17.25" hidden="1" customHeight="1">
      <c r="A216" s="5426"/>
      <c r="B216" s="5426"/>
      <c r="C216" s="5426"/>
      <c r="D216" s="5367">
        <v>4</v>
      </c>
      <c r="E216" s="5367">
        <v>1</v>
      </c>
      <c r="F216" s="5367">
        <v>2</v>
      </c>
      <c r="G216" s="5368" t="s">
        <v>437</v>
      </c>
      <c r="H216" s="5368" t="s">
        <v>437</v>
      </c>
      <c r="I216" s="5632"/>
      <c r="J216" s="5366" t="s">
        <v>1422</v>
      </c>
      <c r="K216" s="5361"/>
      <c r="L216" s="5365"/>
      <c r="M216" s="5359">
        <v>0</v>
      </c>
      <c r="N216" s="5359">
        <v>0</v>
      </c>
      <c r="O216" s="5359">
        <f>N216-M216</f>
        <v>0</v>
      </c>
      <c r="P216" s="5358">
        <v>0</v>
      </c>
      <c r="Q216" s="5357">
        <f>+P216-N216</f>
        <v>0</v>
      </c>
      <c r="R216" s="5358" t="e">
        <f>P216/N216*100-100</f>
        <v>#DIV/0!</v>
      </c>
      <c r="S216" s="5358">
        <v>0</v>
      </c>
      <c r="T216" s="5359" t="e">
        <f>S216-R216</f>
        <v>#DIV/0!</v>
      </c>
      <c r="U216" s="5358">
        <v>0</v>
      </c>
      <c r="V216" s="5357">
        <f>S216-P216</f>
        <v>0</v>
      </c>
      <c r="W216" s="5358" t="e">
        <f t="shared" si="79"/>
        <v>#DIV/0!</v>
      </c>
      <c r="X216" s="5358">
        <v>0</v>
      </c>
      <c r="Y216" s="5359" t="e">
        <f>X216-W216</f>
        <v>#DIV/0!</v>
      </c>
      <c r="Z216" s="5358">
        <v>0</v>
      </c>
      <c r="AA216" s="5357">
        <f t="shared" si="80"/>
        <v>0</v>
      </c>
      <c r="AB216" s="5358" t="e">
        <f t="shared" si="81"/>
        <v>#DIV/0!</v>
      </c>
      <c r="AC216" s="5349"/>
      <c r="AD216" s="5349"/>
      <c r="AE216" s="5349"/>
      <c r="AF216" s="5349">
        <f t="shared" si="77"/>
        <v>0</v>
      </c>
      <c r="AG216" s="5338">
        <f t="shared" si="78"/>
        <v>0</v>
      </c>
    </row>
    <row r="217" spans="1:33" s="5333" customFormat="1" ht="5.95" hidden="1" customHeight="1">
      <c r="A217" s="5340"/>
      <c r="B217" s="5340"/>
      <c r="C217" s="5340"/>
      <c r="D217" s="5367"/>
      <c r="E217" s="5380"/>
      <c r="F217" s="5380"/>
      <c r="G217" s="5379"/>
      <c r="H217" s="5379"/>
      <c r="I217" s="5495"/>
      <c r="J217" s="5366"/>
      <c r="K217" s="5361"/>
      <c r="L217" s="5365"/>
      <c r="M217" s="5357"/>
      <c r="N217" s="5357"/>
      <c r="O217" s="5357"/>
      <c r="P217" s="5358"/>
      <c r="Q217" s="5357"/>
      <c r="R217" s="5358"/>
      <c r="S217" s="5358"/>
      <c r="T217" s="5357"/>
      <c r="U217" s="5358"/>
      <c r="V217" s="5357"/>
      <c r="W217" s="5358" t="e">
        <f t="shared" si="79"/>
        <v>#DIV/0!</v>
      </c>
      <c r="X217" s="5358"/>
      <c r="Y217" s="5357"/>
      <c r="Z217" s="5358"/>
      <c r="AA217" s="5357">
        <f t="shared" si="80"/>
        <v>0</v>
      </c>
      <c r="AB217" s="5358" t="e">
        <f t="shared" si="81"/>
        <v>#DIV/0!</v>
      </c>
      <c r="AC217" s="5349"/>
      <c r="AD217" s="5349"/>
      <c r="AE217" s="5349"/>
      <c r="AF217" s="5349">
        <f t="shared" si="77"/>
        <v>0</v>
      </c>
      <c r="AG217" s="5338">
        <f t="shared" si="78"/>
        <v>0</v>
      </c>
    </row>
    <row r="218" spans="1:33" s="5333" customFormat="1" ht="15.05" customHeight="1">
      <c r="A218" s="5426"/>
      <c r="B218" s="5426"/>
      <c r="C218" s="5426"/>
      <c r="D218" s="5374">
        <v>4</v>
      </c>
      <c r="E218" s="5374">
        <v>1</v>
      </c>
      <c r="F218" s="5374">
        <v>4</v>
      </c>
      <c r="G218" s="5373"/>
      <c r="H218" s="5373"/>
      <c r="I218" s="5633"/>
      <c r="J218" s="5372" t="s">
        <v>71</v>
      </c>
      <c r="K218" s="5371"/>
      <c r="L218" s="5370"/>
      <c r="M218" s="5357">
        <v>10000000000</v>
      </c>
      <c r="N218" s="5357">
        <f>+N219+N224</f>
        <v>16016065500</v>
      </c>
      <c r="O218" s="5359">
        <f t="shared" ref="O218:O227" si="82">N218-M218</f>
        <v>6016065500</v>
      </c>
      <c r="P218" s="5358">
        <f>+P219+P224</f>
        <v>14000000000</v>
      </c>
      <c r="Q218" s="5357">
        <f t="shared" ref="Q218:Q227" si="83">+P218-N218</f>
        <v>-2016065500</v>
      </c>
      <c r="R218" s="5358">
        <f t="shared" ref="R218:R226" si="84">P218/N218*100-100</f>
        <v>-12.587770073742519</v>
      </c>
      <c r="S218" s="5358">
        <f>+S219+S224</f>
        <v>15000000000</v>
      </c>
      <c r="T218" s="5359">
        <f t="shared" ref="T218:T227" si="85">S218-R218</f>
        <v>15000000012.58777</v>
      </c>
      <c r="U218" s="5358">
        <f>+U219+U224</f>
        <v>14000000000</v>
      </c>
      <c r="V218" s="5357">
        <f t="shared" ref="V218:V227" si="86">S218-P218</f>
        <v>1000000000</v>
      </c>
      <c r="W218" s="5358">
        <f t="shared" si="79"/>
        <v>7.1428571428571388</v>
      </c>
      <c r="X218" s="5358">
        <f>+X219+X224</f>
        <v>15000000000</v>
      </c>
      <c r="Y218" s="5359">
        <f t="shared" ref="Y218:Y227" si="87">X218-W218</f>
        <v>14999999992.857143</v>
      </c>
      <c r="Z218" s="5358">
        <f>+Z219+Z224</f>
        <v>14000000000</v>
      </c>
      <c r="AA218" s="5357">
        <f t="shared" si="80"/>
        <v>0</v>
      </c>
      <c r="AB218" s="5358">
        <f t="shared" si="81"/>
        <v>0</v>
      </c>
      <c r="AC218" s="5349"/>
      <c r="AD218" s="5349">
        <f>1500000*12*50</f>
        <v>900000000</v>
      </c>
      <c r="AE218" s="5349"/>
      <c r="AF218" s="5349">
        <f t="shared" si="77"/>
        <v>1000000000</v>
      </c>
      <c r="AG218" s="5338">
        <f t="shared" si="78"/>
        <v>0</v>
      </c>
    </row>
    <row r="219" spans="1:33" s="5333" customFormat="1" ht="11.3" hidden="1" customHeight="1">
      <c r="A219" s="5426"/>
      <c r="B219" s="5426"/>
      <c r="C219" s="5426"/>
      <c r="D219" s="5367">
        <v>4</v>
      </c>
      <c r="E219" s="5367">
        <v>1</v>
      </c>
      <c r="F219" s="5367">
        <v>4</v>
      </c>
      <c r="G219" s="5367" t="s">
        <v>948</v>
      </c>
      <c r="H219" s="5368"/>
      <c r="I219" s="5632"/>
      <c r="J219" s="5366" t="s">
        <v>321</v>
      </c>
      <c r="K219" s="5361"/>
      <c r="L219" s="5365"/>
      <c r="M219" s="5357">
        <v>0</v>
      </c>
      <c r="N219" s="5357">
        <f>N220</f>
        <v>0</v>
      </c>
      <c r="O219" s="5359">
        <f t="shared" si="82"/>
        <v>0</v>
      </c>
      <c r="P219" s="5358">
        <f>P220</f>
        <v>0</v>
      </c>
      <c r="Q219" s="5357">
        <f t="shared" si="83"/>
        <v>0</v>
      </c>
      <c r="R219" s="5358" t="e">
        <f t="shared" si="84"/>
        <v>#DIV/0!</v>
      </c>
      <c r="S219" s="5358">
        <f>S220</f>
        <v>0</v>
      </c>
      <c r="T219" s="5359" t="e">
        <f t="shared" si="85"/>
        <v>#DIV/0!</v>
      </c>
      <c r="U219" s="5358">
        <f>U220</f>
        <v>0</v>
      </c>
      <c r="V219" s="5357">
        <f t="shared" si="86"/>
        <v>0</v>
      </c>
      <c r="W219" s="5358" t="e">
        <f t="shared" si="79"/>
        <v>#DIV/0!</v>
      </c>
      <c r="X219" s="5358">
        <f>X220</f>
        <v>0</v>
      </c>
      <c r="Y219" s="5359" t="e">
        <f t="shared" si="87"/>
        <v>#DIV/0!</v>
      </c>
      <c r="Z219" s="5358">
        <f>Z220</f>
        <v>0</v>
      </c>
      <c r="AA219" s="5357">
        <f t="shared" si="80"/>
        <v>0</v>
      </c>
      <c r="AB219" s="5358" t="e">
        <f t="shared" si="81"/>
        <v>#DIV/0!</v>
      </c>
      <c r="AC219" s="5349"/>
      <c r="AD219" s="5349"/>
      <c r="AE219" s="5349"/>
      <c r="AF219" s="5349">
        <f t="shared" si="77"/>
        <v>0</v>
      </c>
      <c r="AG219" s="5338">
        <f t="shared" si="78"/>
        <v>0</v>
      </c>
    </row>
    <row r="220" spans="1:33" s="5333" customFormat="1" ht="13.5" hidden="1" customHeight="1">
      <c r="A220" s="5426"/>
      <c r="B220" s="5426"/>
      <c r="C220" s="5426"/>
      <c r="D220" s="5367">
        <v>4</v>
      </c>
      <c r="E220" s="5367">
        <v>1</v>
      </c>
      <c r="F220" s="5367">
        <v>4</v>
      </c>
      <c r="G220" s="5367" t="s">
        <v>948</v>
      </c>
      <c r="H220" s="5367" t="s">
        <v>437</v>
      </c>
      <c r="I220" s="5631"/>
      <c r="J220" s="5366" t="s">
        <v>85</v>
      </c>
      <c r="K220" s="5361"/>
      <c r="L220" s="5365"/>
      <c r="M220" s="5359">
        <v>0</v>
      </c>
      <c r="N220" s="5359">
        <f>N221</f>
        <v>0</v>
      </c>
      <c r="O220" s="5359">
        <f t="shared" si="82"/>
        <v>0</v>
      </c>
      <c r="P220" s="5358">
        <f>P221</f>
        <v>0</v>
      </c>
      <c r="Q220" s="5357">
        <f t="shared" si="83"/>
        <v>0</v>
      </c>
      <c r="R220" s="5358" t="e">
        <f t="shared" si="84"/>
        <v>#DIV/0!</v>
      </c>
      <c r="S220" s="5358">
        <f>S221</f>
        <v>0</v>
      </c>
      <c r="T220" s="5359" t="e">
        <f t="shared" si="85"/>
        <v>#DIV/0!</v>
      </c>
      <c r="U220" s="5358">
        <f>U221</f>
        <v>0</v>
      </c>
      <c r="V220" s="5357">
        <f t="shared" si="86"/>
        <v>0</v>
      </c>
      <c r="W220" s="5358" t="e">
        <f t="shared" si="79"/>
        <v>#DIV/0!</v>
      </c>
      <c r="X220" s="5358">
        <f>X221</f>
        <v>0</v>
      </c>
      <c r="Y220" s="5359" t="e">
        <f t="shared" si="87"/>
        <v>#DIV/0!</v>
      </c>
      <c r="Z220" s="5358">
        <f>Z221</f>
        <v>0</v>
      </c>
      <c r="AA220" s="5357">
        <f t="shared" si="80"/>
        <v>0</v>
      </c>
      <c r="AB220" s="5358" t="e">
        <f t="shared" si="81"/>
        <v>#DIV/0!</v>
      </c>
      <c r="AC220" s="5349"/>
      <c r="AD220" s="5349"/>
      <c r="AE220" s="5349"/>
      <c r="AF220" s="5349">
        <f t="shared" si="77"/>
        <v>0</v>
      </c>
      <c r="AG220" s="5338">
        <f t="shared" si="78"/>
        <v>0</v>
      </c>
    </row>
    <row r="221" spans="1:33" s="5333" customFormat="1" ht="12.05" hidden="1" customHeight="1">
      <c r="A221" s="5426"/>
      <c r="B221" s="5426"/>
      <c r="C221" s="5426"/>
      <c r="D221" s="5364"/>
      <c r="E221" s="5363"/>
      <c r="F221" s="5363"/>
      <c r="G221" s="5363"/>
      <c r="H221" s="5363"/>
      <c r="I221" s="5635"/>
      <c r="J221" s="5362" t="s">
        <v>50</v>
      </c>
      <c r="K221" s="5376" t="s">
        <v>85</v>
      </c>
      <c r="L221" s="5375"/>
      <c r="M221" s="5359">
        <v>0</v>
      </c>
      <c r="N221" s="5359">
        <v>0</v>
      </c>
      <c r="O221" s="5359">
        <f t="shared" si="82"/>
        <v>0</v>
      </c>
      <c r="P221" s="5358">
        <v>0</v>
      </c>
      <c r="Q221" s="5357">
        <f t="shared" si="83"/>
        <v>0</v>
      </c>
      <c r="R221" s="5358" t="e">
        <f t="shared" si="84"/>
        <v>#DIV/0!</v>
      </c>
      <c r="S221" s="5358">
        <v>0</v>
      </c>
      <c r="T221" s="5359" t="e">
        <f t="shared" si="85"/>
        <v>#DIV/0!</v>
      </c>
      <c r="U221" s="5358">
        <v>0</v>
      </c>
      <c r="V221" s="5357">
        <f t="shared" si="86"/>
        <v>0</v>
      </c>
      <c r="W221" s="5358" t="e">
        <f t="shared" si="79"/>
        <v>#DIV/0!</v>
      </c>
      <c r="X221" s="5358">
        <v>0</v>
      </c>
      <c r="Y221" s="5359" t="e">
        <f t="shared" si="87"/>
        <v>#DIV/0!</v>
      </c>
      <c r="Z221" s="5358">
        <v>0</v>
      </c>
      <c r="AA221" s="5357">
        <f t="shared" si="80"/>
        <v>0</v>
      </c>
      <c r="AB221" s="5358" t="e">
        <f t="shared" si="81"/>
        <v>#DIV/0!</v>
      </c>
      <c r="AC221" s="5349"/>
      <c r="AD221" s="5349"/>
      <c r="AE221" s="5349"/>
      <c r="AF221" s="5349">
        <f t="shared" si="77"/>
        <v>0</v>
      </c>
      <c r="AG221" s="5338">
        <f t="shared" si="78"/>
        <v>0</v>
      </c>
    </row>
    <row r="222" spans="1:33" s="5333" customFormat="1" ht="17.25" hidden="1" customHeight="1">
      <c r="A222" s="5426"/>
      <c r="B222" s="5426"/>
      <c r="C222" s="5426"/>
      <c r="D222" s="5367"/>
      <c r="E222" s="5367"/>
      <c r="F222" s="5367"/>
      <c r="G222" s="5367"/>
      <c r="H222" s="5367"/>
      <c r="I222" s="5631"/>
      <c r="J222" s="5408" t="s">
        <v>50</v>
      </c>
      <c r="K222" s="5361" t="s">
        <v>85</v>
      </c>
      <c r="L222" s="5365"/>
      <c r="M222" s="5359">
        <v>0</v>
      </c>
      <c r="N222" s="5359">
        <v>0</v>
      </c>
      <c r="O222" s="5359">
        <f t="shared" si="82"/>
        <v>0</v>
      </c>
      <c r="P222" s="5358">
        <v>0</v>
      </c>
      <c r="Q222" s="5357">
        <f t="shared" si="83"/>
        <v>0</v>
      </c>
      <c r="R222" s="5358" t="e">
        <f t="shared" si="84"/>
        <v>#DIV/0!</v>
      </c>
      <c r="S222" s="5358">
        <v>0</v>
      </c>
      <c r="T222" s="5359" t="e">
        <f t="shared" si="85"/>
        <v>#DIV/0!</v>
      </c>
      <c r="U222" s="5358">
        <v>0</v>
      </c>
      <c r="V222" s="5357">
        <f t="shared" si="86"/>
        <v>0</v>
      </c>
      <c r="W222" s="5358" t="e">
        <f t="shared" si="79"/>
        <v>#DIV/0!</v>
      </c>
      <c r="X222" s="5358">
        <v>0</v>
      </c>
      <c r="Y222" s="5359" t="e">
        <f t="shared" si="87"/>
        <v>#DIV/0!</v>
      </c>
      <c r="Z222" s="5358">
        <v>0</v>
      </c>
      <c r="AA222" s="5357">
        <f t="shared" si="80"/>
        <v>0</v>
      </c>
      <c r="AB222" s="5358" t="e">
        <f t="shared" si="81"/>
        <v>#DIV/0!</v>
      </c>
      <c r="AC222" s="5349"/>
      <c r="AD222" s="5349"/>
      <c r="AE222" s="5349"/>
      <c r="AF222" s="5349">
        <f t="shared" si="77"/>
        <v>0</v>
      </c>
      <c r="AG222" s="5338">
        <f t="shared" si="78"/>
        <v>0</v>
      </c>
    </row>
    <row r="223" spans="1:33" s="5333" customFormat="1" ht="6.75" hidden="1" customHeight="1">
      <c r="A223" s="5426"/>
      <c r="B223" s="5426"/>
      <c r="C223" s="5426"/>
      <c r="D223" s="5364"/>
      <c r="E223" s="5363"/>
      <c r="F223" s="5363"/>
      <c r="G223" s="5363"/>
      <c r="H223" s="5363"/>
      <c r="I223" s="5635"/>
      <c r="J223" s="5362"/>
      <c r="K223" s="5376"/>
      <c r="L223" s="5375"/>
      <c r="M223" s="5411"/>
      <c r="N223" s="5411"/>
      <c r="O223" s="5411">
        <f t="shared" si="82"/>
        <v>0</v>
      </c>
      <c r="P223" s="5396"/>
      <c r="Q223" s="5357">
        <f t="shared" si="83"/>
        <v>0</v>
      </c>
      <c r="R223" s="5358" t="e">
        <f t="shared" si="84"/>
        <v>#DIV/0!</v>
      </c>
      <c r="S223" s="5396"/>
      <c r="T223" s="5411" t="e">
        <f t="shared" si="85"/>
        <v>#DIV/0!</v>
      </c>
      <c r="U223" s="5396"/>
      <c r="V223" s="5357">
        <f t="shared" si="86"/>
        <v>0</v>
      </c>
      <c r="W223" s="5358" t="e">
        <f t="shared" si="79"/>
        <v>#DIV/0!</v>
      </c>
      <c r="X223" s="5396"/>
      <c r="Y223" s="5411" t="e">
        <f t="shared" si="87"/>
        <v>#DIV/0!</v>
      </c>
      <c r="Z223" s="5396"/>
      <c r="AA223" s="5357">
        <f t="shared" si="80"/>
        <v>0</v>
      </c>
      <c r="AB223" s="5358" t="e">
        <f t="shared" si="81"/>
        <v>#DIV/0!</v>
      </c>
      <c r="AC223" s="5349"/>
      <c r="AD223" s="5349"/>
      <c r="AE223" s="5349"/>
      <c r="AF223" s="5349">
        <f t="shared" si="77"/>
        <v>0</v>
      </c>
      <c r="AG223" s="5338">
        <f t="shared" si="78"/>
        <v>0</v>
      </c>
    </row>
    <row r="224" spans="1:33" s="5333" customFormat="1" ht="12.7" customHeight="1">
      <c r="A224" s="5426"/>
      <c r="B224" s="5426"/>
      <c r="C224" s="5426"/>
      <c r="D224" s="5367">
        <v>4</v>
      </c>
      <c r="E224" s="5367">
        <v>1</v>
      </c>
      <c r="F224" s="5367">
        <v>4</v>
      </c>
      <c r="G224" s="5367" t="s">
        <v>449</v>
      </c>
      <c r="H224" s="5363"/>
      <c r="I224" s="5635"/>
      <c r="J224" s="5377" t="s">
        <v>89</v>
      </c>
      <c r="K224" s="5376"/>
      <c r="L224" s="5375"/>
      <c r="M224" s="5411">
        <v>10000000000</v>
      </c>
      <c r="N224" s="5411">
        <f>N225</f>
        <v>16016065500</v>
      </c>
      <c r="O224" s="5359">
        <f t="shared" si="82"/>
        <v>6016065500</v>
      </c>
      <c r="P224" s="5358">
        <f>P225</f>
        <v>14000000000</v>
      </c>
      <c r="Q224" s="5357">
        <f t="shared" si="83"/>
        <v>-2016065500</v>
      </c>
      <c r="R224" s="5358">
        <f t="shared" si="84"/>
        <v>-12.587770073742519</v>
      </c>
      <c r="S224" s="5358">
        <f>S225</f>
        <v>15000000000</v>
      </c>
      <c r="T224" s="5359">
        <f t="shared" si="85"/>
        <v>15000000012.58777</v>
      </c>
      <c r="U224" s="5358">
        <f>U225</f>
        <v>14000000000</v>
      </c>
      <c r="V224" s="5357">
        <f t="shared" si="86"/>
        <v>1000000000</v>
      </c>
      <c r="W224" s="5358">
        <f t="shared" si="79"/>
        <v>7.1428571428571388</v>
      </c>
      <c r="X224" s="5358">
        <f>X225</f>
        <v>15000000000</v>
      </c>
      <c r="Y224" s="5359">
        <f t="shared" si="87"/>
        <v>14999999992.857143</v>
      </c>
      <c r="Z224" s="5358">
        <f>Z225</f>
        <v>14000000000</v>
      </c>
      <c r="AA224" s="5357">
        <f t="shared" si="80"/>
        <v>0</v>
      </c>
      <c r="AB224" s="5358">
        <f t="shared" si="81"/>
        <v>0</v>
      </c>
      <c r="AC224" s="5349"/>
      <c r="AD224" s="5349"/>
      <c r="AE224" s="5349"/>
      <c r="AF224" s="5349">
        <f t="shared" si="77"/>
        <v>1000000000</v>
      </c>
      <c r="AG224" s="5338">
        <f t="shared" si="78"/>
        <v>0</v>
      </c>
    </row>
    <row r="225" spans="1:33" s="5333" customFormat="1" ht="12.7" customHeight="1">
      <c r="A225" s="5426"/>
      <c r="B225" s="5426"/>
      <c r="C225" s="5426"/>
      <c r="D225" s="5367">
        <v>4</v>
      </c>
      <c r="E225" s="5367">
        <v>1</v>
      </c>
      <c r="F225" s="5367">
        <v>4</v>
      </c>
      <c r="G225" s="5367" t="s">
        <v>449</v>
      </c>
      <c r="H225" s="5399" t="s">
        <v>438</v>
      </c>
      <c r="I225" s="5638"/>
      <c r="J225" s="5377" t="s">
        <v>102</v>
      </c>
      <c r="K225" s="5376"/>
      <c r="L225" s="5375"/>
      <c r="M225" s="5411">
        <v>10000000000</v>
      </c>
      <c r="N225" s="5411">
        <f>N226+N227</f>
        <v>16016065500</v>
      </c>
      <c r="O225" s="5359">
        <f t="shared" si="82"/>
        <v>6016065500</v>
      </c>
      <c r="P225" s="5358">
        <f>P226+P227</f>
        <v>14000000000</v>
      </c>
      <c r="Q225" s="5357">
        <f t="shared" si="83"/>
        <v>-2016065500</v>
      </c>
      <c r="R225" s="5358">
        <f t="shared" si="84"/>
        <v>-12.587770073742519</v>
      </c>
      <c r="S225" s="5358">
        <f>S226+S227</f>
        <v>15000000000</v>
      </c>
      <c r="T225" s="5359">
        <f t="shared" si="85"/>
        <v>15000000012.58777</v>
      </c>
      <c r="U225" s="5358">
        <f>U226+U227</f>
        <v>14000000000</v>
      </c>
      <c r="V225" s="5357">
        <f t="shared" si="86"/>
        <v>1000000000</v>
      </c>
      <c r="W225" s="5358">
        <f t="shared" si="79"/>
        <v>7.1428571428571388</v>
      </c>
      <c r="X225" s="5358">
        <f>X226+X227</f>
        <v>15000000000</v>
      </c>
      <c r="Y225" s="5359">
        <f t="shared" si="87"/>
        <v>14999999992.857143</v>
      </c>
      <c r="Z225" s="5358">
        <f>Z226+Z227</f>
        <v>14000000000</v>
      </c>
      <c r="AA225" s="5357">
        <f t="shared" si="80"/>
        <v>0</v>
      </c>
      <c r="AB225" s="5358">
        <f t="shared" si="81"/>
        <v>0</v>
      </c>
      <c r="AC225" s="5349"/>
      <c r="AD225" s="5349"/>
      <c r="AE225" s="5349"/>
      <c r="AF225" s="5349">
        <f t="shared" si="77"/>
        <v>1000000000</v>
      </c>
      <c r="AG225" s="5338">
        <f t="shared" si="78"/>
        <v>0</v>
      </c>
    </row>
    <row r="226" spans="1:33" s="5333" customFormat="1" ht="12.7" customHeight="1">
      <c r="A226" s="5426"/>
      <c r="B226" s="5426"/>
      <c r="C226" s="5426"/>
      <c r="D226" s="5364"/>
      <c r="E226" s="5363"/>
      <c r="F226" s="5363"/>
      <c r="G226" s="5363"/>
      <c r="H226" s="5399"/>
      <c r="I226" s="5638"/>
      <c r="J226" s="5362" t="s">
        <v>50</v>
      </c>
      <c r="K226" s="5376" t="s">
        <v>1421</v>
      </c>
      <c r="L226" s="5375"/>
      <c r="M226" s="5411">
        <v>10000000000</v>
      </c>
      <c r="N226" s="5411">
        <v>16016065500</v>
      </c>
      <c r="O226" s="5359">
        <f t="shared" si="82"/>
        <v>6016065500</v>
      </c>
      <c r="P226" s="5358">
        <v>14000000000</v>
      </c>
      <c r="Q226" s="5357">
        <f t="shared" si="83"/>
        <v>-2016065500</v>
      </c>
      <c r="R226" s="5358">
        <f t="shared" si="84"/>
        <v>-12.587770073742519</v>
      </c>
      <c r="S226" s="5358">
        <f>'rekap perdinas Kua PPAS'!J120</f>
        <v>15000000000</v>
      </c>
      <c r="T226" s="5359">
        <f t="shared" si="85"/>
        <v>15000000012.58777</v>
      </c>
      <c r="U226" s="5358">
        <v>14000000000</v>
      </c>
      <c r="V226" s="5357">
        <f t="shared" si="86"/>
        <v>1000000000</v>
      </c>
      <c r="W226" s="5358">
        <f t="shared" si="79"/>
        <v>7.1428571428571388</v>
      </c>
      <c r="X226" s="5358">
        <f>'rekap perdinas Kua PPAS'!N120</f>
        <v>15000000000</v>
      </c>
      <c r="Y226" s="5359">
        <f t="shared" si="87"/>
        <v>14999999992.857143</v>
      </c>
      <c r="Z226" s="5358">
        <v>14000000000</v>
      </c>
      <c r="AA226" s="5357">
        <f t="shared" si="80"/>
        <v>0</v>
      </c>
      <c r="AB226" s="5358">
        <f t="shared" si="81"/>
        <v>0</v>
      </c>
      <c r="AC226" s="5349"/>
      <c r="AD226" s="5349"/>
      <c r="AE226" s="5349"/>
      <c r="AF226" s="5349">
        <f t="shared" si="77"/>
        <v>1000000000</v>
      </c>
      <c r="AG226" s="5338">
        <f t="shared" si="78"/>
        <v>0</v>
      </c>
    </row>
    <row r="227" spans="1:33" s="5333" customFormat="1" ht="12.7" customHeight="1">
      <c r="A227" s="5426"/>
      <c r="B227" s="5426"/>
      <c r="C227" s="5426"/>
      <c r="D227" s="5364"/>
      <c r="E227" s="5363"/>
      <c r="F227" s="5363"/>
      <c r="G227" s="5363"/>
      <c r="H227" s="5399"/>
      <c r="I227" s="5638"/>
      <c r="J227" s="5362" t="s">
        <v>50</v>
      </c>
      <c r="K227" s="5376" t="s">
        <v>103</v>
      </c>
      <c r="L227" s="5375"/>
      <c r="M227" s="5411">
        <v>0</v>
      </c>
      <c r="N227" s="5411">
        <v>0</v>
      </c>
      <c r="O227" s="5359">
        <f t="shared" si="82"/>
        <v>0</v>
      </c>
      <c r="P227" s="5396">
        <v>0</v>
      </c>
      <c r="Q227" s="5357">
        <f t="shared" si="83"/>
        <v>0</v>
      </c>
      <c r="R227" s="5396">
        <v>0</v>
      </c>
      <c r="S227" s="5396">
        <v>0</v>
      </c>
      <c r="T227" s="5359">
        <f t="shared" si="85"/>
        <v>0</v>
      </c>
      <c r="U227" s="5396">
        <v>0</v>
      </c>
      <c r="V227" s="5357">
        <f t="shared" si="86"/>
        <v>0</v>
      </c>
      <c r="W227" s="5396">
        <v>0</v>
      </c>
      <c r="X227" s="5396">
        <v>0</v>
      </c>
      <c r="Y227" s="5359">
        <f t="shared" si="87"/>
        <v>0</v>
      </c>
      <c r="Z227" s="5396">
        <v>0</v>
      </c>
      <c r="AA227" s="5357">
        <f t="shared" si="80"/>
        <v>0</v>
      </c>
      <c r="AB227" s="5396">
        <v>0</v>
      </c>
      <c r="AF227" s="5349">
        <f t="shared" si="77"/>
        <v>0</v>
      </c>
      <c r="AG227" s="5338">
        <f t="shared" si="78"/>
        <v>0</v>
      </c>
    </row>
    <row r="228" spans="1:33" s="5333" customFormat="1" ht="7.55" customHeight="1">
      <c r="A228" s="5340"/>
      <c r="B228" s="5340"/>
      <c r="C228" s="5340"/>
      <c r="D228" s="5364"/>
      <c r="E228" s="5363"/>
      <c r="F228" s="5363"/>
      <c r="G228" s="5363"/>
      <c r="H228" s="5363"/>
      <c r="I228" s="5635"/>
      <c r="J228" s="5362"/>
      <c r="K228" s="5376"/>
      <c r="L228" s="5375"/>
      <c r="M228" s="5411"/>
      <c r="N228" s="5411"/>
      <c r="O228" s="5411"/>
      <c r="P228" s="5396"/>
      <c r="Q228" s="5397"/>
      <c r="R228" s="5410"/>
      <c r="S228" s="5396"/>
      <c r="T228" s="5411"/>
      <c r="U228" s="5396"/>
      <c r="V228" s="5397"/>
      <c r="W228" s="5410"/>
      <c r="X228" s="5396"/>
      <c r="Y228" s="5411"/>
      <c r="Z228" s="5396"/>
      <c r="AA228" s="5397"/>
      <c r="AB228" s="5410"/>
      <c r="AF228" s="5349">
        <f t="shared" si="77"/>
        <v>0</v>
      </c>
      <c r="AG228" s="5338">
        <f t="shared" si="78"/>
        <v>0</v>
      </c>
    </row>
    <row r="229" spans="1:33" s="5521" customFormat="1" ht="15.05" customHeight="1">
      <c r="A229" s="5464" t="s">
        <v>58</v>
      </c>
      <c r="B229" s="5463" t="s">
        <v>440</v>
      </c>
      <c r="C229" s="5463" t="s">
        <v>437</v>
      </c>
      <c r="D229" s="5393" t="s">
        <v>58</v>
      </c>
      <c r="E229" s="5392" t="s">
        <v>440</v>
      </c>
      <c r="F229" s="5392" t="s">
        <v>437</v>
      </c>
      <c r="G229" s="5392"/>
      <c r="H229" s="5392"/>
      <c r="I229" s="5637" t="s">
        <v>484</v>
      </c>
      <c r="J229" s="5391" t="s">
        <v>105</v>
      </c>
      <c r="K229" s="5390"/>
      <c r="L229" s="5389"/>
      <c r="M229" s="5502">
        <v>374250000</v>
      </c>
      <c r="N229" s="5502">
        <f>N231</f>
        <v>436000000</v>
      </c>
      <c r="O229" s="5502">
        <f>N229-M229</f>
        <v>61750000</v>
      </c>
      <c r="P229" s="5501">
        <f>P231</f>
        <v>436000000</v>
      </c>
      <c r="Q229" s="5502">
        <f>+P229-N229</f>
        <v>0</v>
      </c>
      <c r="R229" s="5501">
        <f>P229/N229*100-100</f>
        <v>0</v>
      </c>
      <c r="S229" s="5501">
        <f>S231</f>
        <v>486000000</v>
      </c>
      <c r="T229" s="5502">
        <f>S229-R229</f>
        <v>486000000</v>
      </c>
      <c r="U229" s="5501">
        <f>U231</f>
        <v>436000000</v>
      </c>
      <c r="V229" s="5502">
        <f>S229-P229</f>
        <v>50000000</v>
      </c>
      <c r="W229" s="5501">
        <f>S229/P229*100-100</f>
        <v>11.467889908256893</v>
      </c>
      <c r="X229" s="5501">
        <f>X231</f>
        <v>486000000</v>
      </c>
      <c r="Y229" s="5502">
        <f>X229-W229</f>
        <v>485999988.5321101</v>
      </c>
      <c r="Z229" s="5501">
        <f>Z231</f>
        <v>436000000</v>
      </c>
      <c r="AA229" s="5502">
        <f>X229-S229</f>
        <v>0</v>
      </c>
      <c r="AB229" s="5501">
        <f>X229/S229*100-100</f>
        <v>0</v>
      </c>
      <c r="AC229" s="5594"/>
      <c r="AD229" s="5594"/>
      <c r="AE229" s="5594"/>
      <c r="AF229" s="5594">
        <f t="shared" si="77"/>
        <v>50000000</v>
      </c>
      <c r="AG229" s="5595">
        <f t="shared" si="78"/>
        <v>0</v>
      </c>
    </row>
    <row r="230" spans="1:33" s="5333" customFormat="1" ht="5.95" customHeight="1">
      <c r="A230" s="5340"/>
      <c r="B230" s="5340"/>
      <c r="C230" s="5340"/>
      <c r="D230" s="5387"/>
      <c r="E230" s="5386"/>
      <c r="F230" s="5386"/>
      <c r="G230" s="5386"/>
      <c r="H230" s="5386"/>
      <c r="I230" s="5636"/>
      <c r="J230" s="5385"/>
      <c r="K230" s="5384"/>
      <c r="L230" s="5383"/>
      <c r="M230" s="5382"/>
      <c r="N230" s="5382"/>
      <c r="O230" s="5382"/>
      <c r="P230" s="5381"/>
      <c r="Q230" s="5382"/>
      <c r="R230" s="5381"/>
      <c r="S230" s="5381"/>
      <c r="T230" s="5382"/>
      <c r="U230" s="5381"/>
      <c r="V230" s="5382"/>
      <c r="W230" s="5381"/>
      <c r="X230" s="5381"/>
      <c r="Y230" s="5382"/>
      <c r="Z230" s="5381"/>
      <c r="AA230" s="5382"/>
      <c r="AB230" s="5381"/>
      <c r="AC230" s="5349"/>
      <c r="AD230" s="5349"/>
      <c r="AE230" s="5349"/>
      <c r="AF230" s="5349">
        <f t="shared" si="77"/>
        <v>0</v>
      </c>
      <c r="AG230" s="5338">
        <f t="shared" si="78"/>
        <v>0</v>
      </c>
    </row>
    <row r="231" spans="1:33" s="5333" customFormat="1" ht="15.05" customHeight="1">
      <c r="A231" s="5340"/>
      <c r="B231" s="5340"/>
      <c r="C231" s="5340"/>
      <c r="D231" s="5374">
        <v>4</v>
      </c>
      <c r="E231" s="5374">
        <v>1</v>
      </c>
      <c r="F231" s="5374"/>
      <c r="G231" s="5374"/>
      <c r="H231" s="5374"/>
      <c r="I231" s="5537"/>
      <c r="J231" s="5372" t="s">
        <v>180</v>
      </c>
      <c r="K231" s="5371"/>
      <c r="L231" s="5370"/>
      <c r="M231" s="5357">
        <v>374250000</v>
      </c>
      <c r="N231" s="5357">
        <f>N233+N242</f>
        <v>436000000</v>
      </c>
      <c r="O231" s="5359">
        <f>N231-M231</f>
        <v>61750000</v>
      </c>
      <c r="P231" s="5358">
        <f>P233+P242</f>
        <v>436000000</v>
      </c>
      <c r="Q231" s="5357">
        <f>+P231-N231</f>
        <v>0</v>
      </c>
      <c r="R231" s="5358">
        <f>P231/N231*100-100</f>
        <v>0</v>
      </c>
      <c r="S231" s="5358">
        <f>S233+S242</f>
        <v>486000000</v>
      </c>
      <c r="T231" s="5359">
        <f>S231-R231</f>
        <v>486000000</v>
      </c>
      <c r="U231" s="5358">
        <f>U233+U242</f>
        <v>436000000</v>
      </c>
      <c r="V231" s="5357">
        <f>S231-P231</f>
        <v>50000000</v>
      </c>
      <c r="W231" s="5358">
        <f>S231/P231*100-100</f>
        <v>11.467889908256893</v>
      </c>
      <c r="X231" s="5358">
        <f>X233+X242</f>
        <v>486000000</v>
      </c>
      <c r="Y231" s="5359">
        <f>X231-W231</f>
        <v>485999988.5321101</v>
      </c>
      <c r="Z231" s="5358">
        <f>Z233+Z242</f>
        <v>436000000</v>
      </c>
      <c r="AA231" s="5357">
        <f>X231-S231</f>
        <v>0</v>
      </c>
      <c r="AB231" s="5358">
        <f>X231/S231*100-100</f>
        <v>0</v>
      </c>
      <c r="AC231" s="5349"/>
      <c r="AD231" s="5349"/>
      <c r="AE231" s="5349"/>
      <c r="AF231" s="5349">
        <f t="shared" si="77"/>
        <v>50000000</v>
      </c>
      <c r="AG231" s="5338">
        <f t="shared" si="78"/>
        <v>0</v>
      </c>
    </row>
    <row r="232" spans="1:33" s="5333" customFormat="1" ht="6.75" customHeight="1">
      <c r="A232" s="5340"/>
      <c r="B232" s="5340"/>
      <c r="C232" s="5340"/>
      <c r="D232" s="5367"/>
      <c r="E232" s="5380"/>
      <c r="F232" s="5380"/>
      <c r="G232" s="5380"/>
      <c r="H232" s="5380"/>
      <c r="I232" s="5496"/>
      <c r="J232" s="5366"/>
      <c r="K232" s="5371"/>
      <c r="L232" s="5370"/>
      <c r="M232" s="5357"/>
      <c r="N232" s="5357"/>
      <c r="O232" s="5357"/>
      <c r="P232" s="5358"/>
      <c r="Q232" s="5357"/>
      <c r="R232" s="5358"/>
      <c r="S232" s="5358"/>
      <c r="T232" s="5357"/>
      <c r="U232" s="5358"/>
      <c r="V232" s="5357"/>
      <c r="W232" s="5358"/>
      <c r="X232" s="5358"/>
      <c r="Y232" s="5357"/>
      <c r="Z232" s="5358"/>
      <c r="AA232" s="5357"/>
      <c r="AB232" s="5358"/>
      <c r="AF232" s="5349">
        <f t="shared" si="77"/>
        <v>0</v>
      </c>
      <c r="AG232" s="5338">
        <f t="shared" si="78"/>
        <v>0</v>
      </c>
    </row>
    <row r="233" spans="1:33" s="5333" customFormat="1" ht="14.25" customHeight="1">
      <c r="A233" s="5340"/>
      <c r="B233" s="5340"/>
      <c r="C233" s="5340"/>
      <c r="D233" s="5374">
        <v>4</v>
      </c>
      <c r="E233" s="5374">
        <v>1</v>
      </c>
      <c r="F233" s="5374">
        <v>2</v>
      </c>
      <c r="G233" s="5374"/>
      <c r="H233" s="5374"/>
      <c r="I233" s="5537"/>
      <c r="J233" s="5372" t="s">
        <v>106</v>
      </c>
      <c r="K233" s="5371"/>
      <c r="L233" s="5370"/>
      <c r="M233" s="5357">
        <v>374250000</v>
      </c>
      <c r="N233" s="5357">
        <f>N234+N237</f>
        <v>436000000</v>
      </c>
      <c r="O233" s="5359">
        <f>N233-M233</f>
        <v>61750000</v>
      </c>
      <c r="P233" s="5358">
        <f>P234+P237</f>
        <v>436000000</v>
      </c>
      <c r="Q233" s="5357">
        <f>+P233-N233</f>
        <v>0</v>
      </c>
      <c r="R233" s="5358">
        <f>P233/N233*100-100</f>
        <v>0</v>
      </c>
      <c r="S233" s="5358">
        <f>S234+S237</f>
        <v>486000000</v>
      </c>
      <c r="T233" s="5359">
        <f>S233-R233</f>
        <v>486000000</v>
      </c>
      <c r="U233" s="5358">
        <f>U234+U237</f>
        <v>436000000</v>
      </c>
      <c r="V233" s="5357">
        <f>S233-P233</f>
        <v>50000000</v>
      </c>
      <c r="W233" s="5358">
        <f>S233/P233*100-100</f>
        <v>11.467889908256893</v>
      </c>
      <c r="X233" s="5358">
        <f>X234+X237</f>
        <v>486000000</v>
      </c>
      <c r="Y233" s="5359">
        <f>X233-W233</f>
        <v>485999988.5321101</v>
      </c>
      <c r="Z233" s="5358">
        <f>Z234+Z237</f>
        <v>436000000</v>
      </c>
      <c r="AA233" s="5357">
        <f>X233-S233</f>
        <v>0</v>
      </c>
      <c r="AB233" s="5358">
        <f>X233/S233*100-100</f>
        <v>0</v>
      </c>
      <c r="AC233" s="5349"/>
      <c r="AD233" s="5349"/>
      <c r="AE233" s="5349"/>
      <c r="AF233" s="5349">
        <f t="shared" si="77"/>
        <v>50000000</v>
      </c>
      <c r="AG233" s="5338">
        <f t="shared" si="78"/>
        <v>0</v>
      </c>
    </row>
    <row r="234" spans="1:33" s="5333" customFormat="1" ht="12.05" customHeight="1">
      <c r="A234" s="5426"/>
      <c r="B234" s="5426"/>
      <c r="C234" s="5426"/>
      <c r="D234" s="5367">
        <v>4</v>
      </c>
      <c r="E234" s="5367">
        <v>1</v>
      </c>
      <c r="F234" s="5367">
        <v>2</v>
      </c>
      <c r="G234" s="5368" t="s">
        <v>437</v>
      </c>
      <c r="H234" s="5367"/>
      <c r="I234" s="5631"/>
      <c r="J234" s="5366" t="s">
        <v>107</v>
      </c>
      <c r="K234" s="5371"/>
      <c r="L234" s="5370"/>
      <c r="M234" s="5357">
        <v>4250000</v>
      </c>
      <c r="N234" s="5357">
        <f>N235</f>
        <v>19250000</v>
      </c>
      <c r="O234" s="5359">
        <f>N234-M234</f>
        <v>15000000</v>
      </c>
      <c r="P234" s="5358">
        <f>P235</f>
        <v>19250000</v>
      </c>
      <c r="Q234" s="5357">
        <f>+P234-N234</f>
        <v>0</v>
      </c>
      <c r="R234" s="5358">
        <f>P234/N234*100-100</f>
        <v>0</v>
      </c>
      <c r="S234" s="5358">
        <f>S235</f>
        <v>19250000</v>
      </c>
      <c r="T234" s="5359">
        <f>S234-R234</f>
        <v>19250000</v>
      </c>
      <c r="U234" s="5358">
        <f>U235</f>
        <v>19250000</v>
      </c>
      <c r="V234" s="5357">
        <f>S234-P234</f>
        <v>0</v>
      </c>
      <c r="W234" s="5358">
        <f>S234/P234*100-100</f>
        <v>0</v>
      </c>
      <c r="X234" s="5358">
        <f>X235</f>
        <v>19250000</v>
      </c>
      <c r="Y234" s="5359">
        <f>X234-W234</f>
        <v>19250000</v>
      </c>
      <c r="Z234" s="5358">
        <f>Z235</f>
        <v>19250000</v>
      </c>
      <c r="AA234" s="5357">
        <f>X234-S234</f>
        <v>0</v>
      </c>
      <c r="AB234" s="5358">
        <f>X234/S234*100-100</f>
        <v>0</v>
      </c>
      <c r="AC234" s="5349"/>
      <c r="AD234" s="5349"/>
      <c r="AE234" s="5349"/>
      <c r="AF234" s="5349">
        <f t="shared" si="77"/>
        <v>0</v>
      </c>
      <c r="AG234" s="5338">
        <f t="shared" si="78"/>
        <v>0</v>
      </c>
    </row>
    <row r="235" spans="1:33" s="5333" customFormat="1" ht="12.05" customHeight="1">
      <c r="A235" s="5426"/>
      <c r="B235" s="5426"/>
      <c r="C235" s="5426"/>
      <c r="D235" s="5367">
        <v>4</v>
      </c>
      <c r="E235" s="5367">
        <v>1</v>
      </c>
      <c r="F235" s="5367">
        <v>2</v>
      </c>
      <c r="G235" s="5368" t="s">
        <v>437</v>
      </c>
      <c r="H235" s="5368" t="s">
        <v>440</v>
      </c>
      <c r="I235" s="5632"/>
      <c r="J235" s="5366" t="s">
        <v>108</v>
      </c>
      <c r="K235" s="5371"/>
      <c r="L235" s="5370"/>
      <c r="M235" s="5357">
        <v>4250000</v>
      </c>
      <c r="N235" s="5357">
        <v>19250000</v>
      </c>
      <c r="O235" s="5359">
        <f>N235-M235</f>
        <v>15000000</v>
      </c>
      <c r="P235" s="5358">
        <v>19250000</v>
      </c>
      <c r="Q235" s="5357">
        <f>+P235-N235</f>
        <v>0</v>
      </c>
      <c r="R235" s="5358">
        <f>P235/N235*100-100</f>
        <v>0</v>
      </c>
      <c r="S235" s="5358">
        <v>19250000</v>
      </c>
      <c r="T235" s="5359">
        <f>S235-R235</f>
        <v>19250000</v>
      </c>
      <c r="U235" s="5358">
        <v>19250000</v>
      </c>
      <c r="V235" s="5357">
        <f>S235-P235</f>
        <v>0</v>
      </c>
      <c r="W235" s="5358">
        <f>S235/P235*100-100</f>
        <v>0</v>
      </c>
      <c r="X235" s="5358">
        <v>19250000</v>
      </c>
      <c r="Y235" s="5359">
        <f>X235-W235</f>
        <v>19250000</v>
      </c>
      <c r="Z235" s="5358">
        <v>19250000</v>
      </c>
      <c r="AA235" s="5357">
        <f>X235-S235</f>
        <v>0</v>
      </c>
      <c r="AB235" s="5358">
        <f>X235/S235*100-100</f>
        <v>0</v>
      </c>
      <c r="AC235" s="5349"/>
      <c r="AD235" s="5349"/>
      <c r="AE235" s="5349"/>
      <c r="AF235" s="5349">
        <f t="shared" si="77"/>
        <v>0</v>
      </c>
      <c r="AG235" s="5338">
        <f t="shared" si="78"/>
        <v>0</v>
      </c>
    </row>
    <row r="236" spans="1:33" s="5333" customFormat="1" ht="5.95" customHeight="1">
      <c r="A236" s="5426"/>
      <c r="B236" s="5426"/>
      <c r="C236" s="5426"/>
      <c r="D236" s="5367"/>
      <c r="E236" s="5367"/>
      <c r="F236" s="5367"/>
      <c r="G236" s="5368"/>
      <c r="H236" s="5367"/>
      <c r="I236" s="5631"/>
      <c r="J236" s="5366"/>
      <c r="K236" s="5371"/>
      <c r="L236" s="5370"/>
      <c r="M236" s="5357"/>
      <c r="N236" s="5357"/>
      <c r="O236" s="5357"/>
      <c r="P236" s="5358"/>
      <c r="Q236" s="5357"/>
      <c r="R236" s="5358"/>
      <c r="S236" s="5358"/>
      <c r="T236" s="5357"/>
      <c r="U236" s="5358"/>
      <c r="V236" s="5357"/>
      <c r="W236" s="5358"/>
      <c r="X236" s="5358"/>
      <c r="Y236" s="5357"/>
      <c r="Z236" s="5358"/>
      <c r="AA236" s="5357"/>
      <c r="AB236" s="5358"/>
      <c r="AF236" s="5349">
        <f t="shared" si="77"/>
        <v>0</v>
      </c>
      <c r="AG236" s="5338">
        <f t="shared" si="78"/>
        <v>0</v>
      </c>
    </row>
    <row r="237" spans="1:33" s="5333" customFormat="1" ht="15.05" customHeight="1">
      <c r="A237" s="5340"/>
      <c r="B237" s="5340"/>
      <c r="C237" s="5340"/>
      <c r="D237" s="5367">
        <v>4</v>
      </c>
      <c r="E237" s="5367">
        <v>1</v>
      </c>
      <c r="F237" s="5367">
        <v>2</v>
      </c>
      <c r="G237" s="5368" t="s">
        <v>438</v>
      </c>
      <c r="H237" s="5367"/>
      <c r="I237" s="5631"/>
      <c r="J237" s="5366" t="s">
        <v>374</v>
      </c>
      <c r="K237" s="5361"/>
      <c r="L237" s="5365"/>
      <c r="M237" s="5357">
        <v>370000000</v>
      </c>
      <c r="N237" s="5357">
        <f>+N238</f>
        <v>416750000</v>
      </c>
      <c r="O237" s="5357">
        <f t="shared" ref="O237:O248" si="88">N237-M237</f>
        <v>46750000</v>
      </c>
      <c r="P237" s="5358">
        <f>+P238</f>
        <v>416750000</v>
      </c>
      <c r="Q237" s="5357">
        <f t="shared" ref="Q237:Q248" si="89">+P237-N237</f>
        <v>0</v>
      </c>
      <c r="R237" s="5358">
        <f t="shared" ref="R237:R248" si="90">P237/N237*100-100</f>
        <v>0</v>
      </c>
      <c r="S237" s="5358">
        <f>+S238</f>
        <v>466750000</v>
      </c>
      <c r="T237" s="5357">
        <f t="shared" ref="T237:T248" si="91">S237-R237</f>
        <v>466750000</v>
      </c>
      <c r="U237" s="5358">
        <f>+U238</f>
        <v>416750000</v>
      </c>
      <c r="V237" s="5357">
        <f>S237-P237</f>
        <v>50000000</v>
      </c>
      <c r="W237" s="5358">
        <f>S237/P237*100-100</f>
        <v>11.997600479904008</v>
      </c>
      <c r="X237" s="5358">
        <f>+X238</f>
        <v>466750000</v>
      </c>
      <c r="Y237" s="5357">
        <f t="shared" ref="Y237:Y248" si="92">X237-W237</f>
        <v>466749988.0023995</v>
      </c>
      <c r="Z237" s="5358">
        <f>+Z238</f>
        <v>416750000</v>
      </c>
      <c r="AA237" s="5357">
        <f>X237-S237</f>
        <v>0</v>
      </c>
      <c r="AB237" s="5358">
        <f>X237/S237*100-100</f>
        <v>0</v>
      </c>
      <c r="AC237" s="5349"/>
      <c r="AD237" s="5349"/>
      <c r="AE237" s="5349"/>
      <c r="AF237" s="5349">
        <f t="shared" si="77"/>
        <v>50000000</v>
      </c>
      <c r="AG237" s="5338">
        <f t="shared" si="78"/>
        <v>0</v>
      </c>
    </row>
    <row r="238" spans="1:33" s="5333" customFormat="1" ht="15.05" customHeight="1">
      <c r="A238" s="5340"/>
      <c r="B238" s="5340"/>
      <c r="C238" s="5340"/>
      <c r="D238" s="5367">
        <v>4</v>
      </c>
      <c r="E238" s="5367">
        <v>1</v>
      </c>
      <c r="F238" s="5367">
        <v>2</v>
      </c>
      <c r="G238" s="5368" t="s">
        <v>438</v>
      </c>
      <c r="H238" s="5368" t="s">
        <v>437</v>
      </c>
      <c r="I238" s="5632"/>
      <c r="J238" s="5366" t="s">
        <v>64</v>
      </c>
      <c r="K238" s="5371"/>
      <c r="L238" s="5370"/>
      <c r="M238" s="5357">
        <v>370000000</v>
      </c>
      <c r="N238" s="5357">
        <f>+N239+N240</f>
        <v>416750000</v>
      </c>
      <c r="O238" s="5357">
        <f t="shared" si="88"/>
        <v>46750000</v>
      </c>
      <c r="P238" s="5358">
        <f>+P239+P240</f>
        <v>416750000</v>
      </c>
      <c r="Q238" s="5357">
        <f t="shared" si="89"/>
        <v>0</v>
      </c>
      <c r="R238" s="5358">
        <f t="shared" si="90"/>
        <v>0</v>
      </c>
      <c r="S238" s="5358">
        <f>+S239+S240</f>
        <v>466750000</v>
      </c>
      <c r="T238" s="5357">
        <f t="shared" si="91"/>
        <v>466750000</v>
      </c>
      <c r="U238" s="5358">
        <f>+U239+U240</f>
        <v>416750000</v>
      </c>
      <c r="V238" s="5357">
        <f>S238-P238</f>
        <v>50000000</v>
      </c>
      <c r="W238" s="5358">
        <f>S238/P238*100-100</f>
        <v>11.997600479904008</v>
      </c>
      <c r="X238" s="5358">
        <f>+X239+X240</f>
        <v>466750000</v>
      </c>
      <c r="Y238" s="5357">
        <f t="shared" si="92"/>
        <v>466749988.0023995</v>
      </c>
      <c r="Z238" s="5358">
        <f>+Z239+Z240</f>
        <v>416750000</v>
      </c>
      <c r="AA238" s="5357">
        <f>X238-S238</f>
        <v>0</v>
      </c>
      <c r="AB238" s="5358">
        <f>X238/S238*100-100</f>
        <v>0</v>
      </c>
      <c r="AC238" s="5349"/>
      <c r="AD238" s="5349"/>
      <c r="AE238" s="5349"/>
      <c r="AF238" s="5349">
        <f t="shared" si="77"/>
        <v>50000000</v>
      </c>
      <c r="AG238" s="5338">
        <f t="shared" si="78"/>
        <v>0</v>
      </c>
    </row>
    <row r="239" spans="1:33" s="5333" customFormat="1" ht="12.7" customHeight="1">
      <c r="A239" s="5340"/>
      <c r="B239" s="5340"/>
      <c r="C239" s="5340"/>
      <c r="D239" s="5368"/>
      <c r="E239" s="5380"/>
      <c r="F239" s="5380"/>
      <c r="G239" s="5368"/>
      <c r="H239" s="5367"/>
      <c r="I239" s="5631"/>
      <c r="J239" s="5366" t="s">
        <v>50</v>
      </c>
      <c r="K239" s="5361" t="s">
        <v>492</v>
      </c>
      <c r="L239" s="5365"/>
      <c r="M239" s="5359">
        <v>240000000</v>
      </c>
      <c r="N239" s="5359">
        <v>216750000</v>
      </c>
      <c r="O239" s="5359">
        <f t="shared" si="88"/>
        <v>-23250000</v>
      </c>
      <c r="P239" s="5358">
        <v>216750000</v>
      </c>
      <c r="Q239" s="5357">
        <f t="shared" si="89"/>
        <v>0</v>
      </c>
      <c r="R239" s="5358">
        <f t="shared" si="90"/>
        <v>0</v>
      </c>
      <c r="S239" s="5358">
        <v>216750000</v>
      </c>
      <c r="T239" s="5359">
        <f t="shared" si="91"/>
        <v>216750000</v>
      </c>
      <c r="U239" s="5358">
        <v>216750000</v>
      </c>
      <c r="V239" s="5357">
        <f>S239-P239</f>
        <v>0</v>
      </c>
      <c r="W239" s="5358">
        <f>S239/P239*100-100</f>
        <v>0</v>
      </c>
      <c r="X239" s="5358">
        <v>216750000</v>
      </c>
      <c r="Y239" s="5359">
        <f t="shared" si="92"/>
        <v>216750000</v>
      </c>
      <c r="Z239" s="5358">
        <v>216750000</v>
      </c>
      <c r="AA239" s="5357">
        <f>X239-S239</f>
        <v>0</v>
      </c>
      <c r="AB239" s="5358">
        <f>X239/S239*100-100</f>
        <v>0</v>
      </c>
      <c r="AC239" s="5350"/>
      <c r="AD239" s="5350"/>
      <c r="AE239" s="5350"/>
      <c r="AF239" s="5349">
        <f t="shared" si="77"/>
        <v>0</v>
      </c>
      <c r="AG239" s="5338">
        <f t="shared" si="78"/>
        <v>0</v>
      </c>
    </row>
    <row r="240" spans="1:33" s="5333" customFormat="1" ht="12.7" customHeight="1">
      <c r="A240" s="5340"/>
      <c r="B240" s="5340"/>
      <c r="C240" s="5340"/>
      <c r="D240" s="5368"/>
      <c r="E240" s="5380"/>
      <c r="F240" s="5380"/>
      <c r="G240" s="5368"/>
      <c r="H240" s="5367"/>
      <c r="I240" s="5631"/>
      <c r="J240" s="5591" t="s">
        <v>50</v>
      </c>
      <c r="K240" s="5592" t="s">
        <v>1420</v>
      </c>
      <c r="L240" s="5365"/>
      <c r="M240" s="5359">
        <v>130000000</v>
      </c>
      <c r="N240" s="5359">
        <v>200000000</v>
      </c>
      <c r="O240" s="5359">
        <f t="shared" si="88"/>
        <v>70000000</v>
      </c>
      <c r="P240" s="5358">
        <v>200000000</v>
      </c>
      <c r="Q240" s="5357">
        <f t="shared" si="89"/>
        <v>0</v>
      </c>
      <c r="R240" s="5358">
        <f t="shared" si="90"/>
        <v>0</v>
      </c>
      <c r="S240" s="5358">
        <v>250000000</v>
      </c>
      <c r="T240" s="5359">
        <f t="shared" si="91"/>
        <v>250000000</v>
      </c>
      <c r="U240" s="5358">
        <v>200000000</v>
      </c>
      <c r="V240" s="5357">
        <f>S240-P240</f>
        <v>50000000</v>
      </c>
      <c r="W240" s="5358">
        <f>S240/P240*100-100</f>
        <v>25</v>
      </c>
      <c r="X240" s="5358">
        <v>250000000</v>
      </c>
      <c r="Y240" s="5359">
        <f t="shared" si="92"/>
        <v>249999975</v>
      </c>
      <c r="Z240" s="5358">
        <v>200000000</v>
      </c>
      <c r="AA240" s="5357">
        <f>X240-S240</f>
        <v>0</v>
      </c>
      <c r="AB240" s="5358">
        <f>X240/S240*100-100</f>
        <v>0</v>
      </c>
      <c r="AC240" s="5350"/>
      <c r="AD240" s="5350"/>
      <c r="AE240" s="5350"/>
      <c r="AF240" s="5349">
        <f t="shared" si="77"/>
        <v>50000000</v>
      </c>
      <c r="AG240" s="5338">
        <f t="shared" si="78"/>
        <v>0</v>
      </c>
    </row>
    <row r="241" spans="1:33" s="5333" customFormat="1" ht="5.95" customHeight="1">
      <c r="A241" s="5340"/>
      <c r="B241" s="5340"/>
      <c r="C241" s="5340"/>
      <c r="D241" s="5368"/>
      <c r="E241" s="5380"/>
      <c r="F241" s="5380"/>
      <c r="G241" s="5379"/>
      <c r="H241" s="5367"/>
      <c r="I241" s="5631"/>
      <c r="J241" s="5366"/>
      <c r="K241" s="5361"/>
      <c r="L241" s="5365"/>
      <c r="M241" s="5357"/>
      <c r="N241" s="5357"/>
      <c r="O241" s="5357">
        <f t="shared" si="88"/>
        <v>0</v>
      </c>
      <c r="P241" s="5358"/>
      <c r="Q241" s="5357">
        <f t="shared" si="89"/>
        <v>0</v>
      </c>
      <c r="R241" s="5358" t="e">
        <f t="shared" si="90"/>
        <v>#DIV/0!</v>
      </c>
      <c r="S241" s="5358"/>
      <c r="T241" s="5357" t="e">
        <f t="shared" si="91"/>
        <v>#DIV/0!</v>
      </c>
      <c r="U241" s="5358"/>
      <c r="V241" s="5357"/>
      <c r="W241" s="5358"/>
      <c r="X241" s="5358"/>
      <c r="Y241" s="5357">
        <f t="shared" si="92"/>
        <v>0</v>
      </c>
      <c r="Z241" s="5358"/>
      <c r="AA241" s="5357"/>
      <c r="AB241" s="5358"/>
      <c r="AC241" s="5349"/>
      <c r="AD241" s="5349"/>
      <c r="AE241" s="5349"/>
      <c r="AF241" s="5349">
        <f t="shared" si="77"/>
        <v>0</v>
      </c>
      <c r="AG241" s="5338">
        <f t="shared" si="78"/>
        <v>0</v>
      </c>
    </row>
    <row r="242" spans="1:33" s="5333" customFormat="1" ht="13.5" hidden="1" customHeight="1">
      <c r="A242" s="5340"/>
      <c r="B242" s="5340"/>
      <c r="C242" s="5340"/>
      <c r="D242" s="5374">
        <v>4</v>
      </c>
      <c r="E242" s="5374">
        <v>1</v>
      </c>
      <c r="F242" s="5374">
        <v>4</v>
      </c>
      <c r="G242" s="5373"/>
      <c r="H242" s="5373"/>
      <c r="I242" s="5633"/>
      <c r="J242" s="5372" t="s">
        <v>71</v>
      </c>
      <c r="K242" s="5371"/>
      <c r="L242" s="5370"/>
      <c r="M242" s="5357">
        <v>0</v>
      </c>
      <c r="N242" s="5357">
        <f>+N243+N246</f>
        <v>0</v>
      </c>
      <c r="O242" s="5357">
        <f t="shared" si="88"/>
        <v>0</v>
      </c>
      <c r="P242" s="5358"/>
      <c r="Q242" s="5357">
        <f t="shared" si="89"/>
        <v>0</v>
      </c>
      <c r="R242" s="5358" t="e">
        <f t="shared" si="90"/>
        <v>#DIV/0!</v>
      </c>
      <c r="S242" s="5358"/>
      <c r="T242" s="5357" t="e">
        <f t="shared" si="91"/>
        <v>#DIV/0!</v>
      </c>
      <c r="U242" s="5358"/>
      <c r="V242" s="5357">
        <f t="shared" ref="V242:V248" si="93">S242-P242</f>
        <v>0</v>
      </c>
      <c r="W242" s="5358"/>
      <c r="X242" s="5358"/>
      <c r="Y242" s="5357">
        <f t="shared" si="92"/>
        <v>0</v>
      </c>
      <c r="Z242" s="5358"/>
      <c r="AA242" s="5357"/>
      <c r="AB242" s="5358"/>
      <c r="AC242" s="5350"/>
      <c r="AD242" s="5350"/>
      <c r="AE242" s="5350"/>
      <c r="AF242" s="5349">
        <f t="shared" ref="AF242:AF305" si="94">S242-P242</f>
        <v>0</v>
      </c>
      <c r="AG242" s="5338">
        <f t="shared" ref="AG242:AG305" si="95">AF242-V242</f>
        <v>0</v>
      </c>
    </row>
    <row r="243" spans="1:33" s="5333" customFormat="1" ht="15.05" hidden="1" customHeight="1">
      <c r="A243" s="5340"/>
      <c r="B243" s="5340"/>
      <c r="C243" s="5340"/>
      <c r="D243" s="5367">
        <v>4</v>
      </c>
      <c r="E243" s="5367">
        <v>1</v>
      </c>
      <c r="F243" s="5367">
        <v>4</v>
      </c>
      <c r="G243" s="5367" t="s">
        <v>444</v>
      </c>
      <c r="H243" s="5367"/>
      <c r="I243" s="5631"/>
      <c r="J243" s="5366" t="s">
        <v>222</v>
      </c>
      <c r="K243" s="5361"/>
      <c r="L243" s="5365"/>
      <c r="M243" s="5357">
        <v>0</v>
      </c>
      <c r="N243" s="5357">
        <f>+N244</f>
        <v>0</v>
      </c>
      <c r="O243" s="5359">
        <f t="shared" si="88"/>
        <v>0</v>
      </c>
      <c r="P243" s="5358"/>
      <c r="Q243" s="5357">
        <f t="shared" si="89"/>
        <v>0</v>
      </c>
      <c r="R243" s="5358" t="e">
        <f t="shared" si="90"/>
        <v>#DIV/0!</v>
      </c>
      <c r="S243" s="5358"/>
      <c r="T243" s="5359" t="e">
        <f t="shared" si="91"/>
        <v>#DIV/0!</v>
      </c>
      <c r="U243" s="5358"/>
      <c r="V243" s="5357">
        <f t="shared" si="93"/>
        <v>0</v>
      </c>
      <c r="W243" s="5358"/>
      <c r="X243" s="5358"/>
      <c r="Y243" s="5359">
        <f t="shared" si="92"/>
        <v>0</v>
      </c>
      <c r="Z243" s="5358"/>
      <c r="AA243" s="5357"/>
      <c r="AB243" s="5358"/>
      <c r="AC243" s="5349"/>
      <c r="AD243" s="5349"/>
      <c r="AE243" s="5349"/>
      <c r="AF243" s="5349">
        <f t="shared" si="94"/>
        <v>0</v>
      </c>
      <c r="AG243" s="5338">
        <f t="shared" si="95"/>
        <v>0</v>
      </c>
    </row>
    <row r="244" spans="1:33" s="5333" customFormat="1" ht="12.7" hidden="1" customHeight="1">
      <c r="A244" s="5340"/>
      <c r="B244" s="5340"/>
      <c r="C244" s="5340"/>
      <c r="D244" s="5400">
        <v>4</v>
      </c>
      <c r="E244" s="5400">
        <v>1</v>
      </c>
      <c r="F244" s="5400">
        <v>4</v>
      </c>
      <c r="G244" s="5400" t="s">
        <v>444</v>
      </c>
      <c r="H244" s="5400" t="s">
        <v>441</v>
      </c>
      <c r="I244" s="5634"/>
      <c r="J244" s="5366" t="s">
        <v>1283</v>
      </c>
      <c r="K244" s="5361"/>
      <c r="L244" s="5365"/>
      <c r="M244" s="5357">
        <v>0</v>
      </c>
      <c r="N244" s="5357">
        <v>0</v>
      </c>
      <c r="O244" s="5359">
        <f t="shared" si="88"/>
        <v>0</v>
      </c>
      <c r="P244" s="5358"/>
      <c r="Q244" s="5357">
        <f t="shared" si="89"/>
        <v>0</v>
      </c>
      <c r="R244" s="5358" t="e">
        <f t="shared" si="90"/>
        <v>#DIV/0!</v>
      </c>
      <c r="S244" s="5358"/>
      <c r="T244" s="5359" t="e">
        <f t="shared" si="91"/>
        <v>#DIV/0!</v>
      </c>
      <c r="U244" s="5358"/>
      <c r="V244" s="5357">
        <f t="shared" si="93"/>
        <v>0</v>
      </c>
      <c r="W244" s="5358"/>
      <c r="X244" s="5358"/>
      <c r="Y244" s="5359">
        <f t="shared" si="92"/>
        <v>0</v>
      </c>
      <c r="Z244" s="5358"/>
      <c r="AA244" s="5357"/>
      <c r="AB244" s="5358"/>
      <c r="AC244" s="5349"/>
      <c r="AD244" s="5349"/>
      <c r="AE244" s="5349"/>
      <c r="AF244" s="5349">
        <f t="shared" si="94"/>
        <v>0</v>
      </c>
      <c r="AG244" s="5338">
        <f t="shared" si="95"/>
        <v>0</v>
      </c>
    </row>
    <row r="245" spans="1:33" s="5333" customFormat="1" ht="6.75" hidden="1" customHeight="1">
      <c r="A245" s="5340"/>
      <c r="B245" s="5340"/>
      <c r="C245" s="5340"/>
      <c r="D245" s="5367"/>
      <c r="E245" s="5380"/>
      <c r="F245" s="5380"/>
      <c r="G245" s="5379"/>
      <c r="H245" s="5379"/>
      <c r="I245" s="5495"/>
      <c r="J245" s="5366"/>
      <c r="K245" s="5361"/>
      <c r="L245" s="5365"/>
      <c r="M245" s="5357"/>
      <c r="N245" s="5357"/>
      <c r="O245" s="5357">
        <f t="shared" si="88"/>
        <v>0</v>
      </c>
      <c r="P245" s="5358"/>
      <c r="Q245" s="5357">
        <f t="shared" si="89"/>
        <v>0</v>
      </c>
      <c r="R245" s="5358" t="e">
        <f t="shared" si="90"/>
        <v>#DIV/0!</v>
      </c>
      <c r="S245" s="5358"/>
      <c r="T245" s="5357" t="e">
        <f t="shared" si="91"/>
        <v>#DIV/0!</v>
      </c>
      <c r="U245" s="5358"/>
      <c r="V245" s="5357">
        <f t="shared" si="93"/>
        <v>0</v>
      </c>
      <c r="W245" s="5358"/>
      <c r="X245" s="5358"/>
      <c r="Y245" s="5357">
        <f t="shared" si="92"/>
        <v>0</v>
      </c>
      <c r="Z245" s="5358"/>
      <c r="AA245" s="5357"/>
      <c r="AB245" s="5358"/>
      <c r="AC245" s="5349"/>
      <c r="AD245" s="5349"/>
      <c r="AE245" s="5349"/>
      <c r="AF245" s="5349">
        <f t="shared" si="94"/>
        <v>0</v>
      </c>
      <c r="AG245" s="5338">
        <f t="shared" si="95"/>
        <v>0</v>
      </c>
    </row>
    <row r="246" spans="1:33" s="5333" customFormat="1" ht="12.7" hidden="1" customHeight="1">
      <c r="A246" s="5426"/>
      <c r="B246" s="5426"/>
      <c r="C246" s="5426"/>
      <c r="D246" s="5367">
        <v>4</v>
      </c>
      <c r="E246" s="5367">
        <v>1</v>
      </c>
      <c r="F246" s="5367">
        <v>4</v>
      </c>
      <c r="G246" s="5367" t="s">
        <v>948</v>
      </c>
      <c r="H246" s="5368"/>
      <c r="I246" s="5632"/>
      <c r="J246" s="5366" t="s">
        <v>321</v>
      </c>
      <c r="K246" s="5361"/>
      <c r="L246" s="5365"/>
      <c r="M246" s="5357">
        <v>0</v>
      </c>
      <c r="N246" s="5357">
        <f>N247</f>
        <v>0</v>
      </c>
      <c r="O246" s="5359">
        <f t="shared" si="88"/>
        <v>0</v>
      </c>
      <c r="P246" s="5358"/>
      <c r="Q246" s="5357">
        <f t="shared" si="89"/>
        <v>0</v>
      </c>
      <c r="R246" s="5358" t="e">
        <f t="shared" si="90"/>
        <v>#DIV/0!</v>
      </c>
      <c r="S246" s="5358"/>
      <c r="T246" s="5359" t="e">
        <f t="shared" si="91"/>
        <v>#DIV/0!</v>
      </c>
      <c r="U246" s="5358"/>
      <c r="V246" s="5357">
        <f t="shared" si="93"/>
        <v>0</v>
      </c>
      <c r="W246" s="5358"/>
      <c r="X246" s="5358"/>
      <c r="Y246" s="5359">
        <f t="shared" si="92"/>
        <v>0</v>
      </c>
      <c r="Z246" s="5358"/>
      <c r="AA246" s="5357"/>
      <c r="AB246" s="5358"/>
      <c r="AC246" s="5349"/>
      <c r="AD246" s="5349"/>
      <c r="AE246" s="5349"/>
      <c r="AF246" s="5349">
        <f t="shared" si="94"/>
        <v>0</v>
      </c>
      <c r="AG246" s="5338">
        <f t="shared" si="95"/>
        <v>0</v>
      </c>
    </row>
    <row r="247" spans="1:33" s="5333" customFormat="1" ht="12.05" hidden="1" customHeight="1">
      <c r="A247" s="5426"/>
      <c r="B247" s="5426"/>
      <c r="C247" s="5426"/>
      <c r="D247" s="5367">
        <v>4</v>
      </c>
      <c r="E247" s="5367">
        <v>1</v>
      </c>
      <c r="F247" s="5367">
        <v>4</v>
      </c>
      <c r="G247" s="5367" t="s">
        <v>948</v>
      </c>
      <c r="H247" s="5367" t="s">
        <v>437</v>
      </c>
      <c r="I247" s="5631"/>
      <c r="J247" s="5366" t="s">
        <v>85</v>
      </c>
      <c r="K247" s="5361"/>
      <c r="L247" s="5365"/>
      <c r="M247" s="5357">
        <v>0</v>
      </c>
      <c r="N247" s="5357">
        <f>N248</f>
        <v>0</v>
      </c>
      <c r="O247" s="5359">
        <f t="shared" si="88"/>
        <v>0</v>
      </c>
      <c r="P247" s="5358"/>
      <c r="Q247" s="5357">
        <f t="shared" si="89"/>
        <v>0</v>
      </c>
      <c r="R247" s="5358" t="e">
        <f t="shared" si="90"/>
        <v>#DIV/0!</v>
      </c>
      <c r="S247" s="5358"/>
      <c r="T247" s="5359" t="e">
        <f t="shared" si="91"/>
        <v>#DIV/0!</v>
      </c>
      <c r="U247" s="5358"/>
      <c r="V247" s="5357">
        <f t="shared" si="93"/>
        <v>0</v>
      </c>
      <c r="W247" s="5358"/>
      <c r="X247" s="5358"/>
      <c r="Y247" s="5359">
        <f t="shared" si="92"/>
        <v>0</v>
      </c>
      <c r="Z247" s="5358"/>
      <c r="AA247" s="5357"/>
      <c r="AB247" s="5358"/>
      <c r="AC247" s="5349"/>
      <c r="AD247" s="5349"/>
      <c r="AE247" s="5349"/>
      <c r="AF247" s="5349">
        <f t="shared" si="94"/>
        <v>0</v>
      </c>
      <c r="AG247" s="5338">
        <f t="shared" si="95"/>
        <v>0</v>
      </c>
    </row>
    <row r="248" spans="1:33" s="5333" customFormat="1" ht="11.3" hidden="1" customHeight="1">
      <c r="A248" s="5340"/>
      <c r="B248" s="5340"/>
      <c r="C248" s="5340"/>
      <c r="D248" s="5367"/>
      <c r="E248" s="5380"/>
      <c r="F248" s="5380"/>
      <c r="G248" s="5379"/>
      <c r="H248" s="5379"/>
      <c r="I248" s="5495"/>
      <c r="J248" s="5408" t="s">
        <v>50</v>
      </c>
      <c r="K248" s="5361" t="s">
        <v>85</v>
      </c>
      <c r="L248" s="5365"/>
      <c r="M248" s="5359">
        <v>0</v>
      </c>
      <c r="N248" s="5359">
        <v>0</v>
      </c>
      <c r="O248" s="5359">
        <f t="shared" si="88"/>
        <v>0</v>
      </c>
      <c r="P248" s="5358"/>
      <c r="Q248" s="5357">
        <f t="shared" si="89"/>
        <v>0</v>
      </c>
      <c r="R248" s="5358" t="e">
        <f t="shared" si="90"/>
        <v>#DIV/0!</v>
      </c>
      <c r="S248" s="5358"/>
      <c r="T248" s="5359" t="e">
        <f t="shared" si="91"/>
        <v>#DIV/0!</v>
      </c>
      <c r="U248" s="5358"/>
      <c r="V248" s="5357">
        <f t="shared" si="93"/>
        <v>0</v>
      </c>
      <c r="W248" s="5358"/>
      <c r="X248" s="5358"/>
      <c r="Y248" s="5359">
        <f t="shared" si="92"/>
        <v>0</v>
      </c>
      <c r="Z248" s="5358"/>
      <c r="AA248" s="5357"/>
      <c r="AB248" s="5358"/>
      <c r="AC248" s="5349"/>
      <c r="AD248" s="5349"/>
      <c r="AE248" s="5349"/>
      <c r="AF248" s="5349">
        <f t="shared" si="94"/>
        <v>0</v>
      </c>
      <c r="AG248" s="5338">
        <f t="shared" si="95"/>
        <v>0</v>
      </c>
    </row>
    <row r="249" spans="1:33" s="5333" customFormat="1" ht="8.3000000000000007" hidden="1" customHeight="1">
      <c r="A249" s="5340"/>
      <c r="B249" s="5340"/>
      <c r="C249" s="5340"/>
      <c r="D249" s="5525"/>
      <c r="E249" s="5526"/>
      <c r="F249" s="5526"/>
      <c r="G249" s="5525"/>
      <c r="H249" s="5524"/>
      <c r="I249" s="5641"/>
      <c r="J249" s="5377"/>
      <c r="K249" s="5376"/>
      <c r="L249" s="5375"/>
      <c r="M249" s="5398"/>
      <c r="N249" s="5398"/>
      <c r="O249" s="5398"/>
      <c r="P249" s="5396"/>
      <c r="Q249" s="5398"/>
      <c r="R249" s="5396"/>
      <c r="S249" s="5396"/>
      <c r="T249" s="5398"/>
      <c r="U249" s="5396"/>
      <c r="V249" s="5398"/>
      <c r="W249" s="5396"/>
      <c r="X249" s="5396"/>
      <c r="Y249" s="5398"/>
      <c r="Z249" s="5396"/>
      <c r="AA249" s="5398"/>
      <c r="AB249" s="5396"/>
      <c r="AC249" s="5349"/>
      <c r="AD249" s="5349"/>
      <c r="AE249" s="5349"/>
      <c r="AF249" s="5349">
        <f t="shared" si="94"/>
        <v>0</v>
      </c>
      <c r="AG249" s="5338">
        <f t="shared" si="95"/>
        <v>0</v>
      </c>
    </row>
    <row r="250" spans="1:33" s="5521" customFormat="1" ht="12.05" customHeight="1">
      <c r="A250" s="5464" t="s">
        <v>58</v>
      </c>
      <c r="B250" s="5464" t="s">
        <v>441</v>
      </c>
      <c r="C250" s="5463" t="s">
        <v>437</v>
      </c>
      <c r="D250" s="5393" t="s">
        <v>58</v>
      </c>
      <c r="E250" s="5393" t="s">
        <v>441</v>
      </c>
      <c r="F250" s="5392" t="s">
        <v>437</v>
      </c>
      <c r="G250" s="5393"/>
      <c r="H250" s="5392"/>
      <c r="I250" s="5637" t="s">
        <v>485</v>
      </c>
      <c r="J250" s="5391" t="s">
        <v>1419</v>
      </c>
      <c r="K250" s="5390"/>
      <c r="L250" s="5389"/>
      <c r="M250" s="5502">
        <v>0</v>
      </c>
      <c r="N250" s="5502">
        <f>N252</f>
        <v>0</v>
      </c>
      <c r="O250" s="5502">
        <f>N250-M250</f>
        <v>0</v>
      </c>
      <c r="P250" s="5501"/>
      <c r="Q250" s="5502">
        <f>+P250-N250</f>
        <v>0</v>
      </c>
      <c r="R250" s="5501">
        <v>0</v>
      </c>
      <c r="S250" s="5501"/>
      <c r="T250" s="5502">
        <f>S250-R250</f>
        <v>0</v>
      </c>
      <c r="U250" s="5501"/>
      <c r="V250" s="5502">
        <f>S250-P250</f>
        <v>0</v>
      </c>
      <c r="W250" s="5501">
        <v>0</v>
      </c>
      <c r="X250" s="5501"/>
      <c r="Y250" s="5502">
        <f>X250-W250</f>
        <v>0</v>
      </c>
      <c r="Z250" s="5501"/>
      <c r="AA250" s="5502">
        <f>X250-S250</f>
        <v>0</v>
      </c>
      <c r="AB250" s="5501">
        <v>0</v>
      </c>
      <c r="AC250" s="5594"/>
      <c r="AD250" s="5594"/>
      <c r="AE250" s="5594"/>
      <c r="AF250" s="5594">
        <f t="shared" si="94"/>
        <v>0</v>
      </c>
      <c r="AG250" s="5595">
        <f t="shared" si="95"/>
        <v>0</v>
      </c>
    </row>
    <row r="251" spans="1:33" s="5333" customFormat="1" ht="7.55" customHeight="1">
      <c r="A251" s="5340"/>
      <c r="B251" s="5340"/>
      <c r="C251" s="5340"/>
      <c r="D251" s="5387"/>
      <c r="E251" s="5386"/>
      <c r="F251" s="5386"/>
      <c r="G251" s="5386"/>
      <c r="H251" s="5386"/>
      <c r="I251" s="5636"/>
      <c r="J251" s="5385"/>
      <c r="K251" s="5384"/>
      <c r="L251" s="5383"/>
      <c r="M251" s="5382"/>
      <c r="N251" s="5382"/>
      <c r="O251" s="5382"/>
      <c r="P251" s="5381"/>
      <c r="Q251" s="5355"/>
      <c r="R251" s="5381"/>
      <c r="S251" s="5381"/>
      <c r="T251" s="5382"/>
      <c r="U251" s="5381"/>
      <c r="V251" s="5355"/>
      <c r="W251" s="5381"/>
      <c r="X251" s="5381"/>
      <c r="Y251" s="5382"/>
      <c r="Z251" s="5381"/>
      <c r="AA251" s="5355"/>
      <c r="AB251" s="5381"/>
      <c r="AC251" s="5349"/>
      <c r="AD251" s="5349"/>
      <c r="AE251" s="5349"/>
      <c r="AF251" s="5349">
        <f t="shared" si="94"/>
        <v>0</v>
      </c>
      <c r="AG251" s="5338">
        <f t="shared" si="95"/>
        <v>0</v>
      </c>
    </row>
    <row r="252" spans="1:33" s="5333" customFormat="1" ht="12.7" hidden="1" customHeight="1">
      <c r="A252" s="5340"/>
      <c r="B252" s="5340"/>
      <c r="C252" s="5340"/>
      <c r="D252" s="5374">
        <v>4</v>
      </c>
      <c r="E252" s="5374">
        <v>1</v>
      </c>
      <c r="F252" s="5374"/>
      <c r="G252" s="5374"/>
      <c r="H252" s="5374"/>
      <c r="I252" s="5537"/>
      <c r="J252" s="5372" t="s">
        <v>180</v>
      </c>
      <c r="K252" s="5371"/>
      <c r="L252" s="5370"/>
      <c r="M252" s="5357">
        <v>0</v>
      </c>
      <c r="N252" s="5357">
        <f>N254+N257</f>
        <v>0</v>
      </c>
      <c r="O252" s="5359">
        <f t="shared" ref="O252:O262" si="96">N252-M252</f>
        <v>0</v>
      </c>
      <c r="P252" s="5358"/>
      <c r="Q252" s="5355">
        <f t="shared" ref="Q252:Q270" si="97">+P252-N252</f>
        <v>0</v>
      </c>
      <c r="R252" s="5358" t="e">
        <f t="shared" ref="R252:R262" si="98">P252/N252*100-100</f>
        <v>#DIV/0!</v>
      </c>
      <c r="S252" s="5358"/>
      <c r="T252" s="5359" t="e">
        <f t="shared" ref="T252:T262" si="99">S252-R252</f>
        <v>#DIV/0!</v>
      </c>
      <c r="U252" s="5358"/>
      <c r="V252" s="5355">
        <f t="shared" ref="V252:V270" si="100">S252-P252</f>
        <v>0</v>
      </c>
      <c r="W252" s="5358" t="e">
        <f t="shared" ref="W252:W262" si="101">S252/P252*100-100</f>
        <v>#DIV/0!</v>
      </c>
      <c r="X252" s="5358"/>
      <c r="Y252" s="5359" t="e">
        <f t="shared" ref="Y252:Y262" si="102">X252-W252</f>
        <v>#DIV/0!</v>
      </c>
      <c r="Z252" s="5358"/>
      <c r="AA252" s="5355">
        <f t="shared" ref="AA252:AA262" si="103">X252-S252</f>
        <v>0</v>
      </c>
      <c r="AB252" s="5358" t="e">
        <f t="shared" ref="AB252:AB262" si="104">X252/S252*100-100</f>
        <v>#DIV/0!</v>
      </c>
      <c r="AC252" s="5349"/>
      <c r="AD252" s="5349"/>
      <c r="AE252" s="5349"/>
      <c r="AF252" s="5349">
        <f t="shared" si="94"/>
        <v>0</v>
      </c>
      <c r="AG252" s="5338">
        <f t="shared" si="95"/>
        <v>0</v>
      </c>
    </row>
    <row r="253" spans="1:33" s="5333" customFormat="1" ht="12.7" hidden="1" customHeight="1">
      <c r="A253" s="5340"/>
      <c r="B253" s="5340"/>
      <c r="C253" s="5340"/>
      <c r="D253" s="5374">
        <v>4</v>
      </c>
      <c r="E253" s="5374">
        <v>1</v>
      </c>
      <c r="F253" s="5374">
        <v>2</v>
      </c>
      <c r="G253" s="5374"/>
      <c r="H253" s="5374"/>
      <c r="I253" s="5537"/>
      <c r="J253" s="5372" t="s">
        <v>106</v>
      </c>
      <c r="K253" s="5371"/>
      <c r="L253" s="5370"/>
      <c r="M253" s="5357">
        <v>0</v>
      </c>
      <c r="N253" s="5357">
        <f>N254</f>
        <v>0</v>
      </c>
      <c r="O253" s="5359">
        <f t="shared" si="96"/>
        <v>0</v>
      </c>
      <c r="P253" s="5358"/>
      <c r="Q253" s="5355">
        <f t="shared" si="97"/>
        <v>0</v>
      </c>
      <c r="R253" s="5358" t="e">
        <f t="shared" si="98"/>
        <v>#DIV/0!</v>
      </c>
      <c r="S253" s="5358"/>
      <c r="T253" s="5359" t="e">
        <f t="shared" si="99"/>
        <v>#DIV/0!</v>
      </c>
      <c r="U253" s="5358"/>
      <c r="V253" s="5355">
        <f t="shared" si="100"/>
        <v>0</v>
      </c>
      <c r="W253" s="5358" t="e">
        <f t="shared" si="101"/>
        <v>#DIV/0!</v>
      </c>
      <c r="X253" s="5358"/>
      <c r="Y253" s="5359" t="e">
        <f t="shared" si="102"/>
        <v>#DIV/0!</v>
      </c>
      <c r="Z253" s="5358"/>
      <c r="AA253" s="5355">
        <f t="shared" si="103"/>
        <v>0</v>
      </c>
      <c r="AB253" s="5358" t="e">
        <f t="shared" si="104"/>
        <v>#DIV/0!</v>
      </c>
      <c r="AC253" s="5349"/>
      <c r="AD253" s="5349"/>
      <c r="AE253" s="5349"/>
      <c r="AF253" s="5349">
        <f t="shared" si="94"/>
        <v>0</v>
      </c>
      <c r="AG253" s="5338">
        <f t="shared" si="95"/>
        <v>0</v>
      </c>
    </row>
    <row r="254" spans="1:33" s="5521" customFormat="1" ht="12.7" hidden="1" customHeight="1">
      <c r="A254" s="5523"/>
      <c r="B254" s="5523"/>
      <c r="C254" s="5523"/>
      <c r="D254" s="5374" t="s">
        <v>443</v>
      </c>
      <c r="E254" s="5471" t="s">
        <v>58</v>
      </c>
      <c r="F254" s="5471" t="s">
        <v>460</v>
      </c>
      <c r="G254" s="5522" t="s">
        <v>437</v>
      </c>
      <c r="H254" s="5522"/>
      <c r="I254" s="5642"/>
      <c r="J254" s="5372" t="s">
        <v>107</v>
      </c>
      <c r="K254" s="5371"/>
      <c r="L254" s="5370"/>
      <c r="M254" s="5357">
        <v>0</v>
      </c>
      <c r="N254" s="5357">
        <f>N255</f>
        <v>0</v>
      </c>
      <c r="O254" s="5359">
        <f t="shared" si="96"/>
        <v>0</v>
      </c>
      <c r="P254" s="5358"/>
      <c r="Q254" s="5355">
        <f t="shared" si="97"/>
        <v>0</v>
      </c>
      <c r="R254" s="5358" t="e">
        <f t="shared" si="98"/>
        <v>#DIV/0!</v>
      </c>
      <c r="S254" s="5358"/>
      <c r="T254" s="5359" t="e">
        <f t="shared" si="99"/>
        <v>#DIV/0!</v>
      </c>
      <c r="U254" s="5358"/>
      <c r="V254" s="5355">
        <f t="shared" si="100"/>
        <v>0</v>
      </c>
      <c r="W254" s="5358" t="e">
        <f t="shared" si="101"/>
        <v>#DIV/0!</v>
      </c>
      <c r="X254" s="5358"/>
      <c r="Y254" s="5359" t="e">
        <f t="shared" si="102"/>
        <v>#DIV/0!</v>
      </c>
      <c r="Z254" s="5358"/>
      <c r="AA254" s="5355">
        <f t="shared" si="103"/>
        <v>0</v>
      </c>
      <c r="AB254" s="5358" t="e">
        <f t="shared" si="104"/>
        <v>#DIV/0!</v>
      </c>
      <c r="AC254" s="5350"/>
      <c r="AD254" s="5350"/>
      <c r="AE254" s="5350"/>
      <c r="AF254" s="5349">
        <f t="shared" si="94"/>
        <v>0</v>
      </c>
      <c r="AG254" s="5338">
        <f t="shared" si="95"/>
        <v>0</v>
      </c>
    </row>
    <row r="255" spans="1:33" s="5333" customFormat="1" ht="12.7" hidden="1" customHeight="1">
      <c r="A255" s="5340"/>
      <c r="B255" s="5340"/>
      <c r="C255" s="5340"/>
      <c r="D255" s="5367" t="s">
        <v>443</v>
      </c>
      <c r="E255" s="5380" t="s">
        <v>58</v>
      </c>
      <c r="F255" s="5380" t="s">
        <v>460</v>
      </c>
      <c r="G255" s="5379" t="s">
        <v>437</v>
      </c>
      <c r="H255" s="5379" t="s">
        <v>440</v>
      </c>
      <c r="I255" s="5495"/>
      <c r="J255" s="5366" t="s">
        <v>108</v>
      </c>
      <c r="K255" s="5371"/>
      <c r="L255" s="5370"/>
      <c r="M255" s="5357">
        <v>0</v>
      </c>
      <c r="N255" s="5357">
        <v>0</v>
      </c>
      <c r="O255" s="5359">
        <f t="shared" si="96"/>
        <v>0</v>
      </c>
      <c r="P255" s="5358"/>
      <c r="Q255" s="5355">
        <f t="shared" si="97"/>
        <v>0</v>
      </c>
      <c r="R255" s="5358" t="e">
        <f t="shared" si="98"/>
        <v>#DIV/0!</v>
      </c>
      <c r="S255" s="5358"/>
      <c r="T255" s="5359" t="e">
        <f t="shared" si="99"/>
        <v>#DIV/0!</v>
      </c>
      <c r="U255" s="5358"/>
      <c r="V255" s="5355">
        <f t="shared" si="100"/>
        <v>0</v>
      </c>
      <c r="W255" s="5358" t="e">
        <f t="shared" si="101"/>
        <v>#DIV/0!</v>
      </c>
      <c r="X255" s="5358"/>
      <c r="Y255" s="5359" t="e">
        <f t="shared" si="102"/>
        <v>#DIV/0!</v>
      </c>
      <c r="Z255" s="5358"/>
      <c r="AA255" s="5355">
        <f t="shared" si="103"/>
        <v>0</v>
      </c>
      <c r="AB255" s="5358" t="e">
        <f t="shared" si="104"/>
        <v>#DIV/0!</v>
      </c>
      <c r="AC255" s="5349"/>
      <c r="AD255" s="5349"/>
      <c r="AE255" s="5349"/>
      <c r="AF255" s="5349">
        <f t="shared" si="94"/>
        <v>0</v>
      </c>
      <c r="AG255" s="5338">
        <f t="shared" si="95"/>
        <v>0</v>
      </c>
    </row>
    <row r="256" spans="1:33" s="5333" customFormat="1" ht="6.75" hidden="1" customHeight="1">
      <c r="A256" s="5340"/>
      <c r="B256" s="5340"/>
      <c r="C256" s="5340"/>
      <c r="D256" s="5367"/>
      <c r="E256" s="5380"/>
      <c r="F256" s="5380"/>
      <c r="G256" s="5379"/>
      <c r="H256" s="5379"/>
      <c r="I256" s="5495"/>
      <c r="J256" s="5366"/>
      <c r="K256" s="5361"/>
      <c r="L256" s="5365"/>
      <c r="M256" s="5357"/>
      <c r="N256" s="5357"/>
      <c r="O256" s="5357">
        <f t="shared" si="96"/>
        <v>0</v>
      </c>
      <c r="P256" s="5358"/>
      <c r="Q256" s="5355">
        <f t="shared" si="97"/>
        <v>0</v>
      </c>
      <c r="R256" s="5358" t="e">
        <f t="shared" si="98"/>
        <v>#DIV/0!</v>
      </c>
      <c r="S256" s="5358"/>
      <c r="T256" s="5357" t="e">
        <f t="shared" si="99"/>
        <v>#DIV/0!</v>
      </c>
      <c r="U256" s="5358"/>
      <c r="V256" s="5355">
        <f t="shared" si="100"/>
        <v>0</v>
      </c>
      <c r="W256" s="5358" t="e">
        <f t="shared" si="101"/>
        <v>#DIV/0!</v>
      </c>
      <c r="X256" s="5358"/>
      <c r="Y256" s="5357" t="e">
        <f t="shared" si="102"/>
        <v>#DIV/0!</v>
      </c>
      <c r="Z256" s="5358"/>
      <c r="AA256" s="5355">
        <f t="shared" si="103"/>
        <v>0</v>
      </c>
      <c r="AB256" s="5358" t="e">
        <f t="shared" si="104"/>
        <v>#DIV/0!</v>
      </c>
      <c r="AC256" s="5349"/>
      <c r="AD256" s="5349"/>
      <c r="AE256" s="5349"/>
      <c r="AF256" s="5349">
        <f t="shared" si="94"/>
        <v>0</v>
      </c>
      <c r="AG256" s="5338">
        <f t="shared" si="95"/>
        <v>0</v>
      </c>
    </row>
    <row r="257" spans="1:33" s="5333" customFormat="1" ht="15.05" hidden="1" customHeight="1">
      <c r="A257" s="5340"/>
      <c r="B257" s="5340"/>
      <c r="C257" s="5340"/>
      <c r="D257" s="5374">
        <v>4</v>
      </c>
      <c r="E257" s="5374">
        <v>1</v>
      </c>
      <c r="F257" s="5374">
        <v>4</v>
      </c>
      <c r="G257" s="5373"/>
      <c r="H257" s="5373"/>
      <c r="I257" s="5633"/>
      <c r="J257" s="5372" t="s">
        <v>71</v>
      </c>
      <c r="K257" s="5371"/>
      <c r="L257" s="5370"/>
      <c r="M257" s="5357">
        <v>0</v>
      </c>
      <c r="N257" s="5357">
        <f>N258</f>
        <v>0</v>
      </c>
      <c r="O257" s="5359">
        <f t="shared" si="96"/>
        <v>0</v>
      </c>
      <c r="P257" s="5358"/>
      <c r="Q257" s="5355">
        <f t="shared" si="97"/>
        <v>0</v>
      </c>
      <c r="R257" s="5358" t="e">
        <f t="shared" si="98"/>
        <v>#DIV/0!</v>
      </c>
      <c r="S257" s="5358"/>
      <c r="T257" s="5359" t="e">
        <f t="shared" si="99"/>
        <v>#DIV/0!</v>
      </c>
      <c r="U257" s="5358"/>
      <c r="V257" s="5355">
        <f t="shared" si="100"/>
        <v>0</v>
      </c>
      <c r="W257" s="5358" t="e">
        <f t="shared" si="101"/>
        <v>#DIV/0!</v>
      </c>
      <c r="X257" s="5358"/>
      <c r="Y257" s="5359" t="e">
        <f t="shared" si="102"/>
        <v>#DIV/0!</v>
      </c>
      <c r="Z257" s="5358"/>
      <c r="AA257" s="5355">
        <f t="shared" si="103"/>
        <v>0</v>
      </c>
      <c r="AB257" s="5358" t="e">
        <f t="shared" si="104"/>
        <v>#DIV/0!</v>
      </c>
      <c r="AC257" s="5349"/>
      <c r="AD257" s="5349"/>
      <c r="AE257" s="5349"/>
      <c r="AF257" s="5349">
        <f t="shared" si="94"/>
        <v>0</v>
      </c>
      <c r="AG257" s="5338">
        <f t="shared" si="95"/>
        <v>0</v>
      </c>
    </row>
    <row r="258" spans="1:33" s="5333" customFormat="1" ht="13.5" hidden="1" customHeight="1">
      <c r="A258" s="5426"/>
      <c r="B258" s="5426"/>
      <c r="C258" s="5426"/>
      <c r="D258" s="5367">
        <v>4</v>
      </c>
      <c r="E258" s="5367">
        <v>1</v>
      </c>
      <c r="F258" s="5367">
        <v>4</v>
      </c>
      <c r="G258" s="5367" t="s">
        <v>948</v>
      </c>
      <c r="H258" s="5368"/>
      <c r="I258" s="5632"/>
      <c r="J258" s="5366" t="s">
        <v>321</v>
      </c>
      <c r="K258" s="5361"/>
      <c r="L258" s="5365"/>
      <c r="M258" s="5357">
        <v>0</v>
      </c>
      <c r="N258" s="5357">
        <f>N259</f>
        <v>0</v>
      </c>
      <c r="O258" s="5359">
        <f t="shared" si="96"/>
        <v>0</v>
      </c>
      <c r="P258" s="5358"/>
      <c r="Q258" s="5355">
        <f t="shared" si="97"/>
        <v>0</v>
      </c>
      <c r="R258" s="5358" t="e">
        <f t="shared" si="98"/>
        <v>#DIV/0!</v>
      </c>
      <c r="S258" s="5358"/>
      <c r="T258" s="5359" t="e">
        <f t="shared" si="99"/>
        <v>#DIV/0!</v>
      </c>
      <c r="U258" s="5358"/>
      <c r="V258" s="5355">
        <f t="shared" si="100"/>
        <v>0</v>
      </c>
      <c r="W258" s="5358" t="e">
        <f t="shared" si="101"/>
        <v>#DIV/0!</v>
      </c>
      <c r="X258" s="5358"/>
      <c r="Y258" s="5359" t="e">
        <f t="shared" si="102"/>
        <v>#DIV/0!</v>
      </c>
      <c r="Z258" s="5358"/>
      <c r="AA258" s="5355">
        <f t="shared" si="103"/>
        <v>0</v>
      </c>
      <c r="AB258" s="5358" t="e">
        <f t="shared" si="104"/>
        <v>#DIV/0!</v>
      </c>
      <c r="AC258" s="5349"/>
      <c r="AD258" s="5349"/>
      <c r="AE258" s="5349"/>
      <c r="AF258" s="5349">
        <f t="shared" si="94"/>
        <v>0</v>
      </c>
      <c r="AG258" s="5338">
        <f t="shared" si="95"/>
        <v>0</v>
      </c>
    </row>
    <row r="259" spans="1:33" s="5333" customFormat="1" ht="13.5" hidden="1" customHeight="1">
      <c r="A259" s="5426"/>
      <c r="B259" s="5426"/>
      <c r="C259" s="5426"/>
      <c r="D259" s="5367">
        <v>4</v>
      </c>
      <c r="E259" s="5367">
        <v>1</v>
      </c>
      <c r="F259" s="5367">
        <v>4</v>
      </c>
      <c r="G259" s="5367" t="s">
        <v>948</v>
      </c>
      <c r="H259" s="5367" t="s">
        <v>437</v>
      </c>
      <c r="I259" s="5631"/>
      <c r="J259" s="5366" t="s">
        <v>85</v>
      </c>
      <c r="K259" s="5361"/>
      <c r="L259" s="5365"/>
      <c r="M259" s="5357">
        <v>0</v>
      </c>
      <c r="N259" s="5357">
        <f>N260</f>
        <v>0</v>
      </c>
      <c r="O259" s="5359">
        <f t="shared" si="96"/>
        <v>0</v>
      </c>
      <c r="P259" s="5358"/>
      <c r="Q259" s="5355">
        <f t="shared" si="97"/>
        <v>0</v>
      </c>
      <c r="R259" s="5358" t="e">
        <f t="shared" si="98"/>
        <v>#DIV/0!</v>
      </c>
      <c r="S259" s="5358"/>
      <c r="T259" s="5359" t="e">
        <f t="shared" si="99"/>
        <v>#DIV/0!</v>
      </c>
      <c r="U259" s="5358"/>
      <c r="V259" s="5355">
        <f t="shared" si="100"/>
        <v>0</v>
      </c>
      <c r="W259" s="5358" t="e">
        <f t="shared" si="101"/>
        <v>#DIV/0!</v>
      </c>
      <c r="X259" s="5358"/>
      <c r="Y259" s="5359" t="e">
        <f t="shared" si="102"/>
        <v>#DIV/0!</v>
      </c>
      <c r="Z259" s="5358"/>
      <c r="AA259" s="5355">
        <f t="shared" si="103"/>
        <v>0</v>
      </c>
      <c r="AB259" s="5358" t="e">
        <f t="shared" si="104"/>
        <v>#DIV/0!</v>
      </c>
      <c r="AC259" s="5349"/>
      <c r="AD259" s="5349"/>
      <c r="AE259" s="5349"/>
      <c r="AF259" s="5349">
        <f t="shared" si="94"/>
        <v>0</v>
      </c>
      <c r="AG259" s="5338">
        <f t="shared" si="95"/>
        <v>0</v>
      </c>
    </row>
    <row r="260" spans="1:33" s="5333" customFormat="1" ht="13.5" hidden="1" customHeight="1">
      <c r="A260" s="5340"/>
      <c r="B260" s="5340"/>
      <c r="C260" s="5340"/>
      <c r="D260" s="5367"/>
      <c r="E260" s="5380"/>
      <c r="F260" s="5380"/>
      <c r="G260" s="5379"/>
      <c r="H260" s="5379"/>
      <c r="I260" s="5495"/>
      <c r="J260" s="5408" t="s">
        <v>50</v>
      </c>
      <c r="K260" s="5361" t="s">
        <v>85</v>
      </c>
      <c r="L260" s="5365"/>
      <c r="M260" s="5359">
        <v>0</v>
      </c>
      <c r="N260" s="5359">
        <v>0</v>
      </c>
      <c r="O260" s="5359">
        <f t="shared" si="96"/>
        <v>0</v>
      </c>
      <c r="P260" s="5358"/>
      <c r="Q260" s="5355">
        <f t="shared" si="97"/>
        <v>0</v>
      </c>
      <c r="R260" s="5358" t="e">
        <f t="shared" si="98"/>
        <v>#DIV/0!</v>
      </c>
      <c r="S260" s="5358"/>
      <c r="T260" s="5359" t="e">
        <f t="shared" si="99"/>
        <v>#DIV/0!</v>
      </c>
      <c r="U260" s="5358"/>
      <c r="V260" s="5355">
        <f t="shared" si="100"/>
        <v>0</v>
      </c>
      <c r="W260" s="5358" t="e">
        <f t="shared" si="101"/>
        <v>#DIV/0!</v>
      </c>
      <c r="X260" s="5358"/>
      <c r="Y260" s="5359" t="e">
        <f t="shared" si="102"/>
        <v>#DIV/0!</v>
      </c>
      <c r="Z260" s="5358"/>
      <c r="AA260" s="5355">
        <f t="shared" si="103"/>
        <v>0</v>
      </c>
      <c r="AB260" s="5358" t="e">
        <f t="shared" si="104"/>
        <v>#DIV/0!</v>
      </c>
      <c r="AC260" s="5350"/>
      <c r="AD260" s="5350"/>
      <c r="AE260" s="5350"/>
      <c r="AF260" s="5349">
        <f t="shared" si="94"/>
        <v>0</v>
      </c>
      <c r="AG260" s="5338">
        <f t="shared" si="95"/>
        <v>0</v>
      </c>
    </row>
    <row r="261" spans="1:33" s="5333" customFormat="1" ht="7.55" hidden="1" customHeight="1">
      <c r="A261" s="5340"/>
      <c r="B261" s="5340"/>
      <c r="C261" s="5340"/>
      <c r="D261" s="5364"/>
      <c r="E261" s="5363"/>
      <c r="F261" s="5363"/>
      <c r="G261" s="5399"/>
      <c r="H261" s="5399"/>
      <c r="I261" s="5638"/>
      <c r="J261" s="5377"/>
      <c r="K261" s="5376"/>
      <c r="L261" s="5375"/>
      <c r="M261" s="5398"/>
      <c r="N261" s="5398"/>
      <c r="O261" s="5398">
        <f t="shared" si="96"/>
        <v>0</v>
      </c>
      <c r="P261" s="5396"/>
      <c r="Q261" s="5355">
        <f t="shared" si="97"/>
        <v>0</v>
      </c>
      <c r="R261" s="5396" t="e">
        <f t="shared" si="98"/>
        <v>#DIV/0!</v>
      </c>
      <c r="S261" s="5396"/>
      <c r="T261" s="5398" t="e">
        <f t="shared" si="99"/>
        <v>#DIV/0!</v>
      </c>
      <c r="U261" s="5396"/>
      <c r="V261" s="5355">
        <f t="shared" si="100"/>
        <v>0</v>
      </c>
      <c r="W261" s="5396" t="e">
        <f t="shared" si="101"/>
        <v>#DIV/0!</v>
      </c>
      <c r="X261" s="5396"/>
      <c r="Y261" s="5398" t="e">
        <f t="shared" si="102"/>
        <v>#DIV/0!</v>
      </c>
      <c r="Z261" s="5396"/>
      <c r="AA261" s="5355">
        <f t="shared" si="103"/>
        <v>0</v>
      </c>
      <c r="AB261" s="5396" t="e">
        <f t="shared" si="104"/>
        <v>#DIV/0!</v>
      </c>
      <c r="AC261" s="5349"/>
      <c r="AD261" s="5349"/>
      <c r="AE261" s="5349"/>
      <c r="AF261" s="5349">
        <f t="shared" si="94"/>
        <v>0</v>
      </c>
      <c r="AG261" s="5338">
        <f t="shared" si="95"/>
        <v>0</v>
      </c>
    </row>
    <row r="262" spans="1:33" s="5521" customFormat="1" ht="15.05" customHeight="1">
      <c r="A262" s="5464" t="s">
        <v>58</v>
      </c>
      <c r="B262" s="5463" t="s">
        <v>456</v>
      </c>
      <c r="C262" s="5463" t="s">
        <v>437</v>
      </c>
      <c r="D262" s="5393" t="s">
        <v>58</v>
      </c>
      <c r="E262" s="5392" t="s">
        <v>456</v>
      </c>
      <c r="F262" s="5392" t="s">
        <v>437</v>
      </c>
      <c r="G262" s="5392"/>
      <c r="H262" s="5392"/>
      <c r="I262" s="5637" t="s">
        <v>486</v>
      </c>
      <c r="J262" s="5391" t="s">
        <v>115</v>
      </c>
      <c r="K262" s="5390"/>
      <c r="L262" s="5389"/>
      <c r="M262" s="5502">
        <v>132000000</v>
      </c>
      <c r="N262" s="5502">
        <f>+N264</f>
        <v>211889500</v>
      </c>
      <c r="O262" s="5502">
        <f t="shared" si="96"/>
        <v>79889500</v>
      </c>
      <c r="P262" s="5501">
        <f>+P264</f>
        <v>211889500</v>
      </c>
      <c r="Q262" s="5502">
        <f t="shared" si="97"/>
        <v>0</v>
      </c>
      <c r="R262" s="5501">
        <f t="shared" si="98"/>
        <v>0</v>
      </c>
      <c r="S262" s="5501">
        <f>+S264</f>
        <v>211889500</v>
      </c>
      <c r="T262" s="5502">
        <f t="shared" si="99"/>
        <v>211889500</v>
      </c>
      <c r="U262" s="5501">
        <f>+U264</f>
        <v>211889500</v>
      </c>
      <c r="V262" s="5502">
        <f t="shared" si="100"/>
        <v>0</v>
      </c>
      <c r="W262" s="5501">
        <f t="shared" si="101"/>
        <v>0</v>
      </c>
      <c r="X262" s="5501">
        <f>+X264</f>
        <v>211889500</v>
      </c>
      <c r="Y262" s="5502">
        <f t="shared" si="102"/>
        <v>211889500</v>
      </c>
      <c r="Z262" s="5501">
        <f>+Z264</f>
        <v>211889500</v>
      </c>
      <c r="AA262" s="5502">
        <f t="shared" si="103"/>
        <v>0</v>
      </c>
      <c r="AB262" s="5501">
        <f t="shared" si="104"/>
        <v>0</v>
      </c>
      <c r="AC262" s="5594"/>
      <c r="AD262" s="5594"/>
      <c r="AE262" s="5594"/>
      <c r="AF262" s="5594">
        <f t="shared" si="94"/>
        <v>0</v>
      </c>
      <c r="AG262" s="5595">
        <f t="shared" si="95"/>
        <v>0</v>
      </c>
    </row>
    <row r="263" spans="1:33" s="5333" customFormat="1" ht="5.35" customHeight="1">
      <c r="A263" s="5340"/>
      <c r="B263" s="5340"/>
      <c r="C263" s="5340"/>
      <c r="D263" s="5387"/>
      <c r="E263" s="5386"/>
      <c r="F263" s="5386"/>
      <c r="G263" s="5386"/>
      <c r="H263" s="5386"/>
      <c r="I263" s="5636"/>
      <c r="J263" s="5385"/>
      <c r="K263" s="5384"/>
      <c r="L263" s="5383"/>
      <c r="M263" s="5382"/>
      <c r="N263" s="5382"/>
      <c r="O263" s="5382"/>
      <c r="P263" s="5381"/>
      <c r="Q263" s="5382">
        <f t="shared" si="97"/>
        <v>0</v>
      </c>
      <c r="R263" s="5381"/>
      <c r="S263" s="5381"/>
      <c r="T263" s="5382"/>
      <c r="U263" s="5381"/>
      <c r="V263" s="5382">
        <f t="shared" si="100"/>
        <v>0</v>
      </c>
      <c r="W263" s="5381"/>
      <c r="X263" s="5381"/>
      <c r="Y263" s="5382"/>
      <c r="Z263" s="5381"/>
      <c r="AA263" s="5382"/>
      <c r="AB263" s="5381"/>
      <c r="AC263" s="5349"/>
      <c r="AD263" s="5349"/>
      <c r="AE263" s="5349"/>
      <c r="AF263" s="5349">
        <f t="shared" si="94"/>
        <v>0</v>
      </c>
      <c r="AG263" s="5338">
        <f t="shared" si="95"/>
        <v>0</v>
      </c>
    </row>
    <row r="264" spans="1:33" s="5333" customFormat="1" ht="15.05" customHeight="1">
      <c r="A264" s="5340"/>
      <c r="B264" s="5340"/>
      <c r="C264" s="5340"/>
      <c r="D264" s="5374">
        <v>4</v>
      </c>
      <c r="E264" s="5374">
        <v>1</v>
      </c>
      <c r="F264" s="5374"/>
      <c r="G264" s="5374"/>
      <c r="H264" s="5374"/>
      <c r="I264" s="5537"/>
      <c r="J264" s="5372" t="s">
        <v>180</v>
      </c>
      <c r="K264" s="5371"/>
      <c r="L264" s="5370"/>
      <c r="M264" s="5357">
        <v>132000000</v>
      </c>
      <c r="N264" s="5357">
        <f>N266+N272</f>
        <v>211889500</v>
      </c>
      <c r="O264" s="5359">
        <f>N264-M264</f>
        <v>79889500</v>
      </c>
      <c r="P264" s="5358">
        <f>P266+P272</f>
        <v>211889500</v>
      </c>
      <c r="Q264" s="5357">
        <f t="shared" si="97"/>
        <v>0</v>
      </c>
      <c r="R264" s="5358">
        <f>P264/N264*100-100</f>
        <v>0</v>
      </c>
      <c r="S264" s="5358">
        <f>S266+S272</f>
        <v>211889500</v>
      </c>
      <c r="T264" s="5359">
        <f>S264-R264</f>
        <v>211889500</v>
      </c>
      <c r="U264" s="5358">
        <f>U266+U272</f>
        <v>211889500</v>
      </c>
      <c r="V264" s="5357">
        <f t="shared" si="100"/>
        <v>0</v>
      </c>
      <c r="W264" s="5358">
        <f>S264/P264*100-100</f>
        <v>0</v>
      </c>
      <c r="X264" s="5358">
        <f>X266+X272</f>
        <v>211889500</v>
      </c>
      <c r="Y264" s="5359">
        <f>X264-W264</f>
        <v>211889500</v>
      </c>
      <c r="Z264" s="5358">
        <f>Z266+Z272</f>
        <v>211889500</v>
      </c>
      <c r="AA264" s="5357">
        <f>X264-S264</f>
        <v>0</v>
      </c>
      <c r="AB264" s="5358">
        <f>X264/S264*100-100</f>
        <v>0</v>
      </c>
      <c r="AC264" s="5349"/>
      <c r="AD264" s="5349"/>
      <c r="AE264" s="5349"/>
      <c r="AF264" s="5349">
        <f t="shared" si="94"/>
        <v>0</v>
      </c>
      <c r="AG264" s="5338">
        <f t="shared" si="95"/>
        <v>0</v>
      </c>
    </row>
    <row r="265" spans="1:33" s="5333" customFormat="1" ht="5.35" customHeight="1">
      <c r="A265" s="5340"/>
      <c r="B265" s="5340"/>
      <c r="C265" s="5340"/>
      <c r="D265" s="5367"/>
      <c r="E265" s="5380"/>
      <c r="F265" s="5380"/>
      <c r="G265" s="5380"/>
      <c r="H265" s="5380"/>
      <c r="I265" s="5496"/>
      <c r="J265" s="5366"/>
      <c r="K265" s="5371"/>
      <c r="L265" s="5370"/>
      <c r="M265" s="5357"/>
      <c r="N265" s="5357"/>
      <c r="O265" s="5357"/>
      <c r="P265" s="5358"/>
      <c r="Q265" s="5357">
        <f t="shared" si="97"/>
        <v>0</v>
      </c>
      <c r="R265" s="5358"/>
      <c r="S265" s="5358"/>
      <c r="T265" s="5357"/>
      <c r="U265" s="5358"/>
      <c r="V265" s="5357">
        <f t="shared" si="100"/>
        <v>0</v>
      </c>
      <c r="W265" s="5358"/>
      <c r="X265" s="5358"/>
      <c r="Y265" s="5357"/>
      <c r="Z265" s="5358"/>
      <c r="AA265" s="5357"/>
      <c r="AB265" s="5358"/>
      <c r="AC265" s="5349"/>
      <c r="AD265" s="5349"/>
      <c r="AE265" s="5349"/>
      <c r="AF265" s="5349">
        <f t="shared" si="94"/>
        <v>0</v>
      </c>
      <c r="AG265" s="5338">
        <f t="shared" si="95"/>
        <v>0</v>
      </c>
    </row>
    <row r="266" spans="1:33" s="5333" customFormat="1" ht="15.05" customHeight="1">
      <c r="A266" s="5340"/>
      <c r="B266" s="5340"/>
      <c r="C266" s="5340"/>
      <c r="D266" s="5374">
        <v>4</v>
      </c>
      <c r="E266" s="5374">
        <v>1</v>
      </c>
      <c r="F266" s="5374">
        <v>2</v>
      </c>
      <c r="G266" s="5374"/>
      <c r="H266" s="5374"/>
      <c r="I266" s="5537"/>
      <c r="J266" s="5372" t="s">
        <v>106</v>
      </c>
      <c r="K266" s="5371"/>
      <c r="L266" s="5370"/>
      <c r="M266" s="5359">
        <v>132000000</v>
      </c>
      <c r="N266" s="5359">
        <f>N267</f>
        <v>193889500</v>
      </c>
      <c r="O266" s="5359">
        <f>N266-M266</f>
        <v>61889500</v>
      </c>
      <c r="P266" s="5358">
        <f>P267</f>
        <v>193889500</v>
      </c>
      <c r="Q266" s="5357">
        <f t="shared" si="97"/>
        <v>0</v>
      </c>
      <c r="R266" s="5358">
        <f>P266/N266*100-100</f>
        <v>0</v>
      </c>
      <c r="S266" s="5358">
        <f>S267</f>
        <v>193889500</v>
      </c>
      <c r="T266" s="5359">
        <f>S266-R266</f>
        <v>193889500</v>
      </c>
      <c r="U266" s="5358">
        <f>U267</f>
        <v>193889500</v>
      </c>
      <c r="V266" s="5357">
        <f t="shared" si="100"/>
        <v>0</v>
      </c>
      <c r="W266" s="5358">
        <f>S266/P266*100-100</f>
        <v>0</v>
      </c>
      <c r="X266" s="5358">
        <f>X267</f>
        <v>193889500</v>
      </c>
      <c r="Y266" s="5359">
        <f>X266-W266</f>
        <v>193889500</v>
      </c>
      <c r="Z266" s="5358">
        <f>Z267</f>
        <v>193889500</v>
      </c>
      <c r="AA266" s="5357">
        <f>X266-S266</f>
        <v>0</v>
      </c>
      <c r="AB266" s="5358">
        <f>X266/S266*100-100</f>
        <v>0</v>
      </c>
      <c r="AC266" s="5350"/>
      <c r="AD266" s="5350"/>
      <c r="AE266" s="5350"/>
      <c r="AF266" s="5349">
        <f t="shared" si="94"/>
        <v>0</v>
      </c>
      <c r="AG266" s="5338">
        <f t="shared" si="95"/>
        <v>0</v>
      </c>
    </row>
    <row r="267" spans="1:33" s="5333" customFormat="1" ht="15.05" customHeight="1">
      <c r="A267" s="5340"/>
      <c r="B267" s="5340"/>
      <c r="C267" s="5340"/>
      <c r="D267" s="5367">
        <v>4</v>
      </c>
      <c r="E267" s="5367">
        <v>1</v>
      </c>
      <c r="F267" s="5367">
        <v>2</v>
      </c>
      <c r="G267" s="5368" t="s">
        <v>440</v>
      </c>
      <c r="H267" s="5367"/>
      <c r="I267" s="5631"/>
      <c r="J267" s="5366" t="s">
        <v>545</v>
      </c>
      <c r="K267" s="5361"/>
      <c r="L267" s="5365"/>
      <c r="M267" s="5357">
        <v>132000000</v>
      </c>
      <c r="N267" s="5357">
        <f>N268</f>
        <v>193889500</v>
      </c>
      <c r="O267" s="5359">
        <f>N267-M267</f>
        <v>61889500</v>
      </c>
      <c r="P267" s="5358">
        <f>P268</f>
        <v>193889500</v>
      </c>
      <c r="Q267" s="5357">
        <f t="shared" si="97"/>
        <v>0</v>
      </c>
      <c r="R267" s="5358">
        <f>P267/N267*100-100</f>
        <v>0</v>
      </c>
      <c r="S267" s="5358">
        <f>S268</f>
        <v>193889500</v>
      </c>
      <c r="T267" s="5359">
        <f>S267-R267</f>
        <v>193889500</v>
      </c>
      <c r="U267" s="5358">
        <f>U268</f>
        <v>193889500</v>
      </c>
      <c r="V267" s="5357">
        <f t="shared" si="100"/>
        <v>0</v>
      </c>
      <c r="W267" s="5358">
        <f>S267/P267*100-100</f>
        <v>0</v>
      </c>
      <c r="X267" s="5358">
        <f>X268</f>
        <v>193889500</v>
      </c>
      <c r="Y267" s="5359">
        <f>X267-W267</f>
        <v>193889500</v>
      </c>
      <c r="Z267" s="5358">
        <f>Z268</f>
        <v>193889500</v>
      </c>
      <c r="AA267" s="5357">
        <f>X267-S267</f>
        <v>0</v>
      </c>
      <c r="AB267" s="5358">
        <f>X267/S267*100-100</f>
        <v>0</v>
      </c>
      <c r="AC267" s="5349"/>
      <c r="AD267" s="5349"/>
      <c r="AE267" s="5349"/>
      <c r="AF267" s="5349">
        <f t="shared" si="94"/>
        <v>0</v>
      </c>
      <c r="AG267" s="5338">
        <f t="shared" si="95"/>
        <v>0</v>
      </c>
    </row>
    <row r="268" spans="1:33" s="5333" customFormat="1" ht="15.05" customHeight="1">
      <c r="A268" s="5340"/>
      <c r="B268" s="5340"/>
      <c r="C268" s="5340"/>
      <c r="D268" s="5367">
        <v>4</v>
      </c>
      <c r="E268" s="5367">
        <v>1</v>
      </c>
      <c r="F268" s="5367">
        <v>2</v>
      </c>
      <c r="G268" s="5368" t="s">
        <v>440</v>
      </c>
      <c r="H268" s="5368" t="s">
        <v>437</v>
      </c>
      <c r="I268" s="5632"/>
      <c r="J268" s="5366" t="s">
        <v>117</v>
      </c>
      <c r="K268" s="5361"/>
      <c r="L268" s="5365"/>
      <c r="M268" s="5357">
        <v>132000000</v>
      </c>
      <c r="N268" s="5357">
        <f>N269+N270</f>
        <v>193889500</v>
      </c>
      <c r="O268" s="5359">
        <f>N268-M268</f>
        <v>61889500</v>
      </c>
      <c r="P268" s="5358">
        <f>P269+P270</f>
        <v>193889500</v>
      </c>
      <c r="Q268" s="5357">
        <f t="shared" si="97"/>
        <v>0</v>
      </c>
      <c r="R268" s="5358">
        <f>P268/N268*100-100</f>
        <v>0</v>
      </c>
      <c r="S268" s="5358">
        <f>S269+S270</f>
        <v>193889500</v>
      </c>
      <c r="T268" s="5359">
        <f>S268-R268</f>
        <v>193889500</v>
      </c>
      <c r="U268" s="5358">
        <f>U269+U270</f>
        <v>193889500</v>
      </c>
      <c r="V268" s="5357">
        <f t="shared" si="100"/>
        <v>0</v>
      </c>
      <c r="W268" s="5358">
        <f>S268/P268*100-100</f>
        <v>0</v>
      </c>
      <c r="X268" s="5358">
        <f>X269+X270</f>
        <v>193889500</v>
      </c>
      <c r="Y268" s="5359">
        <f>X268-W268</f>
        <v>193889500</v>
      </c>
      <c r="Z268" s="5358">
        <f>Z269+Z270</f>
        <v>193889500</v>
      </c>
      <c r="AA268" s="5357">
        <f>X268-S268</f>
        <v>0</v>
      </c>
      <c r="AB268" s="5358">
        <f>X268/S268*100-100</f>
        <v>0</v>
      </c>
      <c r="AC268" s="5349"/>
      <c r="AD268" s="5349"/>
      <c r="AE268" s="5349"/>
      <c r="AF268" s="5349">
        <f t="shared" si="94"/>
        <v>0</v>
      </c>
      <c r="AG268" s="5338">
        <f t="shared" si="95"/>
        <v>0</v>
      </c>
    </row>
    <row r="269" spans="1:33" s="5333" customFormat="1" ht="12.7" customHeight="1">
      <c r="A269" s="5340"/>
      <c r="B269" s="5340"/>
      <c r="C269" s="5340"/>
      <c r="D269" s="5368"/>
      <c r="E269" s="5380"/>
      <c r="F269" s="5380"/>
      <c r="G269" s="5379"/>
      <c r="H269" s="5379"/>
      <c r="I269" s="5495"/>
      <c r="J269" s="5366" t="s">
        <v>50</v>
      </c>
      <c r="K269" s="5361" t="s">
        <v>118</v>
      </c>
      <c r="L269" s="5365"/>
      <c r="M269" s="5359">
        <v>60000000</v>
      </c>
      <c r="N269" s="5359">
        <v>103889500</v>
      </c>
      <c r="O269" s="5359">
        <f>N269-M269</f>
        <v>43889500</v>
      </c>
      <c r="P269" s="5358">
        <v>103889500</v>
      </c>
      <c r="Q269" s="5357">
        <f t="shared" si="97"/>
        <v>0</v>
      </c>
      <c r="R269" s="5358">
        <f>P269/N269*100-100</f>
        <v>0</v>
      </c>
      <c r="S269" s="5358">
        <v>103889500</v>
      </c>
      <c r="T269" s="5359">
        <f>S269-R269</f>
        <v>103889500</v>
      </c>
      <c r="U269" s="5358">
        <v>103889500</v>
      </c>
      <c r="V269" s="5357">
        <f t="shared" si="100"/>
        <v>0</v>
      </c>
      <c r="W269" s="5358">
        <f>S269/P269*100-100</f>
        <v>0</v>
      </c>
      <c r="X269" s="5358">
        <v>103889500</v>
      </c>
      <c r="Y269" s="5359">
        <f>X269-W269</f>
        <v>103889500</v>
      </c>
      <c r="Z269" s="5358">
        <v>103889500</v>
      </c>
      <c r="AA269" s="5357">
        <f>X269-S269</f>
        <v>0</v>
      </c>
      <c r="AB269" s="5358">
        <f>X269/S269*100-100</f>
        <v>0</v>
      </c>
      <c r="AC269" s="5350"/>
      <c r="AD269" s="5350"/>
      <c r="AE269" s="5350"/>
      <c r="AF269" s="5349">
        <f t="shared" si="94"/>
        <v>0</v>
      </c>
      <c r="AG269" s="5338">
        <f t="shared" si="95"/>
        <v>0</v>
      </c>
    </row>
    <row r="270" spans="1:33" s="5333" customFormat="1" ht="12.7" customHeight="1">
      <c r="A270" s="5340"/>
      <c r="B270" s="5340"/>
      <c r="C270" s="5340"/>
      <c r="D270" s="5368"/>
      <c r="E270" s="5380"/>
      <c r="F270" s="5380"/>
      <c r="G270" s="5379"/>
      <c r="H270" s="5379"/>
      <c r="I270" s="5495"/>
      <c r="J270" s="5366" t="s">
        <v>50</v>
      </c>
      <c r="K270" s="5361" t="s">
        <v>119</v>
      </c>
      <c r="L270" s="5365"/>
      <c r="M270" s="5359">
        <v>72000000</v>
      </c>
      <c r="N270" s="5359">
        <v>90000000</v>
      </c>
      <c r="O270" s="5359">
        <f>N270-M270</f>
        <v>18000000</v>
      </c>
      <c r="P270" s="5358">
        <v>90000000</v>
      </c>
      <c r="Q270" s="5357">
        <f t="shared" si="97"/>
        <v>0</v>
      </c>
      <c r="R270" s="5358">
        <f>P270/N270*100-100</f>
        <v>0</v>
      </c>
      <c r="S270" s="5358">
        <v>90000000</v>
      </c>
      <c r="T270" s="5359">
        <f>S270-R270</f>
        <v>90000000</v>
      </c>
      <c r="U270" s="5358">
        <v>90000000</v>
      </c>
      <c r="V270" s="5357">
        <f t="shared" si="100"/>
        <v>0</v>
      </c>
      <c r="W270" s="5358">
        <f>S270/P270*100-100</f>
        <v>0</v>
      </c>
      <c r="X270" s="5358">
        <v>90000000</v>
      </c>
      <c r="Y270" s="5359">
        <f>X270-W270</f>
        <v>90000000</v>
      </c>
      <c r="Z270" s="5358">
        <v>90000000</v>
      </c>
      <c r="AA270" s="5357">
        <f>X270-S270</f>
        <v>0</v>
      </c>
      <c r="AB270" s="5358">
        <f>X270/S270*100-100</f>
        <v>0</v>
      </c>
      <c r="AC270" s="5350"/>
      <c r="AD270" s="5350"/>
      <c r="AE270" s="5350"/>
      <c r="AF270" s="5349">
        <f t="shared" si="94"/>
        <v>0</v>
      </c>
      <c r="AG270" s="5338">
        <f t="shared" si="95"/>
        <v>0</v>
      </c>
    </row>
    <row r="271" spans="1:33" s="5333" customFormat="1" ht="7.55" customHeight="1">
      <c r="A271" s="5340"/>
      <c r="B271" s="5340"/>
      <c r="C271" s="5340"/>
      <c r="D271" s="5368"/>
      <c r="E271" s="5380"/>
      <c r="F271" s="5380"/>
      <c r="G271" s="5379"/>
      <c r="H271" s="5379"/>
      <c r="I271" s="5495"/>
      <c r="J271" s="5366"/>
      <c r="K271" s="5361"/>
      <c r="L271" s="5365"/>
      <c r="M271" s="5357"/>
      <c r="N271" s="5357"/>
      <c r="O271" s="5357"/>
      <c r="P271" s="5358"/>
      <c r="Q271" s="5357"/>
      <c r="R271" s="5358"/>
      <c r="S271" s="5358"/>
      <c r="T271" s="5357"/>
      <c r="U271" s="5358"/>
      <c r="V271" s="5357"/>
      <c r="W271" s="5358"/>
      <c r="X271" s="5358"/>
      <c r="Y271" s="5357"/>
      <c r="Z271" s="5358"/>
      <c r="AA271" s="5357"/>
      <c r="AB271" s="5358"/>
      <c r="AC271" s="5349"/>
      <c r="AD271" s="5349"/>
      <c r="AE271" s="5349"/>
      <c r="AF271" s="5349">
        <f t="shared" si="94"/>
        <v>0</v>
      </c>
      <c r="AG271" s="5338">
        <f t="shared" si="95"/>
        <v>0</v>
      </c>
    </row>
    <row r="272" spans="1:33" s="5333" customFormat="1" ht="14.25" customHeight="1">
      <c r="A272" s="5340"/>
      <c r="B272" s="5340"/>
      <c r="C272" s="5340"/>
      <c r="D272" s="5374">
        <v>4</v>
      </c>
      <c r="E272" s="5374">
        <v>1</v>
      </c>
      <c r="F272" s="5374">
        <v>4</v>
      </c>
      <c r="G272" s="5373"/>
      <c r="H272" s="5373"/>
      <c r="I272" s="5633"/>
      <c r="J272" s="5372" t="s">
        <v>71</v>
      </c>
      <c r="K272" s="5371"/>
      <c r="L272" s="5370"/>
      <c r="M272" s="5357">
        <v>0</v>
      </c>
      <c r="N272" s="5357">
        <f>N273+N277+N280</f>
        <v>18000000</v>
      </c>
      <c r="O272" s="5359">
        <f t="shared" ref="O272:O283" si="105">N272-M272</f>
        <v>18000000</v>
      </c>
      <c r="P272" s="5358">
        <f>P273+P277+P280</f>
        <v>18000000</v>
      </c>
      <c r="Q272" s="5357">
        <f t="shared" ref="Q272:Q283" si="106">+P272-N272</f>
        <v>0</v>
      </c>
      <c r="R272" s="5358">
        <f t="shared" ref="R272:R283" si="107">P272/N272*100-100</f>
        <v>0</v>
      </c>
      <c r="S272" s="5358">
        <f>S273+S277+S280</f>
        <v>18000000</v>
      </c>
      <c r="T272" s="5359">
        <f t="shared" ref="T272:T283" si="108">S272-R272</f>
        <v>18000000</v>
      </c>
      <c r="U272" s="5358">
        <f>U273+U277+U280</f>
        <v>18000000</v>
      </c>
      <c r="V272" s="5357">
        <f>S272-P272</f>
        <v>0</v>
      </c>
      <c r="W272" s="5358">
        <f t="shared" ref="W272:W283" si="109">S272/P272*100-100</f>
        <v>0</v>
      </c>
      <c r="X272" s="5358">
        <f>X273+X277+X280</f>
        <v>18000000</v>
      </c>
      <c r="Y272" s="5359">
        <f t="shared" ref="Y272:Y283" si="110">X272-W272</f>
        <v>18000000</v>
      </c>
      <c r="Z272" s="5358">
        <f>Z273+Z277+Z280</f>
        <v>18000000</v>
      </c>
      <c r="AA272" s="5357">
        <f>X272-S272</f>
        <v>0</v>
      </c>
      <c r="AB272" s="5358">
        <f>X272/S272*100-100</f>
        <v>0</v>
      </c>
      <c r="AC272" s="5349"/>
      <c r="AD272" s="5349"/>
      <c r="AE272" s="5349"/>
      <c r="AF272" s="5349">
        <f t="shared" si="94"/>
        <v>0</v>
      </c>
      <c r="AG272" s="5338">
        <f t="shared" si="95"/>
        <v>0</v>
      </c>
    </row>
    <row r="273" spans="1:33" s="5333" customFormat="1" ht="13.5" customHeight="1">
      <c r="A273" s="5340"/>
      <c r="B273" s="5340"/>
      <c r="C273" s="5340"/>
      <c r="D273" s="5367">
        <v>4</v>
      </c>
      <c r="E273" s="5367">
        <v>1</v>
      </c>
      <c r="F273" s="5367">
        <v>4</v>
      </c>
      <c r="G273" s="5368" t="s">
        <v>448</v>
      </c>
      <c r="H273" s="5368"/>
      <c r="I273" s="5632"/>
      <c r="J273" s="5366" t="s">
        <v>220</v>
      </c>
      <c r="K273" s="5361"/>
      <c r="L273" s="5365"/>
      <c r="M273" s="5357">
        <v>0</v>
      </c>
      <c r="N273" s="5357">
        <f>N274</f>
        <v>18000000</v>
      </c>
      <c r="O273" s="5359">
        <f t="shared" si="105"/>
        <v>18000000</v>
      </c>
      <c r="P273" s="5358">
        <f>P274</f>
        <v>18000000</v>
      </c>
      <c r="Q273" s="5357">
        <f t="shared" si="106"/>
        <v>0</v>
      </c>
      <c r="R273" s="5358">
        <f t="shared" si="107"/>
        <v>0</v>
      </c>
      <c r="S273" s="5358">
        <f>S274</f>
        <v>18000000</v>
      </c>
      <c r="T273" s="5359">
        <f t="shared" si="108"/>
        <v>18000000</v>
      </c>
      <c r="U273" s="5358">
        <f>U274</f>
        <v>18000000</v>
      </c>
      <c r="V273" s="5357">
        <f>S273-P273</f>
        <v>0</v>
      </c>
      <c r="W273" s="5358">
        <f t="shared" si="109"/>
        <v>0</v>
      </c>
      <c r="X273" s="5358">
        <f>X274</f>
        <v>18000000</v>
      </c>
      <c r="Y273" s="5359">
        <f t="shared" si="110"/>
        <v>18000000</v>
      </c>
      <c r="Z273" s="5358">
        <f>Z274</f>
        <v>18000000</v>
      </c>
      <c r="AA273" s="5357">
        <f>X273-S273</f>
        <v>0</v>
      </c>
      <c r="AB273" s="5358">
        <f>X273/S273*100-100</f>
        <v>0</v>
      </c>
      <c r="AC273" s="5349"/>
      <c r="AD273" s="5349"/>
      <c r="AE273" s="5349"/>
      <c r="AF273" s="5349">
        <f t="shared" si="94"/>
        <v>0</v>
      </c>
      <c r="AG273" s="5338">
        <f t="shared" si="95"/>
        <v>0</v>
      </c>
    </row>
    <row r="274" spans="1:33" s="5333" customFormat="1" ht="13.5" customHeight="1">
      <c r="A274" s="5340"/>
      <c r="B274" s="5340"/>
      <c r="C274" s="5340"/>
      <c r="D274" s="5367">
        <v>4</v>
      </c>
      <c r="E274" s="5367">
        <v>1</v>
      </c>
      <c r="F274" s="5367">
        <v>4</v>
      </c>
      <c r="G274" s="5368" t="s">
        <v>448</v>
      </c>
      <c r="H274" s="5368" t="s">
        <v>440</v>
      </c>
      <c r="I274" s="5632"/>
      <c r="J274" s="5366" t="s">
        <v>561</v>
      </c>
      <c r="K274" s="5361"/>
      <c r="L274" s="5365"/>
      <c r="M274" s="5357">
        <v>0</v>
      </c>
      <c r="N274" s="5357">
        <f>N275</f>
        <v>18000000</v>
      </c>
      <c r="O274" s="5359">
        <f t="shared" si="105"/>
        <v>18000000</v>
      </c>
      <c r="P274" s="5358">
        <f>P275</f>
        <v>18000000</v>
      </c>
      <c r="Q274" s="5357">
        <f t="shared" si="106"/>
        <v>0</v>
      </c>
      <c r="R274" s="5358">
        <f t="shared" si="107"/>
        <v>0</v>
      </c>
      <c r="S274" s="5358">
        <f>S275</f>
        <v>18000000</v>
      </c>
      <c r="T274" s="5359">
        <f t="shared" si="108"/>
        <v>18000000</v>
      </c>
      <c r="U274" s="5358">
        <f>U275</f>
        <v>18000000</v>
      </c>
      <c r="V274" s="5357">
        <f>S274-P274</f>
        <v>0</v>
      </c>
      <c r="W274" s="5358">
        <f t="shared" si="109"/>
        <v>0</v>
      </c>
      <c r="X274" s="5358">
        <f>X275</f>
        <v>18000000</v>
      </c>
      <c r="Y274" s="5359">
        <f t="shared" si="110"/>
        <v>18000000</v>
      </c>
      <c r="Z274" s="5358">
        <f>Z275</f>
        <v>18000000</v>
      </c>
      <c r="AA274" s="5357">
        <f>X274-S274</f>
        <v>0</v>
      </c>
      <c r="AB274" s="5358">
        <f>X274/S274*100-100</f>
        <v>0</v>
      </c>
      <c r="AC274" s="5349"/>
      <c r="AD274" s="5349"/>
      <c r="AE274" s="5349"/>
      <c r="AF274" s="5349">
        <f t="shared" si="94"/>
        <v>0</v>
      </c>
      <c r="AG274" s="5338">
        <f t="shared" si="95"/>
        <v>0</v>
      </c>
    </row>
    <row r="275" spans="1:33" s="5333" customFormat="1" ht="13.5" customHeight="1">
      <c r="A275" s="5340"/>
      <c r="B275" s="5340"/>
      <c r="C275" s="5340"/>
      <c r="D275" s="5368"/>
      <c r="E275" s="5380"/>
      <c r="F275" s="5380"/>
      <c r="G275" s="5379"/>
      <c r="H275" s="5379"/>
      <c r="I275" s="5495"/>
      <c r="J275" s="5366" t="s">
        <v>50</v>
      </c>
      <c r="K275" s="5361" t="s">
        <v>968</v>
      </c>
      <c r="L275" s="5365"/>
      <c r="M275" s="5359">
        <v>0</v>
      </c>
      <c r="N275" s="5359">
        <v>18000000</v>
      </c>
      <c r="O275" s="5359">
        <f t="shared" si="105"/>
        <v>18000000</v>
      </c>
      <c r="P275" s="5358">
        <v>18000000</v>
      </c>
      <c r="Q275" s="5357">
        <f t="shared" si="106"/>
        <v>0</v>
      </c>
      <c r="R275" s="5358">
        <f t="shared" si="107"/>
        <v>0</v>
      </c>
      <c r="S275" s="5358">
        <v>18000000</v>
      </c>
      <c r="T275" s="5359">
        <f t="shared" si="108"/>
        <v>18000000</v>
      </c>
      <c r="U275" s="5358">
        <v>18000000</v>
      </c>
      <c r="V275" s="5357">
        <f>S275-P275</f>
        <v>0</v>
      </c>
      <c r="W275" s="5358">
        <f t="shared" si="109"/>
        <v>0</v>
      </c>
      <c r="X275" s="5358">
        <v>18000000</v>
      </c>
      <c r="Y275" s="5359">
        <f t="shared" si="110"/>
        <v>18000000</v>
      </c>
      <c r="Z275" s="5358">
        <v>18000000</v>
      </c>
      <c r="AA275" s="5357">
        <f>X275-S275</f>
        <v>0</v>
      </c>
      <c r="AB275" s="5358">
        <f>X275/S275*100-100</f>
        <v>0</v>
      </c>
      <c r="AC275" s="5350"/>
      <c r="AD275" s="5350"/>
      <c r="AE275" s="5350"/>
      <c r="AF275" s="5349">
        <f t="shared" si="94"/>
        <v>0</v>
      </c>
      <c r="AG275" s="5338">
        <f t="shared" si="95"/>
        <v>0</v>
      </c>
    </row>
    <row r="276" spans="1:33" s="5333" customFormat="1" ht="7.55" customHeight="1">
      <c r="A276" s="5340"/>
      <c r="B276" s="5340"/>
      <c r="C276" s="5340"/>
      <c r="D276" s="5368"/>
      <c r="E276" s="5380"/>
      <c r="F276" s="5380"/>
      <c r="G276" s="5379"/>
      <c r="H276" s="5379"/>
      <c r="I276" s="5495"/>
      <c r="J276" s="5366"/>
      <c r="K276" s="5361"/>
      <c r="L276" s="5365"/>
      <c r="M276" s="5359"/>
      <c r="N276" s="5359"/>
      <c r="O276" s="5359">
        <f t="shared" si="105"/>
        <v>0</v>
      </c>
      <c r="P276" s="5358"/>
      <c r="Q276" s="5357">
        <f t="shared" si="106"/>
        <v>0</v>
      </c>
      <c r="R276" s="5356" t="e">
        <f t="shared" si="107"/>
        <v>#DIV/0!</v>
      </c>
      <c r="S276" s="5358"/>
      <c r="T276" s="5359" t="e">
        <f t="shared" si="108"/>
        <v>#DIV/0!</v>
      </c>
      <c r="U276" s="5358"/>
      <c r="V276" s="5357"/>
      <c r="W276" s="5356" t="e">
        <f t="shared" si="109"/>
        <v>#DIV/0!</v>
      </c>
      <c r="X276" s="5358"/>
      <c r="Y276" s="5359" t="e">
        <f t="shared" si="110"/>
        <v>#DIV/0!</v>
      </c>
      <c r="Z276" s="5358"/>
      <c r="AA276" s="5357"/>
      <c r="AB276" s="5356"/>
      <c r="AC276" s="5350"/>
      <c r="AD276" s="5350"/>
      <c r="AE276" s="5350"/>
      <c r="AF276" s="5349">
        <f t="shared" si="94"/>
        <v>0</v>
      </c>
      <c r="AG276" s="5338">
        <f t="shared" si="95"/>
        <v>0</v>
      </c>
    </row>
    <row r="277" spans="1:33" s="5333" customFormat="1" ht="13.5" hidden="1" customHeight="1">
      <c r="A277" s="5340"/>
      <c r="B277" s="5340"/>
      <c r="C277" s="5340"/>
      <c r="D277" s="5367">
        <v>4</v>
      </c>
      <c r="E277" s="5367">
        <v>1</v>
      </c>
      <c r="F277" s="5367">
        <v>4</v>
      </c>
      <c r="G277" s="5367" t="s">
        <v>444</v>
      </c>
      <c r="H277" s="5367"/>
      <c r="I277" s="5631"/>
      <c r="J277" s="5366" t="s">
        <v>222</v>
      </c>
      <c r="K277" s="5361"/>
      <c r="L277" s="5365"/>
      <c r="M277" s="5357">
        <v>0</v>
      </c>
      <c r="N277" s="5357">
        <f>N278</f>
        <v>0</v>
      </c>
      <c r="O277" s="5359">
        <f t="shared" si="105"/>
        <v>0</v>
      </c>
      <c r="P277" s="5358"/>
      <c r="Q277" s="5357">
        <f t="shared" si="106"/>
        <v>0</v>
      </c>
      <c r="R277" s="5358" t="e">
        <f t="shared" si="107"/>
        <v>#DIV/0!</v>
      </c>
      <c r="S277" s="5358"/>
      <c r="T277" s="5359" t="e">
        <f t="shared" si="108"/>
        <v>#DIV/0!</v>
      </c>
      <c r="U277" s="5358"/>
      <c r="V277" s="5357">
        <f t="shared" ref="V277:V283" si="111">S277-P277</f>
        <v>0</v>
      </c>
      <c r="W277" s="5358" t="e">
        <f t="shared" si="109"/>
        <v>#DIV/0!</v>
      </c>
      <c r="X277" s="5358"/>
      <c r="Y277" s="5359" t="e">
        <f t="shared" si="110"/>
        <v>#DIV/0!</v>
      </c>
      <c r="Z277" s="5358"/>
      <c r="AA277" s="5357">
        <f t="shared" ref="AA277:AA283" si="112">X277-S277</f>
        <v>0</v>
      </c>
      <c r="AB277" s="5358" t="e">
        <f t="shared" ref="AB277:AB283" si="113">X277/S277*100-100</f>
        <v>#DIV/0!</v>
      </c>
      <c r="AC277" s="5350"/>
      <c r="AD277" s="5350"/>
      <c r="AE277" s="5350"/>
      <c r="AF277" s="5349">
        <f t="shared" si="94"/>
        <v>0</v>
      </c>
      <c r="AG277" s="5338">
        <f t="shared" si="95"/>
        <v>0</v>
      </c>
    </row>
    <row r="278" spans="1:33" s="5333" customFormat="1" ht="13.5" hidden="1" customHeight="1">
      <c r="A278" s="5340"/>
      <c r="B278" s="5340"/>
      <c r="C278" s="5340"/>
      <c r="D278" s="5400">
        <v>4</v>
      </c>
      <c r="E278" s="5400">
        <v>1</v>
      </c>
      <c r="F278" s="5400">
        <v>4</v>
      </c>
      <c r="G278" s="5400" t="s">
        <v>444</v>
      </c>
      <c r="H278" s="5400" t="s">
        <v>441</v>
      </c>
      <c r="I278" s="5634"/>
      <c r="J278" s="5366" t="s">
        <v>1283</v>
      </c>
      <c r="K278" s="5361"/>
      <c r="L278" s="5365"/>
      <c r="M278" s="5357">
        <v>0</v>
      </c>
      <c r="N278" s="5357">
        <v>0</v>
      </c>
      <c r="O278" s="5359">
        <f t="shared" si="105"/>
        <v>0</v>
      </c>
      <c r="P278" s="5358"/>
      <c r="Q278" s="5357">
        <f t="shared" si="106"/>
        <v>0</v>
      </c>
      <c r="R278" s="5358" t="e">
        <f t="shared" si="107"/>
        <v>#DIV/0!</v>
      </c>
      <c r="S278" s="5358"/>
      <c r="T278" s="5359" t="e">
        <f t="shared" si="108"/>
        <v>#DIV/0!</v>
      </c>
      <c r="U278" s="5358"/>
      <c r="V278" s="5357">
        <f t="shared" si="111"/>
        <v>0</v>
      </c>
      <c r="W278" s="5358" t="e">
        <f t="shared" si="109"/>
        <v>#DIV/0!</v>
      </c>
      <c r="X278" s="5358"/>
      <c r="Y278" s="5359" t="e">
        <f t="shared" si="110"/>
        <v>#DIV/0!</v>
      </c>
      <c r="Z278" s="5358"/>
      <c r="AA278" s="5357">
        <f t="shared" si="112"/>
        <v>0</v>
      </c>
      <c r="AB278" s="5358" t="e">
        <f t="shared" si="113"/>
        <v>#DIV/0!</v>
      </c>
      <c r="AC278" s="5349"/>
      <c r="AD278" s="5349"/>
      <c r="AE278" s="5349"/>
      <c r="AF278" s="5349">
        <f t="shared" si="94"/>
        <v>0</v>
      </c>
      <c r="AG278" s="5338">
        <f t="shared" si="95"/>
        <v>0</v>
      </c>
    </row>
    <row r="279" spans="1:33" s="5333" customFormat="1" ht="8.3000000000000007" hidden="1" customHeight="1">
      <c r="A279" s="5340"/>
      <c r="B279" s="5340"/>
      <c r="C279" s="5340"/>
      <c r="D279" s="5368"/>
      <c r="E279" s="5380"/>
      <c r="F279" s="5380"/>
      <c r="G279" s="5379"/>
      <c r="H279" s="5379"/>
      <c r="I279" s="5495"/>
      <c r="J279" s="5366"/>
      <c r="K279" s="5361"/>
      <c r="L279" s="5365"/>
      <c r="M279" s="5357"/>
      <c r="N279" s="5357"/>
      <c r="O279" s="5357">
        <f t="shared" si="105"/>
        <v>0</v>
      </c>
      <c r="P279" s="5358"/>
      <c r="Q279" s="5357">
        <f t="shared" si="106"/>
        <v>0</v>
      </c>
      <c r="R279" s="5358" t="e">
        <f t="shared" si="107"/>
        <v>#DIV/0!</v>
      </c>
      <c r="S279" s="5358"/>
      <c r="T279" s="5357" t="e">
        <f t="shared" si="108"/>
        <v>#DIV/0!</v>
      </c>
      <c r="U279" s="5358"/>
      <c r="V279" s="5357">
        <f t="shared" si="111"/>
        <v>0</v>
      </c>
      <c r="W279" s="5358" t="e">
        <f t="shared" si="109"/>
        <v>#DIV/0!</v>
      </c>
      <c r="X279" s="5358"/>
      <c r="Y279" s="5357" t="e">
        <f t="shared" si="110"/>
        <v>#DIV/0!</v>
      </c>
      <c r="Z279" s="5358"/>
      <c r="AA279" s="5357">
        <f t="shared" si="112"/>
        <v>0</v>
      </c>
      <c r="AB279" s="5358" t="e">
        <f t="shared" si="113"/>
        <v>#DIV/0!</v>
      </c>
      <c r="AC279" s="5349"/>
      <c r="AD279" s="5349"/>
      <c r="AE279" s="5349"/>
      <c r="AF279" s="5349">
        <f t="shared" si="94"/>
        <v>0</v>
      </c>
      <c r="AG279" s="5338">
        <f t="shared" si="95"/>
        <v>0</v>
      </c>
    </row>
    <row r="280" spans="1:33" s="5333" customFormat="1" ht="11.3" hidden="1" customHeight="1">
      <c r="A280" s="5340"/>
      <c r="B280" s="5340"/>
      <c r="C280" s="5340"/>
      <c r="D280" s="5367">
        <v>4</v>
      </c>
      <c r="E280" s="5367">
        <v>1</v>
      </c>
      <c r="F280" s="5367">
        <v>4</v>
      </c>
      <c r="G280" s="5367" t="s">
        <v>948</v>
      </c>
      <c r="H280" s="5368"/>
      <c r="I280" s="5632"/>
      <c r="J280" s="5366" t="s">
        <v>321</v>
      </c>
      <c r="K280" s="5361"/>
      <c r="L280" s="5365"/>
      <c r="M280" s="5357">
        <v>0</v>
      </c>
      <c r="N280" s="5357">
        <f>N281</f>
        <v>0</v>
      </c>
      <c r="O280" s="5359">
        <f t="shared" si="105"/>
        <v>0</v>
      </c>
      <c r="P280" s="5358"/>
      <c r="Q280" s="5357">
        <f t="shared" si="106"/>
        <v>0</v>
      </c>
      <c r="R280" s="5358" t="e">
        <f t="shared" si="107"/>
        <v>#DIV/0!</v>
      </c>
      <c r="S280" s="5358"/>
      <c r="T280" s="5359" t="e">
        <f t="shared" si="108"/>
        <v>#DIV/0!</v>
      </c>
      <c r="U280" s="5358"/>
      <c r="V280" s="5357">
        <f t="shared" si="111"/>
        <v>0</v>
      </c>
      <c r="W280" s="5358" t="e">
        <f t="shared" si="109"/>
        <v>#DIV/0!</v>
      </c>
      <c r="X280" s="5358"/>
      <c r="Y280" s="5359" t="e">
        <f t="shared" si="110"/>
        <v>#DIV/0!</v>
      </c>
      <c r="Z280" s="5358"/>
      <c r="AA280" s="5357">
        <f t="shared" si="112"/>
        <v>0</v>
      </c>
      <c r="AB280" s="5358" t="e">
        <f t="shared" si="113"/>
        <v>#DIV/0!</v>
      </c>
      <c r="AC280" s="5349"/>
      <c r="AD280" s="5349"/>
      <c r="AE280" s="5349"/>
      <c r="AF280" s="5349">
        <f t="shared" si="94"/>
        <v>0</v>
      </c>
      <c r="AG280" s="5338">
        <f t="shared" si="95"/>
        <v>0</v>
      </c>
    </row>
    <row r="281" spans="1:33" s="5333" customFormat="1" ht="11.3" hidden="1" customHeight="1">
      <c r="A281" s="5340"/>
      <c r="B281" s="5340"/>
      <c r="C281" s="5340"/>
      <c r="D281" s="5367">
        <v>4</v>
      </c>
      <c r="E281" s="5367">
        <v>1</v>
      </c>
      <c r="F281" s="5367">
        <v>4</v>
      </c>
      <c r="G281" s="5367" t="s">
        <v>948</v>
      </c>
      <c r="H281" s="5367" t="s">
        <v>437</v>
      </c>
      <c r="I281" s="5631"/>
      <c r="J281" s="5366" t="s">
        <v>85</v>
      </c>
      <c r="K281" s="5361"/>
      <c r="L281" s="5365"/>
      <c r="M281" s="5357">
        <v>0</v>
      </c>
      <c r="N281" s="5357">
        <f>+N282+N283</f>
        <v>0</v>
      </c>
      <c r="O281" s="5359">
        <f t="shared" si="105"/>
        <v>0</v>
      </c>
      <c r="P281" s="5358"/>
      <c r="Q281" s="5357">
        <f t="shared" si="106"/>
        <v>0</v>
      </c>
      <c r="R281" s="5358" t="e">
        <f t="shared" si="107"/>
        <v>#DIV/0!</v>
      </c>
      <c r="S281" s="5358"/>
      <c r="T281" s="5359" t="e">
        <f t="shared" si="108"/>
        <v>#DIV/0!</v>
      </c>
      <c r="U281" s="5358"/>
      <c r="V281" s="5357">
        <f t="shared" si="111"/>
        <v>0</v>
      </c>
      <c r="W281" s="5358" t="e">
        <f t="shared" si="109"/>
        <v>#DIV/0!</v>
      </c>
      <c r="X281" s="5358"/>
      <c r="Y281" s="5359" t="e">
        <f t="shared" si="110"/>
        <v>#DIV/0!</v>
      </c>
      <c r="Z281" s="5358"/>
      <c r="AA281" s="5357">
        <f t="shared" si="112"/>
        <v>0</v>
      </c>
      <c r="AB281" s="5358" t="e">
        <f t="shared" si="113"/>
        <v>#DIV/0!</v>
      </c>
      <c r="AC281" s="5349"/>
      <c r="AD281" s="5349"/>
      <c r="AE281" s="5349"/>
      <c r="AF281" s="5349">
        <f t="shared" si="94"/>
        <v>0</v>
      </c>
      <c r="AG281" s="5338">
        <f t="shared" si="95"/>
        <v>0</v>
      </c>
    </row>
    <row r="282" spans="1:33" s="5333" customFormat="1" ht="11.3" hidden="1" customHeight="1">
      <c r="A282" s="5340"/>
      <c r="B282" s="5340"/>
      <c r="C282" s="5340"/>
      <c r="D282" s="5368"/>
      <c r="E282" s="5380"/>
      <c r="F282" s="5380"/>
      <c r="G282" s="5379"/>
      <c r="H282" s="5379"/>
      <c r="I282" s="5495"/>
      <c r="J282" s="5366" t="s">
        <v>50</v>
      </c>
      <c r="K282" s="5361" t="s">
        <v>85</v>
      </c>
      <c r="L282" s="5365"/>
      <c r="M282" s="5359">
        <v>0</v>
      </c>
      <c r="N282" s="5359">
        <v>0</v>
      </c>
      <c r="O282" s="5359">
        <f t="shared" si="105"/>
        <v>0</v>
      </c>
      <c r="P282" s="5358"/>
      <c r="Q282" s="5357">
        <f t="shared" si="106"/>
        <v>0</v>
      </c>
      <c r="R282" s="5358" t="e">
        <f t="shared" si="107"/>
        <v>#DIV/0!</v>
      </c>
      <c r="S282" s="5358"/>
      <c r="T282" s="5359" t="e">
        <f t="shared" si="108"/>
        <v>#DIV/0!</v>
      </c>
      <c r="U282" s="5358"/>
      <c r="V282" s="5357">
        <f t="shared" si="111"/>
        <v>0</v>
      </c>
      <c r="W282" s="5358" t="e">
        <f t="shared" si="109"/>
        <v>#DIV/0!</v>
      </c>
      <c r="X282" s="5358"/>
      <c r="Y282" s="5359" t="e">
        <f t="shared" si="110"/>
        <v>#DIV/0!</v>
      </c>
      <c r="Z282" s="5358"/>
      <c r="AA282" s="5357">
        <f t="shared" si="112"/>
        <v>0</v>
      </c>
      <c r="AB282" s="5358" t="e">
        <f t="shared" si="113"/>
        <v>#DIV/0!</v>
      </c>
      <c r="AC282" s="5349"/>
      <c r="AD282" s="5349"/>
      <c r="AE282" s="5349"/>
      <c r="AF282" s="5349">
        <f t="shared" si="94"/>
        <v>0</v>
      </c>
      <c r="AG282" s="5338">
        <f t="shared" si="95"/>
        <v>0</v>
      </c>
    </row>
    <row r="283" spans="1:33" s="5333" customFormat="1" ht="11.3" hidden="1" customHeight="1">
      <c r="A283" s="5340"/>
      <c r="B283" s="5340"/>
      <c r="C283" s="5340"/>
      <c r="D283" s="5368"/>
      <c r="E283" s="5380"/>
      <c r="F283" s="5380"/>
      <c r="G283" s="5379"/>
      <c r="H283" s="5379"/>
      <c r="I283" s="5495"/>
      <c r="J283" s="5366" t="s">
        <v>50</v>
      </c>
      <c r="K283" s="5361" t="s">
        <v>76</v>
      </c>
      <c r="L283" s="5365"/>
      <c r="M283" s="5359">
        <v>0</v>
      </c>
      <c r="N283" s="5359">
        <v>0</v>
      </c>
      <c r="O283" s="5359">
        <f t="shared" si="105"/>
        <v>0</v>
      </c>
      <c r="P283" s="5358"/>
      <c r="Q283" s="5357">
        <f t="shared" si="106"/>
        <v>0</v>
      </c>
      <c r="R283" s="5358" t="e">
        <f t="shared" si="107"/>
        <v>#DIV/0!</v>
      </c>
      <c r="S283" s="5358"/>
      <c r="T283" s="5359" t="e">
        <f t="shared" si="108"/>
        <v>#DIV/0!</v>
      </c>
      <c r="U283" s="5358"/>
      <c r="V283" s="5357">
        <f t="shared" si="111"/>
        <v>0</v>
      </c>
      <c r="W283" s="5358" t="e">
        <f t="shared" si="109"/>
        <v>#DIV/0!</v>
      </c>
      <c r="X283" s="5358"/>
      <c r="Y283" s="5359" t="e">
        <f t="shared" si="110"/>
        <v>#DIV/0!</v>
      </c>
      <c r="Z283" s="5358"/>
      <c r="AA283" s="5357">
        <f t="shared" si="112"/>
        <v>0</v>
      </c>
      <c r="AB283" s="5358" t="e">
        <f t="shared" si="113"/>
        <v>#DIV/0!</v>
      </c>
      <c r="AC283" s="5349"/>
      <c r="AD283" s="5349"/>
      <c r="AE283" s="5349"/>
      <c r="AF283" s="5349">
        <f t="shared" si="94"/>
        <v>0</v>
      </c>
      <c r="AG283" s="5338">
        <f t="shared" si="95"/>
        <v>0</v>
      </c>
    </row>
    <row r="284" spans="1:33" s="5333" customFormat="1" ht="6.75" hidden="1" customHeight="1">
      <c r="A284" s="5340"/>
      <c r="B284" s="5340"/>
      <c r="C284" s="5340"/>
      <c r="D284" s="5417"/>
      <c r="E284" s="5419"/>
      <c r="F284" s="5419"/>
      <c r="G284" s="5418"/>
      <c r="H284" s="5418"/>
      <c r="I284" s="5638"/>
      <c r="J284" s="5377"/>
      <c r="K284" s="5376"/>
      <c r="L284" s="5375"/>
      <c r="M284" s="5398"/>
      <c r="N284" s="5398"/>
      <c r="O284" s="5398"/>
      <c r="P284" s="5396"/>
      <c r="Q284" s="5398"/>
      <c r="R284" s="5396"/>
      <c r="S284" s="5396"/>
      <c r="T284" s="5398"/>
      <c r="U284" s="5396"/>
      <c r="V284" s="5398"/>
      <c r="W284" s="5396"/>
      <c r="X284" s="5396"/>
      <c r="Y284" s="5398"/>
      <c r="Z284" s="5396"/>
      <c r="AA284" s="5398"/>
      <c r="AB284" s="5396"/>
      <c r="AC284" s="5349"/>
      <c r="AD284" s="5349"/>
      <c r="AE284" s="5349"/>
      <c r="AF284" s="5349">
        <f t="shared" si="94"/>
        <v>0</v>
      </c>
      <c r="AG284" s="5338">
        <f t="shared" si="95"/>
        <v>0</v>
      </c>
    </row>
    <row r="285" spans="1:33" s="5521" customFormat="1">
      <c r="A285" s="5464" t="s">
        <v>58</v>
      </c>
      <c r="B285" s="5464" t="s">
        <v>448</v>
      </c>
      <c r="C285" s="5463" t="s">
        <v>438</v>
      </c>
      <c r="D285" s="5393" t="s">
        <v>58</v>
      </c>
      <c r="E285" s="5393" t="s">
        <v>448</v>
      </c>
      <c r="F285" s="5392" t="s">
        <v>438</v>
      </c>
      <c r="G285" s="5393"/>
      <c r="H285" s="5393"/>
      <c r="I285" s="5629" t="s">
        <v>444</v>
      </c>
      <c r="J285" s="5391" t="s">
        <v>122</v>
      </c>
      <c r="K285" s="5390"/>
      <c r="L285" s="5389"/>
      <c r="M285" s="5502">
        <v>0</v>
      </c>
      <c r="N285" s="5502">
        <f>+N287</f>
        <v>0</v>
      </c>
      <c r="O285" s="5502">
        <f>N285-M285</f>
        <v>0</v>
      </c>
      <c r="P285" s="5501"/>
      <c r="Q285" s="5502">
        <f>+P285-N285</f>
        <v>0</v>
      </c>
      <c r="R285" s="5501">
        <v>0</v>
      </c>
      <c r="S285" s="5501"/>
      <c r="T285" s="5502">
        <f>S285-R285</f>
        <v>0</v>
      </c>
      <c r="U285" s="5501"/>
      <c r="V285" s="5502">
        <f>S285-P285</f>
        <v>0</v>
      </c>
      <c r="W285" s="5501">
        <v>0</v>
      </c>
      <c r="X285" s="5501" t="e">
        <f>X287</f>
        <v>#REF!</v>
      </c>
      <c r="Y285" s="5502" t="e">
        <f>X285-W285</f>
        <v>#REF!</v>
      </c>
      <c r="Z285" s="5501"/>
      <c r="AA285" s="5502" t="e">
        <f>X285-S285</f>
        <v>#REF!</v>
      </c>
      <c r="AB285" s="5501">
        <v>0</v>
      </c>
      <c r="AC285" s="5594"/>
      <c r="AD285" s="5594"/>
      <c r="AE285" s="5594"/>
      <c r="AF285" s="5594">
        <f t="shared" si="94"/>
        <v>0</v>
      </c>
      <c r="AG285" s="5595">
        <f t="shared" si="95"/>
        <v>0</v>
      </c>
    </row>
    <row r="286" spans="1:33" s="5333" customFormat="1" ht="6.75" customHeight="1">
      <c r="A286" s="5340"/>
      <c r="B286" s="5340"/>
      <c r="C286" s="5340"/>
      <c r="D286" s="5387"/>
      <c r="E286" s="5387"/>
      <c r="F286" s="5386"/>
      <c r="G286" s="5387"/>
      <c r="H286" s="5387"/>
      <c r="I286" s="5630"/>
      <c r="J286" s="5385"/>
      <c r="K286" s="5384"/>
      <c r="L286" s="5383"/>
      <c r="M286" s="5382"/>
      <c r="N286" s="5382"/>
      <c r="O286" s="5382"/>
      <c r="P286" s="5381"/>
      <c r="Q286" s="5355"/>
      <c r="R286" s="5381"/>
      <c r="S286" s="5381"/>
      <c r="T286" s="5382"/>
      <c r="U286" s="5381"/>
      <c r="V286" s="5355"/>
      <c r="W286" s="5381"/>
      <c r="X286" s="5381"/>
      <c r="Y286" s="5382"/>
      <c r="Z286" s="5381"/>
      <c r="AA286" s="5593"/>
      <c r="AB286" s="5503"/>
      <c r="AC286" s="5349"/>
      <c r="AD286" s="5349"/>
      <c r="AE286" s="5349"/>
      <c r="AF286" s="5349">
        <f t="shared" si="94"/>
        <v>0</v>
      </c>
      <c r="AG286" s="5338">
        <f t="shared" si="95"/>
        <v>0</v>
      </c>
    </row>
    <row r="287" spans="1:33" s="5333" customFormat="1" ht="15.05" customHeight="1">
      <c r="A287" s="5340"/>
      <c r="B287" s="5340"/>
      <c r="C287" s="5340"/>
      <c r="D287" s="5374">
        <v>4</v>
      </c>
      <c r="E287" s="5374">
        <v>1</v>
      </c>
      <c r="F287" s="5374"/>
      <c r="G287" s="5374"/>
      <c r="H287" s="5374"/>
      <c r="I287" s="5537"/>
      <c r="J287" s="5372" t="s">
        <v>180</v>
      </c>
      <c r="K287" s="5371"/>
      <c r="L287" s="5370"/>
      <c r="M287" s="5357">
        <v>0</v>
      </c>
      <c r="N287" s="5357">
        <f>N288</f>
        <v>0</v>
      </c>
      <c r="O287" s="5359">
        <f t="shared" ref="O287:O296" si="114">N287-M287</f>
        <v>0</v>
      </c>
      <c r="P287" s="5358"/>
      <c r="Q287" s="5355">
        <f t="shared" ref="Q287:Q296" si="115">+P287-N287</f>
        <v>0</v>
      </c>
      <c r="R287" s="5358" t="e">
        <f t="shared" ref="R287:R296" si="116">P287/N287*100-100</f>
        <v>#DIV/0!</v>
      </c>
      <c r="S287" s="5358"/>
      <c r="T287" s="5359" t="e">
        <f t="shared" ref="T287:T296" si="117">S287-R287</f>
        <v>#DIV/0!</v>
      </c>
      <c r="U287" s="5358"/>
      <c r="V287" s="5355">
        <f t="shared" ref="V287:V296" si="118">S287-P287</f>
        <v>0</v>
      </c>
      <c r="W287" s="5358" t="e">
        <f t="shared" ref="W287:W295" si="119">S287/P287*100-100</f>
        <v>#DIV/0!</v>
      </c>
      <c r="X287" s="5358" t="e">
        <f>X288</f>
        <v>#REF!</v>
      </c>
      <c r="Y287" s="5359" t="e">
        <f t="shared" ref="Y287:Y296" si="120">X287-W287</f>
        <v>#REF!</v>
      </c>
      <c r="Z287" s="5358"/>
      <c r="AA287" s="5357" t="e">
        <f t="shared" ref="AA287:AA296" si="121">X287-S287</f>
        <v>#REF!</v>
      </c>
      <c r="AB287" s="5358" t="e">
        <f t="shared" ref="AB287:AB295" si="122">X287/S287*100-100</f>
        <v>#REF!</v>
      </c>
      <c r="AC287" s="5349"/>
      <c r="AD287" s="5349"/>
      <c r="AE287" s="5349"/>
      <c r="AF287" s="5349">
        <f t="shared" si="94"/>
        <v>0</v>
      </c>
      <c r="AG287" s="5338">
        <f t="shared" si="95"/>
        <v>0</v>
      </c>
    </row>
    <row r="288" spans="1:33" s="5333" customFormat="1">
      <c r="A288" s="5340"/>
      <c r="B288" s="5340"/>
      <c r="C288" s="5340"/>
      <c r="D288" s="5374">
        <v>4</v>
      </c>
      <c r="E288" s="5374">
        <v>1</v>
      </c>
      <c r="F288" s="5374" t="s">
        <v>460</v>
      </c>
      <c r="G288" s="5373"/>
      <c r="H288" s="5373"/>
      <c r="I288" s="5633"/>
      <c r="J288" s="5372" t="s">
        <v>106</v>
      </c>
      <c r="K288" s="5371"/>
      <c r="L288" s="5370"/>
      <c r="M288" s="5357">
        <v>0</v>
      </c>
      <c r="N288" s="5357">
        <f>+N289+N292</f>
        <v>0</v>
      </c>
      <c r="O288" s="5359">
        <f t="shared" si="114"/>
        <v>0</v>
      </c>
      <c r="P288" s="5358"/>
      <c r="Q288" s="5355">
        <f t="shared" si="115"/>
        <v>0</v>
      </c>
      <c r="R288" s="5358" t="e">
        <f t="shared" si="116"/>
        <v>#DIV/0!</v>
      </c>
      <c r="S288" s="5358"/>
      <c r="T288" s="5359" t="e">
        <f t="shared" si="117"/>
        <v>#DIV/0!</v>
      </c>
      <c r="U288" s="5358"/>
      <c r="V288" s="5355">
        <f t="shared" si="118"/>
        <v>0</v>
      </c>
      <c r="W288" s="5358" t="e">
        <f t="shared" si="119"/>
        <v>#DIV/0!</v>
      </c>
      <c r="X288" s="5358" t="e">
        <f>X289</f>
        <v>#REF!</v>
      </c>
      <c r="Y288" s="5359" t="e">
        <f t="shared" si="120"/>
        <v>#REF!</v>
      </c>
      <c r="Z288" s="5358"/>
      <c r="AA288" s="5357" t="e">
        <f t="shared" si="121"/>
        <v>#REF!</v>
      </c>
      <c r="AB288" s="5358" t="e">
        <f t="shared" si="122"/>
        <v>#REF!</v>
      </c>
      <c r="AC288" s="5350"/>
      <c r="AD288" s="5350"/>
      <c r="AE288" s="5350"/>
      <c r="AF288" s="5349">
        <f t="shared" si="94"/>
        <v>0</v>
      </c>
      <c r="AG288" s="5338">
        <f t="shared" si="95"/>
        <v>0</v>
      </c>
    </row>
    <row r="289" spans="1:33" s="5333" customFormat="1" ht="15.05" customHeight="1">
      <c r="A289" s="5340"/>
      <c r="B289" s="5340"/>
      <c r="C289" s="5340"/>
      <c r="D289" s="5678" t="s">
        <v>443</v>
      </c>
      <c r="E289" s="5679" t="s">
        <v>58</v>
      </c>
      <c r="F289" s="5679" t="s">
        <v>460</v>
      </c>
      <c r="G289" s="5680" t="s">
        <v>438</v>
      </c>
      <c r="H289" s="5679"/>
      <c r="I289" s="5681"/>
      <c r="J289" s="5577" t="s">
        <v>374</v>
      </c>
      <c r="K289" s="5589"/>
      <c r="L289" s="5590"/>
      <c r="M289" s="5564">
        <v>0</v>
      </c>
      <c r="N289" s="5564">
        <f>N290</f>
        <v>0</v>
      </c>
      <c r="O289" s="5565">
        <f t="shared" si="114"/>
        <v>0</v>
      </c>
      <c r="P289" s="5566"/>
      <c r="Q289" s="5682">
        <f t="shared" si="115"/>
        <v>0</v>
      </c>
      <c r="R289" s="5566" t="e">
        <f t="shared" si="116"/>
        <v>#DIV/0!</v>
      </c>
      <c r="S289" s="5566"/>
      <c r="T289" s="5565" t="e">
        <f t="shared" si="117"/>
        <v>#DIV/0!</v>
      </c>
      <c r="U289" s="5566"/>
      <c r="V289" s="5682">
        <f t="shared" si="118"/>
        <v>0</v>
      </c>
      <c r="W289" s="5566" t="e">
        <f t="shared" si="119"/>
        <v>#DIV/0!</v>
      </c>
      <c r="X289" s="5566" t="e">
        <f>X290</f>
        <v>#REF!</v>
      </c>
      <c r="Y289" s="5565" t="e">
        <f t="shared" si="120"/>
        <v>#REF!</v>
      </c>
      <c r="Z289" s="5566"/>
      <c r="AA289" s="5564" t="e">
        <f t="shared" si="121"/>
        <v>#REF!</v>
      </c>
      <c r="AB289" s="5566" t="e">
        <f t="shared" si="122"/>
        <v>#REF!</v>
      </c>
      <c r="AC289" s="5349" t="s">
        <v>1515</v>
      </c>
      <c r="AD289" s="5349"/>
      <c r="AE289" s="5349"/>
      <c r="AF289" s="5349">
        <f t="shared" si="94"/>
        <v>0</v>
      </c>
      <c r="AG289" s="5338">
        <f t="shared" si="95"/>
        <v>0</v>
      </c>
    </row>
    <row r="290" spans="1:33" s="5333" customFormat="1" ht="15.05" customHeight="1">
      <c r="A290" s="5340"/>
      <c r="B290" s="5340"/>
      <c r="C290" s="5340"/>
      <c r="D290" s="5440" t="s">
        <v>443</v>
      </c>
      <c r="E290" s="5439" t="s">
        <v>58</v>
      </c>
      <c r="F290" s="5439" t="s">
        <v>460</v>
      </c>
      <c r="G290" s="5683" t="s">
        <v>438</v>
      </c>
      <c r="H290" s="5439" t="s">
        <v>437</v>
      </c>
      <c r="I290" s="5684"/>
      <c r="J290" s="5577" t="s">
        <v>1514</v>
      </c>
      <c r="K290" s="5475"/>
      <c r="L290" s="5590"/>
      <c r="M290" s="5564">
        <v>0</v>
      </c>
      <c r="N290" s="5564">
        <v>0</v>
      </c>
      <c r="O290" s="5565">
        <f t="shared" si="114"/>
        <v>0</v>
      </c>
      <c r="P290" s="5566"/>
      <c r="Q290" s="5682">
        <f t="shared" si="115"/>
        <v>0</v>
      </c>
      <c r="R290" s="5566" t="e">
        <f t="shared" si="116"/>
        <v>#DIV/0!</v>
      </c>
      <c r="S290" s="5566"/>
      <c r="T290" s="5565" t="e">
        <f t="shared" si="117"/>
        <v>#DIV/0!</v>
      </c>
      <c r="U290" s="5566"/>
      <c r="V290" s="5682">
        <f t="shared" si="118"/>
        <v>0</v>
      </c>
      <c r="W290" s="5566" t="e">
        <f t="shared" si="119"/>
        <v>#DIV/0!</v>
      </c>
      <c r="X290" s="5566" t="e">
        <f>#REF!</f>
        <v>#REF!</v>
      </c>
      <c r="Y290" s="5565" t="e">
        <f t="shared" si="120"/>
        <v>#REF!</v>
      </c>
      <c r="Z290" s="5566"/>
      <c r="AA290" s="5564" t="e">
        <f t="shared" si="121"/>
        <v>#REF!</v>
      </c>
      <c r="AB290" s="5566" t="e">
        <f t="shared" si="122"/>
        <v>#REF!</v>
      </c>
      <c r="AC290" s="5349" t="s">
        <v>1515</v>
      </c>
      <c r="AD290" s="5349"/>
      <c r="AE290" s="5349"/>
      <c r="AF290" s="5349">
        <f t="shared" si="94"/>
        <v>0</v>
      </c>
      <c r="AG290" s="5338">
        <f t="shared" si="95"/>
        <v>0</v>
      </c>
    </row>
    <row r="291" spans="1:33" s="5333" customFormat="1" ht="12.05" customHeight="1">
      <c r="A291" s="5340"/>
      <c r="B291" s="5340"/>
      <c r="C291" s="5340"/>
      <c r="D291" s="5367"/>
      <c r="E291" s="5380"/>
      <c r="F291" s="5380"/>
      <c r="G291" s="5379"/>
      <c r="H291" s="5379"/>
      <c r="I291" s="5495"/>
      <c r="J291" s="5366"/>
      <c r="K291" s="5361"/>
      <c r="L291" s="5365"/>
      <c r="M291" s="5357"/>
      <c r="N291" s="5357"/>
      <c r="O291" s="5357">
        <f t="shared" si="114"/>
        <v>0</v>
      </c>
      <c r="P291" s="5358"/>
      <c r="Q291" s="5355">
        <f t="shared" si="115"/>
        <v>0</v>
      </c>
      <c r="R291" s="5358" t="e">
        <f t="shared" si="116"/>
        <v>#DIV/0!</v>
      </c>
      <c r="S291" s="5358"/>
      <c r="T291" s="5357" t="e">
        <f t="shared" si="117"/>
        <v>#DIV/0!</v>
      </c>
      <c r="U291" s="5358"/>
      <c r="V291" s="5355">
        <f t="shared" si="118"/>
        <v>0</v>
      </c>
      <c r="W291" s="5358" t="e">
        <f t="shared" si="119"/>
        <v>#DIV/0!</v>
      </c>
      <c r="X291" s="5358"/>
      <c r="Y291" s="5357" t="e">
        <f t="shared" si="120"/>
        <v>#DIV/0!</v>
      </c>
      <c r="Z291" s="5358"/>
      <c r="AA291" s="5425"/>
      <c r="AB291" s="5381"/>
      <c r="AC291" s="5349"/>
      <c r="AD291" s="5349"/>
      <c r="AE291" s="5349"/>
      <c r="AF291" s="5349">
        <f t="shared" si="94"/>
        <v>0</v>
      </c>
      <c r="AG291" s="5338">
        <f t="shared" si="95"/>
        <v>0</v>
      </c>
    </row>
    <row r="292" spans="1:33" s="5333" customFormat="1" ht="15.05" hidden="1" customHeight="1">
      <c r="A292" s="5340"/>
      <c r="B292" s="5340"/>
      <c r="C292" s="5340"/>
      <c r="D292" s="5367">
        <v>4</v>
      </c>
      <c r="E292" s="5367">
        <v>1</v>
      </c>
      <c r="F292" s="5367" t="s">
        <v>460</v>
      </c>
      <c r="G292" s="5367" t="s">
        <v>948</v>
      </c>
      <c r="H292" s="5368"/>
      <c r="I292" s="5632"/>
      <c r="J292" s="5366" t="s">
        <v>321</v>
      </c>
      <c r="K292" s="5361"/>
      <c r="L292" s="5365"/>
      <c r="M292" s="5357">
        <v>0</v>
      </c>
      <c r="N292" s="5357">
        <f>N293</f>
        <v>0</v>
      </c>
      <c r="O292" s="5359">
        <f t="shared" si="114"/>
        <v>0</v>
      </c>
      <c r="P292" s="5358"/>
      <c r="Q292" s="5355">
        <f t="shared" si="115"/>
        <v>0</v>
      </c>
      <c r="R292" s="5358" t="e">
        <f t="shared" si="116"/>
        <v>#DIV/0!</v>
      </c>
      <c r="S292" s="5358"/>
      <c r="T292" s="5359" t="e">
        <f t="shared" si="117"/>
        <v>#DIV/0!</v>
      </c>
      <c r="U292" s="5358"/>
      <c r="V292" s="5355">
        <f t="shared" si="118"/>
        <v>0</v>
      </c>
      <c r="W292" s="5358" t="e">
        <f t="shared" si="119"/>
        <v>#DIV/0!</v>
      </c>
      <c r="X292" s="5358"/>
      <c r="Y292" s="5359" t="e">
        <f t="shared" si="120"/>
        <v>#DIV/0!</v>
      </c>
      <c r="Z292" s="5358"/>
      <c r="AA292" s="5355">
        <f t="shared" si="121"/>
        <v>0</v>
      </c>
      <c r="AB292" s="5358" t="e">
        <f t="shared" si="122"/>
        <v>#DIV/0!</v>
      </c>
      <c r="AC292" s="5349"/>
      <c r="AD292" s="5349"/>
      <c r="AE292" s="5349"/>
      <c r="AF292" s="5349">
        <f t="shared" si="94"/>
        <v>0</v>
      </c>
      <c r="AG292" s="5338">
        <f t="shared" si="95"/>
        <v>0</v>
      </c>
    </row>
    <row r="293" spans="1:33" s="5333" customFormat="1" ht="15.05" hidden="1" customHeight="1">
      <c r="A293" s="5340"/>
      <c r="B293" s="5340"/>
      <c r="C293" s="5340"/>
      <c r="D293" s="5367">
        <v>4</v>
      </c>
      <c r="E293" s="5367">
        <v>1</v>
      </c>
      <c r="F293" s="5367">
        <v>4</v>
      </c>
      <c r="G293" s="5367" t="s">
        <v>948</v>
      </c>
      <c r="H293" s="5367" t="s">
        <v>437</v>
      </c>
      <c r="I293" s="5631"/>
      <c r="J293" s="5366" t="s">
        <v>85</v>
      </c>
      <c r="K293" s="5361"/>
      <c r="L293" s="5365"/>
      <c r="M293" s="5357">
        <v>0</v>
      </c>
      <c r="N293" s="5357">
        <f>N294</f>
        <v>0</v>
      </c>
      <c r="O293" s="5359">
        <f t="shared" si="114"/>
        <v>0</v>
      </c>
      <c r="P293" s="5358"/>
      <c r="Q293" s="5355">
        <f t="shared" si="115"/>
        <v>0</v>
      </c>
      <c r="R293" s="5358" t="e">
        <f t="shared" si="116"/>
        <v>#DIV/0!</v>
      </c>
      <c r="S293" s="5358"/>
      <c r="T293" s="5359" t="e">
        <f t="shared" si="117"/>
        <v>#DIV/0!</v>
      </c>
      <c r="U293" s="5358"/>
      <c r="V293" s="5355">
        <f t="shared" si="118"/>
        <v>0</v>
      </c>
      <c r="W293" s="5358" t="e">
        <f t="shared" si="119"/>
        <v>#DIV/0!</v>
      </c>
      <c r="X293" s="5358"/>
      <c r="Y293" s="5359" t="e">
        <f t="shared" si="120"/>
        <v>#DIV/0!</v>
      </c>
      <c r="Z293" s="5358"/>
      <c r="AA293" s="5355">
        <f t="shared" si="121"/>
        <v>0</v>
      </c>
      <c r="AB293" s="5358" t="e">
        <f t="shared" si="122"/>
        <v>#DIV/0!</v>
      </c>
      <c r="AC293" s="5349"/>
      <c r="AD293" s="5349"/>
      <c r="AE293" s="5349"/>
      <c r="AF293" s="5349">
        <f t="shared" si="94"/>
        <v>0</v>
      </c>
      <c r="AG293" s="5338">
        <f t="shared" si="95"/>
        <v>0</v>
      </c>
    </row>
    <row r="294" spans="1:33" s="5333" customFormat="1" ht="15.05" hidden="1" customHeight="1">
      <c r="A294" s="5340"/>
      <c r="B294" s="5340"/>
      <c r="C294" s="5340"/>
      <c r="D294" s="5368"/>
      <c r="E294" s="5380"/>
      <c r="F294" s="5380"/>
      <c r="G294" s="5379"/>
      <c r="H294" s="5379"/>
      <c r="I294" s="5495"/>
      <c r="J294" s="5366" t="s">
        <v>50</v>
      </c>
      <c r="K294" s="5361" t="s">
        <v>76</v>
      </c>
      <c r="L294" s="5365"/>
      <c r="M294" s="5359">
        <v>0</v>
      </c>
      <c r="N294" s="5359">
        <v>0</v>
      </c>
      <c r="O294" s="5359">
        <f t="shared" si="114"/>
        <v>0</v>
      </c>
      <c r="P294" s="5358"/>
      <c r="Q294" s="5355">
        <f t="shared" si="115"/>
        <v>0</v>
      </c>
      <c r="R294" s="5358" t="e">
        <f t="shared" si="116"/>
        <v>#DIV/0!</v>
      </c>
      <c r="S294" s="5358"/>
      <c r="T294" s="5359" t="e">
        <f t="shared" si="117"/>
        <v>#DIV/0!</v>
      </c>
      <c r="U294" s="5358"/>
      <c r="V294" s="5355">
        <f t="shared" si="118"/>
        <v>0</v>
      </c>
      <c r="W294" s="5358" t="e">
        <f t="shared" si="119"/>
        <v>#DIV/0!</v>
      </c>
      <c r="X294" s="5358"/>
      <c r="Y294" s="5359" t="e">
        <f t="shared" si="120"/>
        <v>#DIV/0!</v>
      </c>
      <c r="Z294" s="5358"/>
      <c r="AA294" s="5355">
        <f t="shared" si="121"/>
        <v>0</v>
      </c>
      <c r="AB294" s="5358" t="e">
        <f t="shared" si="122"/>
        <v>#DIV/0!</v>
      </c>
      <c r="AC294" s="5349"/>
      <c r="AD294" s="5349"/>
      <c r="AE294" s="5349"/>
      <c r="AF294" s="5349">
        <f t="shared" si="94"/>
        <v>0</v>
      </c>
      <c r="AG294" s="5338">
        <f t="shared" si="95"/>
        <v>0</v>
      </c>
    </row>
    <row r="295" spans="1:33" s="5333" customFormat="1" ht="8.3000000000000007" hidden="1" customHeight="1">
      <c r="A295" s="5340"/>
      <c r="B295" s="5340"/>
      <c r="C295" s="5340"/>
      <c r="D295" s="5364"/>
      <c r="E295" s="5364"/>
      <c r="F295" s="5363"/>
      <c r="G295" s="5364"/>
      <c r="H295" s="5363"/>
      <c r="I295" s="5635"/>
      <c r="J295" s="5362"/>
      <c r="K295" s="5376"/>
      <c r="L295" s="5375"/>
      <c r="M295" s="5398"/>
      <c r="N295" s="5398"/>
      <c r="O295" s="5398">
        <f t="shared" si="114"/>
        <v>0</v>
      </c>
      <c r="P295" s="5396"/>
      <c r="Q295" s="5355">
        <f t="shared" si="115"/>
        <v>0</v>
      </c>
      <c r="R295" s="5396" t="e">
        <f t="shared" si="116"/>
        <v>#DIV/0!</v>
      </c>
      <c r="S295" s="5396"/>
      <c r="T295" s="5398" t="e">
        <f t="shared" si="117"/>
        <v>#DIV/0!</v>
      </c>
      <c r="U295" s="5396"/>
      <c r="V295" s="5355">
        <f t="shared" si="118"/>
        <v>0</v>
      </c>
      <c r="W295" s="5396" t="e">
        <f t="shared" si="119"/>
        <v>#DIV/0!</v>
      </c>
      <c r="X295" s="5396"/>
      <c r="Y295" s="5398" t="e">
        <f t="shared" si="120"/>
        <v>#DIV/0!</v>
      </c>
      <c r="Z295" s="5396"/>
      <c r="AA295" s="5355">
        <f t="shared" si="121"/>
        <v>0</v>
      </c>
      <c r="AB295" s="5396" t="e">
        <f t="shared" si="122"/>
        <v>#DIV/0!</v>
      </c>
      <c r="AC295" s="5349"/>
      <c r="AD295" s="5349"/>
      <c r="AE295" s="5349"/>
      <c r="AF295" s="5349">
        <f t="shared" si="94"/>
        <v>0</v>
      </c>
      <c r="AG295" s="5338">
        <f t="shared" si="95"/>
        <v>0</v>
      </c>
    </row>
    <row r="296" spans="1:33" s="5333" customFormat="1" ht="15.05" customHeight="1">
      <c r="A296" s="5395" t="s">
        <v>58</v>
      </c>
      <c r="B296" s="5394" t="s">
        <v>969</v>
      </c>
      <c r="C296" s="5395" t="s">
        <v>437</v>
      </c>
      <c r="D296" s="5393" t="s">
        <v>58</v>
      </c>
      <c r="E296" s="5392" t="s">
        <v>969</v>
      </c>
      <c r="F296" s="5393" t="s">
        <v>437</v>
      </c>
      <c r="G296" s="5392"/>
      <c r="H296" s="5392"/>
      <c r="I296" s="5637" t="s">
        <v>969</v>
      </c>
      <c r="J296" s="5391" t="s">
        <v>1418</v>
      </c>
      <c r="K296" s="5390"/>
      <c r="L296" s="5389"/>
      <c r="M296" s="5355">
        <v>0</v>
      </c>
      <c r="N296" s="5355">
        <f>N298</f>
        <v>137900000</v>
      </c>
      <c r="O296" s="5355">
        <f t="shared" si="114"/>
        <v>137900000</v>
      </c>
      <c r="P296" s="5355">
        <f>P298</f>
        <v>0</v>
      </c>
      <c r="Q296" s="5355">
        <f t="shared" si="115"/>
        <v>-137900000</v>
      </c>
      <c r="R296" s="5388">
        <f t="shared" si="116"/>
        <v>-100</v>
      </c>
      <c r="S296" s="5355">
        <f>S298</f>
        <v>0</v>
      </c>
      <c r="T296" s="5355">
        <f t="shared" si="117"/>
        <v>100</v>
      </c>
      <c r="U296" s="5355">
        <f>U298</f>
        <v>0</v>
      </c>
      <c r="V296" s="5355">
        <f t="shared" si="118"/>
        <v>0</v>
      </c>
      <c r="W296" s="5388">
        <v>0</v>
      </c>
      <c r="X296" s="5355">
        <f>X298</f>
        <v>0</v>
      </c>
      <c r="Y296" s="5355">
        <f t="shared" si="120"/>
        <v>0</v>
      </c>
      <c r="Z296" s="5355">
        <f>Z298</f>
        <v>0</v>
      </c>
      <c r="AA296" s="5355">
        <f t="shared" si="121"/>
        <v>0</v>
      </c>
      <c r="AB296" s="5388">
        <v>0</v>
      </c>
      <c r="AC296" s="5350"/>
      <c r="AD296" s="5350"/>
      <c r="AE296" s="5350"/>
      <c r="AF296" s="5349">
        <f t="shared" si="94"/>
        <v>0</v>
      </c>
      <c r="AG296" s="5338">
        <f t="shared" si="95"/>
        <v>0</v>
      </c>
    </row>
    <row r="297" spans="1:33" s="5333" customFormat="1" ht="8.3000000000000007" customHeight="1">
      <c r="A297" s="5340"/>
      <c r="B297" s="5340"/>
      <c r="C297" s="5340"/>
      <c r="D297" s="5387"/>
      <c r="E297" s="5386"/>
      <c r="F297" s="5387"/>
      <c r="G297" s="5386"/>
      <c r="H297" s="5386"/>
      <c r="I297" s="5636"/>
      <c r="J297" s="5385"/>
      <c r="K297" s="5384"/>
      <c r="L297" s="5383"/>
      <c r="M297" s="5382"/>
      <c r="N297" s="5382"/>
      <c r="O297" s="5382"/>
      <c r="P297" s="5382"/>
      <c r="Q297" s="5382"/>
      <c r="R297" s="5381"/>
      <c r="S297" s="5382"/>
      <c r="T297" s="5382"/>
      <c r="U297" s="5382"/>
      <c r="V297" s="5382"/>
      <c r="W297" s="5381"/>
      <c r="X297" s="5382"/>
      <c r="Y297" s="5382"/>
      <c r="Z297" s="5382"/>
      <c r="AA297" s="5382"/>
      <c r="AB297" s="5381"/>
      <c r="AC297" s="5349"/>
      <c r="AD297" s="5349"/>
      <c r="AE297" s="5349"/>
      <c r="AF297" s="5349">
        <f t="shared" si="94"/>
        <v>0</v>
      </c>
      <c r="AG297" s="5338">
        <f t="shared" si="95"/>
        <v>0</v>
      </c>
    </row>
    <row r="298" spans="1:33" s="5333" customFormat="1" ht="15.05" hidden="1" customHeight="1">
      <c r="A298" s="5340"/>
      <c r="B298" s="5340"/>
      <c r="C298" s="5340"/>
      <c r="D298" s="5374">
        <v>4</v>
      </c>
      <c r="E298" s="5374">
        <v>1</v>
      </c>
      <c r="F298" s="5374"/>
      <c r="G298" s="5374"/>
      <c r="H298" s="5374"/>
      <c r="I298" s="5537"/>
      <c r="J298" s="5372" t="s">
        <v>180</v>
      </c>
      <c r="K298" s="5371"/>
      <c r="L298" s="5370"/>
      <c r="M298" s="5357">
        <v>0</v>
      </c>
      <c r="N298" s="5357">
        <f>N304</f>
        <v>137900000</v>
      </c>
      <c r="O298" s="5359">
        <f>N298-M298</f>
        <v>137900000</v>
      </c>
      <c r="P298" s="5357">
        <f>P304</f>
        <v>0</v>
      </c>
      <c r="Q298" s="5357">
        <f t="shared" ref="Q298:Q310" si="123">+P298-N298</f>
        <v>-137900000</v>
      </c>
      <c r="R298" s="5358">
        <f t="shared" ref="R298:R310" si="124">P298/N298*100-100</f>
        <v>-100</v>
      </c>
      <c r="S298" s="5357">
        <f>S304</f>
        <v>0</v>
      </c>
      <c r="T298" s="5359">
        <f>S298-R298</f>
        <v>100</v>
      </c>
      <c r="U298" s="5357">
        <f>U304</f>
        <v>0</v>
      </c>
      <c r="V298" s="5357">
        <f t="shared" ref="V298:V310" si="125">S298-P298</f>
        <v>0</v>
      </c>
      <c r="W298" s="5358" t="e">
        <f t="shared" ref="W298:W312" si="126">S298/P298*100-100</f>
        <v>#DIV/0!</v>
      </c>
      <c r="X298" s="5357">
        <f>X304</f>
        <v>0</v>
      </c>
      <c r="Y298" s="5359" t="e">
        <f>X298-W298</f>
        <v>#DIV/0!</v>
      </c>
      <c r="Z298" s="5357">
        <f>Z304</f>
        <v>0</v>
      </c>
      <c r="AA298" s="5357">
        <f t="shared" ref="AA298:AA312" si="127">X298-S298</f>
        <v>0</v>
      </c>
      <c r="AB298" s="5358" t="e">
        <f t="shared" ref="AB298:AB312" si="128">X298/S298*100-100</f>
        <v>#DIV/0!</v>
      </c>
      <c r="AC298" s="5349"/>
      <c r="AD298" s="5349"/>
      <c r="AE298" s="5349"/>
      <c r="AF298" s="5349">
        <f t="shared" si="94"/>
        <v>0</v>
      </c>
      <c r="AG298" s="5338">
        <f t="shared" si="95"/>
        <v>0</v>
      </c>
    </row>
    <row r="299" spans="1:33" s="5333" customFormat="1" ht="6.75" hidden="1" customHeight="1">
      <c r="A299" s="5340"/>
      <c r="B299" s="5340"/>
      <c r="C299" s="5340"/>
      <c r="D299" s="5367"/>
      <c r="E299" s="5380"/>
      <c r="F299" s="5380"/>
      <c r="G299" s="5380"/>
      <c r="H299" s="5380"/>
      <c r="I299" s="5496"/>
      <c r="J299" s="5366"/>
      <c r="K299" s="5371"/>
      <c r="L299" s="5370"/>
      <c r="M299" s="5357"/>
      <c r="N299" s="5357"/>
      <c r="O299" s="5357"/>
      <c r="P299" s="5357"/>
      <c r="Q299" s="5357">
        <f t="shared" si="123"/>
        <v>0</v>
      </c>
      <c r="R299" s="5358" t="e">
        <f t="shared" si="124"/>
        <v>#DIV/0!</v>
      </c>
      <c r="S299" s="5357"/>
      <c r="T299" s="5357"/>
      <c r="U299" s="5357"/>
      <c r="V299" s="5357">
        <f t="shared" si="125"/>
        <v>0</v>
      </c>
      <c r="W299" s="5358" t="e">
        <f t="shared" si="126"/>
        <v>#DIV/0!</v>
      </c>
      <c r="X299" s="5357"/>
      <c r="Y299" s="5357"/>
      <c r="Z299" s="5357"/>
      <c r="AA299" s="5357">
        <f t="shared" si="127"/>
        <v>0</v>
      </c>
      <c r="AB299" s="5358" t="e">
        <f t="shared" si="128"/>
        <v>#DIV/0!</v>
      </c>
      <c r="AC299" s="5349"/>
      <c r="AD299" s="5349"/>
      <c r="AE299" s="5349"/>
      <c r="AF299" s="5349">
        <f t="shared" si="94"/>
        <v>0</v>
      </c>
      <c r="AG299" s="5338">
        <f t="shared" si="95"/>
        <v>0</v>
      </c>
    </row>
    <row r="300" spans="1:33" s="5333" customFormat="1" ht="15.05" hidden="1" customHeight="1">
      <c r="A300" s="5340"/>
      <c r="B300" s="5340"/>
      <c r="C300" s="5340"/>
      <c r="D300" s="5374">
        <v>4</v>
      </c>
      <c r="E300" s="5374">
        <v>1</v>
      </c>
      <c r="F300" s="5374">
        <v>2</v>
      </c>
      <c r="G300" s="5374"/>
      <c r="H300" s="5374"/>
      <c r="I300" s="5537"/>
      <c r="J300" s="5372" t="s">
        <v>106</v>
      </c>
      <c r="K300" s="5371"/>
      <c r="L300" s="5370"/>
      <c r="M300" s="5357">
        <v>0</v>
      </c>
      <c r="N300" s="5357">
        <f>N301</f>
        <v>0</v>
      </c>
      <c r="O300" s="5359">
        <f t="shared" ref="O300:O310" si="129">N300-M300</f>
        <v>0</v>
      </c>
      <c r="P300" s="5357">
        <f>P301</f>
        <v>0</v>
      </c>
      <c r="Q300" s="5357">
        <f t="shared" si="123"/>
        <v>0</v>
      </c>
      <c r="R300" s="5358" t="e">
        <f t="shared" si="124"/>
        <v>#DIV/0!</v>
      </c>
      <c r="S300" s="5357" t="e">
        <f>S301</f>
        <v>#DIV/0!</v>
      </c>
      <c r="T300" s="5359" t="e">
        <f t="shared" ref="T300:T310" si="130">S300-R300</f>
        <v>#DIV/0!</v>
      </c>
      <c r="U300" s="5357" t="e">
        <f>U301</f>
        <v>#DIV/0!</v>
      </c>
      <c r="V300" s="5357" t="e">
        <f t="shared" si="125"/>
        <v>#DIV/0!</v>
      </c>
      <c r="W300" s="5358" t="e">
        <f t="shared" si="126"/>
        <v>#DIV/0!</v>
      </c>
      <c r="X300" s="5357" t="e">
        <f>X301</f>
        <v>#DIV/0!</v>
      </c>
      <c r="Y300" s="5359" t="e">
        <f t="shared" ref="Y300:Y310" si="131">X300-W300</f>
        <v>#DIV/0!</v>
      </c>
      <c r="Z300" s="5357" t="e">
        <f>Z301</f>
        <v>#DIV/0!</v>
      </c>
      <c r="AA300" s="5357" t="e">
        <f t="shared" si="127"/>
        <v>#DIV/0!</v>
      </c>
      <c r="AB300" s="5358" t="e">
        <f t="shared" si="128"/>
        <v>#DIV/0!</v>
      </c>
      <c r="AC300" s="5350"/>
      <c r="AD300" s="5350"/>
      <c r="AE300" s="5350"/>
      <c r="AF300" s="5349" t="e">
        <f t="shared" si="94"/>
        <v>#DIV/0!</v>
      </c>
      <c r="AG300" s="5338" t="e">
        <f t="shared" si="95"/>
        <v>#DIV/0!</v>
      </c>
    </row>
    <row r="301" spans="1:33" s="5333" customFormat="1" ht="15.05" hidden="1" customHeight="1">
      <c r="A301" s="5340"/>
      <c r="B301" s="5340"/>
      <c r="C301" s="5340"/>
      <c r="D301" s="5367">
        <v>4</v>
      </c>
      <c r="E301" s="5367">
        <v>1</v>
      </c>
      <c r="F301" s="5367">
        <v>2</v>
      </c>
      <c r="G301" s="5368" t="s">
        <v>437</v>
      </c>
      <c r="H301" s="5367"/>
      <c r="I301" s="5631"/>
      <c r="J301" s="5366" t="s">
        <v>107</v>
      </c>
      <c r="K301" s="5371"/>
      <c r="L301" s="5370"/>
      <c r="M301" s="5357">
        <v>0</v>
      </c>
      <c r="N301" s="5357">
        <f>N302</f>
        <v>0</v>
      </c>
      <c r="O301" s="5359">
        <f t="shared" si="129"/>
        <v>0</v>
      </c>
      <c r="P301" s="5357">
        <f>P302</f>
        <v>0</v>
      </c>
      <c r="Q301" s="5357">
        <f t="shared" si="123"/>
        <v>0</v>
      </c>
      <c r="R301" s="5358" t="e">
        <f t="shared" si="124"/>
        <v>#DIV/0!</v>
      </c>
      <c r="S301" s="5357" t="e">
        <f>S302</f>
        <v>#DIV/0!</v>
      </c>
      <c r="T301" s="5359" t="e">
        <f t="shared" si="130"/>
        <v>#DIV/0!</v>
      </c>
      <c r="U301" s="5357" t="e">
        <f>U302</f>
        <v>#DIV/0!</v>
      </c>
      <c r="V301" s="5357" t="e">
        <f t="shared" si="125"/>
        <v>#DIV/0!</v>
      </c>
      <c r="W301" s="5358" t="e">
        <f t="shared" si="126"/>
        <v>#DIV/0!</v>
      </c>
      <c r="X301" s="5357" t="e">
        <f>X302</f>
        <v>#DIV/0!</v>
      </c>
      <c r="Y301" s="5359" t="e">
        <f t="shared" si="131"/>
        <v>#DIV/0!</v>
      </c>
      <c r="Z301" s="5357" t="e">
        <f>Z302</f>
        <v>#DIV/0!</v>
      </c>
      <c r="AA301" s="5357" t="e">
        <f t="shared" si="127"/>
        <v>#DIV/0!</v>
      </c>
      <c r="AB301" s="5358" t="e">
        <f t="shared" si="128"/>
        <v>#DIV/0!</v>
      </c>
      <c r="AC301" s="5350"/>
      <c r="AD301" s="5350"/>
      <c r="AE301" s="5350"/>
      <c r="AF301" s="5349" t="e">
        <f t="shared" si="94"/>
        <v>#DIV/0!</v>
      </c>
      <c r="AG301" s="5338" t="e">
        <f t="shared" si="95"/>
        <v>#DIV/0!</v>
      </c>
    </row>
    <row r="302" spans="1:33" s="5333" customFormat="1" ht="15.05" hidden="1" customHeight="1">
      <c r="A302" s="5340"/>
      <c r="B302" s="5340"/>
      <c r="C302" s="5340"/>
      <c r="D302" s="5367">
        <v>4</v>
      </c>
      <c r="E302" s="5367">
        <v>1</v>
      </c>
      <c r="F302" s="5367">
        <v>2</v>
      </c>
      <c r="G302" s="5368" t="s">
        <v>437</v>
      </c>
      <c r="H302" s="5367"/>
      <c r="I302" s="5631"/>
      <c r="J302" s="5366" t="s">
        <v>1417</v>
      </c>
      <c r="K302" s="5361"/>
      <c r="L302" s="5365"/>
      <c r="M302" s="5359">
        <v>0</v>
      </c>
      <c r="N302" s="5359">
        <f>M302</f>
        <v>0</v>
      </c>
      <c r="O302" s="5359">
        <f t="shared" si="129"/>
        <v>0</v>
      </c>
      <c r="P302" s="5359">
        <f>O302</f>
        <v>0</v>
      </c>
      <c r="Q302" s="5357">
        <f t="shared" si="123"/>
        <v>0</v>
      </c>
      <c r="R302" s="5358" t="e">
        <f t="shared" si="124"/>
        <v>#DIV/0!</v>
      </c>
      <c r="S302" s="5359" t="e">
        <f>R302</f>
        <v>#DIV/0!</v>
      </c>
      <c r="T302" s="5359" t="e">
        <f t="shared" si="130"/>
        <v>#DIV/0!</v>
      </c>
      <c r="U302" s="5359" t="e">
        <f>T302</f>
        <v>#DIV/0!</v>
      </c>
      <c r="V302" s="5357" t="e">
        <f t="shared" si="125"/>
        <v>#DIV/0!</v>
      </c>
      <c r="W302" s="5358" t="e">
        <f t="shared" si="126"/>
        <v>#DIV/0!</v>
      </c>
      <c r="X302" s="5359" t="e">
        <f>W302</f>
        <v>#DIV/0!</v>
      </c>
      <c r="Y302" s="5359" t="e">
        <f t="shared" si="131"/>
        <v>#DIV/0!</v>
      </c>
      <c r="Z302" s="5359" t="e">
        <f>Y302</f>
        <v>#DIV/0!</v>
      </c>
      <c r="AA302" s="5357" t="e">
        <f t="shared" si="127"/>
        <v>#DIV/0!</v>
      </c>
      <c r="AB302" s="5358" t="e">
        <f t="shared" si="128"/>
        <v>#DIV/0!</v>
      </c>
      <c r="AC302" s="5349"/>
      <c r="AD302" s="5349"/>
      <c r="AE302" s="5349"/>
      <c r="AF302" s="5349" t="e">
        <f t="shared" si="94"/>
        <v>#DIV/0!</v>
      </c>
      <c r="AG302" s="5338" t="e">
        <f t="shared" si="95"/>
        <v>#DIV/0!</v>
      </c>
    </row>
    <row r="303" spans="1:33" s="5333" customFormat="1" ht="15.05" hidden="1" customHeight="1">
      <c r="A303" s="5340"/>
      <c r="B303" s="5340"/>
      <c r="C303" s="5340"/>
      <c r="D303" s="5367"/>
      <c r="E303" s="5380"/>
      <c r="F303" s="5380"/>
      <c r="G303" s="5379"/>
      <c r="H303" s="5379"/>
      <c r="I303" s="5495"/>
      <c r="J303" s="5366"/>
      <c r="K303" s="5361"/>
      <c r="L303" s="5365"/>
      <c r="M303" s="5357"/>
      <c r="N303" s="5357"/>
      <c r="O303" s="5357">
        <f t="shared" si="129"/>
        <v>0</v>
      </c>
      <c r="P303" s="5357"/>
      <c r="Q303" s="5357">
        <f t="shared" si="123"/>
        <v>0</v>
      </c>
      <c r="R303" s="5358" t="e">
        <f t="shared" si="124"/>
        <v>#DIV/0!</v>
      </c>
      <c r="S303" s="5357"/>
      <c r="T303" s="5357" t="e">
        <f t="shared" si="130"/>
        <v>#DIV/0!</v>
      </c>
      <c r="U303" s="5357"/>
      <c r="V303" s="5357">
        <f t="shared" si="125"/>
        <v>0</v>
      </c>
      <c r="W303" s="5358" t="e">
        <f t="shared" si="126"/>
        <v>#DIV/0!</v>
      </c>
      <c r="X303" s="5357"/>
      <c r="Y303" s="5357" t="e">
        <f t="shared" si="131"/>
        <v>#DIV/0!</v>
      </c>
      <c r="Z303" s="5357"/>
      <c r="AA303" s="5357">
        <f t="shared" si="127"/>
        <v>0</v>
      </c>
      <c r="AB303" s="5358" t="e">
        <f t="shared" si="128"/>
        <v>#DIV/0!</v>
      </c>
      <c r="AC303" s="5349"/>
      <c r="AD303" s="5349"/>
      <c r="AE303" s="5349"/>
      <c r="AF303" s="5349">
        <f t="shared" si="94"/>
        <v>0</v>
      </c>
      <c r="AG303" s="5338">
        <f t="shared" si="95"/>
        <v>0</v>
      </c>
    </row>
    <row r="304" spans="1:33" s="5333" customFormat="1" ht="15.05" hidden="1" customHeight="1">
      <c r="A304" s="5340"/>
      <c r="B304" s="5340"/>
      <c r="C304" s="5340"/>
      <c r="D304" s="5374">
        <v>4</v>
      </c>
      <c r="E304" s="5374">
        <v>1</v>
      </c>
      <c r="F304" s="5374">
        <v>4</v>
      </c>
      <c r="G304" s="5373"/>
      <c r="H304" s="5373"/>
      <c r="I304" s="5633"/>
      <c r="J304" s="5372" t="s">
        <v>71</v>
      </c>
      <c r="K304" s="5371"/>
      <c r="L304" s="5370"/>
      <c r="M304" s="5357">
        <v>0</v>
      </c>
      <c r="N304" s="5357">
        <f>N308</f>
        <v>137900000</v>
      </c>
      <c r="O304" s="5359">
        <f t="shared" si="129"/>
        <v>137900000</v>
      </c>
      <c r="P304" s="5357">
        <f>P308</f>
        <v>0</v>
      </c>
      <c r="Q304" s="5357">
        <f t="shared" si="123"/>
        <v>-137900000</v>
      </c>
      <c r="R304" s="5358">
        <f t="shared" si="124"/>
        <v>-100</v>
      </c>
      <c r="S304" s="5357">
        <f>S308</f>
        <v>0</v>
      </c>
      <c r="T304" s="5359">
        <f t="shared" si="130"/>
        <v>100</v>
      </c>
      <c r="U304" s="5357">
        <f>U308</f>
        <v>0</v>
      </c>
      <c r="V304" s="5357">
        <f t="shared" si="125"/>
        <v>0</v>
      </c>
      <c r="W304" s="5358" t="e">
        <f t="shared" si="126"/>
        <v>#DIV/0!</v>
      </c>
      <c r="X304" s="5357">
        <f>X308</f>
        <v>0</v>
      </c>
      <c r="Y304" s="5359" t="e">
        <f t="shared" si="131"/>
        <v>#DIV/0!</v>
      </c>
      <c r="Z304" s="5357">
        <f>Z308</f>
        <v>0</v>
      </c>
      <c r="AA304" s="5357">
        <f t="shared" si="127"/>
        <v>0</v>
      </c>
      <c r="AB304" s="5358" t="e">
        <f t="shared" si="128"/>
        <v>#DIV/0!</v>
      </c>
      <c r="AC304" s="5350"/>
      <c r="AD304" s="5350"/>
      <c r="AE304" s="5350"/>
      <c r="AF304" s="5349">
        <f t="shared" si="94"/>
        <v>0</v>
      </c>
      <c r="AG304" s="5338">
        <f t="shared" si="95"/>
        <v>0</v>
      </c>
    </row>
    <row r="305" spans="1:33" s="5333" customFormat="1" ht="15.05" hidden="1" customHeight="1">
      <c r="A305" s="5340"/>
      <c r="B305" s="5340"/>
      <c r="C305" s="5340"/>
      <c r="D305" s="5367">
        <v>4</v>
      </c>
      <c r="E305" s="5367">
        <v>1</v>
      </c>
      <c r="F305" s="5367">
        <v>4</v>
      </c>
      <c r="G305" s="5368" t="s">
        <v>451</v>
      </c>
      <c r="H305" s="5367"/>
      <c r="I305" s="5631"/>
      <c r="J305" s="5366" t="s">
        <v>1289</v>
      </c>
      <c r="K305" s="5361"/>
      <c r="L305" s="5365"/>
      <c r="M305" s="5357">
        <v>0</v>
      </c>
      <c r="N305" s="5357">
        <v>0</v>
      </c>
      <c r="O305" s="5359">
        <f t="shared" si="129"/>
        <v>0</v>
      </c>
      <c r="P305" s="5357">
        <v>0</v>
      </c>
      <c r="Q305" s="5357">
        <f t="shared" si="123"/>
        <v>0</v>
      </c>
      <c r="R305" s="5358" t="e">
        <f t="shared" si="124"/>
        <v>#DIV/0!</v>
      </c>
      <c r="S305" s="5357">
        <v>0</v>
      </c>
      <c r="T305" s="5359" t="e">
        <f t="shared" si="130"/>
        <v>#DIV/0!</v>
      </c>
      <c r="U305" s="5357">
        <v>0</v>
      </c>
      <c r="V305" s="5357">
        <f t="shared" si="125"/>
        <v>0</v>
      </c>
      <c r="W305" s="5358" t="e">
        <f t="shared" si="126"/>
        <v>#DIV/0!</v>
      </c>
      <c r="X305" s="5357">
        <v>0</v>
      </c>
      <c r="Y305" s="5359" t="e">
        <f t="shared" si="131"/>
        <v>#DIV/0!</v>
      </c>
      <c r="Z305" s="5357">
        <v>0</v>
      </c>
      <c r="AA305" s="5357">
        <f t="shared" si="127"/>
        <v>0</v>
      </c>
      <c r="AB305" s="5358" t="e">
        <f t="shared" si="128"/>
        <v>#DIV/0!</v>
      </c>
      <c r="AC305" s="5349"/>
      <c r="AD305" s="5349"/>
      <c r="AE305" s="5349"/>
      <c r="AF305" s="5349">
        <f t="shared" si="94"/>
        <v>0</v>
      </c>
      <c r="AG305" s="5338">
        <f t="shared" si="95"/>
        <v>0</v>
      </c>
    </row>
    <row r="306" spans="1:33" s="5333" customFormat="1" ht="15.05" hidden="1" customHeight="1">
      <c r="A306" s="5340"/>
      <c r="B306" s="5340"/>
      <c r="C306" s="5340"/>
      <c r="D306" s="5367">
        <v>4</v>
      </c>
      <c r="E306" s="5367">
        <v>1</v>
      </c>
      <c r="F306" s="5367">
        <v>4</v>
      </c>
      <c r="G306" s="5368" t="s">
        <v>451</v>
      </c>
      <c r="H306" s="5368" t="s">
        <v>437</v>
      </c>
      <c r="I306" s="5632"/>
      <c r="J306" s="5366" t="s">
        <v>1288</v>
      </c>
      <c r="K306" s="5361"/>
      <c r="L306" s="5365"/>
      <c r="M306" s="5359">
        <v>0</v>
      </c>
      <c r="N306" s="5359">
        <v>0</v>
      </c>
      <c r="O306" s="5359">
        <f t="shared" si="129"/>
        <v>0</v>
      </c>
      <c r="P306" s="5359">
        <v>0</v>
      </c>
      <c r="Q306" s="5357">
        <f t="shared" si="123"/>
        <v>0</v>
      </c>
      <c r="R306" s="5358" t="e">
        <f t="shared" si="124"/>
        <v>#DIV/0!</v>
      </c>
      <c r="S306" s="5359">
        <v>0</v>
      </c>
      <c r="T306" s="5359" t="e">
        <f t="shared" si="130"/>
        <v>#DIV/0!</v>
      </c>
      <c r="U306" s="5359">
        <v>0</v>
      </c>
      <c r="V306" s="5357">
        <f t="shared" si="125"/>
        <v>0</v>
      </c>
      <c r="W306" s="5358" t="e">
        <f t="shared" si="126"/>
        <v>#DIV/0!</v>
      </c>
      <c r="X306" s="5359">
        <v>0</v>
      </c>
      <c r="Y306" s="5359" t="e">
        <f t="shared" si="131"/>
        <v>#DIV/0!</v>
      </c>
      <c r="Z306" s="5359">
        <v>0</v>
      </c>
      <c r="AA306" s="5357">
        <f t="shared" si="127"/>
        <v>0</v>
      </c>
      <c r="AB306" s="5358" t="e">
        <f t="shared" si="128"/>
        <v>#DIV/0!</v>
      </c>
      <c r="AC306" s="5349"/>
      <c r="AD306" s="5349"/>
      <c r="AE306" s="5349"/>
      <c r="AF306" s="5349">
        <f t="shared" ref="AF306:AF338" si="132">S306-P306</f>
        <v>0</v>
      </c>
      <c r="AG306" s="5338">
        <f t="shared" ref="AG306:AG338" si="133">AF306-V306</f>
        <v>0</v>
      </c>
    </row>
    <row r="307" spans="1:33" s="5333" customFormat="1" ht="15.05" hidden="1" customHeight="1">
      <c r="A307" s="5340"/>
      <c r="B307" s="5340"/>
      <c r="C307" s="5340"/>
      <c r="D307" s="5367"/>
      <c r="E307" s="5367"/>
      <c r="F307" s="5367"/>
      <c r="G307" s="5368"/>
      <c r="H307" s="5368"/>
      <c r="I307" s="5632"/>
      <c r="J307" s="5366"/>
      <c r="K307" s="5361"/>
      <c r="L307" s="5365"/>
      <c r="M307" s="5359"/>
      <c r="N307" s="5359"/>
      <c r="O307" s="5359">
        <f t="shared" si="129"/>
        <v>0</v>
      </c>
      <c r="P307" s="5359"/>
      <c r="Q307" s="5357">
        <f t="shared" si="123"/>
        <v>0</v>
      </c>
      <c r="R307" s="5358" t="e">
        <f t="shared" si="124"/>
        <v>#DIV/0!</v>
      </c>
      <c r="S307" s="5359"/>
      <c r="T307" s="5359" t="e">
        <f t="shared" si="130"/>
        <v>#DIV/0!</v>
      </c>
      <c r="U307" s="5359"/>
      <c r="V307" s="5357">
        <f t="shared" si="125"/>
        <v>0</v>
      </c>
      <c r="W307" s="5358" t="e">
        <f t="shared" si="126"/>
        <v>#DIV/0!</v>
      </c>
      <c r="X307" s="5359"/>
      <c r="Y307" s="5359" t="e">
        <f t="shared" si="131"/>
        <v>#DIV/0!</v>
      </c>
      <c r="Z307" s="5359"/>
      <c r="AA307" s="5357">
        <f t="shared" si="127"/>
        <v>0</v>
      </c>
      <c r="AB307" s="5358" t="e">
        <f t="shared" si="128"/>
        <v>#DIV/0!</v>
      </c>
      <c r="AC307" s="5349"/>
      <c r="AD307" s="5349"/>
      <c r="AE307" s="5349"/>
      <c r="AF307" s="5349">
        <f t="shared" si="132"/>
        <v>0</v>
      </c>
      <c r="AG307" s="5338">
        <f t="shared" si="133"/>
        <v>0</v>
      </c>
    </row>
    <row r="308" spans="1:33" s="5333" customFormat="1" ht="15.05" hidden="1" customHeight="1">
      <c r="A308" s="5340"/>
      <c r="B308" s="5340"/>
      <c r="C308" s="5340"/>
      <c r="D308" s="5367">
        <v>4</v>
      </c>
      <c r="E308" s="5367">
        <v>1</v>
      </c>
      <c r="F308" s="5367">
        <v>4</v>
      </c>
      <c r="G308" s="5367" t="s">
        <v>948</v>
      </c>
      <c r="H308" s="5368"/>
      <c r="I308" s="5632"/>
      <c r="J308" s="5366" t="s">
        <v>321</v>
      </c>
      <c r="K308" s="5361"/>
      <c r="L308" s="5365"/>
      <c r="M308" s="5357">
        <v>0</v>
      </c>
      <c r="N308" s="5357">
        <f>N309</f>
        <v>137900000</v>
      </c>
      <c r="O308" s="5359">
        <f t="shared" si="129"/>
        <v>137900000</v>
      </c>
      <c r="P308" s="5357">
        <f>P309</f>
        <v>0</v>
      </c>
      <c r="Q308" s="5357">
        <f t="shared" si="123"/>
        <v>-137900000</v>
      </c>
      <c r="R308" s="5358">
        <f t="shared" si="124"/>
        <v>-100</v>
      </c>
      <c r="S308" s="5357">
        <f>S309</f>
        <v>0</v>
      </c>
      <c r="T308" s="5359">
        <f t="shared" si="130"/>
        <v>100</v>
      </c>
      <c r="U308" s="5357">
        <f>U309</f>
        <v>0</v>
      </c>
      <c r="V308" s="5357">
        <f t="shared" si="125"/>
        <v>0</v>
      </c>
      <c r="W308" s="5358" t="e">
        <f t="shared" si="126"/>
        <v>#DIV/0!</v>
      </c>
      <c r="X308" s="5357">
        <f>X309</f>
        <v>0</v>
      </c>
      <c r="Y308" s="5359" t="e">
        <f t="shared" si="131"/>
        <v>#DIV/0!</v>
      </c>
      <c r="Z308" s="5357">
        <f>Z309</f>
        <v>0</v>
      </c>
      <c r="AA308" s="5357">
        <f t="shared" si="127"/>
        <v>0</v>
      </c>
      <c r="AB308" s="5358" t="e">
        <f t="shared" si="128"/>
        <v>#DIV/0!</v>
      </c>
      <c r="AC308" s="5349"/>
      <c r="AD308" s="5349"/>
      <c r="AE308" s="5349"/>
      <c r="AF308" s="5349">
        <f t="shared" si="132"/>
        <v>0</v>
      </c>
      <c r="AG308" s="5338">
        <f t="shared" si="133"/>
        <v>0</v>
      </c>
    </row>
    <row r="309" spans="1:33" s="5333" customFormat="1" ht="15.05" hidden="1" customHeight="1">
      <c r="A309" s="5340"/>
      <c r="B309" s="5340"/>
      <c r="C309" s="5340"/>
      <c r="D309" s="5367">
        <v>4</v>
      </c>
      <c r="E309" s="5367">
        <v>1</v>
      </c>
      <c r="F309" s="5367">
        <v>4</v>
      </c>
      <c r="G309" s="5367" t="s">
        <v>948</v>
      </c>
      <c r="H309" s="5367" t="s">
        <v>437</v>
      </c>
      <c r="I309" s="5631"/>
      <c r="J309" s="5366" t="s">
        <v>85</v>
      </c>
      <c r="K309" s="5361"/>
      <c r="L309" s="5365"/>
      <c r="M309" s="5357">
        <v>0</v>
      </c>
      <c r="N309" s="5357">
        <f>N310</f>
        <v>137900000</v>
      </c>
      <c r="O309" s="5359">
        <f t="shared" si="129"/>
        <v>137900000</v>
      </c>
      <c r="P309" s="5357">
        <f>P310</f>
        <v>0</v>
      </c>
      <c r="Q309" s="5357">
        <f t="shared" si="123"/>
        <v>-137900000</v>
      </c>
      <c r="R309" s="5358">
        <f t="shared" si="124"/>
        <v>-100</v>
      </c>
      <c r="S309" s="5357">
        <f>S310</f>
        <v>0</v>
      </c>
      <c r="T309" s="5359">
        <f t="shared" si="130"/>
        <v>100</v>
      </c>
      <c r="U309" s="5357">
        <f>U310</f>
        <v>0</v>
      </c>
      <c r="V309" s="5357">
        <f t="shared" si="125"/>
        <v>0</v>
      </c>
      <c r="W309" s="5358" t="e">
        <f t="shared" si="126"/>
        <v>#DIV/0!</v>
      </c>
      <c r="X309" s="5357">
        <f>X310</f>
        <v>0</v>
      </c>
      <c r="Y309" s="5359" t="e">
        <f t="shared" si="131"/>
        <v>#DIV/0!</v>
      </c>
      <c r="Z309" s="5357">
        <f>Z310</f>
        <v>0</v>
      </c>
      <c r="AA309" s="5357">
        <f t="shared" si="127"/>
        <v>0</v>
      </c>
      <c r="AB309" s="5358" t="e">
        <f t="shared" si="128"/>
        <v>#DIV/0!</v>
      </c>
      <c r="AC309" s="5349"/>
      <c r="AD309" s="5349"/>
      <c r="AE309" s="5349"/>
      <c r="AF309" s="5349">
        <f t="shared" si="132"/>
        <v>0</v>
      </c>
      <c r="AG309" s="5338">
        <f t="shared" si="133"/>
        <v>0</v>
      </c>
    </row>
    <row r="310" spans="1:33" s="5333" customFormat="1" ht="15.05" hidden="1" customHeight="1">
      <c r="A310" s="5340"/>
      <c r="B310" s="5340"/>
      <c r="C310" s="5340"/>
      <c r="D310" s="5368"/>
      <c r="E310" s="5380"/>
      <c r="F310" s="5380"/>
      <c r="G310" s="5379"/>
      <c r="H310" s="5379"/>
      <c r="I310" s="5495"/>
      <c r="J310" s="5366" t="s">
        <v>50</v>
      </c>
      <c r="K310" s="5361" t="s">
        <v>1416</v>
      </c>
      <c r="L310" s="5365"/>
      <c r="M310" s="5359">
        <v>0</v>
      </c>
      <c r="N310" s="5359">
        <v>137900000</v>
      </c>
      <c r="O310" s="5359">
        <f t="shared" si="129"/>
        <v>137900000</v>
      </c>
      <c r="P310" s="5358">
        <v>0</v>
      </c>
      <c r="Q310" s="5357">
        <f t="shared" si="123"/>
        <v>-137900000</v>
      </c>
      <c r="R310" s="5358">
        <f t="shared" si="124"/>
        <v>-100</v>
      </c>
      <c r="S310" s="5358">
        <v>0</v>
      </c>
      <c r="T310" s="5359">
        <f t="shared" si="130"/>
        <v>100</v>
      </c>
      <c r="U310" s="5358">
        <v>0</v>
      </c>
      <c r="V310" s="5357">
        <f t="shared" si="125"/>
        <v>0</v>
      </c>
      <c r="W310" s="5358" t="e">
        <f t="shared" si="126"/>
        <v>#DIV/0!</v>
      </c>
      <c r="X310" s="5358">
        <v>0</v>
      </c>
      <c r="Y310" s="5359" t="e">
        <f t="shared" si="131"/>
        <v>#DIV/0!</v>
      </c>
      <c r="Z310" s="5358">
        <v>0</v>
      </c>
      <c r="AA310" s="5357">
        <f t="shared" si="127"/>
        <v>0</v>
      </c>
      <c r="AB310" s="5358" t="e">
        <f t="shared" si="128"/>
        <v>#DIV/0!</v>
      </c>
      <c r="AC310" s="5349"/>
      <c r="AD310" s="5349"/>
      <c r="AE310" s="5349"/>
      <c r="AF310" s="5349">
        <f t="shared" si="132"/>
        <v>0</v>
      </c>
      <c r="AG310" s="5338">
        <f t="shared" si="133"/>
        <v>0</v>
      </c>
    </row>
    <row r="311" spans="1:33" s="5333" customFormat="1" ht="7.55" hidden="1" customHeight="1">
      <c r="A311" s="5340"/>
      <c r="B311" s="5340"/>
      <c r="C311" s="5340"/>
      <c r="D311" s="5364"/>
      <c r="E311" s="5363"/>
      <c r="F311" s="5363"/>
      <c r="G311" s="5363"/>
      <c r="H311" s="5363"/>
      <c r="I311" s="5635"/>
      <c r="J311" s="5377"/>
      <c r="K311" s="5376"/>
      <c r="L311" s="5375"/>
      <c r="M311" s="5398"/>
      <c r="N311" s="5398"/>
      <c r="O311" s="5398"/>
      <c r="P311" s="5396"/>
      <c r="Q311" s="5397"/>
      <c r="R311" s="5396"/>
      <c r="S311" s="5396"/>
      <c r="T311" s="5398"/>
      <c r="U311" s="5396"/>
      <c r="V311" s="5397"/>
      <c r="W311" s="5396" t="e">
        <f t="shared" si="126"/>
        <v>#DIV/0!</v>
      </c>
      <c r="X311" s="5396"/>
      <c r="Y311" s="5398"/>
      <c r="Z311" s="5396"/>
      <c r="AA311" s="5397">
        <f t="shared" si="127"/>
        <v>0</v>
      </c>
      <c r="AB311" s="5396" t="e">
        <f t="shared" si="128"/>
        <v>#DIV/0!</v>
      </c>
      <c r="AC311" s="5349"/>
      <c r="AD311" s="5349"/>
      <c r="AE311" s="5349"/>
      <c r="AF311" s="5349">
        <f t="shared" si="132"/>
        <v>0</v>
      </c>
      <c r="AG311" s="5338">
        <f t="shared" si="133"/>
        <v>0</v>
      </c>
    </row>
    <row r="312" spans="1:33" s="5521" customFormat="1" ht="12.05" customHeight="1">
      <c r="A312" s="5464" t="s">
        <v>58</v>
      </c>
      <c r="B312" s="5463" t="s">
        <v>459</v>
      </c>
      <c r="C312" s="5463" t="s">
        <v>437</v>
      </c>
      <c r="D312" s="5393" t="s">
        <v>58</v>
      </c>
      <c r="E312" s="5392" t="s">
        <v>459</v>
      </c>
      <c r="F312" s="5392" t="s">
        <v>437</v>
      </c>
      <c r="G312" s="5392"/>
      <c r="H312" s="5392"/>
      <c r="I312" s="5637" t="s">
        <v>563</v>
      </c>
      <c r="J312" s="5391" t="s">
        <v>1415</v>
      </c>
      <c r="K312" s="5390"/>
      <c r="L312" s="5389"/>
      <c r="M312" s="5502">
        <v>2000000</v>
      </c>
      <c r="N312" s="5502">
        <f>N314</f>
        <v>2000000</v>
      </c>
      <c r="O312" s="5502">
        <f>N312-M312</f>
        <v>0</v>
      </c>
      <c r="P312" s="5501">
        <f>P314</f>
        <v>2000000</v>
      </c>
      <c r="Q312" s="5502">
        <f>+P312-N312</f>
        <v>0</v>
      </c>
      <c r="R312" s="5501">
        <f>P312/N312*100-100</f>
        <v>0</v>
      </c>
      <c r="S312" s="5501">
        <f>S314</f>
        <v>2000000</v>
      </c>
      <c r="T312" s="5502">
        <f>S312-R312</f>
        <v>2000000</v>
      </c>
      <c r="U312" s="5501">
        <f>U314</f>
        <v>2000000</v>
      </c>
      <c r="V312" s="5502">
        <f>S312-P312</f>
        <v>0</v>
      </c>
      <c r="W312" s="5501">
        <f t="shared" si="126"/>
        <v>0</v>
      </c>
      <c r="X312" s="5501">
        <f>X314</f>
        <v>2000000</v>
      </c>
      <c r="Y312" s="5502">
        <f>X312-W312</f>
        <v>2000000</v>
      </c>
      <c r="Z312" s="5501">
        <f>Z314</f>
        <v>2000000</v>
      </c>
      <c r="AA312" s="5502">
        <f t="shared" si="127"/>
        <v>0</v>
      </c>
      <c r="AB312" s="5501">
        <f t="shared" si="128"/>
        <v>0</v>
      </c>
      <c r="AC312" s="5594"/>
      <c r="AD312" s="5594"/>
      <c r="AE312" s="5594"/>
      <c r="AF312" s="5594">
        <f t="shared" si="132"/>
        <v>0</v>
      </c>
      <c r="AG312" s="5595">
        <f t="shared" si="133"/>
        <v>0</v>
      </c>
    </row>
    <row r="313" spans="1:33" s="5333" customFormat="1" ht="6.75" customHeight="1">
      <c r="A313" s="5340"/>
      <c r="B313" s="5340"/>
      <c r="C313" s="5340"/>
      <c r="D313" s="5387"/>
      <c r="E313" s="5386"/>
      <c r="F313" s="5386"/>
      <c r="G313" s="5386"/>
      <c r="H313" s="5386"/>
      <c r="I313" s="5636"/>
      <c r="J313" s="5385"/>
      <c r="K313" s="5384"/>
      <c r="L313" s="5383"/>
      <c r="M313" s="5382"/>
      <c r="N313" s="5382"/>
      <c r="O313" s="5382"/>
      <c r="P313" s="5381"/>
      <c r="Q313" s="5382"/>
      <c r="R313" s="5381"/>
      <c r="S313" s="5381"/>
      <c r="T313" s="5382"/>
      <c r="U313" s="5381"/>
      <c r="V313" s="5382"/>
      <c r="W313" s="5381"/>
      <c r="X313" s="5381"/>
      <c r="Y313" s="5382"/>
      <c r="Z313" s="5381"/>
      <c r="AA313" s="5382"/>
      <c r="AB313" s="5381"/>
      <c r="AC313" s="5349"/>
      <c r="AD313" s="5349"/>
      <c r="AE313" s="5349"/>
      <c r="AF313" s="5349">
        <f t="shared" si="132"/>
        <v>0</v>
      </c>
      <c r="AG313" s="5338">
        <f t="shared" si="133"/>
        <v>0</v>
      </c>
    </row>
    <row r="314" spans="1:33" s="5333" customFormat="1" ht="15.05" customHeight="1">
      <c r="A314" s="5340"/>
      <c r="B314" s="5340"/>
      <c r="C314" s="5340"/>
      <c r="D314" s="5374">
        <v>4</v>
      </c>
      <c r="E314" s="5374">
        <v>1</v>
      </c>
      <c r="F314" s="5374"/>
      <c r="G314" s="5374"/>
      <c r="H314" s="5374"/>
      <c r="I314" s="5537"/>
      <c r="J314" s="5372" t="s">
        <v>180</v>
      </c>
      <c r="K314" s="5371"/>
      <c r="L314" s="5370"/>
      <c r="M314" s="5357">
        <v>2000000</v>
      </c>
      <c r="N314" s="5357">
        <f>N316+N321</f>
        <v>2000000</v>
      </c>
      <c r="O314" s="5359">
        <f>N314-M314</f>
        <v>0</v>
      </c>
      <c r="P314" s="5358">
        <f>P316+P321</f>
        <v>2000000</v>
      </c>
      <c r="Q314" s="5357">
        <f>+P314-N314</f>
        <v>0</v>
      </c>
      <c r="R314" s="5358">
        <f>P314/N314*100-100</f>
        <v>0</v>
      </c>
      <c r="S314" s="5358">
        <f>S316+S321</f>
        <v>2000000</v>
      </c>
      <c r="T314" s="5359">
        <f>S314-R314</f>
        <v>2000000</v>
      </c>
      <c r="U314" s="5358">
        <f>U316+U321</f>
        <v>2000000</v>
      </c>
      <c r="V314" s="5357">
        <f>S314-P314</f>
        <v>0</v>
      </c>
      <c r="W314" s="5358">
        <f>S314/P314*100-100</f>
        <v>0</v>
      </c>
      <c r="X314" s="5358">
        <f>X316+X321</f>
        <v>2000000</v>
      </c>
      <c r="Y314" s="5359">
        <f>X314-W314</f>
        <v>2000000</v>
      </c>
      <c r="Z314" s="5358">
        <f>Z316+Z321</f>
        <v>2000000</v>
      </c>
      <c r="AA314" s="5357">
        <f>X314-S314</f>
        <v>0</v>
      </c>
      <c r="AB314" s="5358">
        <f>X314/S314*100-100</f>
        <v>0</v>
      </c>
      <c r="AC314" s="5349"/>
      <c r="AD314" s="5349"/>
      <c r="AE314" s="5349"/>
      <c r="AF314" s="5349">
        <f t="shared" si="132"/>
        <v>0</v>
      </c>
      <c r="AG314" s="5338">
        <f t="shared" si="133"/>
        <v>0</v>
      </c>
    </row>
    <row r="315" spans="1:33" s="5333" customFormat="1" ht="5.35" customHeight="1">
      <c r="A315" s="5340"/>
      <c r="B315" s="5340"/>
      <c r="C315" s="5340"/>
      <c r="D315" s="5367"/>
      <c r="E315" s="5380"/>
      <c r="F315" s="5380"/>
      <c r="G315" s="5380"/>
      <c r="H315" s="5380"/>
      <c r="I315" s="5496"/>
      <c r="J315" s="5366"/>
      <c r="K315" s="5371"/>
      <c r="L315" s="5370"/>
      <c r="M315" s="5357"/>
      <c r="N315" s="5357"/>
      <c r="O315" s="5357"/>
      <c r="P315" s="5358"/>
      <c r="Q315" s="5357"/>
      <c r="R315" s="5358"/>
      <c r="S315" s="5358"/>
      <c r="T315" s="5357"/>
      <c r="U315" s="5358"/>
      <c r="V315" s="5357"/>
      <c r="W315" s="5358"/>
      <c r="X315" s="5358"/>
      <c r="Y315" s="5357"/>
      <c r="Z315" s="5358"/>
      <c r="AA315" s="5357"/>
      <c r="AB315" s="5358"/>
      <c r="AC315" s="5349"/>
      <c r="AD315" s="5349"/>
      <c r="AE315" s="5349"/>
      <c r="AF315" s="5349">
        <f t="shared" si="132"/>
        <v>0</v>
      </c>
      <c r="AG315" s="5338">
        <f t="shared" si="133"/>
        <v>0</v>
      </c>
    </row>
    <row r="316" spans="1:33" s="5333" customFormat="1" ht="15.05" customHeight="1">
      <c r="A316" s="5340"/>
      <c r="B316" s="5340"/>
      <c r="C316" s="5340"/>
      <c r="D316" s="5374">
        <v>4</v>
      </c>
      <c r="E316" s="5374">
        <v>1</v>
      </c>
      <c r="F316" s="5374">
        <v>2</v>
      </c>
      <c r="G316" s="5374"/>
      <c r="H316" s="5374"/>
      <c r="I316" s="5537"/>
      <c r="J316" s="5372" t="s">
        <v>106</v>
      </c>
      <c r="K316" s="5371"/>
      <c r="L316" s="5370"/>
      <c r="M316" s="5357">
        <v>2000000</v>
      </c>
      <c r="N316" s="5357">
        <f>N317</f>
        <v>2000000</v>
      </c>
      <c r="O316" s="5359">
        <f t="shared" ref="O316:O325" si="134">N316-M316</f>
        <v>0</v>
      </c>
      <c r="P316" s="5358">
        <f>P317</f>
        <v>2000000</v>
      </c>
      <c r="Q316" s="5357">
        <f t="shared" ref="Q316:Q325" si="135">+P316-N316</f>
        <v>0</v>
      </c>
      <c r="R316" s="5358">
        <f t="shared" ref="R316:R325" si="136">P316/N316*100-100</f>
        <v>0</v>
      </c>
      <c r="S316" s="5358">
        <f>S317</f>
        <v>2000000</v>
      </c>
      <c r="T316" s="5359">
        <f t="shared" ref="T316:T325" si="137">S316-R316</f>
        <v>2000000</v>
      </c>
      <c r="U316" s="5358">
        <f>U317</f>
        <v>2000000</v>
      </c>
      <c r="V316" s="5357">
        <f>S316-P316</f>
        <v>0</v>
      </c>
      <c r="W316" s="5358">
        <f>S316/P316*100-100</f>
        <v>0</v>
      </c>
      <c r="X316" s="5358">
        <f>X317</f>
        <v>2000000</v>
      </c>
      <c r="Y316" s="5359">
        <f t="shared" ref="Y316:Y325" si="138">X316-W316</f>
        <v>2000000</v>
      </c>
      <c r="Z316" s="5358">
        <f>Z317</f>
        <v>2000000</v>
      </c>
      <c r="AA316" s="5357">
        <f>X316-S316</f>
        <v>0</v>
      </c>
      <c r="AB316" s="5358">
        <f>X316/S316*100-100</f>
        <v>0</v>
      </c>
      <c r="AC316" s="5349"/>
      <c r="AD316" s="5349"/>
      <c r="AE316" s="5349"/>
      <c r="AF316" s="5349">
        <f t="shared" si="132"/>
        <v>0</v>
      </c>
      <c r="AG316" s="5338">
        <f t="shared" si="133"/>
        <v>0</v>
      </c>
    </row>
    <row r="317" spans="1:33" s="5333" customFormat="1" ht="12.05" customHeight="1">
      <c r="A317" s="5340"/>
      <c r="B317" s="5340"/>
      <c r="C317" s="5340"/>
      <c r="D317" s="5367">
        <v>4</v>
      </c>
      <c r="E317" s="5367">
        <v>1</v>
      </c>
      <c r="F317" s="5367">
        <v>2</v>
      </c>
      <c r="G317" s="5368" t="s">
        <v>438</v>
      </c>
      <c r="H317" s="5367"/>
      <c r="I317" s="5631"/>
      <c r="J317" s="5366" t="s">
        <v>374</v>
      </c>
      <c r="K317" s="5361"/>
      <c r="L317" s="5365"/>
      <c r="M317" s="5357">
        <v>2000000</v>
      </c>
      <c r="N317" s="5357">
        <f>N318</f>
        <v>2000000</v>
      </c>
      <c r="O317" s="5359">
        <f t="shared" si="134"/>
        <v>0</v>
      </c>
      <c r="P317" s="5358">
        <f>P318</f>
        <v>2000000</v>
      </c>
      <c r="Q317" s="5357">
        <f t="shared" si="135"/>
        <v>0</v>
      </c>
      <c r="R317" s="5358">
        <f t="shared" si="136"/>
        <v>0</v>
      </c>
      <c r="S317" s="5358">
        <f>S318</f>
        <v>2000000</v>
      </c>
      <c r="T317" s="5359">
        <f t="shared" si="137"/>
        <v>2000000</v>
      </c>
      <c r="U317" s="5358">
        <f>U318</f>
        <v>2000000</v>
      </c>
      <c r="V317" s="5357">
        <f>S317-P317</f>
        <v>0</v>
      </c>
      <c r="W317" s="5358">
        <f>S317/P317*100-100</f>
        <v>0</v>
      </c>
      <c r="X317" s="5358">
        <f>X318</f>
        <v>2000000</v>
      </c>
      <c r="Y317" s="5359">
        <f t="shared" si="138"/>
        <v>2000000</v>
      </c>
      <c r="Z317" s="5358">
        <f>Z318</f>
        <v>2000000</v>
      </c>
      <c r="AA317" s="5357">
        <f>X317-S317</f>
        <v>0</v>
      </c>
      <c r="AB317" s="5358">
        <f>X317/S317*100-100</f>
        <v>0</v>
      </c>
      <c r="AC317" s="5349"/>
      <c r="AD317" s="5349"/>
      <c r="AE317" s="5349"/>
      <c r="AF317" s="5349">
        <f t="shared" si="132"/>
        <v>0</v>
      </c>
      <c r="AG317" s="5338">
        <f t="shared" si="133"/>
        <v>0</v>
      </c>
    </row>
    <row r="318" spans="1:33" s="5333" customFormat="1" ht="12.05" customHeight="1">
      <c r="A318" s="5340"/>
      <c r="B318" s="5340"/>
      <c r="C318" s="5340"/>
      <c r="D318" s="5367">
        <v>4</v>
      </c>
      <c r="E318" s="5367">
        <v>1</v>
      </c>
      <c r="F318" s="5367">
        <v>2</v>
      </c>
      <c r="G318" s="5368" t="s">
        <v>438</v>
      </c>
      <c r="H318" s="5368" t="s">
        <v>437</v>
      </c>
      <c r="I318" s="5632"/>
      <c r="J318" s="5366" t="s">
        <v>64</v>
      </c>
      <c r="K318" s="5361"/>
      <c r="L318" s="5365"/>
      <c r="M318" s="5357">
        <v>2000000</v>
      </c>
      <c r="N318" s="5357">
        <f>N319</f>
        <v>2000000</v>
      </c>
      <c r="O318" s="5359">
        <f t="shared" si="134"/>
        <v>0</v>
      </c>
      <c r="P318" s="5358">
        <f>P319</f>
        <v>2000000</v>
      </c>
      <c r="Q318" s="5357">
        <f t="shared" si="135"/>
        <v>0</v>
      </c>
      <c r="R318" s="5358">
        <f t="shared" si="136"/>
        <v>0</v>
      </c>
      <c r="S318" s="5358">
        <f>S319</f>
        <v>2000000</v>
      </c>
      <c r="T318" s="5359">
        <f t="shared" si="137"/>
        <v>2000000</v>
      </c>
      <c r="U318" s="5358">
        <f>U319</f>
        <v>2000000</v>
      </c>
      <c r="V318" s="5357">
        <f>S318-P318</f>
        <v>0</v>
      </c>
      <c r="W318" s="5358">
        <f>S318/P318*100-100</f>
        <v>0</v>
      </c>
      <c r="X318" s="5358">
        <f>X319</f>
        <v>2000000</v>
      </c>
      <c r="Y318" s="5359">
        <f t="shared" si="138"/>
        <v>2000000</v>
      </c>
      <c r="Z318" s="5358">
        <f>Z319</f>
        <v>2000000</v>
      </c>
      <c r="AA318" s="5357">
        <f>X318-S318</f>
        <v>0</v>
      </c>
      <c r="AB318" s="5358">
        <f>X318/S318*100-100</f>
        <v>0</v>
      </c>
      <c r="AC318" s="5349"/>
      <c r="AD318" s="5349"/>
      <c r="AE318" s="5349"/>
      <c r="AF318" s="5349">
        <f t="shared" si="132"/>
        <v>0</v>
      </c>
      <c r="AG318" s="5338">
        <f t="shared" si="133"/>
        <v>0</v>
      </c>
    </row>
    <row r="319" spans="1:33" s="5333" customFormat="1" ht="12.05" customHeight="1">
      <c r="A319" s="5340"/>
      <c r="B319" s="5340"/>
      <c r="C319" s="5340"/>
      <c r="D319" s="5368"/>
      <c r="E319" s="5380"/>
      <c r="F319" s="5379"/>
      <c r="G319" s="5368"/>
      <c r="H319" s="5367"/>
      <c r="I319" s="5631"/>
      <c r="J319" s="5366" t="s">
        <v>50</v>
      </c>
      <c r="K319" s="5361" t="s">
        <v>1414</v>
      </c>
      <c r="L319" s="5365"/>
      <c r="M319" s="5359">
        <v>2000000</v>
      </c>
      <c r="N319" s="5359">
        <v>2000000</v>
      </c>
      <c r="O319" s="5359">
        <f t="shared" si="134"/>
        <v>0</v>
      </c>
      <c r="P319" s="5358">
        <v>2000000</v>
      </c>
      <c r="Q319" s="5357">
        <f t="shared" si="135"/>
        <v>0</v>
      </c>
      <c r="R319" s="5358">
        <f t="shared" si="136"/>
        <v>0</v>
      </c>
      <c r="S319" s="5358">
        <v>2000000</v>
      </c>
      <c r="T319" s="5359">
        <f t="shared" si="137"/>
        <v>2000000</v>
      </c>
      <c r="U319" s="5358">
        <v>2000000</v>
      </c>
      <c r="V319" s="5357">
        <f>S319-P319</f>
        <v>0</v>
      </c>
      <c r="W319" s="5358">
        <f>S319/P319*100-100</f>
        <v>0</v>
      </c>
      <c r="X319" s="5358">
        <v>2000000</v>
      </c>
      <c r="Y319" s="5359">
        <f t="shared" si="138"/>
        <v>2000000</v>
      </c>
      <c r="Z319" s="5358">
        <v>2000000</v>
      </c>
      <c r="AA319" s="5357">
        <f>X319-S319</f>
        <v>0</v>
      </c>
      <c r="AB319" s="5358">
        <f>X319/S319*100-100</f>
        <v>0</v>
      </c>
      <c r="AC319" s="5350"/>
      <c r="AD319" s="5350"/>
      <c r="AE319" s="5350"/>
      <c r="AF319" s="5349">
        <f t="shared" si="132"/>
        <v>0</v>
      </c>
      <c r="AG319" s="5338">
        <f t="shared" si="133"/>
        <v>0</v>
      </c>
    </row>
    <row r="320" spans="1:33" s="5333" customFormat="1" ht="9.1" customHeight="1">
      <c r="A320" s="5340"/>
      <c r="B320" s="5340"/>
      <c r="C320" s="5340"/>
      <c r="D320" s="5368"/>
      <c r="E320" s="5380"/>
      <c r="F320" s="5379"/>
      <c r="G320" s="5379"/>
      <c r="H320" s="5380"/>
      <c r="I320" s="5496"/>
      <c r="J320" s="5408"/>
      <c r="K320" s="5361"/>
      <c r="L320" s="5365"/>
      <c r="M320" s="5357"/>
      <c r="N320" s="5357"/>
      <c r="O320" s="5357">
        <f t="shared" si="134"/>
        <v>0</v>
      </c>
      <c r="P320" s="5358"/>
      <c r="Q320" s="5357">
        <f t="shared" si="135"/>
        <v>0</v>
      </c>
      <c r="R320" s="5358" t="e">
        <f t="shared" si="136"/>
        <v>#DIV/0!</v>
      </c>
      <c r="S320" s="5358"/>
      <c r="T320" s="5357" t="e">
        <f t="shared" si="137"/>
        <v>#DIV/0!</v>
      </c>
      <c r="U320" s="5358"/>
      <c r="V320" s="5357"/>
      <c r="W320" s="5358"/>
      <c r="X320" s="5358"/>
      <c r="Y320" s="5357">
        <f t="shared" si="138"/>
        <v>0</v>
      </c>
      <c r="Z320" s="5358"/>
      <c r="AA320" s="5357"/>
      <c r="AB320" s="5358"/>
      <c r="AC320" s="5349"/>
      <c r="AD320" s="5349"/>
      <c r="AE320" s="5349"/>
      <c r="AF320" s="5349">
        <f t="shared" si="132"/>
        <v>0</v>
      </c>
      <c r="AG320" s="5338">
        <f t="shared" si="133"/>
        <v>0</v>
      </c>
    </row>
    <row r="321" spans="1:33" s="5333" customFormat="1" ht="15.05" hidden="1" customHeight="1">
      <c r="A321" s="5340"/>
      <c r="B321" s="5340"/>
      <c r="C321" s="5340"/>
      <c r="D321" s="5374">
        <v>4</v>
      </c>
      <c r="E321" s="5374">
        <v>1</v>
      </c>
      <c r="F321" s="5374">
        <v>4</v>
      </c>
      <c r="G321" s="5373"/>
      <c r="H321" s="5373"/>
      <c r="I321" s="5633"/>
      <c r="J321" s="5372" t="s">
        <v>71</v>
      </c>
      <c r="K321" s="5371"/>
      <c r="L321" s="5370"/>
      <c r="M321" s="5357">
        <v>0</v>
      </c>
      <c r="N321" s="5357">
        <f>+N322</f>
        <v>0</v>
      </c>
      <c r="O321" s="5357">
        <f t="shared" si="134"/>
        <v>0</v>
      </c>
      <c r="P321" s="5358"/>
      <c r="Q321" s="5357">
        <f t="shared" si="135"/>
        <v>0</v>
      </c>
      <c r="R321" s="5358" t="e">
        <f t="shared" si="136"/>
        <v>#DIV/0!</v>
      </c>
      <c r="S321" s="5358"/>
      <c r="T321" s="5357" t="e">
        <f t="shared" si="137"/>
        <v>#DIV/0!</v>
      </c>
      <c r="U321" s="5358"/>
      <c r="V321" s="5357">
        <f>S321-P321</f>
        <v>0</v>
      </c>
      <c r="W321" s="5358" t="e">
        <f t="shared" ref="W321:W327" si="139">S321/P321*100-100</f>
        <v>#DIV/0!</v>
      </c>
      <c r="X321" s="5358"/>
      <c r="Y321" s="5357" t="e">
        <f t="shared" si="138"/>
        <v>#DIV/0!</v>
      </c>
      <c r="Z321" s="5358"/>
      <c r="AA321" s="5357">
        <f t="shared" ref="AA321:AA327" si="140">X321-S321</f>
        <v>0</v>
      </c>
      <c r="AB321" s="5358" t="e">
        <f t="shared" ref="AB321:AB327" si="141">X321/S321*100-100</f>
        <v>#DIV/0!</v>
      </c>
      <c r="AC321" s="5349"/>
      <c r="AD321" s="5349"/>
      <c r="AE321" s="5349"/>
      <c r="AF321" s="5349">
        <f t="shared" si="132"/>
        <v>0</v>
      </c>
      <c r="AG321" s="5338">
        <f t="shared" si="133"/>
        <v>0</v>
      </c>
    </row>
    <row r="322" spans="1:33" s="5333" customFormat="1" ht="12.7" hidden="1" customHeight="1">
      <c r="A322" s="5340"/>
      <c r="B322" s="5340"/>
      <c r="C322" s="5340"/>
      <c r="D322" s="5367">
        <v>4</v>
      </c>
      <c r="E322" s="5367">
        <v>1</v>
      </c>
      <c r="F322" s="5367">
        <v>4</v>
      </c>
      <c r="G322" s="5367" t="s">
        <v>948</v>
      </c>
      <c r="H322" s="5368"/>
      <c r="I322" s="5632"/>
      <c r="J322" s="5366" t="s">
        <v>321</v>
      </c>
      <c r="K322" s="5361"/>
      <c r="L322" s="5365"/>
      <c r="M322" s="5357">
        <v>0</v>
      </c>
      <c r="N322" s="5357">
        <f>+N323</f>
        <v>0</v>
      </c>
      <c r="O322" s="5357">
        <f t="shared" si="134"/>
        <v>0</v>
      </c>
      <c r="P322" s="5358"/>
      <c r="Q322" s="5357">
        <f t="shared" si="135"/>
        <v>0</v>
      </c>
      <c r="R322" s="5358" t="e">
        <f t="shared" si="136"/>
        <v>#DIV/0!</v>
      </c>
      <c r="S322" s="5358"/>
      <c r="T322" s="5357" t="e">
        <f t="shared" si="137"/>
        <v>#DIV/0!</v>
      </c>
      <c r="U322" s="5358"/>
      <c r="V322" s="5357">
        <f>S322-P322</f>
        <v>0</v>
      </c>
      <c r="W322" s="5358" t="e">
        <f t="shared" si="139"/>
        <v>#DIV/0!</v>
      </c>
      <c r="X322" s="5358"/>
      <c r="Y322" s="5357" t="e">
        <f t="shared" si="138"/>
        <v>#DIV/0!</v>
      </c>
      <c r="Z322" s="5358"/>
      <c r="AA322" s="5357">
        <f t="shared" si="140"/>
        <v>0</v>
      </c>
      <c r="AB322" s="5358" t="e">
        <f t="shared" si="141"/>
        <v>#DIV/0!</v>
      </c>
      <c r="AC322" s="5349"/>
      <c r="AD322" s="5349"/>
      <c r="AE322" s="5349"/>
      <c r="AF322" s="5349">
        <f t="shared" si="132"/>
        <v>0</v>
      </c>
      <c r="AG322" s="5338">
        <f t="shared" si="133"/>
        <v>0</v>
      </c>
    </row>
    <row r="323" spans="1:33" s="5333" customFormat="1" ht="12.7" hidden="1" customHeight="1">
      <c r="A323" s="5340"/>
      <c r="B323" s="5340"/>
      <c r="C323" s="5340"/>
      <c r="D323" s="5367">
        <v>4</v>
      </c>
      <c r="E323" s="5367">
        <v>1</v>
      </c>
      <c r="F323" s="5367">
        <v>4</v>
      </c>
      <c r="G323" s="5367" t="s">
        <v>948</v>
      </c>
      <c r="H323" s="5367" t="s">
        <v>437</v>
      </c>
      <c r="I323" s="5631"/>
      <c r="J323" s="5366" t="s">
        <v>85</v>
      </c>
      <c r="K323" s="5361"/>
      <c r="L323" s="5365"/>
      <c r="M323" s="5357">
        <v>0</v>
      </c>
      <c r="N323" s="5357">
        <f>+N324+N325</f>
        <v>0</v>
      </c>
      <c r="O323" s="5357">
        <f t="shared" si="134"/>
        <v>0</v>
      </c>
      <c r="P323" s="5358"/>
      <c r="Q323" s="5357">
        <f t="shared" si="135"/>
        <v>0</v>
      </c>
      <c r="R323" s="5358" t="e">
        <f t="shared" si="136"/>
        <v>#DIV/0!</v>
      </c>
      <c r="S323" s="5358"/>
      <c r="T323" s="5357" t="e">
        <f t="shared" si="137"/>
        <v>#DIV/0!</v>
      </c>
      <c r="U323" s="5358"/>
      <c r="V323" s="5357">
        <f>S323-P323</f>
        <v>0</v>
      </c>
      <c r="W323" s="5358" t="e">
        <f t="shared" si="139"/>
        <v>#DIV/0!</v>
      </c>
      <c r="X323" s="5358"/>
      <c r="Y323" s="5357" t="e">
        <f t="shared" si="138"/>
        <v>#DIV/0!</v>
      </c>
      <c r="Z323" s="5358"/>
      <c r="AA323" s="5357">
        <f t="shared" si="140"/>
        <v>0</v>
      </c>
      <c r="AB323" s="5358" t="e">
        <f t="shared" si="141"/>
        <v>#DIV/0!</v>
      </c>
      <c r="AC323" s="5349"/>
      <c r="AD323" s="5349"/>
      <c r="AE323" s="5349"/>
      <c r="AF323" s="5349">
        <f t="shared" si="132"/>
        <v>0</v>
      </c>
      <c r="AG323" s="5338">
        <f t="shared" si="133"/>
        <v>0</v>
      </c>
    </row>
    <row r="324" spans="1:33" s="5333" customFormat="1" ht="12.7" hidden="1" customHeight="1">
      <c r="A324" s="5340"/>
      <c r="B324" s="5340"/>
      <c r="C324" s="5340"/>
      <c r="D324" s="5368"/>
      <c r="E324" s="5380"/>
      <c r="F324" s="5367"/>
      <c r="G324" s="5368"/>
      <c r="H324" s="5368"/>
      <c r="I324" s="5632"/>
      <c r="J324" s="5366" t="s">
        <v>50</v>
      </c>
      <c r="K324" s="5361" t="s">
        <v>622</v>
      </c>
      <c r="L324" s="5365"/>
      <c r="M324" s="5359">
        <v>0</v>
      </c>
      <c r="N324" s="5359">
        <v>0</v>
      </c>
      <c r="O324" s="5359">
        <f t="shared" si="134"/>
        <v>0</v>
      </c>
      <c r="P324" s="5358"/>
      <c r="Q324" s="5357">
        <f t="shared" si="135"/>
        <v>0</v>
      </c>
      <c r="R324" s="5358" t="e">
        <f t="shared" si="136"/>
        <v>#DIV/0!</v>
      </c>
      <c r="S324" s="5358"/>
      <c r="T324" s="5359" t="e">
        <f t="shared" si="137"/>
        <v>#DIV/0!</v>
      </c>
      <c r="U324" s="5358"/>
      <c r="V324" s="5357">
        <f>S324-P324</f>
        <v>0</v>
      </c>
      <c r="W324" s="5358" t="e">
        <f t="shared" si="139"/>
        <v>#DIV/0!</v>
      </c>
      <c r="X324" s="5358"/>
      <c r="Y324" s="5359" t="e">
        <f t="shared" si="138"/>
        <v>#DIV/0!</v>
      </c>
      <c r="Z324" s="5358"/>
      <c r="AA324" s="5357">
        <f t="shared" si="140"/>
        <v>0</v>
      </c>
      <c r="AB324" s="5358" t="e">
        <f t="shared" si="141"/>
        <v>#DIV/0!</v>
      </c>
      <c r="AC324" s="5350"/>
      <c r="AD324" s="5350"/>
      <c r="AE324" s="5350"/>
      <c r="AF324" s="5349">
        <f t="shared" si="132"/>
        <v>0</v>
      </c>
      <c r="AG324" s="5338">
        <f t="shared" si="133"/>
        <v>0</v>
      </c>
    </row>
    <row r="325" spans="1:33" s="5333" customFormat="1" ht="12.7" hidden="1" customHeight="1">
      <c r="A325" s="5340"/>
      <c r="B325" s="5340"/>
      <c r="C325" s="5340"/>
      <c r="D325" s="5368"/>
      <c r="E325" s="5380"/>
      <c r="F325" s="5367"/>
      <c r="G325" s="5368"/>
      <c r="H325" s="5368"/>
      <c r="I325" s="5632"/>
      <c r="J325" s="5366" t="s">
        <v>50</v>
      </c>
      <c r="K325" s="5361" t="s">
        <v>85</v>
      </c>
      <c r="L325" s="5365"/>
      <c r="M325" s="5359">
        <v>0</v>
      </c>
      <c r="N325" s="5359">
        <v>0</v>
      </c>
      <c r="O325" s="5359">
        <f t="shared" si="134"/>
        <v>0</v>
      </c>
      <c r="P325" s="5358"/>
      <c r="Q325" s="5357">
        <f t="shared" si="135"/>
        <v>0</v>
      </c>
      <c r="R325" s="5358" t="e">
        <f t="shared" si="136"/>
        <v>#DIV/0!</v>
      </c>
      <c r="S325" s="5358"/>
      <c r="T325" s="5359" t="e">
        <f t="shared" si="137"/>
        <v>#DIV/0!</v>
      </c>
      <c r="U325" s="5358"/>
      <c r="V325" s="5357">
        <f>S325-P325</f>
        <v>0</v>
      </c>
      <c r="W325" s="5358" t="e">
        <f t="shared" si="139"/>
        <v>#DIV/0!</v>
      </c>
      <c r="X325" s="5358"/>
      <c r="Y325" s="5359" t="e">
        <f t="shared" si="138"/>
        <v>#DIV/0!</v>
      </c>
      <c r="Z325" s="5358"/>
      <c r="AA325" s="5357">
        <f t="shared" si="140"/>
        <v>0</v>
      </c>
      <c r="AB325" s="5358" t="e">
        <f t="shared" si="141"/>
        <v>#DIV/0!</v>
      </c>
      <c r="AC325" s="5350"/>
      <c r="AD325" s="5350"/>
      <c r="AE325" s="5350"/>
      <c r="AF325" s="5349">
        <f t="shared" si="132"/>
        <v>0</v>
      </c>
      <c r="AG325" s="5338">
        <f t="shared" si="133"/>
        <v>0</v>
      </c>
    </row>
    <row r="326" spans="1:33" s="5333" customFormat="1" ht="8.3000000000000007" hidden="1" customHeight="1">
      <c r="A326" s="5340"/>
      <c r="B326" s="5340"/>
      <c r="C326" s="5340"/>
      <c r="D326" s="5417"/>
      <c r="E326" s="5419"/>
      <c r="F326" s="5418"/>
      <c r="G326" s="5417"/>
      <c r="H326" s="5420"/>
      <c r="I326" s="5643"/>
      <c r="J326" s="5362"/>
      <c r="K326" s="5376"/>
      <c r="L326" s="5375"/>
      <c r="M326" s="5398"/>
      <c r="N326" s="5398"/>
      <c r="O326" s="5398"/>
      <c r="P326" s="5396"/>
      <c r="Q326" s="5397"/>
      <c r="R326" s="5396"/>
      <c r="S326" s="5396"/>
      <c r="T326" s="5398"/>
      <c r="U326" s="5396"/>
      <c r="V326" s="5397"/>
      <c r="W326" s="5396" t="e">
        <f t="shared" si="139"/>
        <v>#DIV/0!</v>
      </c>
      <c r="X326" s="5396"/>
      <c r="Y326" s="5398"/>
      <c r="Z326" s="5396"/>
      <c r="AA326" s="5397">
        <f t="shared" si="140"/>
        <v>0</v>
      </c>
      <c r="AB326" s="5396" t="e">
        <f t="shared" si="141"/>
        <v>#DIV/0!</v>
      </c>
      <c r="AC326" s="5349"/>
      <c r="AD326" s="5349"/>
      <c r="AE326" s="5349"/>
      <c r="AF326" s="5349">
        <f t="shared" si="132"/>
        <v>0</v>
      </c>
      <c r="AG326" s="5338">
        <f t="shared" si="133"/>
        <v>0</v>
      </c>
    </row>
    <row r="327" spans="1:33" s="5605" customFormat="1" ht="13.5" customHeight="1">
      <c r="A327" s="5603" t="s">
        <v>58</v>
      </c>
      <c r="B327" s="5604" t="s">
        <v>948</v>
      </c>
      <c r="C327" s="5604" t="s">
        <v>437</v>
      </c>
      <c r="D327" s="5393" t="s">
        <v>58</v>
      </c>
      <c r="E327" s="5392" t="s">
        <v>948</v>
      </c>
      <c r="F327" s="5392" t="s">
        <v>437</v>
      </c>
      <c r="G327" s="5392"/>
      <c r="H327" s="5392"/>
      <c r="I327" s="5637" t="s">
        <v>459</v>
      </c>
      <c r="J327" s="5391" t="s">
        <v>1356</v>
      </c>
      <c r="K327" s="5390"/>
      <c r="L327" s="5389"/>
      <c r="M327" s="5502">
        <v>683047000</v>
      </c>
      <c r="N327" s="5502">
        <f>+N329</f>
        <v>1197597000</v>
      </c>
      <c r="O327" s="5502">
        <f>N327-M327</f>
        <v>514550000</v>
      </c>
      <c r="P327" s="5501">
        <f>+P329</f>
        <v>1528047000</v>
      </c>
      <c r="Q327" s="5502">
        <f>+P327-N327</f>
        <v>330450000</v>
      </c>
      <c r="R327" s="5501">
        <f>P327/N327*100-100</f>
        <v>27.592754490867961</v>
      </c>
      <c r="S327" s="5501">
        <f>+S329</f>
        <v>1530000000</v>
      </c>
      <c r="T327" s="5502">
        <f>S327-R327</f>
        <v>1529999972.4072454</v>
      </c>
      <c r="U327" s="5501">
        <f>+U329</f>
        <v>1500000000</v>
      </c>
      <c r="V327" s="5502">
        <f>S327-P327</f>
        <v>1953000</v>
      </c>
      <c r="W327" s="5501">
        <f t="shared" si="139"/>
        <v>0.12781020479081917</v>
      </c>
      <c r="X327" s="5501">
        <f>+X329</f>
        <v>1775000000</v>
      </c>
      <c r="Y327" s="5502">
        <f>X327-W327</f>
        <v>1774999999.8721898</v>
      </c>
      <c r="Z327" s="5501">
        <f>+Z329</f>
        <v>1528047000</v>
      </c>
      <c r="AA327" s="5502">
        <f t="shared" si="140"/>
        <v>245000000</v>
      </c>
      <c r="AB327" s="5501">
        <f t="shared" si="141"/>
        <v>16.013071895424844</v>
      </c>
      <c r="AC327" s="5594"/>
      <c r="AD327" s="5594"/>
      <c r="AE327" s="5594"/>
      <c r="AF327" s="5594">
        <f t="shared" si="132"/>
        <v>1953000</v>
      </c>
      <c r="AG327" s="5595">
        <f t="shared" si="133"/>
        <v>0</v>
      </c>
    </row>
    <row r="328" spans="1:33" s="5333" customFormat="1" ht="4.55" customHeight="1">
      <c r="A328" s="5340"/>
      <c r="B328" s="5340"/>
      <c r="C328" s="5340"/>
      <c r="D328" s="5387"/>
      <c r="E328" s="5386"/>
      <c r="F328" s="5386"/>
      <c r="G328" s="5386"/>
      <c r="H328" s="5386"/>
      <c r="I328" s="5636"/>
      <c r="J328" s="5385"/>
      <c r="K328" s="5384"/>
      <c r="L328" s="5383"/>
      <c r="M328" s="5382"/>
      <c r="N328" s="5382"/>
      <c r="O328" s="5382"/>
      <c r="P328" s="5381"/>
      <c r="Q328" s="5382"/>
      <c r="R328" s="5381"/>
      <c r="S328" s="5381"/>
      <c r="T328" s="5382"/>
      <c r="U328" s="5381"/>
      <c r="V328" s="5382">
        <f>S328-P328</f>
        <v>0</v>
      </c>
      <c r="W328" s="5381"/>
      <c r="X328" s="5381"/>
      <c r="Y328" s="5382"/>
      <c r="Z328" s="5381"/>
      <c r="AA328" s="5382"/>
      <c r="AB328" s="5381"/>
      <c r="AC328" s="5349"/>
      <c r="AD328" s="5349"/>
      <c r="AE328" s="5349"/>
      <c r="AF328" s="5349">
        <f t="shared" si="132"/>
        <v>0</v>
      </c>
      <c r="AG328" s="5338">
        <f t="shared" si="133"/>
        <v>0</v>
      </c>
    </row>
    <row r="329" spans="1:33" s="5333" customFormat="1" ht="15.05" customHeight="1">
      <c r="A329" s="5340"/>
      <c r="B329" s="5340"/>
      <c r="C329" s="5340"/>
      <c r="D329" s="5374">
        <v>4</v>
      </c>
      <c r="E329" s="5374">
        <v>1</v>
      </c>
      <c r="F329" s="5374"/>
      <c r="G329" s="5374"/>
      <c r="H329" s="5374"/>
      <c r="I329" s="5537"/>
      <c r="J329" s="5372" t="s">
        <v>180</v>
      </c>
      <c r="K329" s="5371"/>
      <c r="L329" s="5370"/>
      <c r="M329" s="5357">
        <f>+M331+M355</f>
        <v>683047000</v>
      </c>
      <c r="N329" s="5357">
        <f>+N331+N355</f>
        <v>1197597000</v>
      </c>
      <c r="O329" s="5359">
        <f>N329-M329</f>
        <v>514550000</v>
      </c>
      <c r="P329" s="5358">
        <f>+P331+P355</f>
        <v>1528047000</v>
      </c>
      <c r="Q329" s="5357">
        <f>+P329-N329</f>
        <v>330450000</v>
      </c>
      <c r="R329" s="5358">
        <f>P329/N329*100-100</f>
        <v>27.592754490867961</v>
      </c>
      <c r="S329" s="5358">
        <f>+S331+S355</f>
        <v>1530000000</v>
      </c>
      <c r="T329" s="5359">
        <f>S329-R329</f>
        <v>1529999972.4072454</v>
      </c>
      <c r="U329" s="5358">
        <f>+U331+U355</f>
        <v>1500000000</v>
      </c>
      <c r="V329" s="5357">
        <f>S329-P329</f>
        <v>1953000</v>
      </c>
      <c r="W329" s="5358">
        <f>S329/P329*100-100</f>
        <v>0.12781020479081917</v>
      </c>
      <c r="X329" s="5358">
        <f>+X331+X355</f>
        <v>1775000000</v>
      </c>
      <c r="Y329" s="5359">
        <f>X329-W329</f>
        <v>1774999999.8721898</v>
      </c>
      <c r="Z329" s="5358">
        <f>+Z331+Z355</f>
        <v>1528047000</v>
      </c>
      <c r="AA329" s="5357">
        <f>X329-S329</f>
        <v>245000000</v>
      </c>
      <c r="AB329" s="5358">
        <f>X329/S329*100-100</f>
        <v>16.013071895424844</v>
      </c>
      <c r="AC329" s="5349"/>
      <c r="AD329" s="5349"/>
      <c r="AE329" s="5349"/>
      <c r="AF329" s="5349">
        <f t="shared" si="132"/>
        <v>1953000</v>
      </c>
      <c r="AG329" s="5338">
        <f t="shared" si="133"/>
        <v>0</v>
      </c>
    </row>
    <row r="330" spans="1:33" s="5333" customFormat="1" ht="4.55" customHeight="1">
      <c r="A330" s="5340"/>
      <c r="B330" s="5340"/>
      <c r="C330" s="5340"/>
      <c r="D330" s="5367"/>
      <c r="E330" s="5380"/>
      <c r="F330" s="5380"/>
      <c r="G330" s="5380"/>
      <c r="H330" s="5380"/>
      <c r="I330" s="5496"/>
      <c r="J330" s="5366"/>
      <c r="K330" s="5371"/>
      <c r="L330" s="5370"/>
      <c r="M330" s="5357"/>
      <c r="N330" s="5357"/>
      <c r="O330" s="5357"/>
      <c r="P330" s="5358"/>
      <c r="Q330" s="5357"/>
      <c r="R330" s="5358"/>
      <c r="S330" s="5358"/>
      <c r="T330" s="5357"/>
      <c r="U330" s="5358"/>
      <c r="V330" s="5357"/>
      <c r="W330" s="5358"/>
      <c r="X330" s="5358"/>
      <c r="Y330" s="5357"/>
      <c r="Z330" s="5358"/>
      <c r="AA330" s="5357">
        <f>X330-S330</f>
        <v>0</v>
      </c>
      <c r="AB330" s="5358"/>
      <c r="AC330" s="5349"/>
      <c r="AD330" s="5349"/>
      <c r="AE330" s="5349"/>
      <c r="AF330" s="5349">
        <f t="shared" si="132"/>
        <v>0</v>
      </c>
      <c r="AG330" s="5338">
        <f t="shared" si="133"/>
        <v>0</v>
      </c>
    </row>
    <row r="331" spans="1:33" s="5333" customFormat="1" ht="15.05" customHeight="1">
      <c r="A331" s="5340"/>
      <c r="B331" s="5340"/>
      <c r="C331" s="5340"/>
      <c r="D331" s="5374">
        <v>4</v>
      </c>
      <c r="E331" s="5374">
        <v>1</v>
      </c>
      <c r="F331" s="5374">
        <v>2</v>
      </c>
      <c r="G331" s="5374"/>
      <c r="H331" s="5374"/>
      <c r="I331" s="5537"/>
      <c r="J331" s="5372" t="s">
        <v>106</v>
      </c>
      <c r="K331" s="5371"/>
      <c r="L331" s="5370"/>
      <c r="M331" s="5357">
        <v>683047000</v>
      </c>
      <c r="N331" s="5357">
        <f>N335+N332+N352</f>
        <v>783047000</v>
      </c>
      <c r="O331" s="5357">
        <f>O335+O332+O352</f>
        <v>100000000</v>
      </c>
      <c r="P331" s="5358">
        <f>P335+P332+P352</f>
        <v>1528047000</v>
      </c>
      <c r="Q331" s="5357">
        <f>+P331-N331</f>
        <v>745000000</v>
      </c>
      <c r="R331" s="5357">
        <f>P331/N331*100-100</f>
        <v>95.141160109163309</v>
      </c>
      <c r="S331" s="5358">
        <f>S335+S332+S352</f>
        <v>1530000000</v>
      </c>
      <c r="T331" s="5357">
        <f>T335+T332+T352</f>
        <v>1529999893.5714285</v>
      </c>
      <c r="U331" s="5358">
        <f>U335+U332+U352</f>
        <v>1500000000</v>
      </c>
      <c r="V331" s="5357">
        <f>S331-P331</f>
        <v>1953000</v>
      </c>
      <c r="W331" s="5357">
        <f>S331/P331*100-100</f>
        <v>0.12781020479081917</v>
      </c>
      <c r="X331" s="5358">
        <f>X335+X332+X352</f>
        <v>1775000000</v>
      </c>
      <c r="Y331" s="5357">
        <f>Y335+Y332+Y352</f>
        <v>1774999962.9443221</v>
      </c>
      <c r="Z331" s="5358">
        <f>Z335+Z332+Z352</f>
        <v>1528047000</v>
      </c>
      <c r="AA331" s="5357">
        <f>X331-S331</f>
        <v>245000000</v>
      </c>
      <c r="AB331" s="5357">
        <f>X331/S331*100-100</f>
        <v>16.013071895424844</v>
      </c>
      <c r="AC331" s="5349"/>
      <c r="AD331" s="5349"/>
      <c r="AE331" s="5349"/>
      <c r="AF331" s="5349">
        <f t="shared" si="132"/>
        <v>1953000</v>
      </c>
      <c r="AG331" s="5338">
        <f t="shared" si="133"/>
        <v>0</v>
      </c>
    </row>
    <row r="332" spans="1:33" s="5333" customFormat="1" ht="15.05" hidden="1" customHeight="1">
      <c r="A332" s="5340"/>
      <c r="B332" s="5340"/>
      <c r="C332" s="5340"/>
      <c r="D332" s="5367">
        <v>4</v>
      </c>
      <c r="E332" s="5367">
        <v>1</v>
      </c>
      <c r="F332" s="5367">
        <v>2</v>
      </c>
      <c r="G332" s="5367" t="s">
        <v>437</v>
      </c>
      <c r="H332" s="5367"/>
      <c r="I332" s="5631"/>
      <c r="J332" s="5366" t="s">
        <v>107</v>
      </c>
      <c r="K332" s="5361"/>
      <c r="L332" s="5365"/>
      <c r="M332" s="5357">
        <v>600000000</v>
      </c>
      <c r="N332" s="5357">
        <f>N333</f>
        <v>0</v>
      </c>
      <c r="O332" s="5359">
        <f>N332-M332</f>
        <v>-600000000</v>
      </c>
      <c r="P332" s="5358">
        <f>P333</f>
        <v>0</v>
      </c>
      <c r="Q332" s="5357">
        <f>+P332-N332</f>
        <v>0</v>
      </c>
      <c r="R332" s="5358">
        <v>0</v>
      </c>
      <c r="S332" s="5358">
        <f>S333</f>
        <v>0</v>
      </c>
      <c r="T332" s="5359">
        <f>S332-R332</f>
        <v>0</v>
      </c>
      <c r="U332" s="5358">
        <f>U333</f>
        <v>0</v>
      </c>
      <c r="V332" s="5357">
        <f>S332-P332</f>
        <v>0</v>
      </c>
      <c r="W332" s="5358">
        <v>0</v>
      </c>
      <c r="X332" s="5358">
        <f>X333</f>
        <v>0</v>
      </c>
      <c r="Y332" s="5359">
        <f>X332-W332</f>
        <v>0</v>
      </c>
      <c r="Z332" s="5358">
        <f>Z333</f>
        <v>0</v>
      </c>
      <c r="AA332" s="5357">
        <f>X332-S332</f>
        <v>0</v>
      </c>
      <c r="AB332" s="5358">
        <v>0</v>
      </c>
      <c r="AC332" s="5349"/>
      <c r="AD332" s="5349"/>
      <c r="AE332" s="5349"/>
      <c r="AF332" s="5349">
        <f t="shared" si="132"/>
        <v>0</v>
      </c>
      <c r="AG332" s="5338">
        <f t="shared" si="133"/>
        <v>0</v>
      </c>
    </row>
    <row r="333" spans="1:33" s="5333" customFormat="1" ht="15.05" hidden="1" customHeight="1">
      <c r="A333" s="5340"/>
      <c r="B333" s="5340"/>
      <c r="C333" s="5340"/>
      <c r="D333" s="5367">
        <v>4</v>
      </c>
      <c r="E333" s="5367">
        <v>1</v>
      </c>
      <c r="F333" s="5367">
        <v>2</v>
      </c>
      <c r="G333" s="5367" t="s">
        <v>437</v>
      </c>
      <c r="H333" s="5367"/>
      <c r="I333" s="5631"/>
      <c r="J333" s="5366" t="s">
        <v>1409</v>
      </c>
      <c r="K333" s="5361"/>
      <c r="L333" s="5365"/>
      <c r="M333" s="5442">
        <v>600000000</v>
      </c>
      <c r="N333" s="5442">
        <v>0</v>
      </c>
      <c r="O333" s="5359">
        <f>N333-M333</f>
        <v>-600000000</v>
      </c>
      <c r="P333" s="5358">
        <v>0</v>
      </c>
      <c r="Q333" s="5357">
        <f>+P333-N333</f>
        <v>0</v>
      </c>
      <c r="R333" s="5358">
        <v>0</v>
      </c>
      <c r="S333" s="5358">
        <v>0</v>
      </c>
      <c r="T333" s="5359">
        <f>S333-R333</f>
        <v>0</v>
      </c>
      <c r="U333" s="5358">
        <v>0</v>
      </c>
      <c r="V333" s="5357">
        <f>S333-P333</f>
        <v>0</v>
      </c>
      <c r="W333" s="5358">
        <v>0</v>
      </c>
      <c r="X333" s="5358">
        <v>0</v>
      </c>
      <c r="Y333" s="5359">
        <f>X333-W333</f>
        <v>0</v>
      </c>
      <c r="Z333" s="5358">
        <v>0</v>
      </c>
      <c r="AA333" s="5357">
        <f>X333-S333</f>
        <v>0</v>
      </c>
      <c r="AB333" s="5358">
        <v>0</v>
      </c>
      <c r="AC333" s="5350"/>
      <c r="AD333" s="5350"/>
      <c r="AE333" s="5350"/>
      <c r="AF333" s="5349">
        <f t="shared" si="132"/>
        <v>0</v>
      </c>
      <c r="AG333" s="5338">
        <f t="shared" si="133"/>
        <v>0</v>
      </c>
    </row>
    <row r="334" spans="1:33" s="5333" customFormat="1" ht="6.75" hidden="1" customHeight="1">
      <c r="A334" s="5340"/>
      <c r="B334" s="5340"/>
      <c r="C334" s="5340"/>
      <c r="D334" s="5374"/>
      <c r="E334" s="5374"/>
      <c r="F334" s="5374"/>
      <c r="G334" s="5374"/>
      <c r="H334" s="5374"/>
      <c r="I334" s="5537"/>
      <c r="J334" s="5372"/>
      <c r="K334" s="5371"/>
      <c r="L334" s="5370"/>
      <c r="M334" s="5357"/>
      <c r="N334" s="5357"/>
      <c r="O334" s="5359"/>
      <c r="P334" s="5358"/>
      <c r="Q334" s="5357"/>
      <c r="R334" s="5358"/>
      <c r="S334" s="5358"/>
      <c r="T334" s="5359"/>
      <c r="U334" s="5358"/>
      <c r="V334" s="5357"/>
      <c r="W334" s="5358"/>
      <c r="X334" s="5358"/>
      <c r="Y334" s="5359"/>
      <c r="Z334" s="5358"/>
      <c r="AA334" s="5357"/>
      <c r="AB334" s="5358"/>
      <c r="AC334" s="5349"/>
      <c r="AD334" s="5349"/>
      <c r="AE334" s="5349"/>
      <c r="AF334" s="5349">
        <f t="shared" si="132"/>
        <v>0</v>
      </c>
      <c r="AG334" s="5338">
        <f t="shared" si="133"/>
        <v>0</v>
      </c>
    </row>
    <row r="335" spans="1:33" s="5333" customFormat="1" ht="13.5" customHeight="1">
      <c r="A335" s="5340"/>
      <c r="B335" s="5340"/>
      <c r="C335" s="5340"/>
      <c r="D335" s="5367">
        <v>4</v>
      </c>
      <c r="E335" s="5367">
        <v>1</v>
      </c>
      <c r="F335" s="5367">
        <v>2</v>
      </c>
      <c r="G335" s="5368" t="s">
        <v>438</v>
      </c>
      <c r="H335" s="5367"/>
      <c r="I335" s="5631"/>
      <c r="J335" s="5366" t="s">
        <v>374</v>
      </c>
      <c r="K335" s="5361"/>
      <c r="L335" s="5365"/>
      <c r="M335" s="5357">
        <v>83047000</v>
      </c>
      <c r="N335" s="5357">
        <f>N336+N340</f>
        <v>83047000</v>
      </c>
      <c r="O335" s="5359">
        <f>N335-M335</f>
        <v>0</v>
      </c>
      <c r="P335" s="5358">
        <f>P336+P340</f>
        <v>83047000</v>
      </c>
      <c r="Q335" s="5357">
        <f>+P335-N335</f>
        <v>0</v>
      </c>
      <c r="R335" s="5358">
        <f>P335/N335*100-100</f>
        <v>0</v>
      </c>
      <c r="S335" s="5358">
        <f t="shared" ref="S335:X335" si="142">S338+S340</f>
        <v>75000000</v>
      </c>
      <c r="T335" s="5358">
        <f t="shared" si="142"/>
        <v>75000000</v>
      </c>
      <c r="U335" s="5358">
        <f t="shared" si="142"/>
        <v>55000000</v>
      </c>
      <c r="V335" s="5358">
        <f t="shared" si="142"/>
        <v>20000000</v>
      </c>
      <c r="W335" s="5358">
        <f t="shared" si="142"/>
        <v>36.363636363636346</v>
      </c>
      <c r="X335" s="5358">
        <f t="shared" si="142"/>
        <v>125000000</v>
      </c>
      <c r="Y335" s="5359">
        <f>X335-W335</f>
        <v>124999963.63636364</v>
      </c>
      <c r="Z335" s="5358">
        <f>Z336+Z340</f>
        <v>83047000</v>
      </c>
      <c r="AA335" s="5357">
        <f>X335-S335</f>
        <v>50000000</v>
      </c>
      <c r="AB335" s="5358">
        <f>X335/S335*100-100</f>
        <v>66.666666666666686</v>
      </c>
      <c r="AC335" s="5349"/>
      <c r="AD335" s="5349"/>
      <c r="AE335" s="5349"/>
      <c r="AF335" s="5349">
        <f t="shared" si="132"/>
        <v>-8047000</v>
      </c>
      <c r="AG335" s="5338">
        <f t="shared" si="133"/>
        <v>-28047000</v>
      </c>
    </row>
    <row r="336" spans="1:33" s="5333" customFormat="1" ht="13.5" hidden="1" customHeight="1">
      <c r="A336" s="5340"/>
      <c r="B336" s="5340"/>
      <c r="C336" s="5340"/>
      <c r="D336" s="5367">
        <v>4</v>
      </c>
      <c r="E336" s="5367">
        <v>1</v>
      </c>
      <c r="F336" s="5367">
        <v>2</v>
      </c>
      <c r="G336" s="5368" t="s">
        <v>440</v>
      </c>
      <c r="H336" s="5367"/>
      <c r="I336" s="5631"/>
      <c r="J336" s="5366" t="s">
        <v>64</v>
      </c>
      <c r="K336" s="5371"/>
      <c r="L336" s="5370"/>
      <c r="M336" s="5357">
        <v>28047000</v>
      </c>
      <c r="N336" s="5357">
        <f>N337</f>
        <v>28047000</v>
      </c>
      <c r="O336" s="5359">
        <f>N336-M336</f>
        <v>0</v>
      </c>
      <c r="P336" s="5358">
        <f>P337</f>
        <v>28047000</v>
      </c>
      <c r="Q336" s="5357">
        <f>+P336-N336</f>
        <v>0</v>
      </c>
      <c r="R336" s="5358">
        <f>P336/N336*100-100</f>
        <v>0</v>
      </c>
      <c r="S336" s="5358">
        <f>S337</f>
        <v>0</v>
      </c>
      <c r="T336" s="5359">
        <f>S336-R336</f>
        <v>0</v>
      </c>
      <c r="U336" s="5358">
        <f>U337</f>
        <v>28047000</v>
      </c>
      <c r="V336" s="5357">
        <f>S336-P336</f>
        <v>-28047000</v>
      </c>
      <c r="W336" s="5358">
        <f>S336/P336*100-100</f>
        <v>-100</v>
      </c>
      <c r="X336" s="5358">
        <f>X337</f>
        <v>0</v>
      </c>
      <c r="Y336" s="5359">
        <f>X336-W336</f>
        <v>100</v>
      </c>
      <c r="Z336" s="5358">
        <f>Z337</f>
        <v>28047000</v>
      </c>
      <c r="AA336" s="5357">
        <f>X336-S336</f>
        <v>0</v>
      </c>
      <c r="AB336" s="5358">
        <v>0</v>
      </c>
      <c r="AC336" s="5349"/>
      <c r="AD336" s="5349"/>
      <c r="AE336" s="5349"/>
      <c r="AF336" s="5349">
        <f t="shared" si="132"/>
        <v>-28047000</v>
      </c>
      <c r="AG336" s="5338">
        <f t="shared" si="133"/>
        <v>0</v>
      </c>
    </row>
    <row r="337" spans="1:33" s="5333" customFormat="1" ht="13.5" hidden="1" customHeight="1">
      <c r="A337" s="5340"/>
      <c r="B337" s="5340"/>
      <c r="C337" s="5340"/>
      <c r="D337" s="5367">
        <v>4</v>
      </c>
      <c r="E337" s="5367">
        <v>1</v>
      </c>
      <c r="F337" s="5367">
        <v>2</v>
      </c>
      <c r="G337" s="5368" t="s">
        <v>445</v>
      </c>
      <c r="H337" s="5367"/>
      <c r="I337" s="5631"/>
      <c r="J337" s="5408" t="s">
        <v>50</v>
      </c>
      <c r="K337" s="5361" t="s">
        <v>185</v>
      </c>
      <c r="L337" s="5370"/>
      <c r="M337" s="5359">
        <v>28047000</v>
      </c>
      <c r="N337" s="5359">
        <v>28047000</v>
      </c>
      <c r="O337" s="5359">
        <f>N337-M337</f>
        <v>0</v>
      </c>
      <c r="P337" s="5358">
        <v>28047000</v>
      </c>
      <c r="Q337" s="5357">
        <f>+P337-N337</f>
        <v>0</v>
      </c>
      <c r="R337" s="5358">
        <f>P337/N337*100-100</f>
        <v>0</v>
      </c>
      <c r="S337" s="5358">
        <v>0</v>
      </c>
      <c r="T337" s="5359">
        <f>S337-R337</f>
        <v>0</v>
      </c>
      <c r="U337" s="5358">
        <v>28047000</v>
      </c>
      <c r="V337" s="5357">
        <f>S337-P337</f>
        <v>-28047000</v>
      </c>
      <c r="W337" s="5358">
        <f>S337/P337*100-100</f>
        <v>-100</v>
      </c>
      <c r="X337" s="5358">
        <v>0</v>
      </c>
      <c r="Y337" s="5359">
        <f>X337-W337</f>
        <v>100</v>
      </c>
      <c r="Z337" s="5358">
        <v>28047000</v>
      </c>
      <c r="AA337" s="5357">
        <f>X337-S337</f>
        <v>0</v>
      </c>
      <c r="AB337" s="5358">
        <v>0</v>
      </c>
      <c r="AC337" s="5350"/>
      <c r="AD337" s="5350"/>
      <c r="AE337" s="5350"/>
      <c r="AF337" s="5349">
        <f t="shared" si="132"/>
        <v>-28047000</v>
      </c>
      <c r="AG337" s="5338">
        <f t="shared" si="133"/>
        <v>0</v>
      </c>
    </row>
    <row r="338" spans="1:33" s="5333" customFormat="1">
      <c r="A338" s="5340"/>
      <c r="B338" s="5340"/>
      <c r="C338" s="5340"/>
      <c r="D338" s="5367">
        <v>4</v>
      </c>
      <c r="E338" s="5367">
        <v>1</v>
      </c>
      <c r="F338" s="5367">
        <v>2</v>
      </c>
      <c r="G338" s="5368" t="s">
        <v>438</v>
      </c>
      <c r="H338" s="5368" t="s">
        <v>437</v>
      </c>
      <c r="I338" s="5632"/>
      <c r="J338" s="5366" t="s">
        <v>64</v>
      </c>
      <c r="K338" s="5361"/>
      <c r="L338" s="5365"/>
      <c r="M338" s="5357"/>
      <c r="N338" s="5357"/>
      <c r="O338" s="5357"/>
      <c r="P338" s="5358"/>
      <c r="Q338" s="5357"/>
      <c r="R338" s="5358"/>
      <c r="S338" s="5358">
        <f>S339</f>
        <v>0</v>
      </c>
      <c r="T338" s="5357"/>
      <c r="U338" s="5358"/>
      <c r="V338" s="5357"/>
      <c r="W338" s="5358"/>
      <c r="X338" s="5358">
        <f>X339</f>
        <v>50000000</v>
      </c>
      <c r="Y338" s="5357"/>
      <c r="Z338" s="5358"/>
      <c r="AA338" s="5357"/>
      <c r="AB338" s="5358"/>
      <c r="AC338" s="5349"/>
      <c r="AD338" s="5349"/>
      <c r="AE338" s="5349"/>
      <c r="AF338" s="5349">
        <f t="shared" si="132"/>
        <v>0</v>
      </c>
      <c r="AG338" s="5338">
        <f t="shared" si="133"/>
        <v>0</v>
      </c>
    </row>
    <row r="339" spans="1:33" s="5333" customFormat="1">
      <c r="A339" s="5340"/>
      <c r="B339" s="5340"/>
      <c r="C339" s="5340"/>
      <c r="D339" s="5367"/>
      <c r="E339" s="5367"/>
      <c r="F339" s="5367"/>
      <c r="G339" s="5368"/>
      <c r="H339" s="5368"/>
      <c r="I339" s="5632"/>
      <c r="J339" s="5408" t="s">
        <v>50</v>
      </c>
      <c r="K339" s="5361" t="s">
        <v>1053</v>
      </c>
      <c r="L339" s="5365"/>
      <c r="M339" s="5357"/>
      <c r="N339" s="5357"/>
      <c r="O339" s="5357"/>
      <c r="P339" s="5358"/>
      <c r="Q339" s="5357"/>
      <c r="R339" s="5358"/>
      <c r="S339" s="5358">
        <v>0</v>
      </c>
      <c r="T339" s="5357"/>
      <c r="U339" s="5358"/>
      <c r="V339" s="5357"/>
      <c r="W339" s="5358"/>
      <c r="X339" s="5358">
        <v>50000000</v>
      </c>
      <c r="Y339" s="5357"/>
      <c r="Z339" s="5358"/>
      <c r="AA339" s="5357"/>
      <c r="AB339" s="5358"/>
      <c r="AC339" s="5349"/>
      <c r="AD339" s="5349"/>
      <c r="AE339" s="5349"/>
      <c r="AF339" s="5349"/>
      <c r="AG339" s="5338"/>
    </row>
    <row r="340" spans="1:33" s="5333" customFormat="1" ht="15.05" customHeight="1">
      <c r="A340" s="5340"/>
      <c r="B340" s="5340"/>
      <c r="C340" s="5340"/>
      <c r="D340" s="5367">
        <v>4</v>
      </c>
      <c r="E340" s="5367">
        <v>1</v>
      </c>
      <c r="F340" s="5367">
        <v>2</v>
      </c>
      <c r="G340" s="5368" t="s">
        <v>438</v>
      </c>
      <c r="H340" s="5368" t="s">
        <v>440</v>
      </c>
      <c r="I340" s="5632"/>
      <c r="J340" s="5366" t="s">
        <v>304</v>
      </c>
      <c r="K340" s="5361"/>
      <c r="L340" s="5365"/>
      <c r="M340" s="5357">
        <v>55000000</v>
      </c>
      <c r="N340" s="5357">
        <f>N341</f>
        <v>55000000</v>
      </c>
      <c r="O340" s="5359">
        <f t="shared" ref="O340:O350" si="143">N340-M340</f>
        <v>0</v>
      </c>
      <c r="P340" s="5358">
        <f>P341</f>
        <v>55000000</v>
      </c>
      <c r="Q340" s="5357">
        <f t="shared" ref="Q340:Q350" si="144">+P340-N340</f>
        <v>0</v>
      </c>
      <c r="R340" s="5358">
        <f>P340/N340*100-100</f>
        <v>0</v>
      </c>
      <c r="S340" s="5358">
        <f>S341</f>
        <v>75000000</v>
      </c>
      <c r="T340" s="5359">
        <f t="shared" ref="T340:T350" si="145">S340-R340</f>
        <v>75000000</v>
      </c>
      <c r="U340" s="5358">
        <f>U341</f>
        <v>55000000</v>
      </c>
      <c r="V340" s="5357">
        <f t="shared" ref="V340:V353" si="146">S340-P340</f>
        <v>20000000</v>
      </c>
      <c r="W340" s="5358">
        <f>S340/P340*100-100</f>
        <v>36.363636363636346</v>
      </c>
      <c r="X340" s="5358">
        <f>X341</f>
        <v>75000000</v>
      </c>
      <c r="Y340" s="5359">
        <f t="shared" ref="Y340:Y350" si="147">X340-W340</f>
        <v>74999963.63636364</v>
      </c>
      <c r="Z340" s="5358">
        <f>Z341</f>
        <v>55000000</v>
      </c>
      <c r="AA340" s="5357">
        <f t="shared" ref="AA340:AA353" si="148">X340-S340</f>
        <v>0</v>
      </c>
      <c r="AB340" s="5358">
        <f>X340/S340*100-100</f>
        <v>0</v>
      </c>
      <c r="AC340" s="5349"/>
      <c r="AD340" s="5349"/>
      <c r="AE340" s="5349"/>
      <c r="AF340" s="5349">
        <f t="shared" ref="AF340:AF402" si="149">S340-P340</f>
        <v>20000000</v>
      </c>
      <c r="AG340" s="5338">
        <f t="shared" ref="AG340:AG402" si="150">AF340-V340</f>
        <v>0</v>
      </c>
    </row>
    <row r="341" spans="1:33" s="5333" customFormat="1" ht="13.5" customHeight="1">
      <c r="A341" s="5340"/>
      <c r="B341" s="5340"/>
      <c r="C341" s="5340"/>
      <c r="D341" s="5368"/>
      <c r="E341" s="5380"/>
      <c r="F341" s="5380"/>
      <c r="G341" s="5379"/>
      <c r="H341" s="5379"/>
      <c r="I341" s="5495"/>
      <c r="J341" s="5366" t="s">
        <v>50</v>
      </c>
      <c r="K341" s="5361" t="s">
        <v>1413</v>
      </c>
      <c r="L341" s="5365"/>
      <c r="M341" s="5359">
        <v>55000000</v>
      </c>
      <c r="N341" s="5359">
        <v>55000000</v>
      </c>
      <c r="O341" s="5359">
        <f t="shared" si="143"/>
        <v>0</v>
      </c>
      <c r="P341" s="5358">
        <v>55000000</v>
      </c>
      <c r="Q341" s="5357">
        <f t="shared" si="144"/>
        <v>0</v>
      </c>
      <c r="R341" s="5358">
        <f>P341/N341*100-100</f>
        <v>0</v>
      </c>
      <c r="S341" s="5358">
        <v>75000000</v>
      </c>
      <c r="T341" s="5359">
        <f t="shared" si="145"/>
        <v>75000000</v>
      </c>
      <c r="U341" s="5358">
        <v>55000000</v>
      </c>
      <c r="V341" s="5357">
        <f t="shared" si="146"/>
        <v>20000000</v>
      </c>
      <c r="W341" s="5358">
        <f>S341/P341*100-100</f>
        <v>36.363636363636346</v>
      </c>
      <c r="X341" s="5358">
        <v>75000000</v>
      </c>
      <c r="Y341" s="5359">
        <f t="shared" si="147"/>
        <v>74999963.63636364</v>
      </c>
      <c r="Z341" s="5358">
        <v>55000000</v>
      </c>
      <c r="AA341" s="5357">
        <f t="shared" si="148"/>
        <v>0</v>
      </c>
      <c r="AB341" s="5358">
        <f>X341/S341*100-100</f>
        <v>0</v>
      </c>
      <c r="AC341" s="5350"/>
      <c r="AD341" s="5350"/>
      <c r="AE341" s="5350"/>
      <c r="AF341" s="5349">
        <f t="shared" si="149"/>
        <v>20000000</v>
      </c>
      <c r="AG341" s="5338">
        <f t="shared" si="150"/>
        <v>0</v>
      </c>
    </row>
    <row r="342" spans="1:33" s="5333" customFormat="1" ht="13.5" customHeight="1">
      <c r="A342" s="5340"/>
      <c r="B342" s="5340"/>
      <c r="C342" s="5340"/>
      <c r="D342" s="5368"/>
      <c r="E342" s="5380"/>
      <c r="F342" s="5380"/>
      <c r="G342" s="5379"/>
      <c r="H342" s="5379"/>
      <c r="I342" s="5495"/>
      <c r="J342" s="5366"/>
      <c r="K342" s="5361" t="s">
        <v>1412</v>
      </c>
      <c r="L342" s="5365"/>
      <c r="M342" s="5357"/>
      <c r="N342" s="5357">
        <v>0</v>
      </c>
      <c r="O342" s="5359">
        <f t="shared" si="143"/>
        <v>0</v>
      </c>
      <c r="P342" s="5358">
        <v>0</v>
      </c>
      <c r="Q342" s="5357">
        <f t="shared" si="144"/>
        <v>0</v>
      </c>
      <c r="R342" s="5358">
        <v>0</v>
      </c>
      <c r="S342" s="5358">
        <v>0</v>
      </c>
      <c r="T342" s="5359">
        <f t="shared" si="145"/>
        <v>0</v>
      </c>
      <c r="U342" s="5358">
        <v>0</v>
      </c>
      <c r="V342" s="5357">
        <f t="shared" si="146"/>
        <v>0</v>
      </c>
      <c r="W342" s="5358">
        <v>0</v>
      </c>
      <c r="X342" s="5358">
        <v>0</v>
      </c>
      <c r="Y342" s="5359">
        <f t="shared" si="147"/>
        <v>0</v>
      </c>
      <c r="Z342" s="5358">
        <v>0</v>
      </c>
      <c r="AA342" s="5357">
        <f t="shared" si="148"/>
        <v>0</v>
      </c>
      <c r="AB342" s="5358">
        <v>0</v>
      </c>
      <c r="AC342" s="5349"/>
      <c r="AD342" s="5349"/>
      <c r="AE342" s="5349"/>
      <c r="AF342" s="5349">
        <f t="shared" si="149"/>
        <v>0</v>
      </c>
      <c r="AG342" s="5338">
        <f t="shared" si="150"/>
        <v>0</v>
      </c>
    </row>
    <row r="343" spans="1:33" s="5333" customFormat="1" ht="5.35" customHeight="1">
      <c r="A343" s="5340"/>
      <c r="B343" s="5340"/>
      <c r="C343" s="5340"/>
      <c r="D343" s="5368"/>
      <c r="E343" s="5380"/>
      <c r="F343" s="5380"/>
      <c r="G343" s="5379"/>
      <c r="H343" s="5379"/>
      <c r="I343" s="5495"/>
      <c r="J343" s="5366"/>
      <c r="K343" s="5361"/>
      <c r="L343" s="5365"/>
      <c r="M343" s="5357"/>
      <c r="N343" s="5357"/>
      <c r="O343" s="5357">
        <f t="shared" si="143"/>
        <v>0</v>
      </c>
      <c r="P343" s="5358"/>
      <c r="Q343" s="5357">
        <f t="shared" si="144"/>
        <v>0</v>
      </c>
      <c r="R343" s="5358" t="e">
        <f t="shared" ref="R343:R350" si="151">P343/N343*100-100</f>
        <v>#DIV/0!</v>
      </c>
      <c r="S343" s="5358"/>
      <c r="T343" s="5357" t="e">
        <f t="shared" si="145"/>
        <v>#DIV/0!</v>
      </c>
      <c r="U343" s="5358"/>
      <c r="V343" s="5357">
        <f t="shared" si="146"/>
        <v>0</v>
      </c>
      <c r="W343" s="5358"/>
      <c r="X343" s="5358"/>
      <c r="Y343" s="5357">
        <f t="shared" si="147"/>
        <v>0</v>
      </c>
      <c r="Z343" s="5358"/>
      <c r="AA343" s="5357">
        <f t="shared" si="148"/>
        <v>0</v>
      </c>
      <c r="AB343" s="5358"/>
      <c r="AC343" s="5349"/>
      <c r="AD343" s="5349"/>
      <c r="AE343" s="5349"/>
      <c r="AF343" s="5349">
        <f t="shared" si="149"/>
        <v>0</v>
      </c>
      <c r="AG343" s="5338">
        <f t="shared" si="150"/>
        <v>0</v>
      </c>
    </row>
    <row r="344" spans="1:33" s="5333" customFormat="1" ht="15.05" hidden="1" customHeight="1">
      <c r="A344" s="5340"/>
      <c r="B344" s="5340"/>
      <c r="C344" s="5340"/>
      <c r="D344" s="5374">
        <v>4</v>
      </c>
      <c r="E344" s="5374">
        <v>1</v>
      </c>
      <c r="F344" s="5374">
        <v>4</v>
      </c>
      <c r="G344" s="5373"/>
      <c r="H344" s="5373"/>
      <c r="I344" s="5633"/>
      <c r="J344" s="5372" t="s">
        <v>71</v>
      </c>
      <c r="K344" s="5371"/>
      <c r="L344" s="5370"/>
      <c r="M344" s="5357">
        <v>0</v>
      </c>
      <c r="N344" s="5357">
        <f>N345</f>
        <v>0</v>
      </c>
      <c r="O344" s="5359">
        <f t="shared" si="143"/>
        <v>0</v>
      </c>
      <c r="P344" s="5358"/>
      <c r="Q344" s="5357">
        <f t="shared" si="144"/>
        <v>0</v>
      </c>
      <c r="R344" s="5358" t="e">
        <f t="shared" si="151"/>
        <v>#DIV/0!</v>
      </c>
      <c r="S344" s="5358"/>
      <c r="T344" s="5359" t="e">
        <f t="shared" si="145"/>
        <v>#DIV/0!</v>
      </c>
      <c r="U344" s="5358"/>
      <c r="V344" s="5357">
        <f t="shared" si="146"/>
        <v>0</v>
      </c>
      <c r="W344" s="5358" t="e">
        <f t="shared" ref="W344:W353" si="152">S344/P344*100-100</f>
        <v>#DIV/0!</v>
      </c>
      <c r="X344" s="5358"/>
      <c r="Y344" s="5359" t="e">
        <f t="shared" si="147"/>
        <v>#DIV/0!</v>
      </c>
      <c r="Z344" s="5358"/>
      <c r="AA344" s="5357">
        <f t="shared" si="148"/>
        <v>0</v>
      </c>
      <c r="AB344" s="5358" t="e">
        <f t="shared" ref="AB344:AB353" si="153">X344/S344*100-100</f>
        <v>#DIV/0!</v>
      </c>
      <c r="AC344" s="5349"/>
      <c r="AD344" s="5349"/>
      <c r="AE344" s="5349"/>
      <c r="AF344" s="5349">
        <f t="shared" si="149"/>
        <v>0</v>
      </c>
      <c r="AG344" s="5338">
        <f t="shared" si="150"/>
        <v>0</v>
      </c>
    </row>
    <row r="345" spans="1:33" s="5333" customFormat="1" ht="15.05" hidden="1" customHeight="1">
      <c r="A345" s="5340"/>
      <c r="B345" s="5340"/>
      <c r="C345" s="5340"/>
      <c r="D345" s="5367">
        <v>4</v>
      </c>
      <c r="E345" s="5367">
        <v>1</v>
      </c>
      <c r="F345" s="5367">
        <v>4</v>
      </c>
      <c r="G345" s="5367" t="s">
        <v>948</v>
      </c>
      <c r="H345" s="5368"/>
      <c r="I345" s="5632"/>
      <c r="J345" s="5366" t="s">
        <v>321</v>
      </c>
      <c r="K345" s="5361"/>
      <c r="L345" s="5365"/>
      <c r="M345" s="5357">
        <v>0</v>
      </c>
      <c r="N345" s="5357">
        <f>N346</f>
        <v>0</v>
      </c>
      <c r="O345" s="5359">
        <f t="shared" si="143"/>
        <v>0</v>
      </c>
      <c r="P345" s="5358"/>
      <c r="Q345" s="5357">
        <f t="shared" si="144"/>
        <v>0</v>
      </c>
      <c r="R345" s="5358" t="e">
        <f t="shared" si="151"/>
        <v>#DIV/0!</v>
      </c>
      <c r="S345" s="5358"/>
      <c r="T345" s="5359" t="e">
        <f t="shared" si="145"/>
        <v>#DIV/0!</v>
      </c>
      <c r="U345" s="5358"/>
      <c r="V345" s="5357">
        <f t="shared" si="146"/>
        <v>0</v>
      </c>
      <c r="W345" s="5358" t="e">
        <f t="shared" si="152"/>
        <v>#DIV/0!</v>
      </c>
      <c r="X345" s="5358"/>
      <c r="Y345" s="5359" t="e">
        <f t="shared" si="147"/>
        <v>#DIV/0!</v>
      </c>
      <c r="Z345" s="5358"/>
      <c r="AA345" s="5357">
        <f t="shared" si="148"/>
        <v>0</v>
      </c>
      <c r="AB345" s="5358" t="e">
        <f t="shared" si="153"/>
        <v>#DIV/0!</v>
      </c>
      <c r="AC345" s="5349"/>
      <c r="AD345" s="5349"/>
      <c r="AE345" s="5349"/>
      <c r="AF345" s="5349">
        <f t="shared" si="149"/>
        <v>0</v>
      </c>
      <c r="AG345" s="5338">
        <f t="shared" si="150"/>
        <v>0</v>
      </c>
    </row>
    <row r="346" spans="1:33" s="5333" customFormat="1" ht="15.05" hidden="1" customHeight="1">
      <c r="A346" s="5340"/>
      <c r="B346" s="5340"/>
      <c r="C346" s="5340"/>
      <c r="D346" s="5367">
        <v>4</v>
      </c>
      <c r="E346" s="5367">
        <v>1</v>
      </c>
      <c r="F346" s="5367">
        <v>4</v>
      </c>
      <c r="G346" s="5367" t="s">
        <v>948</v>
      </c>
      <c r="H346" s="5367" t="s">
        <v>437</v>
      </c>
      <c r="I346" s="5631"/>
      <c r="J346" s="5366" t="s">
        <v>85</v>
      </c>
      <c r="K346" s="5361"/>
      <c r="L346" s="5365"/>
      <c r="M346" s="5357">
        <v>0</v>
      </c>
      <c r="N346" s="5357">
        <v>0</v>
      </c>
      <c r="O346" s="5359">
        <f t="shared" si="143"/>
        <v>0</v>
      </c>
      <c r="P346" s="5358"/>
      <c r="Q346" s="5357">
        <f t="shared" si="144"/>
        <v>0</v>
      </c>
      <c r="R346" s="5358" t="e">
        <f t="shared" si="151"/>
        <v>#DIV/0!</v>
      </c>
      <c r="S346" s="5358"/>
      <c r="T346" s="5359" t="e">
        <f t="shared" si="145"/>
        <v>#DIV/0!</v>
      </c>
      <c r="U346" s="5358"/>
      <c r="V346" s="5357">
        <f t="shared" si="146"/>
        <v>0</v>
      </c>
      <c r="W346" s="5358" t="e">
        <f t="shared" si="152"/>
        <v>#DIV/0!</v>
      </c>
      <c r="X346" s="5358"/>
      <c r="Y346" s="5359" t="e">
        <f t="shared" si="147"/>
        <v>#DIV/0!</v>
      </c>
      <c r="Z346" s="5358"/>
      <c r="AA346" s="5357">
        <f t="shared" si="148"/>
        <v>0</v>
      </c>
      <c r="AB346" s="5358" t="e">
        <f t="shared" si="153"/>
        <v>#DIV/0!</v>
      </c>
      <c r="AC346" s="5494"/>
      <c r="AD346" s="5494"/>
      <c r="AE346" s="5494"/>
      <c r="AF346" s="5349">
        <f t="shared" si="149"/>
        <v>0</v>
      </c>
      <c r="AG346" s="5338">
        <f t="shared" si="150"/>
        <v>0</v>
      </c>
    </row>
    <row r="347" spans="1:33" s="5333" customFormat="1" ht="12.7" hidden="1" customHeight="1">
      <c r="A347" s="5340"/>
      <c r="B347" s="5340"/>
      <c r="C347" s="5340"/>
      <c r="D347" s="5367"/>
      <c r="E347" s="5367"/>
      <c r="F347" s="5367"/>
      <c r="G347" s="5367"/>
      <c r="H347" s="5367"/>
      <c r="I347" s="5631"/>
      <c r="J347" s="5408" t="s">
        <v>50</v>
      </c>
      <c r="K347" s="5361" t="s">
        <v>1411</v>
      </c>
      <c r="L347" s="5365"/>
      <c r="M347" s="5359">
        <v>0</v>
      </c>
      <c r="N347" s="5359">
        <v>0</v>
      </c>
      <c r="O347" s="5359">
        <f t="shared" si="143"/>
        <v>0</v>
      </c>
      <c r="P347" s="5358"/>
      <c r="Q347" s="5357">
        <f t="shared" si="144"/>
        <v>0</v>
      </c>
      <c r="R347" s="5356" t="e">
        <f t="shared" si="151"/>
        <v>#DIV/0!</v>
      </c>
      <c r="S347" s="5358"/>
      <c r="T347" s="5359" t="e">
        <f t="shared" si="145"/>
        <v>#DIV/0!</v>
      </c>
      <c r="U347" s="5358"/>
      <c r="V347" s="5357">
        <f t="shared" si="146"/>
        <v>0</v>
      </c>
      <c r="W347" s="5356" t="e">
        <f t="shared" si="152"/>
        <v>#DIV/0!</v>
      </c>
      <c r="X347" s="5358"/>
      <c r="Y347" s="5359" t="e">
        <f t="shared" si="147"/>
        <v>#DIV/0!</v>
      </c>
      <c r="Z347" s="5358"/>
      <c r="AA347" s="5357">
        <f t="shared" si="148"/>
        <v>0</v>
      </c>
      <c r="AB347" s="5356" t="e">
        <f t="shared" si="153"/>
        <v>#DIV/0!</v>
      </c>
      <c r="AC347" s="5350"/>
      <c r="AD347" s="5350"/>
      <c r="AE347" s="5350"/>
      <c r="AF347" s="5349">
        <f t="shared" si="149"/>
        <v>0</v>
      </c>
      <c r="AG347" s="5338">
        <f t="shared" si="150"/>
        <v>0</v>
      </c>
    </row>
    <row r="348" spans="1:33" s="5333" customFormat="1" ht="12.7" hidden="1" customHeight="1">
      <c r="A348" s="5340"/>
      <c r="B348" s="5340"/>
      <c r="C348" s="5340"/>
      <c r="D348" s="5368"/>
      <c r="E348" s="5380"/>
      <c r="F348" s="5380"/>
      <c r="G348" s="5379"/>
      <c r="H348" s="5379"/>
      <c r="I348" s="5495"/>
      <c r="J348" s="5366" t="s">
        <v>50</v>
      </c>
      <c r="K348" s="5361" t="s">
        <v>1410</v>
      </c>
      <c r="L348" s="5365"/>
      <c r="M348" s="5359">
        <v>0</v>
      </c>
      <c r="N348" s="5359">
        <v>0</v>
      </c>
      <c r="O348" s="5359">
        <f t="shared" si="143"/>
        <v>0</v>
      </c>
      <c r="P348" s="5358"/>
      <c r="Q348" s="5357">
        <f t="shared" si="144"/>
        <v>0</v>
      </c>
      <c r="R348" s="5356" t="e">
        <f t="shared" si="151"/>
        <v>#DIV/0!</v>
      </c>
      <c r="S348" s="5358"/>
      <c r="T348" s="5359" t="e">
        <f t="shared" si="145"/>
        <v>#DIV/0!</v>
      </c>
      <c r="U348" s="5358"/>
      <c r="V348" s="5357">
        <f t="shared" si="146"/>
        <v>0</v>
      </c>
      <c r="W348" s="5356" t="e">
        <f t="shared" si="152"/>
        <v>#DIV/0!</v>
      </c>
      <c r="X348" s="5358"/>
      <c r="Y348" s="5359" t="e">
        <f t="shared" si="147"/>
        <v>#DIV/0!</v>
      </c>
      <c r="Z348" s="5358"/>
      <c r="AA348" s="5357">
        <f t="shared" si="148"/>
        <v>0</v>
      </c>
      <c r="AB348" s="5356" t="e">
        <f t="shared" si="153"/>
        <v>#DIV/0!</v>
      </c>
      <c r="AC348" s="5350"/>
      <c r="AD348" s="5350"/>
      <c r="AE348" s="5350"/>
      <c r="AF348" s="5349">
        <f t="shared" si="149"/>
        <v>0</v>
      </c>
      <c r="AG348" s="5338">
        <f t="shared" si="150"/>
        <v>0</v>
      </c>
    </row>
    <row r="349" spans="1:33" s="5333" customFormat="1" ht="12.7" hidden="1" customHeight="1">
      <c r="A349" s="5340"/>
      <c r="B349" s="5340"/>
      <c r="C349" s="5340"/>
      <c r="D349" s="5368"/>
      <c r="E349" s="5380"/>
      <c r="F349" s="5380"/>
      <c r="G349" s="5379"/>
      <c r="H349" s="5379"/>
      <c r="I349" s="5495"/>
      <c r="J349" s="5366" t="s">
        <v>50</v>
      </c>
      <c r="K349" s="5361" t="s">
        <v>798</v>
      </c>
      <c r="L349" s="5365"/>
      <c r="M349" s="5359">
        <v>0</v>
      </c>
      <c r="N349" s="5359">
        <v>0</v>
      </c>
      <c r="O349" s="5359">
        <f t="shared" si="143"/>
        <v>0</v>
      </c>
      <c r="P349" s="5358"/>
      <c r="Q349" s="5357">
        <f t="shared" si="144"/>
        <v>0</v>
      </c>
      <c r="R349" s="5356" t="e">
        <f t="shared" si="151"/>
        <v>#DIV/0!</v>
      </c>
      <c r="S349" s="5358"/>
      <c r="T349" s="5359" t="e">
        <f t="shared" si="145"/>
        <v>#DIV/0!</v>
      </c>
      <c r="U349" s="5358"/>
      <c r="V349" s="5357">
        <f t="shared" si="146"/>
        <v>0</v>
      </c>
      <c r="W349" s="5356" t="e">
        <f t="shared" si="152"/>
        <v>#DIV/0!</v>
      </c>
      <c r="X349" s="5358"/>
      <c r="Y349" s="5359" t="e">
        <f t="shared" si="147"/>
        <v>#DIV/0!</v>
      </c>
      <c r="Z349" s="5358"/>
      <c r="AA349" s="5357">
        <f t="shared" si="148"/>
        <v>0</v>
      </c>
      <c r="AB349" s="5356" t="e">
        <f t="shared" si="153"/>
        <v>#DIV/0!</v>
      </c>
      <c r="AC349" s="5350"/>
      <c r="AD349" s="5350"/>
      <c r="AE349" s="5350"/>
      <c r="AF349" s="5349">
        <f t="shared" si="149"/>
        <v>0</v>
      </c>
      <c r="AG349" s="5338">
        <f t="shared" si="150"/>
        <v>0</v>
      </c>
    </row>
    <row r="350" spans="1:33" s="5333" customFormat="1" ht="12.7" hidden="1" customHeight="1">
      <c r="A350" s="5340"/>
      <c r="B350" s="5340"/>
      <c r="C350" s="5340"/>
      <c r="D350" s="5368"/>
      <c r="E350" s="5380"/>
      <c r="F350" s="5380"/>
      <c r="G350" s="5379"/>
      <c r="H350" s="5379"/>
      <c r="I350" s="5495"/>
      <c r="J350" s="5366" t="s">
        <v>50</v>
      </c>
      <c r="K350" s="5361" t="s">
        <v>140</v>
      </c>
      <c r="L350" s="5365"/>
      <c r="M350" s="5359">
        <v>0</v>
      </c>
      <c r="N350" s="5359">
        <v>0</v>
      </c>
      <c r="O350" s="5359">
        <f t="shared" si="143"/>
        <v>0</v>
      </c>
      <c r="P350" s="5358"/>
      <c r="Q350" s="5357">
        <f t="shared" si="144"/>
        <v>0</v>
      </c>
      <c r="R350" s="5356" t="e">
        <f t="shared" si="151"/>
        <v>#DIV/0!</v>
      </c>
      <c r="S350" s="5358"/>
      <c r="T350" s="5359" t="e">
        <f t="shared" si="145"/>
        <v>#DIV/0!</v>
      </c>
      <c r="U350" s="5358"/>
      <c r="V350" s="5357">
        <f t="shared" si="146"/>
        <v>0</v>
      </c>
      <c r="W350" s="5356" t="e">
        <f t="shared" si="152"/>
        <v>#DIV/0!</v>
      </c>
      <c r="X350" s="5358"/>
      <c r="Y350" s="5359" t="e">
        <f t="shared" si="147"/>
        <v>#DIV/0!</v>
      </c>
      <c r="Z350" s="5358"/>
      <c r="AA350" s="5357">
        <f t="shared" si="148"/>
        <v>0</v>
      </c>
      <c r="AB350" s="5356" t="e">
        <f t="shared" si="153"/>
        <v>#DIV/0!</v>
      </c>
      <c r="AC350" s="5350"/>
      <c r="AD350" s="5350"/>
      <c r="AE350" s="5350"/>
      <c r="AF350" s="5349">
        <f t="shared" si="149"/>
        <v>0</v>
      </c>
      <c r="AG350" s="5338">
        <f t="shared" si="150"/>
        <v>0</v>
      </c>
    </row>
    <row r="351" spans="1:33" s="5333" customFormat="1" ht="12.7" hidden="1" customHeight="1">
      <c r="A351" s="5340"/>
      <c r="B351" s="5340"/>
      <c r="C351" s="5340"/>
      <c r="D351" s="5378"/>
      <c r="E351" s="5363"/>
      <c r="F351" s="5363"/>
      <c r="G351" s="5399"/>
      <c r="H351" s="5399"/>
      <c r="I351" s="5638"/>
      <c r="J351" s="5377"/>
      <c r="K351" s="5376"/>
      <c r="L351" s="5375"/>
      <c r="M351" s="5411"/>
      <c r="N351" s="5411"/>
      <c r="O351" s="5411"/>
      <c r="P351" s="5396"/>
      <c r="Q351" s="5357"/>
      <c r="R351" s="5410"/>
      <c r="S351" s="5396"/>
      <c r="T351" s="5411"/>
      <c r="U351" s="5396"/>
      <c r="V351" s="5357">
        <f t="shared" si="146"/>
        <v>0</v>
      </c>
      <c r="W351" s="5410" t="e">
        <f t="shared" si="152"/>
        <v>#DIV/0!</v>
      </c>
      <c r="X351" s="5396"/>
      <c r="Y351" s="5411"/>
      <c r="Z351" s="5396"/>
      <c r="AA351" s="5357">
        <f t="shared" si="148"/>
        <v>0</v>
      </c>
      <c r="AB351" s="5410" t="e">
        <f t="shared" si="153"/>
        <v>#DIV/0!</v>
      </c>
      <c r="AC351" s="5350"/>
      <c r="AD351" s="5350"/>
      <c r="AE351" s="5350"/>
      <c r="AF351" s="5349">
        <f t="shared" si="149"/>
        <v>0</v>
      </c>
      <c r="AG351" s="5338">
        <f t="shared" si="150"/>
        <v>0</v>
      </c>
    </row>
    <row r="352" spans="1:33" s="5333" customFormat="1" ht="12.7" customHeight="1">
      <c r="A352" s="5340"/>
      <c r="B352" s="5340"/>
      <c r="C352" s="5340"/>
      <c r="D352" s="5374">
        <v>4</v>
      </c>
      <c r="E352" s="5374">
        <v>1</v>
      </c>
      <c r="F352" s="5374">
        <v>2</v>
      </c>
      <c r="G352" s="5373" t="s">
        <v>440</v>
      </c>
      <c r="H352" s="5374"/>
      <c r="I352" s="5537"/>
      <c r="J352" s="5519" t="s">
        <v>545</v>
      </c>
      <c r="K352" s="5376"/>
      <c r="L352" s="5375"/>
      <c r="M352" s="5411">
        <f>M353</f>
        <v>0</v>
      </c>
      <c r="N352" s="5411">
        <f>N353</f>
        <v>700000000</v>
      </c>
      <c r="O352" s="5411">
        <f>O353</f>
        <v>700000000</v>
      </c>
      <c r="P352" s="5396">
        <f>P353</f>
        <v>1445000000</v>
      </c>
      <c r="Q352" s="5357">
        <f>+P352-N352</f>
        <v>745000000</v>
      </c>
      <c r="R352" s="5358">
        <f>P352/N352*100-100</f>
        <v>106.42857142857144</v>
      </c>
      <c r="S352" s="5396">
        <f>S353</f>
        <v>1455000000</v>
      </c>
      <c r="T352" s="5411">
        <f>T353</f>
        <v>1454999893.5714285</v>
      </c>
      <c r="U352" s="5396">
        <f>U353</f>
        <v>1445000000</v>
      </c>
      <c r="V352" s="5357">
        <f t="shared" si="146"/>
        <v>10000000</v>
      </c>
      <c r="W352" s="5358">
        <f t="shared" si="152"/>
        <v>0.69204152249136541</v>
      </c>
      <c r="X352" s="5396">
        <f>X353</f>
        <v>1650000000</v>
      </c>
      <c r="Y352" s="5411">
        <f>Y353</f>
        <v>1649999999.3079584</v>
      </c>
      <c r="Z352" s="5396">
        <f>Z353</f>
        <v>1445000000</v>
      </c>
      <c r="AA352" s="5357">
        <f t="shared" si="148"/>
        <v>195000000</v>
      </c>
      <c r="AB352" s="5358">
        <f t="shared" si="153"/>
        <v>13.402061855670098</v>
      </c>
      <c r="AC352" s="5350"/>
      <c r="AD352" s="5350"/>
      <c r="AE352" s="5350"/>
      <c r="AF352" s="5349">
        <f t="shared" si="149"/>
        <v>10000000</v>
      </c>
      <c r="AG352" s="5338">
        <f t="shared" si="150"/>
        <v>0</v>
      </c>
    </row>
    <row r="353" spans="1:33" s="5333" customFormat="1" ht="12.7" customHeight="1">
      <c r="A353" s="5340"/>
      <c r="B353" s="5340"/>
      <c r="C353" s="5340"/>
      <c r="D353" s="5387">
        <v>4</v>
      </c>
      <c r="E353" s="5387">
        <v>1</v>
      </c>
      <c r="F353" s="5387">
        <v>2</v>
      </c>
      <c r="G353" s="5416" t="s">
        <v>440</v>
      </c>
      <c r="H353" s="5416"/>
      <c r="I353" s="5644"/>
      <c r="J353" s="5366" t="s">
        <v>1409</v>
      </c>
      <c r="K353" s="5376"/>
      <c r="L353" s="5375"/>
      <c r="M353" s="5411">
        <v>0</v>
      </c>
      <c r="N353" s="5411">
        <v>700000000</v>
      </c>
      <c r="O353" s="5359">
        <f>N353-M353</f>
        <v>700000000</v>
      </c>
      <c r="P353" s="5358">
        <f>700000000+745000000</f>
        <v>1445000000</v>
      </c>
      <c r="Q353" s="5357">
        <f>+P353-N353</f>
        <v>745000000</v>
      </c>
      <c r="R353" s="5358">
        <f>P353/N353*100-100</f>
        <v>106.42857142857144</v>
      </c>
      <c r="S353" s="5358">
        <v>1455000000</v>
      </c>
      <c r="T353" s="5359">
        <f>S353-R353</f>
        <v>1454999893.5714285</v>
      </c>
      <c r="U353" s="5358">
        <f>700000000+745000000</f>
        <v>1445000000</v>
      </c>
      <c r="V353" s="5357">
        <f t="shared" si="146"/>
        <v>10000000</v>
      </c>
      <c r="W353" s="5358">
        <f t="shared" si="152"/>
        <v>0.69204152249136541</v>
      </c>
      <c r="X353" s="5358">
        <f>'rekap perdinas Kua PPAS'!N221</f>
        <v>1650000000</v>
      </c>
      <c r="Y353" s="5359">
        <f>X353-W353</f>
        <v>1649999999.3079584</v>
      </c>
      <c r="Z353" s="5358">
        <f>700000000+745000000</f>
        <v>1445000000</v>
      </c>
      <c r="AA353" s="5357">
        <f t="shared" si="148"/>
        <v>195000000</v>
      </c>
      <c r="AB353" s="5358">
        <f t="shared" si="153"/>
        <v>13.402061855670098</v>
      </c>
      <c r="AC353" s="5350"/>
      <c r="AD353" s="5350"/>
      <c r="AE353" s="5350"/>
      <c r="AF353" s="5349">
        <f t="shared" si="149"/>
        <v>10000000</v>
      </c>
      <c r="AG353" s="5338">
        <f t="shared" si="150"/>
        <v>0</v>
      </c>
    </row>
    <row r="354" spans="1:33" s="5333" customFormat="1" ht="12.7" hidden="1" customHeight="1">
      <c r="A354" s="5340"/>
      <c r="B354" s="5340"/>
      <c r="C354" s="5340"/>
      <c r="D354" s="5517"/>
      <c r="E354" s="5516"/>
      <c r="F354" s="5516"/>
      <c r="G354" s="5515"/>
      <c r="H354" s="5515"/>
      <c r="I354" s="5645"/>
      <c r="J354" s="5518"/>
      <c r="K354" s="5376"/>
      <c r="L354" s="5375"/>
      <c r="M354" s="5411"/>
      <c r="N354" s="5411"/>
      <c r="O354" s="5411"/>
      <c r="P354" s="5396"/>
      <c r="Q354" s="5357"/>
      <c r="R354" s="5396"/>
      <c r="S354" s="5396"/>
      <c r="T354" s="5411"/>
      <c r="U354" s="5396"/>
      <c r="V354" s="5357"/>
      <c r="W354" s="5396"/>
      <c r="X354" s="5396"/>
      <c r="Y354" s="5411"/>
      <c r="Z354" s="5396"/>
      <c r="AA354" s="5357"/>
      <c r="AB354" s="5396"/>
      <c r="AC354" s="5349"/>
      <c r="AD354" s="5349"/>
      <c r="AE354" s="5349"/>
      <c r="AF354" s="5349">
        <f t="shared" si="149"/>
        <v>0</v>
      </c>
      <c r="AG354" s="5338">
        <f t="shared" si="150"/>
        <v>0</v>
      </c>
    </row>
    <row r="355" spans="1:33" s="5333" customFormat="1" ht="12.7" hidden="1" customHeight="1">
      <c r="A355" s="5340"/>
      <c r="B355" s="5340"/>
      <c r="C355" s="5340"/>
      <c r="D355" s="5374">
        <v>4</v>
      </c>
      <c r="E355" s="5374">
        <v>1</v>
      </c>
      <c r="F355" s="5374">
        <v>4</v>
      </c>
      <c r="G355" s="5373"/>
      <c r="H355" s="5373"/>
      <c r="I355" s="5633"/>
      <c r="J355" s="5372" t="s">
        <v>71</v>
      </c>
      <c r="K355" s="5376"/>
      <c r="L355" s="5375"/>
      <c r="M355" s="5411">
        <f t="shared" ref="M355:N357" si="154">M356</f>
        <v>0</v>
      </c>
      <c r="N355" s="5411">
        <f t="shared" si="154"/>
        <v>414550000</v>
      </c>
      <c r="O355" s="5359">
        <f>N355-M355</f>
        <v>414550000</v>
      </c>
      <c r="P355" s="5396"/>
      <c r="Q355" s="5357">
        <f>+P355-N355</f>
        <v>-414550000</v>
      </c>
      <c r="R355" s="5396">
        <f>P355/N355*100-100</f>
        <v>-100</v>
      </c>
      <c r="S355" s="5396"/>
      <c r="T355" s="5359">
        <f>S355-R355</f>
        <v>100</v>
      </c>
      <c r="U355" s="5396"/>
      <c r="V355" s="5357">
        <f t="shared" ref="V355:V360" si="155">S355-P355</f>
        <v>0</v>
      </c>
      <c r="W355" s="5396" t="e">
        <f t="shared" ref="W355:W360" si="156">S355/P355*100-100</f>
        <v>#DIV/0!</v>
      </c>
      <c r="X355" s="5396"/>
      <c r="Y355" s="5359" t="e">
        <f>X355-W355</f>
        <v>#DIV/0!</v>
      </c>
      <c r="Z355" s="5396"/>
      <c r="AA355" s="5357">
        <f>X355-S355</f>
        <v>0</v>
      </c>
      <c r="AB355" s="5396" t="e">
        <f>X355/S355*100-100</f>
        <v>#DIV/0!</v>
      </c>
      <c r="AC355" s="5349"/>
      <c r="AD355" s="5349"/>
      <c r="AE355" s="5349"/>
      <c r="AF355" s="5349">
        <f t="shared" si="149"/>
        <v>0</v>
      </c>
      <c r="AG355" s="5338">
        <f t="shared" si="150"/>
        <v>0</v>
      </c>
    </row>
    <row r="356" spans="1:33" s="5333" customFormat="1" ht="12.7" hidden="1" customHeight="1">
      <c r="A356" s="5340"/>
      <c r="B356" s="5340"/>
      <c r="C356" s="5340"/>
      <c r="D356" s="5367">
        <v>4</v>
      </c>
      <c r="E356" s="5367">
        <v>1</v>
      </c>
      <c r="F356" s="5367">
        <v>4</v>
      </c>
      <c r="G356" s="5367" t="s">
        <v>948</v>
      </c>
      <c r="H356" s="5367"/>
      <c r="I356" s="5631"/>
      <c r="J356" s="5366" t="s">
        <v>321</v>
      </c>
      <c r="K356" s="5376"/>
      <c r="L356" s="5375"/>
      <c r="M356" s="5411">
        <f t="shared" si="154"/>
        <v>0</v>
      </c>
      <c r="N356" s="5411">
        <f t="shared" si="154"/>
        <v>414550000</v>
      </c>
      <c r="O356" s="5359">
        <f>N356-M356</f>
        <v>414550000</v>
      </c>
      <c r="P356" s="5396"/>
      <c r="Q356" s="5357">
        <f>+P356-N356</f>
        <v>-414550000</v>
      </c>
      <c r="R356" s="5396">
        <f>P356/N356*100-100</f>
        <v>-100</v>
      </c>
      <c r="S356" s="5396"/>
      <c r="T356" s="5359">
        <f>S356-R356</f>
        <v>100</v>
      </c>
      <c r="U356" s="5396"/>
      <c r="V356" s="5357">
        <f t="shared" si="155"/>
        <v>0</v>
      </c>
      <c r="W356" s="5396" t="e">
        <f t="shared" si="156"/>
        <v>#DIV/0!</v>
      </c>
      <c r="X356" s="5396"/>
      <c r="Y356" s="5359" t="e">
        <f>X356-W356</f>
        <v>#DIV/0!</v>
      </c>
      <c r="Z356" s="5396"/>
      <c r="AA356" s="5357">
        <f>X356-S356</f>
        <v>0</v>
      </c>
      <c r="AB356" s="5396" t="e">
        <f>X356/S356*100-100</f>
        <v>#DIV/0!</v>
      </c>
      <c r="AC356" s="5350"/>
      <c r="AD356" s="5350"/>
      <c r="AE356" s="5350"/>
      <c r="AF356" s="5349">
        <f t="shared" si="149"/>
        <v>0</v>
      </c>
      <c r="AG356" s="5338">
        <f t="shared" si="150"/>
        <v>0</v>
      </c>
    </row>
    <row r="357" spans="1:33" s="5333" customFormat="1" ht="12.7" hidden="1" customHeight="1">
      <c r="A357" s="5340"/>
      <c r="B357" s="5340"/>
      <c r="C357" s="5340"/>
      <c r="D357" s="5367">
        <v>4</v>
      </c>
      <c r="E357" s="5367">
        <v>1</v>
      </c>
      <c r="F357" s="5367">
        <v>4</v>
      </c>
      <c r="G357" s="5367" t="s">
        <v>948</v>
      </c>
      <c r="H357" s="5367" t="s">
        <v>437</v>
      </c>
      <c r="I357" s="5631"/>
      <c r="J357" s="5366" t="s">
        <v>85</v>
      </c>
      <c r="K357" s="5376"/>
      <c r="L357" s="5375"/>
      <c r="M357" s="5411">
        <f t="shared" si="154"/>
        <v>0</v>
      </c>
      <c r="N357" s="5411">
        <f t="shared" si="154"/>
        <v>414550000</v>
      </c>
      <c r="O357" s="5359">
        <f>N357-M357</f>
        <v>414550000</v>
      </c>
      <c r="P357" s="5396"/>
      <c r="Q357" s="5357">
        <f>+P357-N357</f>
        <v>-414550000</v>
      </c>
      <c r="R357" s="5396">
        <f>P357/N357*100-100</f>
        <v>-100</v>
      </c>
      <c r="S357" s="5396"/>
      <c r="T357" s="5359">
        <f>S357-R357</f>
        <v>100</v>
      </c>
      <c r="U357" s="5396"/>
      <c r="V357" s="5357">
        <f t="shared" si="155"/>
        <v>0</v>
      </c>
      <c r="W357" s="5396" t="e">
        <f t="shared" si="156"/>
        <v>#DIV/0!</v>
      </c>
      <c r="X357" s="5396"/>
      <c r="Y357" s="5359" t="e">
        <f>X357-W357</f>
        <v>#DIV/0!</v>
      </c>
      <c r="Z357" s="5396"/>
      <c r="AA357" s="5357">
        <f>X357-S357</f>
        <v>0</v>
      </c>
      <c r="AB357" s="5396" t="e">
        <f>X357/S357*100-100</f>
        <v>#DIV/0!</v>
      </c>
      <c r="AC357" s="5349"/>
      <c r="AD357" s="5349"/>
      <c r="AE357" s="5349"/>
      <c r="AF357" s="5349">
        <f t="shared" si="149"/>
        <v>0</v>
      </c>
      <c r="AG357" s="5338">
        <f t="shared" si="150"/>
        <v>0</v>
      </c>
    </row>
    <row r="358" spans="1:33" s="5333" customFormat="1" ht="12.7" hidden="1" customHeight="1">
      <c r="A358" s="5340"/>
      <c r="B358" s="5340"/>
      <c r="C358" s="5340"/>
      <c r="D358" s="5517"/>
      <c r="E358" s="5516"/>
      <c r="F358" s="5516"/>
      <c r="G358" s="5515"/>
      <c r="H358" s="5515"/>
      <c r="I358" s="5645"/>
      <c r="J358" s="5514" t="s">
        <v>50</v>
      </c>
      <c r="K358" s="5376" t="s">
        <v>747</v>
      </c>
      <c r="L358" s="5375"/>
      <c r="M358" s="5411">
        <v>0</v>
      </c>
      <c r="N358" s="5410">
        <v>414550000</v>
      </c>
      <c r="O358" s="5359">
        <f>N358-M358</f>
        <v>414550000</v>
      </c>
      <c r="P358" s="5396"/>
      <c r="Q358" s="5357">
        <f>+P358-N358</f>
        <v>-414550000</v>
      </c>
      <c r="R358" s="5396">
        <f>P358/N358*100-100</f>
        <v>-100</v>
      </c>
      <c r="S358" s="5396"/>
      <c r="T358" s="5359">
        <f>S358-R358</f>
        <v>100</v>
      </c>
      <c r="U358" s="5396"/>
      <c r="V358" s="5357">
        <f t="shared" si="155"/>
        <v>0</v>
      </c>
      <c r="W358" s="5396" t="e">
        <f t="shared" si="156"/>
        <v>#DIV/0!</v>
      </c>
      <c r="X358" s="5396"/>
      <c r="Y358" s="5359" t="e">
        <f>X358-W358</f>
        <v>#DIV/0!</v>
      </c>
      <c r="Z358" s="5396"/>
      <c r="AA358" s="5357">
        <f>X358-S358</f>
        <v>0</v>
      </c>
      <c r="AB358" s="5396" t="e">
        <f>X358/S358*100-100</f>
        <v>#DIV/0!</v>
      </c>
      <c r="AC358" s="5349"/>
      <c r="AD358" s="5349"/>
      <c r="AE358" s="5349"/>
      <c r="AF358" s="5349">
        <f t="shared" si="149"/>
        <v>0</v>
      </c>
      <c r="AG358" s="5338">
        <f t="shared" si="150"/>
        <v>0</v>
      </c>
    </row>
    <row r="359" spans="1:33" s="5333" customFormat="1" ht="6.75" customHeight="1">
      <c r="A359" s="5340"/>
      <c r="B359" s="5340"/>
      <c r="C359" s="5340"/>
      <c r="D359" s="5417"/>
      <c r="E359" s="5419"/>
      <c r="F359" s="5419"/>
      <c r="G359" s="5418"/>
      <c r="H359" s="5418"/>
      <c r="I359" s="5638"/>
      <c r="J359" s="5377"/>
      <c r="K359" s="5376"/>
      <c r="L359" s="5375"/>
      <c r="M359" s="5398"/>
      <c r="N359" s="5398"/>
      <c r="O359" s="5398"/>
      <c r="P359" s="5396"/>
      <c r="Q359" s="5397"/>
      <c r="R359" s="5396"/>
      <c r="S359" s="5396"/>
      <c r="T359" s="5398"/>
      <c r="U359" s="5396"/>
      <c r="V359" s="5397">
        <f t="shared" si="155"/>
        <v>0</v>
      </c>
      <c r="W359" s="5396" t="e">
        <f t="shared" si="156"/>
        <v>#DIV/0!</v>
      </c>
      <c r="X359" s="5396"/>
      <c r="Y359" s="5398"/>
      <c r="Z359" s="5396"/>
      <c r="AA359" s="5397"/>
      <c r="AB359" s="5396"/>
      <c r="AC359" s="5350"/>
      <c r="AD359" s="5350"/>
      <c r="AE359" s="5350"/>
      <c r="AF359" s="5349">
        <f t="shared" si="149"/>
        <v>0</v>
      </c>
      <c r="AG359" s="5338">
        <f t="shared" si="150"/>
        <v>0</v>
      </c>
    </row>
    <row r="360" spans="1:33" s="5521" customFormat="1" ht="12.7" customHeight="1">
      <c r="A360" s="5464" t="s">
        <v>58</v>
      </c>
      <c r="B360" s="5463" t="s">
        <v>447</v>
      </c>
      <c r="C360" s="5463" t="s">
        <v>437</v>
      </c>
      <c r="D360" s="5393" t="s">
        <v>58</v>
      </c>
      <c r="E360" s="5392" t="s">
        <v>447</v>
      </c>
      <c r="F360" s="5392" t="s">
        <v>437</v>
      </c>
      <c r="G360" s="5392"/>
      <c r="H360" s="5392"/>
      <c r="I360" s="5637" t="s">
        <v>948</v>
      </c>
      <c r="J360" s="5391" t="s">
        <v>496</v>
      </c>
      <c r="K360" s="5390"/>
      <c r="L360" s="5389"/>
      <c r="M360" s="5502">
        <v>478225000</v>
      </c>
      <c r="N360" s="5502">
        <f>N362</f>
        <v>1978639304</v>
      </c>
      <c r="O360" s="5502">
        <f>N360-M360</f>
        <v>1500414304</v>
      </c>
      <c r="P360" s="5501">
        <f>P362</f>
        <v>501125000</v>
      </c>
      <c r="Q360" s="5502">
        <f>+P360-N360</f>
        <v>-1477514304</v>
      </c>
      <c r="R360" s="5501">
        <f>P360/N360*100-100</f>
        <v>-74.673251512444438</v>
      </c>
      <c r="S360" s="5501">
        <f>S362</f>
        <v>501125000</v>
      </c>
      <c r="T360" s="5502">
        <f>S360-R360</f>
        <v>501125074.67325151</v>
      </c>
      <c r="U360" s="5501">
        <f>U362</f>
        <v>501125000</v>
      </c>
      <c r="V360" s="5502">
        <f t="shared" si="155"/>
        <v>0</v>
      </c>
      <c r="W360" s="5501">
        <f t="shared" si="156"/>
        <v>0</v>
      </c>
      <c r="X360" s="5501">
        <f>X362</f>
        <v>356500000</v>
      </c>
      <c r="Y360" s="5502">
        <f>X360-W360</f>
        <v>356500000</v>
      </c>
      <c r="Z360" s="5501">
        <f>Z362</f>
        <v>501125000</v>
      </c>
      <c r="AA360" s="5502">
        <f>X360-S360</f>
        <v>-144625000</v>
      </c>
      <c r="AB360" s="5501">
        <f>X360/S360*100-100</f>
        <v>-28.860064854078331</v>
      </c>
      <c r="AC360" s="5594"/>
      <c r="AD360" s="5594"/>
      <c r="AE360" s="5594"/>
      <c r="AF360" s="5594">
        <f t="shared" si="149"/>
        <v>0</v>
      </c>
      <c r="AG360" s="5595">
        <f t="shared" si="150"/>
        <v>0</v>
      </c>
    </row>
    <row r="361" spans="1:33" s="5333" customFormat="1" ht="2.5" customHeight="1">
      <c r="A361" s="5340"/>
      <c r="B361" s="5340"/>
      <c r="C361" s="5340"/>
      <c r="D361" s="5387"/>
      <c r="E361" s="5386"/>
      <c r="F361" s="5386"/>
      <c r="G361" s="5386"/>
      <c r="H361" s="5386"/>
      <c r="I361" s="5636"/>
      <c r="J361" s="5385"/>
      <c r="K361" s="5384"/>
      <c r="L361" s="5383"/>
      <c r="M361" s="5382"/>
      <c r="N361" s="5382"/>
      <c r="O361" s="5382"/>
      <c r="P361" s="5381"/>
      <c r="Q361" s="5382"/>
      <c r="R361" s="5381"/>
      <c r="S361" s="5381"/>
      <c r="T361" s="5382"/>
      <c r="U361" s="5381"/>
      <c r="V361" s="5382"/>
      <c r="W361" s="5381"/>
      <c r="X361" s="5381"/>
      <c r="Y361" s="5382"/>
      <c r="Z361" s="5381"/>
      <c r="AA361" s="5382"/>
      <c r="AB361" s="5381"/>
      <c r="AC361" s="5349"/>
      <c r="AD361" s="5349"/>
      <c r="AE361" s="5349"/>
      <c r="AF361" s="5349">
        <f t="shared" si="149"/>
        <v>0</v>
      </c>
      <c r="AG361" s="5338">
        <f t="shared" si="150"/>
        <v>0</v>
      </c>
    </row>
    <row r="362" spans="1:33" s="5333" customFormat="1" ht="12.7" customHeight="1">
      <c r="A362" s="5340"/>
      <c r="B362" s="5340"/>
      <c r="C362" s="5340"/>
      <c r="D362" s="5374">
        <v>4</v>
      </c>
      <c r="E362" s="5374">
        <v>1</v>
      </c>
      <c r="F362" s="5374"/>
      <c r="G362" s="5374"/>
      <c r="H362" s="5374"/>
      <c r="I362" s="5537"/>
      <c r="J362" s="5372" t="s">
        <v>180</v>
      </c>
      <c r="K362" s="5371"/>
      <c r="L362" s="5370"/>
      <c r="M362" s="5357">
        <v>478225000</v>
      </c>
      <c r="N362" s="5357">
        <f>N364+N372</f>
        <v>1978639304</v>
      </c>
      <c r="O362" s="5359">
        <f>N362-M362</f>
        <v>1500414304</v>
      </c>
      <c r="P362" s="5358">
        <f>P364+P372</f>
        <v>501125000</v>
      </c>
      <c r="Q362" s="5357">
        <f>+P362-N362</f>
        <v>-1477514304</v>
      </c>
      <c r="R362" s="5358">
        <f>P362/N362*100-100</f>
        <v>-74.673251512444438</v>
      </c>
      <c r="S362" s="5358">
        <f>S364+S372</f>
        <v>501125000</v>
      </c>
      <c r="T362" s="5359">
        <f>S362-R362</f>
        <v>501125074.67325151</v>
      </c>
      <c r="U362" s="5358">
        <f>U364+U372</f>
        <v>501125000</v>
      </c>
      <c r="V362" s="5357">
        <f t="shared" ref="V362:V367" si="157">S362-P362</f>
        <v>0</v>
      </c>
      <c r="W362" s="5358">
        <f>S362/P362*100-100</f>
        <v>0</v>
      </c>
      <c r="X362" s="5358">
        <f>X364+X372</f>
        <v>356500000</v>
      </c>
      <c r="Y362" s="5359">
        <f>X362-W362</f>
        <v>356500000</v>
      </c>
      <c r="Z362" s="5358">
        <f>Z364+Z372</f>
        <v>501125000</v>
      </c>
      <c r="AA362" s="5357">
        <f>X362-S362</f>
        <v>-144625000</v>
      </c>
      <c r="AB362" s="5358">
        <f>X362/S362*100-100</f>
        <v>-28.860064854078331</v>
      </c>
      <c r="AC362" s="5349"/>
      <c r="AD362" s="5349"/>
      <c r="AE362" s="5349"/>
      <c r="AF362" s="5349">
        <f t="shared" si="149"/>
        <v>0</v>
      </c>
      <c r="AG362" s="5338">
        <f t="shared" si="150"/>
        <v>0</v>
      </c>
    </row>
    <row r="363" spans="1:33" s="5333" customFormat="1" ht="4.55" customHeight="1">
      <c r="A363" s="5340"/>
      <c r="B363" s="5340"/>
      <c r="C363" s="5340"/>
      <c r="D363" s="5367"/>
      <c r="E363" s="5380"/>
      <c r="F363" s="5380"/>
      <c r="G363" s="5380"/>
      <c r="H363" s="5380"/>
      <c r="I363" s="5496"/>
      <c r="J363" s="5366"/>
      <c r="K363" s="5371"/>
      <c r="L363" s="5370"/>
      <c r="M363" s="5357"/>
      <c r="N363" s="5357"/>
      <c r="O363" s="5357"/>
      <c r="P363" s="5358"/>
      <c r="Q363" s="5357"/>
      <c r="R363" s="5358"/>
      <c r="S363" s="5358"/>
      <c r="T363" s="5357"/>
      <c r="U363" s="5358"/>
      <c r="V363" s="5357">
        <f t="shared" si="157"/>
        <v>0</v>
      </c>
      <c r="W363" s="5358"/>
      <c r="X363" s="5358"/>
      <c r="Y363" s="5357"/>
      <c r="Z363" s="5358"/>
      <c r="AA363" s="5357"/>
      <c r="AB363" s="5358"/>
      <c r="AC363" s="5349"/>
      <c r="AD363" s="5349"/>
      <c r="AE363" s="5349"/>
      <c r="AF363" s="5349">
        <f t="shared" si="149"/>
        <v>0</v>
      </c>
      <c r="AG363" s="5338">
        <f t="shared" si="150"/>
        <v>0</v>
      </c>
    </row>
    <row r="364" spans="1:33" s="5333" customFormat="1" ht="15.05" customHeight="1">
      <c r="A364" s="5340"/>
      <c r="B364" s="5340"/>
      <c r="C364" s="5340"/>
      <c r="D364" s="5374">
        <v>4</v>
      </c>
      <c r="E364" s="5374">
        <v>1</v>
      </c>
      <c r="F364" s="5374">
        <v>2</v>
      </c>
      <c r="G364" s="5374"/>
      <c r="H364" s="5374"/>
      <c r="I364" s="5537"/>
      <c r="J364" s="5372" t="s">
        <v>106</v>
      </c>
      <c r="K364" s="5371"/>
      <c r="L364" s="5370"/>
      <c r="M364" s="5357">
        <v>478225000</v>
      </c>
      <c r="N364" s="5357">
        <f>N365</f>
        <v>501125000</v>
      </c>
      <c r="O364" s="5359">
        <f>N364-M364</f>
        <v>22900000</v>
      </c>
      <c r="P364" s="5358">
        <f>P365</f>
        <v>501125000</v>
      </c>
      <c r="Q364" s="5357">
        <f>+P364-N364</f>
        <v>0</v>
      </c>
      <c r="R364" s="5358">
        <f>P364/N364*100-100</f>
        <v>0</v>
      </c>
      <c r="S364" s="5358">
        <f>S365</f>
        <v>501125000</v>
      </c>
      <c r="T364" s="5359">
        <f>S364-R364</f>
        <v>501125000</v>
      </c>
      <c r="U364" s="5358">
        <f>U365</f>
        <v>501125000</v>
      </c>
      <c r="V364" s="5357">
        <f t="shared" si="157"/>
        <v>0</v>
      </c>
      <c r="W364" s="5358">
        <f>S364/P364*100-100</f>
        <v>0</v>
      </c>
      <c r="X364" s="5358">
        <f>X365</f>
        <v>356500000</v>
      </c>
      <c r="Y364" s="5359">
        <f>X364-W364</f>
        <v>356500000</v>
      </c>
      <c r="Z364" s="5358">
        <f>Z365</f>
        <v>501125000</v>
      </c>
      <c r="AA364" s="5357">
        <f>X364-S364</f>
        <v>-144625000</v>
      </c>
      <c r="AB364" s="5358">
        <f>X364/S364*100-100</f>
        <v>-28.860064854078331</v>
      </c>
      <c r="AC364" s="5349"/>
      <c r="AD364" s="5349"/>
      <c r="AE364" s="5349"/>
      <c r="AF364" s="5349">
        <f t="shared" si="149"/>
        <v>0</v>
      </c>
      <c r="AG364" s="5338">
        <f t="shared" si="150"/>
        <v>0</v>
      </c>
    </row>
    <row r="365" spans="1:33" s="5333" customFormat="1" ht="15.05" customHeight="1">
      <c r="A365" s="5340"/>
      <c r="B365" s="5340"/>
      <c r="C365" s="5340"/>
      <c r="D365" s="5367">
        <v>4</v>
      </c>
      <c r="E365" s="5367">
        <v>1</v>
      </c>
      <c r="F365" s="5367">
        <v>2</v>
      </c>
      <c r="G365" s="5368" t="s">
        <v>438</v>
      </c>
      <c r="H365" s="5367"/>
      <c r="I365" s="5631"/>
      <c r="J365" s="5366" t="s">
        <v>374</v>
      </c>
      <c r="K365" s="5361"/>
      <c r="L365" s="5365"/>
      <c r="M365" s="5357">
        <v>478225000</v>
      </c>
      <c r="N365" s="5357">
        <f>N366+N369</f>
        <v>501125000</v>
      </c>
      <c r="O365" s="5359">
        <f>N365-M365</f>
        <v>22900000</v>
      </c>
      <c r="P365" s="5358">
        <f>P366+P369</f>
        <v>501125000</v>
      </c>
      <c r="Q365" s="5357">
        <f>+P365-N365</f>
        <v>0</v>
      </c>
      <c r="R365" s="5358">
        <f>P365/N365*100-100</f>
        <v>0</v>
      </c>
      <c r="S365" s="5358">
        <f>S366+S369</f>
        <v>501125000</v>
      </c>
      <c r="T365" s="5359">
        <f>S365-R365</f>
        <v>501125000</v>
      </c>
      <c r="U365" s="5358">
        <f>U366+U369</f>
        <v>501125000</v>
      </c>
      <c r="V365" s="5357">
        <f t="shared" si="157"/>
        <v>0</v>
      </c>
      <c r="W365" s="5358">
        <f>S365/P365*100-100</f>
        <v>0</v>
      </c>
      <c r="X365" s="5358">
        <f>X366+X369</f>
        <v>356500000</v>
      </c>
      <c r="Y365" s="5359">
        <f>X365-W365</f>
        <v>356500000</v>
      </c>
      <c r="Z365" s="5358">
        <f>Z366+Z369</f>
        <v>501125000</v>
      </c>
      <c r="AA365" s="5357">
        <f>X365-S365</f>
        <v>-144625000</v>
      </c>
      <c r="AB365" s="5358">
        <f>X365/S365*100-100</f>
        <v>-28.860064854078331</v>
      </c>
      <c r="AC365" s="5349"/>
      <c r="AD365" s="5349"/>
      <c r="AE365" s="5349"/>
      <c r="AF365" s="5349">
        <f t="shared" si="149"/>
        <v>0</v>
      </c>
      <c r="AG365" s="5338">
        <f t="shared" si="150"/>
        <v>0</v>
      </c>
    </row>
    <row r="366" spans="1:33" s="5333" customFormat="1" ht="15.05" customHeight="1">
      <c r="A366" s="5340"/>
      <c r="B366" s="5340"/>
      <c r="C366" s="5340"/>
      <c r="D366" s="5367">
        <v>4</v>
      </c>
      <c r="E366" s="5367">
        <v>1</v>
      </c>
      <c r="F366" s="5367">
        <v>2</v>
      </c>
      <c r="G366" s="5368" t="s">
        <v>438</v>
      </c>
      <c r="H366" s="5368" t="s">
        <v>437</v>
      </c>
      <c r="I366" s="5632"/>
      <c r="J366" s="5366" t="s">
        <v>64</v>
      </c>
      <c r="K366" s="5371"/>
      <c r="L366" s="5370"/>
      <c r="M366" s="5357">
        <v>325725000</v>
      </c>
      <c r="N366" s="5357">
        <f>N367</f>
        <v>152500000</v>
      </c>
      <c r="O366" s="5359">
        <f>N366-M366</f>
        <v>-173225000</v>
      </c>
      <c r="P366" s="5358">
        <f>P367</f>
        <v>152500000</v>
      </c>
      <c r="Q366" s="5357">
        <f>+P366-N366</f>
        <v>0</v>
      </c>
      <c r="R366" s="5358">
        <f>P366/N366*100-100</f>
        <v>0</v>
      </c>
      <c r="S366" s="5358">
        <f>S367</f>
        <v>152500000</v>
      </c>
      <c r="T366" s="5359">
        <f>S366-R366</f>
        <v>152500000</v>
      </c>
      <c r="U366" s="5358">
        <f>U367</f>
        <v>152500000</v>
      </c>
      <c r="V366" s="5357">
        <f t="shared" si="157"/>
        <v>0</v>
      </c>
      <c r="W366" s="5358">
        <f>S366/P366*100-100</f>
        <v>0</v>
      </c>
      <c r="X366" s="5358">
        <f>X367</f>
        <v>31500000</v>
      </c>
      <c r="Y366" s="5359">
        <f>X366-W366</f>
        <v>31500000</v>
      </c>
      <c r="Z366" s="5358">
        <f>Z367</f>
        <v>152500000</v>
      </c>
      <c r="AA366" s="5357">
        <f>X366-S366</f>
        <v>-121000000</v>
      </c>
      <c r="AB366" s="5358">
        <f>X366/S366*100-100</f>
        <v>-79.344262295081961</v>
      </c>
      <c r="AC366" s="5349"/>
      <c r="AD366" s="5349"/>
      <c r="AE366" s="5349"/>
      <c r="AF366" s="5349">
        <f t="shared" si="149"/>
        <v>0</v>
      </c>
      <c r="AG366" s="5338">
        <f t="shared" si="150"/>
        <v>0</v>
      </c>
    </row>
    <row r="367" spans="1:33" s="5333" customFormat="1" ht="14.25" customHeight="1">
      <c r="A367" s="5340"/>
      <c r="B367" s="5340"/>
      <c r="C367" s="5340"/>
      <c r="D367" s="5368"/>
      <c r="E367" s="5380"/>
      <c r="F367" s="5380"/>
      <c r="G367" s="5379"/>
      <c r="H367" s="5380"/>
      <c r="I367" s="5496"/>
      <c r="J367" s="5366" t="s">
        <v>50</v>
      </c>
      <c r="K367" s="5361" t="s">
        <v>143</v>
      </c>
      <c r="L367" s="5365"/>
      <c r="M367" s="5359">
        <v>325725000</v>
      </c>
      <c r="N367" s="5359">
        <v>152500000</v>
      </c>
      <c r="O367" s="5359">
        <f>N367-M367</f>
        <v>-173225000</v>
      </c>
      <c r="P367" s="5358">
        <v>152500000</v>
      </c>
      <c r="Q367" s="5357">
        <f>+P367-N367</f>
        <v>0</v>
      </c>
      <c r="R367" s="5358">
        <f>P367/N367*100-100</f>
        <v>0</v>
      </c>
      <c r="S367" s="5358">
        <v>152500000</v>
      </c>
      <c r="T367" s="5359">
        <f>S367-R367</f>
        <v>152500000</v>
      </c>
      <c r="U367" s="5358">
        <v>152500000</v>
      </c>
      <c r="V367" s="5357">
        <f t="shared" si="157"/>
        <v>0</v>
      </c>
      <c r="W367" s="5358">
        <f>S367/P367*100-100</f>
        <v>0</v>
      </c>
      <c r="X367" s="5358">
        <f>'rekap perdinas Kua PPAS'!N241</f>
        <v>31500000</v>
      </c>
      <c r="Y367" s="5359">
        <f>X367-W367</f>
        <v>31500000</v>
      </c>
      <c r="Z367" s="5358">
        <v>152500000</v>
      </c>
      <c r="AA367" s="5357">
        <f>X367-S367</f>
        <v>-121000000</v>
      </c>
      <c r="AB367" s="5358">
        <f>X367/S367*100-100</f>
        <v>-79.344262295081961</v>
      </c>
      <c r="AC367" s="5350"/>
      <c r="AD367" s="5350"/>
      <c r="AE367" s="5350"/>
      <c r="AF367" s="5349">
        <f t="shared" si="149"/>
        <v>0</v>
      </c>
      <c r="AG367" s="5338">
        <f t="shared" si="150"/>
        <v>0</v>
      </c>
    </row>
    <row r="368" spans="1:33" s="5333" customFormat="1" ht="6.75" customHeight="1">
      <c r="A368" s="5340"/>
      <c r="B368" s="5340"/>
      <c r="C368" s="5340"/>
      <c r="D368" s="5368"/>
      <c r="E368" s="5380"/>
      <c r="F368" s="5380"/>
      <c r="G368" s="5379"/>
      <c r="H368" s="5380"/>
      <c r="I368" s="5496"/>
      <c r="J368" s="5366"/>
      <c r="K368" s="5361"/>
      <c r="L368" s="5365"/>
      <c r="M368" s="5357"/>
      <c r="N368" s="5357"/>
      <c r="O368" s="5357"/>
      <c r="P368" s="5358"/>
      <c r="Q368" s="5357"/>
      <c r="R368" s="5358"/>
      <c r="S368" s="5358"/>
      <c r="T368" s="5357"/>
      <c r="U368" s="5358"/>
      <c r="V368" s="5357"/>
      <c r="W368" s="5358"/>
      <c r="X368" s="5358"/>
      <c r="Y368" s="5357"/>
      <c r="Z368" s="5358"/>
      <c r="AA368" s="5357"/>
      <c r="AB368" s="5358"/>
      <c r="AC368" s="5349"/>
      <c r="AD368" s="5349"/>
      <c r="AE368" s="5349"/>
      <c r="AF368" s="5349">
        <f t="shared" si="149"/>
        <v>0</v>
      </c>
      <c r="AG368" s="5338">
        <f t="shared" si="150"/>
        <v>0</v>
      </c>
    </row>
    <row r="369" spans="1:33" s="5333" customFormat="1" ht="12.7" customHeight="1">
      <c r="A369" s="5340"/>
      <c r="B369" s="5340"/>
      <c r="C369" s="5340"/>
      <c r="D369" s="5367">
        <v>4</v>
      </c>
      <c r="E369" s="5367">
        <v>1</v>
      </c>
      <c r="F369" s="5367">
        <v>2</v>
      </c>
      <c r="G369" s="5368" t="s">
        <v>438</v>
      </c>
      <c r="H369" s="5368" t="s">
        <v>440</v>
      </c>
      <c r="I369" s="5632"/>
      <c r="J369" s="5366" t="s">
        <v>304</v>
      </c>
      <c r="K369" s="5371"/>
      <c r="L369" s="5370"/>
      <c r="M369" s="5357">
        <v>152500000</v>
      </c>
      <c r="N369" s="5357">
        <f>N370</f>
        <v>348625000</v>
      </c>
      <c r="O369" s="5359">
        <f>N369-M369</f>
        <v>196125000</v>
      </c>
      <c r="P369" s="5358">
        <f>P370</f>
        <v>348625000</v>
      </c>
      <c r="Q369" s="5357">
        <f>+P369-N369</f>
        <v>0</v>
      </c>
      <c r="R369" s="5358">
        <f>P369/N369*100-100</f>
        <v>0</v>
      </c>
      <c r="S369" s="5358">
        <f>S370</f>
        <v>348625000</v>
      </c>
      <c r="T369" s="5359">
        <f>S369-R369</f>
        <v>348625000</v>
      </c>
      <c r="U369" s="5358">
        <f>U370</f>
        <v>348625000</v>
      </c>
      <c r="V369" s="5357">
        <f>S369-P369</f>
        <v>0</v>
      </c>
      <c r="W369" s="5358">
        <f>S369/P369*100-100</f>
        <v>0</v>
      </c>
      <c r="X369" s="5358">
        <f>X370</f>
        <v>325000000</v>
      </c>
      <c r="Y369" s="5359">
        <f>X369-W369</f>
        <v>325000000</v>
      </c>
      <c r="Z369" s="5358">
        <f>Z370</f>
        <v>348625000</v>
      </c>
      <c r="AA369" s="5357">
        <f>X369-S369</f>
        <v>-23625000</v>
      </c>
      <c r="AB369" s="5358">
        <f>X369/S369*100-100</f>
        <v>-6.7766224453208963</v>
      </c>
      <c r="AC369" s="5349"/>
      <c r="AD369" s="5349"/>
      <c r="AE369" s="5349"/>
      <c r="AF369" s="5349">
        <f t="shared" si="149"/>
        <v>0</v>
      </c>
      <c r="AG369" s="5338">
        <f t="shared" si="150"/>
        <v>0</v>
      </c>
    </row>
    <row r="370" spans="1:33" s="5333" customFormat="1" ht="13.5" customHeight="1">
      <c r="A370" s="5340"/>
      <c r="B370" s="5340"/>
      <c r="C370" s="5340"/>
      <c r="D370" s="5368"/>
      <c r="E370" s="5380"/>
      <c r="F370" s="5380"/>
      <c r="G370" s="5379"/>
      <c r="H370" s="5379"/>
      <c r="I370" s="5495"/>
      <c r="J370" s="5366" t="s">
        <v>50</v>
      </c>
      <c r="K370" s="5361" t="s">
        <v>144</v>
      </c>
      <c r="L370" s="5365"/>
      <c r="M370" s="5359">
        <v>152500000</v>
      </c>
      <c r="N370" s="5359">
        <v>348625000</v>
      </c>
      <c r="O370" s="5359">
        <f>N370-M370</f>
        <v>196125000</v>
      </c>
      <c r="P370" s="5358">
        <v>348625000</v>
      </c>
      <c r="Q370" s="5357">
        <f>+P370-N370</f>
        <v>0</v>
      </c>
      <c r="R370" s="5358">
        <f>P370/N370*100-100</f>
        <v>0</v>
      </c>
      <c r="S370" s="5358">
        <v>348625000</v>
      </c>
      <c r="T370" s="5359">
        <f>S370-R370</f>
        <v>348625000</v>
      </c>
      <c r="U370" s="5358">
        <v>348625000</v>
      </c>
      <c r="V370" s="5357">
        <f>S370-P370</f>
        <v>0</v>
      </c>
      <c r="W370" s="5358">
        <f>S370/P370*100-100</f>
        <v>0</v>
      </c>
      <c r="X370" s="5358">
        <f>'rekap perdinas Kua PPAS'!N244</f>
        <v>325000000</v>
      </c>
      <c r="Y370" s="5359">
        <f>X370-W370</f>
        <v>325000000</v>
      </c>
      <c r="Z370" s="5358">
        <v>348625000</v>
      </c>
      <c r="AA370" s="5357">
        <f>X370-S370</f>
        <v>-23625000</v>
      </c>
      <c r="AB370" s="5358">
        <f>X370/S370*100-100</f>
        <v>-6.7766224453208963</v>
      </c>
      <c r="AC370" s="5350"/>
      <c r="AD370" s="5350"/>
      <c r="AE370" s="5350"/>
      <c r="AF370" s="5349">
        <f t="shared" si="149"/>
        <v>0</v>
      </c>
      <c r="AG370" s="5338">
        <f t="shared" si="150"/>
        <v>0</v>
      </c>
    </row>
    <row r="371" spans="1:33" s="5333" customFormat="1" ht="13.5" hidden="1" customHeight="1">
      <c r="A371" s="5340"/>
      <c r="B371" s="5340"/>
      <c r="C371" s="5340"/>
      <c r="D371" s="5368"/>
      <c r="E371" s="5380"/>
      <c r="F371" s="5380"/>
      <c r="G371" s="5379"/>
      <c r="H371" s="5379"/>
      <c r="I371" s="5495"/>
      <c r="J371" s="5366"/>
      <c r="K371" s="5361"/>
      <c r="L371" s="5365"/>
      <c r="M371" s="5357"/>
      <c r="N371" s="5357"/>
      <c r="O371" s="5357"/>
      <c r="P371" s="5358"/>
      <c r="Q371" s="5357"/>
      <c r="R371" s="5358"/>
      <c r="S371" s="5358"/>
      <c r="T371" s="5357"/>
      <c r="U371" s="5358"/>
      <c r="V371" s="5357"/>
      <c r="W371" s="5358"/>
      <c r="X371" s="5358"/>
      <c r="Y371" s="5357"/>
      <c r="Z371" s="5358"/>
      <c r="AA371" s="5357"/>
      <c r="AB371" s="5358"/>
      <c r="AC371" s="5349"/>
      <c r="AD371" s="5349"/>
      <c r="AE371" s="5349"/>
      <c r="AF371" s="5349">
        <f t="shared" si="149"/>
        <v>0</v>
      </c>
      <c r="AG371" s="5338">
        <f t="shared" si="150"/>
        <v>0</v>
      </c>
    </row>
    <row r="372" spans="1:33" s="5333" customFormat="1" ht="13.5" hidden="1" customHeight="1">
      <c r="A372" s="5340"/>
      <c r="B372" s="5340"/>
      <c r="C372" s="5340"/>
      <c r="D372" s="5374">
        <v>4</v>
      </c>
      <c r="E372" s="5374">
        <v>1</v>
      </c>
      <c r="F372" s="5374">
        <v>4</v>
      </c>
      <c r="G372" s="5373"/>
      <c r="H372" s="5373"/>
      <c r="I372" s="5633"/>
      <c r="J372" s="5372" t="s">
        <v>71</v>
      </c>
      <c r="K372" s="5371"/>
      <c r="L372" s="5370"/>
      <c r="M372" s="5357">
        <v>0</v>
      </c>
      <c r="N372" s="5357">
        <f>N373</f>
        <v>1477514304</v>
      </c>
      <c r="O372" s="5359">
        <f>N372-M372</f>
        <v>1477514304</v>
      </c>
      <c r="P372" s="5358"/>
      <c r="Q372" s="5357">
        <f>+P372-N372</f>
        <v>-1477514304</v>
      </c>
      <c r="R372" s="5358">
        <f>P372/N372*100-100</f>
        <v>-100</v>
      </c>
      <c r="S372" s="5358"/>
      <c r="T372" s="5359">
        <f>S372-R372</f>
        <v>100</v>
      </c>
      <c r="U372" s="5358"/>
      <c r="V372" s="5357">
        <f t="shared" ref="V372:V377" si="158">S372-P372</f>
        <v>0</v>
      </c>
      <c r="W372" s="5358" t="e">
        <f>S372/P372*100-100</f>
        <v>#DIV/0!</v>
      </c>
      <c r="X372" s="5358"/>
      <c r="Y372" s="5359" t="e">
        <f>X372-W372</f>
        <v>#DIV/0!</v>
      </c>
      <c r="Z372" s="5358"/>
      <c r="AA372" s="5357">
        <f>X372-S372</f>
        <v>0</v>
      </c>
      <c r="AB372" s="5358" t="e">
        <f>X372/S372*100-100</f>
        <v>#DIV/0!</v>
      </c>
      <c r="AC372" s="5349"/>
      <c r="AD372" s="5349"/>
      <c r="AE372" s="5349"/>
      <c r="AF372" s="5349">
        <f t="shared" si="149"/>
        <v>0</v>
      </c>
      <c r="AG372" s="5338">
        <f t="shared" si="150"/>
        <v>0</v>
      </c>
    </row>
    <row r="373" spans="1:33" s="5333" customFormat="1" ht="13.5" hidden="1" customHeight="1">
      <c r="A373" s="5340"/>
      <c r="B373" s="5340"/>
      <c r="C373" s="5340"/>
      <c r="D373" s="5367">
        <v>4</v>
      </c>
      <c r="E373" s="5367">
        <v>1</v>
      </c>
      <c r="F373" s="5367">
        <v>4</v>
      </c>
      <c r="G373" s="5367" t="s">
        <v>948</v>
      </c>
      <c r="H373" s="5368"/>
      <c r="I373" s="5632"/>
      <c r="J373" s="5366" t="s">
        <v>321</v>
      </c>
      <c r="K373" s="5361"/>
      <c r="L373" s="5365"/>
      <c r="M373" s="5357">
        <v>0</v>
      </c>
      <c r="N373" s="5357">
        <f>N374</f>
        <v>1477514304</v>
      </c>
      <c r="O373" s="5359">
        <f>N373-M373</f>
        <v>1477514304</v>
      </c>
      <c r="P373" s="5358"/>
      <c r="Q373" s="5357">
        <f>+P373-N373</f>
        <v>-1477514304</v>
      </c>
      <c r="R373" s="5358">
        <f>P373/N373*100-100</f>
        <v>-100</v>
      </c>
      <c r="S373" s="5358"/>
      <c r="T373" s="5359">
        <f>S373-R373</f>
        <v>100</v>
      </c>
      <c r="U373" s="5358"/>
      <c r="V373" s="5357">
        <f t="shared" si="158"/>
        <v>0</v>
      </c>
      <c r="W373" s="5358" t="e">
        <f>S373/P373*100-100</f>
        <v>#DIV/0!</v>
      </c>
      <c r="X373" s="5358"/>
      <c r="Y373" s="5359" t="e">
        <f>X373-W373</f>
        <v>#DIV/0!</v>
      </c>
      <c r="Z373" s="5358"/>
      <c r="AA373" s="5357">
        <f>X373-S373</f>
        <v>0</v>
      </c>
      <c r="AB373" s="5358" t="e">
        <f>X373/S373*100-100</f>
        <v>#DIV/0!</v>
      </c>
      <c r="AC373" s="5349"/>
      <c r="AD373" s="5349"/>
      <c r="AE373" s="5349"/>
      <c r="AF373" s="5349">
        <f t="shared" si="149"/>
        <v>0</v>
      </c>
      <c r="AG373" s="5338">
        <f t="shared" si="150"/>
        <v>0</v>
      </c>
    </row>
    <row r="374" spans="1:33" s="5333" customFormat="1" ht="13.5" hidden="1" customHeight="1">
      <c r="A374" s="5340"/>
      <c r="B374" s="5340"/>
      <c r="C374" s="5340"/>
      <c r="D374" s="5367">
        <v>4</v>
      </c>
      <c r="E374" s="5367">
        <v>1</v>
      </c>
      <c r="F374" s="5367">
        <v>4</v>
      </c>
      <c r="G374" s="5367" t="s">
        <v>948</v>
      </c>
      <c r="H374" s="5367" t="s">
        <v>437</v>
      </c>
      <c r="I374" s="5631"/>
      <c r="J374" s="5366" t="s">
        <v>85</v>
      </c>
      <c r="K374" s="5361"/>
      <c r="L374" s="5365"/>
      <c r="M374" s="5402">
        <v>0</v>
      </c>
      <c r="N374" s="5402">
        <f>SUM(N375:N375)</f>
        <v>1477514304</v>
      </c>
      <c r="O374" s="5402">
        <f>N374-M374</f>
        <v>1477514304</v>
      </c>
      <c r="P374" s="5401"/>
      <c r="Q374" s="5357">
        <f>+P374-N374</f>
        <v>-1477514304</v>
      </c>
      <c r="R374" s="5358">
        <f>P374/N374*100-100</f>
        <v>-100</v>
      </c>
      <c r="S374" s="5401"/>
      <c r="T374" s="5402">
        <f>S374-R374</f>
        <v>100</v>
      </c>
      <c r="U374" s="5401"/>
      <c r="V374" s="5357">
        <f t="shared" si="158"/>
        <v>0</v>
      </c>
      <c r="W374" s="5358" t="e">
        <f>S374/P374*100-100</f>
        <v>#DIV/0!</v>
      </c>
      <c r="X374" s="5401"/>
      <c r="Y374" s="5402" t="e">
        <f>X374-W374</f>
        <v>#DIV/0!</v>
      </c>
      <c r="Z374" s="5401"/>
      <c r="AA374" s="5357">
        <f>X374-S374</f>
        <v>0</v>
      </c>
      <c r="AB374" s="5358" t="e">
        <f>X374/S374*100-100</f>
        <v>#DIV/0!</v>
      </c>
      <c r="AC374" s="5349"/>
      <c r="AD374" s="5349"/>
      <c r="AE374" s="5349"/>
      <c r="AF374" s="5349">
        <f t="shared" si="149"/>
        <v>0</v>
      </c>
      <c r="AG374" s="5338">
        <f t="shared" si="150"/>
        <v>0</v>
      </c>
    </row>
    <row r="375" spans="1:33" s="5333" customFormat="1" ht="13.5" hidden="1" customHeight="1">
      <c r="A375" s="5340"/>
      <c r="B375" s="5340"/>
      <c r="C375" s="5340"/>
      <c r="D375" s="5368"/>
      <c r="E375" s="5380"/>
      <c r="F375" s="5380"/>
      <c r="G375" s="5379"/>
      <c r="H375" s="5379"/>
      <c r="I375" s="5495"/>
      <c r="J375" s="5366" t="s">
        <v>50</v>
      </c>
      <c r="K375" s="5361" t="s">
        <v>976</v>
      </c>
      <c r="L375" s="5365"/>
      <c r="M375" s="5359">
        <v>0</v>
      </c>
      <c r="N375" s="5359">
        <v>1477514304</v>
      </c>
      <c r="O375" s="5359">
        <f>N375-M375</f>
        <v>1477514304</v>
      </c>
      <c r="P375" s="5358"/>
      <c r="Q375" s="5357">
        <f>+P375-N375</f>
        <v>-1477514304</v>
      </c>
      <c r="R375" s="5358">
        <f>P375/N375*100-100</f>
        <v>-100</v>
      </c>
      <c r="S375" s="5358"/>
      <c r="T375" s="5359">
        <f>S375-R375</f>
        <v>100</v>
      </c>
      <c r="U375" s="5358"/>
      <c r="V375" s="5357">
        <f t="shared" si="158"/>
        <v>0</v>
      </c>
      <c r="W375" s="5358" t="e">
        <f>S375/P375*100-100</f>
        <v>#DIV/0!</v>
      </c>
      <c r="X375" s="5358"/>
      <c r="Y375" s="5359" t="e">
        <f>X375-W375</f>
        <v>#DIV/0!</v>
      </c>
      <c r="Z375" s="5358"/>
      <c r="AA375" s="5357">
        <f>X375-S375</f>
        <v>0</v>
      </c>
      <c r="AB375" s="5358" t="e">
        <f>X375/S375*100-100</f>
        <v>#DIV/0!</v>
      </c>
      <c r="AC375" s="5350"/>
      <c r="AD375" s="5350"/>
      <c r="AE375" s="5350"/>
      <c r="AF375" s="5349">
        <f t="shared" si="149"/>
        <v>0</v>
      </c>
      <c r="AG375" s="5338">
        <f t="shared" si="150"/>
        <v>0</v>
      </c>
    </row>
    <row r="376" spans="1:33" s="5333" customFormat="1" ht="7.55" customHeight="1">
      <c r="A376" s="5340"/>
      <c r="B376" s="5340"/>
      <c r="C376" s="5340"/>
      <c r="D376" s="5378"/>
      <c r="E376" s="5363"/>
      <c r="F376" s="5363"/>
      <c r="G376" s="5399"/>
      <c r="H376" s="5399"/>
      <c r="I376" s="5638"/>
      <c r="J376" s="5377"/>
      <c r="K376" s="5376"/>
      <c r="L376" s="5375"/>
      <c r="M376" s="5398"/>
      <c r="N376" s="5398"/>
      <c r="O376" s="5398"/>
      <c r="P376" s="5396"/>
      <c r="Q376" s="5398"/>
      <c r="R376" s="5396"/>
      <c r="S376" s="5396"/>
      <c r="T376" s="5398"/>
      <c r="U376" s="5396"/>
      <c r="V376" s="5398">
        <f t="shared" si="158"/>
        <v>0</v>
      </c>
      <c r="W376" s="5396" t="e">
        <f>S376/P376*100-100</f>
        <v>#DIV/0!</v>
      </c>
      <c r="X376" s="5396"/>
      <c r="Y376" s="5398"/>
      <c r="Z376" s="5396"/>
      <c r="AA376" s="5398"/>
      <c r="AB376" s="5396"/>
      <c r="AC376" s="5350"/>
      <c r="AD376" s="5350"/>
      <c r="AE376" s="5350"/>
      <c r="AF376" s="5349">
        <f t="shared" si="149"/>
        <v>0</v>
      </c>
      <c r="AG376" s="5338">
        <f t="shared" si="150"/>
        <v>0</v>
      </c>
    </row>
    <row r="377" spans="1:33" s="5333" customFormat="1" ht="12.7" hidden="1" customHeight="1">
      <c r="A377" s="5395" t="s">
        <v>58</v>
      </c>
      <c r="B377" s="5395" t="s">
        <v>449</v>
      </c>
      <c r="C377" s="5395" t="s">
        <v>437</v>
      </c>
      <c r="D377" s="5393" t="s">
        <v>58</v>
      </c>
      <c r="E377" s="5393" t="s">
        <v>449</v>
      </c>
      <c r="F377" s="5393" t="s">
        <v>437</v>
      </c>
      <c r="G377" s="5393"/>
      <c r="H377" s="5393"/>
      <c r="I377" s="5629"/>
      <c r="J377" s="5651" t="s">
        <v>1408</v>
      </c>
      <c r="K377" s="5652"/>
      <c r="L377" s="5653"/>
      <c r="M377" s="5502">
        <v>0</v>
      </c>
      <c r="N377" s="5502">
        <f>N378</f>
        <v>0</v>
      </c>
      <c r="O377" s="5355">
        <f>N377-M377</f>
        <v>0</v>
      </c>
      <c r="P377" s="5388">
        <v>0</v>
      </c>
      <c r="Q377" s="5355">
        <f>+P377-N377</f>
        <v>0</v>
      </c>
      <c r="R377" s="5501">
        <v>0</v>
      </c>
      <c r="S377" s="5388">
        <v>0</v>
      </c>
      <c r="T377" s="5355">
        <f>S377-R377</f>
        <v>0</v>
      </c>
      <c r="U377" s="5388"/>
      <c r="V377" s="5355">
        <f t="shared" si="158"/>
        <v>0</v>
      </c>
      <c r="W377" s="5501">
        <v>0</v>
      </c>
      <c r="X377" s="5388">
        <v>0</v>
      </c>
      <c r="Y377" s="5355">
        <f>X377-W377</f>
        <v>0</v>
      </c>
      <c r="Z377" s="5388"/>
      <c r="AA377" s="5355">
        <f>X377-S377</f>
        <v>0</v>
      </c>
      <c r="AB377" s="5501">
        <v>0</v>
      </c>
      <c r="AC377" s="5349"/>
      <c r="AD377" s="5349"/>
      <c r="AE377" s="5349"/>
      <c r="AF377" s="5349">
        <f t="shared" si="149"/>
        <v>0</v>
      </c>
      <c r="AG377" s="5338">
        <f t="shared" si="150"/>
        <v>0</v>
      </c>
    </row>
    <row r="378" spans="1:33" s="5333" customFormat="1" ht="15.05" hidden="1" customHeight="1">
      <c r="A378" s="5340"/>
      <c r="B378" s="5340"/>
      <c r="C378" s="5340"/>
      <c r="D378" s="5374">
        <v>4</v>
      </c>
      <c r="E378" s="5374">
        <v>1</v>
      </c>
      <c r="F378" s="5374"/>
      <c r="G378" s="5374"/>
      <c r="H378" s="5374"/>
      <c r="I378" s="5537"/>
      <c r="J378" s="5372" t="s">
        <v>180</v>
      </c>
      <c r="K378" s="5371"/>
      <c r="L378" s="5370"/>
      <c r="M378" s="5486">
        <v>0</v>
      </c>
      <c r="N378" s="5486">
        <f>N384</f>
        <v>0</v>
      </c>
      <c r="O378" s="5357">
        <f t="shared" ref="O378:O389" si="159">N378-M378</f>
        <v>0</v>
      </c>
      <c r="P378" s="5358"/>
      <c r="Q378" s="5355">
        <f t="shared" ref="Q378:Q391" si="160">+P378-N378</f>
        <v>0</v>
      </c>
      <c r="R378" s="5485" t="e">
        <f t="shared" ref="R378:R391" si="161">P378/N378*100-100</f>
        <v>#DIV/0!</v>
      </c>
      <c r="S378" s="5358"/>
      <c r="T378" s="5357" t="e">
        <f t="shared" ref="T378:T389" si="162">S378-R378</f>
        <v>#DIV/0!</v>
      </c>
      <c r="U378" s="5358"/>
      <c r="V378" s="5355">
        <f t="shared" ref="V378:V391" si="163">S378-P378</f>
        <v>0</v>
      </c>
      <c r="W378" s="5485" t="e">
        <f t="shared" ref="W378:W391" si="164">S378/P378*100-100</f>
        <v>#DIV/0!</v>
      </c>
      <c r="X378" s="5358"/>
      <c r="Y378" s="5357" t="e">
        <f t="shared" ref="Y378:Y389" si="165">X378-W378</f>
        <v>#DIV/0!</v>
      </c>
      <c r="Z378" s="5358"/>
      <c r="AA378" s="5355">
        <f t="shared" ref="AA378:AA391" si="166">X378-S378</f>
        <v>0</v>
      </c>
      <c r="AB378" s="5485" t="e">
        <f t="shared" ref="AB378:AB391" si="167">X378/S378*100-100</f>
        <v>#DIV/0!</v>
      </c>
      <c r="AC378" s="5349"/>
      <c r="AD378" s="5349"/>
      <c r="AE378" s="5349"/>
      <c r="AF378" s="5349">
        <f t="shared" si="149"/>
        <v>0</v>
      </c>
      <c r="AG378" s="5338">
        <f t="shared" si="150"/>
        <v>0</v>
      </c>
    </row>
    <row r="379" spans="1:33" s="5333" customFormat="1" ht="15.05" hidden="1" customHeight="1">
      <c r="A379" s="5340"/>
      <c r="B379" s="5340"/>
      <c r="C379" s="5340"/>
      <c r="D379" s="5367"/>
      <c r="E379" s="5380"/>
      <c r="F379" s="5380"/>
      <c r="G379" s="5380"/>
      <c r="H379" s="5380"/>
      <c r="I379" s="5496"/>
      <c r="J379" s="5366"/>
      <c r="K379" s="5371"/>
      <c r="L379" s="5370"/>
      <c r="M379" s="5357"/>
      <c r="N379" s="5357"/>
      <c r="O379" s="5357">
        <f t="shared" si="159"/>
        <v>0</v>
      </c>
      <c r="P379" s="5358"/>
      <c r="Q379" s="5355">
        <f t="shared" si="160"/>
        <v>0</v>
      </c>
      <c r="R379" s="5358" t="e">
        <f t="shared" si="161"/>
        <v>#DIV/0!</v>
      </c>
      <c r="S379" s="5358"/>
      <c r="T379" s="5357" t="e">
        <f t="shared" si="162"/>
        <v>#DIV/0!</v>
      </c>
      <c r="U379" s="5358"/>
      <c r="V379" s="5355">
        <f t="shared" si="163"/>
        <v>0</v>
      </c>
      <c r="W379" s="5358" t="e">
        <f t="shared" si="164"/>
        <v>#DIV/0!</v>
      </c>
      <c r="X379" s="5358"/>
      <c r="Y379" s="5357" t="e">
        <f t="shared" si="165"/>
        <v>#DIV/0!</v>
      </c>
      <c r="Z379" s="5358"/>
      <c r="AA379" s="5355">
        <f t="shared" si="166"/>
        <v>0</v>
      </c>
      <c r="AB379" s="5358" t="e">
        <f t="shared" si="167"/>
        <v>#DIV/0!</v>
      </c>
      <c r="AC379" s="5349"/>
      <c r="AD379" s="5349"/>
      <c r="AE379" s="5349"/>
      <c r="AF379" s="5349">
        <f t="shared" si="149"/>
        <v>0</v>
      </c>
      <c r="AG379" s="5338">
        <f t="shared" si="150"/>
        <v>0</v>
      </c>
    </row>
    <row r="380" spans="1:33" s="5333" customFormat="1" ht="15.05" hidden="1" customHeight="1">
      <c r="A380" s="5340"/>
      <c r="B380" s="5340"/>
      <c r="C380" s="5340"/>
      <c r="D380" s="5374">
        <v>4</v>
      </c>
      <c r="E380" s="5374">
        <v>1</v>
      </c>
      <c r="F380" s="5374">
        <v>2</v>
      </c>
      <c r="G380" s="5374"/>
      <c r="H380" s="5374"/>
      <c r="I380" s="5537"/>
      <c r="J380" s="5372" t="s">
        <v>106</v>
      </c>
      <c r="K380" s="5371"/>
      <c r="L380" s="5370"/>
      <c r="M380" s="5357">
        <v>0</v>
      </c>
      <c r="N380" s="5357">
        <v>0</v>
      </c>
      <c r="O380" s="5357">
        <f t="shared" si="159"/>
        <v>0</v>
      </c>
      <c r="P380" s="5358"/>
      <c r="Q380" s="5355">
        <f t="shared" si="160"/>
        <v>0</v>
      </c>
      <c r="R380" s="5485" t="e">
        <f t="shared" si="161"/>
        <v>#DIV/0!</v>
      </c>
      <c r="S380" s="5358"/>
      <c r="T380" s="5357" t="e">
        <f t="shared" si="162"/>
        <v>#DIV/0!</v>
      </c>
      <c r="U380" s="5358"/>
      <c r="V380" s="5355">
        <f t="shared" si="163"/>
        <v>0</v>
      </c>
      <c r="W380" s="5485" t="e">
        <f t="shared" si="164"/>
        <v>#DIV/0!</v>
      </c>
      <c r="X380" s="5358"/>
      <c r="Y380" s="5357" t="e">
        <f t="shared" si="165"/>
        <v>#DIV/0!</v>
      </c>
      <c r="Z380" s="5358"/>
      <c r="AA380" s="5355">
        <f t="shared" si="166"/>
        <v>0</v>
      </c>
      <c r="AB380" s="5485" t="e">
        <f t="shared" si="167"/>
        <v>#DIV/0!</v>
      </c>
      <c r="AC380" s="5349"/>
      <c r="AD380" s="5349"/>
      <c r="AE380" s="5349"/>
      <c r="AF380" s="5349">
        <f t="shared" si="149"/>
        <v>0</v>
      </c>
      <c r="AG380" s="5338">
        <f t="shared" si="150"/>
        <v>0</v>
      </c>
    </row>
    <row r="381" spans="1:33" s="5333" customFormat="1" ht="15.05" hidden="1" customHeight="1">
      <c r="A381" s="5340"/>
      <c r="B381" s="5340"/>
      <c r="C381" s="5340"/>
      <c r="D381" s="5367">
        <v>4</v>
      </c>
      <c r="E381" s="5367">
        <v>1</v>
      </c>
      <c r="F381" s="5367">
        <v>2</v>
      </c>
      <c r="G381" s="5368" t="s">
        <v>437</v>
      </c>
      <c r="H381" s="5367"/>
      <c r="I381" s="5631"/>
      <c r="J381" s="5366" t="s">
        <v>107</v>
      </c>
      <c r="K381" s="5371"/>
      <c r="L381" s="5370"/>
      <c r="M381" s="5357">
        <v>0</v>
      </c>
      <c r="N381" s="5357">
        <v>0</v>
      </c>
      <c r="O381" s="5357">
        <f t="shared" si="159"/>
        <v>0</v>
      </c>
      <c r="P381" s="5358"/>
      <c r="Q381" s="5355">
        <f t="shared" si="160"/>
        <v>0</v>
      </c>
      <c r="R381" s="5485" t="e">
        <f t="shared" si="161"/>
        <v>#DIV/0!</v>
      </c>
      <c r="S381" s="5358"/>
      <c r="T381" s="5357" t="e">
        <f t="shared" si="162"/>
        <v>#DIV/0!</v>
      </c>
      <c r="U381" s="5358"/>
      <c r="V381" s="5355">
        <f t="shared" si="163"/>
        <v>0</v>
      </c>
      <c r="W381" s="5485" t="e">
        <f t="shared" si="164"/>
        <v>#DIV/0!</v>
      </c>
      <c r="X381" s="5358"/>
      <c r="Y381" s="5357" t="e">
        <f t="shared" si="165"/>
        <v>#DIV/0!</v>
      </c>
      <c r="Z381" s="5358"/>
      <c r="AA381" s="5355">
        <f t="shared" si="166"/>
        <v>0</v>
      </c>
      <c r="AB381" s="5485" t="e">
        <f t="shared" si="167"/>
        <v>#DIV/0!</v>
      </c>
      <c r="AC381" s="5349"/>
      <c r="AD381" s="5349"/>
      <c r="AE381" s="5349"/>
      <c r="AF381" s="5349">
        <f t="shared" si="149"/>
        <v>0</v>
      </c>
      <c r="AG381" s="5338">
        <f t="shared" si="150"/>
        <v>0</v>
      </c>
    </row>
    <row r="382" spans="1:33" s="5333" customFormat="1" ht="15.05" hidden="1" customHeight="1">
      <c r="A382" s="5340"/>
      <c r="B382" s="5340"/>
      <c r="C382" s="5340"/>
      <c r="D382" s="5367">
        <v>4</v>
      </c>
      <c r="E382" s="5367">
        <v>1</v>
      </c>
      <c r="F382" s="5367">
        <v>2</v>
      </c>
      <c r="G382" s="5368" t="s">
        <v>437</v>
      </c>
      <c r="H382" s="5367" t="s">
        <v>441</v>
      </c>
      <c r="I382" s="5631"/>
      <c r="J382" s="5366" t="s">
        <v>951</v>
      </c>
      <c r="K382" s="5361"/>
      <c r="L382" s="5365"/>
      <c r="M382" s="5359">
        <v>0</v>
      </c>
      <c r="N382" s="5359">
        <v>0</v>
      </c>
      <c r="O382" s="5359">
        <f t="shared" si="159"/>
        <v>0</v>
      </c>
      <c r="P382" s="5358"/>
      <c r="Q382" s="5355">
        <f t="shared" si="160"/>
        <v>0</v>
      </c>
      <c r="R382" s="5485" t="e">
        <f t="shared" si="161"/>
        <v>#DIV/0!</v>
      </c>
      <c r="S382" s="5358"/>
      <c r="T382" s="5359" t="e">
        <f t="shared" si="162"/>
        <v>#DIV/0!</v>
      </c>
      <c r="U382" s="5358"/>
      <c r="V382" s="5355">
        <f t="shared" si="163"/>
        <v>0</v>
      </c>
      <c r="W382" s="5485" t="e">
        <f t="shared" si="164"/>
        <v>#DIV/0!</v>
      </c>
      <c r="X382" s="5358"/>
      <c r="Y382" s="5359" t="e">
        <f t="shared" si="165"/>
        <v>#DIV/0!</v>
      </c>
      <c r="Z382" s="5358"/>
      <c r="AA382" s="5355">
        <f t="shared" si="166"/>
        <v>0</v>
      </c>
      <c r="AB382" s="5485" t="e">
        <f t="shared" si="167"/>
        <v>#DIV/0!</v>
      </c>
      <c r="AC382" s="5350"/>
      <c r="AD382" s="5350"/>
      <c r="AE382" s="5350"/>
      <c r="AF382" s="5349">
        <f t="shared" si="149"/>
        <v>0</v>
      </c>
      <c r="AG382" s="5338">
        <f t="shared" si="150"/>
        <v>0</v>
      </c>
    </row>
    <row r="383" spans="1:33" s="5333" customFormat="1" ht="5.35" hidden="1" customHeight="1">
      <c r="A383" s="5340"/>
      <c r="B383" s="5340"/>
      <c r="C383" s="5340"/>
      <c r="D383" s="5367"/>
      <c r="E383" s="5380"/>
      <c r="F383" s="5380"/>
      <c r="G383" s="5379"/>
      <c r="H383" s="5379"/>
      <c r="I383" s="5495"/>
      <c r="J383" s="5366"/>
      <c r="K383" s="5361"/>
      <c r="L383" s="5365"/>
      <c r="M383" s="5357"/>
      <c r="N383" s="5357"/>
      <c r="O383" s="5357">
        <f t="shared" si="159"/>
        <v>0</v>
      </c>
      <c r="P383" s="5358"/>
      <c r="Q383" s="5355">
        <f t="shared" si="160"/>
        <v>0</v>
      </c>
      <c r="R383" s="5485" t="e">
        <f t="shared" si="161"/>
        <v>#DIV/0!</v>
      </c>
      <c r="S383" s="5358"/>
      <c r="T383" s="5357" t="e">
        <f t="shared" si="162"/>
        <v>#DIV/0!</v>
      </c>
      <c r="U383" s="5358"/>
      <c r="V383" s="5355">
        <f t="shared" si="163"/>
        <v>0</v>
      </c>
      <c r="W383" s="5485" t="e">
        <f t="shared" si="164"/>
        <v>#DIV/0!</v>
      </c>
      <c r="X383" s="5358"/>
      <c r="Y383" s="5357" t="e">
        <f t="shared" si="165"/>
        <v>#DIV/0!</v>
      </c>
      <c r="Z383" s="5358"/>
      <c r="AA383" s="5355">
        <f t="shared" si="166"/>
        <v>0</v>
      </c>
      <c r="AB383" s="5485" t="e">
        <f t="shared" si="167"/>
        <v>#DIV/0!</v>
      </c>
      <c r="AC383" s="5349"/>
      <c r="AD383" s="5349"/>
      <c r="AE383" s="5349"/>
      <c r="AF383" s="5349">
        <f t="shared" si="149"/>
        <v>0</v>
      </c>
      <c r="AG383" s="5338">
        <f t="shared" si="150"/>
        <v>0</v>
      </c>
    </row>
    <row r="384" spans="1:33" s="5333" customFormat="1" ht="15.05" hidden="1" customHeight="1">
      <c r="A384" s="5340"/>
      <c r="B384" s="5340"/>
      <c r="C384" s="5340"/>
      <c r="D384" s="5374">
        <v>4</v>
      </c>
      <c r="E384" s="5374">
        <v>1</v>
      </c>
      <c r="F384" s="5374">
        <v>4</v>
      </c>
      <c r="G384" s="5373"/>
      <c r="H384" s="5373"/>
      <c r="I384" s="5633"/>
      <c r="J384" s="5372" t="s">
        <v>71</v>
      </c>
      <c r="K384" s="5371"/>
      <c r="L384" s="5370"/>
      <c r="M384" s="5357">
        <v>0</v>
      </c>
      <c r="N384" s="5357">
        <f>N388</f>
        <v>0</v>
      </c>
      <c r="O384" s="5357">
        <f t="shared" si="159"/>
        <v>0</v>
      </c>
      <c r="P384" s="5358"/>
      <c r="Q384" s="5355">
        <f t="shared" si="160"/>
        <v>0</v>
      </c>
      <c r="R384" s="5485" t="e">
        <f t="shared" si="161"/>
        <v>#DIV/0!</v>
      </c>
      <c r="S384" s="5358"/>
      <c r="T384" s="5357" t="e">
        <f t="shared" si="162"/>
        <v>#DIV/0!</v>
      </c>
      <c r="U384" s="5358"/>
      <c r="V384" s="5355">
        <f t="shared" si="163"/>
        <v>0</v>
      </c>
      <c r="W384" s="5485" t="e">
        <f t="shared" si="164"/>
        <v>#DIV/0!</v>
      </c>
      <c r="X384" s="5358"/>
      <c r="Y384" s="5357" t="e">
        <f t="shared" si="165"/>
        <v>#DIV/0!</v>
      </c>
      <c r="Z384" s="5358"/>
      <c r="AA384" s="5355">
        <f t="shared" si="166"/>
        <v>0</v>
      </c>
      <c r="AB384" s="5485" t="e">
        <f t="shared" si="167"/>
        <v>#DIV/0!</v>
      </c>
      <c r="AC384" s="5349"/>
      <c r="AD384" s="5349"/>
      <c r="AE384" s="5349"/>
      <c r="AF384" s="5349">
        <f t="shared" si="149"/>
        <v>0</v>
      </c>
      <c r="AG384" s="5338">
        <f t="shared" si="150"/>
        <v>0</v>
      </c>
    </row>
    <row r="385" spans="1:33" s="5333" customFormat="1" ht="15.05" hidden="1" customHeight="1">
      <c r="A385" s="5340"/>
      <c r="B385" s="5340"/>
      <c r="C385" s="5340"/>
      <c r="D385" s="5367">
        <v>4</v>
      </c>
      <c r="E385" s="5367">
        <v>1</v>
      </c>
      <c r="F385" s="5367">
        <v>4</v>
      </c>
      <c r="G385" s="5368" t="s">
        <v>451</v>
      </c>
      <c r="H385" s="5367"/>
      <c r="I385" s="5631"/>
      <c r="J385" s="5366" t="s">
        <v>1289</v>
      </c>
      <c r="K385" s="5361"/>
      <c r="L385" s="5365"/>
      <c r="M385" s="5357">
        <v>0</v>
      </c>
      <c r="N385" s="5357">
        <v>0</v>
      </c>
      <c r="O385" s="5357">
        <f t="shared" si="159"/>
        <v>0</v>
      </c>
      <c r="P385" s="5358"/>
      <c r="Q385" s="5355">
        <f t="shared" si="160"/>
        <v>0</v>
      </c>
      <c r="R385" s="5485" t="e">
        <f t="shared" si="161"/>
        <v>#DIV/0!</v>
      </c>
      <c r="S385" s="5358"/>
      <c r="T385" s="5357" t="e">
        <f t="shared" si="162"/>
        <v>#DIV/0!</v>
      </c>
      <c r="U385" s="5358"/>
      <c r="V385" s="5355">
        <f t="shared" si="163"/>
        <v>0</v>
      </c>
      <c r="W385" s="5485" t="e">
        <f t="shared" si="164"/>
        <v>#DIV/0!</v>
      </c>
      <c r="X385" s="5358"/>
      <c r="Y385" s="5357" t="e">
        <f t="shared" si="165"/>
        <v>#DIV/0!</v>
      </c>
      <c r="Z385" s="5358"/>
      <c r="AA385" s="5355">
        <f t="shared" si="166"/>
        <v>0</v>
      </c>
      <c r="AB385" s="5485" t="e">
        <f t="shared" si="167"/>
        <v>#DIV/0!</v>
      </c>
      <c r="AC385" s="5349"/>
      <c r="AD385" s="5349"/>
      <c r="AE385" s="5349"/>
      <c r="AF385" s="5349">
        <f t="shared" si="149"/>
        <v>0</v>
      </c>
      <c r="AG385" s="5338">
        <f t="shared" si="150"/>
        <v>0</v>
      </c>
    </row>
    <row r="386" spans="1:33" s="5333" customFormat="1" ht="15.05" hidden="1" customHeight="1">
      <c r="A386" s="5340"/>
      <c r="B386" s="5340"/>
      <c r="C386" s="5340"/>
      <c r="D386" s="5367">
        <v>4</v>
      </c>
      <c r="E386" s="5367">
        <v>1</v>
      </c>
      <c r="F386" s="5367">
        <v>4</v>
      </c>
      <c r="G386" s="5368" t="s">
        <v>451</v>
      </c>
      <c r="H386" s="5368" t="s">
        <v>437</v>
      </c>
      <c r="I386" s="5632"/>
      <c r="J386" s="5366" t="s">
        <v>1288</v>
      </c>
      <c r="K386" s="5361"/>
      <c r="L386" s="5365"/>
      <c r="M386" s="5359">
        <v>0</v>
      </c>
      <c r="N386" s="5359">
        <v>0</v>
      </c>
      <c r="O386" s="5359">
        <f t="shared" si="159"/>
        <v>0</v>
      </c>
      <c r="P386" s="5358"/>
      <c r="Q386" s="5355">
        <f t="shared" si="160"/>
        <v>0</v>
      </c>
      <c r="R386" s="5485" t="e">
        <f t="shared" si="161"/>
        <v>#DIV/0!</v>
      </c>
      <c r="S386" s="5358"/>
      <c r="T386" s="5359" t="e">
        <f t="shared" si="162"/>
        <v>#DIV/0!</v>
      </c>
      <c r="U386" s="5358"/>
      <c r="V386" s="5355">
        <f t="shared" si="163"/>
        <v>0</v>
      </c>
      <c r="W386" s="5485" t="e">
        <f t="shared" si="164"/>
        <v>#DIV/0!</v>
      </c>
      <c r="X386" s="5358"/>
      <c r="Y386" s="5359" t="e">
        <f t="shared" si="165"/>
        <v>#DIV/0!</v>
      </c>
      <c r="Z386" s="5358"/>
      <c r="AA386" s="5355">
        <f t="shared" si="166"/>
        <v>0</v>
      </c>
      <c r="AB386" s="5485" t="e">
        <f t="shared" si="167"/>
        <v>#DIV/0!</v>
      </c>
      <c r="AC386" s="5350"/>
      <c r="AD386" s="5350"/>
      <c r="AE386" s="5350"/>
      <c r="AF386" s="5349">
        <f t="shared" si="149"/>
        <v>0</v>
      </c>
      <c r="AG386" s="5338">
        <f t="shared" si="150"/>
        <v>0</v>
      </c>
    </row>
    <row r="387" spans="1:33" s="5333" customFormat="1" ht="15.05" hidden="1" customHeight="1">
      <c r="A387" s="5340"/>
      <c r="B387" s="5340"/>
      <c r="C387" s="5340"/>
      <c r="D387" s="5367"/>
      <c r="E387" s="5367"/>
      <c r="F387" s="5367"/>
      <c r="G387" s="5367"/>
      <c r="H387" s="5367"/>
      <c r="I387" s="5631"/>
      <c r="J387" s="5366"/>
      <c r="K387" s="5376"/>
      <c r="L387" s="5375"/>
      <c r="M387" s="5411"/>
      <c r="N387" s="5411"/>
      <c r="O387" s="5411">
        <f t="shared" si="159"/>
        <v>0</v>
      </c>
      <c r="P387" s="5396"/>
      <c r="Q387" s="5355">
        <f t="shared" si="160"/>
        <v>0</v>
      </c>
      <c r="R387" s="5485" t="e">
        <f t="shared" si="161"/>
        <v>#DIV/0!</v>
      </c>
      <c r="S387" s="5396"/>
      <c r="T387" s="5411" t="e">
        <f t="shared" si="162"/>
        <v>#DIV/0!</v>
      </c>
      <c r="U387" s="5396"/>
      <c r="V387" s="5355">
        <f t="shared" si="163"/>
        <v>0</v>
      </c>
      <c r="W387" s="5485" t="e">
        <f t="shared" si="164"/>
        <v>#DIV/0!</v>
      </c>
      <c r="X387" s="5396"/>
      <c r="Y387" s="5411" t="e">
        <f t="shared" si="165"/>
        <v>#DIV/0!</v>
      </c>
      <c r="Z387" s="5396"/>
      <c r="AA387" s="5355">
        <f t="shared" si="166"/>
        <v>0</v>
      </c>
      <c r="AB387" s="5485" t="e">
        <f t="shared" si="167"/>
        <v>#DIV/0!</v>
      </c>
      <c r="AC387" s="5350"/>
      <c r="AD387" s="5350"/>
      <c r="AE387" s="5350"/>
      <c r="AF387" s="5349">
        <f t="shared" si="149"/>
        <v>0</v>
      </c>
      <c r="AG387" s="5338">
        <f t="shared" si="150"/>
        <v>0</v>
      </c>
    </row>
    <row r="388" spans="1:33" s="5333" customFormat="1" ht="15.05" hidden="1" customHeight="1">
      <c r="A388" s="5340"/>
      <c r="B388" s="5340"/>
      <c r="C388" s="5340"/>
      <c r="D388" s="5468" t="s">
        <v>443</v>
      </c>
      <c r="E388" s="5467" t="s">
        <v>58</v>
      </c>
      <c r="F388" s="5468" t="s">
        <v>443</v>
      </c>
      <c r="G388" s="5468" t="s">
        <v>948</v>
      </c>
      <c r="H388" s="5513"/>
      <c r="I388" s="5646"/>
      <c r="J388" s="5512" t="s">
        <v>1407</v>
      </c>
      <c r="K388" s="5466"/>
      <c r="L388" s="5375"/>
      <c r="M388" s="5411">
        <v>0</v>
      </c>
      <c r="N388" s="5411">
        <f>N389</f>
        <v>0</v>
      </c>
      <c r="O388" s="5411">
        <f t="shared" si="159"/>
        <v>0</v>
      </c>
      <c r="P388" s="5396"/>
      <c r="Q388" s="5355">
        <f t="shared" si="160"/>
        <v>0</v>
      </c>
      <c r="R388" s="5485" t="e">
        <f t="shared" si="161"/>
        <v>#DIV/0!</v>
      </c>
      <c r="S388" s="5396"/>
      <c r="T388" s="5411" t="e">
        <f t="shared" si="162"/>
        <v>#DIV/0!</v>
      </c>
      <c r="U388" s="5396"/>
      <c r="V388" s="5355">
        <f t="shared" si="163"/>
        <v>0</v>
      </c>
      <c r="W388" s="5485" t="e">
        <f t="shared" si="164"/>
        <v>#DIV/0!</v>
      </c>
      <c r="X388" s="5396"/>
      <c r="Y388" s="5411" t="e">
        <f t="shared" si="165"/>
        <v>#DIV/0!</v>
      </c>
      <c r="Z388" s="5396"/>
      <c r="AA388" s="5355">
        <f t="shared" si="166"/>
        <v>0</v>
      </c>
      <c r="AB388" s="5485" t="e">
        <f t="shared" si="167"/>
        <v>#DIV/0!</v>
      </c>
      <c r="AC388" s="5350"/>
      <c r="AD388" s="5350"/>
      <c r="AE388" s="5350"/>
      <c r="AF388" s="5349">
        <f t="shared" si="149"/>
        <v>0</v>
      </c>
      <c r="AG388" s="5338">
        <f t="shared" si="150"/>
        <v>0</v>
      </c>
    </row>
    <row r="389" spans="1:33" s="5333" customFormat="1" ht="15.05" hidden="1" customHeight="1">
      <c r="A389" s="5340"/>
      <c r="B389" s="5340"/>
      <c r="C389" s="5340"/>
      <c r="D389" s="5364" t="s">
        <v>443</v>
      </c>
      <c r="E389" s="5363" t="s">
        <v>58</v>
      </c>
      <c r="F389" s="5364" t="s">
        <v>443</v>
      </c>
      <c r="G389" s="5364" t="s">
        <v>444</v>
      </c>
      <c r="H389" s="5378" t="s">
        <v>437</v>
      </c>
      <c r="I389" s="5639"/>
      <c r="J389" s="5377" t="s">
        <v>1406</v>
      </c>
      <c r="K389" s="5376"/>
      <c r="L389" s="5375"/>
      <c r="M389" s="5411">
        <v>0</v>
      </c>
      <c r="N389" s="5411">
        <v>0</v>
      </c>
      <c r="O389" s="5359">
        <f t="shared" si="159"/>
        <v>0</v>
      </c>
      <c r="P389" s="5358"/>
      <c r="Q389" s="5355">
        <f t="shared" si="160"/>
        <v>0</v>
      </c>
      <c r="R389" s="5485" t="e">
        <f t="shared" si="161"/>
        <v>#DIV/0!</v>
      </c>
      <c r="S389" s="5358"/>
      <c r="T389" s="5359" t="e">
        <f t="shared" si="162"/>
        <v>#DIV/0!</v>
      </c>
      <c r="U389" s="5358"/>
      <c r="V389" s="5355">
        <f t="shared" si="163"/>
        <v>0</v>
      </c>
      <c r="W389" s="5485" t="e">
        <f t="shared" si="164"/>
        <v>#DIV/0!</v>
      </c>
      <c r="X389" s="5358"/>
      <c r="Y389" s="5359" t="e">
        <f t="shared" si="165"/>
        <v>#DIV/0!</v>
      </c>
      <c r="Z389" s="5358"/>
      <c r="AA389" s="5355">
        <f t="shared" si="166"/>
        <v>0</v>
      </c>
      <c r="AB389" s="5485" t="e">
        <f t="shared" si="167"/>
        <v>#DIV/0!</v>
      </c>
      <c r="AC389" s="5350"/>
      <c r="AD389" s="5350"/>
      <c r="AE389" s="5350"/>
      <c r="AF389" s="5349">
        <f t="shared" si="149"/>
        <v>0</v>
      </c>
      <c r="AG389" s="5338">
        <f t="shared" si="150"/>
        <v>0</v>
      </c>
    </row>
    <row r="390" spans="1:33" s="5333" customFormat="1" ht="9.6999999999999993" hidden="1" customHeight="1">
      <c r="A390" s="5340"/>
      <c r="B390" s="5340"/>
      <c r="C390" s="5340"/>
      <c r="D390" s="5364"/>
      <c r="E390" s="5363"/>
      <c r="F390" s="5364"/>
      <c r="G390" s="5364"/>
      <c r="H390" s="5364"/>
      <c r="I390" s="5643"/>
      <c r="J390" s="5377"/>
      <c r="K390" s="5376"/>
      <c r="L390" s="5375"/>
      <c r="M390" s="5398"/>
      <c r="N390" s="5398"/>
      <c r="O390" s="5398"/>
      <c r="P390" s="5396"/>
      <c r="Q390" s="5355">
        <f t="shared" si="160"/>
        <v>0</v>
      </c>
      <c r="R390" s="5396" t="e">
        <f t="shared" si="161"/>
        <v>#DIV/0!</v>
      </c>
      <c r="S390" s="5396"/>
      <c r="T390" s="5398"/>
      <c r="U390" s="5396"/>
      <c r="V390" s="5355">
        <f t="shared" si="163"/>
        <v>0</v>
      </c>
      <c r="W390" s="5396" t="e">
        <f t="shared" si="164"/>
        <v>#DIV/0!</v>
      </c>
      <c r="X390" s="5396"/>
      <c r="Y390" s="5398"/>
      <c r="Z390" s="5396"/>
      <c r="AA390" s="5355">
        <f t="shared" si="166"/>
        <v>0</v>
      </c>
      <c r="AB390" s="5396" t="e">
        <f t="shared" si="167"/>
        <v>#DIV/0!</v>
      </c>
      <c r="AC390" s="5349"/>
      <c r="AD390" s="5349"/>
      <c r="AE390" s="5349"/>
      <c r="AF390" s="5349">
        <f t="shared" si="149"/>
        <v>0</v>
      </c>
      <c r="AG390" s="5338">
        <f t="shared" si="150"/>
        <v>0</v>
      </c>
    </row>
    <row r="391" spans="1:33" s="5333" customFormat="1" ht="15.05" customHeight="1">
      <c r="A391" s="5395" t="s">
        <v>58</v>
      </c>
      <c r="B391" s="5395" t="s">
        <v>978</v>
      </c>
      <c r="C391" s="5395" t="s">
        <v>437</v>
      </c>
      <c r="D391" s="5393" t="s">
        <v>58</v>
      </c>
      <c r="E391" s="5393" t="s">
        <v>978</v>
      </c>
      <c r="F391" s="5393" t="s">
        <v>437</v>
      </c>
      <c r="G391" s="5393"/>
      <c r="H391" s="5393"/>
      <c r="I391" s="5629" t="s">
        <v>447</v>
      </c>
      <c r="J391" s="5391" t="s">
        <v>497</v>
      </c>
      <c r="K391" s="5390"/>
      <c r="L391" s="5389"/>
      <c r="M391" s="5355">
        <v>50000000</v>
      </c>
      <c r="N391" s="5355">
        <f>N393</f>
        <v>55000000</v>
      </c>
      <c r="O391" s="5355">
        <f>N391-M391</f>
        <v>5000000</v>
      </c>
      <c r="P391" s="5388">
        <f>P393</f>
        <v>60000000</v>
      </c>
      <c r="Q391" s="5355">
        <f t="shared" si="160"/>
        <v>5000000</v>
      </c>
      <c r="R391" s="5388">
        <f t="shared" si="161"/>
        <v>9.0909090909090793</v>
      </c>
      <c r="S391" s="5388">
        <f>S393</f>
        <v>0</v>
      </c>
      <c r="T391" s="5355">
        <f>S391-R391</f>
        <v>-9.0909090909090793</v>
      </c>
      <c r="U391" s="5388">
        <f>U393</f>
        <v>60000000</v>
      </c>
      <c r="V391" s="5355">
        <f t="shared" si="163"/>
        <v>-60000000</v>
      </c>
      <c r="W391" s="5388">
        <f t="shared" si="164"/>
        <v>-100</v>
      </c>
      <c r="X391" s="5388">
        <f>X393</f>
        <v>0</v>
      </c>
      <c r="Y391" s="5355">
        <f>X391-W391</f>
        <v>100</v>
      </c>
      <c r="Z391" s="5388">
        <f>Z393</f>
        <v>60000000</v>
      </c>
      <c r="AA391" s="5355">
        <f t="shared" si="166"/>
        <v>0</v>
      </c>
      <c r="AB391" s="5606" t="e">
        <f t="shared" si="167"/>
        <v>#DIV/0!</v>
      </c>
      <c r="AC391" s="5349"/>
      <c r="AD391" s="5349"/>
      <c r="AE391" s="5349"/>
      <c r="AF391" s="5349">
        <f t="shared" si="149"/>
        <v>-60000000</v>
      </c>
      <c r="AG391" s="5338">
        <f t="shared" si="150"/>
        <v>0</v>
      </c>
    </row>
    <row r="392" spans="1:33" s="5333" customFormat="1" ht="6.75" customHeight="1">
      <c r="A392" s="5340"/>
      <c r="B392" s="5340"/>
      <c r="C392" s="5340"/>
      <c r="D392" s="5387"/>
      <c r="E392" s="5387"/>
      <c r="F392" s="5387"/>
      <c r="G392" s="5387"/>
      <c r="H392" s="5387"/>
      <c r="I392" s="5630"/>
      <c r="J392" s="5385"/>
      <c r="K392" s="5384"/>
      <c r="L392" s="5383"/>
      <c r="M392" s="5382"/>
      <c r="N392" s="5382"/>
      <c r="O392" s="5382"/>
      <c r="P392" s="5381"/>
      <c r="Q392" s="5382"/>
      <c r="R392" s="5381"/>
      <c r="S392" s="5381"/>
      <c r="T392" s="5382"/>
      <c r="U392" s="5381"/>
      <c r="V392" s="5382"/>
      <c r="W392" s="5381"/>
      <c r="X392" s="5381"/>
      <c r="Y392" s="5382"/>
      <c r="Z392" s="5381"/>
      <c r="AA392" s="5382"/>
      <c r="AB392" s="5381"/>
      <c r="AC392" s="5349"/>
      <c r="AD392" s="5349"/>
      <c r="AE392" s="5349"/>
      <c r="AF392" s="5349">
        <f t="shared" si="149"/>
        <v>0</v>
      </c>
      <c r="AG392" s="5338">
        <f t="shared" si="150"/>
        <v>0</v>
      </c>
    </row>
    <row r="393" spans="1:33" s="5333" customFormat="1" ht="15.05" hidden="1" customHeight="1">
      <c r="A393" s="5340"/>
      <c r="B393" s="5340"/>
      <c r="C393" s="5340"/>
      <c r="D393" s="5374">
        <v>4</v>
      </c>
      <c r="E393" s="5374">
        <v>1</v>
      </c>
      <c r="F393" s="5374"/>
      <c r="G393" s="5374"/>
      <c r="H393" s="5374"/>
      <c r="I393" s="5537"/>
      <c r="J393" s="5372" t="s">
        <v>180</v>
      </c>
      <c r="K393" s="5371"/>
      <c r="L393" s="5370"/>
      <c r="M393" s="5357">
        <v>50000000</v>
      </c>
      <c r="N393" s="5357">
        <f>N395+N404</f>
        <v>55000000</v>
      </c>
      <c r="O393" s="5357">
        <f>N393-M393</f>
        <v>5000000</v>
      </c>
      <c r="P393" s="5358">
        <f>P395+P404</f>
        <v>60000000</v>
      </c>
      <c r="Q393" s="5357">
        <f>+P393-N393</f>
        <v>5000000</v>
      </c>
      <c r="R393" s="5358">
        <f>P393/N393*100-100</f>
        <v>9.0909090909090793</v>
      </c>
      <c r="S393" s="5358">
        <f>S395+S404</f>
        <v>0</v>
      </c>
      <c r="T393" s="5357">
        <f>S393-R393</f>
        <v>-9.0909090909090793</v>
      </c>
      <c r="U393" s="5358">
        <f>U395+U404</f>
        <v>60000000</v>
      </c>
      <c r="V393" s="5357">
        <f>S393-P393</f>
        <v>-60000000</v>
      </c>
      <c r="W393" s="5358">
        <f>S393/P393*100-100</f>
        <v>-100</v>
      </c>
      <c r="X393" s="5358">
        <f>X395+X404</f>
        <v>0</v>
      </c>
      <c r="Y393" s="5357">
        <f>X393-W393</f>
        <v>100</v>
      </c>
      <c r="Z393" s="5358">
        <f>Z395+Z404</f>
        <v>60000000</v>
      </c>
      <c r="AA393" s="5357">
        <f>X393-S393</f>
        <v>0</v>
      </c>
      <c r="AB393" s="5358" t="e">
        <f>X393/S393*100-100</f>
        <v>#DIV/0!</v>
      </c>
      <c r="AC393" s="5349"/>
      <c r="AD393" s="5349"/>
      <c r="AE393" s="5349"/>
      <c r="AF393" s="5349">
        <f t="shared" si="149"/>
        <v>-60000000</v>
      </c>
      <c r="AG393" s="5338">
        <f t="shared" si="150"/>
        <v>0</v>
      </c>
    </row>
    <row r="394" spans="1:33" s="5333" customFormat="1" ht="5.95" hidden="1" customHeight="1">
      <c r="A394" s="5340"/>
      <c r="B394" s="5340"/>
      <c r="C394" s="5340"/>
      <c r="D394" s="5367"/>
      <c r="E394" s="5380"/>
      <c r="F394" s="5380"/>
      <c r="G394" s="5380"/>
      <c r="H394" s="5380"/>
      <c r="I394" s="5496"/>
      <c r="J394" s="5366"/>
      <c r="K394" s="5371"/>
      <c r="L394" s="5370"/>
      <c r="M394" s="5357"/>
      <c r="N394" s="5357"/>
      <c r="O394" s="5357"/>
      <c r="P394" s="5358"/>
      <c r="Q394" s="5357"/>
      <c r="R394" s="5358"/>
      <c r="S394" s="5358"/>
      <c r="T394" s="5357"/>
      <c r="U394" s="5358"/>
      <c r="V394" s="5357"/>
      <c r="W394" s="5358"/>
      <c r="X394" s="5358"/>
      <c r="Y394" s="5357"/>
      <c r="Z394" s="5358"/>
      <c r="AA394" s="5357"/>
      <c r="AB394" s="5358"/>
      <c r="AC394" s="5349"/>
      <c r="AD394" s="5349"/>
      <c r="AE394" s="5349"/>
      <c r="AF394" s="5349">
        <f t="shared" si="149"/>
        <v>0</v>
      </c>
      <c r="AG394" s="5338">
        <f t="shared" si="150"/>
        <v>0</v>
      </c>
    </row>
    <row r="395" spans="1:33" s="5333" customFormat="1" ht="15.05" hidden="1" customHeight="1">
      <c r="A395" s="5340"/>
      <c r="B395" s="5340"/>
      <c r="C395" s="5340"/>
      <c r="D395" s="5374">
        <v>4</v>
      </c>
      <c r="E395" s="5374">
        <v>1</v>
      </c>
      <c r="F395" s="5374">
        <v>2</v>
      </c>
      <c r="G395" s="5374"/>
      <c r="H395" s="5374"/>
      <c r="I395" s="5537"/>
      <c r="J395" s="5372" t="s">
        <v>106</v>
      </c>
      <c r="K395" s="5371"/>
      <c r="L395" s="5370"/>
      <c r="M395" s="5357">
        <v>50000000</v>
      </c>
      <c r="N395" s="5357">
        <f>N396</f>
        <v>55000000</v>
      </c>
      <c r="O395" s="5359">
        <f>N395-M395</f>
        <v>5000000</v>
      </c>
      <c r="P395" s="5358">
        <f>P396</f>
        <v>60000000</v>
      </c>
      <c r="Q395" s="5357">
        <f>+P395-N395</f>
        <v>5000000</v>
      </c>
      <c r="R395" s="5358">
        <f>P395/N395*100-100</f>
        <v>9.0909090909090793</v>
      </c>
      <c r="S395" s="5358">
        <f>S396</f>
        <v>0</v>
      </c>
      <c r="T395" s="5359">
        <f>S395-R395</f>
        <v>-9.0909090909090793</v>
      </c>
      <c r="U395" s="5358">
        <f>U396</f>
        <v>60000000</v>
      </c>
      <c r="V395" s="5357">
        <f>S395-P395</f>
        <v>-60000000</v>
      </c>
      <c r="W395" s="5358">
        <f>S395/P395*100-100</f>
        <v>-100</v>
      </c>
      <c r="X395" s="5358">
        <f>X396</f>
        <v>0</v>
      </c>
      <c r="Y395" s="5359">
        <f>X395-W395</f>
        <v>100</v>
      </c>
      <c r="Z395" s="5358">
        <f>Z396</f>
        <v>60000000</v>
      </c>
      <c r="AA395" s="5357">
        <f>X395-S395</f>
        <v>0</v>
      </c>
      <c r="AB395" s="5358" t="e">
        <f>X395/S395*100-100</f>
        <v>#DIV/0!</v>
      </c>
      <c r="AC395" s="5349"/>
      <c r="AD395" s="5349"/>
      <c r="AE395" s="5349"/>
      <c r="AF395" s="5349">
        <f t="shared" si="149"/>
        <v>-60000000</v>
      </c>
      <c r="AG395" s="5338">
        <f t="shared" si="150"/>
        <v>0</v>
      </c>
    </row>
    <row r="396" spans="1:33" s="5333" customFormat="1" ht="12.05" hidden="1" customHeight="1">
      <c r="A396" s="5340"/>
      <c r="B396" s="5340"/>
      <c r="C396" s="5340"/>
      <c r="D396" s="5367">
        <v>4</v>
      </c>
      <c r="E396" s="5367">
        <v>1</v>
      </c>
      <c r="F396" s="5367">
        <v>2</v>
      </c>
      <c r="G396" s="5368" t="s">
        <v>438</v>
      </c>
      <c r="H396" s="5367"/>
      <c r="I396" s="5631"/>
      <c r="J396" s="5366" t="s">
        <v>374</v>
      </c>
      <c r="K396" s="5361"/>
      <c r="L396" s="5365"/>
      <c r="M396" s="5357">
        <v>50000000</v>
      </c>
      <c r="N396" s="5357">
        <f>N397+N401</f>
        <v>55000000</v>
      </c>
      <c r="O396" s="5359">
        <f>N396-M396</f>
        <v>5000000</v>
      </c>
      <c r="P396" s="5358">
        <f>P397+P401</f>
        <v>60000000</v>
      </c>
      <c r="Q396" s="5357">
        <f>+P396-N396</f>
        <v>5000000</v>
      </c>
      <c r="R396" s="5358">
        <f>P396/N396*100-100</f>
        <v>9.0909090909090793</v>
      </c>
      <c r="S396" s="5358">
        <f>S397+S401</f>
        <v>0</v>
      </c>
      <c r="T396" s="5359">
        <f>S396-R396</f>
        <v>-9.0909090909090793</v>
      </c>
      <c r="U396" s="5358">
        <f>U397+U401</f>
        <v>60000000</v>
      </c>
      <c r="V396" s="5357">
        <f>S396-P396</f>
        <v>-60000000</v>
      </c>
      <c r="W396" s="5358">
        <f>S396/P396*100-100</f>
        <v>-100</v>
      </c>
      <c r="X396" s="5358">
        <f>X397+X401</f>
        <v>0</v>
      </c>
      <c r="Y396" s="5359">
        <f>X396-W396</f>
        <v>100</v>
      </c>
      <c r="Z396" s="5358">
        <f>Z397+Z401</f>
        <v>60000000</v>
      </c>
      <c r="AA396" s="5357">
        <f>X396-S396</f>
        <v>0</v>
      </c>
      <c r="AB396" s="5358" t="e">
        <f>X396/S396*100-100</f>
        <v>#DIV/0!</v>
      </c>
      <c r="AC396" s="5349"/>
      <c r="AD396" s="5349"/>
      <c r="AE396" s="5349"/>
      <c r="AF396" s="5349">
        <f t="shared" si="149"/>
        <v>-60000000</v>
      </c>
      <c r="AG396" s="5338">
        <f t="shared" si="150"/>
        <v>0</v>
      </c>
    </row>
    <row r="397" spans="1:33" s="5333" customFormat="1" ht="12.05" hidden="1" customHeight="1">
      <c r="A397" s="5340"/>
      <c r="B397" s="5340"/>
      <c r="C397" s="5340"/>
      <c r="D397" s="5367">
        <v>4</v>
      </c>
      <c r="E397" s="5367">
        <v>1</v>
      </c>
      <c r="F397" s="5367">
        <v>2</v>
      </c>
      <c r="G397" s="5368" t="s">
        <v>438</v>
      </c>
      <c r="H397" s="5368" t="s">
        <v>437</v>
      </c>
      <c r="I397" s="5632"/>
      <c r="J397" s="5366" t="s">
        <v>64</v>
      </c>
      <c r="K397" s="5361"/>
      <c r="L397" s="5365"/>
      <c r="M397" s="5357">
        <v>46500000</v>
      </c>
      <c r="N397" s="5357">
        <f>+N398+N399</f>
        <v>51500000</v>
      </c>
      <c r="O397" s="5357">
        <f>N397-M397</f>
        <v>5000000</v>
      </c>
      <c r="P397" s="5358">
        <f>+P398+P399</f>
        <v>56500000</v>
      </c>
      <c r="Q397" s="5357">
        <f>+P397-N397</f>
        <v>5000000</v>
      </c>
      <c r="R397" s="5358">
        <f>P397/N397*100-100</f>
        <v>9.708737864077662</v>
      </c>
      <c r="S397" s="5358">
        <f>+S398+S399</f>
        <v>0</v>
      </c>
      <c r="T397" s="5357">
        <f>S397-R397</f>
        <v>-9.708737864077662</v>
      </c>
      <c r="U397" s="5358">
        <f>+U398+U399</f>
        <v>56500000</v>
      </c>
      <c r="V397" s="5357">
        <f>S397-P397</f>
        <v>-56500000</v>
      </c>
      <c r="W397" s="5358">
        <f>S397/P397*100-100</f>
        <v>-100</v>
      </c>
      <c r="X397" s="5358">
        <f>+X398+X399</f>
        <v>0</v>
      </c>
      <c r="Y397" s="5357">
        <f>X397-W397</f>
        <v>100</v>
      </c>
      <c r="Z397" s="5358">
        <f>+Z398+Z399</f>
        <v>56500000</v>
      </c>
      <c r="AA397" s="5357">
        <f>X397-S397</f>
        <v>0</v>
      </c>
      <c r="AB397" s="5358" t="e">
        <f>X397/S397*100-100</f>
        <v>#DIV/0!</v>
      </c>
      <c r="AC397" s="5349"/>
      <c r="AD397" s="5349"/>
      <c r="AE397" s="5349"/>
      <c r="AF397" s="5349">
        <f t="shared" si="149"/>
        <v>-56500000</v>
      </c>
      <c r="AG397" s="5338">
        <f t="shared" si="150"/>
        <v>0</v>
      </c>
    </row>
    <row r="398" spans="1:33" s="5333" customFormat="1" ht="12.05" hidden="1" customHeight="1">
      <c r="A398" s="5340"/>
      <c r="B398" s="5340"/>
      <c r="C398" s="5340"/>
      <c r="D398" s="5367"/>
      <c r="E398" s="5367"/>
      <c r="F398" s="5367"/>
      <c r="G398" s="5368"/>
      <c r="H398" s="5368"/>
      <c r="I398" s="5632"/>
      <c r="J398" s="5511" t="s">
        <v>50</v>
      </c>
      <c r="K398" s="5510" t="s">
        <v>498</v>
      </c>
      <c r="L398" s="5509"/>
      <c r="M398" s="5507">
        <v>16500000</v>
      </c>
      <c r="N398" s="5507">
        <v>16500000</v>
      </c>
      <c r="O398" s="5508">
        <f>N398-M398</f>
        <v>0</v>
      </c>
      <c r="P398" s="5431">
        <v>16500000</v>
      </c>
      <c r="Q398" s="5507">
        <f>+P398-N398</f>
        <v>0</v>
      </c>
      <c r="R398" s="5431">
        <f>P398/N398*100-100</f>
        <v>0</v>
      </c>
      <c r="S398" s="5431">
        <v>0</v>
      </c>
      <c r="T398" s="5508">
        <f>S398-R398</f>
        <v>0</v>
      </c>
      <c r="U398" s="5431">
        <v>16500000</v>
      </c>
      <c r="V398" s="5507">
        <f>S398-P398</f>
        <v>-16500000</v>
      </c>
      <c r="W398" s="5431">
        <f>S398/P398*100-100</f>
        <v>-100</v>
      </c>
      <c r="X398" s="5431">
        <v>0</v>
      </c>
      <c r="Y398" s="5508">
        <f>X398-W398</f>
        <v>100</v>
      </c>
      <c r="Z398" s="5431">
        <v>16500000</v>
      </c>
      <c r="AA398" s="5507">
        <f>X398-S398</f>
        <v>0</v>
      </c>
      <c r="AB398" s="5358" t="e">
        <f>X398/S398*100-100</f>
        <v>#DIV/0!</v>
      </c>
      <c r="AC398" s="5349"/>
      <c r="AD398" s="5349"/>
      <c r="AE398" s="5349"/>
      <c r="AF398" s="5349">
        <f t="shared" si="149"/>
        <v>-16500000</v>
      </c>
      <c r="AG398" s="5338">
        <f t="shared" si="150"/>
        <v>0</v>
      </c>
    </row>
    <row r="399" spans="1:33" s="5333" customFormat="1" ht="12.05" hidden="1" customHeight="1">
      <c r="A399" s="5340"/>
      <c r="B399" s="5340"/>
      <c r="C399" s="5340"/>
      <c r="D399" s="5367"/>
      <c r="E399" s="5367"/>
      <c r="F399" s="5367"/>
      <c r="G399" s="5368"/>
      <c r="H399" s="5368"/>
      <c r="I399" s="5632"/>
      <c r="J399" s="5511" t="s">
        <v>50</v>
      </c>
      <c r="K399" s="5510" t="s">
        <v>754</v>
      </c>
      <c r="L399" s="5509"/>
      <c r="M399" s="5507">
        <v>30000000</v>
      </c>
      <c r="N399" s="5507">
        <v>35000000</v>
      </c>
      <c r="O399" s="5508">
        <f>N399-M399</f>
        <v>5000000</v>
      </c>
      <c r="P399" s="5431">
        <v>40000000</v>
      </c>
      <c r="Q399" s="5507">
        <f>+P399-N399</f>
        <v>5000000</v>
      </c>
      <c r="R399" s="5431">
        <f>P399/N399*100-100</f>
        <v>14.285714285714278</v>
      </c>
      <c r="S399" s="5431">
        <v>0</v>
      </c>
      <c r="T399" s="5508">
        <f>S399-R399</f>
        <v>-14.285714285714278</v>
      </c>
      <c r="U399" s="5431">
        <v>40000000</v>
      </c>
      <c r="V399" s="5507">
        <f>S399-P399</f>
        <v>-40000000</v>
      </c>
      <c r="W399" s="5431">
        <f>S399/P399*100-100</f>
        <v>-100</v>
      </c>
      <c r="X399" s="5431">
        <v>0</v>
      </c>
      <c r="Y399" s="5508">
        <f>X399-W399</f>
        <v>100</v>
      </c>
      <c r="Z399" s="5431">
        <v>40000000</v>
      </c>
      <c r="AA399" s="5507">
        <f>X399-S399</f>
        <v>0</v>
      </c>
      <c r="AB399" s="5358" t="e">
        <f>X399/S399*100-100</f>
        <v>#DIV/0!</v>
      </c>
      <c r="AC399" s="5349"/>
      <c r="AD399" s="5349"/>
      <c r="AE399" s="5349"/>
      <c r="AF399" s="5349">
        <f t="shared" si="149"/>
        <v>-40000000</v>
      </c>
      <c r="AG399" s="5338">
        <f t="shared" si="150"/>
        <v>0</v>
      </c>
    </row>
    <row r="400" spans="1:33" s="5333" customFormat="1" ht="9.1" hidden="1" customHeight="1">
      <c r="A400" s="5340"/>
      <c r="B400" s="5340"/>
      <c r="C400" s="5340"/>
      <c r="D400" s="5367"/>
      <c r="E400" s="5367"/>
      <c r="F400" s="5367"/>
      <c r="G400" s="5368"/>
      <c r="H400" s="5367"/>
      <c r="I400" s="5631"/>
      <c r="J400" s="5366"/>
      <c r="K400" s="5361"/>
      <c r="L400" s="5365"/>
      <c r="M400" s="5357"/>
      <c r="N400" s="5357"/>
      <c r="O400" s="5359"/>
      <c r="P400" s="5358"/>
      <c r="Q400" s="5357"/>
      <c r="R400" s="5358"/>
      <c r="S400" s="5358"/>
      <c r="T400" s="5359"/>
      <c r="U400" s="5358"/>
      <c r="V400" s="5357"/>
      <c r="W400" s="5358"/>
      <c r="X400" s="5358"/>
      <c r="Y400" s="5359"/>
      <c r="Z400" s="5358"/>
      <c r="AA400" s="5357"/>
      <c r="AB400" s="5358"/>
      <c r="AC400" s="5349"/>
      <c r="AD400" s="5349"/>
      <c r="AE400" s="5349"/>
      <c r="AF400" s="5349">
        <f t="shared" si="149"/>
        <v>0</v>
      </c>
      <c r="AG400" s="5338">
        <f t="shared" si="150"/>
        <v>0</v>
      </c>
    </row>
    <row r="401" spans="1:33" s="5333" customFormat="1" ht="13.5" hidden="1" customHeight="1">
      <c r="A401" s="5340"/>
      <c r="B401" s="5340"/>
      <c r="C401" s="5340"/>
      <c r="D401" s="5367">
        <v>4</v>
      </c>
      <c r="E401" s="5367">
        <v>1</v>
      </c>
      <c r="F401" s="5367">
        <v>2</v>
      </c>
      <c r="G401" s="5368" t="s">
        <v>438</v>
      </c>
      <c r="H401" s="5368" t="s">
        <v>440</v>
      </c>
      <c r="I401" s="5632"/>
      <c r="J401" s="5366" t="s">
        <v>304</v>
      </c>
      <c r="K401" s="5361"/>
      <c r="L401" s="5365"/>
      <c r="M401" s="5357">
        <v>3500000</v>
      </c>
      <c r="N401" s="5357">
        <f>N402</f>
        <v>3500000</v>
      </c>
      <c r="O401" s="5359">
        <f t="shared" ref="O401:O413" si="168">N401-M401</f>
        <v>0</v>
      </c>
      <c r="P401" s="5358">
        <f>P402</f>
        <v>3500000</v>
      </c>
      <c r="Q401" s="5357">
        <f t="shared" ref="Q401:Q413" si="169">+P401-N401</f>
        <v>0</v>
      </c>
      <c r="R401" s="5358">
        <f t="shared" ref="R401:R413" si="170">P401/N401*100-100</f>
        <v>0</v>
      </c>
      <c r="S401" s="5358">
        <f>S402</f>
        <v>0</v>
      </c>
      <c r="T401" s="5359">
        <f t="shared" ref="T401:T413" si="171">S401-R401</f>
        <v>0</v>
      </c>
      <c r="U401" s="5358">
        <f>U402</f>
        <v>3500000</v>
      </c>
      <c r="V401" s="5357">
        <f>S401-P401</f>
        <v>-3500000</v>
      </c>
      <c r="W401" s="5358">
        <f>S401/P401*100-100</f>
        <v>-100</v>
      </c>
      <c r="X401" s="5358">
        <f>X402</f>
        <v>0</v>
      </c>
      <c r="Y401" s="5359">
        <f t="shared" ref="Y401:Y413" si="172">X401-W401</f>
        <v>100</v>
      </c>
      <c r="Z401" s="5358">
        <f>Z402</f>
        <v>3500000</v>
      </c>
      <c r="AA401" s="5357">
        <f>X401-S401</f>
        <v>0</v>
      </c>
      <c r="AB401" s="5358" t="e">
        <f>X401/S401*100-100</f>
        <v>#DIV/0!</v>
      </c>
      <c r="AC401" s="5349"/>
      <c r="AD401" s="5349"/>
      <c r="AE401" s="5349"/>
      <c r="AF401" s="5349">
        <f t="shared" si="149"/>
        <v>-3500000</v>
      </c>
      <c r="AG401" s="5338">
        <f t="shared" si="150"/>
        <v>0</v>
      </c>
    </row>
    <row r="402" spans="1:33" s="5333" customFormat="1" ht="13.5" hidden="1" customHeight="1">
      <c r="A402" s="5340"/>
      <c r="B402" s="5340"/>
      <c r="C402" s="5340"/>
      <c r="D402" s="5368"/>
      <c r="E402" s="5367"/>
      <c r="F402" s="5367"/>
      <c r="G402" s="5368"/>
      <c r="H402" s="5368"/>
      <c r="I402" s="5632"/>
      <c r="J402" s="5511" t="s">
        <v>50</v>
      </c>
      <c r="K402" s="5510" t="s">
        <v>1405</v>
      </c>
      <c r="L402" s="5509"/>
      <c r="M402" s="5508">
        <v>3500000</v>
      </c>
      <c r="N402" s="5508">
        <v>3500000</v>
      </c>
      <c r="O402" s="5508">
        <f t="shared" si="168"/>
        <v>0</v>
      </c>
      <c r="P402" s="5431">
        <v>3500000</v>
      </c>
      <c r="Q402" s="5507">
        <f t="shared" si="169"/>
        <v>0</v>
      </c>
      <c r="R402" s="5431">
        <f t="shared" si="170"/>
        <v>0</v>
      </c>
      <c r="S402" s="5431">
        <v>0</v>
      </c>
      <c r="T402" s="5508">
        <f t="shared" si="171"/>
        <v>0</v>
      </c>
      <c r="U402" s="5431">
        <v>3500000</v>
      </c>
      <c r="V402" s="5507">
        <f>S402-P402</f>
        <v>-3500000</v>
      </c>
      <c r="W402" s="5431">
        <f>S402/P402*100-100</f>
        <v>-100</v>
      </c>
      <c r="X402" s="5431">
        <v>0</v>
      </c>
      <c r="Y402" s="5508">
        <f t="shared" si="172"/>
        <v>100</v>
      </c>
      <c r="Z402" s="5431">
        <v>3500000</v>
      </c>
      <c r="AA402" s="5507">
        <f>X402-S402</f>
        <v>0</v>
      </c>
      <c r="AB402" s="5358" t="e">
        <f>X402/S402*100-100</f>
        <v>#DIV/0!</v>
      </c>
      <c r="AC402" s="5350"/>
      <c r="AD402" s="5350"/>
      <c r="AE402" s="5350"/>
      <c r="AF402" s="5349">
        <f t="shared" si="149"/>
        <v>-3500000</v>
      </c>
      <c r="AG402" s="5338">
        <f t="shared" si="150"/>
        <v>0</v>
      </c>
    </row>
    <row r="403" spans="1:33" s="5333" customFormat="1" ht="8.3000000000000007" hidden="1" customHeight="1">
      <c r="A403" s="5340"/>
      <c r="B403" s="5340"/>
      <c r="C403" s="5340"/>
      <c r="D403" s="5368"/>
      <c r="E403" s="5367"/>
      <c r="F403" s="5367"/>
      <c r="G403" s="5368"/>
      <c r="H403" s="5368"/>
      <c r="I403" s="5632"/>
      <c r="J403" s="5408"/>
      <c r="K403" s="5361"/>
      <c r="L403" s="5365"/>
      <c r="M403" s="5357"/>
      <c r="N403" s="5357"/>
      <c r="O403" s="5357">
        <f t="shared" si="168"/>
        <v>0</v>
      </c>
      <c r="P403" s="5358"/>
      <c r="Q403" s="5357">
        <f t="shared" si="169"/>
        <v>0</v>
      </c>
      <c r="R403" s="5358" t="e">
        <f t="shared" si="170"/>
        <v>#DIV/0!</v>
      </c>
      <c r="S403" s="5358"/>
      <c r="T403" s="5357" t="e">
        <f t="shared" si="171"/>
        <v>#DIV/0!</v>
      </c>
      <c r="U403" s="5358"/>
      <c r="V403" s="5357"/>
      <c r="W403" s="5358"/>
      <c r="X403" s="5358"/>
      <c r="Y403" s="5357">
        <f t="shared" si="172"/>
        <v>0</v>
      </c>
      <c r="Z403" s="5358"/>
      <c r="AA403" s="5357"/>
      <c r="AB403" s="5358"/>
      <c r="AC403" s="5349"/>
      <c r="AD403" s="5349"/>
      <c r="AE403" s="5349"/>
      <c r="AF403" s="5349">
        <f t="shared" ref="AF403:AF466" si="173">S403-P403</f>
        <v>0</v>
      </c>
      <c r="AG403" s="5338">
        <f t="shared" ref="AG403:AG466" si="174">AF403-V403</f>
        <v>0</v>
      </c>
    </row>
    <row r="404" spans="1:33" s="5333" customFormat="1" ht="15.85" hidden="1" customHeight="1">
      <c r="A404" s="5340"/>
      <c r="B404" s="5340"/>
      <c r="C404" s="5340"/>
      <c r="D404" s="5374">
        <v>4</v>
      </c>
      <c r="E404" s="5374">
        <v>1</v>
      </c>
      <c r="F404" s="5374">
        <v>4</v>
      </c>
      <c r="G404" s="5373"/>
      <c r="H404" s="5373"/>
      <c r="I404" s="5633"/>
      <c r="J404" s="5372" t="s">
        <v>71</v>
      </c>
      <c r="K404" s="5371"/>
      <c r="L404" s="5370"/>
      <c r="M404" s="5357">
        <v>0</v>
      </c>
      <c r="N404" s="5357">
        <f>N405+N408</f>
        <v>0</v>
      </c>
      <c r="O404" s="5359">
        <f t="shared" si="168"/>
        <v>0</v>
      </c>
      <c r="P404" s="5358"/>
      <c r="Q404" s="5357">
        <f t="shared" si="169"/>
        <v>0</v>
      </c>
      <c r="R404" s="5358" t="e">
        <f t="shared" si="170"/>
        <v>#DIV/0!</v>
      </c>
      <c r="S404" s="5358"/>
      <c r="T404" s="5359" t="e">
        <f t="shared" si="171"/>
        <v>#DIV/0!</v>
      </c>
      <c r="U404" s="5358"/>
      <c r="V404" s="5357">
        <f t="shared" ref="V404:V413" si="175">S404-P404</f>
        <v>0</v>
      </c>
      <c r="W404" s="5358" t="e">
        <f t="shared" ref="W404:W415" si="176">S404/P404*100-100</f>
        <v>#DIV/0!</v>
      </c>
      <c r="X404" s="5358"/>
      <c r="Y404" s="5359" t="e">
        <f t="shared" si="172"/>
        <v>#DIV/0!</v>
      </c>
      <c r="Z404" s="5358"/>
      <c r="AA404" s="5357">
        <f t="shared" ref="AA404:AA415" si="177">X404-S404</f>
        <v>0</v>
      </c>
      <c r="AB404" s="5358" t="e">
        <f t="shared" ref="AB404:AB415" si="178">X404/S404*100-100</f>
        <v>#DIV/0!</v>
      </c>
      <c r="AC404" s="5349"/>
      <c r="AD404" s="5349"/>
      <c r="AE404" s="5349"/>
      <c r="AF404" s="5349">
        <f t="shared" si="173"/>
        <v>0</v>
      </c>
      <c r="AG404" s="5338">
        <f t="shared" si="174"/>
        <v>0</v>
      </c>
    </row>
    <row r="405" spans="1:33" s="5333" customFormat="1" ht="15.05" hidden="1" customHeight="1">
      <c r="A405" s="5340"/>
      <c r="B405" s="5340"/>
      <c r="C405" s="5340"/>
      <c r="D405" s="5367">
        <v>4</v>
      </c>
      <c r="E405" s="5367">
        <v>1</v>
      </c>
      <c r="F405" s="5367">
        <v>4</v>
      </c>
      <c r="G405" s="5367" t="s">
        <v>444</v>
      </c>
      <c r="H405" s="5367"/>
      <c r="I405" s="5631"/>
      <c r="J405" s="5366" t="s">
        <v>222</v>
      </c>
      <c r="K405" s="5361"/>
      <c r="L405" s="5365"/>
      <c r="M405" s="5357">
        <v>0</v>
      </c>
      <c r="N405" s="5357">
        <f>N406</f>
        <v>0</v>
      </c>
      <c r="O405" s="5359">
        <f t="shared" si="168"/>
        <v>0</v>
      </c>
      <c r="P405" s="5358"/>
      <c r="Q405" s="5357">
        <f t="shared" si="169"/>
        <v>0</v>
      </c>
      <c r="R405" s="5358" t="e">
        <f t="shared" si="170"/>
        <v>#DIV/0!</v>
      </c>
      <c r="S405" s="5358"/>
      <c r="T405" s="5359" t="e">
        <f t="shared" si="171"/>
        <v>#DIV/0!</v>
      </c>
      <c r="U405" s="5358"/>
      <c r="V405" s="5357">
        <f t="shared" si="175"/>
        <v>0</v>
      </c>
      <c r="W405" s="5358" t="e">
        <f t="shared" si="176"/>
        <v>#DIV/0!</v>
      </c>
      <c r="X405" s="5358"/>
      <c r="Y405" s="5359" t="e">
        <f t="shared" si="172"/>
        <v>#DIV/0!</v>
      </c>
      <c r="Z405" s="5358"/>
      <c r="AA405" s="5357">
        <f t="shared" si="177"/>
        <v>0</v>
      </c>
      <c r="AB405" s="5358" t="e">
        <f t="shared" si="178"/>
        <v>#DIV/0!</v>
      </c>
      <c r="AC405" s="5349"/>
      <c r="AD405" s="5349"/>
      <c r="AE405" s="5349"/>
      <c r="AF405" s="5349">
        <f t="shared" si="173"/>
        <v>0</v>
      </c>
      <c r="AG405" s="5338">
        <f t="shared" si="174"/>
        <v>0</v>
      </c>
    </row>
    <row r="406" spans="1:33" s="5333" customFormat="1" ht="15.05" hidden="1" customHeight="1">
      <c r="A406" s="5340"/>
      <c r="B406" s="5340"/>
      <c r="C406" s="5340"/>
      <c r="D406" s="5400">
        <v>4</v>
      </c>
      <c r="E406" s="5400">
        <v>1</v>
      </c>
      <c r="F406" s="5400">
        <v>4</v>
      </c>
      <c r="G406" s="5400" t="s">
        <v>444</v>
      </c>
      <c r="H406" s="5400" t="s">
        <v>441</v>
      </c>
      <c r="I406" s="5634"/>
      <c r="J406" s="5366" t="s">
        <v>1283</v>
      </c>
      <c r="K406" s="5361"/>
      <c r="L406" s="5365"/>
      <c r="M406" s="5357">
        <v>0</v>
      </c>
      <c r="N406" s="5357">
        <v>0</v>
      </c>
      <c r="O406" s="5359">
        <f t="shared" si="168"/>
        <v>0</v>
      </c>
      <c r="P406" s="5358"/>
      <c r="Q406" s="5357">
        <f t="shared" si="169"/>
        <v>0</v>
      </c>
      <c r="R406" s="5358" t="e">
        <f t="shared" si="170"/>
        <v>#DIV/0!</v>
      </c>
      <c r="S406" s="5358"/>
      <c r="T406" s="5359" t="e">
        <f t="shared" si="171"/>
        <v>#DIV/0!</v>
      </c>
      <c r="U406" s="5358"/>
      <c r="V406" s="5357">
        <f t="shared" si="175"/>
        <v>0</v>
      </c>
      <c r="W406" s="5358" t="e">
        <f t="shared" si="176"/>
        <v>#DIV/0!</v>
      </c>
      <c r="X406" s="5358"/>
      <c r="Y406" s="5359" t="e">
        <f t="shared" si="172"/>
        <v>#DIV/0!</v>
      </c>
      <c r="Z406" s="5358"/>
      <c r="AA406" s="5357">
        <f t="shared" si="177"/>
        <v>0</v>
      </c>
      <c r="AB406" s="5358" t="e">
        <f t="shared" si="178"/>
        <v>#DIV/0!</v>
      </c>
      <c r="AC406" s="5349"/>
      <c r="AD406" s="5349"/>
      <c r="AE406" s="5349"/>
      <c r="AF406" s="5349">
        <f t="shared" si="173"/>
        <v>0</v>
      </c>
      <c r="AG406" s="5338">
        <f t="shared" si="174"/>
        <v>0</v>
      </c>
    </row>
    <row r="407" spans="1:33" s="5333" customFormat="1" ht="11.3" hidden="1" customHeight="1">
      <c r="A407" s="5340"/>
      <c r="B407" s="5340"/>
      <c r="C407" s="5340"/>
      <c r="D407" s="5367"/>
      <c r="E407" s="5367"/>
      <c r="F407" s="5367"/>
      <c r="G407" s="5368"/>
      <c r="H407" s="5368"/>
      <c r="I407" s="5632"/>
      <c r="J407" s="5366"/>
      <c r="K407" s="5361"/>
      <c r="L407" s="5365"/>
      <c r="M407" s="5359"/>
      <c r="N407" s="5359"/>
      <c r="O407" s="5359">
        <f t="shared" si="168"/>
        <v>0</v>
      </c>
      <c r="P407" s="5358"/>
      <c r="Q407" s="5357">
        <f t="shared" si="169"/>
        <v>0</v>
      </c>
      <c r="R407" s="5358" t="e">
        <f t="shared" si="170"/>
        <v>#DIV/0!</v>
      </c>
      <c r="S407" s="5358"/>
      <c r="T407" s="5359" t="e">
        <f t="shared" si="171"/>
        <v>#DIV/0!</v>
      </c>
      <c r="U407" s="5358"/>
      <c r="V407" s="5357">
        <f t="shared" si="175"/>
        <v>0</v>
      </c>
      <c r="W407" s="5358" t="e">
        <f t="shared" si="176"/>
        <v>#DIV/0!</v>
      </c>
      <c r="X407" s="5358"/>
      <c r="Y407" s="5359" t="e">
        <f t="shared" si="172"/>
        <v>#DIV/0!</v>
      </c>
      <c r="Z407" s="5358"/>
      <c r="AA407" s="5357">
        <f t="shared" si="177"/>
        <v>0</v>
      </c>
      <c r="AB407" s="5358" t="e">
        <f t="shared" si="178"/>
        <v>#DIV/0!</v>
      </c>
      <c r="AC407" s="5350"/>
      <c r="AD407" s="5350"/>
      <c r="AE407" s="5350"/>
      <c r="AF407" s="5349">
        <f t="shared" si="173"/>
        <v>0</v>
      </c>
      <c r="AG407" s="5338">
        <f t="shared" si="174"/>
        <v>0</v>
      </c>
    </row>
    <row r="408" spans="1:33" s="5333" customFormat="1" ht="18" hidden="1" customHeight="1">
      <c r="A408" s="5340"/>
      <c r="B408" s="5340"/>
      <c r="C408" s="5340"/>
      <c r="D408" s="5367">
        <v>4</v>
      </c>
      <c r="E408" s="5367">
        <v>1</v>
      </c>
      <c r="F408" s="5367">
        <v>4</v>
      </c>
      <c r="G408" s="5367" t="s">
        <v>948</v>
      </c>
      <c r="H408" s="5367" t="s">
        <v>437</v>
      </c>
      <c r="I408" s="5631"/>
      <c r="J408" s="5366" t="s">
        <v>85</v>
      </c>
      <c r="K408" s="5361"/>
      <c r="L408" s="5365"/>
      <c r="M408" s="5402">
        <v>0</v>
      </c>
      <c r="N408" s="5402">
        <f>N409+N410</f>
        <v>0</v>
      </c>
      <c r="O408" s="5402">
        <f t="shared" si="168"/>
        <v>0</v>
      </c>
      <c r="P408" s="5401"/>
      <c r="Q408" s="5357">
        <f t="shared" si="169"/>
        <v>0</v>
      </c>
      <c r="R408" s="5358" t="e">
        <f t="shared" si="170"/>
        <v>#DIV/0!</v>
      </c>
      <c r="S408" s="5401"/>
      <c r="T408" s="5402" t="e">
        <f t="shared" si="171"/>
        <v>#DIV/0!</v>
      </c>
      <c r="U408" s="5401"/>
      <c r="V408" s="5357">
        <f t="shared" si="175"/>
        <v>0</v>
      </c>
      <c r="W408" s="5358" t="e">
        <f t="shared" si="176"/>
        <v>#DIV/0!</v>
      </c>
      <c r="X408" s="5401"/>
      <c r="Y408" s="5402" t="e">
        <f t="shared" si="172"/>
        <v>#DIV/0!</v>
      </c>
      <c r="Z408" s="5401"/>
      <c r="AA408" s="5357">
        <f t="shared" si="177"/>
        <v>0</v>
      </c>
      <c r="AB408" s="5358" t="e">
        <f t="shared" si="178"/>
        <v>#DIV/0!</v>
      </c>
      <c r="AC408" s="5349"/>
      <c r="AD408" s="5349"/>
      <c r="AE408" s="5349"/>
      <c r="AF408" s="5349">
        <f t="shared" si="173"/>
        <v>0</v>
      </c>
      <c r="AG408" s="5338">
        <f t="shared" si="174"/>
        <v>0</v>
      </c>
    </row>
    <row r="409" spans="1:33" s="5333" customFormat="1" ht="12.7" hidden="1" customHeight="1">
      <c r="A409" s="5340"/>
      <c r="B409" s="5340"/>
      <c r="C409" s="5340"/>
      <c r="D409" s="5368"/>
      <c r="E409" s="5380"/>
      <c r="F409" s="5380"/>
      <c r="G409" s="5379"/>
      <c r="H409" s="5379"/>
      <c r="I409" s="5495"/>
      <c r="J409" s="5366" t="s">
        <v>50</v>
      </c>
      <c r="K409" s="5361" t="s">
        <v>76</v>
      </c>
      <c r="L409" s="5365"/>
      <c r="M409" s="5359">
        <v>0</v>
      </c>
      <c r="N409" s="5359">
        <v>0</v>
      </c>
      <c r="O409" s="5359">
        <f t="shared" si="168"/>
        <v>0</v>
      </c>
      <c r="P409" s="5358"/>
      <c r="Q409" s="5357">
        <f t="shared" si="169"/>
        <v>0</v>
      </c>
      <c r="R409" s="5358" t="e">
        <f t="shared" si="170"/>
        <v>#DIV/0!</v>
      </c>
      <c r="S409" s="5358"/>
      <c r="T409" s="5359" t="e">
        <f t="shared" si="171"/>
        <v>#DIV/0!</v>
      </c>
      <c r="U409" s="5358"/>
      <c r="V409" s="5357">
        <f t="shared" si="175"/>
        <v>0</v>
      </c>
      <c r="W409" s="5358" t="e">
        <f t="shared" si="176"/>
        <v>#DIV/0!</v>
      </c>
      <c r="X409" s="5358"/>
      <c r="Y409" s="5359" t="e">
        <f t="shared" si="172"/>
        <v>#DIV/0!</v>
      </c>
      <c r="Z409" s="5358"/>
      <c r="AA409" s="5357">
        <f t="shared" si="177"/>
        <v>0</v>
      </c>
      <c r="AB409" s="5358" t="e">
        <f t="shared" si="178"/>
        <v>#DIV/0!</v>
      </c>
      <c r="AC409" s="5350"/>
      <c r="AD409" s="5350"/>
      <c r="AE409" s="5350"/>
      <c r="AF409" s="5349">
        <f t="shared" si="173"/>
        <v>0</v>
      </c>
      <c r="AG409" s="5338">
        <f t="shared" si="174"/>
        <v>0</v>
      </c>
    </row>
    <row r="410" spans="1:33" s="5333" customFormat="1" ht="12.7" hidden="1" customHeight="1">
      <c r="A410" s="5340"/>
      <c r="B410" s="5340"/>
      <c r="C410" s="5340"/>
      <c r="D410" s="5367"/>
      <c r="E410" s="5367"/>
      <c r="F410" s="5367"/>
      <c r="G410" s="5368"/>
      <c r="H410" s="5367"/>
      <c r="I410" s="5631"/>
      <c r="J410" s="5366" t="s">
        <v>85</v>
      </c>
      <c r="K410" s="5371"/>
      <c r="L410" s="5370"/>
      <c r="M410" s="5357">
        <v>0</v>
      </c>
      <c r="N410" s="5357">
        <f>SUM(N411:N413)</f>
        <v>0</v>
      </c>
      <c r="O410" s="5359">
        <f t="shared" si="168"/>
        <v>0</v>
      </c>
      <c r="P410" s="5358"/>
      <c r="Q410" s="5357">
        <f t="shared" si="169"/>
        <v>0</v>
      </c>
      <c r="R410" s="5358" t="e">
        <f t="shared" si="170"/>
        <v>#DIV/0!</v>
      </c>
      <c r="S410" s="5358"/>
      <c r="T410" s="5359" t="e">
        <f t="shared" si="171"/>
        <v>#DIV/0!</v>
      </c>
      <c r="U410" s="5358"/>
      <c r="V410" s="5357">
        <f t="shared" si="175"/>
        <v>0</v>
      </c>
      <c r="W410" s="5358" t="e">
        <f t="shared" si="176"/>
        <v>#DIV/0!</v>
      </c>
      <c r="X410" s="5358"/>
      <c r="Y410" s="5359" t="e">
        <f t="shared" si="172"/>
        <v>#DIV/0!</v>
      </c>
      <c r="Z410" s="5358"/>
      <c r="AA410" s="5357">
        <f t="shared" si="177"/>
        <v>0</v>
      </c>
      <c r="AB410" s="5358" t="e">
        <f t="shared" si="178"/>
        <v>#DIV/0!</v>
      </c>
      <c r="AC410" s="5349"/>
      <c r="AD410" s="5349"/>
      <c r="AE410" s="5349"/>
      <c r="AF410" s="5349">
        <f t="shared" si="173"/>
        <v>0</v>
      </c>
      <c r="AG410" s="5338">
        <f t="shared" si="174"/>
        <v>0</v>
      </c>
    </row>
    <row r="411" spans="1:33" s="5333" customFormat="1" ht="12.7" hidden="1" customHeight="1">
      <c r="A411" s="5340"/>
      <c r="B411" s="5340"/>
      <c r="C411" s="5340"/>
      <c r="D411" s="5367"/>
      <c r="E411" s="5367"/>
      <c r="F411" s="5367"/>
      <c r="G411" s="5368"/>
      <c r="H411" s="5368"/>
      <c r="I411" s="5632"/>
      <c r="J411" s="5366" t="s">
        <v>50</v>
      </c>
      <c r="K411" s="5361" t="s">
        <v>979</v>
      </c>
      <c r="L411" s="5365"/>
      <c r="M411" s="5359">
        <v>0</v>
      </c>
      <c r="N411" s="5359">
        <v>0</v>
      </c>
      <c r="O411" s="5359">
        <f t="shared" si="168"/>
        <v>0</v>
      </c>
      <c r="P411" s="5358"/>
      <c r="Q411" s="5357">
        <f t="shared" si="169"/>
        <v>0</v>
      </c>
      <c r="R411" s="5358" t="e">
        <f t="shared" si="170"/>
        <v>#DIV/0!</v>
      </c>
      <c r="S411" s="5358"/>
      <c r="T411" s="5359" t="e">
        <f t="shared" si="171"/>
        <v>#DIV/0!</v>
      </c>
      <c r="U411" s="5358"/>
      <c r="V411" s="5357">
        <f t="shared" si="175"/>
        <v>0</v>
      </c>
      <c r="W411" s="5358" t="e">
        <f t="shared" si="176"/>
        <v>#DIV/0!</v>
      </c>
      <c r="X411" s="5358"/>
      <c r="Y411" s="5359" t="e">
        <f t="shared" si="172"/>
        <v>#DIV/0!</v>
      </c>
      <c r="Z411" s="5358"/>
      <c r="AA411" s="5357">
        <f t="shared" si="177"/>
        <v>0</v>
      </c>
      <c r="AB411" s="5358" t="e">
        <f t="shared" si="178"/>
        <v>#DIV/0!</v>
      </c>
      <c r="AC411" s="5350"/>
      <c r="AD411" s="5350"/>
      <c r="AE411" s="5350"/>
      <c r="AF411" s="5349">
        <f t="shared" si="173"/>
        <v>0</v>
      </c>
      <c r="AG411" s="5338">
        <f t="shared" si="174"/>
        <v>0</v>
      </c>
    </row>
    <row r="412" spans="1:33" s="5333" customFormat="1" ht="12.7" hidden="1" customHeight="1">
      <c r="A412" s="5340"/>
      <c r="B412" s="5340"/>
      <c r="C412" s="5340"/>
      <c r="D412" s="5367"/>
      <c r="E412" s="5367"/>
      <c r="F412" s="5367"/>
      <c r="G412" s="5368"/>
      <c r="H412" s="5368"/>
      <c r="I412" s="5632"/>
      <c r="J412" s="5366" t="s">
        <v>50</v>
      </c>
      <c r="K412" s="5361" t="s">
        <v>980</v>
      </c>
      <c r="L412" s="5365"/>
      <c r="M412" s="5359">
        <v>0</v>
      </c>
      <c r="N412" s="5359">
        <v>0</v>
      </c>
      <c r="O412" s="5359">
        <f t="shared" si="168"/>
        <v>0</v>
      </c>
      <c r="P412" s="5358"/>
      <c r="Q412" s="5357">
        <f t="shared" si="169"/>
        <v>0</v>
      </c>
      <c r="R412" s="5358" t="e">
        <f t="shared" si="170"/>
        <v>#DIV/0!</v>
      </c>
      <c r="S412" s="5358"/>
      <c r="T412" s="5359" t="e">
        <f t="shared" si="171"/>
        <v>#DIV/0!</v>
      </c>
      <c r="U412" s="5358"/>
      <c r="V412" s="5357">
        <f t="shared" si="175"/>
        <v>0</v>
      </c>
      <c r="W412" s="5358" t="e">
        <f t="shared" si="176"/>
        <v>#DIV/0!</v>
      </c>
      <c r="X412" s="5358"/>
      <c r="Y412" s="5359" t="e">
        <f t="shared" si="172"/>
        <v>#DIV/0!</v>
      </c>
      <c r="Z412" s="5358"/>
      <c r="AA412" s="5357">
        <f t="shared" si="177"/>
        <v>0</v>
      </c>
      <c r="AB412" s="5358" t="e">
        <f t="shared" si="178"/>
        <v>#DIV/0!</v>
      </c>
      <c r="AC412" s="5350"/>
      <c r="AD412" s="5350"/>
      <c r="AE412" s="5350"/>
      <c r="AF412" s="5349">
        <f t="shared" si="173"/>
        <v>0</v>
      </c>
      <c r="AG412" s="5338">
        <f t="shared" si="174"/>
        <v>0</v>
      </c>
    </row>
    <row r="413" spans="1:33" s="5333" customFormat="1" ht="12.7" hidden="1" customHeight="1">
      <c r="A413" s="5340"/>
      <c r="B413" s="5340"/>
      <c r="C413" s="5340"/>
      <c r="D413" s="5367"/>
      <c r="E413" s="5367"/>
      <c r="F413" s="5367"/>
      <c r="G413" s="5368"/>
      <c r="H413" s="5368"/>
      <c r="I413" s="5632"/>
      <c r="J413" s="5366" t="s">
        <v>50</v>
      </c>
      <c r="K413" s="5361" t="s">
        <v>1404</v>
      </c>
      <c r="L413" s="5365"/>
      <c r="M413" s="5359">
        <v>0</v>
      </c>
      <c r="N413" s="5359">
        <v>0</v>
      </c>
      <c r="O413" s="5359">
        <f t="shared" si="168"/>
        <v>0</v>
      </c>
      <c r="P413" s="5358"/>
      <c r="Q413" s="5357">
        <f t="shared" si="169"/>
        <v>0</v>
      </c>
      <c r="R413" s="5358" t="e">
        <f t="shared" si="170"/>
        <v>#DIV/0!</v>
      </c>
      <c r="S413" s="5358"/>
      <c r="T413" s="5359" t="e">
        <f t="shared" si="171"/>
        <v>#DIV/0!</v>
      </c>
      <c r="U413" s="5358"/>
      <c r="V413" s="5357">
        <f t="shared" si="175"/>
        <v>0</v>
      </c>
      <c r="W413" s="5358" t="e">
        <f t="shared" si="176"/>
        <v>#DIV/0!</v>
      </c>
      <c r="X413" s="5358"/>
      <c r="Y413" s="5359" t="e">
        <f t="shared" si="172"/>
        <v>#DIV/0!</v>
      </c>
      <c r="Z413" s="5358"/>
      <c r="AA413" s="5357">
        <f t="shared" si="177"/>
        <v>0</v>
      </c>
      <c r="AB413" s="5358" t="e">
        <f t="shared" si="178"/>
        <v>#DIV/0!</v>
      </c>
      <c r="AC413" s="5350"/>
      <c r="AD413" s="5350"/>
      <c r="AE413" s="5350"/>
      <c r="AF413" s="5349">
        <f t="shared" si="173"/>
        <v>0</v>
      </c>
      <c r="AG413" s="5338">
        <f t="shared" si="174"/>
        <v>0</v>
      </c>
    </row>
    <row r="414" spans="1:33" s="5333" customFormat="1" ht="9.1" hidden="1" customHeight="1">
      <c r="A414" s="5340"/>
      <c r="B414" s="5340"/>
      <c r="C414" s="5340"/>
      <c r="D414" s="5378"/>
      <c r="E414" s="5363"/>
      <c r="F414" s="5363"/>
      <c r="G414" s="5399"/>
      <c r="H414" s="5363"/>
      <c r="I414" s="5635"/>
      <c r="J414" s="5377"/>
      <c r="K414" s="5376"/>
      <c r="L414" s="5375"/>
      <c r="M414" s="5398"/>
      <c r="N414" s="5398"/>
      <c r="O414" s="5398"/>
      <c r="P414" s="5396"/>
      <c r="Q414" s="5398"/>
      <c r="R414" s="5396"/>
      <c r="S414" s="5396"/>
      <c r="T414" s="5398"/>
      <c r="U414" s="5396"/>
      <c r="V414" s="5398"/>
      <c r="W414" s="5396" t="e">
        <f t="shared" si="176"/>
        <v>#DIV/0!</v>
      </c>
      <c r="X414" s="5396"/>
      <c r="Y414" s="5398"/>
      <c r="Z414" s="5396"/>
      <c r="AA414" s="5398">
        <f t="shared" si="177"/>
        <v>0</v>
      </c>
      <c r="AB414" s="5396" t="e">
        <f t="shared" si="178"/>
        <v>#DIV/0!</v>
      </c>
      <c r="AC414" s="5349"/>
      <c r="AD414" s="5349"/>
      <c r="AE414" s="5349"/>
      <c r="AF414" s="5349">
        <f t="shared" si="173"/>
        <v>0</v>
      </c>
      <c r="AG414" s="5338">
        <f t="shared" si="174"/>
        <v>0</v>
      </c>
    </row>
    <row r="415" spans="1:33" s="5333" customFormat="1" ht="15.05" customHeight="1">
      <c r="A415" s="5395" t="s">
        <v>58</v>
      </c>
      <c r="B415" s="5395" t="s">
        <v>846</v>
      </c>
      <c r="C415" s="5395" t="s">
        <v>437</v>
      </c>
      <c r="D415" s="5393" t="s">
        <v>58</v>
      </c>
      <c r="E415" s="5393" t="s">
        <v>846</v>
      </c>
      <c r="F415" s="5393" t="s">
        <v>437</v>
      </c>
      <c r="G415" s="5393"/>
      <c r="H415" s="5393"/>
      <c r="I415" s="5629" t="s">
        <v>449</v>
      </c>
      <c r="J415" s="5391" t="s">
        <v>1508</v>
      </c>
      <c r="K415" s="5390"/>
      <c r="L415" s="5389"/>
      <c r="M415" s="5355">
        <v>0</v>
      </c>
      <c r="N415" s="5355">
        <v>0</v>
      </c>
      <c r="O415" s="5355">
        <f>N415-M415</f>
        <v>0</v>
      </c>
      <c r="P415" s="5388"/>
      <c r="Q415" s="5355">
        <f>+P415-N415</f>
        <v>0</v>
      </c>
      <c r="R415" s="5388">
        <v>0</v>
      </c>
      <c r="S415" s="5388">
        <f>S417</f>
        <v>0</v>
      </c>
      <c r="T415" s="5355">
        <f>S415-R415</f>
        <v>0</v>
      </c>
      <c r="U415" s="5388">
        <f>U417</f>
        <v>0</v>
      </c>
      <c r="V415" s="5355">
        <f>S415-P415</f>
        <v>0</v>
      </c>
      <c r="W415" s="5388" t="e">
        <f t="shared" si="176"/>
        <v>#DIV/0!</v>
      </c>
      <c r="X415" s="5388">
        <f>X417</f>
        <v>0</v>
      </c>
      <c r="Y415" s="5355" t="e">
        <f>X415-W415</f>
        <v>#DIV/0!</v>
      </c>
      <c r="Z415" s="5388">
        <f>Z417</f>
        <v>0</v>
      </c>
      <c r="AA415" s="5355">
        <f t="shared" si="177"/>
        <v>0</v>
      </c>
      <c r="AB415" s="5606" t="e">
        <f t="shared" si="178"/>
        <v>#DIV/0!</v>
      </c>
      <c r="AC415" s="5349"/>
      <c r="AD415" s="5349"/>
      <c r="AE415" s="5349"/>
      <c r="AF415" s="5349">
        <f t="shared" si="173"/>
        <v>0</v>
      </c>
      <c r="AG415" s="5338">
        <f t="shared" si="174"/>
        <v>0</v>
      </c>
    </row>
    <row r="416" spans="1:33" s="5333" customFormat="1" ht="8.3000000000000007" customHeight="1">
      <c r="A416" s="5340"/>
      <c r="B416" s="5340"/>
      <c r="C416" s="5340"/>
      <c r="D416" s="5387"/>
      <c r="E416" s="5387"/>
      <c r="F416" s="5387"/>
      <c r="G416" s="5387"/>
      <c r="H416" s="5387"/>
      <c r="I416" s="5630"/>
      <c r="J416" s="5385"/>
      <c r="K416" s="5384"/>
      <c r="L416" s="5383"/>
      <c r="M416" s="5382"/>
      <c r="N416" s="5382"/>
      <c r="O416" s="5382"/>
      <c r="P416" s="5381"/>
      <c r="Q416" s="5355"/>
      <c r="R416" s="5381"/>
      <c r="S416" s="5381"/>
      <c r="T416" s="5382"/>
      <c r="U416" s="5381"/>
      <c r="V416" s="5355"/>
      <c r="W416" s="5381"/>
      <c r="X416" s="5381"/>
      <c r="Y416" s="5382"/>
      <c r="Z416" s="5381"/>
      <c r="AA416" s="5355"/>
      <c r="AB416" s="5381"/>
      <c r="AC416" s="5350"/>
      <c r="AD416" s="5350"/>
      <c r="AE416" s="5350"/>
      <c r="AF416" s="5349">
        <f t="shared" si="173"/>
        <v>0</v>
      </c>
      <c r="AG416" s="5338">
        <f t="shared" si="174"/>
        <v>0</v>
      </c>
    </row>
    <row r="417" spans="1:33" s="5333" customFormat="1" ht="15.05" hidden="1" customHeight="1">
      <c r="A417" s="5340"/>
      <c r="B417" s="5340"/>
      <c r="C417" s="5340"/>
      <c r="D417" s="5374">
        <v>4</v>
      </c>
      <c r="E417" s="5374">
        <v>1</v>
      </c>
      <c r="F417" s="5374"/>
      <c r="G417" s="5374"/>
      <c r="H417" s="5374"/>
      <c r="I417" s="5537"/>
      <c r="J417" s="5372" t="s">
        <v>180</v>
      </c>
      <c r="K417" s="5371"/>
      <c r="L417" s="5370"/>
      <c r="M417" s="5357">
        <v>0</v>
      </c>
      <c r="N417" s="5357">
        <v>0</v>
      </c>
      <c r="O417" s="5357">
        <f t="shared" ref="O417:O427" si="179">N417-M417</f>
        <v>0</v>
      </c>
      <c r="P417" s="5358"/>
      <c r="Q417" s="5355">
        <f t="shared" ref="Q417:Q427" si="180">+P417-N417</f>
        <v>0</v>
      </c>
      <c r="R417" s="5358" t="e">
        <f t="shared" ref="R417:R427" si="181">P417/N417*100-100</f>
        <v>#DIV/0!</v>
      </c>
      <c r="S417" s="5358"/>
      <c r="T417" s="5357" t="e">
        <f t="shared" ref="T417:T427" si="182">S417-R417</f>
        <v>#DIV/0!</v>
      </c>
      <c r="U417" s="5358"/>
      <c r="V417" s="5355">
        <f t="shared" ref="V417:V427" si="183">S417-P417</f>
        <v>0</v>
      </c>
      <c r="W417" s="5358" t="e">
        <f t="shared" ref="W417:W427" si="184">S417/P417*100-100</f>
        <v>#DIV/0!</v>
      </c>
      <c r="X417" s="5358"/>
      <c r="Y417" s="5357" t="e">
        <f t="shared" ref="Y417:Y427" si="185">X417-W417</f>
        <v>#DIV/0!</v>
      </c>
      <c r="Z417" s="5358"/>
      <c r="AA417" s="5355">
        <f t="shared" ref="AA417:AA427" si="186">X417-S417</f>
        <v>0</v>
      </c>
      <c r="AB417" s="5358" t="e">
        <f t="shared" ref="AB417:AB427" si="187">X417/S417*100-100</f>
        <v>#DIV/0!</v>
      </c>
      <c r="AC417" s="5349"/>
      <c r="AD417" s="5349"/>
      <c r="AE417" s="5349"/>
      <c r="AF417" s="5349">
        <f t="shared" si="173"/>
        <v>0</v>
      </c>
      <c r="AG417" s="5338">
        <f t="shared" si="174"/>
        <v>0</v>
      </c>
    </row>
    <row r="418" spans="1:33" s="5333" customFormat="1" ht="6.75" hidden="1" customHeight="1">
      <c r="A418" s="5340"/>
      <c r="B418" s="5340"/>
      <c r="C418" s="5340"/>
      <c r="D418" s="5367"/>
      <c r="E418" s="5380"/>
      <c r="F418" s="5380"/>
      <c r="G418" s="5380"/>
      <c r="H418" s="5380"/>
      <c r="I418" s="5496"/>
      <c r="J418" s="5366"/>
      <c r="K418" s="5371"/>
      <c r="L418" s="5370"/>
      <c r="M418" s="5357"/>
      <c r="N418" s="5357"/>
      <c r="O418" s="5357">
        <f t="shared" si="179"/>
        <v>0</v>
      </c>
      <c r="P418" s="5358"/>
      <c r="Q418" s="5355">
        <f t="shared" si="180"/>
        <v>0</v>
      </c>
      <c r="R418" s="5358" t="e">
        <f t="shared" si="181"/>
        <v>#DIV/0!</v>
      </c>
      <c r="S418" s="5358"/>
      <c r="T418" s="5357" t="e">
        <f t="shared" si="182"/>
        <v>#DIV/0!</v>
      </c>
      <c r="U418" s="5358"/>
      <c r="V418" s="5355">
        <f t="shared" si="183"/>
        <v>0</v>
      </c>
      <c r="W418" s="5358" t="e">
        <f t="shared" si="184"/>
        <v>#DIV/0!</v>
      </c>
      <c r="X418" s="5358"/>
      <c r="Y418" s="5357" t="e">
        <f t="shared" si="185"/>
        <v>#DIV/0!</v>
      </c>
      <c r="Z418" s="5358"/>
      <c r="AA418" s="5355">
        <f t="shared" si="186"/>
        <v>0</v>
      </c>
      <c r="AB418" s="5358" t="e">
        <f t="shared" si="187"/>
        <v>#DIV/0!</v>
      </c>
      <c r="AC418" s="5349"/>
      <c r="AD418" s="5349"/>
      <c r="AE418" s="5349"/>
      <c r="AF418" s="5349">
        <f t="shared" si="173"/>
        <v>0</v>
      </c>
      <c r="AG418" s="5338">
        <f t="shared" si="174"/>
        <v>0</v>
      </c>
    </row>
    <row r="419" spans="1:33" s="5333" customFormat="1" ht="15.05" hidden="1" customHeight="1">
      <c r="A419" s="5340"/>
      <c r="B419" s="5340"/>
      <c r="C419" s="5340"/>
      <c r="D419" s="5374">
        <v>4</v>
      </c>
      <c r="E419" s="5374">
        <v>1</v>
      </c>
      <c r="F419" s="5374">
        <v>2</v>
      </c>
      <c r="G419" s="5374"/>
      <c r="H419" s="5374"/>
      <c r="I419" s="5537"/>
      <c r="J419" s="5372" t="s">
        <v>106</v>
      </c>
      <c r="K419" s="5371"/>
      <c r="L419" s="5370"/>
      <c r="M419" s="5357">
        <v>0</v>
      </c>
      <c r="N419" s="5357">
        <v>0</v>
      </c>
      <c r="O419" s="5357">
        <f t="shared" si="179"/>
        <v>0</v>
      </c>
      <c r="P419" s="5358"/>
      <c r="Q419" s="5355">
        <f t="shared" si="180"/>
        <v>0</v>
      </c>
      <c r="R419" s="5358" t="e">
        <f t="shared" si="181"/>
        <v>#DIV/0!</v>
      </c>
      <c r="S419" s="5358"/>
      <c r="T419" s="5357" t="e">
        <f t="shared" si="182"/>
        <v>#DIV/0!</v>
      </c>
      <c r="U419" s="5358"/>
      <c r="V419" s="5355">
        <f t="shared" si="183"/>
        <v>0</v>
      </c>
      <c r="W419" s="5358" t="e">
        <f t="shared" si="184"/>
        <v>#DIV/0!</v>
      </c>
      <c r="X419" s="5358"/>
      <c r="Y419" s="5357" t="e">
        <f t="shared" si="185"/>
        <v>#DIV/0!</v>
      </c>
      <c r="Z419" s="5358"/>
      <c r="AA419" s="5355">
        <f t="shared" si="186"/>
        <v>0</v>
      </c>
      <c r="AB419" s="5358" t="e">
        <f t="shared" si="187"/>
        <v>#DIV/0!</v>
      </c>
      <c r="AC419" s="5349"/>
      <c r="AD419" s="5349"/>
      <c r="AE419" s="5349"/>
      <c r="AF419" s="5349">
        <f t="shared" si="173"/>
        <v>0</v>
      </c>
      <c r="AG419" s="5338">
        <f t="shared" si="174"/>
        <v>0</v>
      </c>
    </row>
    <row r="420" spans="1:33" s="5333" customFormat="1" ht="15.05" hidden="1" customHeight="1">
      <c r="A420" s="5340"/>
      <c r="B420" s="5340"/>
      <c r="C420" s="5340"/>
      <c r="D420" s="5367">
        <v>4</v>
      </c>
      <c r="E420" s="5367">
        <v>1</v>
      </c>
      <c r="F420" s="5367">
        <v>2</v>
      </c>
      <c r="G420" s="5368" t="s">
        <v>437</v>
      </c>
      <c r="H420" s="5367"/>
      <c r="I420" s="5631"/>
      <c r="J420" s="5366" t="s">
        <v>107</v>
      </c>
      <c r="K420" s="5371"/>
      <c r="L420" s="5370"/>
      <c r="M420" s="5357">
        <v>0</v>
      </c>
      <c r="N420" s="5357">
        <v>0</v>
      </c>
      <c r="O420" s="5357">
        <f t="shared" si="179"/>
        <v>0</v>
      </c>
      <c r="P420" s="5358"/>
      <c r="Q420" s="5355">
        <f t="shared" si="180"/>
        <v>0</v>
      </c>
      <c r="R420" s="5358" t="e">
        <f t="shared" si="181"/>
        <v>#DIV/0!</v>
      </c>
      <c r="S420" s="5358"/>
      <c r="T420" s="5357" t="e">
        <f t="shared" si="182"/>
        <v>#DIV/0!</v>
      </c>
      <c r="U420" s="5358"/>
      <c r="V420" s="5355">
        <f t="shared" si="183"/>
        <v>0</v>
      </c>
      <c r="W420" s="5358" t="e">
        <f t="shared" si="184"/>
        <v>#DIV/0!</v>
      </c>
      <c r="X420" s="5358"/>
      <c r="Y420" s="5357" t="e">
        <f t="shared" si="185"/>
        <v>#DIV/0!</v>
      </c>
      <c r="Z420" s="5358"/>
      <c r="AA420" s="5355">
        <f t="shared" si="186"/>
        <v>0</v>
      </c>
      <c r="AB420" s="5358" t="e">
        <f t="shared" si="187"/>
        <v>#DIV/0!</v>
      </c>
      <c r="AC420" s="5350"/>
      <c r="AD420" s="5350"/>
      <c r="AE420" s="5350"/>
      <c r="AF420" s="5349">
        <f t="shared" si="173"/>
        <v>0</v>
      </c>
      <c r="AG420" s="5338">
        <f t="shared" si="174"/>
        <v>0</v>
      </c>
    </row>
    <row r="421" spans="1:33" s="5333" customFormat="1" ht="15.05" hidden="1" customHeight="1">
      <c r="A421" s="5340"/>
      <c r="B421" s="5340"/>
      <c r="C421" s="5340"/>
      <c r="D421" s="5367">
        <v>4</v>
      </c>
      <c r="E421" s="5367">
        <v>1</v>
      </c>
      <c r="F421" s="5367">
        <v>2</v>
      </c>
      <c r="G421" s="5368" t="s">
        <v>437</v>
      </c>
      <c r="H421" s="5367" t="s">
        <v>441</v>
      </c>
      <c r="I421" s="5631"/>
      <c r="J421" s="5366" t="s">
        <v>951</v>
      </c>
      <c r="K421" s="5361"/>
      <c r="L421" s="5365"/>
      <c r="M421" s="5359">
        <v>0</v>
      </c>
      <c r="N421" s="5359">
        <v>0</v>
      </c>
      <c r="O421" s="5359">
        <f t="shared" si="179"/>
        <v>0</v>
      </c>
      <c r="P421" s="5358"/>
      <c r="Q421" s="5355">
        <f t="shared" si="180"/>
        <v>0</v>
      </c>
      <c r="R421" s="5358" t="e">
        <f t="shared" si="181"/>
        <v>#DIV/0!</v>
      </c>
      <c r="S421" s="5358"/>
      <c r="T421" s="5359" t="e">
        <f t="shared" si="182"/>
        <v>#DIV/0!</v>
      </c>
      <c r="U421" s="5358"/>
      <c r="V421" s="5355">
        <f t="shared" si="183"/>
        <v>0</v>
      </c>
      <c r="W421" s="5358" t="e">
        <f t="shared" si="184"/>
        <v>#DIV/0!</v>
      </c>
      <c r="X421" s="5358"/>
      <c r="Y421" s="5359" t="e">
        <f t="shared" si="185"/>
        <v>#DIV/0!</v>
      </c>
      <c r="Z421" s="5358"/>
      <c r="AA421" s="5355">
        <f t="shared" si="186"/>
        <v>0</v>
      </c>
      <c r="AB421" s="5358" t="e">
        <f t="shared" si="187"/>
        <v>#DIV/0!</v>
      </c>
      <c r="AC421" s="5349"/>
      <c r="AD421" s="5349"/>
      <c r="AE421" s="5349"/>
      <c r="AF421" s="5349">
        <f t="shared" si="173"/>
        <v>0</v>
      </c>
      <c r="AG421" s="5338">
        <f t="shared" si="174"/>
        <v>0</v>
      </c>
    </row>
    <row r="422" spans="1:33" s="5333" customFormat="1" ht="15.05" hidden="1" customHeight="1">
      <c r="A422" s="5340"/>
      <c r="B422" s="5340"/>
      <c r="C422" s="5340"/>
      <c r="D422" s="5367"/>
      <c r="E422" s="5380"/>
      <c r="F422" s="5380"/>
      <c r="G422" s="5379"/>
      <c r="H422" s="5368"/>
      <c r="I422" s="5632"/>
      <c r="J422" s="5366"/>
      <c r="K422" s="5361"/>
      <c r="L422" s="5365"/>
      <c r="M422" s="5357"/>
      <c r="N422" s="5357"/>
      <c r="O422" s="5357">
        <f t="shared" si="179"/>
        <v>0</v>
      </c>
      <c r="P422" s="5358"/>
      <c r="Q422" s="5355">
        <f t="shared" si="180"/>
        <v>0</v>
      </c>
      <c r="R422" s="5358" t="e">
        <f t="shared" si="181"/>
        <v>#DIV/0!</v>
      </c>
      <c r="S422" s="5358"/>
      <c r="T422" s="5357" t="e">
        <f t="shared" si="182"/>
        <v>#DIV/0!</v>
      </c>
      <c r="U422" s="5358"/>
      <c r="V422" s="5355">
        <f t="shared" si="183"/>
        <v>0</v>
      </c>
      <c r="W422" s="5358" t="e">
        <f t="shared" si="184"/>
        <v>#DIV/0!</v>
      </c>
      <c r="X422" s="5358"/>
      <c r="Y422" s="5357" t="e">
        <f t="shared" si="185"/>
        <v>#DIV/0!</v>
      </c>
      <c r="Z422" s="5358"/>
      <c r="AA422" s="5355">
        <f t="shared" si="186"/>
        <v>0</v>
      </c>
      <c r="AB422" s="5358" t="e">
        <f t="shared" si="187"/>
        <v>#DIV/0!</v>
      </c>
      <c r="AC422" s="5349"/>
      <c r="AD422" s="5349"/>
      <c r="AE422" s="5349"/>
      <c r="AF422" s="5349">
        <f t="shared" si="173"/>
        <v>0</v>
      </c>
      <c r="AG422" s="5338">
        <f t="shared" si="174"/>
        <v>0</v>
      </c>
    </row>
    <row r="423" spans="1:33" s="5333" customFormat="1" ht="15.05" hidden="1" customHeight="1">
      <c r="A423" s="5340"/>
      <c r="B423" s="5340"/>
      <c r="C423" s="5340"/>
      <c r="D423" s="5374">
        <v>4</v>
      </c>
      <c r="E423" s="5374">
        <v>1</v>
      </c>
      <c r="F423" s="5374">
        <v>4</v>
      </c>
      <c r="G423" s="5373"/>
      <c r="H423" s="5373"/>
      <c r="I423" s="5633"/>
      <c r="J423" s="5372" t="s">
        <v>71</v>
      </c>
      <c r="K423" s="5371"/>
      <c r="L423" s="5370"/>
      <c r="M423" s="5357">
        <v>0</v>
      </c>
      <c r="N423" s="5357">
        <v>0</v>
      </c>
      <c r="O423" s="5357">
        <f t="shared" si="179"/>
        <v>0</v>
      </c>
      <c r="P423" s="5358"/>
      <c r="Q423" s="5355">
        <f t="shared" si="180"/>
        <v>0</v>
      </c>
      <c r="R423" s="5358" t="e">
        <f t="shared" si="181"/>
        <v>#DIV/0!</v>
      </c>
      <c r="S423" s="5358"/>
      <c r="T423" s="5357" t="e">
        <f t="shared" si="182"/>
        <v>#DIV/0!</v>
      </c>
      <c r="U423" s="5358"/>
      <c r="V423" s="5355">
        <f t="shared" si="183"/>
        <v>0</v>
      </c>
      <c r="W423" s="5358" t="e">
        <f t="shared" si="184"/>
        <v>#DIV/0!</v>
      </c>
      <c r="X423" s="5358"/>
      <c r="Y423" s="5357" t="e">
        <f t="shared" si="185"/>
        <v>#DIV/0!</v>
      </c>
      <c r="Z423" s="5358"/>
      <c r="AA423" s="5355">
        <f t="shared" si="186"/>
        <v>0</v>
      </c>
      <c r="AB423" s="5358" t="e">
        <f t="shared" si="187"/>
        <v>#DIV/0!</v>
      </c>
      <c r="AC423" s="5349"/>
      <c r="AD423" s="5349"/>
      <c r="AE423" s="5349"/>
      <c r="AF423" s="5349">
        <f t="shared" si="173"/>
        <v>0</v>
      </c>
      <c r="AG423" s="5338">
        <f t="shared" si="174"/>
        <v>0</v>
      </c>
    </row>
    <row r="424" spans="1:33" s="5333" customFormat="1" ht="15.05" hidden="1" customHeight="1">
      <c r="A424" s="5340"/>
      <c r="B424" s="5340"/>
      <c r="C424" s="5340"/>
      <c r="D424" s="5367">
        <v>4</v>
      </c>
      <c r="E424" s="5367">
        <v>1</v>
      </c>
      <c r="F424" s="5367">
        <v>4</v>
      </c>
      <c r="G424" s="5368" t="s">
        <v>451</v>
      </c>
      <c r="H424" s="5367"/>
      <c r="I424" s="5631"/>
      <c r="J424" s="5366" t="s">
        <v>1289</v>
      </c>
      <c r="K424" s="5361"/>
      <c r="L424" s="5365"/>
      <c r="M424" s="5357">
        <v>0</v>
      </c>
      <c r="N424" s="5357">
        <v>0</v>
      </c>
      <c r="O424" s="5357">
        <f t="shared" si="179"/>
        <v>0</v>
      </c>
      <c r="P424" s="5358"/>
      <c r="Q424" s="5355">
        <f t="shared" si="180"/>
        <v>0</v>
      </c>
      <c r="R424" s="5358" t="e">
        <f t="shared" si="181"/>
        <v>#DIV/0!</v>
      </c>
      <c r="S424" s="5358"/>
      <c r="T424" s="5357" t="e">
        <f t="shared" si="182"/>
        <v>#DIV/0!</v>
      </c>
      <c r="U424" s="5358"/>
      <c r="V424" s="5355">
        <f t="shared" si="183"/>
        <v>0</v>
      </c>
      <c r="W424" s="5358" t="e">
        <f t="shared" si="184"/>
        <v>#DIV/0!</v>
      </c>
      <c r="X424" s="5358"/>
      <c r="Y424" s="5357" t="e">
        <f t="shared" si="185"/>
        <v>#DIV/0!</v>
      </c>
      <c r="Z424" s="5358"/>
      <c r="AA424" s="5355">
        <f t="shared" si="186"/>
        <v>0</v>
      </c>
      <c r="AB424" s="5358" t="e">
        <f t="shared" si="187"/>
        <v>#DIV/0!</v>
      </c>
      <c r="AC424" s="5349"/>
      <c r="AD424" s="5349"/>
      <c r="AE424" s="5349"/>
      <c r="AF424" s="5349">
        <f t="shared" si="173"/>
        <v>0</v>
      </c>
      <c r="AG424" s="5338">
        <f t="shared" si="174"/>
        <v>0</v>
      </c>
    </row>
    <row r="425" spans="1:33" s="5333" customFormat="1" ht="15.05" hidden="1" customHeight="1">
      <c r="A425" s="5340"/>
      <c r="B425" s="5340"/>
      <c r="C425" s="5340"/>
      <c r="D425" s="5367">
        <v>4</v>
      </c>
      <c r="E425" s="5367">
        <v>1</v>
      </c>
      <c r="F425" s="5367">
        <v>4</v>
      </c>
      <c r="G425" s="5368" t="s">
        <v>451</v>
      </c>
      <c r="H425" s="5368" t="s">
        <v>437</v>
      </c>
      <c r="I425" s="5632"/>
      <c r="J425" s="5366" t="s">
        <v>1288</v>
      </c>
      <c r="K425" s="5361"/>
      <c r="L425" s="5365"/>
      <c r="M425" s="5359">
        <v>0</v>
      </c>
      <c r="N425" s="5359">
        <v>0</v>
      </c>
      <c r="O425" s="5359">
        <f t="shared" si="179"/>
        <v>0</v>
      </c>
      <c r="P425" s="5358"/>
      <c r="Q425" s="5355">
        <f t="shared" si="180"/>
        <v>0</v>
      </c>
      <c r="R425" s="5358" t="e">
        <f t="shared" si="181"/>
        <v>#DIV/0!</v>
      </c>
      <c r="S425" s="5358"/>
      <c r="T425" s="5359" t="e">
        <f t="shared" si="182"/>
        <v>#DIV/0!</v>
      </c>
      <c r="U425" s="5358"/>
      <c r="V425" s="5355">
        <f t="shared" si="183"/>
        <v>0</v>
      </c>
      <c r="W425" s="5358" t="e">
        <f t="shared" si="184"/>
        <v>#DIV/0!</v>
      </c>
      <c r="X425" s="5358"/>
      <c r="Y425" s="5359" t="e">
        <f t="shared" si="185"/>
        <v>#DIV/0!</v>
      </c>
      <c r="Z425" s="5358"/>
      <c r="AA425" s="5355">
        <f t="shared" si="186"/>
        <v>0</v>
      </c>
      <c r="AB425" s="5358" t="e">
        <f t="shared" si="187"/>
        <v>#DIV/0!</v>
      </c>
      <c r="AC425" s="5349"/>
      <c r="AD425" s="5349"/>
      <c r="AE425" s="5349"/>
      <c r="AF425" s="5349">
        <f t="shared" si="173"/>
        <v>0</v>
      </c>
      <c r="AG425" s="5338">
        <f t="shared" si="174"/>
        <v>0</v>
      </c>
    </row>
    <row r="426" spans="1:33" s="5333" customFormat="1" ht="6.75" hidden="1" customHeight="1">
      <c r="A426" s="5340"/>
      <c r="B426" s="5340"/>
      <c r="C426" s="5340"/>
      <c r="D426" s="5420"/>
      <c r="E426" s="5419"/>
      <c r="F426" s="5419"/>
      <c r="G426" s="5418"/>
      <c r="H426" s="5418"/>
      <c r="I426" s="5638"/>
      <c r="J426" s="5377"/>
      <c r="K426" s="5376"/>
      <c r="L426" s="5375"/>
      <c r="M426" s="5398"/>
      <c r="N426" s="5398"/>
      <c r="O426" s="5398">
        <f t="shared" si="179"/>
        <v>0</v>
      </c>
      <c r="P426" s="5396"/>
      <c r="Q426" s="5355">
        <f t="shared" si="180"/>
        <v>0</v>
      </c>
      <c r="R426" s="5396" t="e">
        <f t="shared" si="181"/>
        <v>#DIV/0!</v>
      </c>
      <c r="S426" s="5396"/>
      <c r="T426" s="5398" t="e">
        <f t="shared" si="182"/>
        <v>#DIV/0!</v>
      </c>
      <c r="U426" s="5396"/>
      <c r="V426" s="5355">
        <f t="shared" si="183"/>
        <v>0</v>
      </c>
      <c r="W426" s="5396" t="e">
        <f t="shared" si="184"/>
        <v>#DIV/0!</v>
      </c>
      <c r="X426" s="5396"/>
      <c r="Y426" s="5398" t="e">
        <f t="shared" si="185"/>
        <v>#DIV/0!</v>
      </c>
      <c r="Z426" s="5396"/>
      <c r="AA426" s="5355">
        <f t="shared" si="186"/>
        <v>0</v>
      </c>
      <c r="AB426" s="5396" t="e">
        <f t="shared" si="187"/>
        <v>#DIV/0!</v>
      </c>
      <c r="AC426" s="5349"/>
      <c r="AD426" s="5349"/>
      <c r="AE426" s="5349"/>
      <c r="AF426" s="5349">
        <f t="shared" si="173"/>
        <v>0</v>
      </c>
      <c r="AG426" s="5338">
        <f t="shared" si="174"/>
        <v>0</v>
      </c>
    </row>
    <row r="427" spans="1:33" s="5521" customFormat="1" ht="15.05" customHeight="1">
      <c r="A427" s="5464" t="s">
        <v>58</v>
      </c>
      <c r="B427" s="5463" t="s">
        <v>849</v>
      </c>
      <c r="C427" s="5463" t="s">
        <v>440</v>
      </c>
      <c r="D427" s="5393" t="s">
        <v>58</v>
      </c>
      <c r="E427" s="5392" t="s">
        <v>849</v>
      </c>
      <c r="F427" s="5392" t="s">
        <v>440</v>
      </c>
      <c r="G427" s="5392"/>
      <c r="H427" s="5392"/>
      <c r="I427" s="5637" t="s">
        <v>978</v>
      </c>
      <c r="J427" s="5391" t="s">
        <v>1403</v>
      </c>
      <c r="K427" s="5390"/>
      <c r="L427" s="5389"/>
      <c r="M427" s="5502">
        <v>1935711679300</v>
      </c>
      <c r="N427" s="5502">
        <f>+N429+N437+N544+N556+N564+N572+N702+N714+N723</f>
        <v>125000000</v>
      </c>
      <c r="O427" s="5502">
        <f t="shared" si="179"/>
        <v>-1935586679300</v>
      </c>
      <c r="P427" s="5501">
        <f>+P429+P437+P544+P556+P564+P572+P702+P714+P723</f>
        <v>125000000</v>
      </c>
      <c r="Q427" s="5502">
        <f t="shared" si="180"/>
        <v>0</v>
      </c>
      <c r="R427" s="5501">
        <f t="shared" si="181"/>
        <v>0</v>
      </c>
      <c r="S427" s="5501">
        <f>+S429+S437+S544+S556+S564+S572+S702+S714+S723</f>
        <v>131250000</v>
      </c>
      <c r="T427" s="5502">
        <f t="shared" si="182"/>
        <v>131250000</v>
      </c>
      <c r="U427" s="5501">
        <f>+U429+U437+U544+U556+U564+U572+U702+U714+U723</f>
        <v>125000000</v>
      </c>
      <c r="V427" s="5502">
        <f t="shared" si="183"/>
        <v>6250000</v>
      </c>
      <c r="W427" s="5501">
        <f t="shared" si="184"/>
        <v>5</v>
      </c>
      <c r="X427" s="5501">
        <f>+X429+X437+X544+X556+X564+X572+X702+X714+X723</f>
        <v>131250000</v>
      </c>
      <c r="Y427" s="5502">
        <f t="shared" si="185"/>
        <v>131249995</v>
      </c>
      <c r="Z427" s="5501">
        <f>+Z429+Z437+Z544+Z556+Z564+Z572+Z702+Z714+Z723</f>
        <v>125000000</v>
      </c>
      <c r="AA427" s="5502">
        <f t="shared" si="186"/>
        <v>0</v>
      </c>
      <c r="AB427" s="5501">
        <f t="shared" si="187"/>
        <v>0</v>
      </c>
      <c r="AC427" s="5594"/>
      <c r="AD427" s="5594"/>
      <c r="AE427" s="5594"/>
      <c r="AF427" s="5594">
        <f t="shared" si="173"/>
        <v>6250000</v>
      </c>
      <c r="AG427" s="5595">
        <f t="shared" si="174"/>
        <v>0</v>
      </c>
    </row>
    <row r="428" spans="1:33" s="5333" customFormat="1" ht="5.95" customHeight="1">
      <c r="A428" s="5340"/>
      <c r="B428" s="5340"/>
      <c r="C428" s="5340"/>
      <c r="D428" s="5367"/>
      <c r="E428" s="5380"/>
      <c r="F428" s="5380"/>
      <c r="G428" s="5367"/>
      <c r="H428" s="5367"/>
      <c r="I428" s="5630"/>
      <c r="J428" s="5414"/>
      <c r="K428" s="5413"/>
      <c r="L428" s="5412"/>
      <c r="M428" s="5382"/>
      <c r="N428" s="5382"/>
      <c r="O428" s="5382"/>
      <c r="P428" s="5381"/>
      <c r="Q428" s="5382"/>
      <c r="R428" s="5381"/>
      <c r="S428" s="5381"/>
      <c r="T428" s="5382"/>
      <c r="U428" s="5381"/>
      <c r="V428" s="5382"/>
      <c r="W428" s="5381"/>
      <c r="X428" s="5381"/>
      <c r="Y428" s="5382"/>
      <c r="Z428" s="5381"/>
      <c r="AA428" s="5382"/>
      <c r="AB428" s="5381"/>
      <c r="AC428" s="5349"/>
      <c r="AD428" s="5349"/>
      <c r="AE428" s="5349"/>
      <c r="AF428" s="5349">
        <f t="shared" si="173"/>
        <v>0</v>
      </c>
      <c r="AG428" s="5338">
        <f t="shared" si="174"/>
        <v>0</v>
      </c>
    </row>
    <row r="429" spans="1:33" s="5333" customFormat="1" ht="11.3" hidden="1" customHeight="1">
      <c r="A429" s="5340"/>
      <c r="B429" s="5340"/>
      <c r="C429" s="5340"/>
      <c r="D429" s="5367" t="s">
        <v>700</v>
      </c>
      <c r="E429" s="5380"/>
      <c r="F429" s="5380"/>
      <c r="G429" s="5367"/>
      <c r="H429" s="5367"/>
      <c r="I429" s="5631"/>
      <c r="J429" s="5372" t="s">
        <v>156</v>
      </c>
      <c r="K429" s="5371" t="s">
        <v>1402</v>
      </c>
      <c r="L429" s="5370"/>
      <c r="M429" s="5486">
        <v>0</v>
      </c>
      <c r="N429" s="5486">
        <f>N431</f>
        <v>0</v>
      </c>
      <c r="O429" s="5486">
        <f t="shared" ref="O429:O435" si="188">N429-M429</f>
        <v>0</v>
      </c>
      <c r="P429" s="5485">
        <f>P431</f>
        <v>0</v>
      </c>
      <c r="Q429" s="5357">
        <f t="shared" ref="Q429:Q435" si="189">+P429-N429</f>
        <v>0</v>
      </c>
      <c r="R429" s="5485">
        <v>0</v>
      </c>
      <c r="S429" s="5485">
        <f>S431</f>
        <v>0</v>
      </c>
      <c r="T429" s="5486">
        <f t="shared" ref="T429:T435" si="190">S429-R429</f>
        <v>0</v>
      </c>
      <c r="U429" s="5485">
        <f>U431</f>
        <v>0</v>
      </c>
      <c r="V429" s="5357">
        <f t="shared" ref="V429:V435" si="191">S429-P429</f>
        <v>0</v>
      </c>
      <c r="W429" s="5485" t="e">
        <f t="shared" ref="W429:W437" si="192">S429/P429*100-100</f>
        <v>#DIV/0!</v>
      </c>
      <c r="X429" s="5485">
        <f>X431</f>
        <v>0</v>
      </c>
      <c r="Y429" s="5486" t="e">
        <f t="shared" ref="Y429:Y435" si="193">X429-W429</f>
        <v>#DIV/0!</v>
      </c>
      <c r="Z429" s="5485">
        <f>Z431</f>
        <v>0</v>
      </c>
      <c r="AA429" s="5357">
        <f t="shared" ref="AA429:AA437" si="194">X429-S429</f>
        <v>0</v>
      </c>
      <c r="AB429" s="5485" t="e">
        <f t="shared" ref="AB429:AB437" si="195">X429/S429*100-100</f>
        <v>#DIV/0!</v>
      </c>
      <c r="AC429" s="5349"/>
      <c r="AD429" s="5349"/>
      <c r="AE429" s="5349"/>
      <c r="AF429" s="5349">
        <f t="shared" si="173"/>
        <v>0</v>
      </c>
      <c r="AG429" s="5338">
        <f t="shared" si="174"/>
        <v>0</v>
      </c>
    </row>
    <row r="430" spans="1:33" s="5333" customFormat="1" ht="5.35" hidden="1" customHeight="1">
      <c r="A430" s="5340"/>
      <c r="B430" s="5340"/>
      <c r="C430" s="5340"/>
      <c r="D430" s="5367"/>
      <c r="E430" s="5380"/>
      <c r="F430" s="5380"/>
      <c r="G430" s="5380"/>
      <c r="H430" s="5380"/>
      <c r="I430" s="5496"/>
      <c r="J430" s="5366"/>
      <c r="K430" s="5361"/>
      <c r="L430" s="5365"/>
      <c r="M430" s="5357"/>
      <c r="N430" s="5357"/>
      <c r="O430" s="5357">
        <f t="shared" si="188"/>
        <v>0</v>
      </c>
      <c r="P430" s="5358"/>
      <c r="Q430" s="5357">
        <f t="shared" si="189"/>
        <v>0</v>
      </c>
      <c r="R430" s="5358" t="e">
        <f t="shared" ref="R430:R435" si="196">P430/N430*100-100</f>
        <v>#DIV/0!</v>
      </c>
      <c r="S430" s="5358"/>
      <c r="T430" s="5357" t="e">
        <f t="shared" si="190"/>
        <v>#DIV/0!</v>
      </c>
      <c r="U430" s="5358"/>
      <c r="V430" s="5357">
        <f t="shared" si="191"/>
        <v>0</v>
      </c>
      <c r="W430" s="5358" t="e">
        <f t="shared" si="192"/>
        <v>#DIV/0!</v>
      </c>
      <c r="X430" s="5358"/>
      <c r="Y430" s="5357" t="e">
        <f t="shared" si="193"/>
        <v>#DIV/0!</v>
      </c>
      <c r="Z430" s="5358"/>
      <c r="AA430" s="5357">
        <f t="shared" si="194"/>
        <v>0</v>
      </c>
      <c r="AB430" s="5358" t="e">
        <f t="shared" si="195"/>
        <v>#DIV/0!</v>
      </c>
      <c r="AC430" s="5349"/>
      <c r="AD430" s="5349"/>
      <c r="AE430" s="5349"/>
      <c r="AF430" s="5349">
        <f t="shared" si="173"/>
        <v>0</v>
      </c>
      <c r="AG430" s="5338">
        <f t="shared" si="174"/>
        <v>0</v>
      </c>
    </row>
    <row r="431" spans="1:33" s="5333" customFormat="1" ht="15.05" hidden="1" customHeight="1">
      <c r="A431" s="5426"/>
      <c r="B431" s="5426"/>
      <c r="C431" s="5426"/>
      <c r="D431" s="5374">
        <v>4</v>
      </c>
      <c r="E431" s="5374">
        <v>1</v>
      </c>
      <c r="F431" s="5374"/>
      <c r="G431" s="5374"/>
      <c r="H431" s="5374"/>
      <c r="I431" s="5537"/>
      <c r="J431" s="5372" t="s">
        <v>180</v>
      </c>
      <c r="K431" s="5371"/>
      <c r="L431" s="5370"/>
      <c r="M431" s="5357">
        <v>0</v>
      </c>
      <c r="N431" s="5357">
        <f>N433</f>
        <v>0</v>
      </c>
      <c r="O431" s="5359">
        <f t="shared" si="188"/>
        <v>0</v>
      </c>
      <c r="P431" s="5358">
        <f>P433</f>
        <v>0</v>
      </c>
      <c r="Q431" s="5357">
        <f t="shared" si="189"/>
        <v>0</v>
      </c>
      <c r="R431" s="5358" t="e">
        <f t="shared" si="196"/>
        <v>#DIV/0!</v>
      </c>
      <c r="S431" s="5358">
        <f>S433</f>
        <v>0</v>
      </c>
      <c r="T431" s="5359" t="e">
        <f t="shared" si="190"/>
        <v>#DIV/0!</v>
      </c>
      <c r="U431" s="5358">
        <f>U433</f>
        <v>0</v>
      </c>
      <c r="V431" s="5357">
        <f t="shared" si="191"/>
        <v>0</v>
      </c>
      <c r="W431" s="5358" t="e">
        <f t="shared" si="192"/>
        <v>#DIV/0!</v>
      </c>
      <c r="X431" s="5358">
        <f>X433</f>
        <v>0</v>
      </c>
      <c r="Y431" s="5359" t="e">
        <f t="shared" si="193"/>
        <v>#DIV/0!</v>
      </c>
      <c r="Z431" s="5358">
        <f>Z433</f>
        <v>0</v>
      </c>
      <c r="AA431" s="5357">
        <f t="shared" si="194"/>
        <v>0</v>
      </c>
      <c r="AB431" s="5358" t="e">
        <f t="shared" si="195"/>
        <v>#DIV/0!</v>
      </c>
      <c r="AC431" s="5349"/>
      <c r="AD431" s="5349"/>
      <c r="AE431" s="5349"/>
      <c r="AF431" s="5349">
        <f t="shared" si="173"/>
        <v>0</v>
      </c>
      <c r="AG431" s="5338">
        <f t="shared" si="174"/>
        <v>0</v>
      </c>
    </row>
    <row r="432" spans="1:33" s="5333" customFormat="1" ht="5.35" hidden="1" customHeight="1">
      <c r="A432" s="5340"/>
      <c r="B432" s="5340"/>
      <c r="C432" s="5340"/>
      <c r="D432" s="5367"/>
      <c r="E432" s="5380"/>
      <c r="F432" s="5380"/>
      <c r="G432" s="5379"/>
      <c r="H432" s="5368"/>
      <c r="I432" s="5632"/>
      <c r="J432" s="5366"/>
      <c r="K432" s="5361"/>
      <c r="L432" s="5365"/>
      <c r="M432" s="5357"/>
      <c r="N432" s="5357"/>
      <c r="O432" s="5357">
        <f t="shared" si="188"/>
        <v>0</v>
      </c>
      <c r="P432" s="5358"/>
      <c r="Q432" s="5357">
        <f t="shared" si="189"/>
        <v>0</v>
      </c>
      <c r="R432" s="5358" t="e">
        <f t="shared" si="196"/>
        <v>#DIV/0!</v>
      </c>
      <c r="S432" s="5358"/>
      <c r="T432" s="5357" t="e">
        <f t="shared" si="190"/>
        <v>#DIV/0!</v>
      </c>
      <c r="U432" s="5358"/>
      <c r="V432" s="5357">
        <f t="shared" si="191"/>
        <v>0</v>
      </c>
      <c r="W432" s="5358" t="e">
        <f t="shared" si="192"/>
        <v>#DIV/0!</v>
      </c>
      <c r="X432" s="5358"/>
      <c r="Y432" s="5357" t="e">
        <f t="shared" si="193"/>
        <v>#DIV/0!</v>
      </c>
      <c r="Z432" s="5358"/>
      <c r="AA432" s="5357">
        <f t="shared" si="194"/>
        <v>0</v>
      </c>
      <c r="AB432" s="5358" t="e">
        <f t="shared" si="195"/>
        <v>#DIV/0!</v>
      </c>
      <c r="AC432" s="5349"/>
      <c r="AD432" s="5349"/>
      <c r="AE432" s="5349"/>
      <c r="AF432" s="5349">
        <f t="shared" si="173"/>
        <v>0</v>
      </c>
      <c r="AG432" s="5338">
        <f t="shared" si="174"/>
        <v>0</v>
      </c>
    </row>
    <row r="433" spans="1:33" s="5333" customFormat="1" ht="15.05" hidden="1" customHeight="1">
      <c r="A433" s="5426"/>
      <c r="B433" s="5426"/>
      <c r="C433" s="5426"/>
      <c r="D433" s="5374">
        <v>4</v>
      </c>
      <c r="E433" s="5374">
        <v>1</v>
      </c>
      <c r="F433" s="5374">
        <v>4</v>
      </c>
      <c r="G433" s="5373"/>
      <c r="H433" s="5373"/>
      <c r="I433" s="5633"/>
      <c r="J433" s="5372" t="s">
        <v>71</v>
      </c>
      <c r="K433" s="5371"/>
      <c r="L433" s="5370"/>
      <c r="M433" s="5357">
        <v>0</v>
      </c>
      <c r="N433" s="5357">
        <f>N434</f>
        <v>0</v>
      </c>
      <c r="O433" s="5359">
        <f t="shared" si="188"/>
        <v>0</v>
      </c>
      <c r="P433" s="5358">
        <f>P434</f>
        <v>0</v>
      </c>
      <c r="Q433" s="5357">
        <f t="shared" si="189"/>
        <v>0</v>
      </c>
      <c r="R433" s="5358" t="e">
        <f t="shared" si="196"/>
        <v>#DIV/0!</v>
      </c>
      <c r="S433" s="5358">
        <f>S434</f>
        <v>0</v>
      </c>
      <c r="T433" s="5359" t="e">
        <f t="shared" si="190"/>
        <v>#DIV/0!</v>
      </c>
      <c r="U433" s="5358">
        <f>U434</f>
        <v>0</v>
      </c>
      <c r="V433" s="5357">
        <f t="shared" si="191"/>
        <v>0</v>
      </c>
      <c r="W433" s="5358" t="e">
        <f t="shared" si="192"/>
        <v>#DIV/0!</v>
      </c>
      <c r="X433" s="5358">
        <f>X434</f>
        <v>0</v>
      </c>
      <c r="Y433" s="5359" t="e">
        <f t="shared" si="193"/>
        <v>#DIV/0!</v>
      </c>
      <c r="Z433" s="5358">
        <f>Z434</f>
        <v>0</v>
      </c>
      <c r="AA433" s="5357">
        <f t="shared" si="194"/>
        <v>0</v>
      </c>
      <c r="AB433" s="5358" t="e">
        <f t="shared" si="195"/>
        <v>#DIV/0!</v>
      </c>
      <c r="AC433" s="5349"/>
      <c r="AD433" s="5349"/>
      <c r="AE433" s="5349"/>
      <c r="AF433" s="5349">
        <f t="shared" si="173"/>
        <v>0</v>
      </c>
      <c r="AG433" s="5338">
        <f t="shared" si="174"/>
        <v>0</v>
      </c>
    </row>
    <row r="434" spans="1:33" s="5333" customFormat="1" ht="15.05" hidden="1" customHeight="1">
      <c r="A434" s="5340"/>
      <c r="B434" s="5340"/>
      <c r="C434" s="5340"/>
      <c r="D434" s="5367">
        <v>4</v>
      </c>
      <c r="E434" s="5367">
        <v>1</v>
      </c>
      <c r="F434" s="5367">
        <v>4</v>
      </c>
      <c r="G434" s="5367" t="s">
        <v>948</v>
      </c>
      <c r="H434" s="5367" t="s">
        <v>437</v>
      </c>
      <c r="I434" s="5631"/>
      <c r="J434" s="5366" t="s">
        <v>85</v>
      </c>
      <c r="K434" s="5361"/>
      <c r="L434" s="5365"/>
      <c r="M434" s="5402">
        <v>0</v>
      </c>
      <c r="N434" s="5402">
        <f>N435</f>
        <v>0</v>
      </c>
      <c r="O434" s="5402">
        <f t="shared" si="188"/>
        <v>0</v>
      </c>
      <c r="P434" s="5401">
        <f>P435</f>
        <v>0</v>
      </c>
      <c r="Q434" s="5357">
        <f t="shared" si="189"/>
        <v>0</v>
      </c>
      <c r="R434" s="5401" t="e">
        <f t="shared" si="196"/>
        <v>#DIV/0!</v>
      </c>
      <c r="S434" s="5401">
        <f>S435</f>
        <v>0</v>
      </c>
      <c r="T434" s="5402" t="e">
        <f t="shared" si="190"/>
        <v>#DIV/0!</v>
      </c>
      <c r="U434" s="5401">
        <f>U435</f>
        <v>0</v>
      </c>
      <c r="V434" s="5357">
        <f t="shared" si="191"/>
        <v>0</v>
      </c>
      <c r="W434" s="5401" t="e">
        <f t="shared" si="192"/>
        <v>#DIV/0!</v>
      </c>
      <c r="X434" s="5401">
        <f>X435</f>
        <v>0</v>
      </c>
      <c r="Y434" s="5402" t="e">
        <f t="shared" si="193"/>
        <v>#DIV/0!</v>
      </c>
      <c r="Z434" s="5401">
        <f>Z435</f>
        <v>0</v>
      </c>
      <c r="AA434" s="5357">
        <f t="shared" si="194"/>
        <v>0</v>
      </c>
      <c r="AB434" s="5401" t="e">
        <f t="shared" si="195"/>
        <v>#DIV/0!</v>
      </c>
      <c r="AC434" s="5349"/>
      <c r="AD434" s="5349"/>
      <c r="AE434" s="5349"/>
      <c r="AF434" s="5349">
        <f t="shared" si="173"/>
        <v>0</v>
      </c>
      <c r="AG434" s="5338">
        <f t="shared" si="174"/>
        <v>0</v>
      </c>
    </row>
    <row r="435" spans="1:33" s="5333" customFormat="1" ht="15.05" hidden="1" customHeight="1">
      <c r="A435" s="5340"/>
      <c r="B435" s="5340"/>
      <c r="C435" s="5340"/>
      <c r="D435" s="5368"/>
      <c r="E435" s="5380"/>
      <c r="F435" s="5380"/>
      <c r="G435" s="5379"/>
      <c r="H435" s="5379"/>
      <c r="I435" s="5495"/>
      <c r="J435" s="5366" t="s">
        <v>50</v>
      </c>
      <c r="K435" s="5361" t="s">
        <v>85</v>
      </c>
      <c r="L435" s="5365"/>
      <c r="M435" s="5359">
        <v>0</v>
      </c>
      <c r="N435" s="5359">
        <v>0</v>
      </c>
      <c r="O435" s="5359">
        <f t="shared" si="188"/>
        <v>0</v>
      </c>
      <c r="P435" s="5358">
        <v>0</v>
      </c>
      <c r="Q435" s="5357">
        <f t="shared" si="189"/>
        <v>0</v>
      </c>
      <c r="R435" s="5356" t="e">
        <f t="shared" si="196"/>
        <v>#DIV/0!</v>
      </c>
      <c r="S435" s="5358">
        <v>0</v>
      </c>
      <c r="T435" s="5359" t="e">
        <f t="shared" si="190"/>
        <v>#DIV/0!</v>
      </c>
      <c r="U435" s="5358">
        <v>0</v>
      </c>
      <c r="V435" s="5357">
        <f t="shared" si="191"/>
        <v>0</v>
      </c>
      <c r="W435" s="5356" t="e">
        <f t="shared" si="192"/>
        <v>#DIV/0!</v>
      </c>
      <c r="X435" s="5358">
        <v>0</v>
      </c>
      <c r="Y435" s="5359" t="e">
        <f t="shared" si="193"/>
        <v>#DIV/0!</v>
      </c>
      <c r="Z435" s="5358">
        <v>0</v>
      </c>
      <c r="AA435" s="5357">
        <f t="shared" si="194"/>
        <v>0</v>
      </c>
      <c r="AB435" s="5356" t="e">
        <f t="shared" si="195"/>
        <v>#DIV/0!</v>
      </c>
      <c r="AC435" s="5350"/>
      <c r="AD435" s="5350"/>
      <c r="AE435" s="5350"/>
      <c r="AF435" s="5349">
        <f t="shared" si="173"/>
        <v>0</v>
      </c>
      <c r="AG435" s="5338">
        <f t="shared" si="174"/>
        <v>0</v>
      </c>
    </row>
    <row r="436" spans="1:33" s="5333" customFormat="1" ht="10.5" hidden="1" customHeight="1">
      <c r="A436" s="5340"/>
      <c r="B436" s="5340"/>
      <c r="C436" s="5340"/>
      <c r="D436" s="5378"/>
      <c r="E436" s="5364"/>
      <c r="F436" s="5364"/>
      <c r="G436" s="5378"/>
      <c r="H436" s="5378"/>
      <c r="I436" s="5639"/>
      <c r="J436" s="5377"/>
      <c r="K436" s="5376"/>
      <c r="L436" s="5375"/>
      <c r="M436" s="5398"/>
      <c r="N436" s="5398"/>
      <c r="O436" s="5398"/>
      <c r="P436" s="5396"/>
      <c r="Q436" s="5398"/>
      <c r="R436" s="5396"/>
      <c r="S436" s="5396"/>
      <c r="T436" s="5398"/>
      <c r="U436" s="5396"/>
      <c r="V436" s="5398"/>
      <c r="W436" s="5396" t="e">
        <f t="shared" si="192"/>
        <v>#DIV/0!</v>
      </c>
      <c r="X436" s="5396"/>
      <c r="Y436" s="5398"/>
      <c r="Z436" s="5396"/>
      <c r="AA436" s="5398">
        <f t="shared" si="194"/>
        <v>0</v>
      </c>
      <c r="AB436" s="5396" t="e">
        <f t="shared" si="195"/>
        <v>#DIV/0!</v>
      </c>
      <c r="AC436" s="5349"/>
      <c r="AD436" s="5349"/>
      <c r="AE436" s="5349"/>
      <c r="AF436" s="5349">
        <f t="shared" si="173"/>
        <v>0</v>
      </c>
      <c r="AG436" s="5338">
        <f t="shared" si="174"/>
        <v>0</v>
      </c>
    </row>
    <row r="437" spans="1:33" s="5333" customFormat="1" ht="15.05" customHeight="1">
      <c r="A437" s="5426"/>
      <c r="B437" s="5426"/>
      <c r="C437" s="5426"/>
      <c r="D437" s="5465"/>
      <c r="E437" s="5400"/>
      <c r="F437" s="5400"/>
      <c r="G437" s="5400"/>
      <c r="H437" s="5400"/>
      <c r="I437" s="5647"/>
      <c r="J437" s="5391" t="s">
        <v>161</v>
      </c>
      <c r="K437" s="5390" t="s">
        <v>157</v>
      </c>
      <c r="L437" s="5389"/>
      <c r="M437" s="5502">
        <v>4000000000</v>
      </c>
      <c r="N437" s="5502">
        <f>N439</f>
        <v>125000000</v>
      </c>
      <c r="O437" s="5502">
        <f>N437-M437</f>
        <v>-3875000000</v>
      </c>
      <c r="P437" s="5501">
        <f>P439</f>
        <v>125000000</v>
      </c>
      <c r="Q437" s="5355">
        <f>+P437-N437</f>
        <v>0</v>
      </c>
      <c r="R437" s="5501">
        <f>P437/N437*100-100</f>
        <v>0</v>
      </c>
      <c r="S437" s="5501">
        <f>S439</f>
        <v>131250000</v>
      </c>
      <c r="T437" s="5502">
        <f>S437-R437</f>
        <v>131250000</v>
      </c>
      <c r="U437" s="5501">
        <f>U439</f>
        <v>125000000</v>
      </c>
      <c r="V437" s="5355">
        <f>S437-P437</f>
        <v>6250000</v>
      </c>
      <c r="W437" s="5501">
        <f t="shared" si="192"/>
        <v>5</v>
      </c>
      <c r="X437" s="5501">
        <f>X439</f>
        <v>131250000</v>
      </c>
      <c r="Y437" s="5502">
        <f>X437-W437</f>
        <v>131249995</v>
      </c>
      <c r="Z437" s="5501">
        <f>Z439</f>
        <v>125000000</v>
      </c>
      <c r="AA437" s="5355">
        <f t="shared" si="194"/>
        <v>0</v>
      </c>
      <c r="AB437" s="5501">
        <f t="shared" si="195"/>
        <v>0</v>
      </c>
      <c r="AC437" s="5349"/>
      <c r="AD437" s="5349"/>
      <c r="AE437" s="5349"/>
      <c r="AF437" s="5349">
        <f t="shared" si="173"/>
        <v>6250000</v>
      </c>
      <c r="AG437" s="5338">
        <f t="shared" si="174"/>
        <v>0</v>
      </c>
    </row>
    <row r="438" spans="1:33" s="5333" customFormat="1" ht="4.55" customHeight="1">
      <c r="A438" s="5340"/>
      <c r="B438" s="5340"/>
      <c r="C438" s="5340"/>
      <c r="D438" s="5415"/>
      <c r="E438" s="5386"/>
      <c r="F438" s="5386"/>
      <c r="G438" s="5386"/>
      <c r="H438" s="5386"/>
      <c r="I438" s="5636"/>
      <c r="J438" s="5414"/>
      <c r="K438" s="5413"/>
      <c r="L438" s="5412"/>
      <c r="M438" s="5382"/>
      <c r="N438" s="5382"/>
      <c r="O438" s="5382"/>
      <c r="P438" s="5381"/>
      <c r="Q438" s="5382"/>
      <c r="R438" s="5381"/>
      <c r="S438" s="5381"/>
      <c r="T438" s="5382"/>
      <c r="U438" s="5381"/>
      <c r="V438" s="5382"/>
      <c r="W438" s="5381"/>
      <c r="X438" s="5381"/>
      <c r="Y438" s="5382"/>
      <c r="Z438" s="5381"/>
      <c r="AA438" s="5382"/>
      <c r="AB438" s="5381"/>
      <c r="AC438" s="5349"/>
      <c r="AD438" s="5349"/>
      <c r="AE438" s="5349"/>
      <c r="AF438" s="5349">
        <f t="shared" si="173"/>
        <v>0</v>
      </c>
      <c r="AG438" s="5338">
        <f t="shared" si="174"/>
        <v>0</v>
      </c>
    </row>
    <row r="439" spans="1:33" s="5333" customFormat="1" ht="15.05" customHeight="1">
      <c r="A439" s="5426"/>
      <c r="B439" s="5426"/>
      <c r="C439" s="5426"/>
      <c r="D439" s="5374">
        <v>4</v>
      </c>
      <c r="E439" s="5374">
        <v>1</v>
      </c>
      <c r="F439" s="5374"/>
      <c r="G439" s="5374"/>
      <c r="H439" s="5374"/>
      <c r="I439" s="5537"/>
      <c r="J439" s="5372" t="s">
        <v>180</v>
      </c>
      <c r="K439" s="5371"/>
      <c r="L439" s="5370"/>
      <c r="M439" s="5357">
        <v>4000000000</v>
      </c>
      <c r="N439" s="5357">
        <f>N441</f>
        <v>125000000</v>
      </c>
      <c r="O439" s="5357">
        <f t="shared" ref="O439:O446" si="197">N439-M439</f>
        <v>-3875000000</v>
      </c>
      <c r="P439" s="5358">
        <f>P441</f>
        <v>125000000</v>
      </c>
      <c r="Q439" s="5357">
        <f t="shared" ref="Q439:Q446" si="198">+P439-N439</f>
        <v>0</v>
      </c>
      <c r="R439" s="5358">
        <f t="shared" ref="R439:R446" si="199">P439/N439*100-100</f>
        <v>0</v>
      </c>
      <c r="S439" s="5358">
        <f>S441</f>
        <v>131250000</v>
      </c>
      <c r="T439" s="5357">
        <f t="shared" ref="T439:T446" si="200">S439-R439</f>
        <v>131250000</v>
      </c>
      <c r="U439" s="5358">
        <f>U441</f>
        <v>125000000</v>
      </c>
      <c r="V439" s="5357">
        <f t="shared" ref="V439:V446" si="201">S439-P439</f>
        <v>6250000</v>
      </c>
      <c r="W439" s="5358">
        <f t="shared" ref="W439:W446" si="202">S439/P439*100-100</f>
        <v>5</v>
      </c>
      <c r="X439" s="5358">
        <f>X441</f>
        <v>131250000</v>
      </c>
      <c r="Y439" s="5357">
        <f t="shared" ref="Y439:Y446" si="203">X439-W439</f>
        <v>131249995</v>
      </c>
      <c r="Z439" s="5358">
        <f>Z441</f>
        <v>125000000</v>
      </c>
      <c r="AA439" s="5357">
        <f t="shared" ref="AA439:AA446" si="204">X439-S439</f>
        <v>0</v>
      </c>
      <c r="AB439" s="5358">
        <f t="shared" ref="AB439:AB446" si="205">X439/S439*100-100</f>
        <v>0</v>
      </c>
      <c r="AC439" s="5349"/>
      <c r="AD439" s="5349"/>
      <c r="AE439" s="5349"/>
      <c r="AF439" s="5349">
        <f t="shared" si="173"/>
        <v>6250000</v>
      </c>
      <c r="AG439" s="5338">
        <f t="shared" si="174"/>
        <v>0</v>
      </c>
    </row>
    <row r="440" spans="1:33" s="5333" customFormat="1" ht="3" customHeight="1">
      <c r="A440" s="5340"/>
      <c r="B440" s="5340"/>
      <c r="C440" s="5340"/>
      <c r="D440" s="5367"/>
      <c r="E440" s="5380"/>
      <c r="F440" s="5380"/>
      <c r="G440" s="5380"/>
      <c r="H440" s="5380"/>
      <c r="I440" s="5496"/>
      <c r="J440" s="5366"/>
      <c r="K440" s="5361"/>
      <c r="L440" s="5365"/>
      <c r="M440" s="5357"/>
      <c r="N440" s="5357"/>
      <c r="O440" s="5357">
        <f t="shared" si="197"/>
        <v>0</v>
      </c>
      <c r="P440" s="5358"/>
      <c r="Q440" s="5357">
        <f t="shared" si="198"/>
        <v>0</v>
      </c>
      <c r="R440" s="5358" t="e">
        <f t="shared" si="199"/>
        <v>#DIV/0!</v>
      </c>
      <c r="S440" s="5358"/>
      <c r="T440" s="5357" t="e">
        <f t="shared" si="200"/>
        <v>#DIV/0!</v>
      </c>
      <c r="U440" s="5358"/>
      <c r="V440" s="5357">
        <f t="shared" si="201"/>
        <v>0</v>
      </c>
      <c r="W440" s="5358" t="e">
        <f t="shared" si="202"/>
        <v>#DIV/0!</v>
      </c>
      <c r="X440" s="5358"/>
      <c r="Y440" s="5357" t="e">
        <f t="shared" si="203"/>
        <v>#DIV/0!</v>
      </c>
      <c r="Z440" s="5358"/>
      <c r="AA440" s="5357">
        <f t="shared" si="204"/>
        <v>0</v>
      </c>
      <c r="AB440" s="5358" t="e">
        <f t="shared" si="205"/>
        <v>#DIV/0!</v>
      </c>
      <c r="AC440" s="5349"/>
      <c r="AD440" s="5349"/>
      <c r="AE440" s="5349"/>
      <c r="AF440" s="5349">
        <f t="shared" si="173"/>
        <v>0</v>
      </c>
      <c r="AG440" s="5338">
        <f t="shared" si="174"/>
        <v>0</v>
      </c>
    </row>
    <row r="441" spans="1:33" s="5333" customFormat="1" ht="15.05" customHeight="1">
      <c r="A441" s="5426"/>
      <c r="B441" s="5426"/>
      <c r="C441" s="5426"/>
      <c r="D441" s="5374">
        <v>4</v>
      </c>
      <c r="E441" s="5374">
        <v>1</v>
      </c>
      <c r="F441" s="5374">
        <v>2</v>
      </c>
      <c r="G441" s="5374"/>
      <c r="H441" s="5374"/>
      <c r="I441" s="5537"/>
      <c r="J441" s="5372" t="s">
        <v>106</v>
      </c>
      <c r="K441" s="5361"/>
      <c r="L441" s="5365"/>
      <c r="M441" s="5357">
        <v>3287212000</v>
      </c>
      <c r="N441" s="5357">
        <f>N442</f>
        <v>125000000</v>
      </c>
      <c r="O441" s="5357">
        <f t="shared" si="197"/>
        <v>-3162212000</v>
      </c>
      <c r="P441" s="5358">
        <f>P442</f>
        <v>125000000</v>
      </c>
      <c r="Q441" s="5357">
        <f t="shared" si="198"/>
        <v>0</v>
      </c>
      <c r="R441" s="5358">
        <f t="shared" si="199"/>
        <v>0</v>
      </c>
      <c r="S441" s="5358">
        <f>S442</f>
        <v>131250000</v>
      </c>
      <c r="T441" s="5357">
        <f t="shared" si="200"/>
        <v>131250000</v>
      </c>
      <c r="U441" s="5358">
        <f>U442</f>
        <v>125000000</v>
      </c>
      <c r="V441" s="5357">
        <f t="shared" si="201"/>
        <v>6250000</v>
      </c>
      <c r="W441" s="5358">
        <f t="shared" si="202"/>
        <v>5</v>
      </c>
      <c r="X441" s="5358">
        <f>X442</f>
        <v>131250000</v>
      </c>
      <c r="Y441" s="5357">
        <f t="shared" si="203"/>
        <v>131249995</v>
      </c>
      <c r="Z441" s="5358">
        <f>Z442</f>
        <v>125000000</v>
      </c>
      <c r="AA441" s="5357">
        <f t="shared" si="204"/>
        <v>0</v>
      </c>
      <c r="AB441" s="5358">
        <f t="shared" si="205"/>
        <v>0</v>
      </c>
      <c r="AC441" s="5349"/>
      <c r="AD441" s="5349"/>
      <c r="AE441" s="5349"/>
      <c r="AF441" s="5349">
        <f t="shared" si="173"/>
        <v>6250000</v>
      </c>
      <c r="AG441" s="5338">
        <f t="shared" si="174"/>
        <v>0</v>
      </c>
    </row>
    <row r="442" spans="1:33" s="5333" customFormat="1" ht="15.05" customHeight="1">
      <c r="A442" s="5426"/>
      <c r="B442" s="5426"/>
      <c r="C442" s="5426"/>
      <c r="D442" s="5367">
        <v>4</v>
      </c>
      <c r="E442" s="5367">
        <v>1</v>
      </c>
      <c r="F442" s="5367">
        <v>2</v>
      </c>
      <c r="G442" s="5368" t="s">
        <v>438</v>
      </c>
      <c r="H442" s="5367"/>
      <c r="I442" s="5631"/>
      <c r="J442" s="5366" t="s">
        <v>109</v>
      </c>
      <c r="K442" s="5361"/>
      <c r="L442" s="5365"/>
      <c r="M442" s="5357">
        <v>3287212000</v>
      </c>
      <c r="N442" s="5357">
        <f>N443</f>
        <v>125000000</v>
      </c>
      <c r="O442" s="5357">
        <f t="shared" si="197"/>
        <v>-3162212000</v>
      </c>
      <c r="P442" s="5358">
        <f>P443</f>
        <v>125000000</v>
      </c>
      <c r="Q442" s="5357">
        <f t="shared" si="198"/>
        <v>0</v>
      </c>
      <c r="R442" s="5358">
        <f t="shared" si="199"/>
        <v>0</v>
      </c>
      <c r="S442" s="5358">
        <f>S443</f>
        <v>131250000</v>
      </c>
      <c r="T442" s="5357">
        <f t="shared" si="200"/>
        <v>131250000</v>
      </c>
      <c r="U442" s="5358">
        <f>U443</f>
        <v>125000000</v>
      </c>
      <c r="V442" s="5357">
        <f t="shared" si="201"/>
        <v>6250000</v>
      </c>
      <c r="W442" s="5358">
        <f t="shared" si="202"/>
        <v>5</v>
      </c>
      <c r="X442" s="5358">
        <f>X443</f>
        <v>131250000</v>
      </c>
      <c r="Y442" s="5357">
        <f t="shared" si="203"/>
        <v>131249995</v>
      </c>
      <c r="Z442" s="5358">
        <f>Z443</f>
        <v>125000000</v>
      </c>
      <c r="AA442" s="5357">
        <f t="shared" si="204"/>
        <v>0</v>
      </c>
      <c r="AB442" s="5358">
        <f t="shared" si="205"/>
        <v>0</v>
      </c>
      <c r="AC442" s="5349"/>
      <c r="AD442" s="5349"/>
      <c r="AE442" s="5349"/>
      <c r="AF442" s="5349">
        <f t="shared" si="173"/>
        <v>6250000</v>
      </c>
      <c r="AG442" s="5338">
        <f t="shared" si="174"/>
        <v>0</v>
      </c>
    </row>
    <row r="443" spans="1:33" s="5499" customFormat="1" ht="15.05" customHeight="1">
      <c r="A443" s="5500"/>
      <c r="B443" s="5500"/>
      <c r="C443" s="5500"/>
      <c r="D443" s="5367">
        <v>4</v>
      </c>
      <c r="E443" s="5367">
        <v>1</v>
      </c>
      <c r="F443" s="5367">
        <v>2</v>
      </c>
      <c r="G443" s="5368" t="s">
        <v>438</v>
      </c>
      <c r="H443" s="5368" t="s">
        <v>437</v>
      </c>
      <c r="I443" s="5632"/>
      <c r="J443" s="5366" t="s">
        <v>64</v>
      </c>
      <c r="K443" s="5361"/>
      <c r="L443" s="5365"/>
      <c r="M443" s="5402">
        <v>3287212000</v>
      </c>
      <c r="N443" s="5402">
        <f>SUM(N444:N446)</f>
        <v>125000000</v>
      </c>
      <c r="O443" s="5402">
        <f t="shared" si="197"/>
        <v>-3162212000</v>
      </c>
      <c r="P443" s="5401">
        <f>SUM(P444:P446)</f>
        <v>125000000</v>
      </c>
      <c r="Q443" s="5357">
        <f t="shared" si="198"/>
        <v>0</v>
      </c>
      <c r="R443" s="5401">
        <f t="shared" si="199"/>
        <v>0</v>
      </c>
      <c r="S443" s="5358">
        <f>SUM(S444:S446)</f>
        <v>131250000</v>
      </c>
      <c r="T443" s="5357">
        <f t="shared" si="200"/>
        <v>131250000</v>
      </c>
      <c r="U443" s="5358">
        <f>SUM(U444:U446)</f>
        <v>125000000</v>
      </c>
      <c r="V443" s="5357">
        <f t="shared" si="201"/>
        <v>6250000</v>
      </c>
      <c r="W443" s="5358">
        <f t="shared" si="202"/>
        <v>5</v>
      </c>
      <c r="X443" s="5358">
        <f>SUM(X444:X446)</f>
        <v>131250000</v>
      </c>
      <c r="Y443" s="5357">
        <f t="shared" si="203"/>
        <v>131249995</v>
      </c>
      <c r="Z443" s="5358">
        <f>SUM(Z444:Z446)</f>
        <v>125000000</v>
      </c>
      <c r="AA443" s="5357">
        <f t="shared" si="204"/>
        <v>0</v>
      </c>
      <c r="AB443" s="5358">
        <f t="shared" si="205"/>
        <v>0</v>
      </c>
      <c r="AC443" s="5349"/>
      <c r="AD443" s="5349"/>
      <c r="AE443" s="5349"/>
      <c r="AF443" s="5349">
        <f t="shared" si="173"/>
        <v>6250000</v>
      </c>
      <c r="AG443" s="5338">
        <f t="shared" si="174"/>
        <v>0</v>
      </c>
    </row>
    <row r="444" spans="1:33" s="5499" customFormat="1" ht="14.25" customHeight="1">
      <c r="A444" s="5506"/>
      <c r="B444" s="5506"/>
      <c r="C444" s="5506"/>
      <c r="D444" s="5368"/>
      <c r="E444" s="5380"/>
      <c r="F444" s="5380"/>
      <c r="G444" s="5379"/>
      <c r="H444" s="5379"/>
      <c r="I444" s="5495"/>
      <c r="J444" s="5366" t="s">
        <v>156</v>
      </c>
      <c r="K444" s="5361" t="s">
        <v>1401</v>
      </c>
      <c r="L444" s="5365"/>
      <c r="M444" s="5359">
        <v>30000000</v>
      </c>
      <c r="N444" s="5359">
        <v>30000000</v>
      </c>
      <c r="O444" s="5359">
        <f t="shared" si="197"/>
        <v>0</v>
      </c>
      <c r="P444" s="5358">
        <v>30000000</v>
      </c>
      <c r="Q444" s="5357">
        <f t="shared" si="198"/>
        <v>0</v>
      </c>
      <c r="R444" s="5358">
        <f t="shared" si="199"/>
        <v>0</v>
      </c>
      <c r="S444" s="5358">
        <v>30000000</v>
      </c>
      <c r="T444" s="5359">
        <f t="shared" si="200"/>
        <v>30000000</v>
      </c>
      <c r="U444" s="5358">
        <v>30000000</v>
      </c>
      <c r="V444" s="5357">
        <f t="shared" si="201"/>
        <v>0</v>
      </c>
      <c r="W444" s="5358">
        <f t="shared" si="202"/>
        <v>0</v>
      </c>
      <c r="X444" s="5358">
        <v>30000000</v>
      </c>
      <c r="Y444" s="5359">
        <f t="shared" si="203"/>
        <v>30000000</v>
      </c>
      <c r="Z444" s="5358">
        <v>30000000</v>
      </c>
      <c r="AA444" s="5357">
        <f t="shared" si="204"/>
        <v>0</v>
      </c>
      <c r="AB444" s="5358">
        <f t="shared" si="205"/>
        <v>0</v>
      </c>
      <c r="AC444" s="5350"/>
      <c r="AD444" s="5350"/>
      <c r="AE444" s="5350"/>
      <c r="AF444" s="5349">
        <f t="shared" si="173"/>
        <v>0</v>
      </c>
      <c r="AG444" s="5338">
        <f t="shared" si="174"/>
        <v>0</v>
      </c>
    </row>
    <row r="445" spans="1:33" s="5499" customFormat="1" ht="14.25" customHeight="1">
      <c r="A445" s="5506"/>
      <c r="B445" s="5506"/>
      <c r="C445" s="5506"/>
      <c r="D445" s="5368"/>
      <c r="E445" s="5380"/>
      <c r="F445" s="5380"/>
      <c r="G445" s="5379"/>
      <c r="H445" s="5379"/>
      <c r="I445" s="5495"/>
      <c r="J445" s="5366" t="s">
        <v>161</v>
      </c>
      <c r="K445" s="5361" t="s">
        <v>1400</v>
      </c>
      <c r="L445" s="5365"/>
      <c r="M445" s="5359">
        <v>20000000</v>
      </c>
      <c r="N445" s="5359">
        <v>20000000</v>
      </c>
      <c r="O445" s="5359">
        <f t="shared" si="197"/>
        <v>0</v>
      </c>
      <c r="P445" s="5358">
        <v>20000000</v>
      </c>
      <c r="Q445" s="5357">
        <f t="shared" si="198"/>
        <v>0</v>
      </c>
      <c r="R445" s="5358">
        <f t="shared" si="199"/>
        <v>0</v>
      </c>
      <c r="S445" s="5358">
        <v>26250000</v>
      </c>
      <c r="T445" s="5359">
        <f t="shared" si="200"/>
        <v>26250000</v>
      </c>
      <c r="U445" s="5358">
        <v>20000000</v>
      </c>
      <c r="V445" s="5357">
        <f t="shared" si="201"/>
        <v>6250000</v>
      </c>
      <c r="W445" s="5358">
        <f t="shared" si="202"/>
        <v>31.25</v>
      </c>
      <c r="X445" s="5358">
        <v>26250000</v>
      </c>
      <c r="Y445" s="5359">
        <f t="shared" si="203"/>
        <v>26249968.75</v>
      </c>
      <c r="Z445" s="5358">
        <v>20000000</v>
      </c>
      <c r="AA445" s="5357">
        <f t="shared" si="204"/>
        <v>0</v>
      </c>
      <c r="AB445" s="5358">
        <f t="shared" si="205"/>
        <v>0</v>
      </c>
      <c r="AC445" s="5350"/>
      <c r="AD445" s="5350"/>
      <c r="AE445" s="5350"/>
      <c r="AF445" s="5349">
        <f t="shared" si="173"/>
        <v>6250000</v>
      </c>
      <c r="AG445" s="5338">
        <f t="shared" si="174"/>
        <v>0</v>
      </c>
    </row>
    <row r="446" spans="1:33" s="5499" customFormat="1" ht="14.25" customHeight="1">
      <c r="A446" s="5506"/>
      <c r="B446" s="5506"/>
      <c r="C446" s="5506"/>
      <c r="D446" s="5368"/>
      <c r="E446" s="5380"/>
      <c r="F446" s="5380"/>
      <c r="G446" s="5379"/>
      <c r="H446" s="5379"/>
      <c r="I446" s="5495"/>
      <c r="J446" s="5366" t="s">
        <v>163</v>
      </c>
      <c r="K446" s="5361" t="s">
        <v>1399</v>
      </c>
      <c r="L446" s="5365"/>
      <c r="M446" s="5359">
        <v>75000000</v>
      </c>
      <c r="N446" s="5359">
        <v>75000000</v>
      </c>
      <c r="O446" s="5359">
        <f t="shared" si="197"/>
        <v>0</v>
      </c>
      <c r="P446" s="5358">
        <v>75000000</v>
      </c>
      <c r="Q446" s="5357">
        <f t="shared" si="198"/>
        <v>0</v>
      </c>
      <c r="R446" s="5358">
        <f t="shared" si="199"/>
        <v>0</v>
      </c>
      <c r="S446" s="5358">
        <v>75000000</v>
      </c>
      <c r="T446" s="5359">
        <f t="shared" si="200"/>
        <v>75000000</v>
      </c>
      <c r="U446" s="5358">
        <v>75000000</v>
      </c>
      <c r="V446" s="5357">
        <f t="shared" si="201"/>
        <v>0</v>
      </c>
      <c r="W446" s="5358">
        <f t="shared" si="202"/>
        <v>0</v>
      </c>
      <c r="X446" s="5358">
        <v>75000000</v>
      </c>
      <c r="Y446" s="5359">
        <f t="shared" si="203"/>
        <v>75000000</v>
      </c>
      <c r="Z446" s="5358">
        <v>75000000</v>
      </c>
      <c r="AA446" s="5357">
        <f t="shared" si="204"/>
        <v>0</v>
      </c>
      <c r="AB446" s="5358">
        <f t="shared" si="205"/>
        <v>0</v>
      </c>
      <c r="AC446" s="5350"/>
      <c r="AD446" s="5350"/>
      <c r="AE446" s="5350"/>
      <c r="AF446" s="5349">
        <f t="shared" si="173"/>
        <v>0</v>
      </c>
      <c r="AG446" s="5338">
        <f t="shared" si="174"/>
        <v>0</v>
      </c>
    </row>
    <row r="447" spans="1:33" s="5499" customFormat="1" ht="14.25" customHeight="1">
      <c r="A447" s="5506"/>
      <c r="B447" s="5506"/>
      <c r="C447" s="5506"/>
      <c r="D447" s="5435"/>
      <c r="E447" s="5434"/>
      <c r="F447" s="5434"/>
      <c r="G447" s="5433"/>
      <c r="H447" s="5433"/>
      <c r="I447" s="5641"/>
      <c r="J447" s="5432"/>
      <c r="K447" s="5405"/>
      <c r="L447" s="5409"/>
      <c r="M447" s="5505"/>
      <c r="N447" s="5505"/>
      <c r="O447" s="5505"/>
      <c r="P447" s="5503"/>
      <c r="Q447" s="5504"/>
      <c r="R447" s="5503"/>
      <c r="S447" s="5503"/>
      <c r="T447" s="5505"/>
      <c r="U447" s="5503"/>
      <c r="V447" s="5504"/>
      <c r="W447" s="5503"/>
      <c r="X447" s="5503"/>
      <c r="Y447" s="5505"/>
      <c r="Z447" s="5503"/>
      <c r="AA447" s="5504"/>
      <c r="AB447" s="5503"/>
      <c r="AC447" s="5350"/>
      <c r="AD447" s="5350"/>
      <c r="AE447" s="5350"/>
      <c r="AF447" s="5349">
        <f t="shared" si="173"/>
        <v>0</v>
      </c>
      <c r="AG447" s="5338">
        <f t="shared" si="174"/>
        <v>0</v>
      </c>
    </row>
    <row r="448" spans="1:33" s="5521" customFormat="1" ht="15.05" customHeight="1">
      <c r="A448" s="5608"/>
      <c r="B448" s="5608"/>
      <c r="C448" s="5608"/>
      <c r="D448" s="5520"/>
      <c r="E448" s="5393"/>
      <c r="F448" s="5393"/>
      <c r="G448" s="5393"/>
      <c r="H448" s="5393"/>
      <c r="I448" s="5629" t="s">
        <v>1509</v>
      </c>
      <c r="J448" s="5391" t="s">
        <v>1398</v>
      </c>
      <c r="K448" s="5390"/>
      <c r="L448" s="5389"/>
      <c r="M448" s="5502">
        <v>4000000000</v>
      </c>
      <c r="N448" s="5502">
        <f>N450+N597+N632</f>
        <v>2369917231056</v>
      </c>
      <c r="O448" s="5502">
        <f>N448-M448</f>
        <v>2365917231056</v>
      </c>
      <c r="P448" s="5501">
        <f>P450+P597+P632</f>
        <v>2414140323108</v>
      </c>
      <c r="Q448" s="5502">
        <f>+P448-N448</f>
        <v>44223092052</v>
      </c>
      <c r="R448" s="5501">
        <f>P448/N448*100-100</f>
        <v>1.8660184192295475</v>
      </c>
      <c r="S448" s="5501" t="e">
        <f>S450+S597+S632</f>
        <v>#REF!</v>
      </c>
      <c r="T448" s="5502" t="e">
        <f>S448-R448</f>
        <v>#REF!</v>
      </c>
      <c r="U448" s="5501">
        <f>U450+U597+U632</f>
        <v>1040994494108</v>
      </c>
      <c r="V448" s="5502" t="e">
        <f>S448-P448</f>
        <v>#REF!</v>
      </c>
      <c r="W448" s="5501" t="e">
        <f>S448/P448*100-100</f>
        <v>#REF!</v>
      </c>
      <c r="X448" s="5501" t="e">
        <f>X450+X597+X632</f>
        <v>#REF!</v>
      </c>
      <c r="Y448" s="5502" t="e">
        <f>X448-W448</f>
        <v>#REF!</v>
      </c>
      <c r="Z448" s="5501">
        <f>Z450+Z597+Z632</f>
        <v>2414140323108</v>
      </c>
      <c r="AA448" s="5502" t="e">
        <f>X448-S448</f>
        <v>#REF!</v>
      </c>
      <c r="AB448" s="5501" t="e">
        <f>X448/S448*100-100</f>
        <v>#REF!</v>
      </c>
      <c r="AC448" s="5594"/>
      <c r="AD448" s="5594"/>
      <c r="AE448" s="5594"/>
      <c r="AF448" s="5594" t="e">
        <f t="shared" si="173"/>
        <v>#REF!</v>
      </c>
      <c r="AG448" s="5595" t="e">
        <f t="shared" si="174"/>
        <v>#REF!</v>
      </c>
    </row>
    <row r="449" spans="1:33" s="5333" customFormat="1" ht="6.75" customHeight="1">
      <c r="A449" s="5340"/>
      <c r="B449" s="5340"/>
      <c r="C449" s="5340"/>
      <c r="D449" s="5415"/>
      <c r="E449" s="5386"/>
      <c r="F449" s="5386"/>
      <c r="G449" s="5386"/>
      <c r="H449" s="5386"/>
      <c r="I449" s="5636"/>
      <c r="J449" s="5414"/>
      <c r="K449" s="5413"/>
      <c r="L449" s="5412"/>
      <c r="M449" s="5382"/>
      <c r="N449" s="5382"/>
      <c r="O449" s="5382"/>
      <c r="P449" s="5381"/>
      <c r="Q449" s="5382"/>
      <c r="R449" s="5381"/>
      <c r="S449" s="5381"/>
      <c r="T449" s="5382"/>
      <c r="U449" s="5381"/>
      <c r="V449" s="5382"/>
      <c r="W449" s="5381"/>
      <c r="X449" s="5381"/>
      <c r="Y449" s="5382"/>
      <c r="Z449" s="5381"/>
      <c r="AA449" s="5382"/>
      <c r="AB449" s="5381"/>
      <c r="AC449" s="5349"/>
      <c r="AD449" s="5349"/>
      <c r="AE449" s="5349"/>
      <c r="AF449" s="5349">
        <f t="shared" si="173"/>
        <v>0</v>
      </c>
      <c r="AG449" s="5338">
        <f t="shared" si="174"/>
        <v>0</v>
      </c>
    </row>
    <row r="450" spans="1:33" s="5333" customFormat="1" ht="15.05" customHeight="1">
      <c r="A450" s="5426"/>
      <c r="B450" s="5426"/>
      <c r="C450" s="5426"/>
      <c r="D450" s="5374">
        <v>4</v>
      </c>
      <c r="E450" s="5374">
        <v>1</v>
      </c>
      <c r="F450" s="5374"/>
      <c r="G450" s="5374"/>
      <c r="H450" s="5374"/>
      <c r="I450" s="5537"/>
      <c r="J450" s="5372" t="s">
        <v>180</v>
      </c>
      <c r="K450" s="5371"/>
      <c r="L450" s="5370"/>
      <c r="M450" s="5357">
        <v>4000000000</v>
      </c>
      <c r="N450" s="5357">
        <f>N452+N471+N485</f>
        <v>234651128956</v>
      </c>
      <c r="O450" s="5357">
        <f t="shared" ref="O450:O469" si="206">N450-M450</f>
        <v>230651128956</v>
      </c>
      <c r="P450" s="5358">
        <f>P452+P471+P485</f>
        <v>222137325300</v>
      </c>
      <c r="Q450" s="5357">
        <f t="shared" ref="Q450:Q461" si="207">+P450-N450</f>
        <v>-12513803656</v>
      </c>
      <c r="R450" s="5358">
        <f t="shared" ref="R450:R461" si="208">P450/N450*100-100</f>
        <v>-5.3329398889644892</v>
      </c>
      <c r="S450" s="5358">
        <f>S452+S471+S485</f>
        <v>181842529274</v>
      </c>
      <c r="T450" s="5357">
        <f t="shared" ref="T450:T469" si="209">S450-R450</f>
        <v>181842529279.33295</v>
      </c>
      <c r="U450" s="5358">
        <f>U452+U471+U485</f>
        <v>222137325300</v>
      </c>
      <c r="V450" s="5357">
        <f t="shared" ref="V450:V461" si="210">S450-P450</f>
        <v>-40294796026</v>
      </c>
      <c r="W450" s="5358">
        <f t="shared" ref="W450:W461" si="211">S450/P450*100-100</f>
        <v>-18.139588190134745</v>
      </c>
      <c r="X450" s="5358" t="e">
        <f>X452+X471+X485</f>
        <v>#REF!</v>
      </c>
      <c r="Y450" s="5357" t="e">
        <f t="shared" ref="Y450:Y469" si="212">X450-W450</f>
        <v>#REF!</v>
      </c>
      <c r="Z450" s="5358">
        <f>Z452+Z471+Z485</f>
        <v>222137325300</v>
      </c>
      <c r="AA450" s="5357" t="e">
        <f t="shared" ref="AA450:AA461" si="213">X450-S450</f>
        <v>#REF!</v>
      </c>
      <c r="AB450" s="5358" t="e">
        <f t="shared" ref="AB450:AB461" si="214">X450/S450*100-100</f>
        <v>#REF!</v>
      </c>
      <c r="AC450" s="5349" t="e">
        <f>X452+X471+X485</f>
        <v>#REF!</v>
      </c>
      <c r="AD450" s="5349"/>
      <c r="AE450" s="5349"/>
      <c r="AF450" s="5349">
        <f t="shared" si="173"/>
        <v>-40294796026</v>
      </c>
      <c r="AG450" s="5338">
        <f t="shared" si="174"/>
        <v>0</v>
      </c>
    </row>
    <row r="451" spans="1:33" s="5333" customFormat="1" ht="3" customHeight="1">
      <c r="A451" s="5340"/>
      <c r="B451" s="5340"/>
      <c r="C451" s="5340"/>
      <c r="D451" s="5367"/>
      <c r="E451" s="5380"/>
      <c r="F451" s="5380"/>
      <c r="G451" s="5380"/>
      <c r="H451" s="5380"/>
      <c r="I451" s="5496"/>
      <c r="J451" s="5366"/>
      <c r="K451" s="5361"/>
      <c r="L451" s="5365"/>
      <c r="M451" s="5357"/>
      <c r="N451" s="5357"/>
      <c r="O451" s="5357">
        <f t="shared" si="206"/>
        <v>0</v>
      </c>
      <c r="P451" s="5358"/>
      <c r="Q451" s="5357">
        <f t="shared" si="207"/>
        <v>0</v>
      </c>
      <c r="R451" s="5358" t="e">
        <f t="shared" si="208"/>
        <v>#DIV/0!</v>
      </c>
      <c r="S451" s="5358"/>
      <c r="T451" s="5357" t="e">
        <f t="shared" si="209"/>
        <v>#DIV/0!</v>
      </c>
      <c r="U451" s="5358"/>
      <c r="V451" s="5357">
        <f t="shared" si="210"/>
        <v>0</v>
      </c>
      <c r="W451" s="5358" t="e">
        <f t="shared" si="211"/>
        <v>#DIV/0!</v>
      </c>
      <c r="X451" s="5358"/>
      <c r="Y451" s="5357" t="e">
        <f t="shared" si="212"/>
        <v>#DIV/0!</v>
      </c>
      <c r="Z451" s="5358"/>
      <c r="AA451" s="5357">
        <f t="shared" si="213"/>
        <v>0</v>
      </c>
      <c r="AB451" s="5358" t="e">
        <f t="shared" si="214"/>
        <v>#DIV/0!</v>
      </c>
      <c r="AC451" s="5349"/>
      <c r="AD451" s="5349"/>
      <c r="AE451" s="5349"/>
      <c r="AF451" s="5349">
        <f t="shared" si="173"/>
        <v>0</v>
      </c>
      <c r="AG451" s="5338">
        <f t="shared" si="174"/>
        <v>0</v>
      </c>
    </row>
    <row r="452" spans="1:33" s="5333" customFormat="1" ht="15.05" customHeight="1">
      <c r="A452" s="5426"/>
      <c r="B452" s="5426"/>
      <c r="C452" s="5426"/>
      <c r="D452" s="5374">
        <v>4</v>
      </c>
      <c r="E452" s="5374">
        <v>1</v>
      </c>
      <c r="F452" s="5374">
        <v>2</v>
      </c>
      <c r="G452" s="5374"/>
      <c r="H452" s="5374"/>
      <c r="I452" s="5537"/>
      <c r="J452" s="5372" t="s">
        <v>106</v>
      </c>
      <c r="K452" s="5361"/>
      <c r="L452" s="5365"/>
      <c r="M452" s="5357">
        <v>3287212000</v>
      </c>
      <c r="N452" s="5357">
        <f>N453</f>
        <v>2223131500</v>
      </c>
      <c r="O452" s="5357">
        <f t="shared" si="206"/>
        <v>-1064080500</v>
      </c>
      <c r="P452" s="5358">
        <f>P453</f>
        <v>1802762600</v>
      </c>
      <c r="Q452" s="5357">
        <f t="shared" si="207"/>
        <v>-420368900</v>
      </c>
      <c r="R452" s="5358">
        <f t="shared" si="208"/>
        <v>-18.908863465791384</v>
      </c>
      <c r="S452" s="5358">
        <f>S453</f>
        <v>2235631500</v>
      </c>
      <c r="T452" s="5357">
        <f t="shared" si="209"/>
        <v>2235631518.9088635</v>
      </c>
      <c r="U452" s="5358">
        <f>U453</f>
        <v>1802762600</v>
      </c>
      <c r="V452" s="5357">
        <f t="shared" si="210"/>
        <v>432868900</v>
      </c>
      <c r="W452" s="5358">
        <f t="shared" si="211"/>
        <v>24.011420028349818</v>
      </c>
      <c r="X452" s="5358" t="e">
        <f>X453</f>
        <v>#REF!</v>
      </c>
      <c r="Y452" s="5357" t="e">
        <f t="shared" si="212"/>
        <v>#REF!</v>
      </c>
      <c r="Z452" s="5358">
        <f>Z453</f>
        <v>1802762600</v>
      </c>
      <c r="AA452" s="5357" t="e">
        <f t="shared" si="213"/>
        <v>#REF!</v>
      </c>
      <c r="AB452" s="5358" t="e">
        <f t="shared" si="214"/>
        <v>#REF!</v>
      </c>
      <c r="AC452" s="5349"/>
      <c r="AD452" s="5349"/>
      <c r="AE452" s="5349"/>
      <c r="AF452" s="5349">
        <f t="shared" si="173"/>
        <v>432868900</v>
      </c>
      <c r="AG452" s="5338">
        <f t="shared" si="174"/>
        <v>0</v>
      </c>
    </row>
    <row r="453" spans="1:33" s="5333" customFormat="1" ht="15.05" customHeight="1">
      <c r="A453" s="5426"/>
      <c r="B453" s="5426"/>
      <c r="C453" s="5426"/>
      <c r="D453" s="5367">
        <v>4</v>
      </c>
      <c r="E453" s="5367">
        <v>1</v>
      </c>
      <c r="F453" s="5367">
        <v>2</v>
      </c>
      <c r="G453" s="5368" t="s">
        <v>438</v>
      </c>
      <c r="H453" s="5367"/>
      <c r="I453" s="5631"/>
      <c r="J453" s="5366" t="s">
        <v>109</v>
      </c>
      <c r="K453" s="5361"/>
      <c r="L453" s="5365"/>
      <c r="M453" s="5357">
        <v>3287212000</v>
      </c>
      <c r="N453" s="5357">
        <f>N454</f>
        <v>2223131500</v>
      </c>
      <c r="O453" s="5357">
        <f t="shared" si="206"/>
        <v>-1064080500</v>
      </c>
      <c r="P453" s="5358">
        <f>P454</f>
        <v>1802762600</v>
      </c>
      <c r="Q453" s="5357">
        <f t="shared" si="207"/>
        <v>-420368900</v>
      </c>
      <c r="R453" s="5358">
        <f t="shared" si="208"/>
        <v>-18.908863465791384</v>
      </c>
      <c r="S453" s="5358">
        <f>S454</f>
        <v>2235631500</v>
      </c>
      <c r="T453" s="5357">
        <f t="shared" si="209"/>
        <v>2235631518.9088635</v>
      </c>
      <c r="U453" s="5358">
        <f>U454</f>
        <v>1802762600</v>
      </c>
      <c r="V453" s="5357">
        <f t="shared" si="210"/>
        <v>432868900</v>
      </c>
      <c r="W453" s="5358">
        <f t="shared" si="211"/>
        <v>24.011420028349818</v>
      </c>
      <c r="X453" s="5358" t="e">
        <f>X454</f>
        <v>#REF!</v>
      </c>
      <c r="Y453" s="5357" t="e">
        <f t="shared" si="212"/>
        <v>#REF!</v>
      </c>
      <c r="Z453" s="5358">
        <f>Z454</f>
        <v>1802762600</v>
      </c>
      <c r="AA453" s="5357" t="e">
        <f t="shared" si="213"/>
        <v>#REF!</v>
      </c>
      <c r="AB453" s="5358" t="e">
        <f t="shared" si="214"/>
        <v>#REF!</v>
      </c>
      <c r="AC453" s="5349"/>
      <c r="AD453" s="5349"/>
      <c r="AE453" s="5349"/>
      <c r="AF453" s="5349">
        <f t="shared" si="173"/>
        <v>432868900</v>
      </c>
      <c r="AG453" s="5338">
        <f t="shared" si="174"/>
        <v>0</v>
      </c>
    </row>
    <row r="454" spans="1:33" s="5499" customFormat="1" ht="15.05" customHeight="1">
      <c r="A454" s="5500"/>
      <c r="B454" s="5500"/>
      <c r="C454" s="5500"/>
      <c r="D454" s="5367">
        <v>4</v>
      </c>
      <c r="E454" s="5367">
        <v>1</v>
      </c>
      <c r="F454" s="5367">
        <v>2</v>
      </c>
      <c r="G454" s="5368" t="s">
        <v>438</v>
      </c>
      <c r="H454" s="5368" t="s">
        <v>437</v>
      </c>
      <c r="I454" s="5632"/>
      <c r="J454" s="5366" t="s">
        <v>64</v>
      </c>
      <c r="K454" s="5361"/>
      <c r="L454" s="5365"/>
      <c r="M454" s="5402">
        <v>3287212000</v>
      </c>
      <c r="N454" s="5402">
        <f>N455+N458+N459+N469</f>
        <v>2223131500</v>
      </c>
      <c r="O454" s="5402">
        <f t="shared" si="206"/>
        <v>-1064080500</v>
      </c>
      <c r="P454" s="5402">
        <f>P455+P458+P459+P469</f>
        <v>1802762600</v>
      </c>
      <c r="Q454" s="5357">
        <f t="shared" si="207"/>
        <v>-420368900</v>
      </c>
      <c r="R454" s="5401">
        <f t="shared" si="208"/>
        <v>-18.908863465791384</v>
      </c>
      <c r="S454" s="5358">
        <f>S455+S458+S459+S469</f>
        <v>2235631500</v>
      </c>
      <c r="T454" s="5357">
        <f t="shared" si="209"/>
        <v>2235631518.9088635</v>
      </c>
      <c r="U454" s="5357">
        <f>U455+U458+U459+U469</f>
        <v>1802762600</v>
      </c>
      <c r="V454" s="5357">
        <f t="shared" si="210"/>
        <v>432868900</v>
      </c>
      <c r="W454" s="5358">
        <f t="shared" si="211"/>
        <v>24.011420028349818</v>
      </c>
      <c r="X454" s="5358" t="e">
        <f>X455+X458+X459+X469</f>
        <v>#REF!</v>
      </c>
      <c r="Y454" s="5357" t="e">
        <f t="shared" si="212"/>
        <v>#REF!</v>
      </c>
      <c r="Z454" s="5357">
        <f>Z455+Z458+Z459+Z469</f>
        <v>1802762600</v>
      </c>
      <c r="AA454" s="5357" t="e">
        <f t="shared" si="213"/>
        <v>#REF!</v>
      </c>
      <c r="AB454" s="5358" t="e">
        <f t="shared" si="214"/>
        <v>#REF!</v>
      </c>
      <c r="AC454" s="5349"/>
      <c r="AD454" s="5349"/>
      <c r="AE454" s="5349"/>
      <c r="AF454" s="5349">
        <f t="shared" si="173"/>
        <v>432868900</v>
      </c>
      <c r="AG454" s="5338">
        <f t="shared" si="174"/>
        <v>0</v>
      </c>
    </row>
    <row r="455" spans="1:33" s="5333" customFormat="1" ht="14.25" customHeight="1">
      <c r="A455" s="5340"/>
      <c r="B455" s="5340"/>
      <c r="C455" s="5340"/>
      <c r="D455" s="5368"/>
      <c r="E455" s="5380"/>
      <c r="F455" s="5380"/>
      <c r="G455" s="5379"/>
      <c r="H455" s="5379"/>
      <c r="I455" s="5495"/>
      <c r="J455" s="5366" t="s">
        <v>156</v>
      </c>
      <c r="K455" s="5361" t="s">
        <v>182</v>
      </c>
      <c r="L455" s="5365"/>
      <c r="M455" s="5407">
        <v>774157600</v>
      </c>
      <c r="N455" s="5407">
        <f>SUM(N456:N457)</f>
        <v>1575381500</v>
      </c>
      <c r="O455" s="5359">
        <f t="shared" si="206"/>
        <v>801223900</v>
      </c>
      <c r="P455" s="5401">
        <f>SUM(P456:P457)</f>
        <v>729157600</v>
      </c>
      <c r="Q455" s="5357">
        <f t="shared" si="207"/>
        <v>-846223900</v>
      </c>
      <c r="R455" s="5358">
        <f t="shared" si="208"/>
        <v>-53.715490501824483</v>
      </c>
      <c r="S455" s="5358">
        <f>SUM(S456:S457)</f>
        <v>1575381500</v>
      </c>
      <c r="T455" s="5359">
        <f t="shared" si="209"/>
        <v>1575381553.7154906</v>
      </c>
      <c r="U455" s="5358">
        <f>SUM(U456:U457)</f>
        <v>729157600</v>
      </c>
      <c r="V455" s="5357">
        <f t="shared" si="210"/>
        <v>846223900</v>
      </c>
      <c r="W455" s="5358">
        <f t="shared" si="211"/>
        <v>116.05500648968069</v>
      </c>
      <c r="X455" s="5358" t="e">
        <f>SUM(X456:X457)</f>
        <v>#REF!</v>
      </c>
      <c r="Y455" s="5359" t="e">
        <f t="shared" si="212"/>
        <v>#REF!</v>
      </c>
      <c r="Z455" s="5358">
        <f>SUM(Z456:Z457)</f>
        <v>729157600</v>
      </c>
      <c r="AA455" s="5357" t="e">
        <f t="shared" si="213"/>
        <v>#REF!</v>
      </c>
      <c r="AB455" s="5358" t="e">
        <f t="shared" si="214"/>
        <v>#REF!</v>
      </c>
      <c r="AC455" s="5350"/>
      <c r="AD455" s="5350"/>
      <c r="AE455" s="5350"/>
      <c r="AF455" s="5349">
        <f t="shared" si="173"/>
        <v>846223900</v>
      </c>
      <c r="AG455" s="5338">
        <f t="shared" si="174"/>
        <v>0</v>
      </c>
    </row>
    <row r="456" spans="1:33" s="5333" customFormat="1" ht="14.25" customHeight="1">
      <c r="A456" s="5340"/>
      <c r="B456" s="5340"/>
      <c r="C456" s="5340"/>
      <c r="D456" s="5368"/>
      <c r="E456" s="5380"/>
      <c r="F456" s="5380"/>
      <c r="G456" s="5379"/>
      <c r="H456" s="5379"/>
      <c r="I456" s="5495"/>
      <c r="J456" s="5366"/>
      <c r="K456" s="5493" t="s">
        <v>183</v>
      </c>
      <c r="L456" s="5365"/>
      <c r="M456" s="5359">
        <v>367246100</v>
      </c>
      <c r="N456" s="5359">
        <v>1043101100</v>
      </c>
      <c r="O456" s="5359">
        <f t="shared" si="206"/>
        <v>675855000</v>
      </c>
      <c r="P456" s="5358">
        <f>367246100-45000000</f>
        <v>322246100</v>
      </c>
      <c r="Q456" s="5357">
        <f t="shared" si="207"/>
        <v>-720855000</v>
      </c>
      <c r="R456" s="5358">
        <f t="shared" si="208"/>
        <v>-69.106915906809036</v>
      </c>
      <c r="S456" s="5358">
        <v>1043101100</v>
      </c>
      <c r="T456" s="5359">
        <f t="shared" si="209"/>
        <v>1043101169.106916</v>
      </c>
      <c r="U456" s="5358">
        <f>367246100-45000000</f>
        <v>322246100</v>
      </c>
      <c r="V456" s="5357">
        <f t="shared" si="210"/>
        <v>720855000</v>
      </c>
      <c r="W456" s="5358">
        <f t="shared" si="211"/>
        <v>223.69704396732806</v>
      </c>
      <c r="X456" s="5358" t="e">
        <f>#REF!</f>
        <v>#REF!</v>
      </c>
      <c r="Y456" s="5359" t="e">
        <f t="shared" si="212"/>
        <v>#REF!</v>
      </c>
      <c r="Z456" s="5358">
        <f>367246100-45000000</f>
        <v>322246100</v>
      </c>
      <c r="AA456" s="5357" t="e">
        <f t="shared" si="213"/>
        <v>#REF!</v>
      </c>
      <c r="AB456" s="5358" t="e">
        <f t="shared" si="214"/>
        <v>#REF!</v>
      </c>
      <c r="AC456" s="5350"/>
      <c r="AD456" s="5350"/>
      <c r="AE456" s="5350"/>
      <c r="AF456" s="5349">
        <f t="shared" si="173"/>
        <v>720855000</v>
      </c>
      <c r="AG456" s="5338">
        <f t="shared" si="174"/>
        <v>0</v>
      </c>
    </row>
    <row r="457" spans="1:33" s="5333" customFormat="1" ht="14.25" customHeight="1">
      <c r="A457" s="5340"/>
      <c r="B457" s="5340"/>
      <c r="C457" s="5340"/>
      <c r="D457" s="5368"/>
      <c r="E457" s="5380"/>
      <c r="F457" s="5380"/>
      <c r="G457" s="5379"/>
      <c r="H457" s="5379"/>
      <c r="I457" s="5495"/>
      <c r="J457" s="5366"/>
      <c r="K457" s="5493" t="s">
        <v>184</v>
      </c>
      <c r="L457" s="5365"/>
      <c r="M457" s="5359">
        <v>406911500</v>
      </c>
      <c r="N457" s="5359">
        <v>532280400</v>
      </c>
      <c r="O457" s="5359">
        <f t="shared" si="206"/>
        <v>125368900</v>
      </c>
      <c r="P457" s="5358">
        <v>406911500</v>
      </c>
      <c r="Q457" s="5357">
        <f t="shared" si="207"/>
        <v>-125368900</v>
      </c>
      <c r="R457" s="5358">
        <f t="shared" si="208"/>
        <v>-23.553168593094924</v>
      </c>
      <c r="S457" s="5358">
        <v>532280400</v>
      </c>
      <c r="T457" s="5359">
        <f t="shared" si="209"/>
        <v>532280423.55316859</v>
      </c>
      <c r="U457" s="5358">
        <v>406911500</v>
      </c>
      <c r="V457" s="5357">
        <f t="shared" si="210"/>
        <v>125368900</v>
      </c>
      <c r="W457" s="5358">
        <f t="shared" si="211"/>
        <v>30.809868976423616</v>
      </c>
      <c r="X457" s="5358" t="e">
        <f>#REF!</f>
        <v>#REF!</v>
      </c>
      <c r="Y457" s="5359" t="e">
        <f t="shared" si="212"/>
        <v>#REF!</v>
      </c>
      <c r="Z457" s="5358">
        <v>406911500</v>
      </c>
      <c r="AA457" s="5357" t="e">
        <f t="shared" si="213"/>
        <v>#REF!</v>
      </c>
      <c r="AB457" s="5358" t="e">
        <f t="shared" si="214"/>
        <v>#REF!</v>
      </c>
      <c r="AC457" s="5350"/>
      <c r="AD457" s="5350"/>
      <c r="AE457" s="5350"/>
      <c r="AF457" s="5349">
        <f t="shared" si="173"/>
        <v>125368900</v>
      </c>
      <c r="AG457" s="5338">
        <f t="shared" si="174"/>
        <v>0</v>
      </c>
    </row>
    <row r="458" spans="1:33" s="5333" customFormat="1" ht="14.25" customHeight="1">
      <c r="A458" s="5340"/>
      <c r="B458" s="5340"/>
      <c r="C458" s="5340"/>
      <c r="D458" s="5368"/>
      <c r="E458" s="5380"/>
      <c r="F458" s="5380"/>
      <c r="G458" s="5379"/>
      <c r="H458" s="5379"/>
      <c r="I458" s="5495"/>
      <c r="J458" s="5366" t="s">
        <v>161</v>
      </c>
      <c r="K458" s="5361" t="s">
        <v>185</v>
      </c>
      <c r="L458" s="5365"/>
      <c r="M458" s="5359">
        <v>250000000</v>
      </c>
      <c r="N458" s="5359">
        <v>500000000</v>
      </c>
      <c r="O458" s="5359">
        <f t="shared" si="206"/>
        <v>250000000</v>
      </c>
      <c r="P458" s="5358">
        <v>250000000</v>
      </c>
      <c r="Q458" s="5357">
        <f t="shared" si="207"/>
        <v>-250000000</v>
      </c>
      <c r="R458" s="5358">
        <f t="shared" si="208"/>
        <v>-50</v>
      </c>
      <c r="S458" s="5358">
        <v>500000000</v>
      </c>
      <c r="T458" s="5359">
        <f t="shared" si="209"/>
        <v>500000050</v>
      </c>
      <c r="U458" s="5358">
        <v>250000000</v>
      </c>
      <c r="V458" s="5357">
        <f t="shared" si="210"/>
        <v>250000000</v>
      </c>
      <c r="W458" s="5358">
        <f t="shared" si="211"/>
        <v>100</v>
      </c>
      <c r="X458" s="5358" t="e">
        <f>#REF!</f>
        <v>#REF!</v>
      </c>
      <c r="Y458" s="5359" t="e">
        <f t="shared" si="212"/>
        <v>#REF!</v>
      </c>
      <c r="Z458" s="5358">
        <v>250000000</v>
      </c>
      <c r="AA458" s="5357" t="e">
        <f t="shared" si="213"/>
        <v>#REF!</v>
      </c>
      <c r="AB458" s="5358" t="e">
        <f t="shared" si="214"/>
        <v>#REF!</v>
      </c>
      <c r="AC458" s="5350"/>
      <c r="AD458" s="5350"/>
      <c r="AE458" s="5350"/>
      <c r="AF458" s="5349">
        <f t="shared" si="173"/>
        <v>250000000</v>
      </c>
      <c r="AG458" s="5338">
        <f t="shared" si="174"/>
        <v>0</v>
      </c>
    </row>
    <row r="459" spans="1:33" s="5333" customFormat="1" ht="14.25" customHeight="1">
      <c r="A459" s="5340"/>
      <c r="B459" s="5340"/>
      <c r="C459" s="5340"/>
      <c r="D459" s="5368"/>
      <c r="E459" s="5380"/>
      <c r="F459" s="5380"/>
      <c r="G459" s="5379"/>
      <c r="H459" s="5379"/>
      <c r="I459" s="5495"/>
      <c r="J459" s="5366" t="s">
        <v>163</v>
      </c>
      <c r="K459" s="5361" t="s">
        <v>1397</v>
      </c>
      <c r="L459" s="5365"/>
      <c r="M459" s="5407">
        <v>147750000</v>
      </c>
      <c r="N459" s="5407">
        <f>SUM(N460:N468)</f>
        <v>147750000</v>
      </c>
      <c r="O459" s="5359">
        <f t="shared" si="206"/>
        <v>0</v>
      </c>
      <c r="P459" s="5401">
        <f>SUM(P460:P468)</f>
        <v>147750000</v>
      </c>
      <c r="Q459" s="5357">
        <f t="shared" si="207"/>
        <v>0</v>
      </c>
      <c r="R459" s="5358">
        <f t="shared" si="208"/>
        <v>0</v>
      </c>
      <c r="S459" s="5358">
        <f>SUM(S460:S468)</f>
        <v>160250000</v>
      </c>
      <c r="T459" s="5359">
        <f t="shared" si="209"/>
        <v>160250000</v>
      </c>
      <c r="U459" s="5358">
        <f>SUM(U460:U468)</f>
        <v>147750000</v>
      </c>
      <c r="V459" s="5357">
        <f t="shared" si="210"/>
        <v>12500000</v>
      </c>
      <c r="W459" s="5358">
        <f t="shared" si="211"/>
        <v>8.4602368866328277</v>
      </c>
      <c r="X459" s="5358" t="e">
        <f>SUM(X460:X468)</f>
        <v>#REF!</v>
      </c>
      <c r="Y459" s="5359" t="e">
        <f t="shared" si="212"/>
        <v>#REF!</v>
      </c>
      <c r="Z459" s="5358">
        <f>SUM(Z460:Z468)</f>
        <v>147750000</v>
      </c>
      <c r="AA459" s="5357" t="e">
        <f t="shared" si="213"/>
        <v>#REF!</v>
      </c>
      <c r="AB459" s="5358" t="e">
        <f t="shared" si="214"/>
        <v>#REF!</v>
      </c>
      <c r="AC459" s="5350"/>
      <c r="AD459" s="5350"/>
      <c r="AE459" s="5350"/>
      <c r="AF459" s="5349">
        <f t="shared" si="173"/>
        <v>12500000</v>
      </c>
      <c r="AG459" s="5338">
        <f t="shared" si="174"/>
        <v>0</v>
      </c>
    </row>
    <row r="460" spans="1:33" s="5333" customFormat="1" ht="14.25" customHeight="1">
      <c r="A460" s="5340"/>
      <c r="B460" s="5340"/>
      <c r="C460" s="5340"/>
      <c r="D460" s="5368"/>
      <c r="E460" s="5380"/>
      <c r="F460" s="5380"/>
      <c r="G460" s="5379"/>
      <c r="H460" s="5379"/>
      <c r="I460" s="5495"/>
      <c r="J460" s="5366"/>
      <c r="K460" s="5493" t="s">
        <v>1396</v>
      </c>
      <c r="L460" s="5365"/>
      <c r="M460" s="5359">
        <v>22500000</v>
      </c>
      <c r="N460" s="5359">
        <v>22500000</v>
      </c>
      <c r="O460" s="5359">
        <f t="shared" si="206"/>
        <v>0</v>
      </c>
      <c r="P460" s="5358">
        <v>22500000</v>
      </c>
      <c r="Q460" s="5357">
        <f t="shared" si="207"/>
        <v>0</v>
      </c>
      <c r="R460" s="5358">
        <f t="shared" si="208"/>
        <v>0</v>
      </c>
      <c r="S460" s="5358">
        <v>35000000</v>
      </c>
      <c r="T460" s="5359">
        <f t="shared" si="209"/>
        <v>35000000</v>
      </c>
      <c r="U460" s="5358">
        <v>22500000</v>
      </c>
      <c r="V460" s="5357">
        <f t="shared" si="210"/>
        <v>12500000</v>
      </c>
      <c r="W460" s="5358">
        <f t="shared" si="211"/>
        <v>55.555555555555571</v>
      </c>
      <c r="X460" s="5358">
        <v>35000000</v>
      </c>
      <c r="Y460" s="5359">
        <f t="shared" si="212"/>
        <v>34999944.444444448</v>
      </c>
      <c r="Z460" s="5358">
        <v>22500000</v>
      </c>
      <c r="AA460" s="5357">
        <f t="shared" si="213"/>
        <v>0</v>
      </c>
      <c r="AB460" s="5358">
        <f t="shared" si="214"/>
        <v>0</v>
      </c>
      <c r="AC460" s="5350"/>
      <c r="AD460" s="5350"/>
      <c r="AE460" s="5350"/>
      <c r="AF460" s="5349">
        <f t="shared" si="173"/>
        <v>12500000</v>
      </c>
      <c r="AG460" s="5338">
        <f t="shared" si="174"/>
        <v>0</v>
      </c>
    </row>
    <row r="461" spans="1:33" s="5333" customFormat="1" ht="14.25" customHeight="1">
      <c r="A461" s="5340"/>
      <c r="B461" s="5340"/>
      <c r="C461" s="5340"/>
      <c r="D461" s="5368"/>
      <c r="E461" s="5380"/>
      <c r="F461" s="5380"/>
      <c r="G461" s="5379"/>
      <c r="H461" s="5379"/>
      <c r="I461" s="5495"/>
      <c r="J461" s="5366"/>
      <c r="K461" s="5493" t="s">
        <v>1395</v>
      </c>
      <c r="L461" s="5365"/>
      <c r="M461" s="5359">
        <v>28000000</v>
      </c>
      <c r="N461" s="5359">
        <v>28000000</v>
      </c>
      <c r="O461" s="5359">
        <f t="shared" si="206"/>
        <v>0</v>
      </c>
      <c r="P461" s="5358">
        <v>28000000</v>
      </c>
      <c r="Q461" s="5357">
        <f t="shared" si="207"/>
        <v>0</v>
      </c>
      <c r="R461" s="5358">
        <f t="shared" si="208"/>
        <v>0</v>
      </c>
      <c r="S461" s="5358">
        <v>28000000</v>
      </c>
      <c r="T461" s="5359">
        <f t="shared" si="209"/>
        <v>28000000</v>
      </c>
      <c r="U461" s="5358">
        <v>28000000</v>
      </c>
      <c r="V461" s="5357">
        <f t="shared" si="210"/>
        <v>0</v>
      </c>
      <c r="W461" s="5358">
        <f t="shared" si="211"/>
        <v>0</v>
      </c>
      <c r="X461" s="5358">
        <v>28000000</v>
      </c>
      <c r="Y461" s="5359">
        <f t="shared" si="212"/>
        <v>28000000</v>
      </c>
      <c r="Z461" s="5358">
        <v>28000000</v>
      </c>
      <c r="AA461" s="5357">
        <f t="shared" si="213"/>
        <v>0</v>
      </c>
      <c r="AB461" s="5358">
        <f t="shared" si="214"/>
        <v>0</v>
      </c>
      <c r="AC461" s="5350"/>
      <c r="AD461" s="5350"/>
      <c r="AE461" s="5350"/>
      <c r="AF461" s="5349">
        <f t="shared" si="173"/>
        <v>0</v>
      </c>
      <c r="AG461" s="5338">
        <f t="shared" si="174"/>
        <v>0</v>
      </c>
    </row>
    <row r="462" spans="1:33" s="5333" customFormat="1" ht="14.25" customHeight="1">
      <c r="A462" s="5340"/>
      <c r="B462" s="5340"/>
      <c r="C462" s="5340"/>
      <c r="D462" s="5368"/>
      <c r="E462" s="5380"/>
      <c r="F462" s="5380"/>
      <c r="G462" s="5379"/>
      <c r="H462" s="5379"/>
      <c r="I462" s="5495"/>
      <c r="J462" s="5366"/>
      <c r="K462" s="5361" t="s">
        <v>1394</v>
      </c>
      <c r="L462" s="5365"/>
      <c r="M462" s="5359"/>
      <c r="N462" s="5359"/>
      <c r="O462" s="5359">
        <f t="shared" si="206"/>
        <v>0</v>
      </c>
      <c r="P462" s="5358"/>
      <c r="Q462" s="5357"/>
      <c r="R462" s="5358"/>
      <c r="S462" s="5358"/>
      <c r="T462" s="5359">
        <f t="shared" si="209"/>
        <v>0</v>
      </c>
      <c r="U462" s="5358"/>
      <c r="V462" s="5357"/>
      <c r="W462" s="5358"/>
      <c r="X462" s="5358"/>
      <c r="Y462" s="5359">
        <f t="shared" si="212"/>
        <v>0</v>
      </c>
      <c r="Z462" s="5358"/>
      <c r="AA462" s="5357"/>
      <c r="AB462" s="5358"/>
      <c r="AC462" s="5350"/>
      <c r="AD462" s="5350"/>
      <c r="AE462" s="5350"/>
      <c r="AF462" s="5349">
        <f t="shared" si="173"/>
        <v>0</v>
      </c>
      <c r="AG462" s="5338">
        <f t="shared" si="174"/>
        <v>0</v>
      </c>
    </row>
    <row r="463" spans="1:33" s="5333" customFormat="1" ht="14.25" customHeight="1">
      <c r="A463" s="5340"/>
      <c r="B463" s="5340"/>
      <c r="C463" s="5340"/>
      <c r="D463" s="5368"/>
      <c r="E463" s="5380"/>
      <c r="F463" s="5380"/>
      <c r="G463" s="5379"/>
      <c r="H463" s="5379"/>
      <c r="I463" s="5495"/>
      <c r="J463" s="5366"/>
      <c r="K463" s="5493" t="s">
        <v>1393</v>
      </c>
      <c r="L463" s="5365"/>
      <c r="M463" s="5359">
        <v>17250000</v>
      </c>
      <c r="N463" s="5359">
        <v>17250000</v>
      </c>
      <c r="O463" s="5359">
        <f t="shared" si="206"/>
        <v>0</v>
      </c>
      <c r="P463" s="5358">
        <v>17250000</v>
      </c>
      <c r="Q463" s="5357">
        <f>+P463-N463</f>
        <v>0</v>
      </c>
      <c r="R463" s="5358">
        <f>P463/N463*100-100</f>
        <v>0</v>
      </c>
      <c r="S463" s="5358">
        <v>17250000</v>
      </c>
      <c r="T463" s="5359">
        <f t="shared" si="209"/>
        <v>17250000</v>
      </c>
      <c r="U463" s="5358">
        <v>17250000</v>
      </c>
      <c r="V463" s="5357">
        <f>S463-P463</f>
        <v>0</v>
      </c>
      <c r="W463" s="5358">
        <f>S463/P463*100-100</f>
        <v>0</v>
      </c>
      <c r="X463" s="5358">
        <v>17250000</v>
      </c>
      <c r="Y463" s="5359">
        <f t="shared" si="212"/>
        <v>17250000</v>
      </c>
      <c r="Z463" s="5358">
        <v>17250000</v>
      </c>
      <c r="AA463" s="5357">
        <f>X463-S463</f>
        <v>0</v>
      </c>
      <c r="AB463" s="5358">
        <f>X463/S463*100-100</f>
        <v>0</v>
      </c>
      <c r="AC463" s="5350"/>
      <c r="AD463" s="5350"/>
      <c r="AE463" s="5350"/>
      <c r="AF463" s="5349">
        <f t="shared" si="173"/>
        <v>0</v>
      </c>
      <c r="AG463" s="5338">
        <f t="shared" si="174"/>
        <v>0</v>
      </c>
    </row>
    <row r="464" spans="1:33" s="5333" customFormat="1" ht="14.25" customHeight="1">
      <c r="A464" s="5340"/>
      <c r="B464" s="5340"/>
      <c r="C464" s="5340"/>
      <c r="D464" s="5368"/>
      <c r="E464" s="5380"/>
      <c r="F464" s="5380"/>
      <c r="G464" s="5379"/>
      <c r="H464" s="5379"/>
      <c r="I464" s="5495"/>
      <c r="J464" s="5366"/>
      <c r="K464" s="5361" t="s">
        <v>1392</v>
      </c>
      <c r="L464" s="5365"/>
      <c r="M464" s="5359"/>
      <c r="N464" s="5359"/>
      <c r="O464" s="5359">
        <f t="shared" si="206"/>
        <v>0</v>
      </c>
      <c r="P464" s="5358"/>
      <c r="Q464" s="5357"/>
      <c r="R464" s="5358"/>
      <c r="S464" s="5358"/>
      <c r="T464" s="5359">
        <f t="shared" si="209"/>
        <v>0</v>
      </c>
      <c r="U464" s="5358"/>
      <c r="V464" s="5357"/>
      <c r="W464" s="5358"/>
      <c r="X464" s="5358"/>
      <c r="Y464" s="5359">
        <f t="shared" si="212"/>
        <v>0</v>
      </c>
      <c r="Z464" s="5358"/>
      <c r="AA464" s="5357"/>
      <c r="AB464" s="5358"/>
      <c r="AC464" s="5350"/>
      <c r="AD464" s="5350"/>
      <c r="AE464" s="5350"/>
      <c r="AF464" s="5349">
        <f t="shared" si="173"/>
        <v>0</v>
      </c>
      <c r="AG464" s="5338">
        <f t="shared" si="174"/>
        <v>0</v>
      </c>
    </row>
    <row r="465" spans="1:33" s="5333" customFormat="1" ht="14.25" customHeight="1">
      <c r="A465" s="5340"/>
      <c r="B465" s="5340"/>
      <c r="C465" s="5340"/>
      <c r="D465" s="5368"/>
      <c r="E465" s="5380"/>
      <c r="F465" s="5380"/>
      <c r="G465" s="5379"/>
      <c r="H465" s="5379"/>
      <c r="I465" s="5495"/>
      <c r="J465" s="5366"/>
      <c r="K465" s="5493" t="s">
        <v>1391</v>
      </c>
      <c r="L465" s="5365"/>
      <c r="M465" s="5359">
        <v>30000000</v>
      </c>
      <c r="N465" s="5359">
        <v>30000000</v>
      </c>
      <c r="O465" s="5359">
        <f t="shared" si="206"/>
        <v>0</v>
      </c>
      <c r="P465" s="5358">
        <v>30000000</v>
      </c>
      <c r="Q465" s="5357">
        <f>+P465-N465</f>
        <v>0</v>
      </c>
      <c r="R465" s="5358">
        <f>P465/N465*100-100</f>
        <v>0</v>
      </c>
      <c r="S465" s="5358">
        <v>30000000</v>
      </c>
      <c r="T465" s="5359">
        <f t="shared" si="209"/>
        <v>30000000</v>
      </c>
      <c r="U465" s="5358">
        <v>30000000</v>
      </c>
      <c r="V465" s="5357">
        <f>S465-P465</f>
        <v>0</v>
      </c>
      <c r="W465" s="5358">
        <f>S465/P465*100-100</f>
        <v>0</v>
      </c>
      <c r="X465" s="5358">
        <v>30000000</v>
      </c>
      <c r="Y465" s="5359">
        <f t="shared" si="212"/>
        <v>30000000</v>
      </c>
      <c r="Z465" s="5358">
        <v>30000000</v>
      </c>
      <c r="AA465" s="5357">
        <f>X465-S465</f>
        <v>0</v>
      </c>
      <c r="AB465" s="5358">
        <f>X465/S465*100-100</f>
        <v>0</v>
      </c>
      <c r="AC465" s="5350"/>
      <c r="AD465" s="5350"/>
      <c r="AE465" s="5350"/>
      <c r="AF465" s="5349">
        <f t="shared" si="173"/>
        <v>0</v>
      </c>
      <c r="AG465" s="5338">
        <f t="shared" si="174"/>
        <v>0</v>
      </c>
    </row>
    <row r="466" spans="1:33" s="5333" customFormat="1" ht="14.25" customHeight="1">
      <c r="A466" s="5340"/>
      <c r="B466" s="5340"/>
      <c r="C466" s="5340"/>
      <c r="D466" s="5368"/>
      <c r="E466" s="5380"/>
      <c r="F466" s="5380"/>
      <c r="G466" s="5379"/>
      <c r="H466" s="5379"/>
      <c r="I466" s="5495"/>
      <c r="J466" s="5366"/>
      <c r="K466" s="5361" t="s">
        <v>1390</v>
      </c>
      <c r="L466" s="5365"/>
      <c r="M466" s="5359"/>
      <c r="N466" s="5359"/>
      <c r="O466" s="5359">
        <f t="shared" si="206"/>
        <v>0</v>
      </c>
      <c r="P466" s="5358"/>
      <c r="Q466" s="5357"/>
      <c r="R466" s="5358"/>
      <c r="S466" s="5358"/>
      <c r="T466" s="5359">
        <f t="shared" si="209"/>
        <v>0</v>
      </c>
      <c r="U466" s="5358"/>
      <c r="V466" s="5357"/>
      <c r="W466" s="5358"/>
      <c r="X466" s="5358"/>
      <c r="Y466" s="5359">
        <f t="shared" si="212"/>
        <v>0</v>
      </c>
      <c r="Z466" s="5358"/>
      <c r="AA466" s="5357"/>
      <c r="AB466" s="5358"/>
      <c r="AC466" s="5350"/>
      <c r="AD466" s="5350"/>
      <c r="AE466" s="5350"/>
      <c r="AF466" s="5349">
        <f t="shared" si="173"/>
        <v>0</v>
      </c>
      <c r="AG466" s="5338">
        <f t="shared" si="174"/>
        <v>0</v>
      </c>
    </row>
    <row r="467" spans="1:33" s="5333" customFormat="1" ht="14.25" customHeight="1">
      <c r="A467" s="5340"/>
      <c r="B467" s="5340"/>
      <c r="C467" s="5340"/>
      <c r="D467" s="5368"/>
      <c r="E467" s="5380"/>
      <c r="F467" s="5380"/>
      <c r="G467" s="5379"/>
      <c r="H467" s="5379"/>
      <c r="I467" s="5495"/>
      <c r="J467" s="5366"/>
      <c r="K467" s="5361" t="e">
        <f>#REF!</f>
        <v>#REF!</v>
      </c>
      <c r="L467" s="5365"/>
      <c r="M467" s="5359"/>
      <c r="N467" s="5359"/>
      <c r="O467" s="5359"/>
      <c r="P467" s="5358"/>
      <c r="Q467" s="5357"/>
      <c r="R467" s="5358"/>
      <c r="S467" s="5358">
        <v>0</v>
      </c>
      <c r="T467" s="5359"/>
      <c r="U467" s="5358"/>
      <c r="V467" s="5357"/>
      <c r="W467" s="5358"/>
      <c r="X467" s="5358" t="e">
        <f>#REF!</f>
        <v>#REF!</v>
      </c>
      <c r="Y467" s="5359"/>
      <c r="Z467" s="5358"/>
      <c r="AA467" s="5357"/>
      <c r="AB467" s="5358"/>
      <c r="AC467" s="5350"/>
      <c r="AD467" s="5350"/>
      <c r="AE467" s="5350"/>
      <c r="AF467" s="5349"/>
      <c r="AG467" s="5338"/>
    </row>
    <row r="468" spans="1:33" s="5333" customFormat="1" ht="14.25" customHeight="1">
      <c r="A468" s="5340"/>
      <c r="B468" s="5340"/>
      <c r="C468" s="5340"/>
      <c r="D468" s="5368"/>
      <c r="E468" s="5380"/>
      <c r="F468" s="5380"/>
      <c r="G468" s="5379"/>
      <c r="H468" s="5379"/>
      <c r="I468" s="5495"/>
      <c r="J468" s="5366"/>
      <c r="K468" s="5493" t="s">
        <v>1389</v>
      </c>
      <c r="L468" s="5365"/>
      <c r="M468" s="5359">
        <v>50000000</v>
      </c>
      <c r="N468" s="5359">
        <v>50000000</v>
      </c>
      <c r="O468" s="5359">
        <f t="shared" si="206"/>
        <v>0</v>
      </c>
      <c r="P468" s="5358">
        <v>50000000</v>
      </c>
      <c r="Q468" s="5357">
        <f>+P468-N468</f>
        <v>0</v>
      </c>
      <c r="R468" s="5358">
        <f>P468/N468*100-100</f>
        <v>0</v>
      </c>
      <c r="S468" s="5358">
        <v>50000000</v>
      </c>
      <c r="T468" s="5359">
        <f t="shared" si="209"/>
        <v>50000000</v>
      </c>
      <c r="U468" s="5358">
        <v>50000000</v>
      </c>
      <c r="V468" s="5357">
        <f>S468-P468</f>
        <v>0</v>
      </c>
      <c r="W468" s="5358">
        <f>S468/P468*100-100</f>
        <v>0</v>
      </c>
      <c r="X468" s="5358">
        <v>50000000</v>
      </c>
      <c r="Y468" s="5359">
        <f t="shared" si="212"/>
        <v>50000000</v>
      </c>
      <c r="Z468" s="5358">
        <v>50000000</v>
      </c>
      <c r="AA468" s="5357">
        <f>X468-S468</f>
        <v>0</v>
      </c>
      <c r="AB468" s="5358">
        <f>X468/S468*100-100</f>
        <v>0</v>
      </c>
      <c r="AC468" s="5350"/>
      <c r="AD468" s="5350"/>
      <c r="AE468" s="5350"/>
      <c r="AF468" s="5349">
        <f t="shared" ref="AF468:AF481" si="215">S468-P468</f>
        <v>0</v>
      </c>
      <c r="AG468" s="5338">
        <f t="shared" ref="AG468:AG481" si="216">AF468-V468</f>
        <v>0</v>
      </c>
    </row>
    <row r="469" spans="1:33" s="5333" customFormat="1" ht="14.25" customHeight="1">
      <c r="A469" s="5340"/>
      <c r="B469" s="5340"/>
      <c r="C469" s="5340"/>
      <c r="D469" s="5368"/>
      <c r="E469" s="5380"/>
      <c r="F469" s="5380"/>
      <c r="G469" s="5379"/>
      <c r="H469" s="5379"/>
      <c r="I469" s="5495"/>
      <c r="J469" s="5366" t="s">
        <v>165</v>
      </c>
      <c r="K469" s="5361" t="s">
        <v>1057</v>
      </c>
      <c r="L469" s="5365"/>
      <c r="M469" s="5498">
        <v>1990304400</v>
      </c>
      <c r="N469" s="5498">
        <v>0</v>
      </c>
      <c r="O469" s="5359">
        <f t="shared" si="206"/>
        <v>-1990304400</v>
      </c>
      <c r="P469" s="5358">
        <v>675855000</v>
      </c>
      <c r="Q469" s="5357">
        <f>+P469-N469</f>
        <v>675855000</v>
      </c>
      <c r="R469" s="5358">
        <v>0</v>
      </c>
      <c r="S469" s="5358">
        <v>0</v>
      </c>
      <c r="T469" s="5359">
        <f t="shared" si="209"/>
        <v>0</v>
      </c>
      <c r="U469" s="5358">
        <v>675855000</v>
      </c>
      <c r="V469" s="5357">
        <f>S469-P469</f>
        <v>-675855000</v>
      </c>
      <c r="W469" s="5358">
        <f>S469/P469*100-100</f>
        <v>-100</v>
      </c>
      <c r="X469" s="5358">
        <v>0</v>
      </c>
      <c r="Y469" s="5359">
        <f t="shared" si="212"/>
        <v>100</v>
      </c>
      <c r="Z469" s="5358">
        <v>675855000</v>
      </c>
      <c r="AA469" s="5357">
        <f>X469-S469</f>
        <v>0</v>
      </c>
      <c r="AB469" s="5358">
        <v>0</v>
      </c>
      <c r="AC469" s="5494"/>
      <c r="AD469" s="5494"/>
      <c r="AE469" s="5494"/>
      <c r="AF469" s="5349">
        <f t="shared" si="215"/>
        <v>-675855000</v>
      </c>
      <c r="AG469" s="5338">
        <f t="shared" si="216"/>
        <v>0</v>
      </c>
    </row>
    <row r="470" spans="1:33" s="5333" customFormat="1" ht="8.4499999999999993" customHeight="1">
      <c r="A470" s="5340"/>
      <c r="B470" s="5340"/>
      <c r="C470" s="5340"/>
      <c r="D470" s="5368"/>
      <c r="E470" s="5380"/>
      <c r="F470" s="5380"/>
      <c r="G470" s="5379"/>
      <c r="H470" s="5379"/>
      <c r="I470" s="5495"/>
      <c r="J470" s="5366"/>
      <c r="K470" s="5361"/>
      <c r="L470" s="5365"/>
      <c r="M470" s="5498"/>
      <c r="N470" s="5498"/>
      <c r="O470" s="5359"/>
      <c r="P470" s="5358"/>
      <c r="Q470" s="5357"/>
      <c r="R470" s="5358"/>
      <c r="S470" s="5358"/>
      <c r="T470" s="5359"/>
      <c r="U470" s="5358"/>
      <c r="V470" s="5357"/>
      <c r="W470" s="5358"/>
      <c r="X470" s="5358"/>
      <c r="Y470" s="5359"/>
      <c r="Z470" s="5358"/>
      <c r="AA470" s="5357"/>
      <c r="AB470" s="5358"/>
      <c r="AC470" s="5494"/>
      <c r="AD470" s="5494"/>
      <c r="AE470" s="5494"/>
      <c r="AF470" s="5349">
        <f t="shared" si="215"/>
        <v>0</v>
      </c>
      <c r="AG470" s="5338">
        <f t="shared" si="216"/>
        <v>0</v>
      </c>
    </row>
    <row r="471" spans="1:33" s="5333" customFormat="1" ht="14.25" customHeight="1">
      <c r="A471" s="5340"/>
      <c r="B471" s="5340"/>
      <c r="C471" s="5340"/>
      <c r="D471" s="5374">
        <v>4</v>
      </c>
      <c r="E471" s="5374">
        <v>1</v>
      </c>
      <c r="F471" s="5374">
        <v>3</v>
      </c>
      <c r="G471" s="5373"/>
      <c r="H471" s="5373"/>
      <c r="I471" s="5633"/>
      <c r="J471" s="5372" t="s">
        <v>1388</v>
      </c>
      <c r="K471" s="5371"/>
      <c r="L471" s="5370"/>
      <c r="M471" s="5357">
        <v>56646030000</v>
      </c>
      <c r="N471" s="5357">
        <f>+N473</f>
        <v>123837542676</v>
      </c>
      <c r="O471" s="5357">
        <f>N471-M471</f>
        <v>67191512676</v>
      </c>
      <c r="P471" s="5358">
        <f>+P473</f>
        <v>114508661900</v>
      </c>
      <c r="Q471" s="5357">
        <f>+P471-N471</f>
        <v>-9328880776</v>
      </c>
      <c r="R471" s="5358">
        <f>P471/N471*100-100</f>
        <v>-7.5331604410202431</v>
      </c>
      <c r="S471" s="5358">
        <f>+S473+S482</f>
        <v>92558485190</v>
      </c>
      <c r="T471" s="5357">
        <f>S471-R471</f>
        <v>92558485197.533157</v>
      </c>
      <c r="U471" s="5358">
        <f>+U473</f>
        <v>114508661900</v>
      </c>
      <c r="V471" s="5357">
        <f>S471-P471</f>
        <v>-21950176710</v>
      </c>
      <c r="W471" s="5358">
        <f>S471/P471*100-100</f>
        <v>-19.16900987732177</v>
      </c>
      <c r="X471" s="5358" t="e">
        <f>+X473+X482</f>
        <v>#REF!</v>
      </c>
      <c r="Y471" s="5357" t="e">
        <f>X471-W471</f>
        <v>#REF!</v>
      </c>
      <c r="Z471" s="5358">
        <f>+Z473</f>
        <v>114508661900</v>
      </c>
      <c r="AA471" s="5357" t="e">
        <f>X471-S471</f>
        <v>#REF!</v>
      </c>
      <c r="AB471" s="5358" t="e">
        <f>X471/S471*100-100</f>
        <v>#REF!</v>
      </c>
      <c r="AC471" s="5497"/>
      <c r="AD471" s="5497"/>
      <c r="AE471" s="5497"/>
      <c r="AF471" s="5349">
        <f t="shared" si="215"/>
        <v>-21950176710</v>
      </c>
      <c r="AG471" s="5338">
        <f t="shared" si="216"/>
        <v>0</v>
      </c>
    </row>
    <row r="472" spans="1:33" s="5333" customFormat="1" ht="14.25" customHeight="1">
      <c r="A472" s="5340"/>
      <c r="B472" s="5340"/>
      <c r="C472" s="5340"/>
      <c r="D472" s="5367"/>
      <c r="E472" s="5380"/>
      <c r="F472" s="5380"/>
      <c r="G472" s="5379"/>
      <c r="H472" s="5379"/>
      <c r="I472" s="5495"/>
      <c r="J472" s="5372" t="s">
        <v>1387</v>
      </c>
      <c r="K472" s="5361"/>
      <c r="L472" s="5365"/>
      <c r="M472" s="5357"/>
      <c r="N472" s="5357"/>
      <c r="O472" s="5357"/>
      <c r="P472" s="5358"/>
      <c r="Q472" s="5357"/>
      <c r="R472" s="5358"/>
      <c r="S472" s="5358"/>
      <c r="T472" s="5357"/>
      <c r="U472" s="5358"/>
      <c r="V472" s="5357"/>
      <c r="W472" s="5358"/>
      <c r="X472" s="5358"/>
      <c r="Y472" s="5357"/>
      <c r="Z472" s="5358"/>
      <c r="AA472" s="5357"/>
      <c r="AB472" s="5358"/>
      <c r="AC472" s="5494"/>
      <c r="AD472" s="5494"/>
      <c r="AE472" s="5494"/>
      <c r="AF472" s="5349">
        <f t="shared" si="215"/>
        <v>0</v>
      </c>
      <c r="AG472" s="5338">
        <f t="shared" si="216"/>
        <v>0</v>
      </c>
    </row>
    <row r="473" spans="1:33" s="5333" customFormat="1" ht="14.25" customHeight="1">
      <c r="A473" s="5340"/>
      <c r="B473" s="5340"/>
      <c r="C473" s="5340"/>
      <c r="D473" s="5367">
        <v>4</v>
      </c>
      <c r="E473" s="5367">
        <v>1</v>
      </c>
      <c r="F473" s="5367">
        <v>3</v>
      </c>
      <c r="G473" s="5368" t="s">
        <v>437</v>
      </c>
      <c r="H473" s="5368"/>
      <c r="I473" s="5632"/>
      <c r="J473" s="5366" t="s">
        <v>1386</v>
      </c>
      <c r="K473" s="5361"/>
      <c r="L473" s="5365"/>
      <c r="M473" s="5397">
        <v>56646030000</v>
      </c>
      <c r="N473" s="5397">
        <f>+N474</f>
        <v>123837542676</v>
      </c>
      <c r="O473" s="5397">
        <f t="shared" ref="O473:O481" si="217">N473-M473</f>
        <v>67191512676</v>
      </c>
      <c r="P473" s="5484">
        <f>+P474</f>
        <v>114508661900</v>
      </c>
      <c r="Q473" s="5397">
        <f t="shared" ref="Q473:Q481" si="218">+P473-N473</f>
        <v>-9328880776</v>
      </c>
      <c r="R473" s="5358">
        <f t="shared" ref="R473:R479" si="219">P473/N473*100-100</f>
        <v>-7.5331604410202431</v>
      </c>
      <c r="S473" s="5358">
        <f>+S474</f>
        <v>90558485190</v>
      </c>
      <c r="T473" s="5357">
        <f t="shared" ref="T473:T481" si="220">S473-R473</f>
        <v>90558485197.533157</v>
      </c>
      <c r="U473" s="5358">
        <f>+U474</f>
        <v>114508661900</v>
      </c>
      <c r="V473" s="5357">
        <f t="shared" ref="V473:V481" si="221">S473-P473</f>
        <v>-23950176710</v>
      </c>
      <c r="W473" s="5358">
        <f t="shared" ref="W473:W478" si="222">S473/P473*100-100</f>
        <v>-20.915602638790418</v>
      </c>
      <c r="X473" s="5358" t="e">
        <f>+X474</f>
        <v>#REF!</v>
      </c>
      <c r="Y473" s="5357" t="e">
        <f t="shared" ref="Y473:Y481" si="223">X473-W473</f>
        <v>#REF!</v>
      </c>
      <c r="Z473" s="5358">
        <f>+Z474</f>
        <v>114508661900</v>
      </c>
      <c r="AA473" s="5357" t="e">
        <f t="shared" ref="AA473:AA481" si="224">X473-S473</f>
        <v>#REF!</v>
      </c>
      <c r="AB473" s="5358" t="e">
        <f t="shared" ref="AB473:AB478" si="225">X473/S473*100-100</f>
        <v>#REF!</v>
      </c>
      <c r="AC473" s="5494"/>
      <c r="AD473" s="5494"/>
      <c r="AE473" s="5494"/>
      <c r="AF473" s="5349">
        <f t="shared" si="215"/>
        <v>-23950176710</v>
      </c>
      <c r="AG473" s="5338">
        <f t="shared" si="216"/>
        <v>0</v>
      </c>
    </row>
    <row r="474" spans="1:33" s="5333" customFormat="1" ht="14.25" customHeight="1">
      <c r="A474" s="5340"/>
      <c r="B474" s="5340"/>
      <c r="C474" s="5340"/>
      <c r="D474" s="5367">
        <v>4</v>
      </c>
      <c r="E474" s="5367">
        <v>1</v>
      </c>
      <c r="F474" s="5367">
        <v>3</v>
      </c>
      <c r="G474" s="5368" t="s">
        <v>437</v>
      </c>
      <c r="H474" s="5368" t="s">
        <v>437</v>
      </c>
      <c r="I474" s="5632"/>
      <c r="J474" s="5366" t="s">
        <v>554</v>
      </c>
      <c r="K474" s="5361"/>
      <c r="L474" s="5365"/>
      <c r="M474" s="5460">
        <v>56646030000</v>
      </c>
      <c r="N474" s="5460">
        <f>SUM(N475:N481)</f>
        <v>123837542676</v>
      </c>
      <c r="O474" s="5460">
        <f t="shared" si="217"/>
        <v>67191512676</v>
      </c>
      <c r="P474" s="5459">
        <f>SUM(P475:P481)</f>
        <v>114508661900</v>
      </c>
      <c r="Q474" s="5460">
        <f t="shared" si="218"/>
        <v>-9328880776</v>
      </c>
      <c r="R474" s="5358">
        <f t="shared" si="219"/>
        <v>-7.5331604410202431</v>
      </c>
      <c r="S474" s="5381">
        <f>SUM(S475:S481)</f>
        <v>90558485190</v>
      </c>
      <c r="T474" s="5382">
        <f t="shared" si="220"/>
        <v>90558485197.533157</v>
      </c>
      <c r="U474" s="5381">
        <f>SUM(U475:U481)</f>
        <v>114508661900</v>
      </c>
      <c r="V474" s="5382">
        <f t="shared" si="221"/>
        <v>-23950176710</v>
      </c>
      <c r="W474" s="5381">
        <f t="shared" si="222"/>
        <v>-20.915602638790418</v>
      </c>
      <c r="X474" s="5381" t="e">
        <f>SUM(X475:X481)</f>
        <v>#REF!</v>
      </c>
      <c r="Y474" s="5382" t="e">
        <f t="shared" si="223"/>
        <v>#REF!</v>
      </c>
      <c r="Z474" s="5381">
        <f>SUM(Z475:Z481)</f>
        <v>114508661900</v>
      </c>
      <c r="AA474" s="5382" t="e">
        <f t="shared" si="224"/>
        <v>#REF!</v>
      </c>
      <c r="AB474" s="5358" t="e">
        <f t="shared" si="225"/>
        <v>#REF!</v>
      </c>
      <c r="AC474" s="5494"/>
      <c r="AD474" s="5494"/>
      <c r="AE474" s="5494"/>
      <c r="AF474" s="5349">
        <f t="shared" si="215"/>
        <v>-23950176710</v>
      </c>
      <c r="AG474" s="5338">
        <f t="shared" si="216"/>
        <v>0</v>
      </c>
    </row>
    <row r="475" spans="1:33" s="5333" customFormat="1" ht="14.25" customHeight="1">
      <c r="A475" s="5340"/>
      <c r="B475" s="5340"/>
      <c r="C475" s="5340"/>
      <c r="D475" s="5368"/>
      <c r="E475" s="5380"/>
      <c r="F475" s="5380"/>
      <c r="G475" s="5379"/>
      <c r="H475" s="5379"/>
      <c r="I475" s="5495"/>
      <c r="J475" s="5366" t="s">
        <v>50</v>
      </c>
      <c r="K475" s="5361" t="s">
        <v>196</v>
      </c>
      <c r="L475" s="5365"/>
      <c r="M475" s="5359">
        <v>6500000000</v>
      </c>
      <c r="N475" s="5359">
        <v>8123179200</v>
      </c>
      <c r="O475" s="5359">
        <f t="shared" si="217"/>
        <v>1623179200</v>
      </c>
      <c r="P475" s="5358">
        <f>9600000000+450000000</f>
        <v>10050000000</v>
      </c>
      <c r="Q475" s="5357">
        <f t="shared" si="218"/>
        <v>1926820800</v>
      </c>
      <c r="R475" s="5358">
        <f t="shared" si="219"/>
        <v>23.72003316140065</v>
      </c>
      <c r="S475" s="5441">
        <v>13374571865</v>
      </c>
      <c r="T475" s="5359">
        <f t="shared" si="220"/>
        <v>13374571841.279966</v>
      </c>
      <c r="U475" s="5358">
        <f>9600000000+450000000</f>
        <v>10050000000</v>
      </c>
      <c r="V475" s="5357">
        <f t="shared" si="221"/>
        <v>3324571865</v>
      </c>
      <c r="W475" s="5358">
        <f t="shared" si="222"/>
        <v>33.08031706467662</v>
      </c>
      <c r="X475" s="5441">
        <f>'rekap perdinas Kua PPAS'!N386</f>
        <v>11305220112</v>
      </c>
      <c r="Y475" s="5359">
        <f t="shared" si="223"/>
        <v>11305220078.919683</v>
      </c>
      <c r="Z475" s="5358">
        <f>9600000000+450000000</f>
        <v>10050000000</v>
      </c>
      <c r="AA475" s="5357">
        <f t="shared" si="224"/>
        <v>-2069351753</v>
      </c>
      <c r="AB475" s="5358">
        <f t="shared" si="225"/>
        <v>-15.472284076735946</v>
      </c>
      <c r="AC475" s="5494"/>
      <c r="AD475" s="5494"/>
      <c r="AE475" s="5494"/>
      <c r="AF475" s="5349">
        <f t="shared" si="215"/>
        <v>3324571865</v>
      </c>
      <c r="AG475" s="5338">
        <f t="shared" si="216"/>
        <v>0</v>
      </c>
    </row>
    <row r="476" spans="1:33" s="5333" customFormat="1" ht="14.25" customHeight="1">
      <c r="A476" s="5340"/>
      <c r="B476" s="5340"/>
      <c r="C476" s="5340"/>
      <c r="D476" s="5368"/>
      <c r="E476" s="5496"/>
      <c r="F476" s="5367"/>
      <c r="G476" s="5495"/>
      <c r="H476" s="5368"/>
      <c r="I476" s="5495"/>
      <c r="J476" s="5408" t="s">
        <v>50</v>
      </c>
      <c r="K476" s="5361" t="s">
        <v>1385</v>
      </c>
      <c r="L476" s="5365"/>
      <c r="M476" s="5359">
        <v>48424030000</v>
      </c>
      <c r="N476" s="5359">
        <v>48904261900</v>
      </c>
      <c r="O476" s="5359">
        <f t="shared" si="217"/>
        <v>480231900</v>
      </c>
      <c r="P476" s="5358">
        <f>48904261900+3000000000</f>
        <v>51904261900</v>
      </c>
      <c r="Q476" s="5357">
        <f t="shared" si="218"/>
        <v>3000000000</v>
      </c>
      <c r="R476" s="5358">
        <f t="shared" si="219"/>
        <v>6.1344346759274941</v>
      </c>
      <c r="S476" s="5358">
        <v>59958450102</v>
      </c>
      <c r="T476" s="5359">
        <f t="shared" si="220"/>
        <v>59958450095.865562</v>
      </c>
      <c r="U476" s="5358">
        <f>48904261900+3000000000</f>
        <v>51904261900</v>
      </c>
      <c r="V476" s="5357">
        <f t="shared" si="221"/>
        <v>8054188202</v>
      </c>
      <c r="W476" s="5358">
        <f t="shared" si="222"/>
        <v>15.51739280584971</v>
      </c>
      <c r="X476" s="5358">
        <f>'rekap perdinas Kua PPAS'!N387</f>
        <v>62065732074</v>
      </c>
      <c r="Y476" s="5359">
        <f t="shared" si="223"/>
        <v>62065732058.482605</v>
      </c>
      <c r="Z476" s="5358">
        <f>48904261900+3000000000</f>
        <v>51904261900</v>
      </c>
      <c r="AA476" s="5357">
        <f t="shared" si="224"/>
        <v>2107281972</v>
      </c>
      <c r="AB476" s="5358">
        <f t="shared" si="225"/>
        <v>3.5145704540646676</v>
      </c>
      <c r="AC476" s="5494"/>
      <c r="AD476" s="5494"/>
      <c r="AE476" s="5494"/>
      <c r="AF476" s="5349">
        <f t="shared" si="215"/>
        <v>8054188202</v>
      </c>
      <c r="AG476" s="5338">
        <f t="shared" si="216"/>
        <v>0</v>
      </c>
    </row>
    <row r="477" spans="1:33" s="5333" customFormat="1" ht="14.25" customHeight="1">
      <c r="A477" s="5340"/>
      <c r="B477" s="5340"/>
      <c r="C477" s="5340"/>
      <c r="D477" s="5368"/>
      <c r="E477" s="5496"/>
      <c r="F477" s="5367"/>
      <c r="G477" s="5495"/>
      <c r="H477" s="5368"/>
      <c r="I477" s="5495"/>
      <c r="J477" s="5408" t="s">
        <v>50</v>
      </c>
      <c r="K477" s="5361" t="s">
        <v>198</v>
      </c>
      <c r="L477" s="5365"/>
      <c r="M477" s="5359">
        <v>700000000</v>
      </c>
      <c r="N477" s="5359">
        <v>750000000</v>
      </c>
      <c r="O477" s="5359">
        <f t="shared" si="217"/>
        <v>50000000</v>
      </c>
      <c r="P477" s="5358">
        <v>1000000000</v>
      </c>
      <c r="Q477" s="5357">
        <f t="shared" si="218"/>
        <v>250000000</v>
      </c>
      <c r="R477" s="5358">
        <f t="shared" si="219"/>
        <v>33.333333333333314</v>
      </c>
      <c r="S477" s="5358">
        <v>1000000000</v>
      </c>
      <c r="T477" s="5359">
        <f t="shared" si="220"/>
        <v>999999966.66666663</v>
      </c>
      <c r="U477" s="5358">
        <v>1000000000</v>
      </c>
      <c r="V477" s="5357">
        <f t="shared" si="221"/>
        <v>0</v>
      </c>
      <c r="W477" s="5358">
        <f t="shared" si="222"/>
        <v>0</v>
      </c>
      <c r="X477" s="5358">
        <f>'rekap perdinas Kua PPAS'!N388</f>
        <v>1100000000</v>
      </c>
      <c r="Y477" s="5359">
        <f t="shared" si="223"/>
        <v>1100000000</v>
      </c>
      <c r="Z477" s="5358">
        <v>1000000000</v>
      </c>
      <c r="AA477" s="5357">
        <f t="shared" si="224"/>
        <v>100000000</v>
      </c>
      <c r="AB477" s="5358">
        <f t="shared" si="225"/>
        <v>10.000000000000014</v>
      </c>
      <c r="AC477" s="5494"/>
      <c r="AD477" s="5494"/>
      <c r="AE477" s="5494"/>
      <c r="AF477" s="5349">
        <f t="shared" si="215"/>
        <v>0</v>
      </c>
      <c r="AG477" s="5338">
        <f t="shared" si="216"/>
        <v>0</v>
      </c>
    </row>
    <row r="478" spans="1:33" s="5333" customFormat="1" ht="14.25" customHeight="1">
      <c r="A478" s="5340"/>
      <c r="B478" s="5340"/>
      <c r="C478" s="5340"/>
      <c r="D478" s="5570"/>
      <c r="E478" s="5684"/>
      <c r="F478" s="5440"/>
      <c r="G478" s="5685"/>
      <c r="H478" s="5570"/>
      <c r="I478" s="5685"/>
      <c r="J478" s="5476" t="s">
        <v>50</v>
      </c>
      <c r="K478" s="5475" t="s">
        <v>199</v>
      </c>
      <c r="L478" s="5563"/>
      <c r="M478" s="5565">
        <v>0</v>
      </c>
      <c r="N478" s="5565">
        <f>14400000000+51382409997</f>
        <v>65782409997</v>
      </c>
      <c r="O478" s="5565">
        <f t="shared" si="217"/>
        <v>65782409997</v>
      </c>
      <c r="P478" s="5566">
        <v>51382400000</v>
      </c>
      <c r="Q478" s="5564">
        <f t="shared" si="218"/>
        <v>-14400009997</v>
      </c>
      <c r="R478" s="5566">
        <f t="shared" si="219"/>
        <v>-21.890365521203478</v>
      </c>
      <c r="S478" s="5566">
        <f>3000000000+13000000000</f>
        <v>16000000000</v>
      </c>
      <c r="T478" s="5565">
        <f t="shared" si="220"/>
        <v>16000000021.890366</v>
      </c>
      <c r="U478" s="5566">
        <v>51382400000</v>
      </c>
      <c r="V478" s="5564">
        <f t="shared" si="221"/>
        <v>-35382400000</v>
      </c>
      <c r="W478" s="5566">
        <f t="shared" si="222"/>
        <v>-68.860932926449522</v>
      </c>
      <c r="X478" s="5566" t="e">
        <f>#REF!</f>
        <v>#REF!</v>
      </c>
      <c r="Y478" s="5565" t="e">
        <f t="shared" si="223"/>
        <v>#REF!</v>
      </c>
      <c r="Z478" s="5566">
        <v>51382400000</v>
      </c>
      <c r="AA478" s="5564" t="e">
        <f t="shared" si="224"/>
        <v>#REF!</v>
      </c>
      <c r="AB478" s="5566" t="e">
        <f t="shared" si="225"/>
        <v>#REF!</v>
      </c>
      <c r="AC478" s="5494" t="s">
        <v>1515</v>
      </c>
      <c r="AD478" s="5494"/>
      <c r="AE478" s="5494"/>
      <c r="AF478" s="5349">
        <f t="shared" si="215"/>
        <v>-35382400000</v>
      </c>
      <c r="AG478" s="5338">
        <f t="shared" si="216"/>
        <v>0</v>
      </c>
    </row>
    <row r="479" spans="1:33" s="5333" customFormat="1" ht="14.25" customHeight="1">
      <c r="A479" s="5340"/>
      <c r="B479" s="5340"/>
      <c r="C479" s="5340"/>
      <c r="D479" s="5368"/>
      <c r="E479" s="5496"/>
      <c r="F479" s="5367"/>
      <c r="G479" s="5495"/>
      <c r="H479" s="5368"/>
      <c r="I479" s="5495"/>
      <c r="J479" s="5408" t="s">
        <v>50</v>
      </c>
      <c r="K479" s="5361" t="s">
        <v>200</v>
      </c>
      <c r="L479" s="5365"/>
      <c r="M479" s="5359">
        <v>0</v>
      </c>
      <c r="N479" s="5359">
        <v>247359679</v>
      </c>
      <c r="O479" s="5359">
        <f t="shared" si="217"/>
        <v>247359679</v>
      </c>
      <c r="P479" s="5358">
        <v>0</v>
      </c>
      <c r="Q479" s="5357">
        <f t="shared" si="218"/>
        <v>-247359679</v>
      </c>
      <c r="R479" s="5358">
        <f t="shared" si="219"/>
        <v>-100</v>
      </c>
      <c r="S479" s="5566">
        <v>0</v>
      </c>
      <c r="T479" s="5565">
        <f t="shared" si="220"/>
        <v>100</v>
      </c>
      <c r="U479" s="5566">
        <v>0</v>
      </c>
      <c r="V479" s="5564">
        <f t="shared" si="221"/>
        <v>0</v>
      </c>
      <c r="W479" s="5566">
        <v>0</v>
      </c>
      <c r="X479" s="5566">
        <v>0</v>
      </c>
      <c r="Y479" s="5359">
        <f t="shared" si="223"/>
        <v>0</v>
      </c>
      <c r="Z479" s="5358">
        <v>0</v>
      </c>
      <c r="AA479" s="5357">
        <f t="shared" si="224"/>
        <v>0</v>
      </c>
      <c r="AB479" s="5358">
        <v>0</v>
      </c>
      <c r="AC479" s="5494"/>
      <c r="AD479" s="5494"/>
      <c r="AE479" s="5494"/>
      <c r="AF479" s="5349">
        <f t="shared" si="215"/>
        <v>0</v>
      </c>
      <c r="AG479" s="5338">
        <f t="shared" si="216"/>
        <v>0</v>
      </c>
    </row>
    <row r="480" spans="1:33" s="5333" customFormat="1" ht="14.25" customHeight="1">
      <c r="A480" s="5340"/>
      <c r="B480" s="5340"/>
      <c r="C480" s="5340"/>
      <c r="D480" s="5368"/>
      <c r="E480" s="5496"/>
      <c r="F480" s="5367"/>
      <c r="G480" s="5495"/>
      <c r="H480" s="5368"/>
      <c r="I480" s="5495"/>
      <c r="J480" s="5408" t="s">
        <v>50</v>
      </c>
      <c r="K480" s="5361" t="s">
        <v>201</v>
      </c>
      <c r="L480" s="5365"/>
      <c r="M480" s="5359">
        <v>1000000000</v>
      </c>
      <c r="N480" s="5359">
        <v>0</v>
      </c>
      <c r="O480" s="5359">
        <f t="shared" si="217"/>
        <v>-1000000000</v>
      </c>
      <c r="P480" s="5358">
        <v>150000000</v>
      </c>
      <c r="Q480" s="5357">
        <f t="shared" si="218"/>
        <v>150000000</v>
      </c>
      <c r="R480" s="5358">
        <v>0</v>
      </c>
      <c r="S480" s="5358">
        <v>136702012</v>
      </c>
      <c r="T480" s="5359">
        <f t="shared" si="220"/>
        <v>136702012</v>
      </c>
      <c r="U480" s="5358">
        <v>150000000</v>
      </c>
      <c r="V480" s="5357">
        <f t="shared" si="221"/>
        <v>-13297988</v>
      </c>
      <c r="W480" s="5358">
        <f>S480/P480*100-100</f>
        <v>-8.8653253333333311</v>
      </c>
      <c r="X480" s="5358">
        <f>'rekap perdinas Kua PPAS'!N391</f>
        <v>437998804</v>
      </c>
      <c r="Y480" s="5359">
        <f t="shared" si="223"/>
        <v>437998812.86532533</v>
      </c>
      <c r="Z480" s="5358">
        <v>150000000</v>
      </c>
      <c r="AA480" s="5357">
        <f t="shared" si="224"/>
        <v>301296792</v>
      </c>
      <c r="AB480" s="5358">
        <f>X480/S480*100-100</f>
        <v>220.40406545003884</v>
      </c>
      <c r="AC480" s="5494"/>
      <c r="AD480" s="5494"/>
      <c r="AE480" s="5494"/>
      <c r="AF480" s="5349">
        <f t="shared" si="215"/>
        <v>-13297988</v>
      </c>
      <c r="AG480" s="5338">
        <f t="shared" si="216"/>
        <v>0</v>
      </c>
    </row>
    <row r="481" spans="1:33" s="5333" customFormat="1" ht="14.25" customHeight="1">
      <c r="A481" s="5340"/>
      <c r="B481" s="5340"/>
      <c r="C481" s="5340"/>
      <c r="D481" s="5368"/>
      <c r="E481" s="5496"/>
      <c r="F481" s="5367"/>
      <c r="G481" s="5495"/>
      <c r="H481" s="5368"/>
      <c r="I481" s="5495"/>
      <c r="J481" s="5408" t="s">
        <v>50</v>
      </c>
      <c r="K481" s="5361" t="s">
        <v>202</v>
      </c>
      <c r="L481" s="5365"/>
      <c r="M481" s="5359">
        <v>22000000</v>
      </c>
      <c r="N481" s="5359">
        <v>30331900</v>
      </c>
      <c r="O481" s="5359">
        <f t="shared" si="217"/>
        <v>8331900</v>
      </c>
      <c r="P481" s="5358">
        <v>22000000</v>
      </c>
      <c r="Q481" s="5357">
        <f t="shared" si="218"/>
        <v>-8331900</v>
      </c>
      <c r="R481" s="5358">
        <f>P481/N481*100-100</f>
        <v>-27.46910018825065</v>
      </c>
      <c r="S481" s="5358">
        <v>88761211</v>
      </c>
      <c r="T481" s="5359">
        <f t="shared" si="220"/>
        <v>88761238.469100192</v>
      </c>
      <c r="U481" s="5358">
        <v>22000000</v>
      </c>
      <c r="V481" s="5357">
        <f t="shared" si="221"/>
        <v>66761211</v>
      </c>
      <c r="W481" s="5358">
        <f>S481/P481*100-100</f>
        <v>303.46004999999997</v>
      </c>
      <c r="X481" s="5358" t="e">
        <f>'rekap perdinas Kua PPAS'!N392</f>
        <v>#REF!</v>
      </c>
      <c r="Y481" s="5359" t="e">
        <f t="shared" si="223"/>
        <v>#REF!</v>
      </c>
      <c r="Z481" s="5358">
        <v>22000000</v>
      </c>
      <c r="AA481" s="5357" t="e">
        <f t="shared" si="224"/>
        <v>#REF!</v>
      </c>
      <c r="AB481" s="5358" t="e">
        <f>X481/S481*100-100</f>
        <v>#REF!</v>
      </c>
      <c r="AC481" s="5494"/>
      <c r="AD481" s="5494"/>
      <c r="AE481" s="5494"/>
      <c r="AF481" s="5349">
        <f t="shared" si="215"/>
        <v>66761211</v>
      </c>
      <c r="AG481" s="5338">
        <f t="shared" si="216"/>
        <v>0</v>
      </c>
    </row>
    <row r="482" spans="1:33" s="5333" customFormat="1" ht="14.25" customHeight="1">
      <c r="A482" s="5340"/>
      <c r="B482" s="5340"/>
      <c r="C482" s="5340"/>
      <c r="D482" s="5367">
        <v>4</v>
      </c>
      <c r="E482" s="5367">
        <v>1</v>
      </c>
      <c r="F482" s="5367">
        <v>3</v>
      </c>
      <c r="G482" s="5368" t="s">
        <v>438</v>
      </c>
      <c r="H482" s="5368"/>
      <c r="I482" s="5632"/>
      <c r="J482" s="5366" t="s">
        <v>203</v>
      </c>
      <c r="K482" s="5361"/>
      <c r="L482" s="5365"/>
      <c r="M482" s="5359"/>
      <c r="N482" s="5359"/>
      <c r="O482" s="5359"/>
      <c r="P482" s="5358"/>
      <c r="Q482" s="5357"/>
      <c r="R482" s="5358"/>
      <c r="S482" s="5358">
        <f>S483</f>
        <v>2000000000</v>
      </c>
      <c r="T482" s="5359"/>
      <c r="U482" s="5358"/>
      <c r="V482" s="5357"/>
      <c r="W482" s="5358"/>
      <c r="X482" s="5358">
        <f>X483</f>
        <v>2000000000</v>
      </c>
      <c r="Y482" s="5359"/>
      <c r="Z482" s="5358"/>
      <c r="AA482" s="5357"/>
      <c r="AB482" s="5358"/>
      <c r="AC482" s="5494"/>
      <c r="AD482" s="5494"/>
      <c r="AE482" s="5494"/>
      <c r="AF482" s="5349"/>
      <c r="AG482" s="5338"/>
    </row>
    <row r="483" spans="1:33" s="5333" customFormat="1" ht="14.25" customHeight="1">
      <c r="A483" s="5340"/>
      <c r="B483" s="5340"/>
      <c r="C483" s="5340"/>
      <c r="D483" s="5367">
        <v>4</v>
      </c>
      <c r="E483" s="5367">
        <v>1</v>
      </c>
      <c r="F483" s="5367">
        <v>3</v>
      </c>
      <c r="G483" s="5368" t="s">
        <v>438</v>
      </c>
      <c r="H483" s="5368" t="s">
        <v>437</v>
      </c>
      <c r="I483" s="5632"/>
      <c r="J483" s="5366" t="s">
        <v>555</v>
      </c>
      <c r="K483" s="5361"/>
      <c r="L483" s="5365"/>
      <c r="M483" s="5359"/>
      <c r="N483" s="5359"/>
      <c r="O483" s="5359"/>
      <c r="P483" s="5358"/>
      <c r="Q483" s="5357"/>
      <c r="R483" s="5358"/>
      <c r="S483" s="5566">
        <v>2000000000</v>
      </c>
      <c r="T483" s="5565"/>
      <c r="U483" s="5566"/>
      <c r="V483" s="5564"/>
      <c r="W483" s="5566"/>
      <c r="X483" s="5566">
        <v>2000000000</v>
      </c>
      <c r="Y483" s="5359"/>
      <c r="Z483" s="5358"/>
      <c r="AA483" s="5357"/>
      <c r="AB483" s="5358"/>
      <c r="AC483" s="5494"/>
      <c r="AD483" s="5494"/>
      <c r="AE483" s="5494"/>
      <c r="AF483" s="5349"/>
      <c r="AG483" s="5338"/>
    </row>
    <row r="484" spans="1:33" s="5333" customFormat="1" ht="9.1" customHeight="1">
      <c r="A484" s="5340"/>
      <c r="B484" s="5340"/>
      <c r="C484" s="5340"/>
      <c r="D484" s="5367"/>
      <c r="E484" s="5367"/>
      <c r="F484" s="5367"/>
      <c r="G484" s="5368"/>
      <c r="H484" s="5368"/>
      <c r="I484" s="5632"/>
      <c r="J484" s="5366"/>
      <c r="K484" s="5361"/>
      <c r="L484" s="5365"/>
      <c r="M484" s="5357"/>
      <c r="N484" s="5357"/>
      <c r="O484" s="5357"/>
      <c r="P484" s="5358"/>
      <c r="Q484" s="5357"/>
      <c r="R484" s="5358"/>
      <c r="S484" s="5566"/>
      <c r="T484" s="5564"/>
      <c r="U484" s="5566"/>
      <c r="V484" s="5564"/>
      <c r="W484" s="5566"/>
      <c r="X484" s="5566"/>
      <c r="Y484" s="5357"/>
      <c r="Z484" s="5358"/>
      <c r="AA484" s="5357"/>
      <c r="AB484" s="5358"/>
      <c r="AC484" s="5494"/>
      <c r="AD484" s="5494"/>
      <c r="AE484" s="5494"/>
      <c r="AF484" s="5349"/>
      <c r="AG484" s="5338"/>
    </row>
    <row r="485" spans="1:33" s="5333" customFormat="1" ht="15.05" customHeight="1">
      <c r="A485" s="5426"/>
      <c r="B485" s="5426"/>
      <c r="C485" s="5426"/>
      <c r="D485" s="5374">
        <v>4</v>
      </c>
      <c r="E485" s="5374">
        <v>1</v>
      </c>
      <c r="F485" s="5374">
        <v>4</v>
      </c>
      <c r="G485" s="5373"/>
      <c r="H485" s="5373"/>
      <c r="I485" s="5633"/>
      <c r="J485" s="5372" t="s">
        <v>71</v>
      </c>
      <c r="K485" s="5371"/>
      <c r="L485" s="5370"/>
      <c r="M485" s="5357">
        <v>712788000</v>
      </c>
      <c r="N485" s="5357">
        <f>N486+N493+N497+N500+N521+N534+N510+N593</f>
        <v>108590454780</v>
      </c>
      <c r="O485" s="5357">
        <f t="shared" ref="O485:O491" si="226">N485-M485</f>
        <v>107877666780</v>
      </c>
      <c r="P485" s="5357">
        <f>P486+P493+P497+P500+P521+P534+P510+P593</f>
        <v>105825900800</v>
      </c>
      <c r="Q485" s="5357">
        <f t="shared" ref="Q485:Q491" si="227">+P485-N485</f>
        <v>-2764553980</v>
      </c>
      <c r="R485" s="5358">
        <f>P485/N485*100-100</f>
        <v>-2.5458535794889912</v>
      </c>
      <c r="S485" s="5564">
        <f t="shared" ref="S485:X485" si="228">S486+S493+S497+S500+S521+S534+S510+S593+S507+S504</f>
        <v>87048412584</v>
      </c>
      <c r="T485" s="5564">
        <f t="shared" si="228"/>
        <v>86830876676.071304</v>
      </c>
      <c r="U485" s="5564">
        <f t="shared" si="228"/>
        <v>105825900800</v>
      </c>
      <c r="V485" s="5564">
        <f t="shared" si="228"/>
        <v>-18777488216</v>
      </c>
      <c r="W485" s="5564" t="e">
        <f t="shared" si="228"/>
        <v>#DIV/0!</v>
      </c>
      <c r="X485" s="5564" t="e">
        <f t="shared" si="228"/>
        <v>#REF!</v>
      </c>
      <c r="Y485" s="5357" t="e">
        <f t="shared" ref="Y485:Y491" si="229">X485-W485</f>
        <v>#REF!</v>
      </c>
      <c r="Z485" s="5357">
        <f>Z486+Z493+Z497+Z500+Z521+Z534+Z510+Z593</f>
        <v>105825900800</v>
      </c>
      <c r="AA485" s="5357" t="e">
        <f t="shared" ref="AA485:AA494" si="230">X485-S485</f>
        <v>#REF!</v>
      </c>
      <c r="AB485" s="5358" t="e">
        <f>X485/S485*100-100</f>
        <v>#REF!</v>
      </c>
      <c r="AC485" s="5494"/>
      <c r="AD485" s="5494"/>
      <c r="AE485" s="5494"/>
      <c r="AF485" s="5349">
        <f t="shared" ref="AF485:AF494" si="231">S485-P485</f>
        <v>-18777488216</v>
      </c>
      <c r="AG485" s="5338">
        <f t="shared" ref="AG485:AG494" si="232">AF485-V485</f>
        <v>0</v>
      </c>
    </row>
    <row r="486" spans="1:33" s="5333" customFormat="1" ht="15.05" customHeight="1">
      <c r="A486" s="5426"/>
      <c r="B486" s="5426"/>
      <c r="C486" s="5426"/>
      <c r="D486" s="5367">
        <v>4</v>
      </c>
      <c r="E486" s="5367">
        <v>1</v>
      </c>
      <c r="F486" s="5367">
        <v>4</v>
      </c>
      <c r="G486" s="5368" t="s">
        <v>437</v>
      </c>
      <c r="H486" s="5367"/>
      <c r="I486" s="5631"/>
      <c r="J486" s="5366" t="s">
        <v>206</v>
      </c>
      <c r="K486" s="5361"/>
      <c r="L486" s="5365"/>
      <c r="M486" s="5357">
        <v>571268000</v>
      </c>
      <c r="N486" s="5357">
        <f>SUM(N487:N491)</f>
        <v>1250000000</v>
      </c>
      <c r="O486" s="5357">
        <f t="shared" si="226"/>
        <v>678732000</v>
      </c>
      <c r="P486" s="5358">
        <f>SUM(P487:P491)</f>
        <v>250000000</v>
      </c>
      <c r="Q486" s="5357">
        <f t="shared" si="227"/>
        <v>-1000000000</v>
      </c>
      <c r="R486" s="5358">
        <f>P486/N486*100-100</f>
        <v>-80</v>
      </c>
      <c r="S486" s="5358">
        <f>SUM(S487:S491)</f>
        <v>250000000</v>
      </c>
      <c r="T486" s="5357">
        <f t="shared" ref="T486:T491" si="233">S486-R486</f>
        <v>250000080</v>
      </c>
      <c r="U486" s="5358">
        <f>SUM(U487:U491)</f>
        <v>250000000</v>
      </c>
      <c r="V486" s="5357">
        <f t="shared" ref="V486:V491" si="234">S486-P486</f>
        <v>0</v>
      </c>
      <c r="W486" s="5358">
        <f>S486/P486*100-100</f>
        <v>0</v>
      </c>
      <c r="X486" s="5358">
        <f>SUM(X487:X491)</f>
        <v>250000000</v>
      </c>
      <c r="Y486" s="5357">
        <f t="shared" si="229"/>
        <v>250000000</v>
      </c>
      <c r="Z486" s="5358">
        <f>SUM(Z487:Z491)</f>
        <v>250000000</v>
      </c>
      <c r="AA486" s="5357">
        <f t="shared" si="230"/>
        <v>0</v>
      </c>
      <c r="AB486" s="5358">
        <f>X486/S486*100-100</f>
        <v>0</v>
      </c>
      <c r="AC486" s="5494"/>
      <c r="AD486" s="5494"/>
      <c r="AE486" s="5494"/>
      <c r="AF486" s="5349">
        <f t="shared" si="231"/>
        <v>0</v>
      </c>
      <c r="AG486" s="5338">
        <f t="shared" si="232"/>
        <v>0</v>
      </c>
    </row>
    <row r="487" spans="1:33" s="5333" customFormat="1" ht="15.05" customHeight="1">
      <c r="A487" s="5426"/>
      <c r="B487" s="5426"/>
      <c r="C487" s="5426"/>
      <c r="D487" s="5367">
        <v>4</v>
      </c>
      <c r="E487" s="5367">
        <v>1</v>
      </c>
      <c r="F487" s="5367">
        <v>4</v>
      </c>
      <c r="G487" s="5368" t="s">
        <v>437</v>
      </c>
      <c r="H487" s="5368" t="s">
        <v>437</v>
      </c>
      <c r="I487" s="5368"/>
      <c r="J487" s="5453" t="s">
        <v>207</v>
      </c>
      <c r="K487" s="5361"/>
      <c r="L487" s="5365"/>
      <c r="M487" s="5359">
        <v>120000000</v>
      </c>
      <c r="N487" s="5359">
        <v>0</v>
      </c>
      <c r="O487" s="5359">
        <f t="shared" si="226"/>
        <v>-120000000</v>
      </c>
      <c r="P487" s="5358">
        <v>0</v>
      </c>
      <c r="Q487" s="5357">
        <f t="shared" si="227"/>
        <v>0</v>
      </c>
      <c r="R487" s="5358">
        <v>0</v>
      </c>
      <c r="S487" s="5358">
        <v>0</v>
      </c>
      <c r="T487" s="5359">
        <f t="shared" si="233"/>
        <v>0</v>
      </c>
      <c r="U487" s="5358">
        <v>0</v>
      </c>
      <c r="V487" s="5357">
        <f t="shared" si="234"/>
        <v>0</v>
      </c>
      <c r="W487" s="5358">
        <v>0</v>
      </c>
      <c r="X487" s="5358">
        <v>0</v>
      </c>
      <c r="Y487" s="5359">
        <f t="shared" si="229"/>
        <v>0</v>
      </c>
      <c r="Z487" s="5358">
        <v>0</v>
      </c>
      <c r="AA487" s="5357">
        <f t="shared" si="230"/>
        <v>0</v>
      </c>
      <c r="AB487" s="5358">
        <v>0</v>
      </c>
      <c r="AC487" s="5350"/>
      <c r="AD487" s="5350"/>
      <c r="AE487" s="5350"/>
      <c r="AF487" s="5349">
        <f t="shared" si="231"/>
        <v>0</v>
      </c>
      <c r="AG487" s="5338">
        <f t="shared" si="232"/>
        <v>0</v>
      </c>
    </row>
    <row r="488" spans="1:33" s="5333" customFormat="1" ht="15.05" customHeight="1">
      <c r="A488" s="5426"/>
      <c r="B488" s="5426"/>
      <c r="C488" s="5426"/>
      <c r="D488" s="5367">
        <v>4</v>
      </c>
      <c r="E488" s="5367">
        <v>1</v>
      </c>
      <c r="F488" s="5367">
        <v>4</v>
      </c>
      <c r="G488" s="5368" t="s">
        <v>437</v>
      </c>
      <c r="H488" s="5368" t="s">
        <v>438</v>
      </c>
      <c r="I488" s="5368"/>
      <c r="J488" s="5453" t="s">
        <v>1058</v>
      </c>
      <c r="K488" s="5361"/>
      <c r="L488" s="5365"/>
      <c r="M488" s="5359">
        <v>101268000</v>
      </c>
      <c r="N488" s="5359">
        <f>50000000+1000000000</f>
        <v>1050000000</v>
      </c>
      <c r="O488" s="5359">
        <f t="shared" si="226"/>
        <v>948732000</v>
      </c>
      <c r="P488" s="5358">
        <v>50000000</v>
      </c>
      <c r="Q488" s="5357">
        <f t="shared" si="227"/>
        <v>-1000000000</v>
      </c>
      <c r="R488" s="5358">
        <f>P488/N488*100-100</f>
        <v>-95.238095238095241</v>
      </c>
      <c r="S488" s="5358">
        <v>50000000</v>
      </c>
      <c r="T488" s="5359">
        <f t="shared" si="233"/>
        <v>50000095.238095239</v>
      </c>
      <c r="U488" s="5358">
        <v>50000000</v>
      </c>
      <c r="V488" s="5357">
        <f t="shared" si="234"/>
        <v>0</v>
      </c>
      <c r="W488" s="5358">
        <f>S488/P488*100-100</f>
        <v>0</v>
      </c>
      <c r="X488" s="5358">
        <v>50000000</v>
      </c>
      <c r="Y488" s="5359">
        <f t="shared" si="229"/>
        <v>50000000</v>
      </c>
      <c r="Z488" s="5358">
        <v>50000000</v>
      </c>
      <c r="AA488" s="5357">
        <f t="shared" si="230"/>
        <v>0</v>
      </c>
      <c r="AB488" s="5358">
        <f>X488/S488*100-100</f>
        <v>0</v>
      </c>
      <c r="AC488" s="5350"/>
      <c r="AD488" s="5350"/>
      <c r="AE488" s="5350"/>
      <c r="AF488" s="5349">
        <f t="shared" si="231"/>
        <v>0</v>
      </c>
      <c r="AG488" s="5338">
        <f t="shared" si="232"/>
        <v>0</v>
      </c>
    </row>
    <row r="489" spans="1:33" s="5333" customFormat="1" ht="15.05" customHeight="1">
      <c r="A489" s="5426"/>
      <c r="B489" s="5426"/>
      <c r="C489" s="5426"/>
      <c r="D489" s="5367">
        <v>4</v>
      </c>
      <c r="E489" s="5367">
        <v>1</v>
      </c>
      <c r="F489" s="5367">
        <v>4</v>
      </c>
      <c r="G489" s="5368" t="s">
        <v>437</v>
      </c>
      <c r="H489" s="5368" t="s">
        <v>440</v>
      </c>
      <c r="I489" s="5368"/>
      <c r="J489" s="5453" t="s">
        <v>1384</v>
      </c>
      <c r="K489" s="5361"/>
      <c r="L489" s="5365"/>
      <c r="M489" s="5359">
        <v>0</v>
      </c>
      <c r="N489" s="5359">
        <v>0</v>
      </c>
      <c r="O489" s="5359">
        <f t="shared" si="226"/>
        <v>0</v>
      </c>
      <c r="P489" s="5358">
        <v>0</v>
      </c>
      <c r="Q489" s="5357">
        <f t="shared" si="227"/>
        <v>0</v>
      </c>
      <c r="R489" s="5358">
        <v>0</v>
      </c>
      <c r="S489" s="5358">
        <v>0</v>
      </c>
      <c r="T489" s="5359">
        <f t="shared" si="233"/>
        <v>0</v>
      </c>
      <c r="U489" s="5358">
        <v>0</v>
      </c>
      <c r="V489" s="5357">
        <f t="shared" si="234"/>
        <v>0</v>
      </c>
      <c r="W489" s="5358">
        <v>0</v>
      </c>
      <c r="X489" s="5358">
        <v>0</v>
      </c>
      <c r="Y489" s="5359">
        <f t="shared" si="229"/>
        <v>0</v>
      </c>
      <c r="Z489" s="5358">
        <v>0</v>
      </c>
      <c r="AA489" s="5357">
        <f t="shared" si="230"/>
        <v>0</v>
      </c>
      <c r="AB489" s="5358">
        <v>0</v>
      </c>
      <c r="AC489" s="5350"/>
      <c r="AD489" s="5350"/>
      <c r="AE489" s="5350"/>
      <c r="AF489" s="5349">
        <f t="shared" si="231"/>
        <v>0</v>
      </c>
      <c r="AG489" s="5338">
        <f t="shared" si="232"/>
        <v>0</v>
      </c>
    </row>
    <row r="490" spans="1:33" s="5333" customFormat="1" ht="15.05" customHeight="1">
      <c r="A490" s="5426"/>
      <c r="B490" s="5426"/>
      <c r="C490" s="5426"/>
      <c r="D490" s="5367">
        <v>4</v>
      </c>
      <c r="E490" s="5367">
        <v>1</v>
      </c>
      <c r="F490" s="5367">
        <v>4</v>
      </c>
      <c r="G490" s="5368" t="s">
        <v>437</v>
      </c>
      <c r="H490" s="5368" t="s">
        <v>445</v>
      </c>
      <c r="I490" s="5368"/>
      <c r="J490" s="5453" t="s">
        <v>1383</v>
      </c>
      <c r="K490" s="5361"/>
      <c r="L490" s="5365"/>
      <c r="M490" s="5359">
        <v>0</v>
      </c>
      <c r="N490" s="5359">
        <v>0</v>
      </c>
      <c r="O490" s="5359">
        <f t="shared" si="226"/>
        <v>0</v>
      </c>
      <c r="P490" s="5358">
        <v>0</v>
      </c>
      <c r="Q490" s="5357">
        <f t="shared" si="227"/>
        <v>0</v>
      </c>
      <c r="R490" s="5358">
        <v>0</v>
      </c>
      <c r="S490" s="5358">
        <v>0</v>
      </c>
      <c r="T490" s="5359">
        <f t="shared" si="233"/>
        <v>0</v>
      </c>
      <c r="U490" s="5358">
        <v>0</v>
      </c>
      <c r="V490" s="5357">
        <f t="shared" si="234"/>
        <v>0</v>
      </c>
      <c r="W490" s="5358">
        <v>0</v>
      </c>
      <c r="X490" s="5358">
        <v>0</v>
      </c>
      <c r="Y490" s="5359">
        <f t="shared" si="229"/>
        <v>0</v>
      </c>
      <c r="Z490" s="5358">
        <v>0</v>
      </c>
      <c r="AA490" s="5357">
        <f t="shared" si="230"/>
        <v>0</v>
      </c>
      <c r="AB490" s="5358">
        <v>0</v>
      </c>
      <c r="AC490" s="5350"/>
      <c r="AD490" s="5350"/>
      <c r="AE490" s="5350"/>
      <c r="AF490" s="5349">
        <f t="shared" si="231"/>
        <v>0</v>
      </c>
      <c r="AG490" s="5338">
        <f t="shared" si="232"/>
        <v>0</v>
      </c>
    </row>
    <row r="491" spans="1:33" s="5333" customFormat="1" ht="15.05" customHeight="1">
      <c r="A491" s="5426"/>
      <c r="B491" s="5426"/>
      <c r="C491" s="5426"/>
      <c r="D491" s="5367">
        <v>4</v>
      </c>
      <c r="E491" s="5367">
        <v>1</v>
      </c>
      <c r="F491" s="5367">
        <v>4</v>
      </c>
      <c r="G491" s="5368" t="s">
        <v>437</v>
      </c>
      <c r="H491" s="5368" t="s">
        <v>444</v>
      </c>
      <c r="I491" s="5368"/>
      <c r="J491" s="5453" t="s">
        <v>1061</v>
      </c>
      <c r="K491" s="5361"/>
      <c r="L491" s="5365"/>
      <c r="M491" s="5359">
        <v>350000000</v>
      </c>
      <c r="N491" s="5359">
        <v>200000000</v>
      </c>
      <c r="O491" s="5359">
        <f t="shared" si="226"/>
        <v>-150000000</v>
      </c>
      <c r="P491" s="5358">
        <v>200000000</v>
      </c>
      <c r="Q491" s="5357">
        <f t="shared" si="227"/>
        <v>0</v>
      </c>
      <c r="R491" s="5358">
        <f>P491/N491*100-100</f>
        <v>0</v>
      </c>
      <c r="S491" s="5358">
        <v>200000000</v>
      </c>
      <c r="T491" s="5359">
        <f t="shared" si="233"/>
        <v>200000000</v>
      </c>
      <c r="U491" s="5358">
        <v>200000000</v>
      </c>
      <c r="V491" s="5357">
        <f t="shared" si="234"/>
        <v>0</v>
      </c>
      <c r="W491" s="5358">
        <f>S491/P491*100-100</f>
        <v>0</v>
      </c>
      <c r="X491" s="5358">
        <v>200000000</v>
      </c>
      <c r="Y491" s="5359">
        <f t="shared" si="229"/>
        <v>200000000</v>
      </c>
      <c r="Z491" s="5358">
        <v>200000000</v>
      </c>
      <c r="AA491" s="5357">
        <f t="shared" si="230"/>
        <v>0</v>
      </c>
      <c r="AB491" s="5358">
        <f>X491/S491*100-100</f>
        <v>0</v>
      </c>
      <c r="AC491" s="5350"/>
      <c r="AD491" s="5350"/>
      <c r="AE491" s="5350"/>
      <c r="AF491" s="5349">
        <f t="shared" si="231"/>
        <v>0</v>
      </c>
      <c r="AG491" s="5338">
        <f t="shared" si="232"/>
        <v>0</v>
      </c>
    </row>
    <row r="492" spans="1:33" s="5333" customFormat="1" ht="8.4499999999999993" customHeight="1">
      <c r="A492" s="5426"/>
      <c r="B492" s="5426"/>
      <c r="C492" s="5426"/>
      <c r="D492" s="5367"/>
      <c r="E492" s="5380"/>
      <c r="F492" s="5380"/>
      <c r="G492" s="5379"/>
      <c r="H492" s="5379"/>
      <c r="I492" s="5495"/>
      <c r="J492" s="5366"/>
      <c r="K492" s="5361"/>
      <c r="L492" s="5365"/>
      <c r="M492" s="5359"/>
      <c r="N492" s="5359"/>
      <c r="O492" s="5359"/>
      <c r="P492" s="5358"/>
      <c r="Q492" s="5357"/>
      <c r="R492" s="5358"/>
      <c r="S492" s="5358"/>
      <c r="T492" s="5359"/>
      <c r="U492" s="5358"/>
      <c r="V492" s="5357"/>
      <c r="W492" s="5358"/>
      <c r="X492" s="5358"/>
      <c r="Y492" s="5359"/>
      <c r="Z492" s="5358"/>
      <c r="AA492" s="5357">
        <f t="shared" si="230"/>
        <v>0</v>
      </c>
      <c r="AB492" s="5358">
        <v>0</v>
      </c>
      <c r="AC492" s="5350"/>
      <c r="AD492" s="5350"/>
      <c r="AE492" s="5350"/>
      <c r="AF492" s="5349">
        <f t="shared" si="231"/>
        <v>0</v>
      </c>
      <c r="AG492" s="5338">
        <f t="shared" si="232"/>
        <v>0</v>
      </c>
    </row>
    <row r="493" spans="1:33" s="5333" customFormat="1" ht="16" customHeight="1">
      <c r="A493" s="5426"/>
      <c r="B493" s="5426"/>
      <c r="C493" s="5426"/>
      <c r="D493" s="5440">
        <v>4</v>
      </c>
      <c r="E493" s="5440">
        <v>1</v>
      </c>
      <c r="F493" s="5440">
        <v>4</v>
      </c>
      <c r="G493" s="5570" t="s">
        <v>438</v>
      </c>
      <c r="H493" s="5570"/>
      <c r="I493" s="5640"/>
      <c r="J493" s="5577" t="s">
        <v>212</v>
      </c>
      <c r="K493" s="5475"/>
      <c r="L493" s="5563"/>
      <c r="M493" s="5587">
        <v>4000000000</v>
      </c>
      <c r="N493" s="5587">
        <f>+N494</f>
        <v>4500000000</v>
      </c>
      <c r="O493" s="5587">
        <f>N493-M493</f>
        <v>500000000</v>
      </c>
      <c r="P493" s="5588">
        <f>+P494</f>
        <v>4500000000</v>
      </c>
      <c r="Q493" s="5564">
        <f>+P493-N493</f>
        <v>0</v>
      </c>
      <c r="R493" s="5566">
        <f>P493/N493*100-100</f>
        <v>0</v>
      </c>
      <c r="S493" s="5588">
        <f>+S494</f>
        <v>4500000000</v>
      </c>
      <c r="T493" s="5587">
        <f>S493-R493</f>
        <v>4500000000</v>
      </c>
      <c r="U493" s="5588">
        <f>+U494</f>
        <v>4500000000</v>
      </c>
      <c r="V493" s="5564">
        <f>S493-P493</f>
        <v>0</v>
      </c>
      <c r="W493" s="5566">
        <f>S493/P493*100-100</f>
        <v>0</v>
      </c>
      <c r="X493" s="5588" t="e">
        <f>X494+X495</f>
        <v>#REF!</v>
      </c>
      <c r="Y493" s="5587" t="e">
        <f>X493-W493</f>
        <v>#REF!</v>
      </c>
      <c r="Z493" s="5588">
        <f>+Z494</f>
        <v>4500000000</v>
      </c>
      <c r="AA493" s="5564" t="e">
        <f t="shared" si="230"/>
        <v>#REF!</v>
      </c>
      <c r="AB493" s="5566" t="e">
        <f>X493/S493*100-100</f>
        <v>#REF!</v>
      </c>
      <c r="AC493" s="5350"/>
      <c r="AD493" s="5350"/>
      <c r="AE493" s="5350"/>
      <c r="AF493" s="5349">
        <f t="shared" si="231"/>
        <v>0</v>
      </c>
      <c r="AG493" s="5338">
        <f t="shared" si="232"/>
        <v>0</v>
      </c>
    </row>
    <row r="494" spans="1:33" s="5333" customFormat="1" ht="15.05" customHeight="1">
      <c r="A494" s="5426"/>
      <c r="B494" s="5426"/>
      <c r="C494" s="5426"/>
      <c r="D494" s="5440" t="s">
        <v>443</v>
      </c>
      <c r="E494" s="5440">
        <v>1</v>
      </c>
      <c r="F494" s="5440">
        <v>4</v>
      </c>
      <c r="G494" s="5570" t="s">
        <v>438</v>
      </c>
      <c r="H494" s="5570" t="s">
        <v>437</v>
      </c>
      <c r="I494" s="5640"/>
      <c r="J494" s="5577" t="s">
        <v>213</v>
      </c>
      <c r="K494" s="5475"/>
      <c r="L494" s="5563"/>
      <c r="M494" s="5565">
        <v>4000000000</v>
      </c>
      <c r="N494" s="5565">
        <v>4500000000</v>
      </c>
      <c r="O494" s="5565">
        <f>N494-M494</f>
        <v>500000000</v>
      </c>
      <c r="P494" s="5566">
        <v>4500000000</v>
      </c>
      <c r="Q494" s="5564">
        <f>+P494-N494</f>
        <v>0</v>
      </c>
      <c r="R494" s="5566">
        <f>P494/N494*100-100</f>
        <v>0</v>
      </c>
      <c r="S494" s="5566">
        <v>4500000000</v>
      </c>
      <c r="T494" s="5565">
        <f>S494-R494</f>
        <v>4500000000</v>
      </c>
      <c r="U494" s="5566">
        <v>4500000000</v>
      </c>
      <c r="V494" s="5564">
        <f>S494-P494</f>
        <v>0</v>
      </c>
      <c r="W494" s="5566">
        <f>S494/P494*100-100</f>
        <v>0</v>
      </c>
      <c r="X494" s="5566" t="e">
        <f>#REF!</f>
        <v>#REF!</v>
      </c>
      <c r="Y494" s="5565" t="e">
        <f>X494-W494</f>
        <v>#REF!</v>
      </c>
      <c r="Z494" s="5566">
        <v>4500000000</v>
      </c>
      <c r="AA494" s="5564" t="e">
        <f t="shared" si="230"/>
        <v>#REF!</v>
      </c>
      <c r="AB494" s="5566" t="e">
        <f>X494/S494*100-100</f>
        <v>#REF!</v>
      </c>
      <c r="AC494" s="5350" t="s">
        <v>1515</v>
      </c>
      <c r="AD494" s="5350"/>
      <c r="AE494" s="5350"/>
      <c r="AF494" s="5349">
        <f t="shared" si="231"/>
        <v>0</v>
      </c>
      <c r="AG494" s="5338">
        <f t="shared" si="232"/>
        <v>0</v>
      </c>
    </row>
    <row r="495" spans="1:33" s="5333" customFormat="1" ht="15.05" customHeight="1">
      <c r="A495" s="5426"/>
      <c r="B495" s="5426"/>
      <c r="C495" s="5426"/>
      <c r="D495" s="5440"/>
      <c r="E495" s="5439"/>
      <c r="F495" s="5439"/>
      <c r="G495" s="5683"/>
      <c r="H495" s="5683"/>
      <c r="I495" s="5685"/>
      <c r="J495" s="5577" t="str">
        <f>'rekap perdinas Kua PPAS'!I407</f>
        <v>Jasa Giro Pemegang Kas</v>
      </c>
      <c r="K495" s="5475"/>
      <c r="L495" s="5563"/>
      <c r="M495" s="5565"/>
      <c r="N495" s="5565"/>
      <c r="O495" s="5565"/>
      <c r="P495" s="5566"/>
      <c r="Q495" s="5564"/>
      <c r="R495" s="5566"/>
      <c r="S495" s="5566">
        <v>0</v>
      </c>
      <c r="T495" s="5565"/>
      <c r="U495" s="5566"/>
      <c r="V495" s="5564"/>
      <c r="W495" s="5566"/>
      <c r="X495" s="5566">
        <f>'rekap perdinas Kua PPAS'!N407</f>
        <v>37000000</v>
      </c>
      <c r="Y495" s="5565"/>
      <c r="Z495" s="5566"/>
      <c r="AA495" s="5564"/>
      <c r="AB495" s="5566"/>
      <c r="AC495" s="5350"/>
      <c r="AD495" s="5350"/>
      <c r="AE495" s="5350"/>
      <c r="AF495" s="5349"/>
      <c r="AG495" s="5338"/>
    </row>
    <row r="496" spans="1:33" s="5333" customFormat="1" ht="8.15" customHeight="1">
      <c r="A496" s="5426"/>
      <c r="B496" s="5426"/>
      <c r="C496" s="5426"/>
      <c r="D496" s="5440"/>
      <c r="E496" s="5439"/>
      <c r="F496" s="5439"/>
      <c r="G496" s="5683"/>
      <c r="H496" s="5683"/>
      <c r="I496" s="5685"/>
      <c r="J496" s="5577"/>
      <c r="K496" s="5475"/>
      <c r="L496" s="5563"/>
      <c r="M496" s="5564"/>
      <c r="N496" s="5564"/>
      <c r="O496" s="5564"/>
      <c r="P496" s="5566"/>
      <c r="Q496" s="5564"/>
      <c r="R496" s="5566"/>
      <c r="S496" s="5566"/>
      <c r="T496" s="5564"/>
      <c r="U496" s="5566"/>
      <c r="V496" s="5564"/>
      <c r="W496" s="5566"/>
      <c r="X496" s="5566"/>
      <c r="Y496" s="5564"/>
      <c r="Z496" s="5566"/>
      <c r="AA496" s="5564"/>
      <c r="AB496" s="5566"/>
      <c r="AC496" s="5350"/>
      <c r="AD496" s="5350"/>
      <c r="AE496" s="5350"/>
      <c r="AF496" s="5349">
        <f t="shared" ref="AF496:AF502" si="235">S496-P496</f>
        <v>0</v>
      </c>
      <c r="AG496" s="5338">
        <f t="shared" ref="AG496:AG502" si="236">AF496-V496</f>
        <v>0</v>
      </c>
    </row>
    <row r="497" spans="1:33" s="5333" customFormat="1" ht="15.05" customHeight="1">
      <c r="A497" s="5426"/>
      <c r="B497" s="5426"/>
      <c r="C497" s="5426"/>
      <c r="D497" s="5440">
        <v>4</v>
      </c>
      <c r="E497" s="5440">
        <v>1</v>
      </c>
      <c r="F497" s="5440">
        <v>4</v>
      </c>
      <c r="G497" s="5570" t="s">
        <v>440</v>
      </c>
      <c r="H497" s="5570"/>
      <c r="I497" s="5640"/>
      <c r="J497" s="5577" t="s">
        <v>215</v>
      </c>
      <c r="K497" s="5475"/>
      <c r="L497" s="5563"/>
      <c r="M497" s="5564">
        <v>3000000000</v>
      </c>
      <c r="N497" s="5564">
        <f>+N498</f>
        <v>9000000000</v>
      </c>
      <c r="O497" s="5564">
        <f>N497-M497</f>
        <v>6000000000</v>
      </c>
      <c r="P497" s="5566">
        <f>+P498</f>
        <v>12000000000</v>
      </c>
      <c r="Q497" s="5564">
        <f>+P497-N497</f>
        <v>3000000000</v>
      </c>
      <c r="R497" s="5566">
        <f>P497/N497*100-100</f>
        <v>33.333333333333314</v>
      </c>
      <c r="S497" s="5566">
        <f>+S498</f>
        <v>6875000000</v>
      </c>
      <c r="T497" s="5564">
        <f>S497-R497</f>
        <v>6874999966.666667</v>
      </c>
      <c r="U497" s="5566">
        <f>+U498</f>
        <v>12000000000</v>
      </c>
      <c r="V497" s="5564">
        <f>S497-P497</f>
        <v>-5125000000</v>
      </c>
      <c r="W497" s="5566">
        <f>S497/P497*100-100</f>
        <v>-42.708333333333336</v>
      </c>
      <c r="X497" s="5566" t="e">
        <f>+X498</f>
        <v>#REF!</v>
      </c>
      <c r="Y497" s="5564" t="e">
        <f>X497-W497</f>
        <v>#REF!</v>
      </c>
      <c r="Z497" s="5566">
        <f>+Z498</f>
        <v>12000000000</v>
      </c>
      <c r="AA497" s="5564" t="e">
        <f>X497-S497</f>
        <v>#REF!</v>
      </c>
      <c r="AB497" s="5566" t="e">
        <f>X497/S497*100-100</f>
        <v>#REF!</v>
      </c>
      <c r="AC497" s="5350"/>
      <c r="AD497" s="5350"/>
      <c r="AE497" s="5350"/>
      <c r="AF497" s="5349">
        <f t="shared" si="235"/>
        <v>-5125000000</v>
      </c>
      <c r="AG497" s="5338">
        <f t="shared" si="236"/>
        <v>0</v>
      </c>
    </row>
    <row r="498" spans="1:33" s="5333" customFormat="1" ht="15.05" customHeight="1">
      <c r="A498" s="5426"/>
      <c r="B498" s="5426"/>
      <c r="C498" s="5426"/>
      <c r="D498" s="5440">
        <v>4</v>
      </c>
      <c r="E498" s="5440">
        <v>1</v>
      </c>
      <c r="F498" s="5440">
        <v>4</v>
      </c>
      <c r="G498" s="5570" t="s">
        <v>440</v>
      </c>
      <c r="H498" s="5570" t="s">
        <v>437</v>
      </c>
      <c r="I498" s="5640"/>
      <c r="J498" s="5577" t="s">
        <v>216</v>
      </c>
      <c r="K498" s="5479"/>
      <c r="L498" s="5686"/>
      <c r="M498" s="5565">
        <v>3000000000</v>
      </c>
      <c r="N498" s="5565">
        <f>6500000000+1500000000+1000000000</f>
        <v>9000000000</v>
      </c>
      <c r="O498" s="5565">
        <f>N498-M498</f>
        <v>6000000000</v>
      </c>
      <c r="P498" s="5566">
        <f>6500000000+5500000000</f>
        <v>12000000000</v>
      </c>
      <c r="Q498" s="5564">
        <f>+P498-N498</f>
        <v>3000000000</v>
      </c>
      <c r="R498" s="5566">
        <f>P498/N498*100-100</f>
        <v>33.333333333333314</v>
      </c>
      <c r="S498" s="5566">
        <v>6875000000</v>
      </c>
      <c r="T498" s="5565">
        <f>S498-R498</f>
        <v>6874999966.666667</v>
      </c>
      <c r="U498" s="5566">
        <f>6500000000+5500000000</f>
        <v>12000000000</v>
      </c>
      <c r="V498" s="5564">
        <f>S498-P498</f>
        <v>-5125000000</v>
      </c>
      <c r="W498" s="5566">
        <f>S498/P498*100-100</f>
        <v>-42.708333333333336</v>
      </c>
      <c r="X498" s="5566" t="e">
        <f>#REF!</f>
        <v>#REF!</v>
      </c>
      <c r="Y498" s="5565" t="e">
        <f>X498-W498</f>
        <v>#REF!</v>
      </c>
      <c r="Z498" s="5566">
        <f>6500000000+5500000000</f>
        <v>12000000000</v>
      </c>
      <c r="AA498" s="5564" t="e">
        <f>X498-S498</f>
        <v>#REF!</v>
      </c>
      <c r="AB498" s="5566" t="e">
        <f>X498/S498*100-100</f>
        <v>#REF!</v>
      </c>
      <c r="AC498" s="5350" t="s">
        <v>1515</v>
      </c>
      <c r="AD498" s="5350"/>
      <c r="AE498" s="5350"/>
      <c r="AF498" s="5349">
        <f t="shared" si="235"/>
        <v>-5125000000</v>
      </c>
      <c r="AG498" s="5338">
        <f t="shared" si="236"/>
        <v>0</v>
      </c>
    </row>
    <row r="499" spans="1:33" s="5333" customFormat="1">
      <c r="A499" s="5426"/>
      <c r="B499" s="5426"/>
      <c r="C499" s="5426"/>
      <c r="D499" s="5367"/>
      <c r="E499" s="5380"/>
      <c r="F499" s="5380"/>
      <c r="G499" s="5379"/>
      <c r="H499" s="5379"/>
      <c r="I499" s="5495"/>
      <c r="J499" s="5366"/>
      <c r="K499" s="5361"/>
      <c r="L499" s="5365"/>
      <c r="M499" s="5357"/>
      <c r="N499" s="5357"/>
      <c r="O499" s="5357"/>
      <c r="P499" s="5358"/>
      <c r="Q499" s="5357"/>
      <c r="R499" s="5358"/>
      <c r="S499" s="5358"/>
      <c r="T499" s="5357"/>
      <c r="U499" s="5358"/>
      <c r="V499" s="5357"/>
      <c r="W499" s="5358"/>
      <c r="X499" s="5358"/>
      <c r="Y499" s="5357"/>
      <c r="Z499" s="5358"/>
      <c r="AA499" s="5357"/>
      <c r="AB499" s="5358"/>
      <c r="AC499" s="5350"/>
      <c r="AD499" s="5350"/>
      <c r="AE499" s="5350"/>
      <c r="AF499" s="5349">
        <f t="shared" si="235"/>
        <v>0</v>
      </c>
      <c r="AG499" s="5338">
        <f t="shared" si="236"/>
        <v>0</v>
      </c>
    </row>
    <row r="500" spans="1:33" s="5333" customFormat="1" ht="15.05" customHeight="1">
      <c r="A500" s="5426"/>
      <c r="B500" s="5426"/>
      <c r="C500" s="5426"/>
      <c r="D500" s="5367">
        <v>4</v>
      </c>
      <c r="E500" s="5367">
        <v>1</v>
      </c>
      <c r="F500" s="5367">
        <v>4</v>
      </c>
      <c r="G500" s="5368" t="s">
        <v>445</v>
      </c>
      <c r="H500" s="5367"/>
      <c r="I500" s="5631"/>
      <c r="J500" s="5366" t="s">
        <v>217</v>
      </c>
      <c r="K500" s="5361"/>
      <c r="L500" s="5365"/>
      <c r="M500" s="5357">
        <v>6015000000</v>
      </c>
      <c r="N500" s="5397">
        <f>+N501+N502</f>
        <v>6015000000</v>
      </c>
      <c r="O500" s="5397">
        <f>N500-M500</f>
        <v>0</v>
      </c>
      <c r="P500" s="5484">
        <f>+P501+P502</f>
        <v>6015000000</v>
      </c>
      <c r="Q500" s="5397">
        <f>+P500-N500</f>
        <v>0</v>
      </c>
      <c r="R500" s="5358">
        <f>P500/N500*100-100</f>
        <v>0</v>
      </c>
      <c r="S500" s="5358">
        <f>+S501+S502</f>
        <v>1205211975</v>
      </c>
      <c r="T500" s="5357">
        <f>S500-R500</f>
        <v>1205211975</v>
      </c>
      <c r="U500" s="5358">
        <f>+U501+U502</f>
        <v>6015000000</v>
      </c>
      <c r="V500" s="5357">
        <f>S500-P500</f>
        <v>-4809788025</v>
      </c>
      <c r="W500" s="5358">
        <f>S500/P500*100-100</f>
        <v>-79.963225685785531</v>
      </c>
      <c r="X500" s="5358">
        <f>+X501+X502</f>
        <v>1205211975</v>
      </c>
      <c r="Y500" s="5357">
        <f>X500-W500</f>
        <v>1205212054.9632256</v>
      </c>
      <c r="Z500" s="5358">
        <f>+Z501+Z502</f>
        <v>6015000000</v>
      </c>
      <c r="AA500" s="5357">
        <f>X500-S500</f>
        <v>0</v>
      </c>
      <c r="AB500" s="5358">
        <f>X500/S500*100-100</f>
        <v>0</v>
      </c>
      <c r="AC500" s="5350"/>
      <c r="AD500" s="5350"/>
      <c r="AE500" s="5350"/>
      <c r="AF500" s="5349">
        <f t="shared" si="235"/>
        <v>-4809788025</v>
      </c>
      <c r="AG500" s="5338">
        <f t="shared" si="236"/>
        <v>0</v>
      </c>
    </row>
    <row r="501" spans="1:33" s="5333" customFormat="1" ht="15.05" customHeight="1">
      <c r="A501" s="5426"/>
      <c r="B501" s="5426"/>
      <c r="C501" s="5426"/>
      <c r="D501" s="5367">
        <v>4</v>
      </c>
      <c r="E501" s="5367">
        <v>1</v>
      </c>
      <c r="F501" s="5367">
        <v>4</v>
      </c>
      <c r="G501" s="5368" t="s">
        <v>445</v>
      </c>
      <c r="H501" s="5368" t="s">
        <v>437</v>
      </c>
      <c r="I501" s="5632"/>
      <c r="J501" s="5408" t="s">
        <v>218</v>
      </c>
      <c r="K501" s="5361"/>
      <c r="L501" s="5365"/>
      <c r="M501" s="5359">
        <v>6000000000</v>
      </c>
      <c r="N501" s="5487">
        <v>6000000000</v>
      </c>
      <c r="O501" s="5487">
        <f>N501-M501</f>
        <v>0</v>
      </c>
      <c r="P501" s="5381">
        <v>6000000000</v>
      </c>
      <c r="Q501" s="5382">
        <f>+P501-N501</f>
        <v>0</v>
      </c>
      <c r="R501" s="5358">
        <f>P501/N501*100-100</f>
        <v>0</v>
      </c>
      <c r="S501" s="5358">
        <v>1190211975</v>
      </c>
      <c r="T501" s="5359">
        <f>S501-R501</f>
        <v>1190211975</v>
      </c>
      <c r="U501" s="5358">
        <v>6000000000</v>
      </c>
      <c r="V501" s="5357">
        <f>S501-P501</f>
        <v>-4809788025</v>
      </c>
      <c r="W501" s="5358">
        <f>S501/P501*100-100</f>
        <v>-80.16313375</v>
      </c>
      <c r="X501" s="5358">
        <v>1190211975</v>
      </c>
      <c r="Y501" s="5359">
        <f>X501-W501</f>
        <v>1190212055.1631339</v>
      </c>
      <c r="Z501" s="5358">
        <v>6000000000</v>
      </c>
      <c r="AA501" s="5357">
        <f>X501-S501</f>
        <v>0</v>
      </c>
      <c r="AB501" s="5358">
        <f>X501/S501*100-100</f>
        <v>0</v>
      </c>
      <c r="AC501" s="5350"/>
      <c r="AD501" s="5350"/>
      <c r="AE501" s="5350"/>
      <c r="AF501" s="5349">
        <f t="shared" si="235"/>
        <v>-4809788025</v>
      </c>
      <c r="AG501" s="5338">
        <f t="shared" si="236"/>
        <v>0</v>
      </c>
    </row>
    <row r="502" spans="1:33" s="5333" customFormat="1" ht="15.05" customHeight="1">
      <c r="A502" s="5426"/>
      <c r="B502" s="5426"/>
      <c r="C502" s="5426"/>
      <c r="D502" s="5367">
        <v>4</v>
      </c>
      <c r="E502" s="5367">
        <v>1</v>
      </c>
      <c r="F502" s="5367">
        <v>4</v>
      </c>
      <c r="G502" s="5368" t="s">
        <v>445</v>
      </c>
      <c r="H502" s="5368" t="s">
        <v>438</v>
      </c>
      <c r="I502" s="5632"/>
      <c r="J502" s="5408" t="s">
        <v>219</v>
      </c>
      <c r="K502" s="5361"/>
      <c r="L502" s="5365"/>
      <c r="M502" s="5359">
        <v>15000000</v>
      </c>
      <c r="N502" s="5359">
        <v>15000000</v>
      </c>
      <c r="O502" s="5359">
        <f>N502-M502</f>
        <v>0</v>
      </c>
      <c r="P502" s="5358">
        <v>15000000</v>
      </c>
      <c r="Q502" s="5357">
        <f>+P502-N502</f>
        <v>0</v>
      </c>
      <c r="R502" s="5358">
        <f>P502/N502*100-100</f>
        <v>0</v>
      </c>
      <c r="S502" s="5358">
        <v>15000000</v>
      </c>
      <c r="T502" s="5359">
        <f>S502-R502</f>
        <v>15000000</v>
      </c>
      <c r="U502" s="5358">
        <v>15000000</v>
      </c>
      <c r="V502" s="5357">
        <f>S502-P502</f>
        <v>0</v>
      </c>
      <c r="W502" s="5358">
        <f>S502/P502*100-100</f>
        <v>0</v>
      </c>
      <c r="X502" s="5358">
        <v>15000000</v>
      </c>
      <c r="Y502" s="5359">
        <f>X502-W502</f>
        <v>15000000</v>
      </c>
      <c r="Z502" s="5358">
        <v>15000000</v>
      </c>
      <c r="AA502" s="5357">
        <f>X502-S502</f>
        <v>0</v>
      </c>
      <c r="AB502" s="5358">
        <f>X502/S502*100-100</f>
        <v>0</v>
      </c>
      <c r="AC502" s="5350"/>
      <c r="AD502" s="5350"/>
      <c r="AE502" s="5350"/>
      <c r="AF502" s="5349">
        <f t="shared" si="235"/>
        <v>0</v>
      </c>
      <c r="AG502" s="5338">
        <f t="shared" si="236"/>
        <v>0</v>
      </c>
    </row>
    <row r="503" spans="1:33" s="5333" customFormat="1" ht="15.05" customHeight="1">
      <c r="A503" s="5426"/>
      <c r="B503" s="5426"/>
      <c r="C503" s="5426"/>
      <c r="D503" s="5367"/>
      <c r="E503" s="5380"/>
      <c r="F503" s="5380"/>
      <c r="G503" s="5379"/>
      <c r="H503" s="5379"/>
      <c r="I503" s="5495"/>
      <c r="J503" s="5408"/>
      <c r="K503" s="5361"/>
      <c r="L503" s="5365"/>
      <c r="M503" s="5359"/>
      <c r="N503" s="5359"/>
      <c r="O503" s="5359"/>
      <c r="P503" s="5358"/>
      <c r="Q503" s="5357"/>
      <c r="R503" s="5358"/>
      <c r="S503" s="5358"/>
      <c r="T503" s="5359"/>
      <c r="U503" s="5358"/>
      <c r="V503" s="5357"/>
      <c r="W503" s="5358"/>
      <c r="X503" s="5358"/>
      <c r="Y503" s="5359"/>
      <c r="Z503" s="5358"/>
      <c r="AA503" s="5357"/>
      <c r="AB503" s="5358"/>
      <c r="AC503" s="5350"/>
      <c r="AD503" s="5350"/>
      <c r="AE503" s="5350"/>
      <c r="AF503" s="5349"/>
      <c r="AG503" s="5338"/>
    </row>
    <row r="504" spans="1:33" s="5333" customFormat="1" ht="15.05" customHeight="1">
      <c r="A504" s="5426"/>
      <c r="B504" s="5426"/>
      <c r="C504" s="5426"/>
      <c r="D504" s="5367">
        <v>4</v>
      </c>
      <c r="E504" s="5367">
        <v>1</v>
      </c>
      <c r="F504" s="5367">
        <v>4</v>
      </c>
      <c r="G504" s="5368" t="s">
        <v>441</v>
      </c>
      <c r="H504" s="5367"/>
      <c r="I504" s="5631"/>
      <c r="J504" s="5366" t="s">
        <v>557</v>
      </c>
      <c r="K504" s="5361"/>
      <c r="L504" s="5365"/>
      <c r="M504" s="5359"/>
      <c r="N504" s="5359"/>
      <c r="O504" s="5359"/>
      <c r="P504" s="5358"/>
      <c r="Q504" s="5357"/>
      <c r="R504" s="5358"/>
      <c r="S504" s="5358">
        <f t="shared" ref="S504:X504" si="237">S505</f>
        <v>0</v>
      </c>
      <c r="T504" s="5358">
        <f t="shared" si="237"/>
        <v>0</v>
      </c>
      <c r="U504" s="5358">
        <f t="shared" si="237"/>
        <v>0</v>
      </c>
      <c r="V504" s="5358">
        <f t="shared" si="237"/>
        <v>0</v>
      </c>
      <c r="W504" s="5358">
        <f t="shared" si="237"/>
        <v>0</v>
      </c>
      <c r="X504" s="5358">
        <f t="shared" si="237"/>
        <v>82408000</v>
      </c>
      <c r="Y504" s="5359"/>
      <c r="Z504" s="5358"/>
      <c r="AA504" s="5357">
        <f>X504-S504</f>
        <v>82408000</v>
      </c>
      <c r="AB504" s="5358" t="e">
        <f>X504/S504*100-100</f>
        <v>#DIV/0!</v>
      </c>
      <c r="AC504" s="5350"/>
      <c r="AD504" s="5350"/>
      <c r="AE504" s="5350"/>
      <c r="AF504" s="5349"/>
      <c r="AG504" s="5338"/>
    </row>
    <row r="505" spans="1:33" s="5333" customFormat="1" ht="15.05" customHeight="1">
      <c r="A505" s="5426"/>
      <c r="B505" s="5426"/>
      <c r="C505" s="5426"/>
      <c r="D505" s="5367">
        <v>4</v>
      </c>
      <c r="E505" s="5367">
        <v>1</v>
      </c>
      <c r="F505" s="5367">
        <v>4</v>
      </c>
      <c r="G505" s="5368" t="s">
        <v>441</v>
      </c>
      <c r="H505" s="5368" t="s">
        <v>437</v>
      </c>
      <c r="I505" s="5632"/>
      <c r="J505" s="5366" t="s">
        <v>1495</v>
      </c>
      <c r="K505" s="5361"/>
      <c r="L505" s="5365"/>
      <c r="M505" s="5359"/>
      <c r="N505" s="5359"/>
      <c r="O505" s="5359"/>
      <c r="P505" s="5358"/>
      <c r="Q505" s="5357"/>
      <c r="R505" s="5358"/>
      <c r="S505" s="5358">
        <f>'rekap perdinas Kua PPAS'!J417</f>
        <v>0</v>
      </c>
      <c r="T505" s="5359"/>
      <c r="U505" s="5358"/>
      <c r="V505" s="5357"/>
      <c r="W505" s="5358"/>
      <c r="X505" s="5358">
        <f>'rekap perdinas Kua PPAS'!N417</f>
        <v>82408000</v>
      </c>
      <c r="Y505" s="5359"/>
      <c r="Z505" s="5358"/>
      <c r="AA505" s="5357">
        <f>X505-S505</f>
        <v>82408000</v>
      </c>
      <c r="AB505" s="5358" t="e">
        <f>X505/S505*100-100</f>
        <v>#DIV/0!</v>
      </c>
      <c r="AC505" s="5350"/>
      <c r="AD505" s="5350"/>
      <c r="AE505" s="5350"/>
      <c r="AF505" s="5349"/>
      <c r="AG505" s="5338"/>
    </row>
    <row r="506" spans="1:33" s="5333" customFormat="1" ht="15.05" customHeight="1">
      <c r="A506" s="5426"/>
      <c r="B506" s="5426"/>
      <c r="C506" s="5426"/>
      <c r="D506" s="5367"/>
      <c r="E506" s="5380"/>
      <c r="F506" s="5380"/>
      <c r="G506" s="5379"/>
      <c r="H506" s="5379"/>
      <c r="I506" s="5495"/>
      <c r="J506" s="5408"/>
      <c r="K506" s="5361"/>
      <c r="L506" s="5365"/>
      <c r="M506" s="5359"/>
      <c r="N506" s="5359"/>
      <c r="O506" s="5359"/>
      <c r="P506" s="5358"/>
      <c r="Q506" s="5357"/>
      <c r="R506" s="5358"/>
      <c r="S506" s="5358"/>
      <c r="T506" s="5359"/>
      <c r="U506" s="5358"/>
      <c r="V506" s="5357"/>
      <c r="W506" s="5358"/>
      <c r="X506" s="5358"/>
      <c r="Y506" s="5359"/>
      <c r="Z506" s="5358"/>
      <c r="AA506" s="5357"/>
      <c r="AB506" s="5358"/>
      <c r="AC506" s="5350"/>
      <c r="AD506" s="5350"/>
      <c r="AE506" s="5350"/>
      <c r="AF506" s="5349"/>
      <c r="AG506" s="5338"/>
    </row>
    <row r="507" spans="1:33" s="5333" customFormat="1" ht="15.05" customHeight="1">
      <c r="A507" s="5426"/>
      <c r="B507" s="5426"/>
      <c r="C507" s="5426"/>
      <c r="D507" s="5440">
        <v>4</v>
      </c>
      <c r="E507" s="5440">
        <v>1</v>
      </c>
      <c r="F507" s="5440">
        <v>4</v>
      </c>
      <c r="G507" s="5570" t="s">
        <v>448</v>
      </c>
      <c r="H507" s="5570"/>
      <c r="I507" s="5640"/>
      <c r="J507" s="5480" t="s">
        <v>220</v>
      </c>
      <c r="K507" s="5361"/>
      <c r="L507" s="5365"/>
      <c r="M507" s="5359"/>
      <c r="N507" s="5359"/>
      <c r="O507" s="5359"/>
      <c r="P507" s="5358">
        <v>0</v>
      </c>
      <c r="Q507" s="5357"/>
      <c r="R507" s="5358"/>
      <c r="S507" s="5358">
        <f>S508</f>
        <v>217536159</v>
      </c>
      <c r="T507" s="5359"/>
      <c r="U507" s="5358"/>
      <c r="V507" s="5357">
        <f>S507-P507</f>
        <v>217536159</v>
      </c>
      <c r="W507" s="5358">
        <v>0</v>
      </c>
      <c r="X507" s="5358">
        <f>X508</f>
        <v>13000000</v>
      </c>
      <c r="Y507" s="5359"/>
      <c r="Z507" s="5358"/>
      <c r="AA507" s="5357">
        <f>X507-S507</f>
        <v>-204536159</v>
      </c>
      <c r="AB507" s="5358">
        <f>X507/S507*100-100</f>
        <v>-94.023982008434743</v>
      </c>
      <c r="AC507" s="5350"/>
      <c r="AD507" s="5350"/>
      <c r="AE507" s="5350"/>
      <c r="AF507" s="5349"/>
      <c r="AG507" s="5338"/>
    </row>
    <row r="508" spans="1:33" s="5333" customFormat="1" ht="15.05" customHeight="1">
      <c r="A508" s="5426"/>
      <c r="B508" s="5426"/>
      <c r="C508" s="5426"/>
      <c r="D508" s="5367">
        <v>4</v>
      </c>
      <c r="E508" s="5367">
        <v>1</v>
      </c>
      <c r="F508" s="5367">
        <v>4</v>
      </c>
      <c r="G508" s="5368" t="s">
        <v>448</v>
      </c>
      <c r="H508" s="5380" t="s">
        <v>438</v>
      </c>
      <c r="I508" s="5496"/>
      <c r="J508" s="5366" t="s">
        <v>221</v>
      </c>
      <c r="K508" s="5361"/>
      <c r="L508" s="5365"/>
      <c r="M508" s="5359"/>
      <c r="N508" s="5359"/>
      <c r="O508" s="5359"/>
      <c r="P508" s="5358">
        <v>0</v>
      </c>
      <c r="Q508" s="5357"/>
      <c r="R508" s="5358"/>
      <c r="S508" s="5358">
        <v>217536159</v>
      </c>
      <c r="T508" s="5359"/>
      <c r="U508" s="5358"/>
      <c r="V508" s="5357">
        <f>S508-P508</f>
        <v>217536159</v>
      </c>
      <c r="W508" s="5358">
        <v>0</v>
      </c>
      <c r="X508" s="5358">
        <v>13000000</v>
      </c>
      <c r="Y508" s="5359"/>
      <c r="Z508" s="5358"/>
      <c r="AA508" s="5357">
        <f>X508-S508</f>
        <v>-204536159</v>
      </c>
      <c r="AB508" s="5358">
        <f>X508/S508*100-100</f>
        <v>-94.023982008434743</v>
      </c>
      <c r="AC508" s="5350"/>
      <c r="AD508" s="5350"/>
      <c r="AE508" s="5350"/>
      <c r="AF508" s="5349"/>
      <c r="AG508" s="5338"/>
    </row>
    <row r="509" spans="1:33" s="5333" customFormat="1" ht="9.1" customHeight="1">
      <c r="A509" s="5426"/>
      <c r="B509" s="5426"/>
      <c r="C509" s="5426"/>
      <c r="D509" s="5367"/>
      <c r="E509" s="5380"/>
      <c r="F509" s="5380"/>
      <c r="G509" s="5379"/>
      <c r="H509" s="5379"/>
      <c r="I509" s="5495"/>
      <c r="J509" s="5366"/>
      <c r="K509" s="5361"/>
      <c r="L509" s="5365"/>
      <c r="M509" s="5359"/>
      <c r="N509" s="5359"/>
      <c r="O509" s="5359"/>
      <c r="P509" s="5358"/>
      <c r="Q509" s="5357"/>
      <c r="R509" s="5358"/>
      <c r="S509" s="5358"/>
      <c r="T509" s="5359"/>
      <c r="U509" s="5358"/>
      <c r="V509" s="5357"/>
      <c r="W509" s="5358"/>
      <c r="X509" s="5358"/>
      <c r="Y509" s="5359"/>
      <c r="Z509" s="5358"/>
      <c r="AA509" s="5357"/>
      <c r="AB509" s="5358"/>
      <c r="AC509" s="5349"/>
      <c r="AD509" s="5349"/>
      <c r="AE509" s="5349"/>
      <c r="AF509" s="5349">
        <f t="shared" ref="AF509:AF572" si="238">S509-P509</f>
        <v>0</v>
      </c>
      <c r="AG509" s="5338">
        <f t="shared" ref="AG509:AG572" si="239">AF509-V509</f>
        <v>0</v>
      </c>
    </row>
    <row r="510" spans="1:33" s="5333" customFormat="1" ht="15.05" hidden="1" customHeight="1">
      <c r="A510" s="5426"/>
      <c r="B510" s="5426"/>
      <c r="C510" s="5426"/>
      <c r="D510" s="5367">
        <v>4</v>
      </c>
      <c r="E510" s="5367">
        <v>1</v>
      </c>
      <c r="F510" s="5367">
        <v>4</v>
      </c>
      <c r="G510" s="5368" t="s">
        <v>448</v>
      </c>
      <c r="H510" s="5367"/>
      <c r="I510" s="5631"/>
      <c r="J510" s="5366" t="s">
        <v>220</v>
      </c>
      <c r="K510" s="5361"/>
      <c r="L510" s="5365"/>
      <c r="M510" s="5359">
        <f>M511</f>
        <v>0</v>
      </c>
      <c r="N510" s="5492">
        <f>N511</f>
        <v>190263530</v>
      </c>
      <c r="O510" s="5491">
        <f t="shared" ref="O510:O519" si="240">N510-M510</f>
        <v>190263530</v>
      </c>
      <c r="P510" s="5484"/>
      <c r="Q510" s="5397">
        <f t="shared" ref="Q510:Q519" si="241">+P510-N510</f>
        <v>-190263530</v>
      </c>
      <c r="R510" s="5358">
        <f t="shared" ref="R510:R519" si="242">P510/N510*100-100</f>
        <v>-100</v>
      </c>
      <c r="S510" s="5358"/>
      <c r="T510" s="5359">
        <f t="shared" ref="T510:T519" si="243">S510-R510</f>
        <v>100</v>
      </c>
      <c r="U510" s="5358"/>
      <c r="V510" s="5357">
        <f t="shared" ref="V510:V522" si="244">S510-P510</f>
        <v>0</v>
      </c>
      <c r="W510" s="5358" t="e">
        <f t="shared" ref="W510:W521" si="245">S510/P510*100-100</f>
        <v>#DIV/0!</v>
      </c>
      <c r="X510" s="5358"/>
      <c r="Y510" s="5359" t="e">
        <f t="shared" ref="Y510:Y519" si="246">X510-W510</f>
        <v>#DIV/0!</v>
      </c>
      <c r="Z510" s="5358"/>
      <c r="AA510" s="5357">
        <f t="shared" ref="AA510:AA522" si="247">X510-S510</f>
        <v>0</v>
      </c>
      <c r="AB510" s="5358" t="e">
        <f t="shared" ref="AB510:AB521" si="248">X510/S510*100-100</f>
        <v>#DIV/0!</v>
      </c>
      <c r="AC510" s="5349"/>
      <c r="AD510" s="5349"/>
      <c r="AE510" s="5349"/>
      <c r="AF510" s="5349">
        <f t="shared" si="238"/>
        <v>0</v>
      </c>
      <c r="AG510" s="5338">
        <f t="shared" si="239"/>
        <v>0</v>
      </c>
    </row>
    <row r="511" spans="1:33" s="5333" customFormat="1" ht="15.05" hidden="1" customHeight="1">
      <c r="A511" s="5426"/>
      <c r="B511" s="5426"/>
      <c r="C511" s="5426"/>
      <c r="D511" s="5367">
        <v>4</v>
      </c>
      <c r="E511" s="5367">
        <v>1</v>
      </c>
      <c r="F511" s="5367">
        <v>4</v>
      </c>
      <c r="G511" s="5368" t="s">
        <v>448</v>
      </c>
      <c r="H511" s="5380" t="s">
        <v>438</v>
      </c>
      <c r="I511" s="5496"/>
      <c r="J511" s="5366" t="s">
        <v>221</v>
      </c>
      <c r="K511" s="5361"/>
      <c r="L511" s="5365"/>
      <c r="M511" s="5359">
        <f>SUM(M512:M519)</f>
        <v>0</v>
      </c>
      <c r="N511" s="5490">
        <f>SUM(N512:N519)</f>
        <v>190263530</v>
      </c>
      <c r="O511" s="5487">
        <f t="shared" si="240"/>
        <v>190263530</v>
      </c>
      <c r="P511" s="5381"/>
      <c r="Q511" s="5382">
        <f t="shared" si="241"/>
        <v>-190263530</v>
      </c>
      <c r="R511" s="5358">
        <f t="shared" si="242"/>
        <v>-100</v>
      </c>
      <c r="S511" s="5358"/>
      <c r="T511" s="5359">
        <f t="shared" si="243"/>
        <v>100</v>
      </c>
      <c r="U511" s="5358"/>
      <c r="V511" s="5357">
        <f t="shared" si="244"/>
        <v>0</v>
      </c>
      <c r="W511" s="5358" t="e">
        <f t="shared" si="245"/>
        <v>#DIV/0!</v>
      </c>
      <c r="X511" s="5358"/>
      <c r="Y511" s="5359" t="e">
        <f t="shared" si="246"/>
        <v>#DIV/0!</v>
      </c>
      <c r="Z511" s="5358"/>
      <c r="AA511" s="5357">
        <f t="shared" si="247"/>
        <v>0</v>
      </c>
      <c r="AB511" s="5358" t="e">
        <f t="shared" si="248"/>
        <v>#DIV/0!</v>
      </c>
      <c r="AC511" s="5349"/>
      <c r="AD511" s="5349"/>
      <c r="AE511" s="5349"/>
      <c r="AF511" s="5349">
        <f t="shared" si="238"/>
        <v>0</v>
      </c>
      <c r="AG511" s="5338">
        <f t="shared" si="239"/>
        <v>0</v>
      </c>
    </row>
    <row r="512" spans="1:33" s="5333" customFormat="1" ht="15.05" hidden="1" customHeight="1">
      <c r="A512" s="5426"/>
      <c r="B512" s="5426"/>
      <c r="C512" s="5426"/>
      <c r="D512" s="5367"/>
      <c r="E512" s="5380"/>
      <c r="F512" s="5380"/>
      <c r="G512" s="5379"/>
      <c r="H512" s="5380"/>
      <c r="I512" s="5496"/>
      <c r="J512" s="5366" t="s">
        <v>771</v>
      </c>
      <c r="K512" s="5489"/>
      <c r="L512" s="5365"/>
      <c r="M512" s="5359">
        <v>0</v>
      </c>
      <c r="N512" s="5356">
        <v>4937610</v>
      </c>
      <c r="O512" s="5359">
        <f t="shared" si="240"/>
        <v>4937610</v>
      </c>
      <c r="P512" s="5358"/>
      <c r="Q512" s="5357">
        <f t="shared" si="241"/>
        <v>-4937610</v>
      </c>
      <c r="R512" s="5358">
        <f t="shared" si="242"/>
        <v>-100</v>
      </c>
      <c r="S512" s="5358"/>
      <c r="T512" s="5359">
        <f t="shared" si="243"/>
        <v>100</v>
      </c>
      <c r="U512" s="5358"/>
      <c r="V512" s="5357">
        <f t="shared" si="244"/>
        <v>0</v>
      </c>
      <c r="W512" s="5358" t="e">
        <f t="shared" si="245"/>
        <v>#DIV/0!</v>
      </c>
      <c r="X512" s="5358"/>
      <c r="Y512" s="5359" t="e">
        <f t="shared" si="246"/>
        <v>#DIV/0!</v>
      </c>
      <c r="Z512" s="5358"/>
      <c r="AA512" s="5357">
        <f t="shared" si="247"/>
        <v>0</v>
      </c>
      <c r="AB512" s="5358" t="e">
        <f t="shared" si="248"/>
        <v>#DIV/0!</v>
      </c>
      <c r="AC512" s="5350"/>
      <c r="AD512" s="5350"/>
      <c r="AE512" s="5350"/>
      <c r="AF512" s="5349">
        <f t="shared" si="238"/>
        <v>0</v>
      </c>
      <c r="AG512" s="5338">
        <f t="shared" si="239"/>
        <v>0</v>
      </c>
    </row>
    <row r="513" spans="1:33" s="5333" customFormat="1" ht="15.05" hidden="1" customHeight="1">
      <c r="A513" s="5426"/>
      <c r="B513" s="5426"/>
      <c r="C513" s="5426"/>
      <c r="D513" s="5367"/>
      <c r="E513" s="5380"/>
      <c r="F513" s="5380"/>
      <c r="G513" s="5379"/>
      <c r="H513" s="5380"/>
      <c r="I513" s="5496"/>
      <c r="J513" s="5366" t="s">
        <v>772</v>
      </c>
      <c r="K513" s="5489"/>
      <c r="L513" s="5365"/>
      <c r="M513" s="5359">
        <v>0</v>
      </c>
      <c r="N513" s="5356">
        <v>3874790</v>
      </c>
      <c r="O513" s="5359">
        <f t="shared" si="240"/>
        <v>3874790</v>
      </c>
      <c r="P513" s="5358"/>
      <c r="Q513" s="5357">
        <f t="shared" si="241"/>
        <v>-3874790</v>
      </c>
      <c r="R513" s="5358">
        <f t="shared" si="242"/>
        <v>-100</v>
      </c>
      <c r="S513" s="5358"/>
      <c r="T513" s="5359">
        <f t="shared" si="243"/>
        <v>100</v>
      </c>
      <c r="U513" s="5358"/>
      <c r="V513" s="5357">
        <f t="shared" si="244"/>
        <v>0</v>
      </c>
      <c r="W513" s="5358" t="e">
        <f t="shared" si="245"/>
        <v>#DIV/0!</v>
      </c>
      <c r="X513" s="5358"/>
      <c r="Y513" s="5359" t="e">
        <f t="shared" si="246"/>
        <v>#DIV/0!</v>
      </c>
      <c r="Z513" s="5358"/>
      <c r="AA513" s="5357">
        <f t="shared" si="247"/>
        <v>0</v>
      </c>
      <c r="AB513" s="5358" t="e">
        <f t="shared" si="248"/>
        <v>#DIV/0!</v>
      </c>
      <c r="AC513" s="5350"/>
      <c r="AD513" s="5350"/>
      <c r="AE513" s="5350"/>
      <c r="AF513" s="5349">
        <f t="shared" si="238"/>
        <v>0</v>
      </c>
      <c r="AG513" s="5338">
        <f t="shared" si="239"/>
        <v>0</v>
      </c>
    </row>
    <row r="514" spans="1:33" s="5333" customFormat="1" ht="15.05" hidden="1" customHeight="1">
      <c r="A514" s="5426"/>
      <c r="B514" s="5426"/>
      <c r="C514" s="5426"/>
      <c r="D514" s="5367"/>
      <c r="E514" s="5380"/>
      <c r="F514" s="5380"/>
      <c r="G514" s="5379"/>
      <c r="H514" s="5379"/>
      <c r="I514" s="5495"/>
      <c r="J514" s="5366" t="s">
        <v>773</v>
      </c>
      <c r="K514" s="5489"/>
      <c r="L514" s="5365"/>
      <c r="M514" s="5359">
        <v>0</v>
      </c>
      <c r="N514" s="5356">
        <v>17564370</v>
      </c>
      <c r="O514" s="5359">
        <f t="shared" si="240"/>
        <v>17564370</v>
      </c>
      <c r="P514" s="5358"/>
      <c r="Q514" s="5357">
        <f t="shared" si="241"/>
        <v>-17564370</v>
      </c>
      <c r="R514" s="5358">
        <f t="shared" si="242"/>
        <v>-100</v>
      </c>
      <c r="S514" s="5358"/>
      <c r="T514" s="5359">
        <f t="shared" si="243"/>
        <v>100</v>
      </c>
      <c r="U514" s="5358"/>
      <c r="V514" s="5357">
        <f t="shared" si="244"/>
        <v>0</v>
      </c>
      <c r="W514" s="5358" t="e">
        <f t="shared" si="245"/>
        <v>#DIV/0!</v>
      </c>
      <c r="X514" s="5358"/>
      <c r="Y514" s="5359" t="e">
        <f t="shared" si="246"/>
        <v>#DIV/0!</v>
      </c>
      <c r="Z514" s="5358"/>
      <c r="AA514" s="5357">
        <f t="shared" si="247"/>
        <v>0</v>
      </c>
      <c r="AB514" s="5358" t="e">
        <f t="shared" si="248"/>
        <v>#DIV/0!</v>
      </c>
      <c r="AC514" s="5349"/>
      <c r="AD514" s="5349"/>
      <c r="AE514" s="5349"/>
      <c r="AF514" s="5349">
        <f t="shared" si="238"/>
        <v>0</v>
      </c>
      <c r="AG514" s="5338">
        <f t="shared" si="239"/>
        <v>0</v>
      </c>
    </row>
    <row r="515" spans="1:33" s="5333" customFormat="1" ht="15.05" hidden="1" customHeight="1">
      <c r="A515" s="5426"/>
      <c r="B515" s="5426"/>
      <c r="C515" s="5426"/>
      <c r="D515" s="5367"/>
      <c r="E515" s="5380"/>
      <c r="F515" s="5380"/>
      <c r="G515" s="5379"/>
      <c r="H515" s="5379"/>
      <c r="I515" s="5495"/>
      <c r="J515" s="5366" t="s">
        <v>774</v>
      </c>
      <c r="K515" s="5489"/>
      <c r="L515" s="5365"/>
      <c r="M515" s="5359">
        <v>0</v>
      </c>
      <c r="N515" s="5356">
        <v>121305000</v>
      </c>
      <c r="O515" s="5359">
        <f t="shared" si="240"/>
        <v>121305000</v>
      </c>
      <c r="P515" s="5358"/>
      <c r="Q515" s="5357">
        <f t="shared" si="241"/>
        <v>-121305000</v>
      </c>
      <c r="R515" s="5358">
        <f t="shared" si="242"/>
        <v>-100</v>
      </c>
      <c r="S515" s="5358"/>
      <c r="T515" s="5359">
        <f t="shared" si="243"/>
        <v>100</v>
      </c>
      <c r="U515" s="5358"/>
      <c r="V515" s="5357">
        <f t="shared" si="244"/>
        <v>0</v>
      </c>
      <c r="W515" s="5358" t="e">
        <f t="shared" si="245"/>
        <v>#DIV/0!</v>
      </c>
      <c r="X515" s="5358"/>
      <c r="Y515" s="5359" t="e">
        <f t="shared" si="246"/>
        <v>#DIV/0!</v>
      </c>
      <c r="Z515" s="5358"/>
      <c r="AA515" s="5357">
        <f t="shared" si="247"/>
        <v>0</v>
      </c>
      <c r="AB515" s="5358" t="e">
        <f t="shared" si="248"/>
        <v>#DIV/0!</v>
      </c>
      <c r="AC515" s="5349"/>
      <c r="AD515" s="5349"/>
      <c r="AE515" s="5349"/>
      <c r="AF515" s="5349">
        <f t="shared" si="238"/>
        <v>0</v>
      </c>
      <c r="AG515" s="5338">
        <f t="shared" si="239"/>
        <v>0</v>
      </c>
    </row>
    <row r="516" spans="1:33" s="5333" customFormat="1" ht="15.05" hidden="1" customHeight="1">
      <c r="A516" s="5426"/>
      <c r="B516" s="5426"/>
      <c r="C516" s="5426"/>
      <c r="D516" s="5367"/>
      <c r="E516" s="5380"/>
      <c r="F516" s="5380"/>
      <c r="G516" s="5379"/>
      <c r="H516" s="5379"/>
      <c r="I516" s="5495"/>
      <c r="J516" s="5366" t="s">
        <v>775</v>
      </c>
      <c r="K516" s="5361"/>
      <c r="L516" s="5365"/>
      <c r="M516" s="5359">
        <v>0</v>
      </c>
      <c r="N516" s="5356">
        <v>2177662</v>
      </c>
      <c r="O516" s="5359">
        <f t="shared" si="240"/>
        <v>2177662</v>
      </c>
      <c r="P516" s="5358"/>
      <c r="Q516" s="5357">
        <f t="shared" si="241"/>
        <v>-2177662</v>
      </c>
      <c r="R516" s="5358">
        <f t="shared" si="242"/>
        <v>-100</v>
      </c>
      <c r="S516" s="5358"/>
      <c r="T516" s="5359">
        <f t="shared" si="243"/>
        <v>100</v>
      </c>
      <c r="U516" s="5358"/>
      <c r="V516" s="5357">
        <f t="shared" si="244"/>
        <v>0</v>
      </c>
      <c r="W516" s="5358" t="e">
        <f t="shared" si="245"/>
        <v>#DIV/0!</v>
      </c>
      <c r="X516" s="5358"/>
      <c r="Y516" s="5359" t="e">
        <f t="shared" si="246"/>
        <v>#DIV/0!</v>
      </c>
      <c r="Z516" s="5358"/>
      <c r="AA516" s="5357">
        <f t="shared" si="247"/>
        <v>0</v>
      </c>
      <c r="AB516" s="5358" t="e">
        <f t="shared" si="248"/>
        <v>#DIV/0!</v>
      </c>
      <c r="AC516" s="5350"/>
      <c r="AD516" s="5350"/>
      <c r="AE516" s="5350"/>
      <c r="AF516" s="5349">
        <f t="shared" si="238"/>
        <v>0</v>
      </c>
      <c r="AG516" s="5338">
        <f t="shared" si="239"/>
        <v>0</v>
      </c>
    </row>
    <row r="517" spans="1:33" s="5333" customFormat="1" ht="15.05" hidden="1" customHeight="1">
      <c r="A517" s="5426"/>
      <c r="B517" s="5426"/>
      <c r="C517" s="5426"/>
      <c r="D517" s="5367"/>
      <c r="E517" s="5380"/>
      <c r="F517" s="5380"/>
      <c r="G517" s="5379"/>
      <c r="H517" s="5379"/>
      <c r="I517" s="5495"/>
      <c r="J517" s="5366" t="s">
        <v>776</v>
      </c>
      <c r="K517" s="5361"/>
      <c r="L517" s="5365"/>
      <c r="M517" s="5359">
        <v>0</v>
      </c>
      <c r="N517" s="5356">
        <v>27092034</v>
      </c>
      <c r="O517" s="5359">
        <f t="shared" si="240"/>
        <v>27092034</v>
      </c>
      <c r="P517" s="5358"/>
      <c r="Q517" s="5357">
        <f t="shared" si="241"/>
        <v>-27092034</v>
      </c>
      <c r="R517" s="5358">
        <f t="shared" si="242"/>
        <v>-100</v>
      </c>
      <c r="S517" s="5358"/>
      <c r="T517" s="5359">
        <f t="shared" si="243"/>
        <v>100</v>
      </c>
      <c r="U517" s="5358"/>
      <c r="V517" s="5357">
        <f t="shared" si="244"/>
        <v>0</v>
      </c>
      <c r="W517" s="5358" t="e">
        <f t="shared" si="245"/>
        <v>#DIV/0!</v>
      </c>
      <c r="X517" s="5358"/>
      <c r="Y517" s="5359" t="e">
        <f t="shared" si="246"/>
        <v>#DIV/0!</v>
      </c>
      <c r="Z517" s="5358"/>
      <c r="AA517" s="5357">
        <f t="shared" si="247"/>
        <v>0</v>
      </c>
      <c r="AB517" s="5358" t="e">
        <f t="shared" si="248"/>
        <v>#DIV/0!</v>
      </c>
      <c r="AC517" s="5350"/>
      <c r="AD517" s="5350"/>
      <c r="AE517" s="5350"/>
      <c r="AF517" s="5349">
        <f t="shared" si="238"/>
        <v>0</v>
      </c>
      <c r="AG517" s="5338">
        <f t="shared" si="239"/>
        <v>0</v>
      </c>
    </row>
    <row r="518" spans="1:33" s="5333" customFormat="1" ht="15.05" hidden="1" customHeight="1">
      <c r="A518" s="5426"/>
      <c r="B518" s="5426"/>
      <c r="C518" s="5426"/>
      <c r="D518" s="5367"/>
      <c r="E518" s="5380"/>
      <c r="F518" s="5380"/>
      <c r="G518" s="5379"/>
      <c r="H518" s="5379"/>
      <c r="I518" s="5495"/>
      <c r="J518" s="5366" t="s">
        <v>777</v>
      </c>
      <c r="K518" s="5361"/>
      <c r="L518" s="5365"/>
      <c r="M518" s="5359">
        <v>0</v>
      </c>
      <c r="N518" s="5356">
        <v>12262064</v>
      </c>
      <c r="O518" s="5359">
        <f t="shared" si="240"/>
        <v>12262064</v>
      </c>
      <c r="P518" s="5358"/>
      <c r="Q518" s="5357">
        <f t="shared" si="241"/>
        <v>-12262064</v>
      </c>
      <c r="R518" s="5358">
        <f t="shared" si="242"/>
        <v>-100</v>
      </c>
      <c r="S518" s="5358"/>
      <c r="T518" s="5359">
        <f t="shared" si="243"/>
        <v>100</v>
      </c>
      <c r="U518" s="5358"/>
      <c r="V518" s="5357">
        <f t="shared" si="244"/>
        <v>0</v>
      </c>
      <c r="W518" s="5358" t="e">
        <f t="shared" si="245"/>
        <v>#DIV/0!</v>
      </c>
      <c r="X518" s="5358"/>
      <c r="Y518" s="5359" t="e">
        <f t="shared" si="246"/>
        <v>#DIV/0!</v>
      </c>
      <c r="Z518" s="5358"/>
      <c r="AA518" s="5357">
        <f t="shared" si="247"/>
        <v>0</v>
      </c>
      <c r="AB518" s="5358" t="e">
        <f t="shared" si="248"/>
        <v>#DIV/0!</v>
      </c>
      <c r="AC518" s="5349"/>
      <c r="AD518" s="5349"/>
      <c r="AE518" s="5349"/>
      <c r="AF518" s="5349">
        <f t="shared" si="238"/>
        <v>0</v>
      </c>
      <c r="AG518" s="5338">
        <f t="shared" si="239"/>
        <v>0</v>
      </c>
    </row>
    <row r="519" spans="1:33" s="5333" customFormat="1" ht="15.05" hidden="1" customHeight="1">
      <c r="A519" s="5426"/>
      <c r="B519" s="5426"/>
      <c r="C519" s="5426"/>
      <c r="D519" s="5367"/>
      <c r="E519" s="5380"/>
      <c r="F519" s="5380"/>
      <c r="G519" s="5379"/>
      <c r="H519" s="5379"/>
      <c r="I519" s="5495"/>
      <c r="J519" s="5366" t="s">
        <v>778</v>
      </c>
      <c r="K519" s="5361"/>
      <c r="L519" s="5365"/>
      <c r="M519" s="5359">
        <v>0</v>
      </c>
      <c r="N519" s="5356">
        <v>1050000</v>
      </c>
      <c r="O519" s="5359">
        <f t="shared" si="240"/>
        <v>1050000</v>
      </c>
      <c r="P519" s="5358"/>
      <c r="Q519" s="5357">
        <f t="shared" si="241"/>
        <v>-1050000</v>
      </c>
      <c r="R519" s="5358">
        <f t="shared" si="242"/>
        <v>-100</v>
      </c>
      <c r="S519" s="5358"/>
      <c r="T519" s="5359">
        <f t="shared" si="243"/>
        <v>100</v>
      </c>
      <c r="U519" s="5358"/>
      <c r="V519" s="5357">
        <f t="shared" si="244"/>
        <v>0</v>
      </c>
      <c r="W519" s="5358" t="e">
        <f t="shared" si="245"/>
        <v>#DIV/0!</v>
      </c>
      <c r="X519" s="5358"/>
      <c r="Y519" s="5359" t="e">
        <f t="shared" si="246"/>
        <v>#DIV/0!</v>
      </c>
      <c r="Z519" s="5358"/>
      <c r="AA519" s="5357">
        <f t="shared" si="247"/>
        <v>0</v>
      </c>
      <c r="AB519" s="5358" t="e">
        <f t="shared" si="248"/>
        <v>#DIV/0!</v>
      </c>
      <c r="AC519" s="5350"/>
      <c r="AD519" s="5350"/>
      <c r="AE519" s="5350"/>
      <c r="AF519" s="5349">
        <f t="shared" si="238"/>
        <v>0</v>
      </c>
      <c r="AG519" s="5338">
        <f t="shared" si="239"/>
        <v>0</v>
      </c>
    </row>
    <row r="520" spans="1:33" s="5333" customFormat="1" ht="11.3" hidden="1" customHeight="1">
      <c r="A520" s="5340"/>
      <c r="B520" s="5340"/>
      <c r="C520" s="5340"/>
      <c r="D520" s="5367"/>
      <c r="E520" s="5380"/>
      <c r="F520" s="5380"/>
      <c r="G520" s="5380"/>
      <c r="H520" s="5380"/>
      <c r="I520" s="5496"/>
      <c r="J520" s="5408"/>
      <c r="K520" s="5361"/>
      <c r="L520" s="5365"/>
      <c r="M520" s="5357"/>
      <c r="N520" s="5357"/>
      <c r="O520" s="5357"/>
      <c r="P520" s="5358"/>
      <c r="Q520" s="5357"/>
      <c r="R520" s="5358"/>
      <c r="S520" s="5358"/>
      <c r="T520" s="5357"/>
      <c r="U520" s="5358"/>
      <c r="V520" s="5357">
        <f t="shared" si="244"/>
        <v>0</v>
      </c>
      <c r="W520" s="5358" t="e">
        <f t="shared" si="245"/>
        <v>#DIV/0!</v>
      </c>
      <c r="X520" s="5358"/>
      <c r="Y520" s="5357"/>
      <c r="Z520" s="5358"/>
      <c r="AA520" s="5357">
        <f t="shared" si="247"/>
        <v>0</v>
      </c>
      <c r="AB520" s="5358" t="e">
        <f t="shared" si="248"/>
        <v>#DIV/0!</v>
      </c>
      <c r="AC520" s="5350"/>
      <c r="AD520" s="5350"/>
      <c r="AE520" s="5350"/>
      <c r="AF520" s="5349">
        <f t="shared" si="238"/>
        <v>0</v>
      </c>
      <c r="AG520" s="5338">
        <f t="shared" si="239"/>
        <v>0</v>
      </c>
    </row>
    <row r="521" spans="1:33" s="5333" customFormat="1" ht="15.05" customHeight="1">
      <c r="A521" s="5340"/>
      <c r="B521" s="5340"/>
      <c r="C521" s="5340"/>
      <c r="D521" s="5367">
        <v>4</v>
      </c>
      <c r="E521" s="5367">
        <v>1</v>
      </c>
      <c r="F521" s="5367">
        <v>4</v>
      </c>
      <c r="G521" s="5367" t="s">
        <v>444</v>
      </c>
      <c r="H521" s="5367"/>
      <c r="I521" s="5631"/>
      <c r="J521" s="5366" t="s">
        <v>222</v>
      </c>
      <c r="K521" s="5361"/>
      <c r="L521" s="5365"/>
      <c r="M521" s="5357">
        <v>0</v>
      </c>
      <c r="N521" s="5397">
        <f>N522+N524+N529</f>
        <v>86824290450</v>
      </c>
      <c r="O521" s="5397">
        <f t="shared" ref="O521:O527" si="249">N521-M521</f>
        <v>86824290450</v>
      </c>
      <c r="P521" s="5397">
        <f>P522+P524+P529</f>
        <v>83000000000</v>
      </c>
      <c r="Q521" s="5397">
        <f>+P521-N521</f>
        <v>-3824290450</v>
      </c>
      <c r="R521" s="5358">
        <f>P521/N521*100-100</f>
        <v>-4.404631964372129</v>
      </c>
      <c r="S521" s="5357">
        <f>S522+S524+S529</f>
        <v>73939763650</v>
      </c>
      <c r="T521" s="5357">
        <f t="shared" ref="T521:T527" si="250">S521-R521</f>
        <v>73939763654.404633</v>
      </c>
      <c r="U521" s="5357">
        <f>U522+U524+U529</f>
        <v>83000000000</v>
      </c>
      <c r="V521" s="5357">
        <f t="shared" si="244"/>
        <v>-9060236350</v>
      </c>
      <c r="W521" s="5358">
        <f t="shared" si="245"/>
        <v>-10.915947409638548</v>
      </c>
      <c r="X521" s="5357">
        <f>X522+X524+X529</f>
        <v>73954763650</v>
      </c>
      <c r="Y521" s="5357">
        <f t="shared" ref="Y521:Y527" si="251">X521-W521</f>
        <v>73954763660.915955</v>
      </c>
      <c r="Z521" s="5357">
        <f>Z522+Z524+Z529</f>
        <v>83000000000</v>
      </c>
      <c r="AA521" s="5357">
        <f t="shared" si="247"/>
        <v>15000000</v>
      </c>
      <c r="AB521" s="5358">
        <f t="shared" si="248"/>
        <v>2.0286783808231235E-2</v>
      </c>
      <c r="AC521" s="5350"/>
      <c r="AD521" s="5350"/>
      <c r="AE521" s="5350"/>
      <c r="AF521" s="5349">
        <f t="shared" si="238"/>
        <v>-9060236350</v>
      </c>
      <c r="AG521" s="5338">
        <f t="shared" si="239"/>
        <v>0</v>
      </c>
    </row>
    <row r="522" spans="1:33" s="5333" customFormat="1" ht="15.05" customHeight="1">
      <c r="A522" s="5340"/>
      <c r="B522" s="5340"/>
      <c r="C522" s="5340"/>
      <c r="D522" s="5367">
        <v>4</v>
      </c>
      <c r="E522" s="5367">
        <v>1</v>
      </c>
      <c r="F522" s="5367">
        <v>4</v>
      </c>
      <c r="G522" s="5367" t="s">
        <v>444</v>
      </c>
      <c r="H522" s="5367" t="s">
        <v>440</v>
      </c>
      <c r="I522" s="5631"/>
      <c r="J522" s="5366" t="s">
        <v>1382</v>
      </c>
      <c r="K522" s="5361"/>
      <c r="L522" s="5365"/>
      <c r="M522" s="5442">
        <v>0</v>
      </c>
      <c r="N522" s="5488">
        <v>0</v>
      </c>
      <c r="O522" s="5487">
        <f t="shared" si="249"/>
        <v>0</v>
      </c>
      <c r="P522" s="5381">
        <v>0</v>
      </c>
      <c r="Q522" s="5382">
        <f>+P522-N522</f>
        <v>0</v>
      </c>
      <c r="R522" s="5358">
        <v>0</v>
      </c>
      <c r="S522" s="5358">
        <v>0</v>
      </c>
      <c r="T522" s="5359">
        <f t="shared" si="250"/>
        <v>0</v>
      </c>
      <c r="U522" s="5358">
        <v>0</v>
      </c>
      <c r="V522" s="5357">
        <f t="shared" si="244"/>
        <v>0</v>
      </c>
      <c r="W522" s="5358">
        <v>0</v>
      </c>
      <c r="X522" s="5358">
        <v>15000000</v>
      </c>
      <c r="Y522" s="5359">
        <f t="shared" si="251"/>
        <v>15000000</v>
      </c>
      <c r="Z522" s="5358">
        <v>0</v>
      </c>
      <c r="AA522" s="5357">
        <f t="shared" si="247"/>
        <v>15000000</v>
      </c>
      <c r="AB522" s="5358">
        <v>0</v>
      </c>
      <c r="AC522" s="5350"/>
      <c r="AD522" s="5350"/>
      <c r="AE522" s="5350"/>
      <c r="AF522" s="5349">
        <f t="shared" si="238"/>
        <v>0</v>
      </c>
      <c r="AG522" s="5338">
        <f t="shared" si="239"/>
        <v>0</v>
      </c>
    </row>
    <row r="523" spans="1:33" s="5333" customFormat="1" ht="15.05" customHeight="1">
      <c r="A523" s="5340"/>
      <c r="B523" s="5340"/>
      <c r="C523" s="5340"/>
      <c r="D523" s="5367"/>
      <c r="E523" s="5367"/>
      <c r="F523" s="5367"/>
      <c r="G523" s="5367"/>
      <c r="H523" s="5367"/>
      <c r="I523" s="5630"/>
      <c r="J523" s="5414" t="s">
        <v>1381</v>
      </c>
      <c r="K523" s="5361"/>
      <c r="L523" s="5365"/>
      <c r="M523" s="5442"/>
      <c r="N523" s="5442"/>
      <c r="O523" s="5358">
        <f t="shared" si="249"/>
        <v>0</v>
      </c>
      <c r="P523" s="5358"/>
      <c r="Q523" s="5357"/>
      <c r="R523" s="5358"/>
      <c r="S523" s="5358"/>
      <c r="T523" s="5358">
        <f t="shared" si="250"/>
        <v>0</v>
      </c>
      <c r="U523" s="5358"/>
      <c r="V523" s="5357"/>
      <c r="W523" s="5358"/>
      <c r="X523" s="5358"/>
      <c r="Y523" s="5358">
        <f t="shared" si="251"/>
        <v>0</v>
      </c>
      <c r="Z523" s="5358"/>
      <c r="AA523" s="5357"/>
      <c r="AB523" s="5358"/>
      <c r="AC523" s="5350"/>
      <c r="AD523" s="5350"/>
      <c r="AE523" s="5350"/>
      <c r="AF523" s="5349">
        <f t="shared" si="238"/>
        <v>0</v>
      </c>
      <c r="AG523" s="5338">
        <f t="shared" si="239"/>
        <v>0</v>
      </c>
    </row>
    <row r="524" spans="1:33" s="5333" customFormat="1" ht="15.05" customHeight="1">
      <c r="A524" s="5340"/>
      <c r="B524" s="5340"/>
      <c r="C524" s="5340"/>
      <c r="D524" s="5367">
        <v>4</v>
      </c>
      <c r="E524" s="5367">
        <v>1</v>
      </c>
      <c r="F524" s="5367">
        <v>4</v>
      </c>
      <c r="G524" s="5367" t="s">
        <v>444</v>
      </c>
      <c r="H524" s="5367" t="s">
        <v>441</v>
      </c>
      <c r="I524" s="5631"/>
      <c r="J524" s="5366" t="s">
        <v>1283</v>
      </c>
      <c r="K524" s="5361"/>
      <c r="L524" s="5365"/>
      <c r="M524" s="5357">
        <v>2000000000</v>
      </c>
      <c r="N524" s="5359">
        <f>N525+N526+N527</f>
        <v>4824290450</v>
      </c>
      <c r="O524" s="5359">
        <f t="shared" si="249"/>
        <v>2824290450</v>
      </c>
      <c r="P524" s="5358">
        <f>P525+P526+P527</f>
        <v>3000000000</v>
      </c>
      <c r="Q524" s="5357">
        <f>+P524-N524</f>
        <v>-1824290450</v>
      </c>
      <c r="R524" s="5358">
        <f>P524/N524*100-100</f>
        <v>-37.814689411994252</v>
      </c>
      <c r="S524" s="5358">
        <f>S525+S526+S527</f>
        <v>3000000000</v>
      </c>
      <c r="T524" s="5359">
        <f t="shared" si="250"/>
        <v>3000000037.8146896</v>
      </c>
      <c r="U524" s="5358">
        <f>U525+U526+U527</f>
        <v>3000000000</v>
      </c>
      <c r="V524" s="5357">
        <f>S524-P524</f>
        <v>0</v>
      </c>
      <c r="W524" s="5358">
        <f>S524/P524*100-100</f>
        <v>0</v>
      </c>
      <c r="X524" s="5358">
        <f>X525+X526+X527</f>
        <v>3000000000</v>
      </c>
      <c r="Y524" s="5359">
        <f t="shared" si="251"/>
        <v>3000000000</v>
      </c>
      <c r="Z524" s="5358">
        <f>Z525+Z526+Z527</f>
        <v>3000000000</v>
      </c>
      <c r="AA524" s="5357">
        <f>X524-S524</f>
        <v>0</v>
      </c>
      <c r="AB524" s="5358">
        <f>X524/S524*100-100</f>
        <v>0</v>
      </c>
      <c r="AC524" s="5350"/>
      <c r="AD524" s="5350"/>
      <c r="AE524" s="5350"/>
      <c r="AF524" s="5349">
        <f t="shared" si="238"/>
        <v>0</v>
      </c>
      <c r="AG524" s="5338">
        <f t="shared" si="239"/>
        <v>0</v>
      </c>
    </row>
    <row r="525" spans="1:33" s="5333" customFormat="1" ht="15.05" customHeight="1">
      <c r="A525" s="5340"/>
      <c r="B525" s="5340"/>
      <c r="C525" s="5340"/>
      <c r="D525" s="5367"/>
      <c r="E525" s="5380"/>
      <c r="F525" s="5380"/>
      <c r="G525" s="5380"/>
      <c r="H525" s="5380"/>
      <c r="I525" s="5496"/>
      <c r="J525" s="5408" t="s">
        <v>50</v>
      </c>
      <c r="K525" s="5361" t="s">
        <v>458</v>
      </c>
      <c r="L525" s="5365"/>
      <c r="M525" s="5357">
        <v>2000000000</v>
      </c>
      <c r="N525" s="5357">
        <f>2000000000+2824290450</f>
        <v>4824290450</v>
      </c>
      <c r="O525" s="5359">
        <f t="shared" si="249"/>
        <v>2824290450</v>
      </c>
      <c r="P525" s="5358">
        <f>2000000000+1000000000</f>
        <v>3000000000</v>
      </c>
      <c r="Q525" s="5357">
        <f>+P525-N525</f>
        <v>-1824290450</v>
      </c>
      <c r="R525" s="5358">
        <f>P525/N525*100-100</f>
        <v>-37.814689411994252</v>
      </c>
      <c r="S525" s="5358">
        <f>2000000000+1000000000</f>
        <v>3000000000</v>
      </c>
      <c r="T525" s="5359">
        <f t="shared" si="250"/>
        <v>3000000037.8146896</v>
      </c>
      <c r="U525" s="5358">
        <f>2000000000+1000000000</f>
        <v>3000000000</v>
      </c>
      <c r="V525" s="5357">
        <f>S525-P525</f>
        <v>0</v>
      </c>
      <c r="W525" s="5358">
        <f>S525/P525*100-100</f>
        <v>0</v>
      </c>
      <c r="X525" s="5358">
        <f>2000000000+1000000000</f>
        <v>3000000000</v>
      </c>
      <c r="Y525" s="5359">
        <f t="shared" si="251"/>
        <v>3000000000</v>
      </c>
      <c r="Z525" s="5358">
        <f>2000000000+1000000000</f>
        <v>3000000000</v>
      </c>
      <c r="AA525" s="5357">
        <f>X525-S525</f>
        <v>0</v>
      </c>
      <c r="AB525" s="5358">
        <f>X525/S525*100-100</f>
        <v>0</v>
      </c>
      <c r="AC525" s="5350"/>
      <c r="AD525" s="5350"/>
      <c r="AE525" s="5350"/>
      <c r="AF525" s="5349">
        <f t="shared" si="238"/>
        <v>0</v>
      </c>
      <c r="AG525" s="5338">
        <f t="shared" si="239"/>
        <v>0</v>
      </c>
    </row>
    <row r="526" spans="1:33" s="5333" customFormat="1" ht="15.05" customHeight="1">
      <c r="A526" s="5340"/>
      <c r="B526" s="5340"/>
      <c r="C526" s="5340"/>
      <c r="D526" s="5367"/>
      <c r="E526" s="5380"/>
      <c r="F526" s="5380"/>
      <c r="G526" s="5380"/>
      <c r="H526" s="5380"/>
      <c r="I526" s="5496"/>
      <c r="J526" s="5408" t="s">
        <v>50</v>
      </c>
      <c r="K526" s="5361" t="s">
        <v>224</v>
      </c>
      <c r="L526" s="5365"/>
      <c r="M526" s="5357">
        <v>0</v>
      </c>
      <c r="N526" s="5357">
        <v>0</v>
      </c>
      <c r="O526" s="5359">
        <f t="shared" si="249"/>
        <v>0</v>
      </c>
      <c r="P526" s="5358">
        <v>0</v>
      </c>
      <c r="Q526" s="5357">
        <f>+P526-N526</f>
        <v>0</v>
      </c>
      <c r="R526" s="5358">
        <v>0</v>
      </c>
      <c r="S526" s="5358">
        <v>0</v>
      </c>
      <c r="T526" s="5359">
        <f t="shared" si="250"/>
        <v>0</v>
      </c>
      <c r="U526" s="5358">
        <v>0</v>
      </c>
      <c r="V526" s="5357">
        <f>S526-P526</f>
        <v>0</v>
      </c>
      <c r="W526" s="5358">
        <v>0</v>
      </c>
      <c r="X526" s="5358">
        <v>0</v>
      </c>
      <c r="Y526" s="5359">
        <f t="shared" si="251"/>
        <v>0</v>
      </c>
      <c r="Z526" s="5358">
        <v>0</v>
      </c>
      <c r="AA526" s="5357">
        <f>X526-S526</f>
        <v>0</v>
      </c>
      <c r="AB526" s="5358">
        <v>0</v>
      </c>
      <c r="AC526" s="5350"/>
      <c r="AD526" s="5350"/>
      <c r="AE526" s="5350"/>
      <c r="AF526" s="5349">
        <f t="shared" si="238"/>
        <v>0</v>
      </c>
      <c r="AG526" s="5338">
        <f t="shared" si="239"/>
        <v>0</v>
      </c>
    </row>
    <row r="527" spans="1:33" s="5333" customFormat="1" ht="15.05" customHeight="1">
      <c r="A527" s="5340"/>
      <c r="B527" s="5340"/>
      <c r="C527" s="5340"/>
      <c r="D527" s="5367"/>
      <c r="E527" s="5380"/>
      <c r="F527" s="5380"/>
      <c r="G527" s="5380"/>
      <c r="H527" s="5380"/>
      <c r="I527" s="5496"/>
      <c r="J527" s="5408" t="s">
        <v>50</v>
      </c>
      <c r="K527" s="5361" t="s">
        <v>225</v>
      </c>
      <c r="L527" s="5365"/>
      <c r="M527" s="5357">
        <v>0</v>
      </c>
      <c r="N527" s="5357">
        <v>0</v>
      </c>
      <c r="O527" s="5359">
        <f t="shared" si="249"/>
        <v>0</v>
      </c>
      <c r="P527" s="5358">
        <v>0</v>
      </c>
      <c r="Q527" s="5357">
        <f>+P527-N527</f>
        <v>0</v>
      </c>
      <c r="R527" s="5358">
        <v>0</v>
      </c>
      <c r="S527" s="5358">
        <v>0</v>
      </c>
      <c r="T527" s="5359">
        <f t="shared" si="250"/>
        <v>0</v>
      </c>
      <c r="U527" s="5358">
        <v>0</v>
      </c>
      <c r="V527" s="5357">
        <f>S527-P527</f>
        <v>0</v>
      </c>
      <c r="W527" s="5358">
        <v>0</v>
      </c>
      <c r="X527" s="5358">
        <v>0</v>
      </c>
      <c r="Y527" s="5359">
        <f t="shared" si="251"/>
        <v>0</v>
      </c>
      <c r="Z527" s="5358">
        <v>0</v>
      </c>
      <c r="AA527" s="5357">
        <f>X527-S527</f>
        <v>0</v>
      </c>
      <c r="AB527" s="5358">
        <v>0</v>
      </c>
      <c r="AC527" s="5350"/>
      <c r="AD527" s="5350"/>
      <c r="AE527" s="5350"/>
      <c r="AF527" s="5349">
        <f t="shared" si="238"/>
        <v>0</v>
      </c>
      <c r="AG527" s="5338">
        <f t="shared" si="239"/>
        <v>0</v>
      </c>
    </row>
    <row r="528" spans="1:33" s="5333" customFormat="1" ht="4.55" customHeight="1">
      <c r="A528" s="5340"/>
      <c r="B528" s="5340"/>
      <c r="C528" s="5340"/>
      <c r="D528" s="5367"/>
      <c r="E528" s="5380"/>
      <c r="F528" s="5380"/>
      <c r="G528" s="5379"/>
      <c r="H528" s="5379"/>
      <c r="I528" s="5495"/>
      <c r="J528" s="5366"/>
      <c r="K528" s="5361"/>
      <c r="L528" s="5365"/>
      <c r="M528" s="5357"/>
      <c r="N528" s="5357"/>
      <c r="O528" s="5357"/>
      <c r="P528" s="5358"/>
      <c r="Q528" s="5357"/>
      <c r="R528" s="5358"/>
      <c r="S528" s="5358"/>
      <c r="T528" s="5357"/>
      <c r="U528" s="5358"/>
      <c r="V528" s="5357"/>
      <c r="W528" s="5358"/>
      <c r="X528" s="5358"/>
      <c r="Y528" s="5357"/>
      <c r="Z528" s="5358"/>
      <c r="AA528" s="5357"/>
      <c r="AB528" s="5358"/>
      <c r="AC528" s="5350"/>
      <c r="AD528" s="5350"/>
      <c r="AE528" s="5350"/>
      <c r="AF528" s="5349">
        <f t="shared" si="238"/>
        <v>0</v>
      </c>
      <c r="AG528" s="5338">
        <f t="shared" si="239"/>
        <v>0</v>
      </c>
    </row>
    <row r="529" spans="1:33" s="5333" customFormat="1" ht="15.05" customHeight="1">
      <c r="A529" s="5340"/>
      <c r="B529" s="5340"/>
      <c r="C529" s="5340"/>
      <c r="D529" s="5367">
        <v>4</v>
      </c>
      <c r="E529" s="5367">
        <v>1</v>
      </c>
      <c r="F529" s="5367">
        <v>4</v>
      </c>
      <c r="G529" s="5367" t="s">
        <v>444</v>
      </c>
      <c r="H529" s="5367" t="s">
        <v>456</v>
      </c>
      <c r="I529" s="5631"/>
      <c r="J529" s="5366" t="s">
        <v>1380</v>
      </c>
      <c r="K529" s="5361"/>
      <c r="L529" s="5365"/>
      <c r="M529" s="5357">
        <v>77000000000</v>
      </c>
      <c r="N529" s="5357">
        <f>+N530</f>
        <v>82000000000</v>
      </c>
      <c r="O529" s="5357">
        <f>N529-M529</f>
        <v>5000000000</v>
      </c>
      <c r="P529" s="5358">
        <f>SUM(P530:P532)</f>
        <v>80000000000</v>
      </c>
      <c r="Q529" s="5357">
        <f>+P529-N529</f>
        <v>-2000000000</v>
      </c>
      <c r="R529" s="5358">
        <f>P529/N529*100-100</f>
        <v>-2.4390243902439011</v>
      </c>
      <c r="S529" s="5358">
        <f>S530</f>
        <v>70939763650</v>
      </c>
      <c r="T529" s="5357">
        <f>S529-R529</f>
        <v>70939763652.439026</v>
      </c>
      <c r="U529" s="5358">
        <f>SUM(U530:U532)</f>
        <v>80000000000</v>
      </c>
      <c r="V529" s="5357">
        <f>S529-P529</f>
        <v>-9060236350</v>
      </c>
      <c r="W529" s="5358">
        <f>S529/P529*100-100</f>
        <v>-11.325295437500003</v>
      </c>
      <c r="X529" s="5609">
        <v>70939763650</v>
      </c>
      <c r="Y529" s="5357">
        <f>X529-W529</f>
        <v>70939763661.325302</v>
      </c>
      <c r="Z529" s="5358">
        <f>SUM(Z530:Z532)</f>
        <v>80000000000</v>
      </c>
      <c r="AA529" s="5357">
        <f>X529-S529</f>
        <v>0</v>
      </c>
      <c r="AB529" s="5358">
        <f>X529/S529*100-100</f>
        <v>0</v>
      </c>
      <c r="AC529" s="5350"/>
      <c r="AD529" s="5350"/>
      <c r="AE529" s="5350"/>
      <c r="AF529" s="5349">
        <f t="shared" si="238"/>
        <v>-9060236350</v>
      </c>
      <c r="AG529" s="5338">
        <f t="shared" si="239"/>
        <v>0</v>
      </c>
    </row>
    <row r="530" spans="1:33" s="5333" customFormat="1" ht="15.05" customHeight="1">
      <c r="A530" s="5340"/>
      <c r="B530" s="5340"/>
      <c r="C530" s="5340"/>
      <c r="D530" s="5367"/>
      <c r="E530" s="5380"/>
      <c r="F530" s="5380"/>
      <c r="G530" s="5379"/>
      <c r="H530" s="5379"/>
      <c r="I530" s="5495"/>
      <c r="J530" s="5366" t="s">
        <v>50</v>
      </c>
      <c r="K530" s="5361" t="s">
        <v>1379</v>
      </c>
      <c r="L530" s="5365"/>
      <c r="M530" s="5359">
        <v>77000000000</v>
      </c>
      <c r="N530" s="5359">
        <f>77000000000+5000000000</f>
        <v>82000000000</v>
      </c>
      <c r="O530" s="5359">
        <f>N530-M530</f>
        <v>5000000000</v>
      </c>
      <c r="P530" s="5358">
        <v>71000000000</v>
      </c>
      <c r="Q530" s="5357">
        <v>0</v>
      </c>
      <c r="R530" s="5358">
        <v>0</v>
      </c>
      <c r="S530" s="5358">
        <f>'rekap perdinas Kua PPAS'!J432</f>
        <v>70939763650</v>
      </c>
      <c r="T530" s="5359">
        <f>S530-R530</f>
        <v>70939763650</v>
      </c>
      <c r="U530" s="5358">
        <v>71000000000</v>
      </c>
      <c r="V530" s="5357">
        <f>S530-P530</f>
        <v>-60236350</v>
      </c>
      <c r="W530" s="5358">
        <f>S530/P530*100-100</f>
        <v>-8.4839929577469775E-2</v>
      </c>
      <c r="X530" s="5358">
        <f>'rekap perdinas Kua PPAS'!N432</f>
        <v>70939763650</v>
      </c>
      <c r="Y530" s="5359">
        <f>X530-W530</f>
        <v>70939763650.084839</v>
      </c>
      <c r="Z530" s="5358">
        <v>71000000000</v>
      </c>
      <c r="AA530" s="5357">
        <f>X530-S530</f>
        <v>0</v>
      </c>
      <c r="AB530" s="5358">
        <f>X530/S530*100-100</f>
        <v>0</v>
      </c>
      <c r="AC530" s="5350"/>
      <c r="AD530" s="5350"/>
      <c r="AE530" s="5350"/>
      <c r="AF530" s="5349">
        <f t="shared" si="238"/>
        <v>-60236350</v>
      </c>
      <c r="AG530" s="5338">
        <f t="shared" si="239"/>
        <v>0</v>
      </c>
    </row>
    <row r="531" spans="1:33" s="5333" customFormat="1" ht="15.05" customHeight="1">
      <c r="A531" s="5340"/>
      <c r="B531" s="5340"/>
      <c r="C531" s="5340"/>
      <c r="D531" s="5367"/>
      <c r="E531" s="5367"/>
      <c r="F531" s="5367"/>
      <c r="G531" s="5367"/>
      <c r="H531" s="5367"/>
      <c r="I531" s="5631"/>
      <c r="J531" s="5366" t="s">
        <v>50</v>
      </c>
      <c r="K531" s="5361" t="s">
        <v>1378</v>
      </c>
      <c r="L531" s="5365"/>
      <c r="M531" s="5357"/>
      <c r="N531" s="5357">
        <v>0</v>
      </c>
      <c r="O531" s="5357"/>
      <c r="P531" s="5358">
        <v>5000000000</v>
      </c>
      <c r="Q531" s="5357">
        <v>0</v>
      </c>
      <c r="R531" s="5358">
        <v>0</v>
      </c>
      <c r="S531" s="5358">
        <v>0</v>
      </c>
      <c r="T531" s="5357"/>
      <c r="U531" s="5358">
        <v>5000000000</v>
      </c>
      <c r="V531" s="5357">
        <f>S531-P531</f>
        <v>-5000000000</v>
      </c>
      <c r="W531" s="5358">
        <f>S531/P531*100-100</f>
        <v>-100</v>
      </c>
      <c r="X531" s="5358">
        <v>0</v>
      </c>
      <c r="Y531" s="5357"/>
      <c r="Z531" s="5358">
        <v>5000000000</v>
      </c>
      <c r="AA531" s="5357">
        <f>X531-S531</f>
        <v>0</v>
      </c>
      <c r="AB531" s="5607" t="e">
        <f>X531/S531*100-100</f>
        <v>#DIV/0!</v>
      </c>
      <c r="AC531" s="5350"/>
      <c r="AD531" s="5350"/>
      <c r="AE531" s="5350"/>
      <c r="AF531" s="5349">
        <f t="shared" si="238"/>
        <v>-5000000000</v>
      </c>
      <c r="AG531" s="5338">
        <f t="shared" si="239"/>
        <v>0</v>
      </c>
    </row>
    <row r="532" spans="1:33" s="5333" customFormat="1" ht="15.05" customHeight="1">
      <c r="A532" s="5426"/>
      <c r="B532" s="5426"/>
      <c r="C532" s="5426"/>
      <c r="D532" s="5367"/>
      <c r="E532" s="5380"/>
      <c r="F532" s="5380"/>
      <c r="G532" s="5379"/>
      <c r="H532" s="5379"/>
      <c r="I532" s="5495"/>
      <c r="J532" s="5366" t="s">
        <v>50</v>
      </c>
      <c r="K532" s="5361" t="s">
        <v>1377</v>
      </c>
      <c r="L532" s="5365"/>
      <c r="M532" s="5359"/>
      <c r="N532" s="5359">
        <v>0</v>
      </c>
      <c r="O532" s="5359"/>
      <c r="P532" s="5358">
        <v>4000000000</v>
      </c>
      <c r="Q532" s="5357">
        <v>0</v>
      </c>
      <c r="R532" s="5358">
        <v>0</v>
      </c>
      <c r="S532" s="5358">
        <v>0</v>
      </c>
      <c r="T532" s="5359"/>
      <c r="U532" s="5358">
        <v>4000000000</v>
      </c>
      <c r="V532" s="5357">
        <f>S532-P532</f>
        <v>-4000000000</v>
      </c>
      <c r="W532" s="5358">
        <f>S532/P532*100-100</f>
        <v>-100</v>
      </c>
      <c r="X532" s="5358">
        <v>0</v>
      </c>
      <c r="Y532" s="5359"/>
      <c r="Z532" s="5358">
        <v>4000000000</v>
      </c>
      <c r="AA532" s="5357">
        <f>X532-S532</f>
        <v>0</v>
      </c>
      <c r="AB532" s="5607" t="e">
        <f>X532/S532*100-100</f>
        <v>#DIV/0!</v>
      </c>
      <c r="AC532" s="5349"/>
      <c r="AD532" s="5349"/>
      <c r="AE532" s="5349"/>
      <c r="AF532" s="5349">
        <f t="shared" si="238"/>
        <v>-4000000000</v>
      </c>
      <c r="AG532" s="5338">
        <f t="shared" si="239"/>
        <v>0</v>
      </c>
    </row>
    <row r="533" spans="1:33" s="5333" customFormat="1">
      <c r="A533" s="5426"/>
      <c r="B533" s="5426"/>
      <c r="C533" s="5426"/>
      <c r="D533" s="5367"/>
      <c r="E533" s="5367"/>
      <c r="F533" s="5367"/>
      <c r="G533" s="5368"/>
      <c r="H533" s="5368"/>
      <c r="I533" s="5632"/>
      <c r="J533" s="5366"/>
      <c r="K533" s="5361"/>
      <c r="L533" s="5365"/>
      <c r="M533" s="5357"/>
      <c r="N533" s="5357"/>
      <c r="O533" s="5357"/>
      <c r="P533" s="5358"/>
      <c r="Q533" s="5357"/>
      <c r="R533" s="5358"/>
      <c r="S533" s="5358"/>
      <c r="T533" s="5357"/>
      <c r="U533" s="5358"/>
      <c r="V533" s="5357"/>
      <c r="W533" s="5358"/>
      <c r="X533" s="5358"/>
      <c r="Y533" s="5357"/>
      <c r="Z533" s="5358"/>
      <c r="AA533" s="5357"/>
      <c r="AB533" s="5358"/>
      <c r="AC533" s="5349"/>
      <c r="AD533" s="5349"/>
      <c r="AE533" s="5349"/>
      <c r="AF533" s="5349">
        <f t="shared" si="238"/>
        <v>0</v>
      </c>
      <c r="AG533" s="5338">
        <f t="shared" si="239"/>
        <v>0</v>
      </c>
    </row>
    <row r="534" spans="1:33" s="5333" customFormat="1" ht="15.05" customHeight="1">
      <c r="A534" s="5426"/>
      <c r="B534" s="5426"/>
      <c r="C534" s="5426"/>
      <c r="D534" s="5367">
        <v>4</v>
      </c>
      <c r="E534" s="5367">
        <v>1</v>
      </c>
      <c r="F534" s="5367">
        <v>4</v>
      </c>
      <c r="G534" s="5367" t="s">
        <v>459</v>
      </c>
      <c r="H534" s="5367"/>
      <c r="I534" s="5631"/>
      <c r="J534" s="5366" t="s">
        <v>230</v>
      </c>
      <c r="K534" s="5361"/>
      <c r="L534" s="5365"/>
      <c r="M534" s="5357">
        <v>141520000</v>
      </c>
      <c r="N534" s="5357">
        <f>N535+N537</f>
        <v>60900800</v>
      </c>
      <c r="O534" s="5357">
        <f t="shared" ref="O534:O539" si="252">N534-M534</f>
        <v>-80619200</v>
      </c>
      <c r="P534" s="5358">
        <f>P535+P537</f>
        <v>60900800</v>
      </c>
      <c r="Q534" s="5357">
        <f t="shared" ref="Q534:Q591" si="253">+P534-N534</f>
        <v>0</v>
      </c>
      <c r="R534" s="5358">
        <f t="shared" ref="R534:R591" si="254">P534/N534*100-100</f>
        <v>0</v>
      </c>
      <c r="S534" s="5358">
        <f>S535+S537</f>
        <v>60900800</v>
      </c>
      <c r="T534" s="5357">
        <f t="shared" ref="T534:T539" si="255">S534-R534</f>
        <v>60900800</v>
      </c>
      <c r="U534" s="5358">
        <f>U535+U537</f>
        <v>60900800</v>
      </c>
      <c r="V534" s="5357">
        <f t="shared" ref="V534:V539" si="256">S534-P534</f>
        <v>0</v>
      </c>
      <c r="W534" s="5358">
        <f t="shared" ref="W534:W539" si="257">S534/P534*100-100</f>
        <v>0</v>
      </c>
      <c r="X534" s="5358">
        <f>X535+X537</f>
        <v>60900800</v>
      </c>
      <c r="Y534" s="5357">
        <f t="shared" ref="Y534:Y539" si="258">X534-W534</f>
        <v>60900800</v>
      </c>
      <c r="Z534" s="5358">
        <f>Z535+Z537</f>
        <v>60900800</v>
      </c>
      <c r="AA534" s="5357">
        <f t="shared" ref="AA534:AA539" si="259">X534-S534</f>
        <v>0</v>
      </c>
      <c r="AB534" s="5358">
        <f>X534/S534*100-100</f>
        <v>0</v>
      </c>
      <c r="AC534" s="5349"/>
      <c r="AD534" s="5349"/>
      <c r="AE534" s="5349"/>
      <c r="AF534" s="5349">
        <f t="shared" si="238"/>
        <v>0</v>
      </c>
      <c r="AG534" s="5338">
        <f t="shared" si="239"/>
        <v>0</v>
      </c>
    </row>
    <row r="535" spans="1:33" s="5333" customFormat="1" ht="15.05" customHeight="1">
      <c r="A535" s="5426"/>
      <c r="B535" s="5426"/>
      <c r="C535" s="5426"/>
      <c r="D535" s="5367">
        <v>4</v>
      </c>
      <c r="E535" s="5367">
        <v>1</v>
      </c>
      <c r="F535" s="5367">
        <v>4</v>
      </c>
      <c r="G535" s="5367" t="s">
        <v>459</v>
      </c>
      <c r="H535" s="5368" t="s">
        <v>437</v>
      </c>
      <c r="I535" s="5368"/>
      <c r="J535" s="5453" t="s">
        <v>231</v>
      </c>
      <c r="K535" s="5361"/>
      <c r="L535" s="5365"/>
      <c r="M535" s="5359">
        <v>13298000</v>
      </c>
      <c r="N535" s="5359">
        <f>N536</f>
        <v>12035600</v>
      </c>
      <c r="O535" s="5359">
        <f t="shared" si="252"/>
        <v>-1262400</v>
      </c>
      <c r="P535" s="5358">
        <f>P536</f>
        <v>12035600</v>
      </c>
      <c r="Q535" s="5357">
        <f t="shared" si="253"/>
        <v>0</v>
      </c>
      <c r="R535" s="5358">
        <f t="shared" si="254"/>
        <v>0</v>
      </c>
      <c r="S535" s="5358">
        <f>S536</f>
        <v>12035600</v>
      </c>
      <c r="T535" s="5359">
        <f t="shared" si="255"/>
        <v>12035600</v>
      </c>
      <c r="U535" s="5358">
        <f>U536</f>
        <v>12035600</v>
      </c>
      <c r="V535" s="5357">
        <f t="shared" si="256"/>
        <v>0</v>
      </c>
      <c r="W535" s="5358">
        <f t="shared" si="257"/>
        <v>0</v>
      </c>
      <c r="X535" s="5358">
        <f>X536</f>
        <v>12035600</v>
      </c>
      <c r="Y535" s="5359">
        <f t="shared" si="258"/>
        <v>12035600</v>
      </c>
      <c r="Z535" s="5358">
        <f>Z536</f>
        <v>12035600</v>
      </c>
      <c r="AA535" s="5357">
        <f t="shared" si="259"/>
        <v>0</v>
      </c>
      <c r="AB535" s="5358">
        <v>0</v>
      </c>
      <c r="AC535" s="5349"/>
      <c r="AD535" s="5349"/>
      <c r="AE535" s="5349"/>
      <c r="AF535" s="5349">
        <f t="shared" si="238"/>
        <v>0</v>
      </c>
      <c r="AG535" s="5338">
        <f t="shared" si="239"/>
        <v>0</v>
      </c>
    </row>
    <row r="536" spans="1:33" s="5333" customFormat="1" ht="15.05" customHeight="1">
      <c r="A536" s="5426"/>
      <c r="B536" s="5426"/>
      <c r="C536" s="5426"/>
      <c r="D536" s="5367"/>
      <c r="E536" s="5367"/>
      <c r="F536" s="5367"/>
      <c r="G536" s="5367"/>
      <c r="H536" s="5368"/>
      <c r="I536" s="5632"/>
      <c r="J536" s="5408" t="s">
        <v>50</v>
      </c>
      <c r="K536" s="5361" t="s">
        <v>1376</v>
      </c>
      <c r="L536" s="5365"/>
      <c r="M536" s="5359">
        <v>13298000</v>
      </c>
      <c r="N536" s="5359">
        <v>12035600</v>
      </c>
      <c r="O536" s="5359">
        <f t="shared" si="252"/>
        <v>-1262400</v>
      </c>
      <c r="P536" s="5358">
        <v>12035600</v>
      </c>
      <c r="Q536" s="5357">
        <f t="shared" si="253"/>
        <v>0</v>
      </c>
      <c r="R536" s="5358">
        <f t="shared" si="254"/>
        <v>0</v>
      </c>
      <c r="S536" s="5358">
        <f>'rekap perdinas Kua PPAS'!J438</f>
        <v>12035600</v>
      </c>
      <c r="T536" s="5359">
        <f t="shared" si="255"/>
        <v>12035600</v>
      </c>
      <c r="U536" s="5358">
        <v>12035600</v>
      </c>
      <c r="V536" s="5357">
        <f t="shared" si="256"/>
        <v>0</v>
      </c>
      <c r="W536" s="5358">
        <f t="shared" si="257"/>
        <v>0</v>
      </c>
      <c r="X536" s="5358">
        <v>12035600</v>
      </c>
      <c r="Y536" s="5359">
        <f t="shared" si="258"/>
        <v>12035600</v>
      </c>
      <c r="Z536" s="5358">
        <v>12035600</v>
      </c>
      <c r="AA536" s="5357">
        <f t="shared" si="259"/>
        <v>0</v>
      </c>
      <c r="AB536" s="5358">
        <v>0</v>
      </c>
      <c r="AC536" s="5349"/>
      <c r="AD536" s="5349"/>
      <c r="AE536" s="5349"/>
      <c r="AF536" s="5349">
        <f t="shared" si="238"/>
        <v>0</v>
      </c>
      <c r="AG536" s="5338">
        <f t="shared" si="239"/>
        <v>0</v>
      </c>
    </row>
    <row r="537" spans="1:33" s="5333" customFormat="1" ht="15.05" customHeight="1">
      <c r="A537" s="5426"/>
      <c r="B537" s="5426"/>
      <c r="C537" s="5426"/>
      <c r="D537" s="5367">
        <v>4</v>
      </c>
      <c r="E537" s="5367">
        <v>1</v>
      </c>
      <c r="F537" s="5367">
        <v>4</v>
      </c>
      <c r="G537" s="5367" t="s">
        <v>459</v>
      </c>
      <c r="H537" s="5368" t="s">
        <v>438</v>
      </c>
      <c r="I537" s="5368"/>
      <c r="J537" s="5453" t="s">
        <v>1375</v>
      </c>
      <c r="K537" s="5361"/>
      <c r="L537" s="5365"/>
      <c r="M537" s="5357">
        <v>128222000</v>
      </c>
      <c r="N537" s="5357">
        <f>SUM(N538:N539)</f>
        <v>48865200</v>
      </c>
      <c r="O537" s="5357">
        <f t="shared" si="252"/>
        <v>-79356800</v>
      </c>
      <c r="P537" s="5358">
        <f>SUM(P538:P539)</f>
        <v>48865200</v>
      </c>
      <c r="Q537" s="5357">
        <f t="shared" si="253"/>
        <v>0</v>
      </c>
      <c r="R537" s="5358">
        <f t="shared" si="254"/>
        <v>0</v>
      </c>
      <c r="S537" s="5358">
        <f>SUM(S538:S539)</f>
        <v>48865200</v>
      </c>
      <c r="T537" s="5357">
        <f t="shared" si="255"/>
        <v>48865200</v>
      </c>
      <c r="U537" s="5358">
        <f>SUM(U538:U539)</f>
        <v>48865200</v>
      </c>
      <c r="V537" s="5357">
        <f t="shared" si="256"/>
        <v>0</v>
      </c>
      <c r="W537" s="5358">
        <f t="shared" si="257"/>
        <v>0</v>
      </c>
      <c r="X537" s="5358">
        <f>SUM(X538:X539)</f>
        <v>48865200</v>
      </c>
      <c r="Y537" s="5357">
        <f t="shared" si="258"/>
        <v>48865200</v>
      </c>
      <c r="Z537" s="5358">
        <f>SUM(Z538:Z539)</f>
        <v>48865200</v>
      </c>
      <c r="AA537" s="5357">
        <f t="shared" si="259"/>
        <v>0</v>
      </c>
      <c r="AB537" s="5358">
        <f>X537/S537*100-100</f>
        <v>0</v>
      </c>
      <c r="AC537" s="5349"/>
      <c r="AD537" s="5349"/>
      <c r="AE537" s="5349"/>
      <c r="AF537" s="5349">
        <f t="shared" si="238"/>
        <v>0</v>
      </c>
      <c r="AG537" s="5338">
        <f t="shared" si="239"/>
        <v>0</v>
      </c>
    </row>
    <row r="538" spans="1:33" s="5333" customFormat="1" ht="15.05" customHeight="1">
      <c r="A538" s="5426"/>
      <c r="B538" s="5426"/>
      <c r="C538" s="5426"/>
      <c r="D538" s="5367"/>
      <c r="E538" s="5367"/>
      <c r="F538" s="5367"/>
      <c r="G538" s="5367"/>
      <c r="H538" s="5368"/>
      <c r="I538" s="5632"/>
      <c r="J538" s="5408" t="s">
        <v>50</v>
      </c>
      <c r="K538" s="5361" t="s">
        <v>234</v>
      </c>
      <c r="L538" s="5365"/>
      <c r="M538" s="5359">
        <v>19226000</v>
      </c>
      <c r="N538" s="5359">
        <v>4492800</v>
      </c>
      <c r="O538" s="5359">
        <f t="shared" si="252"/>
        <v>-14733200</v>
      </c>
      <c r="P538" s="5358">
        <v>4492800</v>
      </c>
      <c r="Q538" s="5357">
        <f t="shared" si="253"/>
        <v>0</v>
      </c>
      <c r="R538" s="5358">
        <f t="shared" si="254"/>
        <v>0</v>
      </c>
      <c r="S538" s="5358">
        <f>'rekap perdinas Kua PPAS'!J440</f>
        <v>4492800</v>
      </c>
      <c r="T538" s="5359">
        <f t="shared" si="255"/>
        <v>4492800</v>
      </c>
      <c r="U538" s="5358">
        <v>4492800</v>
      </c>
      <c r="V538" s="5357">
        <f t="shared" si="256"/>
        <v>0</v>
      </c>
      <c r="W538" s="5358">
        <f t="shared" si="257"/>
        <v>0</v>
      </c>
      <c r="X538" s="5358">
        <v>4492800</v>
      </c>
      <c r="Y538" s="5359">
        <f t="shared" si="258"/>
        <v>4492800</v>
      </c>
      <c r="Z538" s="5358">
        <v>4492800</v>
      </c>
      <c r="AA538" s="5357">
        <f t="shared" si="259"/>
        <v>0</v>
      </c>
      <c r="AB538" s="5358">
        <f>X538/S538*100-100</f>
        <v>0</v>
      </c>
      <c r="AC538" s="5349"/>
      <c r="AD538" s="5349"/>
      <c r="AE538" s="5349"/>
      <c r="AF538" s="5349">
        <f t="shared" si="238"/>
        <v>0</v>
      </c>
      <c r="AG538" s="5338">
        <f t="shared" si="239"/>
        <v>0</v>
      </c>
    </row>
    <row r="539" spans="1:33" s="5333" customFormat="1" ht="15.05" customHeight="1">
      <c r="A539" s="5426"/>
      <c r="B539" s="5426"/>
      <c r="C539" s="5426"/>
      <c r="D539" s="5367"/>
      <c r="E539" s="5367"/>
      <c r="F539" s="5367"/>
      <c r="G539" s="5367"/>
      <c r="H539" s="5368"/>
      <c r="I539" s="5632"/>
      <c r="J539" s="5408" t="s">
        <v>50</v>
      </c>
      <c r="K539" s="5361" t="s">
        <v>235</v>
      </c>
      <c r="L539" s="5365"/>
      <c r="M539" s="5359">
        <v>108996000</v>
      </c>
      <c r="N539" s="5359">
        <v>44372400</v>
      </c>
      <c r="O539" s="5359">
        <f t="shared" si="252"/>
        <v>-64623600</v>
      </c>
      <c r="P539" s="5358">
        <v>44372400</v>
      </c>
      <c r="Q539" s="5357">
        <f t="shared" si="253"/>
        <v>0</v>
      </c>
      <c r="R539" s="5358">
        <f t="shared" si="254"/>
        <v>0</v>
      </c>
      <c r="S539" s="5358">
        <f>'rekap perdinas Kua PPAS'!J441</f>
        <v>44372400</v>
      </c>
      <c r="T539" s="5359">
        <f t="shared" si="255"/>
        <v>44372400</v>
      </c>
      <c r="U539" s="5358">
        <v>44372400</v>
      </c>
      <c r="V539" s="5357">
        <f t="shared" si="256"/>
        <v>0</v>
      </c>
      <c r="W539" s="5358">
        <f t="shared" si="257"/>
        <v>0</v>
      </c>
      <c r="X539" s="5358">
        <v>44372400</v>
      </c>
      <c r="Y539" s="5359">
        <f t="shared" si="258"/>
        <v>44372400</v>
      </c>
      <c r="Z539" s="5358">
        <v>44372400</v>
      </c>
      <c r="AA539" s="5357">
        <f t="shared" si="259"/>
        <v>0</v>
      </c>
      <c r="AB539" s="5358">
        <f>X539/S539*100-100</f>
        <v>0</v>
      </c>
      <c r="AC539" s="5350"/>
      <c r="AD539" s="5350"/>
      <c r="AE539" s="5350"/>
      <c r="AF539" s="5349">
        <f t="shared" si="238"/>
        <v>0</v>
      </c>
      <c r="AG539" s="5338">
        <f t="shared" si="239"/>
        <v>0</v>
      </c>
    </row>
    <row r="540" spans="1:33" s="5333" customFormat="1">
      <c r="A540" s="5426"/>
      <c r="B540" s="5426"/>
      <c r="C540" s="5426"/>
      <c r="D540" s="5367"/>
      <c r="E540" s="5367"/>
      <c r="F540" s="5367"/>
      <c r="G540" s="5367"/>
      <c r="H540" s="5368"/>
      <c r="I540" s="5632"/>
      <c r="J540" s="5408"/>
      <c r="K540" s="5361"/>
      <c r="L540" s="5365"/>
      <c r="M540" s="5359"/>
      <c r="N540" s="5359"/>
      <c r="O540" s="5359"/>
      <c r="P540" s="5358"/>
      <c r="Q540" s="5357">
        <f t="shared" si="253"/>
        <v>0</v>
      </c>
      <c r="R540" s="5356" t="e">
        <f t="shared" si="254"/>
        <v>#DIV/0!</v>
      </c>
      <c r="S540" s="5358"/>
      <c r="T540" s="5359"/>
      <c r="U540" s="5358"/>
      <c r="V540" s="5357"/>
      <c r="W540" s="5356"/>
      <c r="X540" s="5358"/>
      <c r="Y540" s="5359"/>
      <c r="Z540" s="5358"/>
      <c r="AA540" s="5357"/>
      <c r="AB540" s="5356"/>
      <c r="AC540" s="5349"/>
      <c r="AD540" s="5349"/>
      <c r="AE540" s="5349"/>
      <c r="AF540" s="5349">
        <f t="shared" si="238"/>
        <v>0</v>
      </c>
      <c r="AG540" s="5338">
        <f t="shared" si="239"/>
        <v>0</v>
      </c>
    </row>
    <row r="541" spans="1:33" s="5333" customFormat="1" ht="18" hidden="1" customHeight="1">
      <c r="A541" s="5340"/>
      <c r="B541" s="5340"/>
      <c r="C541" s="5340"/>
      <c r="D541" s="5367">
        <v>4</v>
      </c>
      <c r="E541" s="5367">
        <v>1</v>
      </c>
      <c r="F541" s="5367">
        <v>4</v>
      </c>
      <c r="G541" s="5367" t="s">
        <v>948</v>
      </c>
      <c r="H541" s="5367" t="s">
        <v>437</v>
      </c>
      <c r="I541" s="5631"/>
      <c r="J541" s="5366" t="s">
        <v>85</v>
      </c>
      <c r="K541" s="5361"/>
      <c r="L541" s="5365"/>
      <c r="M541" s="5402">
        <v>0</v>
      </c>
      <c r="N541" s="5402">
        <v>0</v>
      </c>
      <c r="O541" s="5402">
        <f>N541-M541</f>
        <v>0</v>
      </c>
      <c r="P541" s="5401"/>
      <c r="Q541" s="5357">
        <f t="shared" si="253"/>
        <v>0</v>
      </c>
      <c r="R541" s="5401" t="e">
        <f t="shared" si="254"/>
        <v>#DIV/0!</v>
      </c>
      <c r="S541" s="5401"/>
      <c r="T541" s="5402" t="e">
        <f>S541-R541</f>
        <v>#DIV/0!</v>
      </c>
      <c r="U541" s="5401"/>
      <c r="V541" s="5357">
        <f t="shared" ref="V541:V556" si="260">S541-P541</f>
        <v>0</v>
      </c>
      <c r="W541" s="5401" t="e">
        <f>S541/P541*100-100</f>
        <v>#DIV/0!</v>
      </c>
      <c r="X541" s="5401"/>
      <c r="Y541" s="5402" t="e">
        <f>X541-W541</f>
        <v>#DIV/0!</v>
      </c>
      <c r="Z541" s="5401"/>
      <c r="AA541" s="5357">
        <f t="shared" ref="AA541:AA554" si="261">X541-S541</f>
        <v>0</v>
      </c>
      <c r="AB541" s="5401" t="e">
        <f>X541/S541*100-100</f>
        <v>#DIV/0!</v>
      </c>
      <c r="AC541" s="5349"/>
      <c r="AD541" s="5349"/>
      <c r="AE541" s="5349"/>
      <c r="AF541" s="5349">
        <f t="shared" si="238"/>
        <v>0</v>
      </c>
      <c r="AG541" s="5338">
        <f t="shared" si="239"/>
        <v>0</v>
      </c>
    </row>
    <row r="542" spans="1:33" s="5333" customFormat="1" ht="15.05" hidden="1" customHeight="1">
      <c r="A542" s="5340"/>
      <c r="B542" s="5340"/>
      <c r="C542" s="5340"/>
      <c r="D542" s="5368"/>
      <c r="E542" s="5380"/>
      <c r="F542" s="5380"/>
      <c r="G542" s="5379"/>
      <c r="H542" s="5379"/>
      <c r="I542" s="5495"/>
      <c r="J542" s="5366" t="s">
        <v>50</v>
      </c>
      <c r="K542" s="5361" t="s">
        <v>1374</v>
      </c>
      <c r="L542" s="5365"/>
      <c r="M542" s="5359">
        <v>0</v>
      </c>
      <c r="N542" s="5359">
        <v>0</v>
      </c>
      <c r="O542" s="5359">
        <f>N542-M542</f>
        <v>0</v>
      </c>
      <c r="P542" s="5358"/>
      <c r="Q542" s="5357">
        <f t="shared" si="253"/>
        <v>0</v>
      </c>
      <c r="R542" s="5356" t="e">
        <f t="shared" si="254"/>
        <v>#DIV/0!</v>
      </c>
      <c r="S542" s="5358"/>
      <c r="T542" s="5359" t="e">
        <f>S542-R542</f>
        <v>#DIV/0!</v>
      </c>
      <c r="U542" s="5358"/>
      <c r="V542" s="5357">
        <f t="shared" si="260"/>
        <v>0</v>
      </c>
      <c r="W542" s="5356" t="e">
        <f>S542/P542*100-100</f>
        <v>#DIV/0!</v>
      </c>
      <c r="X542" s="5358"/>
      <c r="Y542" s="5359" t="e">
        <f>X542-W542</f>
        <v>#DIV/0!</v>
      </c>
      <c r="Z542" s="5358"/>
      <c r="AA542" s="5357">
        <f t="shared" si="261"/>
        <v>0</v>
      </c>
      <c r="AB542" s="5356" t="e">
        <f>X542/S542*100-100</f>
        <v>#DIV/0!</v>
      </c>
      <c r="AC542" s="5349"/>
      <c r="AD542" s="5349"/>
      <c r="AE542" s="5349"/>
      <c r="AF542" s="5349">
        <f t="shared" si="238"/>
        <v>0</v>
      </c>
      <c r="AG542" s="5338">
        <f t="shared" si="239"/>
        <v>0</v>
      </c>
    </row>
    <row r="543" spans="1:33" s="5333" customFormat="1" ht="7.55" hidden="1" customHeight="1">
      <c r="A543" s="5340"/>
      <c r="B543" s="5340"/>
      <c r="C543" s="5340"/>
      <c r="D543" s="5368"/>
      <c r="E543" s="5380"/>
      <c r="F543" s="5380"/>
      <c r="G543" s="5379"/>
      <c r="H543" s="5379"/>
      <c r="I543" s="5495"/>
      <c r="J543" s="5366"/>
      <c r="K543" s="5361"/>
      <c r="L543" s="5365"/>
      <c r="M543" s="5357"/>
      <c r="N543" s="5357"/>
      <c r="O543" s="5357"/>
      <c r="P543" s="5358"/>
      <c r="Q543" s="5357">
        <f t="shared" si="253"/>
        <v>0</v>
      </c>
      <c r="R543" s="5358" t="e">
        <f t="shared" si="254"/>
        <v>#DIV/0!</v>
      </c>
      <c r="S543" s="5358"/>
      <c r="T543" s="5357"/>
      <c r="U543" s="5358"/>
      <c r="V543" s="5357">
        <f t="shared" si="260"/>
        <v>0</v>
      </c>
      <c r="W543" s="5358" t="e">
        <f>S543/P543*100-100</f>
        <v>#DIV/0!</v>
      </c>
      <c r="X543" s="5358"/>
      <c r="Y543" s="5357"/>
      <c r="Z543" s="5358"/>
      <c r="AA543" s="5357">
        <f t="shared" si="261"/>
        <v>0</v>
      </c>
      <c r="AB543" s="5358" t="e">
        <f>X543/S543*100-100</f>
        <v>#DIV/0!</v>
      </c>
      <c r="AC543" s="5350"/>
      <c r="AD543" s="5350"/>
      <c r="AE543" s="5350"/>
      <c r="AF543" s="5349">
        <f t="shared" si="238"/>
        <v>0</v>
      </c>
      <c r="AG543" s="5338">
        <f t="shared" si="239"/>
        <v>0</v>
      </c>
    </row>
    <row r="544" spans="1:33" s="5333" customFormat="1" ht="15.05" hidden="1" customHeight="1">
      <c r="A544" s="5340"/>
      <c r="B544" s="5340"/>
      <c r="C544" s="5340"/>
      <c r="D544" s="5367" t="s">
        <v>700</v>
      </c>
      <c r="E544" s="5380"/>
      <c r="F544" s="5380"/>
      <c r="G544" s="5380"/>
      <c r="H544" s="5380"/>
      <c r="I544" s="5496"/>
      <c r="J544" s="5372" t="s">
        <v>165</v>
      </c>
      <c r="K544" s="5371" t="s">
        <v>1373</v>
      </c>
      <c r="L544" s="5370"/>
      <c r="M544" s="5486">
        <v>0</v>
      </c>
      <c r="N544" s="5486">
        <v>0</v>
      </c>
      <c r="O544" s="5486">
        <f t="shared" ref="O544:O595" si="262">N544-M544</f>
        <v>0</v>
      </c>
      <c r="P544" s="5485"/>
      <c r="Q544" s="5357">
        <f t="shared" si="253"/>
        <v>0</v>
      </c>
      <c r="R544" s="5485" t="e">
        <f t="shared" si="254"/>
        <v>#DIV/0!</v>
      </c>
      <c r="S544" s="5485"/>
      <c r="T544" s="5486" t="e">
        <f t="shared" ref="T544:T595" si="263">S544-R544</f>
        <v>#DIV/0!</v>
      </c>
      <c r="U544" s="5485"/>
      <c r="V544" s="5357">
        <f t="shared" si="260"/>
        <v>0</v>
      </c>
      <c r="W544" s="5485">
        <v>0</v>
      </c>
      <c r="X544" s="5485"/>
      <c r="Y544" s="5486">
        <f t="shared" ref="Y544:Y595" si="264">X544-W544</f>
        <v>0</v>
      </c>
      <c r="Z544" s="5485"/>
      <c r="AA544" s="5357">
        <f t="shared" si="261"/>
        <v>0</v>
      </c>
      <c r="AB544" s="5485">
        <v>0</v>
      </c>
      <c r="AC544" s="5349"/>
      <c r="AD544" s="5349"/>
      <c r="AE544" s="5349"/>
      <c r="AF544" s="5349">
        <f t="shared" si="238"/>
        <v>0</v>
      </c>
      <c r="AG544" s="5338">
        <f t="shared" si="239"/>
        <v>0</v>
      </c>
    </row>
    <row r="545" spans="1:33" s="5333" customFormat="1" ht="15.05" hidden="1" customHeight="1">
      <c r="A545" s="5340"/>
      <c r="B545" s="5340"/>
      <c r="C545" s="5340"/>
      <c r="D545" s="5367"/>
      <c r="E545" s="5380"/>
      <c r="F545" s="5380"/>
      <c r="G545" s="5380"/>
      <c r="H545" s="5380"/>
      <c r="I545" s="5496"/>
      <c r="J545" s="5366"/>
      <c r="K545" s="5361"/>
      <c r="L545" s="5365"/>
      <c r="M545" s="5357"/>
      <c r="N545" s="5357"/>
      <c r="O545" s="5357">
        <f t="shared" si="262"/>
        <v>0</v>
      </c>
      <c r="P545" s="5358"/>
      <c r="Q545" s="5357">
        <f t="shared" si="253"/>
        <v>0</v>
      </c>
      <c r="R545" s="5358" t="e">
        <f t="shared" si="254"/>
        <v>#DIV/0!</v>
      </c>
      <c r="S545" s="5358"/>
      <c r="T545" s="5357" t="e">
        <f t="shared" si="263"/>
        <v>#DIV/0!</v>
      </c>
      <c r="U545" s="5358"/>
      <c r="V545" s="5357">
        <f t="shared" si="260"/>
        <v>0</v>
      </c>
      <c r="W545" s="5358" t="e">
        <f t="shared" ref="W545:W554" si="265">S545/P545*100-100</f>
        <v>#DIV/0!</v>
      </c>
      <c r="X545" s="5358"/>
      <c r="Y545" s="5357" t="e">
        <f t="shared" si="264"/>
        <v>#DIV/0!</v>
      </c>
      <c r="Z545" s="5358"/>
      <c r="AA545" s="5357">
        <f t="shared" si="261"/>
        <v>0</v>
      </c>
      <c r="AB545" s="5358" t="e">
        <f t="shared" ref="AB545:AB554" si="266">X545/S545*100-100</f>
        <v>#DIV/0!</v>
      </c>
      <c r="AC545" s="5349"/>
      <c r="AD545" s="5349"/>
      <c r="AE545" s="5349"/>
      <c r="AF545" s="5349">
        <f t="shared" si="238"/>
        <v>0</v>
      </c>
      <c r="AG545" s="5338">
        <f t="shared" si="239"/>
        <v>0</v>
      </c>
    </row>
    <row r="546" spans="1:33" s="5333" customFormat="1" ht="15.05" hidden="1" customHeight="1">
      <c r="A546" s="5426"/>
      <c r="B546" s="5426"/>
      <c r="C546" s="5426"/>
      <c r="D546" s="5374">
        <v>4</v>
      </c>
      <c r="E546" s="5374">
        <v>1</v>
      </c>
      <c r="F546" s="5374"/>
      <c r="G546" s="5374"/>
      <c r="H546" s="5374"/>
      <c r="I546" s="5537"/>
      <c r="J546" s="5372" t="s">
        <v>180</v>
      </c>
      <c r="K546" s="5371"/>
      <c r="L546" s="5370"/>
      <c r="M546" s="5357">
        <v>0</v>
      </c>
      <c r="N546" s="5357">
        <v>0</v>
      </c>
      <c r="O546" s="5359">
        <f t="shared" si="262"/>
        <v>0</v>
      </c>
      <c r="P546" s="5358"/>
      <c r="Q546" s="5357">
        <f t="shared" si="253"/>
        <v>0</v>
      </c>
      <c r="R546" s="5358" t="e">
        <f t="shared" si="254"/>
        <v>#DIV/0!</v>
      </c>
      <c r="S546" s="5358"/>
      <c r="T546" s="5359" t="e">
        <f t="shared" si="263"/>
        <v>#DIV/0!</v>
      </c>
      <c r="U546" s="5358"/>
      <c r="V546" s="5357">
        <f t="shared" si="260"/>
        <v>0</v>
      </c>
      <c r="W546" s="5358" t="e">
        <f t="shared" si="265"/>
        <v>#DIV/0!</v>
      </c>
      <c r="X546" s="5358"/>
      <c r="Y546" s="5359" t="e">
        <f t="shared" si="264"/>
        <v>#DIV/0!</v>
      </c>
      <c r="Z546" s="5358"/>
      <c r="AA546" s="5357">
        <f t="shared" si="261"/>
        <v>0</v>
      </c>
      <c r="AB546" s="5358" t="e">
        <f t="shared" si="266"/>
        <v>#DIV/0!</v>
      </c>
      <c r="AC546" s="5349"/>
      <c r="AD546" s="5349"/>
      <c r="AE546" s="5349"/>
      <c r="AF546" s="5349">
        <f t="shared" si="238"/>
        <v>0</v>
      </c>
      <c r="AG546" s="5338">
        <f t="shared" si="239"/>
        <v>0</v>
      </c>
    </row>
    <row r="547" spans="1:33" s="5333" customFormat="1" ht="15.05" hidden="1" customHeight="1">
      <c r="A547" s="5340"/>
      <c r="B547" s="5340"/>
      <c r="C547" s="5340"/>
      <c r="D547" s="5367"/>
      <c r="E547" s="5380"/>
      <c r="F547" s="5380"/>
      <c r="G547" s="5380"/>
      <c r="H547" s="5380"/>
      <c r="I547" s="5496"/>
      <c r="J547" s="5366"/>
      <c r="K547" s="5361"/>
      <c r="L547" s="5365"/>
      <c r="M547" s="5357"/>
      <c r="N547" s="5357"/>
      <c r="O547" s="5357">
        <f t="shared" si="262"/>
        <v>0</v>
      </c>
      <c r="P547" s="5358"/>
      <c r="Q547" s="5357">
        <f t="shared" si="253"/>
        <v>0</v>
      </c>
      <c r="R547" s="5358" t="e">
        <f t="shared" si="254"/>
        <v>#DIV/0!</v>
      </c>
      <c r="S547" s="5358"/>
      <c r="T547" s="5357" t="e">
        <f t="shared" si="263"/>
        <v>#DIV/0!</v>
      </c>
      <c r="U547" s="5358"/>
      <c r="V547" s="5357">
        <f t="shared" si="260"/>
        <v>0</v>
      </c>
      <c r="W547" s="5358" t="e">
        <f t="shared" si="265"/>
        <v>#DIV/0!</v>
      </c>
      <c r="X547" s="5358"/>
      <c r="Y547" s="5357" t="e">
        <f t="shared" si="264"/>
        <v>#DIV/0!</v>
      </c>
      <c r="Z547" s="5358"/>
      <c r="AA547" s="5357">
        <f t="shared" si="261"/>
        <v>0</v>
      </c>
      <c r="AB547" s="5358" t="e">
        <f t="shared" si="266"/>
        <v>#DIV/0!</v>
      </c>
      <c r="AC547" s="5349"/>
      <c r="AD547" s="5349"/>
      <c r="AE547" s="5349"/>
      <c r="AF547" s="5349">
        <f t="shared" si="238"/>
        <v>0</v>
      </c>
      <c r="AG547" s="5338">
        <f t="shared" si="239"/>
        <v>0</v>
      </c>
    </row>
    <row r="548" spans="1:33" s="5333" customFormat="1" ht="15.05" hidden="1" customHeight="1">
      <c r="A548" s="5426"/>
      <c r="B548" s="5426"/>
      <c r="C548" s="5426"/>
      <c r="D548" s="5374">
        <v>4</v>
      </c>
      <c r="E548" s="5374">
        <v>1</v>
      </c>
      <c r="F548" s="5374">
        <v>2</v>
      </c>
      <c r="G548" s="5374"/>
      <c r="H548" s="5374"/>
      <c r="I548" s="5537"/>
      <c r="J548" s="5372" t="s">
        <v>106</v>
      </c>
      <c r="K548" s="5361"/>
      <c r="L548" s="5365"/>
      <c r="M548" s="5357">
        <v>0</v>
      </c>
      <c r="N548" s="5357">
        <v>0</v>
      </c>
      <c r="O548" s="5359">
        <f t="shared" si="262"/>
        <v>0</v>
      </c>
      <c r="P548" s="5358"/>
      <c r="Q548" s="5357">
        <f t="shared" si="253"/>
        <v>0</v>
      </c>
      <c r="R548" s="5358" t="e">
        <f t="shared" si="254"/>
        <v>#DIV/0!</v>
      </c>
      <c r="S548" s="5358"/>
      <c r="T548" s="5359" t="e">
        <f t="shared" si="263"/>
        <v>#DIV/0!</v>
      </c>
      <c r="U548" s="5358"/>
      <c r="V548" s="5357">
        <f t="shared" si="260"/>
        <v>0</v>
      </c>
      <c r="W548" s="5358" t="e">
        <f t="shared" si="265"/>
        <v>#DIV/0!</v>
      </c>
      <c r="X548" s="5358"/>
      <c r="Y548" s="5359" t="e">
        <f t="shared" si="264"/>
        <v>#DIV/0!</v>
      </c>
      <c r="Z548" s="5358"/>
      <c r="AA548" s="5357">
        <f t="shared" si="261"/>
        <v>0</v>
      </c>
      <c r="AB548" s="5358" t="e">
        <f t="shared" si="266"/>
        <v>#DIV/0!</v>
      </c>
      <c r="AC548" s="5349"/>
      <c r="AD548" s="5349"/>
      <c r="AE548" s="5349"/>
      <c r="AF548" s="5349">
        <f t="shared" si="238"/>
        <v>0</v>
      </c>
      <c r="AG548" s="5338">
        <f t="shared" si="239"/>
        <v>0</v>
      </c>
    </row>
    <row r="549" spans="1:33" s="5333" customFormat="1" ht="15.05" hidden="1" customHeight="1">
      <c r="A549" s="5426"/>
      <c r="B549" s="5426"/>
      <c r="C549" s="5426"/>
      <c r="D549" s="5367">
        <v>4</v>
      </c>
      <c r="E549" s="5367">
        <v>1</v>
      </c>
      <c r="F549" s="5367">
        <v>2</v>
      </c>
      <c r="G549" s="5368" t="s">
        <v>437</v>
      </c>
      <c r="H549" s="5367"/>
      <c r="I549" s="5631"/>
      <c r="J549" s="5366" t="s">
        <v>107</v>
      </c>
      <c r="K549" s="5361"/>
      <c r="L549" s="5365"/>
      <c r="M549" s="5357">
        <v>0</v>
      </c>
      <c r="N549" s="5357">
        <v>0</v>
      </c>
      <c r="O549" s="5359">
        <f t="shared" si="262"/>
        <v>0</v>
      </c>
      <c r="P549" s="5358"/>
      <c r="Q549" s="5357">
        <f t="shared" si="253"/>
        <v>0</v>
      </c>
      <c r="R549" s="5358" t="e">
        <f t="shared" si="254"/>
        <v>#DIV/0!</v>
      </c>
      <c r="S549" s="5358"/>
      <c r="T549" s="5359" t="e">
        <f t="shared" si="263"/>
        <v>#DIV/0!</v>
      </c>
      <c r="U549" s="5358"/>
      <c r="V549" s="5357">
        <f t="shared" si="260"/>
        <v>0</v>
      </c>
      <c r="W549" s="5358" t="e">
        <f t="shared" si="265"/>
        <v>#DIV/0!</v>
      </c>
      <c r="X549" s="5358"/>
      <c r="Y549" s="5359" t="e">
        <f t="shared" si="264"/>
        <v>#DIV/0!</v>
      </c>
      <c r="Z549" s="5358"/>
      <c r="AA549" s="5357">
        <f t="shared" si="261"/>
        <v>0</v>
      </c>
      <c r="AB549" s="5358" t="e">
        <f t="shared" si="266"/>
        <v>#DIV/0!</v>
      </c>
      <c r="AC549" s="5349"/>
      <c r="AD549" s="5349"/>
      <c r="AE549" s="5349"/>
      <c r="AF549" s="5349">
        <f t="shared" si="238"/>
        <v>0</v>
      </c>
      <c r="AG549" s="5338">
        <f t="shared" si="239"/>
        <v>0</v>
      </c>
    </row>
    <row r="550" spans="1:33" s="5333" customFormat="1" ht="15.05" hidden="1" customHeight="1">
      <c r="A550" s="5426"/>
      <c r="B550" s="5426"/>
      <c r="C550" s="5426"/>
      <c r="D550" s="5367">
        <v>4</v>
      </c>
      <c r="E550" s="5367">
        <v>1</v>
      </c>
      <c r="F550" s="5367">
        <v>2</v>
      </c>
      <c r="G550" s="5368" t="s">
        <v>437</v>
      </c>
      <c r="H550" s="5367" t="s">
        <v>441</v>
      </c>
      <c r="I550" s="5631"/>
      <c r="J550" s="5366" t="s">
        <v>951</v>
      </c>
      <c r="K550" s="5361"/>
      <c r="L550" s="5365"/>
      <c r="M550" s="5359">
        <v>0</v>
      </c>
      <c r="N550" s="5359">
        <v>0</v>
      </c>
      <c r="O550" s="5359">
        <f t="shared" si="262"/>
        <v>0</v>
      </c>
      <c r="P550" s="5358"/>
      <c r="Q550" s="5357">
        <f t="shared" si="253"/>
        <v>0</v>
      </c>
      <c r="R550" s="5356" t="e">
        <f t="shared" si="254"/>
        <v>#DIV/0!</v>
      </c>
      <c r="S550" s="5358"/>
      <c r="T550" s="5359" t="e">
        <f t="shared" si="263"/>
        <v>#DIV/0!</v>
      </c>
      <c r="U550" s="5358"/>
      <c r="V550" s="5357">
        <f t="shared" si="260"/>
        <v>0</v>
      </c>
      <c r="W550" s="5356" t="e">
        <f t="shared" si="265"/>
        <v>#DIV/0!</v>
      </c>
      <c r="X550" s="5358"/>
      <c r="Y550" s="5359" t="e">
        <f t="shared" si="264"/>
        <v>#DIV/0!</v>
      </c>
      <c r="Z550" s="5358"/>
      <c r="AA550" s="5357">
        <f t="shared" si="261"/>
        <v>0</v>
      </c>
      <c r="AB550" s="5356" t="e">
        <f t="shared" si="266"/>
        <v>#DIV/0!</v>
      </c>
      <c r="AC550" s="5349"/>
      <c r="AD550" s="5349"/>
      <c r="AE550" s="5349"/>
      <c r="AF550" s="5349">
        <f t="shared" si="238"/>
        <v>0</v>
      </c>
      <c r="AG550" s="5338">
        <f t="shared" si="239"/>
        <v>0</v>
      </c>
    </row>
    <row r="551" spans="1:33" s="5333" customFormat="1" ht="15.05" hidden="1" customHeight="1">
      <c r="A551" s="5340"/>
      <c r="B551" s="5340"/>
      <c r="C551" s="5340"/>
      <c r="D551" s="5387"/>
      <c r="E551" s="5386"/>
      <c r="F551" s="5386"/>
      <c r="G551" s="5416"/>
      <c r="H551" s="5416"/>
      <c r="I551" s="5644"/>
      <c r="J551" s="5414"/>
      <c r="K551" s="5413"/>
      <c r="L551" s="5412"/>
      <c r="M551" s="5357"/>
      <c r="N551" s="5357"/>
      <c r="O551" s="5357">
        <f t="shared" si="262"/>
        <v>0</v>
      </c>
      <c r="P551" s="5358"/>
      <c r="Q551" s="5357">
        <f t="shared" si="253"/>
        <v>0</v>
      </c>
      <c r="R551" s="5358" t="e">
        <f t="shared" si="254"/>
        <v>#DIV/0!</v>
      </c>
      <c r="S551" s="5358"/>
      <c r="T551" s="5357" t="e">
        <f t="shared" si="263"/>
        <v>#DIV/0!</v>
      </c>
      <c r="U551" s="5358"/>
      <c r="V551" s="5357">
        <f t="shared" si="260"/>
        <v>0</v>
      </c>
      <c r="W551" s="5358" t="e">
        <f t="shared" si="265"/>
        <v>#DIV/0!</v>
      </c>
      <c r="X551" s="5358"/>
      <c r="Y551" s="5357" t="e">
        <f t="shared" si="264"/>
        <v>#DIV/0!</v>
      </c>
      <c r="Z551" s="5358"/>
      <c r="AA551" s="5357">
        <f t="shared" si="261"/>
        <v>0</v>
      </c>
      <c r="AB551" s="5358" t="e">
        <f t="shared" si="266"/>
        <v>#DIV/0!</v>
      </c>
      <c r="AC551" s="5350"/>
      <c r="AD551" s="5350"/>
      <c r="AE551" s="5350"/>
      <c r="AF551" s="5349">
        <f t="shared" si="238"/>
        <v>0</v>
      </c>
      <c r="AG551" s="5338">
        <f t="shared" si="239"/>
        <v>0</v>
      </c>
    </row>
    <row r="552" spans="1:33" s="5333" customFormat="1" ht="15.05" hidden="1" customHeight="1">
      <c r="A552" s="5426"/>
      <c r="B552" s="5426"/>
      <c r="C552" s="5426"/>
      <c r="D552" s="5374">
        <v>4</v>
      </c>
      <c r="E552" s="5374">
        <v>1</v>
      </c>
      <c r="F552" s="5374">
        <v>4</v>
      </c>
      <c r="G552" s="5373"/>
      <c r="H552" s="5373"/>
      <c r="I552" s="5633"/>
      <c r="J552" s="5372" t="s">
        <v>71</v>
      </c>
      <c r="K552" s="5371"/>
      <c r="L552" s="5370"/>
      <c r="M552" s="5357">
        <v>0</v>
      </c>
      <c r="N552" s="5357">
        <v>0</v>
      </c>
      <c r="O552" s="5359">
        <f t="shared" si="262"/>
        <v>0</v>
      </c>
      <c r="P552" s="5358"/>
      <c r="Q552" s="5357">
        <f t="shared" si="253"/>
        <v>0</v>
      </c>
      <c r="R552" s="5358" t="e">
        <f t="shared" si="254"/>
        <v>#DIV/0!</v>
      </c>
      <c r="S552" s="5358"/>
      <c r="T552" s="5359" t="e">
        <f t="shared" si="263"/>
        <v>#DIV/0!</v>
      </c>
      <c r="U552" s="5358"/>
      <c r="V552" s="5357">
        <f t="shared" si="260"/>
        <v>0</v>
      </c>
      <c r="W552" s="5358" t="e">
        <f t="shared" si="265"/>
        <v>#DIV/0!</v>
      </c>
      <c r="X552" s="5358"/>
      <c r="Y552" s="5359" t="e">
        <f t="shared" si="264"/>
        <v>#DIV/0!</v>
      </c>
      <c r="Z552" s="5358"/>
      <c r="AA552" s="5357">
        <f t="shared" si="261"/>
        <v>0</v>
      </c>
      <c r="AB552" s="5358" t="e">
        <f t="shared" si="266"/>
        <v>#DIV/0!</v>
      </c>
      <c r="AC552" s="5349"/>
      <c r="AD552" s="5349"/>
      <c r="AE552" s="5349"/>
      <c r="AF552" s="5349">
        <f t="shared" si="238"/>
        <v>0</v>
      </c>
      <c r="AG552" s="5338">
        <f t="shared" si="239"/>
        <v>0</v>
      </c>
    </row>
    <row r="553" spans="1:33" s="5333" customFormat="1" ht="15.05" hidden="1" customHeight="1">
      <c r="A553" s="5426"/>
      <c r="B553" s="5426"/>
      <c r="C553" s="5426"/>
      <c r="D553" s="5367">
        <v>4</v>
      </c>
      <c r="E553" s="5367">
        <v>1</v>
      </c>
      <c r="F553" s="5367">
        <v>4</v>
      </c>
      <c r="G553" s="5368" t="s">
        <v>451</v>
      </c>
      <c r="H553" s="5367"/>
      <c r="I553" s="5631"/>
      <c r="J553" s="5366" t="s">
        <v>1289</v>
      </c>
      <c r="K553" s="5361"/>
      <c r="L553" s="5365"/>
      <c r="M553" s="5357">
        <v>0</v>
      </c>
      <c r="N553" s="5357">
        <v>0</v>
      </c>
      <c r="O553" s="5359">
        <f t="shared" si="262"/>
        <v>0</v>
      </c>
      <c r="P553" s="5358"/>
      <c r="Q553" s="5357">
        <f t="shared" si="253"/>
        <v>0</v>
      </c>
      <c r="R553" s="5358" t="e">
        <f t="shared" si="254"/>
        <v>#DIV/0!</v>
      </c>
      <c r="S553" s="5358"/>
      <c r="T553" s="5359" t="e">
        <f t="shared" si="263"/>
        <v>#DIV/0!</v>
      </c>
      <c r="U553" s="5358"/>
      <c r="V553" s="5357">
        <f t="shared" si="260"/>
        <v>0</v>
      </c>
      <c r="W553" s="5358" t="e">
        <f t="shared" si="265"/>
        <v>#DIV/0!</v>
      </c>
      <c r="X553" s="5358"/>
      <c r="Y553" s="5359" t="e">
        <f t="shared" si="264"/>
        <v>#DIV/0!</v>
      </c>
      <c r="Z553" s="5358"/>
      <c r="AA553" s="5357">
        <f t="shared" si="261"/>
        <v>0</v>
      </c>
      <c r="AB553" s="5358" t="e">
        <f t="shared" si="266"/>
        <v>#DIV/0!</v>
      </c>
      <c r="AC553" s="5349"/>
      <c r="AD553" s="5349"/>
      <c r="AE553" s="5349"/>
      <c r="AF553" s="5349">
        <f t="shared" si="238"/>
        <v>0</v>
      </c>
      <c r="AG553" s="5338">
        <f t="shared" si="239"/>
        <v>0</v>
      </c>
    </row>
    <row r="554" spans="1:33" s="5333" customFormat="1" ht="15.05" hidden="1" customHeight="1">
      <c r="A554" s="5426"/>
      <c r="B554" s="5426"/>
      <c r="C554" s="5426"/>
      <c r="D554" s="5367">
        <v>4</v>
      </c>
      <c r="E554" s="5367">
        <v>1</v>
      </c>
      <c r="F554" s="5367">
        <v>4</v>
      </c>
      <c r="G554" s="5368" t="s">
        <v>451</v>
      </c>
      <c r="H554" s="5368" t="s">
        <v>437</v>
      </c>
      <c r="I554" s="5632"/>
      <c r="J554" s="5366" t="s">
        <v>1288</v>
      </c>
      <c r="K554" s="5361"/>
      <c r="L554" s="5365"/>
      <c r="M554" s="5359">
        <v>0</v>
      </c>
      <c r="N554" s="5359">
        <v>0</v>
      </c>
      <c r="O554" s="5359">
        <f t="shared" si="262"/>
        <v>0</v>
      </c>
      <c r="P554" s="5358"/>
      <c r="Q554" s="5357">
        <f t="shared" si="253"/>
        <v>0</v>
      </c>
      <c r="R554" s="5356" t="e">
        <f t="shared" si="254"/>
        <v>#DIV/0!</v>
      </c>
      <c r="S554" s="5358"/>
      <c r="T554" s="5359" t="e">
        <f t="shared" si="263"/>
        <v>#DIV/0!</v>
      </c>
      <c r="U554" s="5358"/>
      <c r="V554" s="5357">
        <f t="shared" si="260"/>
        <v>0</v>
      </c>
      <c r="W554" s="5356" t="e">
        <f t="shared" si="265"/>
        <v>#DIV/0!</v>
      </c>
      <c r="X554" s="5358"/>
      <c r="Y554" s="5359" t="e">
        <f t="shared" si="264"/>
        <v>#DIV/0!</v>
      </c>
      <c r="Z554" s="5358"/>
      <c r="AA554" s="5357">
        <f t="shared" si="261"/>
        <v>0</v>
      </c>
      <c r="AB554" s="5356" t="e">
        <f t="shared" si="266"/>
        <v>#DIV/0!</v>
      </c>
      <c r="AC554" s="5349"/>
      <c r="AD554" s="5349"/>
      <c r="AE554" s="5349"/>
      <c r="AF554" s="5349">
        <f t="shared" si="238"/>
        <v>0</v>
      </c>
      <c r="AG554" s="5338">
        <f t="shared" si="239"/>
        <v>0</v>
      </c>
    </row>
    <row r="555" spans="1:33" s="5333" customFormat="1" ht="4.55" hidden="1" customHeight="1">
      <c r="A555" s="5340"/>
      <c r="B555" s="5340"/>
      <c r="C555" s="5340"/>
      <c r="D555" s="5367"/>
      <c r="E555" s="5380"/>
      <c r="F555" s="5380"/>
      <c r="G555" s="5380"/>
      <c r="H555" s="5380"/>
      <c r="I555" s="5496"/>
      <c r="J555" s="5366"/>
      <c r="K555" s="5361"/>
      <c r="L555" s="5365"/>
      <c r="M555" s="5357"/>
      <c r="N555" s="5357"/>
      <c r="O555" s="5357">
        <f t="shared" si="262"/>
        <v>0</v>
      </c>
      <c r="P555" s="5358"/>
      <c r="Q555" s="5357">
        <f t="shared" si="253"/>
        <v>0</v>
      </c>
      <c r="R555" s="5358" t="e">
        <f t="shared" si="254"/>
        <v>#DIV/0!</v>
      </c>
      <c r="S555" s="5358"/>
      <c r="T555" s="5357" t="e">
        <f t="shared" si="263"/>
        <v>#DIV/0!</v>
      </c>
      <c r="U555" s="5358"/>
      <c r="V555" s="5357">
        <f t="shared" si="260"/>
        <v>0</v>
      </c>
      <c r="W555" s="5358"/>
      <c r="X555" s="5358"/>
      <c r="Y555" s="5357">
        <f t="shared" si="264"/>
        <v>0</v>
      </c>
      <c r="Z555" s="5358"/>
      <c r="AA555" s="5357"/>
      <c r="AB555" s="5358"/>
      <c r="AC555" s="5349"/>
      <c r="AD555" s="5349"/>
      <c r="AE555" s="5349"/>
      <c r="AF555" s="5349">
        <f t="shared" si="238"/>
        <v>0</v>
      </c>
      <c r="AG555" s="5338">
        <f t="shared" si="239"/>
        <v>0</v>
      </c>
    </row>
    <row r="556" spans="1:33" s="5333" customFormat="1" ht="15.05" hidden="1" customHeight="1">
      <c r="A556" s="5426"/>
      <c r="B556" s="5426"/>
      <c r="C556" s="5426"/>
      <c r="D556" s="5368"/>
      <c r="E556" s="5380"/>
      <c r="F556" s="5380"/>
      <c r="G556" s="5380"/>
      <c r="H556" s="5380"/>
      <c r="I556" s="5496"/>
      <c r="J556" s="5372" t="s">
        <v>167</v>
      </c>
      <c r="K556" s="5371" t="s">
        <v>1372</v>
      </c>
      <c r="L556" s="5370"/>
      <c r="M556" s="5357">
        <v>0</v>
      </c>
      <c r="N556" s="5357">
        <f>N558</f>
        <v>0</v>
      </c>
      <c r="O556" s="5357">
        <f t="shared" si="262"/>
        <v>0</v>
      </c>
      <c r="P556" s="5358"/>
      <c r="Q556" s="5357">
        <f t="shared" si="253"/>
        <v>0</v>
      </c>
      <c r="R556" s="5358" t="e">
        <f t="shared" si="254"/>
        <v>#DIV/0!</v>
      </c>
      <c r="S556" s="5358"/>
      <c r="T556" s="5357" t="e">
        <f t="shared" si="263"/>
        <v>#DIV/0!</v>
      </c>
      <c r="U556" s="5358"/>
      <c r="V556" s="5357">
        <f t="shared" si="260"/>
        <v>0</v>
      </c>
      <c r="W556" s="5358">
        <v>0</v>
      </c>
      <c r="X556" s="5358"/>
      <c r="Y556" s="5357">
        <f t="shared" si="264"/>
        <v>0</v>
      </c>
      <c r="Z556" s="5358"/>
      <c r="AA556" s="5357">
        <f>X556-S556</f>
        <v>0</v>
      </c>
      <c r="AB556" s="5358">
        <v>0</v>
      </c>
      <c r="AC556" s="5349"/>
      <c r="AD556" s="5349"/>
      <c r="AE556" s="5349"/>
      <c r="AF556" s="5349">
        <f t="shared" si="238"/>
        <v>0</v>
      </c>
      <c r="AG556" s="5338">
        <f t="shared" si="239"/>
        <v>0</v>
      </c>
    </row>
    <row r="557" spans="1:33" s="5333" customFormat="1" ht="4.55" hidden="1" customHeight="1">
      <c r="A557" s="5340"/>
      <c r="B557" s="5340"/>
      <c r="C557" s="5340"/>
      <c r="D557" s="5368"/>
      <c r="E557" s="5380"/>
      <c r="F557" s="5380"/>
      <c r="G557" s="5380"/>
      <c r="H557" s="5380"/>
      <c r="I557" s="5496"/>
      <c r="J557" s="5366"/>
      <c r="K557" s="5361"/>
      <c r="L557" s="5365"/>
      <c r="M557" s="5357"/>
      <c r="N557" s="5357"/>
      <c r="O557" s="5357">
        <f t="shared" si="262"/>
        <v>0</v>
      </c>
      <c r="P557" s="5358"/>
      <c r="Q557" s="5357">
        <f t="shared" si="253"/>
        <v>0</v>
      </c>
      <c r="R557" s="5358" t="e">
        <f t="shared" si="254"/>
        <v>#DIV/0!</v>
      </c>
      <c r="S557" s="5358"/>
      <c r="T557" s="5357" t="e">
        <f t="shared" si="263"/>
        <v>#DIV/0!</v>
      </c>
      <c r="U557" s="5358"/>
      <c r="V557" s="5357"/>
      <c r="W557" s="5358"/>
      <c r="X557" s="5358"/>
      <c r="Y557" s="5357">
        <f t="shared" si="264"/>
        <v>0</v>
      </c>
      <c r="Z557" s="5358"/>
      <c r="AA557" s="5357"/>
      <c r="AB557" s="5358"/>
      <c r="AC557" s="5349"/>
      <c r="AD557" s="5349"/>
      <c r="AE557" s="5349"/>
      <c r="AF557" s="5349">
        <f t="shared" si="238"/>
        <v>0</v>
      </c>
      <c r="AG557" s="5338">
        <f t="shared" si="239"/>
        <v>0</v>
      </c>
    </row>
    <row r="558" spans="1:33" s="5333" customFormat="1" ht="15.05" hidden="1" customHeight="1">
      <c r="A558" s="5426"/>
      <c r="B558" s="5426"/>
      <c r="C558" s="5426"/>
      <c r="D558" s="5374">
        <v>4</v>
      </c>
      <c r="E558" s="5374">
        <v>1</v>
      </c>
      <c r="F558" s="5374"/>
      <c r="G558" s="5374"/>
      <c r="H558" s="5374"/>
      <c r="I558" s="5537"/>
      <c r="J558" s="5372" t="s">
        <v>180</v>
      </c>
      <c r="K558" s="5371"/>
      <c r="L558" s="5370"/>
      <c r="M558" s="5357">
        <v>0</v>
      </c>
      <c r="N558" s="5357">
        <f>N560</f>
        <v>0</v>
      </c>
      <c r="O558" s="5357">
        <f t="shared" si="262"/>
        <v>0</v>
      </c>
      <c r="P558" s="5358"/>
      <c r="Q558" s="5357">
        <f t="shared" si="253"/>
        <v>0</v>
      </c>
      <c r="R558" s="5358" t="e">
        <f t="shared" si="254"/>
        <v>#DIV/0!</v>
      </c>
      <c r="S558" s="5358"/>
      <c r="T558" s="5357" t="e">
        <f t="shared" si="263"/>
        <v>#DIV/0!</v>
      </c>
      <c r="U558" s="5358"/>
      <c r="V558" s="5357">
        <f t="shared" ref="V558:V564" si="267">S558-P558</f>
        <v>0</v>
      </c>
      <c r="W558" s="5358" t="e">
        <f t="shared" ref="W558:W563" si="268">S558/P558*100-100</f>
        <v>#DIV/0!</v>
      </c>
      <c r="X558" s="5358"/>
      <c r="Y558" s="5357" t="e">
        <f t="shared" si="264"/>
        <v>#DIV/0!</v>
      </c>
      <c r="Z558" s="5358"/>
      <c r="AA558" s="5357">
        <f t="shared" ref="AA558:AA564" si="269">X558-S558</f>
        <v>0</v>
      </c>
      <c r="AB558" s="5358" t="e">
        <f t="shared" ref="AB558:AB563" si="270">X558/S558*100-100</f>
        <v>#DIV/0!</v>
      </c>
      <c r="AC558" s="5349"/>
      <c r="AD558" s="5349"/>
      <c r="AE558" s="5349"/>
      <c r="AF558" s="5349">
        <f t="shared" si="238"/>
        <v>0</v>
      </c>
      <c r="AG558" s="5338">
        <f t="shared" si="239"/>
        <v>0</v>
      </c>
    </row>
    <row r="559" spans="1:33" s="5333" customFormat="1" ht="6.75" hidden="1" customHeight="1">
      <c r="A559" s="5340"/>
      <c r="B559" s="5340"/>
      <c r="C559" s="5340"/>
      <c r="D559" s="5367"/>
      <c r="E559" s="5380"/>
      <c r="F559" s="5380"/>
      <c r="G559" s="5379"/>
      <c r="H559" s="5379"/>
      <c r="I559" s="5495"/>
      <c r="J559" s="5366"/>
      <c r="K559" s="5361"/>
      <c r="L559" s="5365"/>
      <c r="M559" s="5357"/>
      <c r="N559" s="5357"/>
      <c r="O559" s="5357">
        <f t="shared" si="262"/>
        <v>0</v>
      </c>
      <c r="P559" s="5358"/>
      <c r="Q559" s="5357">
        <f t="shared" si="253"/>
        <v>0</v>
      </c>
      <c r="R559" s="5358" t="e">
        <f t="shared" si="254"/>
        <v>#DIV/0!</v>
      </c>
      <c r="S559" s="5358"/>
      <c r="T559" s="5357" t="e">
        <f t="shared" si="263"/>
        <v>#DIV/0!</v>
      </c>
      <c r="U559" s="5358"/>
      <c r="V559" s="5357">
        <f t="shared" si="267"/>
        <v>0</v>
      </c>
      <c r="W559" s="5358" t="e">
        <f t="shared" si="268"/>
        <v>#DIV/0!</v>
      </c>
      <c r="X559" s="5358"/>
      <c r="Y559" s="5357" t="e">
        <f t="shared" si="264"/>
        <v>#DIV/0!</v>
      </c>
      <c r="Z559" s="5358"/>
      <c r="AA559" s="5357">
        <f t="shared" si="269"/>
        <v>0</v>
      </c>
      <c r="AB559" s="5358" t="e">
        <f t="shared" si="270"/>
        <v>#DIV/0!</v>
      </c>
      <c r="AC559" s="5350"/>
      <c r="AD559" s="5350"/>
      <c r="AE559" s="5350"/>
      <c r="AF559" s="5349">
        <f t="shared" si="238"/>
        <v>0</v>
      </c>
      <c r="AG559" s="5338">
        <f t="shared" si="239"/>
        <v>0</v>
      </c>
    </row>
    <row r="560" spans="1:33" s="5333" customFormat="1" ht="15.05" hidden="1" customHeight="1">
      <c r="A560" s="5426"/>
      <c r="B560" s="5426"/>
      <c r="C560" s="5426"/>
      <c r="D560" s="5374">
        <v>4</v>
      </c>
      <c r="E560" s="5374">
        <v>1</v>
      </c>
      <c r="F560" s="5374">
        <v>4</v>
      </c>
      <c r="G560" s="5373"/>
      <c r="H560" s="5373"/>
      <c r="I560" s="5633"/>
      <c r="J560" s="5372" t="s">
        <v>71</v>
      </c>
      <c r="K560" s="5371"/>
      <c r="L560" s="5370"/>
      <c r="M560" s="5357">
        <v>0</v>
      </c>
      <c r="N560" s="5357">
        <f>N561</f>
        <v>0</v>
      </c>
      <c r="O560" s="5357">
        <f t="shared" si="262"/>
        <v>0</v>
      </c>
      <c r="P560" s="5358"/>
      <c r="Q560" s="5357">
        <f t="shared" si="253"/>
        <v>0</v>
      </c>
      <c r="R560" s="5358" t="e">
        <f t="shared" si="254"/>
        <v>#DIV/0!</v>
      </c>
      <c r="S560" s="5358"/>
      <c r="T560" s="5357" t="e">
        <f t="shared" si="263"/>
        <v>#DIV/0!</v>
      </c>
      <c r="U560" s="5358"/>
      <c r="V560" s="5357">
        <f t="shared" si="267"/>
        <v>0</v>
      </c>
      <c r="W560" s="5358" t="e">
        <f t="shared" si="268"/>
        <v>#DIV/0!</v>
      </c>
      <c r="X560" s="5358"/>
      <c r="Y560" s="5357" t="e">
        <f t="shared" si="264"/>
        <v>#DIV/0!</v>
      </c>
      <c r="Z560" s="5358"/>
      <c r="AA560" s="5357">
        <f t="shared" si="269"/>
        <v>0</v>
      </c>
      <c r="AB560" s="5358" t="e">
        <f t="shared" si="270"/>
        <v>#DIV/0!</v>
      </c>
      <c r="AC560" s="5349"/>
      <c r="AD560" s="5349"/>
      <c r="AE560" s="5349"/>
      <c r="AF560" s="5349">
        <f t="shared" si="238"/>
        <v>0</v>
      </c>
      <c r="AG560" s="5338">
        <f t="shared" si="239"/>
        <v>0</v>
      </c>
    </row>
    <row r="561" spans="1:33" s="5333" customFormat="1" ht="13.5" hidden="1" customHeight="1">
      <c r="A561" s="5340"/>
      <c r="B561" s="5340"/>
      <c r="C561" s="5340"/>
      <c r="D561" s="5367">
        <v>4</v>
      </c>
      <c r="E561" s="5367">
        <v>1</v>
      </c>
      <c r="F561" s="5367">
        <v>4</v>
      </c>
      <c r="G561" s="5367" t="s">
        <v>948</v>
      </c>
      <c r="H561" s="5367" t="s">
        <v>437</v>
      </c>
      <c r="I561" s="5631"/>
      <c r="J561" s="5366" t="s">
        <v>85</v>
      </c>
      <c r="K561" s="5361"/>
      <c r="L561" s="5365"/>
      <c r="M561" s="5402">
        <v>0</v>
      </c>
      <c r="N561" s="5402">
        <f>N562</f>
        <v>0</v>
      </c>
      <c r="O561" s="5402">
        <f t="shared" si="262"/>
        <v>0</v>
      </c>
      <c r="P561" s="5401"/>
      <c r="Q561" s="5357">
        <f t="shared" si="253"/>
        <v>0</v>
      </c>
      <c r="R561" s="5401" t="e">
        <f t="shared" si="254"/>
        <v>#DIV/0!</v>
      </c>
      <c r="S561" s="5401"/>
      <c r="T561" s="5402" t="e">
        <f t="shared" si="263"/>
        <v>#DIV/0!</v>
      </c>
      <c r="U561" s="5401"/>
      <c r="V561" s="5357">
        <f t="shared" si="267"/>
        <v>0</v>
      </c>
      <c r="W561" s="5401" t="e">
        <f t="shared" si="268"/>
        <v>#DIV/0!</v>
      </c>
      <c r="X561" s="5401"/>
      <c r="Y561" s="5402" t="e">
        <f t="shared" si="264"/>
        <v>#DIV/0!</v>
      </c>
      <c r="Z561" s="5401"/>
      <c r="AA561" s="5357">
        <f t="shared" si="269"/>
        <v>0</v>
      </c>
      <c r="AB561" s="5401" t="e">
        <f t="shared" si="270"/>
        <v>#DIV/0!</v>
      </c>
      <c r="AC561" s="5349"/>
      <c r="AD561" s="5349"/>
      <c r="AE561" s="5349"/>
      <c r="AF561" s="5349">
        <f t="shared" si="238"/>
        <v>0</v>
      </c>
      <c r="AG561" s="5338">
        <f t="shared" si="239"/>
        <v>0</v>
      </c>
    </row>
    <row r="562" spans="1:33" s="5333" customFormat="1" ht="15.05" hidden="1" customHeight="1">
      <c r="A562" s="5340"/>
      <c r="B562" s="5340"/>
      <c r="C562" s="5340"/>
      <c r="D562" s="5368"/>
      <c r="E562" s="5380"/>
      <c r="F562" s="5380"/>
      <c r="G562" s="5379"/>
      <c r="H562" s="5379"/>
      <c r="I562" s="5495"/>
      <c r="J562" s="5366" t="s">
        <v>50</v>
      </c>
      <c r="K562" s="5361" t="s">
        <v>85</v>
      </c>
      <c r="L562" s="5365"/>
      <c r="M562" s="5359">
        <v>0</v>
      </c>
      <c r="N562" s="5359">
        <v>0</v>
      </c>
      <c r="O562" s="5359">
        <f t="shared" si="262"/>
        <v>0</v>
      </c>
      <c r="P562" s="5358"/>
      <c r="Q562" s="5357">
        <f t="shared" si="253"/>
        <v>0</v>
      </c>
      <c r="R562" s="5356" t="e">
        <f t="shared" si="254"/>
        <v>#DIV/0!</v>
      </c>
      <c r="S562" s="5358"/>
      <c r="T562" s="5359" t="e">
        <f t="shared" si="263"/>
        <v>#DIV/0!</v>
      </c>
      <c r="U562" s="5358"/>
      <c r="V562" s="5357">
        <f t="shared" si="267"/>
        <v>0</v>
      </c>
      <c r="W562" s="5356" t="e">
        <f t="shared" si="268"/>
        <v>#DIV/0!</v>
      </c>
      <c r="X562" s="5358"/>
      <c r="Y562" s="5359" t="e">
        <f t="shared" si="264"/>
        <v>#DIV/0!</v>
      </c>
      <c r="Z562" s="5358"/>
      <c r="AA562" s="5357">
        <f t="shared" si="269"/>
        <v>0</v>
      </c>
      <c r="AB562" s="5356" t="e">
        <f t="shared" si="270"/>
        <v>#DIV/0!</v>
      </c>
      <c r="AC562" s="5349"/>
      <c r="AD562" s="5349"/>
      <c r="AE562" s="5349"/>
      <c r="AF562" s="5349">
        <f t="shared" si="238"/>
        <v>0</v>
      </c>
      <c r="AG562" s="5338">
        <f t="shared" si="239"/>
        <v>0</v>
      </c>
    </row>
    <row r="563" spans="1:33" s="5333" customFormat="1" ht="6.75" hidden="1" customHeight="1">
      <c r="A563" s="5340"/>
      <c r="B563" s="5340"/>
      <c r="C563" s="5340"/>
      <c r="D563" s="5367"/>
      <c r="E563" s="5380"/>
      <c r="F563" s="5380"/>
      <c r="G563" s="5380"/>
      <c r="H563" s="5380"/>
      <c r="I563" s="5496"/>
      <c r="J563" s="5366"/>
      <c r="K563" s="5361"/>
      <c r="L563" s="5365"/>
      <c r="M563" s="5357"/>
      <c r="N563" s="5357"/>
      <c r="O563" s="5357">
        <f t="shared" si="262"/>
        <v>0</v>
      </c>
      <c r="P563" s="5358"/>
      <c r="Q563" s="5357">
        <f t="shared" si="253"/>
        <v>0</v>
      </c>
      <c r="R563" s="5358" t="e">
        <f t="shared" si="254"/>
        <v>#DIV/0!</v>
      </c>
      <c r="S563" s="5358"/>
      <c r="T563" s="5357" t="e">
        <f t="shared" si="263"/>
        <v>#DIV/0!</v>
      </c>
      <c r="U563" s="5358"/>
      <c r="V563" s="5357">
        <f t="shared" si="267"/>
        <v>0</v>
      </c>
      <c r="W563" s="5358" t="e">
        <f t="shared" si="268"/>
        <v>#DIV/0!</v>
      </c>
      <c r="X563" s="5358"/>
      <c r="Y563" s="5357" t="e">
        <f t="shared" si="264"/>
        <v>#DIV/0!</v>
      </c>
      <c r="Z563" s="5358"/>
      <c r="AA563" s="5357">
        <f t="shared" si="269"/>
        <v>0</v>
      </c>
      <c r="AB563" s="5358" t="e">
        <f t="shared" si="270"/>
        <v>#DIV/0!</v>
      </c>
      <c r="AC563" s="5349"/>
      <c r="AD563" s="5349"/>
      <c r="AE563" s="5349"/>
      <c r="AF563" s="5349">
        <f t="shared" si="238"/>
        <v>0</v>
      </c>
      <c r="AG563" s="5338">
        <f t="shared" si="239"/>
        <v>0</v>
      </c>
    </row>
    <row r="564" spans="1:33" s="5333" customFormat="1" ht="15.05" hidden="1" customHeight="1">
      <c r="A564" s="5426"/>
      <c r="B564" s="5426"/>
      <c r="C564" s="5426"/>
      <c r="D564" s="5387" t="s">
        <v>700</v>
      </c>
      <c r="E564" s="5386" t="s">
        <v>700</v>
      </c>
      <c r="F564" s="5386" t="s">
        <v>700</v>
      </c>
      <c r="G564" s="5386" t="s">
        <v>700</v>
      </c>
      <c r="H564" s="5386" t="s">
        <v>700</v>
      </c>
      <c r="I564" s="5636"/>
      <c r="J564" s="5385" t="s">
        <v>1042</v>
      </c>
      <c r="K564" s="5384" t="s">
        <v>1371</v>
      </c>
      <c r="L564" s="5383"/>
      <c r="M564" s="5357">
        <v>0</v>
      </c>
      <c r="N564" s="5357">
        <f>N566</f>
        <v>0</v>
      </c>
      <c r="O564" s="5357">
        <f t="shared" si="262"/>
        <v>0</v>
      </c>
      <c r="P564" s="5358"/>
      <c r="Q564" s="5357">
        <f t="shared" si="253"/>
        <v>0</v>
      </c>
      <c r="R564" s="5358" t="e">
        <f t="shared" si="254"/>
        <v>#DIV/0!</v>
      </c>
      <c r="S564" s="5358"/>
      <c r="T564" s="5357" t="e">
        <f t="shared" si="263"/>
        <v>#DIV/0!</v>
      </c>
      <c r="U564" s="5358"/>
      <c r="V564" s="5357">
        <f t="shared" si="267"/>
        <v>0</v>
      </c>
      <c r="W564" s="5358">
        <v>0</v>
      </c>
      <c r="X564" s="5358"/>
      <c r="Y564" s="5357">
        <f t="shared" si="264"/>
        <v>0</v>
      </c>
      <c r="Z564" s="5358"/>
      <c r="AA564" s="5357">
        <f t="shared" si="269"/>
        <v>0</v>
      </c>
      <c r="AB564" s="5358">
        <v>0</v>
      </c>
      <c r="AC564" s="5349"/>
      <c r="AD564" s="5349"/>
      <c r="AE564" s="5349"/>
      <c r="AF564" s="5349">
        <f t="shared" si="238"/>
        <v>0</v>
      </c>
      <c r="AG564" s="5338">
        <f t="shared" si="239"/>
        <v>0</v>
      </c>
    </row>
    <row r="565" spans="1:33" s="5333" customFormat="1" ht="5.95" hidden="1" customHeight="1">
      <c r="A565" s="5340"/>
      <c r="B565" s="5340"/>
      <c r="C565" s="5340"/>
      <c r="D565" s="5367"/>
      <c r="E565" s="5380"/>
      <c r="F565" s="5380"/>
      <c r="G565" s="5380"/>
      <c r="H565" s="5380"/>
      <c r="I565" s="5496"/>
      <c r="J565" s="5366"/>
      <c r="K565" s="5361"/>
      <c r="L565" s="5365"/>
      <c r="M565" s="5357"/>
      <c r="N565" s="5357"/>
      <c r="O565" s="5357">
        <f t="shared" si="262"/>
        <v>0</v>
      </c>
      <c r="P565" s="5358"/>
      <c r="Q565" s="5357">
        <f t="shared" si="253"/>
        <v>0</v>
      </c>
      <c r="R565" s="5358" t="e">
        <f t="shared" si="254"/>
        <v>#DIV/0!</v>
      </c>
      <c r="S565" s="5358"/>
      <c r="T565" s="5357" t="e">
        <f t="shared" si="263"/>
        <v>#DIV/0!</v>
      </c>
      <c r="U565" s="5358"/>
      <c r="V565" s="5357"/>
      <c r="W565" s="5358"/>
      <c r="X565" s="5358"/>
      <c r="Y565" s="5357">
        <f t="shared" si="264"/>
        <v>0</v>
      </c>
      <c r="Z565" s="5358"/>
      <c r="AA565" s="5357"/>
      <c r="AB565" s="5358"/>
      <c r="AC565" s="5349"/>
      <c r="AD565" s="5349"/>
      <c r="AE565" s="5349"/>
      <c r="AF565" s="5349">
        <f t="shared" si="238"/>
        <v>0</v>
      </c>
      <c r="AG565" s="5338">
        <f t="shared" si="239"/>
        <v>0</v>
      </c>
    </row>
    <row r="566" spans="1:33" s="5333" customFormat="1" ht="15.05" hidden="1" customHeight="1">
      <c r="A566" s="5426"/>
      <c r="B566" s="5426"/>
      <c r="C566" s="5426"/>
      <c r="D566" s="5374">
        <v>4</v>
      </c>
      <c r="E566" s="5374">
        <v>1</v>
      </c>
      <c r="F566" s="5374"/>
      <c r="G566" s="5374"/>
      <c r="H566" s="5374"/>
      <c r="I566" s="5537"/>
      <c r="J566" s="5372" t="s">
        <v>180</v>
      </c>
      <c r="K566" s="5371"/>
      <c r="L566" s="5370"/>
      <c r="M566" s="5357">
        <v>0</v>
      </c>
      <c r="N566" s="5357">
        <f>N568</f>
        <v>0</v>
      </c>
      <c r="O566" s="5359">
        <f t="shared" si="262"/>
        <v>0</v>
      </c>
      <c r="P566" s="5358"/>
      <c r="Q566" s="5357">
        <f t="shared" si="253"/>
        <v>0</v>
      </c>
      <c r="R566" s="5358" t="e">
        <f t="shared" si="254"/>
        <v>#DIV/0!</v>
      </c>
      <c r="S566" s="5358"/>
      <c r="T566" s="5359" t="e">
        <f t="shared" si="263"/>
        <v>#DIV/0!</v>
      </c>
      <c r="U566" s="5358"/>
      <c r="V566" s="5357">
        <f t="shared" ref="V566:V595" si="271">S566-P566</f>
        <v>0</v>
      </c>
      <c r="W566" s="5358" t="e">
        <f t="shared" ref="W566:W571" si="272">S566/P566*100-100</f>
        <v>#DIV/0!</v>
      </c>
      <c r="X566" s="5358"/>
      <c r="Y566" s="5359" t="e">
        <f t="shared" si="264"/>
        <v>#DIV/0!</v>
      </c>
      <c r="Z566" s="5358"/>
      <c r="AA566" s="5357">
        <f t="shared" ref="AA566:AA572" si="273">X566-S566</f>
        <v>0</v>
      </c>
      <c r="AB566" s="5358" t="e">
        <f t="shared" ref="AB566:AB571" si="274">X566/S566*100-100</f>
        <v>#DIV/0!</v>
      </c>
      <c r="AC566" s="5349"/>
      <c r="AD566" s="5349"/>
      <c r="AE566" s="5349"/>
      <c r="AF566" s="5349">
        <f t="shared" si="238"/>
        <v>0</v>
      </c>
      <c r="AG566" s="5338">
        <f t="shared" si="239"/>
        <v>0</v>
      </c>
    </row>
    <row r="567" spans="1:33" s="5333" customFormat="1" ht="7.55" hidden="1" customHeight="1">
      <c r="A567" s="5340"/>
      <c r="B567" s="5340"/>
      <c r="C567" s="5340"/>
      <c r="D567" s="5367"/>
      <c r="E567" s="5380"/>
      <c r="F567" s="5380"/>
      <c r="G567" s="5379"/>
      <c r="H567" s="5379"/>
      <c r="I567" s="5495"/>
      <c r="J567" s="5366"/>
      <c r="K567" s="5361"/>
      <c r="L567" s="5365"/>
      <c r="M567" s="5357"/>
      <c r="N567" s="5357"/>
      <c r="O567" s="5357">
        <f t="shared" si="262"/>
        <v>0</v>
      </c>
      <c r="P567" s="5358"/>
      <c r="Q567" s="5357">
        <f t="shared" si="253"/>
        <v>0</v>
      </c>
      <c r="R567" s="5358" t="e">
        <f t="shared" si="254"/>
        <v>#DIV/0!</v>
      </c>
      <c r="S567" s="5358"/>
      <c r="T567" s="5357" t="e">
        <f t="shared" si="263"/>
        <v>#DIV/0!</v>
      </c>
      <c r="U567" s="5358"/>
      <c r="V567" s="5357">
        <f t="shared" si="271"/>
        <v>0</v>
      </c>
      <c r="W567" s="5358" t="e">
        <f t="shared" si="272"/>
        <v>#DIV/0!</v>
      </c>
      <c r="X567" s="5358"/>
      <c r="Y567" s="5357" t="e">
        <f t="shared" si="264"/>
        <v>#DIV/0!</v>
      </c>
      <c r="Z567" s="5358"/>
      <c r="AA567" s="5357">
        <f t="shared" si="273"/>
        <v>0</v>
      </c>
      <c r="AB567" s="5358" t="e">
        <f t="shared" si="274"/>
        <v>#DIV/0!</v>
      </c>
      <c r="AC567" s="5350"/>
      <c r="AD567" s="5350"/>
      <c r="AE567" s="5350"/>
      <c r="AF567" s="5349">
        <f t="shared" si="238"/>
        <v>0</v>
      </c>
      <c r="AG567" s="5338">
        <f t="shared" si="239"/>
        <v>0</v>
      </c>
    </row>
    <row r="568" spans="1:33" s="5333" customFormat="1" ht="15.05" hidden="1" customHeight="1">
      <c r="A568" s="5426"/>
      <c r="B568" s="5426"/>
      <c r="C568" s="5426"/>
      <c r="D568" s="5374">
        <v>4</v>
      </c>
      <c r="E568" s="5374">
        <v>1</v>
      </c>
      <c r="F568" s="5374">
        <v>4</v>
      </c>
      <c r="G568" s="5373"/>
      <c r="H568" s="5373"/>
      <c r="I568" s="5633"/>
      <c r="J568" s="5372" t="s">
        <v>71</v>
      </c>
      <c r="K568" s="5371"/>
      <c r="L568" s="5370"/>
      <c r="M568" s="5357">
        <v>0</v>
      </c>
      <c r="N568" s="5357">
        <f>N569</f>
        <v>0</v>
      </c>
      <c r="O568" s="5359">
        <f t="shared" si="262"/>
        <v>0</v>
      </c>
      <c r="P568" s="5358"/>
      <c r="Q568" s="5357">
        <f t="shared" si="253"/>
        <v>0</v>
      </c>
      <c r="R568" s="5358" t="e">
        <f t="shared" si="254"/>
        <v>#DIV/0!</v>
      </c>
      <c r="S568" s="5358"/>
      <c r="T568" s="5359" t="e">
        <f t="shared" si="263"/>
        <v>#DIV/0!</v>
      </c>
      <c r="U568" s="5358"/>
      <c r="V568" s="5357">
        <f t="shared" si="271"/>
        <v>0</v>
      </c>
      <c r="W568" s="5358" t="e">
        <f t="shared" si="272"/>
        <v>#DIV/0!</v>
      </c>
      <c r="X568" s="5358"/>
      <c r="Y568" s="5359" t="e">
        <f t="shared" si="264"/>
        <v>#DIV/0!</v>
      </c>
      <c r="Z568" s="5358"/>
      <c r="AA568" s="5357">
        <f t="shared" si="273"/>
        <v>0</v>
      </c>
      <c r="AB568" s="5358" t="e">
        <f t="shared" si="274"/>
        <v>#DIV/0!</v>
      </c>
      <c r="AC568" s="5349"/>
      <c r="AD568" s="5349"/>
      <c r="AE568" s="5349"/>
      <c r="AF568" s="5349">
        <f t="shared" si="238"/>
        <v>0</v>
      </c>
      <c r="AG568" s="5338">
        <f t="shared" si="239"/>
        <v>0</v>
      </c>
    </row>
    <row r="569" spans="1:33" s="5333" customFormat="1" ht="18" hidden="1" customHeight="1">
      <c r="A569" s="5340"/>
      <c r="B569" s="5340"/>
      <c r="C569" s="5340"/>
      <c r="D569" s="5367">
        <v>4</v>
      </c>
      <c r="E569" s="5367">
        <v>1</v>
      </c>
      <c r="F569" s="5367">
        <v>4</v>
      </c>
      <c r="G569" s="5367" t="s">
        <v>948</v>
      </c>
      <c r="H569" s="5367" t="s">
        <v>437</v>
      </c>
      <c r="I569" s="5631"/>
      <c r="J569" s="5366" t="s">
        <v>85</v>
      </c>
      <c r="K569" s="5361"/>
      <c r="L569" s="5365"/>
      <c r="M569" s="5402">
        <v>0</v>
      </c>
      <c r="N569" s="5402">
        <f>N570</f>
        <v>0</v>
      </c>
      <c r="O569" s="5402">
        <f t="shared" si="262"/>
        <v>0</v>
      </c>
      <c r="P569" s="5401"/>
      <c r="Q569" s="5357">
        <f t="shared" si="253"/>
        <v>0</v>
      </c>
      <c r="R569" s="5401" t="e">
        <f t="shared" si="254"/>
        <v>#DIV/0!</v>
      </c>
      <c r="S569" s="5401"/>
      <c r="T569" s="5402" t="e">
        <f t="shared" si="263"/>
        <v>#DIV/0!</v>
      </c>
      <c r="U569" s="5401"/>
      <c r="V569" s="5357">
        <f t="shared" si="271"/>
        <v>0</v>
      </c>
      <c r="W569" s="5401" t="e">
        <f t="shared" si="272"/>
        <v>#DIV/0!</v>
      </c>
      <c r="X569" s="5401"/>
      <c r="Y569" s="5402" t="e">
        <f t="shared" si="264"/>
        <v>#DIV/0!</v>
      </c>
      <c r="Z569" s="5401"/>
      <c r="AA569" s="5357">
        <f t="shared" si="273"/>
        <v>0</v>
      </c>
      <c r="AB569" s="5401" t="e">
        <f t="shared" si="274"/>
        <v>#DIV/0!</v>
      </c>
      <c r="AC569" s="5349"/>
      <c r="AD569" s="5349"/>
      <c r="AE569" s="5349"/>
      <c r="AF569" s="5349">
        <f t="shared" si="238"/>
        <v>0</v>
      </c>
      <c r="AG569" s="5338">
        <f t="shared" si="239"/>
        <v>0</v>
      </c>
    </row>
    <row r="570" spans="1:33" s="5333" customFormat="1" ht="15.05" hidden="1" customHeight="1">
      <c r="A570" s="5340"/>
      <c r="B570" s="5340"/>
      <c r="C570" s="5340"/>
      <c r="D570" s="5368"/>
      <c r="E570" s="5380"/>
      <c r="F570" s="5380"/>
      <c r="G570" s="5379"/>
      <c r="H570" s="5379"/>
      <c r="I570" s="5495"/>
      <c r="J570" s="5366" t="s">
        <v>50</v>
      </c>
      <c r="K570" s="5361" t="s">
        <v>85</v>
      </c>
      <c r="L570" s="5365"/>
      <c r="M570" s="5359">
        <v>0</v>
      </c>
      <c r="N570" s="5359">
        <v>0</v>
      </c>
      <c r="O570" s="5359">
        <f t="shared" si="262"/>
        <v>0</v>
      </c>
      <c r="P570" s="5358"/>
      <c r="Q570" s="5357">
        <f t="shared" si="253"/>
        <v>0</v>
      </c>
      <c r="R570" s="5356" t="e">
        <f t="shared" si="254"/>
        <v>#DIV/0!</v>
      </c>
      <c r="S570" s="5358"/>
      <c r="T570" s="5359" t="e">
        <f t="shared" si="263"/>
        <v>#DIV/0!</v>
      </c>
      <c r="U570" s="5358"/>
      <c r="V570" s="5357">
        <f t="shared" si="271"/>
        <v>0</v>
      </c>
      <c r="W570" s="5356" t="e">
        <f t="shared" si="272"/>
        <v>#DIV/0!</v>
      </c>
      <c r="X570" s="5358"/>
      <c r="Y570" s="5359" t="e">
        <f t="shared" si="264"/>
        <v>#DIV/0!</v>
      </c>
      <c r="Z570" s="5358"/>
      <c r="AA570" s="5357">
        <f t="shared" si="273"/>
        <v>0</v>
      </c>
      <c r="AB570" s="5356" t="e">
        <f t="shared" si="274"/>
        <v>#DIV/0!</v>
      </c>
      <c r="AC570" s="5350"/>
      <c r="AD570" s="5350"/>
      <c r="AE570" s="5350"/>
      <c r="AF570" s="5349">
        <f t="shared" si="238"/>
        <v>0</v>
      </c>
      <c r="AG570" s="5338">
        <f t="shared" si="239"/>
        <v>0</v>
      </c>
    </row>
    <row r="571" spans="1:33" s="5333" customFormat="1" ht="5.35" hidden="1" customHeight="1">
      <c r="A571" s="5340"/>
      <c r="B571" s="5340"/>
      <c r="C571" s="5340"/>
      <c r="D571" s="5367"/>
      <c r="E571" s="5380"/>
      <c r="F571" s="5380"/>
      <c r="G571" s="5380"/>
      <c r="H571" s="5380"/>
      <c r="I571" s="5496"/>
      <c r="J571" s="5366"/>
      <c r="K571" s="5361"/>
      <c r="L571" s="5365"/>
      <c r="M571" s="5357"/>
      <c r="N571" s="5357"/>
      <c r="O571" s="5357">
        <f t="shared" si="262"/>
        <v>0</v>
      </c>
      <c r="P571" s="5358"/>
      <c r="Q571" s="5357">
        <f t="shared" si="253"/>
        <v>0</v>
      </c>
      <c r="R571" s="5358" t="e">
        <f t="shared" si="254"/>
        <v>#DIV/0!</v>
      </c>
      <c r="S571" s="5358"/>
      <c r="T571" s="5357" t="e">
        <f t="shared" si="263"/>
        <v>#DIV/0!</v>
      </c>
      <c r="U571" s="5358"/>
      <c r="V571" s="5357">
        <f t="shared" si="271"/>
        <v>0</v>
      </c>
      <c r="W571" s="5358" t="e">
        <f t="shared" si="272"/>
        <v>#DIV/0!</v>
      </c>
      <c r="X571" s="5358"/>
      <c r="Y571" s="5357" t="e">
        <f t="shared" si="264"/>
        <v>#DIV/0!</v>
      </c>
      <c r="Z571" s="5358"/>
      <c r="AA571" s="5357">
        <f t="shared" si="273"/>
        <v>0</v>
      </c>
      <c r="AB571" s="5358" t="e">
        <f t="shared" si="274"/>
        <v>#DIV/0!</v>
      </c>
      <c r="AC571" s="5349"/>
      <c r="AD571" s="5349"/>
      <c r="AE571" s="5349"/>
      <c r="AF571" s="5349">
        <f t="shared" si="238"/>
        <v>0</v>
      </c>
      <c r="AG571" s="5338">
        <f t="shared" si="239"/>
        <v>0</v>
      </c>
    </row>
    <row r="572" spans="1:33" s="5333" customFormat="1" ht="15.05" hidden="1" customHeight="1">
      <c r="A572" s="5426"/>
      <c r="B572" s="5426"/>
      <c r="C572" s="5426"/>
      <c r="D572" s="5368"/>
      <c r="E572" s="5380"/>
      <c r="F572" s="5380"/>
      <c r="G572" s="5367"/>
      <c r="H572" s="5380"/>
      <c r="I572" s="5496"/>
      <c r="J572" s="5372" t="s">
        <v>1370</v>
      </c>
      <c r="K572" s="5371" t="s">
        <v>1369</v>
      </c>
      <c r="L572" s="5370"/>
      <c r="M572" s="5357">
        <v>0</v>
      </c>
      <c r="N572" s="5357">
        <f>N574</f>
        <v>0</v>
      </c>
      <c r="O572" s="5357">
        <f t="shared" si="262"/>
        <v>0</v>
      </c>
      <c r="P572" s="5358"/>
      <c r="Q572" s="5357">
        <f t="shared" si="253"/>
        <v>0</v>
      </c>
      <c r="R572" s="5358" t="e">
        <f t="shared" si="254"/>
        <v>#DIV/0!</v>
      </c>
      <c r="S572" s="5358"/>
      <c r="T572" s="5357" t="e">
        <f t="shared" si="263"/>
        <v>#DIV/0!</v>
      </c>
      <c r="U572" s="5358"/>
      <c r="V572" s="5357">
        <f t="shared" si="271"/>
        <v>0</v>
      </c>
      <c r="W572" s="5358">
        <v>0</v>
      </c>
      <c r="X572" s="5358"/>
      <c r="Y572" s="5357">
        <f t="shared" si="264"/>
        <v>0</v>
      </c>
      <c r="Z572" s="5358"/>
      <c r="AA572" s="5357">
        <f t="shared" si="273"/>
        <v>0</v>
      </c>
      <c r="AB572" s="5358">
        <v>0</v>
      </c>
      <c r="AC572" s="5349"/>
      <c r="AD572" s="5349"/>
      <c r="AE572" s="5349"/>
      <c r="AF572" s="5349">
        <f t="shared" si="238"/>
        <v>0</v>
      </c>
      <c r="AG572" s="5338">
        <f t="shared" si="239"/>
        <v>0</v>
      </c>
    </row>
    <row r="573" spans="1:33" s="5333" customFormat="1" ht="3" hidden="1" customHeight="1">
      <c r="A573" s="5340"/>
      <c r="B573" s="5340"/>
      <c r="C573" s="5340"/>
      <c r="D573" s="5368"/>
      <c r="E573" s="5380"/>
      <c r="F573" s="5380"/>
      <c r="G573" s="5380"/>
      <c r="H573" s="5380"/>
      <c r="I573" s="5496"/>
      <c r="J573" s="5366"/>
      <c r="K573" s="5361"/>
      <c r="L573" s="5365"/>
      <c r="M573" s="5357"/>
      <c r="N573" s="5357"/>
      <c r="O573" s="5357">
        <f t="shared" si="262"/>
        <v>0</v>
      </c>
      <c r="P573" s="5358"/>
      <c r="Q573" s="5357">
        <f t="shared" si="253"/>
        <v>0</v>
      </c>
      <c r="R573" s="5358" t="e">
        <f t="shared" si="254"/>
        <v>#DIV/0!</v>
      </c>
      <c r="S573" s="5358"/>
      <c r="T573" s="5357" t="e">
        <f t="shared" si="263"/>
        <v>#DIV/0!</v>
      </c>
      <c r="U573" s="5358"/>
      <c r="V573" s="5357">
        <f t="shared" si="271"/>
        <v>0</v>
      </c>
      <c r="W573" s="5358" t="e">
        <f t="shared" ref="W573:W595" si="275">S573/P573*100-100</f>
        <v>#DIV/0!</v>
      </c>
      <c r="X573" s="5358"/>
      <c r="Y573" s="5357" t="e">
        <f t="shared" si="264"/>
        <v>#DIV/0!</v>
      </c>
      <c r="Z573" s="5358"/>
      <c r="AA573" s="5357"/>
      <c r="AB573" s="5358"/>
      <c r="AC573" s="5349"/>
      <c r="AD573" s="5349"/>
      <c r="AE573" s="5349"/>
      <c r="AF573" s="5349">
        <f t="shared" ref="AF573:AF613" si="276">S573-P573</f>
        <v>0</v>
      </c>
      <c r="AG573" s="5338">
        <f t="shared" ref="AG573:AG613" si="277">AF573-V573</f>
        <v>0</v>
      </c>
    </row>
    <row r="574" spans="1:33" s="5333" customFormat="1" ht="15.05" hidden="1" customHeight="1">
      <c r="A574" s="5426"/>
      <c r="B574" s="5426"/>
      <c r="C574" s="5426"/>
      <c r="D574" s="5374">
        <v>4</v>
      </c>
      <c r="E574" s="5374">
        <v>1</v>
      </c>
      <c r="F574" s="5374"/>
      <c r="G574" s="5374"/>
      <c r="H574" s="5374"/>
      <c r="I574" s="5537"/>
      <c r="J574" s="5372" t="s">
        <v>180</v>
      </c>
      <c r="K574" s="5371"/>
      <c r="L574" s="5370"/>
      <c r="M574" s="5357">
        <v>0</v>
      </c>
      <c r="N574" s="5357">
        <f>N583</f>
        <v>0</v>
      </c>
      <c r="O574" s="5357">
        <f t="shared" si="262"/>
        <v>0</v>
      </c>
      <c r="P574" s="5358"/>
      <c r="Q574" s="5357">
        <f t="shared" si="253"/>
        <v>0</v>
      </c>
      <c r="R574" s="5358" t="e">
        <f t="shared" si="254"/>
        <v>#DIV/0!</v>
      </c>
      <c r="S574" s="5358"/>
      <c r="T574" s="5357" t="e">
        <f t="shared" si="263"/>
        <v>#DIV/0!</v>
      </c>
      <c r="U574" s="5358"/>
      <c r="V574" s="5357">
        <f t="shared" si="271"/>
        <v>0</v>
      </c>
      <c r="W574" s="5358" t="e">
        <f t="shared" si="275"/>
        <v>#DIV/0!</v>
      </c>
      <c r="X574" s="5358"/>
      <c r="Y574" s="5357" t="e">
        <f t="shared" si="264"/>
        <v>#DIV/0!</v>
      </c>
      <c r="Z574" s="5358"/>
      <c r="AA574" s="5357">
        <f t="shared" ref="AA574:AA604" si="278">X574-S574</f>
        <v>0</v>
      </c>
      <c r="AB574" s="5358" t="e">
        <f t="shared" ref="AB574:AB595" si="279">X574/S574*100-100</f>
        <v>#DIV/0!</v>
      </c>
      <c r="AC574" s="5350"/>
      <c r="AD574" s="5350"/>
      <c r="AE574" s="5350"/>
      <c r="AF574" s="5349">
        <f t="shared" si="276"/>
        <v>0</v>
      </c>
      <c r="AG574" s="5338">
        <f t="shared" si="277"/>
        <v>0</v>
      </c>
    </row>
    <row r="575" spans="1:33" s="5333" customFormat="1" ht="9.6999999999999993" hidden="1" customHeight="1">
      <c r="A575" s="5340"/>
      <c r="B575" s="5340"/>
      <c r="C575" s="5340"/>
      <c r="D575" s="5367"/>
      <c r="E575" s="5380"/>
      <c r="F575" s="5380"/>
      <c r="G575" s="5380"/>
      <c r="H575" s="5380"/>
      <c r="I575" s="5496"/>
      <c r="J575" s="5366"/>
      <c r="K575" s="5361"/>
      <c r="L575" s="5365"/>
      <c r="M575" s="5357"/>
      <c r="N575" s="5357"/>
      <c r="O575" s="5357">
        <f t="shared" si="262"/>
        <v>0</v>
      </c>
      <c r="P575" s="5358"/>
      <c r="Q575" s="5357">
        <f t="shared" si="253"/>
        <v>0</v>
      </c>
      <c r="R575" s="5358" t="e">
        <f t="shared" si="254"/>
        <v>#DIV/0!</v>
      </c>
      <c r="S575" s="5358"/>
      <c r="T575" s="5357" t="e">
        <f t="shared" si="263"/>
        <v>#DIV/0!</v>
      </c>
      <c r="U575" s="5358"/>
      <c r="V575" s="5357">
        <f t="shared" si="271"/>
        <v>0</v>
      </c>
      <c r="W575" s="5358" t="e">
        <f t="shared" si="275"/>
        <v>#DIV/0!</v>
      </c>
      <c r="X575" s="5358"/>
      <c r="Y575" s="5357" t="e">
        <f t="shared" si="264"/>
        <v>#DIV/0!</v>
      </c>
      <c r="Z575" s="5358"/>
      <c r="AA575" s="5357">
        <f t="shared" si="278"/>
        <v>0</v>
      </c>
      <c r="AB575" s="5358" t="e">
        <f t="shared" si="279"/>
        <v>#DIV/0!</v>
      </c>
      <c r="AC575" s="5349"/>
      <c r="AD575" s="5349"/>
      <c r="AE575" s="5349"/>
      <c r="AF575" s="5349">
        <f t="shared" si="276"/>
        <v>0</v>
      </c>
      <c r="AG575" s="5338">
        <f t="shared" si="277"/>
        <v>0</v>
      </c>
    </row>
    <row r="576" spans="1:33" s="5333" customFormat="1" ht="15.05" hidden="1" customHeight="1">
      <c r="A576" s="5426"/>
      <c r="B576" s="5426"/>
      <c r="C576" s="5426"/>
      <c r="D576" s="5374">
        <v>4</v>
      </c>
      <c r="E576" s="5374">
        <v>1</v>
      </c>
      <c r="F576" s="5374">
        <v>2</v>
      </c>
      <c r="G576" s="5374"/>
      <c r="H576" s="5374"/>
      <c r="I576" s="5537"/>
      <c r="J576" s="5372" t="s">
        <v>106</v>
      </c>
      <c r="K576" s="5361"/>
      <c r="L576" s="5365"/>
      <c r="M576" s="5357">
        <v>0</v>
      </c>
      <c r="N576" s="5357">
        <v>0</v>
      </c>
      <c r="O576" s="5359">
        <f t="shared" si="262"/>
        <v>0</v>
      </c>
      <c r="P576" s="5358"/>
      <c r="Q576" s="5357">
        <f t="shared" si="253"/>
        <v>0</v>
      </c>
      <c r="R576" s="5358" t="e">
        <f t="shared" si="254"/>
        <v>#DIV/0!</v>
      </c>
      <c r="S576" s="5358"/>
      <c r="T576" s="5359" t="e">
        <f t="shared" si="263"/>
        <v>#DIV/0!</v>
      </c>
      <c r="U576" s="5358"/>
      <c r="V576" s="5357">
        <f t="shared" si="271"/>
        <v>0</v>
      </c>
      <c r="W576" s="5358" t="e">
        <f t="shared" si="275"/>
        <v>#DIV/0!</v>
      </c>
      <c r="X576" s="5358"/>
      <c r="Y576" s="5359" t="e">
        <f t="shared" si="264"/>
        <v>#DIV/0!</v>
      </c>
      <c r="Z576" s="5358"/>
      <c r="AA576" s="5357">
        <f t="shared" si="278"/>
        <v>0</v>
      </c>
      <c r="AB576" s="5358" t="e">
        <f t="shared" si="279"/>
        <v>#DIV/0!</v>
      </c>
      <c r="AC576" s="5349"/>
      <c r="AD576" s="5349"/>
      <c r="AE576" s="5349"/>
      <c r="AF576" s="5349">
        <f t="shared" si="276"/>
        <v>0</v>
      </c>
      <c r="AG576" s="5338">
        <f t="shared" si="277"/>
        <v>0</v>
      </c>
    </row>
    <row r="577" spans="1:33" s="5333" customFormat="1" ht="15.05" hidden="1" customHeight="1">
      <c r="A577" s="5426"/>
      <c r="B577" s="5426"/>
      <c r="C577" s="5426"/>
      <c r="D577" s="5367">
        <v>4</v>
      </c>
      <c r="E577" s="5367">
        <v>1</v>
      </c>
      <c r="F577" s="5367">
        <v>2</v>
      </c>
      <c r="G577" s="5368" t="s">
        <v>437</v>
      </c>
      <c r="H577" s="5367"/>
      <c r="I577" s="5631"/>
      <c r="J577" s="5366" t="s">
        <v>107</v>
      </c>
      <c r="K577" s="5361"/>
      <c r="L577" s="5365"/>
      <c r="M577" s="5357">
        <v>0</v>
      </c>
      <c r="N577" s="5357">
        <v>0</v>
      </c>
      <c r="O577" s="5359">
        <f t="shared" si="262"/>
        <v>0</v>
      </c>
      <c r="P577" s="5358"/>
      <c r="Q577" s="5357">
        <f t="shared" si="253"/>
        <v>0</v>
      </c>
      <c r="R577" s="5358" t="e">
        <f t="shared" si="254"/>
        <v>#DIV/0!</v>
      </c>
      <c r="S577" s="5358"/>
      <c r="T577" s="5359" t="e">
        <f t="shared" si="263"/>
        <v>#DIV/0!</v>
      </c>
      <c r="U577" s="5358"/>
      <c r="V577" s="5357">
        <f t="shared" si="271"/>
        <v>0</v>
      </c>
      <c r="W577" s="5358" t="e">
        <f t="shared" si="275"/>
        <v>#DIV/0!</v>
      </c>
      <c r="X577" s="5358"/>
      <c r="Y577" s="5359" t="e">
        <f t="shared" si="264"/>
        <v>#DIV/0!</v>
      </c>
      <c r="Z577" s="5358"/>
      <c r="AA577" s="5357">
        <f t="shared" si="278"/>
        <v>0</v>
      </c>
      <c r="AB577" s="5358" t="e">
        <f t="shared" si="279"/>
        <v>#DIV/0!</v>
      </c>
      <c r="AC577" s="5349"/>
      <c r="AD577" s="5349"/>
      <c r="AE577" s="5349"/>
      <c r="AF577" s="5349">
        <f t="shared" si="276"/>
        <v>0</v>
      </c>
      <c r="AG577" s="5338">
        <f t="shared" si="277"/>
        <v>0</v>
      </c>
    </row>
    <row r="578" spans="1:33" s="5333" customFormat="1" ht="15.05" hidden="1" customHeight="1">
      <c r="A578" s="5426"/>
      <c r="B578" s="5426"/>
      <c r="C578" s="5426"/>
      <c r="D578" s="5367">
        <v>4</v>
      </c>
      <c r="E578" s="5367">
        <v>1</v>
      </c>
      <c r="F578" s="5367">
        <v>2</v>
      </c>
      <c r="G578" s="5368" t="s">
        <v>437</v>
      </c>
      <c r="H578" s="5367" t="s">
        <v>441</v>
      </c>
      <c r="I578" s="5631"/>
      <c r="J578" s="5366" t="s">
        <v>951</v>
      </c>
      <c r="K578" s="5361"/>
      <c r="L578" s="5365"/>
      <c r="M578" s="5359">
        <v>0</v>
      </c>
      <c r="N578" s="5359">
        <v>0</v>
      </c>
      <c r="O578" s="5359">
        <f t="shared" si="262"/>
        <v>0</v>
      </c>
      <c r="P578" s="5358"/>
      <c r="Q578" s="5357">
        <f t="shared" si="253"/>
        <v>0</v>
      </c>
      <c r="R578" s="5356" t="e">
        <f t="shared" si="254"/>
        <v>#DIV/0!</v>
      </c>
      <c r="S578" s="5358"/>
      <c r="T578" s="5359" t="e">
        <f t="shared" si="263"/>
        <v>#DIV/0!</v>
      </c>
      <c r="U578" s="5358"/>
      <c r="V578" s="5357">
        <f t="shared" si="271"/>
        <v>0</v>
      </c>
      <c r="W578" s="5356" t="e">
        <f t="shared" si="275"/>
        <v>#DIV/0!</v>
      </c>
      <c r="X578" s="5358"/>
      <c r="Y578" s="5359" t="e">
        <f t="shared" si="264"/>
        <v>#DIV/0!</v>
      </c>
      <c r="Z578" s="5358"/>
      <c r="AA578" s="5357">
        <f t="shared" si="278"/>
        <v>0</v>
      </c>
      <c r="AB578" s="5356" t="e">
        <f t="shared" si="279"/>
        <v>#DIV/0!</v>
      </c>
      <c r="AC578" s="5350"/>
      <c r="AD578" s="5350"/>
      <c r="AE578" s="5350"/>
      <c r="AF578" s="5349">
        <f t="shared" si="276"/>
        <v>0</v>
      </c>
      <c r="AG578" s="5338">
        <f t="shared" si="277"/>
        <v>0</v>
      </c>
    </row>
    <row r="579" spans="1:33" s="5333" customFormat="1" ht="15.05" hidden="1" customHeight="1">
      <c r="A579" s="5340"/>
      <c r="B579" s="5340"/>
      <c r="C579" s="5340"/>
      <c r="D579" s="5367"/>
      <c r="E579" s="5380"/>
      <c r="F579" s="5380"/>
      <c r="G579" s="5379"/>
      <c r="H579" s="5379"/>
      <c r="I579" s="5495"/>
      <c r="J579" s="5366"/>
      <c r="K579" s="5361"/>
      <c r="L579" s="5365"/>
      <c r="M579" s="5357"/>
      <c r="N579" s="5357"/>
      <c r="O579" s="5357">
        <f t="shared" si="262"/>
        <v>0</v>
      </c>
      <c r="P579" s="5358"/>
      <c r="Q579" s="5357">
        <f t="shared" si="253"/>
        <v>0</v>
      </c>
      <c r="R579" s="5358" t="e">
        <f t="shared" si="254"/>
        <v>#DIV/0!</v>
      </c>
      <c r="S579" s="5358"/>
      <c r="T579" s="5357" t="e">
        <f t="shared" si="263"/>
        <v>#DIV/0!</v>
      </c>
      <c r="U579" s="5358"/>
      <c r="V579" s="5357">
        <f t="shared" si="271"/>
        <v>0</v>
      </c>
      <c r="W579" s="5358" t="e">
        <f t="shared" si="275"/>
        <v>#DIV/0!</v>
      </c>
      <c r="X579" s="5358"/>
      <c r="Y579" s="5357" t="e">
        <f t="shared" si="264"/>
        <v>#DIV/0!</v>
      </c>
      <c r="Z579" s="5358"/>
      <c r="AA579" s="5357">
        <f t="shared" si="278"/>
        <v>0</v>
      </c>
      <c r="AB579" s="5358" t="e">
        <f t="shared" si="279"/>
        <v>#DIV/0!</v>
      </c>
      <c r="AC579" s="5350"/>
      <c r="AD579" s="5350"/>
      <c r="AE579" s="5350"/>
      <c r="AF579" s="5349">
        <f t="shared" si="276"/>
        <v>0</v>
      </c>
      <c r="AG579" s="5338">
        <f t="shared" si="277"/>
        <v>0</v>
      </c>
    </row>
    <row r="580" spans="1:33" s="5333" customFormat="1" ht="15.05" hidden="1" customHeight="1">
      <c r="A580" s="5426"/>
      <c r="B580" s="5426"/>
      <c r="C580" s="5426"/>
      <c r="D580" s="5367">
        <v>4</v>
      </c>
      <c r="E580" s="5367">
        <v>1</v>
      </c>
      <c r="F580" s="5367">
        <v>2</v>
      </c>
      <c r="G580" s="5368" t="s">
        <v>438</v>
      </c>
      <c r="H580" s="5367"/>
      <c r="I580" s="5631"/>
      <c r="J580" s="5366" t="s">
        <v>374</v>
      </c>
      <c r="K580" s="5361"/>
      <c r="L580" s="5365"/>
      <c r="M580" s="5357">
        <v>0</v>
      </c>
      <c r="N580" s="5357">
        <v>0</v>
      </c>
      <c r="O580" s="5359">
        <f t="shared" si="262"/>
        <v>0</v>
      </c>
      <c r="P580" s="5358"/>
      <c r="Q580" s="5357">
        <f t="shared" si="253"/>
        <v>0</v>
      </c>
      <c r="R580" s="5358" t="e">
        <f t="shared" si="254"/>
        <v>#DIV/0!</v>
      </c>
      <c r="S580" s="5358"/>
      <c r="T580" s="5359" t="e">
        <f t="shared" si="263"/>
        <v>#DIV/0!</v>
      </c>
      <c r="U580" s="5358"/>
      <c r="V580" s="5357">
        <f t="shared" si="271"/>
        <v>0</v>
      </c>
      <c r="W580" s="5358" t="e">
        <f t="shared" si="275"/>
        <v>#DIV/0!</v>
      </c>
      <c r="X580" s="5358"/>
      <c r="Y580" s="5359" t="e">
        <f t="shared" si="264"/>
        <v>#DIV/0!</v>
      </c>
      <c r="Z580" s="5358"/>
      <c r="AA580" s="5357">
        <f t="shared" si="278"/>
        <v>0</v>
      </c>
      <c r="AB580" s="5358" t="e">
        <f t="shared" si="279"/>
        <v>#DIV/0!</v>
      </c>
      <c r="AC580" s="5349"/>
      <c r="AD580" s="5349"/>
      <c r="AE580" s="5349"/>
      <c r="AF580" s="5349">
        <f t="shared" si="276"/>
        <v>0</v>
      </c>
      <c r="AG580" s="5338">
        <f t="shared" si="277"/>
        <v>0</v>
      </c>
    </row>
    <row r="581" spans="1:33" s="5333" customFormat="1" ht="15.05" hidden="1" customHeight="1">
      <c r="A581" s="5426"/>
      <c r="B581" s="5426"/>
      <c r="C581" s="5426"/>
      <c r="D581" s="5367">
        <v>4</v>
      </c>
      <c r="E581" s="5367">
        <v>1</v>
      </c>
      <c r="F581" s="5367">
        <v>2</v>
      </c>
      <c r="G581" s="5368" t="s">
        <v>438</v>
      </c>
      <c r="H581" s="5368" t="s">
        <v>437</v>
      </c>
      <c r="I581" s="5632"/>
      <c r="J581" s="5366" t="s">
        <v>64</v>
      </c>
      <c r="K581" s="5361"/>
      <c r="L581" s="5365"/>
      <c r="M581" s="5359">
        <v>0</v>
      </c>
      <c r="N581" s="5359">
        <v>0</v>
      </c>
      <c r="O581" s="5359">
        <f t="shared" si="262"/>
        <v>0</v>
      </c>
      <c r="P581" s="5358"/>
      <c r="Q581" s="5357">
        <f t="shared" si="253"/>
        <v>0</v>
      </c>
      <c r="R581" s="5356" t="e">
        <f t="shared" si="254"/>
        <v>#DIV/0!</v>
      </c>
      <c r="S581" s="5358"/>
      <c r="T581" s="5359" t="e">
        <f t="shared" si="263"/>
        <v>#DIV/0!</v>
      </c>
      <c r="U581" s="5358"/>
      <c r="V581" s="5357">
        <f t="shared" si="271"/>
        <v>0</v>
      </c>
      <c r="W581" s="5356" t="e">
        <f t="shared" si="275"/>
        <v>#DIV/0!</v>
      </c>
      <c r="X581" s="5358"/>
      <c r="Y581" s="5359" t="e">
        <f t="shared" si="264"/>
        <v>#DIV/0!</v>
      </c>
      <c r="Z581" s="5358"/>
      <c r="AA581" s="5357">
        <f t="shared" si="278"/>
        <v>0</v>
      </c>
      <c r="AB581" s="5356" t="e">
        <f t="shared" si="279"/>
        <v>#DIV/0!</v>
      </c>
      <c r="AC581" s="5349"/>
      <c r="AD581" s="5349"/>
      <c r="AE581" s="5349"/>
      <c r="AF581" s="5349">
        <f t="shared" si="276"/>
        <v>0</v>
      </c>
      <c r="AG581" s="5338">
        <f t="shared" si="277"/>
        <v>0</v>
      </c>
    </row>
    <row r="582" spans="1:33" s="5333" customFormat="1" ht="15.05" hidden="1" customHeight="1">
      <c r="A582" s="5340"/>
      <c r="B582" s="5340"/>
      <c r="C582" s="5340"/>
      <c r="D582" s="5367"/>
      <c r="E582" s="5380"/>
      <c r="F582" s="5380"/>
      <c r="G582" s="5379"/>
      <c r="H582" s="5379"/>
      <c r="I582" s="5495"/>
      <c r="J582" s="5366"/>
      <c r="K582" s="5361"/>
      <c r="L582" s="5365"/>
      <c r="M582" s="5357"/>
      <c r="N582" s="5357"/>
      <c r="O582" s="5357">
        <f t="shared" si="262"/>
        <v>0</v>
      </c>
      <c r="P582" s="5358"/>
      <c r="Q582" s="5357">
        <f t="shared" si="253"/>
        <v>0</v>
      </c>
      <c r="R582" s="5358" t="e">
        <f t="shared" si="254"/>
        <v>#DIV/0!</v>
      </c>
      <c r="S582" s="5358"/>
      <c r="T582" s="5357" t="e">
        <f t="shared" si="263"/>
        <v>#DIV/0!</v>
      </c>
      <c r="U582" s="5358"/>
      <c r="V582" s="5357">
        <f t="shared" si="271"/>
        <v>0</v>
      </c>
      <c r="W582" s="5358" t="e">
        <f t="shared" si="275"/>
        <v>#DIV/0!</v>
      </c>
      <c r="X582" s="5358"/>
      <c r="Y582" s="5357" t="e">
        <f t="shared" si="264"/>
        <v>#DIV/0!</v>
      </c>
      <c r="Z582" s="5358"/>
      <c r="AA582" s="5357">
        <f t="shared" si="278"/>
        <v>0</v>
      </c>
      <c r="AB582" s="5358" t="e">
        <f t="shared" si="279"/>
        <v>#DIV/0!</v>
      </c>
      <c r="AC582" s="5349"/>
      <c r="AD582" s="5349"/>
      <c r="AE582" s="5349"/>
      <c r="AF582" s="5349">
        <f t="shared" si="276"/>
        <v>0</v>
      </c>
      <c r="AG582" s="5338">
        <f t="shared" si="277"/>
        <v>0</v>
      </c>
    </row>
    <row r="583" spans="1:33" s="5333" customFormat="1" ht="15.05" hidden="1" customHeight="1">
      <c r="A583" s="5426"/>
      <c r="B583" s="5426"/>
      <c r="C583" s="5426"/>
      <c r="D583" s="5374">
        <v>4</v>
      </c>
      <c r="E583" s="5374">
        <v>1</v>
      </c>
      <c r="F583" s="5374">
        <v>4</v>
      </c>
      <c r="G583" s="5373"/>
      <c r="H583" s="5373"/>
      <c r="I583" s="5633"/>
      <c r="J583" s="5372" t="s">
        <v>71</v>
      </c>
      <c r="K583" s="5371"/>
      <c r="L583" s="5370"/>
      <c r="M583" s="5357">
        <v>0</v>
      </c>
      <c r="N583" s="5357">
        <f>N587</f>
        <v>0</v>
      </c>
      <c r="O583" s="5359">
        <f t="shared" si="262"/>
        <v>0</v>
      </c>
      <c r="P583" s="5358"/>
      <c r="Q583" s="5357">
        <f t="shared" si="253"/>
        <v>0</v>
      </c>
      <c r="R583" s="5358" t="e">
        <f t="shared" si="254"/>
        <v>#DIV/0!</v>
      </c>
      <c r="S583" s="5358"/>
      <c r="T583" s="5359" t="e">
        <f t="shared" si="263"/>
        <v>#DIV/0!</v>
      </c>
      <c r="U583" s="5358"/>
      <c r="V583" s="5357">
        <f t="shared" si="271"/>
        <v>0</v>
      </c>
      <c r="W583" s="5358" t="e">
        <f t="shared" si="275"/>
        <v>#DIV/0!</v>
      </c>
      <c r="X583" s="5358"/>
      <c r="Y583" s="5359" t="e">
        <f t="shared" si="264"/>
        <v>#DIV/0!</v>
      </c>
      <c r="Z583" s="5358"/>
      <c r="AA583" s="5357">
        <f t="shared" si="278"/>
        <v>0</v>
      </c>
      <c r="AB583" s="5358" t="e">
        <f t="shared" si="279"/>
        <v>#DIV/0!</v>
      </c>
      <c r="AC583" s="5349"/>
      <c r="AD583" s="5349"/>
      <c r="AE583" s="5349"/>
      <c r="AF583" s="5349">
        <f t="shared" si="276"/>
        <v>0</v>
      </c>
      <c r="AG583" s="5338">
        <f t="shared" si="277"/>
        <v>0</v>
      </c>
    </row>
    <row r="584" spans="1:33" s="5333" customFormat="1" ht="15.05" hidden="1" customHeight="1">
      <c r="A584" s="5426"/>
      <c r="B584" s="5426"/>
      <c r="C584" s="5426"/>
      <c r="D584" s="5367">
        <v>4</v>
      </c>
      <c r="E584" s="5367">
        <v>1</v>
      </c>
      <c r="F584" s="5367">
        <v>4</v>
      </c>
      <c r="G584" s="5368" t="s">
        <v>451</v>
      </c>
      <c r="H584" s="5367"/>
      <c r="I584" s="5631"/>
      <c r="J584" s="5366" t="s">
        <v>1289</v>
      </c>
      <c r="K584" s="5361"/>
      <c r="L584" s="5365"/>
      <c r="M584" s="5357">
        <v>0</v>
      </c>
      <c r="N584" s="5357">
        <v>0</v>
      </c>
      <c r="O584" s="5359">
        <f t="shared" si="262"/>
        <v>0</v>
      </c>
      <c r="P584" s="5358"/>
      <c r="Q584" s="5357">
        <f t="shared" si="253"/>
        <v>0</v>
      </c>
      <c r="R584" s="5358" t="e">
        <f t="shared" si="254"/>
        <v>#DIV/0!</v>
      </c>
      <c r="S584" s="5358"/>
      <c r="T584" s="5359" t="e">
        <f t="shared" si="263"/>
        <v>#DIV/0!</v>
      </c>
      <c r="U584" s="5358"/>
      <c r="V584" s="5357">
        <f t="shared" si="271"/>
        <v>0</v>
      </c>
      <c r="W584" s="5358" t="e">
        <f t="shared" si="275"/>
        <v>#DIV/0!</v>
      </c>
      <c r="X584" s="5358"/>
      <c r="Y584" s="5359" t="e">
        <f t="shared" si="264"/>
        <v>#DIV/0!</v>
      </c>
      <c r="Z584" s="5358"/>
      <c r="AA584" s="5357">
        <f t="shared" si="278"/>
        <v>0</v>
      </c>
      <c r="AB584" s="5358" t="e">
        <f t="shared" si="279"/>
        <v>#DIV/0!</v>
      </c>
      <c r="AC584" s="5349"/>
      <c r="AD584" s="5349"/>
      <c r="AE584" s="5349"/>
      <c r="AF584" s="5349">
        <f t="shared" si="276"/>
        <v>0</v>
      </c>
      <c r="AG584" s="5338">
        <f t="shared" si="277"/>
        <v>0</v>
      </c>
    </row>
    <row r="585" spans="1:33" s="5333" customFormat="1" ht="15.05" hidden="1" customHeight="1">
      <c r="A585" s="5426"/>
      <c r="B585" s="5426"/>
      <c r="C585" s="5426"/>
      <c r="D585" s="5367">
        <v>4</v>
      </c>
      <c r="E585" s="5367">
        <v>1</v>
      </c>
      <c r="F585" s="5367">
        <v>4</v>
      </c>
      <c r="G585" s="5368" t="s">
        <v>451</v>
      </c>
      <c r="H585" s="5368" t="s">
        <v>437</v>
      </c>
      <c r="I585" s="5632"/>
      <c r="J585" s="5366" t="s">
        <v>1288</v>
      </c>
      <c r="K585" s="5361"/>
      <c r="L585" s="5365"/>
      <c r="M585" s="5359">
        <v>0</v>
      </c>
      <c r="N585" s="5359">
        <v>0</v>
      </c>
      <c r="O585" s="5359">
        <f t="shared" si="262"/>
        <v>0</v>
      </c>
      <c r="P585" s="5358"/>
      <c r="Q585" s="5357">
        <f t="shared" si="253"/>
        <v>0</v>
      </c>
      <c r="R585" s="5356" t="e">
        <f t="shared" si="254"/>
        <v>#DIV/0!</v>
      </c>
      <c r="S585" s="5358"/>
      <c r="T585" s="5359" t="e">
        <f t="shared" si="263"/>
        <v>#DIV/0!</v>
      </c>
      <c r="U585" s="5358"/>
      <c r="V585" s="5357">
        <f t="shared" si="271"/>
        <v>0</v>
      </c>
      <c r="W585" s="5356" t="e">
        <f t="shared" si="275"/>
        <v>#DIV/0!</v>
      </c>
      <c r="X585" s="5358"/>
      <c r="Y585" s="5359" t="e">
        <f t="shared" si="264"/>
        <v>#DIV/0!</v>
      </c>
      <c r="Z585" s="5358"/>
      <c r="AA585" s="5357">
        <f t="shared" si="278"/>
        <v>0</v>
      </c>
      <c r="AB585" s="5356" t="e">
        <f t="shared" si="279"/>
        <v>#DIV/0!</v>
      </c>
      <c r="AC585" s="5349"/>
      <c r="AD585" s="5349"/>
      <c r="AE585" s="5349"/>
      <c r="AF585" s="5349">
        <f t="shared" si="276"/>
        <v>0</v>
      </c>
      <c r="AG585" s="5338">
        <f t="shared" si="277"/>
        <v>0</v>
      </c>
    </row>
    <row r="586" spans="1:33" s="5333" customFormat="1" ht="15.05" hidden="1" customHeight="1">
      <c r="A586" s="5340"/>
      <c r="B586" s="5340"/>
      <c r="C586" s="5340"/>
      <c r="D586" s="5367"/>
      <c r="E586" s="5380"/>
      <c r="F586" s="5380"/>
      <c r="G586" s="5379"/>
      <c r="H586" s="5379"/>
      <c r="I586" s="5495"/>
      <c r="J586" s="5366"/>
      <c r="K586" s="5361"/>
      <c r="L586" s="5365"/>
      <c r="M586" s="5357"/>
      <c r="N586" s="5357"/>
      <c r="O586" s="5357">
        <f t="shared" si="262"/>
        <v>0</v>
      </c>
      <c r="P586" s="5358"/>
      <c r="Q586" s="5357">
        <f t="shared" si="253"/>
        <v>0</v>
      </c>
      <c r="R586" s="5358" t="e">
        <f t="shared" si="254"/>
        <v>#DIV/0!</v>
      </c>
      <c r="S586" s="5358"/>
      <c r="T586" s="5357" t="e">
        <f t="shared" si="263"/>
        <v>#DIV/0!</v>
      </c>
      <c r="U586" s="5358"/>
      <c r="V586" s="5357">
        <f t="shared" si="271"/>
        <v>0</v>
      </c>
      <c r="W586" s="5358" t="e">
        <f t="shared" si="275"/>
        <v>#DIV/0!</v>
      </c>
      <c r="X586" s="5358"/>
      <c r="Y586" s="5357" t="e">
        <f t="shared" si="264"/>
        <v>#DIV/0!</v>
      </c>
      <c r="Z586" s="5358"/>
      <c r="AA586" s="5357">
        <f t="shared" si="278"/>
        <v>0</v>
      </c>
      <c r="AB586" s="5358" t="e">
        <f t="shared" si="279"/>
        <v>#DIV/0!</v>
      </c>
      <c r="AC586" s="5349"/>
      <c r="AD586" s="5349"/>
      <c r="AE586" s="5349"/>
      <c r="AF586" s="5349">
        <f t="shared" si="276"/>
        <v>0</v>
      </c>
      <c r="AG586" s="5338">
        <f t="shared" si="277"/>
        <v>0</v>
      </c>
    </row>
    <row r="587" spans="1:33" s="5333" customFormat="1" ht="15.05" hidden="1" customHeight="1">
      <c r="A587" s="5426"/>
      <c r="B587" s="5426"/>
      <c r="C587" s="5426"/>
      <c r="D587" s="5367">
        <v>4</v>
      </c>
      <c r="E587" s="5367">
        <v>1</v>
      </c>
      <c r="F587" s="5367">
        <v>4</v>
      </c>
      <c r="G587" s="5367" t="s">
        <v>948</v>
      </c>
      <c r="H587" s="5368"/>
      <c r="I587" s="5632"/>
      <c r="J587" s="5366" t="s">
        <v>321</v>
      </c>
      <c r="K587" s="5361"/>
      <c r="L587" s="5365"/>
      <c r="M587" s="5357">
        <v>0</v>
      </c>
      <c r="N587" s="5357">
        <f>N588</f>
        <v>0</v>
      </c>
      <c r="O587" s="5357">
        <f t="shared" si="262"/>
        <v>0</v>
      </c>
      <c r="P587" s="5358"/>
      <c r="Q587" s="5357">
        <f t="shared" si="253"/>
        <v>0</v>
      </c>
      <c r="R587" s="5358" t="e">
        <f t="shared" si="254"/>
        <v>#DIV/0!</v>
      </c>
      <c r="S587" s="5358"/>
      <c r="T587" s="5357" t="e">
        <f t="shared" si="263"/>
        <v>#DIV/0!</v>
      </c>
      <c r="U587" s="5358"/>
      <c r="V587" s="5357">
        <f t="shared" si="271"/>
        <v>0</v>
      </c>
      <c r="W587" s="5358" t="e">
        <f t="shared" si="275"/>
        <v>#DIV/0!</v>
      </c>
      <c r="X587" s="5358"/>
      <c r="Y587" s="5357" t="e">
        <f t="shared" si="264"/>
        <v>#DIV/0!</v>
      </c>
      <c r="Z587" s="5358"/>
      <c r="AA587" s="5357">
        <f t="shared" si="278"/>
        <v>0</v>
      </c>
      <c r="AB587" s="5358" t="e">
        <f t="shared" si="279"/>
        <v>#DIV/0!</v>
      </c>
      <c r="AC587" s="5349"/>
      <c r="AD587" s="5349"/>
      <c r="AE587" s="5349"/>
      <c r="AF587" s="5349">
        <f t="shared" si="276"/>
        <v>0</v>
      </c>
      <c r="AG587" s="5338">
        <f t="shared" si="277"/>
        <v>0</v>
      </c>
    </row>
    <row r="588" spans="1:33" s="5333" customFormat="1" ht="15.05" hidden="1" customHeight="1">
      <c r="A588" s="5426"/>
      <c r="B588" s="5426"/>
      <c r="C588" s="5426"/>
      <c r="D588" s="5367">
        <v>4</v>
      </c>
      <c r="E588" s="5367">
        <v>1</v>
      </c>
      <c r="F588" s="5367">
        <v>4</v>
      </c>
      <c r="G588" s="5367" t="s">
        <v>948</v>
      </c>
      <c r="H588" s="5367" t="s">
        <v>437</v>
      </c>
      <c r="I588" s="5631"/>
      <c r="J588" s="5366" t="s">
        <v>85</v>
      </c>
      <c r="K588" s="5361"/>
      <c r="L588" s="5365"/>
      <c r="M588" s="5357">
        <v>0</v>
      </c>
      <c r="N588" s="5357">
        <f>N589</f>
        <v>0</v>
      </c>
      <c r="O588" s="5357">
        <f t="shared" si="262"/>
        <v>0</v>
      </c>
      <c r="P588" s="5358"/>
      <c r="Q588" s="5357">
        <f t="shared" si="253"/>
        <v>0</v>
      </c>
      <c r="R588" s="5358" t="e">
        <f t="shared" si="254"/>
        <v>#DIV/0!</v>
      </c>
      <c r="S588" s="5358"/>
      <c r="T588" s="5357" t="e">
        <f t="shared" si="263"/>
        <v>#DIV/0!</v>
      </c>
      <c r="U588" s="5358"/>
      <c r="V588" s="5357">
        <f t="shared" si="271"/>
        <v>0</v>
      </c>
      <c r="W588" s="5358" t="e">
        <f t="shared" si="275"/>
        <v>#DIV/0!</v>
      </c>
      <c r="X588" s="5358"/>
      <c r="Y588" s="5357" t="e">
        <f t="shared" si="264"/>
        <v>#DIV/0!</v>
      </c>
      <c r="Z588" s="5358"/>
      <c r="AA588" s="5357">
        <f t="shared" si="278"/>
        <v>0</v>
      </c>
      <c r="AB588" s="5358" t="e">
        <f t="shared" si="279"/>
        <v>#DIV/0!</v>
      </c>
      <c r="AC588" s="5349"/>
      <c r="AD588" s="5349"/>
      <c r="AE588" s="5349"/>
      <c r="AF588" s="5349">
        <f t="shared" si="276"/>
        <v>0</v>
      </c>
      <c r="AG588" s="5338">
        <f t="shared" si="277"/>
        <v>0</v>
      </c>
    </row>
    <row r="589" spans="1:33" s="5333" customFormat="1" ht="15.05" hidden="1" customHeight="1">
      <c r="A589" s="5340"/>
      <c r="B589" s="5340"/>
      <c r="C589" s="5340"/>
      <c r="D589" s="5367"/>
      <c r="E589" s="5380"/>
      <c r="F589" s="5380"/>
      <c r="G589" s="5379"/>
      <c r="H589" s="5379"/>
      <c r="I589" s="5495"/>
      <c r="J589" s="5366" t="s">
        <v>50</v>
      </c>
      <c r="K589" s="5361" t="s">
        <v>640</v>
      </c>
      <c r="L589" s="5365"/>
      <c r="M589" s="5359">
        <v>0</v>
      </c>
      <c r="N589" s="5359">
        <v>0</v>
      </c>
      <c r="O589" s="5359">
        <f t="shared" si="262"/>
        <v>0</v>
      </c>
      <c r="P589" s="5358"/>
      <c r="Q589" s="5357">
        <f t="shared" si="253"/>
        <v>0</v>
      </c>
      <c r="R589" s="5356" t="e">
        <f t="shared" si="254"/>
        <v>#DIV/0!</v>
      </c>
      <c r="S589" s="5358"/>
      <c r="T589" s="5359" t="e">
        <f t="shared" si="263"/>
        <v>#DIV/0!</v>
      </c>
      <c r="U589" s="5358"/>
      <c r="V589" s="5357">
        <f t="shared" si="271"/>
        <v>0</v>
      </c>
      <c r="W589" s="5356" t="e">
        <f t="shared" si="275"/>
        <v>#DIV/0!</v>
      </c>
      <c r="X589" s="5358"/>
      <c r="Y589" s="5359" t="e">
        <f t="shared" si="264"/>
        <v>#DIV/0!</v>
      </c>
      <c r="Z589" s="5358"/>
      <c r="AA589" s="5357">
        <f t="shared" si="278"/>
        <v>0</v>
      </c>
      <c r="AB589" s="5356" t="e">
        <f t="shared" si="279"/>
        <v>#DIV/0!</v>
      </c>
      <c r="AC589" s="5350"/>
      <c r="AD589" s="5350"/>
      <c r="AE589" s="5350"/>
      <c r="AF589" s="5349">
        <f t="shared" si="276"/>
        <v>0</v>
      </c>
      <c r="AG589" s="5338">
        <f t="shared" si="277"/>
        <v>0</v>
      </c>
    </row>
    <row r="590" spans="1:33" s="5333" customFormat="1" ht="15.05" hidden="1" customHeight="1">
      <c r="A590" s="5340"/>
      <c r="B590" s="5340"/>
      <c r="C590" s="5340"/>
      <c r="D590" s="5368"/>
      <c r="E590" s="5380"/>
      <c r="F590" s="5380"/>
      <c r="G590" s="5379"/>
      <c r="H590" s="5379"/>
      <c r="I590" s="5495"/>
      <c r="J590" s="5366"/>
      <c r="K590" s="5361"/>
      <c r="L590" s="5365"/>
      <c r="M590" s="5359"/>
      <c r="N590" s="5359"/>
      <c r="O590" s="5359">
        <f t="shared" si="262"/>
        <v>0</v>
      </c>
      <c r="P590" s="5358"/>
      <c r="Q590" s="5357">
        <f t="shared" si="253"/>
        <v>0</v>
      </c>
      <c r="R590" s="5356" t="e">
        <f t="shared" si="254"/>
        <v>#DIV/0!</v>
      </c>
      <c r="S590" s="5358"/>
      <c r="T590" s="5359" t="e">
        <f t="shared" si="263"/>
        <v>#DIV/0!</v>
      </c>
      <c r="U590" s="5358"/>
      <c r="V590" s="5357">
        <f t="shared" si="271"/>
        <v>0</v>
      </c>
      <c r="W590" s="5356" t="e">
        <f t="shared" si="275"/>
        <v>#DIV/0!</v>
      </c>
      <c r="X590" s="5358"/>
      <c r="Y590" s="5359" t="e">
        <f t="shared" si="264"/>
        <v>#DIV/0!</v>
      </c>
      <c r="Z590" s="5358"/>
      <c r="AA590" s="5357">
        <f t="shared" si="278"/>
        <v>0</v>
      </c>
      <c r="AB590" s="5356" t="e">
        <f t="shared" si="279"/>
        <v>#DIV/0!</v>
      </c>
      <c r="AC590" s="5350"/>
      <c r="AD590" s="5350"/>
      <c r="AE590" s="5350"/>
      <c r="AF590" s="5349">
        <f t="shared" si="276"/>
        <v>0</v>
      </c>
      <c r="AG590" s="5338">
        <f t="shared" si="277"/>
        <v>0</v>
      </c>
    </row>
    <row r="591" spans="1:33" s="5333" customFormat="1" ht="12.05" hidden="1" customHeight="1">
      <c r="A591" s="5340"/>
      <c r="B591" s="5340"/>
      <c r="C591" s="5340"/>
      <c r="D591" s="5378"/>
      <c r="E591" s="5363"/>
      <c r="F591" s="5363"/>
      <c r="G591" s="5399"/>
      <c r="H591" s="5399"/>
      <c r="I591" s="5638"/>
      <c r="J591" s="5377"/>
      <c r="K591" s="5376"/>
      <c r="L591" s="5375"/>
      <c r="M591" s="5357"/>
      <c r="N591" s="5357"/>
      <c r="O591" s="5357">
        <f t="shared" si="262"/>
        <v>0</v>
      </c>
      <c r="P591" s="5358"/>
      <c r="Q591" s="5357">
        <f t="shared" si="253"/>
        <v>0</v>
      </c>
      <c r="R591" s="5358" t="e">
        <f t="shared" si="254"/>
        <v>#DIV/0!</v>
      </c>
      <c r="S591" s="5358"/>
      <c r="T591" s="5357" t="e">
        <f t="shared" si="263"/>
        <v>#DIV/0!</v>
      </c>
      <c r="U591" s="5358"/>
      <c r="V591" s="5357">
        <f t="shared" si="271"/>
        <v>0</v>
      </c>
      <c r="W591" s="5358" t="e">
        <f t="shared" si="275"/>
        <v>#DIV/0!</v>
      </c>
      <c r="X591" s="5358"/>
      <c r="Y591" s="5357" t="e">
        <f t="shared" si="264"/>
        <v>#DIV/0!</v>
      </c>
      <c r="Z591" s="5358"/>
      <c r="AA591" s="5357">
        <f t="shared" si="278"/>
        <v>0</v>
      </c>
      <c r="AB591" s="5358" t="e">
        <f t="shared" si="279"/>
        <v>#DIV/0!</v>
      </c>
      <c r="AC591" s="5350"/>
      <c r="AD591" s="5350"/>
      <c r="AE591" s="5350"/>
      <c r="AF591" s="5349">
        <f t="shared" si="276"/>
        <v>0</v>
      </c>
      <c r="AG591" s="5338">
        <f t="shared" si="277"/>
        <v>0</v>
      </c>
    </row>
    <row r="592" spans="1:33" s="5333" customFormat="1" ht="11.3" hidden="1" customHeight="1">
      <c r="A592" s="5340"/>
      <c r="B592" s="5340"/>
      <c r="C592" s="5340"/>
      <c r="D592" s="5367"/>
      <c r="E592" s="5380"/>
      <c r="F592" s="5380"/>
      <c r="G592" s="5379"/>
      <c r="H592" s="5379"/>
      <c r="I592" s="5495"/>
      <c r="J592" s="5366"/>
      <c r="K592" s="5361"/>
      <c r="L592" s="5365"/>
      <c r="M592" s="5357"/>
      <c r="N592" s="5357"/>
      <c r="O592" s="5357">
        <f t="shared" si="262"/>
        <v>0</v>
      </c>
      <c r="P592" s="5358"/>
      <c r="Q592" s="5357"/>
      <c r="R592" s="5358"/>
      <c r="S592" s="5358"/>
      <c r="T592" s="5357">
        <f t="shared" si="263"/>
        <v>0</v>
      </c>
      <c r="U592" s="5358"/>
      <c r="V592" s="5357">
        <f t="shared" si="271"/>
        <v>0</v>
      </c>
      <c r="W592" s="5358" t="e">
        <f t="shared" si="275"/>
        <v>#DIV/0!</v>
      </c>
      <c r="X592" s="5358"/>
      <c r="Y592" s="5357" t="e">
        <f t="shared" si="264"/>
        <v>#DIV/0!</v>
      </c>
      <c r="Z592" s="5358"/>
      <c r="AA592" s="5357">
        <f t="shared" si="278"/>
        <v>0</v>
      </c>
      <c r="AB592" s="5358" t="e">
        <f t="shared" si="279"/>
        <v>#DIV/0!</v>
      </c>
      <c r="AC592" s="5349"/>
      <c r="AD592" s="5349"/>
      <c r="AE592" s="5349"/>
      <c r="AF592" s="5349">
        <f t="shared" si="276"/>
        <v>0</v>
      </c>
      <c r="AG592" s="5338">
        <f t="shared" si="277"/>
        <v>0</v>
      </c>
    </row>
    <row r="593" spans="1:33" s="5333" customFormat="1" ht="15.05" hidden="1" customHeight="1">
      <c r="A593" s="5426"/>
      <c r="B593" s="5426"/>
      <c r="C593" s="5426"/>
      <c r="D593" s="5367">
        <v>4</v>
      </c>
      <c r="E593" s="5367">
        <v>1</v>
      </c>
      <c r="F593" s="5367">
        <v>4</v>
      </c>
      <c r="G593" s="5367" t="s">
        <v>948</v>
      </c>
      <c r="H593" s="5368"/>
      <c r="I593" s="5632"/>
      <c r="J593" s="5366" t="s">
        <v>321</v>
      </c>
      <c r="K593" s="5361"/>
      <c r="L593" s="5365"/>
      <c r="M593" s="5357">
        <v>0</v>
      </c>
      <c r="N593" s="5357">
        <f>+N594</f>
        <v>750000000</v>
      </c>
      <c r="O593" s="5357">
        <f t="shared" si="262"/>
        <v>750000000</v>
      </c>
      <c r="P593" s="5357">
        <f>+P594</f>
        <v>0</v>
      </c>
      <c r="Q593" s="5357">
        <f>+P593-N593</f>
        <v>-750000000</v>
      </c>
      <c r="R593" s="5358">
        <f>P593/N593*100-100</f>
        <v>-100</v>
      </c>
      <c r="S593" s="5357">
        <f>+S594</f>
        <v>0</v>
      </c>
      <c r="T593" s="5357">
        <f t="shared" si="263"/>
        <v>100</v>
      </c>
      <c r="U593" s="5357">
        <f>+U594</f>
        <v>0</v>
      </c>
      <c r="V593" s="5357">
        <f t="shared" si="271"/>
        <v>0</v>
      </c>
      <c r="W593" s="5358" t="e">
        <f t="shared" si="275"/>
        <v>#DIV/0!</v>
      </c>
      <c r="X593" s="5357">
        <f>+X594</f>
        <v>0</v>
      </c>
      <c r="Y593" s="5357" t="e">
        <f t="shared" si="264"/>
        <v>#DIV/0!</v>
      </c>
      <c r="Z593" s="5357">
        <f>+Z594</f>
        <v>0</v>
      </c>
      <c r="AA593" s="5357">
        <f t="shared" si="278"/>
        <v>0</v>
      </c>
      <c r="AB593" s="5358" t="e">
        <f t="shared" si="279"/>
        <v>#DIV/0!</v>
      </c>
      <c r="AC593" s="5349"/>
      <c r="AD593" s="5349"/>
      <c r="AE593" s="5349"/>
      <c r="AF593" s="5349">
        <f t="shared" si="276"/>
        <v>0</v>
      </c>
      <c r="AG593" s="5338">
        <f t="shared" si="277"/>
        <v>0</v>
      </c>
    </row>
    <row r="594" spans="1:33" s="5333" customFormat="1" ht="15.05" hidden="1" customHeight="1">
      <c r="A594" s="5426"/>
      <c r="B594" s="5426"/>
      <c r="C594" s="5426"/>
      <c r="D594" s="5367">
        <v>4</v>
      </c>
      <c r="E594" s="5367">
        <v>1</v>
      </c>
      <c r="F594" s="5367">
        <v>4</v>
      </c>
      <c r="G594" s="5367" t="s">
        <v>948</v>
      </c>
      <c r="H594" s="5367" t="s">
        <v>437</v>
      </c>
      <c r="I594" s="5631"/>
      <c r="J594" s="5366" t="s">
        <v>85</v>
      </c>
      <c r="K594" s="5361"/>
      <c r="L594" s="5365"/>
      <c r="M594" s="5357">
        <v>0</v>
      </c>
      <c r="N594" s="5357">
        <f>+N595</f>
        <v>750000000</v>
      </c>
      <c r="O594" s="5357">
        <f t="shared" si="262"/>
        <v>750000000</v>
      </c>
      <c r="P594" s="5357">
        <f>+P595</f>
        <v>0</v>
      </c>
      <c r="Q594" s="5357">
        <f>+P594-N594</f>
        <v>-750000000</v>
      </c>
      <c r="R594" s="5358">
        <f>P594/N594*100-100</f>
        <v>-100</v>
      </c>
      <c r="S594" s="5357">
        <f>+S595</f>
        <v>0</v>
      </c>
      <c r="T594" s="5357">
        <f t="shared" si="263"/>
        <v>100</v>
      </c>
      <c r="U594" s="5357">
        <f>+U595</f>
        <v>0</v>
      </c>
      <c r="V594" s="5357">
        <f t="shared" si="271"/>
        <v>0</v>
      </c>
      <c r="W594" s="5358" t="e">
        <f t="shared" si="275"/>
        <v>#DIV/0!</v>
      </c>
      <c r="X594" s="5357">
        <f>+X595</f>
        <v>0</v>
      </c>
      <c r="Y594" s="5357" t="e">
        <f t="shared" si="264"/>
        <v>#DIV/0!</v>
      </c>
      <c r="Z594" s="5357">
        <f>+Z595</f>
        <v>0</v>
      </c>
      <c r="AA594" s="5357">
        <f t="shared" si="278"/>
        <v>0</v>
      </c>
      <c r="AB594" s="5358" t="e">
        <f t="shared" si="279"/>
        <v>#DIV/0!</v>
      </c>
      <c r="AC594" s="5349"/>
      <c r="AD594" s="5349"/>
      <c r="AE594" s="5349"/>
      <c r="AF594" s="5349">
        <f t="shared" si="276"/>
        <v>0</v>
      </c>
      <c r="AG594" s="5338">
        <f t="shared" si="277"/>
        <v>0</v>
      </c>
    </row>
    <row r="595" spans="1:33" s="5333" customFormat="1" ht="15.05" hidden="1" customHeight="1">
      <c r="A595" s="5340"/>
      <c r="B595" s="5340"/>
      <c r="C595" s="5340"/>
      <c r="D595" s="5367"/>
      <c r="E595" s="5380"/>
      <c r="F595" s="5380"/>
      <c r="G595" s="5379"/>
      <c r="H595" s="5379"/>
      <c r="I595" s="5495"/>
      <c r="J595" s="5366" t="s">
        <v>50</v>
      </c>
      <c r="K595" s="5361" t="s">
        <v>1072</v>
      </c>
      <c r="L595" s="5365"/>
      <c r="M595" s="5359">
        <v>0</v>
      </c>
      <c r="N595" s="5359">
        <v>750000000</v>
      </c>
      <c r="O595" s="5359">
        <f t="shared" si="262"/>
        <v>750000000</v>
      </c>
      <c r="P595" s="5358">
        <v>0</v>
      </c>
      <c r="Q595" s="5357">
        <f>+P595-N595</f>
        <v>-750000000</v>
      </c>
      <c r="R595" s="5358">
        <f>P595/N595*100-100</f>
        <v>-100</v>
      </c>
      <c r="S595" s="5358">
        <v>0</v>
      </c>
      <c r="T595" s="5359">
        <f t="shared" si="263"/>
        <v>100</v>
      </c>
      <c r="U595" s="5358">
        <v>0</v>
      </c>
      <c r="V595" s="5357">
        <f t="shared" si="271"/>
        <v>0</v>
      </c>
      <c r="W595" s="5358" t="e">
        <f t="shared" si="275"/>
        <v>#DIV/0!</v>
      </c>
      <c r="X595" s="5358">
        <v>0</v>
      </c>
      <c r="Y595" s="5359" t="e">
        <f t="shared" si="264"/>
        <v>#DIV/0!</v>
      </c>
      <c r="Z595" s="5358">
        <v>0</v>
      </c>
      <c r="AA595" s="5357">
        <f t="shared" si="278"/>
        <v>0</v>
      </c>
      <c r="AB595" s="5358" t="e">
        <f t="shared" si="279"/>
        <v>#DIV/0!</v>
      </c>
      <c r="AC595" s="5350"/>
      <c r="AD595" s="5350"/>
      <c r="AE595" s="5350"/>
      <c r="AF595" s="5349">
        <f t="shared" si="276"/>
        <v>0</v>
      </c>
      <c r="AG595" s="5338">
        <f t="shared" si="277"/>
        <v>0</v>
      </c>
    </row>
    <row r="596" spans="1:33" s="5333" customFormat="1" ht="8.3000000000000007" hidden="1" customHeight="1">
      <c r="A596" s="5340"/>
      <c r="B596" s="5340"/>
      <c r="C596" s="5340"/>
      <c r="D596" s="5364"/>
      <c r="E596" s="5363"/>
      <c r="F596" s="5363"/>
      <c r="G596" s="5399"/>
      <c r="H596" s="5399"/>
      <c r="I596" s="5638"/>
      <c r="J596" s="5377"/>
      <c r="K596" s="5664"/>
      <c r="L596" s="5375"/>
      <c r="M596" s="5398"/>
      <c r="N596" s="5398"/>
      <c r="O596" s="5398"/>
      <c r="P596" s="5396"/>
      <c r="Q596" s="5398"/>
      <c r="R596" s="5396"/>
      <c r="S596" s="5396"/>
      <c r="T596" s="5398"/>
      <c r="U596" s="5396"/>
      <c r="V596" s="5398"/>
      <c r="W596" s="5396">
        <v>0</v>
      </c>
      <c r="X596" s="5396"/>
      <c r="Y596" s="5398"/>
      <c r="Z596" s="5396"/>
      <c r="AA596" s="5398">
        <f t="shared" si="278"/>
        <v>0</v>
      </c>
      <c r="AB596" s="5396">
        <v>0</v>
      </c>
      <c r="AC596" s="5349"/>
      <c r="AD596" s="5349"/>
      <c r="AE596" s="5349"/>
      <c r="AF596" s="5349">
        <f t="shared" si="276"/>
        <v>0</v>
      </c>
      <c r="AG596" s="5338">
        <f t="shared" si="277"/>
        <v>0</v>
      </c>
    </row>
    <row r="597" spans="1:33" s="5333" customFormat="1" ht="18.8" customHeight="1">
      <c r="A597" s="5426"/>
      <c r="B597" s="5426"/>
      <c r="C597" s="5426"/>
      <c r="D597" s="5393">
        <v>4</v>
      </c>
      <c r="E597" s="5393">
        <v>2</v>
      </c>
      <c r="F597" s="5393"/>
      <c r="G597" s="5393"/>
      <c r="H597" s="5393"/>
      <c r="I597" s="5665"/>
      <c r="J597" s="5666" t="s">
        <v>236</v>
      </c>
      <c r="K597" s="5390"/>
      <c r="L597" s="5389"/>
      <c r="M597" s="5355">
        <v>1305287245300</v>
      </c>
      <c r="N597" s="5355">
        <f>+N598+N611+N617+N628</f>
        <v>1491849894000</v>
      </c>
      <c r="O597" s="5355">
        <f t="shared" ref="O597:O602" si="280">N597-M597</f>
        <v>186562648700</v>
      </c>
      <c r="P597" s="5388">
        <f>+P598+P611+P617+P628</f>
        <v>1565970193808</v>
      </c>
      <c r="Q597" s="5355">
        <f t="shared" ref="Q597:Q602" si="281">+P597-N597</f>
        <v>74120299808</v>
      </c>
      <c r="R597" s="5388">
        <f>P597/N597*100-100</f>
        <v>4.9683483644099198</v>
      </c>
      <c r="S597" s="5388">
        <f>+S598+S611+S617+S628</f>
        <v>3222521202310</v>
      </c>
      <c r="T597" s="5355">
        <f>S597-R597</f>
        <v>3222521202305.0317</v>
      </c>
      <c r="U597" s="5388">
        <f>+U598+U611+U617+U628</f>
        <v>192824364808</v>
      </c>
      <c r="V597" s="5355">
        <f>S597-P597</f>
        <v>1656551008502</v>
      </c>
      <c r="W597" s="5388">
        <f>S597/P597*100-100</f>
        <v>105.78432559266869</v>
      </c>
      <c r="X597" s="5388" t="e">
        <f>+X598+X611+X617+X628</f>
        <v>#REF!</v>
      </c>
      <c r="Y597" s="5355" t="e">
        <f t="shared" ref="Y597:Y602" si="282">X597-W597</f>
        <v>#REF!</v>
      </c>
      <c r="Z597" s="5388">
        <f>+Z598+Z611+Z617+Z628</f>
        <v>1565970193808</v>
      </c>
      <c r="AA597" s="5355" t="e">
        <f>SUM(X597-S597)</f>
        <v>#REF!</v>
      </c>
      <c r="AB597" s="5388" t="e">
        <f>X597/S597*100-100</f>
        <v>#REF!</v>
      </c>
      <c r="AC597" s="5349"/>
      <c r="AD597" s="5349"/>
      <c r="AE597" s="5349"/>
      <c r="AF597" s="5349">
        <f t="shared" si="276"/>
        <v>1656551008502</v>
      </c>
      <c r="AG597" s="5338">
        <f t="shared" si="277"/>
        <v>0</v>
      </c>
    </row>
    <row r="598" spans="1:33" s="5333" customFormat="1" ht="15.05" customHeight="1">
      <c r="A598" s="5426"/>
      <c r="B598" s="5426"/>
      <c r="C598" s="5426"/>
      <c r="D598" s="5387">
        <v>4</v>
      </c>
      <c r="E598" s="5387">
        <v>2</v>
      </c>
      <c r="F598" s="5387">
        <v>1</v>
      </c>
      <c r="G598" s="5387"/>
      <c r="H598" s="5387"/>
      <c r="I598" s="5630"/>
      <c r="J598" s="5414" t="s">
        <v>1368</v>
      </c>
      <c r="K598" s="5413"/>
      <c r="L598" s="5412"/>
      <c r="M598" s="5382">
        <v>186910054900</v>
      </c>
      <c r="N598" s="5382">
        <f>+N599+N606</f>
        <v>188959027000</v>
      </c>
      <c r="O598" s="5382">
        <f t="shared" si="280"/>
        <v>2048972100</v>
      </c>
      <c r="P598" s="5381">
        <f>+P599+P606</f>
        <v>192824364808</v>
      </c>
      <c r="Q598" s="5382">
        <f t="shared" si="281"/>
        <v>3865337808</v>
      </c>
      <c r="R598" s="5381">
        <f>P598/N598*100-100</f>
        <v>2.0455957407105103</v>
      </c>
      <c r="S598" s="5381">
        <f>+S599+S606</f>
        <v>353125684600</v>
      </c>
      <c r="T598" s="5382">
        <f>S598-R598</f>
        <v>353125684597.95441</v>
      </c>
      <c r="U598" s="5381">
        <f>+U599+U606</f>
        <v>192824364808</v>
      </c>
      <c r="V598" s="5382">
        <f>S598-P598</f>
        <v>160301319792</v>
      </c>
      <c r="W598" s="5381">
        <f>S598/P598*100-100</f>
        <v>83.133332217438408</v>
      </c>
      <c r="X598" s="5381">
        <f>+X599+X606</f>
        <v>328125684600</v>
      </c>
      <c r="Y598" s="5382">
        <f t="shared" si="282"/>
        <v>328125684516.86664</v>
      </c>
      <c r="Z598" s="5381">
        <f>+Z599+Z606</f>
        <v>192824364808</v>
      </c>
      <c r="AA598" s="5382">
        <f t="shared" si="278"/>
        <v>-25000000000</v>
      </c>
      <c r="AB598" s="5381">
        <f>X598/S598*100-100</f>
        <v>-7.0796322924849022</v>
      </c>
      <c r="AC598" s="5349"/>
      <c r="AD598" s="5349"/>
      <c r="AE598" s="5349"/>
      <c r="AF598" s="5349">
        <f t="shared" si="276"/>
        <v>160301319792</v>
      </c>
      <c r="AG598" s="5338">
        <f t="shared" si="277"/>
        <v>0</v>
      </c>
    </row>
    <row r="599" spans="1:33" s="5333" customFormat="1" ht="15.05" customHeight="1">
      <c r="A599" s="5426"/>
      <c r="B599" s="5426"/>
      <c r="C599" s="5426"/>
      <c r="D599" s="5367">
        <v>4</v>
      </c>
      <c r="E599" s="5367">
        <v>2</v>
      </c>
      <c r="F599" s="5367">
        <v>1</v>
      </c>
      <c r="G599" s="5368" t="s">
        <v>437</v>
      </c>
      <c r="H599" s="5367"/>
      <c r="I599" s="5367"/>
      <c r="J599" s="5453" t="s">
        <v>239</v>
      </c>
      <c r="K599" s="5366"/>
      <c r="L599" s="5365"/>
      <c r="M599" s="5357">
        <v>152984035000</v>
      </c>
      <c r="N599" s="5357">
        <f>SUM(N600:N604)</f>
        <v>169690300000</v>
      </c>
      <c r="O599" s="5357">
        <f t="shared" si="280"/>
        <v>16706265000</v>
      </c>
      <c r="P599" s="5358">
        <f>SUM(P600:P604)</f>
        <v>171631740800</v>
      </c>
      <c r="Q599" s="5357">
        <f t="shared" si="281"/>
        <v>1941440800</v>
      </c>
      <c r="R599" s="5358">
        <f>P599/N599*100-100</f>
        <v>1.144108296113572</v>
      </c>
      <c r="S599" s="5358">
        <f t="shared" ref="S599:X599" si="283">SUM(S600:S604)</f>
        <v>185190481600</v>
      </c>
      <c r="T599" s="5358">
        <f t="shared" si="283"/>
        <v>185190481589.10562</v>
      </c>
      <c r="U599" s="5358">
        <f t="shared" si="283"/>
        <v>171631740800</v>
      </c>
      <c r="V599" s="5358">
        <f t="shared" si="283"/>
        <v>13558740800</v>
      </c>
      <c r="W599" s="5358">
        <f t="shared" si="283"/>
        <v>-20.417744116329096</v>
      </c>
      <c r="X599" s="5358">
        <f t="shared" si="283"/>
        <v>176690481600</v>
      </c>
      <c r="Y599" s="5357">
        <f t="shared" si="282"/>
        <v>176690481620.41776</v>
      </c>
      <c r="Z599" s="5358">
        <f>SUM(Z600:Z604)</f>
        <v>171631740800</v>
      </c>
      <c r="AA599" s="5357">
        <f t="shared" si="278"/>
        <v>-8500000000</v>
      </c>
      <c r="AB599" s="5358">
        <f>X599/S599*100-100</f>
        <v>-4.5898687268168885</v>
      </c>
      <c r="AC599" s="5349"/>
      <c r="AD599" s="5349"/>
      <c r="AE599" s="5349"/>
      <c r="AF599" s="5349">
        <f t="shared" si="276"/>
        <v>13558740800</v>
      </c>
      <c r="AG599" s="5338">
        <f t="shared" si="277"/>
        <v>0</v>
      </c>
    </row>
    <row r="600" spans="1:33" s="5333" customFormat="1" ht="15.05" customHeight="1">
      <c r="A600" s="5426"/>
      <c r="B600" s="5426"/>
      <c r="C600" s="5426"/>
      <c r="D600" s="5367">
        <v>4</v>
      </c>
      <c r="E600" s="5367">
        <v>2</v>
      </c>
      <c r="F600" s="5367">
        <v>1</v>
      </c>
      <c r="G600" s="5368" t="s">
        <v>437</v>
      </c>
      <c r="H600" s="5368" t="s">
        <v>437</v>
      </c>
      <c r="I600" s="5368"/>
      <c r="J600" s="5453" t="s">
        <v>1367</v>
      </c>
      <c r="K600" s="5361"/>
      <c r="L600" s="5365"/>
      <c r="M600" s="5482">
        <v>16653800000</v>
      </c>
      <c r="N600" s="5482">
        <v>22605090000</v>
      </c>
      <c r="O600" s="5359">
        <f t="shared" si="280"/>
        <v>5951290000</v>
      </c>
      <c r="P600" s="5358">
        <v>25209030000</v>
      </c>
      <c r="Q600" s="5357">
        <f t="shared" si="281"/>
        <v>2603940000</v>
      </c>
      <c r="R600" s="5358">
        <f>P600/N600*100-100</f>
        <v>11.519264024164471</v>
      </c>
      <c r="S600" s="5441">
        <v>10416269000</v>
      </c>
      <c r="T600" s="5359">
        <f>S600-R600</f>
        <v>10416268988.480736</v>
      </c>
      <c r="U600" s="5358">
        <v>25209030000</v>
      </c>
      <c r="V600" s="5357">
        <f>S600-P600</f>
        <v>-14792761000</v>
      </c>
      <c r="W600" s="5358">
        <f>S600/P600*100-100</f>
        <v>-58.680405394416205</v>
      </c>
      <c r="X600" s="5441">
        <v>10416269000</v>
      </c>
      <c r="Y600" s="5359">
        <f t="shared" si="282"/>
        <v>10416269058.680405</v>
      </c>
      <c r="Z600" s="5358">
        <v>25209030000</v>
      </c>
      <c r="AA600" s="5357">
        <f t="shared" si="278"/>
        <v>0</v>
      </c>
      <c r="AB600" s="5358">
        <f>X600/S600*100-100</f>
        <v>0</v>
      </c>
      <c r="AC600" s="5350"/>
      <c r="AD600" s="5350"/>
      <c r="AE600" s="5350"/>
      <c r="AF600" s="5349">
        <f t="shared" si="276"/>
        <v>-14792761000</v>
      </c>
      <c r="AG600" s="5338">
        <f t="shared" si="277"/>
        <v>0</v>
      </c>
    </row>
    <row r="601" spans="1:33" s="5333" customFormat="1" ht="15.05" customHeight="1">
      <c r="A601" s="5426"/>
      <c r="B601" s="5426"/>
      <c r="C601" s="5426"/>
      <c r="D601" s="5367">
        <v>4</v>
      </c>
      <c r="E601" s="5367">
        <v>2</v>
      </c>
      <c r="F601" s="5367">
        <v>1</v>
      </c>
      <c r="G601" s="5368" t="s">
        <v>437</v>
      </c>
      <c r="H601" s="5368" t="s">
        <v>438</v>
      </c>
      <c r="I601" s="5368"/>
      <c r="J601" s="5453" t="s">
        <v>241</v>
      </c>
      <c r="K601" s="5361"/>
      <c r="L601" s="5365"/>
      <c r="M601" s="5359">
        <v>0</v>
      </c>
      <c r="N601" s="5477">
        <v>0</v>
      </c>
      <c r="O601" s="5359">
        <f t="shared" si="280"/>
        <v>0</v>
      </c>
      <c r="P601" s="5358">
        <v>0</v>
      </c>
      <c r="Q601" s="5357">
        <f t="shared" si="281"/>
        <v>0</v>
      </c>
      <c r="R601" s="5358">
        <v>0</v>
      </c>
      <c r="S601" s="5358">
        <v>0</v>
      </c>
      <c r="T601" s="5359">
        <f>S601-R601</f>
        <v>0</v>
      </c>
      <c r="U601" s="5358">
        <v>0</v>
      </c>
      <c r="V601" s="5357">
        <f>S601-P601</f>
        <v>0</v>
      </c>
      <c r="W601" s="5358">
        <v>0</v>
      </c>
      <c r="X601" s="5358">
        <v>0</v>
      </c>
      <c r="Y601" s="5359">
        <f t="shared" si="282"/>
        <v>0</v>
      </c>
      <c r="Z601" s="5358">
        <v>0</v>
      </c>
      <c r="AA601" s="5357">
        <f t="shared" si="278"/>
        <v>0</v>
      </c>
      <c r="AB601" s="5358">
        <v>0</v>
      </c>
      <c r="AC601" s="5350"/>
      <c r="AD601" s="5350"/>
      <c r="AE601" s="5350"/>
      <c r="AF601" s="5349">
        <f t="shared" si="276"/>
        <v>0</v>
      </c>
      <c r="AG601" s="5338">
        <f t="shared" si="277"/>
        <v>0</v>
      </c>
    </row>
    <row r="602" spans="1:33" s="5333" customFormat="1" ht="15.05" customHeight="1">
      <c r="A602" s="5426"/>
      <c r="B602" s="5426"/>
      <c r="C602" s="5426"/>
      <c r="D602" s="5367">
        <v>4</v>
      </c>
      <c r="E602" s="5367">
        <v>2</v>
      </c>
      <c r="F602" s="5367">
        <v>1</v>
      </c>
      <c r="G602" s="5368" t="s">
        <v>437</v>
      </c>
      <c r="H602" s="5368" t="s">
        <v>440</v>
      </c>
      <c r="I602" s="5368"/>
      <c r="J602" s="5453" t="s">
        <v>242</v>
      </c>
      <c r="K602" s="5361"/>
      <c r="L602" s="5365"/>
      <c r="M602" s="5477">
        <v>68104385000</v>
      </c>
      <c r="N602" s="5477">
        <v>76703238000</v>
      </c>
      <c r="O602" s="5359">
        <f t="shared" si="280"/>
        <v>8598853000</v>
      </c>
      <c r="P602" s="5358">
        <f>67001151000+2500000000+1000+4500000000</f>
        <v>74001152000</v>
      </c>
      <c r="Q602" s="5357">
        <f t="shared" si="281"/>
        <v>-2702086000</v>
      </c>
      <c r="R602" s="5358">
        <f>P602/N602*100-100</f>
        <v>-3.522779572878008</v>
      </c>
      <c r="S602" s="5441">
        <f>95534902000+5000000000+3500000000</f>
        <v>104034902000</v>
      </c>
      <c r="T602" s="5359">
        <f>S602-R602</f>
        <v>104034902003.52278</v>
      </c>
      <c r="U602" s="5358">
        <f>67001151000+2500000000+1000+4500000000</f>
        <v>74001152000</v>
      </c>
      <c r="V602" s="5357">
        <f>S602-P602</f>
        <v>30033750000</v>
      </c>
      <c r="W602" s="5358">
        <f>S602/P602*100-100</f>
        <v>40.585516830873132</v>
      </c>
      <c r="X602" s="5441">
        <v>95534902000</v>
      </c>
      <c r="Y602" s="5359">
        <f t="shared" si="282"/>
        <v>95534901959.41449</v>
      </c>
      <c r="Z602" s="5358">
        <f>67001151000+2500000000+1000+4500000000</f>
        <v>74001152000</v>
      </c>
      <c r="AA602" s="5357">
        <f t="shared" si="278"/>
        <v>-8500000000</v>
      </c>
      <c r="AB602" s="5358">
        <f>X602/S602*100-100</f>
        <v>-8.1703349900786151</v>
      </c>
      <c r="AC602" s="5350"/>
      <c r="AD602" s="5350"/>
      <c r="AE602" s="5350"/>
      <c r="AF602" s="5349">
        <f t="shared" si="276"/>
        <v>30033750000</v>
      </c>
      <c r="AG602" s="5338">
        <f t="shared" si="277"/>
        <v>0</v>
      </c>
    </row>
    <row r="603" spans="1:33" s="5333" customFormat="1" ht="15.05" customHeight="1">
      <c r="A603" s="5340"/>
      <c r="B603" s="5340"/>
      <c r="C603" s="5340"/>
      <c r="D603" s="5367"/>
      <c r="E603" s="5380"/>
      <c r="F603" s="5380"/>
      <c r="G603" s="5368"/>
      <c r="H603" s="5379"/>
      <c r="I603" s="5495"/>
      <c r="J603" s="5366" t="s">
        <v>1366</v>
      </c>
      <c r="K603" s="5361"/>
      <c r="L603" s="5365"/>
      <c r="M603" s="5357"/>
      <c r="N603" s="5477"/>
      <c r="O603" s="5357"/>
      <c r="P603" s="5358"/>
      <c r="Q603" s="5357"/>
      <c r="R603" s="5358"/>
      <c r="S603" s="5358"/>
      <c r="T603" s="5357"/>
      <c r="U603" s="5358"/>
      <c r="V603" s="5357"/>
      <c r="W603" s="5358"/>
      <c r="X603" s="5358"/>
      <c r="Y603" s="5357"/>
      <c r="Z603" s="5358"/>
      <c r="AA603" s="5357">
        <f t="shared" si="278"/>
        <v>0</v>
      </c>
      <c r="AB603" s="5358">
        <v>0</v>
      </c>
      <c r="AC603" s="5350"/>
      <c r="AD603" s="5350"/>
      <c r="AE603" s="5350"/>
      <c r="AF603" s="5349">
        <f t="shared" si="276"/>
        <v>0</v>
      </c>
      <c r="AG603" s="5338">
        <f t="shared" si="277"/>
        <v>0</v>
      </c>
    </row>
    <row r="604" spans="1:33" s="5333" customFormat="1" ht="15.05" customHeight="1">
      <c r="A604" s="5426"/>
      <c r="B604" s="5426"/>
      <c r="C604" s="5426"/>
      <c r="D604" s="5367">
        <v>4</v>
      </c>
      <c r="E604" s="5367">
        <v>2</v>
      </c>
      <c r="F604" s="5367">
        <v>1</v>
      </c>
      <c r="G604" s="5368" t="s">
        <v>437</v>
      </c>
      <c r="H604" s="5368" t="s">
        <v>445</v>
      </c>
      <c r="I604" s="5368"/>
      <c r="J604" s="5453" t="s">
        <v>244</v>
      </c>
      <c r="K604" s="5361"/>
      <c r="L604" s="5365"/>
      <c r="M604" s="5357">
        <v>68225850000</v>
      </c>
      <c r="N604" s="5357">
        <v>70381972000</v>
      </c>
      <c r="O604" s="5359">
        <f>N604-M604</f>
        <v>2156122000</v>
      </c>
      <c r="P604" s="5358">
        <f>72421558800</f>
        <v>72421558800</v>
      </c>
      <c r="Q604" s="5357">
        <f>+P604-N604</f>
        <v>2039586800</v>
      </c>
      <c r="R604" s="5358">
        <f>P604/N604*100-100</f>
        <v>2.8978824293243832</v>
      </c>
      <c r="S604" s="5441">
        <f>70739310600</f>
        <v>70739310600</v>
      </c>
      <c r="T604" s="5359">
        <f>S604-R604</f>
        <v>70739310597.102112</v>
      </c>
      <c r="U604" s="5358">
        <f>72421558800</f>
        <v>72421558800</v>
      </c>
      <c r="V604" s="5357">
        <f>S604-P604</f>
        <v>-1682248200</v>
      </c>
      <c r="W604" s="5358">
        <f>S604/P604*100-100</f>
        <v>-2.3228555527860237</v>
      </c>
      <c r="X604" s="5441">
        <f>70739310600</f>
        <v>70739310600</v>
      </c>
      <c r="Y604" s="5359">
        <f>X604-W604</f>
        <v>70739310602.322861</v>
      </c>
      <c r="Z604" s="5358">
        <f>72421558800</f>
        <v>72421558800</v>
      </c>
      <c r="AA604" s="5357">
        <f t="shared" si="278"/>
        <v>0</v>
      </c>
      <c r="AB604" s="5358">
        <f>X604/S604*100-100</f>
        <v>0</v>
      </c>
      <c r="AC604" s="5349"/>
      <c r="AD604" s="5349"/>
      <c r="AE604" s="5349"/>
      <c r="AF604" s="5349">
        <f t="shared" si="276"/>
        <v>-1682248200</v>
      </c>
      <c r="AG604" s="5338">
        <f t="shared" si="277"/>
        <v>0</v>
      </c>
    </row>
    <row r="605" spans="1:33" s="5333" customFormat="1" ht="9.6999999999999993" customHeight="1">
      <c r="A605" s="5340"/>
      <c r="B605" s="5340"/>
      <c r="C605" s="5340"/>
      <c r="D605" s="5368"/>
      <c r="E605" s="5367"/>
      <c r="F605" s="5367"/>
      <c r="G605" s="5368"/>
      <c r="H605" s="5379"/>
      <c r="I605" s="5495"/>
      <c r="J605" s="5366"/>
      <c r="K605" s="5361"/>
      <c r="L605" s="5365"/>
      <c r="M605" s="5357"/>
      <c r="N605" s="5477"/>
      <c r="O605" s="5357"/>
      <c r="P605" s="5358"/>
      <c r="Q605" s="5357"/>
      <c r="R605" s="5358"/>
      <c r="S605" s="5358"/>
      <c r="T605" s="5357"/>
      <c r="U605" s="5358"/>
      <c r="V605" s="5357"/>
      <c r="W605" s="5358"/>
      <c r="X605" s="5358"/>
      <c r="Y605" s="5357"/>
      <c r="Z605" s="5358"/>
      <c r="AA605" s="5357"/>
      <c r="AB605" s="5358"/>
      <c r="AC605" s="5350"/>
      <c r="AD605" s="5350"/>
      <c r="AE605" s="5350"/>
      <c r="AF605" s="5349">
        <f t="shared" si="276"/>
        <v>0</v>
      </c>
      <c r="AG605" s="5338">
        <f t="shared" si="277"/>
        <v>0</v>
      </c>
    </row>
    <row r="606" spans="1:33" s="5333" customFormat="1" ht="18" customHeight="1">
      <c r="A606" s="5426"/>
      <c r="B606" s="5426"/>
      <c r="C606" s="5426"/>
      <c r="D606" s="5367">
        <v>4</v>
      </c>
      <c r="E606" s="5367">
        <v>2</v>
      </c>
      <c r="F606" s="5367">
        <v>1</v>
      </c>
      <c r="G606" s="5368" t="s">
        <v>438</v>
      </c>
      <c r="H606" s="5368"/>
      <c r="I606" s="5632"/>
      <c r="J606" s="5366" t="s">
        <v>245</v>
      </c>
      <c r="K606" s="5361"/>
      <c r="L606" s="5365"/>
      <c r="M606" s="5357">
        <v>33926019900</v>
      </c>
      <c r="N606" s="5357">
        <f>SUM(N607:N609)</f>
        <v>19268727000</v>
      </c>
      <c r="O606" s="5357">
        <f>N606-M606</f>
        <v>-14657292900</v>
      </c>
      <c r="P606" s="5358">
        <f>SUM(P607:P609)</f>
        <v>21192624008</v>
      </c>
      <c r="Q606" s="5357">
        <f>+P606-N606</f>
        <v>1923897008</v>
      </c>
      <c r="R606" s="5358">
        <f>P606/N606*100-100</f>
        <v>9.9845568832855491</v>
      </c>
      <c r="S606" s="5358">
        <f>SUM(S607:S609)</f>
        <v>167935203000</v>
      </c>
      <c r="T606" s="5357">
        <f>S606-R606</f>
        <v>167935202990.01544</v>
      </c>
      <c r="U606" s="5358">
        <f>SUM(U607:U609)</f>
        <v>21192624008</v>
      </c>
      <c r="V606" s="5357">
        <f>S606-P606</f>
        <v>146742578992</v>
      </c>
      <c r="W606" s="5358">
        <f>S606/P606*100-100</f>
        <v>692.42288702241956</v>
      </c>
      <c r="X606" s="5358">
        <f>SUM(X607:X609)</f>
        <v>151435203000</v>
      </c>
      <c r="Y606" s="5357">
        <f>X606-W606</f>
        <v>151435202307.57712</v>
      </c>
      <c r="Z606" s="5358">
        <f>SUM(Z607:Z609)</f>
        <v>21192624008</v>
      </c>
      <c r="AA606" s="5357">
        <f>X606-S606</f>
        <v>-16500000000</v>
      </c>
      <c r="AB606" s="5358">
        <f>X606/S606*100-100</f>
        <v>-9.8252181229685362</v>
      </c>
      <c r="AC606" s="5349"/>
      <c r="AD606" s="5349"/>
      <c r="AE606" s="5349"/>
      <c r="AF606" s="5349">
        <f t="shared" si="276"/>
        <v>146742578992</v>
      </c>
      <c r="AG606" s="5338">
        <f t="shared" si="277"/>
        <v>0</v>
      </c>
    </row>
    <row r="607" spans="1:33" s="5333" customFormat="1" ht="15.05" customHeight="1">
      <c r="A607" s="5426"/>
      <c r="B607" s="5426"/>
      <c r="C607" s="5426"/>
      <c r="D607" s="5367">
        <v>4</v>
      </c>
      <c r="E607" s="5367">
        <v>2</v>
      </c>
      <c r="F607" s="5367">
        <v>1</v>
      </c>
      <c r="G607" s="5368" t="s">
        <v>438</v>
      </c>
      <c r="H607" s="5368" t="s">
        <v>437</v>
      </c>
      <c r="I607" s="5632"/>
      <c r="J607" s="5366" t="s">
        <v>246</v>
      </c>
      <c r="K607" s="5361"/>
      <c r="L607" s="5365"/>
      <c r="M607" s="5482">
        <v>155000000</v>
      </c>
      <c r="N607" s="5482">
        <v>83835000</v>
      </c>
      <c r="O607" s="5359">
        <f>N607-M607</f>
        <v>-71165000</v>
      </c>
      <c r="P607" s="5381">
        <f>83835000-21027574</f>
        <v>62807426</v>
      </c>
      <c r="Q607" s="5357">
        <f>+P607-N607</f>
        <v>-21027574</v>
      </c>
      <c r="R607" s="5358">
        <f>P607/N607*100-100</f>
        <v>-25.082094590564793</v>
      </c>
      <c r="S607" s="5481">
        <v>511170000</v>
      </c>
      <c r="T607" s="5359">
        <f>S607-R607</f>
        <v>511170025.08209461</v>
      </c>
      <c r="U607" s="5381">
        <f>83835000-21027574</f>
        <v>62807426</v>
      </c>
      <c r="V607" s="5357">
        <f>S607-P607</f>
        <v>448362574</v>
      </c>
      <c r="W607" s="5358">
        <f>S607/P607*100-100</f>
        <v>713.86872947157553</v>
      </c>
      <c r="X607" s="5481">
        <v>511170000</v>
      </c>
      <c r="Y607" s="5359">
        <f>X607-W607</f>
        <v>511169286.13127053</v>
      </c>
      <c r="Z607" s="5381">
        <f>83835000-21027574</f>
        <v>62807426</v>
      </c>
      <c r="AA607" s="5357">
        <f>X607-S607</f>
        <v>0</v>
      </c>
      <c r="AB607" s="5358">
        <f>X607/S607*100-100</f>
        <v>0</v>
      </c>
      <c r="AC607" s="5350"/>
      <c r="AD607" s="5350"/>
      <c r="AE607" s="5350"/>
      <c r="AF607" s="5349">
        <f t="shared" si="276"/>
        <v>448362574</v>
      </c>
      <c r="AG607" s="5338">
        <f t="shared" si="277"/>
        <v>0</v>
      </c>
    </row>
    <row r="608" spans="1:33" s="5333" customFormat="1" ht="15.05" customHeight="1">
      <c r="A608" s="5426"/>
      <c r="B608" s="5426"/>
      <c r="C608" s="5426"/>
      <c r="D608" s="5367">
        <v>4</v>
      </c>
      <c r="E608" s="5367">
        <v>2</v>
      </c>
      <c r="F608" s="5367">
        <v>1</v>
      </c>
      <c r="G608" s="5368" t="s">
        <v>438</v>
      </c>
      <c r="H608" s="5368" t="s">
        <v>445</v>
      </c>
      <c r="I608" s="5632"/>
      <c r="J608" s="5366" t="s">
        <v>1365</v>
      </c>
      <c r="K608" s="5361"/>
      <c r="L608" s="5365"/>
      <c r="M608" s="5477">
        <v>2979000000</v>
      </c>
      <c r="N608" s="5477">
        <v>5085723000</v>
      </c>
      <c r="O608" s="5359">
        <f>N608-M608</f>
        <v>2106723000</v>
      </c>
      <c r="P608" s="5358">
        <f>5012191000-110536418</f>
        <v>4901654582</v>
      </c>
      <c r="Q608" s="5357">
        <f>+P608-N608</f>
        <v>-184068418</v>
      </c>
      <c r="R608" s="5358">
        <f>P608/N608*100-100</f>
        <v>-3.6193166242046573</v>
      </c>
      <c r="S608" s="5441">
        <v>4168131000</v>
      </c>
      <c r="T608" s="5359">
        <f>S608-R608</f>
        <v>4168131003.6193166</v>
      </c>
      <c r="U608" s="5358">
        <f>5012191000-110536418</f>
        <v>4901654582</v>
      </c>
      <c r="V608" s="5357">
        <f>S608-P608</f>
        <v>-733523582</v>
      </c>
      <c r="W608" s="5358">
        <f>S608/P608*100-100</f>
        <v>-14.964815854092762</v>
      </c>
      <c r="X608" s="5441">
        <v>4168131000</v>
      </c>
      <c r="Y608" s="5359">
        <f>X608-W608</f>
        <v>4168131014.9648156</v>
      </c>
      <c r="Z608" s="5358">
        <f>5012191000-110536418</f>
        <v>4901654582</v>
      </c>
      <c r="AA608" s="5357">
        <f>X608-S608</f>
        <v>0</v>
      </c>
      <c r="AB608" s="5358">
        <f>X608/S608*100-100</f>
        <v>0</v>
      </c>
      <c r="AC608" s="5350"/>
      <c r="AD608" s="5350"/>
      <c r="AE608" s="5350"/>
      <c r="AF608" s="5349">
        <f t="shared" si="276"/>
        <v>-733523582</v>
      </c>
      <c r="AG608" s="5338">
        <f t="shared" si="277"/>
        <v>0</v>
      </c>
    </row>
    <row r="609" spans="1:33" s="5333" customFormat="1" ht="15.05" customHeight="1">
      <c r="A609" s="5426"/>
      <c r="B609" s="5426"/>
      <c r="C609" s="5426"/>
      <c r="D609" s="5367">
        <v>4</v>
      </c>
      <c r="E609" s="5367">
        <v>2</v>
      </c>
      <c r="F609" s="5367">
        <v>1</v>
      </c>
      <c r="G609" s="5368" t="s">
        <v>438</v>
      </c>
      <c r="H609" s="5368" t="s">
        <v>451</v>
      </c>
      <c r="I609" s="5632"/>
      <c r="J609" s="5366" t="s">
        <v>248</v>
      </c>
      <c r="K609" s="5361"/>
      <c r="L609" s="5365"/>
      <c r="M609" s="5477">
        <v>30792019900</v>
      </c>
      <c r="N609" s="5477">
        <v>14099169000</v>
      </c>
      <c r="O609" s="5359">
        <f>N609-M609</f>
        <v>-16692850900</v>
      </c>
      <c r="P609" s="5358">
        <f>10728162000+2500000000+3000000000</f>
        <v>16228162000</v>
      </c>
      <c r="Q609" s="5357">
        <f>+P609-N609</f>
        <v>2128993000</v>
      </c>
      <c r="R609" s="5358">
        <f>P609/N609*100-100</f>
        <v>15.100131078647252</v>
      </c>
      <c r="S609" s="5441">
        <f>146755902000+13000000000+3500000000</f>
        <v>163255902000</v>
      </c>
      <c r="T609" s="5359">
        <f>S609-R609</f>
        <v>163255901984.89987</v>
      </c>
      <c r="U609" s="5358">
        <f>10728162000+2500000000+3000000000</f>
        <v>16228162000</v>
      </c>
      <c r="V609" s="5357">
        <f>S609-P609</f>
        <v>147027740000</v>
      </c>
      <c r="W609" s="5358">
        <f>S609/P609*100-100</f>
        <v>906.00364970475391</v>
      </c>
      <c r="X609" s="5441">
        <v>146755902000</v>
      </c>
      <c r="Y609" s="5359">
        <f>X609-W609</f>
        <v>146755901093.99634</v>
      </c>
      <c r="Z609" s="5358">
        <f>10728162000+2500000000+3000000000</f>
        <v>16228162000</v>
      </c>
      <c r="AA609" s="5357">
        <f>X609-S609</f>
        <v>-16500000000</v>
      </c>
      <c r="AB609" s="5358">
        <f>X609/S609*100-100</f>
        <v>-10.1068321560589</v>
      </c>
      <c r="AC609" s="5350"/>
      <c r="AD609" s="5350"/>
      <c r="AE609" s="5350"/>
      <c r="AF609" s="5349">
        <f t="shared" si="276"/>
        <v>147027740000</v>
      </c>
      <c r="AG609" s="5338">
        <f t="shared" si="277"/>
        <v>0</v>
      </c>
    </row>
    <row r="610" spans="1:33" s="5333" customFormat="1">
      <c r="A610" s="5340"/>
      <c r="B610" s="5340"/>
      <c r="C610" s="5340"/>
      <c r="D610" s="5368"/>
      <c r="E610" s="5380"/>
      <c r="F610" s="5380"/>
      <c r="G610" s="5379"/>
      <c r="H610" s="5379"/>
      <c r="I610" s="5495"/>
      <c r="J610" s="5366"/>
      <c r="K610" s="5361"/>
      <c r="L610" s="5365"/>
      <c r="M610" s="5357"/>
      <c r="N610" s="5357"/>
      <c r="O610" s="5357"/>
      <c r="P610" s="5358"/>
      <c r="Q610" s="5357"/>
      <c r="R610" s="5358"/>
      <c r="S610" s="5358"/>
      <c r="T610" s="5357"/>
      <c r="U610" s="5358"/>
      <c r="V610" s="5357"/>
      <c r="W610" s="5358"/>
      <c r="X610" s="5358"/>
      <c r="Y610" s="5357"/>
      <c r="Z610" s="5358"/>
      <c r="AA610" s="5357"/>
      <c r="AB610" s="5358"/>
      <c r="AC610" s="5349"/>
      <c r="AD610" s="5349"/>
      <c r="AE610" s="5349"/>
      <c r="AF610" s="5349">
        <f t="shared" si="276"/>
        <v>0</v>
      </c>
      <c r="AG610" s="5338">
        <f t="shared" si="277"/>
        <v>0</v>
      </c>
    </row>
    <row r="611" spans="1:33" s="5333" customFormat="1" ht="15.05" customHeight="1">
      <c r="A611" s="5426"/>
      <c r="B611" s="5426"/>
      <c r="C611" s="5426"/>
      <c r="D611" s="5374">
        <v>4</v>
      </c>
      <c r="E611" s="5374">
        <v>2</v>
      </c>
      <c r="F611" s="5374">
        <v>2</v>
      </c>
      <c r="G611" s="5373"/>
      <c r="H611" s="5374"/>
      <c r="I611" s="5537"/>
      <c r="J611" s="5372" t="s">
        <v>250</v>
      </c>
      <c r="K611" s="5371"/>
      <c r="L611" s="5370"/>
      <c r="M611" s="5357">
        <v>1063713760400</v>
      </c>
      <c r="N611" s="5357">
        <f>N612</f>
        <v>1088633717000</v>
      </c>
      <c r="O611" s="5357">
        <f>N611-M611</f>
        <v>24919956600</v>
      </c>
      <c r="P611" s="5358">
        <f>P612</f>
        <v>1117691709000</v>
      </c>
      <c r="Q611" s="5357">
        <f>+P611-N611</f>
        <v>29057992000</v>
      </c>
      <c r="R611" s="5358">
        <f>P611/N611*100-100</f>
        <v>2.6692166103468224</v>
      </c>
      <c r="S611" s="5358">
        <f>S612</f>
        <v>1496972549710</v>
      </c>
      <c r="T611" s="5357">
        <f>S611-R611</f>
        <v>1496972549707.3308</v>
      </c>
      <c r="U611" s="5358">
        <f>U612</f>
        <v>0</v>
      </c>
      <c r="V611" s="5357">
        <f>S611-P611</f>
        <v>379280840710</v>
      </c>
      <c r="W611" s="5358">
        <f>S611/P611*100-100</f>
        <v>33.934298488206821</v>
      </c>
      <c r="X611" s="5358" t="e">
        <f>X612</f>
        <v>#REF!</v>
      </c>
      <c r="Y611" s="5357" t="e">
        <f>X611-W611</f>
        <v>#REF!</v>
      </c>
      <c r="Z611" s="5358">
        <f>Z612</f>
        <v>1117691709000</v>
      </c>
      <c r="AA611" s="5357" t="e">
        <f>X611-S611</f>
        <v>#REF!</v>
      </c>
      <c r="AB611" s="5358" t="e">
        <f>X611/S611*100-100</f>
        <v>#REF!</v>
      </c>
      <c r="AC611" s="5349"/>
      <c r="AD611" s="5349"/>
      <c r="AE611" s="5349"/>
      <c r="AF611" s="5349">
        <f t="shared" si="276"/>
        <v>379280840710</v>
      </c>
      <c r="AG611" s="5338">
        <f t="shared" si="277"/>
        <v>0</v>
      </c>
    </row>
    <row r="612" spans="1:33" s="5333" customFormat="1" ht="12.7" customHeight="1">
      <c r="A612" s="5340"/>
      <c r="B612" s="5340"/>
      <c r="C612" s="5340"/>
      <c r="D612" s="5367">
        <v>4</v>
      </c>
      <c r="E612" s="5367">
        <v>2</v>
      </c>
      <c r="F612" s="5367">
        <v>2</v>
      </c>
      <c r="G612" s="5367" t="s">
        <v>437</v>
      </c>
      <c r="H612" s="5367"/>
      <c r="I612" s="5631"/>
      <c r="J612" s="5366" t="s">
        <v>250</v>
      </c>
      <c r="K612" s="5361"/>
      <c r="L612" s="5365"/>
      <c r="M612" s="5357">
        <v>1063713760400</v>
      </c>
      <c r="N612" s="5357">
        <f>+N613</f>
        <v>1088633717000</v>
      </c>
      <c r="O612" s="5357">
        <f>N612-M612</f>
        <v>24919956600</v>
      </c>
      <c r="P612" s="5358">
        <f>+P613</f>
        <v>1117691709000</v>
      </c>
      <c r="Q612" s="5357">
        <f>+P612-N612</f>
        <v>29057992000</v>
      </c>
      <c r="R612" s="5358">
        <f>P612/N612*100-100</f>
        <v>2.6692166103468224</v>
      </c>
      <c r="S612" s="5358">
        <f>+S613</f>
        <v>1496972549710</v>
      </c>
      <c r="T612" s="5357">
        <f>S612-R612</f>
        <v>1496972549707.3308</v>
      </c>
      <c r="U612" s="5358">
        <f>+U613</f>
        <v>0</v>
      </c>
      <c r="V612" s="5357">
        <f>S612-P612</f>
        <v>379280840710</v>
      </c>
      <c r="W612" s="5358">
        <f>S612/P612*100-100</f>
        <v>33.934298488206821</v>
      </c>
      <c r="X612" s="5358" t="e">
        <f>+X613</f>
        <v>#REF!</v>
      </c>
      <c r="Y612" s="5357" t="e">
        <f>X612-W612</f>
        <v>#REF!</v>
      </c>
      <c r="Z612" s="5358">
        <f>+Z613</f>
        <v>1117691709000</v>
      </c>
      <c r="AA612" s="5357" t="e">
        <f>X612-S612</f>
        <v>#REF!</v>
      </c>
      <c r="AB612" s="5358" t="e">
        <f>X612/S612*100-100</f>
        <v>#REF!</v>
      </c>
      <c r="AC612" s="5349"/>
      <c r="AD612" s="5349"/>
      <c r="AE612" s="5349"/>
      <c r="AF612" s="5349">
        <f t="shared" si="276"/>
        <v>379280840710</v>
      </c>
      <c r="AG612" s="5338">
        <f t="shared" si="277"/>
        <v>0</v>
      </c>
    </row>
    <row r="613" spans="1:33" s="5333" customFormat="1" ht="12.7" customHeight="1">
      <c r="A613" s="5340"/>
      <c r="B613" s="5340"/>
      <c r="C613" s="5340"/>
      <c r="D613" s="5364">
        <v>4</v>
      </c>
      <c r="E613" s="5364">
        <v>2</v>
      </c>
      <c r="F613" s="5364">
        <v>2</v>
      </c>
      <c r="G613" s="5364" t="s">
        <v>437</v>
      </c>
      <c r="H613" s="5364" t="s">
        <v>437</v>
      </c>
      <c r="I613" s="5643"/>
      <c r="J613" s="5377" t="s">
        <v>1105</v>
      </c>
      <c r="K613" s="5376"/>
      <c r="L613" s="5375"/>
      <c r="M613" s="5359">
        <v>1063713760400</v>
      </c>
      <c r="N613" s="5482">
        <v>1088633717000</v>
      </c>
      <c r="O613" s="5359">
        <f>N613-M613</f>
        <v>24919956600</v>
      </c>
      <c r="P613" s="5381">
        <v>1117691709000</v>
      </c>
      <c r="Q613" s="5357">
        <f>+P613-N613</f>
        <v>29057992000</v>
      </c>
      <c r="R613" s="5358">
        <f>P613/N613*100-100</f>
        <v>2.6692166103468224</v>
      </c>
      <c r="S613" s="5381">
        <f t="shared" ref="S613:X613" si="284">S614+S615</f>
        <v>1496972549710</v>
      </c>
      <c r="T613" s="5381">
        <f t="shared" si="284"/>
        <v>0</v>
      </c>
      <c r="U613" s="5381">
        <f t="shared" si="284"/>
        <v>0</v>
      </c>
      <c r="V613" s="5381">
        <f t="shared" si="284"/>
        <v>0</v>
      </c>
      <c r="W613" s="5381">
        <f t="shared" si="284"/>
        <v>0</v>
      </c>
      <c r="X613" s="5381" t="e">
        <f t="shared" si="284"/>
        <v>#REF!</v>
      </c>
      <c r="Y613" s="5359" t="e">
        <f>X613-W613</f>
        <v>#REF!</v>
      </c>
      <c r="Z613" s="5381">
        <v>1117691709000</v>
      </c>
      <c r="AA613" s="5357" t="e">
        <f>X613-S613</f>
        <v>#REF!</v>
      </c>
      <c r="AB613" s="5358" t="e">
        <f>X613/S613*100-100</f>
        <v>#REF!</v>
      </c>
      <c r="AC613" s="5350"/>
      <c r="AD613" s="5350"/>
      <c r="AE613" s="5350"/>
      <c r="AF613" s="5349">
        <f t="shared" si="276"/>
        <v>379280840710</v>
      </c>
      <c r="AG613" s="5338">
        <f t="shared" si="277"/>
        <v>379280840710</v>
      </c>
    </row>
    <row r="614" spans="1:33" s="5333" customFormat="1" ht="12.7" customHeight="1">
      <c r="A614" s="5340"/>
      <c r="B614" s="5340"/>
      <c r="C614" s="5340"/>
      <c r="D614" s="5364"/>
      <c r="E614" s="5363"/>
      <c r="F614" s="5363"/>
      <c r="G614" s="5363"/>
      <c r="H614" s="5363"/>
      <c r="I614" s="5635"/>
      <c r="J614" s="5483" t="s">
        <v>50</v>
      </c>
      <c r="K614" s="5376" t="s">
        <v>252</v>
      </c>
      <c r="L614" s="5375"/>
      <c r="M614" s="5359"/>
      <c r="N614" s="5482"/>
      <c r="O614" s="5359"/>
      <c r="P614" s="5381"/>
      <c r="Q614" s="5357"/>
      <c r="R614" s="5358"/>
      <c r="S614" s="5481">
        <v>1416022952000</v>
      </c>
      <c r="T614" s="5359"/>
      <c r="U614" s="5381"/>
      <c r="V614" s="5357"/>
      <c r="W614" s="5358"/>
      <c r="X614" s="5481" t="e">
        <f>#REF!</f>
        <v>#REF!</v>
      </c>
      <c r="Y614" s="5359"/>
      <c r="Z614" s="5381"/>
      <c r="AA614" s="5357" t="e">
        <f>X614-S614</f>
        <v>#REF!</v>
      </c>
      <c r="AB614" s="5358" t="e">
        <f>X614/S614*100-100</f>
        <v>#REF!</v>
      </c>
      <c r="AC614" s="5350"/>
      <c r="AD614" s="5350"/>
      <c r="AE614" s="5350"/>
      <c r="AF614" s="5349"/>
      <c r="AG614" s="5338"/>
    </row>
    <row r="615" spans="1:33" s="5333" customFormat="1" ht="12.7" customHeight="1">
      <c r="A615" s="5340"/>
      <c r="B615" s="5340"/>
      <c r="C615" s="5340"/>
      <c r="D615" s="5364"/>
      <c r="E615" s="5363"/>
      <c r="F615" s="5363"/>
      <c r="G615" s="5363"/>
      <c r="H615" s="5363"/>
      <c r="I615" s="5635"/>
      <c r="J615" s="5480" t="s">
        <v>50</v>
      </c>
      <c r="K615" s="5361" t="s">
        <v>253</v>
      </c>
      <c r="L615" s="5375"/>
      <c r="M615" s="5359"/>
      <c r="N615" s="5482"/>
      <c r="O615" s="5359"/>
      <c r="P615" s="5381"/>
      <c r="Q615" s="5357"/>
      <c r="R615" s="5358"/>
      <c r="S615" s="5481">
        <v>80949597710</v>
      </c>
      <c r="T615" s="5359"/>
      <c r="U615" s="5381"/>
      <c r="V615" s="5357"/>
      <c r="W615" s="5358"/>
      <c r="X615" s="5481">
        <v>0</v>
      </c>
      <c r="Y615" s="5359"/>
      <c r="Z615" s="5381"/>
      <c r="AA615" s="5357">
        <f>X615-S615</f>
        <v>-80949597710</v>
      </c>
      <c r="AB615" s="5358">
        <f>X615/S615*100-100</f>
        <v>-100</v>
      </c>
      <c r="AC615" s="5350"/>
      <c r="AD615" s="5350"/>
      <c r="AE615" s="5350"/>
      <c r="AF615" s="5349"/>
      <c r="AG615" s="5338"/>
    </row>
    <row r="616" spans="1:33" s="5333" customFormat="1">
      <c r="A616" s="5340"/>
      <c r="B616" s="5340"/>
      <c r="C616" s="5340"/>
      <c r="D616" s="5368"/>
      <c r="E616" s="5380"/>
      <c r="F616" s="5380"/>
      <c r="G616" s="5379"/>
      <c r="H616" s="5379"/>
      <c r="I616" s="5495"/>
      <c r="J616" s="5480"/>
      <c r="K616" s="5361"/>
      <c r="L616" s="5365"/>
      <c r="M616" s="5357"/>
      <c r="N616" s="5357"/>
      <c r="O616" s="5357">
        <f>N616-M616</f>
        <v>0</v>
      </c>
      <c r="P616" s="5358"/>
      <c r="Q616" s="5357"/>
      <c r="R616" s="5358"/>
      <c r="S616" s="5358"/>
      <c r="T616" s="5357">
        <f>S616-R616</f>
        <v>0</v>
      </c>
      <c r="U616" s="5358"/>
      <c r="V616" s="5357"/>
      <c r="W616" s="5358"/>
      <c r="X616" s="5358"/>
      <c r="Y616" s="5357">
        <f>X616-W616</f>
        <v>0</v>
      </c>
      <c r="Z616" s="5358"/>
      <c r="AA616" s="5357"/>
      <c r="AB616" s="5358"/>
      <c r="AC616" s="5349"/>
      <c r="AD616" s="5349"/>
      <c r="AE616" s="5349"/>
      <c r="AF616" s="5349">
        <f>S616-P616</f>
        <v>0</v>
      </c>
      <c r="AG616" s="5338">
        <f>AF616-V616</f>
        <v>0</v>
      </c>
    </row>
    <row r="617" spans="1:33" s="5333" customFormat="1" ht="15.05" customHeight="1">
      <c r="A617" s="5426"/>
      <c r="B617" s="5426"/>
      <c r="C617" s="5426"/>
      <c r="D617" s="5374">
        <v>4</v>
      </c>
      <c r="E617" s="5374">
        <v>2</v>
      </c>
      <c r="F617" s="5374" t="s">
        <v>457</v>
      </c>
      <c r="G617" s="5373"/>
      <c r="H617" s="5374"/>
      <c r="I617" s="5537"/>
      <c r="J617" s="5372" t="s">
        <v>255</v>
      </c>
      <c r="K617" s="5371"/>
      <c r="L617" s="5370"/>
      <c r="M617" s="5357">
        <v>54663430000</v>
      </c>
      <c r="N617" s="5357">
        <f>N618</f>
        <v>214257150000</v>
      </c>
      <c r="O617" s="5357">
        <f>N617-M617</f>
        <v>159593720000</v>
      </c>
      <c r="P617" s="5358">
        <f>P618</f>
        <v>255454120000</v>
      </c>
      <c r="Q617" s="5357">
        <f>+P617-N617</f>
        <v>41196970000</v>
      </c>
      <c r="R617" s="5358">
        <f>P617/N617*100-100</f>
        <v>19.227815734504077</v>
      </c>
      <c r="S617" s="5358">
        <f>S618</f>
        <v>1372422968000</v>
      </c>
      <c r="T617" s="5358">
        <f t="shared" ref="T617:X618" si="285">T618</f>
        <v>0</v>
      </c>
      <c r="U617" s="5358">
        <f t="shared" si="285"/>
        <v>0</v>
      </c>
      <c r="V617" s="5358">
        <f t="shared" si="285"/>
        <v>0</v>
      </c>
      <c r="W617" s="5358">
        <f t="shared" si="285"/>
        <v>0</v>
      </c>
      <c r="X617" s="5358" t="e">
        <f t="shared" si="285"/>
        <v>#REF!</v>
      </c>
      <c r="Y617" s="5357" t="e">
        <f>X617-W617</f>
        <v>#REF!</v>
      </c>
      <c r="Z617" s="5358">
        <f>Z618</f>
        <v>255454120000</v>
      </c>
      <c r="AA617" s="5357" t="e">
        <f>X617-S617</f>
        <v>#REF!</v>
      </c>
      <c r="AB617" s="5358" t="e">
        <f>X617/S617*100-100</f>
        <v>#REF!</v>
      </c>
      <c r="AC617" s="5349"/>
      <c r="AD617" s="5349"/>
      <c r="AE617" s="5349"/>
      <c r="AF617" s="5349">
        <f>S617-P617</f>
        <v>1116968848000</v>
      </c>
      <c r="AG617" s="5338">
        <f>AF617-V617</f>
        <v>1116968848000</v>
      </c>
    </row>
    <row r="618" spans="1:33" s="5333" customFormat="1" ht="12.7" customHeight="1">
      <c r="A618" s="5340"/>
      <c r="B618" s="5340"/>
      <c r="C618" s="5340"/>
      <c r="D618" s="5367">
        <v>4</v>
      </c>
      <c r="E618" s="5367">
        <v>2</v>
      </c>
      <c r="F618" s="5367" t="s">
        <v>457</v>
      </c>
      <c r="G618" s="5367" t="s">
        <v>437</v>
      </c>
      <c r="H618" s="5367"/>
      <c r="I618" s="5631"/>
      <c r="J618" s="5366" t="s">
        <v>255</v>
      </c>
      <c r="K618" s="5361"/>
      <c r="L618" s="5365"/>
      <c r="M618" s="5357">
        <v>54663430000</v>
      </c>
      <c r="N618" s="5357">
        <f>N619</f>
        <v>214257150000</v>
      </c>
      <c r="O618" s="5357">
        <f>N618-M618</f>
        <v>159593720000</v>
      </c>
      <c r="P618" s="5358">
        <f>P619</f>
        <v>255454120000</v>
      </c>
      <c r="Q618" s="5357">
        <f>+P618-N618</f>
        <v>41196970000</v>
      </c>
      <c r="R618" s="5358">
        <f>P618/N618*100-100</f>
        <v>19.227815734504077</v>
      </c>
      <c r="S618" s="5358">
        <f>S619</f>
        <v>1372422968000</v>
      </c>
      <c r="T618" s="5358">
        <f t="shared" si="285"/>
        <v>0</v>
      </c>
      <c r="U618" s="5358">
        <f t="shared" si="285"/>
        <v>0</v>
      </c>
      <c r="V618" s="5358">
        <f t="shared" si="285"/>
        <v>0</v>
      </c>
      <c r="W618" s="5358">
        <f t="shared" si="285"/>
        <v>0</v>
      </c>
      <c r="X618" s="5358" t="e">
        <f t="shared" si="285"/>
        <v>#REF!</v>
      </c>
      <c r="Y618" s="5357" t="e">
        <f>X618-W618</f>
        <v>#REF!</v>
      </c>
      <c r="Z618" s="5358">
        <f>Z619</f>
        <v>255454120000</v>
      </c>
      <c r="AA618" s="5357" t="e">
        <f>X618-S618</f>
        <v>#REF!</v>
      </c>
      <c r="AB618" s="5358" t="e">
        <f>X618/S618*100-100</f>
        <v>#REF!</v>
      </c>
      <c r="AC618" s="5349"/>
      <c r="AD618" s="5349"/>
      <c r="AE618" s="5349"/>
      <c r="AF618" s="5349">
        <f>S618-P618</f>
        <v>1116968848000</v>
      </c>
      <c r="AG618" s="5338">
        <f>AF618-V618</f>
        <v>1116968848000</v>
      </c>
    </row>
    <row r="619" spans="1:33" s="5333" customFormat="1" ht="12.7" customHeight="1">
      <c r="A619" s="5340"/>
      <c r="B619" s="5340"/>
      <c r="C619" s="5340"/>
      <c r="D619" s="5364">
        <v>4</v>
      </c>
      <c r="E619" s="5364">
        <v>2</v>
      </c>
      <c r="F619" s="5364" t="s">
        <v>457</v>
      </c>
      <c r="G619" s="5364" t="s">
        <v>437</v>
      </c>
      <c r="H619" s="5364" t="s">
        <v>437</v>
      </c>
      <c r="I619" s="5643"/>
      <c r="J619" s="5377" t="s">
        <v>256</v>
      </c>
      <c r="K619" s="5376"/>
      <c r="L619" s="5375"/>
      <c r="M619" s="5359">
        <v>54663430000</v>
      </c>
      <c r="N619" s="5477">
        <v>214257150000</v>
      </c>
      <c r="O619" s="5357">
        <f>N619-M619</f>
        <v>159593720000</v>
      </c>
      <c r="P619" s="5441">
        <v>255454120000</v>
      </c>
      <c r="Q619" s="5357">
        <f>+P619-N619</f>
        <v>41196970000</v>
      </c>
      <c r="R619" s="5358">
        <f>P619/N619*100-100</f>
        <v>19.227815734504077</v>
      </c>
      <c r="S619" s="5441">
        <f t="shared" ref="S619:X619" si="286">S620+S626</f>
        <v>1372422968000</v>
      </c>
      <c r="T619" s="5441">
        <f t="shared" si="286"/>
        <v>0</v>
      </c>
      <c r="U619" s="5441">
        <f t="shared" si="286"/>
        <v>0</v>
      </c>
      <c r="V619" s="5441">
        <f t="shared" si="286"/>
        <v>0</v>
      </c>
      <c r="W619" s="5441">
        <f t="shared" si="286"/>
        <v>0</v>
      </c>
      <c r="X619" s="5441" t="e">
        <f t="shared" si="286"/>
        <v>#REF!</v>
      </c>
      <c r="Y619" s="5357" t="e">
        <f>X619-W619</f>
        <v>#REF!</v>
      </c>
      <c r="Z619" s="5441">
        <v>255454120000</v>
      </c>
      <c r="AA619" s="5357" t="e">
        <f>X619-S619</f>
        <v>#REF!</v>
      </c>
      <c r="AB619" s="5358" t="e">
        <f>X619/S619*100-100</f>
        <v>#REF!</v>
      </c>
      <c r="AC619" s="5350"/>
      <c r="AD619" s="5350"/>
      <c r="AE619" s="5350"/>
      <c r="AF619" s="5349">
        <f>S619-P619</f>
        <v>1116968848000</v>
      </c>
      <c r="AG619" s="5338">
        <f>AF619-V619</f>
        <v>1116968848000</v>
      </c>
    </row>
    <row r="620" spans="1:33" s="5333" customFormat="1" ht="12.7" customHeight="1">
      <c r="A620" s="5340"/>
      <c r="B620" s="5340"/>
      <c r="C620" s="5340"/>
      <c r="D620" s="5364"/>
      <c r="E620" s="5363"/>
      <c r="F620" s="5363"/>
      <c r="G620" s="5363"/>
      <c r="H620" s="5363"/>
      <c r="I620" s="5635"/>
      <c r="J620" s="5476" t="s">
        <v>50</v>
      </c>
      <c r="K620" s="5475" t="s">
        <v>257</v>
      </c>
      <c r="L620" s="5375"/>
      <c r="M620" s="5359"/>
      <c r="N620" s="5477"/>
      <c r="O620" s="5357"/>
      <c r="P620" s="5441"/>
      <c r="Q620" s="5357"/>
      <c r="R620" s="5358"/>
      <c r="S620" s="5441">
        <f>SUM(S621:S625)</f>
        <v>1074923968000</v>
      </c>
      <c r="T620" s="5357"/>
      <c r="U620" s="5441"/>
      <c r="V620" s="5357"/>
      <c r="W620" s="5358"/>
      <c r="X620" s="5478">
        <f>SUM(X621:X625)</f>
        <v>1074923968000</v>
      </c>
      <c r="Y620" s="5357"/>
      <c r="Z620" s="5441"/>
      <c r="AA620" s="5357">
        <f t="shared" ref="AA620:AA626" si="287">X620-S620</f>
        <v>0</v>
      </c>
      <c r="AB620" s="5358">
        <f t="shared" ref="AB620:AB626" si="288">X620/S620*100-100</f>
        <v>0</v>
      </c>
      <c r="AC620" s="5350"/>
      <c r="AD620" s="5350"/>
      <c r="AE620" s="5350"/>
      <c r="AF620" s="5349"/>
      <c r="AG620" s="5338"/>
    </row>
    <row r="621" spans="1:33" s="5333" customFormat="1" ht="12.7" customHeight="1">
      <c r="A621" s="5340"/>
      <c r="B621" s="5340"/>
      <c r="C621" s="5340"/>
      <c r="D621" s="5364"/>
      <c r="E621" s="5363"/>
      <c r="F621" s="5363"/>
      <c r="G621" s="5363"/>
      <c r="H621" s="5363"/>
      <c r="I621" s="5635"/>
      <c r="J621" s="5476"/>
      <c r="K621" s="5479" t="s">
        <v>258</v>
      </c>
      <c r="L621" s="5375"/>
      <c r="M621" s="5359"/>
      <c r="N621" s="5477"/>
      <c r="O621" s="5357"/>
      <c r="P621" s="5441"/>
      <c r="Q621" s="5357"/>
      <c r="R621" s="5358"/>
      <c r="S621" s="5478">
        <v>858778000000</v>
      </c>
      <c r="T621" s="5357"/>
      <c r="U621" s="5441"/>
      <c r="V621" s="5357"/>
      <c r="W621" s="5358"/>
      <c r="X621" s="5478">
        <v>858778000000</v>
      </c>
      <c r="Y621" s="5357"/>
      <c r="Z621" s="5441"/>
      <c r="AA621" s="5357">
        <f t="shared" si="287"/>
        <v>0</v>
      </c>
      <c r="AB621" s="5358">
        <f t="shared" si="288"/>
        <v>0</v>
      </c>
      <c r="AC621" s="5350"/>
      <c r="AD621" s="5350"/>
      <c r="AE621" s="5350"/>
      <c r="AF621" s="5349"/>
      <c r="AG621" s="5338"/>
    </row>
    <row r="622" spans="1:33" s="5333" customFormat="1" ht="12.7" customHeight="1">
      <c r="A622" s="5340"/>
      <c r="B622" s="5340"/>
      <c r="C622" s="5340"/>
      <c r="D622" s="5364"/>
      <c r="E622" s="5363"/>
      <c r="F622" s="5363"/>
      <c r="G622" s="5363"/>
      <c r="H622" s="5363"/>
      <c r="I622" s="5635"/>
      <c r="J622" s="5476"/>
      <c r="K622" s="5479" t="s">
        <v>259</v>
      </c>
      <c r="L622" s="5375"/>
      <c r="M622" s="5359"/>
      <c r="N622" s="5477"/>
      <c r="O622" s="5357"/>
      <c r="P622" s="5441"/>
      <c r="Q622" s="5357"/>
      <c r="R622" s="5358"/>
      <c r="S622" s="5478">
        <v>207376785000</v>
      </c>
      <c r="T622" s="5357"/>
      <c r="U622" s="5441"/>
      <c r="V622" s="5357"/>
      <c r="W622" s="5358"/>
      <c r="X622" s="5478">
        <v>207376785000</v>
      </c>
      <c r="Y622" s="5357"/>
      <c r="Z622" s="5441"/>
      <c r="AA622" s="5357">
        <f t="shared" si="287"/>
        <v>0</v>
      </c>
      <c r="AB622" s="5358">
        <f t="shared" si="288"/>
        <v>0</v>
      </c>
      <c r="AC622" s="5350"/>
      <c r="AD622" s="5350"/>
      <c r="AE622" s="5350"/>
      <c r="AF622" s="5349"/>
      <c r="AG622" s="5338"/>
    </row>
    <row r="623" spans="1:33" s="5333" customFormat="1" ht="12.7" customHeight="1">
      <c r="A623" s="5340"/>
      <c r="B623" s="5340"/>
      <c r="C623" s="5340"/>
      <c r="D623" s="5364"/>
      <c r="E623" s="5363"/>
      <c r="F623" s="5363"/>
      <c r="G623" s="5363"/>
      <c r="H623" s="5363"/>
      <c r="I623" s="5635"/>
      <c r="J623" s="5476"/>
      <c r="K623" s="5479" t="s">
        <v>260</v>
      </c>
      <c r="L623" s="5375"/>
      <c r="M623" s="5359"/>
      <c r="N623" s="5477"/>
      <c r="O623" s="5357"/>
      <c r="P623" s="5441"/>
      <c r="Q623" s="5357"/>
      <c r="R623" s="5358"/>
      <c r="S623" s="5478">
        <v>4737000000</v>
      </c>
      <c r="T623" s="5357"/>
      <c r="U623" s="5441"/>
      <c r="V623" s="5357"/>
      <c r="W623" s="5358"/>
      <c r="X623" s="5478">
        <v>4737000000</v>
      </c>
      <c r="Y623" s="5357"/>
      <c r="Z623" s="5441"/>
      <c r="AA623" s="5357">
        <f t="shared" si="287"/>
        <v>0</v>
      </c>
      <c r="AB623" s="5358">
        <f t="shared" si="288"/>
        <v>0</v>
      </c>
      <c r="AC623" s="5350"/>
      <c r="AD623" s="5350"/>
      <c r="AE623" s="5350"/>
      <c r="AF623" s="5349"/>
      <c r="AG623" s="5338"/>
    </row>
    <row r="624" spans="1:33" s="5333" customFormat="1" ht="12.7" customHeight="1">
      <c r="A624" s="5340"/>
      <c r="B624" s="5340"/>
      <c r="C624" s="5340"/>
      <c r="D624" s="5364"/>
      <c r="E624" s="5363"/>
      <c r="F624" s="5363"/>
      <c r="G624" s="5363"/>
      <c r="H624" s="5363"/>
      <c r="I624" s="5635"/>
      <c r="J624" s="5476"/>
      <c r="K624" s="5479" t="s">
        <v>261</v>
      </c>
      <c r="L624" s="5375"/>
      <c r="M624" s="5359"/>
      <c r="N624" s="5477"/>
      <c r="O624" s="5357"/>
      <c r="P624" s="5441"/>
      <c r="Q624" s="5357"/>
      <c r="R624" s="5358"/>
      <c r="S624" s="5478">
        <v>2500000000</v>
      </c>
      <c r="T624" s="5357"/>
      <c r="U624" s="5441"/>
      <c r="V624" s="5357"/>
      <c r="W624" s="5358"/>
      <c r="X624" s="5478">
        <v>2500000000</v>
      </c>
      <c r="Y624" s="5357"/>
      <c r="Z624" s="5441"/>
      <c r="AA624" s="5357">
        <f t="shared" si="287"/>
        <v>0</v>
      </c>
      <c r="AB624" s="5358">
        <f t="shared" si="288"/>
        <v>0</v>
      </c>
      <c r="AC624" s="5350"/>
      <c r="AD624" s="5350"/>
      <c r="AE624" s="5350"/>
      <c r="AF624" s="5349"/>
      <c r="AG624" s="5338"/>
    </row>
    <row r="625" spans="1:33" s="5333" customFormat="1" ht="12.7" customHeight="1">
      <c r="A625" s="5340"/>
      <c r="B625" s="5340"/>
      <c r="C625" s="5340"/>
      <c r="D625" s="5364"/>
      <c r="E625" s="5363"/>
      <c r="F625" s="5363"/>
      <c r="G625" s="5363"/>
      <c r="H625" s="5363"/>
      <c r="I625" s="5635"/>
      <c r="J625" s="5476"/>
      <c r="K625" s="5479" t="s">
        <v>262</v>
      </c>
      <c r="L625" s="5375"/>
      <c r="M625" s="5359"/>
      <c r="N625" s="5477"/>
      <c r="O625" s="5357"/>
      <c r="P625" s="5441"/>
      <c r="Q625" s="5357"/>
      <c r="R625" s="5358"/>
      <c r="S625" s="5478">
        <v>1532183000</v>
      </c>
      <c r="T625" s="5357"/>
      <c r="U625" s="5441"/>
      <c r="V625" s="5357"/>
      <c r="W625" s="5358"/>
      <c r="X625" s="5478">
        <v>1532183000</v>
      </c>
      <c r="Y625" s="5357"/>
      <c r="Z625" s="5441"/>
      <c r="AA625" s="5357">
        <f t="shared" si="287"/>
        <v>0</v>
      </c>
      <c r="AB625" s="5358">
        <f t="shared" si="288"/>
        <v>0</v>
      </c>
      <c r="AC625" s="5350"/>
      <c r="AD625" s="5350"/>
      <c r="AE625" s="5350"/>
      <c r="AF625" s="5349"/>
      <c r="AG625" s="5338"/>
    </row>
    <row r="626" spans="1:33" s="5333" customFormat="1" ht="12.7" customHeight="1">
      <c r="A626" s="5340"/>
      <c r="B626" s="5340"/>
      <c r="C626" s="5340"/>
      <c r="D626" s="5364"/>
      <c r="E626" s="5363"/>
      <c r="F626" s="5363"/>
      <c r="G626" s="5363"/>
      <c r="H626" s="5363"/>
      <c r="I626" s="5635"/>
      <c r="J626" s="5476" t="s">
        <v>50</v>
      </c>
      <c r="K626" s="5475" t="s">
        <v>1364</v>
      </c>
      <c r="L626" s="5375"/>
      <c r="M626" s="5359"/>
      <c r="N626" s="5477"/>
      <c r="O626" s="5357"/>
      <c r="P626" s="5441"/>
      <c r="Q626" s="5357"/>
      <c r="R626" s="5358"/>
      <c r="S626" s="5478">
        <v>297499000000</v>
      </c>
      <c r="T626" s="5357"/>
      <c r="U626" s="5441"/>
      <c r="V626" s="5357"/>
      <c r="W626" s="5358"/>
      <c r="X626" s="5478" t="e">
        <f>#REF!</f>
        <v>#REF!</v>
      </c>
      <c r="Y626" s="5357"/>
      <c r="Z626" s="5441"/>
      <c r="AA626" s="5357" t="e">
        <f t="shared" si="287"/>
        <v>#REF!</v>
      </c>
      <c r="AB626" s="5358" t="e">
        <f t="shared" si="288"/>
        <v>#REF!</v>
      </c>
      <c r="AC626" s="5350"/>
      <c r="AD626" s="5350"/>
      <c r="AE626" s="5350"/>
      <c r="AF626" s="5349"/>
      <c r="AG626" s="5338"/>
    </row>
    <row r="627" spans="1:33" s="5333" customFormat="1">
      <c r="A627" s="5340"/>
      <c r="B627" s="5340"/>
      <c r="C627" s="5340"/>
      <c r="D627" s="5368"/>
      <c r="E627" s="5380"/>
      <c r="F627" s="5380"/>
      <c r="G627" s="5379"/>
      <c r="H627" s="5379"/>
      <c r="I627" s="5495"/>
      <c r="J627" s="5476"/>
      <c r="K627" s="5475"/>
      <c r="L627" s="5365"/>
      <c r="M627" s="5357"/>
      <c r="N627" s="5357"/>
      <c r="O627" s="5357">
        <f>N627-M627</f>
        <v>0</v>
      </c>
      <c r="P627" s="5358"/>
      <c r="Q627" s="5357">
        <f>+P627-N627</f>
        <v>0</v>
      </c>
      <c r="R627" s="5358" t="e">
        <f>P627/N627*100-100</f>
        <v>#DIV/0!</v>
      </c>
      <c r="S627" s="5358"/>
      <c r="T627" s="5357" t="e">
        <f>S627-R627</f>
        <v>#DIV/0!</v>
      </c>
      <c r="U627" s="5358"/>
      <c r="V627" s="5357"/>
      <c r="W627" s="5358"/>
      <c r="X627" s="5358"/>
      <c r="Y627" s="5357">
        <f>X627-W627</f>
        <v>0</v>
      </c>
      <c r="Z627" s="5358"/>
      <c r="AA627" s="5357"/>
      <c r="AB627" s="5358"/>
      <c r="AC627" s="5349"/>
      <c r="AD627" s="5349"/>
      <c r="AE627" s="5349"/>
      <c r="AF627" s="5349">
        <f t="shared" ref="AF627:AF690" si="289">S627-P627</f>
        <v>0</v>
      </c>
      <c r="AG627" s="5338">
        <f t="shared" ref="AG627:AG690" si="290">AF627-V627</f>
        <v>0</v>
      </c>
    </row>
    <row r="628" spans="1:33" s="5333" customFormat="1" ht="16.45" hidden="1" customHeight="1">
      <c r="A628" s="5340"/>
      <c r="B628" s="5340"/>
      <c r="C628" s="5340"/>
      <c r="D628" s="5374">
        <v>4</v>
      </c>
      <c r="E628" s="5374">
        <v>2</v>
      </c>
      <c r="F628" s="5374" t="s">
        <v>443</v>
      </c>
      <c r="G628" s="5373"/>
      <c r="H628" s="5374"/>
      <c r="I628" s="5537"/>
      <c r="J628" s="5372" t="s">
        <v>1363</v>
      </c>
      <c r="K628" s="5371"/>
      <c r="L628" s="5370"/>
      <c r="M628" s="5357">
        <v>0</v>
      </c>
      <c r="N628" s="5357">
        <f>+N629</f>
        <v>0</v>
      </c>
      <c r="O628" s="5357">
        <f>N628-M628</f>
        <v>0</v>
      </c>
      <c r="P628" s="5358"/>
      <c r="Q628" s="5357">
        <f>+P628-N628</f>
        <v>0</v>
      </c>
      <c r="R628" s="5358" t="e">
        <f>P628/N628*100-100</f>
        <v>#DIV/0!</v>
      </c>
      <c r="S628" s="5358"/>
      <c r="T628" s="5357" t="e">
        <f>S628-R628</f>
        <v>#DIV/0!</v>
      </c>
      <c r="U628" s="5358"/>
      <c r="V628" s="5357"/>
      <c r="W628" s="5358"/>
      <c r="X628" s="5358"/>
      <c r="Y628" s="5357">
        <f>X628-W628</f>
        <v>0</v>
      </c>
      <c r="Z628" s="5358"/>
      <c r="AA628" s="5357">
        <f>X628-S628</f>
        <v>0</v>
      </c>
      <c r="AB628" s="5358" t="e">
        <f>X628/S628*100-100</f>
        <v>#DIV/0!</v>
      </c>
      <c r="AC628" s="5349"/>
      <c r="AD628" s="5349"/>
      <c r="AE628" s="5349"/>
      <c r="AF628" s="5349">
        <f t="shared" si="289"/>
        <v>0</v>
      </c>
      <c r="AG628" s="5338">
        <f t="shared" si="290"/>
        <v>0</v>
      </c>
    </row>
    <row r="629" spans="1:33" s="5333" customFormat="1" ht="15.05" hidden="1" customHeight="1">
      <c r="A629" s="5340"/>
      <c r="B629" s="5340"/>
      <c r="C629" s="5340"/>
      <c r="D629" s="5367">
        <v>4</v>
      </c>
      <c r="E629" s="5367">
        <v>2</v>
      </c>
      <c r="F629" s="5367" t="s">
        <v>443</v>
      </c>
      <c r="G629" s="5367" t="s">
        <v>437</v>
      </c>
      <c r="H629" s="5367"/>
      <c r="I629" s="5631"/>
      <c r="J629" s="5366" t="s">
        <v>1363</v>
      </c>
      <c r="K629" s="5361"/>
      <c r="L629" s="5365"/>
      <c r="M629" s="5357">
        <v>0</v>
      </c>
      <c r="N629" s="5357">
        <f>+N630</f>
        <v>0</v>
      </c>
      <c r="O629" s="5357">
        <f>N629-M629</f>
        <v>0</v>
      </c>
      <c r="P629" s="5358"/>
      <c r="Q629" s="5357">
        <f>+P629-N629</f>
        <v>0</v>
      </c>
      <c r="R629" s="5358" t="e">
        <f>P629/N629*100-100</f>
        <v>#DIV/0!</v>
      </c>
      <c r="S629" s="5358"/>
      <c r="T629" s="5357" t="e">
        <f>S629-R629</f>
        <v>#DIV/0!</v>
      </c>
      <c r="U629" s="5358"/>
      <c r="V629" s="5357">
        <f>S629-P629</f>
        <v>0</v>
      </c>
      <c r="W629" s="5358">
        <v>0</v>
      </c>
      <c r="X629" s="5358"/>
      <c r="Y629" s="5357">
        <f>X629-W629</f>
        <v>0</v>
      </c>
      <c r="Z629" s="5358"/>
      <c r="AA629" s="5357">
        <f>X629-S629</f>
        <v>0</v>
      </c>
      <c r="AB629" s="5358" t="e">
        <f>X629/S629*100-100</f>
        <v>#DIV/0!</v>
      </c>
      <c r="AC629" s="5349"/>
      <c r="AD629" s="5349"/>
      <c r="AE629" s="5349"/>
      <c r="AF629" s="5349">
        <f t="shared" si="289"/>
        <v>0</v>
      </c>
      <c r="AG629" s="5338">
        <f t="shared" si="290"/>
        <v>0</v>
      </c>
    </row>
    <row r="630" spans="1:33" s="5333" customFormat="1" ht="15.05" hidden="1" customHeight="1">
      <c r="A630" s="5340"/>
      <c r="B630" s="5340"/>
      <c r="C630" s="5340"/>
      <c r="D630" s="5364">
        <v>4</v>
      </c>
      <c r="E630" s="5364">
        <v>2</v>
      </c>
      <c r="F630" s="5364" t="s">
        <v>443</v>
      </c>
      <c r="G630" s="5364" t="s">
        <v>437</v>
      </c>
      <c r="H630" s="5364" t="s">
        <v>437</v>
      </c>
      <c r="I630" s="5643"/>
      <c r="J630" s="5377" t="s">
        <v>1362</v>
      </c>
      <c r="K630" s="5376"/>
      <c r="L630" s="5375"/>
      <c r="M630" s="5359">
        <v>0</v>
      </c>
      <c r="N630" s="5359">
        <v>0</v>
      </c>
      <c r="O630" s="5357">
        <f>N630-M630</f>
        <v>0</v>
      </c>
      <c r="P630" s="5358"/>
      <c r="Q630" s="5357">
        <f>+P630-N630</f>
        <v>0</v>
      </c>
      <c r="R630" s="5358" t="e">
        <f>P630/N630*100-100</f>
        <v>#DIV/0!</v>
      </c>
      <c r="S630" s="5358"/>
      <c r="T630" s="5357" t="e">
        <f>S630-R630</f>
        <v>#DIV/0!</v>
      </c>
      <c r="U630" s="5358"/>
      <c r="V630" s="5357">
        <f>S630-P630</f>
        <v>0</v>
      </c>
      <c r="W630" s="5358">
        <v>0</v>
      </c>
      <c r="X630" s="5358"/>
      <c r="Y630" s="5357">
        <f>X630-W630</f>
        <v>0</v>
      </c>
      <c r="Z630" s="5358"/>
      <c r="AA630" s="5357">
        <f>X630-S630</f>
        <v>0</v>
      </c>
      <c r="AB630" s="5358" t="e">
        <f>X630/S630*100-100</f>
        <v>#DIV/0!</v>
      </c>
      <c r="AC630" s="5350"/>
      <c r="AD630" s="5350"/>
      <c r="AE630" s="5350"/>
      <c r="AF630" s="5349">
        <f t="shared" si="289"/>
        <v>0</v>
      </c>
      <c r="AG630" s="5338">
        <f t="shared" si="290"/>
        <v>0</v>
      </c>
    </row>
    <row r="631" spans="1:33" s="5333" customFormat="1" ht="9.1" hidden="1" customHeight="1">
      <c r="A631" s="5340"/>
      <c r="B631" s="5340"/>
      <c r="C631" s="5340"/>
      <c r="D631" s="5367"/>
      <c r="E631" s="5380"/>
      <c r="F631" s="5380"/>
      <c r="G631" s="5380"/>
      <c r="H631" s="5380"/>
      <c r="I631" s="5496"/>
      <c r="J631" s="5366"/>
      <c r="K631" s="5361"/>
      <c r="L631" s="5365"/>
      <c r="M631" s="5357"/>
      <c r="N631" s="5357"/>
      <c r="O631" s="5357"/>
      <c r="P631" s="5358"/>
      <c r="Q631" s="5357"/>
      <c r="R631" s="5358"/>
      <c r="S631" s="5358"/>
      <c r="T631" s="5357"/>
      <c r="U631" s="5358"/>
      <c r="V631" s="5357"/>
      <c r="W631" s="5358"/>
      <c r="X631" s="5358"/>
      <c r="Y631" s="5357"/>
      <c r="Z631" s="5358"/>
      <c r="AA631" s="5357"/>
      <c r="AB631" s="5358"/>
      <c r="AC631" s="5349"/>
      <c r="AD631" s="5349"/>
      <c r="AE631" s="5349"/>
      <c r="AF631" s="5349">
        <f t="shared" si="289"/>
        <v>0</v>
      </c>
      <c r="AG631" s="5338">
        <f t="shared" si="290"/>
        <v>0</v>
      </c>
    </row>
    <row r="632" spans="1:33" s="5333" customFormat="1" ht="17.25" customHeight="1">
      <c r="A632" s="5426"/>
      <c r="B632" s="5426"/>
      <c r="C632" s="5426"/>
      <c r="D632" s="5374" t="s">
        <v>443</v>
      </c>
      <c r="E632" s="5471" t="s">
        <v>457</v>
      </c>
      <c r="F632" s="5380"/>
      <c r="G632" s="5379"/>
      <c r="H632" s="5379"/>
      <c r="I632" s="5495"/>
      <c r="J632" s="5372" t="s">
        <v>612</v>
      </c>
      <c r="K632" s="5361"/>
      <c r="L632" s="5365"/>
      <c r="M632" s="5442">
        <v>477763404000</v>
      </c>
      <c r="N632" s="5442">
        <f>+N633+N693</f>
        <v>643416208100</v>
      </c>
      <c r="O632" s="5357">
        <f>N632-M632</f>
        <v>165652804100</v>
      </c>
      <c r="P632" s="5358">
        <f>+P633+P693</f>
        <v>626032804000</v>
      </c>
      <c r="Q632" s="5357">
        <f>+P632-N632</f>
        <v>-17383404100</v>
      </c>
      <c r="R632" s="5358">
        <f>P632/N632*100-100</f>
        <v>-2.7017354989133651</v>
      </c>
      <c r="S632" s="5358" t="e">
        <f>+S633+S693</f>
        <v>#REF!</v>
      </c>
      <c r="T632" s="5357" t="e">
        <f>S632-R632</f>
        <v>#REF!</v>
      </c>
      <c r="U632" s="5358">
        <f>+U633+U693</f>
        <v>626032804000</v>
      </c>
      <c r="V632" s="5357" t="e">
        <f>S632-P632</f>
        <v>#REF!</v>
      </c>
      <c r="W632" s="5358" t="e">
        <f>S632/P632*100-100</f>
        <v>#REF!</v>
      </c>
      <c r="X632" s="5358" t="e">
        <f>+X633+X693</f>
        <v>#REF!</v>
      </c>
      <c r="Y632" s="5357" t="e">
        <f>X632-W632</f>
        <v>#REF!</v>
      </c>
      <c r="Z632" s="5358">
        <f>+Z633+Z693</f>
        <v>626032804000</v>
      </c>
      <c r="AA632" s="5357" t="e">
        <f>X632-S632</f>
        <v>#REF!</v>
      </c>
      <c r="AB632" s="5358" t="e">
        <f>X632/S632*100-100</f>
        <v>#REF!</v>
      </c>
      <c r="AC632" s="5350"/>
      <c r="AD632" s="5350"/>
      <c r="AE632" s="5350"/>
      <c r="AF632" s="5349" t="e">
        <f t="shared" si="289"/>
        <v>#REF!</v>
      </c>
      <c r="AG632" s="5338" t="e">
        <f t="shared" si="290"/>
        <v>#REF!</v>
      </c>
    </row>
    <row r="633" spans="1:33" s="5333" customFormat="1" ht="15.05" customHeight="1">
      <c r="A633" s="5426"/>
      <c r="B633" s="5426"/>
      <c r="C633" s="5426"/>
      <c r="D633" s="5374" t="s">
        <v>443</v>
      </c>
      <c r="E633" s="5471" t="s">
        <v>457</v>
      </c>
      <c r="F633" s="5363" t="s">
        <v>58</v>
      </c>
      <c r="G633" s="5363"/>
      <c r="H633" s="5363"/>
      <c r="I633" s="5635"/>
      <c r="J633" s="5654" t="s">
        <v>1106</v>
      </c>
      <c r="K633" s="5376"/>
      <c r="L633" s="5375"/>
      <c r="M633" s="5442">
        <v>14241004000</v>
      </c>
      <c r="N633" s="5442">
        <f>N637+N685+N634</f>
        <v>12588307100</v>
      </c>
      <c r="O633" s="5357">
        <f>N633-M633</f>
        <v>-1652696900</v>
      </c>
      <c r="P633" s="5442">
        <f>P637+P685+P634</f>
        <v>14241004000</v>
      </c>
      <c r="Q633" s="5357">
        <f>+P633-N633</f>
        <v>1652696900</v>
      </c>
      <c r="R633" s="5358">
        <f>P633/N633*100-100</f>
        <v>13.128825717955351</v>
      </c>
      <c r="S633" s="5442" t="e">
        <f t="shared" ref="S633:X633" si="291">S637+S685+S634</f>
        <v>#REF!</v>
      </c>
      <c r="T633" s="5442" t="e">
        <f t="shared" si="291"/>
        <v>#REF!</v>
      </c>
      <c r="U633" s="5442">
        <f t="shared" si="291"/>
        <v>14241004000</v>
      </c>
      <c r="V633" s="5442" t="e">
        <f t="shared" si="291"/>
        <v>#REF!</v>
      </c>
      <c r="W633" s="5442" t="e">
        <f t="shared" si="291"/>
        <v>#REF!</v>
      </c>
      <c r="X633" s="5442" t="e">
        <f t="shared" si="291"/>
        <v>#REF!</v>
      </c>
      <c r="Y633" s="5357" t="e">
        <f>X633-W633</f>
        <v>#REF!</v>
      </c>
      <c r="Z633" s="5442">
        <f>Z637+Z685+Z634</f>
        <v>14241004000</v>
      </c>
      <c r="AA633" s="5357" t="e">
        <f>X633-S633</f>
        <v>#REF!</v>
      </c>
      <c r="AB633" s="5358" t="e">
        <f>X633/S633*100-100</f>
        <v>#REF!</v>
      </c>
      <c r="AC633" s="5350"/>
      <c r="AD633" s="5350"/>
      <c r="AE633" s="5350"/>
      <c r="AF633" s="5349" t="e">
        <f t="shared" si="289"/>
        <v>#REF!</v>
      </c>
      <c r="AG633" s="5338" t="e">
        <f t="shared" si="290"/>
        <v>#REF!</v>
      </c>
    </row>
    <row r="634" spans="1:33" s="5333" customFormat="1" ht="15.05" customHeight="1">
      <c r="A634" s="5426"/>
      <c r="B634" s="5426"/>
      <c r="C634" s="5426"/>
      <c r="D634" s="5374" t="s">
        <v>443</v>
      </c>
      <c r="E634" s="5471" t="s">
        <v>457</v>
      </c>
      <c r="F634" s="5363" t="s">
        <v>58</v>
      </c>
      <c r="G634" s="5363" t="s">
        <v>437</v>
      </c>
      <c r="H634" s="5363"/>
      <c r="I634" s="5635"/>
      <c r="J634" s="5654" t="s">
        <v>267</v>
      </c>
      <c r="K634" s="5376"/>
      <c r="L634" s="5375"/>
      <c r="M634" s="5442"/>
      <c r="N634" s="5442">
        <f>N635</f>
        <v>228299000</v>
      </c>
      <c r="O634" s="5357"/>
      <c r="P634" s="5358">
        <f>P635</f>
        <v>0</v>
      </c>
      <c r="Q634" s="5357">
        <f>+P634-N634</f>
        <v>-228299000</v>
      </c>
      <c r="R634" s="5358">
        <v>0</v>
      </c>
      <c r="S634" s="5358" t="e">
        <f>S635</f>
        <v>#REF!</v>
      </c>
      <c r="T634" s="5357"/>
      <c r="U634" s="5358">
        <f>U635</f>
        <v>0</v>
      </c>
      <c r="V634" s="5357" t="e">
        <f>S634-P634</f>
        <v>#REF!</v>
      </c>
      <c r="W634" s="5358">
        <v>0</v>
      </c>
      <c r="X634" s="5358" t="e">
        <f>X635</f>
        <v>#REF!</v>
      </c>
      <c r="Y634" s="5357"/>
      <c r="Z634" s="5358">
        <f>Z635</f>
        <v>0</v>
      </c>
      <c r="AA634" s="5357" t="e">
        <f>X634-S634</f>
        <v>#REF!</v>
      </c>
      <c r="AB634" s="5358">
        <v>0</v>
      </c>
      <c r="AC634" s="5350"/>
      <c r="AD634" s="5350"/>
      <c r="AE634" s="5350"/>
      <c r="AF634" s="5349" t="e">
        <f t="shared" si="289"/>
        <v>#REF!</v>
      </c>
      <c r="AG634" s="5338" t="e">
        <f t="shared" si="290"/>
        <v>#REF!</v>
      </c>
    </row>
    <row r="635" spans="1:33" s="5333" customFormat="1" ht="15.05" customHeight="1">
      <c r="A635" s="5426"/>
      <c r="B635" s="5426"/>
      <c r="C635" s="5426"/>
      <c r="D635" s="5374" t="s">
        <v>443</v>
      </c>
      <c r="E635" s="5471" t="s">
        <v>457</v>
      </c>
      <c r="F635" s="5363" t="s">
        <v>58</v>
      </c>
      <c r="G635" s="5363" t="s">
        <v>437</v>
      </c>
      <c r="H635" s="5363" t="s">
        <v>437</v>
      </c>
      <c r="I635" s="5635"/>
      <c r="J635" s="5654" t="s">
        <v>1172</v>
      </c>
      <c r="K635" s="5376"/>
      <c r="L635" s="5375"/>
      <c r="M635" s="5442"/>
      <c r="N635" s="5358">
        <v>228299000</v>
      </c>
      <c r="O635" s="5357"/>
      <c r="P635" s="5358">
        <v>0</v>
      </c>
      <c r="Q635" s="5357">
        <f>+P635-N635</f>
        <v>-228299000</v>
      </c>
      <c r="R635" s="5358">
        <v>0</v>
      </c>
      <c r="S635" s="5358" t="e">
        <f>#REF!</f>
        <v>#REF!</v>
      </c>
      <c r="T635" s="5357"/>
      <c r="U635" s="5358">
        <v>0</v>
      </c>
      <c r="V635" s="5357" t="e">
        <f>S635-P635</f>
        <v>#REF!</v>
      </c>
      <c r="W635" s="5358">
        <v>0</v>
      </c>
      <c r="X635" s="5358" t="e">
        <f>#REF!</f>
        <v>#REF!</v>
      </c>
      <c r="Y635" s="5357"/>
      <c r="Z635" s="5358">
        <v>0</v>
      </c>
      <c r="AA635" s="5357" t="e">
        <f>X635-S635</f>
        <v>#REF!</v>
      </c>
      <c r="AB635" s="5358">
        <v>0</v>
      </c>
      <c r="AC635" s="5350"/>
      <c r="AD635" s="5350"/>
      <c r="AE635" s="5350"/>
      <c r="AF635" s="5349" t="e">
        <f t="shared" si="289"/>
        <v>#REF!</v>
      </c>
      <c r="AG635" s="5338" t="e">
        <f t="shared" si="290"/>
        <v>#REF!</v>
      </c>
    </row>
    <row r="636" spans="1:33" s="5333" customFormat="1" ht="7.55" customHeight="1">
      <c r="A636" s="5426"/>
      <c r="B636" s="5426"/>
      <c r="C636" s="5426"/>
      <c r="D636" s="5374"/>
      <c r="E636" s="5471"/>
      <c r="F636" s="5363"/>
      <c r="G636" s="5363"/>
      <c r="H636" s="5363"/>
      <c r="I636" s="5635"/>
      <c r="J636" s="5654"/>
      <c r="K636" s="5376"/>
      <c r="L636" s="5375"/>
      <c r="M636" s="5442"/>
      <c r="N636" s="5442"/>
      <c r="O636" s="5357"/>
      <c r="P636" s="5358"/>
      <c r="Q636" s="5357"/>
      <c r="R636" s="5358"/>
      <c r="S636" s="5358"/>
      <c r="T636" s="5357"/>
      <c r="U636" s="5358"/>
      <c r="V636" s="5357"/>
      <c r="W636" s="5358"/>
      <c r="X636" s="5358"/>
      <c r="Y636" s="5357"/>
      <c r="Z636" s="5358"/>
      <c r="AA636" s="5357"/>
      <c r="AB636" s="5358"/>
      <c r="AC636" s="5350"/>
      <c r="AD636" s="5350"/>
      <c r="AE636" s="5350"/>
      <c r="AF636" s="5349">
        <f t="shared" si="289"/>
        <v>0</v>
      </c>
      <c r="AG636" s="5338">
        <f t="shared" si="290"/>
        <v>0</v>
      </c>
    </row>
    <row r="637" spans="1:33" s="5333" customFormat="1" ht="15.05" customHeight="1">
      <c r="A637" s="5426"/>
      <c r="B637" s="5426"/>
      <c r="C637" s="5426"/>
      <c r="D637" s="5374" t="s">
        <v>443</v>
      </c>
      <c r="E637" s="5471" t="s">
        <v>457</v>
      </c>
      <c r="F637" s="5363" t="s">
        <v>58</v>
      </c>
      <c r="G637" s="5363" t="s">
        <v>440</v>
      </c>
      <c r="H637" s="5363" t="s">
        <v>437</v>
      </c>
      <c r="I637" s="5635"/>
      <c r="J637" s="5654" t="s">
        <v>785</v>
      </c>
      <c r="K637" s="5376"/>
      <c r="L637" s="5375"/>
      <c r="M637" s="5357">
        <v>10498038200</v>
      </c>
      <c r="N637" s="5357">
        <f>N638</f>
        <v>8617042300</v>
      </c>
      <c r="O637" s="5357">
        <f t="shared" ref="O637:O683" si="292">N637-M637</f>
        <v>-1880995900</v>
      </c>
      <c r="P637" s="5358">
        <f>P638</f>
        <v>10498038200</v>
      </c>
      <c r="Q637" s="5357">
        <f t="shared" ref="Q637:Q683" si="293">+P637-N637</f>
        <v>1880995900</v>
      </c>
      <c r="R637" s="5358">
        <f>P637/N637*100-100</f>
        <v>21.828788051788962</v>
      </c>
      <c r="S637" s="5358">
        <f>S638</f>
        <v>10177085900</v>
      </c>
      <c r="T637" s="5357">
        <f t="shared" ref="T637:T683" si="294">S637-R637</f>
        <v>10177085878.171211</v>
      </c>
      <c r="U637" s="5358">
        <f>U638</f>
        <v>10498038200</v>
      </c>
      <c r="V637" s="5357">
        <f t="shared" ref="V637:V654" si="295">S637-P637</f>
        <v>-320952300</v>
      </c>
      <c r="W637" s="5358">
        <f>S637/P637*100-100</f>
        <v>-3.0572597840232731</v>
      </c>
      <c r="X637" s="5358" t="e">
        <f>X638</f>
        <v>#REF!</v>
      </c>
      <c r="Y637" s="5357" t="e">
        <f t="shared" ref="Y637:Y683" si="296">X637-W637</f>
        <v>#REF!</v>
      </c>
      <c r="Z637" s="5358">
        <f>Z638</f>
        <v>10498038200</v>
      </c>
      <c r="AA637" s="5357" t="e">
        <f t="shared" ref="AA637:AA654" si="297">X637-S637</f>
        <v>#REF!</v>
      </c>
      <c r="AB637" s="5358" t="e">
        <f>X637/S637*100-100</f>
        <v>#REF!</v>
      </c>
      <c r="AC637" s="5349"/>
      <c r="AD637" s="5349"/>
      <c r="AE637" s="5349"/>
      <c r="AF637" s="5349">
        <f t="shared" si="289"/>
        <v>-320952300</v>
      </c>
      <c r="AG637" s="5338">
        <f t="shared" si="290"/>
        <v>0</v>
      </c>
    </row>
    <row r="638" spans="1:33" s="5333" customFormat="1" ht="15.05" customHeight="1">
      <c r="A638" s="5426"/>
      <c r="B638" s="5426"/>
      <c r="C638" s="5426"/>
      <c r="D638" s="5374" t="s">
        <v>443</v>
      </c>
      <c r="E638" s="5471" t="s">
        <v>457</v>
      </c>
      <c r="F638" s="5363" t="s">
        <v>58</v>
      </c>
      <c r="G638" s="5363" t="s">
        <v>440</v>
      </c>
      <c r="H638" s="5363" t="s">
        <v>437</v>
      </c>
      <c r="I638" s="5635"/>
      <c r="J638" s="5654" t="s">
        <v>1361</v>
      </c>
      <c r="K638" s="5376"/>
      <c r="L638" s="5375"/>
      <c r="M638" s="5454">
        <v>10498038200</v>
      </c>
      <c r="N638" s="5454">
        <f>SUM(N639:N683)-N647-N649-N654-N664-N668-N675</f>
        <v>8617042300</v>
      </c>
      <c r="O638" s="5357">
        <f t="shared" si="292"/>
        <v>-1880995900</v>
      </c>
      <c r="P638" s="5358">
        <f>SUM(P639:P683)-P647-P649-P654-P664-P668-P675</f>
        <v>10498038200</v>
      </c>
      <c r="Q638" s="5357">
        <f t="shared" si="293"/>
        <v>1880995900</v>
      </c>
      <c r="R638" s="5358">
        <f>P638/N638*100-100</f>
        <v>21.828788051788962</v>
      </c>
      <c r="S638" s="5358">
        <f>SUM(S639:S683)-S647-S649-S654-S664-S668-S675</f>
        <v>10177085900</v>
      </c>
      <c r="T638" s="5357">
        <f t="shared" si="294"/>
        <v>10177085878.171211</v>
      </c>
      <c r="U638" s="5358">
        <f>SUM(U639:U683)-U647-U649-U654-U664-U668-U675</f>
        <v>10498038200</v>
      </c>
      <c r="V638" s="5357">
        <f t="shared" si="295"/>
        <v>-320952300</v>
      </c>
      <c r="W638" s="5358">
        <f>S638/P638*100-100</f>
        <v>-3.0572597840232731</v>
      </c>
      <c r="X638" s="5358" t="e">
        <f>SUM(X639:X683)-X647-X649-X654-X664-X668-X675</f>
        <v>#REF!</v>
      </c>
      <c r="Y638" s="5357" t="e">
        <f t="shared" si="296"/>
        <v>#REF!</v>
      </c>
      <c r="Z638" s="5358">
        <f>SUM(Z639:Z683)-Z647-Z649-Z654-Z664-Z668-Z675</f>
        <v>10498038200</v>
      </c>
      <c r="AA638" s="5357" t="e">
        <f t="shared" si="297"/>
        <v>#REF!</v>
      </c>
      <c r="AB638" s="5358" t="e">
        <f>X638/S638*100-100</f>
        <v>#REF!</v>
      </c>
      <c r="AC638" s="5349"/>
      <c r="AD638" s="5349"/>
      <c r="AE638" s="5349"/>
      <c r="AF638" s="5349">
        <f t="shared" si="289"/>
        <v>-320952300</v>
      </c>
      <c r="AG638" s="5338">
        <f t="shared" si="290"/>
        <v>0</v>
      </c>
    </row>
    <row r="639" spans="1:33" s="5333" customFormat="1" ht="15.05" hidden="1" customHeight="1">
      <c r="A639" s="5426"/>
      <c r="B639" s="5426"/>
      <c r="C639" s="5426"/>
      <c r="D639" s="5374"/>
      <c r="E639" s="5471"/>
      <c r="F639" s="5363"/>
      <c r="G639" s="5363"/>
      <c r="H639" s="5363"/>
      <c r="I639" s="5635"/>
      <c r="J639" s="5655" t="s">
        <v>1163</v>
      </c>
      <c r="K639" s="5376"/>
      <c r="L639" s="5375"/>
      <c r="M639" s="5357">
        <v>1250000</v>
      </c>
      <c r="N639" s="5357">
        <v>1250000</v>
      </c>
      <c r="O639" s="5357">
        <f t="shared" si="292"/>
        <v>0</v>
      </c>
      <c r="P639" s="5358">
        <v>1250000</v>
      </c>
      <c r="Q639" s="5357">
        <f t="shared" si="293"/>
        <v>0</v>
      </c>
      <c r="R639" s="5358">
        <f>P639/N639*100-100</f>
        <v>0</v>
      </c>
      <c r="S639" s="5358">
        <v>0</v>
      </c>
      <c r="T639" s="5357">
        <f t="shared" si="294"/>
        <v>0</v>
      </c>
      <c r="U639" s="5358">
        <v>1250000</v>
      </c>
      <c r="V639" s="5357">
        <f t="shared" si="295"/>
        <v>-1250000</v>
      </c>
      <c r="W639" s="5358">
        <f>S639/P639*100-100</f>
        <v>-100</v>
      </c>
      <c r="X639" s="5358">
        <v>0</v>
      </c>
      <c r="Y639" s="5357">
        <f t="shared" si="296"/>
        <v>100</v>
      </c>
      <c r="Z639" s="5358">
        <v>1250000</v>
      </c>
      <c r="AA639" s="5357">
        <f t="shared" si="297"/>
        <v>0</v>
      </c>
      <c r="AB639" s="5358">
        <v>0</v>
      </c>
      <c r="AC639" s="5349"/>
      <c r="AD639" s="5349"/>
      <c r="AE639" s="5349"/>
      <c r="AF639" s="5349">
        <f t="shared" si="289"/>
        <v>-1250000</v>
      </c>
      <c r="AG639" s="5338">
        <f t="shared" si="290"/>
        <v>0</v>
      </c>
    </row>
    <row r="640" spans="1:33" s="5333" customFormat="1" ht="15.05" hidden="1" customHeight="1">
      <c r="A640" s="5426"/>
      <c r="B640" s="5426"/>
      <c r="C640" s="5426"/>
      <c r="D640" s="5374"/>
      <c r="E640" s="5471"/>
      <c r="F640" s="5363"/>
      <c r="G640" s="5363"/>
      <c r="H640" s="5363"/>
      <c r="I640" s="5635"/>
      <c r="J640" s="5655" t="s">
        <v>1346</v>
      </c>
      <c r="K640" s="5376"/>
      <c r="L640" s="5375"/>
      <c r="M640" s="5357">
        <v>0</v>
      </c>
      <c r="N640" s="5357">
        <v>0</v>
      </c>
      <c r="O640" s="5357">
        <f t="shared" si="292"/>
        <v>0</v>
      </c>
      <c r="P640" s="5358">
        <v>0</v>
      </c>
      <c r="Q640" s="5357">
        <f t="shared" si="293"/>
        <v>0</v>
      </c>
      <c r="R640" s="5358">
        <v>0</v>
      </c>
      <c r="S640" s="5358">
        <v>0</v>
      </c>
      <c r="T640" s="5357">
        <f t="shared" si="294"/>
        <v>0</v>
      </c>
      <c r="U640" s="5358">
        <v>0</v>
      </c>
      <c r="V640" s="5357">
        <f t="shared" si="295"/>
        <v>0</v>
      </c>
      <c r="W640" s="5358">
        <v>0</v>
      </c>
      <c r="X640" s="5358">
        <v>0</v>
      </c>
      <c r="Y640" s="5357">
        <f t="shared" si="296"/>
        <v>0</v>
      </c>
      <c r="Z640" s="5358">
        <v>0</v>
      </c>
      <c r="AA640" s="5357">
        <f t="shared" si="297"/>
        <v>0</v>
      </c>
      <c r="AB640" s="5358">
        <v>0</v>
      </c>
      <c r="AC640" s="5349"/>
      <c r="AD640" s="5349"/>
      <c r="AE640" s="5349"/>
      <c r="AF640" s="5349">
        <f t="shared" si="289"/>
        <v>0</v>
      </c>
      <c r="AG640" s="5338">
        <f t="shared" si="290"/>
        <v>0</v>
      </c>
    </row>
    <row r="641" spans="1:33" s="5333" customFormat="1" ht="15.05" hidden="1" customHeight="1">
      <c r="A641" s="5426"/>
      <c r="B641" s="5426"/>
      <c r="C641" s="5426"/>
      <c r="D641" s="5374"/>
      <c r="E641" s="5471"/>
      <c r="F641" s="5363"/>
      <c r="G641" s="5363"/>
      <c r="H641" s="5363"/>
      <c r="I641" s="5635"/>
      <c r="J641" s="5655" t="s">
        <v>1360</v>
      </c>
      <c r="K641" s="5376"/>
      <c r="L641" s="5375"/>
      <c r="M641" s="5357">
        <v>2950000</v>
      </c>
      <c r="N641" s="5357">
        <v>2950000</v>
      </c>
      <c r="O641" s="5357">
        <f t="shared" si="292"/>
        <v>0</v>
      </c>
      <c r="P641" s="5358">
        <v>2950000</v>
      </c>
      <c r="Q641" s="5357">
        <f t="shared" si="293"/>
        <v>0</v>
      </c>
      <c r="R641" s="5358">
        <f t="shared" ref="R641:R667" si="298">P641/N641*100-100</f>
        <v>0</v>
      </c>
      <c r="S641" s="5358">
        <v>0</v>
      </c>
      <c r="T641" s="5357">
        <f t="shared" si="294"/>
        <v>0</v>
      </c>
      <c r="U641" s="5358">
        <v>2950000</v>
      </c>
      <c r="V641" s="5357">
        <f t="shared" si="295"/>
        <v>-2950000</v>
      </c>
      <c r="W641" s="5358">
        <f t="shared" ref="W641:W654" si="299">S641/P641*100-100</f>
        <v>-100</v>
      </c>
      <c r="X641" s="5358">
        <v>0</v>
      </c>
      <c r="Y641" s="5357">
        <f t="shared" si="296"/>
        <v>100</v>
      </c>
      <c r="Z641" s="5358">
        <v>2950000</v>
      </c>
      <c r="AA641" s="5357">
        <f t="shared" si="297"/>
        <v>0</v>
      </c>
      <c r="AB641" s="5358">
        <v>0</v>
      </c>
      <c r="AC641" s="5349"/>
      <c r="AD641" s="5349"/>
      <c r="AE641" s="5349"/>
      <c r="AF641" s="5349">
        <f t="shared" si="289"/>
        <v>-2950000</v>
      </c>
      <c r="AG641" s="5338">
        <f t="shared" si="290"/>
        <v>0</v>
      </c>
    </row>
    <row r="642" spans="1:33" s="5333" customFormat="1" ht="15.05" hidden="1" customHeight="1">
      <c r="A642" s="5426"/>
      <c r="B642" s="5426"/>
      <c r="C642" s="5426"/>
      <c r="D642" s="5374"/>
      <c r="E642" s="5471"/>
      <c r="F642" s="5363"/>
      <c r="G642" s="5363"/>
      <c r="H642" s="5363"/>
      <c r="I642" s="5635"/>
      <c r="J642" s="5655" t="s">
        <v>1359</v>
      </c>
      <c r="K642" s="5376"/>
      <c r="L642" s="5375"/>
      <c r="M642" s="5357">
        <v>2876300</v>
      </c>
      <c r="N642" s="5357">
        <v>2876300</v>
      </c>
      <c r="O642" s="5357">
        <f t="shared" si="292"/>
        <v>0</v>
      </c>
      <c r="P642" s="5358">
        <v>2876300</v>
      </c>
      <c r="Q642" s="5357">
        <f t="shared" si="293"/>
        <v>0</v>
      </c>
      <c r="R642" s="5358">
        <f t="shared" si="298"/>
        <v>0</v>
      </c>
      <c r="S642" s="5358">
        <v>0</v>
      </c>
      <c r="T642" s="5357">
        <f t="shared" si="294"/>
        <v>0</v>
      </c>
      <c r="U642" s="5358">
        <v>2876300</v>
      </c>
      <c r="V642" s="5357">
        <f t="shared" si="295"/>
        <v>-2876300</v>
      </c>
      <c r="W642" s="5358">
        <f t="shared" si="299"/>
        <v>-100</v>
      </c>
      <c r="X642" s="5358">
        <v>0</v>
      </c>
      <c r="Y642" s="5357">
        <f t="shared" si="296"/>
        <v>100</v>
      </c>
      <c r="Z642" s="5358">
        <v>2876300</v>
      </c>
      <c r="AA642" s="5357">
        <f t="shared" si="297"/>
        <v>0</v>
      </c>
      <c r="AB642" s="5358">
        <v>0</v>
      </c>
      <c r="AC642" s="5349"/>
      <c r="AD642" s="5349"/>
      <c r="AE642" s="5349"/>
      <c r="AF642" s="5349">
        <f t="shared" si="289"/>
        <v>-2876300</v>
      </c>
      <c r="AG642" s="5338">
        <f t="shared" si="290"/>
        <v>0</v>
      </c>
    </row>
    <row r="643" spans="1:33" s="5333" customFormat="1" ht="15.05" hidden="1" customHeight="1">
      <c r="A643" s="5426"/>
      <c r="B643" s="5426"/>
      <c r="C643" s="5426"/>
      <c r="D643" s="5374"/>
      <c r="E643" s="5471"/>
      <c r="F643" s="5363"/>
      <c r="G643" s="5363"/>
      <c r="H643" s="5363"/>
      <c r="I643" s="5635"/>
      <c r="J643" s="5655" t="s">
        <v>1358</v>
      </c>
      <c r="K643" s="5376"/>
      <c r="L643" s="5375"/>
      <c r="M643" s="5357">
        <v>11845000</v>
      </c>
      <c r="N643" s="5357">
        <v>11845000</v>
      </c>
      <c r="O643" s="5357">
        <f t="shared" si="292"/>
        <v>0</v>
      </c>
      <c r="P643" s="5358">
        <v>11845000</v>
      </c>
      <c r="Q643" s="5357">
        <f t="shared" si="293"/>
        <v>0</v>
      </c>
      <c r="R643" s="5358">
        <f t="shared" si="298"/>
        <v>0</v>
      </c>
      <c r="S643" s="5358">
        <v>0</v>
      </c>
      <c r="T643" s="5357">
        <f t="shared" si="294"/>
        <v>0</v>
      </c>
      <c r="U643" s="5358">
        <v>11845000</v>
      </c>
      <c r="V643" s="5357">
        <f t="shared" si="295"/>
        <v>-11845000</v>
      </c>
      <c r="W643" s="5358">
        <f t="shared" si="299"/>
        <v>-100</v>
      </c>
      <c r="X643" s="5358">
        <v>0</v>
      </c>
      <c r="Y643" s="5357">
        <f t="shared" si="296"/>
        <v>100</v>
      </c>
      <c r="Z643" s="5358">
        <v>11845000</v>
      </c>
      <c r="AA643" s="5357">
        <f t="shared" si="297"/>
        <v>0</v>
      </c>
      <c r="AB643" s="5358">
        <v>0</v>
      </c>
      <c r="AC643" s="5349"/>
      <c r="AD643" s="5349"/>
      <c r="AE643" s="5349"/>
      <c r="AF643" s="5349">
        <f t="shared" si="289"/>
        <v>-11845000</v>
      </c>
      <c r="AG643" s="5338">
        <f t="shared" si="290"/>
        <v>0</v>
      </c>
    </row>
    <row r="644" spans="1:33" s="5333" customFormat="1" ht="15.05" hidden="1" customHeight="1">
      <c r="A644" s="5426"/>
      <c r="B644" s="5426"/>
      <c r="C644" s="5426"/>
      <c r="D644" s="5374"/>
      <c r="E644" s="5471"/>
      <c r="F644" s="5363"/>
      <c r="G644" s="5363"/>
      <c r="H644" s="5363"/>
      <c r="I644" s="5635"/>
      <c r="J644" s="5655" t="s">
        <v>674</v>
      </c>
      <c r="K644" s="5376"/>
      <c r="L644" s="5375"/>
      <c r="M644" s="5357">
        <v>4200000</v>
      </c>
      <c r="N644" s="5357">
        <v>4200000</v>
      </c>
      <c r="O644" s="5357">
        <f t="shared" si="292"/>
        <v>0</v>
      </c>
      <c r="P644" s="5358">
        <v>4200000</v>
      </c>
      <c r="Q644" s="5357">
        <f t="shared" si="293"/>
        <v>0</v>
      </c>
      <c r="R644" s="5358">
        <f t="shared" si="298"/>
        <v>0</v>
      </c>
      <c r="S644" s="5358">
        <v>0</v>
      </c>
      <c r="T644" s="5357">
        <f t="shared" si="294"/>
        <v>0</v>
      </c>
      <c r="U644" s="5358">
        <v>4200000</v>
      </c>
      <c r="V644" s="5357">
        <f t="shared" si="295"/>
        <v>-4200000</v>
      </c>
      <c r="W644" s="5358">
        <f t="shared" si="299"/>
        <v>-100</v>
      </c>
      <c r="X644" s="5358">
        <v>0</v>
      </c>
      <c r="Y644" s="5357">
        <f t="shared" si="296"/>
        <v>100</v>
      </c>
      <c r="Z644" s="5358">
        <v>4200000</v>
      </c>
      <c r="AA644" s="5357">
        <f t="shared" si="297"/>
        <v>0</v>
      </c>
      <c r="AB644" s="5358">
        <v>0</v>
      </c>
      <c r="AC644" s="5349"/>
      <c r="AD644" s="5349"/>
      <c r="AE644" s="5349"/>
      <c r="AF644" s="5349">
        <f t="shared" si="289"/>
        <v>-4200000</v>
      </c>
      <c r="AG644" s="5338">
        <f t="shared" si="290"/>
        <v>0</v>
      </c>
    </row>
    <row r="645" spans="1:33" s="5333" customFormat="1" ht="15.05" hidden="1" customHeight="1">
      <c r="A645" s="5426"/>
      <c r="B645" s="5426"/>
      <c r="C645" s="5426"/>
      <c r="D645" s="5374"/>
      <c r="E645" s="5471"/>
      <c r="F645" s="5363"/>
      <c r="G645" s="5363"/>
      <c r="H645" s="5363"/>
      <c r="I645" s="5635"/>
      <c r="J645" s="5655" t="s">
        <v>115</v>
      </c>
      <c r="K645" s="5376"/>
      <c r="L645" s="5375"/>
      <c r="M645" s="5357">
        <v>342158400</v>
      </c>
      <c r="N645" s="5357">
        <v>17782000</v>
      </c>
      <c r="O645" s="5357">
        <f t="shared" si="292"/>
        <v>-324376400</v>
      </c>
      <c r="P645" s="5358">
        <v>342158400</v>
      </c>
      <c r="Q645" s="5357">
        <f t="shared" si="293"/>
        <v>324376400</v>
      </c>
      <c r="R645" s="5474">
        <f t="shared" si="298"/>
        <v>1824.1840062985041</v>
      </c>
      <c r="S645" s="5358">
        <v>0</v>
      </c>
      <c r="T645" s="5357">
        <f t="shared" si="294"/>
        <v>-1824.1840062985041</v>
      </c>
      <c r="U645" s="5358">
        <v>342158400</v>
      </c>
      <c r="V645" s="5357">
        <f t="shared" si="295"/>
        <v>-342158400</v>
      </c>
      <c r="W645" s="5474">
        <f t="shared" si="299"/>
        <v>-100</v>
      </c>
      <c r="X645" s="5358">
        <v>0</v>
      </c>
      <c r="Y645" s="5357">
        <f t="shared" si="296"/>
        <v>100</v>
      </c>
      <c r="Z645" s="5358">
        <v>342158400</v>
      </c>
      <c r="AA645" s="5357">
        <f t="shared" si="297"/>
        <v>0</v>
      </c>
      <c r="AB645" s="5474">
        <v>0</v>
      </c>
      <c r="AC645" s="5349"/>
      <c r="AD645" s="5349"/>
      <c r="AE645" s="5349"/>
      <c r="AF645" s="5349">
        <f t="shared" si="289"/>
        <v>-342158400</v>
      </c>
      <c r="AG645" s="5338">
        <f t="shared" si="290"/>
        <v>0</v>
      </c>
    </row>
    <row r="646" spans="1:33" s="5333" customFormat="1" ht="15.05" customHeight="1">
      <c r="A646" s="5426"/>
      <c r="B646" s="5426"/>
      <c r="C646" s="5426"/>
      <c r="D646" s="5374"/>
      <c r="E646" s="5471"/>
      <c r="F646" s="5363"/>
      <c r="G646" s="5363"/>
      <c r="H646" s="5363"/>
      <c r="I646" s="5635"/>
      <c r="J646" s="5655" t="s">
        <v>458</v>
      </c>
      <c r="K646" s="5376"/>
      <c r="L646" s="5375"/>
      <c r="M646" s="5357">
        <v>3291945800</v>
      </c>
      <c r="N646" s="5357">
        <v>3100000000</v>
      </c>
      <c r="O646" s="5357">
        <f t="shared" si="292"/>
        <v>-191945800</v>
      </c>
      <c r="P646" s="5358">
        <v>3291945800</v>
      </c>
      <c r="Q646" s="5357">
        <f t="shared" si="293"/>
        <v>191945800</v>
      </c>
      <c r="R646" s="5358">
        <f t="shared" si="298"/>
        <v>6.1917999999999864</v>
      </c>
      <c r="S646" s="5358">
        <v>3291945800</v>
      </c>
      <c r="T646" s="5357">
        <f t="shared" si="294"/>
        <v>3291945793.8081999</v>
      </c>
      <c r="U646" s="5358">
        <v>3291945800</v>
      </c>
      <c r="V646" s="5357">
        <f t="shared" si="295"/>
        <v>0</v>
      </c>
      <c r="W646" s="5358">
        <f t="shared" si="299"/>
        <v>0</v>
      </c>
      <c r="X646" s="5358" t="e">
        <f>#REF!</f>
        <v>#REF!</v>
      </c>
      <c r="Y646" s="5357" t="e">
        <f t="shared" si="296"/>
        <v>#REF!</v>
      </c>
      <c r="Z646" s="5358">
        <v>3291945800</v>
      </c>
      <c r="AA646" s="5357" t="e">
        <f t="shared" si="297"/>
        <v>#REF!</v>
      </c>
      <c r="AB646" s="5358" t="e">
        <f t="shared" ref="AB646:AB654" si="300">X646/S646*100-100</f>
        <v>#REF!</v>
      </c>
      <c r="AC646" s="5349"/>
      <c r="AD646" s="5349"/>
      <c r="AE646" s="5349"/>
      <c r="AF646" s="5349">
        <f t="shared" si="289"/>
        <v>0</v>
      </c>
      <c r="AG646" s="5338">
        <f t="shared" si="290"/>
        <v>0</v>
      </c>
    </row>
    <row r="647" spans="1:33" s="5333" customFormat="1" ht="15.05" customHeight="1">
      <c r="A647" s="5426"/>
      <c r="B647" s="5426"/>
      <c r="C647" s="5426"/>
      <c r="D647" s="5374"/>
      <c r="E647" s="5471"/>
      <c r="F647" s="5363"/>
      <c r="G647" s="5363"/>
      <c r="H647" s="5363"/>
      <c r="I647" s="5635"/>
      <c r="J647" s="5655" t="s">
        <v>1357</v>
      </c>
      <c r="K647" s="5376"/>
      <c r="L647" s="5375"/>
      <c r="M647" s="5357">
        <v>51419400</v>
      </c>
      <c r="N647" s="5357">
        <f>N648</f>
        <v>51419400</v>
      </c>
      <c r="O647" s="5357">
        <f t="shared" si="292"/>
        <v>0</v>
      </c>
      <c r="P647" s="5358">
        <f>SUM(P648)</f>
        <v>51419400</v>
      </c>
      <c r="Q647" s="5357">
        <f t="shared" si="293"/>
        <v>0</v>
      </c>
      <c r="R647" s="5358">
        <f t="shared" si="298"/>
        <v>0</v>
      </c>
      <c r="S647" s="5358">
        <f>SUM(S648)</f>
        <v>51419400</v>
      </c>
      <c r="T647" s="5357">
        <f t="shared" si="294"/>
        <v>51419400</v>
      </c>
      <c r="U647" s="5358">
        <f>SUM(U648)</f>
        <v>51419400</v>
      </c>
      <c r="V647" s="5357">
        <f t="shared" si="295"/>
        <v>0</v>
      </c>
      <c r="W647" s="5358">
        <f t="shared" si="299"/>
        <v>0</v>
      </c>
      <c r="X647" s="5358">
        <f>SUM(X648)</f>
        <v>51419400</v>
      </c>
      <c r="Y647" s="5357">
        <f t="shared" si="296"/>
        <v>51419400</v>
      </c>
      <c r="Z647" s="5358">
        <f>SUM(Z648)</f>
        <v>51419400</v>
      </c>
      <c r="AA647" s="5357">
        <f t="shared" si="297"/>
        <v>0</v>
      </c>
      <c r="AB647" s="5358">
        <f t="shared" si="300"/>
        <v>0</v>
      </c>
      <c r="AC647" s="5349"/>
      <c r="AD647" s="5349"/>
      <c r="AE647" s="5349"/>
      <c r="AF647" s="5349">
        <f t="shared" si="289"/>
        <v>0</v>
      </c>
      <c r="AG647" s="5338">
        <f t="shared" si="290"/>
        <v>0</v>
      </c>
    </row>
    <row r="648" spans="1:33" s="5333" customFormat="1" ht="15.05" customHeight="1">
      <c r="A648" s="5426"/>
      <c r="B648" s="5426"/>
      <c r="C648" s="5426"/>
      <c r="D648" s="5374"/>
      <c r="E648" s="5471"/>
      <c r="F648" s="5363"/>
      <c r="G648" s="5363"/>
      <c r="H648" s="5363"/>
      <c r="I648" s="5635"/>
      <c r="J648" s="5655" t="s">
        <v>50</v>
      </c>
      <c r="K648" s="5376" t="s">
        <v>795</v>
      </c>
      <c r="L648" s="5375"/>
      <c r="M648" s="5357">
        <v>51419400</v>
      </c>
      <c r="N648" s="5357">
        <v>51419400</v>
      </c>
      <c r="O648" s="5357">
        <f t="shared" si="292"/>
        <v>0</v>
      </c>
      <c r="P648" s="5358">
        <v>51419400</v>
      </c>
      <c r="Q648" s="5357">
        <f t="shared" si="293"/>
        <v>0</v>
      </c>
      <c r="R648" s="5358">
        <f t="shared" si="298"/>
        <v>0</v>
      </c>
      <c r="S648" s="5358">
        <v>51419400</v>
      </c>
      <c r="T648" s="5357">
        <f t="shared" si="294"/>
        <v>51419400</v>
      </c>
      <c r="U648" s="5358">
        <v>51419400</v>
      </c>
      <c r="V648" s="5357">
        <f t="shared" si="295"/>
        <v>0</v>
      </c>
      <c r="W648" s="5358">
        <f t="shared" si="299"/>
        <v>0</v>
      </c>
      <c r="X648" s="5358">
        <v>51419400</v>
      </c>
      <c r="Y648" s="5357">
        <f t="shared" si="296"/>
        <v>51419400</v>
      </c>
      <c r="Z648" s="5358">
        <v>51419400</v>
      </c>
      <c r="AA648" s="5357">
        <f t="shared" si="297"/>
        <v>0</v>
      </c>
      <c r="AB648" s="5358">
        <f t="shared" si="300"/>
        <v>0</v>
      </c>
      <c r="AC648" s="5349"/>
      <c r="AD648" s="5349"/>
      <c r="AE648" s="5349"/>
      <c r="AF648" s="5349">
        <f t="shared" si="289"/>
        <v>0</v>
      </c>
      <c r="AG648" s="5338">
        <f t="shared" si="290"/>
        <v>0</v>
      </c>
    </row>
    <row r="649" spans="1:33" s="5333" customFormat="1" ht="15.05" customHeight="1">
      <c r="A649" s="5426"/>
      <c r="B649" s="5426"/>
      <c r="C649" s="5426"/>
      <c r="D649" s="5374"/>
      <c r="E649" s="5471"/>
      <c r="F649" s="5363"/>
      <c r="G649" s="5363"/>
      <c r="H649" s="5363"/>
      <c r="I649" s="5635"/>
      <c r="J649" s="5655" t="s">
        <v>1356</v>
      </c>
      <c r="K649" s="5376"/>
      <c r="L649" s="5375"/>
      <c r="M649" s="5402">
        <v>335291000</v>
      </c>
      <c r="N649" s="5402">
        <f>SUM(N650:N653)</f>
        <v>271852000</v>
      </c>
      <c r="O649" s="5357">
        <f t="shared" si="292"/>
        <v>-63439000</v>
      </c>
      <c r="P649" s="5473">
        <f>SUM(P650:P653)</f>
        <v>335291000</v>
      </c>
      <c r="Q649" s="5357">
        <f t="shared" si="293"/>
        <v>63439000</v>
      </c>
      <c r="R649" s="5358">
        <f t="shared" si="298"/>
        <v>23.33585921751542</v>
      </c>
      <c r="S649" s="5473">
        <f>SUM(S650:S653)</f>
        <v>335291000</v>
      </c>
      <c r="T649" s="5357">
        <f t="shared" si="294"/>
        <v>335290976.66414076</v>
      </c>
      <c r="U649" s="5473">
        <f>SUM(U650:U653)</f>
        <v>335291000</v>
      </c>
      <c r="V649" s="5357">
        <f t="shared" si="295"/>
        <v>0</v>
      </c>
      <c r="W649" s="5358">
        <f t="shared" si="299"/>
        <v>0</v>
      </c>
      <c r="X649" s="5473">
        <f>SUM(X650:X653)</f>
        <v>335291000</v>
      </c>
      <c r="Y649" s="5357">
        <f t="shared" si="296"/>
        <v>335291000</v>
      </c>
      <c r="Z649" s="5473">
        <f>SUM(Z650:Z653)</f>
        <v>335291000</v>
      </c>
      <c r="AA649" s="5357">
        <f t="shared" si="297"/>
        <v>0</v>
      </c>
      <c r="AB649" s="5358">
        <f t="shared" si="300"/>
        <v>0</v>
      </c>
      <c r="AC649" s="5349"/>
      <c r="AD649" s="5349"/>
      <c r="AE649" s="5349"/>
      <c r="AF649" s="5349">
        <f t="shared" si="289"/>
        <v>0</v>
      </c>
      <c r="AG649" s="5338">
        <f t="shared" si="290"/>
        <v>0</v>
      </c>
    </row>
    <row r="650" spans="1:33" s="5333" customFormat="1" ht="13.5" customHeight="1">
      <c r="A650" s="5426"/>
      <c r="B650" s="5426"/>
      <c r="C650" s="5426"/>
      <c r="D650" s="5374"/>
      <c r="E650" s="5471"/>
      <c r="F650" s="5363"/>
      <c r="G650" s="5363"/>
      <c r="H650" s="5363"/>
      <c r="I650" s="5635"/>
      <c r="J650" s="5655" t="s">
        <v>50</v>
      </c>
      <c r="K650" s="5376" t="s">
        <v>797</v>
      </c>
      <c r="L650" s="5375"/>
      <c r="M650" s="5357">
        <v>55355000</v>
      </c>
      <c r="N650" s="5357">
        <v>26880000</v>
      </c>
      <c r="O650" s="5357">
        <f t="shared" si="292"/>
        <v>-28475000</v>
      </c>
      <c r="P650" s="5381">
        <v>55355000</v>
      </c>
      <c r="Q650" s="5357">
        <f t="shared" si="293"/>
        <v>28475000</v>
      </c>
      <c r="R650" s="5358">
        <f t="shared" si="298"/>
        <v>105.93377976190476</v>
      </c>
      <c r="S650" s="5381">
        <v>55355000</v>
      </c>
      <c r="T650" s="5357">
        <f t="shared" si="294"/>
        <v>55354894.066220239</v>
      </c>
      <c r="U650" s="5381">
        <v>55355000</v>
      </c>
      <c r="V650" s="5357">
        <f t="shared" si="295"/>
        <v>0</v>
      </c>
      <c r="W650" s="5358">
        <f t="shared" si="299"/>
        <v>0</v>
      </c>
      <c r="X650" s="5381">
        <v>55355000</v>
      </c>
      <c r="Y650" s="5357">
        <f t="shared" si="296"/>
        <v>55355000</v>
      </c>
      <c r="Z650" s="5381">
        <v>55355000</v>
      </c>
      <c r="AA650" s="5357">
        <f t="shared" si="297"/>
        <v>0</v>
      </c>
      <c r="AB650" s="5358">
        <f t="shared" si="300"/>
        <v>0</v>
      </c>
      <c r="AC650" s="5349"/>
      <c r="AD650" s="5349"/>
      <c r="AE650" s="5349"/>
      <c r="AF650" s="5349">
        <f t="shared" si="289"/>
        <v>0</v>
      </c>
      <c r="AG650" s="5338">
        <f t="shared" si="290"/>
        <v>0</v>
      </c>
    </row>
    <row r="651" spans="1:33" s="5333" customFormat="1" ht="13.5" customHeight="1">
      <c r="A651" s="5426"/>
      <c r="B651" s="5426"/>
      <c r="C651" s="5426"/>
      <c r="D651" s="5374"/>
      <c r="E651" s="5471"/>
      <c r="F651" s="5363"/>
      <c r="G651" s="5363"/>
      <c r="H651" s="5363"/>
      <c r="I651" s="5635"/>
      <c r="J651" s="5655" t="s">
        <v>50</v>
      </c>
      <c r="K651" s="5376" t="s">
        <v>138</v>
      </c>
      <c r="L651" s="5375"/>
      <c r="M651" s="5357">
        <v>57136000</v>
      </c>
      <c r="N651" s="5357">
        <v>57136000</v>
      </c>
      <c r="O651" s="5357">
        <f t="shared" si="292"/>
        <v>0</v>
      </c>
      <c r="P651" s="5358">
        <v>57136000</v>
      </c>
      <c r="Q651" s="5357">
        <f t="shared" si="293"/>
        <v>0</v>
      </c>
      <c r="R651" s="5358">
        <f t="shared" si="298"/>
        <v>0</v>
      </c>
      <c r="S651" s="5358">
        <v>57136000</v>
      </c>
      <c r="T651" s="5357">
        <f t="shared" si="294"/>
        <v>57136000</v>
      </c>
      <c r="U651" s="5358">
        <v>57136000</v>
      </c>
      <c r="V651" s="5357">
        <f t="shared" si="295"/>
        <v>0</v>
      </c>
      <c r="W651" s="5358">
        <f t="shared" si="299"/>
        <v>0</v>
      </c>
      <c r="X651" s="5358">
        <v>57136000</v>
      </c>
      <c r="Y651" s="5357">
        <f t="shared" si="296"/>
        <v>57136000</v>
      </c>
      <c r="Z651" s="5358">
        <v>57136000</v>
      </c>
      <c r="AA651" s="5357">
        <f t="shared" si="297"/>
        <v>0</v>
      </c>
      <c r="AB651" s="5358">
        <f t="shared" si="300"/>
        <v>0</v>
      </c>
      <c r="AC651" s="5349"/>
      <c r="AD651" s="5349"/>
      <c r="AE651" s="5349"/>
      <c r="AF651" s="5349">
        <f t="shared" si="289"/>
        <v>0</v>
      </c>
      <c r="AG651" s="5338">
        <f t="shared" si="290"/>
        <v>0</v>
      </c>
    </row>
    <row r="652" spans="1:33" s="5333" customFormat="1" ht="13.5" customHeight="1">
      <c r="A652" s="5426"/>
      <c r="B652" s="5426"/>
      <c r="C652" s="5426"/>
      <c r="D652" s="5374"/>
      <c r="E652" s="5471"/>
      <c r="F652" s="5363"/>
      <c r="G652" s="5363"/>
      <c r="H652" s="5363"/>
      <c r="I652" s="5635"/>
      <c r="J652" s="5655" t="s">
        <v>50</v>
      </c>
      <c r="K652" s="5376" t="s">
        <v>798</v>
      </c>
      <c r="L652" s="5375"/>
      <c r="M652" s="5357">
        <v>24760000</v>
      </c>
      <c r="N652" s="5357">
        <v>24760000</v>
      </c>
      <c r="O652" s="5357">
        <f t="shared" si="292"/>
        <v>0</v>
      </c>
      <c r="P652" s="5358">
        <v>24760000</v>
      </c>
      <c r="Q652" s="5357">
        <f t="shared" si="293"/>
        <v>0</v>
      </c>
      <c r="R652" s="5358">
        <f t="shared" si="298"/>
        <v>0</v>
      </c>
      <c r="S652" s="5358">
        <v>24760000</v>
      </c>
      <c r="T652" s="5357">
        <f t="shared" si="294"/>
        <v>24760000</v>
      </c>
      <c r="U652" s="5358">
        <v>24760000</v>
      </c>
      <c r="V652" s="5357">
        <f t="shared" si="295"/>
        <v>0</v>
      </c>
      <c r="W652" s="5358">
        <f t="shared" si="299"/>
        <v>0</v>
      </c>
      <c r="X652" s="5358">
        <v>24760000</v>
      </c>
      <c r="Y652" s="5357">
        <f t="shared" si="296"/>
        <v>24760000</v>
      </c>
      <c r="Z652" s="5358">
        <v>24760000</v>
      </c>
      <c r="AA652" s="5357">
        <f t="shared" si="297"/>
        <v>0</v>
      </c>
      <c r="AB652" s="5358">
        <f t="shared" si="300"/>
        <v>0</v>
      </c>
      <c r="AC652" s="5349"/>
      <c r="AD652" s="5349"/>
      <c r="AE652" s="5349"/>
      <c r="AF652" s="5349">
        <f t="shared" si="289"/>
        <v>0</v>
      </c>
      <c r="AG652" s="5338">
        <f t="shared" si="290"/>
        <v>0</v>
      </c>
    </row>
    <row r="653" spans="1:33" s="5333" customFormat="1" ht="13.5" customHeight="1">
      <c r="A653" s="5426"/>
      <c r="B653" s="5426"/>
      <c r="C653" s="5426"/>
      <c r="D653" s="5374"/>
      <c r="E653" s="5471"/>
      <c r="F653" s="5363"/>
      <c r="G653" s="5363"/>
      <c r="H653" s="5363"/>
      <c r="I653" s="5635"/>
      <c r="J653" s="5655" t="s">
        <v>50</v>
      </c>
      <c r="K653" s="5376" t="s">
        <v>140</v>
      </c>
      <c r="L653" s="5375"/>
      <c r="M653" s="5357">
        <v>198040000</v>
      </c>
      <c r="N653" s="5357">
        <v>163076000</v>
      </c>
      <c r="O653" s="5357">
        <f t="shared" si="292"/>
        <v>-34964000</v>
      </c>
      <c r="P653" s="5358">
        <v>198040000</v>
      </c>
      <c r="Q653" s="5357">
        <f t="shared" si="293"/>
        <v>34964000</v>
      </c>
      <c r="R653" s="5358">
        <f t="shared" si="298"/>
        <v>21.440310039490782</v>
      </c>
      <c r="S653" s="5358">
        <v>198040000</v>
      </c>
      <c r="T653" s="5357">
        <f t="shared" si="294"/>
        <v>198039978.55968997</v>
      </c>
      <c r="U653" s="5358">
        <v>198040000</v>
      </c>
      <c r="V653" s="5357">
        <f t="shared" si="295"/>
        <v>0</v>
      </c>
      <c r="W653" s="5358">
        <f t="shared" si="299"/>
        <v>0</v>
      </c>
      <c r="X653" s="5358">
        <v>198040000</v>
      </c>
      <c r="Y653" s="5357">
        <f t="shared" si="296"/>
        <v>198040000</v>
      </c>
      <c r="Z653" s="5358">
        <v>198040000</v>
      </c>
      <c r="AA653" s="5357">
        <f t="shared" si="297"/>
        <v>0</v>
      </c>
      <c r="AB653" s="5358">
        <f t="shared" si="300"/>
        <v>0</v>
      </c>
      <c r="AC653" s="5349"/>
      <c r="AD653" s="5349"/>
      <c r="AE653" s="5349"/>
      <c r="AF653" s="5349">
        <f t="shared" si="289"/>
        <v>0</v>
      </c>
      <c r="AG653" s="5338">
        <f t="shared" si="290"/>
        <v>0</v>
      </c>
    </row>
    <row r="654" spans="1:33" s="5333" customFormat="1" ht="15.05" customHeight="1">
      <c r="A654" s="5426"/>
      <c r="B654" s="5426"/>
      <c r="C654" s="5426"/>
      <c r="D654" s="5374"/>
      <c r="E654" s="5471"/>
      <c r="F654" s="5363"/>
      <c r="G654" s="5363"/>
      <c r="H654" s="5363"/>
      <c r="I654" s="5635"/>
      <c r="J654" s="5655" t="s">
        <v>496</v>
      </c>
      <c r="K654" s="5376"/>
      <c r="L654" s="5375"/>
      <c r="M654" s="5472">
        <v>400714300</v>
      </c>
      <c r="N654" s="5472">
        <f>SUM(N655:N658)</f>
        <v>198483000</v>
      </c>
      <c r="O654" s="5357">
        <f t="shared" si="292"/>
        <v>-202231300</v>
      </c>
      <c r="P654" s="5401">
        <f>SUM(P656:P658)</f>
        <v>400714300</v>
      </c>
      <c r="Q654" s="5357">
        <f t="shared" si="293"/>
        <v>202231300</v>
      </c>
      <c r="R654" s="5358">
        <f t="shared" si="298"/>
        <v>101.88847407586542</v>
      </c>
      <c r="S654" s="5401">
        <f>SUM(S656:S658)</f>
        <v>400714300</v>
      </c>
      <c r="T654" s="5357">
        <f t="shared" si="294"/>
        <v>400714198.11152595</v>
      </c>
      <c r="U654" s="5401">
        <f>SUM(U656:U658)</f>
        <v>400714300</v>
      </c>
      <c r="V654" s="5357">
        <f t="shared" si="295"/>
        <v>0</v>
      </c>
      <c r="W654" s="5358">
        <f t="shared" si="299"/>
        <v>0</v>
      </c>
      <c r="X654" s="5401">
        <f>SUM(X656:X658)</f>
        <v>400714300</v>
      </c>
      <c r="Y654" s="5357">
        <f t="shared" si="296"/>
        <v>400714300</v>
      </c>
      <c r="Z654" s="5401">
        <f>SUM(Z656:Z658)</f>
        <v>400714300</v>
      </c>
      <c r="AA654" s="5357">
        <f t="shared" si="297"/>
        <v>0</v>
      </c>
      <c r="AB654" s="5358">
        <f t="shared" si="300"/>
        <v>0</v>
      </c>
      <c r="AC654" s="5349"/>
      <c r="AD654" s="5349"/>
      <c r="AE654" s="5349"/>
      <c r="AF654" s="5349">
        <f t="shared" si="289"/>
        <v>0</v>
      </c>
      <c r="AG654" s="5338">
        <f t="shared" si="290"/>
        <v>0</v>
      </c>
    </row>
    <row r="655" spans="1:33" s="5333" customFormat="1" ht="15.05" hidden="1" customHeight="1">
      <c r="A655" s="5426"/>
      <c r="B655" s="5426"/>
      <c r="C655" s="5426"/>
      <c r="D655" s="5374"/>
      <c r="E655" s="5471"/>
      <c r="F655" s="5363"/>
      <c r="G655" s="5363"/>
      <c r="H655" s="5363"/>
      <c r="I655" s="5635"/>
      <c r="J655" s="5655" t="s">
        <v>50</v>
      </c>
      <c r="K655" s="5376" t="s">
        <v>85</v>
      </c>
      <c r="L655" s="5375"/>
      <c r="M655" s="5357">
        <v>0</v>
      </c>
      <c r="N655" s="5357">
        <v>0</v>
      </c>
      <c r="O655" s="5357">
        <f t="shared" si="292"/>
        <v>0</v>
      </c>
      <c r="P655" s="5358"/>
      <c r="Q655" s="5357">
        <f t="shared" si="293"/>
        <v>0</v>
      </c>
      <c r="R655" s="5358" t="e">
        <f t="shared" si="298"/>
        <v>#DIV/0!</v>
      </c>
      <c r="S655" s="5358"/>
      <c r="T655" s="5357" t="e">
        <f t="shared" si="294"/>
        <v>#DIV/0!</v>
      </c>
      <c r="U655" s="5358"/>
      <c r="V655" s="5357"/>
      <c r="W655" s="5358"/>
      <c r="X655" s="5358"/>
      <c r="Y655" s="5357">
        <f t="shared" si="296"/>
        <v>0</v>
      </c>
      <c r="Z655" s="5358"/>
      <c r="AA655" s="5357"/>
      <c r="AB655" s="5358"/>
      <c r="AC655" s="5349"/>
      <c r="AD655" s="5349"/>
      <c r="AE655" s="5349"/>
      <c r="AF655" s="5349">
        <f t="shared" si="289"/>
        <v>0</v>
      </c>
      <c r="AG655" s="5338">
        <f t="shared" si="290"/>
        <v>0</v>
      </c>
    </row>
    <row r="656" spans="1:33" s="5333" customFormat="1" ht="12.7" customHeight="1">
      <c r="A656" s="5426"/>
      <c r="B656" s="5426"/>
      <c r="C656" s="5426"/>
      <c r="D656" s="5374"/>
      <c r="E656" s="5471"/>
      <c r="F656" s="5363"/>
      <c r="G656" s="5363"/>
      <c r="H656" s="5363"/>
      <c r="I656" s="5635"/>
      <c r="J656" s="5655" t="s">
        <v>50</v>
      </c>
      <c r="K656" s="5376" t="s">
        <v>145</v>
      </c>
      <c r="L656" s="5375"/>
      <c r="M656" s="5357">
        <v>63698000</v>
      </c>
      <c r="N656" s="5357">
        <v>26286000</v>
      </c>
      <c r="O656" s="5357">
        <f t="shared" si="292"/>
        <v>-37412000</v>
      </c>
      <c r="P656" s="5358">
        <v>63698000</v>
      </c>
      <c r="Q656" s="5357">
        <f t="shared" si="293"/>
        <v>37412000</v>
      </c>
      <c r="R656" s="5358">
        <f t="shared" si="298"/>
        <v>142.32671384006696</v>
      </c>
      <c r="S656" s="5358">
        <v>63698000</v>
      </c>
      <c r="T656" s="5357">
        <f t="shared" si="294"/>
        <v>63697857.673286162</v>
      </c>
      <c r="U656" s="5358">
        <v>63698000</v>
      </c>
      <c r="V656" s="5357">
        <f t="shared" ref="V656:V683" si="301">S656-P656</f>
        <v>0</v>
      </c>
      <c r="W656" s="5358">
        <f>S656/P656*100-100</f>
        <v>0</v>
      </c>
      <c r="X656" s="5358">
        <v>63698000</v>
      </c>
      <c r="Y656" s="5357">
        <f t="shared" si="296"/>
        <v>63698000</v>
      </c>
      <c r="Z656" s="5358">
        <v>63698000</v>
      </c>
      <c r="AA656" s="5357">
        <f t="shared" ref="AA656:AA683" si="302">X656-S656</f>
        <v>0</v>
      </c>
      <c r="AB656" s="5358">
        <f>X656/S656*100-100</f>
        <v>0</v>
      </c>
      <c r="AC656" s="5349"/>
      <c r="AD656" s="5349"/>
      <c r="AE656" s="5349"/>
      <c r="AF656" s="5349">
        <f t="shared" si="289"/>
        <v>0</v>
      </c>
      <c r="AG656" s="5338">
        <f t="shared" si="290"/>
        <v>0</v>
      </c>
    </row>
    <row r="657" spans="1:33" s="5333" customFormat="1" ht="12.7" customHeight="1">
      <c r="A657" s="5426"/>
      <c r="B657" s="5426"/>
      <c r="C657" s="5426"/>
      <c r="D657" s="5374"/>
      <c r="E657" s="5471"/>
      <c r="F657" s="5363"/>
      <c r="G657" s="5363"/>
      <c r="H657" s="5363"/>
      <c r="I657" s="5635"/>
      <c r="J657" s="5655" t="s">
        <v>50</v>
      </c>
      <c r="K657" s="5376" t="s">
        <v>146</v>
      </c>
      <c r="L657" s="5375"/>
      <c r="M657" s="5357">
        <v>285233000</v>
      </c>
      <c r="N657" s="5357">
        <v>122639000</v>
      </c>
      <c r="O657" s="5357">
        <f t="shared" si="292"/>
        <v>-162594000</v>
      </c>
      <c r="P657" s="5358">
        <v>285233000</v>
      </c>
      <c r="Q657" s="5357">
        <f t="shared" si="293"/>
        <v>162594000</v>
      </c>
      <c r="R657" s="5358">
        <f t="shared" si="298"/>
        <v>132.57935893149812</v>
      </c>
      <c r="S657" s="5358">
        <v>285233000</v>
      </c>
      <c r="T657" s="5357">
        <f t="shared" si="294"/>
        <v>285232867.42064106</v>
      </c>
      <c r="U657" s="5358">
        <v>285233000</v>
      </c>
      <c r="V657" s="5357">
        <f t="shared" si="301"/>
        <v>0</v>
      </c>
      <c r="W657" s="5358">
        <f>S657/P657*100-100</f>
        <v>0</v>
      </c>
      <c r="X657" s="5358">
        <v>285233000</v>
      </c>
      <c r="Y657" s="5357">
        <f t="shared" si="296"/>
        <v>285233000</v>
      </c>
      <c r="Z657" s="5358">
        <v>285233000</v>
      </c>
      <c r="AA657" s="5357">
        <f t="shared" si="302"/>
        <v>0</v>
      </c>
      <c r="AB657" s="5358">
        <f>X657/S657*100-100</f>
        <v>0</v>
      </c>
      <c r="AC657" s="5349"/>
      <c r="AD657" s="5349"/>
      <c r="AE657" s="5349"/>
      <c r="AF657" s="5349">
        <f t="shared" si="289"/>
        <v>0</v>
      </c>
      <c r="AG657" s="5338">
        <f t="shared" si="290"/>
        <v>0</v>
      </c>
    </row>
    <row r="658" spans="1:33" s="5333" customFormat="1" ht="12.7" customHeight="1">
      <c r="A658" s="5426"/>
      <c r="B658" s="5426"/>
      <c r="C658" s="5426"/>
      <c r="D658" s="5374"/>
      <c r="E658" s="5471"/>
      <c r="F658" s="5363"/>
      <c r="G658" s="5363"/>
      <c r="H658" s="5363"/>
      <c r="I658" s="5635"/>
      <c r="J658" s="5655" t="s">
        <v>50</v>
      </c>
      <c r="K658" s="5376" t="s">
        <v>147</v>
      </c>
      <c r="L658" s="5375"/>
      <c r="M658" s="5357">
        <v>51783300</v>
      </c>
      <c r="N658" s="5357">
        <v>49558000</v>
      </c>
      <c r="O658" s="5357">
        <f t="shared" si="292"/>
        <v>-2225300</v>
      </c>
      <c r="P658" s="5358">
        <v>51783300</v>
      </c>
      <c r="Q658" s="5357">
        <f t="shared" si="293"/>
        <v>2225300</v>
      </c>
      <c r="R658" s="5358">
        <f t="shared" si="298"/>
        <v>4.4902942007344961</v>
      </c>
      <c r="S658" s="5358">
        <v>51783300</v>
      </c>
      <c r="T658" s="5357">
        <f t="shared" si="294"/>
        <v>51783295.509705797</v>
      </c>
      <c r="U658" s="5358">
        <v>51783300</v>
      </c>
      <c r="V658" s="5357">
        <f t="shared" si="301"/>
        <v>0</v>
      </c>
      <c r="W658" s="5358">
        <f>S658/P658*100-100</f>
        <v>0</v>
      </c>
      <c r="X658" s="5358">
        <v>51783300</v>
      </c>
      <c r="Y658" s="5357">
        <f t="shared" si="296"/>
        <v>51783300</v>
      </c>
      <c r="Z658" s="5358">
        <v>51783300</v>
      </c>
      <c r="AA658" s="5357">
        <f t="shared" si="302"/>
        <v>0</v>
      </c>
      <c r="AB658" s="5358">
        <f>X658/S658*100-100</f>
        <v>0</v>
      </c>
      <c r="AC658" s="5349"/>
      <c r="AD658" s="5349"/>
      <c r="AE658" s="5349"/>
      <c r="AF658" s="5349">
        <f t="shared" si="289"/>
        <v>0</v>
      </c>
      <c r="AG658" s="5338">
        <f t="shared" si="290"/>
        <v>0</v>
      </c>
    </row>
    <row r="659" spans="1:33" s="5333" customFormat="1" ht="15.05" customHeight="1">
      <c r="A659" s="5426"/>
      <c r="B659" s="5426"/>
      <c r="C659" s="5426"/>
      <c r="D659" s="5374"/>
      <c r="E659" s="5471"/>
      <c r="F659" s="5363"/>
      <c r="G659" s="5363"/>
      <c r="H659" s="5363"/>
      <c r="I659" s="5635"/>
      <c r="J659" s="5655" t="s">
        <v>497</v>
      </c>
      <c r="K659" s="5376"/>
      <c r="L659" s="5375"/>
      <c r="M659" s="5357">
        <v>25741600</v>
      </c>
      <c r="N659" s="5357">
        <v>25741600</v>
      </c>
      <c r="O659" s="5357">
        <f t="shared" si="292"/>
        <v>0</v>
      </c>
      <c r="P659" s="5358">
        <v>25741600</v>
      </c>
      <c r="Q659" s="5357">
        <f t="shared" si="293"/>
        <v>0</v>
      </c>
      <c r="R659" s="5358">
        <f t="shared" si="298"/>
        <v>0</v>
      </c>
      <c r="S659" s="5358">
        <v>25741600</v>
      </c>
      <c r="T659" s="5357">
        <f t="shared" si="294"/>
        <v>25741600</v>
      </c>
      <c r="U659" s="5358">
        <v>25741600</v>
      </c>
      <c r="V659" s="5357">
        <f t="shared" si="301"/>
        <v>0</v>
      </c>
      <c r="W659" s="5358">
        <f>S659/P659*100-100</f>
        <v>0</v>
      </c>
      <c r="X659" s="5358">
        <v>25741600</v>
      </c>
      <c r="Y659" s="5357">
        <f t="shared" si="296"/>
        <v>25741600</v>
      </c>
      <c r="Z659" s="5358">
        <v>25741600</v>
      </c>
      <c r="AA659" s="5357">
        <f t="shared" si="302"/>
        <v>0</v>
      </c>
      <c r="AB659" s="5358">
        <f>X659/S659*100-100</f>
        <v>0</v>
      </c>
      <c r="AC659" s="5349"/>
      <c r="AD659" s="5349"/>
      <c r="AE659" s="5349"/>
      <c r="AF659" s="5349">
        <f t="shared" si="289"/>
        <v>0</v>
      </c>
      <c r="AG659" s="5338">
        <f t="shared" si="290"/>
        <v>0</v>
      </c>
    </row>
    <row r="660" spans="1:33" s="5333" customFormat="1" ht="13.5" customHeight="1">
      <c r="A660" s="5426"/>
      <c r="B660" s="5426"/>
      <c r="C660" s="5426"/>
      <c r="D660" s="5374"/>
      <c r="E660" s="5471"/>
      <c r="F660" s="5363"/>
      <c r="G660" s="5363"/>
      <c r="H660" s="5363"/>
      <c r="I660" s="5635"/>
      <c r="J660" s="5655" t="s">
        <v>738</v>
      </c>
      <c r="K660" s="5376"/>
      <c r="L660" s="5375"/>
      <c r="M660" s="5357">
        <v>1100000</v>
      </c>
      <c r="N660" s="5357">
        <v>1100000</v>
      </c>
      <c r="O660" s="5357">
        <f t="shared" si="292"/>
        <v>0</v>
      </c>
      <c r="P660" s="5358">
        <v>1100000</v>
      </c>
      <c r="Q660" s="5357">
        <f t="shared" si="293"/>
        <v>0</v>
      </c>
      <c r="R660" s="5358">
        <f t="shared" si="298"/>
        <v>0</v>
      </c>
      <c r="S660" s="5358">
        <v>1100000</v>
      </c>
      <c r="T660" s="5357">
        <f t="shared" si="294"/>
        <v>1100000</v>
      </c>
      <c r="U660" s="5358">
        <v>1100000</v>
      </c>
      <c r="V660" s="5357">
        <f t="shared" si="301"/>
        <v>0</v>
      </c>
      <c r="W660" s="5358">
        <f>S660/P660*100-100</f>
        <v>0</v>
      </c>
      <c r="X660" s="5358">
        <v>1100000</v>
      </c>
      <c r="Y660" s="5357">
        <f t="shared" si="296"/>
        <v>1100000</v>
      </c>
      <c r="Z660" s="5358">
        <v>1100000</v>
      </c>
      <c r="AA660" s="5357">
        <f t="shared" si="302"/>
        <v>0</v>
      </c>
      <c r="AB660" s="5358">
        <f>X660/S660*100-100</f>
        <v>0</v>
      </c>
      <c r="AC660" s="5349"/>
      <c r="AD660" s="5349"/>
      <c r="AE660" s="5349"/>
      <c r="AF660" s="5349">
        <f t="shared" si="289"/>
        <v>0</v>
      </c>
      <c r="AG660" s="5338">
        <f t="shared" si="290"/>
        <v>0</v>
      </c>
    </row>
    <row r="661" spans="1:33" s="5333" customFormat="1" ht="9.6999999999999993" hidden="1" customHeight="1">
      <c r="A661" s="5426"/>
      <c r="B661" s="5426"/>
      <c r="C661" s="5426"/>
      <c r="D661" s="5374"/>
      <c r="E661" s="5471"/>
      <c r="F661" s="5363"/>
      <c r="G661" s="5363"/>
      <c r="H661" s="5363"/>
      <c r="I661" s="5635"/>
      <c r="J661" s="5655" t="s">
        <v>1355</v>
      </c>
      <c r="K661" s="5376"/>
      <c r="L661" s="5375"/>
      <c r="M661" s="5357">
        <v>0</v>
      </c>
      <c r="N661" s="5357">
        <v>0</v>
      </c>
      <c r="O661" s="5357">
        <f t="shared" si="292"/>
        <v>0</v>
      </c>
      <c r="P661" s="5358">
        <v>0</v>
      </c>
      <c r="Q661" s="5357">
        <f t="shared" si="293"/>
        <v>0</v>
      </c>
      <c r="R661" s="5358" t="e">
        <f t="shared" si="298"/>
        <v>#DIV/0!</v>
      </c>
      <c r="S661" s="5358">
        <v>0</v>
      </c>
      <c r="T661" s="5357" t="e">
        <f t="shared" si="294"/>
        <v>#DIV/0!</v>
      </c>
      <c r="U661" s="5358">
        <v>0</v>
      </c>
      <c r="V661" s="5357">
        <f t="shared" si="301"/>
        <v>0</v>
      </c>
      <c r="W661" s="5358">
        <v>0</v>
      </c>
      <c r="X661" s="5358">
        <v>0</v>
      </c>
      <c r="Y661" s="5357">
        <f t="shared" si="296"/>
        <v>0</v>
      </c>
      <c r="Z661" s="5358">
        <v>0</v>
      </c>
      <c r="AA661" s="5357">
        <f t="shared" si="302"/>
        <v>0</v>
      </c>
      <c r="AB661" s="5358">
        <v>0</v>
      </c>
      <c r="AC661" s="5349"/>
      <c r="AD661" s="5349"/>
      <c r="AE661" s="5349"/>
      <c r="AF661" s="5349">
        <f t="shared" si="289"/>
        <v>0</v>
      </c>
      <c r="AG661" s="5338">
        <f t="shared" si="290"/>
        <v>0</v>
      </c>
    </row>
    <row r="662" spans="1:33" s="5333" customFormat="1" ht="15.05" hidden="1" customHeight="1">
      <c r="A662" s="5426"/>
      <c r="B662" s="5426"/>
      <c r="C662" s="5426"/>
      <c r="D662" s="5374"/>
      <c r="E662" s="5471"/>
      <c r="F662" s="5363"/>
      <c r="G662" s="5363"/>
      <c r="H662" s="5363"/>
      <c r="I662" s="5635"/>
      <c r="J662" s="5655" t="s">
        <v>637</v>
      </c>
      <c r="K662" s="5376"/>
      <c r="L662" s="5375"/>
      <c r="M662" s="5357">
        <v>0</v>
      </c>
      <c r="N662" s="5357">
        <v>0</v>
      </c>
      <c r="O662" s="5357">
        <f t="shared" si="292"/>
        <v>0</v>
      </c>
      <c r="P662" s="5358">
        <v>0</v>
      </c>
      <c r="Q662" s="5357">
        <f t="shared" si="293"/>
        <v>0</v>
      </c>
      <c r="R662" s="5358" t="e">
        <f t="shared" si="298"/>
        <v>#DIV/0!</v>
      </c>
      <c r="S662" s="5358">
        <v>0</v>
      </c>
      <c r="T662" s="5357" t="e">
        <f t="shared" si="294"/>
        <v>#DIV/0!</v>
      </c>
      <c r="U662" s="5358">
        <v>0</v>
      </c>
      <c r="V662" s="5357">
        <f t="shared" si="301"/>
        <v>0</v>
      </c>
      <c r="W662" s="5358">
        <v>0</v>
      </c>
      <c r="X662" s="5358">
        <v>0</v>
      </c>
      <c r="Y662" s="5357">
        <f t="shared" si="296"/>
        <v>0</v>
      </c>
      <c r="Z662" s="5358">
        <v>0</v>
      </c>
      <c r="AA662" s="5357">
        <f t="shared" si="302"/>
        <v>0</v>
      </c>
      <c r="AB662" s="5358">
        <v>0</v>
      </c>
      <c r="AC662" s="5349"/>
      <c r="AD662" s="5349"/>
      <c r="AE662" s="5349"/>
      <c r="AF662" s="5349">
        <f t="shared" si="289"/>
        <v>0</v>
      </c>
      <c r="AG662" s="5338">
        <f t="shared" si="290"/>
        <v>0</v>
      </c>
    </row>
    <row r="663" spans="1:33" s="5333" customFormat="1" ht="15.05" hidden="1" customHeight="1">
      <c r="A663" s="5426"/>
      <c r="B663" s="5426"/>
      <c r="C663" s="5426"/>
      <c r="D663" s="5374"/>
      <c r="E663" s="5471"/>
      <c r="F663" s="5363"/>
      <c r="G663" s="5363"/>
      <c r="H663" s="5363"/>
      <c r="I663" s="5635"/>
      <c r="J663" s="5655" t="s">
        <v>1354</v>
      </c>
      <c r="K663" s="5376"/>
      <c r="L663" s="5375"/>
      <c r="M663" s="5357">
        <v>0</v>
      </c>
      <c r="N663" s="5357">
        <v>0</v>
      </c>
      <c r="O663" s="5357">
        <f t="shared" si="292"/>
        <v>0</v>
      </c>
      <c r="P663" s="5358">
        <v>0</v>
      </c>
      <c r="Q663" s="5357">
        <f t="shared" si="293"/>
        <v>0</v>
      </c>
      <c r="R663" s="5358" t="e">
        <f t="shared" si="298"/>
        <v>#DIV/0!</v>
      </c>
      <c r="S663" s="5358">
        <v>0</v>
      </c>
      <c r="T663" s="5357" t="e">
        <f t="shared" si="294"/>
        <v>#DIV/0!</v>
      </c>
      <c r="U663" s="5358">
        <v>0</v>
      </c>
      <c r="V663" s="5357">
        <f t="shared" si="301"/>
        <v>0</v>
      </c>
      <c r="W663" s="5358">
        <v>0</v>
      </c>
      <c r="X663" s="5358">
        <v>0</v>
      </c>
      <c r="Y663" s="5357">
        <f t="shared" si="296"/>
        <v>0</v>
      </c>
      <c r="Z663" s="5358">
        <v>0</v>
      </c>
      <c r="AA663" s="5357">
        <f t="shared" si="302"/>
        <v>0</v>
      </c>
      <c r="AB663" s="5358">
        <v>0</v>
      </c>
      <c r="AC663" s="5349"/>
      <c r="AD663" s="5349"/>
      <c r="AE663" s="5349"/>
      <c r="AF663" s="5349">
        <f t="shared" si="289"/>
        <v>0</v>
      </c>
      <c r="AG663" s="5338">
        <f t="shared" si="290"/>
        <v>0</v>
      </c>
    </row>
    <row r="664" spans="1:33" s="5333" customFormat="1" ht="15.05" hidden="1" customHeight="1">
      <c r="A664" s="5426"/>
      <c r="B664" s="5426"/>
      <c r="C664" s="5426"/>
      <c r="D664" s="5374"/>
      <c r="E664" s="5471"/>
      <c r="F664" s="5363"/>
      <c r="G664" s="5363"/>
      <c r="H664" s="5363"/>
      <c r="I664" s="5635"/>
      <c r="J664" s="5655" t="s">
        <v>1353</v>
      </c>
      <c r="K664" s="5376"/>
      <c r="L664" s="5375"/>
      <c r="M664" s="5357">
        <v>0</v>
      </c>
      <c r="N664" s="5357">
        <v>0</v>
      </c>
      <c r="O664" s="5357">
        <f t="shared" si="292"/>
        <v>0</v>
      </c>
      <c r="P664" s="5358">
        <v>0</v>
      </c>
      <c r="Q664" s="5357">
        <f t="shared" si="293"/>
        <v>0</v>
      </c>
      <c r="R664" s="5358" t="e">
        <f t="shared" si="298"/>
        <v>#DIV/0!</v>
      </c>
      <c r="S664" s="5358">
        <v>0</v>
      </c>
      <c r="T664" s="5357" t="e">
        <f t="shared" si="294"/>
        <v>#DIV/0!</v>
      </c>
      <c r="U664" s="5358">
        <v>0</v>
      </c>
      <c r="V664" s="5357">
        <f t="shared" si="301"/>
        <v>0</v>
      </c>
      <c r="W664" s="5358">
        <v>0</v>
      </c>
      <c r="X664" s="5358">
        <v>0</v>
      </c>
      <c r="Y664" s="5357">
        <f t="shared" si="296"/>
        <v>0</v>
      </c>
      <c r="Z664" s="5358">
        <v>0</v>
      </c>
      <c r="AA664" s="5357">
        <f t="shared" si="302"/>
        <v>0</v>
      </c>
      <c r="AB664" s="5358">
        <v>0</v>
      </c>
      <c r="AC664" s="5349"/>
      <c r="AD664" s="5349"/>
      <c r="AE664" s="5349"/>
      <c r="AF664" s="5349">
        <f t="shared" si="289"/>
        <v>0</v>
      </c>
      <c r="AG664" s="5338">
        <f t="shared" si="290"/>
        <v>0</v>
      </c>
    </row>
    <row r="665" spans="1:33" s="5333" customFormat="1" ht="15.05" hidden="1" customHeight="1">
      <c r="A665" s="5426"/>
      <c r="B665" s="5426"/>
      <c r="C665" s="5426"/>
      <c r="D665" s="5374"/>
      <c r="E665" s="5471"/>
      <c r="F665" s="5363"/>
      <c r="G665" s="5363"/>
      <c r="H665" s="5363"/>
      <c r="I665" s="5635"/>
      <c r="J665" s="5655" t="s">
        <v>50</v>
      </c>
      <c r="K665" s="5376" t="s">
        <v>640</v>
      </c>
      <c r="L665" s="5375"/>
      <c r="M665" s="5357">
        <v>0</v>
      </c>
      <c r="N665" s="5357">
        <v>0</v>
      </c>
      <c r="O665" s="5357">
        <f t="shared" si="292"/>
        <v>0</v>
      </c>
      <c r="P665" s="5358">
        <v>0</v>
      </c>
      <c r="Q665" s="5357">
        <f t="shared" si="293"/>
        <v>0</v>
      </c>
      <c r="R665" s="5358" t="e">
        <f t="shared" si="298"/>
        <v>#DIV/0!</v>
      </c>
      <c r="S665" s="5358">
        <v>0</v>
      </c>
      <c r="T665" s="5357" t="e">
        <f t="shared" si="294"/>
        <v>#DIV/0!</v>
      </c>
      <c r="U665" s="5358">
        <v>0</v>
      </c>
      <c r="V665" s="5357">
        <f t="shared" si="301"/>
        <v>0</v>
      </c>
      <c r="W665" s="5358">
        <v>0</v>
      </c>
      <c r="X665" s="5358">
        <v>0</v>
      </c>
      <c r="Y665" s="5357">
        <f t="shared" si="296"/>
        <v>0</v>
      </c>
      <c r="Z665" s="5358">
        <v>0</v>
      </c>
      <c r="AA665" s="5357">
        <f t="shared" si="302"/>
        <v>0</v>
      </c>
      <c r="AB665" s="5358">
        <v>0</v>
      </c>
      <c r="AC665" s="5349"/>
      <c r="AD665" s="5349"/>
      <c r="AE665" s="5349"/>
      <c r="AF665" s="5349">
        <f t="shared" si="289"/>
        <v>0</v>
      </c>
      <c r="AG665" s="5338">
        <f t="shared" si="290"/>
        <v>0</v>
      </c>
    </row>
    <row r="666" spans="1:33" s="5333" customFormat="1" ht="15.05" hidden="1" customHeight="1">
      <c r="A666" s="5426"/>
      <c r="B666" s="5426"/>
      <c r="C666" s="5426"/>
      <c r="D666" s="5374"/>
      <c r="E666" s="5471"/>
      <c r="F666" s="5363"/>
      <c r="G666" s="5363"/>
      <c r="H666" s="5363"/>
      <c r="I666" s="5635"/>
      <c r="J666" s="5655" t="s">
        <v>1352</v>
      </c>
      <c r="K666" s="5376"/>
      <c r="L666" s="5375"/>
      <c r="M666" s="5357">
        <v>0</v>
      </c>
      <c r="N666" s="5357">
        <v>0</v>
      </c>
      <c r="O666" s="5357">
        <f t="shared" si="292"/>
        <v>0</v>
      </c>
      <c r="P666" s="5358">
        <v>0</v>
      </c>
      <c r="Q666" s="5357">
        <f t="shared" si="293"/>
        <v>0</v>
      </c>
      <c r="R666" s="5358" t="e">
        <f t="shared" si="298"/>
        <v>#DIV/0!</v>
      </c>
      <c r="S666" s="5358">
        <v>0</v>
      </c>
      <c r="T666" s="5357" t="e">
        <f t="shared" si="294"/>
        <v>#DIV/0!</v>
      </c>
      <c r="U666" s="5358">
        <v>0</v>
      </c>
      <c r="V666" s="5357">
        <f t="shared" si="301"/>
        <v>0</v>
      </c>
      <c r="W666" s="5358">
        <v>0</v>
      </c>
      <c r="X666" s="5358">
        <v>0</v>
      </c>
      <c r="Y666" s="5357">
        <f t="shared" si="296"/>
        <v>0</v>
      </c>
      <c r="Z666" s="5358">
        <v>0</v>
      </c>
      <c r="AA666" s="5357">
        <f t="shared" si="302"/>
        <v>0</v>
      </c>
      <c r="AB666" s="5358">
        <v>0</v>
      </c>
      <c r="AC666" s="5349"/>
      <c r="AD666" s="5349"/>
      <c r="AE666" s="5349"/>
      <c r="AF666" s="5349">
        <f t="shared" si="289"/>
        <v>0</v>
      </c>
      <c r="AG666" s="5338">
        <f t="shared" si="290"/>
        <v>0</v>
      </c>
    </row>
    <row r="667" spans="1:33" s="5333" customFormat="1" ht="15.05" hidden="1" customHeight="1">
      <c r="A667" s="5426"/>
      <c r="B667" s="5426"/>
      <c r="C667" s="5426"/>
      <c r="D667" s="5374"/>
      <c r="E667" s="5471"/>
      <c r="F667" s="5363"/>
      <c r="G667" s="5363"/>
      <c r="H667" s="5363"/>
      <c r="I667" s="5635"/>
      <c r="J667" s="5655" t="s">
        <v>568</v>
      </c>
      <c r="K667" s="5376"/>
      <c r="L667" s="5375"/>
      <c r="M667" s="5357">
        <v>50953800</v>
      </c>
      <c r="N667" s="5357">
        <v>50953800</v>
      </c>
      <c r="O667" s="5357">
        <f t="shared" si="292"/>
        <v>0</v>
      </c>
      <c r="P667" s="5358">
        <v>50953800</v>
      </c>
      <c r="Q667" s="5357">
        <f t="shared" si="293"/>
        <v>0</v>
      </c>
      <c r="R667" s="5358">
        <f t="shared" si="298"/>
        <v>0</v>
      </c>
      <c r="S667" s="5358">
        <v>0</v>
      </c>
      <c r="T667" s="5357">
        <f t="shared" si="294"/>
        <v>0</v>
      </c>
      <c r="U667" s="5358">
        <v>50953800</v>
      </c>
      <c r="V667" s="5357">
        <f t="shared" si="301"/>
        <v>-50953800</v>
      </c>
      <c r="W667" s="5358">
        <f>S667/P667*100-100</f>
        <v>-100</v>
      </c>
      <c r="X667" s="5358">
        <v>0</v>
      </c>
      <c r="Y667" s="5357">
        <f t="shared" si="296"/>
        <v>100</v>
      </c>
      <c r="Z667" s="5358">
        <v>50953800</v>
      </c>
      <c r="AA667" s="5357">
        <f t="shared" si="302"/>
        <v>0</v>
      </c>
      <c r="AB667" s="5358">
        <v>0</v>
      </c>
      <c r="AC667" s="5349"/>
      <c r="AD667" s="5349"/>
      <c r="AE667" s="5349"/>
      <c r="AF667" s="5349">
        <f t="shared" si="289"/>
        <v>-50953800</v>
      </c>
      <c r="AG667" s="5338">
        <f t="shared" si="290"/>
        <v>0</v>
      </c>
    </row>
    <row r="668" spans="1:33" s="5333" customFormat="1" ht="15.05" customHeight="1">
      <c r="A668" s="5426"/>
      <c r="B668" s="5426"/>
      <c r="C668" s="5426"/>
      <c r="D668" s="5374"/>
      <c r="E668" s="5471"/>
      <c r="F668" s="5363"/>
      <c r="G668" s="5363"/>
      <c r="H668" s="5363"/>
      <c r="I668" s="5635"/>
      <c r="J668" s="5655" t="s">
        <v>1332</v>
      </c>
      <c r="K668" s="5376"/>
      <c r="L668" s="5375"/>
      <c r="M668" s="5402">
        <v>4397530400</v>
      </c>
      <c r="N668" s="5402">
        <f>+N669+N670</f>
        <v>4623018400</v>
      </c>
      <c r="O668" s="5357">
        <f t="shared" si="292"/>
        <v>225488000</v>
      </c>
      <c r="P668" s="5401">
        <f>SUM(P669:P670)</f>
        <v>4397530400</v>
      </c>
      <c r="Q668" s="5357">
        <f t="shared" si="293"/>
        <v>-225488000</v>
      </c>
      <c r="R668" s="5358">
        <f>P668/N668*100-100</f>
        <v>-4.8775060034370625</v>
      </c>
      <c r="S668" s="5401">
        <f>SUM(S669:S670)</f>
        <v>4562382400</v>
      </c>
      <c r="T668" s="5357">
        <f t="shared" si="294"/>
        <v>4562382404.8775063</v>
      </c>
      <c r="U668" s="5401">
        <f>SUM(U669:U670)</f>
        <v>4397530400</v>
      </c>
      <c r="V668" s="5357">
        <f t="shared" si="301"/>
        <v>164852000</v>
      </c>
      <c r="W668" s="5358">
        <f>S668/P668*100-100</f>
        <v>3.7487404294010105</v>
      </c>
      <c r="X668" s="5401">
        <f>SUM(X669:X670)</f>
        <v>4776018400</v>
      </c>
      <c r="Y668" s="5357">
        <f t="shared" si="296"/>
        <v>4776018396.2512598</v>
      </c>
      <c r="Z668" s="5401">
        <f>SUM(Z669:Z670)</f>
        <v>4397530400</v>
      </c>
      <c r="AA668" s="5357">
        <f t="shared" si="302"/>
        <v>213636000</v>
      </c>
      <c r="AB668" s="5358">
        <f>X668/S668*100-100</f>
        <v>4.6825535711342354</v>
      </c>
      <c r="AC668" s="5349"/>
      <c r="AD668" s="5349"/>
      <c r="AE668" s="5349"/>
      <c r="AF668" s="5349">
        <f t="shared" si="289"/>
        <v>164852000</v>
      </c>
      <c r="AG668" s="5338">
        <f t="shared" si="290"/>
        <v>0</v>
      </c>
    </row>
    <row r="669" spans="1:33" s="5333" customFormat="1" ht="15.05" customHeight="1">
      <c r="A669" s="5426"/>
      <c r="B669" s="5426"/>
      <c r="C669" s="5426"/>
      <c r="D669" s="5374"/>
      <c r="E669" s="5471"/>
      <c r="F669" s="5363"/>
      <c r="G669" s="5363"/>
      <c r="H669" s="5363"/>
      <c r="I669" s="5635"/>
      <c r="J669" s="5655" t="s">
        <v>50</v>
      </c>
      <c r="K669" s="5376" t="s">
        <v>809</v>
      </c>
      <c r="L669" s="5375"/>
      <c r="M669" s="5357">
        <v>1274512000</v>
      </c>
      <c r="N669" s="5357">
        <v>1500000000</v>
      </c>
      <c r="O669" s="5357">
        <f t="shared" si="292"/>
        <v>225488000</v>
      </c>
      <c r="P669" s="5358">
        <v>1274512000</v>
      </c>
      <c r="Q669" s="5357">
        <f t="shared" si="293"/>
        <v>-225488000</v>
      </c>
      <c r="R669" s="5358">
        <f>P669/N669*100-100</f>
        <v>-15.032533333333333</v>
      </c>
      <c r="S669" s="5358">
        <v>1439364000</v>
      </c>
      <c r="T669" s="5357">
        <f t="shared" si="294"/>
        <v>1439364015.0325334</v>
      </c>
      <c r="U669" s="5358">
        <v>1274512000</v>
      </c>
      <c r="V669" s="5357">
        <f t="shared" si="301"/>
        <v>164852000</v>
      </c>
      <c r="W669" s="5358">
        <f>S669/P669*100-100</f>
        <v>12.934519251289899</v>
      </c>
      <c r="X669" s="5358">
        <v>1653000000</v>
      </c>
      <c r="Y669" s="5357">
        <f t="shared" si="296"/>
        <v>1652999987.0654807</v>
      </c>
      <c r="Z669" s="5358">
        <v>1274512000</v>
      </c>
      <c r="AA669" s="5357">
        <f t="shared" si="302"/>
        <v>213636000</v>
      </c>
      <c r="AB669" s="5358">
        <f>X669/S669*100-100</f>
        <v>14.842388721685424</v>
      </c>
      <c r="AC669" s="5349"/>
      <c r="AD669" s="5349"/>
      <c r="AE669" s="5349"/>
      <c r="AF669" s="5349">
        <f t="shared" si="289"/>
        <v>164852000</v>
      </c>
      <c r="AG669" s="5338">
        <f t="shared" si="290"/>
        <v>0</v>
      </c>
    </row>
    <row r="670" spans="1:33" s="5333" customFormat="1" ht="15.05" customHeight="1">
      <c r="A670" s="5426"/>
      <c r="B670" s="5426"/>
      <c r="C670" s="5426"/>
      <c r="D670" s="5374"/>
      <c r="E670" s="5471"/>
      <c r="F670" s="5363"/>
      <c r="G670" s="5363"/>
      <c r="H670" s="5363"/>
      <c r="I670" s="5635"/>
      <c r="J670" s="5655" t="s">
        <v>50</v>
      </c>
      <c r="K670" s="5376" t="s">
        <v>1351</v>
      </c>
      <c r="L670" s="5375"/>
      <c r="M670" s="5357">
        <v>3123018400</v>
      </c>
      <c r="N670" s="5357">
        <v>3123018400</v>
      </c>
      <c r="O670" s="5357">
        <f t="shared" si="292"/>
        <v>0</v>
      </c>
      <c r="P670" s="5358">
        <v>3123018400</v>
      </c>
      <c r="Q670" s="5357">
        <f t="shared" si="293"/>
        <v>0</v>
      </c>
      <c r="R670" s="5358">
        <f>P670/N670*100-100</f>
        <v>0</v>
      </c>
      <c r="S670" s="5358">
        <v>3123018400</v>
      </c>
      <c r="T670" s="5357">
        <f t="shared" si="294"/>
        <v>3123018400</v>
      </c>
      <c r="U670" s="5358">
        <v>3123018400</v>
      </c>
      <c r="V670" s="5357">
        <f t="shared" si="301"/>
        <v>0</v>
      </c>
      <c r="W670" s="5358">
        <f>S670/P670*100-100</f>
        <v>0</v>
      </c>
      <c r="X670" s="5358">
        <v>3123018400</v>
      </c>
      <c r="Y670" s="5357">
        <f t="shared" si="296"/>
        <v>3123018400</v>
      </c>
      <c r="Z670" s="5358">
        <v>3123018400</v>
      </c>
      <c r="AA670" s="5357">
        <f t="shared" si="302"/>
        <v>0</v>
      </c>
      <c r="AB670" s="5358">
        <f>X670/S670*100-100</f>
        <v>0</v>
      </c>
      <c r="AC670" s="5349"/>
      <c r="AD670" s="5349"/>
      <c r="AE670" s="5349"/>
      <c r="AF670" s="5349">
        <f t="shared" si="289"/>
        <v>0</v>
      </c>
      <c r="AG670" s="5338">
        <f t="shared" si="290"/>
        <v>0</v>
      </c>
    </row>
    <row r="671" spans="1:33" s="5333" customFormat="1" ht="15.05" hidden="1" customHeight="1">
      <c r="A671" s="5426"/>
      <c r="B671" s="5426"/>
      <c r="C671" s="5426"/>
      <c r="D671" s="5374"/>
      <c r="E671" s="5471"/>
      <c r="F671" s="5363"/>
      <c r="G671" s="5363"/>
      <c r="H671" s="5363"/>
      <c r="I671" s="5635"/>
      <c r="J671" s="5655" t="s">
        <v>223</v>
      </c>
      <c r="K671" s="5376"/>
      <c r="L671" s="5375"/>
      <c r="M671" s="5357">
        <v>0</v>
      </c>
      <c r="N671" s="5357">
        <v>0</v>
      </c>
      <c r="O671" s="5357">
        <f t="shared" si="292"/>
        <v>0</v>
      </c>
      <c r="P671" s="5358">
        <v>0</v>
      </c>
      <c r="Q671" s="5357">
        <f t="shared" si="293"/>
        <v>0</v>
      </c>
      <c r="R671" s="5358">
        <v>0</v>
      </c>
      <c r="S671" s="5358">
        <v>0</v>
      </c>
      <c r="T671" s="5357">
        <f t="shared" si="294"/>
        <v>0</v>
      </c>
      <c r="U671" s="5358">
        <v>0</v>
      </c>
      <c r="V671" s="5357">
        <f t="shared" si="301"/>
        <v>0</v>
      </c>
      <c r="W671" s="5358">
        <v>0</v>
      </c>
      <c r="X671" s="5358">
        <v>0</v>
      </c>
      <c r="Y671" s="5357">
        <f t="shared" si="296"/>
        <v>0</v>
      </c>
      <c r="Z671" s="5358">
        <v>0</v>
      </c>
      <c r="AA671" s="5357">
        <f t="shared" si="302"/>
        <v>0</v>
      </c>
      <c r="AB671" s="5358">
        <v>0</v>
      </c>
      <c r="AC671" s="5349"/>
      <c r="AD671" s="5349"/>
      <c r="AE671" s="5349"/>
      <c r="AF671" s="5349">
        <f t="shared" si="289"/>
        <v>0</v>
      </c>
      <c r="AG671" s="5338">
        <f t="shared" si="290"/>
        <v>0</v>
      </c>
    </row>
    <row r="672" spans="1:33" s="5333" customFormat="1" ht="15.05" hidden="1" customHeight="1">
      <c r="A672" s="5426"/>
      <c r="B672" s="5426"/>
      <c r="C672" s="5426"/>
      <c r="D672" s="5374"/>
      <c r="E672" s="5471"/>
      <c r="F672" s="5363"/>
      <c r="G672" s="5363"/>
      <c r="H672" s="5363"/>
      <c r="I672" s="5635"/>
      <c r="J672" s="5655" t="s">
        <v>1350</v>
      </c>
      <c r="K672" s="5376"/>
      <c r="L672" s="5375"/>
      <c r="M672" s="5357">
        <v>880000</v>
      </c>
      <c r="N672" s="5357">
        <v>880000</v>
      </c>
      <c r="O672" s="5357">
        <f t="shared" si="292"/>
        <v>0</v>
      </c>
      <c r="P672" s="5358">
        <v>880000</v>
      </c>
      <c r="Q672" s="5357">
        <f t="shared" si="293"/>
        <v>0</v>
      </c>
      <c r="R672" s="5358">
        <f>P672/N672*100-100</f>
        <v>0</v>
      </c>
      <c r="S672" s="5358">
        <v>0</v>
      </c>
      <c r="T672" s="5357">
        <f t="shared" si="294"/>
        <v>0</v>
      </c>
      <c r="U672" s="5358">
        <v>880000</v>
      </c>
      <c r="V672" s="5357">
        <f t="shared" si="301"/>
        <v>-880000</v>
      </c>
      <c r="W672" s="5358">
        <f>S672/P672*100-100</f>
        <v>-100</v>
      </c>
      <c r="X672" s="5358">
        <v>0</v>
      </c>
      <c r="Y672" s="5357">
        <f t="shared" si="296"/>
        <v>100</v>
      </c>
      <c r="Z672" s="5358">
        <v>880000</v>
      </c>
      <c r="AA672" s="5357">
        <f t="shared" si="302"/>
        <v>0</v>
      </c>
      <c r="AB672" s="5358">
        <v>0</v>
      </c>
      <c r="AC672" s="5349"/>
      <c r="AD672" s="5349"/>
      <c r="AE672" s="5349"/>
      <c r="AF672" s="5349">
        <f t="shared" si="289"/>
        <v>-880000</v>
      </c>
      <c r="AG672" s="5338">
        <f t="shared" si="290"/>
        <v>0</v>
      </c>
    </row>
    <row r="673" spans="1:33" s="5333" customFormat="1" ht="15.05" customHeight="1">
      <c r="A673" s="5426"/>
      <c r="B673" s="5426"/>
      <c r="C673" s="5426"/>
      <c r="D673" s="5374"/>
      <c r="E673" s="5471"/>
      <c r="F673" s="5363"/>
      <c r="G673" s="5363"/>
      <c r="H673" s="5363"/>
      <c r="I673" s="5635"/>
      <c r="J673" s="5655" t="s">
        <v>1496</v>
      </c>
      <c r="K673" s="5376"/>
      <c r="L673" s="5375"/>
      <c r="M673" s="5357">
        <v>1508491400</v>
      </c>
      <c r="N673" s="5357">
        <v>184000000</v>
      </c>
      <c r="O673" s="5357">
        <f t="shared" si="292"/>
        <v>-1324491400</v>
      </c>
      <c r="P673" s="5358">
        <v>1508491400</v>
      </c>
      <c r="Q673" s="5357">
        <f t="shared" si="293"/>
        <v>1324491400</v>
      </c>
      <c r="R673" s="5358">
        <f>P673/N673*100-100</f>
        <v>719.83228260869566</v>
      </c>
      <c r="S673" s="5358">
        <v>1508491400</v>
      </c>
      <c r="T673" s="5357">
        <f t="shared" si="294"/>
        <v>1508490680.1677175</v>
      </c>
      <c r="U673" s="5358">
        <v>1508491400</v>
      </c>
      <c r="V673" s="5357">
        <f t="shared" si="301"/>
        <v>0</v>
      </c>
      <c r="W673" s="5358">
        <f>S673/P673*100-100</f>
        <v>0</v>
      </c>
      <c r="X673" s="5358">
        <v>1508491400</v>
      </c>
      <c r="Y673" s="5357">
        <f t="shared" si="296"/>
        <v>1508491400</v>
      </c>
      <c r="Z673" s="5358">
        <v>1508491400</v>
      </c>
      <c r="AA673" s="5357">
        <f t="shared" si="302"/>
        <v>0</v>
      </c>
      <c r="AB673" s="5358">
        <f>X673/S673*100-100</f>
        <v>0</v>
      </c>
      <c r="AC673" s="5349"/>
      <c r="AD673" s="5349"/>
      <c r="AE673" s="5349"/>
      <c r="AF673" s="5349">
        <f t="shared" si="289"/>
        <v>0</v>
      </c>
      <c r="AG673" s="5338">
        <f t="shared" si="290"/>
        <v>0</v>
      </c>
    </row>
    <row r="674" spans="1:33" s="5333" customFormat="1" ht="15.05" hidden="1" customHeight="1">
      <c r="A674" s="5426"/>
      <c r="B674" s="5426"/>
      <c r="C674" s="5426"/>
      <c r="D674" s="5374"/>
      <c r="E674" s="5471"/>
      <c r="F674" s="5363"/>
      <c r="G674" s="5363"/>
      <c r="H674" s="5363"/>
      <c r="I674" s="5635"/>
      <c r="J674" s="5655" t="s">
        <v>1349</v>
      </c>
      <c r="K674" s="5376"/>
      <c r="L674" s="5375"/>
      <c r="M674" s="5358">
        <v>650000</v>
      </c>
      <c r="N674" s="5358">
        <v>650000</v>
      </c>
      <c r="O674" s="5357">
        <f t="shared" si="292"/>
        <v>0</v>
      </c>
      <c r="P674" s="5358">
        <v>650000</v>
      </c>
      <c r="Q674" s="5357">
        <f t="shared" si="293"/>
        <v>0</v>
      </c>
      <c r="R674" s="5358">
        <f>P674/N674*100-100</f>
        <v>0</v>
      </c>
      <c r="S674" s="5358">
        <v>0</v>
      </c>
      <c r="T674" s="5357">
        <f t="shared" si="294"/>
        <v>0</v>
      </c>
      <c r="U674" s="5358">
        <v>650000</v>
      </c>
      <c r="V674" s="5357">
        <f t="shared" si="301"/>
        <v>-650000</v>
      </c>
      <c r="W674" s="5358">
        <f>S674/P674*100-100</f>
        <v>-100</v>
      </c>
      <c r="X674" s="5358">
        <v>0</v>
      </c>
      <c r="Y674" s="5357">
        <f t="shared" si="296"/>
        <v>100</v>
      </c>
      <c r="Z674" s="5358">
        <v>650000</v>
      </c>
      <c r="AA674" s="5357">
        <f t="shared" si="302"/>
        <v>0</v>
      </c>
      <c r="AB674" s="5358">
        <v>0</v>
      </c>
      <c r="AC674" s="5430"/>
      <c r="AD674" s="5430"/>
      <c r="AE674" s="5430"/>
      <c r="AF674" s="5349">
        <f t="shared" si="289"/>
        <v>-650000</v>
      </c>
      <c r="AG674" s="5338">
        <f t="shared" si="290"/>
        <v>0</v>
      </c>
    </row>
    <row r="675" spans="1:33" s="5333" customFormat="1" ht="15.05" hidden="1" customHeight="1">
      <c r="A675" s="5426"/>
      <c r="B675" s="5426"/>
      <c r="C675" s="5426"/>
      <c r="D675" s="5374"/>
      <c r="E675" s="5471"/>
      <c r="F675" s="5363"/>
      <c r="G675" s="5363"/>
      <c r="H675" s="5363"/>
      <c r="I675" s="5635"/>
      <c r="J675" s="5655" t="s">
        <v>1348</v>
      </c>
      <c r="K675" s="5376"/>
      <c r="L675" s="5375"/>
      <c r="M675" s="5358">
        <v>4100000</v>
      </c>
      <c r="N675" s="5358">
        <v>4100000</v>
      </c>
      <c r="O675" s="5357">
        <f t="shared" si="292"/>
        <v>0</v>
      </c>
      <c r="P675" s="5358">
        <v>4100000</v>
      </c>
      <c r="Q675" s="5357">
        <f t="shared" si="293"/>
        <v>0</v>
      </c>
      <c r="R675" s="5358">
        <f>P675/N675*100-100</f>
        <v>0</v>
      </c>
      <c r="S675" s="5358">
        <v>0</v>
      </c>
      <c r="T675" s="5357">
        <f t="shared" si="294"/>
        <v>0</v>
      </c>
      <c r="U675" s="5358">
        <v>4100000</v>
      </c>
      <c r="V675" s="5357">
        <f t="shared" si="301"/>
        <v>-4100000</v>
      </c>
      <c r="W675" s="5358">
        <f>S675/P675*100-100</f>
        <v>-100</v>
      </c>
      <c r="X675" s="5358">
        <v>0</v>
      </c>
      <c r="Y675" s="5357">
        <f t="shared" si="296"/>
        <v>100</v>
      </c>
      <c r="Z675" s="5358">
        <v>4100000</v>
      </c>
      <c r="AA675" s="5357">
        <f t="shared" si="302"/>
        <v>0</v>
      </c>
      <c r="AB675" s="5358">
        <v>0</v>
      </c>
      <c r="AC675" s="5430"/>
      <c r="AD675" s="5430"/>
      <c r="AE675" s="5430"/>
      <c r="AF675" s="5349">
        <f t="shared" si="289"/>
        <v>-4100000</v>
      </c>
      <c r="AG675" s="5338">
        <f t="shared" si="290"/>
        <v>0</v>
      </c>
    </row>
    <row r="676" spans="1:33" s="5333" customFormat="1" ht="15.05" hidden="1" customHeight="1">
      <c r="A676" s="5426"/>
      <c r="B676" s="5426"/>
      <c r="C676" s="5426"/>
      <c r="D676" s="5374"/>
      <c r="E676" s="5471"/>
      <c r="F676" s="5363"/>
      <c r="G676" s="5363"/>
      <c r="H676" s="5363"/>
      <c r="I676" s="5635"/>
      <c r="J676" s="5655" t="s">
        <v>50</v>
      </c>
      <c r="K676" s="5376" t="s">
        <v>816</v>
      </c>
      <c r="L676" s="5375"/>
      <c r="M676" s="5358">
        <v>0</v>
      </c>
      <c r="N676" s="5358">
        <v>0</v>
      </c>
      <c r="O676" s="5357">
        <f t="shared" si="292"/>
        <v>0</v>
      </c>
      <c r="P676" s="5358">
        <v>0</v>
      </c>
      <c r="Q676" s="5357">
        <f t="shared" si="293"/>
        <v>0</v>
      </c>
      <c r="R676" s="5358">
        <v>0</v>
      </c>
      <c r="S676" s="5358">
        <v>0</v>
      </c>
      <c r="T676" s="5357">
        <f t="shared" si="294"/>
        <v>0</v>
      </c>
      <c r="U676" s="5358">
        <v>0</v>
      </c>
      <c r="V676" s="5357">
        <f t="shared" si="301"/>
        <v>0</v>
      </c>
      <c r="W676" s="5358">
        <v>0</v>
      </c>
      <c r="X676" s="5358">
        <v>0</v>
      </c>
      <c r="Y676" s="5357">
        <f t="shared" si="296"/>
        <v>0</v>
      </c>
      <c r="Z676" s="5358">
        <v>0</v>
      </c>
      <c r="AA676" s="5357">
        <f t="shared" si="302"/>
        <v>0</v>
      </c>
      <c r="AB676" s="5358">
        <v>0</v>
      </c>
      <c r="AC676" s="5430"/>
      <c r="AD676" s="5430"/>
      <c r="AE676" s="5430"/>
      <c r="AF676" s="5349">
        <f t="shared" si="289"/>
        <v>0</v>
      </c>
      <c r="AG676" s="5338">
        <f t="shared" si="290"/>
        <v>0</v>
      </c>
    </row>
    <row r="677" spans="1:33" s="5333" customFormat="1" ht="15.05" hidden="1" customHeight="1">
      <c r="A677" s="5426"/>
      <c r="B677" s="5426"/>
      <c r="C677" s="5426"/>
      <c r="D677" s="5374"/>
      <c r="E677" s="5471"/>
      <c r="F677" s="5363"/>
      <c r="G677" s="5363"/>
      <c r="H677" s="5363"/>
      <c r="I677" s="5635"/>
      <c r="J677" s="5655" t="s">
        <v>50</v>
      </c>
      <c r="K677" s="5376" t="s">
        <v>817</v>
      </c>
      <c r="L677" s="5375"/>
      <c r="M677" s="5358">
        <v>0</v>
      </c>
      <c r="N677" s="5358">
        <v>0</v>
      </c>
      <c r="O677" s="5357">
        <f t="shared" si="292"/>
        <v>0</v>
      </c>
      <c r="P677" s="5358">
        <v>0</v>
      </c>
      <c r="Q677" s="5357">
        <f t="shared" si="293"/>
        <v>0</v>
      </c>
      <c r="R677" s="5358">
        <v>0</v>
      </c>
      <c r="S677" s="5358">
        <v>0</v>
      </c>
      <c r="T677" s="5357">
        <f t="shared" si="294"/>
        <v>0</v>
      </c>
      <c r="U677" s="5358">
        <v>0</v>
      </c>
      <c r="V677" s="5357">
        <f t="shared" si="301"/>
        <v>0</v>
      </c>
      <c r="W677" s="5358">
        <v>0</v>
      </c>
      <c r="X677" s="5358">
        <v>0</v>
      </c>
      <c r="Y677" s="5357">
        <f t="shared" si="296"/>
        <v>0</v>
      </c>
      <c r="Z677" s="5358">
        <v>0</v>
      </c>
      <c r="AA677" s="5357">
        <f t="shared" si="302"/>
        <v>0</v>
      </c>
      <c r="AB677" s="5358">
        <v>0</v>
      </c>
      <c r="AC677" s="5430"/>
      <c r="AD677" s="5430"/>
      <c r="AE677" s="5430"/>
      <c r="AF677" s="5349">
        <f t="shared" si="289"/>
        <v>0</v>
      </c>
      <c r="AG677" s="5338">
        <f t="shared" si="290"/>
        <v>0</v>
      </c>
    </row>
    <row r="678" spans="1:33" s="5333" customFormat="1" ht="15.05" hidden="1" customHeight="1">
      <c r="A678" s="5426"/>
      <c r="B678" s="5426"/>
      <c r="C678" s="5426"/>
      <c r="D678" s="5374"/>
      <c r="E678" s="5471"/>
      <c r="F678" s="5363"/>
      <c r="G678" s="5363"/>
      <c r="H678" s="5363"/>
      <c r="I678" s="5635"/>
      <c r="J678" s="5655" t="s">
        <v>887</v>
      </c>
      <c r="K678" s="5376"/>
      <c r="L678" s="5375"/>
      <c r="M678" s="5357">
        <v>25900000</v>
      </c>
      <c r="N678" s="5357">
        <v>25900000</v>
      </c>
      <c r="O678" s="5357">
        <f t="shared" si="292"/>
        <v>0</v>
      </c>
      <c r="P678" s="5358">
        <v>25900000</v>
      </c>
      <c r="Q678" s="5357">
        <f t="shared" si="293"/>
        <v>0</v>
      </c>
      <c r="R678" s="5358">
        <f>P678/N678*100-100</f>
        <v>0</v>
      </c>
      <c r="S678" s="5358">
        <v>0</v>
      </c>
      <c r="T678" s="5357">
        <f t="shared" si="294"/>
        <v>0</v>
      </c>
      <c r="U678" s="5358">
        <v>25900000</v>
      </c>
      <c r="V678" s="5357">
        <f t="shared" si="301"/>
        <v>-25900000</v>
      </c>
      <c r="W678" s="5358">
        <f>S678/P678*100-100</f>
        <v>-100</v>
      </c>
      <c r="X678" s="5358">
        <v>0</v>
      </c>
      <c r="Y678" s="5357">
        <f t="shared" si="296"/>
        <v>100</v>
      </c>
      <c r="Z678" s="5358">
        <v>25900000</v>
      </c>
      <c r="AA678" s="5357">
        <f t="shared" si="302"/>
        <v>0</v>
      </c>
      <c r="AB678" s="5358">
        <v>0</v>
      </c>
      <c r="AC678" s="5349"/>
      <c r="AD678" s="5349"/>
      <c r="AE678" s="5349"/>
      <c r="AF678" s="5349">
        <f t="shared" si="289"/>
        <v>-25900000</v>
      </c>
      <c r="AG678" s="5338">
        <f t="shared" si="290"/>
        <v>0</v>
      </c>
    </row>
    <row r="679" spans="1:33" s="5333" customFormat="1" ht="15.05" hidden="1" customHeight="1">
      <c r="A679" s="5426"/>
      <c r="B679" s="5426"/>
      <c r="C679" s="5426"/>
      <c r="D679" s="5374"/>
      <c r="E679" s="5471"/>
      <c r="F679" s="5363"/>
      <c r="G679" s="5363"/>
      <c r="H679" s="5363"/>
      <c r="I679" s="5635"/>
      <c r="J679" s="5655" t="s">
        <v>1193</v>
      </c>
      <c r="K679" s="5376"/>
      <c r="L679" s="5375"/>
      <c r="M679" s="5357">
        <v>20783000</v>
      </c>
      <c r="N679" s="5357">
        <v>20783000</v>
      </c>
      <c r="O679" s="5357">
        <f t="shared" si="292"/>
        <v>0</v>
      </c>
      <c r="P679" s="5358">
        <v>20783000</v>
      </c>
      <c r="Q679" s="5357">
        <f t="shared" si="293"/>
        <v>0</v>
      </c>
      <c r="R679" s="5358">
        <f>P679/N679*100-100</f>
        <v>0</v>
      </c>
      <c r="S679" s="5358">
        <v>0</v>
      </c>
      <c r="T679" s="5357">
        <f t="shared" si="294"/>
        <v>0</v>
      </c>
      <c r="U679" s="5358">
        <v>20783000</v>
      </c>
      <c r="V679" s="5357">
        <f t="shared" si="301"/>
        <v>-20783000</v>
      </c>
      <c r="W679" s="5358">
        <f>S679/P679*100-100</f>
        <v>-100</v>
      </c>
      <c r="X679" s="5358">
        <v>0</v>
      </c>
      <c r="Y679" s="5357">
        <f t="shared" si="296"/>
        <v>100</v>
      </c>
      <c r="Z679" s="5358">
        <v>20783000</v>
      </c>
      <c r="AA679" s="5357">
        <f t="shared" si="302"/>
        <v>0</v>
      </c>
      <c r="AB679" s="5358">
        <v>0</v>
      </c>
      <c r="AC679" s="5349"/>
      <c r="AD679" s="5349"/>
      <c r="AE679" s="5349"/>
      <c r="AF679" s="5349">
        <f t="shared" si="289"/>
        <v>-20783000</v>
      </c>
      <c r="AG679" s="5338">
        <f t="shared" si="290"/>
        <v>0</v>
      </c>
    </row>
    <row r="680" spans="1:33" s="5333" customFormat="1" ht="15.05" hidden="1" customHeight="1">
      <c r="A680" s="5426"/>
      <c r="B680" s="5426"/>
      <c r="C680" s="5426"/>
      <c r="D680" s="5374"/>
      <c r="E680" s="5471"/>
      <c r="F680" s="5363"/>
      <c r="G680" s="5363"/>
      <c r="H680" s="5363"/>
      <c r="I680" s="5635"/>
      <c r="J680" s="5655" t="s">
        <v>528</v>
      </c>
      <c r="K680" s="5376"/>
      <c r="L680" s="5375"/>
      <c r="M680" s="5357">
        <v>500000</v>
      </c>
      <c r="N680" s="5357">
        <v>500000</v>
      </c>
      <c r="O680" s="5357">
        <f t="shared" si="292"/>
        <v>0</v>
      </c>
      <c r="P680" s="5358">
        <v>500000</v>
      </c>
      <c r="Q680" s="5357">
        <f t="shared" si="293"/>
        <v>0</v>
      </c>
      <c r="R680" s="5358">
        <f>P680/N680*100-100</f>
        <v>0</v>
      </c>
      <c r="S680" s="5358">
        <v>0</v>
      </c>
      <c r="T680" s="5357">
        <f t="shared" si="294"/>
        <v>0</v>
      </c>
      <c r="U680" s="5358">
        <v>500000</v>
      </c>
      <c r="V680" s="5357">
        <f t="shared" si="301"/>
        <v>-500000</v>
      </c>
      <c r="W680" s="5358">
        <f>S680/P680*100-100</f>
        <v>-100</v>
      </c>
      <c r="X680" s="5358">
        <v>0</v>
      </c>
      <c r="Y680" s="5357">
        <f t="shared" si="296"/>
        <v>100</v>
      </c>
      <c r="Z680" s="5358">
        <v>500000</v>
      </c>
      <c r="AA680" s="5357">
        <f t="shared" si="302"/>
        <v>0</v>
      </c>
      <c r="AB680" s="5358">
        <v>0</v>
      </c>
      <c r="AC680" s="5349"/>
      <c r="AD680" s="5349"/>
      <c r="AE680" s="5349"/>
      <c r="AF680" s="5349">
        <f t="shared" si="289"/>
        <v>-500000</v>
      </c>
      <c r="AG680" s="5338">
        <f t="shared" si="290"/>
        <v>0</v>
      </c>
    </row>
    <row r="681" spans="1:33" s="5333" customFormat="1" ht="15.05" hidden="1" customHeight="1">
      <c r="A681" s="5426"/>
      <c r="B681" s="5426"/>
      <c r="C681" s="5426"/>
      <c r="D681" s="5374"/>
      <c r="E681" s="5471"/>
      <c r="F681" s="5363"/>
      <c r="G681" s="5363"/>
      <c r="H681" s="5363"/>
      <c r="I681" s="5635"/>
      <c r="J681" s="5655" t="s">
        <v>1347</v>
      </c>
      <c r="K681" s="5376"/>
      <c r="L681" s="5375"/>
      <c r="M681" s="5357">
        <v>0</v>
      </c>
      <c r="N681" s="5357">
        <v>0</v>
      </c>
      <c r="O681" s="5357">
        <f t="shared" si="292"/>
        <v>0</v>
      </c>
      <c r="P681" s="5358">
        <v>0</v>
      </c>
      <c r="Q681" s="5357">
        <f t="shared" si="293"/>
        <v>0</v>
      </c>
      <c r="R681" s="5358">
        <v>0</v>
      </c>
      <c r="S681" s="5358">
        <v>0</v>
      </c>
      <c r="T681" s="5357">
        <f t="shared" si="294"/>
        <v>0</v>
      </c>
      <c r="U681" s="5358">
        <v>0</v>
      </c>
      <c r="V681" s="5357">
        <f t="shared" si="301"/>
        <v>0</v>
      </c>
      <c r="W681" s="5358">
        <v>0</v>
      </c>
      <c r="X681" s="5358">
        <v>0</v>
      </c>
      <c r="Y681" s="5357">
        <f t="shared" si="296"/>
        <v>0</v>
      </c>
      <c r="Z681" s="5358">
        <v>0</v>
      </c>
      <c r="AA681" s="5357">
        <f t="shared" si="302"/>
        <v>0</v>
      </c>
      <c r="AB681" s="5358">
        <v>0</v>
      </c>
      <c r="AC681" s="5349"/>
      <c r="AD681" s="5349"/>
      <c r="AE681" s="5349"/>
      <c r="AF681" s="5349">
        <f t="shared" si="289"/>
        <v>0</v>
      </c>
      <c r="AG681" s="5338">
        <f t="shared" si="290"/>
        <v>0</v>
      </c>
    </row>
    <row r="682" spans="1:33" s="5333" customFormat="1" ht="15.05" hidden="1" customHeight="1">
      <c r="A682" s="5426"/>
      <c r="B682" s="5426"/>
      <c r="C682" s="5426"/>
      <c r="D682" s="5374"/>
      <c r="E682" s="5471"/>
      <c r="F682" s="5363"/>
      <c r="G682" s="5363"/>
      <c r="H682" s="5363"/>
      <c r="I682" s="5635"/>
      <c r="J682" s="5655" t="s">
        <v>651</v>
      </c>
      <c r="K682" s="5376"/>
      <c r="L682" s="5375"/>
      <c r="M682" s="5357">
        <v>2006500</v>
      </c>
      <c r="N682" s="5357">
        <v>2006500</v>
      </c>
      <c r="O682" s="5357">
        <f t="shared" si="292"/>
        <v>0</v>
      </c>
      <c r="P682" s="5358">
        <v>2006500</v>
      </c>
      <c r="Q682" s="5357">
        <f t="shared" si="293"/>
        <v>0</v>
      </c>
      <c r="R682" s="5358">
        <f>P682/N682*100-100</f>
        <v>0</v>
      </c>
      <c r="S682" s="5358">
        <v>0</v>
      </c>
      <c r="T682" s="5357">
        <f t="shared" si="294"/>
        <v>0</v>
      </c>
      <c r="U682" s="5358">
        <v>2006500</v>
      </c>
      <c r="V682" s="5357">
        <f t="shared" si="301"/>
        <v>-2006500</v>
      </c>
      <c r="W682" s="5358">
        <f>S682/P682*100-100</f>
        <v>-100</v>
      </c>
      <c r="X682" s="5358">
        <v>0</v>
      </c>
      <c r="Y682" s="5357">
        <f t="shared" si="296"/>
        <v>100</v>
      </c>
      <c r="Z682" s="5358">
        <v>2006500</v>
      </c>
      <c r="AA682" s="5357">
        <f t="shared" si="302"/>
        <v>0</v>
      </c>
      <c r="AB682" s="5358">
        <v>0</v>
      </c>
      <c r="AC682" s="5349"/>
      <c r="AD682" s="5349"/>
      <c r="AE682" s="5349"/>
      <c r="AF682" s="5349">
        <f t="shared" si="289"/>
        <v>-2006500</v>
      </c>
      <c r="AG682" s="5338">
        <f t="shared" si="290"/>
        <v>0</v>
      </c>
    </row>
    <row r="683" spans="1:33" s="5333" customFormat="1" ht="15.05" hidden="1" customHeight="1">
      <c r="A683" s="5426"/>
      <c r="B683" s="5426"/>
      <c r="C683" s="5426"/>
      <c r="D683" s="5374"/>
      <c r="E683" s="5471"/>
      <c r="F683" s="5363"/>
      <c r="G683" s="5363"/>
      <c r="H683" s="5363"/>
      <c r="I683" s="5635"/>
      <c r="J683" s="5655" t="s">
        <v>570</v>
      </c>
      <c r="K683" s="5376"/>
      <c r="L683" s="5375"/>
      <c r="M683" s="5357">
        <v>18851300</v>
      </c>
      <c r="N683" s="5357">
        <v>18851300</v>
      </c>
      <c r="O683" s="5357">
        <f t="shared" si="292"/>
        <v>0</v>
      </c>
      <c r="P683" s="5358">
        <v>18851300</v>
      </c>
      <c r="Q683" s="5357">
        <f t="shared" si="293"/>
        <v>0</v>
      </c>
      <c r="R683" s="5358">
        <f>P683/N683*100-100</f>
        <v>0</v>
      </c>
      <c r="S683" s="5358">
        <v>0</v>
      </c>
      <c r="T683" s="5357">
        <f t="shared" si="294"/>
        <v>0</v>
      </c>
      <c r="U683" s="5358">
        <v>18851300</v>
      </c>
      <c r="V683" s="5357">
        <f t="shared" si="301"/>
        <v>-18851300</v>
      </c>
      <c r="W683" s="5358">
        <f>S683/P683*100-100</f>
        <v>-100</v>
      </c>
      <c r="X683" s="5358">
        <v>0</v>
      </c>
      <c r="Y683" s="5357">
        <f t="shared" si="296"/>
        <v>100</v>
      </c>
      <c r="Z683" s="5358">
        <v>18851300</v>
      </c>
      <c r="AA683" s="5357">
        <f t="shared" si="302"/>
        <v>0</v>
      </c>
      <c r="AB683" s="5358">
        <v>0</v>
      </c>
      <c r="AC683" s="5349"/>
      <c r="AD683" s="5349"/>
      <c r="AE683" s="5349"/>
      <c r="AF683" s="5349">
        <f t="shared" si="289"/>
        <v>-18851300</v>
      </c>
      <c r="AG683" s="5338">
        <f t="shared" si="290"/>
        <v>0</v>
      </c>
    </row>
    <row r="684" spans="1:33" s="5333" customFormat="1" ht="8.3000000000000007" customHeight="1">
      <c r="A684" s="5426"/>
      <c r="B684" s="5426"/>
      <c r="C684" s="5426"/>
      <c r="D684" s="5374"/>
      <c r="E684" s="5471"/>
      <c r="F684" s="5363"/>
      <c r="G684" s="5363"/>
      <c r="H684" s="5363"/>
      <c r="I684" s="5635"/>
      <c r="J684" s="5654"/>
      <c r="K684" s="5376"/>
      <c r="L684" s="5375"/>
      <c r="M684" s="5442"/>
      <c r="N684" s="5442"/>
      <c r="O684" s="5359"/>
      <c r="P684" s="5358"/>
      <c r="Q684" s="5357"/>
      <c r="R684" s="5358"/>
      <c r="S684" s="5358"/>
      <c r="T684" s="5359"/>
      <c r="U684" s="5358"/>
      <c r="V684" s="5357"/>
      <c r="W684" s="5358"/>
      <c r="X684" s="5358"/>
      <c r="Y684" s="5359"/>
      <c r="Z684" s="5358"/>
      <c r="AA684" s="5357"/>
      <c r="AB684" s="5358"/>
      <c r="AC684" s="5350"/>
      <c r="AD684" s="5350"/>
      <c r="AE684" s="5350"/>
      <c r="AF684" s="5349">
        <f t="shared" si="289"/>
        <v>0</v>
      </c>
      <c r="AG684" s="5338">
        <f t="shared" si="290"/>
        <v>0</v>
      </c>
    </row>
    <row r="685" spans="1:33" s="5333" customFormat="1" ht="17.25" customHeight="1">
      <c r="A685" s="5426"/>
      <c r="B685" s="5426"/>
      <c r="C685" s="5426"/>
      <c r="D685" s="5374" t="s">
        <v>443</v>
      </c>
      <c r="E685" s="5471" t="s">
        <v>457</v>
      </c>
      <c r="F685" s="5363" t="s">
        <v>58</v>
      </c>
      <c r="G685" s="5363" t="s">
        <v>445</v>
      </c>
      <c r="H685" s="5363"/>
      <c r="I685" s="5635"/>
      <c r="J685" s="5654" t="s">
        <v>285</v>
      </c>
      <c r="K685" s="5376"/>
      <c r="L685" s="5375"/>
      <c r="M685" s="5359">
        <v>3742965800</v>
      </c>
      <c r="N685" s="5359">
        <f>N686</f>
        <v>3742965800</v>
      </c>
      <c r="O685" s="5359">
        <f t="shared" ref="O685:O691" si="303">N685-M685</f>
        <v>0</v>
      </c>
      <c r="P685" s="5358">
        <f>P686</f>
        <v>3742965800</v>
      </c>
      <c r="Q685" s="5357">
        <f t="shared" ref="Q685:Q691" si="304">+P685-N685</f>
        <v>0</v>
      </c>
      <c r="R685" s="5358">
        <f>P685/N685*100-100</f>
        <v>0</v>
      </c>
      <c r="S685" s="5358" t="e">
        <f>S686</f>
        <v>#REF!</v>
      </c>
      <c r="T685" s="5359" t="e">
        <f t="shared" ref="T685:T691" si="305">S685-R685</f>
        <v>#REF!</v>
      </c>
      <c r="U685" s="5358">
        <f>U686</f>
        <v>3742965800</v>
      </c>
      <c r="V685" s="5357" t="e">
        <f t="shared" ref="V685:V691" si="306">S685-P685</f>
        <v>#REF!</v>
      </c>
      <c r="W685" s="5358" t="e">
        <f>S685/P685*100-100</f>
        <v>#REF!</v>
      </c>
      <c r="X685" s="5358" t="e">
        <f>X686</f>
        <v>#REF!</v>
      </c>
      <c r="Y685" s="5359" t="e">
        <f t="shared" ref="Y685:Y691" si="307">X685-W685</f>
        <v>#REF!</v>
      </c>
      <c r="Z685" s="5358">
        <f>Z686</f>
        <v>3742965800</v>
      </c>
      <c r="AA685" s="5357" t="e">
        <f t="shared" ref="AA685:AA691" si="308">X685-S685</f>
        <v>#REF!</v>
      </c>
      <c r="AB685" s="5358" t="e">
        <f>X685/S685*100-100</f>
        <v>#REF!</v>
      </c>
      <c r="AC685" s="5350"/>
      <c r="AD685" s="5350"/>
      <c r="AE685" s="5350"/>
      <c r="AF685" s="5349" t="e">
        <f t="shared" si="289"/>
        <v>#REF!</v>
      </c>
      <c r="AG685" s="5338" t="e">
        <f t="shared" si="290"/>
        <v>#REF!</v>
      </c>
    </row>
    <row r="686" spans="1:33" s="5333" customFormat="1" ht="17.25" customHeight="1">
      <c r="A686" s="5426"/>
      <c r="B686" s="5426"/>
      <c r="C686" s="5426"/>
      <c r="D686" s="5374" t="s">
        <v>443</v>
      </c>
      <c r="E686" s="5471" t="s">
        <v>457</v>
      </c>
      <c r="F686" s="5363" t="s">
        <v>58</v>
      </c>
      <c r="G686" s="5363" t="s">
        <v>445</v>
      </c>
      <c r="H686" s="5363" t="s">
        <v>437</v>
      </c>
      <c r="I686" s="5635"/>
      <c r="J686" s="5654" t="s">
        <v>286</v>
      </c>
      <c r="K686" s="5376"/>
      <c r="L686" s="5375"/>
      <c r="M686" s="5442">
        <v>3742965800</v>
      </c>
      <c r="N686" s="5442">
        <f>+N687+N690</f>
        <v>3742965800</v>
      </c>
      <c r="O686" s="5359">
        <f t="shared" si="303"/>
        <v>0</v>
      </c>
      <c r="P686" s="5358">
        <f>+P687+P690</f>
        <v>3742965800</v>
      </c>
      <c r="Q686" s="5357">
        <f t="shared" si="304"/>
        <v>0</v>
      </c>
      <c r="R686" s="5358">
        <f>P686/N686*100-100</f>
        <v>0</v>
      </c>
      <c r="S686" s="5358" t="e">
        <f>+S687+S690</f>
        <v>#REF!</v>
      </c>
      <c r="T686" s="5359" t="e">
        <f t="shared" si="305"/>
        <v>#REF!</v>
      </c>
      <c r="U686" s="5358">
        <f>+U687+U690</f>
        <v>3742965800</v>
      </c>
      <c r="V686" s="5357" t="e">
        <f t="shared" si="306"/>
        <v>#REF!</v>
      </c>
      <c r="W686" s="5358" t="e">
        <f>S686/P686*100-100</f>
        <v>#REF!</v>
      </c>
      <c r="X686" s="5358" t="e">
        <f>+X687+X690</f>
        <v>#REF!</v>
      </c>
      <c r="Y686" s="5359" t="e">
        <f t="shared" si="307"/>
        <v>#REF!</v>
      </c>
      <c r="Z686" s="5358">
        <f>+Z687+Z690</f>
        <v>3742965800</v>
      </c>
      <c r="AA686" s="5357" t="e">
        <f t="shared" si="308"/>
        <v>#REF!</v>
      </c>
      <c r="AB686" s="5358" t="e">
        <f>X686/S686*100-100</f>
        <v>#REF!</v>
      </c>
      <c r="AC686" s="5350"/>
      <c r="AD686" s="5350"/>
      <c r="AE686" s="5350"/>
      <c r="AF686" s="5349" t="e">
        <f t="shared" si="289"/>
        <v>#REF!</v>
      </c>
      <c r="AG686" s="5338" t="e">
        <f t="shared" si="290"/>
        <v>#REF!</v>
      </c>
    </row>
    <row r="687" spans="1:33" s="5333" customFormat="1" ht="14.25" customHeight="1">
      <c r="A687" s="5426"/>
      <c r="B687" s="5426"/>
      <c r="C687" s="5426"/>
      <c r="D687" s="5468"/>
      <c r="E687" s="5467"/>
      <c r="F687" s="5363"/>
      <c r="G687" s="5363"/>
      <c r="H687" s="5363"/>
      <c r="I687" s="5635"/>
      <c r="J687" s="5655" t="s">
        <v>1346</v>
      </c>
      <c r="K687" s="5376"/>
      <c r="L687" s="5375"/>
      <c r="M687" s="5357">
        <v>54165800</v>
      </c>
      <c r="N687" s="5357">
        <f>N688+N689</f>
        <v>54165800</v>
      </c>
      <c r="O687" s="5454">
        <f t="shared" si="303"/>
        <v>0</v>
      </c>
      <c r="P687" s="5358">
        <f>P688+P689</f>
        <v>54165800</v>
      </c>
      <c r="Q687" s="5357">
        <f t="shared" si="304"/>
        <v>0</v>
      </c>
      <c r="R687" s="5358">
        <f>P687/N687*100-100</f>
        <v>0</v>
      </c>
      <c r="S687" s="5358" t="e">
        <f>S688+S689</f>
        <v>#REF!</v>
      </c>
      <c r="T687" s="5454" t="e">
        <f t="shared" si="305"/>
        <v>#REF!</v>
      </c>
      <c r="U687" s="5358">
        <f>U688+U689</f>
        <v>54165800</v>
      </c>
      <c r="V687" s="5357" t="e">
        <f t="shared" si="306"/>
        <v>#REF!</v>
      </c>
      <c r="W687" s="5358" t="e">
        <f>S687/P687*100-100</f>
        <v>#REF!</v>
      </c>
      <c r="X687" s="5358" t="e">
        <f>X688+X689</f>
        <v>#REF!</v>
      </c>
      <c r="Y687" s="5454" t="e">
        <f t="shared" si="307"/>
        <v>#REF!</v>
      </c>
      <c r="Z687" s="5358">
        <f>Z688+Z689</f>
        <v>54165800</v>
      </c>
      <c r="AA687" s="5357" t="e">
        <f t="shared" si="308"/>
        <v>#REF!</v>
      </c>
      <c r="AB687" s="5358" t="e">
        <f>X687/S687*100-100</f>
        <v>#REF!</v>
      </c>
      <c r="AC687" s="5349"/>
      <c r="AD687" s="5349"/>
      <c r="AE687" s="5349"/>
      <c r="AF687" s="5349" t="e">
        <f t="shared" si="289"/>
        <v>#REF!</v>
      </c>
      <c r="AG687" s="5338" t="e">
        <f t="shared" si="290"/>
        <v>#REF!</v>
      </c>
    </row>
    <row r="688" spans="1:33" s="5333" customFormat="1" ht="14.25" customHeight="1">
      <c r="A688" s="5426"/>
      <c r="B688" s="5426"/>
      <c r="C688" s="5426"/>
      <c r="D688" s="5468"/>
      <c r="E688" s="5467"/>
      <c r="F688" s="5363"/>
      <c r="G688" s="5363"/>
      <c r="H688" s="5363"/>
      <c r="I688" s="5635"/>
      <c r="J688" s="5655" t="s">
        <v>50</v>
      </c>
      <c r="K688" s="5376" t="s">
        <v>615</v>
      </c>
      <c r="L688" s="5375"/>
      <c r="M688" s="5357">
        <v>54165800</v>
      </c>
      <c r="N688" s="5357">
        <v>54165800</v>
      </c>
      <c r="O688" s="5359">
        <f t="shared" si="303"/>
        <v>0</v>
      </c>
      <c r="P688" s="5358">
        <v>54165800</v>
      </c>
      <c r="Q688" s="5357">
        <f t="shared" si="304"/>
        <v>0</v>
      </c>
      <c r="R688" s="5358">
        <f>P688/N688*100-100</f>
        <v>0</v>
      </c>
      <c r="S688" s="5358" t="e">
        <f>#REF!</f>
        <v>#REF!</v>
      </c>
      <c r="T688" s="5359" t="e">
        <f t="shared" si="305"/>
        <v>#REF!</v>
      </c>
      <c r="U688" s="5358">
        <v>54165800</v>
      </c>
      <c r="V688" s="5357" t="e">
        <f t="shared" si="306"/>
        <v>#REF!</v>
      </c>
      <c r="W688" s="5358" t="e">
        <f>S688/P688*100-100</f>
        <v>#REF!</v>
      </c>
      <c r="X688" s="5358" t="e">
        <f>#REF!</f>
        <v>#REF!</v>
      </c>
      <c r="Y688" s="5359" t="e">
        <f t="shared" si="307"/>
        <v>#REF!</v>
      </c>
      <c r="Z688" s="5358">
        <v>54165800</v>
      </c>
      <c r="AA688" s="5357" t="e">
        <f t="shared" si="308"/>
        <v>#REF!</v>
      </c>
      <c r="AB688" s="5358" t="e">
        <f>X688/S688*100-100</f>
        <v>#REF!</v>
      </c>
      <c r="AC688" s="5349"/>
      <c r="AD688" s="5349"/>
      <c r="AE688" s="5349"/>
      <c r="AF688" s="5349" t="e">
        <f t="shared" si="289"/>
        <v>#REF!</v>
      </c>
      <c r="AG688" s="5338" t="e">
        <f t="shared" si="290"/>
        <v>#REF!</v>
      </c>
    </row>
    <row r="689" spans="1:33" s="5333" customFormat="1" ht="14.25" customHeight="1">
      <c r="A689" s="5426"/>
      <c r="B689" s="5426"/>
      <c r="C689" s="5426"/>
      <c r="D689" s="5468"/>
      <c r="E689" s="5467"/>
      <c r="F689" s="5363"/>
      <c r="G689" s="5363"/>
      <c r="H689" s="5363"/>
      <c r="I689" s="5635"/>
      <c r="J689" s="5655" t="s">
        <v>50</v>
      </c>
      <c r="K689" s="5376" t="s">
        <v>85</v>
      </c>
      <c r="L689" s="5375"/>
      <c r="M689" s="5357">
        <v>0</v>
      </c>
      <c r="N689" s="5357">
        <v>0</v>
      </c>
      <c r="O689" s="5359">
        <f t="shared" si="303"/>
        <v>0</v>
      </c>
      <c r="P689" s="5358">
        <v>0</v>
      </c>
      <c r="Q689" s="5357">
        <f t="shared" si="304"/>
        <v>0</v>
      </c>
      <c r="R689" s="5358">
        <v>0</v>
      </c>
      <c r="S689" s="5358">
        <v>0</v>
      </c>
      <c r="T689" s="5359">
        <f t="shared" si="305"/>
        <v>0</v>
      </c>
      <c r="U689" s="5358">
        <v>0</v>
      </c>
      <c r="V689" s="5357">
        <f t="shared" si="306"/>
        <v>0</v>
      </c>
      <c r="W689" s="5358">
        <v>0</v>
      </c>
      <c r="X689" s="5358">
        <v>0</v>
      </c>
      <c r="Y689" s="5359">
        <f t="shared" si="307"/>
        <v>0</v>
      </c>
      <c r="Z689" s="5358">
        <v>0</v>
      </c>
      <c r="AA689" s="5357">
        <f t="shared" si="308"/>
        <v>0</v>
      </c>
      <c r="AB689" s="5358">
        <v>0</v>
      </c>
      <c r="AC689" s="5349"/>
      <c r="AD689" s="5349"/>
      <c r="AE689" s="5349"/>
      <c r="AF689" s="5349">
        <f t="shared" si="289"/>
        <v>0</v>
      </c>
      <c r="AG689" s="5338">
        <f t="shared" si="290"/>
        <v>0</v>
      </c>
    </row>
    <row r="690" spans="1:33" s="5333" customFormat="1" ht="14.25" customHeight="1">
      <c r="A690" s="5426"/>
      <c r="B690" s="5426"/>
      <c r="C690" s="5426"/>
      <c r="D690" s="5468"/>
      <c r="E690" s="5467"/>
      <c r="F690" s="5363"/>
      <c r="G690" s="5363"/>
      <c r="H690" s="5363"/>
      <c r="I690" s="5635"/>
      <c r="J690" s="5655" t="s">
        <v>458</v>
      </c>
      <c r="K690" s="5376"/>
      <c r="L690" s="5375"/>
      <c r="M690" s="5357">
        <v>3688800000</v>
      </c>
      <c r="N690" s="5357">
        <f>N691</f>
        <v>3688800000</v>
      </c>
      <c r="O690" s="5454">
        <f t="shared" si="303"/>
        <v>0</v>
      </c>
      <c r="P690" s="5358">
        <f>P691</f>
        <v>3688800000</v>
      </c>
      <c r="Q690" s="5357">
        <f t="shared" si="304"/>
        <v>0</v>
      </c>
      <c r="R690" s="5358">
        <f>P690/N690*100-100</f>
        <v>0</v>
      </c>
      <c r="S690" s="5358">
        <f>S691</f>
        <v>3688800000</v>
      </c>
      <c r="T690" s="5454">
        <f t="shared" si="305"/>
        <v>3688800000</v>
      </c>
      <c r="U690" s="5358">
        <f>U691</f>
        <v>3688800000</v>
      </c>
      <c r="V690" s="5357">
        <f t="shared" si="306"/>
        <v>0</v>
      </c>
      <c r="W690" s="5358">
        <f>S690/P690*100-100</f>
        <v>0</v>
      </c>
      <c r="X690" s="5358" t="e">
        <f>X691</f>
        <v>#REF!</v>
      </c>
      <c r="Y690" s="5454" t="e">
        <f t="shared" si="307"/>
        <v>#REF!</v>
      </c>
      <c r="Z690" s="5358">
        <f>Z691</f>
        <v>3688800000</v>
      </c>
      <c r="AA690" s="5357" t="e">
        <f t="shared" si="308"/>
        <v>#REF!</v>
      </c>
      <c r="AB690" s="5358" t="e">
        <f>X690/S690*100-100</f>
        <v>#REF!</v>
      </c>
      <c r="AC690" s="5349"/>
      <c r="AD690" s="5349"/>
      <c r="AE690" s="5349"/>
      <c r="AF690" s="5349">
        <f t="shared" si="289"/>
        <v>0</v>
      </c>
      <c r="AG690" s="5338">
        <f t="shared" si="290"/>
        <v>0</v>
      </c>
    </row>
    <row r="691" spans="1:33" s="5333" customFormat="1" ht="14.25" customHeight="1">
      <c r="A691" s="5426"/>
      <c r="B691" s="5426"/>
      <c r="C691" s="5426"/>
      <c r="D691" s="5468"/>
      <c r="E691" s="5467"/>
      <c r="F691" s="5363"/>
      <c r="G691" s="5363"/>
      <c r="H691" s="5363"/>
      <c r="I691" s="5635"/>
      <c r="J691" s="5655" t="s">
        <v>50</v>
      </c>
      <c r="K691" s="5376" t="s">
        <v>826</v>
      </c>
      <c r="L691" s="5375"/>
      <c r="M691" s="5357">
        <v>3688800000</v>
      </c>
      <c r="N691" s="5357">
        <v>3688800000</v>
      </c>
      <c r="O691" s="5359">
        <f t="shared" si="303"/>
        <v>0</v>
      </c>
      <c r="P691" s="5358">
        <v>3688800000</v>
      </c>
      <c r="Q691" s="5357">
        <f t="shared" si="304"/>
        <v>0</v>
      </c>
      <c r="R691" s="5358">
        <f>P691/N691*100-100</f>
        <v>0</v>
      </c>
      <c r="S691" s="5358">
        <v>3688800000</v>
      </c>
      <c r="T691" s="5359">
        <f t="shared" si="305"/>
        <v>3688800000</v>
      </c>
      <c r="U691" s="5358">
        <v>3688800000</v>
      </c>
      <c r="V691" s="5357">
        <f t="shared" si="306"/>
        <v>0</v>
      </c>
      <c r="W691" s="5358">
        <f>S691/P691*100-100</f>
        <v>0</v>
      </c>
      <c r="X691" s="5358" t="e">
        <f>#REF!</f>
        <v>#REF!</v>
      </c>
      <c r="Y691" s="5359" t="e">
        <f t="shared" si="307"/>
        <v>#REF!</v>
      </c>
      <c r="Z691" s="5358">
        <v>3688800000</v>
      </c>
      <c r="AA691" s="5357" t="e">
        <f t="shared" si="308"/>
        <v>#REF!</v>
      </c>
      <c r="AB691" s="5358" t="e">
        <f>X691/S691*100-100</f>
        <v>#REF!</v>
      </c>
      <c r="AC691" s="5349"/>
      <c r="AD691" s="5349"/>
      <c r="AE691" s="5349"/>
      <c r="AF691" s="5349">
        <f t="shared" ref="AF691:AF754" si="309">S691-P691</f>
        <v>0</v>
      </c>
      <c r="AG691" s="5338">
        <f t="shared" ref="AG691:AG754" si="310">AF691-V691</f>
        <v>0</v>
      </c>
    </row>
    <row r="692" spans="1:33" s="5333" customFormat="1" ht="6.75" customHeight="1">
      <c r="A692" s="5426"/>
      <c r="B692" s="5426"/>
      <c r="C692" s="5426"/>
      <c r="D692" s="5468"/>
      <c r="E692" s="5467"/>
      <c r="F692" s="5363"/>
      <c r="G692" s="5399"/>
      <c r="H692" s="5399"/>
      <c r="I692" s="5638"/>
      <c r="J692" s="5656"/>
      <c r="K692" s="5376"/>
      <c r="L692" s="5375"/>
      <c r="M692" s="5359"/>
      <c r="N692" s="5359"/>
      <c r="O692" s="5359"/>
      <c r="P692" s="5358"/>
      <c r="Q692" s="5357"/>
      <c r="R692" s="5358"/>
      <c r="S692" s="5358"/>
      <c r="T692" s="5359"/>
      <c r="U692" s="5358"/>
      <c r="V692" s="5357"/>
      <c r="W692" s="5358"/>
      <c r="X692" s="5358"/>
      <c r="Y692" s="5359"/>
      <c r="Z692" s="5358"/>
      <c r="AA692" s="5357"/>
      <c r="AB692" s="5358"/>
      <c r="AC692" s="5350"/>
      <c r="AD692" s="5350"/>
      <c r="AE692" s="5350"/>
      <c r="AF692" s="5349">
        <f t="shared" si="309"/>
        <v>0</v>
      </c>
      <c r="AG692" s="5338">
        <f t="shared" si="310"/>
        <v>0</v>
      </c>
    </row>
    <row r="693" spans="1:33" s="5333" customFormat="1" ht="15.85" customHeight="1">
      <c r="A693" s="5426"/>
      <c r="B693" s="5426"/>
      <c r="C693" s="5426"/>
      <c r="D693" s="5374" t="s">
        <v>443</v>
      </c>
      <c r="E693" s="5471" t="s">
        <v>457</v>
      </c>
      <c r="F693" s="5363" t="s">
        <v>443</v>
      </c>
      <c r="G693" s="5363"/>
      <c r="H693" s="5363"/>
      <c r="I693" s="5635"/>
      <c r="J693" s="5657" t="s">
        <v>652</v>
      </c>
      <c r="K693" s="5376"/>
      <c r="L693" s="5375"/>
      <c r="M693" s="5359">
        <v>463522400000</v>
      </c>
      <c r="N693" s="5359">
        <f>+N694</f>
        <v>630827901000</v>
      </c>
      <c r="O693" s="5359">
        <f t="shared" ref="O693:O700" si="311">N693-M693</f>
        <v>167305501000</v>
      </c>
      <c r="P693" s="5358">
        <f>+P694</f>
        <v>611791800000</v>
      </c>
      <c r="Q693" s="5357">
        <f t="shared" ref="Q693:Q700" si="312">+P693-N693</f>
        <v>-19036101000</v>
      </c>
      <c r="R693" s="5358">
        <f t="shared" ref="R693:R700" si="313">P693/N693*100-100</f>
        <v>-3.0176377693224481</v>
      </c>
      <c r="S693" s="5358">
        <f>+S694</f>
        <v>53394311000</v>
      </c>
      <c r="T693" s="5359">
        <f t="shared" ref="T693:T700" si="314">S693-R693</f>
        <v>53394311003.017639</v>
      </c>
      <c r="U693" s="5358">
        <f>+U694</f>
        <v>611791800000</v>
      </c>
      <c r="V693" s="5357">
        <f t="shared" ref="V693:V700" si="315">S693-P693</f>
        <v>-558397489000</v>
      </c>
      <c r="W693" s="5358">
        <f t="shared" ref="W693:W700" si="316">S693/P693*100-100</f>
        <v>-91.272470307709256</v>
      </c>
      <c r="X693" s="5358">
        <f>+X694</f>
        <v>53394311000</v>
      </c>
      <c r="Y693" s="5359">
        <f t="shared" ref="Y693:Y700" si="317">X693-W693</f>
        <v>53394311091.272469</v>
      </c>
      <c r="Z693" s="5358">
        <f>+Z694</f>
        <v>611791800000</v>
      </c>
      <c r="AA693" s="5357">
        <f t="shared" ref="AA693:AA700" si="318">X693-S693</f>
        <v>0</v>
      </c>
      <c r="AB693" s="5358">
        <f t="shared" ref="AB693:AB698" si="319">X693/S693*100-100</f>
        <v>0</v>
      </c>
      <c r="AC693" s="5350"/>
      <c r="AD693" s="5350"/>
      <c r="AE693" s="5350"/>
      <c r="AF693" s="5349">
        <f t="shared" si="309"/>
        <v>-558397489000</v>
      </c>
      <c r="AG693" s="5338">
        <f t="shared" si="310"/>
        <v>0</v>
      </c>
    </row>
    <row r="694" spans="1:33" s="5333" customFormat="1" ht="15.85" customHeight="1">
      <c r="A694" s="5426"/>
      <c r="B694" s="5426"/>
      <c r="C694" s="5426"/>
      <c r="D694" s="5374" t="s">
        <v>443</v>
      </c>
      <c r="E694" s="5471" t="s">
        <v>457</v>
      </c>
      <c r="F694" s="5363" t="s">
        <v>443</v>
      </c>
      <c r="G694" s="5363" t="s">
        <v>445</v>
      </c>
      <c r="H694" s="5363"/>
      <c r="I694" s="5635"/>
      <c r="J694" s="5657" t="s">
        <v>293</v>
      </c>
      <c r="K694" s="5376"/>
      <c r="L694" s="5375"/>
      <c r="M694" s="5359">
        <v>463522400000</v>
      </c>
      <c r="N694" s="5359">
        <f>+N695</f>
        <v>630827901000</v>
      </c>
      <c r="O694" s="5359">
        <f t="shared" si="311"/>
        <v>167305501000</v>
      </c>
      <c r="P694" s="5358">
        <f>+P695</f>
        <v>611791800000</v>
      </c>
      <c r="Q694" s="5357">
        <f t="shared" si="312"/>
        <v>-19036101000</v>
      </c>
      <c r="R694" s="5358">
        <f t="shared" si="313"/>
        <v>-3.0176377693224481</v>
      </c>
      <c r="S694" s="5358">
        <f>+S695</f>
        <v>53394311000</v>
      </c>
      <c r="T694" s="5359">
        <f t="shared" si="314"/>
        <v>53394311003.017639</v>
      </c>
      <c r="U694" s="5358">
        <f>+U695</f>
        <v>611791800000</v>
      </c>
      <c r="V694" s="5357">
        <f t="shared" si="315"/>
        <v>-558397489000</v>
      </c>
      <c r="W694" s="5358">
        <f t="shared" si="316"/>
        <v>-91.272470307709256</v>
      </c>
      <c r="X694" s="5358">
        <f>+X695</f>
        <v>53394311000</v>
      </c>
      <c r="Y694" s="5359">
        <f t="shared" si="317"/>
        <v>53394311091.272469</v>
      </c>
      <c r="Z694" s="5358">
        <f>+Z695</f>
        <v>611791800000</v>
      </c>
      <c r="AA694" s="5357">
        <f t="shared" si="318"/>
        <v>0</v>
      </c>
      <c r="AB694" s="5358">
        <f t="shared" si="319"/>
        <v>0</v>
      </c>
      <c r="AC694" s="5350"/>
      <c r="AD694" s="5350"/>
      <c r="AE694" s="5350"/>
      <c r="AF694" s="5349">
        <f t="shared" si="309"/>
        <v>-558397489000</v>
      </c>
      <c r="AG694" s="5338">
        <f t="shared" si="310"/>
        <v>0</v>
      </c>
    </row>
    <row r="695" spans="1:33" s="5333" customFormat="1" ht="15.85" customHeight="1">
      <c r="A695" s="5426"/>
      <c r="B695" s="5426"/>
      <c r="C695" s="5426"/>
      <c r="D695" s="5374" t="s">
        <v>443</v>
      </c>
      <c r="E695" s="5471" t="s">
        <v>457</v>
      </c>
      <c r="F695" s="5363" t="s">
        <v>443</v>
      </c>
      <c r="G695" s="5363" t="s">
        <v>445</v>
      </c>
      <c r="H695" s="5363" t="s">
        <v>437</v>
      </c>
      <c r="I695" s="5635"/>
      <c r="J695" s="5654" t="s">
        <v>1345</v>
      </c>
      <c r="K695" s="5376"/>
      <c r="L695" s="5375"/>
      <c r="M695" s="5359">
        <v>463522400000</v>
      </c>
      <c r="N695" s="5359">
        <f>N696+N699</f>
        <v>630827901000</v>
      </c>
      <c r="O695" s="5359">
        <f t="shared" si="311"/>
        <v>167305501000</v>
      </c>
      <c r="P695" s="5358">
        <f>P696+P699</f>
        <v>611791800000</v>
      </c>
      <c r="Q695" s="5357">
        <f t="shared" si="312"/>
        <v>-19036101000</v>
      </c>
      <c r="R695" s="5358">
        <f t="shared" si="313"/>
        <v>-3.0176377693224481</v>
      </c>
      <c r="S695" s="5358">
        <f>S696+S699</f>
        <v>53394311000</v>
      </c>
      <c r="T695" s="5359">
        <f t="shared" si="314"/>
        <v>53394311003.017639</v>
      </c>
      <c r="U695" s="5358">
        <f>U696+U699</f>
        <v>611791800000</v>
      </c>
      <c r="V695" s="5357">
        <f t="shared" si="315"/>
        <v>-558397489000</v>
      </c>
      <c r="W695" s="5358">
        <f t="shared" si="316"/>
        <v>-91.272470307709256</v>
      </c>
      <c r="X695" s="5358">
        <f>X696+X699</f>
        <v>53394311000</v>
      </c>
      <c r="Y695" s="5359">
        <f t="shared" si="317"/>
        <v>53394311091.272469</v>
      </c>
      <c r="Z695" s="5358">
        <f>Z696+Z699</f>
        <v>611791800000</v>
      </c>
      <c r="AA695" s="5357">
        <f t="shared" si="318"/>
        <v>0</v>
      </c>
      <c r="AB695" s="5358">
        <f t="shared" si="319"/>
        <v>0</v>
      </c>
      <c r="AC695" s="5350"/>
      <c r="AD695" s="5350"/>
      <c r="AE695" s="5350"/>
      <c r="AF695" s="5349">
        <f t="shared" si="309"/>
        <v>-558397489000</v>
      </c>
      <c r="AG695" s="5338">
        <f t="shared" si="310"/>
        <v>0</v>
      </c>
    </row>
    <row r="696" spans="1:33" s="5405" customFormat="1" ht="15.85" customHeight="1">
      <c r="A696" s="5470"/>
      <c r="B696" s="5470"/>
      <c r="C696" s="5470"/>
      <c r="D696" s="5468"/>
      <c r="E696" s="5467"/>
      <c r="F696" s="5363"/>
      <c r="G696" s="5363"/>
      <c r="H696" s="5363"/>
      <c r="I696" s="5635"/>
      <c r="J696" s="5655" t="s">
        <v>654</v>
      </c>
      <c r="K696" s="5376"/>
      <c r="L696" s="5375"/>
      <c r="M696" s="5407">
        <v>4449000000</v>
      </c>
      <c r="N696" s="5407">
        <f>SUM(N697:N698)</f>
        <v>24450101000</v>
      </c>
      <c r="O696" s="5359">
        <f t="shared" si="311"/>
        <v>20001101000</v>
      </c>
      <c r="P696" s="5401">
        <f>SUM(P697:P698)</f>
        <v>5414000000</v>
      </c>
      <c r="Q696" s="5357">
        <f t="shared" si="312"/>
        <v>-19036101000</v>
      </c>
      <c r="R696" s="5358">
        <f t="shared" si="313"/>
        <v>-77.856942186046595</v>
      </c>
      <c r="S696" s="5401">
        <f>SUM(S697:S698)</f>
        <v>53394311000</v>
      </c>
      <c r="T696" s="5359">
        <f t="shared" si="314"/>
        <v>53394311077.856941</v>
      </c>
      <c r="U696" s="5401">
        <f>SUM(U697:U698)</f>
        <v>5414000000</v>
      </c>
      <c r="V696" s="5357">
        <f t="shared" si="315"/>
        <v>47980311000</v>
      </c>
      <c r="W696" s="5358">
        <f t="shared" si="316"/>
        <v>886.22665312153663</v>
      </c>
      <c r="X696" s="5401">
        <f>SUM(X697:X698)</f>
        <v>53394311000</v>
      </c>
      <c r="Y696" s="5359">
        <f t="shared" si="317"/>
        <v>53394310113.773346</v>
      </c>
      <c r="Z696" s="5401">
        <f>SUM(Z697:Z698)</f>
        <v>5414000000</v>
      </c>
      <c r="AA696" s="5357">
        <f t="shared" si="318"/>
        <v>0</v>
      </c>
      <c r="AB696" s="5358">
        <f t="shared" si="319"/>
        <v>0</v>
      </c>
      <c r="AC696" s="5350"/>
      <c r="AD696" s="5350"/>
      <c r="AE696" s="5350"/>
      <c r="AF696" s="5349">
        <f t="shared" si="309"/>
        <v>47980311000</v>
      </c>
      <c r="AG696" s="5338">
        <f t="shared" si="310"/>
        <v>0</v>
      </c>
    </row>
    <row r="697" spans="1:33" s="5405" customFormat="1" ht="15.85" customHeight="1">
      <c r="A697" s="5470"/>
      <c r="B697" s="5470"/>
      <c r="C697" s="5470"/>
      <c r="D697" s="5468"/>
      <c r="E697" s="5467"/>
      <c r="F697" s="5363"/>
      <c r="G697" s="5363"/>
      <c r="H697" s="5363"/>
      <c r="I697" s="5635"/>
      <c r="J697" s="5655" t="s">
        <v>50</v>
      </c>
      <c r="K697" s="5376" t="s">
        <v>655</v>
      </c>
      <c r="L697" s="5375"/>
      <c r="M697" s="5359">
        <v>1449000000</v>
      </c>
      <c r="N697" s="5469">
        <v>414000000</v>
      </c>
      <c r="O697" s="5359">
        <f t="shared" si="311"/>
        <v>-1035000000</v>
      </c>
      <c r="P697" s="5469">
        <v>414000000</v>
      </c>
      <c r="Q697" s="5357">
        <f t="shared" si="312"/>
        <v>0</v>
      </c>
      <c r="R697" s="5358">
        <f t="shared" si="313"/>
        <v>0</v>
      </c>
      <c r="S697" s="5469">
        <v>0</v>
      </c>
      <c r="T697" s="5359">
        <f t="shared" si="314"/>
        <v>0</v>
      </c>
      <c r="U697" s="5469">
        <v>414000000</v>
      </c>
      <c r="V697" s="5357">
        <f t="shared" si="315"/>
        <v>-414000000</v>
      </c>
      <c r="W697" s="5358">
        <f t="shared" si="316"/>
        <v>-100</v>
      </c>
      <c r="X697" s="5469">
        <v>0</v>
      </c>
      <c r="Y697" s="5359">
        <f t="shared" si="317"/>
        <v>100</v>
      </c>
      <c r="Z697" s="5469">
        <v>414000000</v>
      </c>
      <c r="AA697" s="5357">
        <f t="shared" si="318"/>
        <v>0</v>
      </c>
      <c r="AB697" s="5358" t="e">
        <f t="shared" si="319"/>
        <v>#DIV/0!</v>
      </c>
      <c r="AC697" s="5350"/>
      <c r="AD697" s="5350"/>
      <c r="AE697" s="5350"/>
      <c r="AF697" s="5349">
        <f t="shared" si="309"/>
        <v>-414000000</v>
      </c>
      <c r="AG697" s="5338">
        <f t="shared" si="310"/>
        <v>0</v>
      </c>
    </row>
    <row r="698" spans="1:33" s="5405" customFormat="1" ht="15.85" customHeight="1">
      <c r="A698" s="5470"/>
      <c r="B698" s="5470"/>
      <c r="C698" s="5470"/>
      <c r="D698" s="5468"/>
      <c r="E698" s="5467"/>
      <c r="F698" s="5363"/>
      <c r="G698" s="5363"/>
      <c r="H698" s="5363"/>
      <c r="I698" s="5635"/>
      <c r="J698" s="5655" t="s">
        <v>50</v>
      </c>
      <c r="K698" s="5376" t="s">
        <v>656</v>
      </c>
      <c r="L698" s="5375"/>
      <c r="M698" s="5359">
        <v>3000000000</v>
      </c>
      <c r="N698" s="5469">
        <v>24036101000</v>
      </c>
      <c r="O698" s="5359">
        <f t="shared" si="311"/>
        <v>21036101000</v>
      </c>
      <c r="P698" s="5358">
        <v>5000000000</v>
      </c>
      <c r="Q698" s="5357">
        <f t="shared" si="312"/>
        <v>-19036101000</v>
      </c>
      <c r="R698" s="5358">
        <f t="shared" si="313"/>
        <v>-79.197957272687447</v>
      </c>
      <c r="S698" s="5441">
        <v>53394311000</v>
      </c>
      <c r="T698" s="5359">
        <f t="shared" si="314"/>
        <v>53394311079.19796</v>
      </c>
      <c r="U698" s="5358">
        <v>5000000000</v>
      </c>
      <c r="V698" s="5357">
        <f t="shared" si="315"/>
        <v>48394311000</v>
      </c>
      <c r="W698" s="5358">
        <f t="shared" si="316"/>
        <v>967.88621999999987</v>
      </c>
      <c r="X698" s="5441">
        <v>53394311000</v>
      </c>
      <c r="Y698" s="5359">
        <f t="shared" si="317"/>
        <v>53394310032.113777</v>
      </c>
      <c r="Z698" s="5358">
        <v>5000000000</v>
      </c>
      <c r="AA698" s="5357">
        <f t="shared" si="318"/>
        <v>0</v>
      </c>
      <c r="AB698" s="5358">
        <f t="shared" si="319"/>
        <v>0</v>
      </c>
      <c r="AC698" s="5350"/>
      <c r="AD698" s="5350"/>
      <c r="AE698" s="5350"/>
      <c r="AF698" s="5349">
        <f t="shared" si="309"/>
        <v>48394311000</v>
      </c>
      <c r="AG698" s="5338">
        <f t="shared" si="310"/>
        <v>0</v>
      </c>
    </row>
    <row r="699" spans="1:33" s="5405" customFormat="1" ht="15.85" customHeight="1">
      <c r="A699" s="5470"/>
      <c r="B699" s="5470"/>
      <c r="C699" s="5470"/>
      <c r="D699" s="5468"/>
      <c r="E699" s="5467"/>
      <c r="F699" s="5363"/>
      <c r="G699" s="5363"/>
      <c r="H699" s="5363"/>
      <c r="I699" s="5635"/>
      <c r="J699" s="5655" t="s">
        <v>298</v>
      </c>
      <c r="K699" s="5376"/>
      <c r="L699" s="5375"/>
      <c r="M699" s="5407">
        <v>459073400000</v>
      </c>
      <c r="N699" s="5407">
        <f>N700</f>
        <v>606377800000</v>
      </c>
      <c r="O699" s="5359">
        <f t="shared" si="311"/>
        <v>147304400000</v>
      </c>
      <c r="P699" s="5401">
        <f>P700</f>
        <v>606377800000</v>
      </c>
      <c r="Q699" s="5357">
        <f t="shared" si="312"/>
        <v>0</v>
      </c>
      <c r="R699" s="5358">
        <f t="shared" si="313"/>
        <v>0</v>
      </c>
      <c r="S699" s="5401">
        <f>S700</f>
        <v>0</v>
      </c>
      <c r="T699" s="5359">
        <f t="shared" si="314"/>
        <v>0</v>
      </c>
      <c r="U699" s="5401">
        <f>U700</f>
        <v>606377800000</v>
      </c>
      <c r="V699" s="5357">
        <f t="shared" si="315"/>
        <v>-606377800000</v>
      </c>
      <c r="W699" s="5358">
        <f t="shared" si="316"/>
        <v>-100</v>
      </c>
      <c r="X699" s="5401">
        <f>X700</f>
        <v>0</v>
      </c>
      <c r="Y699" s="5359">
        <f t="shared" si="317"/>
        <v>100</v>
      </c>
      <c r="Z699" s="5401">
        <f>Z700</f>
        <v>606377800000</v>
      </c>
      <c r="AA699" s="5357">
        <f t="shared" si="318"/>
        <v>0</v>
      </c>
      <c r="AB699" s="5358">
        <v>0</v>
      </c>
      <c r="AC699" s="5350"/>
      <c r="AD699" s="5350"/>
      <c r="AE699" s="5350"/>
      <c r="AF699" s="5349">
        <f t="shared" si="309"/>
        <v>-606377800000</v>
      </c>
      <c r="AG699" s="5338">
        <f t="shared" si="310"/>
        <v>0</v>
      </c>
    </row>
    <row r="700" spans="1:33" s="5405" customFormat="1" ht="15.85" customHeight="1">
      <c r="A700" s="5470"/>
      <c r="B700" s="5470"/>
      <c r="C700" s="5470"/>
      <c r="D700" s="5468"/>
      <c r="E700" s="5467"/>
      <c r="F700" s="5363"/>
      <c r="G700" s="5363"/>
      <c r="H700" s="5363"/>
      <c r="I700" s="5635"/>
      <c r="J700" s="5655" t="s">
        <v>50</v>
      </c>
      <c r="K700" s="5376" t="s">
        <v>657</v>
      </c>
      <c r="L700" s="5375"/>
      <c r="M700" s="5359">
        <v>459073400000</v>
      </c>
      <c r="N700" s="5469">
        <v>606377800000</v>
      </c>
      <c r="O700" s="5359">
        <f t="shared" si="311"/>
        <v>147304400000</v>
      </c>
      <c r="P700" s="5358">
        <v>606377800000</v>
      </c>
      <c r="Q700" s="5357">
        <f t="shared" si="312"/>
        <v>0</v>
      </c>
      <c r="R700" s="5358">
        <f t="shared" si="313"/>
        <v>0</v>
      </c>
      <c r="S700" s="5358">
        <v>0</v>
      </c>
      <c r="T700" s="5359">
        <f t="shared" si="314"/>
        <v>0</v>
      </c>
      <c r="U700" s="5358">
        <v>606377800000</v>
      </c>
      <c r="V700" s="5357">
        <f t="shared" si="315"/>
        <v>-606377800000</v>
      </c>
      <c r="W700" s="5358">
        <f t="shared" si="316"/>
        <v>-100</v>
      </c>
      <c r="X700" s="5358">
        <v>0</v>
      </c>
      <c r="Y700" s="5359">
        <f t="shared" si="317"/>
        <v>100</v>
      </c>
      <c r="Z700" s="5358">
        <v>606377800000</v>
      </c>
      <c r="AA700" s="5357">
        <f t="shared" si="318"/>
        <v>0</v>
      </c>
      <c r="AB700" s="5358">
        <v>0</v>
      </c>
      <c r="AC700" s="5350"/>
      <c r="AD700" s="5350"/>
      <c r="AE700" s="5350"/>
      <c r="AF700" s="5349">
        <f t="shared" si="309"/>
        <v>-606377800000</v>
      </c>
      <c r="AG700" s="5338">
        <f t="shared" si="310"/>
        <v>0</v>
      </c>
    </row>
    <row r="701" spans="1:33" s="5333" customFormat="1" ht="8.3000000000000007" customHeight="1">
      <c r="A701" s="5426"/>
      <c r="B701" s="5426"/>
      <c r="C701" s="5426"/>
      <c r="D701" s="5468"/>
      <c r="E701" s="5467"/>
      <c r="F701" s="5363"/>
      <c r="G701" s="5399"/>
      <c r="H701" s="5399"/>
      <c r="I701" s="5638"/>
      <c r="J701" s="5657"/>
      <c r="K701" s="5376"/>
      <c r="L701" s="5375"/>
      <c r="M701" s="5357"/>
      <c r="N701" s="5357"/>
      <c r="O701" s="5357"/>
      <c r="P701" s="5358"/>
      <c r="Q701" s="5357"/>
      <c r="R701" s="5358"/>
      <c r="S701" s="5358"/>
      <c r="T701" s="5357"/>
      <c r="U701" s="5358"/>
      <c r="V701" s="5357"/>
      <c r="W701" s="5358"/>
      <c r="X701" s="5358"/>
      <c r="Y701" s="5357"/>
      <c r="Z701" s="5358"/>
      <c r="AA701" s="5357"/>
      <c r="AB701" s="5358"/>
      <c r="AC701" s="5350"/>
      <c r="AD701" s="5350"/>
      <c r="AE701" s="5350"/>
      <c r="AF701" s="5349">
        <f t="shared" si="309"/>
        <v>0</v>
      </c>
      <c r="AG701" s="5338">
        <f t="shared" si="310"/>
        <v>0</v>
      </c>
    </row>
    <row r="702" spans="1:33" s="5333" customFormat="1" ht="15.05" customHeight="1">
      <c r="A702" s="5426"/>
      <c r="B702" s="5426"/>
      <c r="C702" s="5426"/>
      <c r="D702" s="5368"/>
      <c r="E702" s="5380"/>
      <c r="F702" s="5380"/>
      <c r="G702" s="5367"/>
      <c r="H702" s="5380"/>
      <c r="I702" s="5496"/>
      <c r="J702" s="5372" t="s">
        <v>1344</v>
      </c>
      <c r="K702" s="5371" t="s">
        <v>168</v>
      </c>
      <c r="L702" s="5370"/>
      <c r="M702" s="5357">
        <v>0</v>
      </c>
      <c r="N702" s="5357">
        <v>0</v>
      </c>
      <c r="O702" s="5357">
        <f t="shared" ref="O702:O712" si="320">N702-M702</f>
        <v>0</v>
      </c>
      <c r="P702" s="5358"/>
      <c r="Q702" s="5357">
        <f t="shared" ref="Q702:Q712" si="321">+P702-N702</f>
        <v>0</v>
      </c>
      <c r="R702" s="5358">
        <v>0</v>
      </c>
      <c r="S702" s="5358"/>
      <c r="T702" s="5357">
        <f t="shared" ref="T702:T712" si="322">S702-R702</f>
        <v>0</v>
      </c>
      <c r="U702" s="5358"/>
      <c r="V702" s="5357">
        <f>S702-P702</f>
        <v>0</v>
      </c>
      <c r="W702" s="5358">
        <v>0</v>
      </c>
      <c r="X702" s="5358"/>
      <c r="Y702" s="5357">
        <f t="shared" ref="Y702:Y712" si="323">X702-W702</f>
        <v>0</v>
      </c>
      <c r="Z702" s="5358"/>
      <c r="AA702" s="5357">
        <f>X702-S702</f>
        <v>0</v>
      </c>
      <c r="AB702" s="5358">
        <v>0</v>
      </c>
      <c r="AC702" s="5349"/>
      <c r="AD702" s="5349"/>
      <c r="AE702" s="5349"/>
      <c r="AF702" s="5349">
        <f t="shared" si="309"/>
        <v>0</v>
      </c>
      <c r="AG702" s="5338">
        <f t="shared" si="310"/>
        <v>0</v>
      </c>
    </row>
    <row r="703" spans="1:33" s="5333" customFormat="1" ht="6.75" customHeight="1">
      <c r="A703" s="5340"/>
      <c r="B703" s="5340"/>
      <c r="C703" s="5340"/>
      <c r="D703" s="5368"/>
      <c r="E703" s="5380"/>
      <c r="F703" s="5380"/>
      <c r="G703" s="5367"/>
      <c r="H703" s="5380"/>
      <c r="I703" s="5496"/>
      <c r="J703" s="5366"/>
      <c r="K703" s="5361"/>
      <c r="L703" s="5365"/>
      <c r="M703" s="5357"/>
      <c r="N703" s="5357"/>
      <c r="O703" s="5357">
        <f t="shared" si="320"/>
        <v>0</v>
      </c>
      <c r="P703" s="5358"/>
      <c r="Q703" s="5357">
        <f t="shared" si="321"/>
        <v>0</v>
      </c>
      <c r="R703" s="5358" t="e">
        <f t="shared" ref="R703:R712" si="324">P703/N703*100-100</f>
        <v>#DIV/0!</v>
      </c>
      <c r="S703" s="5358"/>
      <c r="T703" s="5357" t="e">
        <f t="shared" si="322"/>
        <v>#DIV/0!</v>
      </c>
      <c r="U703" s="5358"/>
      <c r="V703" s="5357"/>
      <c r="W703" s="5358"/>
      <c r="X703" s="5358"/>
      <c r="Y703" s="5357">
        <f t="shared" si="323"/>
        <v>0</v>
      </c>
      <c r="Z703" s="5358"/>
      <c r="AA703" s="5357"/>
      <c r="AB703" s="5358"/>
      <c r="AC703" s="5349"/>
      <c r="AD703" s="5349"/>
      <c r="AE703" s="5349"/>
      <c r="AF703" s="5349">
        <f t="shared" si="309"/>
        <v>0</v>
      </c>
      <c r="AG703" s="5338">
        <f t="shared" si="310"/>
        <v>0</v>
      </c>
    </row>
    <row r="704" spans="1:33" s="5333" customFormat="1" ht="15.05" hidden="1" customHeight="1">
      <c r="A704" s="5426"/>
      <c r="B704" s="5426"/>
      <c r="C704" s="5426"/>
      <c r="D704" s="5374">
        <v>4</v>
      </c>
      <c r="E704" s="5374">
        <v>1</v>
      </c>
      <c r="F704" s="5374"/>
      <c r="G704" s="5374"/>
      <c r="H704" s="5374"/>
      <c r="I704" s="5537"/>
      <c r="J704" s="5372" t="s">
        <v>180</v>
      </c>
      <c r="K704" s="5371"/>
      <c r="L704" s="5370"/>
      <c r="M704" s="5357">
        <v>0</v>
      </c>
      <c r="N704" s="5357">
        <v>0</v>
      </c>
      <c r="O704" s="5357">
        <f t="shared" si="320"/>
        <v>0</v>
      </c>
      <c r="P704" s="5358"/>
      <c r="Q704" s="5357">
        <f t="shared" si="321"/>
        <v>0</v>
      </c>
      <c r="R704" s="5358" t="e">
        <f t="shared" si="324"/>
        <v>#DIV/0!</v>
      </c>
      <c r="S704" s="5358"/>
      <c r="T704" s="5357" t="e">
        <f t="shared" si="322"/>
        <v>#DIV/0!</v>
      </c>
      <c r="U704" s="5358"/>
      <c r="V704" s="5357">
        <f>S704-P704</f>
        <v>0</v>
      </c>
      <c r="W704" s="5358" t="e">
        <f t="shared" ref="W704:W713" si="325">S704/P704*100-100</f>
        <v>#DIV/0!</v>
      </c>
      <c r="X704" s="5358"/>
      <c r="Y704" s="5357" t="e">
        <f t="shared" si="323"/>
        <v>#DIV/0!</v>
      </c>
      <c r="Z704" s="5358"/>
      <c r="AA704" s="5357">
        <f t="shared" ref="AA704:AA714" si="326">X704-S704</f>
        <v>0</v>
      </c>
      <c r="AB704" s="5358" t="e">
        <f t="shared" ref="AB704:AB713" si="327">X704/S704*100-100</f>
        <v>#DIV/0!</v>
      </c>
      <c r="AC704" s="5349"/>
      <c r="AD704" s="5349"/>
      <c r="AE704" s="5349"/>
      <c r="AF704" s="5349">
        <f t="shared" si="309"/>
        <v>0</v>
      </c>
      <c r="AG704" s="5338">
        <f t="shared" si="310"/>
        <v>0</v>
      </c>
    </row>
    <row r="705" spans="1:33" s="5333" customFormat="1" ht="8.3000000000000007" hidden="1" customHeight="1">
      <c r="A705" s="5340"/>
      <c r="B705" s="5340"/>
      <c r="C705" s="5340"/>
      <c r="D705" s="5367"/>
      <c r="E705" s="5380"/>
      <c r="F705" s="5380"/>
      <c r="G705" s="5380"/>
      <c r="H705" s="5380"/>
      <c r="I705" s="5496"/>
      <c r="J705" s="5366"/>
      <c r="K705" s="5361"/>
      <c r="L705" s="5365"/>
      <c r="M705" s="5357"/>
      <c r="N705" s="5357"/>
      <c r="O705" s="5357">
        <f t="shared" si="320"/>
        <v>0</v>
      </c>
      <c r="P705" s="5358"/>
      <c r="Q705" s="5357">
        <f t="shared" si="321"/>
        <v>0</v>
      </c>
      <c r="R705" s="5358" t="e">
        <f t="shared" si="324"/>
        <v>#DIV/0!</v>
      </c>
      <c r="S705" s="5358"/>
      <c r="T705" s="5357" t="e">
        <f t="shared" si="322"/>
        <v>#DIV/0!</v>
      </c>
      <c r="U705" s="5358"/>
      <c r="V705" s="5357"/>
      <c r="W705" s="5358" t="e">
        <f t="shared" si="325"/>
        <v>#DIV/0!</v>
      </c>
      <c r="X705" s="5358"/>
      <c r="Y705" s="5357" t="e">
        <f t="shared" si="323"/>
        <v>#DIV/0!</v>
      </c>
      <c r="Z705" s="5358"/>
      <c r="AA705" s="5357">
        <f t="shared" si="326"/>
        <v>0</v>
      </c>
      <c r="AB705" s="5358" t="e">
        <f t="shared" si="327"/>
        <v>#DIV/0!</v>
      </c>
      <c r="AC705" s="5349"/>
      <c r="AD705" s="5349"/>
      <c r="AE705" s="5349"/>
      <c r="AF705" s="5349">
        <f t="shared" si="309"/>
        <v>0</v>
      </c>
      <c r="AG705" s="5338">
        <f t="shared" si="310"/>
        <v>0</v>
      </c>
    </row>
    <row r="706" spans="1:33" s="5333" customFormat="1" ht="12.7" hidden="1" customHeight="1">
      <c r="A706" s="5426"/>
      <c r="B706" s="5426"/>
      <c r="C706" s="5426"/>
      <c r="D706" s="5374">
        <v>4</v>
      </c>
      <c r="E706" s="5374">
        <v>1</v>
      </c>
      <c r="F706" s="5374">
        <v>2</v>
      </c>
      <c r="G706" s="5374"/>
      <c r="H706" s="5374"/>
      <c r="I706" s="5537"/>
      <c r="J706" s="5372" t="s">
        <v>106</v>
      </c>
      <c r="K706" s="5361"/>
      <c r="L706" s="5365"/>
      <c r="M706" s="5357">
        <v>0</v>
      </c>
      <c r="N706" s="5357">
        <v>0</v>
      </c>
      <c r="O706" s="5357">
        <f t="shared" si="320"/>
        <v>0</v>
      </c>
      <c r="P706" s="5358"/>
      <c r="Q706" s="5357">
        <f t="shared" si="321"/>
        <v>0</v>
      </c>
      <c r="R706" s="5358" t="e">
        <f t="shared" si="324"/>
        <v>#DIV/0!</v>
      </c>
      <c r="S706" s="5358"/>
      <c r="T706" s="5357" t="e">
        <f t="shared" si="322"/>
        <v>#DIV/0!</v>
      </c>
      <c r="U706" s="5358"/>
      <c r="V706" s="5357">
        <f t="shared" ref="V706:V714" si="328">S706-P706</f>
        <v>0</v>
      </c>
      <c r="W706" s="5358" t="e">
        <f t="shared" si="325"/>
        <v>#DIV/0!</v>
      </c>
      <c r="X706" s="5358"/>
      <c r="Y706" s="5357" t="e">
        <f t="shared" si="323"/>
        <v>#DIV/0!</v>
      </c>
      <c r="Z706" s="5358"/>
      <c r="AA706" s="5357">
        <f t="shared" si="326"/>
        <v>0</v>
      </c>
      <c r="AB706" s="5358" t="e">
        <f t="shared" si="327"/>
        <v>#DIV/0!</v>
      </c>
      <c r="AC706" s="5349"/>
      <c r="AD706" s="5349"/>
      <c r="AE706" s="5349"/>
      <c r="AF706" s="5349">
        <f t="shared" si="309"/>
        <v>0</v>
      </c>
      <c r="AG706" s="5338">
        <f t="shared" si="310"/>
        <v>0</v>
      </c>
    </row>
    <row r="707" spans="1:33" s="5333" customFormat="1" ht="12.7" hidden="1" customHeight="1">
      <c r="A707" s="5426"/>
      <c r="B707" s="5426"/>
      <c r="C707" s="5426"/>
      <c r="D707" s="5367">
        <v>4</v>
      </c>
      <c r="E707" s="5367">
        <v>1</v>
      </c>
      <c r="F707" s="5367">
        <v>2</v>
      </c>
      <c r="G707" s="5368" t="s">
        <v>437</v>
      </c>
      <c r="H707" s="5367"/>
      <c r="I707" s="5631"/>
      <c r="J707" s="5366" t="s">
        <v>107</v>
      </c>
      <c r="K707" s="5361"/>
      <c r="L707" s="5365"/>
      <c r="M707" s="5357">
        <v>0</v>
      </c>
      <c r="N707" s="5357">
        <v>0</v>
      </c>
      <c r="O707" s="5357">
        <f t="shared" si="320"/>
        <v>0</v>
      </c>
      <c r="P707" s="5358"/>
      <c r="Q707" s="5357">
        <f t="shared" si="321"/>
        <v>0</v>
      </c>
      <c r="R707" s="5358" t="e">
        <f t="shared" si="324"/>
        <v>#DIV/0!</v>
      </c>
      <c r="S707" s="5358"/>
      <c r="T707" s="5357" t="e">
        <f t="shared" si="322"/>
        <v>#DIV/0!</v>
      </c>
      <c r="U707" s="5358"/>
      <c r="V707" s="5357">
        <f t="shared" si="328"/>
        <v>0</v>
      </c>
      <c r="W707" s="5358" t="e">
        <f t="shared" si="325"/>
        <v>#DIV/0!</v>
      </c>
      <c r="X707" s="5358"/>
      <c r="Y707" s="5357" t="e">
        <f t="shared" si="323"/>
        <v>#DIV/0!</v>
      </c>
      <c r="Z707" s="5358"/>
      <c r="AA707" s="5357">
        <f t="shared" si="326"/>
        <v>0</v>
      </c>
      <c r="AB707" s="5358" t="e">
        <f t="shared" si="327"/>
        <v>#DIV/0!</v>
      </c>
      <c r="AC707" s="5349"/>
      <c r="AD707" s="5349"/>
      <c r="AE707" s="5349"/>
      <c r="AF707" s="5349">
        <f t="shared" si="309"/>
        <v>0</v>
      </c>
      <c r="AG707" s="5338">
        <f t="shared" si="310"/>
        <v>0</v>
      </c>
    </row>
    <row r="708" spans="1:33" s="5333" customFormat="1" ht="12.7" hidden="1" customHeight="1">
      <c r="A708" s="5426"/>
      <c r="B708" s="5426"/>
      <c r="C708" s="5426"/>
      <c r="D708" s="5367">
        <v>4</v>
      </c>
      <c r="E708" s="5367">
        <v>1</v>
      </c>
      <c r="F708" s="5367">
        <v>2</v>
      </c>
      <c r="G708" s="5368" t="s">
        <v>437</v>
      </c>
      <c r="H708" s="5367" t="s">
        <v>441</v>
      </c>
      <c r="I708" s="5631"/>
      <c r="J708" s="5366" t="s">
        <v>951</v>
      </c>
      <c r="K708" s="5361"/>
      <c r="L708" s="5365"/>
      <c r="M708" s="5359"/>
      <c r="N708" s="5359"/>
      <c r="O708" s="5359">
        <f t="shared" si="320"/>
        <v>0</v>
      </c>
      <c r="P708" s="5358"/>
      <c r="Q708" s="5357">
        <f t="shared" si="321"/>
        <v>0</v>
      </c>
      <c r="R708" s="5358" t="e">
        <f t="shared" si="324"/>
        <v>#DIV/0!</v>
      </c>
      <c r="S708" s="5358"/>
      <c r="T708" s="5359" t="e">
        <f t="shared" si="322"/>
        <v>#DIV/0!</v>
      </c>
      <c r="U708" s="5358"/>
      <c r="V708" s="5357">
        <f t="shared" si="328"/>
        <v>0</v>
      </c>
      <c r="W708" s="5358" t="e">
        <f t="shared" si="325"/>
        <v>#DIV/0!</v>
      </c>
      <c r="X708" s="5358"/>
      <c r="Y708" s="5359" t="e">
        <f t="shared" si="323"/>
        <v>#DIV/0!</v>
      </c>
      <c r="Z708" s="5358"/>
      <c r="AA708" s="5357">
        <f t="shared" si="326"/>
        <v>0</v>
      </c>
      <c r="AB708" s="5358" t="e">
        <f t="shared" si="327"/>
        <v>#DIV/0!</v>
      </c>
      <c r="AC708" s="5349"/>
      <c r="AD708" s="5349"/>
      <c r="AE708" s="5349"/>
      <c r="AF708" s="5349">
        <f t="shared" si="309"/>
        <v>0</v>
      </c>
      <c r="AG708" s="5338">
        <f t="shared" si="310"/>
        <v>0</v>
      </c>
    </row>
    <row r="709" spans="1:33" s="5333" customFormat="1" ht="12.7" hidden="1" customHeight="1">
      <c r="A709" s="5340"/>
      <c r="B709" s="5340"/>
      <c r="C709" s="5340"/>
      <c r="D709" s="5367"/>
      <c r="E709" s="5380"/>
      <c r="F709" s="5380"/>
      <c r="G709" s="5379"/>
      <c r="H709" s="5368"/>
      <c r="I709" s="5632"/>
      <c r="J709" s="5366"/>
      <c r="K709" s="5361"/>
      <c r="L709" s="5365"/>
      <c r="M709" s="5357"/>
      <c r="N709" s="5357"/>
      <c r="O709" s="5357">
        <f t="shared" si="320"/>
        <v>0</v>
      </c>
      <c r="P709" s="5358"/>
      <c r="Q709" s="5357">
        <f t="shared" si="321"/>
        <v>0</v>
      </c>
      <c r="R709" s="5358" t="e">
        <f t="shared" si="324"/>
        <v>#DIV/0!</v>
      </c>
      <c r="S709" s="5358"/>
      <c r="T709" s="5357" t="e">
        <f t="shared" si="322"/>
        <v>#DIV/0!</v>
      </c>
      <c r="U709" s="5358"/>
      <c r="V709" s="5357">
        <f t="shared" si="328"/>
        <v>0</v>
      </c>
      <c r="W709" s="5358" t="e">
        <f t="shared" si="325"/>
        <v>#DIV/0!</v>
      </c>
      <c r="X709" s="5358"/>
      <c r="Y709" s="5357" t="e">
        <f t="shared" si="323"/>
        <v>#DIV/0!</v>
      </c>
      <c r="Z709" s="5358"/>
      <c r="AA709" s="5357">
        <f t="shared" si="326"/>
        <v>0</v>
      </c>
      <c r="AB709" s="5358" t="e">
        <f t="shared" si="327"/>
        <v>#DIV/0!</v>
      </c>
      <c r="AC709" s="5349"/>
      <c r="AD709" s="5349"/>
      <c r="AE709" s="5349"/>
      <c r="AF709" s="5349">
        <f t="shared" si="309"/>
        <v>0</v>
      </c>
      <c r="AG709" s="5338">
        <f t="shared" si="310"/>
        <v>0</v>
      </c>
    </row>
    <row r="710" spans="1:33" s="5333" customFormat="1" ht="12.7" hidden="1" customHeight="1">
      <c r="A710" s="5426"/>
      <c r="B710" s="5426"/>
      <c r="C710" s="5426"/>
      <c r="D710" s="5374">
        <v>4</v>
      </c>
      <c r="E710" s="5374">
        <v>1</v>
      </c>
      <c r="F710" s="5374">
        <v>4</v>
      </c>
      <c r="G710" s="5373"/>
      <c r="H710" s="5373"/>
      <c r="I710" s="5633"/>
      <c r="J710" s="5372" t="s">
        <v>71</v>
      </c>
      <c r="K710" s="5371"/>
      <c r="L710" s="5370"/>
      <c r="M710" s="5357">
        <v>0</v>
      </c>
      <c r="N710" s="5357">
        <v>0</v>
      </c>
      <c r="O710" s="5357">
        <f t="shared" si="320"/>
        <v>0</v>
      </c>
      <c r="P710" s="5358"/>
      <c r="Q710" s="5357">
        <f t="shared" si="321"/>
        <v>0</v>
      </c>
      <c r="R710" s="5358" t="e">
        <f t="shared" si="324"/>
        <v>#DIV/0!</v>
      </c>
      <c r="S710" s="5358"/>
      <c r="T710" s="5357" t="e">
        <f t="shared" si="322"/>
        <v>#DIV/0!</v>
      </c>
      <c r="U710" s="5358"/>
      <c r="V710" s="5357">
        <f t="shared" si="328"/>
        <v>0</v>
      </c>
      <c r="W710" s="5358" t="e">
        <f t="shared" si="325"/>
        <v>#DIV/0!</v>
      </c>
      <c r="X710" s="5358"/>
      <c r="Y710" s="5357" t="e">
        <f t="shared" si="323"/>
        <v>#DIV/0!</v>
      </c>
      <c r="Z710" s="5358"/>
      <c r="AA710" s="5357">
        <f t="shared" si="326"/>
        <v>0</v>
      </c>
      <c r="AB710" s="5358" t="e">
        <f t="shared" si="327"/>
        <v>#DIV/0!</v>
      </c>
      <c r="AC710" s="5350"/>
      <c r="AD710" s="5350"/>
      <c r="AE710" s="5350"/>
      <c r="AF710" s="5349">
        <f t="shared" si="309"/>
        <v>0</v>
      </c>
      <c r="AG710" s="5338">
        <f t="shared" si="310"/>
        <v>0</v>
      </c>
    </row>
    <row r="711" spans="1:33" s="5333" customFormat="1" ht="12.7" hidden="1" customHeight="1">
      <c r="A711" s="5426"/>
      <c r="B711" s="5426"/>
      <c r="C711" s="5426"/>
      <c r="D711" s="5367">
        <v>4</v>
      </c>
      <c r="E711" s="5367">
        <v>1</v>
      </c>
      <c r="F711" s="5367">
        <v>4</v>
      </c>
      <c r="G711" s="5368" t="s">
        <v>451</v>
      </c>
      <c r="H711" s="5367"/>
      <c r="I711" s="5631"/>
      <c r="J711" s="5366" t="s">
        <v>1289</v>
      </c>
      <c r="K711" s="5361"/>
      <c r="L711" s="5365"/>
      <c r="M711" s="5357">
        <v>0</v>
      </c>
      <c r="N711" s="5357">
        <v>0</v>
      </c>
      <c r="O711" s="5357">
        <f t="shared" si="320"/>
        <v>0</v>
      </c>
      <c r="P711" s="5358"/>
      <c r="Q711" s="5357">
        <f t="shared" si="321"/>
        <v>0</v>
      </c>
      <c r="R711" s="5358" t="e">
        <f t="shared" si="324"/>
        <v>#DIV/0!</v>
      </c>
      <c r="S711" s="5358"/>
      <c r="T711" s="5357" t="e">
        <f t="shared" si="322"/>
        <v>#DIV/0!</v>
      </c>
      <c r="U711" s="5358"/>
      <c r="V711" s="5357">
        <f t="shared" si="328"/>
        <v>0</v>
      </c>
      <c r="W711" s="5358" t="e">
        <f t="shared" si="325"/>
        <v>#DIV/0!</v>
      </c>
      <c r="X711" s="5358"/>
      <c r="Y711" s="5357" t="e">
        <f t="shared" si="323"/>
        <v>#DIV/0!</v>
      </c>
      <c r="Z711" s="5358"/>
      <c r="AA711" s="5357">
        <f t="shared" si="326"/>
        <v>0</v>
      </c>
      <c r="AB711" s="5358" t="e">
        <f t="shared" si="327"/>
        <v>#DIV/0!</v>
      </c>
      <c r="AC711" s="5349"/>
      <c r="AD711" s="5349"/>
      <c r="AE711" s="5349"/>
      <c r="AF711" s="5349">
        <f t="shared" si="309"/>
        <v>0</v>
      </c>
      <c r="AG711" s="5338">
        <f t="shared" si="310"/>
        <v>0</v>
      </c>
    </row>
    <row r="712" spans="1:33" s="5333" customFormat="1" ht="12.7" hidden="1" customHeight="1">
      <c r="A712" s="5426"/>
      <c r="B712" s="5426"/>
      <c r="C712" s="5426"/>
      <c r="D712" s="5367">
        <v>4</v>
      </c>
      <c r="E712" s="5367">
        <v>1</v>
      </c>
      <c r="F712" s="5367">
        <v>4</v>
      </c>
      <c r="G712" s="5368" t="s">
        <v>451</v>
      </c>
      <c r="H712" s="5368" t="s">
        <v>437</v>
      </c>
      <c r="I712" s="5632"/>
      <c r="J712" s="5366" t="s">
        <v>1288</v>
      </c>
      <c r="K712" s="5361"/>
      <c r="L712" s="5365"/>
      <c r="M712" s="5359">
        <v>0</v>
      </c>
      <c r="N712" s="5359">
        <v>0</v>
      </c>
      <c r="O712" s="5359">
        <f t="shared" si="320"/>
        <v>0</v>
      </c>
      <c r="P712" s="5358"/>
      <c r="Q712" s="5357">
        <f t="shared" si="321"/>
        <v>0</v>
      </c>
      <c r="R712" s="5358" t="e">
        <f t="shared" si="324"/>
        <v>#DIV/0!</v>
      </c>
      <c r="S712" s="5358"/>
      <c r="T712" s="5359" t="e">
        <f t="shared" si="322"/>
        <v>#DIV/0!</v>
      </c>
      <c r="U712" s="5358"/>
      <c r="V712" s="5357">
        <f t="shared" si="328"/>
        <v>0</v>
      </c>
      <c r="W712" s="5358" t="e">
        <f t="shared" si="325"/>
        <v>#DIV/0!</v>
      </c>
      <c r="X712" s="5358"/>
      <c r="Y712" s="5359" t="e">
        <f t="shared" si="323"/>
        <v>#DIV/0!</v>
      </c>
      <c r="Z712" s="5358"/>
      <c r="AA712" s="5357">
        <f t="shared" si="326"/>
        <v>0</v>
      </c>
      <c r="AB712" s="5358" t="e">
        <f t="shared" si="327"/>
        <v>#DIV/0!</v>
      </c>
      <c r="AC712" s="5349"/>
      <c r="AD712" s="5349"/>
      <c r="AE712" s="5349"/>
      <c r="AF712" s="5349">
        <f t="shared" si="309"/>
        <v>0</v>
      </c>
      <c r="AG712" s="5338">
        <f t="shared" si="310"/>
        <v>0</v>
      </c>
    </row>
    <row r="713" spans="1:33" s="5333" customFormat="1" ht="9.6999999999999993" hidden="1" customHeight="1">
      <c r="A713" s="5426"/>
      <c r="B713" s="5426"/>
      <c r="C713" s="5426"/>
      <c r="D713" s="5468"/>
      <c r="E713" s="5467"/>
      <c r="F713" s="5363"/>
      <c r="G713" s="5399"/>
      <c r="H713" s="5399"/>
      <c r="I713" s="5638"/>
      <c r="J713" s="5657"/>
      <c r="K713" s="5376"/>
      <c r="L713" s="5375"/>
      <c r="M713" s="5357"/>
      <c r="N713" s="5357"/>
      <c r="O713" s="5357"/>
      <c r="P713" s="5358"/>
      <c r="Q713" s="5357"/>
      <c r="R713" s="5358"/>
      <c r="S713" s="5358"/>
      <c r="T713" s="5357"/>
      <c r="U713" s="5358"/>
      <c r="V713" s="5357">
        <f t="shared" si="328"/>
        <v>0</v>
      </c>
      <c r="W713" s="5358" t="e">
        <f t="shared" si="325"/>
        <v>#DIV/0!</v>
      </c>
      <c r="X713" s="5358"/>
      <c r="Y713" s="5357"/>
      <c r="Z713" s="5358"/>
      <c r="AA713" s="5357">
        <f t="shared" si="326"/>
        <v>0</v>
      </c>
      <c r="AB713" s="5358" t="e">
        <f t="shared" si="327"/>
        <v>#DIV/0!</v>
      </c>
      <c r="AC713" s="5349"/>
      <c r="AD713" s="5349"/>
      <c r="AE713" s="5349"/>
      <c r="AF713" s="5349">
        <f t="shared" si="309"/>
        <v>0</v>
      </c>
      <c r="AG713" s="5338">
        <f t="shared" si="310"/>
        <v>0</v>
      </c>
    </row>
    <row r="714" spans="1:33" s="5333" customFormat="1" ht="15.05" customHeight="1">
      <c r="A714" s="5426"/>
      <c r="B714" s="5426"/>
      <c r="C714" s="5426"/>
      <c r="D714" s="5368"/>
      <c r="E714" s="5380"/>
      <c r="F714" s="5380"/>
      <c r="G714" s="5367"/>
      <c r="H714" s="5380"/>
      <c r="I714" s="5496"/>
      <c r="J714" s="5372" t="s">
        <v>1343</v>
      </c>
      <c r="K714" s="5371" t="s">
        <v>1040</v>
      </c>
      <c r="L714" s="5370"/>
      <c r="M714" s="5357">
        <v>0</v>
      </c>
      <c r="N714" s="5357">
        <f>N716</f>
        <v>0</v>
      </c>
      <c r="O714" s="5357">
        <f>N714-M714</f>
        <v>0</v>
      </c>
      <c r="P714" s="5358"/>
      <c r="Q714" s="5357">
        <f t="shared" ref="Q714:Q721" si="329">+P714-N714</f>
        <v>0</v>
      </c>
      <c r="R714" s="5358">
        <v>0</v>
      </c>
      <c r="S714" s="5358"/>
      <c r="T714" s="5357">
        <f>S714-R714</f>
        <v>0</v>
      </c>
      <c r="U714" s="5358"/>
      <c r="V714" s="5357">
        <f t="shared" si="328"/>
        <v>0</v>
      </c>
      <c r="W714" s="5358">
        <v>0</v>
      </c>
      <c r="X714" s="5358"/>
      <c r="Y714" s="5357">
        <f>X714-W714</f>
        <v>0</v>
      </c>
      <c r="Z714" s="5358"/>
      <c r="AA714" s="5357">
        <f t="shared" si="326"/>
        <v>0</v>
      </c>
      <c r="AB714" s="5358">
        <v>0</v>
      </c>
      <c r="AC714" s="5349"/>
      <c r="AD714" s="5349"/>
      <c r="AE714" s="5349"/>
      <c r="AF714" s="5349">
        <f t="shared" si="309"/>
        <v>0</v>
      </c>
      <c r="AG714" s="5338">
        <f t="shared" si="310"/>
        <v>0</v>
      </c>
    </row>
    <row r="715" spans="1:33" s="5333" customFormat="1" ht="5.95" customHeight="1">
      <c r="A715" s="5340"/>
      <c r="B715" s="5340"/>
      <c r="C715" s="5340"/>
      <c r="D715" s="5368"/>
      <c r="E715" s="5380"/>
      <c r="F715" s="5380"/>
      <c r="G715" s="5367"/>
      <c r="H715" s="5380"/>
      <c r="I715" s="5496"/>
      <c r="J715" s="5366"/>
      <c r="K715" s="5361"/>
      <c r="L715" s="5365"/>
      <c r="M715" s="5357"/>
      <c r="N715" s="5357"/>
      <c r="O715" s="5357"/>
      <c r="P715" s="5358"/>
      <c r="Q715" s="5357">
        <f t="shared" si="329"/>
        <v>0</v>
      </c>
      <c r="R715" s="5358" t="e">
        <f t="shared" ref="R715:R721" si="330">P715/N715*100-100</f>
        <v>#DIV/0!</v>
      </c>
      <c r="S715" s="5358"/>
      <c r="T715" s="5357"/>
      <c r="U715" s="5358"/>
      <c r="V715" s="5357"/>
      <c r="W715" s="5358"/>
      <c r="X715" s="5358"/>
      <c r="Y715" s="5357"/>
      <c r="Z715" s="5358"/>
      <c r="AA715" s="5357"/>
      <c r="AB715" s="5358"/>
      <c r="AC715" s="5349"/>
      <c r="AD715" s="5349"/>
      <c r="AE715" s="5349"/>
      <c r="AF715" s="5349">
        <f t="shared" si="309"/>
        <v>0</v>
      </c>
      <c r="AG715" s="5338">
        <f t="shared" si="310"/>
        <v>0</v>
      </c>
    </row>
    <row r="716" spans="1:33" s="5333" customFormat="1" ht="15.05" hidden="1" customHeight="1">
      <c r="A716" s="5426"/>
      <c r="B716" s="5426"/>
      <c r="C716" s="5426"/>
      <c r="D716" s="5374">
        <v>4</v>
      </c>
      <c r="E716" s="5374">
        <v>1</v>
      </c>
      <c r="F716" s="5374"/>
      <c r="G716" s="5374"/>
      <c r="H716" s="5374"/>
      <c r="I716" s="5537"/>
      <c r="J716" s="5372" t="s">
        <v>180</v>
      </c>
      <c r="K716" s="5371"/>
      <c r="L716" s="5370"/>
      <c r="M716" s="5357">
        <v>0</v>
      </c>
      <c r="N716" s="5357">
        <f>+N718</f>
        <v>0</v>
      </c>
      <c r="O716" s="5357">
        <f>N716-M716</f>
        <v>0</v>
      </c>
      <c r="P716" s="5358"/>
      <c r="Q716" s="5357">
        <f t="shared" si="329"/>
        <v>0</v>
      </c>
      <c r="R716" s="5358" t="e">
        <f t="shared" si="330"/>
        <v>#DIV/0!</v>
      </c>
      <c r="S716" s="5358"/>
      <c r="T716" s="5357" t="e">
        <f>S716-R716</f>
        <v>#DIV/0!</v>
      </c>
      <c r="U716" s="5358"/>
      <c r="V716" s="5357">
        <f t="shared" ref="V716:V723" si="331">S716-P716</f>
        <v>0</v>
      </c>
      <c r="W716" s="5358" t="e">
        <f t="shared" ref="W716:W722" si="332">S716/P716*100-100</f>
        <v>#DIV/0!</v>
      </c>
      <c r="X716" s="5358"/>
      <c r="Y716" s="5357" t="e">
        <f>X716-W716</f>
        <v>#DIV/0!</v>
      </c>
      <c r="Z716" s="5358"/>
      <c r="AA716" s="5357">
        <f t="shared" ref="AA716:AA723" si="333">X716-S716</f>
        <v>0</v>
      </c>
      <c r="AB716" s="5358" t="e">
        <f t="shared" ref="AB716:AB722" si="334">X716/S716*100-100</f>
        <v>#DIV/0!</v>
      </c>
      <c r="AC716" s="5349"/>
      <c r="AD716" s="5349"/>
      <c r="AE716" s="5349"/>
      <c r="AF716" s="5349">
        <f t="shared" si="309"/>
        <v>0</v>
      </c>
      <c r="AG716" s="5338">
        <f t="shared" si="310"/>
        <v>0</v>
      </c>
    </row>
    <row r="717" spans="1:33" s="5333" customFormat="1" ht="5.35" hidden="1" customHeight="1">
      <c r="A717" s="5340"/>
      <c r="B717" s="5340"/>
      <c r="C717" s="5340"/>
      <c r="D717" s="5367"/>
      <c r="E717" s="5380"/>
      <c r="F717" s="5380"/>
      <c r="G717" s="5380"/>
      <c r="H717" s="5380"/>
      <c r="I717" s="5496"/>
      <c r="J717" s="5366"/>
      <c r="K717" s="5371"/>
      <c r="L717" s="5370"/>
      <c r="M717" s="5357"/>
      <c r="N717" s="5357"/>
      <c r="O717" s="5357"/>
      <c r="P717" s="5358"/>
      <c r="Q717" s="5357">
        <f t="shared" si="329"/>
        <v>0</v>
      </c>
      <c r="R717" s="5358" t="e">
        <f t="shared" si="330"/>
        <v>#DIV/0!</v>
      </c>
      <c r="S717" s="5358"/>
      <c r="T717" s="5357"/>
      <c r="U717" s="5358"/>
      <c r="V717" s="5357">
        <f t="shared" si="331"/>
        <v>0</v>
      </c>
      <c r="W717" s="5358" t="e">
        <f t="shared" si="332"/>
        <v>#DIV/0!</v>
      </c>
      <c r="X717" s="5358"/>
      <c r="Y717" s="5357"/>
      <c r="Z717" s="5358"/>
      <c r="AA717" s="5357">
        <f t="shared" si="333"/>
        <v>0</v>
      </c>
      <c r="AB717" s="5358" t="e">
        <f t="shared" si="334"/>
        <v>#DIV/0!</v>
      </c>
      <c r="AC717" s="5349"/>
      <c r="AD717" s="5349"/>
      <c r="AE717" s="5349"/>
      <c r="AF717" s="5349">
        <f t="shared" si="309"/>
        <v>0</v>
      </c>
      <c r="AG717" s="5338">
        <f t="shared" si="310"/>
        <v>0</v>
      </c>
    </row>
    <row r="718" spans="1:33" s="5333" customFormat="1" ht="13.5" hidden="1" customHeight="1">
      <c r="A718" s="5340"/>
      <c r="B718" s="5340"/>
      <c r="C718" s="5340"/>
      <c r="D718" s="5374">
        <v>4</v>
      </c>
      <c r="E718" s="5374">
        <v>1</v>
      </c>
      <c r="F718" s="5374">
        <v>2</v>
      </c>
      <c r="G718" s="5374"/>
      <c r="H718" s="5374"/>
      <c r="I718" s="5537"/>
      <c r="J718" s="5372" t="s">
        <v>106</v>
      </c>
      <c r="K718" s="5371"/>
      <c r="L718" s="5370"/>
      <c r="M718" s="5357">
        <v>0</v>
      </c>
      <c r="N718" s="5357">
        <f>+N719</f>
        <v>0</v>
      </c>
      <c r="O718" s="5359">
        <f>N718-M718</f>
        <v>0</v>
      </c>
      <c r="P718" s="5358"/>
      <c r="Q718" s="5357">
        <f t="shared" si="329"/>
        <v>0</v>
      </c>
      <c r="R718" s="5358" t="e">
        <f t="shared" si="330"/>
        <v>#DIV/0!</v>
      </c>
      <c r="S718" s="5358"/>
      <c r="T718" s="5359" t="e">
        <f>S718-R718</f>
        <v>#DIV/0!</v>
      </c>
      <c r="U718" s="5358"/>
      <c r="V718" s="5357">
        <f t="shared" si="331"/>
        <v>0</v>
      </c>
      <c r="W718" s="5358" t="e">
        <f t="shared" si="332"/>
        <v>#DIV/0!</v>
      </c>
      <c r="X718" s="5358"/>
      <c r="Y718" s="5359" t="e">
        <f>X718-W718</f>
        <v>#DIV/0!</v>
      </c>
      <c r="Z718" s="5358"/>
      <c r="AA718" s="5357">
        <f t="shared" si="333"/>
        <v>0</v>
      </c>
      <c r="AB718" s="5358" t="e">
        <f t="shared" si="334"/>
        <v>#DIV/0!</v>
      </c>
      <c r="AC718" s="5349"/>
      <c r="AD718" s="5349"/>
      <c r="AE718" s="5349"/>
      <c r="AF718" s="5349">
        <f t="shared" si="309"/>
        <v>0</v>
      </c>
      <c r="AG718" s="5338">
        <f t="shared" si="310"/>
        <v>0</v>
      </c>
    </row>
    <row r="719" spans="1:33" s="5333" customFormat="1" ht="14.25" hidden="1" customHeight="1">
      <c r="A719" s="5426"/>
      <c r="B719" s="5426"/>
      <c r="C719" s="5426"/>
      <c r="D719" s="5367">
        <v>4</v>
      </c>
      <c r="E719" s="5367">
        <v>1</v>
      </c>
      <c r="F719" s="5367">
        <v>2</v>
      </c>
      <c r="G719" s="5368" t="s">
        <v>438</v>
      </c>
      <c r="H719" s="5367"/>
      <c r="I719" s="5631"/>
      <c r="J719" s="5366" t="s">
        <v>109</v>
      </c>
      <c r="K719" s="5361"/>
      <c r="L719" s="5365"/>
      <c r="M719" s="5357">
        <v>0</v>
      </c>
      <c r="N719" s="5357">
        <f>+N720</f>
        <v>0</v>
      </c>
      <c r="O719" s="5357">
        <f>N719-M719</f>
        <v>0</v>
      </c>
      <c r="P719" s="5358"/>
      <c r="Q719" s="5357">
        <f t="shared" si="329"/>
        <v>0</v>
      </c>
      <c r="R719" s="5358" t="e">
        <f t="shared" si="330"/>
        <v>#DIV/0!</v>
      </c>
      <c r="S719" s="5358"/>
      <c r="T719" s="5357" t="e">
        <f>S719-R719</f>
        <v>#DIV/0!</v>
      </c>
      <c r="U719" s="5358"/>
      <c r="V719" s="5357">
        <f t="shared" si="331"/>
        <v>0</v>
      </c>
      <c r="W719" s="5358" t="e">
        <f t="shared" si="332"/>
        <v>#DIV/0!</v>
      </c>
      <c r="X719" s="5358"/>
      <c r="Y719" s="5357" t="e">
        <f>X719-W719</f>
        <v>#DIV/0!</v>
      </c>
      <c r="Z719" s="5358"/>
      <c r="AA719" s="5357">
        <f t="shared" si="333"/>
        <v>0</v>
      </c>
      <c r="AB719" s="5358" t="e">
        <f t="shared" si="334"/>
        <v>#DIV/0!</v>
      </c>
      <c r="AC719" s="5349"/>
      <c r="AD719" s="5349"/>
      <c r="AE719" s="5349"/>
      <c r="AF719" s="5349">
        <f t="shared" si="309"/>
        <v>0</v>
      </c>
      <c r="AG719" s="5338">
        <f t="shared" si="310"/>
        <v>0</v>
      </c>
    </row>
    <row r="720" spans="1:33" s="5333" customFormat="1" ht="14.25" hidden="1" customHeight="1">
      <c r="A720" s="5426"/>
      <c r="B720" s="5426"/>
      <c r="C720" s="5426"/>
      <c r="D720" s="5367">
        <v>4</v>
      </c>
      <c r="E720" s="5367">
        <v>1</v>
      </c>
      <c r="F720" s="5367">
        <v>2</v>
      </c>
      <c r="G720" s="5368" t="s">
        <v>437</v>
      </c>
      <c r="H720" s="5368" t="s">
        <v>437</v>
      </c>
      <c r="I720" s="5632"/>
      <c r="J720" s="5366" t="s">
        <v>64</v>
      </c>
      <c r="K720" s="5361"/>
      <c r="L720" s="5365"/>
      <c r="M720" s="5402">
        <v>0</v>
      </c>
      <c r="N720" s="5402">
        <f>+N721</f>
        <v>0</v>
      </c>
      <c r="O720" s="5402">
        <f>N720-M720</f>
        <v>0</v>
      </c>
      <c r="P720" s="5401"/>
      <c r="Q720" s="5357">
        <f t="shared" si="329"/>
        <v>0</v>
      </c>
      <c r="R720" s="5358" t="e">
        <f t="shared" si="330"/>
        <v>#DIV/0!</v>
      </c>
      <c r="S720" s="5401"/>
      <c r="T720" s="5402" t="e">
        <f>S720-R720</f>
        <v>#DIV/0!</v>
      </c>
      <c r="U720" s="5401"/>
      <c r="V720" s="5357">
        <f t="shared" si="331"/>
        <v>0</v>
      </c>
      <c r="W720" s="5358" t="e">
        <f t="shared" si="332"/>
        <v>#DIV/0!</v>
      </c>
      <c r="X720" s="5401"/>
      <c r="Y720" s="5402" t="e">
        <f>X720-W720</f>
        <v>#DIV/0!</v>
      </c>
      <c r="Z720" s="5401"/>
      <c r="AA720" s="5357">
        <f t="shared" si="333"/>
        <v>0</v>
      </c>
      <c r="AB720" s="5358" t="e">
        <f t="shared" si="334"/>
        <v>#DIV/0!</v>
      </c>
      <c r="AC720" s="5349"/>
      <c r="AD720" s="5349"/>
      <c r="AE720" s="5349"/>
      <c r="AF720" s="5349">
        <f t="shared" si="309"/>
        <v>0</v>
      </c>
      <c r="AG720" s="5338">
        <f t="shared" si="310"/>
        <v>0</v>
      </c>
    </row>
    <row r="721" spans="1:33" s="5333" customFormat="1" ht="14.25" hidden="1" customHeight="1">
      <c r="A721" s="5426"/>
      <c r="B721" s="5426"/>
      <c r="C721" s="5426"/>
      <c r="D721" s="5368"/>
      <c r="E721" s="5380"/>
      <c r="F721" s="5380"/>
      <c r="G721" s="5379"/>
      <c r="H721" s="5379"/>
      <c r="I721" s="5495"/>
      <c r="J721" s="5366" t="s">
        <v>50</v>
      </c>
      <c r="K721" s="5361" t="s">
        <v>1342</v>
      </c>
      <c r="L721" s="5365"/>
      <c r="M721" s="5359">
        <v>0</v>
      </c>
      <c r="N721" s="5359">
        <v>0</v>
      </c>
      <c r="O721" s="5359">
        <f>N721-M721</f>
        <v>0</v>
      </c>
      <c r="P721" s="5358"/>
      <c r="Q721" s="5357">
        <f t="shared" si="329"/>
        <v>0</v>
      </c>
      <c r="R721" s="5358" t="e">
        <f t="shared" si="330"/>
        <v>#DIV/0!</v>
      </c>
      <c r="S721" s="5358"/>
      <c r="T721" s="5359" t="e">
        <f>S721-R721</f>
        <v>#DIV/0!</v>
      </c>
      <c r="U721" s="5358"/>
      <c r="V721" s="5357">
        <f t="shared" si="331"/>
        <v>0</v>
      </c>
      <c r="W721" s="5358" t="e">
        <f t="shared" si="332"/>
        <v>#DIV/0!</v>
      </c>
      <c r="X721" s="5358"/>
      <c r="Y721" s="5359" t="e">
        <f>X721-W721</f>
        <v>#DIV/0!</v>
      </c>
      <c r="Z721" s="5358"/>
      <c r="AA721" s="5357">
        <f t="shared" si="333"/>
        <v>0</v>
      </c>
      <c r="AB721" s="5358" t="e">
        <f t="shared" si="334"/>
        <v>#DIV/0!</v>
      </c>
      <c r="AC721" s="5350"/>
      <c r="AD721" s="5350"/>
      <c r="AE721" s="5350"/>
      <c r="AF721" s="5349">
        <f t="shared" si="309"/>
        <v>0</v>
      </c>
      <c r="AG721" s="5338">
        <f t="shared" si="310"/>
        <v>0</v>
      </c>
    </row>
    <row r="722" spans="1:33" s="5333" customFormat="1" ht="8.3000000000000007" hidden="1" customHeight="1">
      <c r="A722" s="5426"/>
      <c r="B722" s="5426"/>
      <c r="C722" s="5426"/>
      <c r="D722" s="5468"/>
      <c r="E722" s="5467"/>
      <c r="F722" s="5363"/>
      <c r="G722" s="5399"/>
      <c r="H722" s="5399"/>
      <c r="I722" s="5638"/>
      <c r="J722" s="5657"/>
      <c r="K722" s="5376"/>
      <c r="L722" s="5375"/>
      <c r="M722" s="5357"/>
      <c r="N722" s="5357"/>
      <c r="O722" s="5357"/>
      <c r="P722" s="5358"/>
      <c r="Q722" s="5357"/>
      <c r="R722" s="5358"/>
      <c r="S722" s="5358"/>
      <c r="T722" s="5357"/>
      <c r="U722" s="5358"/>
      <c r="V722" s="5357">
        <f t="shared" si="331"/>
        <v>0</v>
      </c>
      <c r="W722" s="5358" t="e">
        <f t="shared" si="332"/>
        <v>#DIV/0!</v>
      </c>
      <c r="X722" s="5358"/>
      <c r="Y722" s="5357"/>
      <c r="Z722" s="5358"/>
      <c r="AA722" s="5357">
        <f t="shared" si="333"/>
        <v>0</v>
      </c>
      <c r="AB722" s="5358" t="e">
        <f t="shared" si="334"/>
        <v>#DIV/0!</v>
      </c>
      <c r="AC722" s="5349"/>
      <c r="AD722" s="5349"/>
      <c r="AE722" s="5349"/>
      <c r="AF722" s="5349">
        <f t="shared" si="309"/>
        <v>0</v>
      </c>
      <c r="AG722" s="5338">
        <f t="shared" si="310"/>
        <v>0</v>
      </c>
    </row>
    <row r="723" spans="1:33" s="5333" customFormat="1" ht="15.05" customHeight="1">
      <c r="A723" s="5426"/>
      <c r="B723" s="5426"/>
      <c r="C723" s="5426"/>
      <c r="D723" s="5368"/>
      <c r="E723" s="5380"/>
      <c r="F723" s="5380"/>
      <c r="G723" s="5367"/>
      <c r="H723" s="5380"/>
      <c r="I723" s="5496"/>
      <c r="J723" s="5372" t="s">
        <v>1341</v>
      </c>
      <c r="K723" s="5371" t="s">
        <v>1497</v>
      </c>
      <c r="L723" s="5370"/>
      <c r="M723" s="5357">
        <v>0</v>
      </c>
      <c r="N723" s="5357">
        <f>N725</f>
        <v>0</v>
      </c>
      <c r="O723" s="5357">
        <f t="shared" ref="O723:O732" si="335">N723-M723</f>
        <v>0</v>
      </c>
      <c r="P723" s="5358"/>
      <c r="Q723" s="5357">
        <f t="shared" ref="Q723:Q732" si="336">+P723-N723</f>
        <v>0</v>
      </c>
      <c r="R723" s="5358">
        <v>0</v>
      </c>
      <c r="S723" s="5358"/>
      <c r="T723" s="5357">
        <f t="shared" ref="T723:T732" si="337">S723-R723</f>
        <v>0</v>
      </c>
      <c r="U723" s="5358"/>
      <c r="V723" s="5357">
        <f t="shared" si="331"/>
        <v>0</v>
      </c>
      <c r="W723" s="5358">
        <v>0</v>
      </c>
      <c r="X723" s="5358"/>
      <c r="Y723" s="5357">
        <f t="shared" ref="Y723:Y732" si="338">X723-W723</f>
        <v>0</v>
      </c>
      <c r="Z723" s="5358"/>
      <c r="AA723" s="5357">
        <f t="shared" si="333"/>
        <v>0</v>
      </c>
      <c r="AB723" s="5358">
        <v>0</v>
      </c>
      <c r="AC723" s="5349"/>
      <c r="AD723" s="5349"/>
      <c r="AE723" s="5349"/>
      <c r="AF723" s="5349">
        <f t="shared" si="309"/>
        <v>0</v>
      </c>
      <c r="AG723" s="5338">
        <f t="shared" si="310"/>
        <v>0</v>
      </c>
    </row>
    <row r="724" spans="1:33" s="5333" customFormat="1" ht="6.75" customHeight="1">
      <c r="A724" s="5340"/>
      <c r="B724" s="5340"/>
      <c r="C724" s="5340"/>
      <c r="D724" s="5368"/>
      <c r="E724" s="5380"/>
      <c r="F724" s="5380"/>
      <c r="G724" s="5367"/>
      <c r="H724" s="5380"/>
      <c r="I724" s="5496"/>
      <c r="J724" s="5366"/>
      <c r="K724" s="5361"/>
      <c r="L724" s="5365"/>
      <c r="M724" s="5357"/>
      <c r="N724" s="5357"/>
      <c r="O724" s="5357">
        <f t="shared" si="335"/>
        <v>0</v>
      </c>
      <c r="P724" s="5358"/>
      <c r="Q724" s="5357">
        <f t="shared" si="336"/>
        <v>0</v>
      </c>
      <c r="R724" s="5358" t="e">
        <f t="shared" ref="R724:R732" si="339">P724/N724*100-100</f>
        <v>#DIV/0!</v>
      </c>
      <c r="S724" s="5358"/>
      <c r="T724" s="5357" t="e">
        <f t="shared" si="337"/>
        <v>#DIV/0!</v>
      </c>
      <c r="U724" s="5358"/>
      <c r="V724" s="5357"/>
      <c r="W724" s="5358"/>
      <c r="X724" s="5358"/>
      <c r="Y724" s="5357">
        <f t="shared" si="338"/>
        <v>0</v>
      </c>
      <c r="Z724" s="5358"/>
      <c r="AA724" s="5357"/>
      <c r="AB724" s="5358"/>
      <c r="AC724" s="5369"/>
      <c r="AD724" s="5369"/>
      <c r="AE724" s="5369"/>
      <c r="AF724" s="5349">
        <f t="shared" si="309"/>
        <v>0</v>
      </c>
      <c r="AG724" s="5338">
        <f t="shared" si="310"/>
        <v>0</v>
      </c>
    </row>
    <row r="725" spans="1:33" s="5333" customFormat="1" ht="14.25" hidden="1" customHeight="1">
      <c r="A725" s="5426"/>
      <c r="B725" s="5426"/>
      <c r="C725" s="5426"/>
      <c r="D725" s="5374">
        <v>4</v>
      </c>
      <c r="E725" s="5374">
        <v>1</v>
      </c>
      <c r="F725" s="5374"/>
      <c r="G725" s="5374"/>
      <c r="H725" s="5374"/>
      <c r="I725" s="5537"/>
      <c r="J725" s="5372" t="s">
        <v>180</v>
      </c>
      <c r="K725" s="5371"/>
      <c r="L725" s="5370"/>
      <c r="M725" s="5357">
        <v>0</v>
      </c>
      <c r="N725" s="5357">
        <f>N726</f>
        <v>0</v>
      </c>
      <c r="O725" s="5357">
        <f t="shared" si="335"/>
        <v>0</v>
      </c>
      <c r="P725" s="5358"/>
      <c r="Q725" s="5357">
        <f t="shared" si="336"/>
        <v>0</v>
      </c>
      <c r="R725" s="5358" t="e">
        <f t="shared" si="339"/>
        <v>#DIV/0!</v>
      </c>
      <c r="S725" s="5358"/>
      <c r="T725" s="5357" t="e">
        <f t="shared" si="337"/>
        <v>#DIV/0!</v>
      </c>
      <c r="U725" s="5358"/>
      <c r="V725" s="5357">
        <f t="shared" ref="V725:V743" si="340">S725-P725</f>
        <v>0</v>
      </c>
      <c r="W725" s="5358" t="e">
        <f t="shared" ref="W725:W733" si="341">S725/P725*100-100</f>
        <v>#DIV/0!</v>
      </c>
      <c r="X725" s="5358"/>
      <c r="Y725" s="5357" t="e">
        <f t="shared" si="338"/>
        <v>#DIV/0!</v>
      </c>
      <c r="Z725" s="5358"/>
      <c r="AA725" s="5357">
        <f t="shared" ref="AA725:AA734" si="342">X725-S725</f>
        <v>0</v>
      </c>
      <c r="AB725" s="5358" t="e">
        <f t="shared" ref="AB725:AB733" si="343">X725/S725*100-100</f>
        <v>#DIV/0!</v>
      </c>
      <c r="AC725" s="5369"/>
      <c r="AD725" s="5369"/>
      <c r="AE725" s="5369"/>
      <c r="AF725" s="5349">
        <f t="shared" si="309"/>
        <v>0</v>
      </c>
      <c r="AG725" s="5338">
        <f t="shared" si="310"/>
        <v>0</v>
      </c>
    </row>
    <row r="726" spans="1:33" s="5333" customFormat="1" ht="15.05" hidden="1" customHeight="1">
      <c r="A726" s="5426"/>
      <c r="B726" s="5426"/>
      <c r="C726" s="5426"/>
      <c r="D726" s="5374">
        <v>4</v>
      </c>
      <c r="E726" s="5374">
        <v>1</v>
      </c>
      <c r="F726" s="5374">
        <v>4</v>
      </c>
      <c r="G726" s="5373"/>
      <c r="H726" s="5373"/>
      <c r="I726" s="5633"/>
      <c r="J726" s="5372" t="s">
        <v>71</v>
      </c>
      <c r="K726" s="5371"/>
      <c r="L726" s="5370"/>
      <c r="M726" s="5357">
        <v>0</v>
      </c>
      <c r="N726" s="5357">
        <f>N727+N730</f>
        <v>0</v>
      </c>
      <c r="O726" s="5357">
        <f t="shared" si="335"/>
        <v>0</v>
      </c>
      <c r="P726" s="5358"/>
      <c r="Q726" s="5357">
        <f t="shared" si="336"/>
        <v>0</v>
      </c>
      <c r="R726" s="5358" t="e">
        <f t="shared" si="339"/>
        <v>#DIV/0!</v>
      </c>
      <c r="S726" s="5358"/>
      <c r="T726" s="5357" t="e">
        <f t="shared" si="337"/>
        <v>#DIV/0!</v>
      </c>
      <c r="U726" s="5358"/>
      <c r="V726" s="5357">
        <f t="shared" si="340"/>
        <v>0</v>
      </c>
      <c r="W726" s="5358" t="e">
        <f t="shared" si="341"/>
        <v>#DIV/0!</v>
      </c>
      <c r="X726" s="5358"/>
      <c r="Y726" s="5357" t="e">
        <f t="shared" si="338"/>
        <v>#DIV/0!</v>
      </c>
      <c r="Z726" s="5358"/>
      <c r="AA726" s="5357">
        <f t="shared" si="342"/>
        <v>0</v>
      </c>
      <c r="AB726" s="5358" t="e">
        <f t="shared" si="343"/>
        <v>#DIV/0!</v>
      </c>
      <c r="AC726" s="5369"/>
      <c r="AD726" s="5369"/>
      <c r="AE726" s="5369"/>
      <c r="AF726" s="5349">
        <f t="shared" si="309"/>
        <v>0</v>
      </c>
      <c r="AG726" s="5338">
        <f t="shared" si="310"/>
        <v>0</v>
      </c>
    </row>
    <row r="727" spans="1:33" s="5333" customFormat="1" ht="15.05" hidden="1" customHeight="1">
      <c r="A727" s="5426"/>
      <c r="B727" s="5426"/>
      <c r="C727" s="5426"/>
      <c r="D727" s="5367">
        <v>4</v>
      </c>
      <c r="E727" s="5367">
        <v>1</v>
      </c>
      <c r="F727" s="5367">
        <v>4</v>
      </c>
      <c r="G727" s="5367" t="s">
        <v>444</v>
      </c>
      <c r="H727" s="5367"/>
      <c r="I727" s="5631"/>
      <c r="J727" s="5366" t="s">
        <v>222</v>
      </c>
      <c r="K727" s="5361"/>
      <c r="L727" s="5370"/>
      <c r="M727" s="5402">
        <v>0</v>
      </c>
      <c r="N727" s="5402">
        <f>N728</f>
        <v>0</v>
      </c>
      <c r="O727" s="5357">
        <f t="shared" si="335"/>
        <v>0</v>
      </c>
      <c r="P727" s="5358"/>
      <c r="Q727" s="5357">
        <f t="shared" si="336"/>
        <v>0</v>
      </c>
      <c r="R727" s="5401" t="e">
        <f t="shared" si="339"/>
        <v>#DIV/0!</v>
      </c>
      <c r="S727" s="5358"/>
      <c r="T727" s="5357" t="e">
        <f t="shared" si="337"/>
        <v>#DIV/0!</v>
      </c>
      <c r="U727" s="5358"/>
      <c r="V727" s="5357">
        <f t="shared" si="340"/>
        <v>0</v>
      </c>
      <c r="W727" s="5401" t="e">
        <f t="shared" si="341"/>
        <v>#DIV/0!</v>
      </c>
      <c r="X727" s="5358"/>
      <c r="Y727" s="5357" t="e">
        <f t="shared" si="338"/>
        <v>#DIV/0!</v>
      </c>
      <c r="Z727" s="5358"/>
      <c r="AA727" s="5357">
        <f t="shared" si="342"/>
        <v>0</v>
      </c>
      <c r="AB727" s="5401" t="e">
        <f t="shared" si="343"/>
        <v>#DIV/0!</v>
      </c>
      <c r="AC727" s="5369"/>
      <c r="AD727" s="5369"/>
      <c r="AE727" s="5369"/>
      <c r="AF727" s="5349">
        <f t="shared" si="309"/>
        <v>0</v>
      </c>
      <c r="AG727" s="5338">
        <f t="shared" si="310"/>
        <v>0</v>
      </c>
    </row>
    <row r="728" spans="1:33" s="5333" customFormat="1" ht="15.05" hidden="1" customHeight="1">
      <c r="A728" s="5426"/>
      <c r="B728" s="5426"/>
      <c r="C728" s="5426"/>
      <c r="D728" s="5400">
        <v>4</v>
      </c>
      <c r="E728" s="5400">
        <v>1</v>
      </c>
      <c r="F728" s="5400">
        <v>4</v>
      </c>
      <c r="G728" s="5400" t="s">
        <v>444</v>
      </c>
      <c r="H728" s="5400" t="s">
        <v>441</v>
      </c>
      <c r="I728" s="5634"/>
      <c r="J728" s="5366" t="s">
        <v>1283</v>
      </c>
      <c r="K728" s="5361"/>
      <c r="L728" s="5370"/>
      <c r="M728" s="5357">
        <v>0</v>
      </c>
      <c r="N728" s="5357">
        <v>0</v>
      </c>
      <c r="O728" s="5359">
        <f t="shared" si="335"/>
        <v>0</v>
      </c>
      <c r="P728" s="5358"/>
      <c r="Q728" s="5357">
        <f t="shared" si="336"/>
        <v>0</v>
      </c>
      <c r="R728" s="5358" t="e">
        <f t="shared" si="339"/>
        <v>#DIV/0!</v>
      </c>
      <c r="S728" s="5358"/>
      <c r="T728" s="5359" t="e">
        <f t="shared" si="337"/>
        <v>#DIV/0!</v>
      </c>
      <c r="U728" s="5358"/>
      <c r="V728" s="5357">
        <f t="shared" si="340"/>
        <v>0</v>
      </c>
      <c r="W728" s="5358" t="e">
        <f t="shared" si="341"/>
        <v>#DIV/0!</v>
      </c>
      <c r="X728" s="5358"/>
      <c r="Y728" s="5359" t="e">
        <f t="shared" si="338"/>
        <v>#DIV/0!</v>
      </c>
      <c r="Z728" s="5358"/>
      <c r="AA728" s="5357">
        <f t="shared" si="342"/>
        <v>0</v>
      </c>
      <c r="AB728" s="5358" t="e">
        <f t="shared" si="343"/>
        <v>#DIV/0!</v>
      </c>
      <c r="AC728" s="5369"/>
      <c r="AD728" s="5369"/>
      <c r="AE728" s="5369"/>
      <c r="AF728" s="5349">
        <f t="shared" si="309"/>
        <v>0</v>
      </c>
      <c r="AG728" s="5338">
        <f t="shared" si="310"/>
        <v>0</v>
      </c>
    </row>
    <row r="729" spans="1:33" s="5333" customFormat="1" ht="9.1" hidden="1" customHeight="1">
      <c r="A729" s="5426"/>
      <c r="B729" s="5426"/>
      <c r="C729" s="5426"/>
      <c r="D729" s="5374"/>
      <c r="E729" s="5374"/>
      <c r="F729" s="5374"/>
      <c r="G729" s="5373"/>
      <c r="H729" s="5373"/>
      <c r="I729" s="5633"/>
      <c r="J729" s="5372"/>
      <c r="K729" s="5371"/>
      <c r="L729" s="5370"/>
      <c r="M729" s="5357"/>
      <c r="N729" s="5357"/>
      <c r="O729" s="5357">
        <f t="shared" si="335"/>
        <v>0</v>
      </c>
      <c r="P729" s="5358"/>
      <c r="Q729" s="5357">
        <f t="shared" si="336"/>
        <v>0</v>
      </c>
      <c r="R729" s="5358" t="e">
        <f t="shared" si="339"/>
        <v>#DIV/0!</v>
      </c>
      <c r="S729" s="5358"/>
      <c r="T729" s="5357" t="e">
        <f t="shared" si="337"/>
        <v>#DIV/0!</v>
      </c>
      <c r="U729" s="5358"/>
      <c r="V729" s="5357">
        <f t="shared" si="340"/>
        <v>0</v>
      </c>
      <c r="W729" s="5358" t="e">
        <f t="shared" si="341"/>
        <v>#DIV/0!</v>
      </c>
      <c r="X729" s="5358"/>
      <c r="Y729" s="5357" t="e">
        <f t="shared" si="338"/>
        <v>#DIV/0!</v>
      </c>
      <c r="Z729" s="5358"/>
      <c r="AA729" s="5357">
        <f t="shared" si="342"/>
        <v>0</v>
      </c>
      <c r="AB729" s="5358" t="e">
        <f t="shared" si="343"/>
        <v>#DIV/0!</v>
      </c>
      <c r="AC729" s="5349"/>
      <c r="AD729" s="5349"/>
      <c r="AE729" s="5349"/>
      <c r="AF729" s="5349">
        <f t="shared" si="309"/>
        <v>0</v>
      </c>
      <c r="AG729" s="5338">
        <f t="shared" si="310"/>
        <v>0</v>
      </c>
    </row>
    <row r="730" spans="1:33" s="5333" customFormat="1" ht="15.05" hidden="1" customHeight="1">
      <c r="A730" s="5440"/>
      <c r="B730" s="5439"/>
      <c r="C730" s="5439"/>
      <c r="D730" s="5367">
        <v>4</v>
      </c>
      <c r="E730" s="5367">
        <v>1</v>
      </c>
      <c r="F730" s="5367">
        <v>4</v>
      </c>
      <c r="G730" s="5367" t="s">
        <v>948</v>
      </c>
      <c r="H730" s="5368"/>
      <c r="I730" s="5632"/>
      <c r="J730" s="5366" t="s">
        <v>321</v>
      </c>
      <c r="K730" s="5361"/>
      <c r="L730" s="5365"/>
      <c r="M730" s="5402">
        <v>0</v>
      </c>
      <c r="N730" s="5402">
        <f>N731</f>
        <v>0</v>
      </c>
      <c r="O730" s="5402">
        <f t="shared" si="335"/>
        <v>0</v>
      </c>
      <c r="P730" s="5401"/>
      <c r="Q730" s="5357">
        <f t="shared" si="336"/>
        <v>0</v>
      </c>
      <c r="R730" s="5401" t="e">
        <f t="shared" si="339"/>
        <v>#DIV/0!</v>
      </c>
      <c r="S730" s="5401"/>
      <c r="T730" s="5402" t="e">
        <f t="shared" si="337"/>
        <v>#DIV/0!</v>
      </c>
      <c r="U730" s="5401"/>
      <c r="V730" s="5357">
        <f t="shared" si="340"/>
        <v>0</v>
      </c>
      <c r="W730" s="5401" t="e">
        <f t="shared" si="341"/>
        <v>#DIV/0!</v>
      </c>
      <c r="X730" s="5401"/>
      <c r="Y730" s="5402" t="e">
        <f t="shared" si="338"/>
        <v>#DIV/0!</v>
      </c>
      <c r="Z730" s="5401"/>
      <c r="AA730" s="5357">
        <f t="shared" si="342"/>
        <v>0</v>
      </c>
      <c r="AB730" s="5401" t="e">
        <f t="shared" si="343"/>
        <v>#DIV/0!</v>
      </c>
      <c r="AC730" s="5350"/>
      <c r="AD730" s="5350"/>
      <c r="AE730" s="5350"/>
      <c r="AF730" s="5349">
        <f t="shared" si="309"/>
        <v>0</v>
      </c>
      <c r="AG730" s="5338">
        <f t="shared" si="310"/>
        <v>0</v>
      </c>
    </row>
    <row r="731" spans="1:33" s="5333" customFormat="1" ht="15.05" hidden="1" customHeight="1">
      <c r="A731" s="5440"/>
      <c r="B731" s="5439"/>
      <c r="C731" s="5439"/>
      <c r="D731" s="5367">
        <v>4</v>
      </c>
      <c r="E731" s="5367">
        <v>1</v>
      </c>
      <c r="F731" s="5367">
        <v>4</v>
      </c>
      <c r="G731" s="5367" t="s">
        <v>948</v>
      </c>
      <c r="H731" s="5367" t="s">
        <v>437</v>
      </c>
      <c r="I731" s="5631"/>
      <c r="J731" s="5366" t="s">
        <v>85</v>
      </c>
      <c r="K731" s="5361"/>
      <c r="L731" s="5365"/>
      <c r="M731" s="5357">
        <v>0</v>
      </c>
      <c r="N731" s="5357">
        <f>N732</f>
        <v>0</v>
      </c>
      <c r="O731" s="5357">
        <f t="shared" si="335"/>
        <v>0</v>
      </c>
      <c r="P731" s="5358"/>
      <c r="Q731" s="5357">
        <f t="shared" si="336"/>
        <v>0</v>
      </c>
      <c r="R731" s="5358" t="e">
        <f t="shared" si="339"/>
        <v>#DIV/0!</v>
      </c>
      <c r="S731" s="5358"/>
      <c r="T731" s="5357" t="e">
        <f t="shared" si="337"/>
        <v>#DIV/0!</v>
      </c>
      <c r="U731" s="5358"/>
      <c r="V731" s="5357">
        <f t="shared" si="340"/>
        <v>0</v>
      </c>
      <c r="W731" s="5358" t="e">
        <f t="shared" si="341"/>
        <v>#DIV/0!</v>
      </c>
      <c r="X731" s="5358"/>
      <c r="Y731" s="5357" t="e">
        <f t="shared" si="338"/>
        <v>#DIV/0!</v>
      </c>
      <c r="Z731" s="5358"/>
      <c r="AA731" s="5357">
        <f t="shared" si="342"/>
        <v>0</v>
      </c>
      <c r="AB731" s="5358" t="e">
        <f t="shared" si="343"/>
        <v>#DIV/0!</v>
      </c>
      <c r="AC731" s="5349"/>
      <c r="AD731" s="5349"/>
      <c r="AE731" s="5349"/>
      <c r="AF731" s="5349">
        <f t="shared" si="309"/>
        <v>0</v>
      </c>
      <c r="AG731" s="5338">
        <f t="shared" si="310"/>
        <v>0</v>
      </c>
    </row>
    <row r="732" spans="1:33" s="5333" customFormat="1" ht="15.05" hidden="1" customHeight="1">
      <c r="A732" s="5440"/>
      <c r="B732" s="5439"/>
      <c r="C732" s="5439"/>
      <c r="D732" s="5368"/>
      <c r="E732" s="5380"/>
      <c r="F732" s="5380"/>
      <c r="G732" s="5379"/>
      <c r="H732" s="5379"/>
      <c r="I732" s="5495"/>
      <c r="J732" s="5366" t="s">
        <v>50</v>
      </c>
      <c r="K732" s="5361" t="s">
        <v>1302</v>
      </c>
      <c r="L732" s="5365"/>
      <c r="M732" s="5359">
        <v>0</v>
      </c>
      <c r="N732" s="5359">
        <v>0</v>
      </c>
      <c r="O732" s="5359">
        <f t="shared" si="335"/>
        <v>0</v>
      </c>
      <c r="P732" s="5358"/>
      <c r="Q732" s="5357">
        <f t="shared" si="336"/>
        <v>0</v>
      </c>
      <c r="R732" s="5356" t="e">
        <f t="shared" si="339"/>
        <v>#DIV/0!</v>
      </c>
      <c r="S732" s="5358"/>
      <c r="T732" s="5359" t="e">
        <f t="shared" si="337"/>
        <v>#DIV/0!</v>
      </c>
      <c r="U732" s="5358"/>
      <c r="V732" s="5357">
        <f t="shared" si="340"/>
        <v>0</v>
      </c>
      <c r="W732" s="5356" t="e">
        <f t="shared" si="341"/>
        <v>#DIV/0!</v>
      </c>
      <c r="X732" s="5358"/>
      <c r="Y732" s="5359" t="e">
        <f t="shared" si="338"/>
        <v>#DIV/0!</v>
      </c>
      <c r="Z732" s="5358"/>
      <c r="AA732" s="5357">
        <f t="shared" si="342"/>
        <v>0</v>
      </c>
      <c r="AB732" s="5356" t="e">
        <f t="shared" si="343"/>
        <v>#DIV/0!</v>
      </c>
      <c r="AC732" s="5349"/>
      <c r="AD732" s="5349"/>
      <c r="AE732" s="5349"/>
      <c r="AF732" s="5349">
        <f t="shared" si="309"/>
        <v>0</v>
      </c>
      <c r="AG732" s="5338">
        <f t="shared" si="310"/>
        <v>0</v>
      </c>
    </row>
    <row r="733" spans="1:33" s="5333" customFormat="1" ht="10.5" hidden="1" customHeight="1">
      <c r="A733" s="5426"/>
      <c r="B733" s="5426"/>
      <c r="C733" s="5426"/>
      <c r="D733" s="5468"/>
      <c r="E733" s="5467"/>
      <c r="F733" s="5363"/>
      <c r="G733" s="5399"/>
      <c r="H733" s="5399"/>
      <c r="I733" s="5638"/>
      <c r="J733" s="5657"/>
      <c r="K733" s="5376"/>
      <c r="L733" s="5375"/>
      <c r="M733" s="5398"/>
      <c r="N733" s="5398"/>
      <c r="O733" s="5398"/>
      <c r="P733" s="5396"/>
      <c r="Q733" s="5398"/>
      <c r="R733" s="5396"/>
      <c r="S733" s="5396"/>
      <c r="T733" s="5398"/>
      <c r="U733" s="5396"/>
      <c r="V733" s="5398">
        <f t="shared" si="340"/>
        <v>0</v>
      </c>
      <c r="W733" s="5396" t="e">
        <f t="shared" si="341"/>
        <v>#DIV/0!</v>
      </c>
      <c r="X733" s="5396"/>
      <c r="Y733" s="5398"/>
      <c r="Z733" s="5396"/>
      <c r="AA733" s="5398">
        <f t="shared" si="342"/>
        <v>0</v>
      </c>
      <c r="AB733" s="5396" t="e">
        <f t="shared" si="343"/>
        <v>#DIV/0!</v>
      </c>
      <c r="AC733" s="5349"/>
      <c r="AD733" s="5349"/>
      <c r="AE733" s="5349"/>
      <c r="AF733" s="5349">
        <f t="shared" si="309"/>
        <v>0</v>
      </c>
      <c r="AG733" s="5338">
        <f t="shared" si="310"/>
        <v>0</v>
      </c>
    </row>
    <row r="734" spans="1:33" s="5333" customFormat="1" ht="15.05" customHeight="1">
      <c r="A734" s="5426"/>
      <c r="B734" s="5426"/>
      <c r="C734" s="5426"/>
      <c r="D734" s="5465"/>
      <c r="E734" s="5429"/>
      <c r="F734" s="5429"/>
      <c r="G734" s="5400"/>
      <c r="H734" s="5429"/>
      <c r="I734" s="5637" t="s">
        <v>846</v>
      </c>
      <c r="J734" s="5659" t="s">
        <v>1340</v>
      </c>
      <c r="K734" s="5660"/>
      <c r="L734" s="5389"/>
      <c r="M734" s="5355">
        <v>0</v>
      </c>
      <c r="N734" s="5355">
        <f>N736</f>
        <v>0</v>
      </c>
      <c r="O734" s="5355">
        <f>N734-M734</f>
        <v>0</v>
      </c>
      <c r="P734" s="5388"/>
      <c r="Q734" s="5355">
        <f>+P734-N734</f>
        <v>0</v>
      </c>
      <c r="R734" s="5388">
        <v>0</v>
      </c>
      <c r="S734" s="5388"/>
      <c r="T734" s="5355">
        <f>S734-R734</f>
        <v>0</v>
      </c>
      <c r="U734" s="5388"/>
      <c r="V734" s="5355">
        <f t="shared" si="340"/>
        <v>0</v>
      </c>
      <c r="W734" s="5388">
        <v>0</v>
      </c>
      <c r="X734" s="5388"/>
      <c r="Y734" s="5355">
        <f>X734-W734</f>
        <v>0</v>
      </c>
      <c r="Z734" s="5388"/>
      <c r="AA734" s="5355">
        <f t="shared" si="342"/>
        <v>0</v>
      </c>
      <c r="AB734" s="5388">
        <v>0</v>
      </c>
      <c r="AC734" s="5349"/>
      <c r="AD734" s="5349"/>
      <c r="AE734" s="5349"/>
      <c r="AF734" s="5349">
        <f t="shared" si="309"/>
        <v>0</v>
      </c>
      <c r="AG734" s="5338">
        <f t="shared" si="310"/>
        <v>0</v>
      </c>
    </row>
    <row r="735" spans="1:33" s="5333" customFormat="1" ht="5.35" customHeight="1">
      <c r="A735" s="5340"/>
      <c r="B735" s="5340"/>
      <c r="C735" s="5340"/>
      <c r="D735" s="5415"/>
      <c r="E735" s="5386"/>
      <c r="F735" s="5386"/>
      <c r="G735" s="5387"/>
      <c r="H735" s="5386"/>
      <c r="I735" s="5636"/>
      <c r="J735" s="5414"/>
      <c r="K735" s="5413"/>
      <c r="L735" s="5412"/>
      <c r="M735" s="5382"/>
      <c r="N735" s="5382"/>
      <c r="O735" s="5382"/>
      <c r="P735" s="5381"/>
      <c r="Q735" s="5355"/>
      <c r="R735" s="5381"/>
      <c r="S735" s="5381"/>
      <c r="T735" s="5382"/>
      <c r="U735" s="5381"/>
      <c r="V735" s="5355">
        <f t="shared" si="340"/>
        <v>0</v>
      </c>
      <c r="W735" s="5381"/>
      <c r="X735" s="5381"/>
      <c r="Y735" s="5382"/>
      <c r="Z735" s="5381"/>
      <c r="AA735" s="5355"/>
      <c r="AB735" s="5381"/>
      <c r="AC735" s="5349"/>
      <c r="AD735" s="5349"/>
      <c r="AE735" s="5349"/>
      <c r="AF735" s="5349">
        <f t="shared" si="309"/>
        <v>0</v>
      </c>
      <c r="AG735" s="5338">
        <f t="shared" si="310"/>
        <v>0</v>
      </c>
    </row>
    <row r="736" spans="1:33" s="5333" customFormat="1" ht="15.05" hidden="1" customHeight="1">
      <c r="A736" s="5426"/>
      <c r="B736" s="5426"/>
      <c r="C736" s="5426"/>
      <c r="D736" s="5374">
        <v>4</v>
      </c>
      <c r="E736" s="5374">
        <v>1</v>
      </c>
      <c r="F736" s="5374"/>
      <c r="G736" s="5374"/>
      <c r="H736" s="5374"/>
      <c r="I736" s="5537"/>
      <c r="J736" s="5372" t="s">
        <v>180</v>
      </c>
      <c r="K736" s="5371"/>
      <c r="L736" s="5370"/>
      <c r="M736" s="5357">
        <v>0</v>
      </c>
      <c r="N736" s="5357">
        <f>N738</f>
        <v>0</v>
      </c>
      <c r="O736" s="5357">
        <f t="shared" ref="O736:O756" si="344">N736-M736</f>
        <v>0</v>
      </c>
      <c r="P736" s="5358"/>
      <c r="Q736" s="5355">
        <f t="shared" ref="Q736:Q756" si="345">+P736-N736</f>
        <v>0</v>
      </c>
      <c r="R736" s="5358" t="e">
        <f t="shared" ref="R736:R742" si="346">P736/N736*100-100</f>
        <v>#DIV/0!</v>
      </c>
      <c r="S736" s="5358"/>
      <c r="T736" s="5357" t="e">
        <f t="shared" ref="T736:T756" si="347">S736-R736</f>
        <v>#DIV/0!</v>
      </c>
      <c r="U736" s="5358"/>
      <c r="V736" s="5355">
        <f t="shared" si="340"/>
        <v>0</v>
      </c>
      <c r="W736" s="5358" t="e">
        <f t="shared" ref="W736:W742" si="348">S736/P736*100-100</f>
        <v>#DIV/0!</v>
      </c>
      <c r="X736" s="5358"/>
      <c r="Y736" s="5357" t="e">
        <f t="shared" ref="Y736:Y756" si="349">X736-W736</f>
        <v>#DIV/0!</v>
      </c>
      <c r="Z736" s="5358"/>
      <c r="AA736" s="5355">
        <f t="shared" ref="AA736:AA743" si="350">X736-S736</f>
        <v>0</v>
      </c>
      <c r="AB736" s="5358" t="e">
        <f t="shared" ref="AB736:AB742" si="351">X736/S736*100-100</f>
        <v>#DIV/0!</v>
      </c>
      <c r="AC736" s="5349"/>
      <c r="AD736" s="5349"/>
      <c r="AE736" s="5349"/>
      <c r="AF736" s="5349">
        <f t="shared" si="309"/>
        <v>0</v>
      </c>
      <c r="AG736" s="5338">
        <f t="shared" si="310"/>
        <v>0</v>
      </c>
    </row>
    <row r="737" spans="1:33" s="5333" customFormat="1" ht="5.35" hidden="1" customHeight="1">
      <c r="A737" s="5340"/>
      <c r="B737" s="5340"/>
      <c r="C737" s="5340"/>
      <c r="D737" s="5367"/>
      <c r="E737" s="5380"/>
      <c r="F737" s="5380"/>
      <c r="G737" s="5379"/>
      <c r="H737" s="5368"/>
      <c r="I737" s="5632"/>
      <c r="J737" s="5366"/>
      <c r="K737" s="5361"/>
      <c r="L737" s="5365"/>
      <c r="M737" s="5357"/>
      <c r="N737" s="5357"/>
      <c r="O737" s="5357">
        <f t="shared" si="344"/>
        <v>0</v>
      </c>
      <c r="P737" s="5358"/>
      <c r="Q737" s="5355">
        <f t="shared" si="345"/>
        <v>0</v>
      </c>
      <c r="R737" s="5358" t="e">
        <f t="shared" si="346"/>
        <v>#DIV/0!</v>
      </c>
      <c r="S737" s="5358"/>
      <c r="T737" s="5357" t="e">
        <f t="shared" si="347"/>
        <v>#DIV/0!</v>
      </c>
      <c r="U737" s="5358"/>
      <c r="V737" s="5355">
        <f t="shared" si="340"/>
        <v>0</v>
      </c>
      <c r="W737" s="5358" t="e">
        <f t="shared" si="348"/>
        <v>#DIV/0!</v>
      </c>
      <c r="X737" s="5358"/>
      <c r="Y737" s="5357" t="e">
        <f t="shared" si="349"/>
        <v>#DIV/0!</v>
      </c>
      <c r="Z737" s="5358"/>
      <c r="AA737" s="5355">
        <f t="shared" si="350"/>
        <v>0</v>
      </c>
      <c r="AB737" s="5358" t="e">
        <f t="shared" si="351"/>
        <v>#DIV/0!</v>
      </c>
      <c r="AC737" s="5349"/>
      <c r="AD737" s="5349"/>
      <c r="AE737" s="5349"/>
      <c r="AF737" s="5349">
        <f t="shared" si="309"/>
        <v>0</v>
      </c>
      <c r="AG737" s="5338">
        <f t="shared" si="310"/>
        <v>0</v>
      </c>
    </row>
    <row r="738" spans="1:33" s="5333" customFormat="1" ht="15.05" hidden="1" customHeight="1">
      <c r="A738" s="5426"/>
      <c r="B738" s="5426"/>
      <c r="C738" s="5426"/>
      <c r="D738" s="5374">
        <v>4</v>
      </c>
      <c r="E738" s="5374">
        <v>1</v>
      </c>
      <c r="F738" s="5374">
        <v>4</v>
      </c>
      <c r="G738" s="5373"/>
      <c r="H738" s="5373"/>
      <c r="I738" s="5633"/>
      <c r="J738" s="5372" t="s">
        <v>71</v>
      </c>
      <c r="K738" s="5371"/>
      <c r="L738" s="5370"/>
      <c r="M738" s="5357">
        <v>0</v>
      </c>
      <c r="N738" s="5357">
        <f>N739</f>
        <v>0</v>
      </c>
      <c r="O738" s="5357">
        <f t="shared" si="344"/>
        <v>0</v>
      </c>
      <c r="P738" s="5358"/>
      <c r="Q738" s="5355">
        <f t="shared" si="345"/>
        <v>0</v>
      </c>
      <c r="R738" s="5358" t="e">
        <f t="shared" si="346"/>
        <v>#DIV/0!</v>
      </c>
      <c r="S738" s="5358"/>
      <c r="T738" s="5357" t="e">
        <f t="shared" si="347"/>
        <v>#DIV/0!</v>
      </c>
      <c r="U738" s="5358"/>
      <c r="V738" s="5355">
        <f t="shared" si="340"/>
        <v>0</v>
      </c>
      <c r="W738" s="5358" t="e">
        <f t="shared" si="348"/>
        <v>#DIV/0!</v>
      </c>
      <c r="X738" s="5358"/>
      <c r="Y738" s="5357" t="e">
        <f t="shared" si="349"/>
        <v>#DIV/0!</v>
      </c>
      <c r="Z738" s="5358"/>
      <c r="AA738" s="5355">
        <f t="shared" si="350"/>
        <v>0</v>
      </c>
      <c r="AB738" s="5358" t="e">
        <f t="shared" si="351"/>
        <v>#DIV/0!</v>
      </c>
      <c r="AC738" s="5350"/>
      <c r="AD738" s="5350"/>
      <c r="AE738" s="5350"/>
      <c r="AF738" s="5349">
        <f t="shared" si="309"/>
        <v>0</v>
      </c>
      <c r="AG738" s="5338">
        <f t="shared" si="310"/>
        <v>0</v>
      </c>
    </row>
    <row r="739" spans="1:33" s="5333" customFormat="1" ht="15.05" hidden="1" customHeight="1">
      <c r="A739" s="5440"/>
      <c r="B739" s="5439"/>
      <c r="C739" s="5439"/>
      <c r="D739" s="5367">
        <v>4</v>
      </c>
      <c r="E739" s="5367">
        <v>1</v>
      </c>
      <c r="F739" s="5367">
        <v>4</v>
      </c>
      <c r="G739" s="5367" t="s">
        <v>948</v>
      </c>
      <c r="H739" s="5368"/>
      <c r="I739" s="5632"/>
      <c r="J739" s="5366" t="s">
        <v>321</v>
      </c>
      <c r="K739" s="5361"/>
      <c r="L739" s="5365"/>
      <c r="M739" s="5402">
        <v>0</v>
      </c>
      <c r="N739" s="5402">
        <f>N740</f>
        <v>0</v>
      </c>
      <c r="O739" s="5402">
        <f t="shared" si="344"/>
        <v>0</v>
      </c>
      <c r="P739" s="5401"/>
      <c r="Q739" s="5355">
        <f t="shared" si="345"/>
        <v>0</v>
      </c>
      <c r="R739" s="5401" t="e">
        <f t="shared" si="346"/>
        <v>#DIV/0!</v>
      </c>
      <c r="S739" s="5401"/>
      <c r="T739" s="5402" t="e">
        <f t="shared" si="347"/>
        <v>#DIV/0!</v>
      </c>
      <c r="U739" s="5401"/>
      <c r="V739" s="5355">
        <f t="shared" si="340"/>
        <v>0</v>
      </c>
      <c r="W739" s="5401" t="e">
        <f t="shared" si="348"/>
        <v>#DIV/0!</v>
      </c>
      <c r="X739" s="5401"/>
      <c r="Y739" s="5402" t="e">
        <f t="shared" si="349"/>
        <v>#DIV/0!</v>
      </c>
      <c r="Z739" s="5401"/>
      <c r="AA739" s="5355">
        <f t="shared" si="350"/>
        <v>0</v>
      </c>
      <c r="AB739" s="5401" t="e">
        <f t="shared" si="351"/>
        <v>#DIV/0!</v>
      </c>
      <c r="AC739" s="5349"/>
      <c r="AD739" s="5349"/>
      <c r="AE739" s="5349"/>
      <c r="AF739" s="5349">
        <f t="shared" si="309"/>
        <v>0</v>
      </c>
      <c r="AG739" s="5338">
        <f t="shared" si="310"/>
        <v>0</v>
      </c>
    </row>
    <row r="740" spans="1:33" s="5333" customFormat="1" ht="15.05" hidden="1" customHeight="1">
      <c r="A740" s="5440"/>
      <c r="B740" s="5439"/>
      <c r="C740" s="5439"/>
      <c r="D740" s="5367">
        <v>4</v>
      </c>
      <c r="E740" s="5367">
        <v>1</v>
      </c>
      <c r="F740" s="5367">
        <v>4</v>
      </c>
      <c r="G740" s="5367" t="s">
        <v>948</v>
      </c>
      <c r="H740" s="5367" t="s">
        <v>437</v>
      </c>
      <c r="I740" s="5631"/>
      <c r="J740" s="5366" t="s">
        <v>85</v>
      </c>
      <c r="K740" s="5361"/>
      <c r="L740" s="5365"/>
      <c r="M740" s="5357">
        <v>0</v>
      </c>
      <c r="N740" s="5357">
        <f>N741</f>
        <v>0</v>
      </c>
      <c r="O740" s="5357">
        <f t="shared" si="344"/>
        <v>0</v>
      </c>
      <c r="P740" s="5358"/>
      <c r="Q740" s="5355">
        <f t="shared" si="345"/>
        <v>0</v>
      </c>
      <c r="R740" s="5358" t="e">
        <f t="shared" si="346"/>
        <v>#DIV/0!</v>
      </c>
      <c r="S740" s="5358"/>
      <c r="T740" s="5357" t="e">
        <f t="shared" si="347"/>
        <v>#DIV/0!</v>
      </c>
      <c r="U740" s="5358"/>
      <c r="V740" s="5355">
        <f t="shared" si="340"/>
        <v>0</v>
      </c>
      <c r="W740" s="5358" t="e">
        <f t="shared" si="348"/>
        <v>#DIV/0!</v>
      </c>
      <c r="X740" s="5358"/>
      <c r="Y740" s="5357" t="e">
        <f t="shared" si="349"/>
        <v>#DIV/0!</v>
      </c>
      <c r="Z740" s="5358"/>
      <c r="AA740" s="5355">
        <f t="shared" si="350"/>
        <v>0</v>
      </c>
      <c r="AB740" s="5358" t="e">
        <f t="shared" si="351"/>
        <v>#DIV/0!</v>
      </c>
      <c r="AC740" s="5349"/>
      <c r="AD740" s="5349"/>
      <c r="AE740" s="5349"/>
      <c r="AF740" s="5349">
        <f t="shared" si="309"/>
        <v>0</v>
      </c>
      <c r="AG740" s="5338">
        <f t="shared" si="310"/>
        <v>0</v>
      </c>
    </row>
    <row r="741" spans="1:33" s="5333" customFormat="1" ht="15.05" hidden="1" customHeight="1">
      <c r="A741" s="5440"/>
      <c r="B741" s="5439"/>
      <c r="C741" s="5439"/>
      <c r="D741" s="5368"/>
      <c r="E741" s="5380"/>
      <c r="F741" s="5380"/>
      <c r="G741" s="5379"/>
      <c r="H741" s="5379"/>
      <c r="I741" s="5495"/>
      <c r="J741" s="5366" t="s">
        <v>50</v>
      </c>
      <c r="K741" s="5361" t="s">
        <v>85</v>
      </c>
      <c r="L741" s="5365"/>
      <c r="M741" s="5359">
        <v>0</v>
      </c>
      <c r="N741" s="5359">
        <v>0</v>
      </c>
      <c r="O741" s="5359">
        <f t="shared" si="344"/>
        <v>0</v>
      </c>
      <c r="P741" s="5358"/>
      <c r="Q741" s="5355">
        <f t="shared" si="345"/>
        <v>0</v>
      </c>
      <c r="R741" s="5356" t="e">
        <f t="shared" si="346"/>
        <v>#DIV/0!</v>
      </c>
      <c r="S741" s="5358"/>
      <c r="T741" s="5359" t="e">
        <f t="shared" si="347"/>
        <v>#DIV/0!</v>
      </c>
      <c r="U741" s="5358"/>
      <c r="V741" s="5355">
        <f t="shared" si="340"/>
        <v>0</v>
      </c>
      <c r="W741" s="5356" t="e">
        <f t="shared" si="348"/>
        <v>#DIV/0!</v>
      </c>
      <c r="X741" s="5358"/>
      <c r="Y741" s="5359" t="e">
        <f t="shared" si="349"/>
        <v>#DIV/0!</v>
      </c>
      <c r="Z741" s="5358"/>
      <c r="AA741" s="5355">
        <f t="shared" si="350"/>
        <v>0</v>
      </c>
      <c r="AB741" s="5356" t="e">
        <f t="shared" si="351"/>
        <v>#DIV/0!</v>
      </c>
      <c r="AC741" s="5349"/>
      <c r="AD741" s="5349"/>
      <c r="AE741" s="5349"/>
      <c r="AF741" s="5349">
        <f t="shared" si="309"/>
        <v>0</v>
      </c>
      <c r="AG741" s="5338">
        <f t="shared" si="310"/>
        <v>0</v>
      </c>
    </row>
    <row r="742" spans="1:33" s="5333" customFormat="1" ht="18" hidden="1" customHeight="1">
      <c r="A742" s="5340"/>
      <c r="B742" s="5340"/>
      <c r="C742" s="5340"/>
      <c r="D742" s="5378"/>
      <c r="E742" s="5364"/>
      <c r="F742" s="5364"/>
      <c r="G742" s="5378"/>
      <c r="H742" s="5378"/>
      <c r="I742" s="5639"/>
      <c r="J742" s="5658"/>
      <c r="K742" s="5376"/>
      <c r="L742" s="5375"/>
      <c r="M742" s="5398"/>
      <c r="N742" s="5398"/>
      <c r="O742" s="5398">
        <f t="shared" si="344"/>
        <v>0</v>
      </c>
      <c r="P742" s="5396"/>
      <c r="Q742" s="5355">
        <f t="shared" si="345"/>
        <v>0</v>
      </c>
      <c r="R742" s="5396" t="e">
        <f t="shared" si="346"/>
        <v>#DIV/0!</v>
      </c>
      <c r="S742" s="5396"/>
      <c r="T742" s="5398" t="e">
        <f t="shared" si="347"/>
        <v>#DIV/0!</v>
      </c>
      <c r="U742" s="5396"/>
      <c r="V742" s="5355">
        <f t="shared" si="340"/>
        <v>0</v>
      </c>
      <c r="W742" s="5396" t="e">
        <f t="shared" si="348"/>
        <v>#DIV/0!</v>
      </c>
      <c r="X742" s="5396"/>
      <c r="Y742" s="5398" t="e">
        <f t="shared" si="349"/>
        <v>#DIV/0!</v>
      </c>
      <c r="Z742" s="5396"/>
      <c r="AA742" s="5355">
        <f t="shared" si="350"/>
        <v>0</v>
      </c>
      <c r="AB742" s="5396" t="e">
        <f t="shared" si="351"/>
        <v>#DIV/0!</v>
      </c>
      <c r="AC742" s="5349"/>
      <c r="AD742" s="5349"/>
      <c r="AE742" s="5349"/>
      <c r="AF742" s="5349">
        <f t="shared" si="309"/>
        <v>0</v>
      </c>
      <c r="AG742" s="5338">
        <f t="shared" si="310"/>
        <v>0</v>
      </c>
    </row>
    <row r="743" spans="1:33" s="5333" customFormat="1" ht="15.05" customHeight="1">
      <c r="A743" s="5395" t="s">
        <v>58</v>
      </c>
      <c r="B743" s="5394" t="s">
        <v>849</v>
      </c>
      <c r="C743" s="5394" t="s">
        <v>445</v>
      </c>
      <c r="D743" s="5393" t="s">
        <v>58</v>
      </c>
      <c r="E743" s="5392" t="s">
        <v>849</v>
      </c>
      <c r="F743" s="5392" t="s">
        <v>445</v>
      </c>
      <c r="G743" s="5392"/>
      <c r="H743" s="5392"/>
      <c r="I743" s="5637" t="s">
        <v>849</v>
      </c>
      <c r="J743" s="5391" t="s">
        <v>1339</v>
      </c>
      <c r="K743" s="5390"/>
      <c r="L743" s="5389"/>
      <c r="M743" s="5355">
        <v>0</v>
      </c>
      <c r="N743" s="5355">
        <f>+N745</f>
        <v>0</v>
      </c>
      <c r="O743" s="5355">
        <f t="shared" si="344"/>
        <v>0</v>
      </c>
      <c r="P743" s="5388"/>
      <c r="Q743" s="5355">
        <f t="shared" si="345"/>
        <v>0</v>
      </c>
      <c r="R743" s="5388">
        <v>0</v>
      </c>
      <c r="S743" s="5388"/>
      <c r="T743" s="5355">
        <f t="shared" si="347"/>
        <v>0</v>
      </c>
      <c r="U743" s="5388"/>
      <c r="V743" s="5355">
        <f t="shared" si="340"/>
        <v>0</v>
      </c>
      <c r="W743" s="5388">
        <v>0</v>
      </c>
      <c r="X743" s="5388"/>
      <c r="Y743" s="5355">
        <f t="shared" si="349"/>
        <v>0</v>
      </c>
      <c r="Z743" s="5388"/>
      <c r="AA743" s="5355">
        <f t="shared" si="350"/>
        <v>0</v>
      </c>
      <c r="AB743" s="5388">
        <v>0</v>
      </c>
      <c r="AC743" s="5349"/>
      <c r="AD743" s="5349"/>
      <c r="AE743" s="5349"/>
      <c r="AF743" s="5349">
        <f t="shared" si="309"/>
        <v>0</v>
      </c>
      <c r="AG743" s="5338">
        <f t="shared" si="310"/>
        <v>0</v>
      </c>
    </row>
    <row r="744" spans="1:33" s="5333" customFormat="1" ht="9.6999999999999993" customHeight="1">
      <c r="A744" s="5340"/>
      <c r="B744" s="5340"/>
      <c r="C744" s="5340"/>
      <c r="D744" s="5387"/>
      <c r="E744" s="5386"/>
      <c r="F744" s="5386"/>
      <c r="G744" s="5386"/>
      <c r="H744" s="5386"/>
      <c r="I744" s="5636"/>
      <c r="J744" s="5385"/>
      <c r="K744" s="5384"/>
      <c r="L744" s="5383"/>
      <c r="M744" s="5382"/>
      <c r="N744" s="5382"/>
      <c r="O744" s="5382">
        <f t="shared" si="344"/>
        <v>0</v>
      </c>
      <c r="P744" s="5381"/>
      <c r="Q744" s="5355">
        <f t="shared" si="345"/>
        <v>0</v>
      </c>
      <c r="R744" s="5381" t="e">
        <f t="shared" ref="R744:R756" si="352">P744/N744*100-100</f>
        <v>#DIV/0!</v>
      </c>
      <c r="S744" s="5381"/>
      <c r="T744" s="5382" t="e">
        <f t="shared" si="347"/>
        <v>#DIV/0!</v>
      </c>
      <c r="U744" s="5381"/>
      <c r="V744" s="5355"/>
      <c r="W744" s="5381"/>
      <c r="X744" s="5381"/>
      <c r="Y744" s="5382">
        <f t="shared" si="349"/>
        <v>0</v>
      </c>
      <c r="Z744" s="5381"/>
      <c r="AA744" s="5355"/>
      <c r="AB744" s="5381"/>
      <c r="AC744" s="5350"/>
      <c r="AD744" s="5350"/>
      <c r="AE744" s="5350"/>
      <c r="AF744" s="5349">
        <f t="shared" si="309"/>
        <v>0</v>
      </c>
      <c r="AG744" s="5338">
        <f t="shared" si="310"/>
        <v>0</v>
      </c>
    </row>
    <row r="745" spans="1:33" s="5333" customFormat="1" ht="15.05" hidden="1" customHeight="1">
      <c r="A745" s="5340"/>
      <c r="B745" s="5340"/>
      <c r="C745" s="5340"/>
      <c r="D745" s="5374">
        <v>4</v>
      </c>
      <c r="E745" s="5374">
        <v>1</v>
      </c>
      <c r="F745" s="5374"/>
      <c r="G745" s="5374"/>
      <c r="H745" s="5374"/>
      <c r="I745" s="5537"/>
      <c r="J745" s="5372" t="s">
        <v>180</v>
      </c>
      <c r="K745" s="5371"/>
      <c r="L745" s="5370"/>
      <c r="M745" s="5357">
        <v>0</v>
      </c>
      <c r="N745" s="5357">
        <f>+N747</f>
        <v>0</v>
      </c>
      <c r="O745" s="5357">
        <f t="shared" si="344"/>
        <v>0</v>
      </c>
      <c r="P745" s="5358"/>
      <c r="Q745" s="5355">
        <f t="shared" si="345"/>
        <v>0</v>
      </c>
      <c r="R745" s="5358" t="e">
        <f t="shared" si="352"/>
        <v>#DIV/0!</v>
      </c>
      <c r="S745" s="5358"/>
      <c r="T745" s="5357" t="e">
        <f t="shared" si="347"/>
        <v>#DIV/0!</v>
      </c>
      <c r="U745" s="5358"/>
      <c r="V745" s="5355">
        <f t="shared" ref="V745:V765" si="353">S745-P745</f>
        <v>0</v>
      </c>
      <c r="W745" s="5358" t="e">
        <f t="shared" ref="W745:W757" si="354">S745/P745*100-100</f>
        <v>#DIV/0!</v>
      </c>
      <c r="X745" s="5358"/>
      <c r="Y745" s="5357" t="e">
        <f t="shared" si="349"/>
        <v>#DIV/0!</v>
      </c>
      <c r="Z745" s="5358"/>
      <c r="AA745" s="5355">
        <f t="shared" ref="AA745:AA758" si="355">X745-S745</f>
        <v>0</v>
      </c>
      <c r="AB745" s="5358" t="e">
        <f t="shared" ref="AB745:AB757" si="356">X745/S745*100-100</f>
        <v>#DIV/0!</v>
      </c>
      <c r="AC745" s="5350"/>
      <c r="AD745" s="5350"/>
      <c r="AE745" s="5350"/>
      <c r="AF745" s="5349">
        <f t="shared" si="309"/>
        <v>0</v>
      </c>
      <c r="AG745" s="5338">
        <f t="shared" si="310"/>
        <v>0</v>
      </c>
    </row>
    <row r="746" spans="1:33" s="5333" customFormat="1" ht="3.8" hidden="1" customHeight="1">
      <c r="A746" s="5340"/>
      <c r="B746" s="5340"/>
      <c r="C746" s="5340"/>
      <c r="D746" s="5367"/>
      <c r="E746" s="5380"/>
      <c r="F746" s="5380"/>
      <c r="G746" s="5379"/>
      <c r="H746" s="5379"/>
      <c r="I746" s="5495"/>
      <c r="J746" s="5366"/>
      <c r="K746" s="5361"/>
      <c r="L746" s="5365"/>
      <c r="M746" s="5357"/>
      <c r="N746" s="5357"/>
      <c r="O746" s="5357">
        <f t="shared" si="344"/>
        <v>0</v>
      </c>
      <c r="P746" s="5358"/>
      <c r="Q746" s="5355">
        <f t="shared" si="345"/>
        <v>0</v>
      </c>
      <c r="R746" s="5358" t="e">
        <f t="shared" si="352"/>
        <v>#DIV/0!</v>
      </c>
      <c r="S746" s="5358"/>
      <c r="T746" s="5357" t="e">
        <f t="shared" si="347"/>
        <v>#DIV/0!</v>
      </c>
      <c r="U746" s="5358"/>
      <c r="V746" s="5355">
        <f t="shared" si="353"/>
        <v>0</v>
      </c>
      <c r="W746" s="5358" t="e">
        <f t="shared" si="354"/>
        <v>#DIV/0!</v>
      </c>
      <c r="X746" s="5358"/>
      <c r="Y746" s="5357" t="e">
        <f t="shared" si="349"/>
        <v>#DIV/0!</v>
      </c>
      <c r="Z746" s="5358"/>
      <c r="AA746" s="5355">
        <f t="shared" si="355"/>
        <v>0</v>
      </c>
      <c r="AB746" s="5358" t="e">
        <f t="shared" si="356"/>
        <v>#DIV/0!</v>
      </c>
      <c r="AC746" s="5349"/>
      <c r="AD746" s="5349"/>
      <c r="AE746" s="5349"/>
      <c r="AF746" s="5349">
        <f t="shared" si="309"/>
        <v>0</v>
      </c>
      <c r="AG746" s="5338">
        <f t="shared" si="310"/>
        <v>0</v>
      </c>
    </row>
    <row r="747" spans="1:33" s="5333" customFormat="1" ht="15.05" hidden="1" customHeight="1">
      <c r="A747" s="5340"/>
      <c r="B747" s="5340"/>
      <c r="C747" s="5340"/>
      <c r="D747" s="5374">
        <v>4</v>
      </c>
      <c r="E747" s="5374">
        <v>1</v>
      </c>
      <c r="F747" s="5374">
        <v>4</v>
      </c>
      <c r="G747" s="5373"/>
      <c r="H747" s="5373"/>
      <c r="I747" s="5633"/>
      <c r="J747" s="5372" t="s">
        <v>71</v>
      </c>
      <c r="K747" s="5371"/>
      <c r="L747" s="5370"/>
      <c r="M747" s="5357">
        <v>0</v>
      </c>
      <c r="N747" s="5357">
        <f>N748+N753</f>
        <v>0</v>
      </c>
      <c r="O747" s="5357">
        <f t="shared" si="344"/>
        <v>0</v>
      </c>
      <c r="P747" s="5358"/>
      <c r="Q747" s="5355">
        <f t="shared" si="345"/>
        <v>0</v>
      </c>
      <c r="R747" s="5358" t="e">
        <f t="shared" si="352"/>
        <v>#DIV/0!</v>
      </c>
      <c r="S747" s="5358"/>
      <c r="T747" s="5357" t="e">
        <f t="shared" si="347"/>
        <v>#DIV/0!</v>
      </c>
      <c r="U747" s="5358"/>
      <c r="V747" s="5355">
        <f t="shared" si="353"/>
        <v>0</v>
      </c>
      <c r="W747" s="5358" t="e">
        <f t="shared" si="354"/>
        <v>#DIV/0!</v>
      </c>
      <c r="X747" s="5358"/>
      <c r="Y747" s="5357" t="e">
        <f t="shared" si="349"/>
        <v>#DIV/0!</v>
      </c>
      <c r="Z747" s="5358"/>
      <c r="AA747" s="5355">
        <f t="shared" si="355"/>
        <v>0</v>
      </c>
      <c r="AB747" s="5358" t="e">
        <f t="shared" si="356"/>
        <v>#DIV/0!</v>
      </c>
      <c r="AC747" s="5349"/>
      <c r="AD747" s="5349"/>
      <c r="AE747" s="5349"/>
      <c r="AF747" s="5349">
        <f t="shared" si="309"/>
        <v>0</v>
      </c>
      <c r="AG747" s="5338">
        <f t="shared" si="310"/>
        <v>0</v>
      </c>
    </row>
    <row r="748" spans="1:33" s="5333" customFormat="1" ht="15.05" hidden="1" customHeight="1">
      <c r="A748" s="5340"/>
      <c r="B748" s="5340"/>
      <c r="C748" s="5340"/>
      <c r="D748" s="5367">
        <v>4</v>
      </c>
      <c r="E748" s="5367">
        <v>1</v>
      </c>
      <c r="F748" s="5367">
        <v>4</v>
      </c>
      <c r="G748" s="5367" t="s">
        <v>444</v>
      </c>
      <c r="H748" s="5367"/>
      <c r="I748" s="5631"/>
      <c r="J748" s="5366" t="s">
        <v>222</v>
      </c>
      <c r="K748" s="5361"/>
      <c r="L748" s="5365"/>
      <c r="M748" s="5357">
        <v>0</v>
      </c>
      <c r="N748" s="5357">
        <f>N749+N751</f>
        <v>0</v>
      </c>
      <c r="O748" s="5359">
        <f t="shared" si="344"/>
        <v>0</v>
      </c>
      <c r="P748" s="5358"/>
      <c r="Q748" s="5355">
        <f t="shared" si="345"/>
        <v>0</v>
      </c>
      <c r="R748" s="5358" t="e">
        <f t="shared" si="352"/>
        <v>#DIV/0!</v>
      </c>
      <c r="S748" s="5358"/>
      <c r="T748" s="5359" t="e">
        <f t="shared" si="347"/>
        <v>#DIV/0!</v>
      </c>
      <c r="U748" s="5358"/>
      <c r="V748" s="5355">
        <f t="shared" si="353"/>
        <v>0</v>
      </c>
      <c r="W748" s="5358" t="e">
        <f t="shared" si="354"/>
        <v>#DIV/0!</v>
      </c>
      <c r="X748" s="5358"/>
      <c r="Y748" s="5359" t="e">
        <f t="shared" si="349"/>
        <v>#DIV/0!</v>
      </c>
      <c r="Z748" s="5358"/>
      <c r="AA748" s="5355">
        <f t="shared" si="355"/>
        <v>0</v>
      </c>
      <c r="AB748" s="5358" t="e">
        <f t="shared" si="356"/>
        <v>#DIV/0!</v>
      </c>
      <c r="AC748" s="5349"/>
      <c r="AD748" s="5349"/>
      <c r="AE748" s="5349"/>
      <c r="AF748" s="5349">
        <f t="shared" si="309"/>
        <v>0</v>
      </c>
      <c r="AG748" s="5338">
        <f t="shared" si="310"/>
        <v>0</v>
      </c>
    </row>
    <row r="749" spans="1:33" s="5333" customFormat="1" ht="15.05" hidden="1" customHeight="1">
      <c r="A749" s="5340"/>
      <c r="B749" s="5340"/>
      <c r="C749" s="5340"/>
      <c r="D749" s="5367">
        <v>4</v>
      </c>
      <c r="E749" s="5367">
        <v>1</v>
      </c>
      <c r="F749" s="5367">
        <v>4</v>
      </c>
      <c r="G749" s="5367" t="s">
        <v>444</v>
      </c>
      <c r="H749" s="5367" t="s">
        <v>440</v>
      </c>
      <c r="I749" s="5631"/>
      <c r="J749" s="5366" t="s">
        <v>1338</v>
      </c>
      <c r="K749" s="5361"/>
      <c r="L749" s="5365"/>
      <c r="M749" s="5359">
        <v>0</v>
      </c>
      <c r="N749" s="5359">
        <v>0</v>
      </c>
      <c r="O749" s="5359">
        <f t="shared" si="344"/>
        <v>0</v>
      </c>
      <c r="P749" s="5358"/>
      <c r="Q749" s="5355">
        <f t="shared" si="345"/>
        <v>0</v>
      </c>
      <c r="R749" s="5356" t="e">
        <f t="shared" si="352"/>
        <v>#DIV/0!</v>
      </c>
      <c r="S749" s="5358"/>
      <c r="T749" s="5359" t="e">
        <f t="shared" si="347"/>
        <v>#DIV/0!</v>
      </c>
      <c r="U749" s="5358"/>
      <c r="V749" s="5355">
        <f t="shared" si="353"/>
        <v>0</v>
      </c>
      <c r="W749" s="5356" t="e">
        <f t="shared" si="354"/>
        <v>#DIV/0!</v>
      </c>
      <c r="X749" s="5358"/>
      <c r="Y749" s="5359" t="e">
        <f t="shared" si="349"/>
        <v>#DIV/0!</v>
      </c>
      <c r="Z749" s="5358"/>
      <c r="AA749" s="5355">
        <f t="shared" si="355"/>
        <v>0</v>
      </c>
      <c r="AB749" s="5356" t="e">
        <f t="shared" si="356"/>
        <v>#DIV/0!</v>
      </c>
      <c r="AC749" s="5349"/>
      <c r="AD749" s="5349"/>
      <c r="AE749" s="5349"/>
      <c r="AF749" s="5349">
        <f t="shared" si="309"/>
        <v>0</v>
      </c>
      <c r="AG749" s="5338">
        <f t="shared" si="310"/>
        <v>0</v>
      </c>
    </row>
    <row r="750" spans="1:33" s="5333" customFormat="1" ht="15.05" hidden="1" customHeight="1">
      <c r="A750" s="5340"/>
      <c r="B750" s="5340"/>
      <c r="C750" s="5340"/>
      <c r="D750" s="5367"/>
      <c r="E750" s="5380"/>
      <c r="F750" s="5380"/>
      <c r="G750" s="5380"/>
      <c r="H750" s="5380"/>
      <c r="I750" s="5496"/>
      <c r="J750" s="5366" t="s">
        <v>1337</v>
      </c>
      <c r="K750" s="5361"/>
      <c r="L750" s="5365"/>
      <c r="M750" s="5357"/>
      <c r="N750" s="5357"/>
      <c r="O750" s="5357">
        <f t="shared" si="344"/>
        <v>0</v>
      </c>
      <c r="P750" s="5358"/>
      <c r="Q750" s="5355">
        <f t="shared" si="345"/>
        <v>0</v>
      </c>
      <c r="R750" s="5358" t="e">
        <f t="shared" si="352"/>
        <v>#DIV/0!</v>
      </c>
      <c r="S750" s="5358"/>
      <c r="T750" s="5357" t="e">
        <f t="shared" si="347"/>
        <v>#DIV/0!</v>
      </c>
      <c r="U750" s="5358"/>
      <c r="V750" s="5355">
        <f t="shared" si="353"/>
        <v>0</v>
      </c>
      <c r="W750" s="5358" t="e">
        <f t="shared" si="354"/>
        <v>#DIV/0!</v>
      </c>
      <c r="X750" s="5358"/>
      <c r="Y750" s="5357" t="e">
        <f t="shared" si="349"/>
        <v>#DIV/0!</v>
      </c>
      <c r="Z750" s="5358"/>
      <c r="AA750" s="5355">
        <f t="shared" si="355"/>
        <v>0</v>
      </c>
      <c r="AB750" s="5358" t="e">
        <f t="shared" si="356"/>
        <v>#DIV/0!</v>
      </c>
      <c r="AC750" s="5349"/>
      <c r="AD750" s="5349"/>
      <c r="AE750" s="5349"/>
      <c r="AF750" s="5349">
        <f t="shared" si="309"/>
        <v>0</v>
      </c>
      <c r="AG750" s="5338">
        <f t="shared" si="310"/>
        <v>0</v>
      </c>
    </row>
    <row r="751" spans="1:33" s="5333" customFormat="1" ht="15.05" hidden="1" customHeight="1">
      <c r="A751" s="5340"/>
      <c r="B751" s="5340"/>
      <c r="C751" s="5340"/>
      <c r="D751" s="5400">
        <v>4</v>
      </c>
      <c r="E751" s="5400">
        <v>1</v>
      </c>
      <c r="F751" s="5400">
        <v>4</v>
      </c>
      <c r="G751" s="5400" t="s">
        <v>444</v>
      </c>
      <c r="H751" s="5400" t="s">
        <v>441</v>
      </c>
      <c r="I751" s="5634"/>
      <c r="J751" s="5366" t="s">
        <v>1283</v>
      </c>
      <c r="K751" s="5361"/>
      <c r="L751" s="5365"/>
      <c r="M751" s="5357">
        <v>0</v>
      </c>
      <c r="N751" s="5357">
        <v>0</v>
      </c>
      <c r="O751" s="5359">
        <f t="shared" si="344"/>
        <v>0</v>
      </c>
      <c r="P751" s="5358"/>
      <c r="Q751" s="5355">
        <f t="shared" si="345"/>
        <v>0</v>
      </c>
      <c r="R751" s="5358" t="e">
        <f t="shared" si="352"/>
        <v>#DIV/0!</v>
      </c>
      <c r="S751" s="5358"/>
      <c r="T751" s="5359" t="e">
        <f t="shared" si="347"/>
        <v>#DIV/0!</v>
      </c>
      <c r="U751" s="5358"/>
      <c r="V751" s="5355">
        <f t="shared" si="353"/>
        <v>0</v>
      </c>
      <c r="W751" s="5358" t="e">
        <f t="shared" si="354"/>
        <v>#DIV/0!</v>
      </c>
      <c r="X751" s="5358"/>
      <c r="Y751" s="5359" t="e">
        <f t="shared" si="349"/>
        <v>#DIV/0!</v>
      </c>
      <c r="Z751" s="5358"/>
      <c r="AA751" s="5355">
        <f t="shared" si="355"/>
        <v>0</v>
      </c>
      <c r="AB751" s="5358" t="e">
        <f t="shared" si="356"/>
        <v>#DIV/0!</v>
      </c>
      <c r="AC751" s="5349"/>
      <c r="AD751" s="5349"/>
      <c r="AE751" s="5349"/>
      <c r="AF751" s="5349">
        <f t="shared" si="309"/>
        <v>0</v>
      </c>
      <c r="AG751" s="5338">
        <f t="shared" si="310"/>
        <v>0</v>
      </c>
    </row>
    <row r="752" spans="1:33" s="5333" customFormat="1" ht="6.75" hidden="1" customHeight="1">
      <c r="A752" s="5340"/>
      <c r="B752" s="5340"/>
      <c r="C752" s="5340"/>
      <c r="D752" s="5367"/>
      <c r="E752" s="5380"/>
      <c r="F752" s="5380"/>
      <c r="G752" s="5380"/>
      <c r="H752" s="5380"/>
      <c r="I752" s="5496"/>
      <c r="J752" s="5366"/>
      <c r="K752" s="5361"/>
      <c r="L752" s="5365"/>
      <c r="M752" s="5357"/>
      <c r="N752" s="5357"/>
      <c r="O752" s="5357">
        <f t="shared" si="344"/>
        <v>0</v>
      </c>
      <c r="P752" s="5358"/>
      <c r="Q752" s="5355">
        <f t="shared" si="345"/>
        <v>0</v>
      </c>
      <c r="R752" s="5358" t="e">
        <f t="shared" si="352"/>
        <v>#DIV/0!</v>
      </c>
      <c r="S752" s="5358"/>
      <c r="T752" s="5357" t="e">
        <f t="shared" si="347"/>
        <v>#DIV/0!</v>
      </c>
      <c r="U752" s="5358"/>
      <c r="V752" s="5355">
        <f t="shared" si="353"/>
        <v>0</v>
      </c>
      <c r="W752" s="5358" t="e">
        <f t="shared" si="354"/>
        <v>#DIV/0!</v>
      </c>
      <c r="X752" s="5358"/>
      <c r="Y752" s="5357" t="e">
        <f t="shared" si="349"/>
        <v>#DIV/0!</v>
      </c>
      <c r="Z752" s="5358"/>
      <c r="AA752" s="5355">
        <f t="shared" si="355"/>
        <v>0</v>
      </c>
      <c r="AB752" s="5358" t="e">
        <f t="shared" si="356"/>
        <v>#DIV/0!</v>
      </c>
      <c r="AC752" s="5349"/>
      <c r="AD752" s="5349"/>
      <c r="AE752" s="5349"/>
      <c r="AF752" s="5349">
        <f t="shared" si="309"/>
        <v>0</v>
      </c>
      <c r="AG752" s="5338">
        <f t="shared" si="310"/>
        <v>0</v>
      </c>
    </row>
    <row r="753" spans="1:33" s="5333" customFormat="1" ht="12.7" hidden="1" customHeight="1">
      <c r="A753" s="5440"/>
      <c r="B753" s="5439"/>
      <c r="C753" s="5439"/>
      <c r="D753" s="5367">
        <v>4</v>
      </c>
      <c r="E753" s="5367">
        <v>1</v>
      </c>
      <c r="F753" s="5367">
        <v>4</v>
      </c>
      <c r="G753" s="5367" t="s">
        <v>948</v>
      </c>
      <c r="H753" s="5368"/>
      <c r="I753" s="5632"/>
      <c r="J753" s="5366" t="s">
        <v>321</v>
      </c>
      <c r="K753" s="5361"/>
      <c r="L753" s="5365"/>
      <c r="M753" s="5402">
        <v>0</v>
      </c>
      <c r="N753" s="5402">
        <f>+N754</f>
        <v>0</v>
      </c>
      <c r="O753" s="5402">
        <f t="shared" si="344"/>
        <v>0</v>
      </c>
      <c r="P753" s="5401"/>
      <c r="Q753" s="5355">
        <f t="shared" si="345"/>
        <v>0</v>
      </c>
      <c r="R753" s="5401" t="e">
        <f t="shared" si="352"/>
        <v>#DIV/0!</v>
      </c>
      <c r="S753" s="5401"/>
      <c r="T753" s="5402" t="e">
        <f t="shared" si="347"/>
        <v>#DIV/0!</v>
      </c>
      <c r="U753" s="5401"/>
      <c r="V753" s="5355">
        <f t="shared" si="353"/>
        <v>0</v>
      </c>
      <c r="W753" s="5401" t="e">
        <f t="shared" si="354"/>
        <v>#DIV/0!</v>
      </c>
      <c r="X753" s="5401"/>
      <c r="Y753" s="5402" t="e">
        <f t="shared" si="349"/>
        <v>#DIV/0!</v>
      </c>
      <c r="Z753" s="5401"/>
      <c r="AA753" s="5355">
        <f t="shared" si="355"/>
        <v>0</v>
      </c>
      <c r="AB753" s="5401" t="e">
        <f t="shared" si="356"/>
        <v>#DIV/0!</v>
      </c>
      <c r="AC753" s="5350"/>
      <c r="AD753" s="5350"/>
      <c r="AE753" s="5350"/>
      <c r="AF753" s="5349">
        <f t="shared" si="309"/>
        <v>0</v>
      </c>
      <c r="AG753" s="5338">
        <f t="shared" si="310"/>
        <v>0</v>
      </c>
    </row>
    <row r="754" spans="1:33" s="5333" customFormat="1" ht="12.7" hidden="1" customHeight="1">
      <c r="A754" s="5440"/>
      <c r="B754" s="5439"/>
      <c r="C754" s="5439"/>
      <c r="D754" s="5367">
        <v>4</v>
      </c>
      <c r="E754" s="5367">
        <v>1</v>
      </c>
      <c r="F754" s="5367">
        <v>4</v>
      </c>
      <c r="G754" s="5367" t="s">
        <v>948</v>
      </c>
      <c r="H754" s="5367" t="s">
        <v>437</v>
      </c>
      <c r="I754" s="5631"/>
      <c r="J754" s="5366" t="s">
        <v>85</v>
      </c>
      <c r="K754" s="5361"/>
      <c r="L754" s="5365"/>
      <c r="M754" s="5357">
        <v>0</v>
      </c>
      <c r="N754" s="5357">
        <f>+N755+N756</f>
        <v>0</v>
      </c>
      <c r="O754" s="5357">
        <f t="shared" si="344"/>
        <v>0</v>
      </c>
      <c r="P754" s="5358"/>
      <c r="Q754" s="5355">
        <f t="shared" si="345"/>
        <v>0</v>
      </c>
      <c r="R754" s="5358" t="e">
        <f t="shared" si="352"/>
        <v>#DIV/0!</v>
      </c>
      <c r="S754" s="5358"/>
      <c r="T754" s="5357" t="e">
        <f t="shared" si="347"/>
        <v>#DIV/0!</v>
      </c>
      <c r="U754" s="5358"/>
      <c r="V754" s="5355">
        <f t="shared" si="353"/>
        <v>0</v>
      </c>
      <c r="W754" s="5358" t="e">
        <f t="shared" si="354"/>
        <v>#DIV/0!</v>
      </c>
      <c r="X754" s="5358"/>
      <c r="Y754" s="5357" t="e">
        <f t="shared" si="349"/>
        <v>#DIV/0!</v>
      </c>
      <c r="Z754" s="5358"/>
      <c r="AA754" s="5355">
        <f t="shared" si="355"/>
        <v>0</v>
      </c>
      <c r="AB754" s="5358" t="e">
        <f t="shared" si="356"/>
        <v>#DIV/0!</v>
      </c>
      <c r="AC754" s="5349"/>
      <c r="AD754" s="5349"/>
      <c r="AE754" s="5349"/>
      <c r="AF754" s="5349">
        <f t="shared" si="309"/>
        <v>0</v>
      </c>
      <c r="AG754" s="5338">
        <f t="shared" si="310"/>
        <v>0</v>
      </c>
    </row>
    <row r="755" spans="1:33" s="5333" customFormat="1" ht="12.7" hidden="1" customHeight="1">
      <c r="A755" s="5440"/>
      <c r="B755" s="5439"/>
      <c r="C755" s="5439"/>
      <c r="D755" s="5368"/>
      <c r="E755" s="5380"/>
      <c r="F755" s="5380"/>
      <c r="G755" s="5379"/>
      <c r="H755" s="5379"/>
      <c r="I755" s="5495"/>
      <c r="J755" s="5366" t="s">
        <v>50</v>
      </c>
      <c r="K755" s="5361" t="s">
        <v>1302</v>
      </c>
      <c r="L755" s="5365"/>
      <c r="M755" s="5359">
        <v>0</v>
      </c>
      <c r="N755" s="5359">
        <v>0</v>
      </c>
      <c r="O755" s="5359">
        <f t="shared" si="344"/>
        <v>0</v>
      </c>
      <c r="P755" s="5358"/>
      <c r="Q755" s="5355">
        <f t="shared" si="345"/>
        <v>0</v>
      </c>
      <c r="R755" s="5356" t="e">
        <f t="shared" si="352"/>
        <v>#DIV/0!</v>
      </c>
      <c r="S755" s="5358"/>
      <c r="T755" s="5359" t="e">
        <f t="shared" si="347"/>
        <v>#DIV/0!</v>
      </c>
      <c r="U755" s="5358"/>
      <c r="V755" s="5355">
        <f t="shared" si="353"/>
        <v>0</v>
      </c>
      <c r="W755" s="5356" t="e">
        <f t="shared" si="354"/>
        <v>#DIV/0!</v>
      </c>
      <c r="X755" s="5358"/>
      <c r="Y755" s="5359" t="e">
        <f t="shared" si="349"/>
        <v>#DIV/0!</v>
      </c>
      <c r="Z755" s="5358"/>
      <c r="AA755" s="5355">
        <f t="shared" si="355"/>
        <v>0</v>
      </c>
      <c r="AB755" s="5356" t="e">
        <f t="shared" si="356"/>
        <v>#DIV/0!</v>
      </c>
      <c r="AC755" s="5349"/>
      <c r="AD755" s="5349"/>
      <c r="AE755" s="5349"/>
      <c r="AF755" s="5349">
        <f t="shared" ref="AF755:AF818" si="357">S755-P755</f>
        <v>0</v>
      </c>
      <c r="AG755" s="5338">
        <f t="shared" ref="AG755:AG818" si="358">AF755-V755</f>
        <v>0</v>
      </c>
    </row>
    <row r="756" spans="1:33" s="5333" customFormat="1" ht="12.7" hidden="1" customHeight="1">
      <c r="A756" s="5426"/>
      <c r="B756" s="5426"/>
      <c r="C756" s="5426"/>
      <c r="D756" s="5378"/>
      <c r="E756" s="5363"/>
      <c r="F756" s="5363"/>
      <c r="G756" s="5399"/>
      <c r="H756" s="5399"/>
      <c r="I756" s="5638"/>
      <c r="J756" s="5658" t="s">
        <v>50</v>
      </c>
      <c r="K756" s="5361" t="s">
        <v>85</v>
      </c>
      <c r="L756" s="5375"/>
      <c r="M756" s="5411">
        <v>0</v>
      </c>
      <c r="N756" s="5411">
        <v>0</v>
      </c>
      <c r="O756" s="5359">
        <f t="shared" si="344"/>
        <v>0</v>
      </c>
      <c r="P756" s="5396"/>
      <c r="Q756" s="5355">
        <f t="shared" si="345"/>
        <v>0</v>
      </c>
      <c r="R756" s="5410" t="e">
        <f t="shared" si="352"/>
        <v>#DIV/0!</v>
      </c>
      <c r="S756" s="5396"/>
      <c r="T756" s="5359" t="e">
        <f t="shared" si="347"/>
        <v>#DIV/0!</v>
      </c>
      <c r="U756" s="5396"/>
      <c r="V756" s="5355">
        <f t="shared" si="353"/>
        <v>0</v>
      </c>
      <c r="W756" s="5410" t="e">
        <f t="shared" si="354"/>
        <v>#DIV/0!</v>
      </c>
      <c r="X756" s="5396"/>
      <c r="Y756" s="5359" t="e">
        <f t="shared" si="349"/>
        <v>#DIV/0!</v>
      </c>
      <c r="Z756" s="5396"/>
      <c r="AA756" s="5355">
        <f t="shared" si="355"/>
        <v>0</v>
      </c>
      <c r="AB756" s="5410" t="e">
        <f t="shared" si="356"/>
        <v>#DIV/0!</v>
      </c>
      <c r="AC756" s="5349"/>
      <c r="AD756" s="5349"/>
      <c r="AE756" s="5349"/>
      <c r="AF756" s="5349">
        <f t="shared" si="357"/>
        <v>0</v>
      </c>
      <c r="AG756" s="5338">
        <f t="shared" si="358"/>
        <v>0</v>
      </c>
    </row>
    <row r="757" spans="1:33" s="5333" customFormat="1" ht="12.05" hidden="1" customHeight="1">
      <c r="A757" s="5340"/>
      <c r="B757" s="5340"/>
      <c r="C757" s="5340"/>
      <c r="D757" s="5420"/>
      <c r="E757" s="5419"/>
      <c r="F757" s="5419"/>
      <c r="G757" s="5419"/>
      <c r="H757" s="5419"/>
      <c r="I757" s="5635"/>
      <c r="J757" s="5658"/>
      <c r="K757" s="5376"/>
      <c r="L757" s="5375"/>
      <c r="M757" s="5398"/>
      <c r="N757" s="5398"/>
      <c r="O757" s="5398"/>
      <c r="P757" s="5396"/>
      <c r="Q757" s="5355"/>
      <c r="R757" s="5396"/>
      <c r="S757" s="5396"/>
      <c r="T757" s="5398"/>
      <c r="U757" s="5396"/>
      <c r="V757" s="5355">
        <f t="shared" si="353"/>
        <v>0</v>
      </c>
      <c r="W757" s="5396" t="e">
        <f t="shared" si="354"/>
        <v>#DIV/0!</v>
      </c>
      <c r="X757" s="5396"/>
      <c r="Y757" s="5398"/>
      <c r="Z757" s="5396"/>
      <c r="AA757" s="5355">
        <f t="shared" si="355"/>
        <v>0</v>
      </c>
      <c r="AB757" s="5396" t="e">
        <f t="shared" si="356"/>
        <v>#DIV/0!</v>
      </c>
      <c r="AC757" s="5350"/>
      <c r="AD757" s="5350"/>
      <c r="AE757" s="5350"/>
      <c r="AF757" s="5349">
        <f t="shared" si="357"/>
        <v>0</v>
      </c>
      <c r="AG757" s="5338">
        <f t="shared" si="358"/>
        <v>0</v>
      </c>
    </row>
    <row r="758" spans="1:33" s="5333" customFormat="1" ht="15.85" customHeight="1">
      <c r="A758" s="5395" t="s">
        <v>58</v>
      </c>
      <c r="B758" s="5394" t="s">
        <v>849</v>
      </c>
      <c r="C758" s="5394" t="s">
        <v>456</v>
      </c>
      <c r="D758" s="5393" t="s">
        <v>58</v>
      </c>
      <c r="E758" s="5392" t="s">
        <v>849</v>
      </c>
      <c r="F758" s="5392" t="s">
        <v>448</v>
      </c>
      <c r="G758" s="5392"/>
      <c r="H758" s="5392"/>
      <c r="I758" s="5637" t="s">
        <v>852</v>
      </c>
      <c r="J758" s="5391" t="s">
        <v>1336</v>
      </c>
      <c r="K758" s="5390"/>
      <c r="L758" s="5389"/>
      <c r="M758" s="5355">
        <v>0</v>
      </c>
      <c r="N758" s="5355">
        <f>N760</f>
        <v>7965633</v>
      </c>
      <c r="O758" s="5355">
        <f>N758-M758</f>
        <v>7965633</v>
      </c>
      <c r="P758" s="5355">
        <f>P760</f>
        <v>0</v>
      </c>
      <c r="Q758" s="5355">
        <f>+P758-N758</f>
        <v>-7965633</v>
      </c>
      <c r="R758" s="5388">
        <f>P758/N758*100-100</f>
        <v>-100</v>
      </c>
      <c r="S758" s="5355">
        <f>S760</f>
        <v>0</v>
      </c>
      <c r="T758" s="5355">
        <f>S758-R758</f>
        <v>100</v>
      </c>
      <c r="U758" s="5355">
        <f>U760</f>
        <v>0</v>
      </c>
      <c r="V758" s="5355">
        <f t="shared" si="353"/>
        <v>0</v>
      </c>
      <c r="W758" s="5388">
        <v>0</v>
      </c>
      <c r="X758" s="5355">
        <f>X760</f>
        <v>0</v>
      </c>
      <c r="Y758" s="5355">
        <f>X758-W758</f>
        <v>0</v>
      </c>
      <c r="Z758" s="5355">
        <f>Z760</f>
        <v>0</v>
      </c>
      <c r="AA758" s="5355">
        <f t="shared" si="355"/>
        <v>0</v>
      </c>
      <c r="AB758" s="5388">
        <v>0</v>
      </c>
      <c r="AC758" s="5349"/>
      <c r="AD758" s="5349"/>
      <c r="AE758" s="5349"/>
      <c r="AF758" s="5349">
        <f t="shared" si="357"/>
        <v>0</v>
      </c>
      <c r="AG758" s="5338">
        <f t="shared" si="358"/>
        <v>0</v>
      </c>
    </row>
    <row r="759" spans="1:33" s="5333" customFormat="1" ht="9.1" customHeight="1">
      <c r="A759" s="5340"/>
      <c r="B759" s="5340"/>
      <c r="C759" s="5340"/>
      <c r="D759" s="5387"/>
      <c r="E759" s="5386"/>
      <c r="F759" s="5386"/>
      <c r="G759" s="5386"/>
      <c r="H759" s="5386"/>
      <c r="I759" s="5636"/>
      <c r="J759" s="5385"/>
      <c r="K759" s="5384"/>
      <c r="L759" s="5383"/>
      <c r="M759" s="5382"/>
      <c r="N759" s="5382"/>
      <c r="O759" s="5382"/>
      <c r="P759" s="5382"/>
      <c r="Q759" s="5382"/>
      <c r="R759" s="5381"/>
      <c r="S759" s="5382"/>
      <c r="T759" s="5382"/>
      <c r="U759" s="5382"/>
      <c r="V759" s="5382">
        <f t="shared" si="353"/>
        <v>0</v>
      </c>
      <c r="W759" s="5381" t="e">
        <f t="shared" ref="W759:W765" si="359">S759/P759*100-100</f>
        <v>#DIV/0!</v>
      </c>
      <c r="X759" s="5382"/>
      <c r="Y759" s="5382"/>
      <c r="Z759" s="5382"/>
      <c r="AA759" s="5382"/>
      <c r="AB759" s="5381"/>
      <c r="AC759" s="5349"/>
      <c r="AD759" s="5349"/>
      <c r="AE759" s="5349"/>
      <c r="AF759" s="5349">
        <f t="shared" si="357"/>
        <v>0</v>
      </c>
      <c r="AG759" s="5338">
        <f t="shared" si="358"/>
        <v>0</v>
      </c>
    </row>
    <row r="760" spans="1:33" s="5333" customFormat="1" ht="15.85" hidden="1" customHeight="1">
      <c r="A760" s="5340"/>
      <c r="B760" s="5340"/>
      <c r="C760" s="5340"/>
      <c r="D760" s="5374">
        <v>4</v>
      </c>
      <c r="E760" s="5374">
        <v>1</v>
      </c>
      <c r="F760" s="5374"/>
      <c r="G760" s="5374"/>
      <c r="H760" s="5374"/>
      <c r="I760" s="5537"/>
      <c r="J760" s="5372" t="s">
        <v>180</v>
      </c>
      <c r="K760" s="5371"/>
      <c r="L760" s="5370"/>
      <c r="M760" s="5357">
        <v>0</v>
      </c>
      <c r="N760" s="5357">
        <f>N761</f>
        <v>7965633</v>
      </c>
      <c r="O760" s="5357">
        <f>N760-M760</f>
        <v>7965633</v>
      </c>
      <c r="P760" s="5357">
        <f>P761</f>
        <v>0</v>
      </c>
      <c r="Q760" s="5357">
        <f>+P760-N760</f>
        <v>-7965633</v>
      </c>
      <c r="R760" s="5358">
        <f>P760/N760*100-100</f>
        <v>-100</v>
      </c>
      <c r="S760" s="5357">
        <f>S761</f>
        <v>0</v>
      </c>
      <c r="T760" s="5357">
        <f>S760-R760</f>
        <v>100</v>
      </c>
      <c r="U760" s="5357">
        <f>U761</f>
        <v>0</v>
      </c>
      <c r="V760" s="5357">
        <f t="shared" si="353"/>
        <v>0</v>
      </c>
      <c r="W760" s="5358" t="e">
        <f t="shared" si="359"/>
        <v>#DIV/0!</v>
      </c>
      <c r="X760" s="5357">
        <f>X761</f>
        <v>0</v>
      </c>
      <c r="Y760" s="5357" t="e">
        <f>X760-W760</f>
        <v>#DIV/0!</v>
      </c>
      <c r="Z760" s="5357">
        <f>Z761</f>
        <v>0</v>
      </c>
      <c r="AA760" s="5357">
        <f t="shared" ref="AA760:AA765" si="360">X760-S760</f>
        <v>0</v>
      </c>
      <c r="AB760" s="5358" t="e">
        <f t="shared" ref="AB760:AB765" si="361">X760/S760*100-100</f>
        <v>#DIV/0!</v>
      </c>
      <c r="AC760" s="5349"/>
      <c r="AD760" s="5349"/>
      <c r="AE760" s="5349"/>
      <c r="AF760" s="5349">
        <f t="shared" si="357"/>
        <v>0</v>
      </c>
      <c r="AG760" s="5338">
        <f t="shared" si="358"/>
        <v>0</v>
      </c>
    </row>
    <row r="761" spans="1:33" s="5333" customFormat="1" ht="15.85" hidden="1" customHeight="1">
      <c r="A761" s="5340"/>
      <c r="B761" s="5340"/>
      <c r="C761" s="5340"/>
      <c r="D761" s="5374">
        <v>4</v>
      </c>
      <c r="E761" s="5374">
        <v>1</v>
      </c>
      <c r="F761" s="5374">
        <v>4</v>
      </c>
      <c r="G761" s="5373"/>
      <c r="H761" s="5373"/>
      <c r="I761" s="5633"/>
      <c r="J761" s="5372" t="s">
        <v>71</v>
      </c>
      <c r="K761" s="5371"/>
      <c r="L761" s="5370"/>
      <c r="M761" s="5357">
        <v>0</v>
      </c>
      <c r="N761" s="5357">
        <f>N762</f>
        <v>7965633</v>
      </c>
      <c r="O761" s="5357">
        <f>N761-M761</f>
        <v>7965633</v>
      </c>
      <c r="P761" s="5357">
        <f>P762</f>
        <v>0</v>
      </c>
      <c r="Q761" s="5357">
        <f>+P761-N761</f>
        <v>-7965633</v>
      </c>
      <c r="R761" s="5358">
        <f>P761/N761*100-100</f>
        <v>-100</v>
      </c>
      <c r="S761" s="5357">
        <f>S762</f>
        <v>0</v>
      </c>
      <c r="T761" s="5357">
        <f>S761-R761</f>
        <v>100</v>
      </c>
      <c r="U761" s="5357">
        <f>U762</f>
        <v>0</v>
      </c>
      <c r="V761" s="5357">
        <f t="shared" si="353"/>
        <v>0</v>
      </c>
      <c r="W761" s="5358" t="e">
        <f t="shared" si="359"/>
        <v>#DIV/0!</v>
      </c>
      <c r="X761" s="5357">
        <f>X762</f>
        <v>0</v>
      </c>
      <c r="Y761" s="5357" t="e">
        <f>X761-W761</f>
        <v>#DIV/0!</v>
      </c>
      <c r="Z761" s="5357">
        <f>Z762</f>
        <v>0</v>
      </c>
      <c r="AA761" s="5357">
        <f t="shared" si="360"/>
        <v>0</v>
      </c>
      <c r="AB761" s="5358" t="e">
        <f t="shared" si="361"/>
        <v>#DIV/0!</v>
      </c>
      <c r="AC761" s="5349"/>
      <c r="AD761" s="5349"/>
      <c r="AE761" s="5349"/>
      <c r="AF761" s="5349">
        <f t="shared" si="357"/>
        <v>0</v>
      </c>
      <c r="AG761" s="5338">
        <f t="shared" si="358"/>
        <v>0</v>
      </c>
    </row>
    <row r="762" spans="1:33" s="5333" customFormat="1" ht="15.85" hidden="1" customHeight="1">
      <c r="A762" s="5340"/>
      <c r="B762" s="5340"/>
      <c r="C762" s="5340"/>
      <c r="D762" s="5367">
        <v>4</v>
      </c>
      <c r="E762" s="5367">
        <v>1</v>
      </c>
      <c r="F762" s="5367">
        <v>4</v>
      </c>
      <c r="G762" s="5368" t="s">
        <v>441</v>
      </c>
      <c r="H762" s="5367"/>
      <c r="I762" s="5631"/>
      <c r="J762" s="5366" t="s">
        <v>1018</v>
      </c>
      <c r="K762" s="5361"/>
      <c r="L762" s="5365"/>
      <c r="M762" s="5357">
        <v>0</v>
      </c>
      <c r="N762" s="5357">
        <f>N763</f>
        <v>7965633</v>
      </c>
      <c r="O762" s="5357">
        <f>N762-M762</f>
        <v>7965633</v>
      </c>
      <c r="P762" s="5357">
        <f>P763</f>
        <v>0</v>
      </c>
      <c r="Q762" s="5357">
        <f>+P762-N762</f>
        <v>-7965633</v>
      </c>
      <c r="R762" s="5358">
        <f>P762/N762*100-100</f>
        <v>-100</v>
      </c>
      <c r="S762" s="5357">
        <f>S763</f>
        <v>0</v>
      </c>
      <c r="T762" s="5357">
        <f>S762-R762</f>
        <v>100</v>
      </c>
      <c r="U762" s="5357">
        <f>U763</f>
        <v>0</v>
      </c>
      <c r="V762" s="5357">
        <f t="shared" si="353"/>
        <v>0</v>
      </c>
      <c r="W762" s="5358" t="e">
        <f t="shared" si="359"/>
        <v>#DIV/0!</v>
      </c>
      <c r="X762" s="5357">
        <f>X763</f>
        <v>0</v>
      </c>
      <c r="Y762" s="5357" t="e">
        <f>X762-W762</f>
        <v>#DIV/0!</v>
      </c>
      <c r="Z762" s="5357">
        <f>Z763</f>
        <v>0</v>
      </c>
      <c r="AA762" s="5357">
        <f t="shared" si="360"/>
        <v>0</v>
      </c>
      <c r="AB762" s="5358" t="e">
        <f t="shared" si="361"/>
        <v>#DIV/0!</v>
      </c>
      <c r="AC762" s="5349"/>
      <c r="AD762" s="5349"/>
      <c r="AE762" s="5349"/>
      <c r="AF762" s="5349">
        <f t="shared" si="357"/>
        <v>0</v>
      </c>
      <c r="AG762" s="5338">
        <f t="shared" si="358"/>
        <v>0</v>
      </c>
    </row>
    <row r="763" spans="1:33" s="5333" customFormat="1" ht="15.85" hidden="1" customHeight="1">
      <c r="A763" s="5340"/>
      <c r="B763" s="5340"/>
      <c r="C763" s="5340"/>
      <c r="D763" s="5367">
        <v>4</v>
      </c>
      <c r="E763" s="5367">
        <v>1</v>
      </c>
      <c r="F763" s="5367">
        <v>4</v>
      </c>
      <c r="G763" s="5368" t="s">
        <v>441</v>
      </c>
      <c r="H763" s="5367" t="s">
        <v>1335</v>
      </c>
      <c r="I763" s="5631"/>
      <c r="J763" s="5366" t="s">
        <v>1334</v>
      </c>
      <c r="K763" s="5361"/>
      <c r="L763" s="5365"/>
      <c r="M763" s="5359">
        <v>0</v>
      </c>
      <c r="N763" s="5359">
        <v>7965633</v>
      </c>
      <c r="O763" s="5359">
        <f>N763-M763</f>
        <v>7965633</v>
      </c>
      <c r="P763" s="5358">
        <v>0</v>
      </c>
      <c r="Q763" s="5357">
        <f>+P763-N763</f>
        <v>-7965633</v>
      </c>
      <c r="R763" s="5356">
        <f>P763/N763*100-100</f>
        <v>-100</v>
      </c>
      <c r="S763" s="5358">
        <v>0</v>
      </c>
      <c r="T763" s="5359">
        <f>S763-R763</f>
        <v>100</v>
      </c>
      <c r="U763" s="5358">
        <v>0</v>
      </c>
      <c r="V763" s="5357">
        <f t="shared" si="353"/>
        <v>0</v>
      </c>
      <c r="W763" s="5356" t="e">
        <f t="shared" si="359"/>
        <v>#DIV/0!</v>
      </c>
      <c r="X763" s="5358">
        <v>0</v>
      </c>
      <c r="Y763" s="5359" t="e">
        <f>X763-W763</f>
        <v>#DIV/0!</v>
      </c>
      <c r="Z763" s="5358">
        <v>0</v>
      </c>
      <c r="AA763" s="5357">
        <f t="shared" si="360"/>
        <v>0</v>
      </c>
      <c r="AB763" s="5356" t="e">
        <f t="shared" si="361"/>
        <v>#DIV/0!</v>
      </c>
      <c r="AC763" s="5349"/>
      <c r="AD763" s="5349"/>
      <c r="AE763" s="5349"/>
      <c r="AF763" s="5349">
        <f t="shared" si="357"/>
        <v>0</v>
      </c>
      <c r="AG763" s="5338">
        <f t="shared" si="358"/>
        <v>0</v>
      </c>
    </row>
    <row r="764" spans="1:33" s="5333" customFormat="1" ht="15.85" hidden="1" customHeight="1">
      <c r="A764" s="5340"/>
      <c r="B764" s="5340"/>
      <c r="C764" s="5340"/>
      <c r="D764" s="5364"/>
      <c r="E764" s="5363"/>
      <c r="F764" s="5363"/>
      <c r="G764" s="5363"/>
      <c r="H764" s="5363"/>
      <c r="I764" s="5635"/>
      <c r="J764" s="5654"/>
      <c r="K764" s="5376"/>
      <c r="L764" s="5375"/>
      <c r="M764" s="5398"/>
      <c r="N764" s="5398"/>
      <c r="O764" s="5398"/>
      <c r="P764" s="5396"/>
      <c r="Q764" s="5397"/>
      <c r="R764" s="5396"/>
      <c r="S764" s="5396"/>
      <c r="T764" s="5398"/>
      <c r="U764" s="5396"/>
      <c r="V764" s="5397">
        <f t="shared" si="353"/>
        <v>0</v>
      </c>
      <c r="W764" s="5396" t="e">
        <f t="shared" si="359"/>
        <v>#DIV/0!</v>
      </c>
      <c r="X764" s="5396"/>
      <c r="Y764" s="5398"/>
      <c r="Z764" s="5396"/>
      <c r="AA764" s="5397">
        <f t="shared" si="360"/>
        <v>0</v>
      </c>
      <c r="AB764" s="5396" t="e">
        <f t="shared" si="361"/>
        <v>#DIV/0!</v>
      </c>
      <c r="AC764" s="5350"/>
      <c r="AD764" s="5350"/>
      <c r="AE764" s="5350"/>
      <c r="AF764" s="5349">
        <f t="shared" si="357"/>
        <v>0</v>
      </c>
      <c r="AG764" s="5338">
        <f t="shared" si="358"/>
        <v>0</v>
      </c>
    </row>
    <row r="765" spans="1:33" s="5521" customFormat="1" ht="15.05" customHeight="1">
      <c r="A765" s="5464" t="s">
        <v>58</v>
      </c>
      <c r="B765" s="5463" t="s">
        <v>849</v>
      </c>
      <c r="C765" s="5463" t="s">
        <v>448</v>
      </c>
      <c r="D765" s="5393" t="s">
        <v>58</v>
      </c>
      <c r="E765" s="5392" t="s">
        <v>849</v>
      </c>
      <c r="F765" s="5392" t="s">
        <v>448</v>
      </c>
      <c r="G765" s="5392"/>
      <c r="H765" s="5392"/>
      <c r="I765" s="5637" t="s">
        <v>856</v>
      </c>
      <c r="J765" s="5391" t="s">
        <v>1333</v>
      </c>
      <c r="K765" s="5390"/>
      <c r="L765" s="5389"/>
      <c r="M765" s="5502">
        <v>1000000000</v>
      </c>
      <c r="N765" s="5502">
        <f>N767</f>
        <v>800000000</v>
      </c>
      <c r="O765" s="5502">
        <f>N765-M765</f>
        <v>-200000000</v>
      </c>
      <c r="P765" s="5501">
        <f>P767</f>
        <v>1400000000</v>
      </c>
      <c r="Q765" s="5502">
        <f>+P765-N765</f>
        <v>600000000</v>
      </c>
      <c r="R765" s="5501">
        <f>P765/N765*100-100</f>
        <v>75</v>
      </c>
      <c r="S765" s="5501">
        <f>S767</f>
        <v>1500000000</v>
      </c>
      <c r="T765" s="5502">
        <f>S765-R765</f>
        <v>1499999925</v>
      </c>
      <c r="U765" s="5501">
        <f>U767</f>
        <v>1400000000</v>
      </c>
      <c r="V765" s="5502">
        <f t="shared" si="353"/>
        <v>100000000</v>
      </c>
      <c r="W765" s="5501">
        <f t="shared" si="359"/>
        <v>7.1428571428571388</v>
      </c>
      <c r="X765" s="5501">
        <f>X767</f>
        <v>1500000000</v>
      </c>
      <c r="Y765" s="5502">
        <f>X765-W765</f>
        <v>1499999992.8571429</v>
      </c>
      <c r="Z765" s="5501">
        <f>Z767</f>
        <v>1400000000</v>
      </c>
      <c r="AA765" s="5502">
        <f t="shared" si="360"/>
        <v>0</v>
      </c>
      <c r="AB765" s="5501">
        <f t="shared" si="361"/>
        <v>0</v>
      </c>
      <c r="AC765" s="5594"/>
      <c r="AD765" s="5594"/>
      <c r="AE765" s="5594"/>
      <c r="AF765" s="5594">
        <f t="shared" si="357"/>
        <v>100000000</v>
      </c>
      <c r="AG765" s="5595">
        <f t="shared" si="358"/>
        <v>0</v>
      </c>
    </row>
    <row r="766" spans="1:33" s="5333" customFormat="1" ht="5.95" customHeight="1">
      <c r="A766" s="5340"/>
      <c r="B766" s="5340"/>
      <c r="C766" s="5340"/>
      <c r="D766" s="5387"/>
      <c r="E766" s="5386"/>
      <c r="F766" s="5386"/>
      <c r="G766" s="5386"/>
      <c r="H766" s="5386"/>
      <c r="I766" s="5636"/>
      <c r="J766" s="5385"/>
      <c r="K766" s="5384"/>
      <c r="L766" s="5383"/>
      <c r="M766" s="5382"/>
      <c r="N766" s="5382"/>
      <c r="O766" s="5382"/>
      <c r="P766" s="5381"/>
      <c r="Q766" s="5382"/>
      <c r="R766" s="5381"/>
      <c r="S766" s="5381"/>
      <c r="T766" s="5382"/>
      <c r="U766" s="5381"/>
      <c r="V766" s="5382"/>
      <c r="W766" s="5381"/>
      <c r="X766" s="5381"/>
      <c r="Y766" s="5382"/>
      <c r="Z766" s="5381"/>
      <c r="AA766" s="5382"/>
      <c r="AB766" s="5381"/>
      <c r="AC766" s="5349"/>
      <c r="AD766" s="5349"/>
      <c r="AE766" s="5349"/>
      <c r="AF766" s="5349">
        <f t="shared" si="357"/>
        <v>0</v>
      </c>
      <c r="AG766" s="5338">
        <f t="shared" si="358"/>
        <v>0</v>
      </c>
    </row>
    <row r="767" spans="1:33" s="5333" customFormat="1" ht="15.05" customHeight="1">
      <c r="A767" s="5340"/>
      <c r="B767" s="5340"/>
      <c r="C767" s="5340"/>
      <c r="D767" s="5374">
        <v>4</v>
      </c>
      <c r="E767" s="5374">
        <v>1</v>
      </c>
      <c r="F767" s="5374"/>
      <c r="G767" s="5374"/>
      <c r="H767" s="5374"/>
      <c r="I767" s="5537"/>
      <c r="J767" s="5372" t="s">
        <v>180</v>
      </c>
      <c r="K767" s="5371"/>
      <c r="L767" s="5370"/>
      <c r="M767" s="5357">
        <v>1000000000</v>
      </c>
      <c r="N767" s="5357">
        <f>N769</f>
        <v>800000000</v>
      </c>
      <c r="O767" s="5359">
        <f>N767-M767</f>
        <v>-200000000</v>
      </c>
      <c r="P767" s="5358">
        <f>P769</f>
        <v>1400000000</v>
      </c>
      <c r="Q767" s="5357">
        <f>+P767-N767</f>
        <v>600000000</v>
      </c>
      <c r="R767" s="5358">
        <f>P767/N767*100-100</f>
        <v>75</v>
      </c>
      <c r="S767" s="5358">
        <f>S769</f>
        <v>1500000000</v>
      </c>
      <c r="T767" s="5359">
        <f>S767-R767</f>
        <v>1499999925</v>
      </c>
      <c r="U767" s="5358">
        <f>U769</f>
        <v>1400000000</v>
      </c>
      <c r="V767" s="5357">
        <f>S767-P767</f>
        <v>100000000</v>
      </c>
      <c r="W767" s="5358">
        <f>S767/P767*100-100</f>
        <v>7.1428571428571388</v>
      </c>
      <c r="X767" s="5358">
        <f>X769</f>
        <v>1500000000</v>
      </c>
      <c r="Y767" s="5359">
        <f>X767-W767</f>
        <v>1499999992.8571429</v>
      </c>
      <c r="Z767" s="5358">
        <f>Z769</f>
        <v>1400000000</v>
      </c>
      <c r="AA767" s="5357">
        <f>X767-S767</f>
        <v>0</v>
      </c>
      <c r="AB767" s="5358">
        <f>X767/S767*100-100</f>
        <v>0</v>
      </c>
      <c r="AC767" s="5349"/>
      <c r="AD767" s="5349"/>
      <c r="AE767" s="5349"/>
      <c r="AF767" s="5349">
        <f t="shared" si="357"/>
        <v>100000000</v>
      </c>
      <c r="AG767" s="5338">
        <f t="shared" si="358"/>
        <v>0</v>
      </c>
    </row>
    <row r="768" spans="1:33" s="5333" customFormat="1" ht="4.55" customHeight="1">
      <c r="A768" s="5340"/>
      <c r="B768" s="5340"/>
      <c r="C768" s="5340"/>
      <c r="D768" s="5367"/>
      <c r="E768" s="5380"/>
      <c r="F768" s="5380"/>
      <c r="G768" s="5380"/>
      <c r="H768" s="5380"/>
      <c r="I768" s="5496"/>
      <c r="J768" s="5366"/>
      <c r="K768" s="5371"/>
      <c r="L768" s="5370"/>
      <c r="M768" s="5357"/>
      <c r="N768" s="5357"/>
      <c r="O768" s="5357">
        <f>N768-M768</f>
        <v>0</v>
      </c>
      <c r="P768" s="5358"/>
      <c r="Q768" s="5357"/>
      <c r="R768" s="5358"/>
      <c r="S768" s="5358"/>
      <c r="T768" s="5357">
        <f>S768-R768</f>
        <v>0</v>
      </c>
      <c r="U768" s="5358"/>
      <c r="V768" s="5357">
        <f>S768-P768</f>
        <v>0</v>
      </c>
      <c r="W768" s="5358"/>
      <c r="X768" s="5358"/>
      <c r="Y768" s="5357">
        <f>X768-W768</f>
        <v>0</v>
      </c>
      <c r="Z768" s="5358"/>
      <c r="AA768" s="5357"/>
      <c r="AB768" s="5358"/>
      <c r="AC768" s="5349"/>
      <c r="AD768" s="5349"/>
      <c r="AE768" s="5349"/>
      <c r="AF768" s="5349">
        <f t="shared" si="357"/>
        <v>0</v>
      </c>
      <c r="AG768" s="5338">
        <f t="shared" si="358"/>
        <v>0</v>
      </c>
    </row>
    <row r="769" spans="1:33" s="5333" customFormat="1" ht="15.05" customHeight="1">
      <c r="A769" s="5340"/>
      <c r="B769" s="5340"/>
      <c r="C769" s="5340"/>
      <c r="D769" s="5374">
        <v>4</v>
      </c>
      <c r="E769" s="5374">
        <v>1</v>
      </c>
      <c r="F769" s="5374">
        <v>2</v>
      </c>
      <c r="G769" s="5374"/>
      <c r="H769" s="5374"/>
      <c r="I769" s="5537"/>
      <c r="J769" s="5372" t="s">
        <v>106</v>
      </c>
      <c r="K769" s="5371"/>
      <c r="L769" s="5370"/>
      <c r="M769" s="5357">
        <v>1000000000</v>
      </c>
      <c r="N769" s="5357">
        <f>N770</f>
        <v>800000000</v>
      </c>
      <c r="O769" s="5359">
        <f>N769-M769</f>
        <v>-200000000</v>
      </c>
      <c r="P769" s="5358">
        <f>P770</f>
        <v>1400000000</v>
      </c>
      <c r="Q769" s="5357">
        <f>+P769-N769</f>
        <v>600000000</v>
      </c>
      <c r="R769" s="5358">
        <f>P769/N769*100-100</f>
        <v>75</v>
      </c>
      <c r="S769" s="5358">
        <f>S770</f>
        <v>1500000000</v>
      </c>
      <c r="T769" s="5359">
        <f>S769-R769</f>
        <v>1499999925</v>
      </c>
      <c r="U769" s="5358">
        <f>U770</f>
        <v>1400000000</v>
      </c>
      <c r="V769" s="5357">
        <f>S769-P769</f>
        <v>100000000</v>
      </c>
      <c r="W769" s="5358">
        <f>S769/P769*100-100</f>
        <v>7.1428571428571388</v>
      </c>
      <c r="X769" s="5358">
        <f>X770</f>
        <v>1500000000</v>
      </c>
      <c r="Y769" s="5359">
        <f>X769-W769</f>
        <v>1499999992.8571429</v>
      </c>
      <c r="Z769" s="5358">
        <f>Z770</f>
        <v>1400000000</v>
      </c>
      <c r="AA769" s="5357">
        <f>X769-S769</f>
        <v>0</v>
      </c>
      <c r="AB769" s="5358">
        <f>X769/S769*100-100</f>
        <v>0</v>
      </c>
      <c r="AC769" s="5349"/>
      <c r="AD769" s="5349"/>
      <c r="AE769" s="5349"/>
      <c r="AF769" s="5349">
        <f t="shared" si="357"/>
        <v>100000000</v>
      </c>
      <c r="AG769" s="5338">
        <f t="shared" si="358"/>
        <v>0</v>
      </c>
    </row>
    <row r="770" spans="1:33" s="5333" customFormat="1" ht="13.5" customHeight="1">
      <c r="A770" s="5340"/>
      <c r="B770" s="5340"/>
      <c r="C770" s="5340"/>
      <c r="D770" s="5367">
        <v>4</v>
      </c>
      <c r="E770" s="5367">
        <v>1</v>
      </c>
      <c r="F770" s="5367">
        <v>2</v>
      </c>
      <c r="G770" s="5368" t="s">
        <v>438</v>
      </c>
      <c r="H770" s="5367"/>
      <c r="I770" s="5631"/>
      <c r="J770" s="5366" t="s">
        <v>374</v>
      </c>
      <c r="K770" s="5361"/>
      <c r="L770" s="5365"/>
      <c r="M770" s="5357">
        <v>1000000000</v>
      </c>
      <c r="N770" s="5357">
        <f>N771</f>
        <v>800000000</v>
      </c>
      <c r="O770" s="5359">
        <f>N770-M770</f>
        <v>-200000000</v>
      </c>
      <c r="P770" s="5358">
        <f>P771</f>
        <v>1400000000</v>
      </c>
      <c r="Q770" s="5357">
        <f>+P770-N770</f>
        <v>600000000</v>
      </c>
      <c r="R770" s="5358">
        <f>P770/N770*100-100</f>
        <v>75</v>
      </c>
      <c r="S770" s="5358">
        <f>S771</f>
        <v>1500000000</v>
      </c>
      <c r="T770" s="5359">
        <f>S770-R770</f>
        <v>1499999925</v>
      </c>
      <c r="U770" s="5358">
        <f>U771</f>
        <v>1400000000</v>
      </c>
      <c r="V770" s="5357">
        <f>S770-P770</f>
        <v>100000000</v>
      </c>
      <c r="W770" s="5358">
        <f>S770/P770*100-100</f>
        <v>7.1428571428571388</v>
      </c>
      <c r="X770" s="5358">
        <f>X771</f>
        <v>1500000000</v>
      </c>
      <c r="Y770" s="5359">
        <f>X770-W770</f>
        <v>1499999992.8571429</v>
      </c>
      <c r="Z770" s="5358">
        <f>Z771</f>
        <v>1400000000</v>
      </c>
      <c r="AA770" s="5357">
        <f>X770-S770</f>
        <v>0</v>
      </c>
      <c r="AB770" s="5358">
        <f>X770/S770*100-100</f>
        <v>0</v>
      </c>
      <c r="AC770" s="5349"/>
      <c r="AD770" s="5349"/>
      <c r="AE770" s="5349"/>
      <c r="AF770" s="5349">
        <f t="shared" si="357"/>
        <v>100000000</v>
      </c>
      <c r="AG770" s="5338">
        <f t="shared" si="358"/>
        <v>0</v>
      </c>
    </row>
    <row r="771" spans="1:33" s="5333" customFormat="1" ht="13.5" customHeight="1">
      <c r="A771" s="5340"/>
      <c r="B771" s="5340"/>
      <c r="C771" s="5340"/>
      <c r="D771" s="5367">
        <v>4</v>
      </c>
      <c r="E771" s="5367">
        <v>1</v>
      </c>
      <c r="F771" s="5367">
        <v>2</v>
      </c>
      <c r="G771" s="5368" t="s">
        <v>438</v>
      </c>
      <c r="H771" s="5368" t="s">
        <v>440</v>
      </c>
      <c r="I771" s="5632"/>
      <c r="J771" s="5366" t="s">
        <v>304</v>
      </c>
      <c r="K771" s="5361"/>
      <c r="L771" s="5365"/>
      <c r="M771" s="5359">
        <v>1000000000</v>
      </c>
      <c r="N771" s="5359">
        <v>800000000</v>
      </c>
      <c r="O771" s="5359">
        <f>N771-M771</f>
        <v>-200000000</v>
      </c>
      <c r="P771" s="5358">
        <f>800000000+600000000</f>
        <v>1400000000</v>
      </c>
      <c r="Q771" s="5357">
        <f>+P771-N771</f>
        <v>600000000</v>
      </c>
      <c r="R771" s="5358">
        <f>P771/N771*100-100</f>
        <v>75</v>
      </c>
      <c r="S771" s="5358">
        <v>1500000000</v>
      </c>
      <c r="T771" s="5359">
        <f>S771-R771</f>
        <v>1499999925</v>
      </c>
      <c r="U771" s="5358">
        <f>800000000+600000000</f>
        <v>1400000000</v>
      </c>
      <c r="V771" s="5357">
        <f>S771-P771</f>
        <v>100000000</v>
      </c>
      <c r="W771" s="5358">
        <f>S771/P771*100-100</f>
        <v>7.1428571428571388</v>
      </c>
      <c r="X771" s="5358">
        <v>1500000000</v>
      </c>
      <c r="Y771" s="5359">
        <f>X771-W771</f>
        <v>1499999992.8571429</v>
      </c>
      <c r="Z771" s="5358">
        <f>800000000+600000000</f>
        <v>1400000000</v>
      </c>
      <c r="AA771" s="5357">
        <f>X771-S771</f>
        <v>0</v>
      </c>
      <c r="AB771" s="5358">
        <f>X771/S771*100-100</f>
        <v>0</v>
      </c>
      <c r="AC771" s="5350"/>
      <c r="AD771" s="5350"/>
      <c r="AE771" s="5350"/>
      <c r="AF771" s="5349">
        <f t="shared" si="357"/>
        <v>100000000</v>
      </c>
      <c r="AG771" s="5338">
        <f t="shared" si="358"/>
        <v>0</v>
      </c>
    </row>
    <row r="772" spans="1:33" s="5333" customFormat="1" ht="8.3000000000000007" customHeight="1">
      <c r="A772" s="5340"/>
      <c r="B772" s="5340"/>
      <c r="C772" s="5340"/>
      <c r="D772" s="5364"/>
      <c r="E772" s="5364"/>
      <c r="F772" s="5363"/>
      <c r="G772" s="5363"/>
      <c r="H772" s="5364"/>
      <c r="I772" s="5643"/>
      <c r="J772" s="5654"/>
      <c r="K772" s="5376"/>
      <c r="L772" s="5375"/>
      <c r="M772" s="5398"/>
      <c r="N772" s="5398"/>
      <c r="O772" s="5398"/>
      <c r="P772" s="5396"/>
      <c r="Q772" s="5398"/>
      <c r="R772" s="5396"/>
      <c r="S772" s="5396"/>
      <c r="T772" s="5398"/>
      <c r="U772" s="5396"/>
      <c r="V772" s="5398"/>
      <c r="W772" s="5396"/>
      <c r="X772" s="5396"/>
      <c r="Y772" s="5398"/>
      <c r="Z772" s="5396"/>
      <c r="AA772" s="5398"/>
      <c r="AB772" s="5396"/>
      <c r="AC772" s="5349"/>
      <c r="AD772" s="5349"/>
      <c r="AE772" s="5349"/>
      <c r="AF772" s="5349">
        <f t="shared" si="357"/>
        <v>0</v>
      </c>
      <c r="AG772" s="5338">
        <f t="shared" si="358"/>
        <v>0</v>
      </c>
    </row>
    <row r="773" spans="1:33" s="5521" customFormat="1" ht="15.05" customHeight="1">
      <c r="A773" s="5464" t="s">
        <v>58</v>
      </c>
      <c r="B773" s="5463" t="s">
        <v>849</v>
      </c>
      <c r="C773" s="5463" t="s">
        <v>969</v>
      </c>
      <c r="D773" s="5393" t="s">
        <v>58</v>
      </c>
      <c r="E773" s="5392" t="s">
        <v>849</v>
      </c>
      <c r="F773" s="5392" t="s">
        <v>969</v>
      </c>
      <c r="G773" s="5392"/>
      <c r="H773" s="5392"/>
      <c r="I773" s="5637" t="s">
        <v>867</v>
      </c>
      <c r="J773" s="5391" t="s">
        <v>1332</v>
      </c>
      <c r="K773" s="5390"/>
      <c r="L773" s="5389"/>
      <c r="M773" s="5502">
        <v>1011254427000</v>
      </c>
      <c r="N773" s="5502">
        <f>+N775</f>
        <v>1032679427000</v>
      </c>
      <c r="O773" s="5502">
        <f>N773-M773</f>
        <v>21425000000</v>
      </c>
      <c r="P773" s="5501">
        <f>+P775</f>
        <v>1033672839000</v>
      </c>
      <c r="Q773" s="5502">
        <f>+P773-N773</f>
        <v>993412000</v>
      </c>
      <c r="R773" s="5501">
        <f>P773/N773*100-100</f>
        <v>9.6197520162277783E-2</v>
      </c>
      <c r="S773" s="5501">
        <f>+S775</f>
        <v>1140687567935</v>
      </c>
      <c r="T773" s="5502">
        <f>S773-R773</f>
        <v>1140687567934.9038</v>
      </c>
      <c r="U773" s="5501">
        <f>+U775</f>
        <v>1033672839000</v>
      </c>
      <c r="V773" s="5502">
        <f>S773-P773</f>
        <v>107014728935</v>
      </c>
      <c r="W773" s="5501">
        <f>S773/P773*100-100</f>
        <v>10.352862617395317</v>
      </c>
      <c r="X773" s="5501" t="e">
        <f>+X775</f>
        <v>#REF!</v>
      </c>
      <c r="Y773" s="5502" t="e">
        <f>X773-W773</f>
        <v>#REF!</v>
      </c>
      <c r="Z773" s="5501">
        <f>+Z775</f>
        <v>1033672839000</v>
      </c>
      <c r="AA773" s="5502" t="e">
        <f>X773-S773</f>
        <v>#REF!</v>
      </c>
      <c r="AB773" s="5501" t="e">
        <f>X773/S773*100-100</f>
        <v>#REF!</v>
      </c>
      <c r="AC773" s="5594"/>
      <c r="AD773" s="5594"/>
      <c r="AE773" s="5594"/>
      <c r="AF773" s="5594">
        <f t="shared" si="357"/>
        <v>107014728935</v>
      </c>
      <c r="AG773" s="5595">
        <f t="shared" si="358"/>
        <v>0</v>
      </c>
    </row>
    <row r="774" spans="1:33" s="5333" customFormat="1" ht="6.75" customHeight="1">
      <c r="A774" s="5340"/>
      <c r="B774" s="5340"/>
      <c r="C774" s="5340"/>
      <c r="D774" s="5387"/>
      <c r="E774" s="5386"/>
      <c r="F774" s="5386"/>
      <c r="G774" s="5386"/>
      <c r="H774" s="5386"/>
      <c r="I774" s="5636"/>
      <c r="J774" s="5385"/>
      <c r="K774" s="5384"/>
      <c r="L774" s="5383"/>
      <c r="M774" s="5382"/>
      <c r="N774" s="5382"/>
      <c r="O774" s="5382"/>
      <c r="P774" s="5381"/>
      <c r="Q774" s="5382"/>
      <c r="R774" s="5381"/>
      <c r="S774" s="5381"/>
      <c r="T774" s="5382"/>
      <c r="U774" s="5381"/>
      <c r="V774" s="5382"/>
      <c r="W774" s="5381"/>
      <c r="X774" s="5381"/>
      <c r="Y774" s="5382"/>
      <c r="Z774" s="5381"/>
      <c r="AA774" s="5382"/>
      <c r="AB774" s="5381"/>
      <c r="AC774" s="5349"/>
      <c r="AD774" s="5349"/>
      <c r="AE774" s="5349"/>
      <c r="AF774" s="5349">
        <f t="shared" si="357"/>
        <v>0</v>
      </c>
      <c r="AG774" s="5338">
        <f t="shared" si="358"/>
        <v>0</v>
      </c>
    </row>
    <row r="775" spans="1:33" s="5333" customFormat="1" ht="15.05" customHeight="1">
      <c r="A775" s="5440"/>
      <c r="B775" s="5439"/>
      <c r="C775" s="5439"/>
      <c r="D775" s="5374">
        <v>4</v>
      </c>
      <c r="E775" s="5374">
        <v>1</v>
      </c>
      <c r="F775" s="5374"/>
      <c r="G775" s="5374"/>
      <c r="H775" s="5374"/>
      <c r="I775" s="5537"/>
      <c r="J775" s="5372" t="s">
        <v>180</v>
      </c>
      <c r="K775" s="5371"/>
      <c r="L775" s="5370"/>
      <c r="M775" s="5462">
        <v>1011254427000</v>
      </c>
      <c r="N775" s="5397">
        <f>+N776+N815+N810</f>
        <v>1032679427000</v>
      </c>
      <c r="O775" s="5397">
        <f t="shared" ref="O775:O805" si="362">N775-M775</f>
        <v>21425000000</v>
      </c>
      <c r="P775" s="5396">
        <f>+P776+P815+P810</f>
        <v>1033672839000</v>
      </c>
      <c r="Q775" s="5357">
        <f t="shared" ref="Q775:Q788" si="363">+P775-N775</f>
        <v>993412000</v>
      </c>
      <c r="R775" s="5358">
        <f t="shared" ref="R775:R788" si="364">P775/N775*100-100</f>
        <v>9.6197520162277783E-2</v>
      </c>
      <c r="S775" s="5358">
        <f>+S776+S815+S810</f>
        <v>1140687567935</v>
      </c>
      <c r="T775" s="5357">
        <f t="shared" ref="T775:T805" si="365">S775-R775</f>
        <v>1140687567934.9038</v>
      </c>
      <c r="U775" s="5358">
        <f>+U776+U815+U810</f>
        <v>1033672839000</v>
      </c>
      <c r="V775" s="5357">
        <f t="shared" ref="V775:V805" si="366">S775-P775</f>
        <v>107014728935</v>
      </c>
      <c r="W775" s="5358">
        <f t="shared" ref="W775:W786" si="367">S775/P775*100-100</f>
        <v>10.352862617395317</v>
      </c>
      <c r="X775" s="5358" t="e">
        <f>+X776+X815+X810</f>
        <v>#REF!</v>
      </c>
      <c r="Y775" s="5397" t="e">
        <f t="shared" ref="Y775:Y805" si="368">X775-W775</f>
        <v>#REF!</v>
      </c>
      <c r="Z775" s="5396">
        <f>+Z776+Z815+Z810</f>
        <v>1033672839000</v>
      </c>
      <c r="AA775" s="5357" t="e">
        <f t="shared" ref="AA775:AA788" si="369">X775-S775</f>
        <v>#REF!</v>
      </c>
      <c r="AB775" s="5358" t="e">
        <f t="shared" ref="AB775:AB786" si="370">X775/S775*100-100</f>
        <v>#REF!</v>
      </c>
      <c r="AC775" s="5349"/>
      <c r="AD775" s="5349"/>
      <c r="AE775" s="5349"/>
      <c r="AF775" s="5349">
        <f t="shared" si="357"/>
        <v>107014728935</v>
      </c>
      <c r="AG775" s="5338">
        <f t="shared" si="358"/>
        <v>0</v>
      </c>
    </row>
    <row r="776" spans="1:33" s="5333" customFormat="1" ht="15.05" customHeight="1">
      <c r="A776" s="5440"/>
      <c r="B776" s="5439"/>
      <c r="C776" s="5439"/>
      <c r="D776" s="5374">
        <v>4</v>
      </c>
      <c r="E776" s="5374">
        <v>1</v>
      </c>
      <c r="F776" s="5374">
        <v>1</v>
      </c>
      <c r="G776" s="5374"/>
      <c r="H776" s="5374"/>
      <c r="I776" s="5537"/>
      <c r="J776" s="5372" t="s">
        <v>1141</v>
      </c>
      <c r="K776" s="5371"/>
      <c r="L776" s="5370"/>
      <c r="M776" s="5461">
        <v>1007154427000</v>
      </c>
      <c r="N776" s="5460">
        <f>+N777+N790+N802+N807+N808</f>
        <v>1008440439200</v>
      </c>
      <c r="O776" s="5460">
        <f t="shared" si="362"/>
        <v>1286012200</v>
      </c>
      <c r="P776" s="5459">
        <f>+P777+P790+P802+P807+P808</f>
        <v>1015124279000</v>
      </c>
      <c r="Q776" s="5357">
        <f t="shared" si="363"/>
        <v>6683839800</v>
      </c>
      <c r="R776" s="5358">
        <f t="shared" si="364"/>
        <v>0.66278974346786867</v>
      </c>
      <c r="S776" s="5401">
        <f>+S777+S790+S802+S807+S808</f>
        <v>1122139007935</v>
      </c>
      <c r="T776" s="5402">
        <f t="shared" si="365"/>
        <v>1122139007934.3372</v>
      </c>
      <c r="U776" s="5401">
        <f>+U777+U790+U802+U807+U808</f>
        <v>1015124279000</v>
      </c>
      <c r="V776" s="5357">
        <f t="shared" si="366"/>
        <v>107014728935</v>
      </c>
      <c r="W776" s="5358">
        <f t="shared" si="367"/>
        <v>10.542032256426808</v>
      </c>
      <c r="X776" s="5401" t="e">
        <f>+X777+X790+X802+X807+X808</f>
        <v>#REF!</v>
      </c>
      <c r="Y776" s="5460" t="e">
        <f t="shared" si="368"/>
        <v>#REF!</v>
      </c>
      <c r="Z776" s="5459">
        <f>+Z777+Z790+Z802+Z807+Z808</f>
        <v>1015124279000</v>
      </c>
      <c r="AA776" s="5357" t="e">
        <f t="shared" si="369"/>
        <v>#REF!</v>
      </c>
      <c r="AB776" s="5358" t="e">
        <f t="shared" si="370"/>
        <v>#REF!</v>
      </c>
      <c r="AC776" s="5349"/>
      <c r="AD776" s="5349"/>
      <c r="AE776" s="5349"/>
      <c r="AF776" s="5349">
        <f t="shared" si="357"/>
        <v>107014728935</v>
      </c>
      <c r="AG776" s="5338">
        <f t="shared" si="358"/>
        <v>0</v>
      </c>
    </row>
    <row r="777" spans="1:33" s="5333" customFormat="1" ht="13.5" customHeight="1">
      <c r="A777" s="5440"/>
      <c r="B777" s="5439"/>
      <c r="C777" s="5439"/>
      <c r="D777" s="5367">
        <v>4</v>
      </c>
      <c r="E777" s="5367">
        <v>1</v>
      </c>
      <c r="F777" s="5367">
        <v>1</v>
      </c>
      <c r="G777" s="5368" t="s">
        <v>437</v>
      </c>
      <c r="H777" s="5367"/>
      <c r="I777" s="5631"/>
      <c r="J777" s="5366" t="s">
        <v>1142</v>
      </c>
      <c r="K777" s="5371"/>
      <c r="L777" s="5458"/>
      <c r="M777" s="5451">
        <v>231338000000</v>
      </c>
      <c r="N777" s="5450">
        <v>230838000000</v>
      </c>
      <c r="O777" s="5359">
        <f t="shared" si="362"/>
        <v>-500000000</v>
      </c>
      <c r="P777" s="5358">
        <f>226000000000+3000000000+2000000000</f>
        <v>231000000000</v>
      </c>
      <c r="Q777" s="5357">
        <f t="shared" si="363"/>
        <v>162000000</v>
      </c>
      <c r="R777" s="5358">
        <f t="shared" si="364"/>
        <v>7.0179086632180088E-2</v>
      </c>
      <c r="S777" s="5441">
        <v>311893723935</v>
      </c>
      <c r="T777" s="5359">
        <f t="shared" si="365"/>
        <v>311893723934.92981</v>
      </c>
      <c r="U777" s="5358">
        <f>226000000000+3000000000+2000000000</f>
        <v>231000000000</v>
      </c>
      <c r="V777" s="5357">
        <f t="shared" si="366"/>
        <v>80893723935</v>
      </c>
      <c r="W777" s="5358">
        <f t="shared" si="367"/>
        <v>35.018928110389595</v>
      </c>
      <c r="X777" s="5441" t="e">
        <f>'rekap perdinas Kua PPAS'!N537</f>
        <v>#REF!</v>
      </c>
      <c r="Y777" s="5359" t="e">
        <f t="shared" si="368"/>
        <v>#REF!</v>
      </c>
      <c r="Z777" s="5358">
        <f>226000000000+3000000000+2000000000</f>
        <v>231000000000</v>
      </c>
      <c r="AA777" s="5357" t="e">
        <f t="shared" si="369"/>
        <v>#REF!</v>
      </c>
      <c r="AB777" s="5358" t="e">
        <f t="shared" si="370"/>
        <v>#REF!</v>
      </c>
      <c r="AC777" s="5350"/>
      <c r="AD777" s="5350"/>
      <c r="AE777" s="5350"/>
      <c r="AF777" s="5349">
        <f t="shared" si="357"/>
        <v>80893723935</v>
      </c>
      <c r="AG777" s="5338">
        <f t="shared" si="358"/>
        <v>0</v>
      </c>
    </row>
    <row r="778" spans="1:33" s="5333" customFormat="1" ht="15.05" hidden="1" customHeight="1">
      <c r="A778" s="5440"/>
      <c r="B778" s="5439"/>
      <c r="C778" s="5439"/>
      <c r="D778" s="5387">
        <v>4</v>
      </c>
      <c r="E778" s="5387">
        <v>1</v>
      </c>
      <c r="F778" s="5387">
        <v>1</v>
      </c>
      <c r="G778" s="5415" t="s">
        <v>437</v>
      </c>
      <c r="H778" s="5415" t="s">
        <v>437</v>
      </c>
      <c r="I778" s="5415"/>
      <c r="J778" s="5457" t="s">
        <v>1329</v>
      </c>
      <c r="K778" s="5413"/>
      <c r="L778" s="5456"/>
      <c r="M778" s="5455">
        <v>12053541800</v>
      </c>
      <c r="N778" s="5356">
        <v>12053541800</v>
      </c>
      <c r="O778" s="5359">
        <f t="shared" si="362"/>
        <v>0</v>
      </c>
      <c r="P778" s="5358">
        <v>12053541800</v>
      </c>
      <c r="Q778" s="5357">
        <f t="shared" si="363"/>
        <v>0</v>
      </c>
      <c r="R778" s="5358">
        <f t="shared" si="364"/>
        <v>0</v>
      </c>
      <c r="S778" s="5358">
        <v>12053541800</v>
      </c>
      <c r="T778" s="5359">
        <f t="shared" si="365"/>
        <v>12053541800</v>
      </c>
      <c r="U778" s="5358">
        <v>12053541800</v>
      </c>
      <c r="V778" s="5357">
        <f t="shared" si="366"/>
        <v>0</v>
      </c>
      <c r="W778" s="5358">
        <f t="shared" si="367"/>
        <v>0</v>
      </c>
      <c r="X778" s="5358">
        <v>12053541800</v>
      </c>
      <c r="Y778" s="5359">
        <f t="shared" si="368"/>
        <v>12053541800</v>
      </c>
      <c r="Z778" s="5358">
        <v>12053541800</v>
      </c>
      <c r="AA778" s="5357">
        <f t="shared" si="369"/>
        <v>0</v>
      </c>
      <c r="AB778" s="5358">
        <f t="shared" si="370"/>
        <v>0</v>
      </c>
      <c r="AC778" s="5430"/>
      <c r="AD778" s="5430"/>
      <c r="AE778" s="5430"/>
      <c r="AF778" s="5349">
        <f t="shared" si="357"/>
        <v>0</v>
      </c>
      <c r="AG778" s="5338">
        <f t="shared" si="358"/>
        <v>0</v>
      </c>
    </row>
    <row r="779" spans="1:33" s="5333" customFormat="1" ht="15.05" hidden="1" customHeight="1">
      <c r="A779" s="5440"/>
      <c r="B779" s="5439"/>
      <c r="C779" s="5439"/>
      <c r="D779" s="5367">
        <v>4</v>
      </c>
      <c r="E779" s="5367">
        <v>1</v>
      </c>
      <c r="F779" s="5367">
        <v>1</v>
      </c>
      <c r="G779" s="5368" t="s">
        <v>437</v>
      </c>
      <c r="H779" s="5368" t="s">
        <v>438</v>
      </c>
      <c r="I779" s="5368"/>
      <c r="J779" s="5453" t="s">
        <v>1328</v>
      </c>
      <c r="K779" s="5361"/>
      <c r="L779" s="5365"/>
      <c r="M779" s="5455">
        <v>452979100</v>
      </c>
      <c r="N779" s="5356">
        <v>452979100</v>
      </c>
      <c r="O779" s="5359">
        <f t="shared" si="362"/>
        <v>0</v>
      </c>
      <c r="P779" s="5358">
        <v>452979100</v>
      </c>
      <c r="Q779" s="5357">
        <f t="shared" si="363"/>
        <v>0</v>
      </c>
      <c r="R779" s="5358">
        <f t="shared" si="364"/>
        <v>0</v>
      </c>
      <c r="S779" s="5358">
        <v>452979100</v>
      </c>
      <c r="T779" s="5359">
        <f t="shared" si="365"/>
        <v>452979100</v>
      </c>
      <c r="U779" s="5358">
        <v>452979100</v>
      </c>
      <c r="V779" s="5357">
        <f t="shared" si="366"/>
        <v>0</v>
      </c>
      <c r="W779" s="5358">
        <f t="shared" si="367"/>
        <v>0</v>
      </c>
      <c r="X779" s="5358">
        <v>452979100</v>
      </c>
      <c r="Y779" s="5359">
        <f t="shared" si="368"/>
        <v>452979100</v>
      </c>
      <c r="Z779" s="5358">
        <v>452979100</v>
      </c>
      <c r="AA779" s="5357">
        <f t="shared" si="369"/>
        <v>0</v>
      </c>
      <c r="AB779" s="5358">
        <f t="shared" si="370"/>
        <v>0</v>
      </c>
      <c r="AC779" s="5430"/>
      <c r="AD779" s="5430"/>
      <c r="AE779" s="5430"/>
      <c r="AF779" s="5349">
        <f t="shared" si="357"/>
        <v>0</v>
      </c>
      <c r="AG779" s="5338">
        <f t="shared" si="358"/>
        <v>0</v>
      </c>
    </row>
    <row r="780" spans="1:33" s="5333" customFormat="1" ht="15.05" hidden="1" customHeight="1">
      <c r="A780" s="5440"/>
      <c r="B780" s="5439"/>
      <c r="C780" s="5439"/>
      <c r="D780" s="5367">
        <v>4</v>
      </c>
      <c r="E780" s="5367">
        <v>1</v>
      </c>
      <c r="F780" s="5367">
        <v>1</v>
      </c>
      <c r="G780" s="5368" t="s">
        <v>437</v>
      </c>
      <c r="H780" s="5368" t="s">
        <v>440</v>
      </c>
      <c r="I780" s="5368"/>
      <c r="J780" s="5453" t="s">
        <v>1327</v>
      </c>
      <c r="K780" s="5361"/>
      <c r="L780" s="5365"/>
      <c r="M780" s="5455">
        <v>29784930200</v>
      </c>
      <c r="N780" s="5356">
        <v>29784930200</v>
      </c>
      <c r="O780" s="5359">
        <f t="shared" si="362"/>
        <v>0</v>
      </c>
      <c r="P780" s="5358">
        <v>29784930200</v>
      </c>
      <c r="Q780" s="5357">
        <f t="shared" si="363"/>
        <v>0</v>
      </c>
      <c r="R780" s="5358">
        <f t="shared" si="364"/>
        <v>0</v>
      </c>
      <c r="S780" s="5358">
        <v>29784930200</v>
      </c>
      <c r="T780" s="5359">
        <f t="shared" si="365"/>
        <v>29784930200</v>
      </c>
      <c r="U780" s="5358">
        <v>29784930200</v>
      </c>
      <c r="V780" s="5357">
        <f t="shared" si="366"/>
        <v>0</v>
      </c>
      <c r="W780" s="5358">
        <f t="shared" si="367"/>
        <v>0</v>
      </c>
      <c r="X780" s="5358">
        <v>29784930200</v>
      </c>
      <c r="Y780" s="5359">
        <f t="shared" si="368"/>
        <v>29784930200</v>
      </c>
      <c r="Z780" s="5358">
        <v>29784930200</v>
      </c>
      <c r="AA780" s="5357">
        <f t="shared" si="369"/>
        <v>0</v>
      </c>
      <c r="AB780" s="5358">
        <f t="shared" si="370"/>
        <v>0</v>
      </c>
      <c r="AC780" s="5430"/>
      <c r="AD780" s="5430"/>
      <c r="AE780" s="5430"/>
      <c r="AF780" s="5349">
        <f t="shared" si="357"/>
        <v>0</v>
      </c>
      <c r="AG780" s="5338">
        <f t="shared" si="358"/>
        <v>0</v>
      </c>
    </row>
    <row r="781" spans="1:33" s="5333" customFormat="1" ht="15.05" hidden="1" customHeight="1">
      <c r="A781" s="5440"/>
      <c r="B781" s="5439"/>
      <c r="C781" s="5439"/>
      <c r="D781" s="5367">
        <v>4</v>
      </c>
      <c r="E781" s="5367">
        <v>1</v>
      </c>
      <c r="F781" s="5367">
        <v>1</v>
      </c>
      <c r="G781" s="5368" t="s">
        <v>437</v>
      </c>
      <c r="H781" s="5368" t="s">
        <v>445</v>
      </c>
      <c r="I781" s="5368"/>
      <c r="J781" s="5453" t="s">
        <v>1326</v>
      </c>
      <c r="K781" s="5361"/>
      <c r="L781" s="5365"/>
      <c r="M781" s="5455">
        <v>1115594600</v>
      </c>
      <c r="N781" s="5356">
        <v>1115594600</v>
      </c>
      <c r="O781" s="5359">
        <f t="shared" si="362"/>
        <v>0</v>
      </c>
      <c r="P781" s="5358">
        <v>1115594600</v>
      </c>
      <c r="Q781" s="5357">
        <f t="shared" si="363"/>
        <v>0</v>
      </c>
      <c r="R781" s="5358">
        <f t="shared" si="364"/>
        <v>0</v>
      </c>
      <c r="S781" s="5358">
        <v>1115594600</v>
      </c>
      <c r="T781" s="5359">
        <f t="shared" si="365"/>
        <v>1115594600</v>
      </c>
      <c r="U781" s="5358">
        <v>1115594600</v>
      </c>
      <c r="V781" s="5357">
        <f t="shared" si="366"/>
        <v>0</v>
      </c>
      <c r="W781" s="5358">
        <f t="shared" si="367"/>
        <v>0</v>
      </c>
      <c r="X781" s="5358">
        <v>1115594600</v>
      </c>
      <c r="Y781" s="5359">
        <f t="shared" si="368"/>
        <v>1115594600</v>
      </c>
      <c r="Z781" s="5358">
        <v>1115594600</v>
      </c>
      <c r="AA781" s="5357">
        <f t="shared" si="369"/>
        <v>0</v>
      </c>
      <c r="AB781" s="5358">
        <f t="shared" si="370"/>
        <v>0</v>
      </c>
      <c r="AC781" s="5430"/>
      <c r="AD781" s="5430"/>
      <c r="AE781" s="5430"/>
      <c r="AF781" s="5349">
        <f t="shared" si="357"/>
        <v>0</v>
      </c>
      <c r="AG781" s="5338">
        <f t="shared" si="358"/>
        <v>0</v>
      </c>
    </row>
    <row r="782" spans="1:33" s="5333" customFormat="1" ht="15.05" hidden="1" customHeight="1">
      <c r="A782" s="5440"/>
      <c r="B782" s="5439"/>
      <c r="C782" s="5439"/>
      <c r="D782" s="5367">
        <v>4</v>
      </c>
      <c r="E782" s="5367">
        <v>1</v>
      </c>
      <c r="F782" s="5367">
        <v>1</v>
      </c>
      <c r="G782" s="5368" t="s">
        <v>437</v>
      </c>
      <c r="H782" s="5368" t="s">
        <v>451</v>
      </c>
      <c r="I782" s="5368"/>
      <c r="J782" s="5453" t="s">
        <v>1325</v>
      </c>
      <c r="K782" s="5361"/>
      <c r="L782" s="5365"/>
      <c r="M782" s="5455">
        <v>20538244000</v>
      </c>
      <c r="N782" s="5356">
        <v>20538244000</v>
      </c>
      <c r="O782" s="5359">
        <f t="shared" si="362"/>
        <v>0</v>
      </c>
      <c r="P782" s="5358">
        <v>20538244000</v>
      </c>
      <c r="Q782" s="5357">
        <f t="shared" si="363"/>
        <v>0</v>
      </c>
      <c r="R782" s="5358">
        <f t="shared" si="364"/>
        <v>0</v>
      </c>
      <c r="S782" s="5358">
        <v>20538244000</v>
      </c>
      <c r="T782" s="5359">
        <f t="shared" si="365"/>
        <v>20538244000</v>
      </c>
      <c r="U782" s="5358">
        <v>20538244000</v>
      </c>
      <c r="V782" s="5357">
        <f t="shared" si="366"/>
        <v>0</v>
      </c>
      <c r="W782" s="5358">
        <f t="shared" si="367"/>
        <v>0</v>
      </c>
      <c r="X782" s="5358">
        <v>20538244000</v>
      </c>
      <c r="Y782" s="5359">
        <f t="shared" si="368"/>
        <v>20538244000</v>
      </c>
      <c r="Z782" s="5358">
        <v>20538244000</v>
      </c>
      <c r="AA782" s="5357">
        <f t="shared" si="369"/>
        <v>0</v>
      </c>
      <c r="AB782" s="5358">
        <f t="shared" si="370"/>
        <v>0</v>
      </c>
      <c r="AC782" s="5430"/>
      <c r="AD782" s="5430"/>
      <c r="AE782" s="5430"/>
      <c r="AF782" s="5349">
        <f t="shared" si="357"/>
        <v>0</v>
      </c>
      <c r="AG782" s="5338">
        <f t="shared" si="358"/>
        <v>0</v>
      </c>
    </row>
    <row r="783" spans="1:33" s="5333" customFormat="1" ht="15.05" hidden="1" customHeight="1">
      <c r="A783" s="5440"/>
      <c r="B783" s="5439"/>
      <c r="C783" s="5439"/>
      <c r="D783" s="5367">
        <v>4</v>
      </c>
      <c r="E783" s="5367">
        <v>1</v>
      </c>
      <c r="F783" s="5367">
        <v>1</v>
      </c>
      <c r="G783" s="5368" t="s">
        <v>437</v>
      </c>
      <c r="H783" s="5368" t="s">
        <v>441</v>
      </c>
      <c r="I783" s="5368"/>
      <c r="J783" s="5453" t="s">
        <v>1324</v>
      </c>
      <c r="K783" s="5361"/>
      <c r="L783" s="5365"/>
      <c r="M783" s="5455">
        <v>7248750800</v>
      </c>
      <c r="N783" s="5356">
        <v>7248750800</v>
      </c>
      <c r="O783" s="5359">
        <f t="shared" si="362"/>
        <v>0</v>
      </c>
      <c r="P783" s="5358">
        <v>7248750800</v>
      </c>
      <c r="Q783" s="5357">
        <f t="shared" si="363"/>
        <v>0</v>
      </c>
      <c r="R783" s="5358">
        <f t="shared" si="364"/>
        <v>0</v>
      </c>
      <c r="S783" s="5358">
        <v>7248750800</v>
      </c>
      <c r="T783" s="5359">
        <f t="shared" si="365"/>
        <v>7248750800</v>
      </c>
      <c r="U783" s="5358">
        <v>7248750800</v>
      </c>
      <c r="V783" s="5357">
        <f t="shared" si="366"/>
        <v>0</v>
      </c>
      <c r="W783" s="5358">
        <f t="shared" si="367"/>
        <v>0</v>
      </c>
      <c r="X783" s="5358">
        <v>7248750800</v>
      </c>
      <c r="Y783" s="5359">
        <f t="shared" si="368"/>
        <v>7248750800</v>
      </c>
      <c r="Z783" s="5358">
        <v>7248750800</v>
      </c>
      <c r="AA783" s="5357">
        <f t="shared" si="369"/>
        <v>0</v>
      </c>
      <c r="AB783" s="5358">
        <f t="shared" si="370"/>
        <v>0</v>
      </c>
      <c r="AC783" s="5430"/>
      <c r="AD783" s="5430"/>
      <c r="AE783" s="5430"/>
      <c r="AF783" s="5349">
        <f t="shared" si="357"/>
        <v>0</v>
      </c>
      <c r="AG783" s="5338">
        <f t="shared" si="358"/>
        <v>0</v>
      </c>
    </row>
    <row r="784" spans="1:33" s="5333" customFormat="1" ht="15.05" hidden="1" customHeight="1">
      <c r="A784" s="5440"/>
      <c r="B784" s="5439"/>
      <c r="C784" s="5439"/>
      <c r="D784" s="5367">
        <v>4</v>
      </c>
      <c r="E784" s="5367">
        <v>1</v>
      </c>
      <c r="F784" s="5367">
        <v>1</v>
      </c>
      <c r="G784" s="5368" t="s">
        <v>437</v>
      </c>
      <c r="H784" s="5368" t="s">
        <v>1323</v>
      </c>
      <c r="I784" s="5368"/>
      <c r="J784" s="5453" t="s">
        <v>1331</v>
      </c>
      <c r="K784" s="5361"/>
      <c r="L784" s="5365"/>
      <c r="M784" s="5455">
        <v>100382167500</v>
      </c>
      <c r="N784" s="5356">
        <v>100382167500</v>
      </c>
      <c r="O784" s="5359">
        <f t="shared" si="362"/>
        <v>0</v>
      </c>
      <c r="P784" s="5358">
        <v>100382167500</v>
      </c>
      <c r="Q784" s="5357">
        <f t="shared" si="363"/>
        <v>0</v>
      </c>
      <c r="R784" s="5358">
        <f t="shared" si="364"/>
        <v>0</v>
      </c>
      <c r="S784" s="5358">
        <v>100382167500</v>
      </c>
      <c r="T784" s="5359">
        <f t="shared" si="365"/>
        <v>100382167500</v>
      </c>
      <c r="U784" s="5358">
        <v>100382167500</v>
      </c>
      <c r="V784" s="5357">
        <f t="shared" si="366"/>
        <v>0</v>
      </c>
      <c r="W784" s="5358">
        <f t="shared" si="367"/>
        <v>0</v>
      </c>
      <c r="X784" s="5358">
        <v>100382167500</v>
      </c>
      <c r="Y784" s="5359">
        <f t="shared" si="368"/>
        <v>100382167500</v>
      </c>
      <c r="Z784" s="5358">
        <v>100382167500</v>
      </c>
      <c r="AA784" s="5357">
        <f t="shared" si="369"/>
        <v>0</v>
      </c>
      <c r="AB784" s="5358">
        <f t="shared" si="370"/>
        <v>0</v>
      </c>
      <c r="AC784" s="5430"/>
      <c r="AD784" s="5430"/>
      <c r="AE784" s="5430"/>
      <c r="AF784" s="5349">
        <f t="shared" si="357"/>
        <v>0</v>
      </c>
      <c r="AG784" s="5338">
        <f t="shared" si="358"/>
        <v>0</v>
      </c>
    </row>
    <row r="785" spans="1:33" s="5333" customFormat="1" ht="15.05" hidden="1" customHeight="1">
      <c r="A785" s="5440"/>
      <c r="B785" s="5439"/>
      <c r="C785" s="5439"/>
      <c r="D785" s="5367">
        <v>4</v>
      </c>
      <c r="E785" s="5367">
        <v>1</v>
      </c>
      <c r="F785" s="5367">
        <v>1</v>
      </c>
      <c r="G785" s="5368" t="s">
        <v>437</v>
      </c>
      <c r="H785" s="5367" t="s">
        <v>444</v>
      </c>
      <c r="I785" s="5367"/>
      <c r="J785" s="5453" t="s">
        <v>1330</v>
      </c>
      <c r="K785" s="5361"/>
      <c r="L785" s="5365"/>
      <c r="M785" s="5455">
        <v>2513332700</v>
      </c>
      <c r="N785" s="5356">
        <v>2513332700</v>
      </c>
      <c r="O785" s="5359">
        <f t="shared" si="362"/>
        <v>0</v>
      </c>
      <c r="P785" s="5358">
        <v>2513332700</v>
      </c>
      <c r="Q785" s="5357">
        <f t="shared" si="363"/>
        <v>0</v>
      </c>
      <c r="R785" s="5358">
        <f t="shared" si="364"/>
        <v>0</v>
      </c>
      <c r="S785" s="5358">
        <v>2513332700</v>
      </c>
      <c r="T785" s="5359">
        <f t="shared" si="365"/>
        <v>2513332700</v>
      </c>
      <c r="U785" s="5358">
        <v>2513332700</v>
      </c>
      <c r="V785" s="5357">
        <f t="shared" si="366"/>
        <v>0</v>
      </c>
      <c r="W785" s="5358">
        <f t="shared" si="367"/>
        <v>0</v>
      </c>
      <c r="X785" s="5358">
        <v>2513332700</v>
      </c>
      <c r="Y785" s="5359">
        <f t="shared" si="368"/>
        <v>2513332700</v>
      </c>
      <c r="Z785" s="5358">
        <v>2513332700</v>
      </c>
      <c r="AA785" s="5357">
        <f t="shared" si="369"/>
        <v>0</v>
      </c>
      <c r="AB785" s="5358">
        <f t="shared" si="370"/>
        <v>0</v>
      </c>
      <c r="AC785" s="5430"/>
      <c r="AD785" s="5430"/>
      <c r="AE785" s="5430"/>
      <c r="AF785" s="5349">
        <f t="shared" si="357"/>
        <v>0</v>
      </c>
      <c r="AG785" s="5338">
        <f t="shared" si="358"/>
        <v>0</v>
      </c>
    </row>
    <row r="786" spans="1:33" s="5333" customFormat="1" ht="15.05" hidden="1" customHeight="1">
      <c r="A786" s="5440"/>
      <c r="B786" s="5439"/>
      <c r="C786" s="5439"/>
      <c r="D786" s="5367">
        <v>4</v>
      </c>
      <c r="E786" s="5367">
        <v>1</v>
      </c>
      <c r="F786" s="5367">
        <v>1</v>
      </c>
      <c r="G786" s="5368" t="s">
        <v>437</v>
      </c>
      <c r="H786" s="5368" t="s">
        <v>969</v>
      </c>
      <c r="I786" s="5368"/>
      <c r="J786" s="5453" t="s">
        <v>1321</v>
      </c>
      <c r="K786" s="5361"/>
      <c r="L786" s="5365"/>
      <c r="M786" s="5455">
        <v>3244300</v>
      </c>
      <c r="N786" s="5356">
        <v>3244300</v>
      </c>
      <c r="O786" s="5359">
        <f t="shared" si="362"/>
        <v>0</v>
      </c>
      <c r="P786" s="5358">
        <v>3244300</v>
      </c>
      <c r="Q786" s="5357">
        <f t="shared" si="363"/>
        <v>0</v>
      </c>
      <c r="R786" s="5358">
        <f t="shared" si="364"/>
        <v>0</v>
      </c>
      <c r="S786" s="5358">
        <v>3244300</v>
      </c>
      <c r="T786" s="5359">
        <f t="shared" si="365"/>
        <v>3244300</v>
      </c>
      <c r="U786" s="5358">
        <v>3244300</v>
      </c>
      <c r="V786" s="5357">
        <f t="shared" si="366"/>
        <v>0</v>
      </c>
      <c r="W786" s="5358">
        <f t="shared" si="367"/>
        <v>0</v>
      </c>
      <c r="X786" s="5358">
        <v>3244300</v>
      </c>
      <c r="Y786" s="5359">
        <f t="shared" si="368"/>
        <v>3244300</v>
      </c>
      <c r="Z786" s="5358">
        <v>3244300</v>
      </c>
      <c r="AA786" s="5357">
        <f t="shared" si="369"/>
        <v>0</v>
      </c>
      <c r="AB786" s="5358">
        <f t="shared" si="370"/>
        <v>0</v>
      </c>
      <c r="AC786" s="5430"/>
      <c r="AD786" s="5430"/>
      <c r="AE786" s="5430"/>
      <c r="AF786" s="5349">
        <f t="shared" si="357"/>
        <v>0</v>
      </c>
      <c r="AG786" s="5338">
        <f t="shared" si="358"/>
        <v>0</v>
      </c>
    </row>
    <row r="787" spans="1:33" s="5333" customFormat="1" ht="15.05" hidden="1" customHeight="1">
      <c r="A787" s="5440"/>
      <c r="B787" s="5439"/>
      <c r="C787" s="5439"/>
      <c r="D787" s="5367">
        <v>4</v>
      </c>
      <c r="E787" s="5367">
        <v>1</v>
      </c>
      <c r="F787" s="5367">
        <v>1</v>
      </c>
      <c r="G787" s="5368" t="s">
        <v>437</v>
      </c>
      <c r="H787" s="5368" t="s">
        <v>563</v>
      </c>
      <c r="I787" s="5368"/>
      <c r="J787" s="5453" t="s">
        <v>1320</v>
      </c>
      <c r="K787" s="5361"/>
      <c r="L787" s="5365"/>
      <c r="M787" s="5452">
        <v>0</v>
      </c>
      <c r="N787" s="5359">
        <v>0</v>
      </c>
      <c r="O787" s="5359">
        <f t="shared" si="362"/>
        <v>0</v>
      </c>
      <c r="P787" s="5358">
        <v>0</v>
      </c>
      <c r="Q787" s="5357">
        <f t="shared" si="363"/>
        <v>0</v>
      </c>
      <c r="R787" s="5358" t="e">
        <f t="shared" si="364"/>
        <v>#DIV/0!</v>
      </c>
      <c r="S787" s="5358">
        <v>0</v>
      </c>
      <c r="T787" s="5359" t="e">
        <f t="shared" si="365"/>
        <v>#DIV/0!</v>
      </c>
      <c r="U787" s="5358">
        <v>0</v>
      </c>
      <c r="V787" s="5357">
        <f t="shared" si="366"/>
        <v>0</v>
      </c>
      <c r="W787" s="5358">
        <v>0</v>
      </c>
      <c r="X787" s="5358">
        <v>0</v>
      </c>
      <c r="Y787" s="5359">
        <f t="shared" si="368"/>
        <v>0</v>
      </c>
      <c r="Z787" s="5358">
        <v>0</v>
      </c>
      <c r="AA787" s="5357">
        <f t="shared" si="369"/>
        <v>0</v>
      </c>
      <c r="AB787" s="5358">
        <v>0</v>
      </c>
      <c r="AC787" s="5350"/>
      <c r="AD787" s="5350"/>
      <c r="AE787" s="5350"/>
      <c r="AF787" s="5349">
        <f t="shared" si="357"/>
        <v>0</v>
      </c>
      <c r="AG787" s="5338">
        <f t="shared" si="358"/>
        <v>0</v>
      </c>
    </row>
    <row r="788" spans="1:33" s="5333" customFormat="1" ht="15.05" hidden="1" customHeight="1">
      <c r="A788" s="5440"/>
      <c r="B788" s="5439"/>
      <c r="C788" s="5439"/>
      <c r="D788" s="5367">
        <v>4</v>
      </c>
      <c r="E788" s="5367">
        <v>1</v>
      </c>
      <c r="F788" s="5367">
        <v>1</v>
      </c>
      <c r="G788" s="5368" t="s">
        <v>437</v>
      </c>
      <c r="H788" s="5368" t="s">
        <v>563</v>
      </c>
      <c r="I788" s="5368"/>
      <c r="J788" s="5453" t="s">
        <v>1319</v>
      </c>
      <c r="K788" s="5361"/>
      <c r="L788" s="5365"/>
      <c r="M788" s="5452">
        <v>0</v>
      </c>
      <c r="N788" s="5359">
        <v>0</v>
      </c>
      <c r="O788" s="5359">
        <f t="shared" si="362"/>
        <v>0</v>
      </c>
      <c r="P788" s="5358">
        <v>0</v>
      </c>
      <c r="Q788" s="5357">
        <f t="shared" si="363"/>
        <v>0</v>
      </c>
      <c r="R788" s="5358" t="e">
        <f t="shared" si="364"/>
        <v>#DIV/0!</v>
      </c>
      <c r="S788" s="5358">
        <v>0</v>
      </c>
      <c r="T788" s="5359" t="e">
        <f t="shared" si="365"/>
        <v>#DIV/0!</v>
      </c>
      <c r="U788" s="5358">
        <v>0</v>
      </c>
      <c r="V788" s="5357">
        <f t="shared" si="366"/>
        <v>0</v>
      </c>
      <c r="W788" s="5358">
        <v>0</v>
      </c>
      <c r="X788" s="5358">
        <v>0</v>
      </c>
      <c r="Y788" s="5359">
        <f t="shared" si="368"/>
        <v>0</v>
      </c>
      <c r="Z788" s="5358">
        <v>0</v>
      </c>
      <c r="AA788" s="5357">
        <f t="shared" si="369"/>
        <v>0</v>
      </c>
      <c r="AB788" s="5358">
        <v>0</v>
      </c>
      <c r="AC788" s="5350"/>
      <c r="AD788" s="5350"/>
      <c r="AE788" s="5350"/>
      <c r="AF788" s="5349">
        <f t="shared" si="357"/>
        <v>0</v>
      </c>
      <c r="AG788" s="5338">
        <f t="shared" si="358"/>
        <v>0</v>
      </c>
    </row>
    <row r="789" spans="1:33" s="5333" customFormat="1" ht="4.55" customHeight="1">
      <c r="A789" s="5340"/>
      <c r="B789" s="5340"/>
      <c r="C789" s="5340"/>
      <c r="D789" s="5368"/>
      <c r="E789" s="5367"/>
      <c r="F789" s="5367"/>
      <c r="G789" s="5368"/>
      <c r="H789" s="5368"/>
      <c r="I789" s="5632"/>
      <c r="J789" s="5366"/>
      <c r="K789" s="5361"/>
      <c r="L789" s="5365"/>
      <c r="M789" s="5446"/>
      <c r="N789" s="5357"/>
      <c r="O789" s="5357">
        <f t="shared" si="362"/>
        <v>0</v>
      </c>
      <c r="P789" s="5358"/>
      <c r="Q789" s="5357"/>
      <c r="R789" s="5358"/>
      <c r="S789" s="5358"/>
      <c r="T789" s="5357">
        <f t="shared" si="365"/>
        <v>0</v>
      </c>
      <c r="U789" s="5358"/>
      <c r="V789" s="5357">
        <f t="shared" si="366"/>
        <v>0</v>
      </c>
      <c r="W789" s="5358"/>
      <c r="X789" s="5358"/>
      <c r="Y789" s="5357">
        <f t="shared" si="368"/>
        <v>0</v>
      </c>
      <c r="Z789" s="5358"/>
      <c r="AA789" s="5357"/>
      <c r="AB789" s="5358"/>
      <c r="AC789" s="5349"/>
      <c r="AD789" s="5349"/>
      <c r="AE789" s="5349"/>
      <c r="AF789" s="5349">
        <f t="shared" si="357"/>
        <v>0</v>
      </c>
      <c r="AG789" s="5338">
        <f t="shared" si="358"/>
        <v>0</v>
      </c>
    </row>
    <row r="790" spans="1:33" s="5333" customFormat="1" ht="13.5" customHeight="1">
      <c r="A790" s="5440"/>
      <c r="B790" s="5439"/>
      <c r="C790" s="5439"/>
      <c r="D790" s="5440">
        <v>4</v>
      </c>
      <c r="E790" s="5440">
        <v>1</v>
      </c>
      <c r="F790" s="5440">
        <v>1</v>
      </c>
      <c r="G790" s="5570" t="s">
        <v>440</v>
      </c>
      <c r="H790" s="5440"/>
      <c r="I790" s="5668"/>
      <c r="J790" s="5577" t="s">
        <v>1153</v>
      </c>
      <c r="K790" s="5589"/>
      <c r="L790" s="5590"/>
      <c r="M790" s="5669">
        <v>349188927000</v>
      </c>
      <c r="N790" s="5670">
        <v>335049939200</v>
      </c>
      <c r="O790" s="5565">
        <f t="shared" si="362"/>
        <v>-14138987800</v>
      </c>
      <c r="P790" s="5566">
        <f>312069000000+3000000000</f>
        <v>315069000000</v>
      </c>
      <c r="Q790" s="5564">
        <f t="shared" ref="Q790:Q800" si="371">+P790-N790</f>
        <v>-19980939200</v>
      </c>
      <c r="R790" s="5566">
        <f t="shared" ref="R790:R800" si="372">P790/N790*100-100</f>
        <v>-5.9635704598868386</v>
      </c>
      <c r="S790" s="5609">
        <v>321503155000</v>
      </c>
      <c r="T790" s="5565">
        <f t="shared" si="365"/>
        <v>321503155005.96356</v>
      </c>
      <c r="U790" s="5566">
        <f>312069000000+3000000000</f>
        <v>315069000000</v>
      </c>
      <c r="V790" s="5564">
        <f t="shared" si="366"/>
        <v>6434155000</v>
      </c>
      <c r="W790" s="5566">
        <f t="shared" ref="W790:W799" si="373">S790/P790*100-100</f>
        <v>2.0421415626418451</v>
      </c>
      <c r="X790" s="5609" t="e">
        <f>#REF!</f>
        <v>#REF!</v>
      </c>
      <c r="Y790" s="5565" t="e">
        <f t="shared" si="368"/>
        <v>#REF!</v>
      </c>
      <c r="Z790" s="5566">
        <f>312069000000+3000000000</f>
        <v>315069000000</v>
      </c>
      <c r="AA790" s="5564" t="e">
        <f t="shared" ref="AA790:AA800" si="374">X790-S790</f>
        <v>#REF!</v>
      </c>
      <c r="AB790" s="5566" t="e">
        <f t="shared" ref="AB790:AB799" si="375">X790/S790*100-100</f>
        <v>#REF!</v>
      </c>
      <c r="AC790" s="5350" t="s">
        <v>1515</v>
      </c>
      <c r="AD790" s="5350"/>
      <c r="AE790" s="5350"/>
      <c r="AF790" s="5349">
        <f t="shared" si="357"/>
        <v>6434155000</v>
      </c>
      <c r="AG790" s="5338">
        <f t="shared" si="358"/>
        <v>0</v>
      </c>
    </row>
    <row r="791" spans="1:33" s="5333" customFormat="1" ht="15.05" hidden="1" customHeight="1">
      <c r="A791" s="5440"/>
      <c r="B791" s="5439"/>
      <c r="C791" s="5439"/>
      <c r="D791" s="5440">
        <v>4</v>
      </c>
      <c r="E791" s="5440">
        <v>1</v>
      </c>
      <c r="F791" s="5440">
        <v>1</v>
      </c>
      <c r="G791" s="5570" t="s">
        <v>440</v>
      </c>
      <c r="H791" s="5570" t="s">
        <v>437</v>
      </c>
      <c r="I791" s="5570"/>
      <c r="J791" s="5671" t="s">
        <v>1329</v>
      </c>
      <c r="K791" s="5475"/>
      <c r="L791" s="5563"/>
      <c r="M791" s="5672">
        <v>12409413400</v>
      </c>
      <c r="N791" s="5673">
        <v>12409413400</v>
      </c>
      <c r="O791" s="5565">
        <f t="shared" si="362"/>
        <v>0</v>
      </c>
      <c r="P791" s="5566">
        <v>12409413400</v>
      </c>
      <c r="Q791" s="5564">
        <f t="shared" si="371"/>
        <v>0</v>
      </c>
      <c r="R791" s="5566">
        <f t="shared" si="372"/>
        <v>0</v>
      </c>
      <c r="S791" s="5566">
        <v>12409413400</v>
      </c>
      <c r="T791" s="5565">
        <f t="shared" si="365"/>
        <v>12409413400</v>
      </c>
      <c r="U791" s="5566">
        <v>12409413400</v>
      </c>
      <c r="V791" s="5564">
        <f t="shared" si="366"/>
        <v>0</v>
      </c>
      <c r="W791" s="5566">
        <f t="shared" si="373"/>
        <v>0</v>
      </c>
      <c r="X791" s="5566">
        <v>12409413400</v>
      </c>
      <c r="Y791" s="5565">
        <f t="shared" si="368"/>
        <v>12409413400</v>
      </c>
      <c r="Z791" s="5566">
        <v>12409413400</v>
      </c>
      <c r="AA791" s="5564">
        <f t="shared" si="374"/>
        <v>0</v>
      </c>
      <c r="AB791" s="5566">
        <f t="shared" si="375"/>
        <v>0</v>
      </c>
      <c r="AC791" s="5349"/>
      <c r="AD791" s="5349"/>
      <c r="AE791" s="5349"/>
      <c r="AF791" s="5349">
        <f t="shared" si="357"/>
        <v>0</v>
      </c>
      <c r="AG791" s="5338">
        <f t="shared" si="358"/>
        <v>0</v>
      </c>
    </row>
    <row r="792" spans="1:33" s="5333" customFormat="1" ht="15.05" hidden="1" customHeight="1">
      <c r="A792" s="5440"/>
      <c r="B792" s="5439"/>
      <c r="C792" s="5439"/>
      <c r="D792" s="5440">
        <v>4</v>
      </c>
      <c r="E792" s="5440">
        <v>1</v>
      </c>
      <c r="F792" s="5440">
        <v>1</v>
      </c>
      <c r="G792" s="5570" t="s">
        <v>440</v>
      </c>
      <c r="H792" s="5570" t="s">
        <v>438</v>
      </c>
      <c r="I792" s="5570"/>
      <c r="J792" s="5671" t="s">
        <v>1328</v>
      </c>
      <c r="K792" s="5475"/>
      <c r="L792" s="5563"/>
      <c r="M792" s="5672">
        <v>1136547600</v>
      </c>
      <c r="N792" s="5673">
        <v>1136547600</v>
      </c>
      <c r="O792" s="5565">
        <f t="shared" si="362"/>
        <v>0</v>
      </c>
      <c r="P792" s="5566">
        <v>1136547600</v>
      </c>
      <c r="Q792" s="5564">
        <f t="shared" si="371"/>
        <v>0</v>
      </c>
      <c r="R792" s="5566">
        <f t="shared" si="372"/>
        <v>0</v>
      </c>
      <c r="S792" s="5566">
        <v>1136547600</v>
      </c>
      <c r="T792" s="5565">
        <f t="shared" si="365"/>
        <v>1136547600</v>
      </c>
      <c r="U792" s="5566">
        <v>1136547600</v>
      </c>
      <c r="V792" s="5564">
        <f t="shared" si="366"/>
        <v>0</v>
      </c>
      <c r="W792" s="5566">
        <f t="shared" si="373"/>
        <v>0</v>
      </c>
      <c r="X792" s="5566">
        <v>1136547600</v>
      </c>
      <c r="Y792" s="5565">
        <f t="shared" si="368"/>
        <v>1136547600</v>
      </c>
      <c r="Z792" s="5566">
        <v>1136547600</v>
      </c>
      <c r="AA792" s="5564">
        <f t="shared" si="374"/>
        <v>0</v>
      </c>
      <c r="AB792" s="5566">
        <f t="shared" si="375"/>
        <v>0</v>
      </c>
      <c r="AC792" s="5349"/>
      <c r="AD792" s="5349"/>
      <c r="AE792" s="5349"/>
      <c r="AF792" s="5349">
        <f t="shared" si="357"/>
        <v>0</v>
      </c>
      <c r="AG792" s="5338">
        <f t="shared" si="358"/>
        <v>0</v>
      </c>
    </row>
    <row r="793" spans="1:33" s="5333" customFormat="1" ht="15.05" hidden="1" customHeight="1">
      <c r="A793" s="5440"/>
      <c r="B793" s="5439"/>
      <c r="C793" s="5439"/>
      <c r="D793" s="5440">
        <v>4</v>
      </c>
      <c r="E793" s="5440">
        <v>1</v>
      </c>
      <c r="F793" s="5440">
        <v>1</v>
      </c>
      <c r="G793" s="5570" t="s">
        <v>440</v>
      </c>
      <c r="H793" s="5570" t="s">
        <v>440</v>
      </c>
      <c r="I793" s="5570"/>
      <c r="J793" s="5671" t="s">
        <v>1327</v>
      </c>
      <c r="K793" s="5475"/>
      <c r="L793" s="5563"/>
      <c r="M793" s="5672">
        <v>45850314300</v>
      </c>
      <c r="N793" s="5673">
        <v>45850314300</v>
      </c>
      <c r="O793" s="5565">
        <f t="shared" si="362"/>
        <v>0</v>
      </c>
      <c r="P793" s="5566">
        <v>45850314300</v>
      </c>
      <c r="Q793" s="5564">
        <f t="shared" si="371"/>
        <v>0</v>
      </c>
      <c r="R793" s="5566">
        <f t="shared" si="372"/>
        <v>0</v>
      </c>
      <c r="S793" s="5566">
        <v>45850314300</v>
      </c>
      <c r="T793" s="5565">
        <f t="shared" si="365"/>
        <v>45850314300</v>
      </c>
      <c r="U793" s="5566">
        <v>45850314300</v>
      </c>
      <c r="V793" s="5564">
        <f t="shared" si="366"/>
        <v>0</v>
      </c>
      <c r="W793" s="5566">
        <f t="shared" si="373"/>
        <v>0</v>
      </c>
      <c r="X793" s="5566">
        <v>45850314300</v>
      </c>
      <c r="Y793" s="5565">
        <f t="shared" si="368"/>
        <v>45850314300</v>
      </c>
      <c r="Z793" s="5566">
        <v>45850314300</v>
      </c>
      <c r="AA793" s="5564">
        <f t="shared" si="374"/>
        <v>0</v>
      </c>
      <c r="AB793" s="5566">
        <f t="shared" si="375"/>
        <v>0</v>
      </c>
      <c r="AC793" s="5349"/>
      <c r="AD793" s="5349"/>
      <c r="AE793" s="5349"/>
      <c r="AF793" s="5349">
        <f t="shared" si="357"/>
        <v>0</v>
      </c>
      <c r="AG793" s="5338">
        <f t="shared" si="358"/>
        <v>0</v>
      </c>
    </row>
    <row r="794" spans="1:33" s="5333" customFormat="1" ht="15.05" hidden="1" customHeight="1">
      <c r="A794" s="5440"/>
      <c r="B794" s="5439"/>
      <c r="C794" s="5439"/>
      <c r="D794" s="5440">
        <v>4</v>
      </c>
      <c r="E794" s="5440">
        <v>1</v>
      </c>
      <c r="F794" s="5440">
        <v>1</v>
      </c>
      <c r="G794" s="5570" t="s">
        <v>440</v>
      </c>
      <c r="H794" s="5570" t="s">
        <v>445</v>
      </c>
      <c r="I794" s="5570"/>
      <c r="J794" s="5671" t="s">
        <v>1326</v>
      </c>
      <c r="K794" s="5475"/>
      <c r="L794" s="5563"/>
      <c r="M794" s="5672">
        <v>2794296900</v>
      </c>
      <c r="N794" s="5673">
        <v>2794296900</v>
      </c>
      <c r="O794" s="5565">
        <f t="shared" si="362"/>
        <v>0</v>
      </c>
      <c r="P794" s="5566">
        <v>2794296900</v>
      </c>
      <c r="Q794" s="5564">
        <f t="shared" si="371"/>
        <v>0</v>
      </c>
      <c r="R794" s="5566">
        <f t="shared" si="372"/>
        <v>0</v>
      </c>
      <c r="S794" s="5566">
        <v>2794296900</v>
      </c>
      <c r="T794" s="5565">
        <f t="shared" si="365"/>
        <v>2794296900</v>
      </c>
      <c r="U794" s="5566">
        <v>2794296900</v>
      </c>
      <c r="V794" s="5564">
        <f t="shared" si="366"/>
        <v>0</v>
      </c>
      <c r="W794" s="5566">
        <f t="shared" si="373"/>
        <v>0</v>
      </c>
      <c r="X794" s="5566">
        <v>2794296900</v>
      </c>
      <c r="Y794" s="5565">
        <f t="shared" si="368"/>
        <v>2794296900</v>
      </c>
      <c r="Z794" s="5566">
        <v>2794296900</v>
      </c>
      <c r="AA794" s="5564">
        <f t="shared" si="374"/>
        <v>0</v>
      </c>
      <c r="AB794" s="5566">
        <f t="shared" si="375"/>
        <v>0</v>
      </c>
      <c r="AC794" s="5349"/>
      <c r="AD794" s="5349"/>
      <c r="AE794" s="5349"/>
      <c r="AF794" s="5349">
        <f t="shared" si="357"/>
        <v>0</v>
      </c>
      <c r="AG794" s="5338">
        <f t="shared" si="358"/>
        <v>0</v>
      </c>
    </row>
    <row r="795" spans="1:33" s="5333" customFormat="1" ht="15.05" hidden="1" customHeight="1">
      <c r="A795" s="5440"/>
      <c r="B795" s="5439"/>
      <c r="C795" s="5439"/>
      <c r="D795" s="5440">
        <v>4</v>
      </c>
      <c r="E795" s="5440">
        <v>1</v>
      </c>
      <c r="F795" s="5440">
        <v>1</v>
      </c>
      <c r="G795" s="5570" t="s">
        <v>440</v>
      </c>
      <c r="H795" s="5570" t="s">
        <v>451</v>
      </c>
      <c r="I795" s="5570"/>
      <c r="J795" s="5671" t="s">
        <v>1325</v>
      </c>
      <c r="K795" s="5475"/>
      <c r="L795" s="5563"/>
      <c r="M795" s="5672">
        <v>22435201900</v>
      </c>
      <c r="N795" s="5673">
        <v>22435201900</v>
      </c>
      <c r="O795" s="5565">
        <f t="shared" si="362"/>
        <v>0</v>
      </c>
      <c r="P795" s="5566">
        <v>22435201900</v>
      </c>
      <c r="Q795" s="5564">
        <f t="shared" si="371"/>
        <v>0</v>
      </c>
      <c r="R795" s="5566">
        <f t="shared" si="372"/>
        <v>0</v>
      </c>
      <c r="S795" s="5566">
        <v>22435201900</v>
      </c>
      <c r="T795" s="5565">
        <f t="shared" si="365"/>
        <v>22435201900</v>
      </c>
      <c r="U795" s="5566">
        <v>22435201900</v>
      </c>
      <c r="V795" s="5564">
        <f t="shared" si="366"/>
        <v>0</v>
      </c>
      <c r="W795" s="5566">
        <f t="shared" si="373"/>
        <v>0</v>
      </c>
      <c r="X795" s="5566">
        <v>22435201900</v>
      </c>
      <c r="Y795" s="5565">
        <f t="shared" si="368"/>
        <v>22435201900</v>
      </c>
      <c r="Z795" s="5566">
        <v>22435201900</v>
      </c>
      <c r="AA795" s="5564">
        <f t="shared" si="374"/>
        <v>0</v>
      </c>
      <c r="AB795" s="5566">
        <f t="shared" si="375"/>
        <v>0</v>
      </c>
      <c r="AC795" s="5349"/>
      <c r="AD795" s="5349"/>
      <c r="AE795" s="5349"/>
      <c r="AF795" s="5349">
        <f t="shared" si="357"/>
        <v>0</v>
      </c>
      <c r="AG795" s="5338">
        <f t="shared" si="358"/>
        <v>0</v>
      </c>
    </row>
    <row r="796" spans="1:33" s="5333" customFormat="1" ht="15.05" hidden="1" customHeight="1">
      <c r="A796" s="5440"/>
      <c r="B796" s="5439"/>
      <c r="C796" s="5439"/>
      <c r="D796" s="5440">
        <v>4</v>
      </c>
      <c r="E796" s="5440">
        <v>1</v>
      </c>
      <c r="F796" s="5440">
        <v>1</v>
      </c>
      <c r="G796" s="5570" t="s">
        <v>440</v>
      </c>
      <c r="H796" s="5570" t="s">
        <v>441</v>
      </c>
      <c r="I796" s="5570"/>
      <c r="J796" s="5671" t="s">
        <v>1324</v>
      </c>
      <c r="K796" s="5475"/>
      <c r="L796" s="5563"/>
      <c r="M796" s="5672">
        <v>13099766900</v>
      </c>
      <c r="N796" s="5673">
        <v>13099766900</v>
      </c>
      <c r="O796" s="5565">
        <f t="shared" si="362"/>
        <v>0</v>
      </c>
      <c r="P796" s="5566">
        <v>13099766900</v>
      </c>
      <c r="Q796" s="5564">
        <f t="shared" si="371"/>
        <v>0</v>
      </c>
      <c r="R796" s="5566">
        <f t="shared" si="372"/>
        <v>0</v>
      </c>
      <c r="S796" s="5566">
        <v>13099766900</v>
      </c>
      <c r="T796" s="5565">
        <f t="shared" si="365"/>
        <v>13099766900</v>
      </c>
      <c r="U796" s="5566">
        <v>13099766900</v>
      </c>
      <c r="V796" s="5564">
        <f t="shared" si="366"/>
        <v>0</v>
      </c>
      <c r="W796" s="5566">
        <f t="shared" si="373"/>
        <v>0</v>
      </c>
      <c r="X796" s="5566">
        <v>13099766900</v>
      </c>
      <c r="Y796" s="5565">
        <f t="shared" si="368"/>
        <v>13099766900</v>
      </c>
      <c r="Z796" s="5566">
        <v>13099766900</v>
      </c>
      <c r="AA796" s="5564">
        <f t="shared" si="374"/>
        <v>0</v>
      </c>
      <c r="AB796" s="5566">
        <f t="shared" si="375"/>
        <v>0</v>
      </c>
      <c r="AC796" s="5349"/>
      <c r="AD796" s="5349"/>
      <c r="AE796" s="5349"/>
      <c r="AF796" s="5349">
        <f t="shared" si="357"/>
        <v>0</v>
      </c>
      <c r="AG796" s="5338">
        <f t="shared" si="358"/>
        <v>0</v>
      </c>
    </row>
    <row r="797" spans="1:33" s="5333" customFormat="1" ht="15.05" hidden="1" customHeight="1">
      <c r="A797" s="5440"/>
      <c r="B797" s="5439"/>
      <c r="C797" s="5439"/>
      <c r="D797" s="5440">
        <v>4</v>
      </c>
      <c r="E797" s="5440">
        <v>1</v>
      </c>
      <c r="F797" s="5440">
        <v>1</v>
      </c>
      <c r="G797" s="5570" t="s">
        <v>440</v>
      </c>
      <c r="H797" s="5570" t="s">
        <v>1323</v>
      </c>
      <c r="I797" s="5570"/>
      <c r="J797" s="5671" t="s">
        <v>1322</v>
      </c>
      <c r="K797" s="5475"/>
      <c r="L797" s="5563"/>
      <c r="M797" s="5672">
        <v>165308093000</v>
      </c>
      <c r="N797" s="5673">
        <v>165308093000</v>
      </c>
      <c r="O797" s="5565">
        <f t="shared" si="362"/>
        <v>0</v>
      </c>
      <c r="P797" s="5566">
        <v>165308093000</v>
      </c>
      <c r="Q797" s="5564">
        <f t="shared" si="371"/>
        <v>0</v>
      </c>
      <c r="R797" s="5566">
        <f t="shared" si="372"/>
        <v>0</v>
      </c>
      <c r="S797" s="5566">
        <v>165308093000</v>
      </c>
      <c r="T797" s="5565">
        <f t="shared" si="365"/>
        <v>165308093000</v>
      </c>
      <c r="U797" s="5566">
        <v>165308093000</v>
      </c>
      <c r="V797" s="5564">
        <f t="shared" si="366"/>
        <v>0</v>
      </c>
      <c r="W797" s="5566">
        <f t="shared" si="373"/>
        <v>0</v>
      </c>
      <c r="X797" s="5566">
        <v>165308093000</v>
      </c>
      <c r="Y797" s="5565">
        <f t="shared" si="368"/>
        <v>165308093000</v>
      </c>
      <c r="Z797" s="5566">
        <v>165308093000</v>
      </c>
      <c r="AA797" s="5564">
        <f t="shared" si="374"/>
        <v>0</v>
      </c>
      <c r="AB797" s="5566">
        <f t="shared" si="375"/>
        <v>0</v>
      </c>
      <c r="AC797" s="5349"/>
      <c r="AD797" s="5349"/>
      <c r="AE797" s="5349"/>
      <c r="AF797" s="5349">
        <f t="shared" si="357"/>
        <v>0</v>
      </c>
      <c r="AG797" s="5338">
        <f t="shared" si="358"/>
        <v>0</v>
      </c>
    </row>
    <row r="798" spans="1:33" s="5333" customFormat="1" ht="15.05" hidden="1" customHeight="1">
      <c r="A798" s="5440"/>
      <c r="B798" s="5439"/>
      <c r="C798" s="5439"/>
      <c r="D798" s="5440">
        <v>4</v>
      </c>
      <c r="E798" s="5440">
        <v>1</v>
      </c>
      <c r="F798" s="5440">
        <v>1</v>
      </c>
      <c r="G798" s="5570" t="s">
        <v>437</v>
      </c>
      <c r="H798" s="5570" t="s">
        <v>969</v>
      </c>
      <c r="I798" s="5570"/>
      <c r="J798" s="5671" t="s">
        <v>1321</v>
      </c>
      <c r="K798" s="5475"/>
      <c r="L798" s="5563"/>
      <c r="M798" s="5672">
        <v>1017218000</v>
      </c>
      <c r="N798" s="5673">
        <v>1017218000</v>
      </c>
      <c r="O798" s="5565">
        <f t="shared" si="362"/>
        <v>0</v>
      </c>
      <c r="P798" s="5566">
        <v>1017218000</v>
      </c>
      <c r="Q798" s="5564">
        <f t="shared" si="371"/>
        <v>0</v>
      </c>
      <c r="R798" s="5566">
        <f t="shared" si="372"/>
        <v>0</v>
      </c>
      <c r="S798" s="5566">
        <v>1017218000</v>
      </c>
      <c r="T798" s="5565">
        <f t="shared" si="365"/>
        <v>1017218000</v>
      </c>
      <c r="U798" s="5566">
        <v>1017218000</v>
      </c>
      <c r="V798" s="5564">
        <f t="shared" si="366"/>
        <v>0</v>
      </c>
      <c r="W798" s="5566">
        <f t="shared" si="373"/>
        <v>0</v>
      </c>
      <c r="X798" s="5566">
        <v>1017218000</v>
      </c>
      <c r="Y798" s="5565">
        <f t="shared" si="368"/>
        <v>1017218000</v>
      </c>
      <c r="Z798" s="5566">
        <v>1017218000</v>
      </c>
      <c r="AA798" s="5564">
        <f t="shared" si="374"/>
        <v>0</v>
      </c>
      <c r="AB798" s="5566">
        <f t="shared" si="375"/>
        <v>0</v>
      </c>
      <c r="AC798" s="5349"/>
      <c r="AD798" s="5349"/>
      <c r="AE798" s="5349"/>
      <c r="AF798" s="5349">
        <f t="shared" si="357"/>
        <v>0</v>
      </c>
      <c r="AG798" s="5338">
        <f t="shared" si="358"/>
        <v>0</v>
      </c>
    </row>
    <row r="799" spans="1:33" s="5333" customFormat="1" ht="15.05" hidden="1" customHeight="1">
      <c r="A799" s="5440"/>
      <c r="B799" s="5439"/>
      <c r="C799" s="5439"/>
      <c r="D799" s="5440">
        <v>4</v>
      </c>
      <c r="E799" s="5440">
        <v>1</v>
      </c>
      <c r="F799" s="5440">
        <v>1</v>
      </c>
      <c r="G799" s="5570" t="s">
        <v>437</v>
      </c>
      <c r="H799" s="5570" t="s">
        <v>563</v>
      </c>
      <c r="I799" s="5570"/>
      <c r="J799" s="5671" t="s">
        <v>1320</v>
      </c>
      <c r="K799" s="5475"/>
      <c r="L799" s="5563"/>
      <c r="M799" s="5672">
        <v>219448000</v>
      </c>
      <c r="N799" s="5673">
        <v>219448000</v>
      </c>
      <c r="O799" s="5565">
        <f t="shared" si="362"/>
        <v>0</v>
      </c>
      <c r="P799" s="5566">
        <v>219448000</v>
      </c>
      <c r="Q799" s="5564">
        <f t="shared" si="371"/>
        <v>0</v>
      </c>
      <c r="R799" s="5566">
        <f t="shared" si="372"/>
        <v>0</v>
      </c>
      <c r="S799" s="5566">
        <v>219448000</v>
      </c>
      <c r="T799" s="5565">
        <f t="shared" si="365"/>
        <v>219448000</v>
      </c>
      <c r="U799" s="5566">
        <v>219448000</v>
      </c>
      <c r="V799" s="5564">
        <f t="shared" si="366"/>
        <v>0</v>
      </c>
      <c r="W799" s="5566">
        <f t="shared" si="373"/>
        <v>0</v>
      </c>
      <c r="X799" s="5566">
        <v>219448000</v>
      </c>
      <c r="Y799" s="5565">
        <f t="shared" si="368"/>
        <v>219448000</v>
      </c>
      <c r="Z799" s="5566">
        <v>219448000</v>
      </c>
      <c r="AA799" s="5564">
        <f t="shared" si="374"/>
        <v>0</v>
      </c>
      <c r="AB799" s="5566">
        <f t="shared" si="375"/>
        <v>0</v>
      </c>
      <c r="AC799" s="5349"/>
      <c r="AD799" s="5349"/>
      <c r="AE799" s="5349"/>
      <c r="AF799" s="5349">
        <f t="shared" si="357"/>
        <v>0</v>
      </c>
      <c r="AG799" s="5338">
        <f t="shared" si="358"/>
        <v>0</v>
      </c>
    </row>
    <row r="800" spans="1:33" s="5333" customFormat="1" ht="15.05" hidden="1" customHeight="1">
      <c r="A800" s="5440"/>
      <c r="B800" s="5439"/>
      <c r="C800" s="5439"/>
      <c r="D800" s="5440">
        <v>4</v>
      </c>
      <c r="E800" s="5440">
        <v>1</v>
      </c>
      <c r="F800" s="5440">
        <v>1</v>
      </c>
      <c r="G800" s="5570" t="s">
        <v>440</v>
      </c>
      <c r="H800" s="5440" t="s">
        <v>444</v>
      </c>
      <c r="I800" s="5440"/>
      <c r="J800" s="5671" t="s">
        <v>1319</v>
      </c>
      <c r="K800" s="5475"/>
      <c r="L800" s="5563"/>
      <c r="M800" s="5674">
        <v>0</v>
      </c>
      <c r="N800" s="5565">
        <v>0</v>
      </c>
      <c r="O800" s="5565">
        <f t="shared" si="362"/>
        <v>0</v>
      </c>
      <c r="P800" s="5566">
        <v>0</v>
      </c>
      <c r="Q800" s="5564">
        <f t="shared" si="371"/>
        <v>0</v>
      </c>
      <c r="R800" s="5566" t="e">
        <f t="shared" si="372"/>
        <v>#DIV/0!</v>
      </c>
      <c r="S800" s="5566">
        <v>0</v>
      </c>
      <c r="T800" s="5565" t="e">
        <f t="shared" si="365"/>
        <v>#DIV/0!</v>
      </c>
      <c r="U800" s="5566">
        <v>0</v>
      </c>
      <c r="V800" s="5564">
        <f t="shared" si="366"/>
        <v>0</v>
      </c>
      <c r="W800" s="5566">
        <v>0</v>
      </c>
      <c r="X800" s="5566">
        <v>0</v>
      </c>
      <c r="Y800" s="5565">
        <f t="shared" si="368"/>
        <v>0</v>
      </c>
      <c r="Z800" s="5566">
        <v>0</v>
      </c>
      <c r="AA800" s="5564">
        <f t="shared" si="374"/>
        <v>0</v>
      </c>
      <c r="AB800" s="5566">
        <v>0</v>
      </c>
      <c r="AC800" s="5350"/>
      <c r="AD800" s="5350"/>
      <c r="AE800" s="5350"/>
      <c r="AF800" s="5349">
        <f t="shared" si="357"/>
        <v>0</v>
      </c>
      <c r="AG800" s="5338">
        <f t="shared" si="358"/>
        <v>0</v>
      </c>
    </row>
    <row r="801" spans="1:33" s="5333" customFormat="1" ht="4.55" customHeight="1">
      <c r="A801" s="5340"/>
      <c r="B801" s="5340"/>
      <c r="C801" s="5340"/>
      <c r="D801" s="5570"/>
      <c r="E801" s="5440"/>
      <c r="F801" s="5440"/>
      <c r="G801" s="5570"/>
      <c r="H801" s="5570"/>
      <c r="I801" s="5640"/>
      <c r="J801" s="5476"/>
      <c r="K801" s="5475"/>
      <c r="L801" s="5563"/>
      <c r="M801" s="5675"/>
      <c r="N801" s="5676"/>
      <c r="O801" s="5564">
        <f t="shared" si="362"/>
        <v>0</v>
      </c>
      <c r="P801" s="5566"/>
      <c r="Q801" s="5564"/>
      <c r="R801" s="5566"/>
      <c r="S801" s="5566"/>
      <c r="T801" s="5564">
        <f t="shared" si="365"/>
        <v>0</v>
      </c>
      <c r="U801" s="5566"/>
      <c r="V801" s="5564">
        <f t="shared" si="366"/>
        <v>0</v>
      </c>
      <c r="W801" s="5566"/>
      <c r="X801" s="5566"/>
      <c r="Y801" s="5564">
        <f t="shared" si="368"/>
        <v>0</v>
      </c>
      <c r="Z801" s="5566"/>
      <c r="AA801" s="5564"/>
      <c r="AB801" s="5566"/>
      <c r="AC801" s="5447"/>
      <c r="AD801" s="5447"/>
      <c r="AE801" s="5447"/>
      <c r="AF801" s="5349">
        <f t="shared" si="357"/>
        <v>0</v>
      </c>
      <c r="AG801" s="5338">
        <f t="shared" si="358"/>
        <v>0</v>
      </c>
    </row>
    <row r="802" spans="1:33" s="5405" customFormat="1" ht="16.45" customHeight="1">
      <c r="A802" s="5367"/>
      <c r="B802" s="5380"/>
      <c r="C802" s="5380"/>
      <c r="D802" s="5440">
        <v>4</v>
      </c>
      <c r="E802" s="5440">
        <v>1</v>
      </c>
      <c r="F802" s="5440">
        <v>1</v>
      </c>
      <c r="G802" s="5570" t="s">
        <v>451</v>
      </c>
      <c r="H802" s="5440"/>
      <c r="I802" s="5668"/>
      <c r="J802" s="5577" t="s">
        <v>1154</v>
      </c>
      <c r="K802" s="5475"/>
      <c r="L802" s="5563"/>
      <c r="M802" s="5669">
        <v>214277500000</v>
      </c>
      <c r="N802" s="5677">
        <v>214277500000</v>
      </c>
      <c r="O802" s="5565">
        <f t="shared" si="362"/>
        <v>0</v>
      </c>
      <c r="P802" s="5566">
        <v>215000000000</v>
      </c>
      <c r="Q802" s="5564">
        <f>+P802-N802</f>
        <v>722500000</v>
      </c>
      <c r="R802" s="5566">
        <f>P802/N802*100-100</f>
        <v>0.33717959188435032</v>
      </c>
      <c r="S802" s="5566">
        <v>192900000000</v>
      </c>
      <c r="T802" s="5565">
        <f t="shared" si="365"/>
        <v>192899999999.66281</v>
      </c>
      <c r="U802" s="5566">
        <v>215000000000</v>
      </c>
      <c r="V802" s="5564">
        <f t="shared" si="366"/>
        <v>-22100000000</v>
      </c>
      <c r="W802" s="5566">
        <f>S802/P802*100-100</f>
        <v>-10.279069767441868</v>
      </c>
      <c r="X802" s="5566" t="e">
        <f>#REF!</f>
        <v>#REF!</v>
      </c>
      <c r="Y802" s="5565" t="e">
        <f t="shared" si="368"/>
        <v>#REF!</v>
      </c>
      <c r="Z802" s="5566">
        <v>215000000000</v>
      </c>
      <c r="AA802" s="5564" t="e">
        <f>X802-S802</f>
        <v>#REF!</v>
      </c>
      <c r="AB802" s="5566" t="e">
        <f>X802/S802*100-100</f>
        <v>#REF!</v>
      </c>
      <c r="AC802" s="5350" t="s">
        <v>1515</v>
      </c>
      <c r="AD802" s="5350"/>
      <c r="AE802" s="5350"/>
      <c r="AF802" s="5349">
        <f t="shared" si="357"/>
        <v>-22100000000</v>
      </c>
      <c r="AG802" s="5338">
        <f t="shared" si="358"/>
        <v>0</v>
      </c>
    </row>
    <row r="803" spans="1:33" s="5333" customFormat="1" ht="16.45" hidden="1" customHeight="1">
      <c r="A803" s="5440"/>
      <c r="B803" s="5439"/>
      <c r="C803" s="5439"/>
      <c r="D803" s="5367">
        <v>4</v>
      </c>
      <c r="E803" s="5367">
        <v>1</v>
      </c>
      <c r="F803" s="5367">
        <v>1</v>
      </c>
      <c r="G803" s="5368" t="s">
        <v>451</v>
      </c>
      <c r="H803" s="5368" t="s">
        <v>437</v>
      </c>
      <c r="I803" s="5632"/>
      <c r="J803" s="5366" t="s">
        <v>1318</v>
      </c>
      <c r="K803" s="5361"/>
      <c r="L803" s="5365"/>
      <c r="M803" s="5449">
        <v>80671926000</v>
      </c>
      <c r="N803" s="5448">
        <v>80671926000</v>
      </c>
      <c r="O803" s="5359">
        <f t="shared" si="362"/>
        <v>0</v>
      </c>
      <c r="P803" s="5358">
        <v>80671926000</v>
      </c>
      <c r="Q803" s="5357">
        <f>+P803-N803</f>
        <v>0</v>
      </c>
      <c r="R803" s="5358">
        <f>P803/N803*100-100</f>
        <v>0</v>
      </c>
      <c r="S803" s="5358">
        <v>80671926000</v>
      </c>
      <c r="T803" s="5359">
        <f t="shared" si="365"/>
        <v>80671926000</v>
      </c>
      <c r="U803" s="5358">
        <v>80671926000</v>
      </c>
      <c r="V803" s="5357">
        <f t="shared" si="366"/>
        <v>0</v>
      </c>
      <c r="W803" s="5358">
        <f>S803/P803*100-100</f>
        <v>0</v>
      </c>
      <c r="X803" s="5358">
        <v>80671926000</v>
      </c>
      <c r="Y803" s="5359">
        <f t="shared" si="368"/>
        <v>80671926000</v>
      </c>
      <c r="Z803" s="5358">
        <v>80671926000</v>
      </c>
      <c r="AA803" s="5357">
        <f>X803-S803</f>
        <v>0</v>
      </c>
      <c r="AB803" s="5358">
        <f>X803/S803*100-100</f>
        <v>0</v>
      </c>
      <c r="AC803" s="5447"/>
      <c r="AD803" s="5447"/>
      <c r="AE803" s="5447"/>
      <c r="AF803" s="5349">
        <f t="shared" si="357"/>
        <v>0</v>
      </c>
      <c r="AG803" s="5338">
        <f t="shared" si="358"/>
        <v>0</v>
      </c>
    </row>
    <row r="804" spans="1:33" s="5333" customFormat="1" ht="16.45" hidden="1" customHeight="1">
      <c r="A804" s="5440"/>
      <c r="B804" s="5439"/>
      <c r="C804" s="5439"/>
      <c r="D804" s="5367">
        <v>4</v>
      </c>
      <c r="E804" s="5367">
        <v>1</v>
      </c>
      <c r="F804" s="5367">
        <v>1</v>
      </c>
      <c r="G804" s="5368" t="s">
        <v>451</v>
      </c>
      <c r="H804" s="5368" t="s">
        <v>445</v>
      </c>
      <c r="I804" s="5632"/>
      <c r="J804" s="5366" t="s">
        <v>1317</v>
      </c>
      <c r="K804" s="5361"/>
      <c r="L804" s="5365"/>
      <c r="M804" s="5449">
        <v>525326000</v>
      </c>
      <c r="N804" s="5448">
        <v>525326000</v>
      </c>
      <c r="O804" s="5359">
        <f t="shared" si="362"/>
        <v>0</v>
      </c>
      <c r="P804" s="5358">
        <v>525326000</v>
      </c>
      <c r="Q804" s="5357">
        <f>+P804-N804</f>
        <v>0</v>
      </c>
      <c r="R804" s="5358">
        <f>P804/N804*100-100</f>
        <v>0</v>
      </c>
      <c r="S804" s="5358">
        <v>525326000</v>
      </c>
      <c r="T804" s="5359">
        <f t="shared" si="365"/>
        <v>525326000</v>
      </c>
      <c r="U804" s="5358">
        <v>525326000</v>
      </c>
      <c r="V804" s="5357">
        <f t="shared" si="366"/>
        <v>0</v>
      </c>
      <c r="W804" s="5358">
        <f>S804/P804*100-100</f>
        <v>0</v>
      </c>
      <c r="X804" s="5358">
        <v>525326000</v>
      </c>
      <c r="Y804" s="5359">
        <f t="shared" si="368"/>
        <v>525326000</v>
      </c>
      <c r="Z804" s="5358">
        <v>525326000</v>
      </c>
      <c r="AA804" s="5357">
        <f>X804-S804</f>
        <v>0</v>
      </c>
      <c r="AB804" s="5358">
        <f>X804/S804*100-100</f>
        <v>0</v>
      </c>
      <c r="AC804" s="5447"/>
      <c r="AD804" s="5447"/>
      <c r="AE804" s="5447"/>
      <c r="AF804" s="5349">
        <f t="shared" si="357"/>
        <v>0</v>
      </c>
      <c r="AG804" s="5338">
        <f t="shared" si="358"/>
        <v>0</v>
      </c>
    </row>
    <row r="805" spans="1:33" s="5333" customFormat="1" ht="16.45" hidden="1" customHeight="1">
      <c r="A805" s="5426"/>
      <c r="B805" s="5426"/>
      <c r="C805" s="5426"/>
      <c r="D805" s="5367"/>
      <c r="E805" s="5367"/>
      <c r="F805" s="5367"/>
      <c r="G805" s="5368"/>
      <c r="H805" s="5368"/>
      <c r="I805" s="5632"/>
      <c r="J805" s="5366" t="s">
        <v>1316</v>
      </c>
      <c r="K805" s="5361"/>
      <c r="L805" s="5365"/>
      <c r="M805" s="5449">
        <v>92124348000</v>
      </c>
      <c r="N805" s="5448">
        <v>92124348000</v>
      </c>
      <c r="O805" s="5359">
        <f t="shared" si="362"/>
        <v>0</v>
      </c>
      <c r="P805" s="5358">
        <v>92124348000</v>
      </c>
      <c r="Q805" s="5357">
        <f>+P805-N805</f>
        <v>0</v>
      </c>
      <c r="R805" s="5358">
        <f>P805/N805*100-100</f>
        <v>0</v>
      </c>
      <c r="S805" s="5358">
        <v>92124348000</v>
      </c>
      <c r="T805" s="5359">
        <f t="shared" si="365"/>
        <v>92124348000</v>
      </c>
      <c r="U805" s="5358">
        <v>92124348000</v>
      </c>
      <c r="V805" s="5357">
        <f t="shared" si="366"/>
        <v>0</v>
      </c>
      <c r="W805" s="5358">
        <f>S805/P805*100-100</f>
        <v>0</v>
      </c>
      <c r="X805" s="5358">
        <v>92124348000</v>
      </c>
      <c r="Y805" s="5359">
        <f t="shared" si="368"/>
        <v>92124348000</v>
      </c>
      <c r="Z805" s="5358">
        <v>92124348000</v>
      </c>
      <c r="AA805" s="5357">
        <f>X805-S805</f>
        <v>0</v>
      </c>
      <c r="AB805" s="5358">
        <f>X805/S805*100-100</f>
        <v>0</v>
      </c>
      <c r="AC805" s="5447"/>
      <c r="AD805" s="5447"/>
      <c r="AE805" s="5447"/>
      <c r="AF805" s="5349">
        <f t="shared" si="357"/>
        <v>0</v>
      </c>
      <c r="AG805" s="5338">
        <f t="shared" si="358"/>
        <v>0</v>
      </c>
    </row>
    <row r="806" spans="1:33" s="5333" customFormat="1" ht="5.95" customHeight="1">
      <c r="A806" s="5426"/>
      <c r="B806" s="5426"/>
      <c r="C806" s="5426"/>
      <c r="D806" s="5367"/>
      <c r="E806" s="5367"/>
      <c r="F806" s="5367"/>
      <c r="G806" s="5368"/>
      <c r="H806" s="5368"/>
      <c r="I806" s="5632"/>
      <c r="J806" s="5366"/>
      <c r="K806" s="5361"/>
      <c r="L806" s="5365"/>
      <c r="M806" s="5449"/>
      <c r="N806" s="5448"/>
      <c r="O806" s="5359"/>
      <c r="P806" s="5358"/>
      <c r="Q806" s="5357"/>
      <c r="R806" s="5358"/>
      <c r="S806" s="5358"/>
      <c r="T806" s="5359"/>
      <c r="U806" s="5358"/>
      <c r="V806" s="5357"/>
      <c r="W806" s="5358"/>
      <c r="X806" s="5358"/>
      <c r="Y806" s="5359"/>
      <c r="Z806" s="5358"/>
      <c r="AA806" s="5357"/>
      <c r="AB806" s="5358"/>
      <c r="AC806" s="5447"/>
      <c r="AD806" s="5447"/>
      <c r="AE806" s="5447"/>
      <c r="AF806" s="5349">
        <f t="shared" si="357"/>
        <v>0</v>
      </c>
      <c r="AG806" s="5338">
        <f t="shared" si="358"/>
        <v>0</v>
      </c>
    </row>
    <row r="807" spans="1:33" s="5333" customFormat="1" ht="15.05" customHeight="1">
      <c r="A807" s="5340"/>
      <c r="B807" s="5340"/>
      <c r="C807" s="5340"/>
      <c r="D807" s="5367">
        <v>4</v>
      </c>
      <c r="E807" s="5367">
        <v>1</v>
      </c>
      <c r="F807" s="5367">
        <v>1</v>
      </c>
      <c r="G807" s="5368" t="s">
        <v>441</v>
      </c>
      <c r="H807" s="5367"/>
      <c r="I807" s="5631"/>
      <c r="J807" s="5366" t="s">
        <v>1156</v>
      </c>
      <c r="K807" s="5371"/>
      <c r="L807" s="5370"/>
      <c r="M807" s="5446">
        <v>350000000</v>
      </c>
      <c r="N807" s="5357">
        <v>275000000</v>
      </c>
      <c r="O807" s="5359">
        <f>N807-M807</f>
        <v>-75000000</v>
      </c>
      <c r="P807" s="5358">
        <v>275000000</v>
      </c>
      <c r="Q807" s="5357">
        <f>+P807-N807</f>
        <v>0</v>
      </c>
      <c r="R807" s="5358">
        <f>P807/N807*100-100</f>
        <v>0</v>
      </c>
      <c r="S807" s="5441">
        <v>1000000000</v>
      </c>
      <c r="T807" s="5359">
        <f>S807-R807</f>
        <v>1000000000</v>
      </c>
      <c r="U807" s="5358">
        <v>275000000</v>
      </c>
      <c r="V807" s="5357">
        <f>S807-P807</f>
        <v>725000000</v>
      </c>
      <c r="W807" s="5358">
        <f>S807/P807*100-100</f>
        <v>263.63636363636363</v>
      </c>
      <c r="X807" s="5441" t="e">
        <f>'rekap perdinas Kua PPAS'!N563</f>
        <v>#REF!</v>
      </c>
      <c r="Y807" s="5359" t="e">
        <f>X807-W807</f>
        <v>#REF!</v>
      </c>
      <c r="Z807" s="5358">
        <v>275000000</v>
      </c>
      <c r="AA807" s="5357" t="e">
        <f>X807-S807</f>
        <v>#REF!</v>
      </c>
      <c r="AB807" s="5358" t="e">
        <f>X807/S807*100-100</f>
        <v>#REF!</v>
      </c>
      <c r="AC807" s="5349"/>
      <c r="AD807" s="5349"/>
      <c r="AE807" s="5349"/>
      <c r="AF807" s="5349">
        <f t="shared" si="357"/>
        <v>725000000</v>
      </c>
      <c r="AG807" s="5338">
        <f t="shared" si="358"/>
        <v>0</v>
      </c>
    </row>
    <row r="808" spans="1:33" s="5333" customFormat="1" ht="15.65" customHeight="1">
      <c r="A808" s="5340"/>
      <c r="B808" s="5340"/>
      <c r="C808" s="5340"/>
      <c r="D808" s="5367">
        <v>4</v>
      </c>
      <c r="E808" s="5367">
        <v>1</v>
      </c>
      <c r="F808" s="5367">
        <v>1</v>
      </c>
      <c r="G808" s="5367" t="s">
        <v>1155</v>
      </c>
      <c r="H808" s="5367"/>
      <c r="I808" s="5631"/>
      <c r="J808" s="5366" t="s">
        <v>1157</v>
      </c>
      <c r="K808" s="5371"/>
      <c r="L808" s="5370"/>
      <c r="M808" s="5445">
        <v>212000000000</v>
      </c>
      <c r="N808" s="5445">
        <f>212000000000+16000000000</f>
        <v>228000000000</v>
      </c>
      <c r="O808" s="5359">
        <f>N808-M808</f>
        <v>16000000000</v>
      </c>
      <c r="P808" s="5358">
        <v>253780279000</v>
      </c>
      <c r="Q808" s="5357">
        <f>+P808-N808</f>
        <v>25780279000</v>
      </c>
      <c r="R808" s="5358">
        <f>P808/N808*100-100</f>
        <v>11.307139912280689</v>
      </c>
      <c r="S808" s="5358">
        <f>277693444000+17148685000</f>
        <v>294842129000</v>
      </c>
      <c r="T808" s="5359">
        <f>S808-R808</f>
        <v>294842128988.69287</v>
      </c>
      <c r="U808" s="5358">
        <v>253780279000</v>
      </c>
      <c r="V808" s="5357">
        <f>S808-P808</f>
        <v>41061850000</v>
      </c>
      <c r="W808" s="5358">
        <f>S808/P808*100-100</f>
        <v>16.18007914633904</v>
      </c>
      <c r="X808" s="5358" t="e">
        <f>'rekap perdinas Kua PPAS'!N565</f>
        <v>#REF!</v>
      </c>
      <c r="Y808" s="5359" t="e">
        <f>X808-W808</f>
        <v>#REF!</v>
      </c>
      <c r="Z808" s="5358">
        <v>253780279000</v>
      </c>
      <c r="AA808" s="5357" t="e">
        <f>X808-S808</f>
        <v>#REF!</v>
      </c>
      <c r="AB808" s="5358" t="e">
        <f>X808/S808*100-100</f>
        <v>#REF!</v>
      </c>
      <c r="AC808" s="5350"/>
      <c r="AD808" s="5350"/>
      <c r="AE808" s="5350"/>
      <c r="AF808" s="5349">
        <f t="shared" si="357"/>
        <v>41061850000</v>
      </c>
      <c r="AG808" s="5338">
        <f t="shared" si="358"/>
        <v>0</v>
      </c>
    </row>
    <row r="809" spans="1:33" s="5333" customFormat="1" ht="6.75" hidden="1" customHeight="1">
      <c r="A809" s="5340"/>
      <c r="B809" s="5340"/>
      <c r="C809" s="5340"/>
      <c r="D809" s="5367"/>
      <c r="E809" s="5380"/>
      <c r="F809" s="5380"/>
      <c r="G809" s="5379"/>
      <c r="H809" s="5380"/>
      <c r="I809" s="5496"/>
      <c r="J809" s="5366"/>
      <c r="K809" s="5371"/>
      <c r="L809" s="5370"/>
      <c r="M809" s="5357"/>
      <c r="N809" s="5357"/>
      <c r="O809" s="5359"/>
      <c r="P809" s="5358"/>
      <c r="Q809" s="5357"/>
      <c r="R809" s="5358"/>
      <c r="S809" s="5358"/>
      <c r="T809" s="5359"/>
      <c r="U809" s="5358"/>
      <c r="V809" s="5357"/>
      <c r="W809" s="5358"/>
      <c r="X809" s="5358"/>
      <c r="Y809" s="5359"/>
      <c r="Z809" s="5358"/>
      <c r="AA809" s="5357"/>
      <c r="AB809" s="5358"/>
      <c r="AC809" s="5349"/>
      <c r="AD809" s="5349"/>
      <c r="AE809" s="5349"/>
      <c r="AF809" s="5349">
        <f t="shared" si="357"/>
        <v>0</v>
      </c>
      <c r="AG809" s="5338">
        <f t="shared" si="358"/>
        <v>0</v>
      </c>
    </row>
    <row r="810" spans="1:33" s="5333" customFormat="1" ht="15.05" hidden="1" customHeight="1">
      <c r="A810" s="5340"/>
      <c r="B810" s="5340"/>
      <c r="C810" s="5340"/>
      <c r="D810" s="5393">
        <v>1</v>
      </c>
      <c r="E810" s="5393">
        <v>2</v>
      </c>
      <c r="F810" s="5380"/>
      <c r="G810" s="5379"/>
      <c r="H810" s="5380"/>
      <c r="I810" s="5496"/>
      <c r="J810" s="5372" t="s">
        <v>106</v>
      </c>
      <c r="K810" s="5371"/>
      <c r="L810" s="5370"/>
      <c r="M810" s="5444">
        <v>0</v>
      </c>
      <c r="N810" s="5444">
        <f>N811</f>
        <v>0</v>
      </c>
      <c r="O810" s="5444">
        <f t="shared" ref="O810:O833" si="376">N810-M810</f>
        <v>0</v>
      </c>
      <c r="P810" s="5443"/>
      <c r="Q810" s="5357">
        <f t="shared" ref="Q810:Q833" si="377">+P810-N810</f>
        <v>0</v>
      </c>
      <c r="R810" s="5358" t="e">
        <f t="shared" ref="R810:R826" si="378">P810/N810*100-100</f>
        <v>#DIV/0!</v>
      </c>
      <c r="S810" s="5443"/>
      <c r="T810" s="5444" t="e">
        <f t="shared" ref="T810:T833" si="379">S810-R810</f>
        <v>#DIV/0!</v>
      </c>
      <c r="U810" s="5443"/>
      <c r="V810" s="5357">
        <f>S810-P810</f>
        <v>0</v>
      </c>
      <c r="W810" s="5358">
        <v>0</v>
      </c>
      <c r="X810" s="5443"/>
      <c r="Y810" s="5444">
        <f t="shared" ref="Y810:Y833" si="380">X810-W810</f>
        <v>0</v>
      </c>
      <c r="Z810" s="5443"/>
      <c r="AA810" s="5357">
        <f>X810-S810</f>
        <v>0</v>
      </c>
      <c r="AB810" s="5358">
        <v>0</v>
      </c>
      <c r="AC810" s="5349"/>
      <c r="AD810" s="5349"/>
      <c r="AE810" s="5349"/>
      <c r="AF810" s="5349">
        <f t="shared" si="357"/>
        <v>0</v>
      </c>
      <c r="AG810" s="5338">
        <f t="shared" si="358"/>
        <v>0</v>
      </c>
    </row>
    <row r="811" spans="1:33" s="5333" customFormat="1" ht="15.05" hidden="1" customHeight="1">
      <c r="A811" s="5340"/>
      <c r="B811" s="5340"/>
      <c r="C811" s="5340"/>
      <c r="D811" s="5367">
        <v>4</v>
      </c>
      <c r="E811" s="5367">
        <v>1</v>
      </c>
      <c r="F811" s="5367">
        <v>2</v>
      </c>
      <c r="G811" s="5368" t="s">
        <v>437</v>
      </c>
      <c r="H811" s="5368" t="s">
        <v>437</v>
      </c>
      <c r="I811" s="5632"/>
      <c r="J811" s="5366" t="s">
        <v>1315</v>
      </c>
      <c r="K811" s="5361"/>
      <c r="L811" s="5370"/>
      <c r="M811" s="5357">
        <v>0</v>
      </c>
      <c r="N811" s="5357">
        <f>+N812</f>
        <v>0</v>
      </c>
      <c r="O811" s="5357">
        <f t="shared" si="376"/>
        <v>0</v>
      </c>
      <c r="P811" s="5358"/>
      <c r="Q811" s="5357">
        <f t="shared" si="377"/>
        <v>0</v>
      </c>
      <c r="R811" s="5358" t="e">
        <f t="shared" si="378"/>
        <v>#DIV/0!</v>
      </c>
      <c r="S811" s="5358"/>
      <c r="T811" s="5357" t="e">
        <f t="shared" si="379"/>
        <v>#DIV/0!</v>
      </c>
      <c r="U811" s="5358"/>
      <c r="V811" s="5357">
        <f>S811-P811</f>
        <v>0</v>
      </c>
      <c r="W811" s="5358">
        <v>0</v>
      </c>
      <c r="X811" s="5358"/>
      <c r="Y811" s="5357">
        <f t="shared" si="380"/>
        <v>0</v>
      </c>
      <c r="Z811" s="5358"/>
      <c r="AA811" s="5357">
        <f>X811-S811</f>
        <v>0</v>
      </c>
      <c r="AB811" s="5358">
        <v>0</v>
      </c>
      <c r="AC811" s="5349"/>
      <c r="AD811" s="5349"/>
      <c r="AE811" s="5349"/>
      <c r="AF811" s="5349">
        <f t="shared" si="357"/>
        <v>0</v>
      </c>
      <c r="AG811" s="5338">
        <f t="shared" si="358"/>
        <v>0</v>
      </c>
    </row>
    <row r="812" spans="1:33" s="5333" customFormat="1" ht="15.05" hidden="1" customHeight="1">
      <c r="A812" s="5340"/>
      <c r="B812" s="5340"/>
      <c r="C812" s="5340"/>
      <c r="D812" s="5367"/>
      <c r="E812" s="5380"/>
      <c r="F812" s="5380"/>
      <c r="G812" s="5379"/>
      <c r="H812" s="5380"/>
      <c r="I812" s="5496"/>
      <c r="J812" s="5408" t="s">
        <v>50</v>
      </c>
      <c r="K812" s="5361" t="s">
        <v>997</v>
      </c>
      <c r="L812" s="5370"/>
      <c r="M812" s="5357">
        <v>0</v>
      </c>
      <c r="N812" s="5357">
        <v>0</v>
      </c>
      <c r="O812" s="5359">
        <f t="shared" si="376"/>
        <v>0</v>
      </c>
      <c r="P812" s="5358"/>
      <c r="Q812" s="5357">
        <f t="shared" si="377"/>
        <v>0</v>
      </c>
      <c r="R812" s="5358" t="e">
        <f t="shared" si="378"/>
        <v>#DIV/0!</v>
      </c>
      <c r="S812" s="5358"/>
      <c r="T812" s="5359" t="e">
        <f t="shared" si="379"/>
        <v>#DIV/0!</v>
      </c>
      <c r="U812" s="5358"/>
      <c r="V812" s="5357">
        <f>S812-P812</f>
        <v>0</v>
      </c>
      <c r="W812" s="5358">
        <v>0</v>
      </c>
      <c r="X812" s="5358"/>
      <c r="Y812" s="5359">
        <f t="shared" si="380"/>
        <v>0</v>
      </c>
      <c r="Z812" s="5358"/>
      <c r="AA812" s="5357">
        <f>X812-S812</f>
        <v>0</v>
      </c>
      <c r="AB812" s="5358">
        <v>0</v>
      </c>
      <c r="AC812" s="5349"/>
      <c r="AD812" s="5349"/>
      <c r="AE812" s="5349"/>
      <c r="AF812" s="5349">
        <f t="shared" si="357"/>
        <v>0</v>
      </c>
      <c r="AG812" s="5338">
        <f t="shared" si="358"/>
        <v>0</v>
      </c>
    </row>
    <row r="813" spans="1:33" s="5333" customFormat="1" ht="7.55" hidden="1" customHeight="1">
      <c r="A813" s="5340"/>
      <c r="B813" s="5340"/>
      <c r="C813" s="5340"/>
      <c r="D813" s="5367"/>
      <c r="E813" s="5380"/>
      <c r="F813" s="5380"/>
      <c r="G813" s="5379"/>
      <c r="H813" s="5380"/>
      <c r="I813" s="5496"/>
      <c r="J813" s="5366"/>
      <c r="K813" s="5371"/>
      <c r="L813" s="5370"/>
      <c r="M813" s="5357"/>
      <c r="N813" s="5357"/>
      <c r="O813" s="5359">
        <f t="shared" si="376"/>
        <v>0</v>
      </c>
      <c r="P813" s="5358"/>
      <c r="Q813" s="5357">
        <f t="shared" si="377"/>
        <v>0</v>
      </c>
      <c r="R813" s="5358" t="e">
        <f t="shared" si="378"/>
        <v>#DIV/0!</v>
      </c>
      <c r="S813" s="5358"/>
      <c r="T813" s="5359" t="e">
        <f t="shared" si="379"/>
        <v>#DIV/0!</v>
      </c>
      <c r="U813" s="5358"/>
      <c r="V813" s="5357"/>
      <c r="W813" s="5358"/>
      <c r="X813" s="5358"/>
      <c r="Y813" s="5359">
        <f t="shared" si="380"/>
        <v>0</v>
      </c>
      <c r="Z813" s="5358"/>
      <c r="AA813" s="5357"/>
      <c r="AB813" s="5358"/>
      <c r="AC813" s="5349"/>
      <c r="AD813" s="5349"/>
      <c r="AE813" s="5349"/>
      <c r="AF813" s="5349">
        <f t="shared" si="357"/>
        <v>0</v>
      </c>
      <c r="AG813" s="5338">
        <f t="shared" si="358"/>
        <v>0</v>
      </c>
    </row>
    <row r="814" spans="1:33" s="5333" customFormat="1" ht="5.95" customHeight="1">
      <c r="A814" s="5340"/>
      <c r="B814" s="5340"/>
      <c r="C814" s="5340"/>
      <c r="D814" s="5368"/>
      <c r="E814" s="5380"/>
      <c r="F814" s="5380"/>
      <c r="G814" s="5379"/>
      <c r="H814" s="5379"/>
      <c r="I814" s="5495"/>
      <c r="J814" s="5366"/>
      <c r="K814" s="5361"/>
      <c r="L814" s="5365"/>
      <c r="M814" s="5357"/>
      <c r="N814" s="5357"/>
      <c r="O814" s="5357">
        <f t="shared" si="376"/>
        <v>0</v>
      </c>
      <c r="P814" s="5358"/>
      <c r="Q814" s="5357">
        <f t="shared" si="377"/>
        <v>0</v>
      </c>
      <c r="R814" s="5358" t="e">
        <f t="shared" si="378"/>
        <v>#DIV/0!</v>
      </c>
      <c r="S814" s="5358"/>
      <c r="T814" s="5357" t="e">
        <f t="shared" si="379"/>
        <v>#DIV/0!</v>
      </c>
      <c r="U814" s="5358"/>
      <c r="V814" s="5357"/>
      <c r="W814" s="5358"/>
      <c r="X814" s="5358"/>
      <c r="Y814" s="5357">
        <f t="shared" si="380"/>
        <v>0</v>
      </c>
      <c r="Z814" s="5358"/>
      <c r="AA814" s="5357">
        <f t="shared" ref="AA814:AA826" si="381">X814-S814</f>
        <v>0</v>
      </c>
      <c r="AB814" s="5358">
        <v>0</v>
      </c>
      <c r="AC814" s="5349"/>
      <c r="AD814" s="5349"/>
      <c r="AE814" s="5349"/>
      <c r="AF814" s="5349">
        <f t="shared" si="357"/>
        <v>0</v>
      </c>
      <c r="AG814" s="5338">
        <f t="shared" si="358"/>
        <v>0</v>
      </c>
    </row>
    <row r="815" spans="1:33" s="5333" customFormat="1" ht="15.05" customHeight="1">
      <c r="A815" s="5440"/>
      <c r="B815" s="5439"/>
      <c r="C815" s="5439"/>
      <c r="D815" s="5374">
        <v>4</v>
      </c>
      <c r="E815" s="5374">
        <v>1</v>
      </c>
      <c r="F815" s="5374">
        <v>4</v>
      </c>
      <c r="G815" s="5373"/>
      <c r="H815" s="5373"/>
      <c r="I815" s="5633"/>
      <c r="J815" s="5372" t="s">
        <v>71</v>
      </c>
      <c r="K815" s="5371"/>
      <c r="L815" s="5370"/>
      <c r="M815" s="5397">
        <v>4100000000</v>
      </c>
      <c r="N815" s="5397">
        <f>+N816+N830</f>
        <v>24238987800</v>
      </c>
      <c r="O815" s="5397">
        <f t="shared" si="376"/>
        <v>20138987800</v>
      </c>
      <c r="P815" s="5396">
        <f>+P816+P830</f>
        <v>18548560000</v>
      </c>
      <c r="Q815" s="5357">
        <f t="shared" si="377"/>
        <v>-5690427800</v>
      </c>
      <c r="R815" s="5358">
        <f t="shared" si="378"/>
        <v>-23.476342522850729</v>
      </c>
      <c r="S815" s="5396">
        <f>+S816+S830</f>
        <v>18548560000</v>
      </c>
      <c r="T815" s="5397">
        <f t="shared" si="379"/>
        <v>18548560023.476341</v>
      </c>
      <c r="U815" s="5396">
        <f>+U816+U830</f>
        <v>18548560000</v>
      </c>
      <c r="V815" s="5357">
        <f t="shared" ref="V815:V828" si="382">S815-P815</f>
        <v>0</v>
      </c>
      <c r="W815" s="5358">
        <f>S815/P815*100-100</f>
        <v>0</v>
      </c>
      <c r="X815" s="5396" t="e">
        <f>+X816+X830</f>
        <v>#REF!</v>
      </c>
      <c r="Y815" s="5397" t="e">
        <f t="shared" si="380"/>
        <v>#REF!</v>
      </c>
      <c r="Z815" s="5396">
        <f>+Z816+Z830</f>
        <v>18548560000</v>
      </c>
      <c r="AA815" s="5357" t="e">
        <f t="shared" si="381"/>
        <v>#REF!</v>
      </c>
      <c r="AB815" s="5358" t="e">
        <f>X815/S815*100-100</f>
        <v>#REF!</v>
      </c>
      <c r="AC815" s="5349"/>
      <c r="AD815" s="5349"/>
      <c r="AE815" s="5349"/>
      <c r="AF815" s="5349">
        <f t="shared" si="357"/>
        <v>0</v>
      </c>
      <c r="AG815" s="5338">
        <f t="shared" si="358"/>
        <v>0</v>
      </c>
    </row>
    <row r="816" spans="1:33" s="5333" customFormat="1" ht="15.05" customHeight="1">
      <c r="A816" s="5440"/>
      <c r="B816" s="5439"/>
      <c r="C816" s="5439"/>
      <c r="D816" s="5367">
        <v>4</v>
      </c>
      <c r="E816" s="5367">
        <v>1</v>
      </c>
      <c r="F816" s="5367">
        <v>4</v>
      </c>
      <c r="G816" s="5368" t="s">
        <v>456</v>
      </c>
      <c r="H816" s="5368"/>
      <c r="I816" s="5632"/>
      <c r="J816" s="5366" t="s">
        <v>307</v>
      </c>
      <c r="K816" s="5361"/>
      <c r="L816" s="5365"/>
      <c r="M816" s="5402">
        <v>4100000000</v>
      </c>
      <c r="N816" s="5402">
        <f>+N817+N828</f>
        <v>24238987800</v>
      </c>
      <c r="O816" s="5402">
        <f t="shared" si="376"/>
        <v>20138987800</v>
      </c>
      <c r="P816" s="5401">
        <f>+P817+P828</f>
        <v>18548560000</v>
      </c>
      <c r="Q816" s="5357">
        <f t="shared" si="377"/>
        <v>-5690427800</v>
      </c>
      <c r="R816" s="5358">
        <f t="shared" si="378"/>
        <v>-23.476342522850729</v>
      </c>
      <c r="S816" s="5401">
        <f>+S817+S828</f>
        <v>18548560000</v>
      </c>
      <c r="T816" s="5402">
        <f t="shared" si="379"/>
        <v>18548560023.476341</v>
      </c>
      <c r="U816" s="5401">
        <f>+U817+U828</f>
        <v>18548560000</v>
      </c>
      <c r="V816" s="5357">
        <f t="shared" si="382"/>
        <v>0</v>
      </c>
      <c r="W816" s="5358">
        <f>S816/P816*100-100</f>
        <v>0</v>
      </c>
      <c r="X816" s="5401" t="e">
        <f>+X817+X828</f>
        <v>#REF!</v>
      </c>
      <c r="Y816" s="5402" t="e">
        <f t="shared" si="380"/>
        <v>#REF!</v>
      </c>
      <c r="Z816" s="5401">
        <f>+Z817+Z828</f>
        <v>18548560000</v>
      </c>
      <c r="AA816" s="5357" t="e">
        <f t="shared" si="381"/>
        <v>#REF!</v>
      </c>
      <c r="AB816" s="5358" t="e">
        <f>X816/S816*100-100</f>
        <v>#REF!</v>
      </c>
      <c r="AC816" s="5349"/>
      <c r="AD816" s="5349"/>
      <c r="AE816" s="5349"/>
      <c r="AF816" s="5349">
        <f t="shared" si="357"/>
        <v>0</v>
      </c>
      <c r="AG816" s="5338">
        <f t="shared" si="358"/>
        <v>0</v>
      </c>
    </row>
    <row r="817" spans="1:33" s="5333" customFormat="1" ht="15.05" customHeight="1">
      <c r="A817" s="5440"/>
      <c r="B817" s="5439"/>
      <c r="C817" s="5439"/>
      <c r="D817" s="5440">
        <v>4</v>
      </c>
      <c r="E817" s="5440">
        <v>1</v>
      </c>
      <c r="F817" s="5440">
        <v>4</v>
      </c>
      <c r="G817" s="5570" t="s">
        <v>456</v>
      </c>
      <c r="H817" s="5570" t="s">
        <v>437</v>
      </c>
      <c r="I817" s="5640"/>
      <c r="J817" s="5476" t="s">
        <v>309</v>
      </c>
      <c r="K817" s="5475"/>
      <c r="L817" s="5563"/>
      <c r="M817" s="5687">
        <v>4000000000</v>
      </c>
      <c r="N817" s="5687">
        <v>24138987800</v>
      </c>
      <c r="O817" s="5565">
        <f t="shared" si="376"/>
        <v>20138987800</v>
      </c>
      <c r="P817" s="5566">
        <f>15000000000+3448560000</f>
        <v>18448560000</v>
      </c>
      <c r="Q817" s="5564">
        <f t="shared" si="377"/>
        <v>-5690427800</v>
      </c>
      <c r="R817" s="5566">
        <f t="shared" si="378"/>
        <v>-23.573597398313453</v>
      </c>
      <c r="S817" s="5566">
        <f>15000000000+3448560000</f>
        <v>18448560000</v>
      </c>
      <c r="T817" s="5565">
        <f t="shared" si="379"/>
        <v>18448560023.573597</v>
      </c>
      <c r="U817" s="5566">
        <f>15000000000+3448560000</f>
        <v>18448560000</v>
      </c>
      <c r="V817" s="5564">
        <f t="shared" si="382"/>
        <v>0</v>
      </c>
      <c r="W817" s="5566">
        <f>S817/P817*100-100</f>
        <v>0</v>
      </c>
      <c r="X817" s="5566" t="e">
        <f>#REF!</f>
        <v>#REF!</v>
      </c>
      <c r="Y817" s="5565" t="e">
        <f t="shared" si="380"/>
        <v>#REF!</v>
      </c>
      <c r="Z817" s="5566">
        <f>15000000000+3448560000</f>
        <v>18448560000</v>
      </c>
      <c r="AA817" s="5564" t="e">
        <f t="shared" si="381"/>
        <v>#REF!</v>
      </c>
      <c r="AB817" s="5566" t="e">
        <f>X817/S817*100-100</f>
        <v>#REF!</v>
      </c>
      <c r="AC817" s="5350" t="s">
        <v>1515</v>
      </c>
      <c r="AD817" s="5350"/>
      <c r="AE817" s="5350"/>
      <c r="AF817" s="5349">
        <f t="shared" si="357"/>
        <v>0</v>
      </c>
      <c r="AG817" s="5338">
        <f t="shared" si="358"/>
        <v>0</v>
      </c>
    </row>
    <row r="818" spans="1:33" s="5333" customFormat="1" ht="15.05" hidden="1" customHeight="1">
      <c r="A818" s="5440"/>
      <c r="B818" s="5439"/>
      <c r="C818" s="5439"/>
      <c r="D818" s="5440"/>
      <c r="E818" s="5440"/>
      <c r="F818" s="5440"/>
      <c r="G818" s="5570"/>
      <c r="H818" s="5570"/>
      <c r="I818" s="5640"/>
      <c r="J818" s="5688" t="s">
        <v>50</v>
      </c>
      <c r="K818" s="5475" t="s">
        <v>310</v>
      </c>
      <c r="L818" s="5563"/>
      <c r="M818" s="5609"/>
      <c r="N818" s="5609"/>
      <c r="O818" s="5609">
        <f t="shared" si="376"/>
        <v>0</v>
      </c>
      <c r="P818" s="5566"/>
      <c r="Q818" s="5564">
        <f t="shared" si="377"/>
        <v>0</v>
      </c>
      <c r="R818" s="5566" t="e">
        <f t="shared" si="378"/>
        <v>#DIV/0!</v>
      </c>
      <c r="S818" s="5566"/>
      <c r="T818" s="5609" t="e">
        <f t="shared" si="379"/>
        <v>#DIV/0!</v>
      </c>
      <c r="U818" s="5566"/>
      <c r="V818" s="5564">
        <f t="shared" si="382"/>
        <v>0</v>
      </c>
      <c r="W818" s="5566">
        <v>0</v>
      </c>
      <c r="X818" s="5566"/>
      <c r="Y818" s="5609">
        <f t="shared" si="380"/>
        <v>0</v>
      </c>
      <c r="Z818" s="5566"/>
      <c r="AA818" s="5564">
        <f t="shared" si="381"/>
        <v>0</v>
      </c>
      <c r="AB818" s="5566">
        <v>0</v>
      </c>
      <c r="AC818" s="5354"/>
      <c r="AD818" s="5354"/>
      <c r="AE818" s="5354"/>
      <c r="AF818" s="5349">
        <f t="shared" si="357"/>
        <v>0</v>
      </c>
      <c r="AG818" s="5338">
        <f t="shared" si="358"/>
        <v>0</v>
      </c>
    </row>
    <row r="819" spans="1:33" s="5333" customFormat="1" ht="15.05" hidden="1" customHeight="1">
      <c r="A819" s="5440"/>
      <c r="B819" s="5439"/>
      <c r="C819" s="5439"/>
      <c r="D819" s="5440"/>
      <c r="E819" s="5440"/>
      <c r="F819" s="5440"/>
      <c r="G819" s="5570"/>
      <c r="H819" s="5570"/>
      <c r="I819" s="5640"/>
      <c r="J819" s="5688" t="s">
        <v>50</v>
      </c>
      <c r="K819" s="5475" t="s">
        <v>311</v>
      </c>
      <c r="L819" s="5563"/>
      <c r="M819" s="5564"/>
      <c r="N819" s="5564"/>
      <c r="O819" s="5564">
        <f t="shared" si="376"/>
        <v>0</v>
      </c>
      <c r="P819" s="5566"/>
      <c r="Q819" s="5564">
        <f t="shared" si="377"/>
        <v>0</v>
      </c>
      <c r="R819" s="5566" t="e">
        <f t="shared" si="378"/>
        <v>#DIV/0!</v>
      </c>
      <c r="S819" s="5566"/>
      <c r="T819" s="5564" t="e">
        <f t="shared" si="379"/>
        <v>#DIV/0!</v>
      </c>
      <c r="U819" s="5566"/>
      <c r="V819" s="5564">
        <f t="shared" si="382"/>
        <v>0</v>
      </c>
      <c r="W819" s="5566">
        <v>0</v>
      </c>
      <c r="X819" s="5566"/>
      <c r="Y819" s="5564">
        <f t="shared" si="380"/>
        <v>0</v>
      </c>
      <c r="Z819" s="5566"/>
      <c r="AA819" s="5564">
        <f t="shared" si="381"/>
        <v>0</v>
      </c>
      <c r="AB819" s="5566">
        <v>0</v>
      </c>
      <c r="AC819" s="5349"/>
      <c r="AD819" s="5349"/>
      <c r="AE819" s="5349"/>
      <c r="AF819" s="5349">
        <f t="shared" ref="AF819:AF842" si="383">S819-P819</f>
        <v>0</v>
      </c>
      <c r="AG819" s="5338">
        <f t="shared" ref="AG819:AG842" si="384">AF819-V819</f>
        <v>0</v>
      </c>
    </row>
    <row r="820" spans="1:33" s="5333" customFormat="1" ht="15.05" hidden="1" customHeight="1">
      <c r="A820" s="5440"/>
      <c r="B820" s="5439"/>
      <c r="C820" s="5439"/>
      <c r="D820" s="5440"/>
      <c r="E820" s="5440"/>
      <c r="F820" s="5440"/>
      <c r="G820" s="5570"/>
      <c r="H820" s="5570"/>
      <c r="I820" s="5640"/>
      <c r="J820" s="5688" t="s">
        <v>50</v>
      </c>
      <c r="K820" s="5475" t="s">
        <v>312</v>
      </c>
      <c r="L820" s="5563"/>
      <c r="M820" s="5564"/>
      <c r="N820" s="5564"/>
      <c r="O820" s="5564">
        <f t="shared" si="376"/>
        <v>0</v>
      </c>
      <c r="P820" s="5566"/>
      <c r="Q820" s="5564">
        <f t="shared" si="377"/>
        <v>0</v>
      </c>
      <c r="R820" s="5566" t="e">
        <f t="shared" si="378"/>
        <v>#DIV/0!</v>
      </c>
      <c r="S820" s="5566"/>
      <c r="T820" s="5564" t="e">
        <f t="shared" si="379"/>
        <v>#DIV/0!</v>
      </c>
      <c r="U820" s="5566"/>
      <c r="V820" s="5564">
        <f t="shared" si="382"/>
        <v>0</v>
      </c>
      <c r="W820" s="5566">
        <v>0</v>
      </c>
      <c r="X820" s="5566"/>
      <c r="Y820" s="5564">
        <f t="shared" si="380"/>
        <v>0</v>
      </c>
      <c r="Z820" s="5566"/>
      <c r="AA820" s="5564">
        <f t="shared" si="381"/>
        <v>0</v>
      </c>
      <c r="AB820" s="5566">
        <v>0</v>
      </c>
      <c r="AC820" s="5349"/>
      <c r="AD820" s="5349"/>
      <c r="AE820" s="5349"/>
      <c r="AF820" s="5349">
        <f t="shared" si="383"/>
        <v>0</v>
      </c>
      <c r="AG820" s="5338">
        <f t="shared" si="384"/>
        <v>0</v>
      </c>
    </row>
    <row r="821" spans="1:33" s="5333" customFormat="1" ht="15.05" hidden="1" customHeight="1">
      <c r="A821" s="5440"/>
      <c r="B821" s="5439"/>
      <c r="C821" s="5439"/>
      <c r="D821" s="5440"/>
      <c r="E821" s="5440"/>
      <c r="F821" s="5440"/>
      <c r="G821" s="5570"/>
      <c r="H821" s="5570"/>
      <c r="I821" s="5640"/>
      <c r="J821" s="5688" t="s">
        <v>50</v>
      </c>
      <c r="K821" s="5475" t="s">
        <v>313</v>
      </c>
      <c r="L821" s="5563"/>
      <c r="M821" s="5564"/>
      <c r="N821" s="5564"/>
      <c r="O821" s="5564">
        <f t="shared" si="376"/>
        <v>0</v>
      </c>
      <c r="P821" s="5566"/>
      <c r="Q821" s="5564">
        <f t="shared" si="377"/>
        <v>0</v>
      </c>
      <c r="R821" s="5566" t="e">
        <f t="shared" si="378"/>
        <v>#DIV/0!</v>
      </c>
      <c r="S821" s="5566"/>
      <c r="T821" s="5564" t="e">
        <f t="shared" si="379"/>
        <v>#DIV/0!</v>
      </c>
      <c r="U821" s="5566"/>
      <c r="V821" s="5564">
        <f t="shared" si="382"/>
        <v>0</v>
      </c>
      <c r="W821" s="5566">
        <v>0</v>
      </c>
      <c r="X821" s="5566"/>
      <c r="Y821" s="5564">
        <f t="shared" si="380"/>
        <v>0</v>
      </c>
      <c r="Z821" s="5566"/>
      <c r="AA821" s="5564">
        <f t="shared" si="381"/>
        <v>0</v>
      </c>
      <c r="AB821" s="5566">
        <v>0</v>
      </c>
      <c r="AC821" s="5349"/>
      <c r="AD821" s="5349"/>
      <c r="AE821" s="5349"/>
      <c r="AF821" s="5349">
        <f t="shared" si="383"/>
        <v>0</v>
      </c>
      <c r="AG821" s="5338">
        <f t="shared" si="384"/>
        <v>0</v>
      </c>
    </row>
    <row r="822" spans="1:33" s="5333" customFormat="1" ht="15.05" hidden="1" customHeight="1">
      <c r="A822" s="5440"/>
      <c r="B822" s="5439"/>
      <c r="C822" s="5439"/>
      <c r="D822" s="5440"/>
      <c r="E822" s="5440"/>
      <c r="F822" s="5440"/>
      <c r="G822" s="5570"/>
      <c r="H822" s="5570"/>
      <c r="I822" s="5640"/>
      <c r="J822" s="5688" t="s">
        <v>50</v>
      </c>
      <c r="K822" s="5475" t="s">
        <v>314</v>
      </c>
      <c r="L822" s="5563"/>
      <c r="M822" s="5564"/>
      <c r="N822" s="5564"/>
      <c r="O822" s="5564">
        <f t="shared" si="376"/>
        <v>0</v>
      </c>
      <c r="P822" s="5566"/>
      <c r="Q822" s="5564">
        <f t="shared" si="377"/>
        <v>0</v>
      </c>
      <c r="R822" s="5566" t="e">
        <f t="shared" si="378"/>
        <v>#DIV/0!</v>
      </c>
      <c r="S822" s="5566"/>
      <c r="T822" s="5564" t="e">
        <f t="shared" si="379"/>
        <v>#DIV/0!</v>
      </c>
      <c r="U822" s="5566"/>
      <c r="V822" s="5564">
        <f t="shared" si="382"/>
        <v>0</v>
      </c>
      <c r="W822" s="5566">
        <v>0</v>
      </c>
      <c r="X822" s="5566"/>
      <c r="Y822" s="5564">
        <f t="shared" si="380"/>
        <v>0</v>
      </c>
      <c r="Z822" s="5566"/>
      <c r="AA822" s="5564">
        <f t="shared" si="381"/>
        <v>0</v>
      </c>
      <c r="AB822" s="5566">
        <v>0</v>
      </c>
      <c r="AC822" s="5349"/>
      <c r="AD822" s="5349"/>
      <c r="AE822" s="5349"/>
      <c r="AF822" s="5349">
        <f t="shared" si="383"/>
        <v>0</v>
      </c>
      <c r="AG822" s="5338">
        <f t="shared" si="384"/>
        <v>0</v>
      </c>
    </row>
    <row r="823" spans="1:33" s="5333" customFormat="1" ht="15.05" hidden="1" customHeight="1">
      <c r="A823" s="5440"/>
      <c r="B823" s="5439"/>
      <c r="C823" s="5439"/>
      <c r="D823" s="5440"/>
      <c r="E823" s="5440"/>
      <c r="F823" s="5440"/>
      <c r="G823" s="5570"/>
      <c r="H823" s="5570"/>
      <c r="I823" s="5640"/>
      <c r="J823" s="5688" t="s">
        <v>50</v>
      </c>
      <c r="K823" s="5475" t="s">
        <v>315</v>
      </c>
      <c r="L823" s="5563"/>
      <c r="M823" s="5564"/>
      <c r="N823" s="5564"/>
      <c r="O823" s="5564">
        <f t="shared" si="376"/>
        <v>0</v>
      </c>
      <c r="P823" s="5566"/>
      <c r="Q823" s="5564">
        <f t="shared" si="377"/>
        <v>0</v>
      </c>
      <c r="R823" s="5566" t="e">
        <f t="shared" si="378"/>
        <v>#DIV/0!</v>
      </c>
      <c r="S823" s="5566"/>
      <c r="T823" s="5564" t="e">
        <f t="shared" si="379"/>
        <v>#DIV/0!</v>
      </c>
      <c r="U823" s="5566"/>
      <c r="V823" s="5564">
        <f t="shared" si="382"/>
        <v>0</v>
      </c>
      <c r="W823" s="5566">
        <v>0</v>
      </c>
      <c r="X823" s="5566"/>
      <c r="Y823" s="5564">
        <f t="shared" si="380"/>
        <v>0</v>
      </c>
      <c r="Z823" s="5566"/>
      <c r="AA823" s="5564">
        <f t="shared" si="381"/>
        <v>0</v>
      </c>
      <c r="AB823" s="5566">
        <v>0</v>
      </c>
      <c r="AC823" s="5349"/>
      <c r="AD823" s="5349"/>
      <c r="AE823" s="5349"/>
      <c r="AF823" s="5349">
        <f t="shared" si="383"/>
        <v>0</v>
      </c>
      <c r="AG823" s="5338">
        <f t="shared" si="384"/>
        <v>0</v>
      </c>
    </row>
    <row r="824" spans="1:33" s="5333" customFormat="1" ht="15.05" hidden="1" customHeight="1">
      <c r="A824" s="5440"/>
      <c r="B824" s="5439"/>
      <c r="C824" s="5439"/>
      <c r="D824" s="5440"/>
      <c r="E824" s="5440"/>
      <c r="F824" s="5440"/>
      <c r="G824" s="5570"/>
      <c r="H824" s="5570"/>
      <c r="I824" s="5640"/>
      <c r="J824" s="5688" t="s">
        <v>50</v>
      </c>
      <c r="K824" s="5475" t="s">
        <v>1314</v>
      </c>
      <c r="L824" s="5563"/>
      <c r="M824" s="5564"/>
      <c r="N824" s="5564"/>
      <c r="O824" s="5564">
        <f t="shared" si="376"/>
        <v>0</v>
      </c>
      <c r="P824" s="5566"/>
      <c r="Q824" s="5564">
        <f t="shared" si="377"/>
        <v>0</v>
      </c>
      <c r="R824" s="5566" t="e">
        <f t="shared" si="378"/>
        <v>#DIV/0!</v>
      </c>
      <c r="S824" s="5566"/>
      <c r="T824" s="5564" t="e">
        <f t="shared" si="379"/>
        <v>#DIV/0!</v>
      </c>
      <c r="U824" s="5566"/>
      <c r="V824" s="5564">
        <f t="shared" si="382"/>
        <v>0</v>
      </c>
      <c r="W824" s="5566">
        <v>0</v>
      </c>
      <c r="X824" s="5566"/>
      <c r="Y824" s="5564">
        <f t="shared" si="380"/>
        <v>0</v>
      </c>
      <c r="Z824" s="5566"/>
      <c r="AA824" s="5564">
        <f t="shared" si="381"/>
        <v>0</v>
      </c>
      <c r="AB824" s="5566">
        <v>0</v>
      </c>
      <c r="AC824" s="5349"/>
      <c r="AD824" s="5349"/>
      <c r="AE824" s="5349"/>
      <c r="AF824" s="5349">
        <f t="shared" si="383"/>
        <v>0</v>
      </c>
      <c r="AG824" s="5338">
        <f t="shared" si="384"/>
        <v>0</v>
      </c>
    </row>
    <row r="825" spans="1:33" s="5333" customFormat="1" ht="15.05" hidden="1" customHeight="1">
      <c r="A825" s="5440"/>
      <c r="B825" s="5439"/>
      <c r="C825" s="5439"/>
      <c r="D825" s="5440"/>
      <c r="E825" s="5440"/>
      <c r="F825" s="5440"/>
      <c r="G825" s="5570"/>
      <c r="H825" s="5570"/>
      <c r="I825" s="5640"/>
      <c r="J825" s="5688" t="s">
        <v>50</v>
      </c>
      <c r="K825" s="5475" t="s">
        <v>317</v>
      </c>
      <c r="L825" s="5563"/>
      <c r="M825" s="5564"/>
      <c r="N825" s="5564"/>
      <c r="O825" s="5564">
        <f t="shared" si="376"/>
        <v>0</v>
      </c>
      <c r="P825" s="5566"/>
      <c r="Q825" s="5564">
        <f t="shared" si="377"/>
        <v>0</v>
      </c>
      <c r="R825" s="5566" t="e">
        <f t="shared" si="378"/>
        <v>#DIV/0!</v>
      </c>
      <c r="S825" s="5566"/>
      <c r="T825" s="5564" t="e">
        <f t="shared" si="379"/>
        <v>#DIV/0!</v>
      </c>
      <c r="U825" s="5566"/>
      <c r="V825" s="5564">
        <f t="shared" si="382"/>
        <v>0</v>
      </c>
      <c r="W825" s="5566">
        <v>0</v>
      </c>
      <c r="X825" s="5566"/>
      <c r="Y825" s="5564">
        <f t="shared" si="380"/>
        <v>0</v>
      </c>
      <c r="Z825" s="5566"/>
      <c r="AA825" s="5564">
        <f t="shared" si="381"/>
        <v>0</v>
      </c>
      <c r="AB825" s="5566">
        <v>0</v>
      </c>
      <c r="AC825" s="5349"/>
      <c r="AD825" s="5349"/>
      <c r="AE825" s="5349"/>
      <c r="AF825" s="5349">
        <f t="shared" si="383"/>
        <v>0</v>
      </c>
      <c r="AG825" s="5338">
        <f t="shared" si="384"/>
        <v>0</v>
      </c>
    </row>
    <row r="826" spans="1:33" s="5333" customFormat="1" ht="15.05" hidden="1" customHeight="1">
      <c r="A826" s="5440"/>
      <c r="B826" s="5439"/>
      <c r="C826" s="5439"/>
      <c r="D826" s="5440"/>
      <c r="E826" s="5440"/>
      <c r="F826" s="5440"/>
      <c r="G826" s="5570"/>
      <c r="H826" s="5570"/>
      <c r="I826" s="5640"/>
      <c r="J826" s="5688" t="s">
        <v>50</v>
      </c>
      <c r="K826" s="5475" t="s">
        <v>1313</v>
      </c>
      <c r="L826" s="5563"/>
      <c r="M826" s="5564"/>
      <c r="N826" s="5564"/>
      <c r="O826" s="5564">
        <f t="shared" si="376"/>
        <v>0</v>
      </c>
      <c r="P826" s="5566"/>
      <c r="Q826" s="5564">
        <f t="shared" si="377"/>
        <v>0</v>
      </c>
      <c r="R826" s="5566" t="e">
        <f t="shared" si="378"/>
        <v>#DIV/0!</v>
      </c>
      <c r="S826" s="5566"/>
      <c r="T826" s="5564" t="e">
        <f t="shared" si="379"/>
        <v>#DIV/0!</v>
      </c>
      <c r="U826" s="5566"/>
      <c r="V826" s="5564">
        <f t="shared" si="382"/>
        <v>0</v>
      </c>
      <c r="W826" s="5566">
        <v>0</v>
      </c>
      <c r="X826" s="5566"/>
      <c r="Y826" s="5564">
        <f t="shared" si="380"/>
        <v>0</v>
      </c>
      <c r="Z826" s="5566"/>
      <c r="AA826" s="5564">
        <f t="shared" si="381"/>
        <v>0</v>
      </c>
      <c r="AB826" s="5566">
        <v>0</v>
      </c>
      <c r="AC826" s="5349"/>
      <c r="AD826" s="5349"/>
      <c r="AE826" s="5349"/>
      <c r="AF826" s="5349">
        <f t="shared" si="383"/>
        <v>0</v>
      </c>
      <c r="AG826" s="5338">
        <f t="shared" si="384"/>
        <v>0</v>
      </c>
    </row>
    <row r="827" spans="1:33" s="5333" customFormat="1" ht="3" customHeight="1">
      <c r="A827" s="5440"/>
      <c r="B827" s="5439"/>
      <c r="C827" s="5439"/>
      <c r="D827" s="5440"/>
      <c r="E827" s="5440"/>
      <c r="F827" s="5440"/>
      <c r="G827" s="5570"/>
      <c r="H827" s="5570"/>
      <c r="I827" s="5640"/>
      <c r="J827" s="5476"/>
      <c r="K827" s="5475"/>
      <c r="L827" s="5563"/>
      <c r="M827" s="5564"/>
      <c r="N827" s="5564"/>
      <c r="O827" s="5564">
        <f t="shared" si="376"/>
        <v>0</v>
      </c>
      <c r="P827" s="5566"/>
      <c r="Q827" s="5564">
        <f t="shared" si="377"/>
        <v>0</v>
      </c>
      <c r="R827" s="5566"/>
      <c r="S827" s="5566"/>
      <c r="T827" s="5564">
        <f t="shared" si="379"/>
        <v>0</v>
      </c>
      <c r="U827" s="5566"/>
      <c r="V827" s="5564">
        <f t="shared" si="382"/>
        <v>0</v>
      </c>
      <c r="W827" s="5566" t="e">
        <f>S827/P827*100-100</f>
        <v>#DIV/0!</v>
      </c>
      <c r="X827" s="5566"/>
      <c r="Y827" s="5564" t="e">
        <f t="shared" si="380"/>
        <v>#DIV/0!</v>
      </c>
      <c r="Z827" s="5566"/>
      <c r="AA827" s="5564"/>
      <c r="AB827" s="5566"/>
      <c r="AC827" s="5349"/>
      <c r="AD827" s="5349"/>
      <c r="AE827" s="5349"/>
      <c r="AF827" s="5349">
        <f t="shared" si="383"/>
        <v>0</v>
      </c>
      <c r="AG827" s="5338">
        <f t="shared" si="384"/>
        <v>0</v>
      </c>
    </row>
    <row r="828" spans="1:33" s="5333" customFormat="1" ht="15.05" customHeight="1">
      <c r="A828" s="5440"/>
      <c r="B828" s="5439"/>
      <c r="C828" s="5439"/>
      <c r="D828" s="5440">
        <v>4</v>
      </c>
      <c r="E828" s="5440">
        <v>1</v>
      </c>
      <c r="F828" s="5440">
        <v>4</v>
      </c>
      <c r="G828" s="5570" t="s">
        <v>456</v>
      </c>
      <c r="H828" s="5570" t="s">
        <v>438</v>
      </c>
      <c r="I828" s="5640"/>
      <c r="J828" s="5476" t="s">
        <v>319</v>
      </c>
      <c r="K828" s="5475"/>
      <c r="L828" s="5563"/>
      <c r="M828" s="5565">
        <v>100000000</v>
      </c>
      <c r="N828" s="5565">
        <v>100000000</v>
      </c>
      <c r="O828" s="5565">
        <f t="shared" si="376"/>
        <v>0</v>
      </c>
      <c r="P828" s="5566">
        <v>100000000</v>
      </c>
      <c r="Q828" s="5564">
        <f t="shared" si="377"/>
        <v>0</v>
      </c>
      <c r="R828" s="5566">
        <f t="shared" ref="R828:R833" si="385">P828/N828*100-100</f>
        <v>0</v>
      </c>
      <c r="S828" s="5566">
        <v>100000000</v>
      </c>
      <c r="T828" s="5565">
        <f t="shared" si="379"/>
        <v>100000000</v>
      </c>
      <c r="U828" s="5566">
        <v>100000000</v>
      </c>
      <c r="V828" s="5564">
        <f t="shared" si="382"/>
        <v>0</v>
      </c>
      <c r="W828" s="5566">
        <f>S828/P828*100-100</f>
        <v>0</v>
      </c>
      <c r="X828" s="5566" t="e">
        <f>#REF!</f>
        <v>#REF!</v>
      </c>
      <c r="Y828" s="5565" t="e">
        <f t="shared" si="380"/>
        <v>#REF!</v>
      </c>
      <c r="Z828" s="5566">
        <v>100000000</v>
      </c>
      <c r="AA828" s="5564" t="e">
        <f>X828-S828</f>
        <v>#REF!</v>
      </c>
      <c r="AB828" s="5566" t="e">
        <f>X828/S828*100-100</f>
        <v>#REF!</v>
      </c>
      <c r="AC828" s="5350"/>
      <c r="AD828" s="5350"/>
      <c r="AE828" s="5350"/>
      <c r="AF828" s="5349">
        <f t="shared" si="383"/>
        <v>0</v>
      </c>
      <c r="AG828" s="5338">
        <f t="shared" si="384"/>
        <v>0</v>
      </c>
    </row>
    <row r="829" spans="1:33" s="5333" customFormat="1" ht="9.1" customHeight="1">
      <c r="A829" s="5340"/>
      <c r="B829" s="5340"/>
      <c r="C829" s="5340"/>
      <c r="D829" s="5367"/>
      <c r="E829" s="5380"/>
      <c r="F829" s="5380"/>
      <c r="G829" s="5379"/>
      <c r="H829" s="5379"/>
      <c r="I829" s="5495"/>
      <c r="J829" s="5366"/>
      <c r="K829" s="5361"/>
      <c r="L829" s="5365"/>
      <c r="M829" s="5357"/>
      <c r="N829" s="5357"/>
      <c r="O829" s="5357">
        <f t="shared" si="376"/>
        <v>0</v>
      </c>
      <c r="P829" s="5358"/>
      <c r="Q829" s="5357">
        <f t="shared" si="377"/>
        <v>0</v>
      </c>
      <c r="R829" s="5358" t="e">
        <f t="shared" si="385"/>
        <v>#DIV/0!</v>
      </c>
      <c r="S829" s="5358"/>
      <c r="T829" s="5357" t="e">
        <f t="shared" si="379"/>
        <v>#DIV/0!</v>
      </c>
      <c r="U829" s="5358"/>
      <c r="V829" s="5357"/>
      <c r="W829" s="5358"/>
      <c r="X829" s="5358"/>
      <c r="Y829" s="5357">
        <f t="shared" si="380"/>
        <v>0</v>
      </c>
      <c r="Z829" s="5358"/>
      <c r="AA829" s="5357"/>
      <c r="AB829" s="5358"/>
      <c r="AC829" s="5349"/>
      <c r="AD829" s="5349"/>
      <c r="AE829" s="5349"/>
      <c r="AF829" s="5349">
        <f t="shared" si="383"/>
        <v>0</v>
      </c>
      <c r="AG829" s="5338">
        <f t="shared" si="384"/>
        <v>0</v>
      </c>
    </row>
    <row r="830" spans="1:33" s="5333" customFormat="1" ht="15.05" hidden="1" customHeight="1">
      <c r="A830" s="5440"/>
      <c r="B830" s="5439"/>
      <c r="C830" s="5439"/>
      <c r="D830" s="5367">
        <v>4</v>
      </c>
      <c r="E830" s="5367">
        <v>1</v>
      </c>
      <c r="F830" s="5367">
        <v>4</v>
      </c>
      <c r="G830" s="5367" t="s">
        <v>948</v>
      </c>
      <c r="H830" s="5368"/>
      <c r="I830" s="5632"/>
      <c r="J830" s="5366" t="s">
        <v>321</v>
      </c>
      <c r="K830" s="5361"/>
      <c r="L830" s="5365"/>
      <c r="M830" s="5402">
        <v>0</v>
      </c>
      <c r="N830" s="5402">
        <f>+N831</f>
        <v>0</v>
      </c>
      <c r="O830" s="5402">
        <f t="shared" si="376"/>
        <v>0</v>
      </c>
      <c r="P830" s="5401"/>
      <c r="Q830" s="5357">
        <f t="shared" si="377"/>
        <v>0</v>
      </c>
      <c r="R830" s="5401" t="e">
        <f t="shared" si="385"/>
        <v>#DIV/0!</v>
      </c>
      <c r="S830" s="5401"/>
      <c r="T830" s="5402" t="e">
        <f t="shared" si="379"/>
        <v>#DIV/0!</v>
      </c>
      <c r="U830" s="5401"/>
      <c r="V830" s="5357">
        <f t="shared" ref="V830:V835" si="386">S830-P830</f>
        <v>0</v>
      </c>
      <c r="W830" s="5401" t="e">
        <f t="shared" ref="W830:W835" si="387">S830/P830*100-100</f>
        <v>#DIV/0!</v>
      </c>
      <c r="X830" s="5401"/>
      <c r="Y830" s="5402" t="e">
        <f t="shared" si="380"/>
        <v>#DIV/0!</v>
      </c>
      <c r="Z830" s="5401"/>
      <c r="AA830" s="5357">
        <f>X830-S830</f>
        <v>0</v>
      </c>
      <c r="AB830" s="5401" t="e">
        <f>X830/S830*100-100</f>
        <v>#DIV/0!</v>
      </c>
      <c r="AC830" s="5349"/>
      <c r="AD830" s="5349"/>
      <c r="AE830" s="5349"/>
      <c r="AF830" s="5349">
        <f t="shared" si="383"/>
        <v>0</v>
      </c>
      <c r="AG830" s="5338">
        <f t="shared" si="384"/>
        <v>0</v>
      </c>
    </row>
    <row r="831" spans="1:33" s="5333" customFormat="1" ht="15.05" hidden="1" customHeight="1">
      <c r="A831" s="5440"/>
      <c r="B831" s="5439"/>
      <c r="C831" s="5439"/>
      <c r="D831" s="5367">
        <v>4</v>
      </c>
      <c r="E831" s="5367">
        <v>1</v>
      </c>
      <c r="F831" s="5367">
        <v>4</v>
      </c>
      <c r="G831" s="5367" t="s">
        <v>948</v>
      </c>
      <c r="H831" s="5367" t="s">
        <v>437</v>
      </c>
      <c r="I831" s="5631"/>
      <c r="J831" s="5366" t="s">
        <v>85</v>
      </c>
      <c r="K831" s="5361"/>
      <c r="L831" s="5365"/>
      <c r="M831" s="5357">
        <v>0</v>
      </c>
      <c r="N831" s="5357">
        <f>+N832+N833</f>
        <v>0</v>
      </c>
      <c r="O831" s="5357">
        <f t="shared" si="376"/>
        <v>0</v>
      </c>
      <c r="P831" s="5358"/>
      <c r="Q831" s="5357">
        <f t="shared" si="377"/>
        <v>0</v>
      </c>
      <c r="R831" s="5358" t="e">
        <f t="shared" si="385"/>
        <v>#DIV/0!</v>
      </c>
      <c r="S831" s="5358"/>
      <c r="T831" s="5357" t="e">
        <f t="shared" si="379"/>
        <v>#DIV/0!</v>
      </c>
      <c r="U831" s="5358"/>
      <c r="V831" s="5357">
        <f t="shared" si="386"/>
        <v>0</v>
      </c>
      <c r="W831" s="5358" t="e">
        <f t="shared" si="387"/>
        <v>#DIV/0!</v>
      </c>
      <c r="X831" s="5358"/>
      <c r="Y831" s="5357" t="e">
        <f t="shared" si="380"/>
        <v>#DIV/0!</v>
      </c>
      <c r="Z831" s="5358"/>
      <c r="AA831" s="5357">
        <f>X831-S831</f>
        <v>0</v>
      </c>
      <c r="AB831" s="5358" t="e">
        <f>X831/S831*100-100</f>
        <v>#DIV/0!</v>
      </c>
      <c r="AC831" s="5349"/>
      <c r="AD831" s="5349"/>
      <c r="AE831" s="5349"/>
      <c r="AF831" s="5349">
        <f t="shared" si="383"/>
        <v>0</v>
      </c>
      <c r="AG831" s="5338">
        <f t="shared" si="384"/>
        <v>0</v>
      </c>
    </row>
    <row r="832" spans="1:33" s="5333" customFormat="1" ht="15.05" hidden="1" customHeight="1">
      <c r="A832" s="5440"/>
      <c r="B832" s="5439"/>
      <c r="C832" s="5439"/>
      <c r="D832" s="5368"/>
      <c r="E832" s="5380"/>
      <c r="F832" s="5380"/>
      <c r="G832" s="5379"/>
      <c r="H832" s="5379"/>
      <c r="I832" s="5495"/>
      <c r="J832" s="5366" t="s">
        <v>50</v>
      </c>
      <c r="K832" s="5361" t="s">
        <v>1302</v>
      </c>
      <c r="L832" s="5365"/>
      <c r="M832" s="5359">
        <v>0</v>
      </c>
      <c r="N832" s="5359">
        <v>0</v>
      </c>
      <c r="O832" s="5359">
        <f t="shared" si="376"/>
        <v>0</v>
      </c>
      <c r="P832" s="5358"/>
      <c r="Q832" s="5357">
        <f t="shared" si="377"/>
        <v>0</v>
      </c>
      <c r="R832" s="5356" t="e">
        <f t="shared" si="385"/>
        <v>#DIV/0!</v>
      </c>
      <c r="S832" s="5358"/>
      <c r="T832" s="5359" t="e">
        <f t="shared" si="379"/>
        <v>#DIV/0!</v>
      </c>
      <c r="U832" s="5358"/>
      <c r="V832" s="5357">
        <f t="shared" si="386"/>
        <v>0</v>
      </c>
      <c r="W832" s="5356" t="e">
        <f t="shared" si="387"/>
        <v>#DIV/0!</v>
      </c>
      <c r="X832" s="5358"/>
      <c r="Y832" s="5359" t="e">
        <f t="shared" si="380"/>
        <v>#DIV/0!</v>
      </c>
      <c r="Z832" s="5358"/>
      <c r="AA832" s="5357">
        <f>X832-S832</f>
        <v>0</v>
      </c>
      <c r="AB832" s="5356" t="e">
        <f>X832/S832*100-100</f>
        <v>#DIV/0!</v>
      </c>
      <c r="AC832" s="5350"/>
      <c r="AD832" s="5350"/>
      <c r="AE832" s="5350"/>
      <c r="AF832" s="5349">
        <f t="shared" si="383"/>
        <v>0</v>
      </c>
      <c r="AG832" s="5338">
        <f t="shared" si="384"/>
        <v>0</v>
      </c>
    </row>
    <row r="833" spans="1:33" s="5333" customFormat="1" ht="15.05" hidden="1" customHeight="1">
      <c r="A833" s="5437"/>
      <c r="B833" s="5436"/>
      <c r="C833" s="5436"/>
      <c r="D833" s="5435"/>
      <c r="E833" s="5434"/>
      <c r="F833" s="5434"/>
      <c r="G833" s="5433"/>
      <c r="H833" s="5433"/>
      <c r="I833" s="5641"/>
      <c r="J833" s="5438" t="s">
        <v>50</v>
      </c>
      <c r="K833" s="5405" t="s">
        <v>1047</v>
      </c>
      <c r="L833" s="5409"/>
      <c r="M833" s="5359">
        <v>0</v>
      </c>
      <c r="N833" s="5359">
        <v>0</v>
      </c>
      <c r="O833" s="5359">
        <f t="shared" si="376"/>
        <v>0</v>
      </c>
      <c r="P833" s="5358"/>
      <c r="Q833" s="5357">
        <f t="shared" si="377"/>
        <v>0</v>
      </c>
      <c r="R833" s="5356" t="e">
        <f t="shared" si="385"/>
        <v>#DIV/0!</v>
      </c>
      <c r="S833" s="5358"/>
      <c r="T833" s="5359" t="e">
        <f t="shared" si="379"/>
        <v>#DIV/0!</v>
      </c>
      <c r="U833" s="5358"/>
      <c r="V833" s="5357">
        <f t="shared" si="386"/>
        <v>0</v>
      </c>
      <c r="W833" s="5356" t="e">
        <f t="shared" si="387"/>
        <v>#DIV/0!</v>
      </c>
      <c r="X833" s="5358"/>
      <c r="Y833" s="5359" t="e">
        <f t="shared" si="380"/>
        <v>#DIV/0!</v>
      </c>
      <c r="Z833" s="5358"/>
      <c r="AA833" s="5357">
        <f>X833-S833</f>
        <v>0</v>
      </c>
      <c r="AB833" s="5356" t="e">
        <f>X833/S833*100-100</f>
        <v>#DIV/0!</v>
      </c>
      <c r="AC833" s="5350"/>
      <c r="AD833" s="5350"/>
      <c r="AE833" s="5350"/>
      <c r="AF833" s="5349">
        <f t="shared" si="383"/>
        <v>0</v>
      </c>
      <c r="AG833" s="5338">
        <f t="shared" si="384"/>
        <v>0</v>
      </c>
    </row>
    <row r="834" spans="1:33" s="5333" customFormat="1" ht="12.7" hidden="1" customHeight="1">
      <c r="A834" s="5437"/>
      <c r="B834" s="5436"/>
      <c r="C834" s="5436"/>
      <c r="D834" s="5435"/>
      <c r="E834" s="5434"/>
      <c r="F834" s="5434"/>
      <c r="G834" s="5433"/>
      <c r="H834" s="5433"/>
      <c r="I834" s="5641"/>
      <c r="J834" s="5432"/>
      <c r="K834" s="5405"/>
      <c r="L834" s="5409"/>
      <c r="M834" s="5398"/>
      <c r="N834" s="5398"/>
      <c r="O834" s="5398"/>
      <c r="P834" s="5396"/>
      <c r="Q834" s="5397"/>
      <c r="R834" s="5396"/>
      <c r="S834" s="5396"/>
      <c r="T834" s="5398"/>
      <c r="U834" s="5396"/>
      <c r="V834" s="5397">
        <f t="shared" si="386"/>
        <v>0</v>
      </c>
      <c r="W834" s="5396" t="e">
        <f t="shared" si="387"/>
        <v>#DIV/0!</v>
      </c>
      <c r="X834" s="5396"/>
      <c r="Y834" s="5398"/>
      <c r="Z834" s="5396"/>
      <c r="AA834" s="5397"/>
      <c r="AB834" s="5396"/>
      <c r="AC834" s="5349"/>
      <c r="AD834" s="5349"/>
      <c r="AE834" s="5349"/>
      <c r="AF834" s="5349">
        <f t="shared" si="383"/>
        <v>0</v>
      </c>
      <c r="AG834" s="5338">
        <f t="shared" si="384"/>
        <v>0</v>
      </c>
    </row>
    <row r="835" spans="1:33" s="5521" customFormat="1" ht="17.25" customHeight="1">
      <c r="A835" s="5464" t="s">
        <v>58</v>
      </c>
      <c r="B835" s="5463" t="s">
        <v>852</v>
      </c>
      <c r="C835" s="5463" t="s">
        <v>437</v>
      </c>
      <c r="D835" s="5393" t="s">
        <v>58</v>
      </c>
      <c r="E835" s="5392" t="s">
        <v>852</v>
      </c>
      <c r="F835" s="5392" t="s">
        <v>437</v>
      </c>
      <c r="G835" s="5392"/>
      <c r="H835" s="5392"/>
      <c r="I835" s="5637" t="s">
        <v>873</v>
      </c>
      <c r="J835" s="5391" t="s">
        <v>1312</v>
      </c>
      <c r="K835" s="5390"/>
      <c r="L835" s="5389"/>
      <c r="M835" s="5502">
        <v>4193645000</v>
      </c>
      <c r="N835" s="5502">
        <f>N837</f>
        <v>6838151500</v>
      </c>
      <c r="O835" s="5502">
        <f>N835-M835</f>
        <v>2644506500</v>
      </c>
      <c r="P835" s="5501">
        <f>P837</f>
        <v>6876738000</v>
      </c>
      <c r="Q835" s="5502">
        <f>+P835-N835</f>
        <v>38586500</v>
      </c>
      <c r="R835" s="5501">
        <f>P835/N835*100-100</f>
        <v>0.564282613510386</v>
      </c>
      <c r="S835" s="5501">
        <f>S837</f>
        <v>4692225000</v>
      </c>
      <c r="T835" s="5502">
        <f>S835-R835</f>
        <v>4692224999.4357176</v>
      </c>
      <c r="U835" s="5501">
        <f>U837</f>
        <v>6881738000</v>
      </c>
      <c r="V835" s="5502">
        <f t="shared" si="386"/>
        <v>-2184513000</v>
      </c>
      <c r="W835" s="5501">
        <f t="shared" si="387"/>
        <v>-31.766703922702888</v>
      </c>
      <c r="X835" s="5501" t="e">
        <f>X837</f>
        <v>#REF!</v>
      </c>
      <c r="Y835" s="5502" t="e">
        <f>X835-W835</f>
        <v>#REF!</v>
      </c>
      <c r="Z835" s="5501">
        <f>Z837</f>
        <v>6876738000</v>
      </c>
      <c r="AA835" s="5502" t="e">
        <f>X835-S835</f>
        <v>#REF!</v>
      </c>
      <c r="AB835" s="5501" t="e">
        <f>X835/S835*100-100</f>
        <v>#REF!</v>
      </c>
      <c r="AC835" s="5594"/>
      <c r="AD835" s="5594"/>
      <c r="AE835" s="5594"/>
      <c r="AF835" s="5594">
        <f t="shared" si="383"/>
        <v>-2184513000</v>
      </c>
      <c r="AG835" s="5595">
        <f t="shared" si="384"/>
        <v>0</v>
      </c>
    </row>
    <row r="836" spans="1:33" s="5333" customFormat="1" ht="5.95" customHeight="1">
      <c r="A836" s="5340"/>
      <c r="B836" s="5340"/>
      <c r="C836" s="5340"/>
      <c r="D836" s="5387"/>
      <c r="E836" s="5386"/>
      <c r="F836" s="5386"/>
      <c r="G836" s="5386"/>
      <c r="H836" s="5386"/>
      <c r="I836" s="5636"/>
      <c r="J836" s="5385"/>
      <c r="K836" s="5384"/>
      <c r="L836" s="5383"/>
      <c r="M836" s="5382"/>
      <c r="N836" s="5382"/>
      <c r="O836" s="5382"/>
      <c r="P836" s="5381"/>
      <c r="Q836" s="5382"/>
      <c r="R836" s="5381"/>
      <c r="S836" s="5381"/>
      <c r="T836" s="5382"/>
      <c r="U836" s="5381"/>
      <c r="V836" s="5382"/>
      <c r="W836" s="5381"/>
      <c r="X836" s="5381"/>
      <c r="Y836" s="5382"/>
      <c r="Z836" s="5381"/>
      <c r="AA836" s="5382"/>
      <c r="AB836" s="5381"/>
      <c r="AC836" s="5349"/>
      <c r="AD836" s="5349"/>
      <c r="AE836" s="5349"/>
      <c r="AF836" s="5349">
        <f t="shared" si="383"/>
        <v>0</v>
      </c>
      <c r="AG836" s="5338">
        <f t="shared" si="384"/>
        <v>0</v>
      </c>
    </row>
    <row r="837" spans="1:33" s="5333" customFormat="1" ht="15.05" customHeight="1">
      <c r="A837" s="5340"/>
      <c r="B837" s="5340"/>
      <c r="C837" s="5340"/>
      <c r="D837" s="5374">
        <v>4</v>
      </c>
      <c r="E837" s="5374">
        <v>1</v>
      </c>
      <c r="F837" s="5374"/>
      <c r="G837" s="5374"/>
      <c r="H837" s="5374"/>
      <c r="I837" s="5537"/>
      <c r="J837" s="5372" t="s">
        <v>180</v>
      </c>
      <c r="K837" s="5371"/>
      <c r="L837" s="5370"/>
      <c r="M837" s="5357">
        <v>4193645000</v>
      </c>
      <c r="N837" s="5357">
        <f>+N839+N852</f>
        <v>6838151500</v>
      </c>
      <c r="O837" s="5357">
        <f>N837-M837</f>
        <v>2644506500</v>
      </c>
      <c r="P837" s="5358">
        <f>+P839+P852</f>
        <v>6876738000</v>
      </c>
      <c r="Q837" s="5357">
        <f t="shared" ref="Q837:Q842" si="388">+P837-N837</f>
        <v>38586500</v>
      </c>
      <c r="R837" s="5358">
        <f>P837/N837*100-100</f>
        <v>0.564282613510386</v>
      </c>
      <c r="S837" s="5358">
        <f>+S839+S852</f>
        <v>4692225000</v>
      </c>
      <c r="T837" s="5357">
        <f>S837-R837</f>
        <v>4692224999.4357176</v>
      </c>
      <c r="U837" s="5358">
        <f>+U839+U852</f>
        <v>6881738000</v>
      </c>
      <c r="V837" s="5357">
        <f>S837-P837</f>
        <v>-2184513000</v>
      </c>
      <c r="W837" s="5358">
        <f>S837/P837*100-100</f>
        <v>-31.766703922702888</v>
      </c>
      <c r="X837" s="5358" t="e">
        <f>+X839+X852</f>
        <v>#REF!</v>
      </c>
      <c r="Y837" s="5357" t="e">
        <f>X837-W837</f>
        <v>#REF!</v>
      </c>
      <c r="Z837" s="5358">
        <f>+Z839+Z852</f>
        <v>6876738000</v>
      </c>
      <c r="AA837" s="5357" t="e">
        <f>X837-S837</f>
        <v>#REF!</v>
      </c>
      <c r="AB837" s="5358" t="e">
        <f>X837/S837*100-100</f>
        <v>#REF!</v>
      </c>
      <c r="AC837" s="5349"/>
      <c r="AD837" s="5349"/>
      <c r="AE837" s="5349"/>
      <c r="AF837" s="5349">
        <f t="shared" si="383"/>
        <v>-2184513000</v>
      </c>
      <c r="AG837" s="5338">
        <f t="shared" si="384"/>
        <v>0</v>
      </c>
    </row>
    <row r="838" spans="1:33" s="5333" customFormat="1" ht="5.35" customHeight="1">
      <c r="A838" s="5340"/>
      <c r="B838" s="5340"/>
      <c r="C838" s="5340"/>
      <c r="D838" s="5367"/>
      <c r="E838" s="5380"/>
      <c r="F838" s="5380"/>
      <c r="G838" s="5380"/>
      <c r="H838" s="5380"/>
      <c r="I838" s="5496"/>
      <c r="J838" s="5366"/>
      <c r="K838" s="5371"/>
      <c r="L838" s="5370"/>
      <c r="M838" s="5357"/>
      <c r="N838" s="5357"/>
      <c r="O838" s="5357"/>
      <c r="P838" s="5358"/>
      <c r="Q838" s="5357">
        <f t="shared" si="388"/>
        <v>0</v>
      </c>
      <c r="R838" s="5358"/>
      <c r="S838" s="5358"/>
      <c r="T838" s="5357"/>
      <c r="U838" s="5358"/>
      <c r="V838" s="5357">
        <f>S838-P838</f>
        <v>0</v>
      </c>
      <c r="W838" s="5358"/>
      <c r="X838" s="5358"/>
      <c r="Y838" s="5357"/>
      <c r="Z838" s="5358"/>
      <c r="AA838" s="5357"/>
      <c r="AB838" s="5358"/>
      <c r="AC838" s="5349"/>
      <c r="AD838" s="5349"/>
      <c r="AE838" s="5349"/>
      <c r="AF838" s="5349">
        <f t="shared" si="383"/>
        <v>0</v>
      </c>
      <c r="AG838" s="5338">
        <f t="shared" si="384"/>
        <v>0</v>
      </c>
    </row>
    <row r="839" spans="1:33" s="5333" customFormat="1" ht="15.05" customHeight="1">
      <c r="A839" s="5340"/>
      <c r="B839" s="5340"/>
      <c r="C839" s="5340"/>
      <c r="D839" s="5374">
        <v>4</v>
      </c>
      <c r="E839" s="5374">
        <v>1</v>
      </c>
      <c r="F839" s="5374">
        <v>2</v>
      </c>
      <c r="G839" s="5374"/>
      <c r="H839" s="5374"/>
      <c r="I839" s="5537"/>
      <c r="J839" s="5372" t="s">
        <v>106</v>
      </c>
      <c r="K839" s="5371"/>
      <c r="L839" s="5370"/>
      <c r="M839" s="5357">
        <v>346680000</v>
      </c>
      <c r="N839" s="5357">
        <f>+N840</f>
        <v>150000000</v>
      </c>
      <c r="O839" s="5357">
        <f>N839-M839</f>
        <v>-196680000</v>
      </c>
      <c r="P839" s="5358">
        <f>+P840</f>
        <v>165000000</v>
      </c>
      <c r="Q839" s="5357">
        <f t="shared" si="388"/>
        <v>15000000</v>
      </c>
      <c r="R839" s="5358">
        <f>P839/N839*100-100</f>
        <v>10.000000000000014</v>
      </c>
      <c r="S839" s="5358">
        <f>+S840</f>
        <v>300000000</v>
      </c>
      <c r="T839" s="5357">
        <f>S839-R839</f>
        <v>299999990</v>
      </c>
      <c r="U839" s="5358">
        <f>+U840</f>
        <v>170000000</v>
      </c>
      <c r="V839" s="5357">
        <f>S839-P839</f>
        <v>135000000</v>
      </c>
      <c r="W839" s="5358">
        <f>S839/P839*100-100</f>
        <v>81.818181818181813</v>
      </c>
      <c r="X839" s="5358">
        <f>+X840</f>
        <v>505600000</v>
      </c>
      <c r="Y839" s="5357">
        <f>X839-W839</f>
        <v>505599918.18181819</v>
      </c>
      <c r="Z839" s="5358">
        <f>+Z840</f>
        <v>165000000</v>
      </c>
      <c r="AA839" s="5357">
        <f t="shared" ref="AA839:AA846" si="389">X839-S839</f>
        <v>205600000</v>
      </c>
      <c r="AB839" s="5358">
        <f t="shared" ref="AB839:AB846" si="390">X839/S839*100-100</f>
        <v>68.533333333333331</v>
      </c>
      <c r="AC839" s="5349"/>
      <c r="AD839" s="5349"/>
      <c r="AE839" s="5349"/>
      <c r="AF839" s="5349">
        <f t="shared" si="383"/>
        <v>135000000</v>
      </c>
      <c r="AG839" s="5338">
        <f t="shared" si="384"/>
        <v>0</v>
      </c>
    </row>
    <row r="840" spans="1:33" s="5333" customFormat="1" ht="15.05" customHeight="1">
      <c r="A840" s="5340"/>
      <c r="B840" s="5340"/>
      <c r="C840" s="5340"/>
      <c r="D840" s="5367">
        <v>4</v>
      </c>
      <c r="E840" s="5367">
        <v>1</v>
      </c>
      <c r="F840" s="5367">
        <v>2</v>
      </c>
      <c r="G840" s="5368" t="s">
        <v>438</v>
      </c>
      <c r="H840" s="5367"/>
      <c r="I840" s="5631"/>
      <c r="J840" s="5366" t="s">
        <v>374</v>
      </c>
      <c r="K840" s="5361"/>
      <c r="L840" s="5365"/>
      <c r="M840" s="5357">
        <v>346680000</v>
      </c>
      <c r="N840" s="5357">
        <f>N841+N848</f>
        <v>150000000</v>
      </c>
      <c r="O840" s="5357">
        <f>N840-M840</f>
        <v>-196680000</v>
      </c>
      <c r="P840" s="5358">
        <f>P841+P848</f>
        <v>165000000</v>
      </c>
      <c r="Q840" s="5357">
        <f t="shared" si="388"/>
        <v>15000000</v>
      </c>
      <c r="R840" s="5358">
        <f>P840/N840*100-100</f>
        <v>10.000000000000014</v>
      </c>
      <c r="S840" s="5358">
        <f>S841+S848</f>
        <v>300000000</v>
      </c>
      <c r="T840" s="5357">
        <f>S840-R840</f>
        <v>299999990</v>
      </c>
      <c r="U840" s="5358">
        <f>U841+U848</f>
        <v>170000000</v>
      </c>
      <c r="V840" s="5357">
        <f>S840-P840</f>
        <v>135000000</v>
      </c>
      <c r="W840" s="5358">
        <f>S840/P840*100-100</f>
        <v>81.818181818181813</v>
      </c>
      <c r="X840" s="5358">
        <f>X841+X848</f>
        <v>505600000</v>
      </c>
      <c r="Y840" s="5357">
        <f>X840-W840</f>
        <v>505599918.18181819</v>
      </c>
      <c r="Z840" s="5358">
        <f>Z841+Z848</f>
        <v>165000000</v>
      </c>
      <c r="AA840" s="5357">
        <f t="shared" si="389"/>
        <v>205600000</v>
      </c>
      <c r="AB840" s="5358">
        <f t="shared" si="390"/>
        <v>68.533333333333331</v>
      </c>
      <c r="AC840" s="5349"/>
      <c r="AD840" s="5349"/>
      <c r="AE840" s="5349"/>
      <c r="AF840" s="5349">
        <f t="shared" si="383"/>
        <v>135000000</v>
      </c>
      <c r="AG840" s="5338">
        <f t="shared" si="384"/>
        <v>0</v>
      </c>
    </row>
    <row r="841" spans="1:33" s="5333" customFormat="1" ht="15.05" customHeight="1">
      <c r="A841" s="5340"/>
      <c r="B841" s="5340"/>
      <c r="C841" s="5340"/>
      <c r="D841" s="5367">
        <v>4</v>
      </c>
      <c r="E841" s="5367">
        <v>1</v>
      </c>
      <c r="F841" s="5367">
        <v>2</v>
      </c>
      <c r="G841" s="5368" t="s">
        <v>438</v>
      </c>
      <c r="H841" s="5368" t="s">
        <v>437</v>
      </c>
      <c r="I841" s="5632"/>
      <c r="J841" s="5366" t="s">
        <v>64</v>
      </c>
      <c r="K841" s="5361"/>
      <c r="L841" s="5365"/>
      <c r="M841" s="5359">
        <v>200000000</v>
      </c>
      <c r="N841" s="5359">
        <f>N842</f>
        <v>80000000</v>
      </c>
      <c r="O841" s="5359">
        <f>N841-M841</f>
        <v>-120000000</v>
      </c>
      <c r="P841" s="5358">
        <f>P842</f>
        <v>85000000</v>
      </c>
      <c r="Q841" s="5357">
        <f t="shared" si="388"/>
        <v>5000000</v>
      </c>
      <c r="R841" s="5358">
        <f>P841/N841*100-100</f>
        <v>6.25</v>
      </c>
      <c r="S841" s="5358">
        <f t="shared" ref="S841:X841" si="391">SUM(S842:S846)</f>
        <v>150000000</v>
      </c>
      <c r="T841" s="5358">
        <f t="shared" si="391"/>
        <v>45000093.75</v>
      </c>
      <c r="U841" s="5358">
        <f t="shared" si="391"/>
        <v>170000000</v>
      </c>
      <c r="V841" s="5358">
        <f t="shared" si="391"/>
        <v>-40000000</v>
      </c>
      <c r="W841" s="5358">
        <f t="shared" si="391"/>
        <v>-47.058823529411761</v>
      </c>
      <c r="X841" s="5358">
        <f t="shared" si="391"/>
        <v>240600000</v>
      </c>
      <c r="Y841" s="5359">
        <f>X841-W841</f>
        <v>240600047.05882353</v>
      </c>
      <c r="Z841" s="5358">
        <f>Z842</f>
        <v>85000000</v>
      </c>
      <c r="AA841" s="5357">
        <f t="shared" si="389"/>
        <v>90600000</v>
      </c>
      <c r="AB841" s="5358">
        <f t="shared" si="390"/>
        <v>60.400000000000006</v>
      </c>
      <c r="AC841" s="5350"/>
      <c r="AD841" s="5350"/>
      <c r="AE841" s="5350"/>
      <c r="AF841" s="5349">
        <f t="shared" si="383"/>
        <v>65000000</v>
      </c>
      <c r="AG841" s="5338">
        <f t="shared" si="384"/>
        <v>105000000</v>
      </c>
    </row>
    <row r="842" spans="1:33" s="5333" customFormat="1" ht="15.05" customHeight="1">
      <c r="A842" s="5340"/>
      <c r="B842" s="5340"/>
      <c r="C842" s="5340"/>
      <c r="D842" s="5367"/>
      <c r="E842" s="5367"/>
      <c r="F842" s="5367"/>
      <c r="G842" s="5368"/>
      <c r="H842" s="5368"/>
      <c r="I842" s="5632"/>
      <c r="J842" s="5408" t="s">
        <v>50</v>
      </c>
      <c r="K842" s="5361" t="s">
        <v>1498</v>
      </c>
      <c r="L842" s="5365"/>
      <c r="M842" s="5357">
        <v>200000000</v>
      </c>
      <c r="N842" s="5357">
        <v>80000000</v>
      </c>
      <c r="O842" s="5359">
        <f>N842-M842</f>
        <v>-120000000</v>
      </c>
      <c r="P842" s="5358">
        <v>85000000</v>
      </c>
      <c r="Q842" s="5357">
        <f t="shared" si="388"/>
        <v>5000000</v>
      </c>
      <c r="R842" s="5358">
        <f>P842/N842*100-100</f>
        <v>6.25</v>
      </c>
      <c r="S842" s="5358">
        <v>45000000</v>
      </c>
      <c r="T842" s="5359">
        <f>S842-R842</f>
        <v>44999993.75</v>
      </c>
      <c r="U842" s="5358">
        <v>85000000</v>
      </c>
      <c r="V842" s="5357">
        <f>S842-P842</f>
        <v>-40000000</v>
      </c>
      <c r="W842" s="5358">
        <f>S842/P842*100-100</f>
        <v>-47.058823529411761</v>
      </c>
      <c r="X842" s="5358">
        <v>95000000</v>
      </c>
      <c r="Y842" s="5359">
        <f>X842-W842</f>
        <v>95000047.058823526</v>
      </c>
      <c r="Z842" s="5358">
        <v>85000000</v>
      </c>
      <c r="AA842" s="5357">
        <f t="shared" si="389"/>
        <v>50000000</v>
      </c>
      <c r="AB842" s="5358">
        <f t="shared" si="390"/>
        <v>111.11111111111111</v>
      </c>
      <c r="AC842" s="5349"/>
      <c r="AD842" s="5349"/>
      <c r="AE842" s="5349"/>
      <c r="AF842" s="5349">
        <f t="shared" si="383"/>
        <v>-40000000</v>
      </c>
      <c r="AG842" s="5338">
        <f t="shared" si="384"/>
        <v>0</v>
      </c>
    </row>
    <row r="843" spans="1:33" s="5333" customFormat="1" ht="15.05" customHeight="1">
      <c r="A843" s="5340"/>
      <c r="B843" s="5340"/>
      <c r="C843" s="5340"/>
      <c r="D843" s="5367"/>
      <c r="E843" s="5367"/>
      <c r="F843" s="5367"/>
      <c r="G843" s="5368"/>
      <c r="H843" s="5368"/>
      <c r="I843" s="5632"/>
      <c r="J843" s="5408" t="s">
        <v>50</v>
      </c>
      <c r="K843" s="5361" t="s">
        <v>1207</v>
      </c>
      <c r="L843" s="5365"/>
      <c r="M843" s="5357"/>
      <c r="N843" s="5357"/>
      <c r="O843" s="5359"/>
      <c r="P843" s="5358"/>
      <c r="Q843" s="5357"/>
      <c r="R843" s="5358"/>
      <c r="S843" s="5358">
        <v>50000000</v>
      </c>
      <c r="T843" s="5359"/>
      <c r="U843" s="5358"/>
      <c r="V843" s="5357"/>
      <c r="W843" s="5358"/>
      <c r="X843" s="5358">
        <v>50000000</v>
      </c>
      <c r="Y843" s="5359"/>
      <c r="Z843" s="5358"/>
      <c r="AA843" s="5357">
        <f t="shared" si="389"/>
        <v>0</v>
      </c>
      <c r="AB843" s="5358">
        <f t="shared" si="390"/>
        <v>0</v>
      </c>
      <c r="AC843" s="5349"/>
      <c r="AD843" s="5349"/>
      <c r="AE843" s="5349"/>
      <c r="AF843" s="5349"/>
      <c r="AG843" s="5338"/>
    </row>
    <row r="844" spans="1:33" s="5333" customFormat="1" ht="15.05" customHeight="1">
      <c r="A844" s="5340"/>
      <c r="B844" s="5340"/>
      <c r="C844" s="5340"/>
      <c r="D844" s="5367"/>
      <c r="E844" s="5367"/>
      <c r="F844" s="5367"/>
      <c r="G844" s="5368"/>
      <c r="H844" s="5368"/>
      <c r="I844" s="5632"/>
      <c r="J844" s="5408" t="s">
        <v>50</v>
      </c>
      <c r="K844" s="5361" t="s">
        <v>1499</v>
      </c>
      <c r="L844" s="5365"/>
      <c r="M844" s="5357"/>
      <c r="N844" s="5357"/>
      <c r="O844" s="5359"/>
      <c r="P844" s="5358"/>
      <c r="Q844" s="5357"/>
      <c r="R844" s="5358"/>
      <c r="S844" s="5358">
        <v>55000000</v>
      </c>
      <c r="T844" s="5359"/>
      <c r="U844" s="5358"/>
      <c r="V844" s="5357"/>
      <c r="W844" s="5358"/>
      <c r="X844" s="5358">
        <v>85000000</v>
      </c>
      <c r="Y844" s="5359"/>
      <c r="Z844" s="5358"/>
      <c r="AA844" s="5357">
        <f t="shared" si="389"/>
        <v>30000000</v>
      </c>
      <c r="AB844" s="5358">
        <f t="shared" si="390"/>
        <v>54.545454545454533</v>
      </c>
      <c r="AC844" s="5349"/>
      <c r="AD844" s="5349"/>
      <c r="AE844" s="5349"/>
      <c r="AF844" s="5349"/>
      <c r="AG844" s="5338"/>
    </row>
    <row r="845" spans="1:33" s="5333" customFormat="1" ht="15.05" customHeight="1">
      <c r="A845" s="5340"/>
      <c r="B845" s="5340"/>
      <c r="C845" s="5340"/>
      <c r="D845" s="5367"/>
      <c r="E845" s="5367"/>
      <c r="F845" s="5367"/>
      <c r="G845" s="5368"/>
      <c r="H845" s="5368"/>
      <c r="I845" s="5632"/>
      <c r="J845" s="5408" t="s">
        <v>50</v>
      </c>
      <c r="K845" s="5361" t="s">
        <v>1208</v>
      </c>
      <c r="L845" s="5365"/>
      <c r="M845" s="5357"/>
      <c r="N845" s="5357"/>
      <c r="O845" s="5359"/>
      <c r="P845" s="5358"/>
      <c r="Q845" s="5357"/>
      <c r="R845" s="5358"/>
      <c r="S845" s="5358">
        <v>0</v>
      </c>
      <c r="T845" s="5359"/>
      <c r="U845" s="5358"/>
      <c r="V845" s="5357"/>
      <c r="W845" s="5358"/>
      <c r="X845" s="5358">
        <v>7000000</v>
      </c>
      <c r="Y845" s="5359"/>
      <c r="Z845" s="5358"/>
      <c r="AA845" s="5357">
        <f t="shared" si="389"/>
        <v>7000000</v>
      </c>
      <c r="AB845" s="5691" t="e">
        <f t="shared" si="390"/>
        <v>#DIV/0!</v>
      </c>
      <c r="AC845" s="5349"/>
      <c r="AD845" s="5349"/>
      <c r="AE845" s="5349"/>
      <c r="AF845" s="5349"/>
      <c r="AG845" s="5338"/>
    </row>
    <row r="846" spans="1:33" s="5333" customFormat="1" ht="15.05" customHeight="1">
      <c r="A846" s="5340"/>
      <c r="B846" s="5340"/>
      <c r="C846" s="5340"/>
      <c r="D846" s="5367"/>
      <c r="E846" s="5367"/>
      <c r="F846" s="5367"/>
      <c r="G846" s="5368"/>
      <c r="H846" s="5368"/>
      <c r="I846" s="5632"/>
      <c r="J846" s="5408" t="s">
        <v>50</v>
      </c>
      <c r="K846" s="5361" t="s">
        <v>1209</v>
      </c>
      <c r="L846" s="5365"/>
      <c r="M846" s="5357">
        <v>200000000</v>
      </c>
      <c r="N846" s="5357">
        <v>80000000</v>
      </c>
      <c r="O846" s="5359">
        <f>N846-M846</f>
        <v>-120000000</v>
      </c>
      <c r="P846" s="5358">
        <v>0</v>
      </c>
      <c r="Q846" s="5357">
        <f>+P846-N846</f>
        <v>-80000000</v>
      </c>
      <c r="R846" s="5358">
        <f>P846/N846*100-100</f>
        <v>-100</v>
      </c>
      <c r="S846" s="5358">
        <v>0</v>
      </c>
      <c r="T846" s="5359">
        <f>S846-R846</f>
        <v>100</v>
      </c>
      <c r="U846" s="5358">
        <v>85000000</v>
      </c>
      <c r="V846" s="5357">
        <f>S846-P846</f>
        <v>0</v>
      </c>
      <c r="W846" s="5358">
        <v>0</v>
      </c>
      <c r="X846" s="5566">
        <v>3600000</v>
      </c>
      <c r="Y846" s="5359">
        <f>X846-W846</f>
        <v>3600000</v>
      </c>
      <c r="Z846" s="5358">
        <v>85000000</v>
      </c>
      <c r="AA846" s="5357">
        <f t="shared" si="389"/>
        <v>3600000</v>
      </c>
      <c r="AB846" s="5691" t="e">
        <f t="shared" si="390"/>
        <v>#DIV/0!</v>
      </c>
      <c r="AC846" s="5349"/>
      <c r="AD846" s="5349"/>
      <c r="AE846" s="5349"/>
      <c r="AF846" s="5349">
        <f>S846-P846</f>
        <v>0</v>
      </c>
      <c r="AG846" s="5338">
        <f>AF846-V846</f>
        <v>0</v>
      </c>
    </row>
    <row r="847" spans="1:33" s="5333" customFormat="1" ht="8.3000000000000007" customHeight="1">
      <c r="A847" s="5340"/>
      <c r="B847" s="5340"/>
      <c r="C847" s="5340"/>
      <c r="D847" s="5367"/>
      <c r="E847" s="5367"/>
      <c r="F847" s="5367"/>
      <c r="G847" s="5368"/>
      <c r="H847" s="5367"/>
      <c r="I847" s="5631"/>
      <c r="J847" s="5366"/>
      <c r="K847" s="5361"/>
      <c r="L847" s="5365"/>
      <c r="M847" s="5357"/>
      <c r="N847" s="5357"/>
      <c r="O847" s="5359"/>
      <c r="P847" s="5358"/>
      <c r="Q847" s="5357"/>
      <c r="R847" s="5358"/>
      <c r="S847" s="5358"/>
      <c r="T847" s="5359"/>
      <c r="U847" s="5358"/>
      <c r="V847" s="5357"/>
      <c r="W847" s="5358"/>
      <c r="X847" s="5358"/>
      <c r="Y847" s="5359"/>
      <c r="Z847" s="5358"/>
      <c r="AA847" s="5357"/>
      <c r="AB847" s="5358"/>
      <c r="AC847" s="5349"/>
      <c r="AD847" s="5349"/>
      <c r="AE847" s="5349"/>
      <c r="AF847" s="5349">
        <f>S847-P847</f>
        <v>0</v>
      </c>
      <c r="AG847" s="5338">
        <f>AF847-V847</f>
        <v>0</v>
      </c>
    </row>
    <row r="848" spans="1:33" s="5333" customFormat="1" ht="15.05" customHeight="1">
      <c r="A848" s="5340"/>
      <c r="B848" s="5340"/>
      <c r="C848" s="5340"/>
      <c r="D848" s="5367">
        <v>4</v>
      </c>
      <c r="E848" s="5367">
        <v>1</v>
      </c>
      <c r="F848" s="5367">
        <v>2</v>
      </c>
      <c r="G848" s="5368" t="s">
        <v>438</v>
      </c>
      <c r="H848" s="5368" t="s">
        <v>440</v>
      </c>
      <c r="I848" s="5632"/>
      <c r="J848" s="5366" t="s">
        <v>304</v>
      </c>
      <c r="K848" s="5361"/>
      <c r="L848" s="5365"/>
      <c r="M848" s="5359">
        <v>146680000</v>
      </c>
      <c r="N848" s="5359">
        <v>70000000</v>
      </c>
      <c r="O848" s="5359">
        <f>N848-M848</f>
        <v>-76680000</v>
      </c>
      <c r="P848" s="5358">
        <v>80000000</v>
      </c>
      <c r="Q848" s="5357">
        <f>+P848-N848</f>
        <v>10000000</v>
      </c>
      <c r="R848" s="5358">
        <f>P848/N848*100-100</f>
        <v>14.285714285714278</v>
      </c>
      <c r="S848" s="5358">
        <f t="shared" ref="S848:X848" si="392">S849+S850</f>
        <v>150000000</v>
      </c>
      <c r="T848" s="5358">
        <f t="shared" si="392"/>
        <v>0</v>
      </c>
      <c r="U848" s="5358">
        <f t="shared" si="392"/>
        <v>0</v>
      </c>
      <c r="V848" s="5358">
        <f t="shared" si="392"/>
        <v>0</v>
      </c>
      <c r="W848" s="5358">
        <f t="shared" si="392"/>
        <v>0</v>
      </c>
      <c r="X848" s="5358">
        <f t="shared" si="392"/>
        <v>265000000</v>
      </c>
      <c r="Y848" s="5359">
        <f>X848-W848</f>
        <v>265000000</v>
      </c>
      <c r="Z848" s="5358">
        <v>80000000</v>
      </c>
      <c r="AA848" s="5357">
        <f>X848-S848</f>
        <v>115000000</v>
      </c>
      <c r="AB848" s="5358">
        <f>X848/S848*100-100</f>
        <v>76.666666666666657</v>
      </c>
      <c r="AC848" s="5350"/>
      <c r="AD848" s="5350"/>
      <c r="AE848" s="5350"/>
      <c r="AF848" s="5349">
        <f>S848-P848</f>
        <v>70000000</v>
      </c>
      <c r="AG848" s="5338">
        <f>AF848-V848</f>
        <v>70000000</v>
      </c>
    </row>
    <row r="849" spans="1:33" s="5333" customFormat="1" ht="15.05" customHeight="1">
      <c r="A849" s="5340"/>
      <c r="B849" s="5340"/>
      <c r="C849" s="5340"/>
      <c r="D849" s="5364"/>
      <c r="E849" s="5363"/>
      <c r="F849" s="5363"/>
      <c r="G849" s="5399"/>
      <c r="H849" s="5399"/>
      <c r="I849" s="5638"/>
      <c r="J849" s="5362" t="s">
        <v>50</v>
      </c>
      <c r="K849" s="5376" t="s">
        <v>1210</v>
      </c>
      <c r="L849" s="5375"/>
      <c r="M849" s="5359"/>
      <c r="N849" s="5359"/>
      <c r="O849" s="5359"/>
      <c r="P849" s="5358"/>
      <c r="Q849" s="5357"/>
      <c r="R849" s="5358"/>
      <c r="S849" s="5358">
        <v>125000000</v>
      </c>
      <c r="T849" s="5359"/>
      <c r="U849" s="5358"/>
      <c r="V849" s="5357"/>
      <c r="W849" s="5358"/>
      <c r="X849" s="5358">
        <v>265000000</v>
      </c>
      <c r="Y849" s="5359"/>
      <c r="Z849" s="5358"/>
      <c r="AA849" s="5357">
        <f>X849-S849</f>
        <v>140000000</v>
      </c>
      <c r="AB849" s="5358">
        <f>X849/S849*100-100</f>
        <v>112</v>
      </c>
      <c r="AC849" s="5350"/>
      <c r="AD849" s="5350"/>
      <c r="AE849" s="5350"/>
      <c r="AF849" s="5349"/>
      <c r="AG849" s="5338"/>
    </row>
    <row r="850" spans="1:33" s="5333" customFormat="1" ht="15.05" customHeight="1">
      <c r="A850" s="5340"/>
      <c r="B850" s="5340"/>
      <c r="C850" s="5340"/>
      <c r="D850" s="5364"/>
      <c r="E850" s="5363"/>
      <c r="F850" s="5363"/>
      <c r="G850" s="5399"/>
      <c r="H850" s="5399"/>
      <c r="I850" s="5638"/>
      <c r="J850" s="5362" t="s">
        <v>50</v>
      </c>
      <c r="K850" s="5376" t="s">
        <v>1211</v>
      </c>
      <c r="L850" s="5375"/>
      <c r="M850" s="5359"/>
      <c r="N850" s="5359"/>
      <c r="O850" s="5359"/>
      <c r="P850" s="5358"/>
      <c r="Q850" s="5357"/>
      <c r="R850" s="5358"/>
      <c r="S850" s="5358">
        <v>25000000</v>
      </c>
      <c r="T850" s="5359"/>
      <c r="U850" s="5358"/>
      <c r="V850" s="5357"/>
      <c r="W850" s="5358"/>
      <c r="X850" s="5358">
        <v>0</v>
      </c>
      <c r="Y850" s="5359"/>
      <c r="Z850" s="5358"/>
      <c r="AA850" s="5357">
        <f>X850-S850</f>
        <v>-25000000</v>
      </c>
      <c r="AB850" s="5358">
        <f>X850/S850*100-100</f>
        <v>-100</v>
      </c>
      <c r="AC850" s="5350"/>
      <c r="AD850" s="5350"/>
      <c r="AE850" s="5350"/>
      <c r="AF850" s="5349"/>
      <c r="AG850" s="5338"/>
    </row>
    <row r="851" spans="1:33" s="5333" customFormat="1">
      <c r="A851" s="5340"/>
      <c r="B851" s="5340"/>
      <c r="C851" s="5340"/>
      <c r="D851" s="5364"/>
      <c r="E851" s="5363"/>
      <c r="F851" s="5363"/>
      <c r="G851" s="5363"/>
      <c r="H851" s="5363"/>
      <c r="I851" s="5635"/>
      <c r="J851" s="5362"/>
      <c r="K851" s="5376"/>
      <c r="L851" s="5375"/>
      <c r="M851" s="5359"/>
      <c r="N851" s="5359"/>
      <c r="O851" s="5359">
        <f t="shared" ref="O851:O856" si="393">N851-M851</f>
        <v>0</v>
      </c>
      <c r="P851" s="5358"/>
      <c r="Q851" s="5357"/>
      <c r="R851" s="5356"/>
      <c r="S851" s="5358"/>
      <c r="T851" s="5359">
        <f t="shared" ref="T851:T856" si="394">S851-R851</f>
        <v>0</v>
      </c>
      <c r="U851" s="5358"/>
      <c r="V851" s="5357"/>
      <c r="W851" s="5356"/>
      <c r="X851" s="5358"/>
      <c r="Y851" s="5359">
        <f t="shared" ref="Y851:Y856" si="395">X851-W851</f>
        <v>0</v>
      </c>
      <c r="Z851" s="5358"/>
      <c r="AA851" s="5357"/>
      <c r="AB851" s="5356"/>
      <c r="AC851" s="5350"/>
      <c r="AD851" s="5350"/>
      <c r="AE851" s="5350"/>
      <c r="AF851" s="5349">
        <f t="shared" ref="AF851:AF914" si="396">S851-P851</f>
        <v>0</v>
      </c>
      <c r="AG851" s="5338">
        <f t="shared" ref="AG851:AG914" si="397">AF851-V851</f>
        <v>0</v>
      </c>
    </row>
    <row r="852" spans="1:33" s="5333" customFormat="1" ht="13.5" customHeight="1">
      <c r="A852" s="5426"/>
      <c r="B852" s="5426"/>
      <c r="C852" s="5426"/>
      <c r="D852" s="5374">
        <v>4</v>
      </c>
      <c r="E852" s="5374">
        <v>1</v>
      </c>
      <c r="F852" s="5374">
        <v>4</v>
      </c>
      <c r="G852" s="5373"/>
      <c r="H852" s="5373"/>
      <c r="I852" s="5633"/>
      <c r="J852" s="5372" t="s">
        <v>71</v>
      </c>
      <c r="K852" s="5371"/>
      <c r="L852" s="5370"/>
      <c r="M852" s="5357">
        <v>3846965000</v>
      </c>
      <c r="N852" s="5357">
        <f>+N853</f>
        <v>6688151500</v>
      </c>
      <c r="O852" s="5357">
        <f t="shared" si="393"/>
        <v>2841186500</v>
      </c>
      <c r="P852" s="5358">
        <f>+P853</f>
        <v>6711738000</v>
      </c>
      <c r="Q852" s="5357">
        <f t="shared" ref="Q852:Q857" si="398">+P852-N852</f>
        <v>23586500</v>
      </c>
      <c r="R852" s="5358">
        <f t="shared" ref="R852:R857" si="399">P852/N852*100-100</f>
        <v>0.35266097067328417</v>
      </c>
      <c r="S852" s="5358">
        <f>+S853</f>
        <v>4392225000</v>
      </c>
      <c r="T852" s="5357">
        <f t="shared" si="394"/>
        <v>4392224999.6473389</v>
      </c>
      <c r="U852" s="5358">
        <f>+U853</f>
        <v>6711738000</v>
      </c>
      <c r="V852" s="5357">
        <f t="shared" ref="V852:V857" si="400">S852-P852</f>
        <v>-2319513000</v>
      </c>
      <c r="W852" s="5358">
        <f>S852/P852*100-100</f>
        <v>-34.559051619714594</v>
      </c>
      <c r="X852" s="5358" t="e">
        <f>+X853</f>
        <v>#REF!</v>
      </c>
      <c r="Y852" s="5357" t="e">
        <f t="shared" si="395"/>
        <v>#REF!</v>
      </c>
      <c r="Z852" s="5358">
        <f>+Z853</f>
        <v>6711738000</v>
      </c>
      <c r="AA852" s="5357" t="e">
        <f t="shared" ref="AA852:AA857" si="401">X852-S852</f>
        <v>#REF!</v>
      </c>
      <c r="AB852" s="5358" t="e">
        <f>X852/S852*100-100</f>
        <v>#REF!</v>
      </c>
      <c r="AC852" s="5349"/>
      <c r="AD852" s="5349"/>
      <c r="AE852" s="5349"/>
      <c r="AF852" s="5349">
        <f t="shared" si="396"/>
        <v>-2319513000</v>
      </c>
      <c r="AG852" s="5338">
        <f t="shared" si="397"/>
        <v>0</v>
      </c>
    </row>
    <row r="853" spans="1:33" s="5333" customFormat="1" ht="13.5" customHeight="1">
      <c r="A853" s="5426"/>
      <c r="B853" s="5426"/>
      <c r="C853" s="5426"/>
      <c r="D853" s="5367">
        <v>4</v>
      </c>
      <c r="E853" s="5367">
        <v>1</v>
      </c>
      <c r="F853" s="5367">
        <v>4</v>
      </c>
      <c r="G853" s="5367" t="s">
        <v>563</v>
      </c>
      <c r="H853" s="5363"/>
      <c r="I853" s="5635"/>
      <c r="J853" s="5377" t="s">
        <v>329</v>
      </c>
      <c r="K853" s="5376"/>
      <c r="L853" s="5375"/>
      <c r="M853" s="5411">
        <v>3846965000</v>
      </c>
      <c r="N853" s="5411">
        <f>+N854</f>
        <v>6688151500</v>
      </c>
      <c r="O853" s="5411">
        <f t="shared" si="393"/>
        <v>2841186500</v>
      </c>
      <c r="P853" s="5396">
        <f>+P854</f>
        <v>6711738000</v>
      </c>
      <c r="Q853" s="5357">
        <f t="shared" si="398"/>
        <v>23586500</v>
      </c>
      <c r="R853" s="5358">
        <f t="shared" si="399"/>
        <v>0.35266097067328417</v>
      </c>
      <c r="S853" s="5396">
        <f>+S854</f>
        <v>4392225000</v>
      </c>
      <c r="T853" s="5411">
        <f t="shared" si="394"/>
        <v>4392224999.6473389</v>
      </c>
      <c r="U853" s="5396">
        <f>+U854</f>
        <v>6711738000</v>
      </c>
      <c r="V853" s="5357">
        <f t="shared" si="400"/>
        <v>-2319513000</v>
      </c>
      <c r="W853" s="5358">
        <f>S853/P853*100-100</f>
        <v>-34.559051619714594</v>
      </c>
      <c r="X853" s="5396" t="e">
        <f>+X854</f>
        <v>#REF!</v>
      </c>
      <c r="Y853" s="5411" t="e">
        <f t="shared" si="395"/>
        <v>#REF!</v>
      </c>
      <c r="Z853" s="5396">
        <f>+Z854</f>
        <v>6711738000</v>
      </c>
      <c r="AA853" s="5357" t="e">
        <f t="shared" si="401"/>
        <v>#REF!</v>
      </c>
      <c r="AB853" s="5358" t="e">
        <f>X853/S853*100-100</f>
        <v>#REF!</v>
      </c>
      <c r="AC853" s="5350"/>
      <c r="AD853" s="5350"/>
      <c r="AE853" s="5350"/>
      <c r="AF853" s="5349">
        <f t="shared" si="396"/>
        <v>-2319513000</v>
      </c>
      <c r="AG853" s="5338">
        <f t="shared" si="397"/>
        <v>0</v>
      </c>
    </row>
    <row r="854" spans="1:33" s="5333" customFormat="1" ht="13.5" customHeight="1">
      <c r="A854" s="5426"/>
      <c r="B854" s="5426"/>
      <c r="C854" s="5426"/>
      <c r="D854" s="5367">
        <v>4</v>
      </c>
      <c r="E854" s="5367">
        <v>1</v>
      </c>
      <c r="F854" s="5367">
        <v>4</v>
      </c>
      <c r="G854" s="5367" t="s">
        <v>563</v>
      </c>
      <c r="H854" s="5399" t="s">
        <v>437</v>
      </c>
      <c r="I854" s="5638"/>
      <c r="J854" s="5377" t="s">
        <v>329</v>
      </c>
      <c r="K854" s="5376"/>
      <c r="L854" s="5375"/>
      <c r="M854" s="5359">
        <v>3846965000</v>
      </c>
      <c r="N854" s="5359">
        <f>SUM(N855:N857)</f>
        <v>6688151500</v>
      </c>
      <c r="O854" s="5359">
        <f t="shared" si="393"/>
        <v>2841186500</v>
      </c>
      <c r="P854" s="5396">
        <f>+P855+P856</f>
        <v>6711738000</v>
      </c>
      <c r="Q854" s="5357">
        <f t="shared" si="398"/>
        <v>23586500</v>
      </c>
      <c r="R854" s="5358">
        <f t="shared" si="399"/>
        <v>0.35266097067328417</v>
      </c>
      <c r="S854" s="5396">
        <f>S855</f>
        <v>4392225000</v>
      </c>
      <c r="T854" s="5359">
        <f t="shared" si="394"/>
        <v>4392224999.6473389</v>
      </c>
      <c r="U854" s="5396">
        <f>+U855+U856</f>
        <v>6711738000</v>
      </c>
      <c r="V854" s="5357">
        <f t="shared" si="400"/>
        <v>-2319513000</v>
      </c>
      <c r="W854" s="5358">
        <f>S854/P854*100-100</f>
        <v>-34.559051619714594</v>
      </c>
      <c r="X854" s="5396" t="e">
        <f>X855</f>
        <v>#REF!</v>
      </c>
      <c r="Y854" s="5359" t="e">
        <f t="shared" si="395"/>
        <v>#REF!</v>
      </c>
      <c r="Z854" s="5396">
        <f>+Z855+Z856</f>
        <v>6711738000</v>
      </c>
      <c r="AA854" s="5357" t="e">
        <f t="shared" si="401"/>
        <v>#REF!</v>
      </c>
      <c r="AB854" s="5358" t="e">
        <f>X854/S854*100-100</f>
        <v>#REF!</v>
      </c>
      <c r="AC854" s="5430"/>
      <c r="AD854" s="5430"/>
      <c r="AE854" s="5430"/>
      <c r="AF854" s="5349">
        <f t="shared" si="396"/>
        <v>-2319513000</v>
      </c>
      <c r="AG854" s="5338">
        <f t="shared" si="397"/>
        <v>0</v>
      </c>
    </row>
    <row r="855" spans="1:33" s="5333" customFormat="1" ht="14.25" customHeight="1">
      <c r="A855" s="5426"/>
      <c r="B855" s="5426"/>
      <c r="C855" s="5426"/>
      <c r="D855" s="5364"/>
      <c r="E855" s="5364"/>
      <c r="F855" s="5364"/>
      <c r="G855" s="5364"/>
      <c r="H855" s="5399"/>
      <c r="I855" s="5638"/>
      <c r="J855" s="5362" t="s">
        <v>50</v>
      </c>
      <c r="K855" s="5376" t="s">
        <v>1311</v>
      </c>
      <c r="L855" s="5375"/>
      <c r="M855" s="5411">
        <v>3074400000</v>
      </c>
      <c r="N855" s="5411">
        <v>2153805000</v>
      </c>
      <c r="O855" s="5411">
        <f t="shared" si="393"/>
        <v>-920595000</v>
      </c>
      <c r="P855" s="5396">
        <v>4197600000</v>
      </c>
      <c r="Q855" s="5357">
        <f t="shared" si="398"/>
        <v>2043795000</v>
      </c>
      <c r="R855" s="5396">
        <f t="shared" si="399"/>
        <v>94.892295263498795</v>
      </c>
      <c r="S855" s="5396">
        <v>4392225000</v>
      </c>
      <c r="T855" s="5411">
        <f t="shared" si="394"/>
        <v>4392224905.1077051</v>
      </c>
      <c r="U855" s="5396">
        <v>4197600000</v>
      </c>
      <c r="V855" s="5357">
        <f t="shared" si="400"/>
        <v>194625000</v>
      </c>
      <c r="W855" s="5396">
        <f>S855/P855*100-100</f>
        <v>4.6365780445969165</v>
      </c>
      <c r="X855" s="5396" t="e">
        <f>'rekap perdinas Kua PPAS'!N647</f>
        <v>#REF!</v>
      </c>
      <c r="Y855" s="5411" t="e">
        <f t="shared" si="395"/>
        <v>#REF!</v>
      </c>
      <c r="Z855" s="5396">
        <v>4197600000</v>
      </c>
      <c r="AA855" s="5357" t="e">
        <f t="shared" si="401"/>
        <v>#REF!</v>
      </c>
      <c r="AB855" s="5396" t="e">
        <f>X855/S855*100-100</f>
        <v>#REF!</v>
      </c>
      <c r="AC855" s="5350"/>
      <c r="AD855" s="5350"/>
      <c r="AE855" s="5350"/>
      <c r="AF855" s="5349">
        <f t="shared" si="396"/>
        <v>194625000</v>
      </c>
      <c r="AG855" s="5338">
        <f t="shared" si="397"/>
        <v>0</v>
      </c>
    </row>
    <row r="856" spans="1:33" s="5333" customFormat="1" ht="14.25" customHeight="1">
      <c r="A856" s="5426"/>
      <c r="B856" s="5426"/>
      <c r="C856" s="5426"/>
      <c r="D856" s="5364"/>
      <c r="E856" s="5364"/>
      <c r="F856" s="5364"/>
      <c r="G856" s="5364"/>
      <c r="H856" s="5399"/>
      <c r="I856" s="5638"/>
      <c r="J856" s="5362" t="s">
        <v>50</v>
      </c>
      <c r="K856" s="5376" t="s">
        <v>1310</v>
      </c>
      <c r="L856" s="5375"/>
      <c r="M856" s="5411">
        <v>772565000</v>
      </c>
      <c r="N856" s="5411">
        <v>4236166000</v>
      </c>
      <c r="O856" s="5411">
        <f t="shared" si="393"/>
        <v>3463601000</v>
      </c>
      <c r="P856" s="5396">
        <v>2514138000</v>
      </c>
      <c r="Q856" s="5357">
        <f t="shared" si="398"/>
        <v>-1722028000</v>
      </c>
      <c r="R856" s="5396">
        <f t="shared" si="399"/>
        <v>-40.650626061396075</v>
      </c>
      <c r="S856" s="5396">
        <v>0</v>
      </c>
      <c r="T856" s="5411">
        <f t="shared" si="394"/>
        <v>40.650626061396075</v>
      </c>
      <c r="U856" s="5396">
        <v>2514138000</v>
      </c>
      <c r="V856" s="5357">
        <f t="shared" si="400"/>
        <v>-2514138000</v>
      </c>
      <c r="W856" s="5396">
        <f>S856/P856*100-100</f>
        <v>-100</v>
      </c>
      <c r="X856" s="5396">
        <v>0</v>
      </c>
      <c r="Y856" s="5411">
        <f t="shared" si="395"/>
        <v>100</v>
      </c>
      <c r="Z856" s="5396">
        <v>2514138000</v>
      </c>
      <c r="AA856" s="5357">
        <f t="shared" si="401"/>
        <v>0</v>
      </c>
      <c r="AB856" s="5396" t="e">
        <f>X856/S856*100-100</f>
        <v>#DIV/0!</v>
      </c>
      <c r="AC856" s="5350"/>
      <c r="AD856" s="5350"/>
      <c r="AE856" s="5350"/>
      <c r="AF856" s="5349">
        <f t="shared" si="396"/>
        <v>-2514138000</v>
      </c>
      <c r="AG856" s="5338">
        <f t="shared" si="397"/>
        <v>0</v>
      </c>
    </row>
    <row r="857" spans="1:33" s="5333" customFormat="1" ht="14.25" customHeight="1">
      <c r="A857" s="5426"/>
      <c r="B857" s="5426"/>
      <c r="C857" s="5426"/>
      <c r="D857" s="5364"/>
      <c r="E857" s="5364"/>
      <c r="F857" s="5364"/>
      <c r="G857" s="5364"/>
      <c r="H857" s="5399"/>
      <c r="I857" s="5638"/>
      <c r="J857" s="5362" t="s">
        <v>50</v>
      </c>
      <c r="K857" s="5376" t="s">
        <v>1309</v>
      </c>
      <c r="L857" s="5375"/>
      <c r="M857" s="5411">
        <v>0</v>
      </c>
      <c r="N857" s="5411">
        <v>298180500</v>
      </c>
      <c r="O857" s="5411"/>
      <c r="P857" s="5396">
        <v>0</v>
      </c>
      <c r="Q857" s="5357">
        <f t="shared" si="398"/>
        <v>-298180500</v>
      </c>
      <c r="R857" s="5396">
        <f t="shared" si="399"/>
        <v>-100</v>
      </c>
      <c r="S857" s="5396">
        <v>0</v>
      </c>
      <c r="T857" s="5411"/>
      <c r="U857" s="5396">
        <v>0</v>
      </c>
      <c r="V857" s="5357">
        <f t="shared" si="400"/>
        <v>0</v>
      </c>
      <c r="W857" s="5396">
        <v>0</v>
      </c>
      <c r="X857" s="5396">
        <v>0</v>
      </c>
      <c r="Y857" s="5411"/>
      <c r="Z857" s="5396">
        <v>0</v>
      </c>
      <c r="AA857" s="5357">
        <f t="shared" si="401"/>
        <v>0</v>
      </c>
      <c r="AB857" s="5396">
        <v>0</v>
      </c>
      <c r="AC857" s="5350"/>
      <c r="AD857" s="5350"/>
      <c r="AE857" s="5350"/>
      <c r="AF857" s="5349">
        <f t="shared" si="396"/>
        <v>0</v>
      </c>
      <c r="AG857" s="5338">
        <f t="shared" si="397"/>
        <v>0</v>
      </c>
    </row>
    <row r="858" spans="1:33" s="5333" customFormat="1" ht="6.75" customHeight="1">
      <c r="A858" s="5340"/>
      <c r="B858" s="5340"/>
      <c r="C858" s="5340"/>
      <c r="D858" s="5364"/>
      <c r="E858" s="5364"/>
      <c r="F858" s="5364"/>
      <c r="G858" s="5378"/>
      <c r="H858" s="5378"/>
      <c r="I858" s="5639"/>
      <c r="J858" s="5377"/>
      <c r="K858" s="5376"/>
      <c r="L858" s="5375"/>
      <c r="M858" s="5398"/>
      <c r="N858" s="5398"/>
      <c r="O858" s="5398"/>
      <c r="P858" s="5396"/>
      <c r="Q858" s="5397"/>
      <c r="R858" s="5396"/>
      <c r="S858" s="5396"/>
      <c r="T858" s="5398"/>
      <c r="U858" s="5396"/>
      <c r="V858" s="5397"/>
      <c r="W858" s="5396"/>
      <c r="X858" s="5396"/>
      <c r="Y858" s="5398"/>
      <c r="Z858" s="5396"/>
      <c r="AA858" s="5397"/>
      <c r="AB858" s="5396"/>
      <c r="AC858" s="5350"/>
      <c r="AD858" s="5350"/>
      <c r="AE858" s="5350"/>
      <c r="AF858" s="5349">
        <f t="shared" si="396"/>
        <v>0</v>
      </c>
      <c r="AG858" s="5338">
        <f t="shared" si="397"/>
        <v>0</v>
      </c>
    </row>
    <row r="859" spans="1:33" s="5521" customFormat="1" ht="14.25" customHeight="1">
      <c r="A859" s="5464" t="s">
        <v>460</v>
      </c>
      <c r="B859" s="5463" t="s">
        <v>437</v>
      </c>
      <c r="C859" s="5463" t="s">
        <v>437</v>
      </c>
      <c r="D859" s="5393" t="s">
        <v>460</v>
      </c>
      <c r="E859" s="5392" t="s">
        <v>437</v>
      </c>
      <c r="F859" s="5392" t="s">
        <v>437</v>
      </c>
      <c r="G859" s="5392"/>
      <c r="H859" s="5392"/>
      <c r="I859" s="5637" t="s">
        <v>886</v>
      </c>
      <c r="J859" s="5391" t="s">
        <v>463</v>
      </c>
      <c r="K859" s="5390"/>
      <c r="L859" s="5389"/>
      <c r="M859" s="5502">
        <v>1364694000</v>
      </c>
      <c r="N859" s="5502">
        <f>+N861</f>
        <v>1364387000</v>
      </c>
      <c r="O859" s="5502">
        <f>N859-M859</f>
        <v>-307000</v>
      </c>
      <c r="P859" s="5501">
        <f>+P861</f>
        <v>1364387000</v>
      </c>
      <c r="Q859" s="5502">
        <f>+P859-N859</f>
        <v>0</v>
      </c>
      <c r="R859" s="5501">
        <f>P859/N859*100-100</f>
        <v>0</v>
      </c>
      <c r="S859" s="5501">
        <f>+S861</f>
        <v>1274387000</v>
      </c>
      <c r="T859" s="5502">
        <f>S859-R859</f>
        <v>1274387000</v>
      </c>
      <c r="U859" s="5501">
        <f>+U861</f>
        <v>1551387000</v>
      </c>
      <c r="V859" s="5502">
        <f>S859-P859</f>
        <v>-90000000</v>
      </c>
      <c r="W859" s="5501">
        <f>S859/P859*100-100</f>
        <v>-6.5963689187891816</v>
      </c>
      <c r="X859" s="5501">
        <f>+X861</f>
        <v>1153018000</v>
      </c>
      <c r="Y859" s="5502">
        <f>X859-W859</f>
        <v>1153018006.596369</v>
      </c>
      <c r="Z859" s="5501">
        <f>+Z861</f>
        <v>1364387000</v>
      </c>
      <c r="AA859" s="5502">
        <f>X859-S859</f>
        <v>-121369000</v>
      </c>
      <c r="AB859" s="5501">
        <f>X859/S859*100-100</f>
        <v>-9.5237161082151687</v>
      </c>
      <c r="AC859" s="5594">
        <f>X859+X889+X906</f>
        <v>1163518000</v>
      </c>
      <c r="AD859" s="5594"/>
      <c r="AE859" s="5594"/>
      <c r="AF859" s="5594">
        <f t="shared" si="396"/>
        <v>-90000000</v>
      </c>
      <c r="AG859" s="5595">
        <f t="shared" si="397"/>
        <v>0</v>
      </c>
    </row>
    <row r="860" spans="1:33" s="5333" customFormat="1" ht="4.55" customHeight="1">
      <c r="A860" s="5340"/>
      <c r="B860" s="5340"/>
      <c r="C860" s="5340"/>
      <c r="D860" s="5387"/>
      <c r="E860" s="5386"/>
      <c r="F860" s="5386"/>
      <c r="G860" s="5386"/>
      <c r="H860" s="5386"/>
      <c r="I860" s="5636"/>
      <c r="J860" s="5385"/>
      <c r="K860" s="5384"/>
      <c r="L860" s="5383"/>
      <c r="M860" s="5382"/>
      <c r="N860" s="5382"/>
      <c r="O860" s="5382">
        <f>N860-M860</f>
        <v>0</v>
      </c>
      <c r="P860" s="5381"/>
      <c r="Q860" s="5382"/>
      <c r="R860" s="5381"/>
      <c r="S860" s="5381"/>
      <c r="T860" s="5382">
        <f>S860-R860</f>
        <v>0</v>
      </c>
      <c r="U860" s="5381"/>
      <c r="V860" s="5382">
        <f>S860-P860</f>
        <v>0</v>
      </c>
      <c r="W860" s="5381"/>
      <c r="X860" s="5381"/>
      <c r="Y860" s="5382">
        <f>X860-W860</f>
        <v>0</v>
      </c>
      <c r="Z860" s="5381"/>
      <c r="AA860" s="5382"/>
      <c r="AB860" s="5381"/>
      <c r="AC860" s="5349"/>
      <c r="AD860" s="5349"/>
      <c r="AE860" s="5349"/>
      <c r="AF860" s="5349">
        <f t="shared" si="396"/>
        <v>0</v>
      </c>
      <c r="AG860" s="5338">
        <f t="shared" si="397"/>
        <v>0</v>
      </c>
    </row>
    <row r="861" spans="1:33" s="5333" customFormat="1" ht="15.05" customHeight="1">
      <c r="A861" s="5340"/>
      <c r="B861" s="5340"/>
      <c r="C861" s="5340"/>
      <c r="D861" s="5374">
        <v>4</v>
      </c>
      <c r="E861" s="5374">
        <v>1</v>
      </c>
      <c r="F861" s="5374"/>
      <c r="G861" s="5374"/>
      <c r="H861" s="5374"/>
      <c r="I861" s="5537"/>
      <c r="J861" s="5372" t="s">
        <v>180</v>
      </c>
      <c r="K861" s="5371"/>
      <c r="L861" s="5370"/>
      <c r="M861" s="5357">
        <v>1364694000</v>
      </c>
      <c r="N861" s="5357">
        <f>+N863+N880</f>
        <v>1364387000</v>
      </c>
      <c r="O861" s="5357">
        <f>N861-M861</f>
        <v>-307000</v>
      </c>
      <c r="P861" s="5358">
        <f>+P863+P880</f>
        <v>1364387000</v>
      </c>
      <c r="Q861" s="5357">
        <f>+P861-N861</f>
        <v>0</v>
      </c>
      <c r="R861" s="5358">
        <f>P861/N861*100-100</f>
        <v>0</v>
      </c>
      <c r="S861" s="5358">
        <f>+S863+S880</f>
        <v>1274387000</v>
      </c>
      <c r="T861" s="5357">
        <f>S861-R861</f>
        <v>1274387000</v>
      </c>
      <c r="U861" s="5358">
        <f>+U863+U880</f>
        <v>1551387000</v>
      </c>
      <c r="V861" s="5357">
        <f>S861-P861</f>
        <v>-90000000</v>
      </c>
      <c r="W861" s="5358">
        <f>S861/P861*100-100</f>
        <v>-6.5963689187891816</v>
      </c>
      <c r="X861" s="5358">
        <f>+X863+X880</f>
        <v>1153018000</v>
      </c>
      <c r="Y861" s="5357">
        <f>X861-W861</f>
        <v>1153018006.596369</v>
      </c>
      <c r="Z861" s="5358">
        <f>+Z863+Z880</f>
        <v>1364387000</v>
      </c>
      <c r="AA861" s="5357">
        <f>X861-S861</f>
        <v>-121369000</v>
      </c>
      <c r="AB861" s="5358">
        <f>X861/S861*100-100</f>
        <v>-9.5237161082151687</v>
      </c>
      <c r="AC861" s="5349"/>
      <c r="AD861" s="5349"/>
      <c r="AE861" s="5349"/>
      <c r="AF861" s="5349">
        <f t="shared" si="396"/>
        <v>-90000000</v>
      </c>
      <c r="AG861" s="5338">
        <f t="shared" si="397"/>
        <v>0</v>
      </c>
    </row>
    <row r="862" spans="1:33" s="5333" customFormat="1" ht="7.55" customHeight="1">
      <c r="A862" s="5340"/>
      <c r="B862" s="5340"/>
      <c r="C862" s="5340"/>
      <c r="D862" s="5367"/>
      <c r="E862" s="5380"/>
      <c r="F862" s="5380"/>
      <c r="G862" s="5380"/>
      <c r="H862" s="5380"/>
      <c r="I862" s="5496"/>
      <c r="J862" s="5366"/>
      <c r="K862" s="5371"/>
      <c r="L862" s="5370"/>
      <c r="M862" s="5357"/>
      <c r="N862" s="5357"/>
      <c r="O862" s="5357"/>
      <c r="P862" s="5358"/>
      <c r="Q862" s="5357"/>
      <c r="R862" s="5358"/>
      <c r="S862" s="5358"/>
      <c r="T862" s="5357"/>
      <c r="U862" s="5358"/>
      <c r="V862" s="5357"/>
      <c r="W862" s="5358"/>
      <c r="X862" s="5358"/>
      <c r="Y862" s="5357"/>
      <c r="Z862" s="5358"/>
      <c r="AA862" s="5357"/>
      <c r="AB862" s="5358"/>
      <c r="AC862" s="5349"/>
      <c r="AD862" s="5349"/>
      <c r="AE862" s="5349"/>
      <c r="AF862" s="5349">
        <f t="shared" si="396"/>
        <v>0</v>
      </c>
      <c r="AG862" s="5338">
        <f t="shared" si="397"/>
        <v>0</v>
      </c>
    </row>
    <row r="863" spans="1:33" s="5333" customFormat="1" ht="15.05" customHeight="1">
      <c r="A863" s="5340"/>
      <c r="B863" s="5340"/>
      <c r="C863" s="5340"/>
      <c r="D863" s="5374">
        <v>4</v>
      </c>
      <c r="E863" s="5374">
        <v>1</v>
      </c>
      <c r="F863" s="5374">
        <v>2</v>
      </c>
      <c r="G863" s="5374"/>
      <c r="H863" s="5374"/>
      <c r="I863" s="5537"/>
      <c r="J863" s="5372" t="s">
        <v>106</v>
      </c>
      <c r="K863" s="5371"/>
      <c r="L863" s="5370"/>
      <c r="M863" s="5357">
        <v>1364694000</v>
      </c>
      <c r="N863" s="5357">
        <f>+N864</f>
        <v>1364387000</v>
      </c>
      <c r="O863" s="5357">
        <f t="shared" ref="O863:O887" si="402">N863-M863</f>
        <v>-307000</v>
      </c>
      <c r="P863" s="5358">
        <f>+P864</f>
        <v>1364387000</v>
      </c>
      <c r="Q863" s="5357">
        <f t="shared" ref="Q863:Q887" si="403">+P863-N863</f>
        <v>0</v>
      </c>
      <c r="R863" s="5358">
        <f t="shared" ref="R863:R871" si="404">P863/N863*100-100</f>
        <v>0</v>
      </c>
      <c r="S863" s="5358">
        <f>+S864</f>
        <v>1274387000</v>
      </c>
      <c r="T863" s="5357">
        <f>S863-R863</f>
        <v>1274387000</v>
      </c>
      <c r="U863" s="5358">
        <f>+U864</f>
        <v>1551387000</v>
      </c>
      <c r="V863" s="5357">
        <f>S863-P863</f>
        <v>-90000000</v>
      </c>
      <c r="W863" s="5358">
        <f>S863/P863*100-100</f>
        <v>-6.5963689187891816</v>
      </c>
      <c r="X863" s="5358">
        <f>+X864</f>
        <v>1153018000</v>
      </c>
      <c r="Y863" s="5357">
        <f t="shared" ref="Y863:Y887" si="405">X863-W863</f>
        <v>1153018006.596369</v>
      </c>
      <c r="Z863" s="5358">
        <f>+Z864</f>
        <v>1364387000</v>
      </c>
      <c r="AA863" s="5357">
        <f>X863-S863</f>
        <v>-121369000</v>
      </c>
      <c r="AB863" s="5358">
        <f>X863/S863*100-100</f>
        <v>-9.5237161082151687</v>
      </c>
      <c r="AC863" s="5349"/>
      <c r="AD863" s="5349"/>
      <c r="AE863" s="5349"/>
      <c r="AF863" s="5349">
        <f t="shared" si="396"/>
        <v>-90000000</v>
      </c>
      <c r="AG863" s="5338">
        <f t="shared" si="397"/>
        <v>0</v>
      </c>
    </row>
    <row r="864" spans="1:33" s="5333" customFormat="1" ht="15.05" customHeight="1">
      <c r="A864" s="5340"/>
      <c r="B864" s="5340"/>
      <c r="C864" s="5340"/>
      <c r="D864" s="5367">
        <v>4</v>
      </c>
      <c r="E864" s="5367">
        <v>1</v>
      </c>
      <c r="F864" s="5367">
        <v>2</v>
      </c>
      <c r="G864" s="5368" t="s">
        <v>438</v>
      </c>
      <c r="H864" s="5367"/>
      <c r="I864" s="5631"/>
      <c r="J864" s="5366" t="s">
        <v>374</v>
      </c>
      <c r="K864" s="5361"/>
      <c r="L864" s="5365"/>
      <c r="M864" s="5357">
        <v>1364694000</v>
      </c>
      <c r="N864" s="5357">
        <f>+N865+N868</f>
        <v>1364387000</v>
      </c>
      <c r="O864" s="5357">
        <f t="shared" si="402"/>
        <v>-307000</v>
      </c>
      <c r="P864" s="5358">
        <f>+P865+P868</f>
        <v>1364387000</v>
      </c>
      <c r="Q864" s="5357">
        <f t="shared" si="403"/>
        <v>0</v>
      </c>
      <c r="R864" s="5358">
        <f t="shared" si="404"/>
        <v>0</v>
      </c>
      <c r="S864" s="5358">
        <f>+S865+S868</f>
        <v>1274387000</v>
      </c>
      <c r="T864" s="5357">
        <f>S864-R864</f>
        <v>1274387000</v>
      </c>
      <c r="U864" s="5358">
        <f>+U865+U868</f>
        <v>1551387000</v>
      </c>
      <c r="V864" s="5357">
        <f>S864-P864</f>
        <v>-90000000</v>
      </c>
      <c r="W864" s="5358">
        <f>S864/P864*100-100</f>
        <v>-6.5963689187891816</v>
      </c>
      <c r="X864" s="5358">
        <f>+X865+X868</f>
        <v>1153018000</v>
      </c>
      <c r="Y864" s="5357">
        <f t="shared" si="405"/>
        <v>1153018006.596369</v>
      </c>
      <c r="Z864" s="5358">
        <f>+Z865+Z868</f>
        <v>1364387000</v>
      </c>
      <c r="AA864" s="5357">
        <f>X864-S864</f>
        <v>-121369000</v>
      </c>
      <c r="AB864" s="5358">
        <f>X864/S864*100-100</f>
        <v>-9.5237161082151687</v>
      </c>
      <c r="AC864" s="5349"/>
      <c r="AD864" s="5349"/>
      <c r="AE864" s="5349"/>
      <c r="AF864" s="5349">
        <f t="shared" si="396"/>
        <v>-90000000</v>
      </c>
      <c r="AG864" s="5338">
        <f t="shared" si="397"/>
        <v>0</v>
      </c>
    </row>
    <row r="865" spans="1:33" s="5333" customFormat="1" ht="15.05" customHeight="1">
      <c r="A865" s="5340"/>
      <c r="B865" s="5340"/>
      <c r="C865" s="5340"/>
      <c r="D865" s="5367">
        <v>4</v>
      </c>
      <c r="E865" s="5367">
        <v>1</v>
      </c>
      <c r="F865" s="5367">
        <v>2</v>
      </c>
      <c r="G865" s="5368" t="s">
        <v>438</v>
      </c>
      <c r="H865" s="5368" t="s">
        <v>440</v>
      </c>
      <c r="I865" s="5632"/>
      <c r="J865" s="5366" t="s">
        <v>304</v>
      </c>
      <c r="K865" s="5371"/>
      <c r="L865" s="5370"/>
      <c r="M865" s="5357">
        <v>0</v>
      </c>
      <c r="N865" s="5357">
        <f>N866</f>
        <v>0</v>
      </c>
      <c r="O865" s="5359">
        <f t="shared" si="402"/>
        <v>0</v>
      </c>
      <c r="P865" s="5358">
        <f>P866</f>
        <v>0</v>
      </c>
      <c r="Q865" s="5357">
        <f t="shared" si="403"/>
        <v>0</v>
      </c>
      <c r="R865" s="5358" t="e">
        <f t="shared" si="404"/>
        <v>#DIV/0!</v>
      </c>
      <c r="S865" s="5358">
        <f>S866</f>
        <v>200000000</v>
      </c>
      <c r="T865" s="5359" t="e">
        <f>S865-R865</f>
        <v>#DIV/0!</v>
      </c>
      <c r="U865" s="5358">
        <f>U866</f>
        <v>150000000</v>
      </c>
      <c r="V865" s="5357">
        <f>S865-P865</f>
        <v>200000000</v>
      </c>
      <c r="W865" s="5358">
        <v>0</v>
      </c>
      <c r="X865" s="5358">
        <f>X866</f>
        <v>200000000</v>
      </c>
      <c r="Y865" s="5359">
        <f t="shared" si="405"/>
        <v>200000000</v>
      </c>
      <c r="Z865" s="5358">
        <f>Z866</f>
        <v>0</v>
      </c>
      <c r="AA865" s="5357">
        <f>X865-S865</f>
        <v>0</v>
      </c>
      <c r="AB865" s="5358">
        <v>0</v>
      </c>
      <c r="AC865" s="5349"/>
      <c r="AD865" s="5349"/>
      <c r="AE865" s="5349"/>
      <c r="AF865" s="5349">
        <f t="shared" si="396"/>
        <v>200000000</v>
      </c>
      <c r="AG865" s="5338">
        <f t="shared" si="397"/>
        <v>0</v>
      </c>
    </row>
    <row r="866" spans="1:33" s="5333" customFormat="1" ht="15.05" customHeight="1">
      <c r="A866" s="5340"/>
      <c r="B866" s="5340"/>
      <c r="C866" s="5340"/>
      <c r="D866" s="5368"/>
      <c r="E866" s="5380"/>
      <c r="F866" s="5380"/>
      <c r="G866" s="5379"/>
      <c r="H866" s="5379"/>
      <c r="I866" s="5495"/>
      <c r="J866" s="5408" t="s">
        <v>50</v>
      </c>
      <c r="K866" s="5361" t="s">
        <v>1304</v>
      </c>
      <c r="L866" s="5365"/>
      <c r="M866" s="5359">
        <v>0</v>
      </c>
      <c r="N866" s="5359">
        <v>0</v>
      </c>
      <c r="O866" s="5359">
        <f t="shared" si="402"/>
        <v>0</v>
      </c>
      <c r="P866" s="5358">
        <v>0</v>
      </c>
      <c r="Q866" s="5357">
        <f t="shared" si="403"/>
        <v>0</v>
      </c>
      <c r="R866" s="5358" t="e">
        <f t="shared" si="404"/>
        <v>#DIV/0!</v>
      </c>
      <c r="S866" s="5358">
        <v>200000000</v>
      </c>
      <c r="T866" s="5359" t="e">
        <f>S866-R866</f>
        <v>#DIV/0!</v>
      </c>
      <c r="U866" s="5358">
        <v>150000000</v>
      </c>
      <c r="V866" s="5357">
        <f>S866-P866</f>
        <v>200000000</v>
      </c>
      <c r="W866" s="5358" t="e">
        <f>S866/P866*100-100</f>
        <v>#DIV/0!</v>
      </c>
      <c r="X866" s="5358">
        <v>200000000</v>
      </c>
      <c r="Y866" s="5359" t="e">
        <f t="shared" si="405"/>
        <v>#DIV/0!</v>
      </c>
      <c r="Z866" s="5358">
        <v>0</v>
      </c>
      <c r="AA866" s="5357">
        <f>X866-S866</f>
        <v>0</v>
      </c>
      <c r="AB866" s="5358">
        <v>0</v>
      </c>
      <c r="AC866" s="5350"/>
      <c r="AD866" s="5350"/>
      <c r="AE866" s="5350"/>
      <c r="AF866" s="5349">
        <f t="shared" si="396"/>
        <v>200000000</v>
      </c>
      <c r="AG866" s="5338">
        <f t="shared" si="397"/>
        <v>0</v>
      </c>
    </row>
    <row r="867" spans="1:33" s="5333" customFormat="1" ht="5.95" customHeight="1">
      <c r="A867" s="5340"/>
      <c r="B867" s="5340"/>
      <c r="C867" s="5340"/>
      <c r="D867" s="5368"/>
      <c r="E867" s="5380"/>
      <c r="F867" s="5380"/>
      <c r="G867" s="5379"/>
      <c r="H867" s="5379"/>
      <c r="I867" s="5495"/>
      <c r="J867" s="5408"/>
      <c r="K867" s="5361"/>
      <c r="L867" s="5365"/>
      <c r="M867" s="5357"/>
      <c r="N867" s="5357"/>
      <c r="O867" s="5357">
        <f t="shared" si="402"/>
        <v>0</v>
      </c>
      <c r="P867" s="5358"/>
      <c r="Q867" s="5357">
        <f t="shared" si="403"/>
        <v>0</v>
      </c>
      <c r="R867" s="5358" t="e">
        <f t="shared" si="404"/>
        <v>#DIV/0!</v>
      </c>
      <c r="S867" s="5358"/>
      <c r="T867" s="5357" t="e">
        <f>S867-R867</f>
        <v>#DIV/0!</v>
      </c>
      <c r="U867" s="5358"/>
      <c r="V867" s="5357"/>
      <c r="W867" s="5358"/>
      <c r="X867" s="5358"/>
      <c r="Y867" s="5357">
        <f t="shared" si="405"/>
        <v>0</v>
      </c>
      <c r="Z867" s="5358"/>
      <c r="AA867" s="5357"/>
      <c r="AB867" s="5358"/>
      <c r="AC867" s="5349"/>
      <c r="AD867" s="5349"/>
      <c r="AE867" s="5349"/>
      <c r="AF867" s="5349">
        <f t="shared" si="396"/>
        <v>0</v>
      </c>
      <c r="AG867" s="5338">
        <f t="shared" si="397"/>
        <v>0</v>
      </c>
    </row>
    <row r="868" spans="1:33" s="5333" customFormat="1" ht="12.7" customHeight="1">
      <c r="A868" s="5340"/>
      <c r="B868" s="5340"/>
      <c r="C868" s="5340"/>
      <c r="D868" s="5367">
        <v>4</v>
      </c>
      <c r="E868" s="5367">
        <v>1</v>
      </c>
      <c r="F868" s="5367">
        <v>2</v>
      </c>
      <c r="G868" s="5368" t="s">
        <v>438</v>
      </c>
      <c r="H868" s="5368" t="s">
        <v>448</v>
      </c>
      <c r="I868" s="5632"/>
      <c r="J868" s="5366" t="s">
        <v>361</v>
      </c>
      <c r="K868" s="5361"/>
      <c r="L868" s="5365"/>
      <c r="M868" s="5357">
        <v>1364694000</v>
      </c>
      <c r="N868" s="5357">
        <f>SUM(N869:N878)</f>
        <v>1364387000</v>
      </c>
      <c r="O868" s="5357">
        <f t="shared" si="402"/>
        <v>-307000</v>
      </c>
      <c r="P868" s="5358">
        <f>SUM(P869:P878)</f>
        <v>1364387000</v>
      </c>
      <c r="Q868" s="5357">
        <f t="shared" si="403"/>
        <v>0</v>
      </c>
      <c r="R868" s="5358">
        <f t="shared" si="404"/>
        <v>0</v>
      </c>
      <c r="S868" s="5358">
        <f t="shared" ref="S868:X868" si="406">SUM(S869:S878)+S920</f>
        <v>1074387000</v>
      </c>
      <c r="T868" s="5358">
        <f t="shared" si="406"/>
        <v>1074387000</v>
      </c>
      <c r="U868" s="5358">
        <f t="shared" si="406"/>
        <v>1401387000</v>
      </c>
      <c r="V868" s="5358">
        <f t="shared" si="406"/>
        <v>-327000000</v>
      </c>
      <c r="W868" s="5358">
        <f t="shared" si="406"/>
        <v>-172.97297297297297</v>
      </c>
      <c r="X868" s="5358">
        <f t="shared" si="406"/>
        <v>953018000</v>
      </c>
      <c r="Y868" s="5357">
        <f t="shared" si="405"/>
        <v>953018172.97297299</v>
      </c>
      <c r="Z868" s="5358">
        <f>SUM(Z869:Z878)</f>
        <v>1364387000</v>
      </c>
      <c r="AA868" s="5357">
        <f t="shared" ref="AA868:AA887" si="407">X868-S868</f>
        <v>-121369000</v>
      </c>
      <c r="AB868" s="5358">
        <f>X868/S868*100-100</f>
        <v>-11.296581213287197</v>
      </c>
      <c r="AC868" s="5349"/>
      <c r="AD868" s="5349"/>
      <c r="AE868" s="5349"/>
      <c r="AF868" s="5349">
        <f t="shared" si="396"/>
        <v>-290000000</v>
      </c>
      <c r="AG868" s="5338">
        <f t="shared" si="397"/>
        <v>37000000</v>
      </c>
    </row>
    <row r="869" spans="1:33" s="5333" customFormat="1" ht="14.25" customHeight="1">
      <c r="A869" s="5340"/>
      <c r="B869" s="5340"/>
      <c r="C869" s="5340"/>
      <c r="D869" s="5368"/>
      <c r="E869" s="5380"/>
      <c r="F869" s="5380"/>
      <c r="G869" s="5379"/>
      <c r="H869" s="5380"/>
      <c r="I869" s="5496"/>
      <c r="J869" s="5408" t="s">
        <v>50</v>
      </c>
      <c r="K869" s="5361" t="s">
        <v>343</v>
      </c>
      <c r="L869" s="5365"/>
      <c r="M869" s="5359">
        <v>259229500</v>
      </c>
      <c r="N869" s="5359">
        <v>259229500</v>
      </c>
      <c r="O869" s="5359">
        <f t="shared" si="402"/>
        <v>0</v>
      </c>
      <c r="P869" s="5358">
        <v>259229500</v>
      </c>
      <c r="Q869" s="5357">
        <f t="shared" si="403"/>
        <v>0</v>
      </c>
      <c r="R869" s="5358">
        <f t="shared" si="404"/>
        <v>0</v>
      </c>
      <c r="S869" s="5358">
        <v>259229500</v>
      </c>
      <c r="T869" s="5359">
        <f t="shared" ref="T869:T887" si="408">S869-R869</f>
        <v>259229500</v>
      </c>
      <c r="U869" s="5358">
        <v>259229500</v>
      </c>
      <c r="V869" s="5357">
        <f t="shared" ref="V869:V878" si="409">S869-P869</f>
        <v>0</v>
      </c>
      <c r="W869" s="5358">
        <f>S869/P869*100-100</f>
        <v>0</v>
      </c>
      <c r="X869" s="5358">
        <f>'rekap perdinas Kua PPAS'!N674</f>
        <v>281240000</v>
      </c>
      <c r="Y869" s="5359">
        <f t="shared" si="405"/>
        <v>281240000</v>
      </c>
      <c r="Z869" s="5358">
        <v>259229500</v>
      </c>
      <c r="AA869" s="5357">
        <f t="shared" si="407"/>
        <v>22010500</v>
      </c>
      <c r="AB869" s="5358">
        <f>X869/S869*100-100</f>
        <v>8.4907389012438728</v>
      </c>
      <c r="AC869" s="5350"/>
      <c r="AD869" s="5350"/>
      <c r="AE869" s="5350"/>
      <c r="AF869" s="5349">
        <f t="shared" si="396"/>
        <v>0</v>
      </c>
      <c r="AG869" s="5338">
        <f t="shared" si="397"/>
        <v>0</v>
      </c>
    </row>
    <row r="870" spans="1:33" s="5333" customFormat="1" ht="14.25" customHeight="1">
      <c r="A870" s="5340"/>
      <c r="B870" s="5340"/>
      <c r="C870" s="5340"/>
      <c r="D870" s="5368"/>
      <c r="E870" s="5380"/>
      <c r="F870" s="5380"/>
      <c r="G870" s="5379"/>
      <c r="H870" s="5380"/>
      <c r="I870" s="5496"/>
      <c r="J870" s="5408" t="s">
        <v>50</v>
      </c>
      <c r="K870" s="5361" t="s">
        <v>344</v>
      </c>
      <c r="L870" s="5365"/>
      <c r="M870" s="5359">
        <v>374739500</v>
      </c>
      <c r="N870" s="5359">
        <v>374739500</v>
      </c>
      <c r="O870" s="5359">
        <f t="shared" si="402"/>
        <v>0</v>
      </c>
      <c r="P870" s="5358">
        <v>374739500</v>
      </c>
      <c r="Q870" s="5357">
        <f t="shared" si="403"/>
        <v>0</v>
      </c>
      <c r="R870" s="5358">
        <f t="shared" si="404"/>
        <v>0</v>
      </c>
      <c r="S870" s="5358">
        <v>374739500</v>
      </c>
      <c r="T870" s="5359">
        <f t="shared" si="408"/>
        <v>374739500</v>
      </c>
      <c r="U870" s="5358">
        <v>374739500</v>
      </c>
      <c r="V870" s="5357">
        <f t="shared" si="409"/>
        <v>0</v>
      </c>
      <c r="W870" s="5358">
        <f>S870/P870*100-100</f>
        <v>0</v>
      </c>
      <c r="X870" s="5358">
        <f>'rekap perdinas Kua PPAS'!N675</f>
        <v>246440000</v>
      </c>
      <c r="Y870" s="5359">
        <f t="shared" si="405"/>
        <v>246440000</v>
      </c>
      <c r="Z870" s="5358">
        <v>374739500</v>
      </c>
      <c r="AA870" s="5357">
        <f t="shared" si="407"/>
        <v>-128299500</v>
      </c>
      <c r="AB870" s="5358">
        <f>X870/S870*100-100</f>
        <v>-34.236983291059516</v>
      </c>
      <c r="AC870" s="5350"/>
      <c r="AD870" s="5350"/>
      <c r="AE870" s="5350"/>
      <c r="AF870" s="5349">
        <f t="shared" si="396"/>
        <v>0</v>
      </c>
      <c r="AG870" s="5338">
        <f t="shared" si="397"/>
        <v>0</v>
      </c>
    </row>
    <row r="871" spans="1:33" s="5333" customFormat="1" ht="14.25" customHeight="1">
      <c r="A871" s="5340"/>
      <c r="B871" s="5340"/>
      <c r="C871" s="5340"/>
      <c r="D871" s="5368"/>
      <c r="E871" s="5380"/>
      <c r="F871" s="5380"/>
      <c r="G871" s="5379"/>
      <c r="H871" s="5380"/>
      <c r="I871" s="5496"/>
      <c r="J871" s="5408" t="s">
        <v>50</v>
      </c>
      <c r="K871" s="5361" t="s">
        <v>345</v>
      </c>
      <c r="L871" s="5365"/>
      <c r="M871" s="5359">
        <v>253465000</v>
      </c>
      <c r="N871" s="5359">
        <v>271618000</v>
      </c>
      <c r="O871" s="5359">
        <f t="shared" si="402"/>
        <v>18153000</v>
      </c>
      <c r="P871" s="5358">
        <v>271618000</v>
      </c>
      <c r="Q871" s="5357">
        <f t="shared" si="403"/>
        <v>0</v>
      </c>
      <c r="R871" s="5358">
        <f t="shared" si="404"/>
        <v>0</v>
      </c>
      <c r="S871" s="5358">
        <v>271618000</v>
      </c>
      <c r="T871" s="5359">
        <f t="shared" si="408"/>
        <v>271618000</v>
      </c>
      <c r="U871" s="5358">
        <v>271618000</v>
      </c>
      <c r="V871" s="5357">
        <f t="shared" si="409"/>
        <v>0</v>
      </c>
      <c r="W871" s="5358">
        <f>S871/P871*100-100</f>
        <v>0</v>
      </c>
      <c r="X871" s="5358">
        <f>'rekap perdinas Kua PPAS'!N676</f>
        <v>271985000</v>
      </c>
      <c r="Y871" s="5359">
        <f t="shared" si="405"/>
        <v>271985000</v>
      </c>
      <c r="Z871" s="5358">
        <v>271618000</v>
      </c>
      <c r="AA871" s="5357">
        <f t="shared" si="407"/>
        <v>367000</v>
      </c>
      <c r="AB871" s="5358">
        <f>X871/S871*100-100</f>
        <v>0.13511622941042845</v>
      </c>
      <c r="AC871" s="5350"/>
      <c r="AD871" s="5350"/>
      <c r="AE871" s="5350"/>
      <c r="AF871" s="5349">
        <f t="shared" si="396"/>
        <v>0</v>
      </c>
      <c r="AG871" s="5338">
        <f t="shared" si="397"/>
        <v>0</v>
      </c>
    </row>
    <row r="872" spans="1:33" s="5333" customFormat="1" ht="11.3" customHeight="1">
      <c r="A872" s="5340"/>
      <c r="B872" s="5340"/>
      <c r="C872" s="5340"/>
      <c r="D872" s="5368"/>
      <c r="E872" s="5380"/>
      <c r="F872" s="5380"/>
      <c r="G872" s="5379"/>
      <c r="H872" s="5380"/>
      <c r="I872" s="5496"/>
      <c r="J872" s="5408" t="s">
        <v>50</v>
      </c>
      <c r="K872" s="5361" t="s">
        <v>346</v>
      </c>
      <c r="L872" s="5365"/>
      <c r="M872" s="5359">
        <v>0</v>
      </c>
      <c r="N872" s="5359">
        <v>0</v>
      </c>
      <c r="O872" s="5359">
        <f t="shared" si="402"/>
        <v>0</v>
      </c>
      <c r="P872" s="5358">
        <v>0</v>
      </c>
      <c r="Q872" s="5357">
        <f t="shared" si="403"/>
        <v>0</v>
      </c>
      <c r="R872" s="5358">
        <v>0</v>
      </c>
      <c r="S872" s="5358">
        <v>0</v>
      </c>
      <c r="T872" s="5359">
        <f t="shared" si="408"/>
        <v>0</v>
      </c>
      <c r="U872" s="5358">
        <v>0</v>
      </c>
      <c r="V872" s="5357">
        <f t="shared" si="409"/>
        <v>0</v>
      </c>
      <c r="W872" s="5358">
        <v>0</v>
      </c>
      <c r="X872" s="5358">
        <v>0</v>
      </c>
      <c r="Y872" s="5359">
        <f t="shared" si="405"/>
        <v>0</v>
      </c>
      <c r="Z872" s="5358">
        <v>0</v>
      </c>
      <c r="AA872" s="5357">
        <f t="shared" si="407"/>
        <v>0</v>
      </c>
      <c r="AB872" s="5358">
        <v>0</v>
      </c>
      <c r="AC872" s="5350"/>
      <c r="AD872" s="5350"/>
      <c r="AE872" s="5350"/>
      <c r="AF872" s="5349">
        <f t="shared" si="396"/>
        <v>0</v>
      </c>
      <c r="AG872" s="5338">
        <f t="shared" si="397"/>
        <v>0</v>
      </c>
    </row>
    <row r="873" spans="1:33" s="5333" customFormat="1" ht="11.3" customHeight="1">
      <c r="A873" s="5340"/>
      <c r="B873" s="5340"/>
      <c r="C873" s="5340"/>
      <c r="D873" s="5368"/>
      <c r="E873" s="5380"/>
      <c r="F873" s="5380"/>
      <c r="G873" s="5379"/>
      <c r="H873" s="5380"/>
      <c r="I873" s="5496"/>
      <c r="J873" s="5408" t="s">
        <v>50</v>
      </c>
      <c r="K873" s="5361" t="s">
        <v>347</v>
      </c>
      <c r="L873" s="5365"/>
      <c r="M873" s="5359">
        <v>0</v>
      </c>
      <c r="N873" s="5359">
        <v>0</v>
      </c>
      <c r="O873" s="5359">
        <f t="shared" si="402"/>
        <v>0</v>
      </c>
      <c r="P873" s="5358">
        <v>0</v>
      </c>
      <c r="Q873" s="5357">
        <f t="shared" si="403"/>
        <v>0</v>
      </c>
      <c r="R873" s="5358">
        <v>0</v>
      </c>
      <c r="S873" s="5358">
        <v>0</v>
      </c>
      <c r="T873" s="5359">
        <f t="shared" si="408"/>
        <v>0</v>
      </c>
      <c r="U873" s="5358">
        <v>0</v>
      </c>
      <c r="V873" s="5357">
        <f t="shared" si="409"/>
        <v>0</v>
      </c>
      <c r="W873" s="5358">
        <v>0</v>
      </c>
      <c r="X873" s="5358">
        <v>0</v>
      </c>
      <c r="Y873" s="5359">
        <f t="shared" si="405"/>
        <v>0</v>
      </c>
      <c r="Z873" s="5358">
        <v>0</v>
      </c>
      <c r="AA873" s="5357">
        <f t="shared" si="407"/>
        <v>0</v>
      </c>
      <c r="AB873" s="5358">
        <v>0</v>
      </c>
      <c r="AC873" s="5350"/>
      <c r="AD873" s="5350"/>
      <c r="AE873" s="5350"/>
      <c r="AF873" s="5349">
        <f t="shared" si="396"/>
        <v>0</v>
      </c>
      <c r="AG873" s="5338">
        <f t="shared" si="397"/>
        <v>0</v>
      </c>
    </row>
    <row r="874" spans="1:33" s="5333" customFormat="1" ht="15.05" customHeight="1">
      <c r="A874" s="5340"/>
      <c r="B874" s="5340"/>
      <c r="C874" s="5340"/>
      <c r="D874" s="5368"/>
      <c r="E874" s="5380"/>
      <c r="F874" s="5380"/>
      <c r="G874" s="5379"/>
      <c r="H874" s="5380"/>
      <c r="I874" s="5496"/>
      <c r="J874" s="5408" t="s">
        <v>50</v>
      </c>
      <c r="K874" s="5361" t="s">
        <v>348</v>
      </c>
      <c r="L874" s="5365"/>
      <c r="M874" s="5359">
        <v>68500000</v>
      </c>
      <c r="N874" s="5359">
        <v>46200000</v>
      </c>
      <c r="O874" s="5359">
        <f t="shared" si="402"/>
        <v>-22300000</v>
      </c>
      <c r="P874" s="5358">
        <v>46200000</v>
      </c>
      <c r="Q874" s="5357">
        <f t="shared" si="403"/>
        <v>0</v>
      </c>
      <c r="R874" s="5358">
        <f>P874/N874*100-100</f>
        <v>0</v>
      </c>
      <c r="S874" s="5358">
        <v>46200000</v>
      </c>
      <c r="T874" s="5359">
        <f t="shared" si="408"/>
        <v>46200000</v>
      </c>
      <c r="U874" s="5358">
        <v>46200000</v>
      </c>
      <c r="V874" s="5357">
        <f t="shared" si="409"/>
        <v>0</v>
      </c>
      <c r="W874" s="5358">
        <f>S874/P874*100-100</f>
        <v>0</v>
      </c>
      <c r="X874" s="5358">
        <f>'rekap perdinas Kua PPAS'!N679</f>
        <v>50200000</v>
      </c>
      <c r="Y874" s="5359">
        <f t="shared" si="405"/>
        <v>50200000</v>
      </c>
      <c r="Z874" s="5358">
        <v>46200000</v>
      </c>
      <c r="AA874" s="5357">
        <f t="shared" si="407"/>
        <v>4000000</v>
      </c>
      <c r="AB874" s="5358">
        <f>X874/S874*100-100</f>
        <v>8.6580086580086544</v>
      </c>
      <c r="AC874" s="5350"/>
      <c r="AD874" s="5350"/>
      <c r="AE874" s="5350"/>
      <c r="AF874" s="5349">
        <f t="shared" si="396"/>
        <v>0</v>
      </c>
      <c r="AG874" s="5338">
        <f t="shared" si="397"/>
        <v>0</v>
      </c>
    </row>
    <row r="875" spans="1:33" s="5333" customFormat="1" ht="15.05" customHeight="1">
      <c r="A875" s="5340"/>
      <c r="B875" s="5340"/>
      <c r="C875" s="5340"/>
      <c r="D875" s="5368"/>
      <c r="E875" s="5380"/>
      <c r="F875" s="5380"/>
      <c r="G875" s="5379"/>
      <c r="H875" s="5380"/>
      <c r="I875" s="5496"/>
      <c r="J875" s="5408" t="s">
        <v>50</v>
      </c>
      <c r="K875" s="5361" t="s">
        <v>349</v>
      </c>
      <c r="L875" s="5365"/>
      <c r="M875" s="5359">
        <v>84360000</v>
      </c>
      <c r="N875" s="5359">
        <v>88200000</v>
      </c>
      <c r="O875" s="5359">
        <f t="shared" si="402"/>
        <v>3840000</v>
      </c>
      <c r="P875" s="5358">
        <v>88200000</v>
      </c>
      <c r="Q875" s="5357">
        <f t="shared" si="403"/>
        <v>0</v>
      </c>
      <c r="R875" s="5358">
        <f>P875/N875*100-100</f>
        <v>0</v>
      </c>
      <c r="S875" s="5358">
        <v>88200000</v>
      </c>
      <c r="T875" s="5359">
        <f t="shared" si="408"/>
        <v>88200000</v>
      </c>
      <c r="U875" s="5358">
        <v>88200000</v>
      </c>
      <c r="V875" s="5357">
        <f t="shared" si="409"/>
        <v>0</v>
      </c>
      <c r="W875" s="5358">
        <f>S875/P875*100-100</f>
        <v>0</v>
      </c>
      <c r="X875" s="5358">
        <f>'rekap perdinas Kua PPAS'!N680</f>
        <v>68200000</v>
      </c>
      <c r="Y875" s="5359">
        <f t="shared" si="405"/>
        <v>68200000</v>
      </c>
      <c r="Z875" s="5358">
        <v>88200000</v>
      </c>
      <c r="AA875" s="5357">
        <f t="shared" si="407"/>
        <v>-20000000</v>
      </c>
      <c r="AB875" s="5358">
        <f>X875/S875*100-100</f>
        <v>-22.675736961451236</v>
      </c>
      <c r="AC875" s="5350"/>
      <c r="AD875" s="5350"/>
      <c r="AE875" s="5350"/>
      <c r="AF875" s="5349">
        <f t="shared" si="396"/>
        <v>0</v>
      </c>
      <c r="AG875" s="5338">
        <f t="shared" si="397"/>
        <v>0</v>
      </c>
    </row>
    <row r="876" spans="1:33" s="5333" customFormat="1" ht="15.05" customHeight="1">
      <c r="A876" s="5340"/>
      <c r="B876" s="5340"/>
      <c r="C876" s="5340"/>
      <c r="D876" s="5368"/>
      <c r="E876" s="5380"/>
      <c r="F876" s="5380"/>
      <c r="G876" s="5379"/>
      <c r="H876" s="5380"/>
      <c r="I876" s="5496"/>
      <c r="J876" s="5408" t="s">
        <v>50</v>
      </c>
      <c r="K876" s="5361" t="s">
        <v>350</v>
      </c>
      <c r="L876" s="5365"/>
      <c r="M876" s="5359">
        <v>24400000</v>
      </c>
      <c r="N876" s="5359">
        <v>24400000</v>
      </c>
      <c r="O876" s="5359">
        <f t="shared" si="402"/>
        <v>0</v>
      </c>
      <c r="P876" s="5358">
        <v>24400000</v>
      </c>
      <c r="Q876" s="5357">
        <f t="shared" si="403"/>
        <v>0</v>
      </c>
      <c r="R876" s="5358">
        <f>P876/N876*100-100</f>
        <v>0</v>
      </c>
      <c r="S876" s="5358">
        <v>24400000</v>
      </c>
      <c r="T876" s="5359">
        <f t="shared" si="408"/>
        <v>24400000</v>
      </c>
      <c r="U876" s="5358">
        <v>24400000</v>
      </c>
      <c r="V876" s="5357">
        <f t="shared" si="409"/>
        <v>0</v>
      </c>
      <c r="W876" s="5358">
        <f>S876/P876*100-100</f>
        <v>0</v>
      </c>
      <c r="X876" s="5358">
        <f>'rekap perdinas Kua PPAS'!N681</f>
        <v>24453000</v>
      </c>
      <c r="Y876" s="5359">
        <f t="shared" si="405"/>
        <v>24453000</v>
      </c>
      <c r="Z876" s="5358">
        <v>24400000</v>
      </c>
      <c r="AA876" s="5357">
        <f t="shared" si="407"/>
        <v>53000</v>
      </c>
      <c r="AB876" s="5358">
        <f>X876/S876*100-100</f>
        <v>0.21721311475408811</v>
      </c>
      <c r="AC876" s="5350"/>
      <c r="AD876" s="5350"/>
      <c r="AE876" s="5350"/>
      <c r="AF876" s="5349">
        <f t="shared" si="396"/>
        <v>0</v>
      </c>
      <c r="AG876" s="5338">
        <f t="shared" si="397"/>
        <v>0</v>
      </c>
    </row>
    <row r="877" spans="1:33" s="5333" customFormat="1" ht="15.05" customHeight="1">
      <c r="A877" s="5340"/>
      <c r="B877" s="5340"/>
      <c r="C877" s="5340"/>
      <c r="D877" s="5368"/>
      <c r="E877" s="5380"/>
      <c r="F877" s="5380"/>
      <c r="G877" s="5379"/>
      <c r="H877" s="5380"/>
      <c r="I877" s="5496"/>
      <c r="J877" s="5408" t="s">
        <v>50</v>
      </c>
      <c r="K877" s="5361" t="s">
        <v>351</v>
      </c>
      <c r="L877" s="5365"/>
      <c r="M877" s="5359">
        <v>300000000</v>
      </c>
      <c r="N877" s="5359">
        <v>300000000</v>
      </c>
      <c r="O877" s="5359">
        <f t="shared" si="402"/>
        <v>0</v>
      </c>
      <c r="P877" s="5358">
        <v>300000000</v>
      </c>
      <c r="Q877" s="5357">
        <f t="shared" si="403"/>
        <v>0</v>
      </c>
      <c r="R877" s="5358">
        <f>P877/N877*100-100</f>
        <v>0</v>
      </c>
      <c r="S877" s="5358">
        <v>0</v>
      </c>
      <c r="T877" s="5359">
        <f t="shared" si="408"/>
        <v>0</v>
      </c>
      <c r="U877" s="5358">
        <v>300000000</v>
      </c>
      <c r="V877" s="5357">
        <f t="shared" si="409"/>
        <v>-300000000</v>
      </c>
      <c r="W877" s="5358">
        <f>S877/P877*100-100</f>
        <v>-100</v>
      </c>
      <c r="X877" s="5358">
        <v>0</v>
      </c>
      <c r="Y877" s="5359">
        <f t="shared" si="405"/>
        <v>100</v>
      </c>
      <c r="Z877" s="5358">
        <v>300000000</v>
      </c>
      <c r="AA877" s="5357">
        <f t="shared" si="407"/>
        <v>0</v>
      </c>
      <c r="AB877" s="5358">
        <v>0</v>
      </c>
      <c r="AC877" s="5350"/>
      <c r="AD877" s="5350"/>
      <c r="AE877" s="5350"/>
      <c r="AF877" s="5349">
        <f t="shared" si="396"/>
        <v>-300000000</v>
      </c>
      <c r="AG877" s="5338">
        <f t="shared" si="397"/>
        <v>0</v>
      </c>
    </row>
    <row r="878" spans="1:33" s="5333" customFormat="1" ht="12.7" customHeight="1">
      <c r="A878" s="5340"/>
      <c r="B878" s="5340"/>
      <c r="C878" s="5340"/>
      <c r="D878" s="5368"/>
      <c r="E878" s="5380"/>
      <c r="F878" s="5380"/>
      <c r="G878" s="5379"/>
      <c r="H878" s="5380"/>
      <c r="I878" s="5496"/>
      <c r="J878" s="5408" t="s">
        <v>50</v>
      </c>
      <c r="K878" s="5361" t="s">
        <v>1308</v>
      </c>
      <c r="L878" s="5365"/>
      <c r="M878" s="5359">
        <v>0</v>
      </c>
      <c r="N878" s="5359">
        <v>0</v>
      </c>
      <c r="O878" s="5359">
        <f t="shared" si="402"/>
        <v>0</v>
      </c>
      <c r="P878" s="5358">
        <v>0</v>
      </c>
      <c r="Q878" s="5357">
        <f t="shared" si="403"/>
        <v>0</v>
      </c>
      <c r="R878" s="5358">
        <v>0</v>
      </c>
      <c r="S878" s="5358">
        <v>0</v>
      </c>
      <c r="T878" s="5359">
        <f t="shared" si="408"/>
        <v>0</v>
      </c>
      <c r="U878" s="5358">
        <v>0</v>
      </c>
      <c r="V878" s="5357">
        <f t="shared" si="409"/>
        <v>0</v>
      </c>
      <c r="W878" s="5358">
        <v>0</v>
      </c>
      <c r="X878" s="5358">
        <v>0</v>
      </c>
      <c r="Y878" s="5359">
        <f t="shared" si="405"/>
        <v>0</v>
      </c>
      <c r="Z878" s="5358">
        <v>0</v>
      </c>
      <c r="AA878" s="5357">
        <f t="shared" si="407"/>
        <v>0</v>
      </c>
      <c r="AB878" s="5358">
        <v>0</v>
      </c>
      <c r="AC878" s="5350"/>
      <c r="AD878" s="5350"/>
      <c r="AE878" s="5350"/>
      <c r="AF878" s="5349">
        <f t="shared" si="396"/>
        <v>0</v>
      </c>
      <c r="AG878" s="5338">
        <f t="shared" si="397"/>
        <v>0</v>
      </c>
    </row>
    <row r="879" spans="1:33" s="5333" customFormat="1" ht="15.05" hidden="1" customHeight="1">
      <c r="A879" s="5340"/>
      <c r="B879" s="5340"/>
      <c r="C879" s="5340"/>
      <c r="D879" s="5368"/>
      <c r="E879" s="5380"/>
      <c r="F879" s="5380"/>
      <c r="G879" s="5379"/>
      <c r="H879" s="5380"/>
      <c r="I879" s="5496"/>
      <c r="J879" s="5366"/>
      <c r="K879" s="5361"/>
      <c r="L879" s="5365"/>
      <c r="M879" s="5357"/>
      <c r="N879" s="5357"/>
      <c r="O879" s="5357">
        <f t="shared" si="402"/>
        <v>0</v>
      </c>
      <c r="P879" s="5358"/>
      <c r="Q879" s="5357">
        <f t="shared" si="403"/>
        <v>0</v>
      </c>
      <c r="R879" s="5358" t="e">
        <f t="shared" ref="R879:R887" si="410">P879/N879*100-100</f>
        <v>#DIV/0!</v>
      </c>
      <c r="S879" s="5358"/>
      <c r="T879" s="5357" t="e">
        <f t="shared" si="408"/>
        <v>#DIV/0!</v>
      </c>
      <c r="U879" s="5358"/>
      <c r="V879" s="5357"/>
      <c r="W879" s="5358" t="e">
        <f t="shared" ref="W879:W887" si="411">S879/P879*100-100</f>
        <v>#DIV/0!</v>
      </c>
      <c r="X879" s="5358"/>
      <c r="Y879" s="5357" t="e">
        <f t="shared" si="405"/>
        <v>#DIV/0!</v>
      </c>
      <c r="Z879" s="5358"/>
      <c r="AA879" s="5357">
        <f t="shared" si="407"/>
        <v>0</v>
      </c>
      <c r="AB879" s="5358" t="e">
        <f t="shared" ref="AB879:AB887" si="412">X879/S879*100-100</f>
        <v>#DIV/0!</v>
      </c>
      <c r="AC879" s="5349"/>
      <c r="AD879" s="5349"/>
      <c r="AE879" s="5349"/>
      <c r="AF879" s="5349">
        <f t="shared" si="396"/>
        <v>0</v>
      </c>
      <c r="AG879" s="5338">
        <f t="shared" si="397"/>
        <v>0</v>
      </c>
    </row>
    <row r="880" spans="1:33" s="5333" customFormat="1" ht="16.45" hidden="1" customHeight="1">
      <c r="A880" s="5340"/>
      <c r="B880" s="5340"/>
      <c r="C880" s="5340"/>
      <c r="D880" s="5374">
        <v>4</v>
      </c>
      <c r="E880" s="5374">
        <v>1</v>
      </c>
      <c r="F880" s="5374">
        <v>4</v>
      </c>
      <c r="G880" s="5373"/>
      <c r="H880" s="5373"/>
      <c r="I880" s="5633"/>
      <c r="J880" s="5372" t="s">
        <v>71</v>
      </c>
      <c r="K880" s="5371"/>
      <c r="L880" s="5370"/>
      <c r="M880" s="5357">
        <v>0</v>
      </c>
      <c r="N880" s="5357">
        <f>+N881+N884</f>
        <v>0</v>
      </c>
      <c r="O880" s="5357">
        <f t="shared" si="402"/>
        <v>0</v>
      </c>
      <c r="P880" s="5358"/>
      <c r="Q880" s="5357">
        <f t="shared" si="403"/>
        <v>0</v>
      </c>
      <c r="R880" s="5358" t="e">
        <f t="shared" si="410"/>
        <v>#DIV/0!</v>
      </c>
      <c r="S880" s="5358"/>
      <c r="T880" s="5357" t="e">
        <f t="shared" si="408"/>
        <v>#DIV/0!</v>
      </c>
      <c r="U880" s="5358"/>
      <c r="V880" s="5357">
        <f>S880-P880</f>
        <v>0</v>
      </c>
      <c r="W880" s="5358" t="e">
        <f t="shared" si="411"/>
        <v>#DIV/0!</v>
      </c>
      <c r="X880" s="5358"/>
      <c r="Y880" s="5357" t="e">
        <f t="shared" si="405"/>
        <v>#DIV/0!</v>
      </c>
      <c r="Z880" s="5358"/>
      <c r="AA880" s="5357">
        <f t="shared" si="407"/>
        <v>0</v>
      </c>
      <c r="AB880" s="5358" t="e">
        <f t="shared" si="412"/>
        <v>#DIV/0!</v>
      </c>
      <c r="AC880" s="5349"/>
      <c r="AD880" s="5349"/>
      <c r="AE880" s="5349"/>
      <c r="AF880" s="5349">
        <f t="shared" si="396"/>
        <v>0</v>
      </c>
      <c r="AG880" s="5338">
        <f t="shared" si="397"/>
        <v>0</v>
      </c>
    </row>
    <row r="881" spans="1:33" s="5333" customFormat="1" ht="18" hidden="1" customHeight="1">
      <c r="A881" s="5340"/>
      <c r="B881" s="5340"/>
      <c r="C881" s="5340"/>
      <c r="D881" s="5367">
        <v>4</v>
      </c>
      <c r="E881" s="5367">
        <v>1</v>
      </c>
      <c r="F881" s="5367">
        <v>4</v>
      </c>
      <c r="G881" s="5367" t="s">
        <v>444</v>
      </c>
      <c r="H881" s="5367"/>
      <c r="I881" s="5631"/>
      <c r="J881" s="5366" t="s">
        <v>222</v>
      </c>
      <c r="K881" s="5361"/>
      <c r="L881" s="5365"/>
      <c r="M881" s="5357">
        <v>0</v>
      </c>
      <c r="N881" s="5357">
        <f>N882</f>
        <v>0</v>
      </c>
      <c r="O881" s="5357">
        <f t="shared" si="402"/>
        <v>0</v>
      </c>
      <c r="P881" s="5358"/>
      <c r="Q881" s="5357">
        <f t="shared" si="403"/>
        <v>0</v>
      </c>
      <c r="R881" s="5358" t="e">
        <f t="shared" si="410"/>
        <v>#DIV/0!</v>
      </c>
      <c r="S881" s="5358"/>
      <c r="T881" s="5357" t="e">
        <f t="shared" si="408"/>
        <v>#DIV/0!</v>
      </c>
      <c r="U881" s="5358"/>
      <c r="V881" s="5357">
        <f>S881-P881</f>
        <v>0</v>
      </c>
      <c r="W881" s="5358" t="e">
        <f t="shared" si="411"/>
        <v>#DIV/0!</v>
      </c>
      <c r="X881" s="5358"/>
      <c r="Y881" s="5357" t="e">
        <f t="shared" si="405"/>
        <v>#DIV/0!</v>
      </c>
      <c r="Z881" s="5358"/>
      <c r="AA881" s="5357">
        <f t="shared" si="407"/>
        <v>0</v>
      </c>
      <c r="AB881" s="5358" t="e">
        <f t="shared" si="412"/>
        <v>#DIV/0!</v>
      </c>
      <c r="AC881" s="5349"/>
      <c r="AD881" s="5349"/>
      <c r="AE881" s="5349"/>
      <c r="AF881" s="5349">
        <f t="shared" si="396"/>
        <v>0</v>
      </c>
      <c r="AG881" s="5338">
        <f t="shared" si="397"/>
        <v>0</v>
      </c>
    </row>
    <row r="882" spans="1:33" s="5333" customFormat="1" ht="18" hidden="1" customHeight="1">
      <c r="A882" s="5340"/>
      <c r="B882" s="5340"/>
      <c r="C882" s="5340"/>
      <c r="D882" s="5400">
        <v>4</v>
      </c>
      <c r="E882" s="5400">
        <v>1</v>
      </c>
      <c r="F882" s="5400">
        <v>4</v>
      </c>
      <c r="G882" s="5400" t="s">
        <v>444</v>
      </c>
      <c r="H882" s="5400" t="s">
        <v>441</v>
      </c>
      <c r="I882" s="5634"/>
      <c r="J882" s="5366" t="s">
        <v>1283</v>
      </c>
      <c r="K882" s="5361"/>
      <c r="L882" s="5365"/>
      <c r="M882" s="5357">
        <v>0</v>
      </c>
      <c r="N882" s="5357">
        <v>0</v>
      </c>
      <c r="O882" s="5359">
        <f t="shared" si="402"/>
        <v>0</v>
      </c>
      <c r="P882" s="5358"/>
      <c r="Q882" s="5357">
        <f t="shared" si="403"/>
        <v>0</v>
      </c>
      <c r="R882" s="5358" t="e">
        <f t="shared" si="410"/>
        <v>#DIV/0!</v>
      </c>
      <c r="S882" s="5358"/>
      <c r="T882" s="5359" t="e">
        <f t="shared" si="408"/>
        <v>#DIV/0!</v>
      </c>
      <c r="U882" s="5358"/>
      <c r="V882" s="5357">
        <f>S882-P882</f>
        <v>0</v>
      </c>
      <c r="W882" s="5358" t="e">
        <f t="shared" si="411"/>
        <v>#DIV/0!</v>
      </c>
      <c r="X882" s="5358"/>
      <c r="Y882" s="5359" t="e">
        <f t="shared" si="405"/>
        <v>#DIV/0!</v>
      </c>
      <c r="Z882" s="5358"/>
      <c r="AA882" s="5357">
        <f t="shared" si="407"/>
        <v>0</v>
      </c>
      <c r="AB882" s="5358" t="e">
        <f t="shared" si="412"/>
        <v>#DIV/0!</v>
      </c>
      <c r="AC882" s="5349"/>
      <c r="AD882" s="5349"/>
      <c r="AE882" s="5349"/>
      <c r="AF882" s="5349">
        <f t="shared" si="396"/>
        <v>0</v>
      </c>
      <c r="AG882" s="5338">
        <f t="shared" si="397"/>
        <v>0</v>
      </c>
    </row>
    <row r="883" spans="1:33" s="5333" customFormat="1" ht="6.75" hidden="1" customHeight="1">
      <c r="A883" s="5340"/>
      <c r="B883" s="5340"/>
      <c r="C883" s="5340"/>
      <c r="D883" s="5387"/>
      <c r="E883" s="5386"/>
      <c r="F883" s="5386"/>
      <c r="G883" s="5416"/>
      <c r="H883" s="5416"/>
      <c r="I883" s="5644"/>
      <c r="J883" s="5414"/>
      <c r="K883" s="5413"/>
      <c r="L883" s="5412"/>
      <c r="M883" s="5357"/>
      <c r="N883" s="5357"/>
      <c r="O883" s="5357">
        <f t="shared" si="402"/>
        <v>0</v>
      </c>
      <c r="P883" s="5358"/>
      <c r="Q883" s="5357">
        <f t="shared" si="403"/>
        <v>0</v>
      </c>
      <c r="R883" s="5358" t="e">
        <f t="shared" si="410"/>
        <v>#DIV/0!</v>
      </c>
      <c r="S883" s="5358"/>
      <c r="T883" s="5357" t="e">
        <f t="shared" si="408"/>
        <v>#DIV/0!</v>
      </c>
      <c r="U883" s="5358"/>
      <c r="V883" s="5357"/>
      <c r="W883" s="5358" t="e">
        <f t="shared" si="411"/>
        <v>#DIV/0!</v>
      </c>
      <c r="X883" s="5358"/>
      <c r="Y883" s="5357" t="e">
        <f t="shared" si="405"/>
        <v>#DIV/0!</v>
      </c>
      <c r="Z883" s="5358"/>
      <c r="AA883" s="5357">
        <f t="shared" si="407"/>
        <v>0</v>
      </c>
      <c r="AB883" s="5358" t="e">
        <f t="shared" si="412"/>
        <v>#DIV/0!</v>
      </c>
      <c r="AC883" s="5349"/>
      <c r="AD883" s="5349"/>
      <c r="AE883" s="5349"/>
      <c r="AF883" s="5349">
        <f t="shared" si="396"/>
        <v>0</v>
      </c>
      <c r="AG883" s="5338">
        <f t="shared" si="397"/>
        <v>0</v>
      </c>
    </row>
    <row r="884" spans="1:33" s="5333" customFormat="1" ht="15.05" hidden="1" customHeight="1">
      <c r="A884" s="5340"/>
      <c r="B884" s="5340"/>
      <c r="C884" s="5340"/>
      <c r="D884" s="5367">
        <v>4</v>
      </c>
      <c r="E884" s="5367">
        <v>1</v>
      </c>
      <c r="F884" s="5367">
        <v>4</v>
      </c>
      <c r="G884" s="5367" t="s">
        <v>948</v>
      </c>
      <c r="H884" s="5368"/>
      <c r="I884" s="5632"/>
      <c r="J884" s="5366" t="s">
        <v>321</v>
      </c>
      <c r="K884" s="5361"/>
      <c r="L884" s="5365"/>
      <c r="M884" s="5357">
        <v>0</v>
      </c>
      <c r="N884" s="5357">
        <f>N885</f>
        <v>0</v>
      </c>
      <c r="O884" s="5357">
        <f t="shared" si="402"/>
        <v>0</v>
      </c>
      <c r="P884" s="5358"/>
      <c r="Q884" s="5357">
        <f t="shared" si="403"/>
        <v>0</v>
      </c>
      <c r="R884" s="5358" t="e">
        <f t="shared" si="410"/>
        <v>#DIV/0!</v>
      </c>
      <c r="S884" s="5358"/>
      <c r="T884" s="5357" t="e">
        <f t="shared" si="408"/>
        <v>#DIV/0!</v>
      </c>
      <c r="U884" s="5358"/>
      <c r="V884" s="5357">
        <f>S884-P884</f>
        <v>0</v>
      </c>
      <c r="W884" s="5358" t="e">
        <f t="shared" si="411"/>
        <v>#DIV/0!</v>
      </c>
      <c r="X884" s="5358"/>
      <c r="Y884" s="5357" t="e">
        <f t="shared" si="405"/>
        <v>#DIV/0!</v>
      </c>
      <c r="Z884" s="5358"/>
      <c r="AA884" s="5357">
        <f t="shared" si="407"/>
        <v>0</v>
      </c>
      <c r="AB884" s="5358" t="e">
        <f t="shared" si="412"/>
        <v>#DIV/0!</v>
      </c>
      <c r="AC884" s="5349"/>
      <c r="AD884" s="5349"/>
      <c r="AE884" s="5349"/>
      <c r="AF884" s="5349">
        <f t="shared" si="396"/>
        <v>0</v>
      </c>
      <c r="AG884" s="5338">
        <f t="shared" si="397"/>
        <v>0</v>
      </c>
    </row>
    <row r="885" spans="1:33" s="5333" customFormat="1" ht="15.05" hidden="1" customHeight="1">
      <c r="A885" s="5340"/>
      <c r="B885" s="5340"/>
      <c r="C885" s="5340"/>
      <c r="D885" s="5367">
        <v>4</v>
      </c>
      <c r="E885" s="5367">
        <v>1</v>
      </c>
      <c r="F885" s="5367">
        <v>4</v>
      </c>
      <c r="G885" s="5367" t="s">
        <v>948</v>
      </c>
      <c r="H885" s="5367" t="s">
        <v>437</v>
      </c>
      <c r="I885" s="5631"/>
      <c r="J885" s="5366" t="s">
        <v>85</v>
      </c>
      <c r="K885" s="5361"/>
      <c r="L885" s="5365"/>
      <c r="M885" s="5357">
        <v>0</v>
      </c>
      <c r="N885" s="5357">
        <f>N886+N887</f>
        <v>0</v>
      </c>
      <c r="O885" s="5359">
        <f t="shared" si="402"/>
        <v>0</v>
      </c>
      <c r="P885" s="5358"/>
      <c r="Q885" s="5357">
        <f t="shared" si="403"/>
        <v>0</v>
      </c>
      <c r="R885" s="5358" t="e">
        <f t="shared" si="410"/>
        <v>#DIV/0!</v>
      </c>
      <c r="S885" s="5358"/>
      <c r="T885" s="5359" t="e">
        <f t="shared" si="408"/>
        <v>#DIV/0!</v>
      </c>
      <c r="U885" s="5358"/>
      <c r="V885" s="5357">
        <f>S885-P885</f>
        <v>0</v>
      </c>
      <c r="W885" s="5358" t="e">
        <f t="shared" si="411"/>
        <v>#DIV/0!</v>
      </c>
      <c r="X885" s="5358"/>
      <c r="Y885" s="5359" t="e">
        <f t="shared" si="405"/>
        <v>#DIV/0!</v>
      </c>
      <c r="Z885" s="5358"/>
      <c r="AA885" s="5357">
        <f t="shared" si="407"/>
        <v>0</v>
      </c>
      <c r="AB885" s="5358" t="e">
        <f t="shared" si="412"/>
        <v>#DIV/0!</v>
      </c>
      <c r="AC885" s="5349"/>
      <c r="AD885" s="5349"/>
      <c r="AE885" s="5349"/>
      <c r="AF885" s="5349">
        <f t="shared" si="396"/>
        <v>0</v>
      </c>
      <c r="AG885" s="5338">
        <f t="shared" si="397"/>
        <v>0</v>
      </c>
    </row>
    <row r="886" spans="1:33" s="5333" customFormat="1" ht="15.05" hidden="1" customHeight="1">
      <c r="A886" s="5340"/>
      <c r="B886" s="5340"/>
      <c r="C886" s="5340"/>
      <c r="D886" s="5368"/>
      <c r="E886" s="5380"/>
      <c r="F886" s="5380"/>
      <c r="G886" s="5380"/>
      <c r="H886" s="5380"/>
      <c r="I886" s="5496"/>
      <c r="J886" s="5408" t="s">
        <v>50</v>
      </c>
      <c r="K886" s="5361" t="s">
        <v>1307</v>
      </c>
      <c r="L886" s="5365"/>
      <c r="M886" s="5359">
        <v>0</v>
      </c>
      <c r="N886" s="5359">
        <v>0</v>
      </c>
      <c r="O886" s="5359">
        <f t="shared" si="402"/>
        <v>0</v>
      </c>
      <c r="P886" s="5358"/>
      <c r="Q886" s="5357">
        <f t="shared" si="403"/>
        <v>0</v>
      </c>
      <c r="R886" s="5356" t="e">
        <f t="shared" si="410"/>
        <v>#DIV/0!</v>
      </c>
      <c r="S886" s="5358"/>
      <c r="T886" s="5359" t="e">
        <f t="shared" si="408"/>
        <v>#DIV/0!</v>
      </c>
      <c r="U886" s="5358"/>
      <c r="V886" s="5357">
        <f>S886-P886</f>
        <v>0</v>
      </c>
      <c r="W886" s="5356" t="e">
        <f t="shared" si="411"/>
        <v>#DIV/0!</v>
      </c>
      <c r="X886" s="5358"/>
      <c r="Y886" s="5359" t="e">
        <f t="shared" si="405"/>
        <v>#DIV/0!</v>
      </c>
      <c r="Z886" s="5358"/>
      <c r="AA886" s="5357">
        <f t="shared" si="407"/>
        <v>0</v>
      </c>
      <c r="AB886" s="5356" t="e">
        <f t="shared" si="412"/>
        <v>#DIV/0!</v>
      </c>
      <c r="AC886" s="5350"/>
      <c r="AD886" s="5350"/>
      <c r="AE886" s="5350"/>
      <c r="AF886" s="5349">
        <f t="shared" si="396"/>
        <v>0</v>
      </c>
      <c r="AG886" s="5338">
        <f t="shared" si="397"/>
        <v>0</v>
      </c>
    </row>
    <row r="887" spans="1:33" s="5333" customFormat="1" ht="15.05" hidden="1" customHeight="1">
      <c r="A887" s="5340"/>
      <c r="B887" s="5340"/>
      <c r="C887" s="5340"/>
      <c r="D887" s="5378"/>
      <c r="E887" s="5363"/>
      <c r="F887" s="5363"/>
      <c r="G887" s="5363"/>
      <c r="H887" s="5363"/>
      <c r="I887" s="5635"/>
      <c r="J887" s="5362" t="s">
        <v>50</v>
      </c>
      <c r="K887" s="5361" t="s">
        <v>85</v>
      </c>
      <c r="L887" s="5375"/>
      <c r="M887" s="5359">
        <v>0</v>
      </c>
      <c r="N887" s="5359">
        <v>0</v>
      </c>
      <c r="O887" s="5359">
        <f t="shared" si="402"/>
        <v>0</v>
      </c>
      <c r="P887" s="5358"/>
      <c r="Q887" s="5357">
        <f t="shared" si="403"/>
        <v>0</v>
      </c>
      <c r="R887" s="5356" t="e">
        <f t="shared" si="410"/>
        <v>#DIV/0!</v>
      </c>
      <c r="S887" s="5358"/>
      <c r="T887" s="5359" t="e">
        <f t="shared" si="408"/>
        <v>#DIV/0!</v>
      </c>
      <c r="U887" s="5358"/>
      <c r="V887" s="5357">
        <f>S887-P887</f>
        <v>0</v>
      </c>
      <c r="W887" s="5356" t="e">
        <f t="shared" si="411"/>
        <v>#DIV/0!</v>
      </c>
      <c r="X887" s="5358"/>
      <c r="Y887" s="5359" t="e">
        <f t="shared" si="405"/>
        <v>#DIV/0!</v>
      </c>
      <c r="Z887" s="5358"/>
      <c r="AA887" s="5357">
        <f t="shared" si="407"/>
        <v>0</v>
      </c>
      <c r="AB887" s="5356" t="e">
        <f t="shared" si="412"/>
        <v>#DIV/0!</v>
      </c>
      <c r="AC887" s="5350"/>
      <c r="AD887" s="5350"/>
      <c r="AE887" s="5350"/>
      <c r="AF887" s="5349">
        <f t="shared" si="396"/>
        <v>0</v>
      </c>
      <c r="AG887" s="5338">
        <f t="shared" si="397"/>
        <v>0</v>
      </c>
    </row>
    <row r="888" spans="1:33" s="5333" customFormat="1" ht="10.5" hidden="1" customHeight="1">
      <c r="A888" s="5340"/>
      <c r="B888" s="5340"/>
      <c r="C888" s="5340"/>
      <c r="D888" s="5378"/>
      <c r="E888" s="5363"/>
      <c r="F888" s="5363"/>
      <c r="G888" s="5363"/>
      <c r="H888" s="5363"/>
      <c r="I888" s="5635"/>
      <c r="J888" s="5362"/>
      <c r="K888" s="5376"/>
      <c r="L888" s="5375"/>
      <c r="M888" s="5411"/>
      <c r="N888" s="5411"/>
      <c r="O888" s="5411"/>
      <c r="P888" s="5396"/>
      <c r="Q888" s="5397"/>
      <c r="R888" s="5410"/>
      <c r="S888" s="5396"/>
      <c r="T888" s="5411"/>
      <c r="U888" s="5396"/>
      <c r="V888" s="5397"/>
      <c r="W888" s="5410"/>
      <c r="X888" s="5396"/>
      <c r="Y888" s="5411"/>
      <c r="Z888" s="5396"/>
      <c r="AA888" s="5397"/>
      <c r="AB888" s="5410"/>
      <c r="AC888" s="5350"/>
      <c r="AD888" s="5350"/>
      <c r="AE888" s="5350"/>
      <c r="AF888" s="5349">
        <f t="shared" si="396"/>
        <v>0</v>
      </c>
      <c r="AG888" s="5338">
        <f t="shared" si="397"/>
        <v>0</v>
      </c>
    </row>
    <row r="889" spans="1:33" s="5333" customFormat="1" ht="13.5" hidden="1" customHeight="1">
      <c r="A889" s="5340"/>
      <c r="B889" s="5340"/>
      <c r="C889" s="5340"/>
      <c r="D889" s="5400"/>
      <c r="E889" s="5429"/>
      <c r="F889" s="5429"/>
      <c r="G889" s="5429"/>
      <c r="H889" s="5429"/>
      <c r="I889" s="5648"/>
      <c r="J889" s="5391" t="s">
        <v>1306</v>
      </c>
      <c r="K889" s="5428"/>
      <c r="L889" s="5427"/>
      <c r="M889" s="5355">
        <v>150000000</v>
      </c>
      <c r="N889" s="5355">
        <f>N891</f>
        <v>150000000</v>
      </c>
      <c r="O889" s="5355">
        <f>N889-M889</f>
        <v>0</v>
      </c>
      <c r="P889" s="5388">
        <f>P891</f>
        <v>150000000</v>
      </c>
      <c r="Q889" s="5355">
        <f>+P889-N889</f>
        <v>0</v>
      </c>
      <c r="R889" s="5388">
        <f>P889/N889*100-100</f>
        <v>0</v>
      </c>
      <c r="S889" s="5388">
        <f>S891</f>
        <v>0</v>
      </c>
      <c r="T889" s="5355">
        <f>S889-R889</f>
        <v>0</v>
      </c>
      <c r="U889" s="5388">
        <f>U891</f>
        <v>150000000</v>
      </c>
      <c r="V889" s="5355">
        <f>S889-P889</f>
        <v>-150000000</v>
      </c>
      <c r="W889" s="5388">
        <f>S889/P889*100-100</f>
        <v>-100</v>
      </c>
      <c r="X889" s="5388">
        <f>X891</f>
        <v>0</v>
      </c>
      <c r="Y889" s="5355">
        <f>X889-W889</f>
        <v>100</v>
      </c>
      <c r="Z889" s="5388">
        <f>Z891</f>
        <v>150000000</v>
      </c>
      <c r="AA889" s="5355">
        <f>X889-S889</f>
        <v>0</v>
      </c>
      <c r="AB889" s="5388" t="e">
        <f>X889/S889*100-100</f>
        <v>#DIV/0!</v>
      </c>
      <c r="AC889" s="5349"/>
      <c r="AD889" s="5349"/>
      <c r="AE889" s="5349"/>
      <c r="AF889" s="5349">
        <f t="shared" si="396"/>
        <v>-150000000</v>
      </c>
      <c r="AG889" s="5338">
        <f t="shared" si="397"/>
        <v>0</v>
      </c>
    </row>
    <row r="890" spans="1:33" s="5333" customFormat="1" ht="5.35" hidden="1" customHeight="1">
      <c r="A890" s="5340"/>
      <c r="B890" s="5340"/>
      <c r="C890" s="5340"/>
      <c r="D890" s="5387"/>
      <c r="E890" s="5386"/>
      <c r="F890" s="5386"/>
      <c r="G890" s="5386"/>
      <c r="H890" s="5386"/>
      <c r="I890" s="5636"/>
      <c r="J890" s="5385"/>
      <c r="K890" s="5413"/>
      <c r="L890" s="5412"/>
      <c r="M890" s="5382"/>
      <c r="N890" s="5382"/>
      <c r="O890" s="5382"/>
      <c r="P890" s="5381"/>
      <c r="Q890" s="5382"/>
      <c r="R890" s="5381"/>
      <c r="S890" s="5381"/>
      <c r="T890" s="5382"/>
      <c r="U890" s="5381"/>
      <c r="V890" s="5382">
        <f>S890-P890</f>
        <v>0</v>
      </c>
      <c r="W890" s="5381"/>
      <c r="X890" s="5381"/>
      <c r="Y890" s="5382"/>
      <c r="Z890" s="5381"/>
      <c r="AA890" s="5382"/>
      <c r="AB890" s="5381"/>
      <c r="AC890" s="5349"/>
      <c r="AD890" s="5349"/>
      <c r="AE890" s="5349"/>
      <c r="AF890" s="5349">
        <f t="shared" si="396"/>
        <v>0</v>
      </c>
      <c r="AG890" s="5338">
        <f t="shared" si="397"/>
        <v>0</v>
      </c>
    </row>
    <row r="891" spans="1:33" s="5333" customFormat="1" ht="13.5" hidden="1" customHeight="1">
      <c r="A891" s="5426"/>
      <c r="B891" s="5426"/>
      <c r="C891" s="5426"/>
      <c r="D891" s="5374">
        <v>4</v>
      </c>
      <c r="E891" s="5374">
        <v>1</v>
      </c>
      <c r="F891" s="5374"/>
      <c r="G891" s="5374"/>
      <c r="H891" s="5374"/>
      <c r="I891" s="5537"/>
      <c r="J891" s="5372" t="s">
        <v>180</v>
      </c>
      <c r="K891" s="5371"/>
      <c r="L891" s="5370"/>
      <c r="M891" s="5357">
        <v>150000000</v>
      </c>
      <c r="N891" s="5357">
        <f>N893</f>
        <v>150000000</v>
      </c>
      <c r="O891" s="5359">
        <f>N891-M891</f>
        <v>0</v>
      </c>
      <c r="P891" s="5358">
        <f>P893</f>
        <v>150000000</v>
      </c>
      <c r="Q891" s="5357">
        <f>+P891-N891</f>
        <v>0</v>
      </c>
      <c r="R891" s="5358">
        <f>P891/N891*100-100</f>
        <v>0</v>
      </c>
      <c r="S891" s="5358">
        <f>S893</f>
        <v>0</v>
      </c>
      <c r="T891" s="5359">
        <f>S891-R891</f>
        <v>0</v>
      </c>
      <c r="U891" s="5358">
        <f>U893</f>
        <v>150000000</v>
      </c>
      <c r="V891" s="5357">
        <f>S891-P891</f>
        <v>-150000000</v>
      </c>
      <c r="W891" s="5358">
        <f>S891/P891*100-100</f>
        <v>-100</v>
      </c>
      <c r="X891" s="5358">
        <f>X893</f>
        <v>0</v>
      </c>
      <c r="Y891" s="5359">
        <f>X891-W891</f>
        <v>100</v>
      </c>
      <c r="Z891" s="5358">
        <f>Z893</f>
        <v>150000000</v>
      </c>
      <c r="AA891" s="5357">
        <f>X891-S891</f>
        <v>0</v>
      </c>
      <c r="AB891" s="5358" t="e">
        <f>X891/S891*100-100</f>
        <v>#DIV/0!</v>
      </c>
      <c r="AC891" s="5349"/>
      <c r="AD891" s="5349"/>
      <c r="AE891" s="5349"/>
      <c r="AF891" s="5349">
        <f t="shared" si="396"/>
        <v>-150000000</v>
      </c>
      <c r="AG891" s="5338">
        <f t="shared" si="397"/>
        <v>0</v>
      </c>
    </row>
    <row r="892" spans="1:33" s="5333" customFormat="1" ht="5.95" hidden="1" customHeight="1">
      <c r="A892" s="5340"/>
      <c r="B892" s="5340"/>
      <c r="C892" s="5340"/>
      <c r="D892" s="5367"/>
      <c r="E892" s="5380"/>
      <c r="F892" s="5380"/>
      <c r="G892" s="5380"/>
      <c r="H892" s="5380"/>
      <c r="I892" s="5496"/>
      <c r="J892" s="5366"/>
      <c r="K892" s="5361"/>
      <c r="L892" s="5365"/>
      <c r="M892" s="5357"/>
      <c r="N892" s="5357"/>
      <c r="O892" s="5357"/>
      <c r="P892" s="5358"/>
      <c r="Q892" s="5357"/>
      <c r="R892" s="5358"/>
      <c r="S892" s="5358"/>
      <c r="T892" s="5357"/>
      <c r="U892" s="5358"/>
      <c r="V892" s="5357"/>
      <c r="W892" s="5358"/>
      <c r="X892" s="5358"/>
      <c r="Y892" s="5357"/>
      <c r="Z892" s="5358"/>
      <c r="AA892" s="5357"/>
      <c r="AB892" s="5358"/>
      <c r="AC892" s="5349"/>
      <c r="AD892" s="5349"/>
      <c r="AE892" s="5349"/>
      <c r="AF892" s="5349">
        <f t="shared" si="396"/>
        <v>0</v>
      </c>
      <c r="AG892" s="5338">
        <f t="shared" si="397"/>
        <v>0</v>
      </c>
    </row>
    <row r="893" spans="1:33" s="5333" customFormat="1" ht="13.5" hidden="1" customHeight="1">
      <c r="A893" s="5426"/>
      <c r="B893" s="5426"/>
      <c r="C893" s="5426"/>
      <c r="D893" s="5374">
        <v>4</v>
      </c>
      <c r="E893" s="5374">
        <v>1</v>
      </c>
      <c r="F893" s="5374">
        <v>2</v>
      </c>
      <c r="G893" s="5374"/>
      <c r="H893" s="5374"/>
      <c r="I893" s="5537"/>
      <c r="J893" s="5372" t="s">
        <v>106</v>
      </c>
      <c r="K893" s="5361"/>
      <c r="L893" s="5365"/>
      <c r="M893" s="5357">
        <v>150000000</v>
      </c>
      <c r="N893" s="5357">
        <f>N894</f>
        <v>150000000</v>
      </c>
      <c r="O893" s="5359">
        <f t="shared" ref="O893:O904" si="413">N893-M893</f>
        <v>0</v>
      </c>
      <c r="P893" s="5358">
        <f>P894</f>
        <v>150000000</v>
      </c>
      <c r="Q893" s="5357">
        <f t="shared" ref="Q893:Q904" si="414">+P893-N893</f>
        <v>0</v>
      </c>
      <c r="R893" s="5358">
        <f t="shared" ref="R893:R904" si="415">P893/N893*100-100</f>
        <v>0</v>
      </c>
      <c r="S893" s="5358">
        <f>S894</f>
        <v>0</v>
      </c>
      <c r="T893" s="5359">
        <f t="shared" ref="T893:T904" si="416">S893-R893</f>
        <v>0</v>
      </c>
      <c r="U893" s="5358">
        <f>U894</f>
        <v>150000000</v>
      </c>
      <c r="V893" s="5357">
        <f>S893-P893</f>
        <v>-150000000</v>
      </c>
      <c r="W893" s="5358">
        <f>S893/P893*100-100</f>
        <v>-100</v>
      </c>
      <c r="X893" s="5358">
        <f>X894</f>
        <v>0</v>
      </c>
      <c r="Y893" s="5359">
        <f t="shared" ref="Y893:Y904" si="417">X893-W893</f>
        <v>100</v>
      </c>
      <c r="Z893" s="5358">
        <f>Z894</f>
        <v>150000000</v>
      </c>
      <c r="AA893" s="5357">
        <f>X893-S893</f>
        <v>0</v>
      </c>
      <c r="AB893" s="5358" t="e">
        <f>X893/S893*100-100</f>
        <v>#DIV/0!</v>
      </c>
      <c r="AC893" s="5349"/>
      <c r="AD893" s="5349"/>
      <c r="AE893" s="5349"/>
      <c r="AF893" s="5349">
        <f t="shared" si="396"/>
        <v>-150000000</v>
      </c>
      <c r="AG893" s="5338">
        <f t="shared" si="397"/>
        <v>0</v>
      </c>
    </row>
    <row r="894" spans="1:33" s="5333" customFormat="1" ht="13.5" hidden="1" customHeight="1">
      <c r="A894" s="5426"/>
      <c r="B894" s="5426"/>
      <c r="C894" s="5426"/>
      <c r="D894" s="5367">
        <v>4</v>
      </c>
      <c r="E894" s="5367">
        <v>1</v>
      </c>
      <c r="F894" s="5367">
        <v>2</v>
      </c>
      <c r="G894" s="5368" t="s">
        <v>438</v>
      </c>
      <c r="H894" s="5367"/>
      <c r="I894" s="5631"/>
      <c r="J894" s="5366" t="s">
        <v>109</v>
      </c>
      <c r="K894" s="5361"/>
      <c r="L894" s="5365"/>
      <c r="M894" s="5357">
        <v>150000000</v>
      </c>
      <c r="N894" s="5357">
        <f>N895</f>
        <v>150000000</v>
      </c>
      <c r="O894" s="5359">
        <f t="shared" si="413"/>
        <v>0</v>
      </c>
      <c r="P894" s="5358">
        <f>P895</f>
        <v>150000000</v>
      </c>
      <c r="Q894" s="5357">
        <f t="shared" si="414"/>
        <v>0</v>
      </c>
      <c r="R894" s="5358">
        <f t="shared" si="415"/>
        <v>0</v>
      </c>
      <c r="S894" s="5358">
        <f>S895</f>
        <v>0</v>
      </c>
      <c r="T894" s="5359">
        <f t="shared" si="416"/>
        <v>0</v>
      </c>
      <c r="U894" s="5358">
        <f>U895</f>
        <v>150000000</v>
      </c>
      <c r="V894" s="5357">
        <f>S894-P894</f>
        <v>-150000000</v>
      </c>
      <c r="W894" s="5358">
        <f>S894/P894*100-100</f>
        <v>-100</v>
      </c>
      <c r="X894" s="5358">
        <f>X895</f>
        <v>0</v>
      </c>
      <c r="Y894" s="5359">
        <f t="shared" si="417"/>
        <v>100</v>
      </c>
      <c r="Z894" s="5358">
        <f>Z895</f>
        <v>150000000</v>
      </c>
      <c r="AA894" s="5357">
        <f>X894-S894</f>
        <v>0</v>
      </c>
      <c r="AB894" s="5358" t="e">
        <f>X894/S894*100-100</f>
        <v>#DIV/0!</v>
      </c>
      <c r="AC894" s="5349"/>
      <c r="AD894" s="5349"/>
      <c r="AE894" s="5349"/>
      <c r="AF894" s="5349">
        <f t="shared" si="396"/>
        <v>-150000000</v>
      </c>
      <c r="AG894" s="5338">
        <f t="shared" si="397"/>
        <v>0</v>
      </c>
    </row>
    <row r="895" spans="1:33" s="5333" customFormat="1" ht="13.5" hidden="1" customHeight="1">
      <c r="A895" s="5426"/>
      <c r="B895" s="5426"/>
      <c r="C895" s="5426"/>
      <c r="D895" s="5367">
        <v>4</v>
      </c>
      <c r="E895" s="5367">
        <v>1</v>
      </c>
      <c r="F895" s="5367">
        <v>2</v>
      </c>
      <c r="G895" s="5368" t="s">
        <v>438</v>
      </c>
      <c r="H895" s="5368" t="s">
        <v>440</v>
      </c>
      <c r="I895" s="5632"/>
      <c r="J895" s="5366" t="s">
        <v>1305</v>
      </c>
      <c r="K895" s="5361"/>
      <c r="L895" s="5365"/>
      <c r="M895" s="5359">
        <v>150000000</v>
      </c>
      <c r="N895" s="5359">
        <f>N896</f>
        <v>150000000</v>
      </c>
      <c r="O895" s="5359">
        <f t="shared" si="413"/>
        <v>0</v>
      </c>
      <c r="P895" s="5358">
        <f>P896</f>
        <v>150000000</v>
      </c>
      <c r="Q895" s="5357">
        <f t="shared" si="414"/>
        <v>0</v>
      </c>
      <c r="R895" s="5358">
        <f t="shared" si="415"/>
        <v>0</v>
      </c>
      <c r="S895" s="5358">
        <f>S896</f>
        <v>0</v>
      </c>
      <c r="T895" s="5359">
        <f t="shared" si="416"/>
        <v>0</v>
      </c>
      <c r="U895" s="5358">
        <f>U896</f>
        <v>150000000</v>
      </c>
      <c r="V895" s="5357">
        <f>S895-P895</f>
        <v>-150000000</v>
      </c>
      <c r="W895" s="5358">
        <f>S895/P895*100-100</f>
        <v>-100</v>
      </c>
      <c r="X895" s="5358">
        <f>X896</f>
        <v>0</v>
      </c>
      <c r="Y895" s="5359">
        <f t="shared" si="417"/>
        <v>100</v>
      </c>
      <c r="Z895" s="5358">
        <f>Z896</f>
        <v>150000000</v>
      </c>
      <c r="AA895" s="5357">
        <f>X895-S895</f>
        <v>0</v>
      </c>
      <c r="AB895" s="5358" t="e">
        <f>X895/S895*100-100</f>
        <v>#DIV/0!</v>
      </c>
      <c r="AC895" s="5350"/>
      <c r="AD895" s="5350"/>
      <c r="AE895" s="5350"/>
      <c r="AF895" s="5349">
        <f t="shared" si="396"/>
        <v>-150000000</v>
      </c>
      <c r="AG895" s="5338">
        <f t="shared" si="397"/>
        <v>0</v>
      </c>
    </row>
    <row r="896" spans="1:33" s="5333" customFormat="1" ht="13.5" hidden="1" customHeight="1">
      <c r="A896" s="5340"/>
      <c r="B896" s="5340"/>
      <c r="C896" s="5340"/>
      <c r="D896" s="5378"/>
      <c r="E896" s="5363"/>
      <c r="F896" s="5363"/>
      <c r="G896" s="5363"/>
      <c r="H896" s="5363"/>
      <c r="I896" s="5635"/>
      <c r="J896" s="5362" t="s">
        <v>50</v>
      </c>
      <c r="K896" s="5376" t="s">
        <v>1304</v>
      </c>
      <c r="L896" s="5375"/>
      <c r="M896" s="5411">
        <v>150000000</v>
      </c>
      <c r="N896" s="5411">
        <v>150000000</v>
      </c>
      <c r="O896" s="5359">
        <f t="shared" si="413"/>
        <v>0</v>
      </c>
      <c r="P896" s="5358">
        <v>150000000</v>
      </c>
      <c r="Q896" s="5357">
        <f t="shared" si="414"/>
        <v>0</v>
      </c>
      <c r="R896" s="5358">
        <f t="shared" si="415"/>
        <v>0</v>
      </c>
      <c r="S896" s="5358">
        <v>0</v>
      </c>
      <c r="T896" s="5359">
        <f t="shared" si="416"/>
        <v>0</v>
      </c>
      <c r="U896" s="5358">
        <v>150000000</v>
      </c>
      <c r="V896" s="5357">
        <f>S896-P896</f>
        <v>-150000000</v>
      </c>
      <c r="W896" s="5358">
        <f>S896/P896*100-100</f>
        <v>-100</v>
      </c>
      <c r="X896" s="5358">
        <v>0</v>
      </c>
      <c r="Y896" s="5359">
        <f t="shared" si="417"/>
        <v>100</v>
      </c>
      <c r="Z896" s="5358">
        <v>150000000</v>
      </c>
      <c r="AA896" s="5357">
        <f>X896-S896</f>
        <v>0</v>
      </c>
      <c r="AB896" s="5358" t="e">
        <f>X896/S896*100-100</f>
        <v>#DIV/0!</v>
      </c>
      <c r="AC896" s="5350"/>
      <c r="AD896" s="5350"/>
      <c r="AE896" s="5350"/>
      <c r="AF896" s="5349">
        <f t="shared" si="396"/>
        <v>-150000000</v>
      </c>
      <c r="AG896" s="5338">
        <f t="shared" si="397"/>
        <v>0</v>
      </c>
    </row>
    <row r="897" spans="1:33" s="5333" customFormat="1" ht="15.05" hidden="1" customHeight="1">
      <c r="A897" s="5340"/>
      <c r="B897" s="5340"/>
      <c r="C897" s="5340"/>
      <c r="D897" s="5378"/>
      <c r="E897" s="5363"/>
      <c r="F897" s="5363"/>
      <c r="G897" s="5363"/>
      <c r="H897" s="5363"/>
      <c r="I897" s="5635"/>
      <c r="J897" s="5362"/>
      <c r="K897" s="5376"/>
      <c r="L897" s="5375"/>
      <c r="M897" s="5411"/>
      <c r="N897" s="5411"/>
      <c r="O897" s="5411">
        <f t="shared" si="413"/>
        <v>0</v>
      </c>
      <c r="P897" s="5396"/>
      <c r="Q897" s="5357">
        <f t="shared" si="414"/>
        <v>0</v>
      </c>
      <c r="R897" s="5410" t="e">
        <f t="shared" si="415"/>
        <v>#DIV/0!</v>
      </c>
      <c r="S897" s="5396"/>
      <c r="T897" s="5411" t="e">
        <f t="shared" si="416"/>
        <v>#DIV/0!</v>
      </c>
      <c r="U897" s="5396"/>
      <c r="V897" s="5357"/>
      <c r="W897" s="5410"/>
      <c r="X897" s="5396"/>
      <c r="Y897" s="5411">
        <f t="shared" si="417"/>
        <v>0</v>
      </c>
      <c r="Z897" s="5396"/>
      <c r="AA897" s="5357"/>
      <c r="AB897" s="5410"/>
      <c r="AC897" s="5350"/>
      <c r="AD897" s="5350"/>
      <c r="AE897" s="5350"/>
      <c r="AF897" s="5349">
        <f t="shared" si="396"/>
        <v>0</v>
      </c>
      <c r="AG897" s="5338">
        <f t="shared" si="397"/>
        <v>0</v>
      </c>
    </row>
    <row r="898" spans="1:33" s="5333" customFormat="1" ht="15.05" hidden="1" customHeight="1">
      <c r="A898" s="5340"/>
      <c r="B898" s="5340"/>
      <c r="C898" s="5340"/>
      <c r="D898" s="5374">
        <v>4</v>
      </c>
      <c r="E898" s="5374">
        <v>1</v>
      </c>
      <c r="F898" s="5374">
        <v>4</v>
      </c>
      <c r="G898" s="5373"/>
      <c r="H898" s="5373"/>
      <c r="I898" s="5633"/>
      <c r="J898" s="5372" t="s">
        <v>71</v>
      </c>
      <c r="K898" s="5371"/>
      <c r="L898" s="5375"/>
      <c r="M898" s="5411"/>
      <c r="N898" s="5411"/>
      <c r="O898" s="5411">
        <f t="shared" si="413"/>
        <v>0</v>
      </c>
      <c r="P898" s="5396"/>
      <c r="Q898" s="5357">
        <f t="shared" si="414"/>
        <v>0</v>
      </c>
      <c r="R898" s="5410" t="e">
        <f t="shared" si="415"/>
        <v>#DIV/0!</v>
      </c>
      <c r="S898" s="5396"/>
      <c r="T898" s="5411" t="e">
        <f t="shared" si="416"/>
        <v>#DIV/0!</v>
      </c>
      <c r="U898" s="5396"/>
      <c r="V898" s="5357">
        <f t="shared" ref="V898:V906" si="418">S898-P898</f>
        <v>0</v>
      </c>
      <c r="W898" s="5410" t="e">
        <f t="shared" ref="W898:W906" si="419">S898/P898*100-100</f>
        <v>#DIV/0!</v>
      </c>
      <c r="X898" s="5396"/>
      <c r="Y898" s="5411" t="e">
        <f t="shared" si="417"/>
        <v>#DIV/0!</v>
      </c>
      <c r="Z898" s="5396"/>
      <c r="AA898" s="5357">
        <f t="shared" ref="AA898:AA903" si="420">X898-S898</f>
        <v>0</v>
      </c>
      <c r="AB898" s="5410" t="e">
        <f t="shared" ref="AB898:AB903" si="421">X898/S898*100-100</f>
        <v>#DIV/0!</v>
      </c>
      <c r="AC898" s="5350"/>
      <c r="AD898" s="5350"/>
      <c r="AE898" s="5350"/>
      <c r="AF898" s="5349">
        <f t="shared" si="396"/>
        <v>0</v>
      </c>
      <c r="AG898" s="5338">
        <f t="shared" si="397"/>
        <v>0</v>
      </c>
    </row>
    <row r="899" spans="1:33" s="5333" customFormat="1" ht="15.05" hidden="1" customHeight="1">
      <c r="A899" s="5340"/>
      <c r="B899" s="5340"/>
      <c r="C899" s="5340"/>
      <c r="D899" s="5367">
        <v>4</v>
      </c>
      <c r="E899" s="5367">
        <v>1</v>
      </c>
      <c r="F899" s="5367">
        <v>4</v>
      </c>
      <c r="G899" s="5367" t="s">
        <v>444</v>
      </c>
      <c r="H899" s="5367"/>
      <c r="I899" s="5631"/>
      <c r="J899" s="5366" t="s">
        <v>222</v>
      </c>
      <c r="K899" s="5361"/>
      <c r="L899" s="5375"/>
      <c r="M899" s="5411"/>
      <c r="N899" s="5411"/>
      <c r="O899" s="5411">
        <f t="shared" si="413"/>
        <v>0</v>
      </c>
      <c r="P899" s="5396"/>
      <c r="Q899" s="5357">
        <f t="shared" si="414"/>
        <v>0</v>
      </c>
      <c r="R899" s="5410" t="e">
        <f t="shared" si="415"/>
        <v>#DIV/0!</v>
      </c>
      <c r="S899" s="5396"/>
      <c r="T899" s="5411" t="e">
        <f t="shared" si="416"/>
        <v>#DIV/0!</v>
      </c>
      <c r="U899" s="5396"/>
      <c r="V899" s="5357">
        <f t="shared" si="418"/>
        <v>0</v>
      </c>
      <c r="W899" s="5410" t="e">
        <f t="shared" si="419"/>
        <v>#DIV/0!</v>
      </c>
      <c r="X899" s="5396"/>
      <c r="Y899" s="5411" t="e">
        <f t="shared" si="417"/>
        <v>#DIV/0!</v>
      </c>
      <c r="Z899" s="5396"/>
      <c r="AA899" s="5357">
        <f t="shared" si="420"/>
        <v>0</v>
      </c>
      <c r="AB899" s="5410" t="e">
        <f t="shared" si="421"/>
        <v>#DIV/0!</v>
      </c>
      <c r="AC899" s="5350"/>
      <c r="AD899" s="5350"/>
      <c r="AE899" s="5350"/>
      <c r="AF899" s="5349">
        <f t="shared" si="396"/>
        <v>0</v>
      </c>
      <c r="AG899" s="5338">
        <f t="shared" si="397"/>
        <v>0</v>
      </c>
    </row>
    <row r="900" spans="1:33" s="5333" customFormat="1" ht="15.05" hidden="1" customHeight="1">
      <c r="A900" s="5340"/>
      <c r="B900" s="5340"/>
      <c r="C900" s="5340"/>
      <c r="D900" s="5400">
        <v>4</v>
      </c>
      <c r="E900" s="5400">
        <v>1</v>
      </c>
      <c r="F900" s="5400">
        <v>4</v>
      </c>
      <c r="G900" s="5400" t="s">
        <v>444</v>
      </c>
      <c r="H900" s="5400" t="s">
        <v>441</v>
      </c>
      <c r="I900" s="5634"/>
      <c r="J900" s="5366" t="s">
        <v>1283</v>
      </c>
      <c r="K900" s="5361"/>
      <c r="L900" s="5375"/>
      <c r="M900" s="5411"/>
      <c r="N900" s="5411"/>
      <c r="O900" s="5411">
        <f t="shared" si="413"/>
        <v>0</v>
      </c>
      <c r="P900" s="5396"/>
      <c r="Q900" s="5357">
        <f t="shared" si="414"/>
        <v>0</v>
      </c>
      <c r="R900" s="5410" t="e">
        <f t="shared" si="415"/>
        <v>#DIV/0!</v>
      </c>
      <c r="S900" s="5396"/>
      <c r="T900" s="5411" t="e">
        <f t="shared" si="416"/>
        <v>#DIV/0!</v>
      </c>
      <c r="U900" s="5396"/>
      <c r="V900" s="5357">
        <f t="shared" si="418"/>
        <v>0</v>
      </c>
      <c r="W900" s="5410" t="e">
        <f t="shared" si="419"/>
        <v>#DIV/0!</v>
      </c>
      <c r="X900" s="5396"/>
      <c r="Y900" s="5411" t="e">
        <f t="shared" si="417"/>
        <v>#DIV/0!</v>
      </c>
      <c r="Z900" s="5396"/>
      <c r="AA900" s="5357">
        <f t="shared" si="420"/>
        <v>0</v>
      </c>
      <c r="AB900" s="5410" t="e">
        <f t="shared" si="421"/>
        <v>#DIV/0!</v>
      </c>
      <c r="AC900" s="5350"/>
      <c r="AD900" s="5350"/>
      <c r="AE900" s="5350"/>
      <c r="AF900" s="5349">
        <f t="shared" si="396"/>
        <v>0</v>
      </c>
      <c r="AG900" s="5338">
        <f t="shared" si="397"/>
        <v>0</v>
      </c>
    </row>
    <row r="901" spans="1:33" s="5333" customFormat="1" ht="9.6999999999999993" hidden="1" customHeight="1">
      <c r="A901" s="5340"/>
      <c r="B901" s="5340"/>
      <c r="C901" s="5340"/>
      <c r="D901" s="5387"/>
      <c r="E901" s="5386"/>
      <c r="F901" s="5386"/>
      <c r="G901" s="5416"/>
      <c r="H901" s="5416"/>
      <c r="I901" s="5644"/>
      <c r="J901" s="5414"/>
      <c r="K901" s="5413"/>
      <c r="L901" s="5375"/>
      <c r="M901" s="5411"/>
      <c r="N901" s="5411"/>
      <c r="O901" s="5411">
        <f t="shared" si="413"/>
        <v>0</v>
      </c>
      <c r="P901" s="5396"/>
      <c r="Q901" s="5357">
        <f t="shared" si="414"/>
        <v>0</v>
      </c>
      <c r="R901" s="5410" t="e">
        <f t="shared" si="415"/>
        <v>#DIV/0!</v>
      </c>
      <c r="S901" s="5396"/>
      <c r="T901" s="5411" t="e">
        <f t="shared" si="416"/>
        <v>#DIV/0!</v>
      </c>
      <c r="U901" s="5396"/>
      <c r="V901" s="5357">
        <f t="shared" si="418"/>
        <v>0</v>
      </c>
      <c r="W901" s="5410" t="e">
        <f t="shared" si="419"/>
        <v>#DIV/0!</v>
      </c>
      <c r="X901" s="5396"/>
      <c r="Y901" s="5411" t="e">
        <f t="shared" si="417"/>
        <v>#DIV/0!</v>
      </c>
      <c r="Z901" s="5396"/>
      <c r="AA901" s="5357">
        <f t="shared" si="420"/>
        <v>0</v>
      </c>
      <c r="AB901" s="5410" t="e">
        <f t="shared" si="421"/>
        <v>#DIV/0!</v>
      </c>
      <c r="AC901" s="5350"/>
      <c r="AD901" s="5350"/>
      <c r="AE901" s="5350"/>
      <c r="AF901" s="5349">
        <f t="shared" si="396"/>
        <v>0</v>
      </c>
      <c r="AG901" s="5338">
        <f t="shared" si="397"/>
        <v>0</v>
      </c>
    </row>
    <row r="902" spans="1:33" s="5333" customFormat="1" ht="15.05" hidden="1" customHeight="1">
      <c r="A902" s="5340"/>
      <c r="B902" s="5340"/>
      <c r="C902" s="5340"/>
      <c r="D902" s="5367">
        <v>4</v>
      </c>
      <c r="E902" s="5367">
        <v>1</v>
      </c>
      <c r="F902" s="5367">
        <v>4</v>
      </c>
      <c r="G902" s="5367" t="s">
        <v>948</v>
      </c>
      <c r="H902" s="5368"/>
      <c r="I902" s="5632"/>
      <c r="J902" s="5366" t="s">
        <v>321</v>
      </c>
      <c r="K902" s="5361"/>
      <c r="L902" s="5375"/>
      <c r="M902" s="5411"/>
      <c r="N902" s="5411"/>
      <c r="O902" s="5411">
        <f t="shared" si="413"/>
        <v>0</v>
      </c>
      <c r="P902" s="5396"/>
      <c r="Q902" s="5357">
        <f t="shared" si="414"/>
        <v>0</v>
      </c>
      <c r="R902" s="5410" t="e">
        <f t="shared" si="415"/>
        <v>#DIV/0!</v>
      </c>
      <c r="S902" s="5396"/>
      <c r="T902" s="5411" t="e">
        <f t="shared" si="416"/>
        <v>#DIV/0!</v>
      </c>
      <c r="U902" s="5396"/>
      <c r="V902" s="5357">
        <f t="shared" si="418"/>
        <v>0</v>
      </c>
      <c r="W902" s="5410" t="e">
        <f t="shared" si="419"/>
        <v>#DIV/0!</v>
      </c>
      <c r="X902" s="5396"/>
      <c r="Y902" s="5411" t="e">
        <f t="shared" si="417"/>
        <v>#DIV/0!</v>
      </c>
      <c r="Z902" s="5396"/>
      <c r="AA902" s="5357">
        <f t="shared" si="420"/>
        <v>0</v>
      </c>
      <c r="AB902" s="5410" t="e">
        <f t="shared" si="421"/>
        <v>#DIV/0!</v>
      </c>
      <c r="AC902" s="5350"/>
      <c r="AD902" s="5350"/>
      <c r="AE902" s="5350"/>
      <c r="AF902" s="5349">
        <f t="shared" si="396"/>
        <v>0</v>
      </c>
      <c r="AG902" s="5338">
        <f t="shared" si="397"/>
        <v>0</v>
      </c>
    </row>
    <row r="903" spans="1:33" s="5333" customFormat="1" ht="15.05" hidden="1" customHeight="1">
      <c r="A903" s="5340"/>
      <c r="B903" s="5340"/>
      <c r="C903" s="5340"/>
      <c r="D903" s="5367">
        <v>4</v>
      </c>
      <c r="E903" s="5367">
        <v>1</v>
      </c>
      <c r="F903" s="5367">
        <v>4</v>
      </c>
      <c r="G903" s="5367" t="s">
        <v>948</v>
      </c>
      <c r="H903" s="5367" t="s">
        <v>437</v>
      </c>
      <c r="I903" s="5631"/>
      <c r="J903" s="5366" t="s">
        <v>85</v>
      </c>
      <c r="K903" s="5361"/>
      <c r="L903" s="5375"/>
      <c r="M903" s="5411"/>
      <c r="N903" s="5411"/>
      <c r="O903" s="5411">
        <f t="shared" si="413"/>
        <v>0</v>
      </c>
      <c r="P903" s="5396"/>
      <c r="Q903" s="5357">
        <f t="shared" si="414"/>
        <v>0</v>
      </c>
      <c r="R903" s="5410" t="e">
        <f t="shared" si="415"/>
        <v>#DIV/0!</v>
      </c>
      <c r="S903" s="5396"/>
      <c r="T903" s="5411" t="e">
        <f t="shared" si="416"/>
        <v>#DIV/0!</v>
      </c>
      <c r="U903" s="5396"/>
      <c r="V903" s="5357">
        <f t="shared" si="418"/>
        <v>0</v>
      </c>
      <c r="W903" s="5410" t="e">
        <f t="shared" si="419"/>
        <v>#DIV/0!</v>
      </c>
      <c r="X903" s="5396"/>
      <c r="Y903" s="5411" t="e">
        <f t="shared" si="417"/>
        <v>#DIV/0!</v>
      </c>
      <c r="Z903" s="5396"/>
      <c r="AA903" s="5357">
        <f t="shared" si="420"/>
        <v>0</v>
      </c>
      <c r="AB903" s="5410" t="e">
        <f t="shared" si="421"/>
        <v>#DIV/0!</v>
      </c>
      <c r="AC903" s="5350"/>
      <c r="AD903" s="5350"/>
      <c r="AE903" s="5350"/>
      <c r="AF903" s="5349">
        <f t="shared" si="396"/>
        <v>0</v>
      </c>
      <c r="AG903" s="5338">
        <f t="shared" si="397"/>
        <v>0</v>
      </c>
    </row>
    <row r="904" spans="1:33" s="5333" customFormat="1" ht="3.8" hidden="1" customHeight="1">
      <c r="A904" s="5340"/>
      <c r="B904" s="5340"/>
      <c r="C904" s="5340"/>
      <c r="D904" s="5378"/>
      <c r="E904" s="5363"/>
      <c r="F904" s="5363"/>
      <c r="G904" s="5363"/>
      <c r="H904" s="5363"/>
      <c r="I904" s="5635"/>
      <c r="J904" s="5362"/>
      <c r="K904" s="5376"/>
      <c r="L904" s="5375"/>
      <c r="M904" s="5411"/>
      <c r="N904" s="5411"/>
      <c r="O904" s="5411">
        <f t="shared" si="413"/>
        <v>0</v>
      </c>
      <c r="P904" s="5396"/>
      <c r="Q904" s="5357">
        <f t="shared" si="414"/>
        <v>0</v>
      </c>
      <c r="R904" s="5410" t="e">
        <f t="shared" si="415"/>
        <v>#DIV/0!</v>
      </c>
      <c r="S904" s="5396"/>
      <c r="T904" s="5411" t="e">
        <f t="shared" si="416"/>
        <v>#DIV/0!</v>
      </c>
      <c r="U904" s="5396"/>
      <c r="V904" s="5357">
        <f t="shared" si="418"/>
        <v>0</v>
      </c>
      <c r="W904" s="5410" t="e">
        <f t="shared" si="419"/>
        <v>#DIV/0!</v>
      </c>
      <c r="X904" s="5396"/>
      <c r="Y904" s="5411" t="e">
        <f t="shared" si="417"/>
        <v>#DIV/0!</v>
      </c>
      <c r="Z904" s="5396"/>
      <c r="AA904" s="5357"/>
      <c r="AB904" s="5410"/>
      <c r="AC904" s="5350"/>
      <c r="AD904" s="5350"/>
      <c r="AE904" s="5350"/>
      <c r="AF904" s="5349">
        <f t="shared" si="396"/>
        <v>0</v>
      </c>
      <c r="AG904" s="5338">
        <f t="shared" si="397"/>
        <v>0</v>
      </c>
    </row>
    <row r="905" spans="1:33" s="5333" customFormat="1" ht="11.3" hidden="1" customHeight="1">
      <c r="A905" s="5340"/>
      <c r="B905" s="5340"/>
      <c r="C905" s="5340"/>
      <c r="D905" s="5364"/>
      <c r="E905" s="5363"/>
      <c r="F905" s="5363"/>
      <c r="G905" s="5363"/>
      <c r="H905" s="5363"/>
      <c r="I905" s="5635"/>
      <c r="J905" s="5362"/>
      <c r="K905" s="5376"/>
      <c r="L905" s="5375"/>
      <c r="M905" s="5398"/>
      <c r="N905" s="5398"/>
      <c r="O905" s="5398"/>
      <c r="P905" s="5396"/>
      <c r="Q905" s="5397"/>
      <c r="R905" s="5396"/>
      <c r="S905" s="5396"/>
      <c r="T905" s="5398"/>
      <c r="U905" s="5396"/>
      <c r="V905" s="5397">
        <f t="shared" si="418"/>
        <v>0</v>
      </c>
      <c r="W905" s="5396" t="e">
        <f t="shared" si="419"/>
        <v>#DIV/0!</v>
      </c>
      <c r="X905" s="5396"/>
      <c r="Y905" s="5398"/>
      <c r="Z905" s="5396"/>
      <c r="AA905" s="5397"/>
      <c r="AB905" s="5396"/>
      <c r="AC905" s="5349"/>
      <c r="AD905" s="5349"/>
      <c r="AE905" s="5349"/>
      <c r="AF905" s="5349">
        <f t="shared" si="396"/>
        <v>0</v>
      </c>
      <c r="AG905" s="5338">
        <f t="shared" si="397"/>
        <v>0</v>
      </c>
    </row>
    <row r="906" spans="1:33" s="5333" customFormat="1" ht="15.05" hidden="1" customHeight="1">
      <c r="A906" s="5395" t="s">
        <v>460</v>
      </c>
      <c r="B906" s="5394" t="s">
        <v>437</v>
      </c>
      <c r="C906" s="5394" t="s">
        <v>438</v>
      </c>
      <c r="D906" s="5393" t="s">
        <v>460</v>
      </c>
      <c r="E906" s="5392" t="s">
        <v>437</v>
      </c>
      <c r="F906" s="5392" t="s">
        <v>438</v>
      </c>
      <c r="G906" s="5392"/>
      <c r="H906" s="5392"/>
      <c r="I906" s="5637"/>
      <c r="J906" s="5391" t="s">
        <v>1303</v>
      </c>
      <c r="K906" s="5390"/>
      <c r="L906" s="5389"/>
      <c r="M906" s="5355">
        <v>37000000</v>
      </c>
      <c r="N906" s="5355">
        <f>+N908</f>
        <v>37000000</v>
      </c>
      <c r="O906" s="5355">
        <f>N906-M906</f>
        <v>0</v>
      </c>
      <c r="P906" s="5388">
        <f>+P908</f>
        <v>37000000</v>
      </c>
      <c r="Q906" s="5425">
        <f>+P906-N906</f>
        <v>0</v>
      </c>
      <c r="R906" s="5388">
        <f>P906/N906*100-100</f>
        <v>0</v>
      </c>
      <c r="S906" s="5388">
        <f>+S908</f>
        <v>10000000</v>
      </c>
      <c r="T906" s="5355">
        <f>S906-R906</f>
        <v>10000000</v>
      </c>
      <c r="U906" s="5388">
        <f>+U908</f>
        <v>37000000</v>
      </c>
      <c r="V906" s="5425">
        <f t="shared" si="418"/>
        <v>-27000000</v>
      </c>
      <c r="W906" s="5388">
        <f t="shared" si="419"/>
        <v>-72.972972972972968</v>
      </c>
      <c r="X906" s="5388">
        <f>+X908</f>
        <v>10500000</v>
      </c>
      <c r="Y906" s="5355">
        <f>X906-W906</f>
        <v>10500072.972972972</v>
      </c>
      <c r="Z906" s="5388">
        <f>+Z908</f>
        <v>37000000</v>
      </c>
      <c r="AA906" s="5425">
        <f>X906-S906</f>
        <v>500000</v>
      </c>
      <c r="AB906" s="5388">
        <f>X906/S906*100-100</f>
        <v>5</v>
      </c>
      <c r="AC906" s="5349"/>
      <c r="AD906" s="5349"/>
      <c r="AE906" s="5349"/>
      <c r="AF906" s="5349">
        <f t="shared" si="396"/>
        <v>-27000000</v>
      </c>
      <c r="AG906" s="5338">
        <f t="shared" si="397"/>
        <v>0</v>
      </c>
    </row>
    <row r="907" spans="1:33" s="5333" customFormat="1" ht="5.95" hidden="1" customHeight="1">
      <c r="A907" s="5340"/>
      <c r="B907" s="5340"/>
      <c r="C907" s="5340"/>
      <c r="D907" s="5387"/>
      <c r="E907" s="5386"/>
      <c r="F907" s="5386"/>
      <c r="G907" s="5386"/>
      <c r="H907" s="5386"/>
      <c r="I907" s="5636"/>
      <c r="J907" s="5385"/>
      <c r="K907" s="5424"/>
      <c r="L907" s="5423"/>
      <c r="M907" s="5382"/>
      <c r="N907" s="5382"/>
      <c r="O907" s="5382"/>
      <c r="P907" s="5381"/>
      <c r="Q907" s="5382"/>
      <c r="R907" s="5381"/>
      <c r="S907" s="5381"/>
      <c r="T907" s="5382"/>
      <c r="U907" s="5381"/>
      <c r="V907" s="5382"/>
      <c r="W907" s="5381"/>
      <c r="X907" s="5381"/>
      <c r="Y907" s="5382"/>
      <c r="Z907" s="5381"/>
      <c r="AA907" s="5382"/>
      <c r="AB907" s="5381"/>
      <c r="AC907" s="5349"/>
      <c r="AD907" s="5349"/>
      <c r="AE907" s="5349"/>
      <c r="AF907" s="5349">
        <f t="shared" si="396"/>
        <v>0</v>
      </c>
      <c r="AG907" s="5338">
        <f t="shared" si="397"/>
        <v>0</v>
      </c>
    </row>
    <row r="908" spans="1:33" s="5333" customFormat="1" ht="15.05" hidden="1" customHeight="1">
      <c r="A908" s="5340"/>
      <c r="B908" s="5340"/>
      <c r="C908" s="5340"/>
      <c r="D908" s="5374">
        <v>4</v>
      </c>
      <c r="E908" s="5374">
        <v>1</v>
      </c>
      <c r="F908" s="5374"/>
      <c r="G908" s="5374"/>
      <c r="H908" s="5374"/>
      <c r="I908" s="5537"/>
      <c r="J908" s="5372" t="s">
        <v>180</v>
      </c>
      <c r="K908" s="5371"/>
      <c r="L908" s="5370"/>
      <c r="M908" s="5357">
        <v>37000000</v>
      </c>
      <c r="N908" s="5357">
        <f>+N910+N922</f>
        <v>37000000</v>
      </c>
      <c r="O908" s="5357">
        <f>N908-M908</f>
        <v>0</v>
      </c>
      <c r="P908" s="5358">
        <f>+P910+P922</f>
        <v>37000000</v>
      </c>
      <c r="Q908" s="5357">
        <f>+P908-N908</f>
        <v>0</v>
      </c>
      <c r="R908" s="5358">
        <f>P908/N908*100-100</f>
        <v>0</v>
      </c>
      <c r="S908" s="5358">
        <f>+S910+S922</f>
        <v>10000000</v>
      </c>
      <c r="T908" s="5357">
        <f>S908-R908</f>
        <v>10000000</v>
      </c>
      <c r="U908" s="5358">
        <f>+U910+U922</f>
        <v>37000000</v>
      </c>
      <c r="V908" s="5357">
        <f t="shared" ref="V908:V914" si="422">S908-P908</f>
        <v>-27000000</v>
      </c>
      <c r="W908" s="5358">
        <f>S908/P908*100-100</f>
        <v>-72.972972972972968</v>
      </c>
      <c r="X908" s="5358">
        <f>+X910+X922</f>
        <v>10500000</v>
      </c>
      <c r="Y908" s="5357">
        <f>X908-W908</f>
        <v>10500072.972972972</v>
      </c>
      <c r="Z908" s="5358">
        <f>+Z910+Z922</f>
        <v>37000000</v>
      </c>
      <c r="AA908" s="5357">
        <f>X908-S908</f>
        <v>500000</v>
      </c>
      <c r="AB908" s="5358">
        <f>X908/S908*100-100</f>
        <v>5</v>
      </c>
      <c r="AC908" s="5349"/>
      <c r="AD908" s="5349"/>
      <c r="AE908" s="5349"/>
      <c r="AF908" s="5349">
        <f t="shared" si="396"/>
        <v>-27000000</v>
      </c>
      <c r="AG908" s="5338">
        <f t="shared" si="397"/>
        <v>0</v>
      </c>
    </row>
    <row r="909" spans="1:33" s="5333" customFormat="1" ht="4.55" hidden="1" customHeight="1">
      <c r="A909" s="5340"/>
      <c r="B909" s="5340"/>
      <c r="C909" s="5340"/>
      <c r="D909" s="5367"/>
      <c r="E909" s="5380"/>
      <c r="F909" s="5380"/>
      <c r="G909" s="5380"/>
      <c r="H909" s="5380"/>
      <c r="I909" s="5496"/>
      <c r="J909" s="5366"/>
      <c r="K909" s="5371"/>
      <c r="L909" s="5370"/>
      <c r="M909" s="5357"/>
      <c r="N909" s="5357"/>
      <c r="O909" s="5357"/>
      <c r="P909" s="5358"/>
      <c r="Q909" s="5357"/>
      <c r="R909" s="5358"/>
      <c r="S909" s="5358"/>
      <c r="T909" s="5357"/>
      <c r="U909" s="5358"/>
      <c r="V909" s="5357">
        <f t="shared" si="422"/>
        <v>0</v>
      </c>
      <c r="W909" s="5358"/>
      <c r="X909" s="5358"/>
      <c r="Y909" s="5357"/>
      <c r="Z909" s="5358"/>
      <c r="AA909" s="5357"/>
      <c r="AB909" s="5358"/>
      <c r="AC909" s="5349"/>
      <c r="AD909" s="5349"/>
      <c r="AE909" s="5349"/>
      <c r="AF909" s="5349">
        <f t="shared" si="396"/>
        <v>0</v>
      </c>
      <c r="AG909" s="5338">
        <f t="shared" si="397"/>
        <v>0</v>
      </c>
    </row>
    <row r="910" spans="1:33" s="5333" customFormat="1" ht="15.05" hidden="1" customHeight="1">
      <c r="A910" s="5340"/>
      <c r="B910" s="5340"/>
      <c r="C910" s="5340"/>
      <c r="D910" s="5374">
        <v>4</v>
      </c>
      <c r="E910" s="5374">
        <v>1</v>
      </c>
      <c r="F910" s="5374">
        <v>2</v>
      </c>
      <c r="G910" s="5374"/>
      <c r="H910" s="5374"/>
      <c r="I910" s="5537"/>
      <c r="J910" s="5372" t="s">
        <v>106</v>
      </c>
      <c r="K910" s="5371"/>
      <c r="L910" s="5370"/>
      <c r="M910" s="5357">
        <v>37000000</v>
      </c>
      <c r="N910" s="5357">
        <f>+N911</f>
        <v>37000000</v>
      </c>
      <c r="O910" s="5357">
        <f>N910-M910</f>
        <v>0</v>
      </c>
      <c r="P910" s="5358">
        <f>+P911</f>
        <v>37000000</v>
      </c>
      <c r="Q910" s="5357">
        <f>+P910-N910</f>
        <v>0</v>
      </c>
      <c r="R910" s="5358">
        <f>P910/N910*100-100</f>
        <v>0</v>
      </c>
      <c r="S910" s="5358">
        <f>+S911</f>
        <v>10000000</v>
      </c>
      <c r="T910" s="5357">
        <f>S910-R910</f>
        <v>10000000</v>
      </c>
      <c r="U910" s="5358">
        <f>+U911</f>
        <v>37000000</v>
      </c>
      <c r="V910" s="5357">
        <f t="shared" si="422"/>
        <v>-27000000</v>
      </c>
      <c r="W910" s="5358">
        <f>S910/P910*100-100</f>
        <v>-72.972972972972968</v>
      </c>
      <c r="X910" s="5358">
        <f>+X911</f>
        <v>10500000</v>
      </c>
      <c r="Y910" s="5357">
        <f>X910-W910</f>
        <v>10500072.972972972</v>
      </c>
      <c r="Z910" s="5358">
        <f>+Z911</f>
        <v>37000000</v>
      </c>
      <c r="AA910" s="5357">
        <f>X910-S910</f>
        <v>500000</v>
      </c>
      <c r="AB910" s="5358">
        <f>X910/S910*100-100</f>
        <v>5</v>
      </c>
      <c r="AC910" s="5349"/>
      <c r="AD910" s="5349"/>
      <c r="AE910" s="5349"/>
      <c r="AF910" s="5349">
        <f t="shared" si="396"/>
        <v>-27000000</v>
      </c>
      <c r="AG910" s="5338">
        <f t="shared" si="397"/>
        <v>0</v>
      </c>
    </row>
    <row r="911" spans="1:33" s="5333" customFormat="1" ht="15.05" hidden="1" customHeight="1">
      <c r="A911" s="5340"/>
      <c r="B911" s="5340"/>
      <c r="C911" s="5340"/>
      <c r="D911" s="5367">
        <v>4</v>
      </c>
      <c r="E911" s="5367">
        <v>1</v>
      </c>
      <c r="F911" s="5367">
        <v>2</v>
      </c>
      <c r="G911" s="5368" t="s">
        <v>438</v>
      </c>
      <c r="H911" s="5367"/>
      <c r="I911" s="5631"/>
      <c r="J911" s="5366" t="s">
        <v>374</v>
      </c>
      <c r="K911" s="5361"/>
      <c r="L911" s="5365"/>
      <c r="M911" s="5357">
        <v>37000000</v>
      </c>
      <c r="N911" s="5357">
        <f>+N912+N916</f>
        <v>37000000</v>
      </c>
      <c r="O911" s="5357">
        <f>N911-M911</f>
        <v>0</v>
      </c>
      <c r="P911" s="5358">
        <f>+P912+P916</f>
        <v>37000000</v>
      </c>
      <c r="Q911" s="5357">
        <f>+P911-N911</f>
        <v>0</v>
      </c>
      <c r="R911" s="5358">
        <f>P911/N911*100-100</f>
        <v>0</v>
      </c>
      <c r="S911" s="5358">
        <f>+S912+S916</f>
        <v>10000000</v>
      </c>
      <c r="T911" s="5357">
        <f>S911-R911</f>
        <v>10000000</v>
      </c>
      <c r="U911" s="5358">
        <f>+U912+U916</f>
        <v>37000000</v>
      </c>
      <c r="V911" s="5357">
        <f t="shared" si="422"/>
        <v>-27000000</v>
      </c>
      <c r="W911" s="5358">
        <f>S911/P911*100-100</f>
        <v>-72.972972972972968</v>
      </c>
      <c r="X911" s="5358">
        <f>+X912+X916</f>
        <v>10500000</v>
      </c>
      <c r="Y911" s="5357">
        <f>X911-W911</f>
        <v>10500072.972972972</v>
      </c>
      <c r="Z911" s="5358">
        <f>+Z912+Z916</f>
        <v>37000000</v>
      </c>
      <c r="AA911" s="5357">
        <f>X911-S911</f>
        <v>500000</v>
      </c>
      <c r="AB911" s="5358">
        <f>X911/S911*100-100</f>
        <v>5</v>
      </c>
      <c r="AC911" s="5349"/>
      <c r="AD911" s="5349"/>
      <c r="AE911" s="5349"/>
      <c r="AF911" s="5349">
        <f t="shared" si="396"/>
        <v>-27000000</v>
      </c>
      <c r="AG911" s="5338">
        <f t="shared" si="397"/>
        <v>0</v>
      </c>
    </row>
    <row r="912" spans="1:33" s="5333" customFormat="1" ht="15.05" hidden="1" customHeight="1">
      <c r="A912" s="5340"/>
      <c r="B912" s="5340"/>
      <c r="C912" s="5340"/>
      <c r="D912" s="5367">
        <v>4</v>
      </c>
      <c r="E912" s="5367">
        <v>1</v>
      </c>
      <c r="F912" s="5367">
        <v>2</v>
      </c>
      <c r="G912" s="5368" t="s">
        <v>438</v>
      </c>
      <c r="H912" s="5368" t="s">
        <v>437</v>
      </c>
      <c r="I912" s="5632"/>
      <c r="J912" s="5366" t="s">
        <v>64</v>
      </c>
      <c r="K912" s="5361"/>
      <c r="L912" s="5365"/>
      <c r="M912" s="5357">
        <v>0</v>
      </c>
      <c r="N912" s="5357">
        <f>+N913+N914</f>
        <v>0</v>
      </c>
      <c r="O912" s="5357">
        <f>N912-M912</f>
        <v>0</v>
      </c>
      <c r="P912" s="5358">
        <f>+P913+P914</f>
        <v>0</v>
      </c>
      <c r="Q912" s="5357">
        <f>+P912-N912</f>
        <v>0</v>
      </c>
      <c r="R912" s="5358">
        <v>0</v>
      </c>
      <c r="S912" s="5358">
        <f>+S913+S914</f>
        <v>0</v>
      </c>
      <c r="T912" s="5357">
        <f>S912-R912</f>
        <v>0</v>
      </c>
      <c r="U912" s="5358">
        <f>+U913+U914</f>
        <v>0</v>
      </c>
      <c r="V912" s="5357">
        <f t="shared" si="422"/>
        <v>0</v>
      </c>
      <c r="W912" s="5358">
        <v>0</v>
      </c>
      <c r="X912" s="5358">
        <f>+X913+X914</f>
        <v>0</v>
      </c>
      <c r="Y912" s="5357">
        <f>X912-W912</f>
        <v>0</v>
      </c>
      <c r="Z912" s="5358">
        <f>+Z913+Z914</f>
        <v>0</v>
      </c>
      <c r="AA912" s="5357">
        <f>X912-S912</f>
        <v>0</v>
      </c>
      <c r="AB912" s="5358">
        <v>0</v>
      </c>
      <c r="AC912" s="5349"/>
      <c r="AD912" s="5349"/>
      <c r="AE912" s="5349"/>
      <c r="AF912" s="5349">
        <f t="shared" si="396"/>
        <v>0</v>
      </c>
      <c r="AG912" s="5338">
        <f t="shared" si="397"/>
        <v>0</v>
      </c>
    </row>
    <row r="913" spans="1:33" s="5333" customFormat="1" ht="15.05" hidden="1" customHeight="1">
      <c r="A913" s="5340"/>
      <c r="B913" s="5340"/>
      <c r="C913" s="5340"/>
      <c r="D913" s="5368"/>
      <c r="E913" s="5380"/>
      <c r="F913" s="5380"/>
      <c r="G913" s="5368"/>
      <c r="H913" s="5367"/>
      <c r="I913" s="5631"/>
      <c r="J913" s="5366" t="s">
        <v>50</v>
      </c>
      <c r="K913" s="5361" t="s">
        <v>524</v>
      </c>
      <c r="L913" s="5365"/>
      <c r="M913" s="5359">
        <v>0</v>
      </c>
      <c r="N913" s="5359">
        <v>0</v>
      </c>
      <c r="O913" s="5359">
        <f>N913-M913</f>
        <v>0</v>
      </c>
      <c r="P913" s="5358"/>
      <c r="Q913" s="5357">
        <f>+P913-N913</f>
        <v>0</v>
      </c>
      <c r="R913" s="5358">
        <v>0</v>
      </c>
      <c r="S913" s="5358"/>
      <c r="T913" s="5359">
        <f>S913-R913</f>
        <v>0</v>
      </c>
      <c r="U913" s="5358"/>
      <c r="V913" s="5357">
        <f t="shared" si="422"/>
        <v>0</v>
      </c>
      <c r="W913" s="5358">
        <v>0</v>
      </c>
      <c r="X913" s="5358"/>
      <c r="Y913" s="5359">
        <f>X913-W913</f>
        <v>0</v>
      </c>
      <c r="Z913" s="5358"/>
      <c r="AA913" s="5357">
        <f>X913-S913</f>
        <v>0</v>
      </c>
      <c r="AB913" s="5358">
        <v>0</v>
      </c>
      <c r="AC913" s="5350"/>
      <c r="AD913" s="5350"/>
      <c r="AE913" s="5350"/>
      <c r="AF913" s="5349">
        <f t="shared" si="396"/>
        <v>0</v>
      </c>
      <c r="AG913" s="5338">
        <f t="shared" si="397"/>
        <v>0</v>
      </c>
    </row>
    <row r="914" spans="1:33" s="5333" customFormat="1" ht="15.05" hidden="1" customHeight="1">
      <c r="A914" s="5340"/>
      <c r="B914" s="5340"/>
      <c r="C914" s="5340"/>
      <c r="D914" s="5368"/>
      <c r="E914" s="5380"/>
      <c r="F914" s="5380"/>
      <c r="G914" s="5368"/>
      <c r="H914" s="5367"/>
      <c r="I914" s="5631"/>
      <c r="J914" s="5366" t="s">
        <v>50</v>
      </c>
      <c r="K914" s="5361" t="s">
        <v>525</v>
      </c>
      <c r="L914" s="5365"/>
      <c r="M914" s="5359">
        <v>0</v>
      </c>
      <c r="N914" s="5359">
        <v>0</v>
      </c>
      <c r="O914" s="5359">
        <f>N914-M914</f>
        <v>0</v>
      </c>
      <c r="P914" s="5358"/>
      <c r="Q914" s="5357">
        <f>+P914-N914</f>
        <v>0</v>
      </c>
      <c r="R914" s="5358">
        <v>0</v>
      </c>
      <c r="S914" s="5358"/>
      <c r="T914" s="5359">
        <f>S914-R914</f>
        <v>0</v>
      </c>
      <c r="U914" s="5358"/>
      <c r="V914" s="5357">
        <f t="shared" si="422"/>
        <v>0</v>
      </c>
      <c r="W914" s="5358">
        <v>0</v>
      </c>
      <c r="X914" s="5358"/>
      <c r="Y914" s="5359">
        <f>X914-W914</f>
        <v>0</v>
      </c>
      <c r="Z914" s="5358"/>
      <c r="AA914" s="5357">
        <f>X914-S914</f>
        <v>0</v>
      </c>
      <c r="AB914" s="5358">
        <v>0</v>
      </c>
      <c r="AC914" s="5350"/>
      <c r="AD914" s="5350"/>
      <c r="AE914" s="5350"/>
      <c r="AF914" s="5349">
        <f t="shared" si="396"/>
        <v>0</v>
      </c>
      <c r="AG914" s="5338">
        <f t="shared" si="397"/>
        <v>0</v>
      </c>
    </row>
    <row r="915" spans="1:33" s="5333" customFormat="1" ht="9.6999999999999993" hidden="1" customHeight="1">
      <c r="A915" s="5340"/>
      <c r="B915" s="5340"/>
      <c r="C915" s="5340"/>
      <c r="D915" s="5368"/>
      <c r="E915" s="5380"/>
      <c r="F915" s="5380"/>
      <c r="G915" s="5379"/>
      <c r="H915" s="5380"/>
      <c r="I915" s="5496"/>
      <c r="J915" s="5366"/>
      <c r="K915" s="5361"/>
      <c r="L915" s="5365"/>
      <c r="M915" s="5357"/>
      <c r="N915" s="5357"/>
      <c r="O915" s="5357"/>
      <c r="P915" s="5358"/>
      <c r="Q915" s="5357"/>
      <c r="R915" s="5358"/>
      <c r="S915" s="5358"/>
      <c r="T915" s="5357"/>
      <c r="U915" s="5358"/>
      <c r="V915" s="5357"/>
      <c r="W915" s="5358"/>
      <c r="X915" s="5358"/>
      <c r="Y915" s="5357"/>
      <c r="Z915" s="5358"/>
      <c r="AA915" s="5357"/>
      <c r="AB915" s="5358"/>
      <c r="AC915" s="5349"/>
      <c r="AD915" s="5349"/>
      <c r="AE915" s="5349"/>
      <c r="AF915" s="5349">
        <f t="shared" ref="AF915:AF939" si="423">S915-P915</f>
        <v>0</v>
      </c>
      <c r="AG915" s="5338">
        <f t="shared" ref="AG915:AG939" si="424">AF915-V915</f>
        <v>0</v>
      </c>
    </row>
    <row r="916" spans="1:33" s="5333" customFormat="1" ht="15.05" hidden="1" customHeight="1">
      <c r="A916" s="5340"/>
      <c r="B916" s="5340"/>
      <c r="C916" s="5340"/>
      <c r="D916" s="5367">
        <v>4</v>
      </c>
      <c r="E916" s="5367">
        <v>1</v>
      </c>
      <c r="F916" s="5367">
        <v>2</v>
      </c>
      <c r="G916" s="5368" t="s">
        <v>438</v>
      </c>
      <c r="H916" s="5368" t="s">
        <v>448</v>
      </c>
      <c r="I916" s="5632"/>
      <c r="J916" s="5366" t="s">
        <v>361</v>
      </c>
      <c r="K916" s="5361"/>
      <c r="L916" s="5365"/>
      <c r="M916" s="5357">
        <v>37000000</v>
      </c>
      <c r="N916" s="5357">
        <f>SUM(N917:N920)</f>
        <v>37000000</v>
      </c>
      <c r="O916" s="5357">
        <f t="shared" ref="O916:O929" si="425">N916-M916</f>
        <v>0</v>
      </c>
      <c r="P916" s="5358">
        <f>SUM(P917:P920)</f>
        <v>37000000</v>
      </c>
      <c r="Q916" s="5357">
        <f t="shared" ref="Q916:Q929" si="426">+P916-N916</f>
        <v>0</v>
      </c>
      <c r="R916" s="5358">
        <f>P916/N916*100-100</f>
        <v>0</v>
      </c>
      <c r="S916" s="5358">
        <f>SUM(S917:S920)</f>
        <v>10000000</v>
      </c>
      <c r="T916" s="5357">
        <f t="shared" ref="T916:T929" si="427">S916-R916</f>
        <v>10000000</v>
      </c>
      <c r="U916" s="5358">
        <f>SUM(U917:U920)</f>
        <v>37000000</v>
      </c>
      <c r="V916" s="5357">
        <f>S916-P916</f>
        <v>-27000000</v>
      </c>
      <c r="W916" s="5358">
        <f>S916/P916*100-100</f>
        <v>-72.972972972972968</v>
      </c>
      <c r="X916" s="5358">
        <f>SUM(X917:X920)</f>
        <v>10500000</v>
      </c>
      <c r="Y916" s="5357">
        <f t="shared" ref="Y916:Y929" si="428">X916-W916</f>
        <v>10500072.972972972</v>
      </c>
      <c r="Z916" s="5358">
        <f>SUM(Z917:Z920)</f>
        <v>37000000</v>
      </c>
      <c r="AA916" s="5357">
        <f>X916-S916</f>
        <v>500000</v>
      </c>
      <c r="AB916" s="5358">
        <f>X916/S916*100-100</f>
        <v>5</v>
      </c>
      <c r="AC916" s="5349"/>
      <c r="AD916" s="5349"/>
      <c r="AE916" s="5349"/>
      <c r="AF916" s="5349">
        <f t="shared" si="423"/>
        <v>-27000000</v>
      </c>
      <c r="AG916" s="5338">
        <f t="shared" si="424"/>
        <v>0</v>
      </c>
    </row>
    <row r="917" spans="1:33" s="5333" customFormat="1" ht="15.05" hidden="1" customHeight="1">
      <c r="A917" s="5340"/>
      <c r="B917" s="5340"/>
      <c r="C917" s="5340"/>
      <c r="D917" s="5368"/>
      <c r="E917" s="5367"/>
      <c r="F917" s="5367"/>
      <c r="G917" s="5368"/>
      <c r="H917" s="5368"/>
      <c r="I917" s="5632"/>
      <c r="J917" s="5366" t="s">
        <v>50</v>
      </c>
      <c r="K917" s="5361" t="s">
        <v>540</v>
      </c>
      <c r="L917" s="5365"/>
      <c r="M917" s="5359">
        <v>0</v>
      </c>
      <c r="N917" s="5359">
        <v>0</v>
      </c>
      <c r="O917" s="5359">
        <f t="shared" si="425"/>
        <v>0</v>
      </c>
      <c r="P917" s="5358"/>
      <c r="Q917" s="5357">
        <f t="shared" si="426"/>
        <v>0</v>
      </c>
      <c r="R917" s="5358">
        <v>0</v>
      </c>
      <c r="S917" s="5358"/>
      <c r="T917" s="5359">
        <f t="shared" si="427"/>
        <v>0</v>
      </c>
      <c r="U917" s="5358"/>
      <c r="V917" s="5357">
        <f>S917-P917</f>
        <v>0</v>
      </c>
      <c r="W917" s="5358">
        <v>0</v>
      </c>
      <c r="X917" s="5358"/>
      <c r="Y917" s="5359">
        <f t="shared" si="428"/>
        <v>0</v>
      </c>
      <c r="Z917" s="5358"/>
      <c r="AA917" s="5357">
        <f>X917-S917</f>
        <v>0</v>
      </c>
      <c r="AB917" s="5358">
        <v>0</v>
      </c>
      <c r="AC917" s="5350"/>
      <c r="AD917" s="5350"/>
      <c r="AE917" s="5350"/>
      <c r="AF917" s="5349">
        <f t="shared" si="423"/>
        <v>0</v>
      </c>
      <c r="AG917" s="5338">
        <f t="shared" si="424"/>
        <v>0</v>
      </c>
    </row>
    <row r="918" spans="1:33" s="5333" customFormat="1" ht="15.05" hidden="1" customHeight="1">
      <c r="A918" s="5340"/>
      <c r="B918" s="5340"/>
      <c r="C918" s="5340"/>
      <c r="D918" s="5368"/>
      <c r="E918" s="5367"/>
      <c r="F918" s="5367"/>
      <c r="G918" s="5368"/>
      <c r="H918" s="5368"/>
      <c r="I918" s="5632"/>
      <c r="J918" s="5366" t="s">
        <v>50</v>
      </c>
      <c r="K918" s="5361" t="s">
        <v>541</v>
      </c>
      <c r="L918" s="5365"/>
      <c r="M918" s="5359">
        <v>0</v>
      </c>
      <c r="N918" s="5359">
        <v>0</v>
      </c>
      <c r="O918" s="5359">
        <f t="shared" si="425"/>
        <v>0</v>
      </c>
      <c r="P918" s="5358"/>
      <c r="Q918" s="5357">
        <f t="shared" si="426"/>
        <v>0</v>
      </c>
      <c r="R918" s="5358">
        <v>0</v>
      </c>
      <c r="S918" s="5358"/>
      <c r="T918" s="5359">
        <f t="shared" si="427"/>
        <v>0</v>
      </c>
      <c r="U918" s="5358"/>
      <c r="V918" s="5357">
        <f>S918-P918</f>
        <v>0</v>
      </c>
      <c r="W918" s="5358">
        <v>0</v>
      </c>
      <c r="X918" s="5358"/>
      <c r="Y918" s="5359">
        <f t="shared" si="428"/>
        <v>0</v>
      </c>
      <c r="Z918" s="5358"/>
      <c r="AA918" s="5357">
        <f>X918-S918</f>
        <v>0</v>
      </c>
      <c r="AB918" s="5358">
        <v>0</v>
      </c>
      <c r="AC918" s="5350"/>
      <c r="AD918" s="5350"/>
      <c r="AE918" s="5350"/>
      <c r="AF918" s="5349">
        <f t="shared" si="423"/>
        <v>0</v>
      </c>
      <c r="AG918" s="5338">
        <f t="shared" si="424"/>
        <v>0</v>
      </c>
    </row>
    <row r="919" spans="1:33" s="5333" customFormat="1" ht="15.05" hidden="1" customHeight="1">
      <c r="A919" s="5340"/>
      <c r="B919" s="5340"/>
      <c r="C919" s="5340"/>
      <c r="D919" s="5368"/>
      <c r="E919" s="5367"/>
      <c r="F919" s="5367"/>
      <c r="G919" s="5368"/>
      <c r="H919" s="5368"/>
      <c r="I919" s="5632"/>
      <c r="J919" s="5366" t="s">
        <v>50</v>
      </c>
      <c r="K919" s="5361" t="s">
        <v>542</v>
      </c>
      <c r="L919" s="5365"/>
      <c r="M919" s="5359">
        <v>0</v>
      </c>
      <c r="N919" s="5359">
        <v>0</v>
      </c>
      <c r="O919" s="5359">
        <f t="shared" si="425"/>
        <v>0</v>
      </c>
      <c r="P919" s="5358"/>
      <c r="Q919" s="5357">
        <f t="shared" si="426"/>
        <v>0</v>
      </c>
      <c r="R919" s="5358">
        <v>0</v>
      </c>
      <c r="S919" s="5358"/>
      <c r="T919" s="5359">
        <f t="shared" si="427"/>
        <v>0</v>
      </c>
      <c r="U919" s="5358"/>
      <c r="V919" s="5357">
        <f>S919-P919</f>
        <v>0</v>
      </c>
      <c r="W919" s="5358">
        <v>0</v>
      </c>
      <c r="X919" s="5358"/>
      <c r="Y919" s="5359">
        <f t="shared" si="428"/>
        <v>0</v>
      </c>
      <c r="Z919" s="5358"/>
      <c r="AA919" s="5357">
        <f>X919-S919</f>
        <v>0</v>
      </c>
      <c r="AB919" s="5358">
        <v>0</v>
      </c>
      <c r="AC919" s="5350"/>
      <c r="AD919" s="5350"/>
      <c r="AE919" s="5350"/>
      <c r="AF919" s="5349">
        <f t="shared" si="423"/>
        <v>0</v>
      </c>
      <c r="AG919" s="5338">
        <f t="shared" si="424"/>
        <v>0</v>
      </c>
    </row>
    <row r="920" spans="1:33" s="5333" customFormat="1" ht="15.05" customHeight="1" thickBot="1">
      <c r="A920" s="5340"/>
      <c r="B920" s="5340"/>
      <c r="C920" s="5340"/>
      <c r="D920" s="5368"/>
      <c r="E920" s="5367"/>
      <c r="F920" s="5367"/>
      <c r="G920" s="5368"/>
      <c r="H920" s="5368"/>
      <c r="I920" s="5632"/>
      <c r="J920" s="5366" t="s">
        <v>50</v>
      </c>
      <c r="K920" s="5361" t="s">
        <v>353</v>
      </c>
      <c r="L920" s="5365"/>
      <c r="M920" s="5359">
        <v>37000000</v>
      </c>
      <c r="N920" s="5359">
        <v>37000000</v>
      </c>
      <c r="O920" s="5359">
        <f t="shared" si="425"/>
        <v>0</v>
      </c>
      <c r="P920" s="5358">
        <v>37000000</v>
      </c>
      <c r="Q920" s="5357">
        <f t="shared" si="426"/>
        <v>0</v>
      </c>
      <c r="R920" s="5358">
        <f t="shared" ref="R920:R929" si="429">P920/N920*100-100</f>
        <v>0</v>
      </c>
      <c r="S920" s="5358">
        <v>10000000</v>
      </c>
      <c r="T920" s="5359">
        <f t="shared" si="427"/>
        <v>10000000</v>
      </c>
      <c r="U920" s="5358">
        <v>37000000</v>
      </c>
      <c r="V920" s="5357">
        <f>S920-P920</f>
        <v>-27000000</v>
      </c>
      <c r="W920" s="5358">
        <f>S920/P920*100-100</f>
        <v>-72.972972972972968</v>
      </c>
      <c r="X920" s="5358">
        <f>'rekap perdinas Kua PPAS'!N684</f>
        <v>10500000</v>
      </c>
      <c r="Y920" s="5359">
        <f t="shared" si="428"/>
        <v>10500072.972972972</v>
      </c>
      <c r="Z920" s="5358">
        <v>37000000</v>
      </c>
      <c r="AA920" s="5357">
        <f>X920-S920</f>
        <v>500000</v>
      </c>
      <c r="AB920" s="5358">
        <f>X920/S920*100-100</f>
        <v>5</v>
      </c>
      <c r="AC920" s="5350"/>
      <c r="AD920" s="5350"/>
      <c r="AE920" s="5350"/>
      <c r="AF920" s="5349">
        <f t="shared" si="423"/>
        <v>-27000000</v>
      </c>
      <c r="AG920" s="5338">
        <f t="shared" si="424"/>
        <v>0</v>
      </c>
    </row>
    <row r="921" spans="1:33" s="5333" customFormat="1" ht="7.55" hidden="1" customHeight="1">
      <c r="A921" s="5340"/>
      <c r="B921" s="5340"/>
      <c r="C921" s="5340"/>
      <c r="D921" s="5368"/>
      <c r="E921" s="5380"/>
      <c r="F921" s="5380"/>
      <c r="G921" s="5379"/>
      <c r="H921" s="5379"/>
      <c r="I921" s="5495"/>
      <c r="J921" s="5366"/>
      <c r="K921" s="5361"/>
      <c r="L921" s="5365"/>
      <c r="M921" s="5357"/>
      <c r="N921" s="5357"/>
      <c r="O921" s="5357">
        <f t="shared" si="425"/>
        <v>0</v>
      </c>
      <c r="P921" s="5358"/>
      <c r="Q921" s="5357">
        <f t="shared" si="426"/>
        <v>0</v>
      </c>
      <c r="R921" s="5358" t="e">
        <f t="shared" si="429"/>
        <v>#DIV/0!</v>
      </c>
      <c r="S921" s="5358"/>
      <c r="T921" s="5357" t="e">
        <f t="shared" si="427"/>
        <v>#DIV/0!</v>
      </c>
      <c r="U921" s="5358"/>
      <c r="V921" s="5357"/>
      <c r="W921" s="5358"/>
      <c r="X921" s="5358"/>
      <c r="Y921" s="5357">
        <f t="shared" si="428"/>
        <v>0</v>
      </c>
      <c r="Z921" s="5358"/>
      <c r="AA921" s="5357"/>
      <c r="AB921" s="5358"/>
      <c r="AC921" s="5349"/>
      <c r="AD921" s="5349"/>
      <c r="AE921" s="5349"/>
      <c r="AF921" s="5349">
        <f t="shared" si="423"/>
        <v>0</v>
      </c>
      <c r="AG921" s="5338">
        <f t="shared" si="424"/>
        <v>0</v>
      </c>
    </row>
    <row r="922" spans="1:33" s="5333" customFormat="1" ht="15.05" hidden="1" customHeight="1">
      <c r="A922" s="5340"/>
      <c r="B922" s="5340"/>
      <c r="C922" s="5340"/>
      <c r="D922" s="5374">
        <v>4</v>
      </c>
      <c r="E922" s="5374">
        <v>1</v>
      </c>
      <c r="F922" s="5374">
        <v>4</v>
      </c>
      <c r="G922" s="5373"/>
      <c r="H922" s="5373"/>
      <c r="I922" s="5633"/>
      <c r="J922" s="5372" t="s">
        <v>71</v>
      </c>
      <c r="K922" s="5371"/>
      <c r="L922" s="5370"/>
      <c r="M922" s="5357">
        <v>0</v>
      </c>
      <c r="N922" s="5357">
        <f>+N923+N926</f>
        <v>0</v>
      </c>
      <c r="O922" s="5357">
        <f t="shared" si="425"/>
        <v>0</v>
      </c>
      <c r="P922" s="5358"/>
      <c r="Q922" s="5357">
        <f t="shared" si="426"/>
        <v>0</v>
      </c>
      <c r="R922" s="5358" t="e">
        <f t="shared" si="429"/>
        <v>#DIV/0!</v>
      </c>
      <c r="S922" s="5358"/>
      <c r="T922" s="5357" t="e">
        <f t="shared" si="427"/>
        <v>#DIV/0!</v>
      </c>
      <c r="U922" s="5358"/>
      <c r="V922" s="5357">
        <f t="shared" ref="V922:V931" si="430">S922-P922</f>
        <v>0</v>
      </c>
      <c r="W922" s="5358" t="e">
        <f t="shared" ref="W922:W931" si="431">S922/P922*100-100</f>
        <v>#DIV/0!</v>
      </c>
      <c r="X922" s="5358"/>
      <c r="Y922" s="5357" t="e">
        <f t="shared" si="428"/>
        <v>#DIV/0!</v>
      </c>
      <c r="Z922" s="5358"/>
      <c r="AA922" s="5357">
        <f t="shared" ref="AA922:AA929" si="432">X922-S922</f>
        <v>0</v>
      </c>
      <c r="AB922" s="5358" t="e">
        <f t="shared" ref="AB922:AB929" si="433">X922/S922*100-100</f>
        <v>#DIV/0!</v>
      </c>
      <c r="AC922" s="5349"/>
      <c r="AD922" s="5349"/>
      <c r="AE922" s="5349"/>
      <c r="AF922" s="5349">
        <f t="shared" si="423"/>
        <v>0</v>
      </c>
      <c r="AG922" s="5338">
        <f t="shared" si="424"/>
        <v>0</v>
      </c>
    </row>
    <row r="923" spans="1:33" s="5333" customFormat="1" ht="15.05" hidden="1" customHeight="1">
      <c r="A923" s="5340"/>
      <c r="B923" s="5340"/>
      <c r="C923" s="5340"/>
      <c r="D923" s="5367">
        <v>4</v>
      </c>
      <c r="E923" s="5367">
        <v>1</v>
      </c>
      <c r="F923" s="5367">
        <v>4</v>
      </c>
      <c r="G923" s="5367" t="s">
        <v>444</v>
      </c>
      <c r="H923" s="5367"/>
      <c r="I923" s="5631"/>
      <c r="J923" s="5366" t="s">
        <v>222</v>
      </c>
      <c r="K923" s="5361"/>
      <c r="L923" s="5365"/>
      <c r="M923" s="5357">
        <v>0</v>
      </c>
      <c r="N923" s="5357">
        <f>+N924</f>
        <v>0</v>
      </c>
      <c r="O923" s="5357">
        <f t="shared" si="425"/>
        <v>0</v>
      </c>
      <c r="P923" s="5358"/>
      <c r="Q923" s="5357">
        <f t="shared" si="426"/>
        <v>0</v>
      </c>
      <c r="R923" s="5358" t="e">
        <f t="shared" si="429"/>
        <v>#DIV/0!</v>
      </c>
      <c r="S923" s="5358"/>
      <c r="T923" s="5357" t="e">
        <f t="shared" si="427"/>
        <v>#DIV/0!</v>
      </c>
      <c r="U923" s="5358"/>
      <c r="V923" s="5357">
        <f t="shared" si="430"/>
        <v>0</v>
      </c>
      <c r="W923" s="5358" t="e">
        <f t="shared" si="431"/>
        <v>#DIV/0!</v>
      </c>
      <c r="X923" s="5358"/>
      <c r="Y923" s="5357" t="e">
        <f t="shared" si="428"/>
        <v>#DIV/0!</v>
      </c>
      <c r="Z923" s="5358"/>
      <c r="AA923" s="5357">
        <f t="shared" si="432"/>
        <v>0</v>
      </c>
      <c r="AB923" s="5358" t="e">
        <f t="shared" si="433"/>
        <v>#DIV/0!</v>
      </c>
      <c r="AC923" s="5349"/>
      <c r="AD923" s="5349"/>
      <c r="AE923" s="5349"/>
      <c r="AF923" s="5349">
        <f t="shared" si="423"/>
        <v>0</v>
      </c>
      <c r="AG923" s="5338">
        <f t="shared" si="424"/>
        <v>0</v>
      </c>
    </row>
    <row r="924" spans="1:33" s="5333" customFormat="1" ht="15.05" hidden="1" customHeight="1">
      <c r="A924" s="5340"/>
      <c r="B924" s="5340"/>
      <c r="C924" s="5340"/>
      <c r="D924" s="5400">
        <v>4</v>
      </c>
      <c r="E924" s="5400">
        <v>1</v>
      </c>
      <c r="F924" s="5400">
        <v>4</v>
      </c>
      <c r="G924" s="5400" t="s">
        <v>444</v>
      </c>
      <c r="H924" s="5400" t="s">
        <v>441</v>
      </c>
      <c r="I924" s="5634"/>
      <c r="J924" s="5366" t="s">
        <v>1283</v>
      </c>
      <c r="K924" s="5361"/>
      <c r="L924" s="5365"/>
      <c r="M924" s="5357">
        <v>0</v>
      </c>
      <c r="N924" s="5357">
        <v>0</v>
      </c>
      <c r="O924" s="5359">
        <f t="shared" si="425"/>
        <v>0</v>
      </c>
      <c r="P924" s="5358"/>
      <c r="Q924" s="5357">
        <f t="shared" si="426"/>
        <v>0</v>
      </c>
      <c r="R924" s="5358" t="e">
        <f t="shared" si="429"/>
        <v>#DIV/0!</v>
      </c>
      <c r="S924" s="5358"/>
      <c r="T924" s="5359" t="e">
        <f t="shared" si="427"/>
        <v>#DIV/0!</v>
      </c>
      <c r="U924" s="5358"/>
      <c r="V924" s="5357">
        <f t="shared" si="430"/>
        <v>0</v>
      </c>
      <c r="W924" s="5358" t="e">
        <f t="shared" si="431"/>
        <v>#DIV/0!</v>
      </c>
      <c r="X924" s="5358"/>
      <c r="Y924" s="5359" t="e">
        <f t="shared" si="428"/>
        <v>#DIV/0!</v>
      </c>
      <c r="Z924" s="5358"/>
      <c r="AA924" s="5357">
        <f t="shared" si="432"/>
        <v>0</v>
      </c>
      <c r="AB924" s="5358" t="e">
        <f t="shared" si="433"/>
        <v>#DIV/0!</v>
      </c>
      <c r="AC924" s="5349"/>
      <c r="AD924" s="5349"/>
      <c r="AE924" s="5349"/>
      <c r="AF924" s="5349">
        <f t="shared" si="423"/>
        <v>0</v>
      </c>
      <c r="AG924" s="5338">
        <f t="shared" si="424"/>
        <v>0</v>
      </c>
    </row>
    <row r="925" spans="1:33" s="5333" customFormat="1" ht="5.35" hidden="1" customHeight="1">
      <c r="A925" s="5340"/>
      <c r="B925" s="5340"/>
      <c r="C925" s="5340"/>
      <c r="D925" s="5367"/>
      <c r="E925" s="5380"/>
      <c r="F925" s="5380"/>
      <c r="G925" s="5379"/>
      <c r="H925" s="5379"/>
      <c r="I925" s="5495"/>
      <c r="J925" s="5366"/>
      <c r="K925" s="5361"/>
      <c r="L925" s="5365"/>
      <c r="M925" s="5357"/>
      <c r="N925" s="5357"/>
      <c r="O925" s="5357">
        <f t="shared" si="425"/>
        <v>0</v>
      </c>
      <c r="P925" s="5358"/>
      <c r="Q925" s="5357">
        <f t="shared" si="426"/>
        <v>0</v>
      </c>
      <c r="R925" s="5358" t="e">
        <f t="shared" si="429"/>
        <v>#DIV/0!</v>
      </c>
      <c r="S925" s="5358"/>
      <c r="T925" s="5357" t="e">
        <f t="shared" si="427"/>
        <v>#DIV/0!</v>
      </c>
      <c r="U925" s="5358"/>
      <c r="V925" s="5357">
        <f t="shared" si="430"/>
        <v>0</v>
      </c>
      <c r="W925" s="5358" t="e">
        <f t="shared" si="431"/>
        <v>#DIV/0!</v>
      </c>
      <c r="X925" s="5358"/>
      <c r="Y925" s="5357" t="e">
        <f t="shared" si="428"/>
        <v>#DIV/0!</v>
      </c>
      <c r="Z925" s="5358"/>
      <c r="AA925" s="5357">
        <f t="shared" si="432"/>
        <v>0</v>
      </c>
      <c r="AB925" s="5358" t="e">
        <f t="shared" si="433"/>
        <v>#DIV/0!</v>
      </c>
      <c r="AC925" s="5349"/>
      <c r="AD925" s="5349"/>
      <c r="AE925" s="5349"/>
      <c r="AF925" s="5349">
        <f t="shared" si="423"/>
        <v>0</v>
      </c>
      <c r="AG925" s="5338">
        <f t="shared" si="424"/>
        <v>0</v>
      </c>
    </row>
    <row r="926" spans="1:33" s="5333" customFormat="1" ht="15.05" hidden="1" customHeight="1">
      <c r="A926" s="5340"/>
      <c r="B926" s="5340"/>
      <c r="C926" s="5340"/>
      <c r="D926" s="5367">
        <v>4</v>
      </c>
      <c r="E926" s="5367">
        <v>1</v>
      </c>
      <c r="F926" s="5367">
        <v>4</v>
      </c>
      <c r="G926" s="5367" t="s">
        <v>948</v>
      </c>
      <c r="H926" s="5368"/>
      <c r="I926" s="5632"/>
      <c r="J926" s="5366" t="s">
        <v>321</v>
      </c>
      <c r="K926" s="5361"/>
      <c r="L926" s="5365"/>
      <c r="M926" s="5357">
        <v>0</v>
      </c>
      <c r="N926" s="5357">
        <f>+N927</f>
        <v>0</v>
      </c>
      <c r="O926" s="5357">
        <f t="shared" si="425"/>
        <v>0</v>
      </c>
      <c r="P926" s="5358"/>
      <c r="Q926" s="5357">
        <f t="shared" si="426"/>
        <v>0</v>
      </c>
      <c r="R926" s="5358" t="e">
        <f t="shared" si="429"/>
        <v>#DIV/0!</v>
      </c>
      <c r="S926" s="5358"/>
      <c r="T926" s="5357" t="e">
        <f t="shared" si="427"/>
        <v>#DIV/0!</v>
      </c>
      <c r="U926" s="5358"/>
      <c r="V926" s="5357">
        <f t="shared" si="430"/>
        <v>0</v>
      </c>
      <c r="W926" s="5358" t="e">
        <f t="shared" si="431"/>
        <v>#DIV/0!</v>
      </c>
      <c r="X926" s="5358"/>
      <c r="Y926" s="5357" t="e">
        <f t="shared" si="428"/>
        <v>#DIV/0!</v>
      </c>
      <c r="Z926" s="5358"/>
      <c r="AA926" s="5357">
        <f t="shared" si="432"/>
        <v>0</v>
      </c>
      <c r="AB926" s="5358" t="e">
        <f t="shared" si="433"/>
        <v>#DIV/0!</v>
      </c>
      <c r="AC926" s="5349"/>
      <c r="AD926" s="5349"/>
      <c r="AE926" s="5349"/>
      <c r="AF926" s="5349">
        <f t="shared" si="423"/>
        <v>0</v>
      </c>
      <c r="AG926" s="5338">
        <f t="shared" si="424"/>
        <v>0</v>
      </c>
    </row>
    <row r="927" spans="1:33" s="5333" customFormat="1" ht="15.05" hidden="1" customHeight="1">
      <c r="A927" s="5340"/>
      <c r="B927" s="5340"/>
      <c r="C927" s="5340"/>
      <c r="D927" s="5367">
        <v>4</v>
      </c>
      <c r="E927" s="5367">
        <v>1</v>
      </c>
      <c r="F927" s="5367">
        <v>4</v>
      </c>
      <c r="G927" s="5367" t="s">
        <v>948</v>
      </c>
      <c r="H927" s="5367" t="s">
        <v>437</v>
      </c>
      <c r="I927" s="5631"/>
      <c r="J927" s="5366" t="s">
        <v>85</v>
      </c>
      <c r="K927" s="5361"/>
      <c r="L927" s="5365"/>
      <c r="M927" s="5359">
        <v>0</v>
      </c>
      <c r="N927" s="5359">
        <f>+N928</f>
        <v>0</v>
      </c>
      <c r="O927" s="5359">
        <f t="shared" si="425"/>
        <v>0</v>
      </c>
      <c r="P927" s="5358"/>
      <c r="Q927" s="5357">
        <f t="shared" si="426"/>
        <v>0</v>
      </c>
      <c r="R927" s="5356" t="e">
        <f t="shared" si="429"/>
        <v>#DIV/0!</v>
      </c>
      <c r="S927" s="5358"/>
      <c r="T927" s="5359" t="e">
        <f t="shared" si="427"/>
        <v>#DIV/0!</v>
      </c>
      <c r="U927" s="5358"/>
      <c r="V927" s="5357">
        <f t="shared" si="430"/>
        <v>0</v>
      </c>
      <c r="W927" s="5356" t="e">
        <f t="shared" si="431"/>
        <v>#DIV/0!</v>
      </c>
      <c r="X927" s="5358"/>
      <c r="Y927" s="5359" t="e">
        <f t="shared" si="428"/>
        <v>#DIV/0!</v>
      </c>
      <c r="Z927" s="5358"/>
      <c r="AA927" s="5357">
        <f t="shared" si="432"/>
        <v>0</v>
      </c>
      <c r="AB927" s="5356" t="e">
        <f t="shared" si="433"/>
        <v>#DIV/0!</v>
      </c>
      <c r="AC927" s="5350"/>
      <c r="AD927" s="5350"/>
      <c r="AE927" s="5350"/>
      <c r="AF927" s="5349">
        <f t="shared" si="423"/>
        <v>0</v>
      </c>
      <c r="AG927" s="5338">
        <f t="shared" si="424"/>
        <v>0</v>
      </c>
    </row>
    <row r="928" spans="1:33" s="5333" customFormat="1" ht="15.05" hidden="1" customHeight="1">
      <c r="A928" s="5340"/>
      <c r="B928" s="5340"/>
      <c r="C928" s="5340"/>
      <c r="D928" s="5368"/>
      <c r="E928" s="5380"/>
      <c r="F928" s="5380"/>
      <c r="G928" s="5368"/>
      <c r="H928" s="5368"/>
      <c r="I928" s="5632"/>
      <c r="J928" s="5366" t="s">
        <v>50</v>
      </c>
      <c r="K928" s="5361" t="s">
        <v>1302</v>
      </c>
      <c r="L928" s="5365"/>
      <c r="M928" s="5359">
        <v>0</v>
      </c>
      <c r="N928" s="5359">
        <v>0</v>
      </c>
      <c r="O928" s="5359">
        <f t="shared" si="425"/>
        <v>0</v>
      </c>
      <c r="P928" s="5358"/>
      <c r="Q928" s="5357">
        <f t="shared" si="426"/>
        <v>0</v>
      </c>
      <c r="R928" s="5356" t="e">
        <f t="shared" si="429"/>
        <v>#DIV/0!</v>
      </c>
      <c r="S928" s="5358"/>
      <c r="T928" s="5359" t="e">
        <f t="shared" si="427"/>
        <v>#DIV/0!</v>
      </c>
      <c r="U928" s="5358"/>
      <c r="V928" s="5357">
        <f t="shared" si="430"/>
        <v>0</v>
      </c>
      <c r="W928" s="5356" t="e">
        <f t="shared" si="431"/>
        <v>#DIV/0!</v>
      </c>
      <c r="X928" s="5358"/>
      <c r="Y928" s="5359" t="e">
        <f t="shared" si="428"/>
        <v>#DIV/0!</v>
      </c>
      <c r="Z928" s="5358"/>
      <c r="AA928" s="5357">
        <f t="shared" si="432"/>
        <v>0</v>
      </c>
      <c r="AB928" s="5356" t="e">
        <f t="shared" si="433"/>
        <v>#DIV/0!</v>
      </c>
      <c r="AC928" s="5350"/>
      <c r="AD928" s="5350"/>
      <c r="AE928" s="5350"/>
      <c r="AF928" s="5349">
        <f t="shared" si="423"/>
        <v>0</v>
      </c>
      <c r="AG928" s="5338">
        <f t="shared" si="424"/>
        <v>0</v>
      </c>
    </row>
    <row r="929" spans="1:33" s="5333" customFormat="1" ht="15.05" hidden="1" customHeight="1">
      <c r="A929" s="5340"/>
      <c r="B929" s="5340"/>
      <c r="C929" s="5340"/>
      <c r="D929" s="5368"/>
      <c r="E929" s="5380"/>
      <c r="F929" s="5380"/>
      <c r="G929" s="5379"/>
      <c r="H929" s="5379"/>
      <c r="I929" s="5638"/>
      <c r="J929" s="5377"/>
      <c r="K929" s="5376" t="s">
        <v>1301</v>
      </c>
      <c r="L929" s="5375"/>
      <c r="M929" s="5411"/>
      <c r="N929" s="5411"/>
      <c r="O929" s="5359">
        <f t="shared" si="425"/>
        <v>0</v>
      </c>
      <c r="P929" s="5396"/>
      <c r="Q929" s="5357">
        <f t="shared" si="426"/>
        <v>0</v>
      </c>
      <c r="R929" s="5410" t="e">
        <f t="shared" si="429"/>
        <v>#DIV/0!</v>
      </c>
      <c r="S929" s="5396"/>
      <c r="T929" s="5359" t="e">
        <f t="shared" si="427"/>
        <v>#DIV/0!</v>
      </c>
      <c r="U929" s="5396"/>
      <c r="V929" s="5357">
        <f t="shared" si="430"/>
        <v>0</v>
      </c>
      <c r="W929" s="5410" t="e">
        <f t="shared" si="431"/>
        <v>#DIV/0!</v>
      </c>
      <c r="X929" s="5396"/>
      <c r="Y929" s="5359" t="e">
        <f t="shared" si="428"/>
        <v>#DIV/0!</v>
      </c>
      <c r="Z929" s="5396"/>
      <c r="AA929" s="5357">
        <f t="shared" si="432"/>
        <v>0</v>
      </c>
      <c r="AB929" s="5410" t="e">
        <f t="shared" si="433"/>
        <v>#DIV/0!</v>
      </c>
      <c r="AC929" s="5350"/>
      <c r="AD929" s="5350"/>
      <c r="AE929" s="5350"/>
      <c r="AF929" s="5349">
        <f t="shared" si="423"/>
        <v>0</v>
      </c>
      <c r="AG929" s="5338">
        <f t="shared" si="424"/>
        <v>0</v>
      </c>
    </row>
    <row r="930" spans="1:33" s="5333" customFormat="1" ht="9.6999999999999993" customHeight="1" thickBot="1">
      <c r="A930" s="5340"/>
      <c r="B930" s="5340"/>
      <c r="C930" s="5340"/>
      <c r="D930" s="5367"/>
      <c r="E930" s="5380"/>
      <c r="F930" s="5380"/>
      <c r="G930" s="5380"/>
      <c r="H930" s="5380"/>
      <c r="I930" s="5635"/>
      <c r="J930" s="5377"/>
      <c r="K930" s="5376"/>
      <c r="L930" s="5375"/>
      <c r="M930" s="5398"/>
      <c r="N930" s="5398"/>
      <c r="O930" s="5398"/>
      <c r="P930" s="5396"/>
      <c r="Q930" s="5397"/>
      <c r="R930" s="5396"/>
      <c r="S930" s="5396"/>
      <c r="T930" s="5398"/>
      <c r="U930" s="5396"/>
      <c r="V930" s="5397">
        <f t="shared" si="430"/>
        <v>0</v>
      </c>
      <c r="W930" s="5396" t="e">
        <f t="shared" si="431"/>
        <v>#DIV/0!</v>
      </c>
      <c r="X930" s="5396"/>
      <c r="Y930" s="5398"/>
      <c r="Z930" s="5396"/>
      <c r="AA930" s="5397"/>
      <c r="AB930" s="5396"/>
      <c r="AC930" s="5422"/>
      <c r="AD930" s="5421"/>
      <c r="AE930" s="5349"/>
      <c r="AF930" s="5349">
        <f t="shared" si="423"/>
        <v>0</v>
      </c>
      <c r="AG930" s="5338">
        <f t="shared" si="424"/>
        <v>0</v>
      </c>
    </row>
    <row r="931" spans="1:33" s="5521" customFormat="1" ht="17.25" customHeight="1">
      <c r="A931" s="5464" t="s">
        <v>460</v>
      </c>
      <c r="B931" s="5463" t="s">
        <v>437</v>
      </c>
      <c r="C931" s="5463" t="s">
        <v>440</v>
      </c>
      <c r="D931" s="5393" t="s">
        <v>460</v>
      </c>
      <c r="E931" s="5392" t="s">
        <v>437</v>
      </c>
      <c r="F931" s="5392" t="s">
        <v>440</v>
      </c>
      <c r="G931" s="5392"/>
      <c r="H931" s="5392"/>
      <c r="I931" s="5637" t="s">
        <v>888</v>
      </c>
      <c r="J931" s="5391" t="s">
        <v>544</v>
      </c>
      <c r="K931" s="5390"/>
      <c r="L931" s="5389"/>
      <c r="M931" s="5502">
        <v>1025500000</v>
      </c>
      <c r="N931" s="5502">
        <f>+N933</f>
        <v>1114640000</v>
      </c>
      <c r="O931" s="5502">
        <f>N931-M931</f>
        <v>89140000</v>
      </c>
      <c r="P931" s="5501">
        <f>+P933</f>
        <v>1030500000</v>
      </c>
      <c r="Q931" s="5502">
        <f>+P931-N931</f>
        <v>-84140000</v>
      </c>
      <c r="R931" s="5501">
        <f>P931/N931*100-100</f>
        <v>-7.5486255652049152</v>
      </c>
      <c r="S931" s="5501">
        <f>+S933</f>
        <v>1004500000</v>
      </c>
      <c r="T931" s="5502">
        <f>S931-R931</f>
        <v>1004500007.5486256</v>
      </c>
      <c r="U931" s="5501">
        <f>+U933</f>
        <v>1030500000</v>
      </c>
      <c r="V931" s="5502">
        <f t="shared" si="430"/>
        <v>-26000000</v>
      </c>
      <c r="W931" s="5501">
        <f t="shared" si="431"/>
        <v>-2.5230470645317808</v>
      </c>
      <c r="X931" s="5501">
        <f>+X933</f>
        <v>291000000</v>
      </c>
      <c r="Y931" s="5502">
        <f>X931-W931</f>
        <v>291000002.52304709</v>
      </c>
      <c r="Z931" s="5501">
        <f>+Z933</f>
        <v>1030500000</v>
      </c>
      <c r="AA931" s="5502">
        <f>X931-S931</f>
        <v>-713500000</v>
      </c>
      <c r="AB931" s="5501">
        <f>X931/S931*100-100</f>
        <v>-71.030363364858147</v>
      </c>
      <c r="AC931" s="5594"/>
      <c r="AD931" s="5594"/>
      <c r="AE931" s="5594"/>
      <c r="AF931" s="5594">
        <f t="shared" si="423"/>
        <v>-26000000</v>
      </c>
      <c r="AG931" s="5595">
        <f t="shared" si="424"/>
        <v>0</v>
      </c>
    </row>
    <row r="932" spans="1:33" s="5333" customFormat="1" ht="9.1" customHeight="1">
      <c r="A932" s="5340"/>
      <c r="B932" s="5340"/>
      <c r="C932" s="5340"/>
      <c r="D932" s="5387"/>
      <c r="E932" s="5386"/>
      <c r="F932" s="5386"/>
      <c r="G932" s="5386"/>
      <c r="H932" s="5386"/>
      <c r="I932" s="5636"/>
      <c r="J932" s="5385"/>
      <c r="K932" s="5384"/>
      <c r="L932" s="5383"/>
      <c r="M932" s="5382"/>
      <c r="N932" s="5382"/>
      <c r="O932" s="5382"/>
      <c r="P932" s="5381"/>
      <c r="Q932" s="5382"/>
      <c r="R932" s="5381"/>
      <c r="S932" s="5381"/>
      <c r="T932" s="5382"/>
      <c r="U932" s="5381"/>
      <c r="V932" s="5382"/>
      <c r="W932" s="5381"/>
      <c r="X932" s="5381"/>
      <c r="Y932" s="5382"/>
      <c r="Z932" s="5381"/>
      <c r="AA932" s="5382"/>
      <c r="AB932" s="5381"/>
      <c r="AC932" s="5349"/>
      <c r="AD932" s="5349"/>
      <c r="AE932" s="5349"/>
      <c r="AF932" s="5349">
        <f t="shared" si="423"/>
        <v>0</v>
      </c>
      <c r="AG932" s="5338">
        <f t="shared" si="424"/>
        <v>0</v>
      </c>
    </row>
    <row r="933" spans="1:33" s="5333" customFormat="1" ht="19.600000000000001" customHeight="1">
      <c r="A933" s="5340"/>
      <c r="B933" s="5340"/>
      <c r="C933" s="5340"/>
      <c r="D933" s="5374">
        <v>4</v>
      </c>
      <c r="E933" s="5374">
        <v>1</v>
      </c>
      <c r="F933" s="5374"/>
      <c r="G933" s="5374"/>
      <c r="H933" s="5374"/>
      <c r="I933" s="5537"/>
      <c r="J933" s="5372" t="s">
        <v>180</v>
      </c>
      <c r="K933" s="5371"/>
      <c r="L933" s="5370"/>
      <c r="M933" s="5357">
        <v>1025500000</v>
      </c>
      <c r="N933" s="5357">
        <f>+N935+N952</f>
        <v>1114640000</v>
      </c>
      <c r="O933" s="5357">
        <f>N933-M933</f>
        <v>89140000</v>
      </c>
      <c r="P933" s="5358">
        <f>+P935+P952</f>
        <v>1030500000</v>
      </c>
      <c r="Q933" s="5357">
        <f>+P933-N933</f>
        <v>-84140000</v>
      </c>
      <c r="R933" s="5358">
        <f>P933/N933*100-100</f>
        <v>-7.5486255652049152</v>
      </c>
      <c r="S933" s="5358">
        <f>+S935+S952</f>
        <v>1004500000</v>
      </c>
      <c r="T933" s="5357">
        <f>S933-R933</f>
        <v>1004500007.5486256</v>
      </c>
      <c r="U933" s="5358">
        <f>+U935+U952</f>
        <v>1030500000</v>
      </c>
      <c r="V933" s="5357">
        <f>S933-P933</f>
        <v>-26000000</v>
      </c>
      <c r="W933" s="5358">
        <f>S933/P933*100-100</f>
        <v>-2.5230470645317808</v>
      </c>
      <c r="X933" s="5358">
        <f>+X935+X952</f>
        <v>291000000</v>
      </c>
      <c r="Y933" s="5357">
        <f>X933-W933</f>
        <v>291000002.52304709</v>
      </c>
      <c r="Z933" s="5358">
        <f>+Z935+Z952</f>
        <v>1030500000</v>
      </c>
      <c r="AA933" s="5357">
        <f>X933-S933</f>
        <v>-713500000</v>
      </c>
      <c r="AB933" s="5358">
        <f>X933/S933*100-100</f>
        <v>-71.030363364858147</v>
      </c>
      <c r="AC933" s="5349"/>
      <c r="AD933" s="5349"/>
      <c r="AE933" s="5349"/>
      <c r="AF933" s="5349">
        <f t="shared" si="423"/>
        <v>-26000000</v>
      </c>
      <c r="AG933" s="5338">
        <f t="shared" si="424"/>
        <v>0</v>
      </c>
    </row>
    <row r="934" spans="1:33" s="5333" customFormat="1" ht="6.75" customHeight="1">
      <c r="A934" s="5340"/>
      <c r="B934" s="5340"/>
      <c r="C934" s="5340"/>
      <c r="D934" s="5367"/>
      <c r="E934" s="5380"/>
      <c r="F934" s="5380"/>
      <c r="G934" s="5380"/>
      <c r="H934" s="5380"/>
      <c r="I934" s="5496"/>
      <c r="J934" s="5366"/>
      <c r="K934" s="5371"/>
      <c r="L934" s="5370"/>
      <c r="M934" s="5357"/>
      <c r="N934" s="5357"/>
      <c r="O934" s="5357"/>
      <c r="P934" s="5358"/>
      <c r="Q934" s="5357"/>
      <c r="R934" s="5358"/>
      <c r="S934" s="5358"/>
      <c r="T934" s="5357"/>
      <c r="U934" s="5358"/>
      <c r="V934" s="5357"/>
      <c r="W934" s="5358"/>
      <c r="X934" s="5358"/>
      <c r="Y934" s="5357"/>
      <c r="Z934" s="5358"/>
      <c r="AA934" s="5357"/>
      <c r="AB934" s="5358"/>
      <c r="AC934" s="5349"/>
      <c r="AD934" s="5349"/>
      <c r="AE934" s="5349"/>
      <c r="AF934" s="5349">
        <f t="shared" si="423"/>
        <v>0</v>
      </c>
      <c r="AG934" s="5338">
        <f t="shared" si="424"/>
        <v>0</v>
      </c>
    </row>
    <row r="935" spans="1:33" s="5333" customFormat="1" ht="15.05" customHeight="1">
      <c r="A935" s="5340"/>
      <c r="B935" s="5340"/>
      <c r="C935" s="5340"/>
      <c r="D935" s="5374">
        <v>4</v>
      </c>
      <c r="E935" s="5374">
        <v>1</v>
      </c>
      <c r="F935" s="5374">
        <v>2</v>
      </c>
      <c r="G935" s="5374"/>
      <c r="H935" s="5374"/>
      <c r="I935" s="5537"/>
      <c r="J935" s="5372" t="s">
        <v>106</v>
      </c>
      <c r="K935" s="5371"/>
      <c r="L935" s="5370"/>
      <c r="M935" s="5357">
        <v>1025500000</v>
      </c>
      <c r="N935" s="5357">
        <f>+N936</f>
        <v>1030500000</v>
      </c>
      <c r="O935" s="5357">
        <f>N935-M935</f>
        <v>5000000</v>
      </c>
      <c r="P935" s="5358">
        <f>+P936</f>
        <v>1030500000</v>
      </c>
      <c r="Q935" s="5357">
        <f>+P935-N935</f>
        <v>0</v>
      </c>
      <c r="R935" s="5358">
        <f>P935/N935*100-100</f>
        <v>0</v>
      </c>
      <c r="S935" s="5358">
        <f>+S936</f>
        <v>1004500000</v>
      </c>
      <c r="T935" s="5357">
        <f>S935-R935</f>
        <v>1004500000</v>
      </c>
      <c r="U935" s="5358">
        <f>+U936</f>
        <v>1030500000</v>
      </c>
      <c r="V935" s="5357">
        <f>S935-P935</f>
        <v>-26000000</v>
      </c>
      <c r="W935" s="5358">
        <f>S935/P935*100-100</f>
        <v>-2.5230470645317808</v>
      </c>
      <c r="X935" s="5358">
        <f>+X936</f>
        <v>291000000</v>
      </c>
      <c r="Y935" s="5357">
        <f>X935-W935</f>
        <v>291000002.52304709</v>
      </c>
      <c r="Z935" s="5358">
        <f>+Z936</f>
        <v>1030500000</v>
      </c>
      <c r="AA935" s="5357">
        <f t="shared" ref="AA935:AA942" si="434">X935-S935</f>
        <v>-713500000</v>
      </c>
      <c r="AB935" s="5358">
        <f t="shared" ref="AB935:AB941" si="435">X935/S935*100-100</f>
        <v>-71.030363364858147</v>
      </c>
      <c r="AC935" s="5349"/>
      <c r="AD935" s="5349"/>
      <c r="AE935" s="5349"/>
      <c r="AF935" s="5349">
        <f t="shared" si="423"/>
        <v>-26000000</v>
      </c>
      <c r="AG935" s="5338">
        <f t="shared" si="424"/>
        <v>0</v>
      </c>
    </row>
    <row r="936" spans="1:33" s="5333" customFormat="1" ht="15.05" customHeight="1">
      <c r="A936" s="5340"/>
      <c r="B936" s="5340"/>
      <c r="C936" s="5340"/>
      <c r="D936" s="5367">
        <v>4</v>
      </c>
      <c r="E936" s="5367">
        <v>1</v>
      </c>
      <c r="F936" s="5367">
        <v>2</v>
      </c>
      <c r="G936" s="5368" t="s">
        <v>438</v>
      </c>
      <c r="H936" s="5367"/>
      <c r="I936" s="5631"/>
      <c r="J936" s="5366" t="s">
        <v>374</v>
      </c>
      <c r="K936" s="5361"/>
      <c r="L936" s="5365"/>
      <c r="M936" s="5357">
        <v>1025500000</v>
      </c>
      <c r="N936" s="5357">
        <f>+N937+N944</f>
        <v>1030500000</v>
      </c>
      <c r="O936" s="5357">
        <f>N936-M936</f>
        <v>5000000</v>
      </c>
      <c r="P936" s="5358">
        <f>+P937+P944</f>
        <v>1030500000</v>
      </c>
      <c r="Q936" s="5357">
        <f>+P936-N936</f>
        <v>0</v>
      </c>
      <c r="R936" s="5358">
        <f>P936/N936*100-100</f>
        <v>0</v>
      </c>
      <c r="S936" s="5358">
        <f>+S937+S944</f>
        <v>1004500000</v>
      </c>
      <c r="T936" s="5357">
        <f>S936-R936</f>
        <v>1004500000</v>
      </c>
      <c r="U936" s="5358">
        <f>+U937+U944</f>
        <v>1030500000</v>
      </c>
      <c r="V936" s="5357">
        <f>S936-P936</f>
        <v>-26000000</v>
      </c>
      <c r="W936" s="5358">
        <f>S936/P936*100-100</f>
        <v>-2.5230470645317808</v>
      </c>
      <c r="X936" s="5358">
        <f>+X937+X944</f>
        <v>291000000</v>
      </c>
      <c r="Y936" s="5357">
        <f>X936-W936</f>
        <v>291000002.52304709</v>
      </c>
      <c r="Z936" s="5358">
        <f>+Z937+Z944</f>
        <v>1030500000</v>
      </c>
      <c r="AA936" s="5357">
        <f t="shared" si="434"/>
        <v>-713500000</v>
      </c>
      <c r="AB936" s="5358">
        <f t="shared" si="435"/>
        <v>-71.030363364858147</v>
      </c>
      <c r="AC936" s="5349"/>
      <c r="AD936" s="5349"/>
      <c r="AE936" s="5349"/>
      <c r="AF936" s="5349">
        <f t="shared" si="423"/>
        <v>-26000000</v>
      </c>
      <c r="AG936" s="5338">
        <f t="shared" si="424"/>
        <v>0</v>
      </c>
    </row>
    <row r="937" spans="1:33" s="5333" customFormat="1" ht="15.05" customHeight="1">
      <c r="A937" s="5340"/>
      <c r="B937" s="5340"/>
      <c r="C937" s="5340"/>
      <c r="D937" s="5367">
        <v>4</v>
      </c>
      <c r="E937" s="5367">
        <v>1</v>
      </c>
      <c r="F937" s="5367">
        <v>2</v>
      </c>
      <c r="G937" s="5368" t="s">
        <v>438</v>
      </c>
      <c r="H937" s="5368" t="s">
        <v>437</v>
      </c>
      <c r="I937" s="5632"/>
      <c r="J937" s="5366" t="s">
        <v>64</v>
      </c>
      <c r="K937" s="5361"/>
      <c r="L937" s="5365"/>
      <c r="M937" s="5357">
        <v>780500000</v>
      </c>
      <c r="N937" s="5357">
        <f>SUM(N938:N942)</f>
        <v>785500000</v>
      </c>
      <c r="O937" s="5357">
        <f>N937-M937</f>
        <v>5000000</v>
      </c>
      <c r="P937" s="5358">
        <f>SUM(P938:P942)</f>
        <v>785500000</v>
      </c>
      <c r="Q937" s="5357">
        <f>+P937-N937</f>
        <v>0</v>
      </c>
      <c r="R937" s="5358">
        <f>P937/N937*100-100</f>
        <v>0</v>
      </c>
      <c r="S937" s="5358">
        <f>SUM(S938:S942)</f>
        <v>785500000</v>
      </c>
      <c r="T937" s="5357">
        <f>S937-R937</f>
        <v>785500000</v>
      </c>
      <c r="U937" s="5358">
        <f>SUM(U938:U942)</f>
        <v>785500000</v>
      </c>
      <c r="V937" s="5357">
        <f>S937-P937</f>
        <v>0</v>
      </c>
      <c r="W937" s="5358">
        <f>S937/P937*100-100</f>
        <v>0</v>
      </c>
      <c r="X937" s="5358">
        <f>SUM(X938:X942)</f>
        <v>72000000</v>
      </c>
      <c r="Y937" s="5357">
        <f>X937-W937</f>
        <v>72000000</v>
      </c>
      <c r="Z937" s="5358">
        <f>SUM(Z938:Z942)</f>
        <v>785500000</v>
      </c>
      <c r="AA937" s="5357">
        <f t="shared" si="434"/>
        <v>-713500000</v>
      </c>
      <c r="AB937" s="5358">
        <f t="shared" si="435"/>
        <v>-90.833863781031198</v>
      </c>
      <c r="AC937" s="5349"/>
      <c r="AD937" s="5349"/>
      <c r="AE937" s="5349"/>
      <c r="AF937" s="5349">
        <f t="shared" si="423"/>
        <v>0</v>
      </c>
      <c r="AG937" s="5338">
        <f t="shared" si="424"/>
        <v>0</v>
      </c>
    </row>
    <row r="938" spans="1:33" s="5333" customFormat="1" ht="13.5" customHeight="1">
      <c r="A938" s="5340"/>
      <c r="B938" s="5340"/>
      <c r="C938" s="5340"/>
      <c r="D938" s="5368"/>
      <c r="E938" s="5380"/>
      <c r="F938" s="5380"/>
      <c r="G938" s="5379"/>
      <c r="H938" s="5380"/>
      <c r="I938" s="5496"/>
      <c r="J938" s="5408" t="s">
        <v>50</v>
      </c>
      <c r="K938" s="5361" t="s">
        <v>357</v>
      </c>
      <c r="L938" s="5365"/>
      <c r="M938" s="5359">
        <v>40000000</v>
      </c>
      <c r="N938" s="5359">
        <v>40000000</v>
      </c>
      <c r="O938" s="5359">
        <f>N938-M938</f>
        <v>0</v>
      </c>
      <c r="P938" s="5358">
        <v>40000000</v>
      </c>
      <c r="Q938" s="5357">
        <f>+P938-N938</f>
        <v>0</v>
      </c>
      <c r="R938" s="5358">
        <f>P938/N938*100-100</f>
        <v>0</v>
      </c>
      <c r="S938" s="5358">
        <v>40000000</v>
      </c>
      <c r="T938" s="5359">
        <f>S938-R938</f>
        <v>40000000</v>
      </c>
      <c r="U938" s="5358">
        <v>40000000</v>
      </c>
      <c r="V938" s="5357">
        <f>S938-P938</f>
        <v>0</v>
      </c>
      <c r="W938" s="5358">
        <f>S938/P938*100-100</f>
        <v>0</v>
      </c>
      <c r="X938" s="5358">
        <v>0</v>
      </c>
      <c r="Y938" s="5359">
        <f>X938-W938</f>
        <v>0</v>
      </c>
      <c r="Z938" s="5358">
        <v>40000000</v>
      </c>
      <c r="AA938" s="5357">
        <f t="shared" si="434"/>
        <v>-40000000</v>
      </c>
      <c r="AB938" s="5358">
        <f t="shared" si="435"/>
        <v>-100</v>
      </c>
      <c r="AC938" s="5350"/>
      <c r="AD938" s="5350"/>
      <c r="AE938" s="5350"/>
      <c r="AF938" s="5349">
        <f t="shared" si="423"/>
        <v>0</v>
      </c>
      <c r="AG938" s="5338">
        <f t="shared" si="424"/>
        <v>0</v>
      </c>
    </row>
    <row r="939" spans="1:33" s="5333" customFormat="1" ht="13.5" customHeight="1">
      <c r="A939" s="5340"/>
      <c r="B939" s="5340"/>
      <c r="C939" s="5340"/>
      <c r="D939" s="5368"/>
      <c r="E939" s="5380"/>
      <c r="F939" s="5380"/>
      <c r="G939" s="5379"/>
      <c r="H939" s="5367"/>
      <c r="I939" s="5631"/>
      <c r="J939" s="5408" t="s">
        <v>50</v>
      </c>
      <c r="K939" s="5361" t="s">
        <v>1300</v>
      </c>
      <c r="L939" s="5365"/>
      <c r="M939" s="5359">
        <v>18000000</v>
      </c>
      <c r="N939" s="5359">
        <v>18000000</v>
      </c>
      <c r="O939" s="5359">
        <f>N939-M939</f>
        <v>0</v>
      </c>
      <c r="P939" s="5358">
        <v>18000000</v>
      </c>
      <c r="Q939" s="5357">
        <f>+P939-N939</f>
        <v>0</v>
      </c>
      <c r="R939" s="5358">
        <f>P939/N939*100-100</f>
        <v>0</v>
      </c>
      <c r="S939" s="5358">
        <v>23000000</v>
      </c>
      <c r="T939" s="5359">
        <f>S939-R939</f>
        <v>23000000</v>
      </c>
      <c r="U939" s="5358">
        <v>18000000</v>
      </c>
      <c r="V939" s="5357">
        <f>S939-P939</f>
        <v>5000000</v>
      </c>
      <c r="W939" s="5358">
        <f>S939/P939*100-100</f>
        <v>27.777777777777771</v>
      </c>
      <c r="X939" s="5358">
        <v>0</v>
      </c>
      <c r="Y939" s="5359">
        <f>X939-W939</f>
        <v>-27.777777777777771</v>
      </c>
      <c r="Z939" s="5358">
        <v>18000000</v>
      </c>
      <c r="AA939" s="5357">
        <f t="shared" si="434"/>
        <v>-23000000</v>
      </c>
      <c r="AB939" s="5358">
        <f t="shared" si="435"/>
        <v>-100</v>
      </c>
      <c r="AC939" s="5350"/>
      <c r="AD939" s="5350"/>
      <c r="AE939" s="5350"/>
      <c r="AF939" s="5349">
        <f t="shared" si="423"/>
        <v>5000000</v>
      </c>
      <c r="AG939" s="5338">
        <f t="shared" si="424"/>
        <v>0</v>
      </c>
    </row>
    <row r="940" spans="1:33" s="5333" customFormat="1" ht="13.5" customHeight="1">
      <c r="A940" s="5340"/>
      <c r="B940" s="5340"/>
      <c r="C940" s="5340"/>
      <c r="D940" s="5368"/>
      <c r="E940" s="5380"/>
      <c r="F940" s="5380"/>
      <c r="G940" s="5379"/>
      <c r="H940" s="5367"/>
      <c r="I940" s="5631"/>
      <c r="J940" s="5408" t="s">
        <v>50</v>
      </c>
      <c r="K940" s="5361" t="s">
        <v>1500</v>
      </c>
      <c r="L940" s="5365"/>
      <c r="M940" s="5359"/>
      <c r="N940" s="5359"/>
      <c r="O940" s="5359"/>
      <c r="P940" s="5358"/>
      <c r="Q940" s="5357"/>
      <c r="R940" s="5358"/>
      <c r="S940" s="5358">
        <v>0</v>
      </c>
      <c r="T940" s="5359"/>
      <c r="U940" s="5358"/>
      <c r="V940" s="5357"/>
      <c r="W940" s="5358"/>
      <c r="X940" s="5358">
        <v>45000000</v>
      </c>
      <c r="Y940" s="5359"/>
      <c r="Z940" s="5358"/>
      <c r="AA940" s="5357">
        <f t="shared" si="434"/>
        <v>45000000</v>
      </c>
      <c r="AB940" s="5358" t="e">
        <f t="shared" si="435"/>
        <v>#DIV/0!</v>
      </c>
      <c r="AC940" s="5350"/>
      <c r="AD940" s="5350"/>
      <c r="AE940" s="5350"/>
      <c r="AF940" s="5349"/>
      <c r="AG940" s="5338"/>
    </row>
    <row r="941" spans="1:33" s="5333" customFormat="1" ht="13.5" customHeight="1">
      <c r="A941" s="5340"/>
      <c r="B941" s="5340"/>
      <c r="C941" s="5340"/>
      <c r="D941" s="5368"/>
      <c r="E941" s="5380"/>
      <c r="F941" s="5380"/>
      <c r="G941" s="5379"/>
      <c r="H941" s="5367"/>
      <c r="I941" s="5631"/>
      <c r="J941" s="5408" t="s">
        <v>50</v>
      </c>
      <c r="K941" s="5361" t="s">
        <v>359</v>
      </c>
      <c r="L941" s="5365"/>
      <c r="M941" s="5359">
        <v>722500000</v>
      </c>
      <c r="N941" s="5359">
        <f>637500000+85000000</f>
        <v>722500000</v>
      </c>
      <c r="O941" s="5359">
        <f>N941-M941</f>
        <v>0</v>
      </c>
      <c r="P941" s="5358">
        <v>722500000</v>
      </c>
      <c r="Q941" s="5357">
        <f>+P941-N941</f>
        <v>0</v>
      </c>
      <c r="R941" s="5358">
        <f>P941/N941*100-100</f>
        <v>0</v>
      </c>
      <c r="S941" s="5358">
        <v>722500000</v>
      </c>
      <c r="T941" s="5359">
        <f>S941-R941</f>
        <v>722500000</v>
      </c>
      <c r="U941" s="5358">
        <v>722500000</v>
      </c>
      <c r="V941" s="5357">
        <f>S941-P941</f>
        <v>0</v>
      </c>
      <c r="W941" s="5358">
        <f>S941/P941*100-100</f>
        <v>0</v>
      </c>
      <c r="X941" s="5358">
        <v>27000000</v>
      </c>
      <c r="Y941" s="5359">
        <f>X941-W941</f>
        <v>27000000</v>
      </c>
      <c r="Z941" s="5358">
        <v>722500000</v>
      </c>
      <c r="AA941" s="5357">
        <f t="shared" si="434"/>
        <v>-695500000</v>
      </c>
      <c r="AB941" s="5358">
        <f t="shared" si="435"/>
        <v>-96.262975778546718</v>
      </c>
      <c r="AC941" s="5350"/>
      <c r="AD941" s="5350"/>
      <c r="AE941" s="5350"/>
      <c r="AF941" s="5349">
        <f t="shared" ref="AF941:AF1004" si="436">S941-P941</f>
        <v>0</v>
      </c>
      <c r="AG941" s="5338">
        <f t="shared" ref="AG941:AG1004" si="437">AF941-V941</f>
        <v>0</v>
      </c>
    </row>
    <row r="942" spans="1:33" s="5333" customFormat="1" ht="13.5" customHeight="1">
      <c r="A942" s="5340"/>
      <c r="B942" s="5340"/>
      <c r="C942" s="5340"/>
      <c r="D942" s="5368"/>
      <c r="E942" s="5380"/>
      <c r="F942" s="5380"/>
      <c r="G942" s="5379"/>
      <c r="H942" s="5367"/>
      <c r="I942" s="5631"/>
      <c r="J942" s="5408" t="s">
        <v>50</v>
      </c>
      <c r="K942" s="5361" t="s">
        <v>360</v>
      </c>
      <c r="L942" s="5365"/>
      <c r="M942" s="5359">
        <v>0</v>
      </c>
      <c r="N942" s="5359">
        <v>5000000</v>
      </c>
      <c r="O942" s="5359">
        <f>N942-M942</f>
        <v>5000000</v>
      </c>
      <c r="P942" s="5358">
        <v>5000000</v>
      </c>
      <c r="Q942" s="5357">
        <f>+P942-N942</f>
        <v>0</v>
      </c>
      <c r="R942" s="5358">
        <f>P942/N942*100-100</f>
        <v>0</v>
      </c>
      <c r="S942" s="5358">
        <v>0</v>
      </c>
      <c r="T942" s="5359">
        <f>S942-R942</f>
        <v>0</v>
      </c>
      <c r="U942" s="5358">
        <v>5000000</v>
      </c>
      <c r="V942" s="5357">
        <f>S942-P942</f>
        <v>-5000000</v>
      </c>
      <c r="W942" s="5358">
        <f>S942/P942*100-100</f>
        <v>-100</v>
      </c>
      <c r="X942" s="5358">
        <v>0</v>
      </c>
      <c r="Y942" s="5359">
        <f>X942-W942</f>
        <v>100</v>
      </c>
      <c r="Z942" s="5358">
        <v>5000000</v>
      </c>
      <c r="AA942" s="5357">
        <f t="shared" si="434"/>
        <v>0</v>
      </c>
      <c r="AB942" s="5358">
        <v>0</v>
      </c>
      <c r="AC942" s="5350"/>
      <c r="AD942" s="5350"/>
      <c r="AE942" s="5350"/>
      <c r="AF942" s="5349">
        <f t="shared" si="436"/>
        <v>-5000000</v>
      </c>
      <c r="AG942" s="5338">
        <f t="shared" si="437"/>
        <v>0</v>
      </c>
    </row>
    <row r="943" spans="1:33" s="5333" customFormat="1" ht="7.55" customHeight="1">
      <c r="A943" s="5340"/>
      <c r="B943" s="5340"/>
      <c r="C943" s="5340"/>
      <c r="D943" s="5368"/>
      <c r="E943" s="5380"/>
      <c r="F943" s="5380"/>
      <c r="G943" s="5379"/>
      <c r="H943" s="5380"/>
      <c r="I943" s="5496"/>
      <c r="J943" s="5366"/>
      <c r="K943" s="5361"/>
      <c r="L943" s="5365"/>
      <c r="M943" s="5357"/>
      <c r="N943" s="5357"/>
      <c r="O943" s="5357"/>
      <c r="P943" s="5358"/>
      <c r="Q943" s="5357"/>
      <c r="R943" s="5358"/>
      <c r="S943" s="5358"/>
      <c r="T943" s="5357"/>
      <c r="U943" s="5358"/>
      <c r="V943" s="5357"/>
      <c r="W943" s="5358"/>
      <c r="X943" s="5358"/>
      <c r="Y943" s="5357"/>
      <c r="Z943" s="5358"/>
      <c r="AA943" s="5357"/>
      <c r="AB943" s="5358"/>
      <c r="AC943" s="5349"/>
      <c r="AD943" s="5349"/>
      <c r="AE943" s="5349"/>
      <c r="AF943" s="5349">
        <f t="shared" si="436"/>
        <v>0</v>
      </c>
      <c r="AG943" s="5338">
        <f t="shared" si="437"/>
        <v>0</v>
      </c>
    </row>
    <row r="944" spans="1:33" s="5333" customFormat="1" ht="12.7" customHeight="1">
      <c r="A944" s="5340"/>
      <c r="B944" s="5340"/>
      <c r="C944" s="5340"/>
      <c r="D944" s="5367">
        <v>4</v>
      </c>
      <c r="E944" s="5367">
        <v>1</v>
      </c>
      <c r="F944" s="5367">
        <v>2</v>
      </c>
      <c r="G944" s="5368" t="s">
        <v>438</v>
      </c>
      <c r="H944" s="5368" t="s">
        <v>448</v>
      </c>
      <c r="I944" s="5632"/>
      <c r="J944" s="5366" t="s">
        <v>361</v>
      </c>
      <c r="K944" s="5361"/>
      <c r="L944" s="5365"/>
      <c r="M944" s="5357">
        <v>245000000</v>
      </c>
      <c r="N944" s="5357">
        <f>SUM(N945:N950)</f>
        <v>245000000</v>
      </c>
      <c r="O944" s="5357">
        <f t="shared" ref="O944:O950" si="438">N944-M944</f>
        <v>0</v>
      </c>
      <c r="P944" s="5358">
        <f>SUM(P945:P950)</f>
        <v>245000000</v>
      </c>
      <c r="Q944" s="5357">
        <f t="shared" ref="Q944:Q955" si="439">+P944-N944</f>
        <v>0</v>
      </c>
      <c r="R944" s="5358">
        <f>P944/N944*100-100</f>
        <v>0</v>
      </c>
      <c r="S944" s="5358">
        <f>SUM(S945:S950)</f>
        <v>219000000</v>
      </c>
      <c r="T944" s="5357">
        <f t="shared" ref="T944:T950" si="440">S944-R944</f>
        <v>219000000</v>
      </c>
      <c r="U944" s="5358">
        <f>SUM(U945:U950)</f>
        <v>245000000</v>
      </c>
      <c r="V944" s="5357">
        <f t="shared" ref="V944:V950" si="441">S944-P944</f>
        <v>-26000000</v>
      </c>
      <c r="W944" s="5358">
        <f>S944/P944*100-100</f>
        <v>-10.612244897959187</v>
      </c>
      <c r="X944" s="5358">
        <f>SUM(X945:X950)</f>
        <v>219000000</v>
      </c>
      <c r="Y944" s="5357">
        <f t="shared" ref="Y944:Y950" si="442">X944-W944</f>
        <v>219000010.6122449</v>
      </c>
      <c r="Z944" s="5358">
        <f>SUM(Z945:Z950)</f>
        <v>245000000</v>
      </c>
      <c r="AA944" s="5357">
        <f t="shared" ref="AA944:AA950" si="443">X944-S944</f>
        <v>0</v>
      </c>
      <c r="AB944" s="5358">
        <f>X944/S944*100-100</f>
        <v>0</v>
      </c>
      <c r="AC944" s="5349"/>
      <c r="AD944" s="5349"/>
      <c r="AE944" s="5349"/>
      <c r="AF944" s="5349">
        <f t="shared" si="436"/>
        <v>-26000000</v>
      </c>
      <c r="AG944" s="5338">
        <f t="shared" si="437"/>
        <v>0</v>
      </c>
    </row>
    <row r="945" spans="1:33" s="5333" customFormat="1" ht="13.5" customHeight="1">
      <c r="A945" s="5340"/>
      <c r="B945" s="5340"/>
      <c r="C945" s="5340"/>
      <c r="D945" s="5368"/>
      <c r="E945" s="5380"/>
      <c r="F945" s="5380"/>
      <c r="G945" s="5379"/>
      <c r="H945" s="5379"/>
      <c r="I945" s="5495"/>
      <c r="J945" s="5408" t="s">
        <v>50</v>
      </c>
      <c r="K945" s="5361" t="s">
        <v>362</v>
      </c>
      <c r="L945" s="5365"/>
      <c r="M945" s="5359">
        <v>0</v>
      </c>
      <c r="N945" s="5359">
        <v>0</v>
      </c>
      <c r="O945" s="5359">
        <f t="shared" si="438"/>
        <v>0</v>
      </c>
      <c r="P945" s="5358">
        <v>0</v>
      </c>
      <c r="Q945" s="5357">
        <f t="shared" si="439"/>
        <v>0</v>
      </c>
      <c r="R945" s="5358">
        <v>0</v>
      </c>
      <c r="S945" s="5358">
        <v>0</v>
      </c>
      <c r="T945" s="5359">
        <f t="shared" si="440"/>
        <v>0</v>
      </c>
      <c r="U945" s="5358">
        <v>0</v>
      </c>
      <c r="V945" s="5357">
        <f t="shared" si="441"/>
        <v>0</v>
      </c>
      <c r="W945" s="5358">
        <v>0</v>
      </c>
      <c r="X945" s="5358">
        <v>0</v>
      </c>
      <c r="Y945" s="5359">
        <f t="shared" si="442"/>
        <v>0</v>
      </c>
      <c r="Z945" s="5358">
        <v>0</v>
      </c>
      <c r="AA945" s="5357">
        <f t="shared" si="443"/>
        <v>0</v>
      </c>
      <c r="AB945" s="5358">
        <v>0</v>
      </c>
      <c r="AC945" s="5350"/>
      <c r="AD945" s="5350"/>
      <c r="AE945" s="5350"/>
      <c r="AF945" s="5349">
        <f t="shared" si="436"/>
        <v>0</v>
      </c>
      <c r="AG945" s="5338">
        <f t="shared" si="437"/>
        <v>0</v>
      </c>
    </row>
    <row r="946" spans="1:33" s="5333" customFormat="1" ht="13.5" customHeight="1">
      <c r="A946" s="5340"/>
      <c r="B946" s="5340"/>
      <c r="C946" s="5340"/>
      <c r="D946" s="5368"/>
      <c r="E946" s="5380"/>
      <c r="F946" s="5380"/>
      <c r="G946" s="5379"/>
      <c r="H946" s="5379"/>
      <c r="I946" s="5495"/>
      <c r="J946" s="5408" t="s">
        <v>50</v>
      </c>
      <c r="K946" s="5361" t="s">
        <v>1299</v>
      </c>
      <c r="L946" s="5365"/>
      <c r="M946" s="5359">
        <v>75000000</v>
      </c>
      <c r="N946" s="5359">
        <v>75000000</v>
      </c>
      <c r="O946" s="5359">
        <f t="shared" si="438"/>
        <v>0</v>
      </c>
      <c r="P946" s="5358">
        <v>75000000</v>
      </c>
      <c r="Q946" s="5357">
        <f t="shared" si="439"/>
        <v>0</v>
      </c>
      <c r="R946" s="5358">
        <f>P946/N946*100-100</f>
        <v>0</v>
      </c>
      <c r="S946" s="5358">
        <v>75000000</v>
      </c>
      <c r="T946" s="5359">
        <f t="shared" si="440"/>
        <v>75000000</v>
      </c>
      <c r="U946" s="5358">
        <v>75000000</v>
      </c>
      <c r="V946" s="5357">
        <f t="shared" si="441"/>
        <v>0</v>
      </c>
      <c r="W946" s="5358">
        <f>S946/P946*100-100</f>
        <v>0</v>
      </c>
      <c r="X946" s="5358">
        <v>75000000</v>
      </c>
      <c r="Y946" s="5359">
        <f t="shared" si="442"/>
        <v>75000000</v>
      </c>
      <c r="Z946" s="5358">
        <v>75000000</v>
      </c>
      <c r="AA946" s="5357">
        <f t="shared" si="443"/>
        <v>0</v>
      </c>
      <c r="AB946" s="5358">
        <f>X946/S946*100-100</f>
        <v>0</v>
      </c>
      <c r="AC946" s="5350"/>
      <c r="AD946" s="5350"/>
      <c r="AE946" s="5350"/>
      <c r="AF946" s="5349">
        <f t="shared" si="436"/>
        <v>0</v>
      </c>
      <c r="AG946" s="5338">
        <f t="shared" si="437"/>
        <v>0</v>
      </c>
    </row>
    <row r="947" spans="1:33" s="5333" customFormat="1" ht="13.5" customHeight="1">
      <c r="A947" s="5340"/>
      <c r="B947" s="5340"/>
      <c r="C947" s="5340"/>
      <c r="D947" s="5368"/>
      <c r="E947" s="5380"/>
      <c r="F947" s="5380"/>
      <c r="G947" s="5379"/>
      <c r="H947" s="5379"/>
      <c r="I947" s="5495"/>
      <c r="J947" s="5408" t="s">
        <v>50</v>
      </c>
      <c r="K947" s="5361" t="s">
        <v>1298</v>
      </c>
      <c r="L947" s="5365"/>
      <c r="M947" s="5359">
        <v>19000000</v>
      </c>
      <c r="N947" s="5359">
        <v>19000000</v>
      </c>
      <c r="O947" s="5359">
        <f t="shared" si="438"/>
        <v>0</v>
      </c>
      <c r="P947" s="5358">
        <v>19000000</v>
      </c>
      <c r="Q947" s="5357">
        <f t="shared" si="439"/>
        <v>0</v>
      </c>
      <c r="R947" s="5358">
        <f>P947/N947*100-100</f>
        <v>0</v>
      </c>
      <c r="S947" s="5358">
        <v>19000000</v>
      </c>
      <c r="T947" s="5359">
        <f t="shared" si="440"/>
        <v>19000000</v>
      </c>
      <c r="U947" s="5358">
        <v>19000000</v>
      </c>
      <c r="V947" s="5357">
        <f t="shared" si="441"/>
        <v>0</v>
      </c>
      <c r="W947" s="5358">
        <f>S947/P947*100-100</f>
        <v>0</v>
      </c>
      <c r="X947" s="5358">
        <v>19000000</v>
      </c>
      <c r="Y947" s="5359">
        <f t="shared" si="442"/>
        <v>19000000</v>
      </c>
      <c r="Z947" s="5358">
        <v>19000000</v>
      </c>
      <c r="AA947" s="5357">
        <f t="shared" si="443"/>
        <v>0</v>
      </c>
      <c r="AB947" s="5358">
        <f>X947/S947*100-100</f>
        <v>0</v>
      </c>
      <c r="AC947" s="5350"/>
      <c r="AD947" s="5350"/>
      <c r="AE947" s="5350"/>
      <c r="AF947" s="5349">
        <f t="shared" si="436"/>
        <v>0</v>
      </c>
      <c r="AG947" s="5338">
        <f t="shared" si="437"/>
        <v>0</v>
      </c>
    </row>
    <row r="948" spans="1:33" s="5333" customFormat="1" ht="13.5" customHeight="1">
      <c r="A948" s="5340"/>
      <c r="B948" s="5340"/>
      <c r="C948" s="5340"/>
      <c r="D948" s="5368"/>
      <c r="E948" s="5380"/>
      <c r="F948" s="5380"/>
      <c r="G948" s="5379"/>
      <c r="H948" s="5379"/>
      <c r="I948" s="5495"/>
      <c r="J948" s="5408" t="s">
        <v>50</v>
      </c>
      <c r="K948" s="5361" t="s">
        <v>1297</v>
      </c>
      <c r="L948" s="5365"/>
      <c r="M948" s="5359">
        <v>125000000</v>
      </c>
      <c r="N948" s="5359">
        <v>125000000</v>
      </c>
      <c r="O948" s="5359">
        <f t="shared" si="438"/>
        <v>0</v>
      </c>
      <c r="P948" s="5358">
        <v>125000000</v>
      </c>
      <c r="Q948" s="5357">
        <f t="shared" si="439"/>
        <v>0</v>
      </c>
      <c r="R948" s="5358">
        <f>P948/N948*100-100</f>
        <v>0</v>
      </c>
      <c r="S948" s="5358">
        <v>125000000</v>
      </c>
      <c r="T948" s="5359">
        <f t="shared" si="440"/>
        <v>125000000</v>
      </c>
      <c r="U948" s="5358">
        <v>125000000</v>
      </c>
      <c r="V948" s="5357">
        <f t="shared" si="441"/>
        <v>0</v>
      </c>
      <c r="W948" s="5358">
        <f>S948/P948*100-100</f>
        <v>0</v>
      </c>
      <c r="X948" s="5358">
        <v>125000000</v>
      </c>
      <c r="Y948" s="5359">
        <f t="shared" si="442"/>
        <v>125000000</v>
      </c>
      <c r="Z948" s="5358">
        <v>125000000</v>
      </c>
      <c r="AA948" s="5357">
        <f t="shared" si="443"/>
        <v>0</v>
      </c>
      <c r="AB948" s="5358">
        <f>X948/S948*100-100</f>
        <v>0</v>
      </c>
      <c r="AC948" s="5350"/>
      <c r="AD948" s="5350"/>
      <c r="AE948" s="5350"/>
      <c r="AF948" s="5349">
        <f t="shared" si="436"/>
        <v>0</v>
      </c>
      <c r="AG948" s="5338">
        <f t="shared" si="437"/>
        <v>0</v>
      </c>
    </row>
    <row r="949" spans="1:33" s="5333" customFormat="1" ht="13.5" customHeight="1">
      <c r="A949" s="5340"/>
      <c r="B949" s="5340"/>
      <c r="C949" s="5340"/>
      <c r="D949" s="5368"/>
      <c r="E949" s="5380"/>
      <c r="F949" s="5380"/>
      <c r="G949" s="5379"/>
      <c r="H949" s="5379"/>
      <c r="I949" s="5495"/>
      <c r="J949" s="5408" t="s">
        <v>50</v>
      </c>
      <c r="K949" s="5361" t="s">
        <v>1296</v>
      </c>
      <c r="L949" s="5365"/>
      <c r="M949" s="5359">
        <v>26000000</v>
      </c>
      <c r="N949" s="5359">
        <v>26000000</v>
      </c>
      <c r="O949" s="5359">
        <f t="shared" si="438"/>
        <v>0</v>
      </c>
      <c r="P949" s="5358">
        <v>26000000</v>
      </c>
      <c r="Q949" s="5357">
        <f t="shared" si="439"/>
        <v>0</v>
      </c>
      <c r="R949" s="5358">
        <f>P949/N949*100-100</f>
        <v>0</v>
      </c>
      <c r="S949" s="5358">
        <v>0</v>
      </c>
      <c r="T949" s="5359">
        <f t="shared" si="440"/>
        <v>0</v>
      </c>
      <c r="U949" s="5358">
        <v>26000000</v>
      </c>
      <c r="V949" s="5357">
        <f t="shared" si="441"/>
        <v>-26000000</v>
      </c>
      <c r="W949" s="5358">
        <f>S949/P949*100-100</f>
        <v>-100</v>
      </c>
      <c r="X949" s="5358">
        <v>0</v>
      </c>
      <c r="Y949" s="5359">
        <f t="shared" si="442"/>
        <v>100</v>
      </c>
      <c r="Z949" s="5358">
        <v>26000000</v>
      </c>
      <c r="AA949" s="5357">
        <f t="shared" si="443"/>
        <v>0</v>
      </c>
      <c r="AB949" s="5358">
        <v>0</v>
      </c>
      <c r="AC949" s="5350"/>
      <c r="AD949" s="5350"/>
      <c r="AE949" s="5350"/>
      <c r="AF949" s="5349">
        <f t="shared" si="436"/>
        <v>-26000000</v>
      </c>
      <c r="AG949" s="5338">
        <f t="shared" si="437"/>
        <v>0</v>
      </c>
    </row>
    <row r="950" spans="1:33" s="5333" customFormat="1">
      <c r="A950" s="5340"/>
      <c r="B950" s="5340"/>
      <c r="C950" s="5340"/>
      <c r="D950" s="5368"/>
      <c r="E950" s="5380"/>
      <c r="F950" s="5380"/>
      <c r="G950" s="5379"/>
      <c r="H950" s="5379"/>
      <c r="I950" s="5495"/>
      <c r="J950" s="5408" t="s">
        <v>50</v>
      </c>
      <c r="K950" s="5361" t="s">
        <v>1295</v>
      </c>
      <c r="L950" s="5365"/>
      <c r="M950" s="5359">
        <v>0</v>
      </c>
      <c r="N950" s="5359">
        <v>0</v>
      </c>
      <c r="O950" s="5359">
        <f t="shared" si="438"/>
        <v>0</v>
      </c>
      <c r="P950" s="5358">
        <v>0</v>
      </c>
      <c r="Q950" s="5357">
        <f t="shared" si="439"/>
        <v>0</v>
      </c>
      <c r="R950" s="5358">
        <v>0</v>
      </c>
      <c r="S950" s="5358">
        <v>0</v>
      </c>
      <c r="T950" s="5359">
        <f t="shared" si="440"/>
        <v>0</v>
      </c>
      <c r="U950" s="5358">
        <v>0</v>
      </c>
      <c r="V950" s="5357">
        <f t="shared" si="441"/>
        <v>0</v>
      </c>
      <c r="W950" s="5358">
        <v>0</v>
      </c>
      <c r="X950" s="5358">
        <v>0</v>
      </c>
      <c r="Y950" s="5359">
        <f t="shared" si="442"/>
        <v>0</v>
      </c>
      <c r="Z950" s="5358">
        <v>0</v>
      </c>
      <c r="AA950" s="5357">
        <f t="shared" si="443"/>
        <v>0</v>
      </c>
      <c r="AB950" s="5358">
        <v>0</v>
      </c>
      <c r="AC950" s="5350"/>
      <c r="AD950" s="5350"/>
      <c r="AE950" s="5350"/>
      <c r="AF950" s="5349">
        <f t="shared" si="436"/>
        <v>0</v>
      </c>
      <c r="AG950" s="5338">
        <f t="shared" si="437"/>
        <v>0</v>
      </c>
    </row>
    <row r="951" spans="1:33" s="5333" customFormat="1">
      <c r="A951" s="5340"/>
      <c r="B951" s="5340"/>
      <c r="C951" s="5340"/>
      <c r="D951" s="5368"/>
      <c r="E951" s="5380"/>
      <c r="F951" s="5380"/>
      <c r="G951" s="5379"/>
      <c r="H951" s="5379"/>
      <c r="I951" s="5495"/>
      <c r="J951" s="5366"/>
      <c r="K951" s="5361"/>
      <c r="L951" s="5365"/>
      <c r="M951" s="5357"/>
      <c r="N951" s="5357"/>
      <c r="O951" s="5357"/>
      <c r="P951" s="5358"/>
      <c r="Q951" s="5357">
        <f t="shared" si="439"/>
        <v>0</v>
      </c>
      <c r="R951" s="5358">
        <v>0</v>
      </c>
      <c r="S951" s="5358"/>
      <c r="T951" s="5357"/>
      <c r="U951" s="5358"/>
      <c r="V951" s="5357"/>
      <c r="W951" s="5358"/>
      <c r="X951" s="5358"/>
      <c r="Y951" s="5357"/>
      <c r="Z951" s="5358"/>
      <c r="AA951" s="5357"/>
      <c r="AB951" s="5358"/>
      <c r="AC951" s="5350"/>
      <c r="AD951" s="5350"/>
      <c r="AE951" s="5350"/>
      <c r="AF951" s="5349">
        <f t="shared" si="436"/>
        <v>0</v>
      </c>
      <c r="AG951" s="5338">
        <f t="shared" si="437"/>
        <v>0</v>
      </c>
    </row>
    <row r="952" spans="1:33" s="5333" customFormat="1" hidden="1">
      <c r="A952" s="5340"/>
      <c r="B952" s="5340"/>
      <c r="C952" s="5340"/>
      <c r="D952" s="5374">
        <v>4</v>
      </c>
      <c r="E952" s="5374">
        <v>1</v>
      </c>
      <c r="F952" s="5374">
        <v>4</v>
      </c>
      <c r="G952" s="5373"/>
      <c r="H952" s="5373"/>
      <c r="I952" s="5633"/>
      <c r="J952" s="5372" t="s">
        <v>71</v>
      </c>
      <c r="K952" s="5371"/>
      <c r="L952" s="5370"/>
      <c r="M952" s="5359">
        <v>0</v>
      </c>
      <c r="N952" s="5359">
        <f>N953</f>
        <v>84140000</v>
      </c>
      <c r="O952" s="5359">
        <f t="shared" ref="O952:O957" si="444">N952-M952</f>
        <v>84140000</v>
      </c>
      <c r="P952" s="5358"/>
      <c r="Q952" s="5357">
        <f t="shared" si="439"/>
        <v>-84140000</v>
      </c>
      <c r="R952" s="5356">
        <f>P952/N952*100-100</f>
        <v>-100</v>
      </c>
      <c r="S952" s="5358"/>
      <c r="T952" s="5359">
        <f t="shared" ref="T952:T957" si="445">S952-R952</f>
        <v>100</v>
      </c>
      <c r="U952" s="5358"/>
      <c r="V952" s="5357">
        <f t="shared" ref="V952:V957" si="446">S952-P952</f>
        <v>0</v>
      </c>
      <c r="W952" s="5356" t="e">
        <f>S952/P952*100-100</f>
        <v>#DIV/0!</v>
      </c>
      <c r="X952" s="5358"/>
      <c r="Y952" s="5359" t="e">
        <f t="shared" ref="Y952:Y957" si="447">X952-W952</f>
        <v>#DIV/0!</v>
      </c>
      <c r="Z952" s="5358"/>
      <c r="AA952" s="5357">
        <f t="shared" ref="AA952:AA957" si="448">X952-S952</f>
        <v>0</v>
      </c>
      <c r="AB952" s="5356" t="e">
        <f>X952/S952*100-100</f>
        <v>#DIV/0!</v>
      </c>
      <c r="AC952" s="5350"/>
      <c r="AD952" s="5350"/>
      <c r="AE952" s="5350"/>
      <c r="AF952" s="5349">
        <f t="shared" si="436"/>
        <v>0</v>
      </c>
      <c r="AG952" s="5338">
        <f t="shared" si="437"/>
        <v>0</v>
      </c>
    </row>
    <row r="953" spans="1:33" s="5333" customFormat="1" hidden="1">
      <c r="A953" s="5340"/>
      <c r="B953" s="5340"/>
      <c r="C953" s="5340"/>
      <c r="D953" s="5367">
        <v>4</v>
      </c>
      <c r="E953" s="5367">
        <v>1</v>
      </c>
      <c r="F953" s="5367">
        <v>4</v>
      </c>
      <c r="G953" s="5367" t="s">
        <v>948</v>
      </c>
      <c r="H953" s="5368"/>
      <c r="I953" s="5632"/>
      <c r="J953" s="5366" t="s">
        <v>321</v>
      </c>
      <c r="K953" s="5361"/>
      <c r="L953" s="5365"/>
      <c r="M953" s="5359">
        <v>0</v>
      </c>
      <c r="N953" s="5359">
        <f>N954</f>
        <v>84140000</v>
      </c>
      <c r="O953" s="5359">
        <f t="shared" si="444"/>
        <v>84140000</v>
      </c>
      <c r="P953" s="5358"/>
      <c r="Q953" s="5357">
        <f t="shared" si="439"/>
        <v>-84140000</v>
      </c>
      <c r="R953" s="5356">
        <f>P953/N953*100-100</f>
        <v>-100</v>
      </c>
      <c r="S953" s="5358"/>
      <c r="T953" s="5359">
        <f t="shared" si="445"/>
        <v>100</v>
      </c>
      <c r="U953" s="5358"/>
      <c r="V953" s="5357">
        <f t="shared" si="446"/>
        <v>0</v>
      </c>
      <c r="W953" s="5356" t="e">
        <f>S953/P953*100-100</f>
        <v>#DIV/0!</v>
      </c>
      <c r="X953" s="5358"/>
      <c r="Y953" s="5359" t="e">
        <f t="shared" si="447"/>
        <v>#DIV/0!</v>
      </c>
      <c r="Z953" s="5358"/>
      <c r="AA953" s="5357">
        <f t="shared" si="448"/>
        <v>0</v>
      </c>
      <c r="AB953" s="5356" t="e">
        <f>X953/S953*100-100</f>
        <v>#DIV/0!</v>
      </c>
      <c r="AC953" s="5350"/>
      <c r="AD953" s="5350"/>
      <c r="AE953" s="5350"/>
      <c r="AF953" s="5349">
        <f t="shared" si="436"/>
        <v>0</v>
      </c>
      <c r="AG953" s="5338">
        <f t="shared" si="437"/>
        <v>0</v>
      </c>
    </row>
    <row r="954" spans="1:33" s="5333" customFormat="1" hidden="1">
      <c r="A954" s="5340"/>
      <c r="B954" s="5340"/>
      <c r="C954" s="5340"/>
      <c r="D954" s="5367">
        <v>4</v>
      </c>
      <c r="E954" s="5367">
        <v>1</v>
      </c>
      <c r="F954" s="5367">
        <v>4</v>
      </c>
      <c r="G954" s="5367" t="s">
        <v>948</v>
      </c>
      <c r="H954" s="5367" t="s">
        <v>437</v>
      </c>
      <c r="I954" s="5631"/>
      <c r="J954" s="5366" t="s">
        <v>85</v>
      </c>
      <c r="K954" s="5361"/>
      <c r="L954" s="5365"/>
      <c r="M954" s="5359">
        <v>0</v>
      </c>
      <c r="N954" s="5359">
        <f>+N955</f>
        <v>84140000</v>
      </c>
      <c r="O954" s="5359">
        <f t="shared" si="444"/>
        <v>84140000</v>
      </c>
      <c r="P954" s="5358"/>
      <c r="Q954" s="5357">
        <f t="shared" si="439"/>
        <v>-84140000</v>
      </c>
      <c r="R954" s="5356">
        <f>P954/N954*100-100</f>
        <v>-100</v>
      </c>
      <c r="S954" s="5358"/>
      <c r="T954" s="5359">
        <f t="shared" si="445"/>
        <v>100</v>
      </c>
      <c r="U954" s="5358"/>
      <c r="V954" s="5357">
        <f t="shared" si="446"/>
        <v>0</v>
      </c>
      <c r="W954" s="5356" t="e">
        <f>S954/P954*100-100</f>
        <v>#DIV/0!</v>
      </c>
      <c r="X954" s="5358"/>
      <c r="Y954" s="5359" t="e">
        <f t="shared" si="447"/>
        <v>#DIV/0!</v>
      </c>
      <c r="Z954" s="5358"/>
      <c r="AA954" s="5357">
        <f t="shared" si="448"/>
        <v>0</v>
      </c>
      <c r="AB954" s="5356" t="e">
        <f>X954/S954*100-100</f>
        <v>#DIV/0!</v>
      </c>
      <c r="AC954" s="5349"/>
      <c r="AD954" s="5349"/>
      <c r="AE954" s="5349"/>
      <c r="AF954" s="5349">
        <f t="shared" si="436"/>
        <v>0</v>
      </c>
      <c r="AG954" s="5338">
        <f t="shared" si="437"/>
        <v>0</v>
      </c>
    </row>
    <row r="955" spans="1:33" s="5333" customFormat="1" hidden="1">
      <c r="A955" s="5340"/>
      <c r="B955" s="5340"/>
      <c r="C955" s="5340"/>
      <c r="D955" s="5368"/>
      <c r="E955" s="5380"/>
      <c r="F955" s="5380"/>
      <c r="G955" s="5379"/>
      <c r="H955" s="5379"/>
      <c r="I955" s="5495"/>
      <c r="J955" s="5366" t="s">
        <v>50</v>
      </c>
      <c r="K955" s="5361" t="s">
        <v>369</v>
      </c>
      <c r="L955" s="5365"/>
      <c r="M955" s="5359">
        <v>0</v>
      </c>
      <c r="N955" s="5359">
        <v>84140000</v>
      </c>
      <c r="O955" s="5359">
        <f t="shared" si="444"/>
        <v>84140000</v>
      </c>
      <c r="P955" s="5358"/>
      <c r="Q955" s="5357">
        <f t="shared" si="439"/>
        <v>-84140000</v>
      </c>
      <c r="R955" s="5356">
        <f>P955/N955*100-100</f>
        <v>-100</v>
      </c>
      <c r="S955" s="5358"/>
      <c r="T955" s="5359">
        <f t="shared" si="445"/>
        <v>100</v>
      </c>
      <c r="U955" s="5358"/>
      <c r="V955" s="5357">
        <f t="shared" si="446"/>
        <v>0</v>
      </c>
      <c r="W955" s="5356" t="e">
        <f>S955/P955*100-100</f>
        <v>#DIV/0!</v>
      </c>
      <c r="X955" s="5358"/>
      <c r="Y955" s="5359" t="e">
        <f t="shared" si="447"/>
        <v>#DIV/0!</v>
      </c>
      <c r="Z955" s="5358"/>
      <c r="AA955" s="5357">
        <f t="shared" si="448"/>
        <v>0</v>
      </c>
      <c r="AB955" s="5356" t="e">
        <f>X955/S955*100-100</f>
        <v>#DIV/0!</v>
      </c>
      <c r="AC955" s="5349"/>
      <c r="AD955" s="5349"/>
      <c r="AE955" s="5349"/>
      <c r="AF955" s="5349">
        <f t="shared" si="436"/>
        <v>0</v>
      </c>
      <c r="AG955" s="5338">
        <f t="shared" si="437"/>
        <v>0</v>
      </c>
    </row>
    <row r="956" spans="1:33" s="5333" customFormat="1" hidden="1">
      <c r="A956" s="5340"/>
      <c r="B956" s="5340"/>
      <c r="C956" s="5340"/>
      <c r="D956" s="5417"/>
      <c r="E956" s="5420"/>
      <c r="F956" s="5419"/>
      <c r="G956" s="5418"/>
      <c r="H956" s="5417"/>
      <c r="I956" s="5639"/>
      <c r="J956" s="5362"/>
      <c r="K956" s="5376"/>
      <c r="L956" s="5375"/>
      <c r="M956" s="5398"/>
      <c r="N956" s="5398"/>
      <c r="O956" s="5398">
        <f t="shared" si="444"/>
        <v>0</v>
      </c>
      <c r="P956" s="5396"/>
      <c r="Q956" s="5397"/>
      <c r="R956" s="5396"/>
      <c r="S956" s="5396"/>
      <c r="T956" s="5398">
        <f t="shared" si="445"/>
        <v>0</v>
      </c>
      <c r="U956" s="5396"/>
      <c r="V956" s="5397">
        <f t="shared" si="446"/>
        <v>0</v>
      </c>
      <c r="W956" s="5396" t="e">
        <f>S956/P956*100-100</f>
        <v>#DIV/0!</v>
      </c>
      <c r="X956" s="5396"/>
      <c r="Y956" s="5398" t="e">
        <f t="shared" si="447"/>
        <v>#DIV/0!</v>
      </c>
      <c r="Z956" s="5396"/>
      <c r="AA956" s="5397">
        <f t="shared" si="448"/>
        <v>0</v>
      </c>
      <c r="AB956" s="5396" t="e">
        <f>X956/S956*100-100</f>
        <v>#DIV/0!</v>
      </c>
      <c r="AC956" s="5349"/>
      <c r="AD956" s="5349"/>
      <c r="AE956" s="5349"/>
      <c r="AF956" s="5349">
        <f t="shared" si="436"/>
        <v>0</v>
      </c>
      <c r="AG956" s="5338">
        <f t="shared" si="437"/>
        <v>0</v>
      </c>
    </row>
    <row r="957" spans="1:33" s="5333" customFormat="1" ht="12.7" customHeight="1">
      <c r="A957" s="5395" t="s">
        <v>460</v>
      </c>
      <c r="B957" s="5395" t="s">
        <v>437</v>
      </c>
      <c r="C957" s="5394" t="s">
        <v>445</v>
      </c>
      <c r="D957" s="5393" t="s">
        <v>460</v>
      </c>
      <c r="E957" s="5393" t="s">
        <v>437</v>
      </c>
      <c r="F957" s="5392" t="s">
        <v>445</v>
      </c>
      <c r="G957" s="5392"/>
      <c r="H957" s="5393"/>
      <c r="I957" s="5629" t="s">
        <v>892</v>
      </c>
      <c r="J957" s="5391" t="s">
        <v>334</v>
      </c>
      <c r="K957" s="5390"/>
      <c r="L957" s="5389"/>
      <c r="M957" s="5355">
        <v>0</v>
      </c>
      <c r="N957" s="5355">
        <f>+N959</f>
        <v>220076362</v>
      </c>
      <c r="O957" s="5355">
        <f t="shared" si="444"/>
        <v>220076362</v>
      </c>
      <c r="P957" s="5388"/>
      <c r="Q957" s="5355">
        <f>+P957-N957</f>
        <v>-220076362</v>
      </c>
      <c r="R957" s="5388">
        <f>P957/N957*100-100</f>
        <v>-100</v>
      </c>
      <c r="S957" s="5388"/>
      <c r="T957" s="5355">
        <f t="shared" si="445"/>
        <v>100</v>
      </c>
      <c r="U957" s="5388"/>
      <c r="V957" s="5355">
        <f t="shared" si="446"/>
        <v>0</v>
      </c>
      <c r="W957" s="5388">
        <v>0</v>
      </c>
      <c r="X957" s="5388"/>
      <c r="Y957" s="5355">
        <f t="shared" si="447"/>
        <v>0</v>
      </c>
      <c r="Z957" s="5388"/>
      <c r="AA957" s="5355">
        <f t="shared" si="448"/>
        <v>0</v>
      </c>
      <c r="AB957" s="5388">
        <v>0</v>
      </c>
      <c r="AC957" s="5349"/>
      <c r="AD957" s="5349"/>
      <c r="AE957" s="5349"/>
      <c r="AF957" s="5349">
        <f t="shared" si="436"/>
        <v>0</v>
      </c>
      <c r="AG957" s="5338">
        <f t="shared" si="437"/>
        <v>0</v>
      </c>
    </row>
    <row r="958" spans="1:33" s="5333" customFormat="1" ht="6.75" customHeight="1">
      <c r="A958" s="5340"/>
      <c r="B958" s="5340"/>
      <c r="C958" s="5340"/>
      <c r="D958" s="5387"/>
      <c r="E958" s="5387"/>
      <c r="F958" s="5386"/>
      <c r="G958" s="5386"/>
      <c r="H958" s="5387"/>
      <c r="I958" s="5630"/>
      <c r="J958" s="5385"/>
      <c r="K958" s="5384"/>
      <c r="L958" s="5383"/>
      <c r="M958" s="5382"/>
      <c r="N958" s="5382"/>
      <c r="O958" s="5382"/>
      <c r="P958" s="5381"/>
      <c r="Q958" s="5382"/>
      <c r="R958" s="5381"/>
      <c r="S958" s="5381"/>
      <c r="T958" s="5382"/>
      <c r="U958" s="5381"/>
      <c r="V958" s="5382"/>
      <c r="W958" s="5381"/>
      <c r="X958" s="5381"/>
      <c r="Y958" s="5382"/>
      <c r="Z958" s="5381"/>
      <c r="AA958" s="5382"/>
      <c r="AB958" s="5381"/>
      <c r="AC958" s="5349"/>
      <c r="AD958" s="5349"/>
      <c r="AE958" s="5349"/>
      <c r="AF958" s="5349">
        <f t="shared" si="436"/>
        <v>0</v>
      </c>
      <c r="AG958" s="5338">
        <f t="shared" si="437"/>
        <v>0</v>
      </c>
    </row>
    <row r="959" spans="1:33" s="5333" customFormat="1" ht="14.25" hidden="1" customHeight="1">
      <c r="A959" s="5340"/>
      <c r="B959" s="5340"/>
      <c r="C959" s="5340"/>
      <c r="D959" s="5374">
        <v>4</v>
      </c>
      <c r="E959" s="5374">
        <v>1</v>
      </c>
      <c r="F959" s="5374"/>
      <c r="G959" s="5374"/>
      <c r="H959" s="5374"/>
      <c r="I959" s="5537"/>
      <c r="J959" s="5372" t="s">
        <v>180</v>
      </c>
      <c r="K959" s="5371"/>
      <c r="L959" s="5370"/>
      <c r="M959" s="5357">
        <v>0</v>
      </c>
      <c r="N959" s="5357">
        <f>+N961</f>
        <v>220076362</v>
      </c>
      <c r="O959" s="5357">
        <f t="shared" ref="O959:O965" si="449">N959-M959</f>
        <v>220076362</v>
      </c>
      <c r="P959" s="5358"/>
      <c r="Q959" s="5357">
        <f t="shared" ref="Q959:Q965" si="450">+P959-N959</f>
        <v>-220076362</v>
      </c>
      <c r="R959" s="5358">
        <f>P959/N959*100-100</f>
        <v>-100</v>
      </c>
      <c r="S959" s="5358"/>
      <c r="T959" s="5357">
        <f t="shared" ref="T959:T965" si="451">S959-R959</f>
        <v>100</v>
      </c>
      <c r="U959" s="5358"/>
      <c r="V959" s="5357">
        <f t="shared" ref="V959:V965" si="452">S959-P959</f>
        <v>0</v>
      </c>
      <c r="W959" s="5358" t="e">
        <f t="shared" ref="W959:W966" si="453">S959/P959*100-100</f>
        <v>#DIV/0!</v>
      </c>
      <c r="X959" s="5358"/>
      <c r="Y959" s="5357" t="e">
        <f t="shared" ref="Y959:Y965" si="454">X959-W959</f>
        <v>#DIV/0!</v>
      </c>
      <c r="Z959" s="5358"/>
      <c r="AA959" s="5357">
        <f t="shared" ref="AA959:AA967" si="455">X959-S959</f>
        <v>0</v>
      </c>
      <c r="AB959" s="5358" t="e">
        <f t="shared" ref="AB959:AB966" si="456">X959/S959*100-100</f>
        <v>#DIV/0!</v>
      </c>
      <c r="AC959" s="5349"/>
      <c r="AD959" s="5349"/>
      <c r="AE959" s="5349"/>
      <c r="AF959" s="5349">
        <f t="shared" si="436"/>
        <v>0</v>
      </c>
      <c r="AG959" s="5338">
        <f t="shared" si="437"/>
        <v>0</v>
      </c>
    </row>
    <row r="960" spans="1:33" s="5333" customFormat="1" ht="3.8" hidden="1" customHeight="1">
      <c r="A960" s="5340"/>
      <c r="B960" s="5340"/>
      <c r="C960" s="5340"/>
      <c r="D960" s="5387"/>
      <c r="E960" s="5386"/>
      <c r="F960" s="5386"/>
      <c r="G960" s="5416"/>
      <c r="H960" s="5415"/>
      <c r="I960" s="5649"/>
      <c r="J960" s="5414"/>
      <c r="K960" s="5413"/>
      <c r="L960" s="5412"/>
      <c r="M960" s="5357"/>
      <c r="N960" s="5357"/>
      <c r="O960" s="5357">
        <f t="shared" si="449"/>
        <v>0</v>
      </c>
      <c r="P960" s="5358"/>
      <c r="Q960" s="5357">
        <f t="shared" si="450"/>
        <v>0</v>
      </c>
      <c r="R960" s="5358"/>
      <c r="S960" s="5358"/>
      <c r="T960" s="5357">
        <f t="shared" si="451"/>
        <v>0</v>
      </c>
      <c r="U960" s="5358"/>
      <c r="V960" s="5357">
        <f t="shared" si="452"/>
        <v>0</v>
      </c>
      <c r="W960" s="5358" t="e">
        <f t="shared" si="453"/>
        <v>#DIV/0!</v>
      </c>
      <c r="X960" s="5358"/>
      <c r="Y960" s="5357" t="e">
        <f t="shared" si="454"/>
        <v>#DIV/0!</v>
      </c>
      <c r="Z960" s="5358"/>
      <c r="AA960" s="5357">
        <f t="shared" si="455"/>
        <v>0</v>
      </c>
      <c r="AB960" s="5358" t="e">
        <f t="shared" si="456"/>
        <v>#DIV/0!</v>
      </c>
      <c r="AC960" s="5349"/>
      <c r="AD960" s="5349"/>
      <c r="AE960" s="5349"/>
      <c r="AF960" s="5349">
        <f t="shared" si="436"/>
        <v>0</v>
      </c>
      <c r="AG960" s="5338">
        <f t="shared" si="437"/>
        <v>0</v>
      </c>
    </row>
    <row r="961" spans="1:33" s="5333" customFormat="1" ht="14.25" hidden="1" customHeight="1">
      <c r="A961" s="5340"/>
      <c r="B961" s="5340"/>
      <c r="C961" s="5340"/>
      <c r="D961" s="5374">
        <v>4</v>
      </c>
      <c r="E961" s="5374">
        <v>1</v>
      </c>
      <c r="F961" s="5374">
        <v>4</v>
      </c>
      <c r="G961" s="5373"/>
      <c r="H961" s="5373"/>
      <c r="I961" s="5633"/>
      <c r="J961" s="5372" t="s">
        <v>71</v>
      </c>
      <c r="K961" s="5371"/>
      <c r="L961" s="5370"/>
      <c r="M961" s="5357">
        <v>0</v>
      </c>
      <c r="N961" s="5357">
        <f>+N962</f>
        <v>220076362</v>
      </c>
      <c r="O961" s="5357">
        <f t="shared" si="449"/>
        <v>220076362</v>
      </c>
      <c r="P961" s="5358"/>
      <c r="Q961" s="5357">
        <f t="shared" si="450"/>
        <v>-220076362</v>
      </c>
      <c r="R961" s="5358">
        <f>P961/N961*100-100</f>
        <v>-100</v>
      </c>
      <c r="S961" s="5358"/>
      <c r="T961" s="5357">
        <f t="shared" si="451"/>
        <v>100</v>
      </c>
      <c r="U961" s="5358"/>
      <c r="V961" s="5357">
        <f t="shared" si="452"/>
        <v>0</v>
      </c>
      <c r="W961" s="5358" t="e">
        <f t="shared" si="453"/>
        <v>#DIV/0!</v>
      </c>
      <c r="X961" s="5358"/>
      <c r="Y961" s="5357" t="e">
        <f t="shared" si="454"/>
        <v>#DIV/0!</v>
      </c>
      <c r="Z961" s="5358"/>
      <c r="AA961" s="5357">
        <f t="shared" si="455"/>
        <v>0</v>
      </c>
      <c r="AB961" s="5358" t="e">
        <f t="shared" si="456"/>
        <v>#DIV/0!</v>
      </c>
      <c r="AC961" s="5349"/>
      <c r="AD961" s="5349"/>
      <c r="AE961" s="5349"/>
      <c r="AF961" s="5349">
        <f t="shared" si="436"/>
        <v>0</v>
      </c>
      <c r="AG961" s="5338">
        <f t="shared" si="437"/>
        <v>0</v>
      </c>
    </row>
    <row r="962" spans="1:33" s="5333" customFormat="1" ht="14.25" hidden="1" customHeight="1">
      <c r="A962" s="5340"/>
      <c r="B962" s="5340"/>
      <c r="C962" s="5340"/>
      <c r="D962" s="5367">
        <v>4</v>
      </c>
      <c r="E962" s="5367">
        <v>1</v>
      </c>
      <c r="F962" s="5367">
        <v>4</v>
      </c>
      <c r="G962" s="5367" t="s">
        <v>948</v>
      </c>
      <c r="H962" s="5368"/>
      <c r="I962" s="5632"/>
      <c r="J962" s="5366" t="s">
        <v>321</v>
      </c>
      <c r="K962" s="5361"/>
      <c r="L962" s="5365"/>
      <c r="M962" s="5359">
        <v>0</v>
      </c>
      <c r="N962" s="5359">
        <f>+N963</f>
        <v>220076362</v>
      </c>
      <c r="O962" s="5359">
        <f t="shared" si="449"/>
        <v>220076362</v>
      </c>
      <c r="P962" s="5358"/>
      <c r="Q962" s="5357">
        <f t="shared" si="450"/>
        <v>-220076362</v>
      </c>
      <c r="R962" s="5356">
        <f>P962/N962*100-100</f>
        <v>-100</v>
      </c>
      <c r="S962" s="5358"/>
      <c r="T962" s="5359">
        <f t="shared" si="451"/>
        <v>100</v>
      </c>
      <c r="U962" s="5358"/>
      <c r="V962" s="5357">
        <f t="shared" si="452"/>
        <v>0</v>
      </c>
      <c r="W962" s="5356" t="e">
        <f t="shared" si="453"/>
        <v>#DIV/0!</v>
      </c>
      <c r="X962" s="5358"/>
      <c r="Y962" s="5359" t="e">
        <f t="shared" si="454"/>
        <v>#DIV/0!</v>
      </c>
      <c r="Z962" s="5358"/>
      <c r="AA962" s="5357">
        <f t="shared" si="455"/>
        <v>0</v>
      </c>
      <c r="AB962" s="5356" t="e">
        <f t="shared" si="456"/>
        <v>#DIV/0!</v>
      </c>
      <c r="AC962" s="5349"/>
      <c r="AD962" s="5349"/>
      <c r="AE962" s="5349"/>
      <c r="AF962" s="5349">
        <f t="shared" si="436"/>
        <v>0</v>
      </c>
      <c r="AG962" s="5338">
        <f t="shared" si="437"/>
        <v>0</v>
      </c>
    </row>
    <row r="963" spans="1:33" s="5333" customFormat="1" ht="14.25" hidden="1" customHeight="1">
      <c r="A963" s="5340"/>
      <c r="B963" s="5340"/>
      <c r="C963" s="5340"/>
      <c r="D963" s="5367">
        <v>4</v>
      </c>
      <c r="E963" s="5367">
        <v>1</v>
      </c>
      <c r="F963" s="5367">
        <v>4</v>
      </c>
      <c r="G963" s="5367" t="s">
        <v>948</v>
      </c>
      <c r="H963" s="5367" t="s">
        <v>437</v>
      </c>
      <c r="I963" s="5631"/>
      <c r="J963" s="5366" t="s">
        <v>85</v>
      </c>
      <c r="K963" s="5361"/>
      <c r="L963" s="5365"/>
      <c r="M963" s="5359">
        <v>0</v>
      </c>
      <c r="N963" s="5359">
        <f>+N964+N965</f>
        <v>220076362</v>
      </c>
      <c r="O963" s="5359">
        <f t="shared" si="449"/>
        <v>220076362</v>
      </c>
      <c r="P963" s="5358"/>
      <c r="Q963" s="5357">
        <f t="shared" si="450"/>
        <v>-220076362</v>
      </c>
      <c r="R963" s="5356">
        <f>P963/N963*100-100</f>
        <v>-100</v>
      </c>
      <c r="S963" s="5358"/>
      <c r="T963" s="5359">
        <f t="shared" si="451"/>
        <v>100</v>
      </c>
      <c r="U963" s="5358"/>
      <c r="V963" s="5357">
        <f t="shared" si="452"/>
        <v>0</v>
      </c>
      <c r="W963" s="5356" t="e">
        <f t="shared" si="453"/>
        <v>#DIV/0!</v>
      </c>
      <c r="X963" s="5358"/>
      <c r="Y963" s="5359" t="e">
        <f t="shared" si="454"/>
        <v>#DIV/0!</v>
      </c>
      <c r="Z963" s="5358"/>
      <c r="AA963" s="5357">
        <f t="shared" si="455"/>
        <v>0</v>
      </c>
      <c r="AB963" s="5356" t="e">
        <f t="shared" si="456"/>
        <v>#DIV/0!</v>
      </c>
      <c r="AC963" s="5349"/>
      <c r="AD963" s="5349"/>
      <c r="AE963" s="5349"/>
      <c r="AF963" s="5349">
        <f t="shared" si="436"/>
        <v>0</v>
      </c>
      <c r="AG963" s="5338">
        <f t="shared" si="437"/>
        <v>0</v>
      </c>
    </row>
    <row r="964" spans="1:33" s="5333" customFormat="1" ht="12.7" hidden="1" customHeight="1">
      <c r="A964" s="5340"/>
      <c r="B964" s="5340"/>
      <c r="C964" s="5340"/>
      <c r="D964" s="5368"/>
      <c r="E964" s="5380"/>
      <c r="F964" s="5380"/>
      <c r="G964" s="5379"/>
      <c r="H964" s="5379"/>
      <c r="I964" s="5495"/>
      <c r="J964" s="5366" t="s">
        <v>50</v>
      </c>
      <c r="K964" s="5361" t="s">
        <v>816</v>
      </c>
      <c r="L964" s="5365"/>
      <c r="M964" s="5359">
        <v>0</v>
      </c>
      <c r="N964" s="5359">
        <v>220076362</v>
      </c>
      <c r="O964" s="5359">
        <f t="shared" si="449"/>
        <v>220076362</v>
      </c>
      <c r="P964" s="5358"/>
      <c r="Q964" s="5357">
        <f t="shared" si="450"/>
        <v>-220076362</v>
      </c>
      <c r="R964" s="5356">
        <f>P964/N964*100-100</f>
        <v>-100</v>
      </c>
      <c r="S964" s="5358"/>
      <c r="T964" s="5359">
        <f t="shared" si="451"/>
        <v>100</v>
      </c>
      <c r="U964" s="5358"/>
      <c r="V964" s="5357">
        <f t="shared" si="452"/>
        <v>0</v>
      </c>
      <c r="W964" s="5356" t="e">
        <f t="shared" si="453"/>
        <v>#DIV/0!</v>
      </c>
      <c r="X964" s="5358"/>
      <c r="Y964" s="5359" t="e">
        <f t="shared" si="454"/>
        <v>#DIV/0!</v>
      </c>
      <c r="Z964" s="5358"/>
      <c r="AA964" s="5357">
        <f t="shared" si="455"/>
        <v>0</v>
      </c>
      <c r="AB964" s="5356" t="e">
        <f t="shared" si="456"/>
        <v>#DIV/0!</v>
      </c>
      <c r="AC964" s="5350"/>
      <c r="AD964" s="5350"/>
      <c r="AE964" s="5350"/>
      <c r="AF964" s="5349">
        <f t="shared" si="436"/>
        <v>0</v>
      </c>
      <c r="AG964" s="5338">
        <f t="shared" si="437"/>
        <v>0</v>
      </c>
    </row>
    <row r="965" spans="1:33" s="5333" customFormat="1" ht="12.7" hidden="1" customHeight="1">
      <c r="A965" s="5340"/>
      <c r="B965" s="5340"/>
      <c r="C965" s="5340"/>
      <c r="D965" s="5378"/>
      <c r="E965" s="5363"/>
      <c r="F965" s="5363"/>
      <c r="G965" s="5399"/>
      <c r="H965" s="5399"/>
      <c r="I965" s="5638"/>
      <c r="J965" s="5362" t="s">
        <v>50</v>
      </c>
      <c r="K965" s="5361" t="s">
        <v>85</v>
      </c>
      <c r="L965" s="5375"/>
      <c r="M965" s="5359">
        <v>0</v>
      </c>
      <c r="N965" s="5359">
        <v>0</v>
      </c>
      <c r="O965" s="5359">
        <f t="shared" si="449"/>
        <v>0</v>
      </c>
      <c r="P965" s="5358"/>
      <c r="Q965" s="5357">
        <f t="shared" si="450"/>
        <v>0</v>
      </c>
      <c r="R965" s="5356" t="e">
        <f>P965/N965*100-100</f>
        <v>#DIV/0!</v>
      </c>
      <c r="S965" s="5358"/>
      <c r="T965" s="5359" t="e">
        <f t="shared" si="451"/>
        <v>#DIV/0!</v>
      </c>
      <c r="U965" s="5358"/>
      <c r="V965" s="5357">
        <f t="shared" si="452"/>
        <v>0</v>
      </c>
      <c r="W965" s="5356" t="e">
        <f t="shared" si="453"/>
        <v>#DIV/0!</v>
      </c>
      <c r="X965" s="5358"/>
      <c r="Y965" s="5359" t="e">
        <f t="shared" si="454"/>
        <v>#DIV/0!</v>
      </c>
      <c r="Z965" s="5358"/>
      <c r="AA965" s="5357">
        <f t="shared" si="455"/>
        <v>0</v>
      </c>
      <c r="AB965" s="5356" t="e">
        <f t="shared" si="456"/>
        <v>#DIV/0!</v>
      </c>
      <c r="AC965" s="5350"/>
      <c r="AD965" s="5350"/>
      <c r="AE965" s="5350"/>
      <c r="AF965" s="5349">
        <f t="shared" si="436"/>
        <v>0</v>
      </c>
      <c r="AG965" s="5338">
        <f t="shared" si="437"/>
        <v>0</v>
      </c>
    </row>
    <row r="966" spans="1:33" s="5333" customFormat="1" ht="7.55" hidden="1" customHeight="1">
      <c r="A966" s="5340"/>
      <c r="B966" s="5340"/>
      <c r="C966" s="5340"/>
      <c r="D966" s="5364"/>
      <c r="E966" s="5363"/>
      <c r="F966" s="5363"/>
      <c r="G966" s="5363"/>
      <c r="H966" s="5363"/>
      <c r="I966" s="5635"/>
      <c r="J966" s="5362"/>
      <c r="K966" s="5376"/>
      <c r="L966" s="5375"/>
      <c r="M966" s="5398"/>
      <c r="N966" s="5398"/>
      <c r="O966" s="5398"/>
      <c r="P966" s="5396"/>
      <c r="Q966" s="5398"/>
      <c r="R966" s="5396"/>
      <c r="S966" s="5396"/>
      <c r="T966" s="5398"/>
      <c r="U966" s="5396"/>
      <c r="V966" s="5398"/>
      <c r="W966" s="5396" t="e">
        <f t="shared" si="453"/>
        <v>#DIV/0!</v>
      </c>
      <c r="X966" s="5396"/>
      <c r="Y966" s="5398"/>
      <c r="Z966" s="5396"/>
      <c r="AA966" s="5398">
        <f t="shared" si="455"/>
        <v>0</v>
      </c>
      <c r="AB966" s="5396" t="e">
        <f t="shared" si="456"/>
        <v>#DIV/0!</v>
      </c>
      <c r="AC966" s="5350"/>
      <c r="AD966" s="5350"/>
      <c r="AE966" s="5350"/>
      <c r="AF966" s="5349">
        <f t="shared" si="436"/>
        <v>0</v>
      </c>
      <c r="AG966" s="5338">
        <f t="shared" si="437"/>
        <v>0</v>
      </c>
    </row>
    <row r="967" spans="1:33" s="5333" customFormat="1" ht="13.5" hidden="1" customHeight="1">
      <c r="A967" s="5395" t="s">
        <v>460</v>
      </c>
      <c r="B967" s="5394" t="s">
        <v>438</v>
      </c>
      <c r="C967" s="5394" t="s">
        <v>437</v>
      </c>
      <c r="D967" s="5393" t="s">
        <v>460</v>
      </c>
      <c r="E967" s="5392" t="s">
        <v>438</v>
      </c>
      <c r="F967" s="5392" t="s">
        <v>437</v>
      </c>
      <c r="G967" s="5392"/>
      <c r="H967" s="5392"/>
      <c r="I967" s="5637"/>
      <c r="J967" s="5391" t="s">
        <v>1294</v>
      </c>
      <c r="K967" s="5390"/>
      <c r="L967" s="5389"/>
      <c r="M967" s="5355">
        <v>0</v>
      </c>
      <c r="N967" s="5355">
        <f>N969</f>
        <v>0</v>
      </c>
      <c r="O967" s="5355">
        <f>N967-M967</f>
        <v>0</v>
      </c>
      <c r="P967" s="5388"/>
      <c r="Q967" s="5355">
        <f>+P967-N967</f>
        <v>0</v>
      </c>
      <c r="R967" s="5388">
        <v>0</v>
      </c>
      <c r="S967" s="5388"/>
      <c r="T967" s="5355">
        <f>S967-R967</f>
        <v>0</v>
      </c>
      <c r="U967" s="5388"/>
      <c r="V967" s="5355">
        <f>S967-P967</f>
        <v>0</v>
      </c>
      <c r="W967" s="5388">
        <v>0</v>
      </c>
      <c r="X967" s="5388"/>
      <c r="Y967" s="5355">
        <f>X967-W967</f>
        <v>0</v>
      </c>
      <c r="Z967" s="5388"/>
      <c r="AA967" s="5355">
        <f t="shared" si="455"/>
        <v>0</v>
      </c>
      <c r="AB967" s="5388">
        <v>0</v>
      </c>
      <c r="AC967" s="5350"/>
      <c r="AD967" s="5350"/>
      <c r="AE967" s="5350"/>
      <c r="AF967" s="5349">
        <f t="shared" si="436"/>
        <v>0</v>
      </c>
      <c r="AG967" s="5338">
        <f t="shared" si="437"/>
        <v>0</v>
      </c>
    </row>
    <row r="968" spans="1:33" s="5333" customFormat="1" ht="6.75" hidden="1" customHeight="1">
      <c r="A968" s="5340"/>
      <c r="B968" s="5340"/>
      <c r="C968" s="5340"/>
      <c r="D968" s="5387"/>
      <c r="E968" s="5386"/>
      <c r="F968" s="5386"/>
      <c r="G968" s="5386"/>
      <c r="H968" s="5386"/>
      <c r="I968" s="5636"/>
      <c r="J968" s="5385"/>
      <c r="K968" s="5384"/>
      <c r="L968" s="5383"/>
      <c r="M968" s="5382"/>
      <c r="N968" s="5382"/>
      <c r="O968" s="5382"/>
      <c r="P968" s="5381"/>
      <c r="Q968" s="5355"/>
      <c r="R968" s="5381"/>
      <c r="S968" s="5381"/>
      <c r="T968" s="5382"/>
      <c r="U968" s="5381"/>
      <c r="V968" s="5355"/>
      <c r="W968" s="5381"/>
      <c r="X968" s="5381"/>
      <c r="Y968" s="5382"/>
      <c r="Z968" s="5381"/>
      <c r="AA968" s="5355"/>
      <c r="AB968" s="5381"/>
      <c r="AC968" s="5350"/>
      <c r="AD968" s="5350"/>
      <c r="AE968" s="5350"/>
      <c r="AF968" s="5349">
        <f t="shared" si="436"/>
        <v>0</v>
      </c>
      <c r="AG968" s="5338">
        <f t="shared" si="437"/>
        <v>0</v>
      </c>
    </row>
    <row r="969" spans="1:33" s="5333" customFormat="1" ht="13.5" hidden="1" customHeight="1">
      <c r="A969" s="5340"/>
      <c r="B969" s="5340"/>
      <c r="C969" s="5340"/>
      <c r="D969" s="5374">
        <v>4</v>
      </c>
      <c r="E969" s="5374">
        <v>1</v>
      </c>
      <c r="F969" s="5374"/>
      <c r="G969" s="5374"/>
      <c r="H969" s="5374"/>
      <c r="I969" s="5537"/>
      <c r="J969" s="5372" t="s">
        <v>180</v>
      </c>
      <c r="K969" s="5371"/>
      <c r="L969" s="5370"/>
      <c r="M969" s="5357">
        <v>0</v>
      </c>
      <c r="N969" s="5357">
        <f>N975</f>
        <v>0</v>
      </c>
      <c r="O969" s="5359">
        <f t="shared" ref="O969:O984" si="457">N969-M969</f>
        <v>0</v>
      </c>
      <c r="P969" s="5358"/>
      <c r="Q969" s="5355">
        <f t="shared" ref="Q969:Q984" si="458">+P969-N969</f>
        <v>0</v>
      </c>
      <c r="R969" s="5358" t="e">
        <f t="shared" ref="R969:R983" si="459">P969/N969*100-100</f>
        <v>#DIV/0!</v>
      </c>
      <c r="S969" s="5358"/>
      <c r="T969" s="5359" t="e">
        <f t="shared" ref="T969:T984" si="460">S969-R969</f>
        <v>#DIV/0!</v>
      </c>
      <c r="U969" s="5358"/>
      <c r="V969" s="5355">
        <f t="shared" ref="V969:V982" si="461">S969-P969</f>
        <v>0</v>
      </c>
      <c r="W969" s="5358" t="e">
        <f t="shared" ref="W969:W983" si="462">S969/P969*100-100</f>
        <v>#DIV/0!</v>
      </c>
      <c r="X969" s="5358"/>
      <c r="Y969" s="5359" t="e">
        <f t="shared" ref="Y969:Y984" si="463">X969-W969</f>
        <v>#DIV/0!</v>
      </c>
      <c r="Z969" s="5358"/>
      <c r="AA969" s="5355">
        <f t="shared" ref="AA969:AA984" si="464">X969-S969</f>
        <v>0</v>
      </c>
      <c r="AB969" s="5358" t="e">
        <f t="shared" ref="AB969:AB983" si="465">X969/S969*100-100</f>
        <v>#DIV/0!</v>
      </c>
      <c r="AC969" s="5350"/>
      <c r="AD969" s="5350"/>
      <c r="AE969" s="5350"/>
      <c r="AF969" s="5349">
        <f t="shared" si="436"/>
        <v>0</v>
      </c>
      <c r="AG969" s="5338">
        <f t="shared" si="437"/>
        <v>0</v>
      </c>
    </row>
    <row r="970" spans="1:33" s="5333" customFormat="1" ht="5.95" hidden="1" customHeight="1">
      <c r="A970" s="5340"/>
      <c r="B970" s="5340"/>
      <c r="C970" s="5340"/>
      <c r="D970" s="5367"/>
      <c r="E970" s="5380"/>
      <c r="F970" s="5380"/>
      <c r="G970" s="5380"/>
      <c r="H970" s="5380"/>
      <c r="I970" s="5496"/>
      <c r="J970" s="5366"/>
      <c r="K970" s="5371"/>
      <c r="L970" s="5370"/>
      <c r="M970" s="5357"/>
      <c r="N970" s="5357"/>
      <c r="O970" s="5357">
        <f t="shared" si="457"/>
        <v>0</v>
      </c>
      <c r="P970" s="5358"/>
      <c r="Q970" s="5355">
        <f t="shared" si="458"/>
        <v>0</v>
      </c>
      <c r="R970" s="5358" t="e">
        <f t="shared" si="459"/>
        <v>#DIV/0!</v>
      </c>
      <c r="S970" s="5358"/>
      <c r="T970" s="5357" t="e">
        <f t="shared" si="460"/>
        <v>#DIV/0!</v>
      </c>
      <c r="U970" s="5358"/>
      <c r="V970" s="5355">
        <f t="shared" si="461"/>
        <v>0</v>
      </c>
      <c r="W970" s="5358" t="e">
        <f t="shared" si="462"/>
        <v>#DIV/0!</v>
      </c>
      <c r="X970" s="5358"/>
      <c r="Y970" s="5357" t="e">
        <f t="shared" si="463"/>
        <v>#DIV/0!</v>
      </c>
      <c r="Z970" s="5358"/>
      <c r="AA970" s="5355">
        <f t="shared" si="464"/>
        <v>0</v>
      </c>
      <c r="AB970" s="5358" t="e">
        <f t="shared" si="465"/>
        <v>#DIV/0!</v>
      </c>
      <c r="AC970" s="5350"/>
      <c r="AD970" s="5350"/>
      <c r="AE970" s="5350"/>
      <c r="AF970" s="5349">
        <f t="shared" si="436"/>
        <v>0</v>
      </c>
      <c r="AG970" s="5338">
        <f t="shared" si="437"/>
        <v>0</v>
      </c>
    </row>
    <row r="971" spans="1:33" s="5333" customFormat="1" ht="15.05" hidden="1" customHeight="1">
      <c r="A971" s="5340"/>
      <c r="B971" s="5340"/>
      <c r="C971" s="5340"/>
      <c r="D971" s="5374">
        <v>4</v>
      </c>
      <c r="E971" s="5374">
        <v>1</v>
      </c>
      <c r="F971" s="5374">
        <v>2</v>
      </c>
      <c r="G971" s="5374"/>
      <c r="H971" s="5374"/>
      <c r="I971" s="5537"/>
      <c r="J971" s="5372" t="s">
        <v>106</v>
      </c>
      <c r="K971" s="5371"/>
      <c r="L971" s="5370"/>
      <c r="M971" s="5357">
        <v>0</v>
      </c>
      <c r="N971" s="5357">
        <v>0</v>
      </c>
      <c r="O971" s="5359">
        <f t="shared" si="457"/>
        <v>0</v>
      </c>
      <c r="P971" s="5358"/>
      <c r="Q971" s="5355">
        <f t="shared" si="458"/>
        <v>0</v>
      </c>
      <c r="R971" s="5358" t="e">
        <f t="shared" si="459"/>
        <v>#DIV/0!</v>
      </c>
      <c r="S971" s="5358"/>
      <c r="T971" s="5359" t="e">
        <f t="shared" si="460"/>
        <v>#DIV/0!</v>
      </c>
      <c r="U971" s="5358"/>
      <c r="V971" s="5355">
        <f t="shared" si="461"/>
        <v>0</v>
      </c>
      <c r="W971" s="5358" t="e">
        <f t="shared" si="462"/>
        <v>#DIV/0!</v>
      </c>
      <c r="X971" s="5358"/>
      <c r="Y971" s="5359" t="e">
        <f t="shared" si="463"/>
        <v>#DIV/0!</v>
      </c>
      <c r="Z971" s="5358"/>
      <c r="AA971" s="5355">
        <f t="shared" si="464"/>
        <v>0</v>
      </c>
      <c r="AB971" s="5358" t="e">
        <f t="shared" si="465"/>
        <v>#DIV/0!</v>
      </c>
      <c r="AC971" s="5350"/>
      <c r="AD971" s="5350"/>
      <c r="AE971" s="5350"/>
      <c r="AF971" s="5349">
        <f t="shared" si="436"/>
        <v>0</v>
      </c>
      <c r="AG971" s="5338">
        <f t="shared" si="437"/>
        <v>0</v>
      </c>
    </row>
    <row r="972" spans="1:33" s="5333" customFormat="1" ht="15.05" hidden="1" customHeight="1">
      <c r="A972" s="5340"/>
      <c r="B972" s="5340"/>
      <c r="C972" s="5340"/>
      <c r="D972" s="5367">
        <v>4</v>
      </c>
      <c r="E972" s="5367">
        <v>1</v>
      </c>
      <c r="F972" s="5367">
        <v>2</v>
      </c>
      <c r="G972" s="5368" t="s">
        <v>438</v>
      </c>
      <c r="H972" s="5367"/>
      <c r="I972" s="5631"/>
      <c r="J972" s="5366" t="s">
        <v>374</v>
      </c>
      <c r="K972" s="5361"/>
      <c r="L972" s="5365"/>
      <c r="M972" s="5357">
        <v>0</v>
      </c>
      <c r="N972" s="5357">
        <v>0</v>
      </c>
      <c r="O972" s="5359">
        <f t="shared" si="457"/>
        <v>0</v>
      </c>
      <c r="P972" s="5358"/>
      <c r="Q972" s="5355">
        <f t="shared" si="458"/>
        <v>0</v>
      </c>
      <c r="R972" s="5358" t="e">
        <f t="shared" si="459"/>
        <v>#DIV/0!</v>
      </c>
      <c r="S972" s="5358"/>
      <c r="T972" s="5359" t="e">
        <f t="shared" si="460"/>
        <v>#DIV/0!</v>
      </c>
      <c r="U972" s="5358"/>
      <c r="V972" s="5355">
        <f t="shared" si="461"/>
        <v>0</v>
      </c>
      <c r="W972" s="5358" t="e">
        <f t="shared" si="462"/>
        <v>#DIV/0!</v>
      </c>
      <c r="X972" s="5358"/>
      <c r="Y972" s="5359" t="e">
        <f t="shared" si="463"/>
        <v>#DIV/0!</v>
      </c>
      <c r="Z972" s="5358"/>
      <c r="AA972" s="5355">
        <f t="shared" si="464"/>
        <v>0</v>
      </c>
      <c r="AB972" s="5358" t="e">
        <f t="shared" si="465"/>
        <v>#DIV/0!</v>
      </c>
      <c r="AC972" s="5350"/>
      <c r="AD972" s="5350"/>
      <c r="AE972" s="5350"/>
      <c r="AF972" s="5349">
        <f t="shared" si="436"/>
        <v>0</v>
      </c>
      <c r="AG972" s="5338">
        <f t="shared" si="437"/>
        <v>0</v>
      </c>
    </row>
    <row r="973" spans="1:33" s="5333" customFormat="1" ht="15.05" hidden="1" customHeight="1">
      <c r="A973" s="5340"/>
      <c r="B973" s="5340"/>
      <c r="C973" s="5340"/>
      <c r="D973" s="5367">
        <v>4</v>
      </c>
      <c r="E973" s="5367">
        <v>1</v>
      </c>
      <c r="F973" s="5367">
        <v>2</v>
      </c>
      <c r="G973" s="5368" t="s">
        <v>438</v>
      </c>
      <c r="H973" s="5368" t="s">
        <v>448</v>
      </c>
      <c r="I973" s="5632"/>
      <c r="J973" s="5366" t="s">
        <v>361</v>
      </c>
      <c r="K973" s="5361"/>
      <c r="L973" s="5365"/>
      <c r="M973" s="5359">
        <v>0</v>
      </c>
      <c r="N973" s="5359">
        <v>0</v>
      </c>
      <c r="O973" s="5359">
        <f t="shared" si="457"/>
        <v>0</v>
      </c>
      <c r="P973" s="5358"/>
      <c r="Q973" s="5355">
        <f t="shared" si="458"/>
        <v>0</v>
      </c>
      <c r="R973" s="5356" t="e">
        <f t="shared" si="459"/>
        <v>#DIV/0!</v>
      </c>
      <c r="S973" s="5358"/>
      <c r="T973" s="5359" t="e">
        <f t="shared" si="460"/>
        <v>#DIV/0!</v>
      </c>
      <c r="U973" s="5358"/>
      <c r="V973" s="5355">
        <f t="shared" si="461"/>
        <v>0</v>
      </c>
      <c r="W973" s="5356" t="e">
        <f t="shared" si="462"/>
        <v>#DIV/0!</v>
      </c>
      <c r="X973" s="5358"/>
      <c r="Y973" s="5359" t="e">
        <f t="shared" si="463"/>
        <v>#DIV/0!</v>
      </c>
      <c r="Z973" s="5358"/>
      <c r="AA973" s="5355">
        <f t="shared" si="464"/>
        <v>0</v>
      </c>
      <c r="AB973" s="5356" t="e">
        <f t="shared" si="465"/>
        <v>#DIV/0!</v>
      </c>
      <c r="AC973" s="5349"/>
      <c r="AD973" s="5349"/>
      <c r="AE973" s="5349"/>
      <c r="AF973" s="5349">
        <f t="shared" si="436"/>
        <v>0</v>
      </c>
      <c r="AG973" s="5338">
        <f t="shared" si="437"/>
        <v>0</v>
      </c>
    </row>
    <row r="974" spans="1:33" s="5333" customFormat="1" ht="6.75" hidden="1" customHeight="1">
      <c r="A974" s="5340"/>
      <c r="B974" s="5340"/>
      <c r="C974" s="5340"/>
      <c r="D974" s="5368"/>
      <c r="E974" s="5380"/>
      <c r="F974" s="5380"/>
      <c r="G974" s="5379"/>
      <c r="H974" s="5380"/>
      <c r="I974" s="5496"/>
      <c r="J974" s="5366"/>
      <c r="K974" s="5361"/>
      <c r="L974" s="5365"/>
      <c r="M974" s="5357"/>
      <c r="N974" s="5357"/>
      <c r="O974" s="5357">
        <f t="shared" si="457"/>
        <v>0</v>
      </c>
      <c r="P974" s="5358"/>
      <c r="Q974" s="5355">
        <f t="shared" si="458"/>
        <v>0</v>
      </c>
      <c r="R974" s="5358" t="e">
        <f t="shared" si="459"/>
        <v>#DIV/0!</v>
      </c>
      <c r="S974" s="5358"/>
      <c r="T974" s="5357" t="e">
        <f t="shared" si="460"/>
        <v>#DIV/0!</v>
      </c>
      <c r="U974" s="5358"/>
      <c r="V974" s="5355">
        <f t="shared" si="461"/>
        <v>0</v>
      </c>
      <c r="W974" s="5358" t="e">
        <f t="shared" si="462"/>
        <v>#DIV/0!</v>
      </c>
      <c r="X974" s="5358"/>
      <c r="Y974" s="5357" t="e">
        <f t="shared" si="463"/>
        <v>#DIV/0!</v>
      </c>
      <c r="Z974" s="5358"/>
      <c r="AA974" s="5355">
        <f t="shared" si="464"/>
        <v>0</v>
      </c>
      <c r="AB974" s="5358" t="e">
        <f t="shared" si="465"/>
        <v>#DIV/0!</v>
      </c>
      <c r="AC974" s="5349"/>
      <c r="AD974" s="5349"/>
      <c r="AE974" s="5349"/>
      <c r="AF974" s="5349">
        <f t="shared" si="436"/>
        <v>0</v>
      </c>
      <c r="AG974" s="5338">
        <f t="shared" si="437"/>
        <v>0</v>
      </c>
    </row>
    <row r="975" spans="1:33" s="5333" customFormat="1" ht="15.05" hidden="1" customHeight="1">
      <c r="A975" s="5340"/>
      <c r="B975" s="5340"/>
      <c r="C975" s="5340"/>
      <c r="D975" s="5374">
        <v>4</v>
      </c>
      <c r="E975" s="5374">
        <v>1</v>
      </c>
      <c r="F975" s="5374">
        <v>4</v>
      </c>
      <c r="G975" s="5373"/>
      <c r="H975" s="5373"/>
      <c r="I975" s="5633"/>
      <c r="J975" s="5372" t="s">
        <v>71</v>
      </c>
      <c r="K975" s="5371"/>
      <c r="L975" s="5370"/>
      <c r="M975" s="5357">
        <v>0</v>
      </c>
      <c r="N975" s="5357">
        <f>N979</f>
        <v>0</v>
      </c>
      <c r="O975" s="5359">
        <f t="shared" si="457"/>
        <v>0</v>
      </c>
      <c r="P975" s="5358"/>
      <c r="Q975" s="5355">
        <f t="shared" si="458"/>
        <v>0</v>
      </c>
      <c r="R975" s="5358" t="e">
        <f t="shared" si="459"/>
        <v>#DIV/0!</v>
      </c>
      <c r="S975" s="5358"/>
      <c r="T975" s="5359" t="e">
        <f t="shared" si="460"/>
        <v>#DIV/0!</v>
      </c>
      <c r="U975" s="5358"/>
      <c r="V975" s="5355">
        <f t="shared" si="461"/>
        <v>0</v>
      </c>
      <c r="W975" s="5358" t="e">
        <f t="shared" si="462"/>
        <v>#DIV/0!</v>
      </c>
      <c r="X975" s="5358"/>
      <c r="Y975" s="5359" t="e">
        <f t="shared" si="463"/>
        <v>#DIV/0!</v>
      </c>
      <c r="Z975" s="5358"/>
      <c r="AA975" s="5355">
        <f t="shared" si="464"/>
        <v>0</v>
      </c>
      <c r="AB975" s="5358" t="e">
        <f t="shared" si="465"/>
        <v>#DIV/0!</v>
      </c>
      <c r="AC975" s="5349"/>
      <c r="AD975" s="5349"/>
      <c r="AE975" s="5349"/>
      <c r="AF975" s="5349">
        <f t="shared" si="436"/>
        <v>0</v>
      </c>
      <c r="AG975" s="5338">
        <f t="shared" si="437"/>
        <v>0</v>
      </c>
    </row>
    <row r="976" spans="1:33" s="5333" customFormat="1" ht="15.05" hidden="1" customHeight="1">
      <c r="A976" s="5340"/>
      <c r="B976" s="5340"/>
      <c r="C976" s="5340"/>
      <c r="D976" s="5367">
        <v>4</v>
      </c>
      <c r="E976" s="5367">
        <v>1</v>
      </c>
      <c r="F976" s="5367">
        <v>4</v>
      </c>
      <c r="G976" s="5368" t="s">
        <v>451</v>
      </c>
      <c r="H976" s="5367"/>
      <c r="I976" s="5631"/>
      <c r="J976" s="5366" t="s">
        <v>1289</v>
      </c>
      <c r="K976" s="5361"/>
      <c r="L976" s="5365"/>
      <c r="M976" s="5357">
        <v>0</v>
      </c>
      <c r="N976" s="5357">
        <v>0</v>
      </c>
      <c r="O976" s="5359">
        <f t="shared" si="457"/>
        <v>0</v>
      </c>
      <c r="P976" s="5358"/>
      <c r="Q976" s="5355">
        <f t="shared" si="458"/>
        <v>0</v>
      </c>
      <c r="R976" s="5358" t="e">
        <f t="shared" si="459"/>
        <v>#DIV/0!</v>
      </c>
      <c r="S976" s="5358"/>
      <c r="T976" s="5359" t="e">
        <f t="shared" si="460"/>
        <v>#DIV/0!</v>
      </c>
      <c r="U976" s="5358"/>
      <c r="V976" s="5355">
        <f t="shared" si="461"/>
        <v>0</v>
      </c>
      <c r="W976" s="5358" t="e">
        <f t="shared" si="462"/>
        <v>#DIV/0!</v>
      </c>
      <c r="X976" s="5358"/>
      <c r="Y976" s="5359" t="e">
        <f t="shared" si="463"/>
        <v>#DIV/0!</v>
      </c>
      <c r="Z976" s="5358"/>
      <c r="AA976" s="5355">
        <f t="shared" si="464"/>
        <v>0</v>
      </c>
      <c r="AB976" s="5358" t="e">
        <f t="shared" si="465"/>
        <v>#DIV/0!</v>
      </c>
      <c r="AC976" s="5350"/>
      <c r="AD976" s="5350"/>
      <c r="AE976" s="5350"/>
      <c r="AF976" s="5349">
        <f t="shared" si="436"/>
        <v>0</v>
      </c>
      <c r="AG976" s="5338">
        <f t="shared" si="437"/>
        <v>0</v>
      </c>
    </row>
    <row r="977" spans="1:33" s="5333" customFormat="1" ht="15.05" hidden="1" customHeight="1">
      <c r="A977" s="5340"/>
      <c r="B977" s="5340"/>
      <c r="C977" s="5340"/>
      <c r="D977" s="5367">
        <v>4</v>
      </c>
      <c r="E977" s="5367">
        <v>1</v>
      </c>
      <c r="F977" s="5367">
        <v>4</v>
      </c>
      <c r="G977" s="5368" t="s">
        <v>451</v>
      </c>
      <c r="H977" s="5368" t="s">
        <v>437</v>
      </c>
      <c r="I977" s="5632"/>
      <c r="J977" s="5366" t="s">
        <v>1288</v>
      </c>
      <c r="K977" s="5361"/>
      <c r="L977" s="5365"/>
      <c r="M977" s="5359">
        <v>0</v>
      </c>
      <c r="N977" s="5359">
        <v>0</v>
      </c>
      <c r="O977" s="5359">
        <f t="shared" si="457"/>
        <v>0</v>
      </c>
      <c r="P977" s="5358"/>
      <c r="Q977" s="5355">
        <f t="shared" si="458"/>
        <v>0</v>
      </c>
      <c r="R977" s="5356" t="e">
        <f t="shared" si="459"/>
        <v>#DIV/0!</v>
      </c>
      <c r="S977" s="5358"/>
      <c r="T977" s="5359" t="e">
        <f t="shared" si="460"/>
        <v>#DIV/0!</v>
      </c>
      <c r="U977" s="5358"/>
      <c r="V977" s="5355">
        <f t="shared" si="461"/>
        <v>0</v>
      </c>
      <c r="W977" s="5356" t="e">
        <f t="shared" si="462"/>
        <v>#DIV/0!</v>
      </c>
      <c r="X977" s="5358"/>
      <c r="Y977" s="5359" t="e">
        <f t="shared" si="463"/>
        <v>#DIV/0!</v>
      </c>
      <c r="Z977" s="5358"/>
      <c r="AA977" s="5355">
        <f t="shared" si="464"/>
        <v>0</v>
      </c>
      <c r="AB977" s="5356" t="e">
        <f t="shared" si="465"/>
        <v>#DIV/0!</v>
      </c>
      <c r="AC977" s="5350"/>
      <c r="AD977" s="5350"/>
      <c r="AE977" s="5350"/>
      <c r="AF977" s="5349">
        <f t="shared" si="436"/>
        <v>0</v>
      </c>
      <c r="AG977" s="5338">
        <f t="shared" si="437"/>
        <v>0</v>
      </c>
    </row>
    <row r="978" spans="1:33" s="5333" customFormat="1" ht="8.3000000000000007" hidden="1" customHeight="1">
      <c r="A978" s="5340"/>
      <c r="B978" s="5340"/>
      <c r="C978" s="5340"/>
      <c r="D978" s="5368"/>
      <c r="E978" s="5380"/>
      <c r="F978" s="5380"/>
      <c r="G978" s="5379"/>
      <c r="H978" s="5380"/>
      <c r="I978" s="5496"/>
      <c r="J978" s="5366"/>
      <c r="K978" s="5361"/>
      <c r="L978" s="5365"/>
      <c r="M978" s="5357"/>
      <c r="N978" s="5357"/>
      <c r="O978" s="5357">
        <f t="shared" si="457"/>
        <v>0</v>
      </c>
      <c r="P978" s="5358"/>
      <c r="Q978" s="5355">
        <f t="shared" si="458"/>
        <v>0</v>
      </c>
      <c r="R978" s="5358" t="e">
        <f t="shared" si="459"/>
        <v>#DIV/0!</v>
      </c>
      <c r="S978" s="5358"/>
      <c r="T978" s="5357" t="e">
        <f t="shared" si="460"/>
        <v>#DIV/0!</v>
      </c>
      <c r="U978" s="5358"/>
      <c r="V978" s="5355">
        <f t="shared" si="461"/>
        <v>0</v>
      </c>
      <c r="W978" s="5358" t="e">
        <f t="shared" si="462"/>
        <v>#DIV/0!</v>
      </c>
      <c r="X978" s="5358"/>
      <c r="Y978" s="5357" t="e">
        <f t="shared" si="463"/>
        <v>#DIV/0!</v>
      </c>
      <c r="Z978" s="5358"/>
      <c r="AA978" s="5355">
        <f t="shared" si="464"/>
        <v>0</v>
      </c>
      <c r="AB978" s="5358" t="e">
        <f t="shared" si="465"/>
        <v>#DIV/0!</v>
      </c>
      <c r="AC978" s="5350"/>
      <c r="AD978" s="5350"/>
      <c r="AE978" s="5350"/>
      <c r="AF978" s="5349">
        <f t="shared" si="436"/>
        <v>0</v>
      </c>
      <c r="AG978" s="5338">
        <f t="shared" si="437"/>
        <v>0</v>
      </c>
    </row>
    <row r="979" spans="1:33" s="5333" customFormat="1" ht="15.05" hidden="1" customHeight="1">
      <c r="A979" s="5340"/>
      <c r="B979" s="5340"/>
      <c r="C979" s="5340"/>
      <c r="D979" s="5367">
        <v>4</v>
      </c>
      <c r="E979" s="5367">
        <v>1</v>
      </c>
      <c r="F979" s="5367">
        <v>4</v>
      </c>
      <c r="G979" s="5367" t="s">
        <v>948</v>
      </c>
      <c r="H979" s="5368"/>
      <c r="I979" s="5632"/>
      <c r="J979" s="5366" t="s">
        <v>321</v>
      </c>
      <c r="K979" s="5361"/>
      <c r="L979" s="5365"/>
      <c r="M979" s="5357">
        <v>0</v>
      </c>
      <c r="N979" s="5357">
        <f>N980</f>
        <v>0</v>
      </c>
      <c r="O979" s="5359">
        <f t="shared" si="457"/>
        <v>0</v>
      </c>
      <c r="P979" s="5358"/>
      <c r="Q979" s="5355">
        <f t="shared" si="458"/>
        <v>0</v>
      </c>
      <c r="R979" s="5358" t="e">
        <f t="shared" si="459"/>
        <v>#DIV/0!</v>
      </c>
      <c r="S979" s="5358"/>
      <c r="T979" s="5359" t="e">
        <f t="shared" si="460"/>
        <v>#DIV/0!</v>
      </c>
      <c r="U979" s="5358"/>
      <c r="V979" s="5355">
        <f t="shared" si="461"/>
        <v>0</v>
      </c>
      <c r="W979" s="5358" t="e">
        <f t="shared" si="462"/>
        <v>#DIV/0!</v>
      </c>
      <c r="X979" s="5358"/>
      <c r="Y979" s="5359" t="e">
        <f t="shared" si="463"/>
        <v>#DIV/0!</v>
      </c>
      <c r="Z979" s="5358"/>
      <c r="AA979" s="5355">
        <f t="shared" si="464"/>
        <v>0</v>
      </c>
      <c r="AB979" s="5358" t="e">
        <f t="shared" si="465"/>
        <v>#DIV/0!</v>
      </c>
      <c r="AC979" s="5350"/>
      <c r="AD979" s="5350"/>
      <c r="AE979" s="5350"/>
      <c r="AF979" s="5349">
        <f t="shared" si="436"/>
        <v>0</v>
      </c>
      <c r="AG979" s="5338">
        <f t="shared" si="437"/>
        <v>0</v>
      </c>
    </row>
    <row r="980" spans="1:33" s="5333" customFormat="1" ht="14.25" hidden="1" customHeight="1">
      <c r="A980" s="5340"/>
      <c r="B980" s="5340"/>
      <c r="C980" s="5340"/>
      <c r="D980" s="5367">
        <v>4</v>
      </c>
      <c r="E980" s="5367">
        <v>1</v>
      </c>
      <c r="F980" s="5367">
        <v>4</v>
      </c>
      <c r="G980" s="5367" t="s">
        <v>948</v>
      </c>
      <c r="H980" s="5367" t="s">
        <v>437</v>
      </c>
      <c r="I980" s="5631"/>
      <c r="J980" s="5366" t="s">
        <v>85</v>
      </c>
      <c r="K980" s="5361"/>
      <c r="L980" s="5365"/>
      <c r="M980" s="5357">
        <v>0</v>
      </c>
      <c r="N980" s="5357">
        <f>N981</f>
        <v>0</v>
      </c>
      <c r="O980" s="5359">
        <f t="shared" si="457"/>
        <v>0</v>
      </c>
      <c r="P980" s="5358"/>
      <c r="Q980" s="5355">
        <f t="shared" si="458"/>
        <v>0</v>
      </c>
      <c r="R980" s="5358" t="e">
        <f t="shared" si="459"/>
        <v>#DIV/0!</v>
      </c>
      <c r="S980" s="5358"/>
      <c r="T980" s="5359" t="e">
        <f t="shared" si="460"/>
        <v>#DIV/0!</v>
      </c>
      <c r="U980" s="5358"/>
      <c r="V980" s="5355">
        <f t="shared" si="461"/>
        <v>0</v>
      </c>
      <c r="W980" s="5358" t="e">
        <f t="shared" si="462"/>
        <v>#DIV/0!</v>
      </c>
      <c r="X980" s="5358"/>
      <c r="Y980" s="5359" t="e">
        <f t="shared" si="463"/>
        <v>#DIV/0!</v>
      </c>
      <c r="Z980" s="5358"/>
      <c r="AA980" s="5355">
        <f t="shared" si="464"/>
        <v>0</v>
      </c>
      <c r="AB980" s="5358" t="e">
        <f t="shared" si="465"/>
        <v>#DIV/0!</v>
      </c>
      <c r="AC980" s="5350"/>
      <c r="AD980" s="5350"/>
      <c r="AE980" s="5350"/>
      <c r="AF980" s="5349">
        <f t="shared" si="436"/>
        <v>0</v>
      </c>
      <c r="AG980" s="5338">
        <f t="shared" si="437"/>
        <v>0</v>
      </c>
    </row>
    <row r="981" spans="1:33" s="5333" customFormat="1" ht="12.05" hidden="1" customHeight="1">
      <c r="A981" s="5340"/>
      <c r="B981" s="5340"/>
      <c r="C981" s="5340"/>
      <c r="D981" s="5368"/>
      <c r="E981" s="5380"/>
      <c r="F981" s="5380"/>
      <c r="G981" s="5379"/>
      <c r="H981" s="5379"/>
      <c r="I981" s="5495"/>
      <c r="J981" s="5366" t="s">
        <v>50</v>
      </c>
      <c r="K981" s="5361" t="s">
        <v>76</v>
      </c>
      <c r="L981" s="5365"/>
      <c r="M981" s="5359">
        <v>0</v>
      </c>
      <c r="N981" s="5359">
        <v>0</v>
      </c>
      <c r="O981" s="5359">
        <f t="shared" si="457"/>
        <v>0</v>
      </c>
      <c r="P981" s="5358"/>
      <c r="Q981" s="5355">
        <f t="shared" si="458"/>
        <v>0</v>
      </c>
      <c r="R981" s="5356" t="e">
        <f t="shared" si="459"/>
        <v>#DIV/0!</v>
      </c>
      <c r="S981" s="5358"/>
      <c r="T981" s="5359" t="e">
        <f t="shared" si="460"/>
        <v>#DIV/0!</v>
      </c>
      <c r="U981" s="5358"/>
      <c r="V981" s="5355">
        <f t="shared" si="461"/>
        <v>0</v>
      </c>
      <c r="W981" s="5356" t="e">
        <f t="shared" si="462"/>
        <v>#DIV/0!</v>
      </c>
      <c r="X981" s="5358"/>
      <c r="Y981" s="5359" t="e">
        <f t="shared" si="463"/>
        <v>#DIV/0!</v>
      </c>
      <c r="Z981" s="5358"/>
      <c r="AA981" s="5355">
        <f t="shared" si="464"/>
        <v>0</v>
      </c>
      <c r="AB981" s="5356" t="e">
        <f t="shared" si="465"/>
        <v>#DIV/0!</v>
      </c>
      <c r="AC981" s="5350"/>
      <c r="AD981" s="5350"/>
      <c r="AE981" s="5350"/>
      <c r="AF981" s="5349">
        <f t="shared" si="436"/>
        <v>0</v>
      </c>
      <c r="AG981" s="5338">
        <f t="shared" si="437"/>
        <v>0</v>
      </c>
    </row>
    <row r="982" spans="1:33" s="5333" customFormat="1" ht="12.05" hidden="1" customHeight="1">
      <c r="A982" s="5340"/>
      <c r="B982" s="5340"/>
      <c r="C982" s="5340"/>
      <c r="D982" s="5368"/>
      <c r="E982" s="5380"/>
      <c r="F982" s="5380"/>
      <c r="G982" s="5379"/>
      <c r="H982" s="5379"/>
      <c r="I982" s="5638"/>
      <c r="J982" s="5362" t="s">
        <v>50</v>
      </c>
      <c r="K982" s="5361" t="s">
        <v>85</v>
      </c>
      <c r="L982" s="5375"/>
      <c r="M982" s="5411">
        <v>0</v>
      </c>
      <c r="N982" s="5411">
        <v>0</v>
      </c>
      <c r="O982" s="5359">
        <f t="shared" si="457"/>
        <v>0</v>
      </c>
      <c r="P982" s="5396"/>
      <c r="Q982" s="5355">
        <f t="shared" si="458"/>
        <v>0</v>
      </c>
      <c r="R982" s="5410" t="e">
        <f t="shared" si="459"/>
        <v>#DIV/0!</v>
      </c>
      <c r="S982" s="5396"/>
      <c r="T982" s="5359" t="e">
        <f t="shared" si="460"/>
        <v>#DIV/0!</v>
      </c>
      <c r="U982" s="5396"/>
      <c r="V982" s="5355">
        <f t="shared" si="461"/>
        <v>0</v>
      </c>
      <c r="W982" s="5410" t="e">
        <f t="shared" si="462"/>
        <v>#DIV/0!</v>
      </c>
      <c r="X982" s="5396"/>
      <c r="Y982" s="5359" t="e">
        <f t="shared" si="463"/>
        <v>#DIV/0!</v>
      </c>
      <c r="Z982" s="5396"/>
      <c r="AA982" s="5355">
        <f t="shared" si="464"/>
        <v>0</v>
      </c>
      <c r="AB982" s="5410" t="e">
        <f t="shared" si="465"/>
        <v>#DIV/0!</v>
      </c>
      <c r="AC982" s="5350"/>
      <c r="AD982" s="5350"/>
      <c r="AE982" s="5350"/>
      <c r="AF982" s="5349">
        <f t="shared" si="436"/>
        <v>0</v>
      </c>
      <c r="AG982" s="5338">
        <f t="shared" si="437"/>
        <v>0</v>
      </c>
    </row>
    <row r="983" spans="1:33" s="5333" customFormat="1" ht="8.3000000000000007" hidden="1" customHeight="1">
      <c r="A983" s="5340"/>
      <c r="B983" s="5340"/>
      <c r="C983" s="5340"/>
      <c r="D983" s="5368"/>
      <c r="E983" s="5380"/>
      <c r="F983" s="5380"/>
      <c r="G983" s="5379"/>
      <c r="H983" s="5380"/>
      <c r="I983" s="5635"/>
      <c r="J983" s="5377"/>
      <c r="K983" s="5376"/>
      <c r="L983" s="5375"/>
      <c r="M983" s="5398"/>
      <c r="N983" s="5398"/>
      <c r="O983" s="5398">
        <f t="shared" si="457"/>
        <v>0</v>
      </c>
      <c r="P983" s="5396"/>
      <c r="Q983" s="5355">
        <f t="shared" si="458"/>
        <v>0</v>
      </c>
      <c r="R983" s="5396" t="e">
        <f t="shared" si="459"/>
        <v>#DIV/0!</v>
      </c>
      <c r="S983" s="5396"/>
      <c r="T983" s="5398" t="e">
        <f t="shared" si="460"/>
        <v>#DIV/0!</v>
      </c>
      <c r="U983" s="5396"/>
      <c r="V983" s="5355"/>
      <c r="W983" s="5396" t="e">
        <f t="shared" si="462"/>
        <v>#DIV/0!</v>
      </c>
      <c r="X983" s="5396"/>
      <c r="Y983" s="5398" t="e">
        <f t="shared" si="463"/>
        <v>#DIV/0!</v>
      </c>
      <c r="Z983" s="5396"/>
      <c r="AA983" s="5355">
        <f t="shared" si="464"/>
        <v>0</v>
      </c>
      <c r="AB983" s="5396" t="e">
        <f t="shared" si="465"/>
        <v>#DIV/0!</v>
      </c>
      <c r="AC983" s="5350"/>
      <c r="AD983" s="5350"/>
      <c r="AE983" s="5350"/>
      <c r="AF983" s="5349">
        <f t="shared" si="436"/>
        <v>0</v>
      </c>
      <c r="AG983" s="5338">
        <f t="shared" si="437"/>
        <v>0</v>
      </c>
    </row>
    <row r="984" spans="1:33" s="5333" customFormat="1" ht="14.25" customHeight="1">
      <c r="A984" s="5395" t="s">
        <v>460</v>
      </c>
      <c r="B984" s="5394" t="s">
        <v>440</v>
      </c>
      <c r="C984" s="5394" t="s">
        <v>437</v>
      </c>
      <c r="D984" s="5393" t="s">
        <v>460</v>
      </c>
      <c r="E984" s="5392" t="s">
        <v>440</v>
      </c>
      <c r="F984" s="5392" t="s">
        <v>437</v>
      </c>
      <c r="G984" s="5392"/>
      <c r="H984" s="5392"/>
      <c r="I984" s="5637" t="s">
        <v>910</v>
      </c>
      <c r="J984" s="5391" t="s">
        <v>1293</v>
      </c>
      <c r="K984" s="5390"/>
      <c r="L984" s="5389"/>
      <c r="M984" s="5355">
        <v>0</v>
      </c>
      <c r="N984" s="5355">
        <f>N986</f>
        <v>0</v>
      </c>
      <c r="O984" s="5355">
        <f t="shared" si="457"/>
        <v>0</v>
      </c>
      <c r="P984" s="5388"/>
      <c r="Q984" s="5355">
        <f t="shared" si="458"/>
        <v>0</v>
      </c>
      <c r="R984" s="5388">
        <v>0</v>
      </c>
      <c r="S984" s="5388"/>
      <c r="T984" s="5355">
        <f t="shared" si="460"/>
        <v>0</v>
      </c>
      <c r="U984" s="5388"/>
      <c r="V984" s="5355">
        <f>S984-P984</f>
        <v>0</v>
      </c>
      <c r="W984" s="5388">
        <v>0</v>
      </c>
      <c r="X984" s="5388"/>
      <c r="Y984" s="5355">
        <f t="shared" si="463"/>
        <v>0</v>
      </c>
      <c r="Z984" s="5388"/>
      <c r="AA984" s="5355">
        <f t="shared" si="464"/>
        <v>0</v>
      </c>
      <c r="AB984" s="5388">
        <v>0</v>
      </c>
      <c r="AC984" s="5350"/>
      <c r="AD984" s="5350"/>
      <c r="AE984" s="5350"/>
      <c r="AF984" s="5349">
        <f t="shared" si="436"/>
        <v>0</v>
      </c>
      <c r="AG984" s="5338">
        <f t="shared" si="437"/>
        <v>0</v>
      </c>
    </row>
    <row r="985" spans="1:33" s="5333" customFormat="1" ht="4.55" customHeight="1">
      <c r="A985" s="5340"/>
      <c r="B985" s="5340"/>
      <c r="C985" s="5340"/>
      <c r="D985" s="5387"/>
      <c r="E985" s="5386"/>
      <c r="F985" s="5386"/>
      <c r="G985" s="5386"/>
      <c r="H985" s="5386"/>
      <c r="I985" s="5636"/>
      <c r="J985" s="5385"/>
      <c r="K985" s="5384"/>
      <c r="L985" s="5383"/>
      <c r="M985" s="5382"/>
      <c r="N985" s="5382"/>
      <c r="O985" s="5382"/>
      <c r="P985" s="5381"/>
      <c r="Q985" s="5355"/>
      <c r="R985" s="5381"/>
      <c r="S985" s="5381"/>
      <c r="T985" s="5382"/>
      <c r="U985" s="5381"/>
      <c r="V985" s="5355"/>
      <c r="W985" s="5381"/>
      <c r="X985" s="5381"/>
      <c r="Y985" s="5382"/>
      <c r="Z985" s="5381"/>
      <c r="AA985" s="5355"/>
      <c r="AB985" s="5381"/>
      <c r="AC985" s="5349"/>
      <c r="AD985" s="5349"/>
      <c r="AE985" s="5349"/>
      <c r="AF985" s="5349">
        <f t="shared" si="436"/>
        <v>0</v>
      </c>
      <c r="AG985" s="5338">
        <f t="shared" si="437"/>
        <v>0</v>
      </c>
    </row>
    <row r="986" spans="1:33" s="5333" customFormat="1" ht="15.05" hidden="1" customHeight="1">
      <c r="A986" s="5340"/>
      <c r="B986" s="5340"/>
      <c r="C986" s="5340"/>
      <c r="D986" s="5374">
        <v>4</v>
      </c>
      <c r="E986" s="5374">
        <v>1</v>
      </c>
      <c r="F986" s="5374"/>
      <c r="G986" s="5374"/>
      <c r="H986" s="5374"/>
      <c r="I986" s="5537"/>
      <c r="J986" s="5372" t="s">
        <v>180</v>
      </c>
      <c r="K986" s="5371"/>
      <c r="L986" s="5370"/>
      <c r="M986" s="5357">
        <v>0</v>
      </c>
      <c r="N986" s="5357">
        <f>N995</f>
        <v>0</v>
      </c>
      <c r="O986" s="5357">
        <f t="shared" ref="O986:O1005" si="466">N986-M986</f>
        <v>0</v>
      </c>
      <c r="P986" s="5358"/>
      <c r="Q986" s="5355">
        <f t="shared" ref="Q986:Q1003" si="467">+P986-N986</f>
        <v>0</v>
      </c>
      <c r="R986" s="5358" t="e">
        <f t="shared" ref="R986:R1003" si="468">P986/N986*100-100</f>
        <v>#DIV/0!</v>
      </c>
      <c r="S986" s="5358"/>
      <c r="T986" s="5357" t="e">
        <f t="shared" ref="T986:T1005" si="469">S986-R986</f>
        <v>#DIV/0!</v>
      </c>
      <c r="U986" s="5358"/>
      <c r="V986" s="5355">
        <f t="shared" ref="V986:V1003" si="470">S986-P986</f>
        <v>0</v>
      </c>
      <c r="W986" s="5358" t="e">
        <f t="shared" ref="W986:W1003" si="471">S986/P986*100-100</f>
        <v>#DIV/0!</v>
      </c>
      <c r="X986" s="5358"/>
      <c r="Y986" s="5357" t="e">
        <f t="shared" ref="Y986:Y1005" si="472">X986-W986</f>
        <v>#DIV/0!</v>
      </c>
      <c r="Z986" s="5358"/>
      <c r="AA986" s="5355">
        <f t="shared" ref="AA986:AA1003" si="473">X986-S986</f>
        <v>0</v>
      </c>
      <c r="AB986" s="5358" t="e">
        <f t="shared" ref="AB986:AB1003" si="474">X986/S986*100-100</f>
        <v>#DIV/0!</v>
      </c>
      <c r="AC986" s="5349"/>
      <c r="AD986" s="5349"/>
      <c r="AE986" s="5349"/>
      <c r="AF986" s="5349">
        <f t="shared" si="436"/>
        <v>0</v>
      </c>
      <c r="AG986" s="5338">
        <f t="shared" si="437"/>
        <v>0</v>
      </c>
    </row>
    <row r="987" spans="1:33" s="5333" customFormat="1" ht="6.75" hidden="1" customHeight="1">
      <c r="A987" s="5340"/>
      <c r="B987" s="5340"/>
      <c r="C987" s="5340"/>
      <c r="D987" s="5367"/>
      <c r="E987" s="5380"/>
      <c r="F987" s="5380"/>
      <c r="G987" s="5380"/>
      <c r="H987" s="5380"/>
      <c r="I987" s="5496"/>
      <c r="J987" s="5366"/>
      <c r="K987" s="5371"/>
      <c r="L987" s="5370"/>
      <c r="M987" s="5357"/>
      <c r="N987" s="5357"/>
      <c r="O987" s="5357">
        <f t="shared" si="466"/>
        <v>0</v>
      </c>
      <c r="P987" s="5358"/>
      <c r="Q987" s="5355">
        <f t="shared" si="467"/>
        <v>0</v>
      </c>
      <c r="R987" s="5358" t="e">
        <f t="shared" si="468"/>
        <v>#DIV/0!</v>
      </c>
      <c r="S987" s="5358"/>
      <c r="T987" s="5357" t="e">
        <f t="shared" si="469"/>
        <v>#DIV/0!</v>
      </c>
      <c r="U987" s="5358"/>
      <c r="V987" s="5355">
        <f t="shared" si="470"/>
        <v>0</v>
      </c>
      <c r="W987" s="5358" t="e">
        <f t="shared" si="471"/>
        <v>#DIV/0!</v>
      </c>
      <c r="X987" s="5358"/>
      <c r="Y987" s="5357" t="e">
        <f t="shared" si="472"/>
        <v>#DIV/0!</v>
      </c>
      <c r="Z987" s="5358"/>
      <c r="AA987" s="5355">
        <f t="shared" si="473"/>
        <v>0</v>
      </c>
      <c r="AB987" s="5358" t="e">
        <f t="shared" si="474"/>
        <v>#DIV/0!</v>
      </c>
      <c r="AC987" s="5349"/>
      <c r="AD987" s="5349"/>
      <c r="AE987" s="5349"/>
      <c r="AF987" s="5349">
        <f t="shared" si="436"/>
        <v>0</v>
      </c>
      <c r="AG987" s="5338">
        <f t="shared" si="437"/>
        <v>0</v>
      </c>
    </row>
    <row r="988" spans="1:33" s="5333" customFormat="1" ht="15.05" hidden="1" customHeight="1">
      <c r="A988" s="5340"/>
      <c r="B988" s="5340"/>
      <c r="C988" s="5340"/>
      <c r="D988" s="5374">
        <v>4</v>
      </c>
      <c r="E988" s="5374">
        <v>1</v>
      </c>
      <c r="F988" s="5374">
        <v>1</v>
      </c>
      <c r="G988" s="5374"/>
      <c r="H988" s="5374"/>
      <c r="I988" s="5537"/>
      <c r="J988" s="5372" t="s">
        <v>1141</v>
      </c>
      <c r="K988" s="5371"/>
      <c r="L988" s="5370"/>
      <c r="M988" s="5357">
        <v>0</v>
      </c>
      <c r="N988" s="5357">
        <v>0</v>
      </c>
      <c r="O988" s="5359">
        <f t="shared" si="466"/>
        <v>0</v>
      </c>
      <c r="P988" s="5358"/>
      <c r="Q988" s="5355">
        <f t="shared" si="467"/>
        <v>0</v>
      </c>
      <c r="R988" s="5358" t="e">
        <f t="shared" si="468"/>
        <v>#DIV/0!</v>
      </c>
      <c r="S988" s="5358"/>
      <c r="T988" s="5359" t="e">
        <f t="shared" si="469"/>
        <v>#DIV/0!</v>
      </c>
      <c r="U988" s="5358"/>
      <c r="V988" s="5355">
        <f t="shared" si="470"/>
        <v>0</v>
      </c>
      <c r="W988" s="5358" t="e">
        <f t="shared" si="471"/>
        <v>#DIV/0!</v>
      </c>
      <c r="X988" s="5358"/>
      <c r="Y988" s="5359" t="e">
        <f t="shared" si="472"/>
        <v>#DIV/0!</v>
      </c>
      <c r="Z988" s="5358"/>
      <c r="AA988" s="5355">
        <f t="shared" si="473"/>
        <v>0</v>
      </c>
      <c r="AB988" s="5358" t="e">
        <f t="shared" si="474"/>
        <v>#DIV/0!</v>
      </c>
      <c r="AC988" s="5349"/>
      <c r="AD988" s="5349"/>
      <c r="AE988" s="5349"/>
      <c r="AF988" s="5349">
        <f t="shared" si="436"/>
        <v>0</v>
      </c>
      <c r="AG988" s="5338">
        <f t="shared" si="437"/>
        <v>0</v>
      </c>
    </row>
    <row r="989" spans="1:33" s="5333" customFormat="1" ht="15.05" hidden="1" customHeight="1">
      <c r="A989" s="5340"/>
      <c r="B989" s="5340"/>
      <c r="C989" s="5340"/>
      <c r="D989" s="5367">
        <v>4</v>
      </c>
      <c r="E989" s="5367">
        <v>1</v>
      </c>
      <c r="F989" s="5367">
        <v>1</v>
      </c>
      <c r="G989" s="5368" t="s">
        <v>441</v>
      </c>
      <c r="H989" s="5367"/>
      <c r="I989" s="5631"/>
      <c r="J989" s="5366" t="s">
        <v>1156</v>
      </c>
      <c r="K989" s="5371"/>
      <c r="L989" s="5370"/>
      <c r="M989" s="5357">
        <v>0</v>
      </c>
      <c r="N989" s="5357">
        <v>0</v>
      </c>
      <c r="O989" s="5359">
        <f t="shared" si="466"/>
        <v>0</v>
      </c>
      <c r="P989" s="5358"/>
      <c r="Q989" s="5355">
        <f t="shared" si="467"/>
        <v>0</v>
      </c>
      <c r="R989" s="5358" t="e">
        <f t="shared" si="468"/>
        <v>#DIV/0!</v>
      </c>
      <c r="S989" s="5358"/>
      <c r="T989" s="5359" t="e">
        <f t="shared" si="469"/>
        <v>#DIV/0!</v>
      </c>
      <c r="U989" s="5358"/>
      <c r="V989" s="5355">
        <f t="shared" si="470"/>
        <v>0</v>
      </c>
      <c r="W989" s="5358" t="e">
        <f t="shared" si="471"/>
        <v>#DIV/0!</v>
      </c>
      <c r="X989" s="5358"/>
      <c r="Y989" s="5359" t="e">
        <f t="shared" si="472"/>
        <v>#DIV/0!</v>
      </c>
      <c r="Z989" s="5358"/>
      <c r="AA989" s="5355">
        <f t="shared" si="473"/>
        <v>0</v>
      </c>
      <c r="AB989" s="5358" t="e">
        <f t="shared" si="474"/>
        <v>#DIV/0!</v>
      </c>
      <c r="AC989" s="5349"/>
      <c r="AD989" s="5349"/>
      <c r="AE989" s="5349"/>
      <c r="AF989" s="5349">
        <f t="shared" si="436"/>
        <v>0</v>
      </c>
      <c r="AG989" s="5338">
        <f t="shared" si="437"/>
        <v>0</v>
      </c>
    </row>
    <row r="990" spans="1:33" s="5333" customFormat="1" ht="15.05" hidden="1" customHeight="1">
      <c r="A990" s="5340"/>
      <c r="B990" s="5340"/>
      <c r="C990" s="5340"/>
      <c r="D990" s="5367">
        <v>4</v>
      </c>
      <c r="E990" s="5367">
        <v>1</v>
      </c>
      <c r="F990" s="5367">
        <v>1</v>
      </c>
      <c r="G990" s="5368" t="s">
        <v>441</v>
      </c>
      <c r="H990" s="5368" t="s">
        <v>437</v>
      </c>
      <c r="I990" s="5632"/>
      <c r="J990" s="5408" t="s">
        <v>1292</v>
      </c>
      <c r="K990" s="5361"/>
      <c r="L990" s="5365"/>
      <c r="M990" s="5359">
        <v>0</v>
      </c>
      <c r="N990" s="5359">
        <v>0</v>
      </c>
      <c r="O990" s="5359">
        <f t="shared" si="466"/>
        <v>0</v>
      </c>
      <c r="P990" s="5358"/>
      <c r="Q990" s="5355">
        <f t="shared" si="467"/>
        <v>0</v>
      </c>
      <c r="R990" s="5356" t="e">
        <f t="shared" si="468"/>
        <v>#DIV/0!</v>
      </c>
      <c r="S990" s="5358"/>
      <c r="T990" s="5359" t="e">
        <f t="shared" si="469"/>
        <v>#DIV/0!</v>
      </c>
      <c r="U990" s="5358"/>
      <c r="V990" s="5355">
        <f t="shared" si="470"/>
        <v>0</v>
      </c>
      <c r="W990" s="5356" t="e">
        <f t="shared" si="471"/>
        <v>#DIV/0!</v>
      </c>
      <c r="X990" s="5358"/>
      <c r="Y990" s="5359" t="e">
        <f t="shared" si="472"/>
        <v>#DIV/0!</v>
      </c>
      <c r="Z990" s="5358"/>
      <c r="AA990" s="5355">
        <f t="shared" si="473"/>
        <v>0</v>
      </c>
      <c r="AB990" s="5356" t="e">
        <f t="shared" si="474"/>
        <v>#DIV/0!</v>
      </c>
      <c r="AC990" s="5349"/>
      <c r="AD990" s="5349"/>
      <c r="AE990" s="5349"/>
      <c r="AF990" s="5349">
        <f t="shared" si="436"/>
        <v>0</v>
      </c>
      <c r="AG990" s="5338">
        <f t="shared" si="437"/>
        <v>0</v>
      </c>
    </row>
    <row r="991" spans="1:33" s="5333" customFormat="1" ht="6.75" hidden="1" customHeight="1">
      <c r="A991" s="5340"/>
      <c r="B991" s="5340"/>
      <c r="C991" s="5340"/>
      <c r="D991" s="5367"/>
      <c r="E991" s="5380"/>
      <c r="F991" s="5380"/>
      <c r="G991" s="5379"/>
      <c r="H991" s="5380"/>
      <c r="I991" s="5496"/>
      <c r="J991" s="5408"/>
      <c r="K991" s="5361"/>
      <c r="L991" s="5365"/>
      <c r="M991" s="5357"/>
      <c r="N991" s="5357"/>
      <c r="O991" s="5357">
        <f t="shared" si="466"/>
        <v>0</v>
      </c>
      <c r="P991" s="5358"/>
      <c r="Q991" s="5355">
        <f t="shared" si="467"/>
        <v>0</v>
      </c>
      <c r="R991" s="5358" t="e">
        <f t="shared" si="468"/>
        <v>#DIV/0!</v>
      </c>
      <c r="S991" s="5358"/>
      <c r="T991" s="5357" t="e">
        <f t="shared" si="469"/>
        <v>#DIV/0!</v>
      </c>
      <c r="U991" s="5358"/>
      <c r="V991" s="5355">
        <f t="shared" si="470"/>
        <v>0</v>
      </c>
      <c r="W991" s="5358" t="e">
        <f t="shared" si="471"/>
        <v>#DIV/0!</v>
      </c>
      <c r="X991" s="5358"/>
      <c r="Y991" s="5357" t="e">
        <f t="shared" si="472"/>
        <v>#DIV/0!</v>
      </c>
      <c r="Z991" s="5358"/>
      <c r="AA991" s="5355">
        <f t="shared" si="473"/>
        <v>0</v>
      </c>
      <c r="AB991" s="5358" t="e">
        <f t="shared" si="474"/>
        <v>#DIV/0!</v>
      </c>
      <c r="AC991" s="5349"/>
      <c r="AD991" s="5349"/>
      <c r="AE991" s="5349"/>
      <c r="AF991" s="5349">
        <f t="shared" si="436"/>
        <v>0</v>
      </c>
      <c r="AG991" s="5338">
        <f t="shared" si="437"/>
        <v>0</v>
      </c>
    </row>
    <row r="992" spans="1:33" s="5333" customFormat="1" ht="15.05" hidden="1" customHeight="1">
      <c r="A992" s="5340"/>
      <c r="B992" s="5340"/>
      <c r="C992" s="5340"/>
      <c r="D992" s="5367">
        <v>4</v>
      </c>
      <c r="E992" s="5367">
        <v>1</v>
      </c>
      <c r="F992" s="5367">
        <v>1</v>
      </c>
      <c r="G992" s="5368" t="s">
        <v>456</v>
      </c>
      <c r="H992" s="5367"/>
      <c r="I992" s="5631"/>
      <c r="J992" s="5366" t="s">
        <v>1291</v>
      </c>
      <c r="K992" s="5361"/>
      <c r="L992" s="5365"/>
      <c r="M992" s="5357">
        <v>0</v>
      </c>
      <c r="N992" s="5357">
        <v>0</v>
      </c>
      <c r="O992" s="5359">
        <f t="shared" si="466"/>
        <v>0</v>
      </c>
      <c r="P992" s="5358"/>
      <c r="Q992" s="5355">
        <f t="shared" si="467"/>
        <v>0</v>
      </c>
      <c r="R992" s="5358" t="e">
        <f t="shared" si="468"/>
        <v>#DIV/0!</v>
      </c>
      <c r="S992" s="5358"/>
      <c r="T992" s="5359" t="e">
        <f t="shared" si="469"/>
        <v>#DIV/0!</v>
      </c>
      <c r="U992" s="5358"/>
      <c r="V992" s="5355">
        <f t="shared" si="470"/>
        <v>0</v>
      </c>
      <c r="W992" s="5358" t="e">
        <f t="shared" si="471"/>
        <v>#DIV/0!</v>
      </c>
      <c r="X992" s="5358"/>
      <c r="Y992" s="5359" t="e">
        <f t="shared" si="472"/>
        <v>#DIV/0!</v>
      </c>
      <c r="Z992" s="5358"/>
      <c r="AA992" s="5355">
        <f t="shared" si="473"/>
        <v>0</v>
      </c>
      <c r="AB992" s="5358" t="e">
        <f t="shared" si="474"/>
        <v>#DIV/0!</v>
      </c>
      <c r="AC992" s="5350"/>
      <c r="AD992" s="5350"/>
      <c r="AE992" s="5350"/>
      <c r="AF992" s="5349">
        <f t="shared" si="436"/>
        <v>0</v>
      </c>
      <c r="AG992" s="5338">
        <f t="shared" si="437"/>
        <v>0</v>
      </c>
    </row>
    <row r="993" spans="1:33" s="5333" customFormat="1" ht="15.05" hidden="1" customHeight="1">
      <c r="A993" s="5340"/>
      <c r="B993" s="5340"/>
      <c r="C993" s="5340"/>
      <c r="D993" s="5367">
        <v>4</v>
      </c>
      <c r="E993" s="5367">
        <v>1</v>
      </c>
      <c r="F993" s="5367">
        <v>1</v>
      </c>
      <c r="G993" s="5368" t="s">
        <v>456</v>
      </c>
      <c r="H993" s="5368" t="s">
        <v>437</v>
      </c>
      <c r="I993" s="5632"/>
      <c r="J993" s="5408" t="s">
        <v>1290</v>
      </c>
      <c r="K993" s="5361"/>
      <c r="L993" s="5365"/>
      <c r="M993" s="5359">
        <v>0</v>
      </c>
      <c r="N993" s="5359">
        <v>0</v>
      </c>
      <c r="O993" s="5359">
        <f t="shared" si="466"/>
        <v>0</v>
      </c>
      <c r="P993" s="5358"/>
      <c r="Q993" s="5355">
        <f t="shared" si="467"/>
        <v>0</v>
      </c>
      <c r="R993" s="5356" t="e">
        <f t="shared" si="468"/>
        <v>#DIV/0!</v>
      </c>
      <c r="S993" s="5358"/>
      <c r="T993" s="5359" t="e">
        <f t="shared" si="469"/>
        <v>#DIV/0!</v>
      </c>
      <c r="U993" s="5358"/>
      <c r="V993" s="5355">
        <f t="shared" si="470"/>
        <v>0</v>
      </c>
      <c r="W993" s="5356" t="e">
        <f t="shared" si="471"/>
        <v>#DIV/0!</v>
      </c>
      <c r="X993" s="5358"/>
      <c r="Y993" s="5359" t="e">
        <f t="shared" si="472"/>
        <v>#DIV/0!</v>
      </c>
      <c r="Z993" s="5358"/>
      <c r="AA993" s="5355">
        <f t="shared" si="473"/>
        <v>0</v>
      </c>
      <c r="AB993" s="5356" t="e">
        <f t="shared" si="474"/>
        <v>#DIV/0!</v>
      </c>
      <c r="AC993" s="5350"/>
      <c r="AD993" s="5350"/>
      <c r="AE993" s="5350"/>
      <c r="AF993" s="5349">
        <f t="shared" si="436"/>
        <v>0</v>
      </c>
      <c r="AG993" s="5338">
        <f t="shared" si="437"/>
        <v>0</v>
      </c>
    </row>
    <row r="994" spans="1:33" s="5333" customFormat="1" ht="4.55" hidden="1" customHeight="1">
      <c r="A994" s="5340"/>
      <c r="B994" s="5340"/>
      <c r="C994" s="5340"/>
      <c r="D994" s="5367"/>
      <c r="E994" s="5380"/>
      <c r="F994" s="5380"/>
      <c r="G994" s="5379"/>
      <c r="H994" s="5379"/>
      <c r="I994" s="5495"/>
      <c r="J994" s="5366"/>
      <c r="K994" s="5361"/>
      <c r="L994" s="5365"/>
      <c r="M994" s="5357"/>
      <c r="N994" s="5357"/>
      <c r="O994" s="5357">
        <f t="shared" si="466"/>
        <v>0</v>
      </c>
      <c r="P994" s="5358"/>
      <c r="Q994" s="5355">
        <f t="shared" si="467"/>
        <v>0</v>
      </c>
      <c r="R994" s="5358" t="e">
        <f t="shared" si="468"/>
        <v>#DIV/0!</v>
      </c>
      <c r="S994" s="5358"/>
      <c r="T994" s="5357" t="e">
        <f t="shared" si="469"/>
        <v>#DIV/0!</v>
      </c>
      <c r="U994" s="5358"/>
      <c r="V994" s="5355">
        <f t="shared" si="470"/>
        <v>0</v>
      </c>
      <c r="W994" s="5358" t="e">
        <f t="shared" si="471"/>
        <v>#DIV/0!</v>
      </c>
      <c r="X994" s="5358"/>
      <c r="Y994" s="5357" t="e">
        <f t="shared" si="472"/>
        <v>#DIV/0!</v>
      </c>
      <c r="Z994" s="5358"/>
      <c r="AA994" s="5355">
        <f t="shared" si="473"/>
        <v>0</v>
      </c>
      <c r="AB994" s="5358" t="e">
        <f t="shared" si="474"/>
        <v>#DIV/0!</v>
      </c>
      <c r="AC994" s="5349"/>
      <c r="AD994" s="5349"/>
      <c r="AE994" s="5349"/>
      <c r="AF994" s="5349">
        <f t="shared" si="436"/>
        <v>0</v>
      </c>
      <c r="AG994" s="5338">
        <f t="shared" si="437"/>
        <v>0</v>
      </c>
    </row>
    <row r="995" spans="1:33" s="5333" customFormat="1" ht="15.05" hidden="1" customHeight="1">
      <c r="A995" s="5340"/>
      <c r="B995" s="5340"/>
      <c r="C995" s="5340"/>
      <c r="D995" s="5374">
        <v>4</v>
      </c>
      <c r="E995" s="5374">
        <v>1</v>
      </c>
      <c r="F995" s="5374">
        <v>4</v>
      </c>
      <c r="G995" s="5373"/>
      <c r="H995" s="5373"/>
      <c r="I995" s="5633"/>
      <c r="J995" s="5372" t="s">
        <v>71</v>
      </c>
      <c r="K995" s="5371"/>
      <c r="L995" s="5370"/>
      <c r="M995" s="5357">
        <v>0</v>
      </c>
      <c r="N995" s="5357">
        <f>N999</f>
        <v>0</v>
      </c>
      <c r="O995" s="5357">
        <f t="shared" si="466"/>
        <v>0</v>
      </c>
      <c r="P995" s="5358"/>
      <c r="Q995" s="5355">
        <f t="shared" si="467"/>
        <v>0</v>
      </c>
      <c r="R995" s="5358" t="e">
        <f t="shared" si="468"/>
        <v>#DIV/0!</v>
      </c>
      <c r="S995" s="5358"/>
      <c r="T995" s="5357" t="e">
        <f t="shared" si="469"/>
        <v>#DIV/0!</v>
      </c>
      <c r="U995" s="5358"/>
      <c r="V995" s="5355">
        <f t="shared" si="470"/>
        <v>0</v>
      </c>
      <c r="W995" s="5358" t="e">
        <f t="shared" si="471"/>
        <v>#DIV/0!</v>
      </c>
      <c r="X995" s="5358"/>
      <c r="Y995" s="5357" t="e">
        <f t="shared" si="472"/>
        <v>#DIV/0!</v>
      </c>
      <c r="Z995" s="5358"/>
      <c r="AA995" s="5355">
        <f t="shared" si="473"/>
        <v>0</v>
      </c>
      <c r="AB995" s="5358" t="e">
        <f t="shared" si="474"/>
        <v>#DIV/0!</v>
      </c>
      <c r="AC995" s="5349"/>
      <c r="AD995" s="5349"/>
      <c r="AE995" s="5349"/>
      <c r="AF995" s="5349">
        <f t="shared" si="436"/>
        <v>0</v>
      </c>
      <c r="AG995" s="5338">
        <f t="shared" si="437"/>
        <v>0</v>
      </c>
    </row>
    <row r="996" spans="1:33" s="5333" customFormat="1" ht="15.05" hidden="1" customHeight="1">
      <c r="A996" s="5340"/>
      <c r="B996" s="5340"/>
      <c r="C996" s="5340"/>
      <c r="D996" s="5367">
        <v>4</v>
      </c>
      <c r="E996" s="5367">
        <v>1</v>
      </c>
      <c r="F996" s="5367">
        <v>4</v>
      </c>
      <c r="G996" s="5368" t="s">
        <v>451</v>
      </c>
      <c r="H996" s="5367"/>
      <c r="I996" s="5631"/>
      <c r="J996" s="5366" t="s">
        <v>1289</v>
      </c>
      <c r="K996" s="5361"/>
      <c r="L996" s="5365"/>
      <c r="M996" s="5357">
        <v>0</v>
      </c>
      <c r="N996" s="5357">
        <v>0</v>
      </c>
      <c r="O996" s="5359">
        <f t="shared" si="466"/>
        <v>0</v>
      </c>
      <c r="P996" s="5358"/>
      <c r="Q996" s="5355">
        <f t="shared" si="467"/>
        <v>0</v>
      </c>
      <c r="R996" s="5358" t="e">
        <f t="shared" si="468"/>
        <v>#DIV/0!</v>
      </c>
      <c r="S996" s="5358"/>
      <c r="T996" s="5359" t="e">
        <f t="shared" si="469"/>
        <v>#DIV/0!</v>
      </c>
      <c r="U996" s="5358"/>
      <c r="V996" s="5355">
        <f t="shared" si="470"/>
        <v>0</v>
      </c>
      <c r="W996" s="5358" t="e">
        <f t="shared" si="471"/>
        <v>#DIV/0!</v>
      </c>
      <c r="X996" s="5358"/>
      <c r="Y996" s="5359" t="e">
        <f t="shared" si="472"/>
        <v>#DIV/0!</v>
      </c>
      <c r="Z996" s="5358"/>
      <c r="AA996" s="5355">
        <f t="shared" si="473"/>
        <v>0</v>
      </c>
      <c r="AB996" s="5358" t="e">
        <f t="shared" si="474"/>
        <v>#DIV/0!</v>
      </c>
      <c r="AC996" s="5349"/>
      <c r="AD996" s="5349"/>
      <c r="AE996" s="5349"/>
      <c r="AF996" s="5349">
        <f t="shared" si="436"/>
        <v>0</v>
      </c>
      <c r="AG996" s="5338">
        <f t="shared" si="437"/>
        <v>0</v>
      </c>
    </row>
    <row r="997" spans="1:33" s="5333" customFormat="1" ht="15.05" hidden="1" customHeight="1">
      <c r="A997" s="5340"/>
      <c r="B997" s="5340"/>
      <c r="C997" s="5340"/>
      <c r="D997" s="5367">
        <v>4</v>
      </c>
      <c r="E997" s="5367">
        <v>1</v>
      </c>
      <c r="F997" s="5367">
        <v>4</v>
      </c>
      <c r="G997" s="5368" t="s">
        <v>451</v>
      </c>
      <c r="H997" s="5368" t="s">
        <v>437</v>
      </c>
      <c r="I997" s="5632"/>
      <c r="J997" s="5366" t="s">
        <v>1288</v>
      </c>
      <c r="K997" s="5361"/>
      <c r="L997" s="5365"/>
      <c r="M997" s="5359">
        <v>0</v>
      </c>
      <c r="N997" s="5359">
        <v>0</v>
      </c>
      <c r="O997" s="5359">
        <f t="shared" si="466"/>
        <v>0</v>
      </c>
      <c r="P997" s="5358"/>
      <c r="Q997" s="5355">
        <f t="shared" si="467"/>
        <v>0</v>
      </c>
      <c r="R997" s="5356" t="e">
        <f t="shared" si="468"/>
        <v>#DIV/0!</v>
      </c>
      <c r="S997" s="5358"/>
      <c r="T997" s="5359" t="e">
        <f t="shared" si="469"/>
        <v>#DIV/0!</v>
      </c>
      <c r="U997" s="5358"/>
      <c r="V997" s="5355">
        <f t="shared" si="470"/>
        <v>0</v>
      </c>
      <c r="W997" s="5356" t="e">
        <f t="shared" si="471"/>
        <v>#DIV/0!</v>
      </c>
      <c r="X997" s="5358"/>
      <c r="Y997" s="5359" t="e">
        <f t="shared" si="472"/>
        <v>#DIV/0!</v>
      </c>
      <c r="Z997" s="5358"/>
      <c r="AA997" s="5355">
        <f t="shared" si="473"/>
        <v>0</v>
      </c>
      <c r="AB997" s="5356" t="e">
        <f t="shared" si="474"/>
        <v>#DIV/0!</v>
      </c>
      <c r="AC997" s="5349"/>
      <c r="AD997" s="5349"/>
      <c r="AE997" s="5349"/>
      <c r="AF997" s="5349">
        <f t="shared" si="436"/>
        <v>0</v>
      </c>
      <c r="AG997" s="5338">
        <f t="shared" si="437"/>
        <v>0</v>
      </c>
    </row>
    <row r="998" spans="1:33" s="5333" customFormat="1" ht="5.95" hidden="1" customHeight="1">
      <c r="A998" s="5340"/>
      <c r="B998" s="5340"/>
      <c r="C998" s="5340"/>
      <c r="D998" s="5368"/>
      <c r="E998" s="5380"/>
      <c r="F998" s="5380"/>
      <c r="G998" s="5379"/>
      <c r="H998" s="5380"/>
      <c r="I998" s="5496"/>
      <c r="J998" s="5366"/>
      <c r="K998" s="5361"/>
      <c r="L998" s="5365"/>
      <c r="M998" s="5357"/>
      <c r="N998" s="5357"/>
      <c r="O998" s="5357">
        <f t="shared" si="466"/>
        <v>0</v>
      </c>
      <c r="P998" s="5358"/>
      <c r="Q998" s="5355">
        <f t="shared" si="467"/>
        <v>0</v>
      </c>
      <c r="R998" s="5358" t="e">
        <f t="shared" si="468"/>
        <v>#DIV/0!</v>
      </c>
      <c r="S998" s="5358"/>
      <c r="T998" s="5357" t="e">
        <f t="shared" si="469"/>
        <v>#DIV/0!</v>
      </c>
      <c r="U998" s="5358"/>
      <c r="V998" s="5355">
        <f t="shared" si="470"/>
        <v>0</v>
      </c>
      <c r="W998" s="5358" t="e">
        <f t="shared" si="471"/>
        <v>#DIV/0!</v>
      </c>
      <c r="X998" s="5358"/>
      <c r="Y998" s="5357" t="e">
        <f t="shared" si="472"/>
        <v>#DIV/0!</v>
      </c>
      <c r="Z998" s="5358"/>
      <c r="AA998" s="5355">
        <f t="shared" si="473"/>
        <v>0</v>
      </c>
      <c r="AB998" s="5358" t="e">
        <f t="shared" si="474"/>
        <v>#DIV/0!</v>
      </c>
      <c r="AC998" s="5349"/>
      <c r="AD998" s="5349"/>
      <c r="AE998" s="5349"/>
      <c r="AF998" s="5349">
        <f t="shared" si="436"/>
        <v>0</v>
      </c>
      <c r="AG998" s="5338">
        <f t="shared" si="437"/>
        <v>0</v>
      </c>
    </row>
    <row r="999" spans="1:33" s="5333" customFormat="1" ht="15.05" hidden="1" customHeight="1">
      <c r="A999" s="5340"/>
      <c r="B999" s="5340"/>
      <c r="C999" s="5340"/>
      <c r="D999" s="5367">
        <v>4</v>
      </c>
      <c r="E999" s="5367">
        <v>1</v>
      </c>
      <c r="F999" s="5367">
        <v>4</v>
      </c>
      <c r="G999" s="5367" t="s">
        <v>948</v>
      </c>
      <c r="H999" s="5368"/>
      <c r="I999" s="5632"/>
      <c r="J999" s="5366" t="s">
        <v>321</v>
      </c>
      <c r="K999" s="5361"/>
      <c r="L999" s="5365"/>
      <c r="M999" s="5357">
        <v>0</v>
      </c>
      <c r="N999" s="5357">
        <f>N1000</f>
        <v>0</v>
      </c>
      <c r="O999" s="5357">
        <f t="shared" si="466"/>
        <v>0</v>
      </c>
      <c r="P999" s="5358"/>
      <c r="Q999" s="5355">
        <f t="shared" si="467"/>
        <v>0</v>
      </c>
      <c r="R999" s="5358" t="e">
        <f t="shared" si="468"/>
        <v>#DIV/0!</v>
      </c>
      <c r="S999" s="5358"/>
      <c r="T999" s="5357" t="e">
        <f t="shared" si="469"/>
        <v>#DIV/0!</v>
      </c>
      <c r="U999" s="5358"/>
      <c r="V999" s="5355">
        <f t="shared" si="470"/>
        <v>0</v>
      </c>
      <c r="W999" s="5358" t="e">
        <f t="shared" si="471"/>
        <v>#DIV/0!</v>
      </c>
      <c r="X999" s="5358"/>
      <c r="Y999" s="5357" t="e">
        <f t="shared" si="472"/>
        <v>#DIV/0!</v>
      </c>
      <c r="Z999" s="5358"/>
      <c r="AA999" s="5355">
        <f t="shared" si="473"/>
        <v>0</v>
      </c>
      <c r="AB999" s="5358" t="e">
        <f t="shared" si="474"/>
        <v>#DIV/0!</v>
      </c>
      <c r="AC999" s="5349"/>
      <c r="AD999" s="5349"/>
      <c r="AE999" s="5349"/>
      <c r="AF999" s="5349">
        <f t="shared" si="436"/>
        <v>0</v>
      </c>
      <c r="AG999" s="5338">
        <f t="shared" si="437"/>
        <v>0</v>
      </c>
    </row>
    <row r="1000" spans="1:33" s="5333" customFormat="1" ht="14.25" hidden="1" customHeight="1">
      <c r="A1000" s="5340"/>
      <c r="B1000" s="5340"/>
      <c r="C1000" s="5340"/>
      <c r="D1000" s="5367">
        <v>4</v>
      </c>
      <c r="E1000" s="5367">
        <v>1</v>
      </c>
      <c r="F1000" s="5367">
        <v>4</v>
      </c>
      <c r="G1000" s="5367" t="s">
        <v>948</v>
      </c>
      <c r="H1000" s="5367" t="s">
        <v>437</v>
      </c>
      <c r="I1000" s="5631"/>
      <c r="J1000" s="5366" t="s">
        <v>85</v>
      </c>
      <c r="K1000" s="5361"/>
      <c r="L1000" s="5365"/>
      <c r="M1000" s="5402">
        <v>0</v>
      </c>
      <c r="N1000" s="5402">
        <f>N1001</f>
        <v>0</v>
      </c>
      <c r="O1000" s="5402">
        <f t="shared" si="466"/>
        <v>0</v>
      </c>
      <c r="P1000" s="5401"/>
      <c r="Q1000" s="5355">
        <f t="shared" si="467"/>
        <v>0</v>
      </c>
      <c r="R1000" s="5401" t="e">
        <f t="shared" si="468"/>
        <v>#DIV/0!</v>
      </c>
      <c r="S1000" s="5401"/>
      <c r="T1000" s="5402" t="e">
        <f t="shared" si="469"/>
        <v>#DIV/0!</v>
      </c>
      <c r="U1000" s="5401"/>
      <c r="V1000" s="5355">
        <f t="shared" si="470"/>
        <v>0</v>
      </c>
      <c r="W1000" s="5401" t="e">
        <f t="shared" si="471"/>
        <v>#DIV/0!</v>
      </c>
      <c r="X1000" s="5401"/>
      <c r="Y1000" s="5402" t="e">
        <f t="shared" si="472"/>
        <v>#DIV/0!</v>
      </c>
      <c r="Z1000" s="5401"/>
      <c r="AA1000" s="5355">
        <f t="shared" si="473"/>
        <v>0</v>
      </c>
      <c r="AB1000" s="5401" t="e">
        <f t="shared" si="474"/>
        <v>#DIV/0!</v>
      </c>
      <c r="AC1000" s="5349"/>
      <c r="AD1000" s="5349"/>
      <c r="AE1000" s="5349"/>
      <c r="AF1000" s="5349">
        <f t="shared" si="436"/>
        <v>0</v>
      </c>
      <c r="AG1000" s="5338">
        <f t="shared" si="437"/>
        <v>0</v>
      </c>
    </row>
    <row r="1001" spans="1:33" s="5333" customFormat="1" ht="12.7" hidden="1" customHeight="1">
      <c r="A1001" s="5340"/>
      <c r="B1001" s="5340"/>
      <c r="C1001" s="5340"/>
      <c r="D1001" s="5368"/>
      <c r="E1001" s="5380"/>
      <c r="F1001" s="5380"/>
      <c r="G1001" s="5379"/>
      <c r="H1001" s="5379"/>
      <c r="I1001" s="5495"/>
      <c r="J1001" s="5366" t="s">
        <v>50</v>
      </c>
      <c r="K1001" s="5361" t="s">
        <v>85</v>
      </c>
      <c r="L1001" s="5365"/>
      <c r="M1001" s="5359">
        <v>0</v>
      </c>
      <c r="N1001" s="5359">
        <v>0</v>
      </c>
      <c r="O1001" s="5359">
        <f t="shared" si="466"/>
        <v>0</v>
      </c>
      <c r="P1001" s="5358"/>
      <c r="Q1001" s="5355">
        <f t="shared" si="467"/>
        <v>0</v>
      </c>
      <c r="R1001" s="5356" t="e">
        <f t="shared" si="468"/>
        <v>#DIV/0!</v>
      </c>
      <c r="S1001" s="5358"/>
      <c r="T1001" s="5359" t="e">
        <f t="shared" si="469"/>
        <v>#DIV/0!</v>
      </c>
      <c r="U1001" s="5358"/>
      <c r="V1001" s="5355">
        <f t="shared" si="470"/>
        <v>0</v>
      </c>
      <c r="W1001" s="5356" t="e">
        <f t="shared" si="471"/>
        <v>#DIV/0!</v>
      </c>
      <c r="X1001" s="5358"/>
      <c r="Y1001" s="5359" t="e">
        <f t="shared" si="472"/>
        <v>#DIV/0!</v>
      </c>
      <c r="Z1001" s="5358"/>
      <c r="AA1001" s="5355">
        <f t="shared" si="473"/>
        <v>0</v>
      </c>
      <c r="AB1001" s="5356" t="e">
        <f t="shared" si="474"/>
        <v>#DIV/0!</v>
      </c>
      <c r="AC1001" s="5350"/>
      <c r="AD1001" s="5350"/>
      <c r="AE1001" s="5350"/>
      <c r="AF1001" s="5349">
        <f t="shared" si="436"/>
        <v>0</v>
      </c>
      <c r="AG1001" s="5338">
        <f t="shared" si="437"/>
        <v>0</v>
      </c>
    </row>
    <row r="1002" spans="1:33" s="5333" customFormat="1" ht="9.1" hidden="1" customHeight="1">
      <c r="A1002" s="5340"/>
      <c r="B1002" s="5340"/>
      <c r="C1002" s="5340"/>
      <c r="D1002" s="5364"/>
      <c r="E1002" s="5363"/>
      <c r="F1002" s="5363"/>
      <c r="G1002" s="5363"/>
      <c r="H1002" s="5363"/>
      <c r="I1002" s="5635"/>
      <c r="J1002" s="5377"/>
      <c r="K1002" s="5376"/>
      <c r="L1002" s="5409"/>
      <c r="M1002" s="5398"/>
      <c r="N1002" s="5398"/>
      <c r="O1002" s="5398">
        <f t="shared" si="466"/>
        <v>0</v>
      </c>
      <c r="P1002" s="5396"/>
      <c r="Q1002" s="5355">
        <f t="shared" si="467"/>
        <v>0</v>
      </c>
      <c r="R1002" s="5396" t="e">
        <f t="shared" si="468"/>
        <v>#DIV/0!</v>
      </c>
      <c r="S1002" s="5396"/>
      <c r="T1002" s="5398" t="e">
        <f t="shared" si="469"/>
        <v>#DIV/0!</v>
      </c>
      <c r="U1002" s="5396"/>
      <c r="V1002" s="5355">
        <f t="shared" si="470"/>
        <v>0</v>
      </c>
      <c r="W1002" s="5396" t="e">
        <f t="shared" si="471"/>
        <v>#DIV/0!</v>
      </c>
      <c r="X1002" s="5396"/>
      <c r="Y1002" s="5398" t="e">
        <f t="shared" si="472"/>
        <v>#DIV/0!</v>
      </c>
      <c r="Z1002" s="5396"/>
      <c r="AA1002" s="5355">
        <f t="shared" si="473"/>
        <v>0</v>
      </c>
      <c r="AB1002" s="5396" t="e">
        <f t="shared" si="474"/>
        <v>#DIV/0!</v>
      </c>
      <c r="AC1002" s="5350"/>
      <c r="AD1002" s="5350"/>
      <c r="AE1002" s="5350"/>
      <c r="AF1002" s="5349">
        <f t="shared" si="436"/>
        <v>0</v>
      </c>
      <c r="AG1002" s="5338">
        <f t="shared" si="437"/>
        <v>0</v>
      </c>
    </row>
    <row r="1003" spans="1:33" s="5521" customFormat="1" ht="15.05" customHeight="1">
      <c r="A1003" s="5464" t="s">
        <v>460</v>
      </c>
      <c r="B1003" s="5464" t="s">
        <v>451</v>
      </c>
      <c r="C1003" s="5464" t="s">
        <v>437</v>
      </c>
      <c r="D1003" s="5393" t="s">
        <v>460</v>
      </c>
      <c r="E1003" s="5393" t="s">
        <v>451</v>
      </c>
      <c r="F1003" s="5393" t="s">
        <v>437</v>
      </c>
      <c r="G1003" s="5393"/>
      <c r="H1003" s="5393"/>
      <c r="I1003" s="5629" t="s">
        <v>913</v>
      </c>
      <c r="J1003" s="5391" t="s">
        <v>1510</v>
      </c>
      <c r="K1003" s="5390"/>
      <c r="L1003" s="5389"/>
      <c r="M1003" s="5502">
        <v>1410120000</v>
      </c>
      <c r="N1003" s="5502">
        <f>N1005</f>
        <v>1422430000</v>
      </c>
      <c r="O1003" s="5502">
        <f t="shared" si="466"/>
        <v>12310000</v>
      </c>
      <c r="P1003" s="5501">
        <f>P1005</f>
        <v>1423180000</v>
      </c>
      <c r="Q1003" s="5502">
        <f t="shared" si="467"/>
        <v>750000</v>
      </c>
      <c r="R1003" s="5501">
        <f t="shared" si="468"/>
        <v>5.2726671962773253E-2</v>
      </c>
      <c r="S1003" s="5501">
        <f>S1005</f>
        <v>1338680000</v>
      </c>
      <c r="T1003" s="5502">
        <f t="shared" si="469"/>
        <v>1338679999.9472733</v>
      </c>
      <c r="U1003" s="5501">
        <f>U1005</f>
        <v>1423180000</v>
      </c>
      <c r="V1003" s="5502">
        <f t="shared" si="470"/>
        <v>-84500000</v>
      </c>
      <c r="W1003" s="5501">
        <f t="shared" si="471"/>
        <v>-5.9374077769502094</v>
      </c>
      <c r="X1003" s="5501">
        <f>X1005</f>
        <v>1263680000</v>
      </c>
      <c r="Y1003" s="5502">
        <f t="shared" si="472"/>
        <v>1263680005.9374077</v>
      </c>
      <c r="Z1003" s="5501">
        <f>Z1005</f>
        <v>1423180000</v>
      </c>
      <c r="AA1003" s="5502">
        <f t="shared" si="473"/>
        <v>-75000000</v>
      </c>
      <c r="AB1003" s="5501">
        <f t="shared" si="474"/>
        <v>-5.6025338393043853</v>
      </c>
      <c r="AC1003" s="5594"/>
      <c r="AD1003" s="5594"/>
      <c r="AE1003" s="5594"/>
      <c r="AF1003" s="5594">
        <f t="shared" si="436"/>
        <v>-84500000</v>
      </c>
      <c r="AG1003" s="5595">
        <f t="shared" si="437"/>
        <v>0</v>
      </c>
    </row>
    <row r="1004" spans="1:33" s="5333" customFormat="1" ht="5.35" customHeight="1">
      <c r="A1004" s="5340"/>
      <c r="B1004" s="5340"/>
      <c r="C1004" s="5340"/>
      <c r="D1004" s="5387"/>
      <c r="E1004" s="5386"/>
      <c r="F1004" s="5386"/>
      <c r="G1004" s="5386"/>
      <c r="H1004" s="5386"/>
      <c r="I1004" s="5636"/>
      <c r="J1004" s="5385"/>
      <c r="K1004" s="5384"/>
      <c r="L1004" s="5383"/>
      <c r="M1004" s="5382"/>
      <c r="N1004" s="5382"/>
      <c r="O1004" s="5382">
        <f t="shared" si="466"/>
        <v>0</v>
      </c>
      <c r="P1004" s="5381"/>
      <c r="Q1004" s="5382"/>
      <c r="R1004" s="5381"/>
      <c r="S1004" s="5381"/>
      <c r="T1004" s="5382">
        <f t="shared" si="469"/>
        <v>0</v>
      </c>
      <c r="U1004" s="5381"/>
      <c r="V1004" s="5382"/>
      <c r="W1004" s="5381"/>
      <c r="X1004" s="5381"/>
      <c r="Y1004" s="5382">
        <f t="shared" si="472"/>
        <v>0</v>
      </c>
      <c r="Z1004" s="5381"/>
      <c r="AA1004" s="5382"/>
      <c r="AB1004" s="5381"/>
      <c r="AC1004" s="5349"/>
      <c r="AD1004" s="5349"/>
      <c r="AE1004" s="5349"/>
      <c r="AF1004" s="5349">
        <f t="shared" si="436"/>
        <v>0</v>
      </c>
      <c r="AG1004" s="5338">
        <f t="shared" si="437"/>
        <v>0</v>
      </c>
    </row>
    <row r="1005" spans="1:33" s="5333" customFormat="1" ht="15.05" customHeight="1">
      <c r="A1005" s="5340"/>
      <c r="B1005" s="5340"/>
      <c r="C1005" s="5340"/>
      <c r="D1005" s="5374">
        <v>4</v>
      </c>
      <c r="E1005" s="5374">
        <v>1</v>
      </c>
      <c r="F1005" s="5374"/>
      <c r="G1005" s="5374"/>
      <c r="H1005" s="5374"/>
      <c r="I1005" s="5537"/>
      <c r="J1005" s="5372" t="s">
        <v>180</v>
      </c>
      <c r="K1005" s="5371"/>
      <c r="L1005" s="5370"/>
      <c r="M1005" s="5357">
        <v>1410120000</v>
      </c>
      <c r="N1005" s="5357">
        <f>N1007+N1032</f>
        <v>1422430000</v>
      </c>
      <c r="O1005" s="5357">
        <f t="shared" si="466"/>
        <v>12310000</v>
      </c>
      <c r="P1005" s="5358">
        <f>P1007+P1032</f>
        <v>1423180000</v>
      </c>
      <c r="Q1005" s="5357">
        <f>+P1005-N1005</f>
        <v>750000</v>
      </c>
      <c r="R1005" s="5358">
        <f>P1005/N1005*100-100</f>
        <v>5.2726671962773253E-2</v>
      </c>
      <c r="S1005" s="5358">
        <f>S1007+S1032</f>
        <v>1338680000</v>
      </c>
      <c r="T1005" s="5357">
        <f t="shared" si="469"/>
        <v>1338679999.9472733</v>
      </c>
      <c r="U1005" s="5358">
        <f>U1007+U1032</f>
        <v>1423180000</v>
      </c>
      <c r="V1005" s="5357">
        <f>S1005-P1005</f>
        <v>-84500000</v>
      </c>
      <c r="W1005" s="5358">
        <f>S1005/P1005*100-100</f>
        <v>-5.9374077769502094</v>
      </c>
      <c r="X1005" s="5358">
        <f>X1007+X1032</f>
        <v>1263680000</v>
      </c>
      <c r="Y1005" s="5357">
        <f t="shared" si="472"/>
        <v>1263680005.9374077</v>
      </c>
      <c r="Z1005" s="5358">
        <f>Z1007+Z1032</f>
        <v>1423180000</v>
      </c>
      <c r="AA1005" s="5357">
        <f>X1005-S1005</f>
        <v>-75000000</v>
      </c>
      <c r="AB1005" s="5358">
        <f>X1005/S1005*100-100</f>
        <v>-5.6025338393043853</v>
      </c>
      <c r="AC1005" s="5349"/>
      <c r="AD1005" s="5349"/>
      <c r="AE1005" s="5349"/>
      <c r="AF1005" s="5349">
        <f t="shared" ref="AF1005:AF1056" si="475">S1005-P1005</f>
        <v>-84500000</v>
      </c>
      <c r="AG1005" s="5338">
        <f t="shared" ref="AG1005:AG1056" si="476">AF1005-V1005</f>
        <v>0</v>
      </c>
    </row>
    <row r="1006" spans="1:33" s="5333" customFormat="1" ht="5.95" customHeight="1">
      <c r="A1006" s="5340"/>
      <c r="B1006" s="5340"/>
      <c r="C1006" s="5340"/>
      <c r="D1006" s="5367"/>
      <c r="E1006" s="5380"/>
      <c r="F1006" s="5380"/>
      <c r="G1006" s="5380"/>
      <c r="H1006" s="5380"/>
      <c r="I1006" s="5496"/>
      <c r="J1006" s="5366"/>
      <c r="K1006" s="5371"/>
      <c r="L1006" s="5370"/>
      <c r="M1006" s="5357"/>
      <c r="N1006" s="5357"/>
      <c r="O1006" s="5357"/>
      <c r="P1006" s="5358"/>
      <c r="Q1006" s="5357"/>
      <c r="R1006" s="5358"/>
      <c r="S1006" s="5358"/>
      <c r="T1006" s="5357"/>
      <c r="U1006" s="5358"/>
      <c r="V1006" s="5357"/>
      <c r="W1006" s="5358"/>
      <c r="X1006" s="5358"/>
      <c r="Y1006" s="5357"/>
      <c r="Z1006" s="5358"/>
      <c r="AA1006" s="5357"/>
      <c r="AB1006" s="5358"/>
      <c r="AC1006" s="5349"/>
      <c r="AD1006" s="5349"/>
      <c r="AE1006" s="5349"/>
      <c r="AF1006" s="5349">
        <f t="shared" si="475"/>
        <v>0</v>
      </c>
      <c r="AG1006" s="5338">
        <f t="shared" si="476"/>
        <v>0</v>
      </c>
    </row>
    <row r="1007" spans="1:33" s="5333" customFormat="1" ht="15.05" customHeight="1">
      <c r="A1007" s="5340"/>
      <c r="B1007" s="5340"/>
      <c r="C1007" s="5340"/>
      <c r="D1007" s="5374">
        <v>4</v>
      </c>
      <c r="E1007" s="5374">
        <v>1</v>
      </c>
      <c r="F1007" s="5374">
        <v>2</v>
      </c>
      <c r="G1007" s="5374"/>
      <c r="H1007" s="5374"/>
      <c r="I1007" s="5537"/>
      <c r="J1007" s="5372" t="s">
        <v>106</v>
      </c>
      <c r="K1007" s="5371"/>
      <c r="L1007" s="5370"/>
      <c r="M1007" s="5357">
        <v>1410120000</v>
      </c>
      <c r="N1007" s="5357">
        <f>N1008+N1029</f>
        <v>1406180000</v>
      </c>
      <c r="O1007" s="5357">
        <f t="shared" ref="O1007:O1018" si="477">N1007-M1007</f>
        <v>-3940000</v>
      </c>
      <c r="P1007" s="5358">
        <f>P1008+P1029</f>
        <v>1423180000</v>
      </c>
      <c r="Q1007" s="5357">
        <f t="shared" ref="Q1007:Q1018" si="478">+P1007-N1007</f>
        <v>17000000</v>
      </c>
      <c r="R1007" s="5358">
        <f t="shared" ref="R1007:R1014" si="479">P1007/N1007*100-100</f>
        <v>1.2089490676869161</v>
      </c>
      <c r="S1007" s="5358">
        <f>S1008+S1029</f>
        <v>1338680000</v>
      </c>
      <c r="T1007" s="5357">
        <f t="shared" ref="T1007:T1018" si="480">S1007-R1007</f>
        <v>1338679998.7910509</v>
      </c>
      <c r="U1007" s="5358">
        <f>U1008+U1029</f>
        <v>1423180000</v>
      </c>
      <c r="V1007" s="5357">
        <f t="shared" ref="V1007:V1018" si="481">S1007-P1007</f>
        <v>-84500000</v>
      </c>
      <c r="W1007" s="5358">
        <f t="shared" ref="W1007:W1014" si="482">S1007/P1007*100-100</f>
        <v>-5.9374077769502094</v>
      </c>
      <c r="X1007" s="5358">
        <f>X1008+X1029</f>
        <v>1263680000</v>
      </c>
      <c r="Y1007" s="5357">
        <f t="shared" ref="Y1007:Y1018" si="483">X1007-W1007</f>
        <v>1263680005.9374077</v>
      </c>
      <c r="Z1007" s="5358">
        <f>Z1008+Z1029</f>
        <v>1423180000</v>
      </c>
      <c r="AA1007" s="5357">
        <f t="shared" ref="AA1007:AA1018" si="484">X1007-S1007</f>
        <v>-75000000</v>
      </c>
      <c r="AB1007" s="5358">
        <f t="shared" ref="AB1007:AB1014" si="485">X1007/S1007*100-100</f>
        <v>-5.6025338393043853</v>
      </c>
      <c r="AC1007" s="5349"/>
      <c r="AD1007" s="5349"/>
      <c r="AE1007" s="5349"/>
      <c r="AF1007" s="5349">
        <f t="shared" si="475"/>
        <v>-84500000</v>
      </c>
      <c r="AG1007" s="5338">
        <f t="shared" si="476"/>
        <v>0</v>
      </c>
    </row>
    <row r="1008" spans="1:33" s="5333" customFormat="1" ht="18" customHeight="1">
      <c r="A1008" s="5340"/>
      <c r="B1008" s="5340"/>
      <c r="C1008" s="5340"/>
      <c r="D1008" s="5367">
        <v>4</v>
      </c>
      <c r="E1008" s="5367">
        <v>1</v>
      </c>
      <c r="F1008" s="5367">
        <v>2</v>
      </c>
      <c r="G1008" s="5368" t="s">
        <v>438</v>
      </c>
      <c r="H1008" s="5367"/>
      <c r="I1008" s="5631"/>
      <c r="J1008" s="5366" t="s">
        <v>374</v>
      </c>
      <c r="K1008" s="5361"/>
      <c r="L1008" s="5365"/>
      <c r="M1008" s="5357">
        <v>1404120000</v>
      </c>
      <c r="N1008" s="5357">
        <f>+N1009+N1020</f>
        <v>1406180000</v>
      </c>
      <c r="O1008" s="5357">
        <f t="shared" si="477"/>
        <v>2060000</v>
      </c>
      <c r="P1008" s="5358">
        <f>+P1009+P1020</f>
        <v>1423180000</v>
      </c>
      <c r="Q1008" s="5357">
        <f t="shared" si="478"/>
        <v>17000000</v>
      </c>
      <c r="R1008" s="5358">
        <f t="shared" si="479"/>
        <v>1.2089490676869161</v>
      </c>
      <c r="S1008" s="5358">
        <f>+S1009+S1020</f>
        <v>1338680000</v>
      </c>
      <c r="T1008" s="5357">
        <f t="shared" si="480"/>
        <v>1338679998.7910509</v>
      </c>
      <c r="U1008" s="5358">
        <f>+U1009+U1020</f>
        <v>1423180000</v>
      </c>
      <c r="V1008" s="5357">
        <f t="shared" si="481"/>
        <v>-84500000</v>
      </c>
      <c r="W1008" s="5358">
        <f t="shared" si="482"/>
        <v>-5.9374077769502094</v>
      </c>
      <c r="X1008" s="5358">
        <f>+X1009+X1020</f>
        <v>1263680000</v>
      </c>
      <c r="Y1008" s="5357">
        <f t="shared" si="483"/>
        <v>1263680005.9374077</v>
      </c>
      <c r="Z1008" s="5358">
        <f>+Z1009+Z1020</f>
        <v>1423180000</v>
      </c>
      <c r="AA1008" s="5357">
        <f t="shared" si="484"/>
        <v>-75000000</v>
      </c>
      <c r="AB1008" s="5358">
        <f t="shared" si="485"/>
        <v>-5.6025338393043853</v>
      </c>
      <c r="AC1008" s="5349"/>
      <c r="AD1008" s="5349"/>
      <c r="AE1008" s="5349"/>
      <c r="AF1008" s="5349">
        <f t="shared" si="475"/>
        <v>-84500000</v>
      </c>
      <c r="AG1008" s="5338">
        <f t="shared" si="476"/>
        <v>0</v>
      </c>
    </row>
    <row r="1009" spans="1:33" s="5333" customFormat="1" ht="18" customHeight="1">
      <c r="A1009" s="5340"/>
      <c r="B1009" s="5340"/>
      <c r="C1009" s="5340"/>
      <c r="D1009" s="5367">
        <v>4</v>
      </c>
      <c r="E1009" s="5367">
        <v>1</v>
      </c>
      <c r="F1009" s="5367">
        <v>2</v>
      </c>
      <c r="G1009" s="5368" t="s">
        <v>438</v>
      </c>
      <c r="H1009" s="5368" t="s">
        <v>437</v>
      </c>
      <c r="I1009" s="5632"/>
      <c r="J1009" s="5366" t="s">
        <v>64</v>
      </c>
      <c r="K1009" s="5361"/>
      <c r="L1009" s="5365"/>
      <c r="M1009" s="5402">
        <v>624120000</v>
      </c>
      <c r="N1009" s="5402">
        <f>SUM(N1010:N1018)</f>
        <v>616180000</v>
      </c>
      <c r="O1009" s="5402">
        <f t="shared" si="477"/>
        <v>-7940000</v>
      </c>
      <c r="P1009" s="5401">
        <f>SUM(P1010:P1018)</f>
        <v>618180000</v>
      </c>
      <c r="Q1009" s="5357">
        <f t="shared" si="478"/>
        <v>2000000</v>
      </c>
      <c r="R1009" s="5358">
        <f t="shared" si="479"/>
        <v>0.32458047972994564</v>
      </c>
      <c r="S1009" s="5401">
        <f>SUM(S1010:S1018)</f>
        <v>518680000</v>
      </c>
      <c r="T1009" s="5402">
        <f t="shared" si="480"/>
        <v>518679999.67541951</v>
      </c>
      <c r="U1009" s="5401">
        <f>SUM(U1010:U1018)</f>
        <v>618180000</v>
      </c>
      <c r="V1009" s="5357">
        <f t="shared" si="481"/>
        <v>-99500000</v>
      </c>
      <c r="W1009" s="5358">
        <f t="shared" si="482"/>
        <v>-16.095635575398745</v>
      </c>
      <c r="X1009" s="5401">
        <f>SUM(X1010:X1018)</f>
        <v>443680000</v>
      </c>
      <c r="Y1009" s="5402">
        <f t="shared" si="483"/>
        <v>443680016.09563559</v>
      </c>
      <c r="Z1009" s="5401">
        <f>SUM(Z1010:Z1018)</f>
        <v>618180000</v>
      </c>
      <c r="AA1009" s="5357">
        <f t="shared" si="484"/>
        <v>-75000000</v>
      </c>
      <c r="AB1009" s="5358">
        <f t="shared" si="485"/>
        <v>-14.459782524870818</v>
      </c>
      <c r="AC1009" s="5349"/>
      <c r="AD1009" s="5349"/>
      <c r="AE1009" s="5349"/>
      <c r="AF1009" s="5349">
        <f t="shared" si="475"/>
        <v>-99500000</v>
      </c>
      <c r="AG1009" s="5338">
        <f t="shared" si="476"/>
        <v>0</v>
      </c>
    </row>
    <row r="1010" spans="1:33" s="5333" customFormat="1" ht="13.5" customHeight="1">
      <c r="A1010" s="5340"/>
      <c r="B1010" s="5340"/>
      <c r="C1010" s="5340"/>
      <c r="D1010" s="5368"/>
      <c r="E1010" s="5380"/>
      <c r="F1010" s="5380"/>
      <c r="G1010" s="5379"/>
      <c r="H1010" s="5380"/>
      <c r="I1010" s="5496"/>
      <c r="J1010" s="5408" t="s">
        <v>50</v>
      </c>
      <c r="K1010" s="5361" t="s">
        <v>375</v>
      </c>
      <c r="L1010" s="5365"/>
      <c r="M1010" s="5359">
        <v>428430000</v>
      </c>
      <c r="N1010" s="5359">
        <v>428430000</v>
      </c>
      <c r="O1010" s="5359">
        <f t="shared" si="477"/>
        <v>0</v>
      </c>
      <c r="P1010" s="5358">
        <v>428430000</v>
      </c>
      <c r="Q1010" s="5357">
        <f t="shared" si="478"/>
        <v>0</v>
      </c>
      <c r="R1010" s="5358">
        <f t="shared" si="479"/>
        <v>0</v>
      </c>
      <c r="S1010" s="5358">
        <v>328430000</v>
      </c>
      <c r="T1010" s="5359">
        <f t="shared" si="480"/>
        <v>328430000</v>
      </c>
      <c r="U1010" s="5358">
        <v>428430000</v>
      </c>
      <c r="V1010" s="5357">
        <f t="shared" si="481"/>
        <v>-100000000</v>
      </c>
      <c r="W1010" s="5358">
        <f t="shared" si="482"/>
        <v>-23.341035875172139</v>
      </c>
      <c r="X1010" s="5358">
        <v>328430000</v>
      </c>
      <c r="Y1010" s="5359">
        <f t="shared" si="483"/>
        <v>328430023.3410359</v>
      </c>
      <c r="Z1010" s="5358">
        <v>428430000</v>
      </c>
      <c r="AA1010" s="5357">
        <f t="shared" si="484"/>
        <v>0</v>
      </c>
      <c r="AB1010" s="5358">
        <f t="shared" si="485"/>
        <v>0</v>
      </c>
      <c r="AC1010" s="5350"/>
      <c r="AD1010" s="5350"/>
      <c r="AE1010" s="5350"/>
      <c r="AF1010" s="5349">
        <f t="shared" si="475"/>
        <v>-100000000</v>
      </c>
      <c r="AG1010" s="5338">
        <f t="shared" si="476"/>
        <v>0</v>
      </c>
    </row>
    <row r="1011" spans="1:33" s="5333" customFormat="1" ht="13.5" customHeight="1">
      <c r="A1011" s="5340"/>
      <c r="B1011" s="5340"/>
      <c r="C1011" s="5340"/>
      <c r="D1011" s="5368"/>
      <c r="E1011" s="5380"/>
      <c r="F1011" s="5380"/>
      <c r="G1011" s="5379"/>
      <c r="H1011" s="5380"/>
      <c r="I1011" s="5496"/>
      <c r="J1011" s="5408" t="s">
        <v>50</v>
      </c>
      <c r="K1011" s="5361" t="s">
        <v>376</v>
      </c>
      <c r="L1011" s="5365"/>
      <c r="M1011" s="5359">
        <v>11440000</v>
      </c>
      <c r="N1011" s="5359">
        <v>12500000</v>
      </c>
      <c r="O1011" s="5359">
        <f t="shared" si="477"/>
        <v>1060000</v>
      </c>
      <c r="P1011" s="5358">
        <v>14500000</v>
      </c>
      <c r="Q1011" s="5357">
        <f t="shared" si="478"/>
        <v>2000000</v>
      </c>
      <c r="R1011" s="5358">
        <f t="shared" si="479"/>
        <v>15.999999999999986</v>
      </c>
      <c r="S1011" s="5358">
        <v>15000000</v>
      </c>
      <c r="T1011" s="5359">
        <f t="shared" si="480"/>
        <v>14999984</v>
      </c>
      <c r="U1011" s="5358">
        <v>14500000</v>
      </c>
      <c r="V1011" s="5357">
        <f t="shared" si="481"/>
        <v>500000</v>
      </c>
      <c r="W1011" s="5358">
        <f t="shared" si="482"/>
        <v>3.448275862068968</v>
      </c>
      <c r="X1011" s="5358">
        <v>15000000</v>
      </c>
      <c r="Y1011" s="5359">
        <f t="shared" si="483"/>
        <v>14999996.551724138</v>
      </c>
      <c r="Z1011" s="5358">
        <v>14500000</v>
      </c>
      <c r="AA1011" s="5357">
        <f t="shared" si="484"/>
        <v>0</v>
      </c>
      <c r="AB1011" s="5358">
        <f t="shared" si="485"/>
        <v>0</v>
      </c>
      <c r="AC1011" s="5350"/>
      <c r="AD1011" s="5350"/>
      <c r="AE1011" s="5350"/>
      <c r="AF1011" s="5349">
        <f t="shared" si="475"/>
        <v>500000</v>
      </c>
      <c r="AG1011" s="5338">
        <f t="shared" si="476"/>
        <v>0</v>
      </c>
    </row>
    <row r="1012" spans="1:33" s="5333" customFormat="1" ht="13.5" customHeight="1">
      <c r="A1012" s="5340"/>
      <c r="B1012" s="5340"/>
      <c r="C1012" s="5340"/>
      <c r="D1012" s="5368"/>
      <c r="E1012" s="5380"/>
      <c r="F1012" s="5380"/>
      <c r="G1012" s="5379"/>
      <c r="H1012" s="5380"/>
      <c r="I1012" s="5496"/>
      <c r="J1012" s="5408" t="s">
        <v>50</v>
      </c>
      <c r="K1012" s="5361" t="s">
        <v>1287</v>
      </c>
      <c r="L1012" s="5365"/>
      <c r="M1012" s="5359">
        <v>25000000</v>
      </c>
      <c r="N1012" s="5359">
        <v>50000000</v>
      </c>
      <c r="O1012" s="5359">
        <f t="shared" si="477"/>
        <v>25000000</v>
      </c>
      <c r="P1012" s="5358">
        <v>50000000</v>
      </c>
      <c r="Q1012" s="5357">
        <f t="shared" si="478"/>
        <v>0</v>
      </c>
      <c r="R1012" s="5358">
        <f t="shared" si="479"/>
        <v>0</v>
      </c>
      <c r="S1012" s="5358">
        <v>50000000</v>
      </c>
      <c r="T1012" s="5359">
        <f t="shared" si="480"/>
        <v>50000000</v>
      </c>
      <c r="U1012" s="5358">
        <v>50000000</v>
      </c>
      <c r="V1012" s="5357">
        <f t="shared" si="481"/>
        <v>0</v>
      </c>
      <c r="W1012" s="5358">
        <f t="shared" si="482"/>
        <v>0</v>
      </c>
      <c r="X1012" s="5358">
        <v>25000000</v>
      </c>
      <c r="Y1012" s="5359">
        <f t="shared" si="483"/>
        <v>25000000</v>
      </c>
      <c r="Z1012" s="5358">
        <v>50000000</v>
      </c>
      <c r="AA1012" s="5357">
        <f t="shared" si="484"/>
        <v>-25000000</v>
      </c>
      <c r="AB1012" s="5358">
        <f t="shared" si="485"/>
        <v>-50</v>
      </c>
      <c r="AC1012" s="5350"/>
      <c r="AD1012" s="5350"/>
      <c r="AE1012" s="5350"/>
      <c r="AF1012" s="5349">
        <f t="shared" si="475"/>
        <v>0</v>
      </c>
      <c r="AG1012" s="5338">
        <f t="shared" si="476"/>
        <v>0</v>
      </c>
    </row>
    <row r="1013" spans="1:33" s="5333" customFormat="1" ht="13.5" customHeight="1">
      <c r="A1013" s="5340"/>
      <c r="B1013" s="5340"/>
      <c r="C1013" s="5340"/>
      <c r="D1013" s="5368"/>
      <c r="E1013" s="5380"/>
      <c r="F1013" s="5380"/>
      <c r="G1013" s="5379"/>
      <c r="H1013" s="5380"/>
      <c r="I1013" s="5496"/>
      <c r="J1013" s="5408" t="s">
        <v>50</v>
      </c>
      <c r="K1013" s="5361" t="s">
        <v>378</v>
      </c>
      <c r="L1013" s="5365"/>
      <c r="M1013" s="5359">
        <v>40250000</v>
      </c>
      <c r="N1013" s="5359">
        <v>40250000</v>
      </c>
      <c r="O1013" s="5359">
        <f t="shared" si="477"/>
        <v>0</v>
      </c>
      <c r="P1013" s="5358">
        <v>40250000</v>
      </c>
      <c r="Q1013" s="5357">
        <f t="shared" si="478"/>
        <v>0</v>
      </c>
      <c r="R1013" s="5358">
        <f t="shared" si="479"/>
        <v>0</v>
      </c>
      <c r="S1013" s="5358">
        <v>40250000</v>
      </c>
      <c r="T1013" s="5359">
        <f t="shared" si="480"/>
        <v>40250000</v>
      </c>
      <c r="U1013" s="5358">
        <v>40250000</v>
      </c>
      <c r="V1013" s="5357">
        <f t="shared" si="481"/>
        <v>0</v>
      </c>
      <c r="W1013" s="5358">
        <f t="shared" si="482"/>
        <v>0</v>
      </c>
      <c r="X1013" s="5358">
        <v>40250000</v>
      </c>
      <c r="Y1013" s="5359">
        <f t="shared" si="483"/>
        <v>40250000</v>
      </c>
      <c r="Z1013" s="5358">
        <v>40250000</v>
      </c>
      <c r="AA1013" s="5357">
        <f t="shared" si="484"/>
        <v>0</v>
      </c>
      <c r="AB1013" s="5358">
        <f t="shared" si="485"/>
        <v>0</v>
      </c>
      <c r="AC1013" s="5350"/>
      <c r="AD1013" s="5350"/>
      <c r="AE1013" s="5350"/>
      <c r="AF1013" s="5349">
        <f t="shared" si="475"/>
        <v>0</v>
      </c>
      <c r="AG1013" s="5338">
        <f t="shared" si="476"/>
        <v>0</v>
      </c>
    </row>
    <row r="1014" spans="1:33" s="5333" customFormat="1" ht="13.5" customHeight="1">
      <c r="A1014" s="5340"/>
      <c r="B1014" s="5340"/>
      <c r="C1014" s="5340"/>
      <c r="D1014" s="5368"/>
      <c r="E1014" s="5380"/>
      <c r="F1014" s="5380"/>
      <c r="G1014" s="5379"/>
      <c r="H1014" s="5380"/>
      <c r="I1014" s="5496"/>
      <c r="J1014" s="5408" t="s">
        <v>50</v>
      </c>
      <c r="K1014" s="5361" t="s">
        <v>379</v>
      </c>
      <c r="L1014" s="5365"/>
      <c r="M1014" s="5359">
        <v>34000000</v>
      </c>
      <c r="N1014" s="5359">
        <v>25000000</v>
      </c>
      <c r="O1014" s="5359">
        <f t="shared" si="477"/>
        <v>-9000000</v>
      </c>
      <c r="P1014" s="5358">
        <v>25000000</v>
      </c>
      <c r="Q1014" s="5357">
        <f t="shared" si="478"/>
        <v>0</v>
      </c>
      <c r="R1014" s="5358">
        <f t="shared" si="479"/>
        <v>0</v>
      </c>
      <c r="S1014" s="5358">
        <v>25000000</v>
      </c>
      <c r="T1014" s="5359">
        <f t="shared" si="480"/>
        <v>25000000</v>
      </c>
      <c r="U1014" s="5358">
        <v>25000000</v>
      </c>
      <c r="V1014" s="5357">
        <f t="shared" si="481"/>
        <v>0</v>
      </c>
      <c r="W1014" s="5358">
        <f t="shared" si="482"/>
        <v>0</v>
      </c>
      <c r="X1014" s="5358">
        <v>5000000</v>
      </c>
      <c r="Y1014" s="5359">
        <f t="shared" si="483"/>
        <v>5000000</v>
      </c>
      <c r="Z1014" s="5358">
        <v>25000000</v>
      </c>
      <c r="AA1014" s="5357">
        <f t="shared" si="484"/>
        <v>-20000000</v>
      </c>
      <c r="AB1014" s="5358">
        <f t="shared" si="485"/>
        <v>-80</v>
      </c>
      <c r="AC1014" s="5350"/>
      <c r="AD1014" s="5350"/>
      <c r="AE1014" s="5350"/>
      <c r="AF1014" s="5349">
        <f t="shared" si="475"/>
        <v>0</v>
      </c>
      <c r="AG1014" s="5338">
        <f t="shared" si="476"/>
        <v>0</v>
      </c>
    </row>
    <row r="1015" spans="1:33" s="5333" customFormat="1" ht="13.5" customHeight="1">
      <c r="A1015" s="5340"/>
      <c r="B1015" s="5340"/>
      <c r="C1015" s="5340"/>
      <c r="D1015" s="5368"/>
      <c r="E1015" s="5380"/>
      <c r="F1015" s="5380"/>
      <c r="G1015" s="5379"/>
      <c r="H1015" s="5380"/>
      <c r="I1015" s="5496"/>
      <c r="J1015" s="5408" t="s">
        <v>50</v>
      </c>
      <c r="K1015" s="5361" t="s">
        <v>1285</v>
      </c>
      <c r="L1015" s="5365"/>
      <c r="M1015" s="5359">
        <v>0</v>
      </c>
      <c r="N1015" s="5359">
        <v>0</v>
      </c>
      <c r="O1015" s="5359">
        <f t="shared" si="477"/>
        <v>0</v>
      </c>
      <c r="P1015" s="5358">
        <v>0</v>
      </c>
      <c r="Q1015" s="5357">
        <f t="shared" si="478"/>
        <v>0</v>
      </c>
      <c r="R1015" s="5358">
        <v>0</v>
      </c>
      <c r="S1015" s="5358">
        <v>0</v>
      </c>
      <c r="T1015" s="5359">
        <f t="shared" si="480"/>
        <v>0</v>
      </c>
      <c r="U1015" s="5358">
        <v>0</v>
      </c>
      <c r="V1015" s="5357">
        <f t="shared" si="481"/>
        <v>0</v>
      </c>
      <c r="W1015" s="5358">
        <v>0</v>
      </c>
      <c r="X1015" s="5358">
        <v>0</v>
      </c>
      <c r="Y1015" s="5359">
        <f t="shared" si="483"/>
        <v>0</v>
      </c>
      <c r="Z1015" s="5358">
        <v>0</v>
      </c>
      <c r="AA1015" s="5357">
        <f t="shared" si="484"/>
        <v>0</v>
      </c>
      <c r="AB1015" s="5358">
        <v>0</v>
      </c>
      <c r="AC1015" s="5350"/>
      <c r="AD1015" s="5350"/>
      <c r="AE1015" s="5350"/>
      <c r="AF1015" s="5349">
        <f t="shared" si="475"/>
        <v>0</v>
      </c>
      <c r="AG1015" s="5338">
        <f t="shared" si="476"/>
        <v>0</v>
      </c>
    </row>
    <row r="1016" spans="1:33" s="5333" customFormat="1" ht="13.5" customHeight="1">
      <c r="A1016" s="5340"/>
      <c r="B1016" s="5340"/>
      <c r="C1016" s="5340"/>
      <c r="D1016" s="5368"/>
      <c r="E1016" s="5380"/>
      <c r="F1016" s="5380"/>
      <c r="G1016" s="5379"/>
      <c r="H1016" s="5380"/>
      <c r="I1016" s="5496"/>
      <c r="J1016" s="5408" t="s">
        <v>50</v>
      </c>
      <c r="K1016" s="5361" t="s">
        <v>381</v>
      </c>
      <c r="L1016" s="5365"/>
      <c r="M1016" s="5359">
        <v>85000000</v>
      </c>
      <c r="N1016" s="5359">
        <v>60000000</v>
      </c>
      <c r="O1016" s="5359">
        <f t="shared" si="477"/>
        <v>-25000000</v>
      </c>
      <c r="P1016" s="5358">
        <v>60000000</v>
      </c>
      <c r="Q1016" s="5357">
        <f t="shared" si="478"/>
        <v>0</v>
      </c>
      <c r="R1016" s="5358">
        <f>P1016/N1016*100-100</f>
        <v>0</v>
      </c>
      <c r="S1016" s="5358">
        <v>60000000</v>
      </c>
      <c r="T1016" s="5359">
        <f t="shared" si="480"/>
        <v>60000000</v>
      </c>
      <c r="U1016" s="5358">
        <v>60000000</v>
      </c>
      <c r="V1016" s="5357">
        <f t="shared" si="481"/>
        <v>0</v>
      </c>
      <c r="W1016" s="5358">
        <f>S1016/P1016*100-100</f>
        <v>0</v>
      </c>
      <c r="X1016" s="5358">
        <v>30000000</v>
      </c>
      <c r="Y1016" s="5359">
        <f t="shared" si="483"/>
        <v>30000000</v>
      </c>
      <c r="Z1016" s="5358">
        <v>60000000</v>
      </c>
      <c r="AA1016" s="5357">
        <f t="shared" si="484"/>
        <v>-30000000</v>
      </c>
      <c r="AB1016" s="5358">
        <f>X1016/S1016*100-100</f>
        <v>-50</v>
      </c>
      <c r="AC1016" s="5350"/>
      <c r="AD1016" s="5350"/>
      <c r="AE1016" s="5350"/>
      <c r="AF1016" s="5349">
        <f t="shared" si="475"/>
        <v>0</v>
      </c>
      <c r="AG1016" s="5338">
        <f t="shared" si="476"/>
        <v>0</v>
      </c>
    </row>
    <row r="1017" spans="1:33" s="5333" customFormat="1" ht="13.5" customHeight="1">
      <c r="A1017" s="5340"/>
      <c r="B1017" s="5340"/>
      <c r="C1017" s="5340"/>
      <c r="D1017" s="5368"/>
      <c r="E1017" s="5380"/>
      <c r="F1017" s="5380"/>
      <c r="G1017" s="5379"/>
      <c r="H1017" s="5380"/>
      <c r="I1017" s="5496"/>
      <c r="J1017" s="5408" t="s">
        <v>50</v>
      </c>
      <c r="K1017" s="5361" t="s">
        <v>1286</v>
      </c>
      <c r="L1017" s="5365"/>
      <c r="M1017" s="5359">
        <v>0</v>
      </c>
      <c r="N1017" s="5359">
        <v>0</v>
      </c>
      <c r="O1017" s="5359">
        <f t="shared" si="477"/>
        <v>0</v>
      </c>
      <c r="P1017" s="5358">
        <v>0</v>
      </c>
      <c r="Q1017" s="5357">
        <f t="shared" si="478"/>
        <v>0</v>
      </c>
      <c r="R1017" s="5358">
        <v>0</v>
      </c>
      <c r="S1017" s="5358">
        <v>0</v>
      </c>
      <c r="T1017" s="5359">
        <f t="shared" si="480"/>
        <v>0</v>
      </c>
      <c r="U1017" s="5358">
        <v>0</v>
      </c>
      <c r="V1017" s="5357">
        <f t="shared" si="481"/>
        <v>0</v>
      </c>
      <c r="W1017" s="5358">
        <v>0</v>
      </c>
      <c r="X1017" s="5358">
        <v>0</v>
      </c>
      <c r="Y1017" s="5359">
        <f t="shared" si="483"/>
        <v>0</v>
      </c>
      <c r="Z1017" s="5358">
        <v>0</v>
      </c>
      <c r="AA1017" s="5357">
        <f t="shared" si="484"/>
        <v>0</v>
      </c>
      <c r="AB1017" s="5358">
        <v>0</v>
      </c>
      <c r="AC1017" s="5350"/>
      <c r="AD1017" s="5350"/>
      <c r="AE1017" s="5350"/>
      <c r="AF1017" s="5349">
        <f t="shared" si="475"/>
        <v>0</v>
      </c>
      <c r="AG1017" s="5338">
        <f t="shared" si="476"/>
        <v>0</v>
      </c>
    </row>
    <row r="1018" spans="1:33" s="5333" customFormat="1" ht="13.5" customHeight="1">
      <c r="A1018" s="5340"/>
      <c r="B1018" s="5340"/>
      <c r="C1018" s="5340"/>
      <c r="D1018" s="5368"/>
      <c r="E1018" s="5380"/>
      <c r="F1018" s="5380"/>
      <c r="G1018" s="5379"/>
      <c r="H1018" s="5380"/>
      <c r="I1018" s="5496"/>
      <c r="J1018" s="5408" t="s">
        <v>50</v>
      </c>
      <c r="K1018" s="5361" t="s">
        <v>383</v>
      </c>
      <c r="L1018" s="5365"/>
      <c r="M1018" s="5359">
        <v>0</v>
      </c>
      <c r="N1018" s="5359">
        <v>0</v>
      </c>
      <c r="O1018" s="5359">
        <f t="shared" si="477"/>
        <v>0</v>
      </c>
      <c r="P1018" s="5358">
        <v>0</v>
      </c>
      <c r="Q1018" s="5357">
        <f t="shared" si="478"/>
        <v>0</v>
      </c>
      <c r="R1018" s="5358">
        <v>0</v>
      </c>
      <c r="S1018" s="5358">
        <v>0</v>
      </c>
      <c r="T1018" s="5359">
        <f t="shared" si="480"/>
        <v>0</v>
      </c>
      <c r="U1018" s="5358">
        <v>0</v>
      </c>
      <c r="V1018" s="5357">
        <f t="shared" si="481"/>
        <v>0</v>
      </c>
      <c r="W1018" s="5358">
        <v>0</v>
      </c>
      <c r="X1018" s="5358">
        <v>0</v>
      </c>
      <c r="Y1018" s="5359">
        <f t="shared" si="483"/>
        <v>0</v>
      </c>
      <c r="Z1018" s="5358">
        <v>0</v>
      </c>
      <c r="AA1018" s="5357">
        <f t="shared" si="484"/>
        <v>0</v>
      </c>
      <c r="AB1018" s="5358">
        <v>0</v>
      </c>
      <c r="AC1018" s="5350"/>
      <c r="AD1018" s="5350"/>
      <c r="AE1018" s="5350"/>
      <c r="AF1018" s="5349">
        <f t="shared" si="475"/>
        <v>0</v>
      </c>
      <c r="AG1018" s="5338">
        <f t="shared" si="476"/>
        <v>0</v>
      </c>
    </row>
    <row r="1019" spans="1:33" s="5333" customFormat="1" ht="8.3000000000000007" customHeight="1">
      <c r="A1019" s="5340"/>
      <c r="B1019" s="5340"/>
      <c r="C1019" s="5340"/>
      <c r="D1019" s="5368"/>
      <c r="E1019" s="5380"/>
      <c r="F1019" s="5380"/>
      <c r="G1019" s="5379"/>
      <c r="H1019" s="5380"/>
      <c r="I1019" s="5496"/>
      <c r="J1019" s="5372"/>
      <c r="K1019" s="5361"/>
      <c r="L1019" s="5365"/>
      <c r="M1019" s="5357"/>
      <c r="N1019" s="5357"/>
      <c r="O1019" s="5357"/>
      <c r="P1019" s="5358"/>
      <c r="Q1019" s="5357"/>
      <c r="R1019" s="5358"/>
      <c r="S1019" s="5358"/>
      <c r="T1019" s="5357"/>
      <c r="U1019" s="5358"/>
      <c r="V1019" s="5357"/>
      <c r="W1019" s="5358"/>
      <c r="X1019" s="5358"/>
      <c r="Y1019" s="5357"/>
      <c r="Z1019" s="5358"/>
      <c r="AA1019" s="5357"/>
      <c r="AB1019" s="5358"/>
      <c r="AC1019" s="5349"/>
      <c r="AD1019" s="5349"/>
      <c r="AE1019" s="5349"/>
      <c r="AF1019" s="5349">
        <f t="shared" si="475"/>
        <v>0</v>
      </c>
      <c r="AG1019" s="5338">
        <f t="shared" si="476"/>
        <v>0</v>
      </c>
    </row>
    <row r="1020" spans="1:33" s="5333" customFormat="1" ht="16.45" customHeight="1">
      <c r="A1020" s="5340"/>
      <c r="B1020" s="5340"/>
      <c r="C1020" s="5340"/>
      <c r="D1020" s="5367">
        <v>4</v>
      </c>
      <c r="E1020" s="5367">
        <v>1</v>
      </c>
      <c r="F1020" s="5367">
        <v>2</v>
      </c>
      <c r="G1020" s="5368" t="s">
        <v>438</v>
      </c>
      <c r="H1020" s="5368" t="s">
        <v>448</v>
      </c>
      <c r="I1020" s="5632"/>
      <c r="J1020" s="5366" t="s">
        <v>361</v>
      </c>
      <c r="K1020" s="5361"/>
      <c r="L1020" s="5365"/>
      <c r="M1020" s="5402">
        <v>780000000</v>
      </c>
      <c r="N1020" s="5402">
        <f>SUM(N1021:N1027)</f>
        <v>790000000</v>
      </c>
      <c r="O1020" s="5402">
        <f t="shared" ref="O1020:O1027" si="486">N1020-M1020</f>
        <v>10000000</v>
      </c>
      <c r="P1020" s="5401">
        <f>SUM(P1021:P1027)</f>
        <v>805000000</v>
      </c>
      <c r="Q1020" s="5357">
        <f t="shared" ref="Q1020:Q1027" si="487">+P1020-N1020</f>
        <v>15000000</v>
      </c>
      <c r="R1020" s="5358">
        <f>P1020/N1020*100-100</f>
        <v>1.8987341772152035</v>
      </c>
      <c r="S1020" s="5401">
        <f>SUM(S1021:S1027)</f>
        <v>820000000</v>
      </c>
      <c r="T1020" s="5402">
        <f t="shared" ref="T1020:T1027" si="488">S1020-R1020</f>
        <v>819999998.10126579</v>
      </c>
      <c r="U1020" s="5401">
        <f>SUM(U1021:U1027)</f>
        <v>805000000</v>
      </c>
      <c r="V1020" s="5357">
        <f t="shared" ref="V1020:V1027" si="489">S1020-P1020</f>
        <v>15000000</v>
      </c>
      <c r="W1020" s="5358">
        <f>S1020/P1020*100-100</f>
        <v>1.8633540372670723</v>
      </c>
      <c r="X1020" s="5401">
        <f>SUM(X1021:X1027)</f>
        <v>820000000</v>
      </c>
      <c r="Y1020" s="5402">
        <f t="shared" ref="Y1020:Y1027" si="490">X1020-W1020</f>
        <v>819999998.13664591</v>
      </c>
      <c r="Z1020" s="5401">
        <f>SUM(Z1021:Z1027)</f>
        <v>805000000</v>
      </c>
      <c r="AA1020" s="5357">
        <f t="shared" ref="AA1020:AA1027" si="491">X1020-S1020</f>
        <v>0</v>
      </c>
      <c r="AB1020" s="5358">
        <f>X1020/S1020*100-100</f>
        <v>0</v>
      </c>
      <c r="AC1020" s="5349"/>
      <c r="AD1020" s="5349"/>
      <c r="AE1020" s="5349"/>
      <c r="AF1020" s="5349">
        <f t="shared" si="475"/>
        <v>15000000</v>
      </c>
      <c r="AG1020" s="5338">
        <f t="shared" si="476"/>
        <v>0</v>
      </c>
    </row>
    <row r="1021" spans="1:33" s="5333" customFormat="1" ht="16.45" customHeight="1">
      <c r="A1021" s="5340"/>
      <c r="B1021" s="5340"/>
      <c r="C1021" s="5340"/>
      <c r="D1021" s="5367"/>
      <c r="E1021" s="5380"/>
      <c r="F1021" s="5380"/>
      <c r="G1021" s="5379"/>
      <c r="H1021" s="5379"/>
      <c r="I1021" s="5495"/>
      <c r="J1021" s="5408" t="s">
        <v>50</v>
      </c>
      <c r="K1021" s="5361" t="s">
        <v>1285</v>
      </c>
      <c r="L1021" s="5365"/>
      <c r="M1021" s="5359">
        <v>325000000</v>
      </c>
      <c r="N1021" s="5357">
        <v>335000000</v>
      </c>
      <c r="O1021" s="5357">
        <f t="shared" si="486"/>
        <v>10000000</v>
      </c>
      <c r="P1021" s="5358">
        <v>335000000</v>
      </c>
      <c r="Q1021" s="5357">
        <f t="shared" si="487"/>
        <v>0</v>
      </c>
      <c r="R1021" s="5358">
        <f>P1021/N1021*100-100</f>
        <v>0</v>
      </c>
      <c r="S1021" s="5358">
        <v>335000000</v>
      </c>
      <c r="T1021" s="5357">
        <f t="shared" si="488"/>
        <v>335000000</v>
      </c>
      <c r="U1021" s="5358">
        <v>335000000</v>
      </c>
      <c r="V1021" s="5357">
        <f t="shared" si="489"/>
        <v>0</v>
      </c>
      <c r="W1021" s="5358">
        <f>S1021/P1021*100-100</f>
        <v>0</v>
      </c>
      <c r="X1021" s="5358">
        <v>335000000</v>
      </c>
      <c r="Y1021" s="5357">
        <f t="shared" si="490"/>
        <v>335000000</v>
      </c>
      <c r="Z1021" s="5358">
        <v>335000000</v>
      </c>
      <c r="AA1021" s="5357">
        <f t="shared" si="491"/>
        <v>0</v>
      </c>
      <c r="AB1021" s="5358">
        <f>X1021/S1021*100-100</f>
        <v>0</v>
      </c>
      <c r="AC1021" s="5349"/>
      <c r="AD1021" s="5349"/>
      <c r="AE1021" s="5349"/>
      <c r="AF1021" s="5349">
        <f t="shared" si="475"/>
        <v>0</v>
      </c>
      <c r="AG1021" s="5338">
        <f t="shared" si="476"/>
        <v>0</v>
      </c>
    </row>
    <row r="1022" spans="1:33" s="5333" customFormat="1" ht="12.7" customHeight="1">
      <c r="A1022" s="5340"/>
      <c r="B1022" s="5340"/>
      <c r="C1022" s="5340"/>
      <c r="D1022" s="5368"/>
      <c r="E1022" s="5380"/>
      <c r="F1022" s="5380"/>
      <c r="G1022" s="5379"/>
      <c r="H1022" s="5380"/>
      <c r="I1022" s="5496"/>
      <c r="J1022" s="5408" t="s">
        <v>50</v>
      </c>
      <c r="K1022" s="5361" t="s">
        <v>385</v>
      </c>
      <c r="L1022" s="5365"/>
      <c r="M1022" s="5359">
        <v>150000000</v>
      </c>
      <c r="N1022" s="5359">
        <v>150000000</v>
      </c>
      <c r="O1022" s="5359">
        <f t="shared" si="486"/>
        <v>0</v>
      </c>
      <c r="P1022" s="5358">
        <v>155000000</v>
      </c>
      <c r="Q1022" s="5357">
        <f t="shared" si="487"/>
        <v>5000000</v>
      </c>
      <c r="R1022" s="5358">
        <f>P1022/N1022*100-100</f>
        <v>3.3333333333333428</v>
      </c>
      <c r="S1022" s="5358">
        <v>160000000</v>
      </c>
      <c r="T1022" s="5359">
        <f t="shared" si="488"/>
        <v>159999996.66666666</v>
      </c>
      <c r="U1022" s="5358">
        <v>155000000</v>
      </c>
      <c r="V1022" s="5357">
        <f t="shared" si="489"/>
        <v>5000000</v>
      </c>
      <c r="W1022" s="5358">
        <f>S1022/P1022*100-100</f>
        <v>3.2258064516128968</v>
      </c>
      <c r="X1022" s="5358">
        <v>160000000</v>
      </c>
      <c r="Y1022" s="5359">
        <f t="shared" si="490"/>
        <v>159999996.77419356</v>
      </c>
      <c r="Z1022" s="5358">
        <v>155000000</v>
      </c>
      <c r="AA1022" s="5357">
        <f t="shared" si="491"/>
        <v>0</v>
      </c>
      <c r="AB1022" s="5358">
        <f>X1022/S1022*100-100</f>
        <v>0</v>
      </c>
      <c r="AC1022" s="5350"/>
      <c r="AD1022" s="5350"/>
      <c r="AE1022" s="5350"/>
      <c r="AF1022" s="5349">
        <f t="shared" si="475"/>
        <v>5000000</v>
      </c>
      <c r="AG1022" s="5338">
        <f t="shared" si="476"/>
        <v>0</v>
      </c>
    </row>
    <row r="1023" spans="1:33" s="5333" customFormat="1" ht="12.7" customHeight="1">
      <c r="A1023" s="5340"/>
      <c r="B1023" s="5340"/>
      <c r="C1023" s="5340"/>
      <c r="D1023" s="5368"/>
      <c r="E1023" s="5380"/>
      <c r="F1023" s="5380"/>
      <c r="G1023" s="5379"/>
      <c r="H1023" s="5380"/>
      <c r="I1023" s="5496"/>
      <c r="J1023" s="5408" t="s">
        <v>50</v>
      </c>
      <c r="K1023" s="5361" t="s">
        <v>384</v>
      </c>
      <c r="L1023" s="5365"/>
      <c r="M1023" s="5359">
        <v>180000000</v>
      </c>
      <c r="N1023" s="5359">
        <v>180000000</v>
      </c>
      <c r="O1023" s="5359">
        <f t="shared" si="486"/>
        <v>0</v>
      </c>
      <c r="P1023" s="5358">
        <v>185000000</v>
      </c>
      <c r="Q1023" s="5357">
        <f t="shared" si="487"/>
        <v>5000000</v>
      </c>
      <c r="R1023" s="5358">
        <f>P1023/N1023*100-100</f>
        <v>2.7777777777777715</v>
      </c>
      <c r="S1023" s="5358">
        <v>190000000</v>
      </c>
      <c r="T1023" s="5359">
        <f t="shared" si="488"/>
        <v>189999997.22222221</v>
      </c>
      <c r="U1023" s="5358">
        <v>185000000</v>
      </c>
      <c r="V1023" s="5357">
        <f t="shared" si="489"/>
        <v>5000000</v>
      </c>
      <c r="W1023" s="5358">
        <f>S1023/P1023*100-100</f>
        <v>2.7027027027026946</v>
      </c>
      <c r="X1023" s="5358">
        <v>190000000</v>
      </c>
      <c r="Y1023" s="5359">
        <f t="shared" si="490"/>
        <v>189999997.2972973</v>
      </c>
      <c r="Z1023" s="5358">
        <v>185000000</v>
      </c>
      <c r="AA1023" s="5357">
        <f t="shared" si="491"/>
        <v>0</v>
      </c>
      <c r="AB1023" s="5358">
        <f>X1023/S1023*100-100</f>
        <v>0</v>
      </c>
      <c r="AC1023" s="5350"/>
      <c r="AD1023" s="5350"/>
      <c r="AE1023" s="5350"/>
      <c r="AF1023" s="5349">
        <f t="shared" si="475"/>
        <v>5000000</v>
      </c>
      <c r="AG1023" s="5338">
        <f t="shared" si="476"/>
        <v>0</v>
      </c>
    </row>
    <row r="1024" spans="1:33" s="5333" customFormat="1" ht="12.7" customHeight="1">
      <c r="A1024" s="5340"/>
      <c r="B1024" s="5340"/>
      <c r="C1024" s="5340"/>
      <c r="D1024" s="5368"/>
      <c r="E1024" s="5380"/>
      <c r="F1024" s="5380"/>
      <c r="G1024" s="5379"/>
      <c r="H1024" s="5380"/>
      <c r="I1024" s="5496"/>
      <c r="J1024" s="5408" t="s">
        <v>50</v>
      </c>
      <c r="K1024" s="5361" t="s">
        <v>386</v>
      </c>
      <c r="L1024" s="5365"/>
      <c r="M1024" s="5359">
        <v>80000000</v>
      </c>
      <c r="N1024" s="5359">
        <v>80000000</v>
      </c>
      <c r="O1024" s="5359">
        <f t="shared" si="486"/>
        <v>0</v>
      </c>
      <c r="P1024" s="5358">
        <v>85000000</v>
      </c>
      <c r="Q1024" s="5357">
        <f t="shared" si="487"/>
        <v>5000000</v>
      </c>
      <c r="R1024" s="5358">
        <f>P1024/N1024*100-100</f>
        <v>6.25</v>
      </c>
      <c r="S1024" s="5358">
        <v>90000000</v>
      </c>
      <c r="T1024" s="5359">
        <f t="shared" si="488"/>
        <v>89999993.75</v>
      </c>
      <c r="U1024" s="5358">
        <v>85000000</v>
      </c>
      <c r="V1024" s="5357">
        <f t="shared" si="489"/>
        <v>5000000</v>
      </c>
      <c r="W1024" s="5358">
        <f>S1024/P1024*100-100</f>
        <v>5.8823529411764781</v>
      </c>
      <c r="X1024" s="5358">
        <v>90000000</v>
      </c>
      <c r="Y1024" s="5359">
        <f t="shared" si="490"/>
        <v>89999994.117647052</v>
      </c>
      <c r="Z1024" s="5358">
        <v>85000000</v>
      </c>
      <c r="AA1024" s="5357">
        <f t="shared" si="491"/>
        <v>0</v>
      </c>
      <c r="AB1024" s="5358">
        <f>X1024/S1024*100-100</f>
        <v>0</v>
      </c>
      <c r="AC1024" s="5350"/>
      <c r="AD1024" s="5350"/>
      <c r="AE1024" s="5350"/>
      <c r="AF1024" s="5349">
        <f t="shared" si="475"/>
        <v>5000000</v>
      </c>
      <c r="AG1024" s="5338">
        <f t="shared" si="476"/>
        <v>0</v>
      </c>
    </row>
    <row r="1025" spans="1:33" s="5333" customFormat="1" ht="12.7" customHeight="1">
      <c r="A1025" s="5340"/>
      <c r="B1025" s="5340"/>
      <c r="C1025" s="5340"/>
      <c r="D1025" s="5368"/>
      <c r="E1025" s="5380"/>
      <c r="F1025" s="5380"/>
      <c r="G1025" s="5379"/>
      <c r="H1025" s="5380"/>
      <c r="I1025" s="5496"/>
      <c r="J1025" s="5408" t="s">
        <v>50</v>
      </c>
      <c r="K1025" s="5361" t="s">
        <v>1015</v>
      </c>
      <c r="L1025" s="5365"/>
      <c r="M1025" s="5359">
        <v>0</v>
      </c>
      <c r="N1025" s="5359">
        <v>0</v>
      </c>
      <c r="O1025" s="5359">
        <f t="shared" si="486"/>
        <v>0</v>
      </c>
      <c r="P1025" s="5358">
        <v>0</v>
      </c>
      <c r="Q1025" s="5357">
        <f t="shared" si="487"/>
        <v>0</v>
      </c>
      <c r="R1025" s="5358">
        <v>0</v>
      </c>
      <c r="S1025" s="5358">
        <v>0</v>
      </c>
      <c r="T1025" s="5359">
        <f t="shared" si="488"/>
        <v>0</v>
      </c>
      <c r="U1025" s="5358">
        <v>0</v>
      </c>
      <c r="V1025" s="5357">
        <f t="shared" si="489"/>
        <v>0</v>
      </c>
      <c r="W1025" s="5358">
        <v>0</v>
      </c>
      <c r="X1025" s="5358">
        <v>0</v>
      </c>
      <c r="Y1025" s="5359">
        <f t="shared" si="490"/>
        <v>0</v>
      </c>
      <c r="Z1025" s="5358">
        <v>0</v>
      </c>
      <c r="AA1025" s="5357">
        <f t="shared" si="491"/>
        <v>0</v>
      </c>
      <c r="AB1025" s="5358">
        <v>0</v>
      </c>
      <c r="AC1025" s="5350"/>
      <c r="AD1025" s="5350"/>
      <c r="AE1025" s="5350"/>
      <c r="AF1025" s="5349">
        <f t="shared" si="475"/>
        <v>0</v>
      </c>
      <c r="AG1025" s="5338">
        <f t="shared" si="476"/>
        <v>0</v>
      </c>
    </row>
    <row r="1026" spans="1:33" s="5333" customFormat="1" ht="12.7" customHeight="1">
      <c r="A1026" s="5340"/>
      <c r="B1026" s="5340"/>
      <c r="C1026" s="5340"/>
      <c r="D1026" s="5368"/>
      <c r="E1026" s="5380"/>
      <c r="F1026" s="5380"/>
      <c r="G1026" s="5379"/>
      <c r="H1026" s="5380"/>
      <c r="I1026" s="5496"/>
      <c r="J1026" s="5408" t="s">
        <v>50</v>
      </c>
      <c r="K1026" s="5361" t="s">
        <v>388</v>
      </c>
      <c r="L1026" s="5365"/>
      <c r="M1026" s="5359">
        <v>15000000</v>
      </c>
      <c r="N1026" s="5359">
        <v>15000000</v>
      </c>
      <c r="O1026" s="5359">
        <f t="shared" si="486"/>
        <v>0</v>
      </c>
      <c r="P1026" s="5358">
        <v>15000000</v>
      </c>
      <c r="Q1026" s="5357">
        <f t="shared" si="487"/>
        <v>0</v>
      </c>
      <c r="R1026" s="5358">
        <f>P1026/N1026*100-100</f>
        <v>0</v>
      </c>
      <c r="S1026" s="5358">
        <v>15000000</v>
      </c>
      <c r="T1026" s="5359">
        <f t="shared" si="488"/>
        <v>15000000</v>
      </c>
      <c r="U1026" s="5358">
        <v>15000000</v>
      </c>
      <c r="V1026" s="5357">
        <f t="shared" si="489"/>
        <v>0</v>
      </c>
      <c r="W1026" s="5358">
        <f>S1026/P1026*100-100</f>
        <v>0</v>
      </c>
      <c r="X1026" s="5358">
        <v>15000000</v>
      </c>
      <c r="Y1026" s="5359">
        <f t="shared" si="490"/>
        <v>15000000</v>
      </c>
      <c r="Z1026" s="5358">
        <v>15000000</v>
      </c>
      <c r="AA1026" s="5357">
        <f t="shared" si="491"/>
        <v>0</v>
      </c>
      <c r="AB1026" s="5358">
        <f>X1026/S1026*100-100</f>
        <v>0</v>
      </c>
      <c r="AC1026" s="5350"/>
      <c r="AD1026" s="5350"/>
      <c r="AE1026" s="5350"/>
      <c r="AF1026" s="5349">
        <f t="shared" si="475"/>
        <v>0</v>
      </c>
      <c r="AG1026" s="5338">
        <f t="shared" si="476"/>
        <v>0</v>
      </c>
    </row>
    <row r="1027" spans="1:33" s="5333" customFormat="1">
      <c r="A1027" s="5340"/>
      <c r="B1027" s="5340"/>
      <c r="C1027" s="5340"/>
      <c r="D1027" s="5368"/>
      <c r="E1027" s="5380"/>
      <c r="F1027" s="5380"/>
      <c r="G1027" s="5379"/>
      <c r="H1027" s="5380"/>
      <c r="I1027" s="5496"/>
      <c r="J1027" s="5408" t="s">
        <v>50</v>
      </c>
      <c r="K1027" s="5361" t="s">
        <v>389</v>
      </c>
      <c r="L1027" s="5365"/>
      <c r="M1027" s="5359">
        <v>30000000</v>
      </c>
      <c r="N1027" s="5359">
        <v>30000000</v>
      </c>
      <c r="O1027" s="5359">
        <f t="shared" si="486"/>
        <v>0</v>
      </c>
      <c r="P1027" s="5358">
        <v>30000000</v>
      </c>
      <c r="Q1027" s="5357">
        <f t="shared" si="487"/>
        <v>0</v>
      </c>
      <c r="R1027" s="5358">
        <f>P1027/N1027*100-100</f>
        <v>0</v>
      </c>
      <c r="S1027" s="5358">
        <v>30000000</v>
      </c>
      <c r="T1027" s="5359">
        <f t="shared" si="488"/>
        <v>30000000</v>
      </c>
      <c r="U1027" s="5358">
        <v>30000000</v>
      </c>
      <c r="V1027" s="5357">
        <f t="shared" si="489"/>
        <v>0</v>
      </c>
      <c r="W1027" s="5358">
        <f>S1027/P1027*100-100</f>
        <v>0</v>
      </c>
      <c r="X1027" s="5358">
        <v>30000000</v>
      </c>
      <c r="Y1027" s="5359">
        <f t="shared" si="490"/>
        <v>30000000</v>
      </c>
      <c r="Z1027" s="5358">
        <v>30000000</v>
      </c>
      <c r="AA1027" s="5357">
        <f t="shared" si="491"/>
        <v>0</v>
      </c>
      <c r="AB1027" s="5358">
        <f>X1027/S1027*100-100</f>
        <v>0</v>
      </c>
      <c r="AC1027" s="5350"/>
      <c r="AD1027" s="5350"/>
      <c r="AE1027" s="5350"/>
      <c r="AF1027" s="5349">
        <f t="shared" si="475"/>
        <v>0</v>
      </c>
      <c r="AG1027" s="5338">
        <f t="shared" si="476"/>
        <v>0</v>
      </c>
    </row>
    <row r="1028" spans="1:33" s="5333" customFormat="1">
      <c r="A1028" s="5340"/>
      <c r="B1028" s="5340"/>
      <c r="C1028" s="5340"/>
      <c r="D1028" s="5368"/>
      <c r="E1028" s="5380"/>
      <c r="F1028" s="5380"/>
      <c r="G1028" s="5379"/>
      <c r="H1028" s="5380"/>
      <c r="I1028" s="5496"/>
      <c r="J1028" s="5408"/>
      <c r="K1028" s="5361"/>
      <c r="L1028" s="5365"/>
      <c r="M1028" s="5359"/>
      <c r="N1028" s="5359"/>
      <c r="O1028" s="5359"/>
      <c r="P1028" s="5358"/>
      <c r="Q1028" s="5357"/>
      <c r="R1028" s="5358"/>
      <c r="S1028" s="5358"/>
      <c r="T1028" s="5359"/>
      <c r="U1028" s="5358"/>
      <c r="V1028" s="5357"/>
      <c r="W1028" s="5358"/>
      <c r="X1028" s="5358"/>
      <c r="Y1028" s="5359"/>
      <c r="Z1028" s="5358"/>
      <c r="AA1028" s="5357"/>
      <c r="AB1028" s="5358"/>
      <c r="AC1028" s="5350"/>
      <c r="AD1028" s="5350"/>
      <c r="AE1028" s="5350"/>
      <c r="AF1028" s="5349">
        <f t="shared" si="475"/>
        <v>0</v>
      </c>
      <c r="AG1028" s="5338">
        <f t="shared" si="476"/>
        <v>0</v>
      </c>
    </row>
    <row r="1029" spans="1:33" s="5333" customFormat="1" ht="16.45" hidden="1" customHeight="1">
      <c r="A1029" s="5340"/>
      <c r="B1029" s="5340"/>
      <c r="C1029" s="5340"/>
      <c r="D1029" s="5367">
        <v>4</v>
      </c>
      <c r="E1029" s="5367">
        <v>1</v>
      </c>
      <c r="F1029" s="5367">
        <v>2</v>
      </c>
      <c r="G1029" s="5379" t="s">
        <v>440</v>
      </c>
      <c r="H1029" s="5380"/>
      <c r="I1029" s="5496"/>
      <c r="J1029" s="5366" t="s">
        <v>1284</v>
      </c>
      <c r="K1029" s="5361"/>
      <c r="L1029" s="5365"/>
      <c r="M1029" s="5407">
        <v>6000000</v>
      </c>
      <c r="N1029" s="5407">
        <f>N1030</f>
        <v>0</v>
      </c>
      <c r="O1029" s="5407">
        <f>N1029-M1029</f>
        <v>-6000000</v>
      </c>
      <c r="P1029" s="5407">
        <f>P1030</f>
        <v>0</v>
      </c>
      <c r="Q1029" s="5357">
        <f>+P1029-N1029</f>
        <v>0</v>
      </c>
      <c r="R1029" s="5358">
        <v>0</v>
      </c>
      <c r="S1029" s="5407">
        <f>S1030</f>
        <v>0</v>
      </c>
      <c r="T1029" s="5407">
        <f>S1029-R1029</f>
        <v>0</v>
      </c>
      <c r="U1029" s="5407">
        <f>U1030</f>
        <v>0</v>
      </c>
      <c r="V1029" s="5357">
        <f>S1029-P1029</f>
        <v>0</v>
      </c>
      <c r="W1029" s="5358">
        <v>0</v>
      </c>
      <c r="X1029" s="5407">
        <f>X1030</f>
        <v>0</v>
      </c>
      <c r="Y1029" s="5407">
        <f>X1029-W1029</f>
        <v>0</v>
      </c>
      <c r="Z1029" s="5407">
        <f>Z1030</f>
        <v>0</v>
      </c>
      <c r="AA1029" s="5357">
        <f>X1029-S1029</f>
        <v>0</v>
      </c>
      <c r="AB1029" s="5358">
        <v>0</v>
      </c>
      <c r="AC1029" s="5350"/>
      <c r="AD1029" s="5350"/>
      <c r="AE1029" s="5350"/>
      <c r="AF1029" s="5349">
        <f t="shared" si="475"/>
        <v>0</v>
      </c>
      <c r="AG1029" s="5338">
        <f t="shared" si="476"/>
        <v>0</v>
      </c>
    </row>
    <row r="1030" spans="1:33" s="5405" customFormat="1" ht="16.45" hidden="1" customHeight="1">
      <c r="A1030" s="5406"/>
      <c r="B1030" s="5406"/>
      <c r="C1030" s="5406"/>
      <c r="D1030" s="5367">
        <v>4</v>
      </c>
      <c r="E1030" s="5367">
        <v>1</v>
      </c>
      <c r="F1030" s="5367">
        <v>2</v>
      </c>
      <c r="G1030" s="5379" t="s">
        <v>440</v>
      </c>
      <c r="H1030" s="5379" t="s">
        <v>438</v>
      </c>
      <c r="I1030" s="5495"/>
      <c r="J1030" s="5366" t="s">
        <v>391</v>
      </c>
      <c r="K1030" s="5361"/>
      <c r="L1030" s="5365"/>
      <c r="M1030" s="5359">
        <v>6000000</v>
      </c>
      <c r="N1030" s="5359">
        <v>0</v>
      </c>
      <c r="O1030" s="5359">
        <f>N1030-M1030</f>
        <v>-6000000</v>
      </c>
      <c r="P1030" s="5359">
        <v>0</v>
      </c>
      <c r="Q1030" s="5357">
        <f>+P1030-N1030</f>
        <v>0</v>
      </c>
      <c r="R1030" s="5358">
        <v>0</v>
      </c>
      <c r="S1030" s="5359">
        <v>0</v>
      </c>
      <c r="T1030" s="5359">
        <f>S1030-R1030</f>
        <v>0</v>
      </c>
      <c r="U1030" s="5359">
        <v>0</v>
      </c>
      <c r="V1030" s="5357">
        <f>S1030-P1030</f>
        <v>0</v>
      </c>
      <c r="W1030" s="5358">
        <v>0</v>
      </c>
      <c r="X1030" s="5359">
        <v>0</v>
      </c>
      <c r="Y1030" s="5359">
        <f>X1030-W1030</f>
        <v>0</v>
      </c>
      <c r="Z1030" s="5359">
        <v>0</v>
      </c>
      <c r="AA1030" s="5357">
        <f>X1030-S1030</f>
        <v>0</v>
      </c>
      <c r="AB1030" s="5358">
        <v>0</v>
      </c>
      <c r="AC1030" s="5350"/>
      <c r="AD1030" s="5350"/>
      <c r="AE1030" s="5350"/>
      <c r="AF1030" s="5349">
        <f t="shared" si="475"/>
        <v>0</v>
      </c>
      <c r="AG1030" s="5338">
        <f t="shared" si="476"/>
        <v>0</v>
      </c>
    </row>
    <row r="1031" spans="1:33" s="5333" customFormat="1" ht="16.45" hidden="1" customHeight="1">
      <c r="A1031" s="5340"/>
      <c r="B1031" s="5340"/>
      <c r="C1031" s="5340"/>
      <c r="D1031" s="5368"/>
      <c r="E1031" s="5380"/>
      <c r="F1031" s="5380"/>
      <c r="G1031" s="5379"/>
      <c r="H1031" s="5380"/>
      <c r="I1031" s="5496"/>
      <c r="J1031" s="5366"/>
      <c r="K1031" s="5361"/>
      <c r="L1031" s="5365"/>
      <c r="M1031" s="5357"/>
      <c r="N1031" s="5357"/>
      <c r="O1031" s="5357"/>
      <c r="P1031" s="5358"/>
      <c r="Q1031" s="5357"/>
      <c r="R1031" s="5358"/>
      <c r="S1031" s="5358"/>
      <c r="T1031" s="5357"/>
      <c r="U1031" s="5358"/>
      <c r="V1031" s="5357"/>
      <c r="W1031" s="5358"/>
      <c r="X1031" s="5358"/>
      <c r="Y1031" s="5357"/>
      <c r="Z1031" s="5358"/>
      <c r="AA1031" s="5357"/>
      <c r="AB1031" s="5358"/>
      <c r="AC1031" s="5349"/>
      <c r="AD1031" s="5349"/>
      <c r="AE1031" s="5349"/>
      <c r="AF1031" s="5349">
        <f t="shared" si="475"/>
        <v>0</v>
      </c>
      <c r="AG1031" s="5338">
        <f t="shared" si="476"/>
        <v>0</v>
      </c>
    </row>
    <row r="1032" spans="1:33" s="5333" customFormat="1" ht="16.45" hidden="1" customHeight="1">
      <c r="A1032" s="5340"/>
      <c r="B1032" s="5340"/>
      <c r="C1032" s="5340"/>
      <c r="D1032" s="5404">
        <v>4</v>
      </c>
      <c r="E1032" s="5404">
        <v>1</v>
      </c>
      <c r="F1032" s="5404">
        <v>4</v>
      </c>
      <c r="G1032" s="5403"/>
      <c r="H1032" s="5403"/>
      <c r="I1032" s="5650"/>
      <c r="J1032" s="5385" t="s">
        <v>71</v>
      </c>
      <c r="K1032" s="5384"/>
      <c r="L1032" s="5383"/>
      <c r="M1032" s="5402">
        <v>0</v>
      </c>
      <c r="N1032" s="5402">
        <f>+N1033+N1036</f>
        <v>16250000</v>
      </c>
      <c r="O1032" s="5402">
        <f t="shared" ref="O1032:O1038" si="492">N1032-M1032</f>
        <v>16250000</v>
      </c>
      <c r="P1032" s="5402">
        <f>+P1033+P1036</f>
        <v>0</v>
      </c>
      <c r="Q1032" s="5357">
        <f t="shared" ref="Q1032:Q1038" si="493">+P1032-N1032</f>
        <v>-16250000</v>
      </c>
      <c r="R1032" s="5401">
        <f t="shared" ref="R1032:R1038" si="494">P1032/N1032*100-100</f>
        <v>-100</v>
      </c>
      <c r="S1032" s="5402">
        <f>+S1033+S1036</f>
        <v>0</v>
      </c>
      <c r="T1032" s="5402">
        <f t="shared" ref="T1032:T1038" si="495">S1032-R1032</f>
        <v>100</v>
      </c>
      <c r="U1032" s="5402">
        <f>+U1033+U1036</f>
        <v>0</v>
      </c>
      <c r="V1032" s="5357">
        <f t="shared" ref="V1032:V1038" si="496">S1032-P1032</f>
        <v>0</v>
      </c>
      <c r="W1032" s="5401" t="e">
        <f t="shared" ref="W1032:W1040" si="497">S1032/P1032*100-100</f>
        <v>#DIV/0!</v>
      </c>
      <c r="X1032" s="5402">
        <f>+X1033+X1036</f>
        <v>0</v>
      </c>
      <c r="Y1032" s="5402" t="e">
        <f t="shared" ref="Y1032:Y1038" si="498">X1032-W1032</f>
        <v>#DIV/0!</v>
      </c>
      <c r="Z1032" s="5402">
        <f>+Z1033+Z1036</f>
        <v>0</v>
      </c>
      <c r="AA1032" s="5357">
        <f t="shared" ref="AA1032:AA1038" si="499">X1032-S1032</f>
        <v>0</v>
      </c>
      <c r="AB1032" s="5401">
        <v>0</v>
      </c>
      <c r="AC1032" s="5349"/>
      <c r="AD1032" s="5349"/>
      <c r="AE1032" s="5349"/>
      <c r="AF1032" s="5349">
        <f t="shared" si="475"/>
        <v>0</v>
      </c>
      <c r="AG1032" s="5338">
        <f t="shared" si="476"/>
        <v>0</v>
      </c>
    </row>
    <row r="1033" spans="1:33" s="5333" customFormat="1" ht="16.45" hidden="1" customHeight="1">
      <c r="A1033" s="5340"/>
      <c r="B1033" s="5340"/>
      <c r="C1033" s="5340"/>
      <c r="D1033" s="5367">
        <v>4</v>
      </c>
      <c r="E1033" s="5367">
        <v>1</v>
      </c>
      <c r="F1033" s="5367">
        <v>4</v>
      </c>
      <c r="G1033" s="5367" t="s">
        <v>444</v>
      </c>
      <c r="H1033" s="5367"/>
      <c r="I1033" s="5631"/>
      <c r="J1033" s="5366" t="s">
        <v>222</v>
      </c>
      <c r="K1033" s="5361"/>
      <c r="L1033" s="5365"/>
      <c r="M1033" s="5357">
        <v>0</v>
      </c>
      <c r="N1033" s="5357">
        <f>+N1034</f>
        <v>0</v>
      </c>
      <c r="O1033" s="5357">
        <f t="shared" si="492"/>
        <v>0</v>
      </c>
      <c r="P1033" s="5357">
        <f>+P1034</f>
        <v>0</v>
      </c>
      <c r="Q1033" s="5357">
        <f t="shared" si="493"/>
        <v>0</v>
      </c>
      <c r="R1033" s="5358" t="e">
        <f t="shared" si="494"/>
        <v>#DIV/0!</v>
      </c>
      <c r="S1033" s="5357">
        <f>+S1034</f>
        <v>0</v>
      </c>
      <c r="T1033" s="5357" t="e">
        <f t="shared" si="495"/>
        <v>#DIV/0!</v>
      </c>
      <c r="U1033" s="5357">
        <f>+U1034</f>
        <v>0</v>
      </c>
      <c r="V1033" s="5357">
        <f t="shared" si="496"/>
        <v>0</v>
      </c>
      <c r="W1033" s="5358" t="e">
        <f t="shared" si="497"/>
        <v>#DIV/0!</v>
      </c>
      <c r="X1033" s="5357">
        <f>+X1034</f>
        <v>0</v>
      </c>
      <c r="Y1033" s="5357" t="e">
        <f t="shared" si="498"/>
        <v>#DIV/0!</v>
      </c>
      <c r="Z1033" s="5357">
        <f>+Z1034</f>
        <v>0</v>
      </c>
      <c r="AA1033" s="5357">
        <f t="shared" si="499"/>
        <v>0</v>
      </c>
      <c r="AB1033" s="5358">
        <v>0</v>
      </c>
      <c r="AC1033" s="5349"/>
      <c r="AD1033" s="5349"/>
      <c r="AE1033" s="5349"/>
      <c r="AF1033" s="5349">
        <f t="shared" si="475"/>
        <v>0</v>
      </c>
      <c r="AG1033" s="5338">
        <f t="shared" si="476"/>
        <v>0</v>
      </c>
    </row>
    <row r="1034" spans="1:33" s="5333" customFormat="1" ht="16.45" hidden="1" customHeight="1">
      <c r="A1034" s="5340"/>
      <c r="B1034" s="5340"/>
      <c r="C1034" s="5340"/>
      <c r="D1034" s="5400">
        <v>4</v>
      </c>
      <c r="E1034" s="5400">
        <v>1</v>
      </c>
      <c r="F1034" s="5400">
        <v>4</v>
      </c>
      <c r="G1034" s="5400" t="s">
        <v>444</v>
      </c>
      <c r="H1034" s="5400" t="s">
        <v>441</v>
      </c>
      <c r="I1034" s="5634"/>
      <c r="J1034" s="5366" t="s">
        <v>1283</v>
      </c>
      <c r="K1034" s="5361"/>
      <c r="L1034" s="5365"/>
      <c r="M1034" s="5357">
        <v>0</v>
      </c>
      <c r="N1034" s="5357">
        <v>0</v>
      </c>
      <c r="O1034" s="5359">
        <f t="shared" si="492"/>
        <v>0</v>
      </c>
      <c r="P1034" s="5357">
        <v>0</v>
      </c>
      <c r="Q1034" s="5357">
        <f t="shared" si="493"/>
        <v>0</v>
      </c>
      <c r="R1034" s="5358" t="e">
        <f t="shared" si="494"/>
        <v>#DIV/0!</v>
      </c>
      <c r="S1034" s="5357">
        <v>0</v>
      </c>
      <c r="T1034" s="5359" t="e">
        <f t="shared" si="495"/>
        <v>#DIV/0!</v>
      </c>
      <c r="U1034" s="5357">
        <v>0</v>
      </c>
      <c r="V1034" s="5357">
        <f t="shared" si="496"/>
        <v>0</v>
      </c>
      <c r="W1034" s="5358" t="e">
        <f t="shared" si="497"/>
        <v>#DIV/0!</v>
      </c>
      <c r="X1034" s="5357">
        <v>0</v>
      </c>
      <c r="Y1034" s="5359" t="e">
        <f t="shared" si="498"/>
        <v>#DIV/0!</v>
      </c>
      <c r="Z1034" s="5357">
        <v>0</v>
      </c>
      <c r="AA1034" s="5357">
        <f t="shared" si="499"/>
        <v>0</v>
      </c>
      <c r="AB1034" s="5358">
        <v>0</v>
      </c>
      <c r="AC1034" s="5349"/>
      <c r="AD1034" s="5349"/>
      <c r="AE1034" s="5349"/>
      <c r="AF1034" s="5349">
        <f t="shared" si="475"/>
        <v>0</v>
      </c>
      <c r="AG1034" s="5338">
        <f t="shared" si="476"/>
        <v>0</v>
      </c>
    </row>
    <row r="1035" spans="1:33" s="5333" customFormat="1" ht="16.45" hidden="1" customHeight="1">
      <c r="A1035" s="5340"/>
      <c r="B1035" s="5340"/>
      <c r="C1035" s="5340"/>
      <c r="D1035" s="5367"/>
      <c r="E1035" s="5380"/>
      <c r="F1035" s="5380"/>
      <c r="G1035" s="5379"/>
      <c r="H1035" s="5379"/>
      <c r="I1035" s="5495"/>
      <c r="J1035" s="5366"/>
      <c r="K1035" s="5361"/>
      <c r="L1035" s="5365"/>
      <c r="M1035" s="5357"/>
      <c r="N1035" s="5357"/>
      <c r="O1035" s="5357">
        <f t="shared" si="492"/>
        <v>0</v>
      </c>
      <c r="P1035" s="5357"/>
      <c r="Q1035" s="5357">
        <f t="shared" si="493"/>
        <v>0</v>
      </c>
      <c r="R1035" s="5358" t="e">
        <f t="shared" si="494"/>
        <v>#DIV/0!</v>
      </c>
      <c r="S1035" s="5357"/>
      <c r="T1035" s="5357" t="e">
        <f t="shared" si="495"/>
        <v>#DIV/0!</v>
      </c>
      <c r="U1035" s="5357"/>
      <c r="V1035" s="5357">
        <f t="shared" si="496"/>
        <v>0</v>
      </c>
      <c r="W1035" s="5358" t="e">
        <f t="shared" si="497"/>
        <v>#DIV/0!</v>
      </c>
      <c r="X1035" s="5357"/>
      <c r="Y1035" s="5357" t="e">
        <f t="shared" si="498"/>
        <v>#DIV/0!</v>
      </c>
      <c r="Z1035" s="5357"/>
      <c r="AA1035" s="5357">
        <f t="shared" si="499"/>
        <v>0</v>
      </c>
      <c r="AB1035" s="5358">
        <v>0</v>
      </c>
      <c r="AC1035" s="5349"/>
      <c r="AD1035" s="5349"/>
      <c r="AE1035" s="5349"/>
      <c r="AF1035" s="5349">
        <f t="shared" si="475"/>
        <v>0</v>
      </c>
      <c r="AG1035" s="5338">
        <f t="shared" si="476"/>
        <v>0</v>
      </c>
    </row>
    <row r="1036" spans="1:33" s="5333" customFormat="1" ht="16.45" hidden="1" customHeight="1">
      <c r="A1036" s="5340"/>
      <c r="B1036" s="5340"/>
      <c r="C1036" s="5340"/>
      <c r="D1036" s="5367">
        <v>4</v>
      </c>
      <c r="E1036" s="5367">
        <v>1</v>
      </c>
      <c r="F1036" s="5367">
        <v>4</v>
      </c>
      <c r="G1036" s="5367" t="s">
        <v>948</v>
      </c>
      <c r="H1036" s="5368"/>
      <c r="I1036" s="5632"/>
      <c r="J1036" s="5366" t="s">
        <v>321</v>
      </c>
      <c r="K1036" s="5361"/>
      <c r="L1036" s="5365"/>
      <c r="M1036" s="5357">
        <v>0</v>
      </c>
      <c r="N1036" s="5357">
        <f>+N1037</f>
        <v>16250000</v>
      </c>
      <c r="O1036" s="5357">
        <f t="shared" si="492"/>
        <v>16250000</v>
      </c>
      <c r="P1036" s="5357">
        <f>+P1037</f>
        <v>0</v>
      </c>
      <c r="Q1036" s="5357">
        <f t="shared" si="493"/>
        <v>-16250000</v>
      </c>
      <c r="R1036" s="5358">
        <f t="shared" si="494"/>
        <v>-100</v>
      </c>
      <c r="S1036" s="5357">
        <f>+S1037</f>
        <v>0</v>
      </c>
      <c r="T1036" s="5357">
        <f t="shared" si="495"/>
        <v>100</v>
      </c>
      <c r="U1036" s="5357">
        <f>+U1037</f>
        <v>0</v>
      </c>
      <c r="V1036" s="5357">
        <f t="shared" si="496"/>
        <v>0</v>
      </c>
      <c r="W1036" s="5358" t="e">
        <f t="shared" si="497"/>
        <v>#DIV/0!</v>
      </c>
      <c r="X1036" s="5357">
        <f>+X1037</f>
        <v>0</v>
      </c>
      <c r="Y1036" s="5357" t="e">
        <f t="shared" si="498"/>
        <v>#DIV/0!</v>
      </c>
      <c r="Z1036" s="5357">
        <f>+Z1037</f>
        <v>0</v>
      </c>
      <c r="AA1036" s="5357">
        <f t="shared" si="499"/>
        <v>0</v>
      </c>
      <c r="AB1036" s="5358">
        <v>0</v>
      </c>
      <c r="AC1036" s="5349"/>
      <c r="AD1036" s="5349"/>
      <c r="AE1036" s="5349"/>
      <c r="AF1036" s="5349">
        <f t="shared" si="475"/>
        <v>0</v>
      </c>
      <c r="AG1036" s="5338">
        <f t="shared" si="476"/>
        <v>0</v>
      </c>
    </row>
    <row r="1037" spans="1:33" s="5333" customFormat="1" ht="16.45" hidden="1" customHeight="1">
      <c r="A1037" s="5340"/>
      <c r="B1037" s="5340"/>
      <c r="C1037" s="5340"/>
      <c r="D1037" s="5367">
        <v>4</v>
      </c>
      <c r="E1037" s="5367">
        <v>1</v>
      </c>
      <c r="F1037" s="5367">
        <v>4</v>
      </c>
      <c r="G1037" s="5367" t="s">
        <v>948</v>
      </c>
      <c r="H1037" s="5367" t="s">
        <v>437</v>
      </c>
      <c r="I1037" s="5631"/>
      <c r="J1037" s="5366" t="s">
        <v>85</v>
      </c>
      <c r="K1037" s="5361"/>
      <c r="L1037" s="5365"/>
      <c r="M1037" s="5357">
        <v>0</v>
      </c>
      <c r="N1037" s="5357">
        <f>N1038</f>
        <v>16250000</v>
      </c>
      <c r="O1037" s="5357">
        <f t="shared" si="492"/>
        <v>16250000</v>
      </c>
      <c r="P1037" s="5357">
        <f>P1038</f>
        <v>0</v>
      </c>
      <c r="Q1037" s="5357">
        <f t="shared" si="493"/>
        <v>-16250000</v>
      </c>
      <c r="R1037" s="5358">
        <f t="shared" si="494"/>
        <v>-100</v>
      </c>
      <c r="S1037" s="5357">
        <f>S1038</f>
        <v>0</v>
      </c>
      <c r="T1037" s="5357">
        <f t="shared" si="495"/>
        <v>100</v>
      </c>
      <c r="U1037" s="5357">
        <f>U1038</f>
        <v>0</v>
      </c>
      <c r="V1037" s="5357">
        <f t="shared" si="496"/>
        <v>0</v>
      </c>
      <c r="W1037" s="5358" t="e">
        <f t="shared" si="497"/>
        <v>#DIV/0!</v>
      </c>
      <c r="X1037" s="5357">
        <f>X1038</f>
        <v>0</v>
      </c>
      <c r="Y1037" s="5357" t="e">
        <f t="shared" si="498"/>
        <v>#DIV/0!</v>
      </c>
      <c r="Z1037" s="5357">
        <f>Z1038</f>
        <v>0</v>
      </c>
      <c r="AA1037" s="5357">
        <f t="shared" si="499"/>
        <v>0</v>
      </c>
      <c r="AB1037" s="5358">
        <v>0</v>
      </c>
      <c r="AC1037" s="5349"/>
      <c r="AD1037" s="5349"/>
      <c r="AE1037" s="5349"/>
      <c r="AF1037" s="5349">
        <f t="shared" si="475"/>
        <v>0</v>
      </c>
      <c r="AG1037" s="5338">
        <f t="shared" si="476"/>
        <v>0</v>
      </c>
    </row>
    <row r="1038" spans="1:33" s="5333" customFormat="1" ht="16.45" hidden="1" customHeight="1">
      <c r="A1038" s="5340"/>
      <c r="B1038" s="5340"/>
      <c r="C1038" s="5340"/>
      <c r="D1038" s="5378"/>
      <c r="E1038" s="5363"/>
      <c r="F1038" s="5363"/>
      <c r="G1038" s="5399"/>
      <c r="H1038" s="5399"/>
      <c r="I1038" s="5638"/>
      <c r="J1038" s="5362" t="s">
        <v>50</v>
      </c>
      <c r="K1038" s="5361" t="s">
        <v>1016</v>
      </c>
      <c r="L1038" s="5375"/>
      <c r="M1038" s="5359">
        <v>0</v>
      </c>
      <c r="N1038" s="5359">
        <v>16250000</v>
      </c>
      <c r="O1038" s="5359">
        <f t="shared" si="492"/>
        <v>16250000</v>
      </c>
      <c r="P1038" s="5358">
        <v>0</v>
      </c>
      <c r="Q1038" s="5357">
        <f t="shared" si="493"/>
        <v>-16250000</v>
      </c>
      <c r="R1038" s="5356">
        <f t="shared" si="494"/>
        <v>-100</v>
      </c>
      <c r="S1038" s="5358">
        <v>0</v>
      </c>
      <c r="T1038" s="5359">
        <f t="shared" si="495"/>
        <v>100</v>
      </c>
      <c r="U1038" s="5358">
        <v>0</v>
      </c>
      <c r="V1038" s="5357">
        <f t="shared" si="496"/>
        <v>0</v>
      </c>
      <c r="W1038" s="5356" t="e">
        <f t="shared" si="497"/>
        <v>#DIV/0!</v>
      </c>
      <c r="X1038" s="5358">
        <v>0</v>
      </c>
      <c r="Y1038" s="5359" t="e">
        <f t="shared" si="498"/>
        <v>#DIV/0!</v>
      </c>
      <c r="Z1038" s="5358">
        <v>0</v>
      </c>
      <c r="AA1038" s="5357">
        <f t="shared" si="499"/>
        <v>0</v>
      </c>
      <c r="AB1038" s="5356">
        <v>0</v>
      </c>
      <c r="AC1038" s="5350"/>
      <c r="AD1038" s="5350"/>
      <c r="AE1038" s="5350"/>
      <c r="AF1038" s="5349">
        <f t="shared" si="475"/>
        <v>0</v>
      </c>
      <c r="AG1038" s="5338">
        <f t="shared" si="476"/>
        <v>0</v>
      </c>
    </row>
    <row r="1039" spans="1:33" s="5333" customFormat="1" ht="16.45" hidden="1" customHeight="1">
      <c r="A1039" s="5340"/>
      <c r="B1039" s="5340"/>
      <c r="C1039" s="5340"/>
      <c r="D1039" s="5364"/>
      <c r="E1039" s="5363"/>
      <c r="F1039" s="5363"/>
      <c r="G1039" s="5363"/>
      <c r="H1039" s="5363"/>
      <c r="I1039" s="5635"/>
      <c r="J1039" s="5362"/>
      <c r="K1039" s="5376"/>
      <c r="L1039" s="5375"/>
      <c r="M1039" s="5398"/>
      <c r="N1039" s="5398"/>
      <c r="O1039" s="5398"/>
      <c r="P1039" s="5396"/>
      <c r="Q1039" s="5397"/>
      <c r="R1039" s="5396"/>
      <c r="S1039" s="5396"/>
      <c r="T1039" s="5398"/>
      <c r="U1039" s="5396"/>
      <c r="V1039" s="5397"/>
      <c r="W1039" s="5396" t="e">
        <f t="shared" si="497"/>
        <v>#DIV/0!</v>
      </c>
      <c r="X1039" s="5396"/>
      <c r="Y1039" s="5398"/>
      <c r="Z1039" s="5396"/>
      <c r="AA1039" s="5397"/>
      <c r="AB1039" s="5396"/>
      <c r="AC1039" s="5350"/>
      <c r="AD1039" s="5350"/>
      <c r="AE1039" s="5350"/>
      <c r="AF1039" s="5349">
        <f t="shared" si="475"/>
        <v>0</v>
      </c>
      <c r="AG1039" s="5338">
        <f t="shared" si="476"/>
        <v>0</v>
      </c>
    </row>
    <row r="1040" spans="1:33" s="5333" customFormat="1" ht="15.05" customHeight="1">
      <c r="A1040" s="5395" t="s">
        <v>460</v>
      </c>
      <c r="B1040" s="5394" t="s">
        <v>456</v>
      </c>
      <c r="C1040" s="5394" t="s">
        <v>437</v>
      </c>
      <c r="D1040" s="5393"/>
      <c r="E1040" s="5392"/>
      <c r="F1040" s="5392"/>
      <c r="G1040" s="5392"/>
      <c r="H1040" s="5392"/>
      <c r="I1040" s="5637" t="s">
        <v>915</v>
      </c>
      <c r="J1040" s="5391" t="s">
        <v>397</v>
      </c>
      <c r="K1040" s="5390"/>
      <c r="L1040" s="5389"/>
      <c r="M1040" s="5355">
        <v>310000000</v>
      </c>
      <c r="N1040" s="5355">
        <f>+N1042</f>
        <v>315000000</v>
      </c>
      <c r="O1040" s="5355">
        <f>N1040-M1040</f>
        <v>5000000</v>
      </c>
      <c r="P1040" s="5388">
        <f>+P1042</f>
        <v>315000000</v>
      </c>
      <c r="Q1040" s="5355">
        <f>+P1040-N1040</f>
        <v>0</v>
      </c>
      <c r="R1040" s="5388">
        <f>P1040/N1040*100-100</f>
        <v>0</v>
      </c>
      <c r="S1040" s="5388">
        <f>+S1042</f>
        <v>0</v>
      </c>
      <c r="T1040" s="5355">
        <f>S1040-R1040</f>
        <v>0</v>
      </c>
      <c r="U1040" s="5388">
        <f>+U1042</f>
        <v>315000000</v>
      </c>
      <c r="V1040" s="5355">
        <f>S1040-P1040</f>
        <v>-315000000</v>
      </c>
      <c r="W1040" s="5388">
        <f t="shared" si="497"/>
        <v>-100</v>
      </c>
      <c r="X1040" s="5388">
        <f>+X1042</f>
        <v>0</v>
      </c>
      <c r="Y1040" s="5355">
        <f>X1040-W1040</f>
        <v>100</v>
      </c>
      <c r="Z1040" s="5388">
        <f>+Z1042</f>
        <v>315000000</v>
      </c>
      <c r="AA1040" s="5355">
        <f>X1040-S1040</f>
        <v>0</v>
      </c>
      <c r="AB1040" s="5388" t="e">
        <f>X1040/S1040*100-100</f>
        <v>#DIV/0!</v>
      </c>
      <c r="AC1040" s="5349"/>
      <c r="AD1040" s="5349"/>
      <c r="AE1040" s="5349"/>
      <c r="AF1040" s="5349">
        <f t="shared" si="475"/>
        <v>-315000000</v>
      </c>
      <c r="AG1040" s="5338">
        <f t="shared" si="476"/>
        <v>0</v>
      </c>
    </row>
    <row r="1041" spans="1:33" s="5333" customFormat="1">
      <c r="A1041" s="5340"/>
      <c r="B1041" s="5340"/>
      <c r="C1041" s="5340"/>
      <c r="D1041" s="5387"/>
      <c r="E1041" s="5386"/>
      <c r="F1041" s="5386"/>
      <c r="G1041" s="5386"/>
      <c r="H1041" s="5386"/>
      <c r="I1041" s="5636" t="s">
        <v>919</v>
      </c>
      <c r="J1041" s="5385" t="s">
        <v>393</v>
      </c>
      <c r="K1041" s="5384"/>
      <c r="L1041" s="5383"/>
      <c r="M1041" s="5382"/>
      <c r="N1041" s="5382"/>
      <c r="O1041" s="5382"/>
      <c r="P1041" s="5381"/>
      <c r="Q1041" s="5382"/>
      <c r="R1041" s="5381"/>
      <c r="S1041" s="5381"/>
      <c r="T1041" s="5382"/>
      <c r="U1041" s="5381"/>
      <c r="V1041" s="5382"/>
      <c r="W1041" s="5381"/>
      <c r="X1041" s="5381"/>
      <c r="Y1041" s="5382"/>
      <c r="Z1041" s="5381"/>
      <c r="AA1041" s="5382"/>
      <c r="AB1041" s="5381"/>
      <c r="AC1041" s="5349"/>
      <c r="AD1041" s="5349"/>
      <c r="AE1041" s="5349"/>
      <c r="AF1041" s="5349">
        <f t="shared" si="475"/>
        <v>0</v>
      </c>
      <c r="AG1041" s="5338">
        <f t="shared" si="476"/>
        <v>0</v>
      </c>
    </row>
    <row r="1042" spans="1:33" s="5333" customFormat="1" ht="15.05" hidden="1" customHeight="1">
      <c r="A1042" s="5340"/>
      <c r="B1042" s="5340"/>
      <c r="C1042" s="5340"/>
      <c r="D1042" s="5374">
        <v>4</v>
      </c>
      <c r="E1042" s="5374">
        <v>1</v>
      </c>
      <c r="F1042" s="5374"/>
      <c r="G1042" s="5374"/>
      <c r="H1042" s="5374"/>
      <c r="I1042" s="5537"/>
      <c r="J1042" s="5372" t="s">
        <v>180</v>
      </c>
      <c r="K1042" s="5371"/>
      <c r="L1042" s="5370"/>
      <c r="M1042" s="5357">
        <v>310000000</v>
      </c>
      <c r="N1042" s="5357">
        <f>+N1044+N1052</f>
        <v>315000000</v>
      </c>
      <c r="O1042" s="5357">
        <f>N1042-M1042</f>
        <v>5000000</v>
      </c>
      <c r="P1042" s="5358">
        <f>+P1044+P1052</f>
        <v>315000000</v>
      </c>
      <c r="Q1042" s="5357">
        <f>+P1042-N1042</f>
        <v>0</v>
      </c>
      <c r="R1042" s="5358">
        <f>P1042/N1042*100-100</f>
        <v>0</v>
      </c>
      <c r="S1042" s="5358">
        <f>+S1044+S1052</f>
        <v>0</v>
      </c>
      <c r="T1042" s="5357">
        <f>S1042-R1042</f>
        <v>0</v>
      </c>
      <c r="U1042" s="5358">
        <f>+U1044+U1052</f>
        <v>315000000</v>
      </c>
      <c r="V1042" s="5357">
        <f>S1042-P1042</f>
        <v>-315000000</v>
      </c>
      <c r="W1042" s="5358">
        <f>S1042/P1042*100-100</f>
        <v>-100</v>
      </c>
      <c r="X1042" s="5358">
        <f>+X1044+X1052</f>
        <v>0</v>
      </c>
      <c r="Y1042" s="5357">
        <f>X1042-W1042</f>
        <v>100</v>
      </c>
      <c r="Z1042" s="5358">
        <f>+Z1044+Z1052</f>
        <v>315000000</v>
      </c>
      <c r="AA1042" s="5357">
        <f>X1042-S1042</f>
        <v>0</v>
      </c>
      <c r="AB1042" s="5358" t="e">
        <f>X1042/S1042*100-100</f>
        <v>#DIV/0!</v>
      </c>
      <c r="AC1042" s="5349"/>
      <c r="AD1042" s="5349"/>
      <c r="AE1042" s="5349"/>
      <c r="AF1042" s="5349">
        <f t="shared" si="475"/>
        <v>-315000000</v>
      </c>
      <c r="AG1042" s="5338">
        <f t="shared" si="476"/>
        <v>0</v>
      </c>
    </row>
    <row r="1043" spans="1:33" s="5333" customFormat="1" ht="5.35" hidden="1" customHeight="1">
      <c r="A1043" s="5340"/>
      <c r="B1043" s="5340"/>
      <c r="C1043" s="5340"/>
      <c r="D1043" s="5367"/>
      <c r="E1043" s="5380"/>
      <c r="F1043" s="5380"/>
      <c r="G1043" s="5380"/>
      <c r="H1043" s="5380"/>
      <c r="I1043" s="5496"/>
      <c r="J1043" s="5366"/>
      <c r="K1043" s="5371"/>
      <c r="L1043" s="5370"/>
      <c r="M1043" s="5357"/>
      <c r="N1043" s="5357"/>
      <c r="O1043" s="5357"/>
      <c r="P1043" s="5358"/>
      <c r="Q1043" s="5357"/>
      <c r="R1043" s="5358"/>
      <c r="S1043" s="5358"/>
      <c r="T1043" s="5357"/>
      <c r="U1043" s="5358"/>
      <c r="V1043" s="5357">
        <f>S1043-P1043</f>
        <v>0</v>
      </c>
      <c r="W1043" s="5358"/>
      <c r="X1043" s="5358"/>
      <c r="Y1043" s="5357"/>
      <c r="Z1043" s="5358"/>
      <c r="AA1043" s="5357">
        <f>X1043-S1043</f>
        <v>0</v>
      </c>
      <c r="AB1043" s="5358"/>
      <c r="AC1043" s="5349"/>
      <c r="AD1043" s="5349"/>
      <c r="AE1043" s="5349"/>
      <c r="AF1043" s="5349">
        <f t="shared" si="475"/>
        <v>0</v>
      </c>
      <c r="AG1043" s="5338">
        <f t="shared" si="476"/>
        <v>0</v>
      </c>
    </row>
    <row r="1044" spans="1:33" s="5333" customFormat="1" ht="15.05" hidden="1" customHeight="1">
      <c r="A1044" s="5340"/>
      <c r="B1044" s="5340"/>
      <c r="C1044" s="5340"/>
      <c r="D1044" s="5374">
        <v>4</v>
      </c>
      <c r="E1044" s="5374">
        <v>1</v>
      </c>
      <c r="F1044" s="5374">
        <v>2</v>
      </c>
      <c r="G1044" s="5374"/>
      <c r="H1044" s="5374"/>
      <c r="I1044" s="5537"/>
      <c r="J1044" s="5372" t="s">
        <v>106</v>
      </c>
      <c r="K1044" s="5371"/>
      <c r="L1044" s="5370"/>
      <c r="M1044" s="5357">
        <v>310000000</v>
      </c>
      <c r="N1044" s="5357">
        <f>+N1045+N1048</f>
        <v>315000000</v>
      </c>
      <c r="O1044" s="5357">
        <f t="shared" ref="O1044:O1056" si="500">N1044-M1044</f>
        <v>5000000</v>
      </c>
      <c r="P1044" s="5358">
        <f>+P1045+P1048</f>
        <v>315000000</v>
      </c>
      <c r="Q1044" s="5357">
        <f t="shared" ref="Q1044:Q1056" si="501">+P1044-N1044</f>
        <v>0</v>
      </c>
      <c r="R1044" s="5358">
        <f t="shared" ref="R1044:R1056" si="502">P1044/N1044*100-100</f>
        <v>0</v>
      </c>
      <c r="S1044" s="5358">
        <f>+S1045+S1048</f>
        <v>0</v>
      </c>
      <c r="T1044" s="5357">
        <f t="shared" ref="T1044:T1056" si="503">S1044-R1044</f>
        <v>0</v>
      </c>
      <c r="U1044" s="5358">
        <f>+U1045+U1048</f>
        <v>315000000</v>
      </c>
      <c r="V1044" s="5357">
        <f>S1044-P1044</f>
        <v>-315000000</v>
      </c>
      <c r="W1044" s="5358">
        <f>S1044/P1044*100-100</f>
        <v>-100</v>
      </c>
      <c r="X1044" s="5358">
        <f>+X1045+X1048</f>
        <v>0</v>
      </c>
      <c r="Y1044" s="5357">
        <f t="shared" ref="Y1044:Y1056" si="504">X1044-W1044</f>
        <v>100</v>
      </c>
      <c r="Z1044" s="5358">
        <f>+Z1045+Z1048</f>
        <v>315000000</v>
      </c>
      <c r="AA1044" s="5357">
        <f>X1044-S1044</f>
        <v>0</v>
      </c>
      <c r="AB1044" s="5358" t="e">
        <f>X1044/S1044*100-100</f>
        <v>#DIV/0!</v>
      </c>
      <c r="AC1044" s="5349"/>
      <c r="AD1044" s="5349"/>
      <c r="AE1044" s="5349"/>
      <c r="AF1044" s="5349">
        <f t="shared" si="475"/>
        <v>-315000000</v>
      </c>
      <c r="AG1044" s="5338">
        <f t="shared" si="476"/>
        <v>0</v>
      </c>
    </row>
    <row r="1045" spans="1:33" s="5333" customFormat="1" ht="15.05" hidden="1" customHeight="1">
      <c r="A1045" s="5340"/>
      <c r="B1045" s="5340"/>
      <c r="C1045" s="5340"/>
      <c r="D1045" s="5367">
        <v>4</v>
      </c>
      <c r="E1045" s="5367">
        <v>1</v>
      </c>
      <c r="F1045" s="5367">
        <v>2</v>
      </c>
      <c r="G1045" s="5368" t="s">
        <v>437</v>
      </c>
      <c r="H1045" s="5367"/>
      <c r="I1045" s="5631"/>
      <c r="J1045" s="5366" t="s">
        <v>107</v>
      </c>
      <c r="K1045" s="5371"/>
      <c r="L1045" s="5370"/>
      <c r="M1045" s="5357">
        <v>310000000</v>
      </c>
      <c r="N1045" s="5357">
        <f>+N1046</f>
        <v>315000000</v>
      </c>
      <c r="O1045" s="5357">
        <f t="shared" si="500"/>
        <v>5000000</v>
      </c>
      <c r="P1045" s="5358">
        <f>+P1046</f>
        <v>315000000</v>
      </c>
      <c r="Q1045" s="5357">
        <f t="shared" si="501"/>
        <v>0</v>
      </c>
      <c r="R1045" s="5358">
        <f t="shared" si="502"/>
        <v>0</v>
      </c>
      <c r="S1045" s="5358">
        <f>+S1046</f>
        <v>0</v>
      </c>
      <c r="T1045" s="5357">
        <f t="shared" si="503"/>
        <v>0</v>
      </c>
      <c r="U1045" s="5358">
        <f>+U1046</f>
        <v>315000000</v>
      </c>
      <c r="V1045" s="5357">
        <f>S1045-P1045</f>
        <v>-315000000</v>
      </c>
      <c r="W1045" s="5358">
        <f>S1045/P1045*100-100</f>
        <v>-100</v>
      </c>
      <c r="X1045" s="5358">
        <f>+X1046</f>
        <v>0</v>
      </c>
      <c r="Y1045" s="5357">
        <f t="shared" si="504"/>
        <v>100</v>
      </c>
      <c r="Z1045" s="5358">
        <f>+Z1046</f>
        <v>315000000</v>
      </c>
      <c r="AA1045" s="5357">
        <f>X1045-S1045</f>
        <v>0</v>
      </c>
      <c r="AB1045" s="5358" t="e">
        <f>X1045/S1045*100-100</f>
        <v>#DIV/0!</v>
      </c>
      <c r="AC1045" s="5349"/>
      <c r="AD1045" s="5349"/>
      <c r="AE1045" s="5349"/>
      <c r="AF1045" s="5349">
        <f t="shared" si="475"/>
        <v>-315000000</v>
      </c>
      <c r="AG1045" s="5338">
        <f t="shared" si="476"/>
        <v>0</v>
      </c>
    </row>
    <row r="1046" spans="1:33" s="5333" customFormat="1" ht="15.85" hidden="1" customHeight="1">
      <c r="A1046" s="5340"/>
      <c r="B1046" s="5340"/>
      <c r="C1046" s="5340"/>
      <c r="D1046" s="5367">
        <v>4</v>
      </c>
      <c r="E1046" s="5367">
        <v>1</v>
      </c>
      <c r="F1046" s="5367">
        <v>2</v>
      </c>
      <c r="G1046" s="5368" t="s">
        <v>437</v>
      </c>
      <c r="H1046" s="5368" t="s">
        <v>445</v>
      </c>
      <c r="I1046" s="5632"/>
      <c r="J1046" s="5366" t="s">
        <v>1282</v>
      </c>
      <c r="K1046" s="5361"/>
      <c r="L1046" s="5365"/>
      <c r="M1046" s="5359">
        <v>310000000</v>
      </c>
      <c r="N1046" s="5359">
        <v>315000000</v>
      </c>
      <c r="O1046" s="5359">
        <f t="shared" si="500"/>
        <v>5000000</v>
      </c>
      <c r="P1046" s="5358">
        <v>315000000</v>
      </c>
      <c r="Q1046" s="5357">
        <f t="shared" si="501"/>
        <v>0</v>
      </c>
      <c r="R1046" s="5358">
        <f t="shared" si="502"/>
        <v>0</v>
      </c>
      <c r="S1046" s="5358">
        <v>0</v>
      </c>
      <c r="T1046" s="5359">
        <f t="shared" si="503"/>
        <v>0</v>
      </c>
      <c r="U1046" s="5358">
        <v>315000000</v>
      </c>
      <c r="V1046" s="5357">
        <f>S1046-P1046</f>
        <v>-315000000</v>
      </c>
      <c r="W1046" s="5358">
        <f>S1046/P1046*100-100</f>
        <v>-100</v>
      </c>
      <c r="X1046" s="5358">
        <v>0</v>
      </c>
      <c r="Y1046" s="5359">
        <f t="shared" si="504"/>
        <v>100</v>
      </c>
      <c r="Z1046" s="5358">
        <v>315000000</v>
      </c>
      <c r="AA1046" s="5357">
        <f>X1046-S1046</f>
        <v>0</v>
      </c>
      <c r="AB1046" s="5358" t="e">
        <f>X1046/S1046*100-100</f>
        <v>#DIV/0!</v>
      </c>
      <c r="AC1046" s="5349"/>
      <c r="AD1046" s="5349"/>
      <c r="AE1046" s="5349"/>
      <c r="AF1046" s="5349">
        <f t="shared" si="475"/>
        <v>-315000000</v>
      </c>
      <c r="AG1046" s="5338">
        <f t="shared" si="476"/>
        <v>0</v>
      </c>
    </row>
    <row r="1047" spans="1:33" s="5333" customFormat="1" ht="5.95" hidden="1" customHeight="1">
      <c r="A1047" s="5340"/>
      <c r="B1047" s="5340"/>
      <c r="C1047" s="5340"/>
      <c r="D1047" s="5367"/>
      <c r="E1047" s="5380"/>
      <c r="F1047" s="5380"/>
      <c r="G1047" s="5379"/>
      <c r="H1047" s="5379"/>
      <c r="I1047" s="5495"/>
      <c r="J1047" s="5366"/>
      <c r="K1047" s="5361"/>
      <c r="L1047" s="5365"/>
      <c r="M1047" s="5357"/>
      <c r="N1047" s="5357"/>
      <c r="O1047" s="5357">
        <f t="shared" si="500"/>
        <v>0</v>
      </c>
      <c r="P1047" s="5358"/>
      <c r="Q1047" s="5357">
        <f t="shared" si="501"/>
        <v>0</v>
      </c>
      <c r="R1047" s="5358" t="e">
        <f t="shared" si="502"/>
        <v>#DIV/0!</v>
      </c>
      <c r="S1047" s="5358"/>
      <c r="T1047" s="5357" t="e">
        <f t="shared" si="503"/>
        <v>#DIV/0!</v>
      </c>
      <c r="U1047" s="5358"/>
      <c r="V1047" s="5357"/>
      <c r="W1047" s="5358"/>
      <c r="X1047" s="5358"/>
      <c r="Y1047" s="5357">
        <f t="shared" si="504"/>
        <v>0</v>
      </c>
      <c r="Z1047" s="5358"/>
      <c r="AA1047" s="5357"/>
      <c r="AB1047" s="5358"/>
      <c r="AC1047" s="5350"/>
      <c r="AD1047" s="5350"/>
      <c r="AE1047" s="5350"/>
      <c r="AF1047" s="5349">
        <f t="shared" si="475"/>
        <v>0</v>
      </c>
      <c r="AG1047" s="5338">
        <f t="shared" si="476"/>
        <v>0</v>
      </c>
    </row>
    <row r="1048" spans="1:33" s="5333" customFormat="1" ht="15.05" hidden="1" customHeight="1">
      <c r="A1048" s="5340"/>
      <c r="B1048" s="5340"/>
      <c r="C1048" s="5340"/>
      <c r="D1048" s="5367">
        <v>4</v>
      </c>
      <c r="E1048" s="5367">
        <v>1</v>
      </c>
      <c r="F1048" s="5367">
        <v>2</v>
      </c>
      <c r="G1048" s="5368" t="s">
        <v>438</v>
      </c>
      <c r="H1048" s="5367"/>
      <c r="I1048" s="5631"/>
      <c r="J1048" s="5366" t="s">
        <v>374</v>
      </c>
      <c r="K1048" s="5361"/>
      <c r="L1048" s="5365"/>
      <c r="M1048" s="5357">
        <v>0</v>
      </c>
      <c r="N1048" s="5357">
        <f>+N1049</f>
        <v>0</v>
      </c>
      <c r="O1048" s="5357">
        <f t="shared" si="500"/>
        <v>0</v>
      </c>
      <c r="P1048" s="5358"/>
      <c r="Q1048" s="5357">
        <f t="shared" si="501"/>
        <v>0</v>
      </c>
      <c r="R1048" s="5358" t="e">
        <f t="shared" si="502"/>
        <v>#DIV/0!</v>
      </c>
      <c r="S1048" s="5358"/>
      <c r="T1048" s="5357" t="e">
        <f t="shared" si="503"/>
        <v>#DIV/0!</v>
      </c>
      <c r="U1048" s="5358"/>
      <c r="V1048" s="5357">
        <f>S1048-P1048</f>
        <v>0</v>
      </c>
      <c r="W1048" s="5358">
        <v>0</v>
      </c>
      <c r="X1048" s="5358"/>
      <c r="Y1048" s="5357">
        <f t="shared" si="504"/>
        <v>0</v>
      </c>
      <c r="Z1048" s="5358"/>
      <c r="AA1048" s="5357">
        <f>X1048-S1048</f>
        <v>0</v>
      </c>
      <c r="AB1048" s="5358">
        <v>0</v>
      </c>
      <c r="AC1048" s="5349"/>
      <c r="AD1048" s="5349"/>
      <c r="AE1048" s="5349"/>
      <c r="AF1048" s="5349">
        <f t="shared" si="475"/>
        <v>0</v>
      </c>
      <c r="AG1048" s="5338">
        <f t="shared" si="476"/>
        <v>0</v>
      </c>
    </row>
    <row r="1049" spans="1:33" s="5333" customFormat="1" ht="13.5" hidden="1" customHeight="1">
      <c r="A1049" s="5340"/>
      <c r="B1049" s="5340"/>
      <c r="C1049" s="5340"/>
      <c r="D1049" s="5367">
        <v>4</v>
      </c>
      <c r="E1049" s="5367">
        <v>1</v>
      </c>
      <c r="F1049" s="5367">
        <v>2</v>
      </c>
      <c r="G1049" s="5368" t="s">
        <v>438</v>
      </c>
      <c r="H1049" s="5368" t="s">
        <v>437</v>
      </c>
      <c r="I1049" s="5632"/>
      <c r="J1049" s="5366" t="s">
        <v>64</v>
      </c>
      <c r="K1049" s="5361"/>
      <c r="L1049" s="5365"/>
      <c r="M1049" s="5357">
        <v>0</v>
      </c>
      <c r="N1049" s="5357">
        <f>+N1050</f>
        <v>0</v>
      </c>
      <c r="O1049" s="5357">
        <f t="shared" si="500"/>
        <v>0</v>
      </c>
      <c r="P1049" s="5358"/>
      <c r="Q1049" s="5357">
        <f t="shared" si="501"/>
        <v>0</v>
      </c>
      <c r="R1049" s="5358" t="e">
        <f t="shared" si="502"/>
        <v>#DIV/0!</v>
      </c>
      <c r="S1049" s="5358"/>
      <c r="T1049" s="5357" t="e">
        <f t="shared" si="503"/>
        <v>#DIV/0!</v>
      </c>
      <c r="U1049" s="5358"/>
      <c r="V1049" s="5357">
        <f>S1049-P1049</f>
        <v>0</v>
      </c>
      <c r="W1049" s="5358">
        <v>0</v>
      </c>
      <c r="X1049" s="5358"/>
      <c r="Y1049" s="5357">
        <f t="shared" si="504"/>
        <v>0</v>
      </c>
      <c r="Z1049" s="5358"/>
      <c r="AA1049" s="5357">
        <f>X1049-S1049</f>
        <v>0</v>
      </c>
      <c r="AB1049" s="5358">
        <v>0</v>
      </c>
      <c r="AC1049" s="5349"/>
      <c r="AD1049" s="5349"/>
      <c r="AE1049" s="5349"/>
      <c r="AF1049" s="5349">
        <f t="shared" si="475"/>
        <v>0</v>
      </c>
      <c r="AG1049" s="5338">
        <f t="shared" si="476"/>
        <v>0</v>
      </c>
    </row>
    <row r="1050" spans="1:33" s="5333" customFormat="1" ht="13.5" hidden="1" customHeight="1">
      <c r="A1050" s="5340"/>
      <c r="B1050" s="5340"/>
      <c r="C1050" s="5340"/>
      <c r="D1050" s="5368"/>
      <c r="E1050" s="5367"/>
      <c r="F1050" s="5367"/>
      <c r="G1050" s="5368"/>
      <c r="H1050" s="5367"/>
      <c r="I1050" s="5631"/>
      <c r="J1050" s="5366" t="s">
        <v>50</v>
      </c>
      <c r="K1050" s="5361" t="s">
        <v>1281</v>
      </c>
      <c r="L1050" s="5365"/>
      <c r="M1050" s="5359">
        <v>0</v>
      </c>
      <c r="N1050" s="5359">
        <v>0</v>
      </c>
      <c r="O1050" s="5359">
        <f t="shared" si="500"/>
        <v>0</v>
      </c>
      <c r="P1050" s="5358"/>
      <c r="Q1050" s="5357">
        <f t="shared" si="501"/>
        <v>0</v>
      </c>
      <c r="R1050" s="5356" t="e">
        <f t="shared" si="502"/>
        <v>#DIV/0!</v>
      </c>
      <c r="S1050" s="5358"/>
      <c r="T1050" s="5359" t="e">
        <f t="shared" si="503"/>
        <v>#DIV/0!</v>
      </c>
      <c r="U1050" s="5358"/>
      <c r="V1050" s="5357">
        <f>S1050-P1050</f>
        <v>0</v>
      </c>
      <c r="W1050" s="5356">
        <v>0</v>
      </c>
      <c r="X1050" s="5358"/>
      <c r="Y1050" s="5359">
        <f t="shared" si="504"/>
        <v>0</v>
      </c>
      <c r="Z1050" s="5358"/>
      <c r="AA1050" s="5357">
        <f>X1050-S1050</f>
        <v>0</v>
      </c>
      <c r="AB1050" s="5356">
        <v>0</v>
      </c>
      <c r="AC1050" s="5349"/>
      <c r="AD1050" s="5349"/>
      <c r="AE1050" s="5349"/>
      <c r="AF1050" s="5349">
        <f t="shared" si="475"/>
        <v>0</v>
      </c>
      <c r="AG1050" s="5338">
        <f t="shared" si="476"/>
        <v>0</v>
      </c>
    </row>
    <row r="1051" spans="1:33" s="5333" customFormat="1" ht="12.05" hidden="1" customHeight="1">
      <c r="A1051" s="5340"/>
      <c r="B1051" s="5340"/>
      <c r="C1051" s="5340"/>
      <c r="D1051" s="5378"/>
      <c r="E1051" s="5364"/>
      <c r="F1051" s="5364"/>
      <c r="G1051" s="5378"/>
      <c r="H1051" s="5363"/>
      <c r="I1051" s="5635"/>
      <c r="J1051" s="5377"/>
      <c r="K1051" s="5376"/>
      <c r="L1051" s="5375"/>
      <c r="M1051" s="5357"/>
      <c r="N1051" s="5357"/>
      <c r="O1051" s="5357">
        <f t="shared" si="500"/>
        <v>0</v>
      </c>
      <c r="P1051" s="5358"/>
      <c r="Q1051" s="5357">
        <f t="shared" si="501"/>
        <v>0</v>
      </c>
      <c r="R1051" s="5358" t="e">
        <f t="shared" si="502"/>
        <v>#DIV/0!</v>
      </c>
      <c r="S1051" s="5358"/>
      <c r="T1051" s="5357" t="e">
        <f t="shared" si="503"/>
        <v>#DIV/0!</v>
      </c>
      <c r="U1051" s="5358"/>
      <c r="V1051" s="5357"/>
      <c r="W1051" s="5358"/>
      <c r="X1051" s="5358"/>
      <c r="Y1051" s="5357">
        <f t="shared" si="504"/>
        <v>0</v>
      </c>
      <c r="Z1051" s="5358"/>
      <c r="AA1051" s="5357"/>
      <c r="AB1051" s="5358"/>
      <c r="AC1051" s="5349"/>
      <c r="AD1051" s="5349"/>
      <c r="AE1051" s="5349"/>
      <c r="AF1051" s="5349">
        <f t="shared" si="475"/>
        <v>0</v>
      </c>
      <c r="AG1051" s="5338">
        <f t="shared" si="476"/>
        <v>0</v>
      </c>
    </row>
    <row r="1052" spans="1:33" s="5333" customFormat="1" ht="12.05" hidden="1" customHeight="1">
      <c r="A1052" s="5340"/>
      <c r="B1052" s="5340"/>
      <c r="C1052" s="5340"/>
      <c r="D1052" s="5374">
        <v>4</v>
      </c>
      <c r="E1052" s="5374">
        <v>1</v>
      </c>
      <c r="F1052" s="5374">
        <v>4</v>
      </c>
      <c r="G1052" s="5373"/>
      <c r="H1052" s="5373"/>
      <c r="I1052" s="5633"/>
      <c r="J1052" s="5372" t="s">
        <v>71</v>
      </c>
      <c r="K1052" s="5371"/>
      <c r="L1052" s="5370"/>
      <c r="M1052" s="5357">
        <v>0</v>
      </c>
      <c r="N1052" s="5357">
        <f>+N1053</f>
        <v>0</v>
      </c>
      <c r="O1052" s="5357">
        <f t="shared" si="500"/>
        <v>0</v>
      </c>
      <c r="P1052" s="5358"/>
      <c r="Q1052" s="5357">
        <f t="shared" si="501"/>
        <v>0</v>
      </c>
      <c r="R1052" s="5358" t="e">
        <f t="shared" si="502"/>
        <v>#DIV/0!</v>
      </c>
      <c r="S1052" s="5358"/>
      <c r="T1052" s="5357" t="e">
        <f t="shared" si="503"/>
        <v>#DIV/0!</v>
      </c>
      <c r="U1052" s="5358"/>
      <c r="V1052" s="5357">
        <f>S1052-P1052</f>
        <v>0</v>
      </c>
      <c r="W1052" s="5358" t="e">
        <f>S1052/P1052*100-100</f>
        <v>#DIV/0!</v>
      </c>
      <c r="X1052" s="5358"/>
      <c r="Y1052" s="5357" t="e">
        <f t="shared" si="504"/>
        <v>#DIV/0!</v>
      </c>
      <c r="Z1052" s="5358"/>
      <c r="AA1052" s="5357">
        <f>X1052-S1052</f>
        <v>0</v>
      </c>
      <c r="AB1052" s="5358" t="e">
        <f>X1052/S1052*100-100</f>
        <v>#DIV/0!</v>
      </c>
      <c r="AC1052" s="5349"/>
      <c r="AD1052" s="5349"/>
      <c r="AE1052" s="5349"/>
      <c r="AF1052" s="5349">
        <f t="shared" si="475"/>
        <v>0</v>
      </c>
      <c r="AG1052" s="5338">
        <f t="shared" si="476"/>
        <v>0</v>
      </c>
    </row>
    <row r="1053" spans="1:33" s="5333" customFormat="1" ht="12.05" hidden="1" customHeight="1">
      <c r="A1053" s="5340"/>
      <c r="B1053" s="5340"/>
      <c r="C1053" s="5340"/>
      <c r="D1053" s="5367">
        <v>4</v>
      </c>
      <c r="E1053" s="5367">
        <v>1</v>
      </c>
      <c r="F1053" s="5367">
        <v>4</v>
      </c>
      <c r="G1053" s="5367" t="s">
        <v>948</v>
      </c>
      <c r="H1053" s="5368"/>
      <c r="I1053" s="5632"/>
      <c r="J1053" s="5366" t="s">
        <v>321</v>
      </c>
      <c r="K1053" s="5361"/>
      <c r="L1053" s="5365"/>
      <c r="M1053" s="5357">
        <v>0</v>
      </c>
      <c r="N1053" s="5357">
        <f>+N1054</f>
        <v>0</v>
      </c>
      <c r="O1053" s="5357">
        <f t="shared" si="500"/>
        <v>0</v>
      </c>
      <c r="P1053" s="5358"/>
      <c r="Q1053" s="5357">
        <f t="shared" si="501"/>
        <v>0</v>
      </c>
      <c r="R1053" s="5358" t="e">
        <f t="shared" si="502"/>
        <v>#DIV/0!</v>
      </c>
      <c r="S1053" s="5358"/>
      <c r="T1053" s="5357" t="e">
        <f t="shared" si="503"/>
        <v>#DIV/0!</v>
      </c>
      <c r="U1053" s="5358"/>
      <c r="V1053" s="5357">
        <f>S1053-P1053</f>
        <v>0</v>
      </c>
      <c r="W1053" s="5358" t="e">
        <f>S1053/P1053*100-100</f>
        <v>#DIV/0!</v>
      </c>
      <c r="X1053" s="5358"/>
      <c r="Y1053" s="5357" t="e">
        <f t="shared" si="504"/>
        <v>#DIV/0!</v>
      </c>
      <c r="Z1053" s="5358"/>
      <c r="AA1053" s="5357">
        <f>X1053-S1053</f>
        <v>0</v>
      </c>
      <c r="AB1053" s="5358" t="e">
        <f>X1053/S1053*100-100</f>
        <v>#DIV/0!</v>
      </c>
      <c r="AC1053" s="5350"/>
      <c r="AD1053" s="5350"/>
      <c r="AE1053" s="5350"/>
      <c r="AF1053" s="5349">
        <f t="shared" si="475"/>
        <v>0</v>
      </c>
      <c r="AG1053" s="5338">
        <f t="shared" si="476"/>
        <v>0</v>
      </c>
    </row>
    <row r="1054" spans="1:33" s="5333" customFormat="1" ht="12.05" hidden="1" customHeight="1">
      <c r="A1054" s="5340"/>
      <c r="B1054" s="5340"/>
      <c r="C1054" s="5340"/>
      <c r="D1054" s="5367">
        <v>4</v>
      </c>
      <c r="E1054" s="5367">
        <v>1</v>
      </c>
      <c r="F1054" s="5367">
        <v>4</v>
      </c>
      <c r="G1054" s="5367" t="s">
        <v>948</v>
      </c>
      <c r="H1054" s="5367" t="s">
        <v>437</v>
      </c>
      <c r="I1054" s="5631"/>
      <c r="J1054" s="5366" t="s">
        <v>85</v>
      </c>
      <c r="K1054" s="5361"/>
      <c r="L1054" s="5365"/>
      <c r="M1054" s="5357">
        <v>0</v>
      </c>
      <c r="N1054" s="5357">
        <f>+N1055+N1056</f>
        <v>0</v>
      </c>
      <c r="O1054" s="5357">
        <f t="shared" si="500"/>
        <v>0</v>
      </c>
      <c r="P1054" s="5358"/>
      <c r="Q1054" s="5357">
        <f t="shared" si="501"/>
        <v>0</v>
      </c>
      <c r="R1054" s="5358" t="e">
        <f t="shared" si="502"/>
        <v>#DIV/0!</v>
      </c>
      <c r="S1054" s="5358"/>
      <c r="T1054" s="5357" t="e">
        <f t="shared" si="503"/>
        <v>#DIV/0!</v>
      </c>
      <c r="U1054" s="5358"/>
      <c r="V1054" s="5357">
        <f>S1054-P1054</f>
        <v>0</v>
      </c>
      <c r="W1054" s="5358" t="e">
        <f>S1054/P1054*100-100</f>
        <v>#DIV/0!</v>
      </c>
      <c r="X1054" s="5358"/>
      <c r="Y1054" s="5357" t="e">
        <f t="shared" si="504"/>
        <v>#DIV/0!</v>
      </c>
      <c r="Z1054" s="5358"/>
      <c r="AA1054" s="5357">
        <f>X1054-S1054</f>
        <v>0</v>
      </c>
      <c r="AB1054" s="5358" t="e">
        <f>X1054/S1054*100-100</f>
        <v>#DIV/0!</v>
      </c>
      <c r="AC1054" s="5369"/>
      <c r="AD1054" s="5369"/>
      <c r="AE1054" s="5369"/>
      <c r="AF1054" s="5349">
        <f t="shared" si="475"/>
        <v>0</v>
      </c>
      <c r="AG1054" s="5338">
        <f t="shared" si="476"/>
        <v>0</v>
      </c>
    </row>
    <row r="1055" spans="1:33" s="5333" customFormat="1" ht="12.05" hidden="1" customHeight="1">
      <c r="A1055" s="5340"/>
      <c r="B1055" s="5340"/>
      <c r="C1055" s="5340"/>
      <c r="D1055" s="5368"/>
      <c r="E1055" s="5367"/>
      <c r="F1055" s="5367"/>
      <c r="G1055" s="5368"/>
      <c r="H1055" s="5367"/>
      <c r="I1055" s="5631"/>
      <c r="J1055" s="5366" t="s">
        <v>50</v>
      </c>
      <c r="K1055" s="5361" t="s">
        <v>76</v>
      </c>
      <c r="L1055" s="5365"/>
      <c r="M1055" s="5359">
        <v>0</v>
      </c>
      <c r="N1055" s="5359">
        <v>0</v>
      </c>
      <c r="O1055" s="5359">
        <f t="shared" si="500"/>
        <v>0</v>
      </c>
      <c r="P1055" s="5358"/>
      <c r="Q1055" s="5357">
        <f t="shared" si="501"/>
        <v>0</v>
      </c>
      <c r="R1055" s="5356" t="e">
        <f t="shared" si="502"/>
        <v>#DIV/0!</v>
      </c>
      <c r="S1055" s="5358"/>
      <c r="T1055" s="5359" t="e">
        <f t="shared" si="503"/>
        <v>#DIV/0!</v>
      </c>
      <c r="U1055" s="5358"/>
      <c r="V1055" s="5357">
        <f>S1055-P1055</f>
        <v>0</v>
      </c>
      <c r="W1055" s="5356" t="e">
        <f>S1055/P1055*100-100</f>
        <v>#DIV/0!</v>
      </c>
      <c r="X1055" s="5358"/>
      <c r="Y1055" s="5359" t="e">
        <f t="shared" si="504"/>
        <v>#DIV/0!</v>
      </c>
      <c r="Z1055" s="5358"/>
      <c r="AA1055" s="5357">
        <f>X1055-S1055</f>
        <v>0</v>
      </c>
      <c r="AB1055" s="5356" t="e">
        <f>X1055/S1055*100-100</f>
        <v>#DIV/0!</v>
      </c>
      <c r="AC1055" s="5349"/>
      <c r="AD1055" s="5349"/>
      <c r="AE1055" s="5349"/>
      <c r="AF1055" s="5349">
        <f t="shared" si="475"/>
        <v>0</v>
      </c>
      <c r="AG1055" s="5338">
        <f t="shared" si="476"/>
        <v>0</v>
      </c>
    </row>
    <row r="1056" spans="1:33" s="5333" customFormat="1" ht="12.05" hidden="1" customHeight="1">
      <c r="A1056" s="5340"/>
      <c r="B1056" s="5340"/>
      <c r="C1056" s="5340"/>
      <c r="D1056" s="5364"/>
      <c r="E1056" s="5363"/>
      <c r="F1056" s="5363"/>
      <c r="G1056" s="5363"/>
      <c r="H1056" s="5363"/>
      <c r="I1056" s="5635"/>
      <c r="J1056" s="5362" t="s">
        <v>50</v>
      </c>
      <c r="K1056" s="5361" t="s">
        <v>85</v>
      </c>
      <c r="L1056" s="5360"/>
      <c r="M1056" s="5359">
        <v>0</v>
      </c>
      <c r="N1056" s="5359">
        <v>0</v>
      </c>
      <c r="O1056" s="5359">
        <f t="shared" si="500"/>
        <v>0</v>
      </c>
      <c r="P1056" s="5358"/>
      <c r="Q1056" s="5357">
        <f t="shared" si="501"/>
        <v>0</v>
      </c>
      <c r="R1056" s="5356" t="e">
        <f t="shared" si="502"/>
        <v>#DIV/0!</v>
      </c>
      <c r="S1056" s="5358"/>
      <c r="T1056" s="5359" t="e">
        <f t="shared" si="503"/>
        <v>#DIV/0!</v>
      </c>
      <c r="U1056" s="5358"/>
      <c r="V1056" s="5357">
        <f>S1056-P1056</f>
        <v>0</v>
      </c>
      <c r="W1056" s="5356" t="e">
        <f>S1056/P1056*100-100</f>
        <v>#DIV/0!</v>
      </c>
      <c r="X1056" s="5358"/>
      <c r="Y1056" s="5359" t="e">
        <f t="shared" si="504"/>
        <v>#DIV/0!</v>
      </c>
      <c r="Z1056" s="5358"/>
      <c r="AA1056" s="5357">
        <f>X1056-S1056</f>
        <v>0</v>
      </c>
      <c r="AB1056" s="5356">
        <v>0</v>
      </c>
      <c r="AC1056" s="5349"/>
      <c r="AD1056" s="5349"/>
      <c r="AE1056" s="5349"/>
      <c r="AF1056" s="5349">
        <f t="shared" si="475"/>
        <v>0</v>
      </c>
      <c r="AG1056" s="5338">
        <f t="shared" si="476"/>
        <v>0</v>
      </c>
    </row>
    <row r="1057" spans="1:33" s="5333" customFormat="1" ht="12.05" customHeight="1">
      <c r="A1057" s="5340"/>
      <c r="B1057" s="5340"/>
      <c r="C1057" s="5340"/>
      <c r="D1057" s="5364"/>
      <c r="E1057" s="5363"/>
      <c r="F1057" s="5363"/>
      <c r="G1057" s="5363"/>
      <c r="H1057" s="5363"/>
      <c r="I1057" s="5635" t="s">
        <v>922</v>
      </c>
      <c r="J1057" s="5512" t="s">
        <v>1501</v>
      </c>
      <c r="K1057" s="5466"/>
      <c r="L1057" s="5532"/>
      <c r="M1057" s="5611"/>
      <c r="N1057" s="5611"/>
      <c r="O1057" s="5611"/>
      <c r="P1057" s="5612"/>
      <c r="Q1057" s="5613"/>
      <c r="R1057" s="5614"/>
      <c r="S1057" s="5612"/>
      <c r="T1057" s="5611"/>
      <c r="U1057" s="5612"/>
      <c r="V1057" s="5613"/>
      <c r="W1057" s="5614"/>
      <c r="X1057" s="5612"/>
      <c r="Y1057" s="5611"/>
      <c r="Z1057" s="5612"/>
      <c r="AA1057" s="5613"/>
      <c r="AB1057" s="5614"/>
      <c r="AC1057" s="5349"/>
      <c r="AD1057" s="5349"/>
      <c r="AE1057" s="5349"/>
      <c r="AF1057" s="5349"/>
      <c r="AG1057" s="5338"/>
    </row>
    <row r="1058" spans="1:33" s="5333" customFormat="1" ht="12.05" customHeight="1">
      <c r="A1058" s="5340"/>
      <c r="B1058" s="5340"/>
      <c r="C1058" s="5340"/>
      <c r="D1058" s="5364"/>
      <c r="E1058" s="5363"/>
      <c r="F1058" s="5363"/>
      <c r="G1058" s="5363"/>
      <c r="H1058" s="5363"/>
      <c r="I1058" s="5635" t="s">
        <v>404</v>
      </c>
      <c r="J1058" s="5512" t="s">
        <v>1502</v>
      </c>
      <c r="K1058" s="5466"/>
      <c r="L1058" s="5532"/>
      <c r="M1058" s="5611"/>
      <c r="N1058" s="5611"/>
      <c r="O1058" s="5611"/>
      <c r="P1058" s="5612"/>
      <c r="Q1058" s="5613"/>
      <c r="R1058" s="5614"/>
      <c r="S1058" s="5612"/>
      <c r="T1058" s="5611"/>
      <c r="U1058" s="5612"/>
      <c r="V1058" s="5613"/>
      <c r="W1058" s="5614"/>
      <c r="X1058" s="5612"/>
      <c r="Y1058" s="5611"/>
      <c r="Z1058" s="5612"/>
      <c r="AA1058" s="5613"/>
      <c r="AB1058" s="5614"/>
      <c r="AC1058" s="5349"/>
      <c r="AD1058" s="5349"/>
      <c r="AE1058" s="5349"/>
      <c r="AF1058" s="5349"/>
      <c r="AG1058" s="5338"/>
    </row>
    <row r="1059" spans="1:33" s="5333" customFormat="1" ht="12.05" customHeight="1">
      <c r="A1059" s="5340"/>
      <c r="B1059" s="5340"/>
      <c r="C1059" s="5340"/>
      <c r="D1059" s="5364"/>
      <c r="E1059" s="5363"/>
      <c r="F1059" s="5363"/>
      <c r="G1059" s="5363"/>
      <c r="H1059" s="5363"/>
      <c r="I1059" s="5635" t="s">
        <v>406</v>
      </c>
      <c r="J1059" s="5512" t="s">
        <v>405</v>
      </c>
      <c r="K1059" s="5466"/>
      <c r="L1059" s="5532"/>
      <c r="M1059" s="5611"/>
      <c r="N1059" s="5611"/>
      <c r="O1059" s="5611"/>
      <c r="P1059" s="5612"/>
      <c r="Q1059" s="5613"/>
      <c r="R1059" s="5614"/>
      <c r="S1059" s="5612"/>
      <c r="T1059" s="5611"/>
      <c r="U1059" s="5612"/>
      <c r="V1059" s="5613"/>
      <c r="W1059" s="5614"/>
      <c r="X1059" s="5612"/>
      <c r="Y1059" s="5611"/>
      <c r="Z1059" s="5612"/>
      <c r="AA1059" s="5613"/>
      <c r="AB1059" s="5614"/>
      <c r="AC1059" s="5349"/>
      <c r="AD1059" s="5349"/>
      <c r="AE1059" s="5349"/>
      <c r="AF1059" s="5349"/>
      <c r="AG1059" s="5338"/>
    </row>
    <row r="1060" spans="1:33" s="5333" customFormat="1" ht="12.05" customHeight="1">
      <c r="A1060" s="5340"/>
      <c r="B1060" s="5340"/>
      <c r="C1060" s="5340"/>
      <c r="D1060" s="5364"/>
      <c r="E1060" s="5363"/>
      <c r="F1060" s="5363"/>
      <c r="G1060" s="5363"/>
      <c r="H1060" s="5363"/>
      <c r="I1060" s="5635" t="s">
        <v>408</v>
      </c>
      <c r="J1060" s="5512" t="s">
        <v>407</v>
      </c>
      <c r="K1060" s="5466"/>
      <c r="L1060" s="5532"/>
      <c r="M1060" s="5611"/>
      <c r="N1060" s="5611"/>
      <c r="O1060" s="5611"/>
      <c r="P1060" s="5612"/>
      <c r="Q1060" s="5613"/>
      <c r="R1060" s="5614"/>
      <c r="S1060" s="5612"/>
      <c r="T1060" s="5611"/>
      <c r="U1060" s="5612"/>
      <c r="V1060" s="5613"/>
      <c r="W1060" s="5614"/>
      <c r="X1060" s="5612"/>
      <c r="Y1060" s="5611"/>
      <c r="Z1060" s="5612"/>
      <c r="AA1060" s="5613"/>
      <c r="AB1060" s="5614"/>
      <c r="AC1060" s="5349"/>
      <c r="AD1060" s="5349"/>
      <c r="AE1060" s="5349"/>
      <c r="AF1060" s="5349"/>
      <c r="AG1060" s="5338"/>
    </row>
    <row r="1061" spans="1:33" s="5333" customFormat="1" ht="12.05" customHeight="1">
      <c r="A1061" s="5340"/>
      <c r="B1061" s="5340"/>
      <c r="C1061" s="5340"/>
      <c r="D1061" s="5364"/>
      <c r="E1061" s="5363"/>
      <c r="F1061" s="5363"/>
      <c r="G1061" s="5363"/>
      <c r="H1061" s="5363"/>
      <c r="I1061" s="5635" t="s">
        <v>410</v>
      </c>
      <c r="J1061" s="5512" t="s">
        <v>1503</v>
      </c>
      <c r="K1061" s="5466"/>
      <c r="L1061" s="5532"/>
      <c r="M1061" s="5611"/>
      <c r="N1061" s="5611"/>
      <c r="O1061" s="5611"/>
      <c r="P1061" s="5612"/>
      <c r="Q1061" s="5613"/>
      <c r="R1061" s="5614"/>
      <c r="S1061" s="5612"/>
      <c r="T1061" s="5611"/>
      <c r="U1061" s="5612"/>
      <c r="V1061" s="5613"/>
      <c r="W1061" s="5614"/>
      <c r="X1061" s="5612"/>
      <c r="Y1061" s="5611"/>
      <c r="Z1061" s="5612"/>
      <c r="AA1061" s="5613"/>
      <c r="AB1061" s="5614"/>
      <c r="AC1061" s="5349"/>
      <c r="AD1061" s="5349"/>
      <c r="AE1061" s="5349"/>
      <c r="AF1061" s="5349"/>
      <c r="AG1061" s="5338"/>
    </row>
    <row r="1062" spans="1:33" s="5333" customFormat="1" ht="12.05" customHeight="1">
      <c r="A1062" s="5340"/>
      <c r="B1062" s="5340"/>
      <c r="C1062" s="5340"/>
      <c r="D1062" s="5364"/>
      <c r="E1062" s="5363"/>
      <c r="F1062" s="5363"/>
      <c r="G1062" s="5363"/>
      <c r="H1062" s="5363"/>
      <c r="I1062" s="5635"/>
      <c r="J1062" s="5512"/>
      <c r="K1062" s="5466"/>
      <c r="L1062" s="5532"/>
      <c r="M1062" s="5611"/>
      <c r="N1062" s="5611"/>
      <c r="O1062" s="5611"/>
      <c r="P1062" s="5612"/>
      <c r="Q1062" s="5613"/>
      <c r="R1062" s="5614"/>
      <c r="S1062" s="5612"/>
      <c r="T1062" s="5611"/>
      <c r="U1062" s="5612"/>
      <c r="V1062" s="5613"/>
      <c r="W1062" s="5614"/>
      <c r="X1062" s="5612"/>
      <c r="Y1062" s="5611"/>
      <c r="Z1062" s="5612"/>
      <c r="AA1062" s="5613"/>
      <c r="AB1062" s="5614"/>
      <c r="AC1062" s="5349"/>
      <c r="AD1062" s="5349"/>
      <c r="AE1062" s="5349"/>
      <c r="AF1062" s="5349"/>
      <c r="AG1062" s="5338"/>
    </row>
    <row r="1063" spans="1:33" s="5333" customFormat="1" ht="12.05" customHeight="1">
      <c r="A1063" s="5340"/>
      <c r="B1063" s="5340"/>
      <c r="C1063" s="5340"/>
      <c r="D1063" s="5364"/>
      <c r="E1063" s="5363"/>
      <c r="F1063" s="5363"/>
      <c r="G1063" s="5363"/>
      <c r="H1063" s="5363"/>
      <c r="I1063" s="5635" t="s">
        <v>1027</v>
      </c>
      <c r="J1063" s="5512" t="s">
        <v>1504</v>
      </c>
      <c r="K1063" s="5466"/>
      <c r="L1063" s="5532"/>
      <c r="M1063" s="5611"/>
      <c r="N1063" s="5611"/>
      <c r="O1063" s="5611"/>
      <c r="P1063" s="5612"/>
      <c r="Q1063" s="5613"/>
      <c r="R1063" s="5614"/>
      <c r="S1063" s="5612"/>
      <c r="T1063" s="5611"/>
      <c r="U1063" s="5612"/>
      <c r="V1063" s="5613"/>
      <c r="W1063" s="5614"/>
      <c r="X1063" s="5612">
        <f>X1064</f>
        <v>75000000</v>
      </c>
      <c r="Y1063" s="5611"/>
      <c r="Z1063" s="5612"/>
      <c r="AA1063" s="5613">
        <f>X1063-S1063</f>
        <v>75000000</v>
      </c>
      <c r="AB1063" s="5614" t="e">
        <f>X1063/S1063*100-100</f>
        <v>#DIV/0!</v>
      </c>
      <c r="AC1063" s="5349"/>
      <c r="AD1063" s="5349"/>
      <c r="AE1063" s="5349"/>
      <c r="AF1063" s="5349"/>
      <c r="AG1063" s="5338"/>
    </row>
    <row r="1064" spans="1:33" s="5333" customFormat="1" ht="12.05" customHeight="1">
      <c r="A1064" s="5340"/>
      <c r="B1064" s="5340"/>
      <c r="C1064" s="5340"/>
      <c r="D1064" s="5374">
        <v>4</v>
      </c>
      <c r="E1064" s="5374">
        <v>1</v>
      </c>
      <c r="F1064" s="5374"/>
      <c r="G1064" s="5374"/>
      <c r="H1064" s="5374"/>
      <c r="I1064" s="5537"/>
      <c r="J1064" s="5372" t="s">
        <v>180</v>
      </c>
      <c r="K1064" s="5371"/>
      <c r="L1064" s="5370"/>
      <c r="M1064" s="5357">
        <v>0</v>
      </c>
      <c r="N1064" s="5357">
        <f>N1065</f>
        <v>0</v>
      </c>
      <c r="O1064" s="5359">
        <f>N1064-M1064</f>
        <v>0</v>
      </c>
      <c r="P1064" s="5358"/>
      <c r="Q1064" s="5355">
        <f>+P1064-N1064</f>
        <v>0</v>
      </c>
      <c r="R1064" s="5358" t="e">
        <f>P1064/N1064*100-100</f>
        <v>#DIV/0!</v>
      </c>
      <c r="S1064" s="5358"/>
      <c r="T1064" s="5359" t="e">
        <f>S1064-R1064</f>
        <v>#DIV/0!</v>
      </c>
      <c r="U1064" s="5358"/>
      <c r="V1064" s="5355">
        <f>S1064-P1064</f>
        <v>0</v>
      </c>
      <c r="W1064" s="5358" t="e">
        <f>S1064/P1064*100-100</f>
        <v>#DIV/0!</v>
      </c>
      <c r="X1064" s="5358">
        <f>X1065</f>
        <v>75000000</v>
      </c>
      <c r="Y1064" s="5359" t="e">
        <f>X1064-W1064</f>
        <v>#DIV/0!</v>
      </c>
      <c r="Z1064" s="5358"/>
      <c r="AA1064" s="5357">
        <f>X1064-S1064</f>
        <v>75000000</v>
      </c>
      <c r="AB1064" s="5358" t="e">
        <f>X1064/S1064*100-100</f>
        <v>#DIV/0!</v>
      </c>
      <c r="AC1064" s="5349"/>
      <c r="AD1064" s="5349"/>
      <c r="AE1064" s="5349"/>
      <c r="AF1064" s="5349"/>
      <c r="AG1064" s="5338"/>
    </row>
    <row r="1065" spans="1:33" s="5333" customFormat="1" ht="12.05" customHeight="1">
      <c r="A1065" s="5340"/>
      <c r="B1065" s="5340"/>
      <c r="C1065" s="5340"/>
      <c r="D1065" s="5374">
        <v>4</v>
      </c>
      <c r="E1065" s="5374">
        <v>1</v>
      </c>
      <c r="F1065" s="5374" t="s">
        <v>460</v>
      </c>
      <c r="G1065" s="5373"/>
      <c r="H1065" s="5373"/>
      <c r="I1065" s="5633"/>
      <c r="J1065" s="5372" t="s">
        <v>106</v>
      </c>
      <c r="K1065" s="5371"/>
      <c r="L1065" s="5370"/>
      <c r="M1065" s="5357">
        <v>0</v>
      </c>
      <c r="N1065" s="5357">
        <f>+N1066+N1070</f>
        <v>0</v>
      </c>
      <c r="O1065" s="5359">
        <f>N1065-M1065</f>
        <v>0</v>
      </c>
      <c r="P1065" s="5358"/>
      <c r="Q1065" s="5355">
        <f>+P1065-N1065</f>
        <v>0</v>
      </c>
      <c r="R1065" s="5358" t="e">
        <f>P1065/N1065*100-100</f>
        <v>#DIV/0!</v>
      </c>
      <c r="S1065" s="5358"/>
      <c r="T1065" s="5359" t="e">
        <f>S1065-R1065</f>
        <v>#DIV/0!</v>
      </c>
      <c r="U1065" s="5358"/>
      <c r="V1065" s="5355">
        <f>S1065-P1065</f>
        <v>0</v>
      </c>
      <c r="W1065" s="5358" t="e">
        <f>S1065/P1065*100-100</f>
        <v>#DIV/0!</v>
      </c>
      <c r="X1065" s="5358">
        <f>X1066</f>
        <v>75000000</v>
      </c>
      <c r="Y1065" s="5359" t="e">
        <f>X1065-W1065</f>
        <v>#DIV/0!</v>
      </c>
      <c r="Z1065" s="5358"/>
      <c r="AA1065" s="5357">
        <f>X1065-S1065</f>
        <v>75000000</v>
      </c>
      <c r="AB1065" s="5358" t="e">
        <f>X1065/S1065*100-100</f>
        <v>#DIV/0!</v>
      </c>
      <c r="AC1065" s="5349"/>
      <c r="AD1065" s="5349"/>
      <c r="AE1065" s="5349"/>
      <c r="AF1065" s="5349"/>
      <c r="AG1065" s="5338"/>
    </row>
    <row r="1066" spans="1:33" s="5333" customFormat="1" ht="12.05" customHeight="1">
      <c r="A1066" s="5340"/>
      <c r="B1066" s="5340"/>
      <c r="C1066" s="5340"/>
      <c r="D1066" s="5374" t="s">
        <v>443</v>
      </c>
      <c r="E1066" s="5471" t="s">
        <v>58</v>
      </c>
      <c r="F1066" s="5471" t="s">
        <v>460</v>
      </c>
      <c r="G1066" s="5522" t="s">
        <v>438</v>
      </c>
      <c r="H1066" s="5471"/>
      <c r="I1066" s="5536"/>
      <c r="J1066" s="5366" t="s">
        <v>374</v>
      </c>
      <c r="K1066" s="5371"/>
      <c r="L1066" s="5370"/>
      <c r="M1066" s="5357">
        <v>0</v>
      </c>
      <c r="N1066" s="5357">
        <f>N1067</f>
        <v>0</v>
      </c>
      <c r="O1066" s="5359">
        <f>N1066-M1066</f>
        <v>0</v>
      </c>
      <c r="P1066" s="5358"/>
      <c r="Q1066" s="5355">
        <f>+P1066-N1066</f>
        <v>0</v>
      </c>
      <c r="R1066" s="5358" t="e">
        <f>P1066/N1066*100-100</f>
        <v>#DIV/0!</v>
      </c>
      <c r="S1066" s="5358"/>
      <c r="T1066" s="5359" t="e">
        <f>S1066-R1066</f>
        <v>#DIV/0!</v>
      </c>
      <c r="U1066" s="5358"/>
      <c r="V1066" s="5355">
        <f>S1066-P1066</f>
        <v>0</v>
      </c>
      <c r="W1066" s="5358" t="e">
        <f>S1066/P1066*100-100</f>
        <v>#DIV/0!</v>
      </c>
      <c r="X1066" s="5358">
        <f>X1067</f>
        <v>75000000</v>
      </c>
      <c r="Y1066" s="5359" t="e">
        <f>X1066-W1066</f>
        <v>#DIV/0!</v>
      </c>
      <c r="Z1066" s="5358"/>
      <c r="AA1066" s="5357">
        <f>X1066-S1066</f>
        <v>75000000</v>
      </c>
      <c r="AB1066" s="5358" t="e">
        <f>X1066/S1066*100-100</f>
        <v>#DIV/0!</v>
      </c>
      <c r="AC1066" s="5349"/>
      <c r="AD1066" s="5349"/>
      <c r="AE1066" s="5349"/>
      <c r="AF1066" s="5349"/>
      <c r="AG1066" s="5338"/>
    </row>
    <row r="1067" spans="1:33" s="5333" customFormat="1" ht="12.05" customHeight="1">
      <c r="A1067" s="5340"/>
      <c r="B1067" s="5340"/>
      <c r="C1067" s="5340"/>
      <c r="D1067" s="5440" t="s">
        <v>443</v>
      </c>
      <c r="E1067" s="5440" t="s">
        <v>58</v>
      </c>
      <c r="F1067" s="5440" t="s">
        <v>460</v>
      </c>
      <c r="G1067" s="5570" t="s">
        <v>438</v>
      </c>
      <c r="H1067" s="5440" t="s">
        <v>867</v>
      </c>
      <c r="I1067" s="5440"/>
      <c r="J1067" s="5475" t="s">
        <v>1513</v>
      </c>
      <c r="K1067" s="5475"/>
      <c r="L1067" s="5590"/>
      <c r="M1067" s="5564">
        <v>0</v>
      </c>
      <c r="N1067" s="5564">
        <v>0</v>
      </c>
      <c r="O1067" s="5565">
        <f>N1067-M1067</f>
        <v>0</v>
      </c>
      <c r="P1067" s="5566"/>
      <c r="Q1067" s="5682">
        <f>+P1067-N1067</f>
        <v>0</v>
      </c>
      <c r="R1067" s="5566" t="e">
        <f>P1067/N1067*100-100</f>
        <v>#DIV/0!</v>
      </c>
      <c r="S1067" s="5566">
        <v>0</v>
      </c>
      <c r="T1067" s="5565" t="e">
        <f>S1067-R1067</f>
        <v>#DIV/0!</v>
      </c>
      <c r="U1067" s="5566"/>
      <c r="V1067" s="5682">
        <f>S1067-P1067</f>
        <v>0</v>
      </c>
      <c r="W1067" s="5566" t="e">
        <f>S1067/P1067*100-100</f>
        <v>#DIV/0!</v>
      </c>
      <c r="X1067" s="5566">
        <v>75000000</v>
      </c>
      <c r="Y1067" s="5565" t="e">
        <f>X1067-W1067</f>
        <v>#DIV/0!</v>
      </c>
      <c r="Z1067" s="5566"/>
      <c r="AA1067" s="5564">
        <f>X1067-S1067</f>
        <v>75000000</v>
      </c>
      <c r="AB1067" s="5566" t="e">
        <f>X1067/S1067*100-100</f>
        <v>#DIV/0!</v>
      </c>
      <c r="AC1067" s="5350" t="s">
        <v>1515</v>
      </c>
      <c r="AD1067" s="5350"/>
      <c r="AE1067" s="5350"/>
      <c r="AF1067" s="5349">
        <f>S1067-P1067</f>
        <v>0</v>
      </c>
      <c r="AG1067" s="5338">
        <f>AF1067-V1067</f>
        <v>0</v>
      </c>
    </row>
    <row r="1068" spans="1:33" s="5333" customFormat="1" ht="12.05" customHeight="1">
      <c r="A1068" s="5340"/>
      <c r="B1068" s="5340"/>
      <c r="C1068" s="5340"/>
      <c r="D1068" s="5420"/>
      <c r="E1068" s="5420"/>
      <c r="F1068" s="5420"/>
      <c r="G1068" s="5417"/>
      <c r="H1068" s="5420"/>
      <c r="I1068" s="5663"/>
      <c r="J1068" s="5405"/>
      <c r="K1068" s="5405"/>
      <c r="L1068" s="5610"/>
      <c r="M1068" s="5504"/>
      <c r="N1068" s="5504"/>
      <c r="O1068" s="5505"/>
      <c r="P1068" s="5503"/>
      <c r="Q1068" s="5355"/>
      <c r="R1068" s="5503"/>
      <c r="S1068" s="5503"/>
      <c r="T1068" s="5505"/>
      <c r="U1068" s="5503"/>
      <c r="V1068" s="5355"/>
      <c r="W1068" s="5503"/>
      <c r="X1068" s="5503"/>
      <c r="Y1068" s="5505"/>
      <c r="Z1068" s="5503"/>
      <c r="AA1068" s="5504"/>
      <c r="AB1068" s="5503"/>
      <c r="AC1068" s="5350"/>
      <c r="AD1068" s="5350"/>
      <c r="AE1068" s="5350"/>
      <c r="AF1068" s="5349"/>
      <c r="AG1068" s="5338"/>
    </row>
    <row r="1069" spans="1:33" s="5619" customFormat="1" ht="16.45" customHeight="1">
      <c r="A1069" s="5616"/>
      <c r="B1069" s="5616"/>
      <c r="C1069" s="5616"/>
      <c r="D1069" s="5970" t="s">
        <v>1280</v>
      </c>
      <c r="E1069" s="5971"/>
      <c r="F1069" s="5971"/>
      <c r="G1069" s="5971"/>
      <c r="H1069" s="5971"/>
      <c r="I1069" s="5971"/>
      <c r="J1069" s="5971"/>
      <c r="K1069" s="5971"/>
      <c r="L1069" s="5972"/>
      <c r="M1069" s="5617">
        <v>3039987551600</v>
      </c>
      <c r="N1069" s="5617">
        <f>N10</f>
        <v>3555737341478.4399</v>
      </c>
      <c r="O1069" s="5617">
        <f>N1069-M1069</f>
        <v>515749789878.43994</v>
      </c>
      <c r="P1069" s="5618">
        <f>P10</f>
        <v>3576520815258</v>
      </c>
      <c r="Q1069" s="5502">
        <f>+P1069-N1069</f>
        <v>20783473779.560059</v>
      </c>
      <c r="R1069" s="5618">
        <f>P1069/N1069*100-100</f>
        <v>0.58450531587685362</v>
      </c>
      <c r="S1069" s="5618" t="e">
        <f t="shared" ref="S1069:X1069" si="505">S1063+S1003+S931+S859+S835+S773+S765+S448+S427+S360+S327+S312+S285+S262+S229+S211+S119+S107+S44+S12</f>
        <v>#REF!</v>
      </c>
      <c r="T1069" s="5618" t="e">
        <f t="shared" si="505"/>
        <v>#REF!</v>
      </c>
      <c r="U1069" s="5618">
        <f t="shared" si="505"/>
        <v>2202976939258</v>
      </c>
      <c r="V1069" s="5618" t="e">
        <f t="shared" si="505"/>
        <v>#REF!</v>
      </c>
      <c r="W1069" s="5618" t="e">
        <f t="shared" si="505"/>
        <v>#REF!</v>
      </c>
      <c r="X1069" s="5618" t="e">
        <f t="shared" si="505"/>
        <v>#REF!</v>
      </c>
      <c r="Y1069" s="5617" t="e">
        <f>X1069-W1069</f>
        <v>#REF!</v>
      </c>
      <c r="Z1069" s="5618">
        <f>Z10</f>
        <v>3576520815258</v>
      </c>
      <c r="AA1069" s="5502" t="e">
        <f>X1069-S1069</f>
        <v>#REF!</v>
      </c>
      <c r="AB1069" s="5618" t="e">
        <f>X1069/S1069*100-100</f>
        <v>#REF!</v>
      </c>
      <c r="AC1069" s="5594" t="e">
        <f>X1069-4951720642727</f>
        <v>#REF!</v>
      </c>
      <c r="AD1069" s="5594"/>
      <c r="AE1069" s="5594"/>
      <c r="AF1069" s="5594" t="e">
        <f>S1069-P1069</f>
        <v>#REF!</v>
      </c>
      <c r="AG1069" s="5595" t="e">
        <f>AF1069-V1069</f>
        <v>#REF!</v>
      </c>
    </row>
    <row r="1070" spans="1:33" s="5333" customFormat="1" ht="13.5" customHeight="1">
      <c r="A1070" s="5340"/>
      <c r="B1070" s="5340"/>
      <c r="C1070" s="5340"/>
      <c r="D1070" s="5340"/>
      <c r="E1070" s="5340"/>
      <c r="F1070" s="5340"/>
      <c r="G1070" s="5340"/>
      <c r="H1070" s="5340"/>
      <c r="I1070" s="5340"/>
      <c r="M1070" s="5354"/>
      <c r="N1070" s="5354"/>
      <c r="O1070" s="5354"/>
      <c r="P1070" s="5339"/>
      <c r="Q1070" s="5354"/>
      <c r="R1070" s="5354"/>
      <c r="S1070" s="5615"/>
      <c r="T1070" s="5354"/>
      <c r="U1070" s="5339"/>
      <c r="V1070" s="5354"/>
      <c r="W1070" s="5354"/>
      <c r="X1070" s="5354"/>
      <c r="Y1070" s="5354"/>
      <c r="Z1070" s="5339"/>
      <c r="AA1070" s="5354"/>
      <c r="AB1070" s="5354"/>
      <c r="AC1070" s="5349"/>
      <c r="AD1070" s="5349"/>
      <c r="AE1070" s="5349"/>
      <c r="AF1070" s="5338"/>
    </row>
    <row r="1071" spans="1:33" s="5333" customFormat="1" ht="14.1" customHeight="1">
      <c r="A1071" s="5340"/>
      <c r="B1071" s="5340"/>
      <c r="C1071" s="5340"/>
      <c r="D1071" s="5340"/>
      <c r="E1071" s="5340"/>
      <c r="F1071" s="5340"/>
      <c r="G1071" s="5340"/>
      <c r="H1071" s="5340"/>
      <c r="I1071" s="5340"/>
      <c r="M1071" s="5341"/>
      <c r="N1071" s="5353"/>
      <c r="O1071" s="5341"/>
      <c r="P1071" s="5353"/>
      <c r="Q1071" s="5341"/>
      <c r="R1071" s="5341"/>
      <c r="S1071" s="5353"/>
      <c r="T1071" s="5341"/>
      <c r="U1071" s="5353" t="s">
        <v>1279</v>
      </c>
      <c r="V1071" s="5341"/>
      <c r="W1071" s="5341"/>
      <c r="X1071" s="4015" t="e">
        <f>#REF!</f>
        <v>#REF!</v>
      </c>
      <c r="Y1071" s="5341"/>
      <c r="Z1071" s="5353" t="s">
        <v>1279</v>
      </c>
      <c r="AA1071" s="5341"/>
      <c r="AB1071" s="5341"/>
      <c r="AC1071" s="5349"/>
      <c r="AD1071" s="5349"/>
      <c r="AE1071" s="5349"/>
      <c r="AF1071" s="5338"/>
    </row>
    <row r="1072" spans="1:33" s="5333" customFormat="1" ht="14.1" customHeight="1">
      <c r="A1072" s="5340"/>
      <c r="B1072" s="5340"/>
      <c r="C1072" s="5340"/>
      <c r="D1072" s="5340"/>
      <c r="E1072" s="5340"/>
      <c r="F1072" s="5340"/>
      <c r="G1072" s="5340"/>
      <c r="H1072" s="5340"/>
      <c r="I1072" s="5340"/>
      <c r="K1072" s="5352"/>
      <c r="M1072" s="5346"/>
      <c r="N1072" s="5348"/>
      <c r="O1072" s="5347"/>
      <c r="P1072" s="5348"/>
      <c r="Q1072" s="5347"/>
      <c r="R1072" s="5346"/>
      <c r="S1072" s="5348"/>
      <c r="T1072" s="5347"/>
      <c r="U1072" s="5348" t="s">
        <v>1278</v>
      </c>
      <c r="V1072" s="5347"/>
      <c r="W1072" s="5346"/>
      <c r="X1072" s="4016" t="s">
        <v>660</v>
      </c>
      <c r="Y1072" s="5347"/>
      <c r="Z1072" s="5348" t="s">
        <v>1278</v>
      </c>
      <c r="AA1072" s="5347"/>
      <c r="AB1072" s="5346"/>
      <c r="AC1072" s="5349"/>
      <c r="AD1072" s="5349"/>
      <c r="AE1072" s="5349"/>
      <c r="AF1072" s="5338"/>
    </row>
    <row r="1073" spans="1:33" s="5333" customFormat="1" ht="14.1" customHeight="1">
      <c r="A1073" s="5340"/>
      <c r="B1073" s="5340"/>
      <c r="C1073" s="5340"/>
      <c r="D1073" s="5340"/>
      <c r="E1073" s="5340"/>
      <c r="F1073" s="5340"/>
      <c r="G1073" s="5340"/>
      <c r="H1073" s="5340"/>
      <c r="I1073" s="5340"/>
      <c r="M1073" s="5346"/>
      <c r="N1073" s="5348"/>
      <c r="O1073" s="5347"/>
      <c r="P1073" s="5348"/>
      <c r="Q1073" s="5347"/>
      <c r="R1073" s="5346"/>
      <c r="S1073" s="5348"/>
      <c r="T1073" s="5347"/>
      <c r="U1073" s="5348" t="s">
        <v>1277</v>
      </c>
      <c r="V1073" s="5347"/>
      <c r="W1073" s="5346"/>
      <c r="X1073" s="4017" t="s">
        <v>1213</v>
      </c>
      <c r="Y1073" s="5347"/>
      <c r="Z1073" s="5348" t="s">
        <v>1277</v>
      </c>
      <c r="AA1073" s="5347"/>
      <c r="AB1073" s="5346"/>
      <c r="AC1073" s="5350"/>
      <c r="AD1073" s="5350"/>
      <c r="AE1073" s="5350"/>
      <c r="AF1073" s="5338"/>
    </row>
    <row r="1074" spans="1:33" s="5333" customFormat="1" ht="17.25" customHeight="1">
      <c r="A1074" s="5340"/>
      <c r="B1074" s="5340"/>
      <c r="C1074" s="5340"/>
      <c r="D1074" s="5340"/>
      <c r="E1074" s="5340"/>
      <c r="F1074" s="5340"/>
      <c r="G1074" s="5340"/>
      <c r="H1074" s="5340"/>
      <c r="I1074" s="5340"/>
      <c r="K1074" s="5351"/>
      <c r="M1074" s="5346"/>
      <c r="N1074" s="5348"/>
      <c r="O1074" s="5347"/>
      <c r="P1074" s="5348"/>
      <c r="Q1074" s="5347"/>
      <c r="R1074" s="5346"/>
      <c r="S1074" s="5348"/>
      <c r="T1074" s="5347"/>
      <c r="U1074" s="5348" t="s">
        <v>1276</v>
      </c>
      <c r="V1074" s="5347"/>
      <c r="W1074" s="5346"/>
      <c r="X1074" s="4017" t="s">
        <v>929</v>
      </c>
      <c r="Y1074" s="5347"/>
      <c r="Z1074" s="5348" t="s">
        <v>1276</v>
      </c>
      <c r="AA1074" s="5347"/>
      <c r="AB1074" s="5346"/>
      <c r="AC1074" s="5350"/>
      <c r="AD1074" s="5350"/>
      <c r="AE1074" s="5350"/>
      <c r="AF1074" s="5338"/>
    </row>
    <row r="1075" spans="1:33" s="5333" customFormat="1" ht="13.5" customHeight="1">
      <c r="A1075" s="5340"/>
      <c r="B1075" s="5340"/>
      <c r="C1075" s="5340"/>
      <c r="D1075" s="5340"/>
      <c r="E1075" s="5340"/>
      <c r="F1075" s="5340"/>
      <c r="G1075" s="5340"/>
      <c r="H1075" s="5340"/>
      <c r="I1075" s="5340"/>
      <c r="M1075" s="5346"/>
      <c r="N1075" s="5348"/>
      <c r="O1075" s="5347"/>
      <c r="P1075" s="5348"/>
      <c r="Q1075" s="5347"/>
      <c r="R1075" s="5346"/>
      <c r="S1075" s="5348"/>
      <c r="T1075" s="5347"/>
      <c r="U1075" s="5348"/>
      <c r="V1075" s="5347"/>
      <c r="W1075" s="5346"/>
      <c r="X1075" s="4016"/>
      <c r="Y1075" s="5347"/>
      <c r="Z1075" s="5348"/>
      <c r="AA1075" s="5347"/>
      <c r="AB1075" s="5346"/>
      <c r="AC1075" s="5349"/>
      <c r="AD1075" s="5349"/>
      <c r="AE1075" s="5349"/>
      <c r="AF1075" s="5338"/>
    </row>
    <row r="1076" spans="1:33" s="5333" customFormat="1" ht="8.3000000000000007" customHeight="1">
      <c r="A1076" s="5340"/>
      <c r="B1076" s="5340"/>
      <c r="C1076" s="5340"/>
      <c r="D1076" s="5340"/>
      <c r="E1076" s="5340"/>
      <c r="F1076" s="5340"/>
      <c r="G1076" s="5340"/>
      <c r="H1076" s="5340"/>
      <c r="I1076" s="5340"/>
      <c r="M1076" s="5346"/>
      <c r="N1076" s="5348"/>
      <c r="O1076" s="5347"/>
      <c r="P1076" s="5348"/>
      <c r="Q1076" s="5347"/>
      <c r="R1076" s="5346"/>
      <c r="S1076" s="5348"/>
      <c r="T1076" s="5347"/>
      <c r="U1076" s="5348"/>
      <c r="V1076" s="5347"/>
      <c r="W1076" s="5346"/>
      <c r="X1076" s="4016"/>
      <c r="Y1076" s="5347"/>
      <c r="Z1076" s="5348"/>
      <c r="AA1076" s="5347"/>
      <c r="AB1076" s="5346"/>
      <c r="AF1076" s="5338"/>
    </row>
    <row r="1077" spans="1:33" s="5333" customFormat="1" ht="14.1" customHeight="1">
      <c r="A1077" s="5340"/>
      <c r="B1077" s="5340"/>
      <c r="C1077" s="5340"/>
      <c r="D1077" s="5340"/>
      <c r="E1077" s="5340"/>
      <c r="F1077" s="5340"/>
      <c r="G1077" s="5340"/>
      <c r="H1077" s="5340"/>
      <c r="I1077" s="5340"/>
      <c r="M1077" s="5343"/>
      <c r="N1077" s="5345"/>
      <c r="O1077" s="5344"/>
      <c r="P1077" s="5345"/>
      <c r="Q1077" s="5344"/>
      <c r="R1077" s="5343"/>
      <c r="S1077" s="5345"/>
      <c r="T1077" s="5344"/>
      <c r="U1077" s="5345" t="s">
        <v>1275</v>
      </c>
      <c r="V1077" s="5344"/>
      <c r="W1077" s="5343"/>
      <c r="X1077" s="4016"/>
      <c r="Y1077" s="5344"/>
      <c r="Z1077" s="5345" t="s">
        <v>1275</v>
      </c>
      <c r="AA1077" s="5344"/>
      <c r="AB1077" s="5343"/>
      <c r="AF1077" s="5338"/>
    </row>
    <row r="1078" spans="1:33" s="5333" customFormat="1" ht="14.1" customHeight="1">
      <c r="A1078" s="5340"/>
      <c r="B1078" s="5340"/>
      <c r="C1078" s="5340"/>
      <c r="D1078" s="5340"/>
      <c r="E1078" s="5340"/>
      <c r="F1078" s="5340"/>
      <c r="G1078" s="5340"/>
      <c r="H1078" s="5340"/>
      <c r="I1078" s="5340"/>
      <c r="M1078" s="5341"/>
      <c r="N1078" s="5342"/>
      <c r="O1078" s="5342"/>
      <c r="P1078" s="5342"/>
      <c r="Q1078" s="5342"/>
      <c r="R1078" s="5341"/>
      <c r="S1078" s="5342"/>
      <c r="T1078" s="5342"/>
      <c r="U1078" s="5342" t="s">
        <v>1274</v>
      </c>
      <c r="V1078" s="5342"/>
      <c r="W1078" s="5341"/>
      <c r="X1078" s="4017"/>
      <c r="Y1078" s="5342"/>
      <c r="Z1078" s="5342" t="s">
        <v>1274</v>
      </c>
      <c r="AA1078" s="5342"/>
      <c r="AB1078" s="5341"/>
      <c r="AF1078" s="5338"/>
    </row>
    <row r="1079" spans="1:33" s="5333" customFormat="1" ht="14.1" customHeight="1">
      <c r="A1079" s="5340"/>
      <c r="B1079" s="5340"/>
      <c r="C1079" s="5340"/>
      <c r="D1079" s="5340"/>
      <c r="E1079" s="5340"/>
      <c r="F1079" s="5340"/>
      <c r="G1079" s="5340"/>
      <c r="H1079" s="5340"/>
      <c r="I1079" s="5340"/>
      <c r="P1079" s="5339"/>
      <c r="U1079" s="5339"/>
      <c r="X1079" s="4018" t="s">
        <v>1214</v>
      </c>
      <c r="Z1079" s="5339"/>
      <c r="AF1079" s="5338"/>
    </row>
    <row r="1080" spans="1:33" s="5333" customFormat="1" ht="14.1" customHeight="1">
      <c r="A1080" s="5340"/>
      <c r="B1080" s="5340"/>
      <c r="C1080" s="5340"/>
      <c r="D1080" s="5340"/>
      <c r="E1080" s="5340"/>
      <c r="F1080" s="5340"/>
      <c r="G1080" s="5340"/>
      <c r="H1080" s="5340"/>
      <c r="I1080" s="5340"/>
      <c r="P1080" s="5339"/>
      <c r="U1080" s="5339"/>
      <c r="X1080" s="4019" t="s">
        <v>1215</v>
      </c>
      <c r="Z1080" s="5339"/>
      <c r="AC1080" s="5337"/>
      <c r="AD1080" s="5337"/>
      <c r="AE1080" s="5337"/>
      <c r="AF1080" s="5338"/>
    </row>
    <row r="1081" spans="1:33" s="5333" customFormat="1" ht="14.1" customHeight="1">
      <c r="A1081" s="5340"/>
      <c r="B1081" s="5340"/>
      <c r="C1081" s="5340"/>
      <c r="D1081" s="5340"/>
      <c r="E1081" s="5340"/>
      <c r="F1081" s="5340"/>
      <c r="G1081" s="5340"/>
      <c r="H1081" s="5340"/>
      <c r="I1081" s="5340"/>
      <c r="P1081" s="5339"/>
      <c r="U1081" s="5339"/>
      <c r="Z1081" s="5339"/>
      <c r="AF1081" s="5338"/>
    </row>
    <row r="1082" spans="1:33" ht="14.1" customHeight="1">
      <c r="AC1082" s="5333"/>
      <c r="AD1082" s="5333"/>
      <c r="AE1082" s="5333"/>
      <c r="AG1082" s="5332"/>
    </row>
    <row r="1083" spans="1:33" ht="14.1" customHeight="1">
      <c r="AC1083" s="5333"/>
      <c r="AD1083" s="5333"/>
      <c r="AE1083" s="5333"/>
      <c r="AG1083" s="5332"/>
    </row>
    <row r="1084" spans="1:33" ht="14.1" customHeight="1">
      <c r="AC1084" s="5333"/>
      <c r="AD1084" s="5333"/>
      <c r="AE1084" s="5333"/>
      <c r="AG1084" s="5332"/>
    </row>
    <row r="1085" spans="1:33">
      <c r="AC1085" s="5333"/>
      <c r="AD1085" s="5333"/>
      <c r="AE1085" s="5333"/>
      <c r="AG1085" s="5332"/>
    </row>
    <row r="1086" spans="1:33">
      <c r="A1086" s="5332"/>
      <c r="B1086" s="5332"/>
      <c r="C1086" s="5332"/>
      <c r="D1086" s="5332"/>
      <c r="E1086" s="5332"/>
      <c r="F1086" s="5332"/>
      <c r="G1086" s="5332"/>
      <c r="H1086" s="5332"/>
      <c r="I1086" s="5332"/>
      <c r="P1086" s="5332"/>
      <c r="U1086" s="5332"/>
      <c r="Z1086" s="5332"/>
      <c r="AC1086" s="5337"/>
      <c r="AD1086" s="5337"/>
      <c r="AE1086" s="5337"/>
      <c r="AF1086" s="5332"/>
      <c r="AG1086" s="5332"/>
    </row>
    <row r="1087" spans="1:33">
      <c r="A1087" s="5332"/>
      <c r="B1087" s="5332"/>
      <c r="C1087" s="5332"/>
      <c r="D1087" s="5332"/>
      <c r="E1087" s="5332"/>
      <c r="F1087" s="5332"/>
      <c r="G1087" s="5332"/>
      <c r="H1087" s="5332"/>
      <c r="I1087" s="5332"/>
      <c r="P1087" s="5332"/>
      <c r="U1087" s="5332"/>
      <c r="Z1087" s="5332"/>
      <c r="AC1087" s="5333"/>
      <c r="AD1087" s="5333"/>
      <c r="AE1087" s="5333"/>
      <c r="AF1087" s="5332"/>
      <c r="AG1087" s="5332"/>
    </row>
    <row r="1088" spans="1:33">
      <c r="A1088" s="5332"/>
      <c r="B1088" s="5332"/>
      <c r="C1088" s="5332"/>
      <c r="D1088" s="5332"/>
      <c r="E1088" s="5332"/>
      <c r="F1088" s="5332"/>
      <c r="G1088" s="5332"/>
      <c r="H1088" s="5332"/>
      <c r="I1088" s="5332"/>
      <c r="P1088" s="5332"/>
      <c r="U1088" s="5332"/>
      <c r="Z1088" s="5332"/>
      <c r="AC1088" s="5333"/>
      <c r="AD1088" s="5333"/>
      <c r="AE1088" s="5333"/>
      <c r="AF1088" s="5332"/>
      <c r="AG1088" s="5332"/>
    </row>
    <row r="1089" spans="1:33">
      <c r="A1089" s="5332"/>
      <c r="B1089" s="5332"/>
      <c r="C1089" s="5332"/>
      <c r="D1089" s="5332"/>
      <c r="E1089" s="5332"/>
      <c r="F1089" s="5332"/>
      <c r="G1089" s="5332"/>
      <c r="H1089" s="5332"/>
      <c r="I1089" s="5332"/>
      <c r="P1089" s="5332"/>
      <c r="U1089" s="5332"/>
      <c r="Z1089" s="5332"/>
      <c r="AC1089" s="5333"/>
      <c r="AD1089" s="5333"/>
      <c r="AE1089" s="5333"/>
      <c r="AF1089" s="5332"/>
      <c r="AG1089" s="5332"/>
    </row>
    <row r="1090" spans="1:33">
      <c r="A1090" s="5332"/>
      <c r="B1090" s="5332"/>
      <c r="C1090" s="5332"/>
      <c r="D1090" s="5332"/>
      <c r="E1090" s="5332"/>
      <c r="F1090" s="5332"/>
      <c r="G1090" s="5332"/>
      <c r="H1090" s="5332"/>
      <c r="I1090" s="5332"/>
      <c r="P1090" s="5332"/>
      <c r="U1090" s="5332"/>
      <c r="Z1090" s="5332"/>
      <c r="AC1090" s="5333"/>
      <c r="AD1090" s="5333"/>
      <c r="AE1090" s="5333"/>
      <c r="AF1090" s="5332"/>
      <c r="AG1090" s="5332"/>
    </row>
    <row r="1091" spans="1:33">
      <c r="A1091" s="5332"/>
      <c r="B1091" s="5332"/>
      <c r="C1091" s="5332"/>
      <c r="D1091" s="5332"/>
      <c r="E1091" s="5332"/>
      <c r="F1091" s="5332"/>
      <c r="G1091" s="5332"/>
      <c r="H1091" s="5332"/>
      <c r="I1091" s="5332"/>
      <c r="P1091" s="5332"/>
      <c r="U1091" s="5332"/>
      <c r="Z1091" s="5332"/>
      <c r="AC1091" s="5333"/>
      <c r="AD1091" s="5333"/>
      <c r="AE1091" s="5333"/>
      <c r="AF1091" s="5332"/>
      <c r="AG1091" s="5332"/>
    </row>
    <row r="1296" spans="1:33" ht="11.3">
      <c r="A1296" s="5332"/>
      <c r="B1296" s="5332"/>
      <c r="C1296" s="5332"/>
      <c r="D1296" s="5332"/>
      <c r="E1296" s="5332"/>
      <c r="F1296" s="5332"/>
      <c r="G1296" s="5332"/>
      <c r="H1296" s="5332"/>
      <c r="I1296" s="5332"/>
      <c r="K1296" s="5332" t="s">
        <v>1273</v>
      </c>
      <c r="P1296" s="5332"/>
      <c r="U1296" s="5332"/>
      <c r="Z1296" s="5332"/>
      <c r="AF1296" s="5332"/>
      <c r="AG1296" s="5332"/>
    </row>
    <row r="1299" spans="1:33" ht="11.3">
      <c r="A1299" s="5332"/>
      <c r="B1299" s="5332"/>
      <c r="C1299" s="5332"/>
      <c r="D1299" s="5332"/>
      <c r="E1299" s="5332"/>
      <c r="F1299" s="5332"/>
      <c r="G1299" s="5332"/>
      <c r="H1299" s="5332"/>
      <c r="I1299" s="5332"/>
      <c r="K1299" s="5332" t="s">
        <v>1272</v>
      </c>
      <c r="P1299" s="5332"/>
      <c r="U1299" s="5332"/>
      <c r="Z1299" s="5332"/>
      <c r="AF1299" s="5332"/>
      <c r="AG1299" s="5332"/>
    </row>
    <row r="1302" spans="1:33" ht="11.3">
      <c r="A1302" s="5332"/>
      <c r="B1302" s="5332"/>
      <c r="C1302" s="5332"/>
      <c r="D1302" s="5332"/>
      <c r="E1302" s="5332"/>
      <c r="F1302" s="5332"/>
      <c r="G1302" s="5332"/>
      <c r="H1302" s="5332"/>
      <c r="I1302" s="5332"/>
      <c r="K1302" s="5332" t="s">
        <v>1271</v>
      </c>
      <c r="P1302" s="5332"/>
      <c r="U1302" s="5332"/>
      <c r="Z1302" s="5332"/>
      <c r="AF1302" s="5332"/>
      <c r="AG1302" s="5332"/>
    </row>
  </sheetData>
  <autoFilter ref="D14:AA1069"/>
  <mergeCells count="14">
    <mergeCell ref="AA6:AA7"/>
    <mergeCell ref="AB6:AB7"/>
    <mergeCell ref="J107:L107"/>
    <mergeCell ref="D1069:L1069"/>
    <mergeCell ref="D3:AB3"/>
    <mergeCell ref="D6:H7"/>
    <mergeCell ref="J6:L7"/>
    <mergeCell ref="O6:O7"/>
    <mergeCell ref="Q6:Q7"/>
    <mergeCell ref="R6:R7"/>
    <mergeCell ref="T6:T7"/>
    <mergeCell ref="V6:V7"/>
    <mergeCell ref="W6:W7"/>
    <mergeCell ref="Y6:Y7"/>
  </mergeCells>
  <pageMargins left="0.47244094488188981" right="0.15748031496062992" top="0.27559055118110237" bottom="0.51181102362204722" header="0.19685039370078741" footer="0.15748031496062992"/>
  <pageSetup paperSize="9" scale="75" orientation="portrait" horizontalDpi="4294967294" r:id="rId1"/>
  <headerFooter alignWithMargins="0">
    <oddFooter>Page &amp;P&amp;RTARGET PERUBAHAN TA 2017</oddFooter>
  </headerFooter>
  <rowBreaks count="3" manualBreakCount="3">
    <brk id="210" min="3" max="27" man="1"/>
    <brk id="829" min="3" max="27" man="1"/>
    <brk id="1002" min="3" max="27" man="1"/>
  </row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0"/>
  <sheetViews>
    <sheetView tabSelected="1" view="pageBreakPreview" zoomScaleNormal="120" zoomScaleSheetLayoutView="100" workbookViewId="0">
      <selection activeCell="C9" sqref="C9"/>
    </sheetView>
  </sheetViews>
  <sheetFormatPr defaultColWidth="9.109375" defaultRowHeight="13.15"/>
  <cols>
    <col min="1" max="1" width="5" style="189" customWidth="1"/>
    <col min="2" max="2" width="2.33203125" style="189" customWidth="1"/>
    <col min="3" max="3" width="6" style="189" customWidth="1"/>
    <col min="4" max="4" width="34" style="189" customWidth="1"/>
    <col min="5" max="5" width="20.109375" style="189" hidden="1" customWidth="1"/>
    <col min="6" max="6" width="20" style="189" hidden="1" customWidth="1"/>
    <col min="7" max="7" width="14.21875" style="5693" bestFit="1" customWidth="1"/>
    <col min="8" max="8" width="18.6640625" style="5693" hidden="1" customWidth="1"/>
    <col min="9" max="9" width="20.44140625" style="5693" hidden="1" customWidth="1"/>
    <col min="10" max="10" width="17.33203125" style="5693" hidden="1" customWidth="1"/>
    <col min="11" max="11" width="8" style="5693" hidden="1" customWidth="1"/>
    <col min="12" max="12" width="20.109375" style="5727" hidden="1" customWidth="1"/>
    <col min="13" max="13" width="23" style="5693" bestFit="1" customWidth="1"/>
    <col min="14" max="14" width="9.21875" style="5693" bestFit="1" customWidth="1"/>
    <col min="15" max="15" width="13.44140625" style="5693" bestFit="1" customWidth="1"/>
    <col min="16" max="16" width="0.88671875" style="1137" hidden="1" customWidth="1"/>
    <col min="17" max="17" width="16.33203125" style="1137" hidden="1" customWidth="1"/>
    <col min="18" max="18" width="7.5546875" style="189" hidden="1" customWidth="1"/>
    <col min="19" max="21" width="9.109375" style="189"/>
    <col min="22" max="22" width="14.88671875" style="189" bestFit="1" customWidth="1"/>
    <col min="23" max="16384" width="9.109375" style="189"/>
  </cols>
  <sheetData>
    <row r="1" spans="1:18" ht="18.2">
      <c r="A1" s="5701" t="s">
        <v>1526</v>
      </c>
      <c r="B1" s="5701"/>
      <c r="C1" s="5701"/>
      <c r="D1" s="5701"/>
      <c r="E1" s="5701"/>
      <c r="F1" s="5701"/>
      <c r="H1" s="5715"/>
      <c r="I1" s="5715"/>
      <c r="J1" s="5715"/>
      <c r="K1" s="5715"/>
      <c r="L1" s="5715"/>
      <c r="P1" s="5701"/>
      <c r="Q1" s="5701"/>
      <c r="R1" s="5701"/>
    </row>
    <row r="2" spans="1:18" ht="18.2">
      <c r="A2" s="5702" t="s">
        <v>700</v>
      </c>
      <c r="B2" s="5702"/>
      <c r="C2" s="5702"/>
      <c r="D2" s="5702"/>
      <c r="E2" s="5702"/>
      <c r="F2" s="5702"/>
      <c r="H2" s="5715"/>
      <c r="I2" s="5715"/>
      <c r="J2" s="5715"/>
      <c r="K2" s="5715"/>
      <c r="L2" s="5715"/>
      <c r="P2" s="5702"/>
      <c r="Q2" s="5702"/>
      <c r="R2" s="5702"/>
    </row>
    <row r="3" spans="1:18" ht="8.4499999999999993" customHeight="1">
      <c r="A3" s="226"/>
      <c r="B3" s="226"/>
      <c r="C3" s="226"/>
      <c r="D3" s="226"/>
      <c r="E3" s="226"/>
      <c r="F3" s="226"/>
      <c r="H3" s="5716"/>
      <c r="I3" s="5716"/>
      <c r="J3" s="5716"/>
      <c r="K3" s="5717"/>
      <c r="L3" s="5717"/>
      <c r="P3" s="5700"/>
      <c r="Q3" s="5700"/>
      <c r="R3" s="5700"/>
    </row>
    <row r="4" spans="1:18" ht="12.05" customHeight="1">
      <c r="A4" s="5696" t="s">
        <v>937</v>
      </c>
      <c r="B4" s="5751" t="s">
        <v>56</v>
      </c>
      <c r="C4" s="5751"/>
      <c r="D4" s="5751"/>
      <c r="E4" s="5752" t="s">
        <v>474</v>
      </c>
      <c r="F4" s="5754" t="s">
        <v>475</v>
      </c>
      <c r="G4" s="5718" t="s">
        <v>1520</v>
      </c>
      <c r="H4" s="5745" t="s">
        <v>1078</v>
      </c>
      <c r="I4" s="5719" t="e">
        <f>#REF!</f>
        <v>#REF!</v>
      </c>
      <c r="J4" s="5746" t="s">
        <v>477</v>
      </c>
      <c r="K4" s="5745" t="s">
        <v>6</v>
      </c>
      <c r="L4" s="5719" t="e">
        <f>#REF!</f>
        <v>#REF!</v>
      </c>
      <c r="M4" s="5718" t="s">
        <v>1516</v>
      </c>
      <c r="N4" s="5718" t="s">
        <v>6</v>
      </c>
      <c r="O4" s="5718" t="s">
        <v>1518</v>
      </c>
      <c r="P4" s="5707" t="s">
        <v>1516</v>
      </c>
      <c r="Q4" s="5698" t="s">
        <v>1522</v>
      </c>
      <c r="R4" s="5747" t="s">
        <v>6</v>
      </c>
    </row>
    <row r="5" spans="1:18" ht="15.85" customHeight="1">
      <c r="A5" s="5697" t="s">
        <v>942</v>
      </c>
      <c r="B5" s="5749" t="s">
        <v>1080</v>
      </c>
      <c r="C5" s="5749"/>
      <c r="D5" s="5749"/>
      <c r="E5" s="5753"/>
      <c r="F5" s="5755"/>
      <c r="G5" s="5720"/>
      <c r="H5" s="5745"/>
      <c r="I5" s="5719" t="e">
        <f>#REF!</f>
        <v>#REF!</v>
      </c>
      <c r="J5" s="5746"/>
      <c r="K5" s="5745"/>
      <c r="L5" s="5719" t="e">
        <f>#REF!</f>
        <v>#REF!</v>
      </c>
      <c r="M5" s="5720" t="s">
        <v>1525</v>
      </c>
      <c r="N5" s="5720" t="s">
        <v>1516</v>
      </c>
      <c r="O5" s="5720" t="s">
        <v>1517</v>
      </c>
      <c r="P5" s="5708" t="s">
        <v>1521</v>
      </c>
      <c r="Q5" s="5699" t="s">
        <v>1523</v>
      </c>
      <c r="R5" s="5748"/>
    </row>
    <row r="6" spans="1:18" s="5694" customFormat="1" ht="11.15" customHeight="1">
      <c r="A6" s="5695">
        <v>1</v>
      </c>
      <c r="B6" s="5750">
        <v>2</v>
      </c>
      <c r="C6" s="5750"/>
      <c r="D6" s="5750"/>
      <c r="E6" s="5695">
        <v>4</v>
      </c>
      <c r="F6" s="5703">
        <v>5</v>
      </c>
      <c r="G6" s="5721">
        <v>3</v>
      </c>
      <c r="H6" s="5721">
        <v>7</v>
      </c>
      <c r="I6" s="5722">
        <v>5</v>
      </c>
      <c r="J6" s="5722" t="s">
        <v>1511</v>
      </c>
      <c r="K6" s="5722" t="s">
        <v>1512</v>
      </c>
      <c r="L6" s="5723">
        <v>5</v>
      </c>
      <c r="M6" s="5721">
        <v>4</v>
      </c>
      <c r="N6" s="5721">
        <v>5</v>
      </c>
      <c r="O6" s="5721">
        <v>6</v>
      </c>
      <c r="P6" s="5709">
        <v>7</v>
      </c>
      <c r="Q6" s="5692">
        <v>8</v>
      </c>
      <c r="R6" s="5692" t="s">
        <v>1524</v>
      </c>
    </row>
    <row r="7" spans="1:18" ht="15.05" customHeight="1">
      <c r="A7" s="5988"/>
      <c r="B7" s="5992" t="s">
        <v>1102</v>
      </c>
      <c r="C7" s="5992"/>
      <c r="D7" s="5993"/>
      <c r="E7" s="5990">
        <f>SUM(E8:E9)</f>
        <v>247954406000</v>
      </c>
      <c r="F7" s="5704">
        <f>SUM(F8:F9)</f>
        <v>375036424549</v>
      </c>
      <c r="G7" s="5724">
        <v>366759335800</v>
      </c>
      <c r="H7" s="5714">
        <f>SUM(H8:H9)</f>
        <v>120779891911</v>
      </c>
      <c r="I7" s="5714">
        <f>SUM(I8:I9)</f>
        <v>328125684600</v>
      </c>
      <c r="J7" s="5726">
        <f t="shared" ref="J7:J9" si="0">I7-G7</f>
        <v>-38633651200</v>
      </c>
      <c r="K7" s="5725">
        <f t="shared" ref="K7:K9" si="1">I7/G7*100-100</f>
        <v>-10.533788080875894</v>
      </c>
      <c r="L7" s="5713" t="e">
        <f>SUM(L8:L9)</f>
        <v>#REF!</v>
      </c>
      <c r="M7" s="5724">
        <v>185324795600</v>
      </c>
      <c r="N7" s="5724">
        <v>50.530355333902307</v>
      </c>
      <c r="O7" s="5724">
        <v>-181434540200</v>
      </c>
      <c r="P7" s="5710" t="e">
        <f>#REF!</f>
        <v>#REF!</v>
      </c>
      <c r="Q7" s="5662" t="e">
        <f t="shared" ref="Q7:Q9" si="2">P7/G7*100</f>
        <v>#REF!</v>
      </c>
      <c r="R7" s="3371"/>
    </row>
    <row r="8" spans="1:18" ht="15.05" customHeight="1">
      <c r="A8" s="5989"/>
      <c r="B8" s="5994" t="s">
        <v>50</v>
      </c>
      <c r="C8" s="5992" t="s">
        <v>1103</v>
      </c>
      <c r="D8" s="5993"/>
      <c r="E8" s="5991">
        <f>+'KOM opsi 1'!J399</f>
        <v>165277884000</v>
      </c>
      <c r="F8" s="5705">
        <f>+'KOM opsi 1'!K399</f>
        <v>165676022293</v>
      </c>
      <c r="G8" s="5724">
        <v>150130144800</v>
      </c>
      <c r="H8" s="5714">
        <f>+'KOM opsi 1'!O399</f>
        <v>58788864800</v>
      </c>
      <c r="I8" s="5714">
        <f>'KOM sementara'!P407</f>
        <v>176690481600</v>
      </c>
      <c r="J8" s="5726">
        <f t="shared" si="0"/>
        <v>26560336800</v>
      </c>
      <c r="K8" s="5725">
        <f t="shared" si="1"/>
        <v>17.691541452506485</v>
      </c>
      <c r="L8" s="5713" t="e">
        <f>#REF!</f>
        <v>#REF!</v>
      </c>
      <c r="M8" s="5724">
        <v>124847165200</v>
      </c>
      <c r="N8" s="5724">
        <v>83.159291804000176</v>
      </c>
      <c r="O8" s="5724">
        <v>-25282979600</v>
      </c>
      <c r="P8" s="5711" t="e">
        <f>#REF!</f>
        <v>#REF!</v>
      </c>
      <c r="Q8" s="5661" t="e">
        <f t="shared" si="2"/>
        <v>#REF!</v>
      </c>
      <c r="R8" s="3375"/>
    </row>
    <row r="9" spans="1:18" ht="15.05" customHeight="1">
      <c r="A9" s="5989"/>
      <c r="B9" s="5994" t="s">
        <v>50</v>
      </c>
      <c r="C9" s="5992" t="s">
        <v>1519</v>
      </c>
      <c r="D9" s="5993"/>
      <c r="E9" s="5711">
        <f>+'KOM opsi 1'!J405</f>
        <v>82676522000</v>
      </c>
      <c r="F9" s="5706">
        <f>+'KOM opsi 1'!K405</f>
        <v>209360402256</v>
      </c>
      <c r="G9" s="5724">
        <v>87629191000</v>
      </c>
      <c r="H9" s="5712">
        <f>+'KOM opsi 1'!O405</f>
        <v>61991027111</v>
      </c>
      <c r="I9" s="5712">
        <f>'KOM sementara'!P415</f>
        <v>151435203000</v>
      </c>
      <c r="J9" s="5726">
        <f t="shared" si="0"/>
        <v>63806012000</v>
      </c>
      <c r="K9" s="5725">
        <f t="shared" si="1"/>
        <v>72.813649506361429</v>
      </c>
      <c r="L9" s="5713" t="e">
        <f>#REF!</f>
        <v>#REF!</v>
      </c>
      <c r="M9" s="5724">
        <v>60477630400</v>
      </c>
      <c r="N9" s="5724">
        <v>69.01539282726003</v>
      </c>
      <c r="O9" s="5724">
        <v>-27151560600</v>
      </c>
      <c r="P9" s="5711" t="e">
        <f>#REF!</f>
        <v>#REF!</v>
      </c>
      <c r="Q9" s="5661" t="e">
        <f t="shared" si="2"/>
        <v>#REF!</v>
      </c>
      <c r="R9" s="3375"/>
    </row>
    <row r="10" spans="1:18">
      <c r="A10" s="5995"/>
    </row>
  </sheetData>
  <sheetProtection selectLockedCells="1" selectUnlockedCells="1"/>
  <mergeCells count="9">
    <mergeCell ref="B6:D6"/>
    <mergeCell ref="B4:D4"/>
    <mergeCell ref="E4:E5"/>
    <mergeCell ref="F4:F5"/>
    <mergeCell ref="H4:H5"/>
    <mergeCell ref="J4:J5"/>
    <mergeCell ref="K4:K5"/>
    <mergeCell ref="R4:R5"/>
    <mergeCell ref="B5:D5"/>
  </mergeCells>
  <pageMargins left="0.31496062992125984" right="0.11811023622047245" top="0.23622047244094491" bottom="0.11811023622047245" header="0.43307086614173229" footer="0.23622047244094491"/>
  <pageSetup paperSize="9" scale="68" orientation="portrait" useFirstPageNumber="1" horizontalDpi="1200" verticalDpi="1200" r:id="rId1"/>
  <headerFooter differentOddEven="1" differentFirst="1" scaleWithDoc="0">
    <oddFooter>&amp;L&amp;8&amp;F&amp;CPage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5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R856"/>
  <sheetViews>
    <sheetView view="pageBreakPreview" topLeftCell="A4" zoomScaleNormal="130" zoomScaleSheetLayoutView="100" workbookViewId="0">
      <pane ySplit="1390" topLeftCell="A817" activePane="bottomLeft"/>
      <selection activeCell="A4" sqref="A1:D1048576"/>
      <selection pane="bottomLeft" activeCell="O452" sqref="O452"/>
    </sheetView>
  </sheetViews>
  <sheetFormatPr defaultColWidth="9" defaultRowHeight="13.15"/>
  <cols>
    <col min="1" max="4" width="3.6640625" customWidth="1"/>
    <col min="5" max="5" width="3.6640625" hidden="1" customWidth="1"/>
    <col min="6" max="6" width="2.33203125" hidden="1" customWidth="1"/>
    <col min="7" max="7" width="6.33203125" customWidth="1"/>
    <col min="8" max="8" width="2.88671875" customWidth="1"/>
    <col min="9" max="9" width="65.5546875" customWidth="1"/>
    <col min="10" max="10" width="25.88671875" style="4599" customWidth="1"/>
    <col min="11" max="12" width="20.88671875" style="4600" hidden="1" customWidth="1"/>
    <col min="13" max="13" width="0.109375" style="2081" customWidth="1"/>
    <col min="14" max="14" width="22.6640625" style="2081" customWidth="1"/>
    <col min="15" max="15" width="23.5546875" style="2081" customWidth="1"/>
    <col min="16" max="16" width="9.88671875" style="4247" customWidth="1"/>
    <col min="17" max="17" width="24.33203125" style="4853" customWidth="1"/>
    <col min="18" max="18" width="18.6640625" customWidth="1"/>
  </cols>
  <sheetData>
    <row r="1" spans="1:18" s="2070" customFormat="1" ht="9.6999999999999993" customHeight="1">
      <c r="G1" s="4021"/>
      <c r="H1" s="4022"/>
      <c r="I1" s="4022"/>
      <c r="J1" s="2129"/>
      <c r="K1" s="2130"/>
      <c r="L1" s="2130"/>
      <c r="M1" s="2131"/>
      <c r="N1" s="2131"/>
      <c r="O1" s="2131"/>
      <c r="P1" s="4023"/>
      <c r="Q1" s="4839"/>
    </row>
    <row r="2" spans="1:18" s="2070" customFormat="1" ht="29.3" customHeight="1">
      <c r="G2" s="5772" t="s">
        <v>1270</v>
      </c>
      <c r="H2" s="5773"/>
      <c r="I2" s="5773"/>
      <c r="J2" s="5773"/>
      <c r="K2" s="5773"/>
      <c r="L2" s="5773"/>
      <c r="M2" s="5773"/>
      <c r="N2" s="5773"/>
      <c r="O2" s="5773"/>
      <c r="P2" s="5773"/>
      <c r="Q2" s="4839"/>
    </row>
    <row r="3" spans="1:18" s="2070" customFormat="1" ht="16.45" customHeight="1">
      <c r="G3" s="4024"/>
      <c r="H3" s="4025"/>
      <c r="I3" s="4025"/>
      <c r="J3" s="2133"/>
      <c r="K3" s="2084"/>
      <c r="L3" s="2084"/>
      <c r="M3" s="2084"/>
      <c r="N3" s="2084"/>
      <c r="O3" s="2084"/>
      <c r="P3" s="4025"/>
      <c r="Q3" s="4839"/>
    </row>
    <row r="4" spans="1:18" s="2070" customFormat="1" ht="21.3">
      <c r="A4" s="5766" t="s">
        <v>1269</v>
      </c>
      <c r="B4" s="5767"/>
      <c r="C4" s="5767"/>
      <c r="D4" s="5768"/>
      <c r="G4" s="5774" t="s">
        <v>55</v>
      </c>
      <c r="H4" s="5775" t="s">
        <v>56</v>
      </c>
      <c r="I4" s="5775"/>
      <c r="J4" s="5776" t="s">
        <v>416</v>
      </c>
      <c r="K4" s="5777" t="s">
        <v>5</v>
      </c>
      <c r="L4" s="5777"/>
      <c r="M4" s="5777"/>
      <c r="N4" s="5778" t="s">
        <v>1220</v>
      </c>
      <c r="O4" s="5776" t="s">
        <v>430</v>
      </c>
      <c r="P4" s="5780" t="s">
        <v>6</v>
      </c>
      <c r="Q4" s="4839"/>
    </row>
    <row r="5" spans="1:18" s="4026" customFormat="1" ht="23.35" customHeight="1">
      <c r="A5" s="5769"/>
      <c r="B5" s="5770"/>
      <c r="C5" s="5770"/>
      <c r="D5" s="5771"/>
      <c r="G5" s="5774"/>
      <c r="H5" s="5775"/>
      <c r="I5" s="5775"/>
      <c r="J5" s="5776"/>
      <c r="K5" s="4515" t="s">
        <v>432</v>
      </c>
      <c r="L5" s="4515" t="s">
        <v>433</v>
      </c>
      <c r="M5" s="4515" t="s">
        <v>434</v>
      </c>
      <c r="N5" s="5779"/>
      <c r="O5" s="5776"/>
      <c r="P5" s="5780"/>
      <c r="Q5" s="4839"/>
    </row>
    <row r="6" spans="1:18" s="4027" customFormat="1" ht="12.55">
      <c r="A6" s="5312"/>
      <c r="B6" s="5313"/>
      <c r="C6" s="5313"/>
      <c r="D6" s="5314"/>
      <c r="G6" s="4028" t="s">
        <v>58</v>
      </c>
      <c r="H6" s="5756">
        <v>2</v>
      </c>
      <c r="I6" s="5757"/>
      <c r="J6" s="4516">
        <v>3</v>
      </c>
      <c r="K6" s="4516">
        <v>4</v>
      </c>
      <c r="L6" s="4516">
        <v>15</v>
      </c>
      <c r="M6" s="4516">
        <v>16</v>
      </c>
      <c r="N6" s="4516"/>
      <c r="O6" s="4516">
        <v>17</v>
      </c>
      <c r="P6" s="4029">
        <v>18</v>
      </c>
      <c r="Q6" s="4839"/>
    </row>
    <row r="7" spans="1:18" s="2070" customFormat="1" ht="13.5" customHeight="1">
      <c r="A7" s="5315"/>
      <c r="B7" s="5316"/>
      <c r="C7" s="5316"/>
      <c r="D7" s="5317"/>
      <c r="G7" s="5323"/>
      <c r="H7" s="4031"/>
      <c r="I7" s="4031"/>
      <c r="J7" s="4517"/>
      <c r="K7" s="2138">
        <v>0</v>
      </c>
      <c r="L7" s="4517">
        <f>L8-[2]KOM!N9</f>
        <v>3395012730606.8101</v>
      </c>
      <c r="M7" s="4517">
        <f>M8-[2]KOM!O9</f>
        <v>2757167821839.2803</v>
      </c>
      <c r="N7" s="4517"/>
      <c r="O7" s="4517">
        <f t="shared" ref="O7:O27" si="0">N7-J7</f>
        <v>0</v>
      </c>
      <c r="P7" s="4032"/>
      <c r="Q7" s="4839"/>
    </row>
    <row r="8" spans="1:18" s="5322" customFormat="1" ht="17.25" customHeight="1">
      <c r="A8" s="5758" t="s">
        <v>435</v>
      </c>
      <c r="B8" s="5759"/>
      <c r="C8" s="5759"/>
      <c r="D8" s="5759"/>
      <c r="E8" s="5759"/>
      <c r="F8" s="5760"/>
      <c r="G8" s="5324"/>
      <c r="H8" s="5318" t="s">
        <v>60</v>
      </c>
      <c r="I8" s="5318"/>
      <c r="J8" s="5319">
        <f>SUM(J10+J29+J91+J104+J116+J129+J146+J154+J169+J182+J196+J214+J237+J257+J265+J272+J282+J297+J305+J314+J322+J330+J350+J358+J366+J443+J472+J516+J524+J535+J628+J651+J659+J667+J693+J717+J725+J758+J771+J780+J789+J798+J807+J816+J825+J834)</f>
        <v>4791397359569</v>
      </c>
      <c r="K8" s="5319">
        <v>3669258351634</v>
      </c>
      <c r="L8" s="5319">
        <v>3669258351634</v>
      </c>
      <c r="M8" s="5319">
        <v>3669258351634</v>
      </c>
      <c r="N8" s="5319" t="e">
        <f>SUM(N10+N29+N91+N104+N116+N129+N146+N154+N169+N182+N196+N214+N237+N257+N265+N272+N282+N297+N305+N314+N322+N330+N350+N358+N366+N443+N472+N516+N524+N535+N628+N651+N659+N667+N693+N717+N725+N758+N771+N780+N789+N798+N807+N816+N825+N834)</f>
        <v>#REF!</v>
      </c>
      <c r="O8" s="5319" t="e">
        <f t="shared" si="0"/>
        <v>#REF!</v>
      </c>
      <c r="P8" s="5320" t="e">
        <f>O8/J8*100</f>
        <v>#REF!</v>
      </c>
      <c r="Q8" s="5321"/>
    </row>
    <row r="9" spans="1:18" s="2070" customFormat="1" ht="21" customHeight="1">
      <c r="A9" s="5325"/>
      <c r="B9" s="5326"/>
      <c r="C9" s="5326"/>
      <c r="D9" s="5327"/>
      <c r="G9" s="5155"/>
      <c r="H9" s="4830" t="s">
        <v>180</v>
      </c>
      <c r="I9" s="4831"/>
      <c r="J9" s="4834">
        <f>J851</f>
        <v>1501611335359</v>
      </c>
      <c r="K9" s="4833"/>
      <c r="L9" s="4832"/>
      <c r="M9" s="4834"/>
      <c r="N9" s="4834" t="e">
        <f>SUM(N10+N29+N91+N104+N116+N129+N146+N154+N169+N182+N196+N214+N237+N257+N265+N272+N282+N297+N305+N314+N322+N330+N350+N358+N366+N516+N524+N535+N628+N651+N659+N667+N693+N717+N725+N758+N771+N780+N789+N798+N807+N816+N825+N834)</f>
        <v>#REF!</v>
      </c>
      <c r="O9" s="4834" t="e">
        <f>SUM(N9-J9)</f>
        <v>#REF!</v>
      </c>
      <c r="P9" s="4835" t="e">
        <f>O9/J9*100</f>
        <v>#REF!</v>
      </c>
      <c r="Q9" s="4839"/>
    </row>
    <row r="10" spans="1:18" s="2073" customFormat="1" ht="15.65">
      <c r="A10" s="4039"/>
      <c r="B10" s="4039"/>
      <c r="C10" s="4039"/>
      <c r="D10" s="4039"/>
      <c r="E10" s="4039"/>
      <c r="F10" s="4040"/>
      <c r="G10" s="4041" t="s">
        <v>61</v>
      </c>
      <c r="H10" s="4042" t="s">
        <v>62</v>
      </c>
      <c r="I10" s="4043"/>
      <c r="J10" s="4519">
        <f>J11</f>
        <v>161895000</v>
      </c>
      <c r="K10" s="4520">
        <v>40629500</v>
      </c>
      <c r="L10" s="4519">
        <f>L11+L21</f>
        <v>77182000</v>
      </c>
      <c r="M10" s="4519">
        <f t="shared" ref="M10:M15" si="1">SUM(K10:L10)</f>
        <v>117811500</v>
      </c>
      <c r="N10" s="4519">
        <f>N11</f>
        <v>166895000</v>
      </c>
      <c r="O10" s="4519">
        <f>O11</f>
        <v>5000000</v>
      </c>
      <c r="P10" s="4044">
        <f>O10/J10*100</f>
        <v>3.08842150776738</v>
      </c>
      <c r="Q10" s="4840"/>
      <c r="R10" s="4045" t="s">
        <v>436</v>
      </c>
    </row>
    <row r="11" spans="1:18" s="2070" customFormat="1">
      <c r="A11" s="4046">
        <v>4</v>
      </c>
      <c r="B11" s="4046">
        <v>1</v>
      </c>
      <c r="C11" s="4046">
        <v>2</v>
      </c>
      <c r="D11" s="4047" t="s">
        <v>437</v>
      </c>
      <c r="E11" s="4048"/>
      <c r="F11" s="4049">
        <v>1</v>
      </c>
      <c r="G11" s="4050"/>
      <c r="H11" s="4051" t="s">
        <v>63</v>
      </c>
      <c r="I11" s="4051"/>
      <c r="J11" s="4521">
        <f>SUM(J12+J17)</f>
        <v>161895000</v>
      </c>
      <c r="K11" s="4522">
        <v>8429500</v>
      </c>
      <c r="L11" s="4521">
        <f>L12+L17</f>
        <v>4782000</v>
      </c>
      <c r="M11" s="4521">
        <f t="shared" si="1"/>
        <v>13211500</v>
      </c>
      <c r="N11" s="4521">
        <f>SUM(N12+N17)</f>
        <v>166895000</v>
      </c>
      <c r="O11" s="4604">
        <f>N11-J11</f>
        <v>5000000</v>
      </c>
      <c r="P11" s="4052">
        <f t="shared" ref="P11:P18" si="2">O11/J11*100</f>
        <v>3.08842150776738</v>
      </c>
      <c r="Q11" s="4839"/>
    </row>
    <row r="12" spans="1:18" s="2070" customFormat="1">
      <c r="A12" s="4053">
        <v>4</v>
      </c>
      <c r="B12" s="4053">
        <v>1</v>
      </c>
      <c r="C12" s="4053">
        <v>2</v>
      </c>
      <c r="D12" s="4053" t="s">
        <v>438</v>
      </c>
      <c r="E12" s="4054" t="s">
        <v>437</v>
      </c>
      <c r="F12" s="4049"/>
      <c r="G12" s="4055"/>
      <c r="H12" s="4056" t="s">
        <v>64</v>
      </c>
      <c r="I12" s="4056"/>
      <c r="J12" s="1727">
        <f>SUM(J13:J15)</f>
        <v>98395000</v>
      </c>
      <c r="K12" s="2159">
        <v>4949500</v>
      </c>
      <c r="L12" s="1727">
        <f>SUM(L13:L15)</f>
        <v>4782000</v>
      </c>
      <c r="M12" s="4253">
        <f t="shared" si="1"/>
        <v>9731500</v>
      </c>
      <c r="N12" s="1727">
        <f>SUM(N13:N15)</f>
        <v>98395000</v>
      </c>
      <c r="O12" s="4254">
        <f t="shared" si="0"/>
        <v>0</v>
      </c>
      <c r="P12" s="4057">
        <f t="shared" si="2"/>
        <v>0</v>
      </c>
      <c r="Q12" s="4841">
        <f>J17+J82+J201+J218+J243+J526+J631+J670</f>
        <v>2547125000</v>
      </c>
      <c r="R12" s="4058" t="s">
        <v>439</v>
      </c>
    </row>
    <row r="13" spans="1:18" s="2070" customFormat="1">
      <c r="A13" s="4048"/>
      <c r="B13" s="4048"/>
      <c r="C13" s="4048"/>
      <c r="D13" s="4048"/>
      <c r="E13" s="4048"/>
      <c r="F13" s="4049"/>
      <c r="G13" s="4059"/>
      <c r="H13" s="4060" t="s">
        <v>50</v>
      </c>
      <c r="I13" s="4060" t="s">
        <v>65</v>
      </c>
      <c r="J13" s="1964">
        <v>33395000</v>
      </c>
      <c r="K13" s="2159">
        <v>0</v>
      </c>
      <c r="L13" s="2160">
        <v>750000</v>
      </c>
      <c r="M13" s="4253">
        <f t="shared" si="1"/>
        <v>750000</v>
      </c>
      <c r="N13" s="4248">
        <f>'KOM sementara'!P58</f>
        <v>33395000</v>
      </c>
      <c r="O13" s="4254">
        <f t="shared" si="0"/>
        <v>0</v>
      </c>
      <c r="P13" s="4061">
        <f t="shared" si="2"/>
        <v>0</v>
      </c>
      <c r="Q13" s="4839">
        <f>Q12-[2]KOM!L111</f>
        <v>0</v>
      </c>
    </row>
    <row r="14" spans="1:18" s="2070" customFormat="1">
      <c r="A14" s="4048"/>
      <c r="B14" s="4048"/>
      <c r="C14" s="4048"/>
      <c r="D14" s="4048"/>
      <c r="E14" s="4048"/>
      <c r="F14" s="4049"/>
      <c r="G14" s="4059"/>
      <c r="H14" s="4060" t="s">
        <v>50</v>
      </c>
      <c r="I14" s="4060" t="s">
        <v>66</v>
      </c>
      <c r="J14" s="1964">
        <v>25000000</v>
      </c>
      <c r="K14" s="2159">
        <v>0</v>
      </c>
      <c r="L14" s="2160">
        <v>2000000</v>
      </c>
      <c r="M14" s="4253">
        <f t="shared" si="1"/>
        <v>2000000</v>
      </c>
      <c r="N14" s="4248">
        <f>'KOM sementara'!P59</f>
        <v>25000000</v>
      </c>
      <c r="O14" s="4254">
        <f t="shared" si="0"/>
        <v>0</v>
      </c>
      <c r="P14" s="4061">
        <f t="shared" si="2"/>
        <v>0</v>
      </c>
      <c r="Q14" s="4842">
        <f>J17</f>
        <v>63500000</v>
      </c>
    </row>
    <row r="15" spans="1:18" s="2070" customFormat="1">
      <c r="A15" s="4048"/>
      <c r="B15" s="4048"/>
      <c r="C15" s="4048"/>
      <c r="D15" s="4048"/>
      <c r="E15" s="4048"/>
      <c r="F15" s="4049"/>
      <c r="G15" s="4059"/>
      <c r="H15" s="4062" t="s">
        <v>50</v>
      </c>
      <c r="I15" s="4060" t="s">
        <v>67</v>
      </c>
      <c r="J15" s="1964">
        <v>40000000</v>
      </c>
      <c r="K15" s="2159">
        <v>4949500</v>
      </c>
      <c r="L15" s="2160">
        <f>2032000</f>
        <v>2032000</v>
      </c>
      <c r="M15" s="4253">
        <f t="shared" si="1"/>
        <v>6981500</v>
      </c>
      <c r="N15" s="1964">
        <f>'KOM sementara'!P60</f>
        <v>40000000</v>
      </c>
      <c r="O15" s="4254">
        <f t="shared" si="0"/>
        <v>0</v>
      </c>
      <c r="P15" s="4061">
        <f t="shared" si="2"/>
        <v>0</v>
      </c>
      <c r="Q15" s="4842">
        <f>J82</f>
        <v>210000000</v>
      </c>
    </row>
    <row r="16" spans="1:18" s="2070" customFormat="1" ht="6.75" customHeight="1">
      <c r="A16" s="4048"/>
      <c r="B16" s="4048"/>
      <c r="C16" s="4048"/>
      <c r="D16" s="4048"/>
      <c r="E16" s="4048"/>
      <c r="F16" s="4049"/>
      <c r="G16" s="4059"/>
      <c r="H16" s="4060"/>
      <c r="I16" s="4060"/>
      <c r="J16" s="4523"/>
      <c r="K16" s="2159"/>
      <c r="L16" s="4523"/>
      <c r="M16" s="4253"/>
      <c r="N16" s="4253"/>
      <c r="O16" s="4254">
        <f t="shared" si="0"/>
        <v>0</v>
      </c>
      <c r="P16" s="4061"/>
      <c r="Q16" s="4839">
        <f>J201</f>
        <v>0</v>
      </c>
    </row>
    <row r="17" spans="1:18" s="2070" customFormat="1">
      <c r="A17" s="4063">
        <v>4</v>
      </c>
      <c r="B17" s="4063">
        <v>1</v>
      </c>
      <c r="C17" s="4063">
        <v>2</v>
      </c>
      <c r="D17" s="4063" t="s">
        <v>438</v>
      </c>
      <c r="E17" s="4063" t="s">
        <v>440</v>
      </c>
      <c r="F17" s="4049"/>
      <c r="G17" s="4059"/>
      <c r="H17" s="4064" t="s">
        <v>68</v>
      </c>
      <c r="I17" s="4060"/>
      <c r="J17" s="4254">
        <f>SUM(J18:J19)</f>
        <v>63500000</v>
      </c>
      <c r="K17" s="2159">
        <v>3480000</v>
      </c>
      <c r="L17" s="4523">
        <f>SUM(L18:L19)</f>
        <v>0</v>
      </c>
      <c r="M17" s="4253">
        <f t="shared" ref="M17:M27" si="3">SUM(K17:L17)</f>
        <v>3480000</v>
      </c>
      <c r="N17" s="4253">
        <f>SUM(N18:N19)</f>
        <v>68500000</v>
      </c>
      <c r="O17" s="4254">
        <f t="shared" si="0"/>
        <v>5000000</v>
      </c>
      <c r="P17" s="4061">
        <f t="shared" si="2"/>
        <v>7.8740157480314963</v>
      </c>
      <c r="Q17" s="4842">
        <f>J218</f>
        <v>75000000</v>
      </c>
    </row>
    <row r="18" spans="1:18" s="2070" customFormat="1">
      <c r="A18" s="4048"/>
      <c r="B18" s="4048"/>
      <c r="C18" s="4048"/>
      <c r="D18" s="4048"/>
      <c r="E18" s="4048"/>
      <c r="F18" s="4049"/>
      <c r="G18" s="4059"/>
      <c r="H18" s="4062" t="s">
        <v>50</v>
      </c>
      <c r="I18" s="4060" t="s">
        <v>69</v>
      </c>
      <c r="J18" s="1964">
        <v>60000000</v>
      </c>
      <c r="K18" s="2159">
        <v>3480000</v>
      </c>
      <c r="L18" s="2160">
        <v>0</v>
      </c>
      <c r="M18" s="4253">
        <f t="shared" si="3"/>
        <v>3480000</v>
      </c>
      <c r="N18" s="4248">
        <f>'KOM sementara'!P141</f>
        <v>65000000</v>
      </c>
      <c r="O18" s="4254">
        <f t="shared" si="0"/>
        <v>5000000</v>
      </c>
      <c r="P18" s="4061">
        <f t="shared" si="2"/>
        <v>8.3333333333333321</v>
      </c>
      <c r="Q18" s="4842">
        <f>J243</f>
        <v>348625000</v>
      </c>
    </row>
    <row r="19" spans="1:18" s="2070" customFormat="1">
      <c r="A19" s="4048"/>
      <c r="B19" s="4048"/>
      <c r="C19" s="4048"/>
      <c r="D19" s="4048"/>
      <c r="E19" s="4048"/>
      <c r="F19" s="4049"/>
      <c r="G19" s="4059"/>
      <c r="H19" s="4062" t="s">
        <v>50</v>
      </c>
      <c r="I19" s="4060" t="s">
        <v>70</v>
      </c>
      <c r="J19" s="1964">
        <v>3500000</v>
      </c>
      <c r="K19" s="2159">
        <v>0</v>
      </c>
      <c r="L19" s="2160">
        <f>'[2]ALL BULAN'!E19</f>
        <v>0</v>
      </c>
      <c r="M19" s="4253">
        <f t="shared" si="3"/>
        <v>0</v>
      </c>
      <c r="N19" s="4248">
        <f>'KOM sementara'!P142</f>
        <v>3500000</v>
      </c>
      <c r="O19" s="4254">
        <f t="shared" si="0"/>
        <v>0</v>
      </c>
      <c r="P19" s="4061">
        <f>M19/J19*100</f>
        <v>0</v>
      </c>
      <c r="Q19" s="4842">
        <f>J526</f>
        <v>1500000000</v>
      </c>
    </row>
    <row r="20" spans="1:18" s="2070" customFormat="1" ht="7.55" customHeight="1">
      <c r="A20" s="4048"/>
      <c r="B20" s="4048"/>
      <c r="C20" s="4048"/>
      <c r="D20" s="4048"/>
      <c r="E20" s="4048"/>
      <c r="F20" s="4049"/>
      <c r="G20" s="4059"/>
      <c r="H20" s="4060"/>
      <c r="I20" s="4060"/>
      <c r="J20" s="4523"/>
      <c r="K20" s="2159">
        <v>0</v>
      </c>
      <c r="L20" s="4523"/>
      <c r="M20" s="4253">
        <f t="shared" si="3"/>
        <v>0</v>
      </c>
      <c r="N20" s="4253"/>
      <c r="O20" s="4254">
        <f t="shared" si="0"/>
        <v>0</v>
      </c>
      <c r="P20" s="4061">
        <v>0</v>
      </c>
      <c r="Q20" s="4842">
        <f>J631</f>
        <v>150000000</v>
      </c>
    </row>
    <row r="21" spans="1:18" s="2070" customFormat="1" hidden="1">
      <c r="A21" s="4065">
        <v>4</v>
      </c>
      <c r="B21" s="4065">
        <v>1</v>
      </c>
      <c r="C21" s="4065">
        <v>4</v>
      </c>
      <c r="D21" s="4048"/>
      <c r="E21" s="4048"/>
      <c r="F21" s="4066">
        <v>3</v>
      </c>
      <c r="G21" s="4067"/>
      <c r="H21" s="4068" t="s">
        <v>71</v>
      </c>
      <c r="I21" s="4068"/>
      <c r="J21" s="4254">
        <v>0</v>
      </c>
      <c r="K21" s="2159">
        <v>32200000</v>
      </c>
      <c r="L21" s="4254">
        <f>SUM(L22:L27)</f>
        <v>72400000</v>
      </c>
      <c r="M21" s="4253">
        <f t="shared" si="3"/>
        <v>104600000</v>
      </c>
      <c r="N21" s="4253">
        <v>0</v>
      </c>
      <c r="O21" s="4254">
        <f t="shared" si="0"/>
        <v>0</v>
      </c>
      <c r="P21" s="4061">
        <v>0</v>
      </c>
      <c r="Q21" s="4842">
        <f>J670</f>
        <v>200000000</v>
      </c>
    </row>
    <row r="22" spans="1:18" s="2070" customFormat="1" hidden="1">
      <c r="A22" s="4065">
        <v>4</v>
      </c>
      <c r="B22" s="4065">
        <v>1</v>
      </c>
      <c r="C22" s="4065">
        <v>4</v>
      </c>
      <c r="D22" s="4065" t="s">
        <v>441</v>
      </c>
      <c r="E22" s="4048"/>
      <c r="F22" s="4049"/>
      <c r="G22" s="4067"/>
      <c r="H22" s="4064" t="s">
        <v>50</v>
      </c>
      <c r="I22" s="4060" t="s">
        <v>72</v>
      </c>
      <c r="J22" s="1964">
        <v>0</v>
      </c>
      <c r="K22" s="2159">
        <v>32200000</v>
      </c>
      <c r="L22" s="2160">
        <v>72400000</v>
      </c>
      <c r="M22" s="4253">
        <f t="shared" si="3"/>
        <v>104600000</v>
      </c>
      <c r="N22" s="4253">
        <v>0</v>
      </c>
      <c r="O22" s="4254">
        <f t="shared" si="0"/>
        <v>0</v>
      </c>
      <c r="P22" s="4061">
        <v>0</v>
      </c>
      <c r="Q22" s="4839">
        <f>J673+J702+J741</f>
        <v>2113387000</v>
      </c>
      <c r="R22" s="2070" t="s">
        <v>442</v>
      </c>
    </row>
    <row r="23" spans="1:18" s="2070" customFormat="1" hidden="1">
      <c r="A23" s="4054">
        <v>4</v>
      </c>
      <c r="B23" s="4054">
        <v>1</v>
      </c>
      <c r="C23" s="4054" t="s">
        <v>443</v>
      </c>
      <c r="D23" s="4054" t="s">
        <v>444</v>
      </c>
      <c r="E23" s="4054" t="s">
        <v>440</v>
      </c>
      <c r="F23" s="4049"/>
      <c r="G23" s="4067"/>
      <c r="H23" s="4064" t="s">
        <v>50</v>
      </c>
      <c r="I23" s="4060" t="s">
        <v>73</v>
      </c>
      <c r="J23" s="1964">
        <v>0</v>
      </c>
      <c r="K23" s="2159">
        <v>0</v>
      </c>
      <c r="L23" s="2160">
        <f>'[2]ALL BULAN'!E23</f>
        <v>0</v>
      </c>
      <c r="M23" s="4253">
        <f t="shared" si="3"/>
        <v>0</v>
      </c>
      <c r="N23" s="4253">
        <v>0</v>
      </c>
      <c r="O23" s="4254">
        <f t="shared" si="0"/>
        <v>0</v>
      </c>
      <c r="P23" s="4061">
        <v>0</v>
      </c>
      <c r="Q23" s="4839">
        <f>Q22-[2]KOM!L132</f>
        <v>0</v>
      </c>
    </row>
    <row r="24" spans="1:18" s="2070" customFormat="1" hidden="1">
      <c r="A24" s="4069">
        <v>4</v>
      </c>
      <c r="B24" s="4069">
        <v>1</v>
      </c>
      <c r="C24" s="4069" t="s">
        <v>443</v>
      </c>
      <c r="D24" s="4069" t="s">
        <v>444</v>
      </c>
      <c r="E24" s="4070" t="s">
        <v>445</v>
      </c>
      <c r="F24" s="4049"/>
      <c r="G24" s="4067"/>
      <c r="H24" s="4064" t="s">
        <v>50</v>
      </c>
      <c r="I24" s="4060" t="s">
        <v>74</v>
      </c>
      <c r="J24" s="1964">
        <v>0</v>
      </c>
      <c r="K24" s="2159">
        <v>0</v>
      </c>
      <c r="L24" s="2160">
        <f>'[2]ALL BULAN'!E24</f>
        <v>0</v>
      </c>
      <c r="M24" s="4253">
        <f t="shared" si="3"/>
        <v>0</v>
      </c>
      <c r="N24" s="4253">
        <v>0</v>
      </c>
      <c r="O24" s="4254">
        <f t="shared" si="0"/>
        <v>0</v>
      </c>
      <c r="P24" s="4061">
        <v>0</v>
      </c>
      <c r="Q24" s="4839">
        <f>J45+J57</f>
        <v>7500000000</v>
      </c>
      <c r="R24" s="2070" t="s">
        <v>446</v>
      </c>
    </row>
    <row r="25" spans="1:18" s="2070" customFormat="1" hidden="1">
      <c r="A25" s="4054">
        <v>4</v>
      </c>
      <c r="B25" s="4054">
        <v>1</v>
      </c>
      <c r="C25" s="4054" t="s">
        <v>443</v>
      </c>
      <c r="D25" s="4054" t="s">
        <v>444</v>
      </c>
      <c r="E25" s="4054" t="s">
        <v>441</v>
      </c>
      <c r="F25" s="4049"/>
      <c r="G25" s="4059"/>
      <c r="H25" s="4060" t="s">
        <v>308</v>
      </c>
      <c r="I25" s="4060" t="s">
        <v>75</v>
      </c>
      <c r="J25" s="1964">
        <v>0</v>
      </c>
      <c r="K25" s="2159">
        <v>0</v>
      </c>
      <c r="L25" s="2160">
        <f>'[2]ALL BULAN'!E25</f>
        <v>0</v>
      </c>
      <c r="M25" s="4253">
        <f t="shared" si="3"/>
        <v>0</v>
      </c>
      <c r="N25" s="4253">
        <v>0</v>
      </c>
      <c r="O25" s="4254">
        <f t="shared" si="0"/>
        <v>0</v>
      </c>
      <c r="P25" s="4061">
        <v>0</v>
      </c>
      <c r="Q25" s="4839"/>
    </row>
    <row r="26" spans="1:18" s="2070" customFormat="1" hidden="1">
      <c r="A26" s="4048"/>
      <c r="B26" s="4048"/>
      <c r="C26" s="4048"/>
      <c r="D26" s="4048"/>
      <c r="E26" s="4048"/>
      <c r="F26" s="4049"/>
      <c r="G26" s="4059"/>
      <c r="H26" s="4060" t="s">
        <v>50</v>
      </c>
      <c r="I26" s="4060" t="s">
        <v>76</v>
      </c>
      <c r="J26" s="1964">
        <v>0</v>
      </c>
      <c r="K26" s="2159">
        <v>0</v>
      </c>
      <c r="L26" s="2160">
        <f>'[2]ALL BULAN'!E26</f>
        <v>0</v>
      </c>
      <c r="M26" s="4253">
        <f t="shared" si="3"/>
        <v>0</v>
      </c>
      <c r="N26" s="4253">
        <v>0</v>
      </c>
      <c r="O26" s="4254">
        <f t="shared" si="0"/>
        <v>0</v>
      </c>
      <c r="P26" s="4061">
        <v>0</v>
      </c>
      <c r="Q26" s="4839"/>
    </row>
    <row r="27" spans="1:18" s="2070" customFormat="1" hidden="1">
      <c r="A27" s="4054">
        <v>4</v>
      </c>
      <c r="B27" s="4054">
        <v>1</v>
      </c>
      <c r="C27" s="4054" t="s">
        <v>443</v>
      </c>
      <c r="D27" s="4054" t="s">
        <v>447</v>
      </c>
      <c r="E27" s="4054" t="s">
        <v>437</v>
      </c>
      <c r="F27" s="4049"/>
      <c r="G27" s="4059"/>
      <c r="H27" s="4060" t="s">
        <v>50</v>
      </c>
      <c r="I27" s="4060" t="s">
        <v>77</v>
      </c>
      <c r="J27" s="1964">
        <v>0</v>
      </c>
      <c r="K27" s="2159">
        <v>0</v>
      </c>
      <c r="L27" s="2160">
        <f>'[2]ALL BULAN'!E27</f>
        <v>0</v>
      </c>
      <c r="M27" s="4253">
        <f t="shared" si="3"/>
        <v>0</v>
      </c>
      <c r="N27" s="4253">
        <v>0</v>
      </c>
      <c r="O27" s="4254">
        <f t="shared" si="0"/>
        <v>0</v>
      </c>
      <c r="P27" s="4061">
        <v>0</v>
      </c>
      <c r="Q27" s="4839"/>
    </row>
    <row r="28" spans="1:18" s="2070" customFormat="1" ht="5.95" customHeight="1">
      <c r="A28" s="4048"/>
      <c r="B28" s="4048"/>
      <c r="C28" s="4048"/>
      <c r="D28" s="4048"/>
      <c r="E28" s="4048"/>
      <c r="F28" s="4049"/>
      <c r="G28" s="4071"/>
      <c r="H28" s="4072"/>
      <c r="I28" s="4072"/>
      <c r="J28" s="4524"/>
      <c r="K28" s="2167"/>
      <c r="L28" s="4524"/>
      <c r="M28" s="4525"/>
      <c r="N28" s="4525"/>
      <c r="O28" s="4525"/>
      <c r="P28" s="4073"/>
      <c r="Q28" s="4839"/>
    </row>
    <row r="29" spans="1:18" s="4612" customFormat="1" ht="18.8" customHeight="1">
      <c r="A29" s="4605"/>
      <c r="B29" s="4605"/>
      <c r="C29" s="4605"/>
      <c r="D29" s="4605"/>
      <c r="E29" s="4605"/>
      <c r="F29" s="4606"/>
      <c r="G29" s="4607" t="s">
        <v>78</v>
      </c>
      <c r="H29" s="4608" t="s">
        <v>79</v>
      </c>
      <c r="I29" s="4609"/>
      <c r="J29" s="4610">
        <f>J31+J43+J54+J66+J78</f>
        <v>9997286650</v>
      </c>
      <c r="K29" s="4610">
        <f>K31+K43+K54+K66+K78</f>
        <v>2031539741</v>
      </c>
      <c r="L29" s="4610">
        <f>L31+L43+L54+L66+L78</f>
        <v>1047828867</v>
      </c>
      <c r="M29" s="4610">
        <f>M31+M43+M54+M66+M78</f>
        <v>3079368608</v>
      </c>
      <c r="N29" s="4610">
        <f>SUM(N31+N43+N54+N66+N78)</f>
        <v>10000000000</v>
      </c>
      <c r="O29" s="4610">
        <f>SUM(N29-J29)</f>
        <v>2713350</v>
      </c>
      <c r="P29" s="4611">
        <f>SUM(O29/J29*100)</f>
        <v>2.7140864266405721E-2</v>
      </c>
      <c r="Q29" s="4843"/>
    </row>
    <row r="30" spans="1:18" s="2070" customFormat="1" ht="6.75" customHeight="1">
      <c r="A30" s="4048"/>
      <c r="B30" s="4048"/>
      <c r="C30" s="4048"/>
      <c r="D30" s="4048"/>
      <c r="E30" s="4048"/>
      <c r="F30" s="4049"/>
      <c r="G30" s="4055"/>
      <c r="H30" s="4056"/>
      <c r="I30" s="4056"/>
      <c r="J30" s="1727"/>
      <c r="K30" s="2144"/>
      <c r="L30" s="1727"/>
      <c r="M30" s="1727"/>
      <c r="N30" s="1727"/>
      <c r="O30" s="1727"/>
      <c r="P30" s="4038"/>
      <c r="Q30" s="4839"/>
    </row>
    <row r="31" spans="1:18" s="4622" customFormat="1" ht="15.65">
      <c r="A31" s="4613"/>
      <c r="B31" s="4613"/>
      <c r="C31" s="4613"/>
      <c r="D31" s="4613"/>
      <c r="E31" s="4613"/>
      <c r="F31" s="4614"/>
      <c r="G31" s="4615"/>
      <c r="H31" s="4616" t="s">
        <v>79</v>
      </c>
      <c r="I31" s="4617"/>
      <c r="J31" s="4618">
        <v>0</v>
      </c>
      <c r="K31" s="4619">
        <v>0</v>
      </c>
      <c r="L31" s="4618">
        <f>L32+L35</f>
        <v>0</v>
      </c>
      <c r="M31" s="4620">
        <f>SUM(K31:L31)</f>
        <v>0</v>
      </c>
      <c r="N31" s="4620"/>
      <c r="O31" s="4620">
        <f t="shared" ref="O31:O41" si="4">M31-J31</f>
        <v>0</v>
      </c>
      <c r="P31" s="4621">
        <v>0</v>
      </c>
      <c r="Q31" s="4844"/>
    </row>
    <row r="32" spans="1:18" s="2070" customFormat="1" hidden="1">
      <c r="A32" s="4074">
        <v>4</v>
      </c>
      <c r="B32" s="4074">
        <v>1</v>
      </c>
      <c r="C32" s="4074">
        <v>2</v>
      </c>
      <c r="D32" s="4074" t="s">
        <v>437</v>
      </c>
      <c r="E32" s="4048"/>
      <c r="F32" s="4075">
        <v>1</v>
      </c>
      <c r="G32" s="4076"/>
      <c r="H32" s="4077" t="s">
        <v>63</v>
      </c>
      <c r="I32" s="4078"/>
      <c r="J32" s="4526">
        <v>0</v>
      </c>
      <c r="K32" s="2178">
        <v>0</v>
      </c>
      <c r="L32" s="4526">
        <f>L33</f>
        <v>0</v>
      </c>
      <c r="M32" s="4527">
        <f>SUM(K32:L32)</f>
        <v>0</v>
      </c>
      <c r="N32" s="2260"/>
      <c r="O32" s="4254">
        <f t="shared" si="4"/>
        <v>0</v>
      </c>
      <c r="P32" s="4061">
        <v>0</v>
      </c>
      <c r="Q32" s="4839"/>
    </row>
    <row r="33" spans="1:17" s="2070" customFormat="1" hidden="1">
      <c r="A33" s="4079">
        <v>4</v>
      </c>
      <c r="B33" s="4079">
        <v>1</v>
      </c>
      <c r="C33" s="4079">
        <v>2</v>
      </c>
      <c r="D33" s="4079" t="s">
        <v>438</v>
      </c>
      <c r="E33" s="4054" t="s">
        <v>448</v>
      </c>
      <c r="F33" s="4049"/>
      <c r="G33" s="4059"/>
      <c r="H33" s="4060" t="s">
        <v>50</v>
      </c>
      <c r="I33" s="4060" t="s">
        <v>80</v>
      </c>
      <c r="J33" s="1964">
        <v>0</v>
      </c>
      <c r="K33" s="2180">
        <v>0</v>
      </c>
      <c r="L33" s="2160">
        <f>'[2]ALL BULAN'!E33</f>
        <v>0</v>
      </c>
      <c r="M33" s="2181">
        <f>SUM(K33:L33)</f>
        <v>0</v>
      </c>
      <c r="N33" s="2318"/>
      <c r="O33" s="4254">
        <f t="shared" si="4"/>
        <v>0</v>
      </c>
      <c r="P33" s="4061">
        <v>0</v>
      </c>
      <c r="Q33" s="4839"/>
    </row>
    <row r="34" spans="1:17" s="2070" customFormat="1" ht="8.3000000000000007" hidden="1" customHeight="1">
      <c r="A34" s="4048"/>
      <c r="B34" s="4048"/>
      <c r="C34" s="4048"/>
      <c r="D34" s="4048"/>
      <c r="E34" s="4048"/>
      <c r="F34" s="4049"/>
      <c r="G34" s="4059"/>
      <c r="H34" s="4060"/>
      <c r="I34" s="4060"/>
      <c r="J34" s="4523"/>
      <c r="K34" s="2159"/>
      <c r="L34" s="4523"/>
      <c r="M34" s="4253"/>
      <c r="N34" s="4253"/>
      <c r="O34" s="4254">
        <f t="shared" si="4"/>
        <v>0</v>
      </c>
      <c r="P34" s="4061">
        <f>O34-K34</f>
        <v>0</v>
      </c>
      <c r="Q34" s="4839"/>
    </row>
    <row r="35" spans="1:17" s="2070" customFormat="1" hidden="1">
      <c r="A35" s="4065">
        <v>4</v>
      </c>
      <c r="B35" s="4065">
        <v>1</v>
      </c>
      <c r="C35" s="4065">
        <v>4</v>
      </c>
      <c r="D35" s="4048"/>
      <c r="E35" s="4048"/>
      <c r="F35" s="4066">
        <v>3</v>
      </c>
      <c r="G35" s="4059"/>
      <c r="H35" s="4068" t="s">
        <v>71</v>
      </c>
      <c r="I35" s="4068"/>
      <c r="J35" s="4254">
        <v>0</v>
      </c>
      <c r="K35" s="2159">
        <v>0</v>
      </c>
      <c r="L35" s="4254">
        <f>SUM(L36:L41)</f>
        <v>0</v>
      </c>
      <c r="M35" s="4253">
        <f t="shared" ref="M35:M41" si="5">SUM(K35:L35)</f>
        <v>0</v>
      </c>
      <c r="N35" s="4253"/>
      <c r="O35" s="4254">
        <f t="shared" si="4"/>
        <v>0</v>
      </c>
      <c r="P35" s="4061">
        <v>0</v>
      </c>
      <c r="Q35" s="4839"/>
    </row>
    <row r="36" spans="1:17" s="2070" customFormat="1" hidden="1">
      <c r="A36" s="4065">
        <v>4</v>
      </c>
      <c r="B36" s="4065">
        <v>1</v>
      </c>
      <c r="C36" s="4065">
        <v>4</v>
      </c>
      <c r="D36" s="4065" t="s">
        <v>441</v>
      </c>
      <c r="E36" s="4048"/>
      <c r="F36" s="4049"/>
      <c r="G36" s="4059"/>
      <c r="H36" s="4062" t="s">
        <v>50</v>
      </c>
      <c r="I36" s="4060" t="s">
        <v>72</v>
      </c>
      <c r="J36" s="1964">
        <v>0</v>
      </c>
      <c r="K36" s="2159">
        <v>0</v>
      </c>
      <c r="L36" s="2160">
        <f>'[2]ALL BULAN'!E36</f>
        <v>0</v>
      </c>
      <c r="M36" s="4253">
        <f t="shared" si="5"/>
        <v>0</v>
      </c>
      <c r="N36" s="4253"/>
      <c r="O36" s="4254">
        <f t="shared" si="4"/>
        <v>0</v>
      </c>
      <c r="P36" s="4061">
        <v>0</v>
      </c>
      <c r="Q36" s="4839"/>
    </row>
    <row r="37" spans="1:17" s="2070" customFormat="1" hidden="1">
      <c r="A37" s="4054">
        <v>4</v>
      </c>
      <c r="B37" s="4054">
        <v>1</v>
      </c>
      <c r="C37" s="4054" t="s">
        <v>443</v>
      </c>
      <c r="D37" s="4054" t="s">
        <v>444</v>
      </c>
      <c r="E37" s="4054" t="s">
        <v>440</v>
      </c>
      <c r="F37" s="4049"/>
      <c r="G37" s="4059"/>
      <c r="H37" s="4062" t="s">
        <v>50</v>
      </c>
      <c r="I37" s="4060" t="s">
        <v>73</v>
      </c>
      <c r="J37" s="1964">
        <v>0</v>
      </c>
      <c r="K37" s="2159">
        <v>0</v>
      </c>
      <c r="L37" s="2160">
        <f>'[2]ALL BULAN'!E37</f>
        <v>0</v>
      </c>
      <c r="M37" s="4253">
        <f t="shared" si="5"/>
        <v>0</v>
      </c>
      <c r="N37" s="4253"/>
      <c r="O37" s="4254">
        <f t="shared" si="4"/>
        <v>0</v>
      </c>
      <c r="P37" s="4061">
        <v>0</v>
      </c>
      <c r="Q37" s="4839"/>
    </row>
    <row r="38" spans="1:17" s="2070" customFormat="1" hidden="1">
      <c r="A38" s="4069">
        <v>4</v>
      </c>
      <c r="B38" s="4069">
        <v>1</v>
      </c>
      <c r="C38" s="4069" t="s">
        <v>443</v>
      </c>
      <c r="D38" s="4069" t="s">
        <v>444</v>
      </c>
      <c r="E38" s="4070" t="s">
        <v>445</v>
      </c>
      <c r="F38" s="4049"/>
      <c r="G38" s="4059"/>
      <c r="H38" s="4062" t="s">
        <v>50</v>
      </c>
      <c r="I38" s="4060" t="s">
        <v>74</v>
      </c>
      <c r="J38" s="1964">
        <v>0</v>
      </c>
      <c r="K38" s="2159">
        <v>0</v>
      </c>
      <c r="L38" s="2160">
        <f>'[2]ALL BULAN'!E38</f>
        <v>0</v>
      </c>
      <c r="M38" s="4253">
        <f t="shared" si="5"/>
        <v>0</v>
      </c>
      <c r="N38" s="4253"/>
      <c r="O38" s="4254">
        <f t="shared" si="4"/>
        <v>0</v>
      </c>
      <c r="P38" s="4061">
        <v>0</v>
      </c>
      <c r="Q38" s="4839"/>
    </row>
    <row r="39" spans="1:17" s="2070" customFormat="1" hidden="1">
      <c r="A39" s="4054">
        <v>4</v>
      </c>
      <c r="B39" s="4054">
        <v>1</v>
      </c>
      <c r="C39" s="4054" t="s">
        <v>443</v>
      </c>
      <c r="D39" s="4054" t="s">
        <v>444</v>
      </c>
      <c r="E39" s="4054" t="s">
        <v>441</v>
      </c>
      <c r="F39" s="4049"/>
      <c r="G39" s="4059"/>
      <c r="H39" s="4060" t="s">
        <v>308</v>
      </c>
      <c r="I39" s="4060" t="s">
        <v>75</v>
      </c>
      <c r="J39" s="1964">
        <v>0</v>
      </c>
      <c r="K39" s="2159">
        <v>0</v>
      </c>
      <c r="L39" s="2160">
        <f>'[2]ALL BULAN'!E39</f>
        <v>0</v>
      </c>
      <c r="M39" s="4253">
        <f t="shared" si="5"/>
        <v>0</v>
      </c>
      <c r="N39" s="4253"/>
      <c r="O39" s="4254">
        <f t="shared" si="4"/>
        <v>0</v>
      </c>
      <c r="P39" s="4061">
        <v>0</v>
      </c>
      <c r="Q39" s="4839"/>
    </row>
    <row r="40" spans="1:17" s="2070" customFormat="1" hidden="1">
      <c r="A40" s="4048"/>
      <c r="B40" s="4048"/>
      <c r="C40" s="4048"/>
      <c r="D40" s="4048"/>
      <c r="E40" s="4048"/>
      <c r="F40" s="4049"/>
      <c r="G40" s="4059"/>
      <c r="H40" s="4060" t="s">
        <v>50</v>
      </c>
      <c r="I40" s="4060" t="s">
        <v>76</v>
      </c>
      <c r="J40" s="1964">
        <v>0</v>
      </c>
      <c r="K40" s="2159">
        <v>0</v>
      </c>
      <c r="L40" s="2160">
        <f>'[2]ALL BULAN'!E40</f>
        <v>0</v>
      </c>
      <c r="M40" s="4253">
        <f t="shared" si="5"/>
        <v>0</v>
      </c>
      <c r="N40" s="4253"/>
      <c r="O40" s="4254">
        <f t="shared" si="4"/>
        <v>0</v>
      </c>
      <c r="P40" s="4061">
        <v>0</v>
      </c>
      <c r="Q40" s="4839"/>
    </row>
    <row r="41" spans="1:17" s="2070" customFormat="1" hidden="1">
      <c r="A41" s="4054">
        <v>4</v>
      </c>
      <c r="B41" s="4054">
        <v>1</v>
      </c>
      <c r="C41" s="4054" t="s">
        <v>443</v>
      </c>
      <c r="D41" s="4054" t="s">
        <v>447</v>
      </c>
      <c r="E41" s="4054" t="s">
        <v>437</v>
      </c>
      <c r="F41" s="4049"/>
      <c r="G41" s="4080"/>
      <c r="H41" s="4081" t="s">
        <v>50</v>
      </c>
      <c r="I41" s="4060" t="s">
        <v>81</v>
      </c>
      <c r="J41" s="1964">
        <v>0</v>
      </c>
      <c r="K41" s="2159">
        <v>0</v>
      </c>
      <c r="L41" s="2160">
        <f>'[2]ALL BULAN'!E41</f>
        <v>0</v>
      </c>
      <c r="M41" s="4253">
        <f t="shared" si="5"/>
        <v>0</v>
      </c>
      <c r="N41" s="4253"/>
      <c r="O41" s="4254">
        <f t="shared" si="4"/>
        <v>0</v>
      </c>
      <c r="P41" s="4061">
        <v>0</v>
      </c>
      <c r="Q41" s="4839"/>
    </row>
    <row r="42" spans="1:17" s="2070" customFormat="1" hidden="1">
      <c r="A42" s="4048"/>
      <c r="B42" s="4048"/>
      <c r="C42" s="4048"/>
      <c r="D42" s="4048"/>
      <c r="E42" s="4048"/>
      <c r="F42" s="4049"/>
      <c r="G42" s="4082"/>
      <c r="H42" s="4083"/>
      <c r="I42" s="4083"/>
      <c r="J42" s="4528"/>
      <c r="K42" s="2183"/>
      <c r="L42" s="4528"/>
      <c r="M42" s="4529"/>
      <c r="N42" s="4529"/>
      <c r="O42" s="4529"/>
      <c r="P42" s="4084"/>
      <c r="Q42" s="4839"/>
    </row>
    <row r="43" spans="1:17" s="4622" customFormat="1" ht="15.65">
      <c r="A43" s="4613"/>
      <c r="B43" s="4613"/>
      <c r="C43" s="4613"/>
      <c r="D43" s="4613"/>
      <c r="E43" s="4613"/>
      <c r="F43" s="4614"/>
      <c r="G43" s="4623"/>
      <c r="H43" s="4624" t="s">
        <v>82</v>
      </c>
      <c r="I43" s="4625"/>
      <c r="J43" s="4626">
        <f>J44</f>
        <v>4500000000</v>
      </c>
      <c r="K43" s="4619">
        <v>1633527700</v>
      </c>
      <c r="L43" s="4626">
        <f>L44+L47</f>
        <v>818193200</v>
      </c>
      <c r="M43" s="4620">
        <f>SUM(K43:L43)</f>
        <v>2451720900</v>
      </c>
      <c r="N43" s="4620">
        <f>N44</f>
        <v>5500000000</v>
      </c>
      <c r="O43" s="4626">
        <f>N43-J43</f>
        <v>1000000000</v>
      </c>
      <c r="P43" s="4621">
        <f>O43/J43*100</f>
        <v>22.222222222222221</v>
      </c>
      <c r="Q43" s="4844"/>
    </row>
    <row r="44" spans="1:17" s="2070" customFormat="1">
      <c r="A44" s="4074">
        <v>4</v>
      </c>
      <c r="B44" s="4074">
        <v>1</v>
      </c>
      <c r="C44" s="4074">
        <v>2</v>
      </c>
      <c r="D44" s="4074" t="s">
        <v>437</v>
      </c>
      <c r="E44" s="4048"/>
      <c r="F44" s="4066">
        <v>1</v>
      </c>
      <c r="G44" s="4086"/>
      <c r="H44" s="4087" t="s">
        <v>83</v>
      </c>
      <c r="I44" s="4087"/>
      <c r="J44" s="4530">
        <f>J45</f>
        <v>4500000000</v>
      </c>
      <c r="K44" s="2159">
        <v>1633527700</v>
      </c>
      <c r="L44" s="4530">
        <f>SUM(L45)</f>
        <v>818193200</v>
      </c>
      <c r="M44" s="4253">
        <f>SUM(K44:L44)</f>
        <v>2451720900</v>
      </c>
      <c r="N44" s="4253">
        <f>N45</f>
        <v>5500000000</v>
      </c>
      <c r="O44" s="4254">
        <f>N44-J44</f>
        <v>1000000000</v>
      </c>
      <c r="P44" s="4636">
        <f>O44/J44*100</f>
        <v>22.222222222222221</v>
      </c>
      <c r="Q44" s="4839"/>
    </row>
    <row r="45" spans="1:17" s="2070" customFormat="1">
      <c r="A45" s="4079">
        <v>4</v>
      </c>
      <c r="B45" s="4079">
        <v>1</v>
      </c>
      <c r="C45" s="4079">
        <v>2</v>
      </c>
      <c r="D45" s="4079" t="s">
        <v>437</v>
      </c>
      <c r="E45" s="4054" t="s">
        <v>437</v>
      </c>
      <c r="F45" s="4049"/>
      <c r="G45" s="4088"/>
      <c r="H45" s="4089" t="s">
        <v>50</v>
      </c>
      <c r="I45" s="4090" t="s">
        <v>84</v>
      </c>
      <c r="J45" s="1964">
        <v>4500000000</v>
      </c>
      <c r="K45" s="2159">
        <v>1633527700</v>
      </c>
      <c r="L45" s="2160">
        <f>818193200</f>
        <v>818193200</v>
      </c>
      <c r="M45" s="4253">
        <f>SUM(K45:L45)</f>
        <v>2451720900</v>
      </c>
      <c r="N45" s="4248">
        <v>5500000000</v>
      </c>
      <c r="O45" s="4254">
        <f>N45-J45</f>
        <v>1000000000</v>
      </c>
      <c r="P45" s="4636">
        <f>O45/J45*100</f>
        <v>22.222222222222221</v>
      </c>
      <c r="Q45" s="4839"/>
    </row>
    <row r="46" spans="1:17" s="2070" customFormat="1">
      <c r="A46" s="4048"/>
      <c r="B46" s="4048"/>
      <c r="C46" s="4048"/>
      <c r="D46" s="4048"/>
      <c r="E46" s="4048"/>
      <c r="F46" s="4049"/>
      <c r="G46" s="4088"/>
      <c r="H46" s="4090"/>
      <c r="I46" s="4090"/>
      <c r="J46" s="2188"/>
      <c r="K46" s="2180"/>
      <c r="L46" s="2188"/>
      <c r="M46" s="2189"/>
      <c r="N46" s="2576"/>
      <c r="O46" s="2260">
        <f t="shared" ref="O46:O52" si="6">M46-J46</f>
        <v>0</v>
      </c>
      <c r="P46" s="4061">
        <f>O46-K46</f>
        <v>0</v>
      </c>
      <c r="Q46" s="4839"/>
    </row>
    <row r="47" spans="1:17" s="2070" customFormat="1" hidden="1">
      <c r="A47" s="4065">
        <v>4</v>
      </c>
      <c r="B47" s="4065">
        <v>1</v>
      </c>
      <c r="C47" s="4065">
        <v>4</v>
      </c>
      <c r="D47" s="4048"/>
      <c r="E47" s="4048"/>
      <c r="F47" s="4066">
        <v>3</v>
      </c>
      <c r="G47" s="4091"/>
      <c r="H47" s="4092" t="s">
        <v>71</v>
      </c>
      <c r="I47" s="4092"/>
      <c r="J47" s="2190">
        <v>0</v>
      </c>
      <c r="K47" s="2159">
        <v>0</v>
      </c>
      <c r="L47" s="2190">
        <f>SUM(L48:L52)</f>
        <v>0</v>
      </c>
      <c r="M47" s="4253">
        <f t="shared" ref="M47:M52" si="7">SUM(K47:L47)</f>
        <v>0</v>
      </c>
      <c r="N47" s="4253"/>
      <c r="O47" s="4254">
        <f t="shared" si="6"/>
        <v>0</v>
      </c>
      <c r="P47" s="4061">
        <v>0</v>
      </c>
      <c r="Q47" s="4839"/>
    </row>
    <row r="48" spans="1:17" s="2070" customFormat="1" hidden="1">
      <c r="A48" s="4065">
        <v>4</v>
      </c>
      <c r="B48" s="4065">
        <v>1</v>
      </c>
      <c r="C48" s="4065">
        <v>4</v>
      </c>
      <c r="D48" s="4065" t="s">
        <v>441</v>
      </c>
      <c r="E48" s="4048"/>
      <c r="F48" s="4049"/>
      <c r="G48" s="4091"/>
      <c r="H48" s="4089" t="s">
        <v>50</v>
      </c>
      <c r="I48" s="4060" t="s">
        <v>72</v>
      </c>
      <c r="J48" s="1964">
        <v>0</v>
      </c>
      <c r="K48" s="2159">
        <v>0</v>
      </c>
      <c r="L48" s="2160">
        <f>'[2]ALL BULAN'!E48</f>
        <v>0</v>
      </c>
      <c r="M48" s="4253">
        <f t="shared" si="7"/>
        <v>0</v>
      </c>
      <c r="N48" s="4253"/>
      <c r="O48" s="4254">
        <f t="shared" si="6"/>
        <v>0</v>
      </c>
      <c r="P48" s="4061">
        <v>0</v>
      </c>
      <c r="Q48" s="4839"/>
    </row>
    <row r="49" spans="1:17" s="2070" customFormat="1" hidden="1">
      <c r="A49" s="4054">
        <v>4</v>
      </c>
      <c r="B49" s="4054">
        <v>1</v>
      </c>
      <c r="C49" s="4054" t="s">
        <v>443</v>
      </c>
      <c r="D49" s="4054" t="s">
        <v>444</v>
      </c>
      <c r="E49" s="4054" t="s">
        <v>440</v>
      </c>
      <c r="F49" s="4049"/>
      <c r="G49" s="4091"/>
      <c r="H49" s="4089" t="s">
        <v>50</v>
      </c>
      <c r="I49" s="4060" t="s">
        <v>73</v>
      </c>
      <c r="J49" s="1964">
        <v>0</v>
      </c>
      <c r="K49" s="2159">
        <v>0</v>
      </c>
      <c r="L49" s="2160">
        <f>'[2]ALL BULAN'!E49</f>
        <v>0</v>
      </c>
      <c r="M49" s="4253">
        <f t="shared" si="7"/>
        <v>0</v>
      </c>
      <c r="N49" s="4253"/>
      <c r="O49" s="4254">
        <f t="shared" si="6"/>
        <v>0</v>
      </c>
      <c r="P49" s="4061">
        <v>0</v>
      </c>
      <c r="Q49" s="4839"/>
    </row>
    <row r="50" spans="1:17" s="2070" customFormat="1" hidden="1">
      <c r="A50" s="4069">
        <v>4</v>
      </c>
      <c r="B50" s="4069">
        <v>1</v>
      </c>
      <c r="C50" s="4069" t="s">
        <v>443</v>
      </c>
      <c r="D50" s="4069" t="s">
        <v>444</v>
      </c>
      <c r="E50" s="4070" t="s">
        <v>445</v>
      </c>
      <c r="F50" s="4049"/>
      <c r="G50" s="4091"/>
      <c r="H50" s="4089" t="s">
        <v>50</v>
      </c>
      <c r="I50" s="4060" t="s">
        <v>74</v>
      </c>
      <c r="J50" s="1964">
        <v>0</v>
      </c>
      <c r="K50" s="2159">
        <v>0</v>
      </c>
      <c r="L50" s="2160">
        <f>'[2]ALL BULAN'!E50</f>
        <v>0</v>
      </c>
      <c r="M50" s="4253">
        <f t="shared" si="7"/>
        <v>0</v>
      </c>
      <c r="N50" s="4253"/>
      <c r="O50" s="4254">
        <f t="shared" si="6"/>
        <v>0</v>
      </c>
      <c r="P50" s="4061">
        <v>0</v>
      </c>
      <c r="Q50" s="4839"/>
    </row>
    <row r="51" spans="1:17" s="2070" customFormat="1" hidden="1">
      <c r="A51" s="4074">
        <v>4</v>
      </c>
      <c r="B51" s="4074">
        <v>1</v>
      </c>
      <c r="C51" s="4074" t="s">
        <v>443</v>
      </c>
      <c r="D51" s="4074" t="s">
        <v>444</v>
      </c>
      <c r="E51" s="4074" t="s">
        <v>441</v>
      </c>
      <c r="F51" s="4049"/>
      <c r="G51" s="4088"/>
      <c r="H51" s="4060" t="s">
        <v>308</v>
      </c>
      <c r="I51" s="4090" t="s">
        <v>75</v>
      </c>
      <c r="J51" s="1964">
        <v>0</v>
      </c>
      <c r="K51" s="2159">
        <v>0</v>
      </c>
      <c r="L51" s="2160">
        <f>'[2]ALL BULAN'!E51</f>
        <v>0</v>
      </c>
      <c r="M51" s="4253">
        <f t="shared" si="7"/>
        <v>0</v>
      </c>
      <c r="N51" s="4253"/>
      <c r="O51" s="4254">
        <f t="shared" si="6"/>
        <v>0</v>
      </c>
      <c r="P51" s="4061">
        <v>0</v>
      </c>
      <c r="Q51" s="4839"/>
    </row>
    <row r="52" spans="1:17" s="2070" customFormat="1" hidden="1">
      <c r="A52" s="4079">
        <v>4</v>
      </c>
      <c r="B52" s="4079">
        <v>1</v>
      </c>
      <c r="C52" s="4079" t="s">
        <v>443</v>
      </c>
      <c r="D52" s="4079" t="s">
        <v>447</v>
      </c>
      <c r="E52" s="4093" t="s">
        <v>437</v>
      </c>
      <c r="F52" s="4049"/>
      <c r="G52" s="4094"/>
      <c r="H52" s="4089" t="s">
        <v>50</v>
      </c>
      <c r="I52" s="4090" t="s">
        <v>85</v>
      </c>
      <c r="J52" s="1964">
        <v>0</v>
      </c>
      <c r="K52" s="2159">
        <v>0</v>
      </c>
      <c r="L52" s="2160">
        <f>'[2]ALL BULAN'!E52</f>
        <v>0</v>
      </c>
      <c r="M52" s="4253">
        <f t="shared" si="7"/>
        <v>0</v>
      </c>
      <c r="N52" s="4253"/>
      <c r="O52" s="4254">
        <f t="shared" si="6"/>
        <v>0</v>
      </c>
      <c r="P52" s="4061">
        <v>0</v>
      </c>
      <c r="Q52" s="4839"/>
    </row>
    <row r="53" spans="1:17" s="2070" customFormat="1" ht="5.35" customHeight="1">
      <c r="A53" s="4048"/>
      <c r="B53" s="4048"/>
      <c r="C53" s="4048"/>
      <c r="D53" s="4048"/>
      <c r="E53" s="4048"/>
      <c r="F53" s="4049"/>
      <c r="G53" s="4082"/>
      <c r="H53" s="4095"/>
      <c r="I53" s="4095"/>
      <c r="J53" s="4531"/>
      <c r="K53" s="2192"/>
      <c r="L53" s="4531"/>
      <c r="M53" s="4532"/>
      <c r="N53" s="4532"/>
      <c r="O53" s="4532"/>
      <c r="P53" s="4096"/>
      <c r="Q53" s="4839"/>
    </row>
    <row r="54" spans="1:17" s="4622" customFormat="1" ht="15.65">
      <c r="A54" s="4613"/>
      <c r="B54" s="4613"/>
      <c r="C54" s="4613"/>
      <c r="D54" s="4613"/>
      <c r="E54" s="4613"/>
      <c r="F54" s="4614"/>
      <c r="G54" s="4627"/>
      <c r="H54" s="4628" t="s">
        <v>86</v>
      </c>
      <c r="I54" s="4629"/>
      <c r="J54" s="4620">
        <f>J55</f>
        <v>3000000000</v>
      </c>
      <c r="K54" s="4619">
        <v>138581000</v>
      </c>
      <c r="L54" s="4620">
        <f>L55+L59</f>
        <v>124421000</v>
      </c>
      <c r="M54" s="4620">
        <f>SUM(K54:L54)</f>
        <v>263002000</v>
      </c>
      <c r="N54" s="4620">
        <f t="shared" ref="N54:O56" si="8">N55</f>
        <v>2000000000</v>
      </c>
      <c r="O54" s="4620">
        <f t="shared" si="8"/>
        <v>-1000000000</v>
      </c>
      <c r="P54" s="4621">
        <f>O54/J54*100</f>
        <v>-33.333333333333329</v>
      </c>
      <c r="Q54" s="4844"/>
    </row>
    <row r="55" spans="1:17" s="4099" customFormat="1">
      <c r="A55" s="4074">
        <v>4</v>
      </c>
      <c r="B55" s="4074">
        <v>1</v>
      </c>
      <c r="C55" s="4074">
        <v>2</v>
      </c>
      <c r="D55" s="4074" t="s">
        <v>437</v>
      </c>
      <c r="E55" s="4048"/>
      <c r="F55" s="4098">
        <v>1</v>
      </c>
      <c r="G55" s="4086"/>
      <c r="H55" s="4087" t="s">
        <v>83</v>
      </c>
      <c r="I55" s="4087"/>
      <c r="J55" s="4521">
        <f>J56</f>
        <v>3000000000</v>
      </c>
      <c r="K55" s="2159">
        <v>138581000</v>
      </c>
      <c r="L55" s="4521">
        <f>SUM(L56)</f>
        <v>124421000</v>
      </c>
      <c r="M55" s="4253">
        <f>SUM(K55:L55)</f>
        <v>263002000</v>
      </c>
      <c r="N55" s="4253">
        <f>N56</f>
        <v>2000000000</v>
      </c>
      <c r="O55" s="4254">
        <f t="shared" si="8"/>
        <v>-1000000000</v>
      </c>
      <c r="P55" s="4061">
        <f>O55/J55*100</f>
        <v>-33.333333333333329</v>
      </c>
      <c r="Q55" s="4839"/>
    </row>
    <row r="56" spans="1:17" s="2070" customFormat="1">
      <c r="A56" s="4079">
        <v>4</v>
      </c>
      <c r="B56" s="4079">
        <v>1</v>
      </c>
      <c r="C56" s="4079">
        <v>2</v>
      </c>
      <c r="D56" s="4079" t="s">
        <v>437</v>
      </c>
      <c r="E56" s="4054" t="s">
        <v>437</v>
      </c>
      <c r="F56" s="4049"/>
      <c r="G56" s="4088"/>
      <c r="H56" s="4089" t="s">
        <v>50</v>
      </c>
      <c r="I56" s="4090" t="s">
        <v>84</v>
      </c>
      <c r="J56" s="2196">
        <f>J57</f>
        <v>3000000000</v>
      </c>
      <c r="K56" s="2159">
        <v>138581000</v>
      </c>
      <c r="L56" s="2196">
        <f>SUM(L57)</f>
        <v>124421000</v>
      </c>
      <c r="M56" s="4253">
        <f>SUM(K56:L56)</f>
        <v>263002000</v>
      </c>
      <c r="N56" s="4248">
        <f t="shared" si="8"/>
        <v>2000000000</v>
      </c>
      <c r="O56" s="4254">
        <f t="shared" si="8"/>
        <v>-1000000000</v>
      </c>
      <c r="P56" s="4061">
        <f>O56/J56*100</f>
        <v>-33.333333333333329</v>
      </c>
      <c r="Q56" s="4839"/>
    </row>
    <row r="57" spans="1:17" s="2070" customFormat="1" hidden="1">
      <c r="A57" s="4048"/>
      <c r="B57" s="4048"/>
      <c r="C57" s="4048"/>
      <c r="D57" s="4048"/>
      <c r="E57" s="4048"/>
      <c r="F57" s="4049"/>
      <c r="G57" s="4088"/>
      <c r="H57" s="4090"/>
      <c r="I57" s="4089" t="s">
        <v>87</v>
      </c>
      <c r="J57" s="1964">
        <v>3000000000</v>
      </c>
      <c r="K57" s="2159">
        <v>138581000</v>
      </c>
      <c r="L57" s="2160">
        <v>124421000</v>
      </c>
      <c r="M57" s="4253">
        <f>SUM(K57:L57)</f>
        <v>263002000</v>
      </c>
      <c r="N57" s="4248">
        <v>2000000000</v>
      </c>
      <c r="O57" s="4254">
        <f>SUM(N57-J57)</f>
        <v>-1000000000</v>
      </c>
      <c r="P57" s="4061">
        <f>O57/J57*100</f>
        <v>-33.333333333333329</v>
      </c>
      <c r="Q57" s="4839"/>
    </row>
    <row r="58" spans="1:17" s="2070" customFormat="1" ht="5.95" customHeight="1">
      <c r="A58" s="4048"/>
      <c r="B58" s="4048"/>
      <c r="C58" s="4048"/>
      <c r="D58" s="4048"/>
      <c r="E58" s="4048"/>
      <c r="F58" s="4049"/>
      <c r="G58" s="4088"/>
      <c r="H58" s="4090"/>
      <c r="I58" s="4090"/>
      <c r="J58" s="2188"/>
      <c r="K58" s="2159"/>
      <c r="L58" s="2188"/>
      <c r="M58" s="4253"/>
      <c r="N58" s="4253"/>
      <c r="O58" s="4254">
        <f t="shared" ref="O58:O64" si="9">M58-J58</f>
        <v>0</v>
      </c>
      <c r="P58" s="4061">
        <f>O58-K58</f>
        <v>0</v>
      </c>
      <c r="Q58" s="4839"/>
    </row>
    <row r="59" spans="1:17" s="2070" customFormat="1" hidden="1">
      <c r="A59" s="4065">
        <v>4</v>
      </c>
      <c r="B59" s="4065">
        <v>1</v>
      </c>
      <c r="C59" s="4065">
        <v>4</v>
      </c>
      <c r="D59" s="4048"/>
      <c r="E59" s="4048"/>
      <c r="F59" s="4066">
        <v>3</v>
      </c>
      <c r="G59" s="4088"/>
      <c r="H59" s="4092" t="s">
        <v>71</v>
      </c>
      <c r="I59" s="4092"/>
      <c r="J59" s="2190">
        <v>0</v>
      </c>
      <c r="K59" s="2159">
        <v>0</v>
      </c>
      <c r="L59" s="2190">
        <f>SUM(L60:L64)</f>
        <v>0</v>
      </c>
      <c r="M59" s="4253">
        <f t="shared" ref="M59:M64" si="10">SUM(K59:L59)</f>
        <v>0</v>
      </c>
      <c r="N59" s="4253"/>
      <c r="O59" s="4254">
        <f t="shared" si="9"/>
        <v>0</v>
      </c>
      <c r="P59" s="4061">
        <v>0</v>
      </c>
      <c r="Q59" s="4839"/>
    </row>
    <row r="60" spans="1:17" s="2070" customFormat="1" hidden="1">
      <c r="A60" s="4065">
        <v>4</v>
      </c>
      <c r="B60" s="4065">
        <v>1</v>
      </c>
      <c r="C60" s="4065">
        <v>4</v>
      </c>
      <c r="D60" s="4065" t="s">
        <v>441</v>
      </c>
      <c r="E60" s="4048"/>
      <c r="F60" s="4049"/>
      <c r="G60" s="4088"/>
      <c r="H60" s="4100" t="s">
        <v>50</v>
      </c>
      <c r="I60" s="4060" t="s">
        <v>72</v>
      </c>
      <c r="J60" s="1964">
        <v>0</v>
      </c>
      <c r="K60" s="2159">
        <v>0</v>
      </c>
      <c r="L60" s="2160">
        <f>'[2]ALL BULAN'!E60</f>
        <v>0</v>
      </c>
      <c r="M60" s="4253">
        <f t="shared" si="10"/>
        <v>0</v>
      </c>
      <c r="N60" s="4253"/>
      <c r="O60" s="4254">
        <f t="shared" si="9"/>
        <v>0</v>
      </c>
      <c r="P60" s="4061">
        <v>0</v>
      </c>
      <c r="Q60" s="4839"/>
    </row>
    <row r="61" spans="1:17" s="2070" customFormat="1" hidden="1">
      <c r="A61" s="4074">
        <v>4</v>
      </c>
      <c r="B61" s="4074">
        <v>1</v>
      </c>
      <c r="C61" s="4074" t="s">
        <v>443</v>
      </c>
      <c r="D61" s="4074" t="s">
        <v>444</v>
      </c>
      <c r="E61" s="4074" t="s">
        <v>440</v>
      </c>
      <c r="F61" s="4049"/>
      <c r="G61" s="4088"/>
      <c r="H61" s="4100" t="s">
        <v>50</v>
      </c>
      <c r="I61" s="4060" t="s">
        <v>73</v>
      </c>
      <c r="J61" s="1964">
        <v>0</v>
      </c>
      <c r="K61" s="2159">
        <v>0</v>
      </c>
      <c r="L61" s="2160">
        <f>'[2]ALL BULAN'!E61</f>
        <v>0</v>
      </c>
      <c r="M61" s="4253">
        <f t="shared" si="10"/>
        <v>0</v>
      </c>
      <c r="N61" s="4253"/>
      <c r="O61" s="4254">
        <f t="shared" si="9"/>
        <v>0</v>
      </c>
      <c r="P61" s="4061">
        <v>0</v>
      </c>
      <c r="Q61" s="4839"/>
    </row>
    <row r="62" spans="1:17" s="2070" customFormat="1" hidden="1">
      <c r="A62" s="4069">
        <v>4</v>
      </c>
      <c r="B62" s="4069">
        <v>1</v>
      </c>
      <c r="C62" s="4069" t="s">
        <v>443</v>
      </c>
      <c r="D62" s="4069" t="s">
        <v>444</v>
      </c>
      <c r="E62" s="4070" t="s">
        <v>445</v>
      </c>
      <c r="F62" s="4049"/>
      <c r="G62" s="4088"/>
      <c r="H62" s="4100" t="s">
        <v>50</v>
      </c>
      <c r="I62" s="4060" t="s">
        <v>74</v>
      </c>
      <c r="J62" s="1964">
        <v>0</v>
      </c>
      <c r="K62" s="2159">
        <v>0</v>
      </c>
      <c r="L62" s="2160">
        <f>'[2]ALL BULAN'!E62</f>
        <v>0</v>
      </c>
      <c r="M62" s="4253">
        <f t="shared" si="10"/>
        <v>0</v>
      </c>
      <c r="N62" s="4253"/>
      <c r="O62" s="4254">
        <f t="shared" si="9"/>
        <v>0</v>
      </c>
      <c r="P62" s="4061">
        <v>0</v>
      </c>
      <c r="Q62" s="4839"/>
    </row>
    <row r="63" spans="1:17" s="2070" customFormat="1" hidden="1">
      <c r="A63" s="4101">
        <v>4</v>
      </c>
      <c r="B63" s="4101">
        <v>1</v>
      </c>
      <c r="C63" s="4101" t="s">
        <v>443</v>
      </c>
      <c r="D63" s="4101" t="s">
        <v>444</v>
      </c>
      <c r="E63" s="4101" t="s">
        <v>441</v>
      </c>
      <c r="F63" s="4049"/>
      <c r="G63" s="4088"/>
      <c r="H63" s="4060" t="s">
        <v>308</v>
      </c>
      <c r="I63" s="4090" t="s">
        <v>75</v>
      </c>
      <c r="J63" s="1964">
        <v>0</v>
      </c>
      <c r="K63" s="2159">
        <v>0</v>
      </c>
      <c r="L63" s="2160">
        <f>'[2]ALL BULAN'!E63</f>
        <v>0</v>
      </c>
      <c r="M63" s="4253">
        <f t="shared" si="10"/>
        <v>0</v>
      </c>
      <c r="N63" s="4253"/>
      <c r="O63" s="4254">
        <f t="shared" si="9"/>
        <v>0</v>
      </c>
      <c r="P63" s="4061">
        <v>0</v>
      </c>
      <c r="Q63" s="4839"/>
    </row>
    <row r="64" spans="1:17" s="2070" customFormat="1" hidden="1">
      <c r="A64" s="4079">
        <v>4</v>
      </c>
      <c r="B64" s="4079">
        <v>1</v>
      </c>
      <c r="C64" s="4079" t="s">
        <v>443</v>
      </c>
      <c r="D64" s="4079" t="s">
        <v>447</v>
      </c>
      <c r="E64" s="4093" t="s">
        <v>437</v>
      </c>
      <c r="F64" s="4049"/>
      <c r="G64" s="4094"/>
      <c r="H64" s="4089" t="s">
        <v>50</v>
      </c>
      <c r="I64" s="4090" t="s">
        <v>85</v>
      </c>
      <c r="J64" s="1964">
        <v>0</v>
      </c>
      <c r="K64" s="2159">
        <v>0</v>
      </c>
      <c r="L64" s="2160">
        <f>'[2]ALL BULAN'!E64</f>
        <v>0</v>
      </c>
      <c r="M64" s="4253">
        <f t="shared" si="10"/>
        <v>0</v>
      </c>
      <c r="N64" s="4253"/>
      <c r="O64" s="4254">
        <f t="shared" si="9"/>
        <v>0</v>
      </c>
      <c r="P64" s="4061">
        <v>0</v>
      </c>
      <c r="Q64" s="4839"/>
    </row>
    <row r="65" spans="1:17" s="2070" customFormat="1" ht="5.35" customHeight="1">
      <c r="A65" s="4048"/>
      <c r="B65" s="4048"/>
      <c r="C65" s="4048"/>
      <c r="D65" s="4048"/>
      <c r="E65" s="4048"/>
      <c r="F65" s="4049"/>
      <c r="G65" s="4102"/>
      <c r="H65" s="4083"/>
      <c r="I65" s="4083"/>
      <c r="J65" s="4528"/>
      <c r="K65" s="2183"/>
      <c r="L65" s="4528"/>
      <c r="M65" s="4529"/>
      <c r="N65" s="4529"/>
      <c r="O65" s="4529"/>
      <c r="P65" s="4084"/>
      <c r="Q65" s="4839"/>
    </row>
    <row r="66" spans="1:17" s="4622" customFormat="1" ht="15.65">
      <c r="A66" s="4613"/>
      <c r="B66" s="4613"/>
      <c r="C66" s="4613"/>
      <c r="D66" s="4613"/>
      <c r="E66" s="4613"/>
      <c r="F66" s="4614"/>
      <c r="G66" s="4627"/>
      <c r="H66" s="5294" t="s">
        <v>1268</v>
      </c>
      <c r="I66" s="4629"/>
      <c r="J66" s="4620">
        <f>J67</f>
        <v>2197286650</v>
      </c>
      <c r="K66" s="4619">
        <v>258576041</v>
      </c>
      <c r="L66" s="4620">
        <f>SUM(L67)</f>
        <v>105214667</v>
      </c>
      <c r="M66" s="4620">
        <f t="shared" ref="M66:M76" si="11">SUM(K66:L66)</f>
        <v>363790708</v>
      </c>
      <c r="N66" s="4620">
        <f>N67</f>
        <v>2200000000</v>
      </c>
      <c r="O66" s="4620">
        <f>O67</f>
        <v>2713350</v>
      </c>
      <c r="P66" s="4621">
        <f>P67</f>
        <v>0.12348639172772473</v>
      </c>
      <c r="Q66" s="4844"/>
    </row>
    <row r="67" spans="1:17" s="2070" customFormat="1">
      <c r="A67" s="4065">
        <v>4</v>
      </c>
      <c r="B67" s="4065">
        <v>1</v>
      </c>
      <c r="C67" s="4065">
        <v>4</v>
      </c>
      <c r="D67" s="4048"/>
      <c r="E67" s="4048"/>
      <c r="F67" s="4066">
        <v>3</v>
      </c>
      <c r="G67" s="4103"/>
      <c r="H67" s="4092" t="s">
        <v>71</v>
      </c>
      <c r="I67" s="4092"/>
      <c r="J67" s="4533">
        <f>J68</f>
        <v>2197286650</v>
      </c>
      <c r="K67" s="2159">
        <v>258576041</v>
      </c>
      <c r="L67" s="4533">
        <f>SUM(L68)</f>
        <v>105214667</v>
      </c>
      <c r="M67" s="4253">
        <f t="shared" si="11"/>
        <v>363790708</v>
      </c>
      <c r="N67" s="4253">
        <f t="shared" ref="N67:O69" si="12">N68</f>
        <v>2200000000</v>
      </c>
      <c r="O67" s="4254">
        <f t="shared" si="12"/>
        <v>2713350</v>
      </c>
      <c r="P67" s="4061">
        <f>O67/J67*100</f>
        <v>0.12348639172772473</v>
      </c>
      <c r="Q67" s="4839"/>
    </row>
    <row r="68" spans="1:17" s="2070" customFormat="1">
      <c r="A68" s="4074">
        <v>4</v>
      </c>
      <c r="B68" s="4074">
        <v>1</v>
      </c>
      <c r="C68" s="4074" t="s">
        <v>443</v>
      </c>
      <c r="D68" s="4074" t="s">
        <v>449</v>
      </c>
      <c r="E68" s="4048"/>
      <c r="F68" s="4049"/>
      <c r="G68" s="4104"/>
      <c r="H68" s="4100" t="s">
        <v>89</v>
      </c>
      <c r="I68" s="4037"/>
      <c r="J68" s="2196">
        <f>J69</f>
        <v>2197286650</v>
      </c>
      <c r="K68" s="2159">
        <v>258576041</v>
      </c>
      <c r="L68" s="2196">
        <f>SUM(L69)</f>
        <v>105214667</v>
      </c>
      <c r="M68" s="4253">
        <f t="shared" si="11"/>
        <v>363790708</v>
      </c>
      <c r="N68" s="4253">
        <f t="shared" si="12"/>
        <v>2200000000</v>
      </c>
      <c r="O68" s="4254">
        <f t="shared" si="12"/>
        <v>2713350</v>
      </c>
      <c r="P68" s="4061">
        <f>O68/J68*100</f>
        <v>0.12348639172772473</v>
      </c>
      <c r="Q68" s="4839"/>
    </row>
    <row r="69" spans="1:17" s="4099" customFormat="1">
      <c r="A69" s="4079">
        <v>4</v>
      </c>
      <c r="B69" s="4079">
        <v>1</v>
      </c>
      <c r="C69" s="4079" t="s">
        <v>443</v>
      </c>
      <c r="D69" s="4079" t="s">
        <v>449</v>
      </c>
      <c r="E69" s="4093" t="s">
        <v>438</v>
      </c>
      <c r="F69" s="4105"/>
      <c r="G69" s="4106"/>
      <c r="H69" s="4100" t="s">
        <v>90</v>
      </c>
      <c r="I69" s="4107"/>
      <c r="J69" s="2217">
        <f>J70</f>
        <v>2197286650</v>
      </c>
      <c r="K69" s="2159">
        <v>258576041</v>
      </c>
      <c r="L69" s="2217">
        <f>SUM(L70:L76)</f>
        <v>105214667</v>
      </c>
      <c r="M69" s="4253">
        <f t="shared" si="11"/>
        <v>363790708</v>
      </c>
      <c r="N69" s="4253">
        <f t="shared" si="12"/>
        <v>2200000000</v>
      </c>
      <c r="O69" s="4254">
        <f t="shared" si="12"/>
        <v>2713350</v>
      </c>
      <c r="P69" s="4061">
        <f>O69/J69*100</f>
        <v>0.12348639172772473</v>
      </c>
      <c r="Q69" s="4839"/>
    </row>
    <row r="70" spans="1:17" s="2070" customFormat="1">
      <c r="A70" s="4048"/>
      <c r="B70" s="4048"/>
      <c r="C70" s="4048"/>
      <c r="D70" s="4048"/>
      <c r="E70" s="4048"/>
      <c r="F70" s="4049"/>
      <c r="G70" s="4104"/>
      <c r="H70" s="4100" t="s">
        <v>50</v>
      </c>
      <c r="I70" s="4108" t="s">
        <v>89</v>
      </c>
      <c r="J70" s="1964">
        <v>2197286650</v>
      </c>
      <c r="K70" s="2159">
        <v>258576041</v>
      </c>
      <c r="L70" s="2160">
        <v>105214667</v>
      </c>
      <c r="M70" s="4248">
        <f t="shared" si="11"/>
        <v>363790708</v>
      </c>
      <c r="N70" s="4248">
        <v>2200000000</v>
      </c>
      <c r="O70" s="4523">
        <f>N70-J70</f>
        <v>2713350</v>
      </c>
      <c r="P70" s="4061">
        <f>O70/J70*100</f>
        <v>0.12348639172772473</v>
      </c>
      <c r="Q70" s="4839"/>
    </row>
    <row r="71" spans="1:17" s="2070" customFormat="1">
      <c r="A71" s="4048"/>
      <c r="B71" s="4048"/>
      <c r="C71" s="4048"/>
      <c r="D71" s="4048"/>
      <c r="E71" s="4048"/>
      <c r="F71" s="4049"/>
      <c r="G71" s="4104"/>
      <c r="H71" s="4100" t="s">
        <v>50</v>
      </c>
      <c r="I71" s="4108" t="s">
        <v>91</v>
      </c>
      <c r="J71" s="1964">
        <v>0</v>
      </c>
      <c r="K71" s="2159">
        <v>0</v>
      </c>
      <c r="L71" s="2160">
        <f>'[2]ALL BULAN'!E71</f>
        <v>0</v>
      </c>
      <c r="M71" s="4253">
        <f t="shared" si="11"/>
        <v>0</v>
      </c>
      <c r="N71" s="4253"/>
      <c r="O71" s="4254">
        <f t="shared" ref="O71:O76" si="13">M71-J71</f>
        <v>0</v>
      </c>
      <c r="P71" s="4061">
        <v>0</v>
      </c>
      <c r="Q71" s="4839"/>
    </row>
    <row r="72" spans="1:17" s="2070" customFormat="1" hidden="1">
      <c r="A72" s="4065">
        <v>4</v>
      </c>
      <c r="B72" s="4065">
        <v>1</v>
      </c>
      <c r="C72" s="4065">
        <v>4</v>
      </c>
      <c r="D72" s="4065" t="s">
        <v>441</v>
      </c>
      <c r="E72" s="4048"/>
      <c r="F72" s="4049"/>
      <c r="G72" s="4088"/>
      <c r="H72" s="4100" t="s">
        <v>50</v>
      </c>
      <c r="I72" s="4060" t="s">
        <v>72</v>
      </c>
      <c r="J72" s="1964">
        <v>0</v>
      </c>
      <c r="K72" s="2159">
        <v>0</v>
      </c>
      <c r="L72" s="2160">
        <f>'[2]ALL BULAN'!E72</f>
        <v>0</v>
      </c>
      <c r="M72" s="4253">
        <f t="shared" si="11"/>
        <v>0</v>
      </c>
      <c r="N72" s="4253"/>
      <c r="O72" s="4254">
        <f t="shared" si="13"/>
        <v>0</v>
      </c>
      <c r="P72" s="4061">
        <v>0</v>
      </c>
      <c r="Q72" s="4839"/>
    </row>
    <row r="73" spans="1:17" s="2070" customFormat="1" hidden="1">
      <c r="A73" s="4054">
        <v>4</v>
      </c>
      <c r="B73" s="4054">
        <v>1</v>
      </c>
      <c r="C73" s="4054" t="s">
        <v>443</v>
      </c>
      <c r="D73" s="4054" t="s">
        <v>444</v>
      </c>
      <c r="E73" s="4054" t="s">
        <v>440</v>
      </c>
      <c r="F73" s="4049"/>
      <c r="G73" s="4088"/>
      <c r="H73" s="4100" t="s">
        <v>50</v>
      </c>
      <c r="I73" s="4060" t="s">
        <v>73</v>
      </c>
      <c r="J73" s="1964">
        <v>0</v>
      </c>
      <c r="K73" s="2159">
        <v>0</v>
      </c>
      <c r="L73" s="2160">
        <v>0</v>
      </c>
      <c r="M73" s="4253">
        <f t="shared" si="11"/>
        <v>0</v>
      </c>
      <c r="N73" s="4253"/>
      <c r="O73" s="4254">
        <f t="shared" si="13"/>
        <v>0</v>
      </c>
      <c r="P73" s="4061">
        <v>0</v>
      </c>
      <c r="Q73" s="4839"/>
    </row>
    <row r="74" spans="1:17" s="2070" customFormat="1" hidden="1">
      <c r="A74" s="4054">
        <v>4</v>
      </c>
      <c r="B74" s="4054">
        <v>1</v>
      </c>
      <c r="C74" s="4054" t="s">
        <v>443</v>
      </c>
      <c r="D74" s="4054" t="s">
        <v>444</v>
      </c>
      <c r="E74" s="4054" t="s">
        <v>445</v>
      </c>
      <c r="F74" s="4049"/>
      <c r="G74" s="4088"/>
      <c r="H74" s="4100" t="s">
        <v>50</v>
      </c>
      <c r="I74" s="4060" t="s">
        <v>74</v>
      </c>
      <c r="J74" s="1964">
        <v>0</v>
      </c>
      <c r="K74" s="2159">
        <v>0</v>
      </c>
      <c r="L74" s="2160">
        <f>'[2]ALL BULAN'!E74</f>
        <v>0</v>
      </c>
      <c r="M74" s="4253">
        <f t="shared" si="11"/>
        <v>0</v>
      </c>
      <c r="N74" s="4253"/>
      <c r="O74" s="4254">
        <f t="shared" si="13"/>
        <v>0</v>
      </c>
      <c r="P74" s="4061">
        <v>0</v>
      </c>
      <c r="Q74" s="4839"/>
    </row>
    <row r="75" spans="1:17" s="2070" customFormat="1" hidden="1">
      <c r="A75" s="4074">
        <v>4</v>
      </c>
      <c r="B75" s="4074">
        <v>1</v>
      </c>
      <c r="C75" s="4074" t="s">
        <v>443</v>
      </c>
      <c r="D75" s="4074" t="s">
        <v>444</v>
      </c>
      <c r="E75" s="4074" t="s">
        <v>441</v>
      </c>
      <c r="F75" s="4049"/>
      <c r="G75" s="4088"/>
      <c r="H75" s="4060" t="s">
        <v>308</v>
      </c>
      <c r="I75" s="4090" t="s">
        <v>75</v>
      </c>
      <c r="J75" s="1964">
        <v>0</v>
      </c>
      <c r="K75" s="2159">
        <v>0</v>
      </c>
      <c r="L75" s="2160">
        <f>'[2]ALL BULAN'!E75</f>
        <v>0</v>
      </c>
      <c r="M75" s="4253">
        <f t="shared" si="11"/>
        <v>0</v>
      </c>
      <c r="N75" s="4253"/>
      <c r="O75" s="4254">
        <f t="shared" si="13"/>
        <v>0</v>
      </c>
      <c r="P75" s="4061">
        <v>0</v>
      </c>
      <c r="Q75" s="4839"/>
    </row>
    <row r="76" spans="1:17" s="2070" customFormat="1" hidden="1">
      <c r="A76" s="4079">
        <v>4</v>
      </c>
      <c r="B76" s="4079">
        <v>1</v>
      </c>
      <c r="C76" s="4079" t="s">
        <v>443</v>
      </c>
      <c r="D76" s="4079" t="s">
        <v>447</v>
      </c>
      <c r="E76" s="4093" t="s">
        <v>437</v>
      </c>
      <c r="F76" s="4049"/>
      <c r="G76" s="4088"/>
      <c r="H76" s="4089" t="s">
        <v>50</v>
      </c>
      <c r="I76" s="4090" t="s">
        <v>85</v>
      </c>
      <c r="J76" s="1964">
        <v>0</v>
      </c>
      <c r="K76" s="2159">
        <v>0</v>
      </c>
      <c r="L76" s="2160">
        <f>'[2]ALL BULAN'!E76</f>
        <v>0</v>
      </c>
      <c r="M76" s="4253">
        <f t="shared" si="11"/>
        <v>0</v>
      </c>
      <c r="N76" s="4253"/>
      <c r="O76" s="4254">
        <f t="shared" si="13"/>
        <v>0</v>
      </c>
      <c r="P76" s="4061">
        <v>0</v>
      </c>
      <c r="Q76" s="4839"/>
    </row>
    <row r="77" spans="1:17" s="2070" customFormat="1" hidden="1">
      <c r="A77" s="4048"/>
      <c r="B77" s="4048"/>
      <c r="C77" s="4048"/>
      <c r="D77" s="4048"/>
      <c r="E77" s="4048"/>
      <c r="F77" s="4049"/>
      <c r="G77" s="4082"/>
      <c r="H77" s="4083"/>
      <c r="I77" s="4083"/>
      <c r="J77" s="2219"/>
      <c r="K77" s="2220"/>
      <c r="L77" s="2219"/>
      <c r="M77" s="1533"/>
      <c r="N77" s="1533"/>
      <c r="O77" s="1533"/>
      <c r="P77" s="4109"/>
      <c r="Q77" s="4839"/>
    </row>
    <row r="78" spans="1:17" s="4622" customFormat="1" ht="15.65">
      <c r="A78" s="4613"/>
      <c r="B78" s="4613"/>
      <c r="C78" s="4613"/>
      <c r="D78" s="4613"/>
      <c r="E78" s="4613"/>
      <c r="F78" s="4614"/>
      <c r="G78" s="4630"/>
      <c r="H78" s="4628" t="s">
        <v>92</v>
      </c>
      <c r="I78" s="4631"/>
      <c r="J78" s="4620">
        <f>J79</f>
        <v>300000000</v>
      </c>
      <c r="K78" s="4619">
        <v>855000</v>
      </c>
      <c r="L78" s="4620">
        <f>L79+L84</f>
        <v>0</v>
      </c>
      <c r="M78" s="4620">
        <f>SUM(K78:L78)</f>
        <v>855000</v>
      </c>
      <c r="N78" s="4620">
        <f>N79</f>
        <v>300000000</v>
      </c>
      <c r="O78" s="4620">
        <v>0</v>
      </c>
      <c r="P78" s="4621">
        <f>O78/J78*100</f>
        <v>0</v>
      </c>
      <c r="Q78" s="4844"/>
    </row>
    <row r="79" spans="1:17" s="4099" customFormat="1">
      <c r="A79" s="4046">
        <v>4</v>
      </c>
      <c r="B79" s="4046">
        <v>1</v>
      </c>
      <c r="C79" s="4046">
        <v>2</v>
      </c>
      <c r="D79" s="4047" t="s">
        <v>437</v>
      </c>
      <c r="E79" s="4048"/>
      <c r="F79" s="4098">
        <v>1</v>
      </c>
      <c r="G79" s="4110"/>
      <c r="H79" s="4111" t="s">
        <v>63</v>
      </c>
      <c r="I79" s="4111"/>
      <c r="J79" s="4534">
        <f>SUM(J80:J82)</f>
        <v>300000000</v>
      </c>
      <c r="K79" s="2159">
        <v>0</v>
      </c>
      <c r="L79" s="4530">
        <f>SUM(L80:L82)</f>
        <v>0</v>
      </c>
      <c r="M79" s="4253">
        <f>SUM(K79:L79)</f>
        <v>0</v>
      </c>
      <c r="N79" s="4534">
        <f>SUM(N80:N82)</f>
        <v>300000000</v>
      </c>
      <c r="O79" s="4254">
        <v>0</v>
      </c>
      <c r="P79" s="4061">
        <f>M79/J79*100</f>
        <v>0</v>
      </c>
      <c r="Q79" s="4839"/>
    </row>
    <row r="80" spans="1:17" s="2070" customFormat="1">
      <c r="A80" s="4053">
        <v>4</v>
      </c>
      <c r="B80" s="4053">
        <v>1</v>
      </c>
      <c r="C80" s="4053">
        <v>2</v>
      </c>
      <c r="D80" s="4053" t="s">
        <v>438</v>
      </c>
      <c r="E80" s="4054" t="s">
        <v>437</v>
      </c>
      <c r="F80" s="4049"/>
      <c r="G80" s="4112"/>
      <c r="H80" s="4113" t="s">
        <v>50</v>
      </c>
      <c r="I80" s="4114" t="s">
        <v>93</v>
      </c>
      <c r="J80" s="1964">
        <v>90000000</v>
      </c>
      <c r="K80" s="2159">
        <v>0</v>
      </c>
      <c r="L80" s="2160">
        <f>'[2]ALL BULAN'!E80</f>
        <v>0</v>
      </c>
      <c r="M80" s="4253">
        <f>SUM(K80:L80)</f>
        <v>0</v>
      </c>
      <c r="N80" s="4248">
        <v>90000000</v>
      </c>
      <c r="O80" s="4254">
        <f>N80-J80</f>
        <v>0</v>
      </c>
      <c r="P80" s="4061">
        <f>M80/J80*100</f>
        <v>0</v>
      </c>
      <c r="Q80" s="4839"/>
    </row>
    <row r="81" spans="1:17" s="2070" customFormat="1" ht="4.55" customHeight="1">
      <c r="A81" s="4048"/>
      <c r="B81" s="4048"/>
      <c r="C81" s="4048"/>
      <c r="D81" s="4048"/>
      <c r="E81" s="4048"/>
      <c r="F81" s="4049"/>
      <c r="G81" s="4112"/>
      <c r="H81" s="4114"/>
      <c r="I81" s="4114"/>
      <c r="J81" s="1964"/>
      <c r="K81" s="2159"/>
      <c r="L81" s="1964"/>
      <c r="M81" s="4253"/>
      <c r="N81" s="4253"/>
      <c r="O81" s="4254">
        <f t="shared" ref="O81:O89" si="14">M81-J81</f>
        <v>0</v>
      </c>
      <c r="P81" s="4061">
        <f>O81-K81</f>
        <v>0</v>
      </c>
      <c r="Q81" s="4839"/>
    </row>
    <row r="82" spans="1:17" s="2070" customFormat="1">
      <c r="A82" s="4053">
        <v>4</v>
      </c>
      <c r="B82" s="4053">
        <v>1</v>
      </c>
      <c r="C82" s="4053">
        <v>2</v>
      </c>
      <c r="D82" s="4053" t="s">
        <v>438</v>
      </c>
      <c r="E82" s="4054" t="s">
        <v>438</v>
      </c>
      <c r="F82" s="4049"/>
      <c r="G82" s="4112"/>
      <c r="H82" s="4113" t="s">
        <v>50</v>
      </c>
      <c r="I82" s="4114" t="s">
        <v>94</v>
      </c>
      <c r="J82" s="1964">
        <v>210000000</v>
      </c>
      <c r="K82" s="2159">
        <v>0</v>
      </c>
      <c r="L82" s="2160">
        <f>'[2]ALL BULAN'!E82</f>
        <v>0</v>
      </c>
      <c r="M82" s="4253">
        <f>SUM(K82:L82)</f>
        <v>0</v>
      </c>
      <c r="N82" s="4248">
        <v>210000000</v>
      </c>
      <c r="O82" s="4254">
        <f>N82-J82</f>
        <v>0</v>
      </c>
      <c r="P82" s="4061">
        <f>M82/J82*100</f>
        <v>0</v>
      </c>
      <c r="Q82" s="4839"/>
    </row>
    <row r="83" spans="1:17" s="2070" customFormat="1" ht="6.75" customHeight="1">
      <c r="A83" s="4048"/>
      <c r="B83" s="4048"/>
      <c r="C83" s="4048"/>
      <c r="D83" s="4048"/>
      <c r="E83" s="4048"/>
      <c r="F83" s="4049"/>
      <c r="G83" s="4112"/>
      <c r="H83" s="4114"/>
      <c r="I83" s="4114"/>
      <c r="J83" s="2224"/>
      <c r="K83" s="2159"/>
      <c r="L83" s="2188"/>
      <c r="M83" s="4253"/>
      <c r="N83" s="4253"/>
      <c r="O83" s="4254">
        <f t="shared" si="14"/>
        <v>0</v>
      </c>
      <c r="P83" s="4061">
        <f>O83-K83</f>
        <v>0</v>
      </c>
      <c r="Q83" s="4839"/>
    </row>
    <row r="84" spans="1:17" s="2070" customFormat="1" hidden="1">
      <c r="A84" s="4065">
        <v>4</v>
      </c>
      <c r="B84" s="4065">
        <v>1</v>
      </c>
      <c r="C84" s="4065">
        <v>4</v>
      </c>
      <c r="D84" s="4048"/>
      <c r="E84" s="4048"/>
      <c r="F84" s="4066">
        <v>3</v>
      </c>
      <c r="G84" s="4112"/>
      <c r="H84" s="4115" t="s">
        <v>71</v>
      </c>
      <c r="I84" s="4115"/>
      <c r="J84" s="2189">
        <v>0</v>
      </c>
      <c r="K84" s="2159">
        <v>855000</v>
      </c>
      <c r="L84" s="2190">
        <f>SUM(L85:L89)</f>
        <v>0</v>
      </c>
      <c r="M84" s="4253">
        <f t="shared" ref="M84:M89" si="15">SUM(K84:L84)</f>
        <v>855000</v>
      </c>
      <c r="N84" s="4253"/>
      <c r="O84" s="4254">
        <v>0</v>
      </c>
      <c r="P84" s="4061">
        <v>0</v>
      </c>
      <c r="Q84" s="4839"/>
    </row>
    <row r="85" spans="1:17" s="2070" customFormat="1" hidden="1">
      <c r="A85" s="4065">
        <v>4</v>
      </c>
      <c r="B85" s="4065">
        <v>1</v>
      </c>
      <c r="C85" s="4065">
        <v>4</v>
      </c>
      <c r="D85" s="4065" t="s">
        <v>441</v>
      </c>
      <c r="E85" s="4048"/>
      <c r="F85" s="4049"/>
      <c r="G85" s="4112"/>
      <c r="H85" s="4113" t="s">
        <v>50</v>
      </c>
      <c r="I85" s="4116" t="s">
        <v>72</v>
      </c>
      <c r="J85" s="1964">
        <v>0</v>
      </c>
      <c r="K85" s="2159">
        <v>0</v>
      </c>
      <c r="L85" s="2160">
        <f>'[2]ALL BULAN'!E85</f>
        <v>0</v>
      </c>
      <c r="M85" s="4253">
        <f t="shared" si="15"/>
        <v>0</v>
      </c>
      <c r="N85" s="4253"/>
      <c r="O85" s="4254">
        <f t="shared" si="14"/>
        <v>0</v>
      </c>
      <c r="P85" s="4061">
        <v>0</v>
      </c>
      <c r="Q85" s="4839"/>
    </row>
    <row r="86" spans="1:17" s="2070" customFormat="1" hidden="1">
      <c r="A86" s="4074">
        <v>4</v>
      </c>
      <c r="B86" s="4074">
        <v>1</v>
      </c>
      <c r="C86" s="4074" t="s">
        <v>443</v>
      </c>
      <c r="D86" s="4074" t="s">
        <v>444</v>
      </c>
      <c r="E86" s="4074" t="s">
        <v>440</v>
      </c>
      <c r="F86" s="4049"/>
      <c r="G86" s="4112"/>
      <c r="H86" s="4113" t="s">
        <v>50</v>
      </c>
      <c r="I86" s="4116" t="s">
        <v>73</v>
      </c>
      <c r="J86" s="1964">
        <v>0</v>
      </c>
      <c r="K86" s="2159">
        <v>0</v>
      </c>
      <c r="L86" s="2160">
        <f>'[2]ALL BULAN'!E86</f>
        <v>0</v>
      </c>
      <c r="M86" s="4253">
        <f t="shared" si="15"/>
        <v>0</v>
      </c>
      <c r="N86" s="4253"/>
      <c r="O86" s="4254">
        <f t="shared" si="14"/>
        <v>0</v>
      </c>
      <c r="P86" s="4061">
        <v>0</v>
      </c>
      <c r="Q86" s="4839"/>
    </row>
    <row r="87" spans="1:17" s="2070" customFormat="1" hidden="1">
      <c r="A87" s="4069">
        <v>4</v>
      </c>
      <c r="B87" s="4069">
        <v>1</v>
      </c>
      <c r="C87" s="4069" t="s">
        <v>443</v>
      </c>
      <c r="D87" s="4069" t="s">
        <v>444</v>
      </c>
      <c r="E87" s="4070" t="s">
        <v>445</v>
      </c>
      <c r="F87" s="4049"/>
      <c r="G87" s="4112"/>
      <c r="H87" s="4113" t="s">
        <v>50</v>
      </c>
      <c r="I87" s="4116" t="s">
        <v>74</v>
      </c>
      <c r="J87" s="1964">
        <v>0</v>
      </c>
      <c r="K87" s="2159">
        <v>0</v>
      </c>
      <c r="L87" s="2160">
        <f>'[2]ALL BULAN'!E87</f>
        <v>0</v>
      </c>
      <c r="M87" s="4253">
        <f t="shared" si="15"/>
        <v>0</v>
      </c>
      <c r="N87" s="4253"/>
      <c r="O87" s="4254">
        <f t="shared" si="14"/>
        <v>0</v>
      </c>
      <c r="P87" s="4061">
        <v>0</v>
      </c>
      <c r="Q87" s="4839"/>
    </row>
    <row r="88" spans="1:17" s="2070" customFormat="1" hidden="1">
      <c r="A88" s="4101">
        <v>4</v>
      </c>
      <c r="B88" s="4101">
        <v>1</v>
      </c>
      <c r="C88" s="4101" t="s">
        <v>443</v>
      </c>
      <c r="D88" s="4101" t="s">
        <v>444</v>
      </c>
      <c r="E88" s="4101" t="s">
        <v>441</v>
      </c>
      <c r="F88" s="4049"/>
      <c r="G88" s="4112"/>
      <c r="H88" s="4116" t="s">
        <v>308</v>
      </c>
      <c r="I88" s="4114" t="s">
        <v>75</v>
      </c>
      <c r="J88" s="1964">
        <v>0</v>
      </c>
      <c r="K88" s="2159">
        <v>855000</v>
      </c>
      <c r="L88" s="2160">
        <v>0</v>
      </c>
      <c r="M88" s="4253">
        <f t="shared" si="15"/>
        <v>855000</v>
      </c>
      <c r="N88" s="4253"/>
      <c r="O88" s="4254">
        <v>0</v>
      </c>
      <c r="P88" s="4061">
        <v>0</v>
      </c>
      <c r="Q88" s="4839"/>
    </row>
    <row r="89" spans="1:17" s="2070" customFormat="1" hidden="1">
      <c r="A89" s="4079">
        <v>4</v>
      </c>
      <c r="B89" s="4079">
        <v>1</v>
      </c>
      <c r="C89" s="4079" t="s">
        <v>443</v>
      </c>
      <c r="D89" s="4079" t="s">
        <v>447</v>
      </c>
      <c r="E89" s="4093" t="s">
        <v>437</v>
      </c>
      <c r="F89" s="4049"/>
      <c r="G89" s="4112"/>
      <c r="H89" s="4113" t="s">
        <v>50</v>
      </c>
      <c r="I89" s="4114" t="s">
        <v>85</v>
      </c>
      <c r="J89" s="1964">
        <v>0</v>
      </c>
      <c r="K89" s="2159">
        <v>0</v>
      </c>
      <c r="L89" s="2160">
        <f>'[2]ALL BULAN'!E89</f>
        <v>0</v>
      </c>
      <c r="M89" s="4253">
        <f t="shared" si="15"/>
        <v>0</v>
      </c>
      <c r="N89" s="4253"/>
      <c r="O89" s="4254">
        <f t="shared" si="14"/>
        <v>0</v>
      </c>
      <c r="P89" s="4061">
        <v>0</v>
      </c>
      <c r="Q89" s="4839"/>
    </row>
    <row r="90" spans="1:17" s="2070" customFormat="1" ht="5.35" customHeight="1">
      <c r="A90" s="4048"/>
      <c r="B90" s="4048"/>
      <c r="C90" s="4048"/>
      <c r="D90" s="4048"/>
      <c r="E90" s="4048"/>
      <c r="F90" s="4049"/>
      <c r="G90" s="4082"/>
      <c r="H90" s="4083"/>
      <c r="I90" s="4083"/>
      <c r="J90" s="4528"/>
      <c r="K90" s="2183"/>
      <c r="L90" s="4528"/>
      <c r="M90" s="4529"/>
      <c r="N90" s="4529"/>
      <c r="O90" s="4529"/>
      <c r="P90" s="4084"/>
      <c r="Q90" s="4839"/>
    </row>
    <row r="91" spans="1:17" s="2073" customFormat="1" ht="15.65">
      <c r="A91" s="4039"/>
      <c r="B91" s="4039"/>
      <c r="C91" s="4039"/>
      <c r="D91" s="4039"/>
      <c r="E91" s="4039"/>
      <c r="F91" s="4040"/>
      <c r="G91" s="4041"/>
      <c r="H91" s="4042" t="s">
        <v>95</v>
      </c>
      <c r="I91" s="4097"/>
      <c r="J91" s="4519">
        <f>J93</f>
        <v>16250000000</v>
      </c>
      <c r="K91" s="4520">
        <v>2651132328.7199998</v>
      </c>
      <c r="L91" s="4519">
        <f>L93</f>
        <v>1246849913.1600001</v>
      </c>
      <c r="M91" s="4519">
        <f>M93</f>
        <v>3897982241.8800001</v>
      </c>
      <c r="N91" s="4519">
        <f>N93</f>
        <v>19000000000</v>
      </c>
      <c r="O91" s="4519">
        <f>O93</f>
        <v>2750000000</v>
      </c>
      <c r="P91" s="4044">
        <f>P93</f>
        <v>16.923076923076923</v>
      </c>
      <c r="Q91" s="4840"/>
    </row>
    <row r="92" spans="1:17" s="2075" customFormat="1" ht="9.1" customHeight="1">
      <c r="A92" s="4117"/>
      <c r="B92" s="4117"/>
      <c r="C92" s="4117"/>
      <c r="D92" s="4117"/>
      <c r="E92" s="4117"/>
      <c r="F92" s="4118"/>
      <c r="G92" s="4110"/>
      <c r="H92" s="4119"/>
      <c r="I92" s="4111"/>
      <c r="J92" s="4534"/>
      <c r="K92" s="4535"/>
      <c r="L92" s="4534"/>
      <c r="M92" s="4534"/>
      <c r="N92" s="4534"/>
      <c r="O92" s="4534"/>
      <c r="P92" s="4120"/>
      <c r="Q92" s="4845"/>
    </row>
    <row r="93" spans="1:17" s="2070" customFormat="1" ht="11.3" customHeight="1">
      <c r="A93" s="4048"/>
      <c r="B93" s="4048"/>
      <c r="C93" s="4048"/>
      <c r="D93" s="4048"/>
      <c r="E93" s="4048"/>
      <c r="F93" s="4066">
        <v>3</v>
      </c>
      <c r="G93" s="4121"/>
      <c r="H93" s="4056" t="s">
        <v>71</v>
      </c>
      <c r="I93" s="4122"/>
      <c r="J93" s="2229">
        <f>J94</f>
        <v>16250000000</v>
      </c>
      <c r="K93" s="2230">
        <v>2651132328.7199998</v>
      </c>
      <c r="L93" s="2229">
        <f>SUM(L95:L102)</f>
        <v>1246849913.1600001</v>
      </c>
      <c r="M93" s="2229">
        <f>SUM(M95:M102)</f>
        <v>3897982241.8800001</v>
      </c>
      <c r="N93" s="2229">
        <f>N94</f>
        <v>19000000000</v>
      </c>
      <c r="O93" s="2229">
        <f>O94</f>
        <v>2750000000</v>
      </c>
      <c r="P93" s="4123">
        <f>O93/J93*100</f>
        <v>16.923076923076923</v>
      </c>
      <c r="Q93" s="4839"/>
    </row>
    <row r="94" spans="1:17" s="4099" customFormat="1">
      <c r="A94" s="4074">
        <v>4</v>
      </c>
      <c r="B94" s="4074">
        <v>1</v>
      </c>
      <c r="C94" s="4074" t="s">
        <v>443</v>
      </c>
      <c r="D94" s="4074" t="s">
        <v>449</v>
      </c>
      <c r="E94" s="4048"/>
      <c r="F94" s="4105"/>
      <c r="G94" s="4055"/>
      <c r="H94" s="4056" t="s">
        <v>96</v>
      </c>
      <c r="J94" s="4254">
        <f>SUM(J95:J96)</f>
        <v>16250000000</v>
      </c>
      <c r="K94" s="2159">
        <v>2651132328.7199998</v>
      </c>
      <c r="L94" s="4254">
        <f>SUM(L95:L96)</f>
        <v>1246849913.1600001</v>
      </c>
      <c r="M94" s="4253">
        <f>SUM(K94:L94)</f>
        <v>3897982241.8800001</v>
      </c>
      <c r="N94" s="2276">
        <f>N95</f>
        <v>19000000000</v>
      </c>
      <c r="O94" s="4254">
        <f>N94-J94</f>
        <v>2750000000</v>
      </c>
      <c r="P94" s="4123">
        <f>O94/J94*100</f>
        <v>16.923076923076923</v>
      </c>
      <c r="Q94" s="4839"/>
    </row>
    <row r="95" spans="1:17" s="2070" customFormat="1">
      <c r="A95" s="4079">
        <v>4</v>
      </c>
      <c r="B95" s="4079">
        <v>1</v>
      </c>
      <c r="C95" s="4079" t="s">
        <v>443</v>
      </c>
      <c r="D95" s="4079" t="s">
        <v>449</v>
      </c>
      <c r="E95" s="4093" t="s">
        <v>437</v>
      </c>
      <c r="F95" s="4049"/>
      <c r="G95" s="4124"/>
      <c r="H95" s="4125" t="s">
        <v>50</v>
      </c>
      <c r="I95" s="4108" t="s">
        <v>97</v>
      </c>
      <c r="J95" s="1964">
        <v>16000000000</v>
      </c>
      <c r="K95" s="2159">
        <v>2651132328.7199998</v>
      </c>
      <c r="L95" s="2160">
        <v>1246849913.1600001</v>
      </c>
      <c r="M95" s="4253">
        <f>SUM(K95:L95)</f>
        <v>3897982241.8800001</v>
      </c>
      <c r="N95" s="2229">
        <v>19000000000</v>
      </c>
      <c r="O95" s="4254">
        <f>N95-J95</f>
        <v>3000000000</v>
      </c>
      <c r="P95" s="4123">
        <f>O95/J95*100</f>
        <v>18.75</v>
      </c>
      <c r="Q95" s="4839"/>
    </row>
    <row r="96" spans="1:17" s="2070" customFormat="1">
      <c r="A96" s="4048"/>
      <c r="B96" s="4048"/>
      <c r="C96" s="4048"/>
      <c r="D96" s="4048"/>
      <c r="E96" s="4048"/>
      <c r="F96" s="4049"/>
      <c r="G96" s="4124"/>
      <c r="H96" s="4062" t="s">
        <v>50</v>
      </c>
      <c r="I96" s="4126" t="s">
        <v>98</v>
      </c>
      <c r="J96" s="1964">
        <v>250000000</v>
      </c>
      <c r="K96" s="2159">
        <v>0</v>
      </c>
      <c r="L96" s="2160">
        <f>'[2]ALL BULAN'!E95</f>
        <v>0</v>
      </c>
      <c r="M96" s="4253">
        <f>SUM(K96:L96)</f>
        <v>0</v>
      </c>
      <c r="N96" s="4253">
        <v>0</v>
      </c>
      <c r="O96" s="4254">
        <f>N96-J96</f>
        <v>-250000000</v>
      </c>
      <c r="P96" s="4123">
        <f>O96/J96*100</f>
        <v>-100</v>
      </c>
      <c r="Q96" s="4839"/>
    </row>
    <row r="97" spans="1:18" s="2070" customFormat="1" ht="6.75" customHeight="1">
      <c r="A97" s="4048"/>
      <c r="B97" s="4048"/>
      <c r="C97" s="4048"/>
      <c r="D97" s="4048"/>
      <c r="E97" s="4048"/>
      <c r="F97" s="4049"/>
      <c r="G97" s="4124"/>
      <c r="H97" s="4126"/>
      <c r="I97" s="4126"/>
      <c r="J97" s="4523"/>
      <c r="K97" s="2159"/>
      <c r="L97" s="4523"/>
      <c r="M97" s="4253"/>
      <c r="N97" s="4253"/>
      <c r="O97" s="4254">
        <f t="shared" ref="O97:O102" si="16">M97-J97</f>
        <v>0</v>
      </c>
      <c r="P97" s="4061">
        <f>O97-K97</f>
        <v>0</v>
      </c>
      <c r="Q97" s="4839"/>
    </row>
    <row r="98" spans="1:18" s="2070" customFormat="1" hidden="1">
      <c r="A98" s="4065">
        <v>4</v>
      </c>
      <c r="B98" s="4065">
        <v>1</v>
      </c>
      <c r="C98" s="4065">
        <v>4</v>
      </c>
      <c r="D98" s="4065" t="s">
        <v>441</v>
      </c>
      <c r="E98" s="4048"/>
      <c r="F98" s="4049"/>
      <c r="G98" s="4124"/>
      <c r="H98" s="4062" t="s">
        <v>50</v>
      </c>
      <c r="I98" s="4060" t="s">
        <v>72</v>
      </c>
      <c r="J98" s="4523"/>
      <c r="K98" s="2159">
        <v>0</v>
      </c>
      <c r="L98" s="2160">
        <f>'[2]ALL BULAN'!E98</f>
        <v>0</v>
      </c>
      <c r="M98" s="4253">
        <f>SUM(K98:L98)</f>
        <v>0</v>
      </c>
      <c r="N98" s="4253"/>
      <c r="O98" s="4254">
        <f t="shared" si="16"/>
        <v>0</v>
      </c>
      <c r="P98" s="4061">
        <v>0</v>
      </c>
      <c r="Q98" s="4839"/>
    </row>
    <row r="99" spans="1:18" s="2070" customFormat="1" hidden="1">
      <c r="A99" s="4074">
        <v>4</v>
      </c>
      <c r="B99" s="4074">
        <v>1</v>
      </c>
      <c r="C99" s="4074" t="s">
        <v>443</v>
      </c>
      <c r="D99" s="4074" t="s">
        <v>444</v>
      </c>
      <c r="E99" s="4074" t="s">
        <v>440</v>
      </c>
      <c r="F99" s="4049"/>
      <c r="G99" s="4124"/>
      <c r="H99" s="4062" t="s">
        <v>50</v>
      </c>
      <c r="I99" s="4060" t="s">
        <v>73</v>
      </c>
      <c r="J99" s="1964">
        <v>0</v>
      </c>
      <c r="K99" s="2159">
        <v>0</v>
      </c>
      <c r="L99" s="2160">
        <f>'[2]ALL BULAN'!E99</f>
        <v>0</v>
      </c>
      <c r="M99" s="4253">
        <f>SUM(K99:L99)</f>
        <v>0</v>
      </c>
      <c r="N99" s="4253"/>
      <c r="O99" s="4254">
        <f t="shared" si="16"/>
        <v>0</v>
      </c>
      <c r="P99" s="4061">
        <v>0</v>
      </c>
      <c r="Q99" s="4839"/>
    </row>
    <row r="100" spans="1:18" s="2070" customFormat="1" hidden="1">
      <c r="A100" s="4069">
        <v>4</v>
      </c>
      <c r="B100" s="4069">
        <v>1</v>
      </c>
      <c r="C100" s="4069" t="s">
        <v>443</v>
      </c>
      <c r="D100" s="4069" t="s">
        <v>444</v>
      </c>
      <c r="E100" s="4070" t="s">
        <v>445</v>
      </c>
      <c r="F100" s="4049"/>
      <c r="G100" s="4124"/>
      <c r="H100" s="4062" t="s">
        <v>50</v>
      </c>
      <c r="I100" s="4060" t="s">
        <v>74</v>
      </c>
      <c r="J100" s="1964">
        <v>0</v>
      </c>
      <c r="K100" s="2159">
        <v>0</v>
      </c>
      <c r="L100" s="2160">
        <f>'[2]ALL BULAN'!E100</f>
        <v>0</v>
      </c>
      <c r="M100" s="4253">
        <f>SUM(K100:L100)</f>
        <v>0</v>
      </c>
      <c r="N100" s="4253"/>
      <c r="O100" s="4254">
        <f t="shared" si="16"/>
        <v>0</v>
      </c>
      <c r="P100" s="4061">
        <v>0</v>
      </c>
      <c r="Q100" s="4839"/>
    </row>
    <row r="101" spans="1:18" s="2070" customFormat="1" hidden="1">
      <c r="A101" s="4101">
        <v>4</v>
      </c>
      <c r="B101" s="4101">
        <v>1</v>
      </c>
      <c r="C101" s="4101" t="s">
        <v>443</v>
      </c>
      <c r="D101" s="4101" t="s">
        <v>444</v>
      </c>
      <c r="E101" s="4101" t="s">
        <v>441</v>
      </c>
      <c r="F101" s="4049"/>
      <c r="G101" s="4059"/>
      <c r="H101" s="4060" t="s">
        <v>308</v>
      </c>
      <c r="I101" s="4090" t="s">
        <v>75</v>
      </c>
      <c r="J101" s="1964">
        <v>0</v>
      </c>
      <c r="K101" s="2159">
        <v>0</v>
      </c>
      <c r="L101" s="2160">
        <f>'[2]ALL BULAN'!E101</f>
        <v>0</v>
      </c>
      <c r="M101" s="4253">
        <f>SUM(K101:L101)</f>
        <v>0</v>
      </c>
      <c r="N101" s="4253"/>
      <c r="O101" s="4254">
        <f t="shared" si="16"/>
        <v>0</v>
      </c>
      <c r="P101" s="4061">
        <v>0</v>
      </c>
      <c r="Q101" s="4839"/>
    </row>
    <row r="102" spans="1:18" s="2070" customFormat="1" hidden="1">
      <c r="A102" s="4079">
        <v>4</v>
      </c>
      <c r="B102" s="4079">
        <v>1</v>
      </c>
      <c r="C102" s="4079" t="s">
        <v>443</v>
      </c>
      <c r="D102" s="4079" t="s">
        <v>447</v>
      </c>
      <c r="E102" s="4093" t="s">
        <v>437</v>
      </c>
      <c r="F102" s="4049"/>
      <c r="G102" s="4059"/>
      <c r="H102" s="4060" t="s">
        <v>50</v>
      </c>
      <c r="I102" s="4090" t="s">
        <v>85</v>
      </c>
      <c r="J102" s="1964">
        <v>0</v>
      </c>
      <c r="K102" s="2159">
        <v>0</v>
      </c>
      <c r="L102" s="2160">
        <f>'[2]ALL BULAN'!E102</f>
        <v>0</v>
      </c>
      <c r="M102" s="4253">
        <f>SUM(K102:L102)</f>
        <v>0</v>
      </c>
      <c r="N102" s="4253"/>
      <c r="O102" s="4254">
        <f t="shared" si="16"/>
        <v>0</v>
      </c>
      <c r="P102" s="4061">
        <v>0</v>
      </c>
      <c r="Q102" s="4839"/>
    </row>
    <row r="103" spans="1:18" s="2070" customFormat="1" ht="5.35" hidden="1" customHeight="1">
      <c r="A103" s="4048"/>
      <c r="B103" s="4048"/>
      <c r="C103" s="4048"/>
      <c r="D103" s="4048"/>
      <c r="E103" s="4048"/>
      <c r="F103" s="4049"/>
      <c r="G103" s="4082"/>
      <c r="H103" s="4083"/>
      <c r="I103" s="4083"/>
      <c r="J103" s="4528"/>
      <c r="K103" s="2183"/>
      <c r="L103" s="4528"/>
      <c r="M103" s="4529"/>
      <c r="N103" s="4529"/>
      <c r="O103" s="4529"/>
      <c r="P103" s="4084"/>
      <c r="Q103" s="4839"/>
    </row>
    <row r="104" spans="1:18" s="2073" customFormat="1" ht="15.65">
      <c r="A104" s="4039"/>
      <c r="B104" s="4039"/>
      <c r="C104" s="4039"/>
      <c r="D104" s="4039"/>
      <c r="E104" s="4039"/>
      <c r="F104" s="4040"/>
      <c r="G104" s="4041"/>
      <c r="H104" s="4042" t="s">
        <v>99</v>
      </c>
      <c r="I104" s="4097"/>
      <c r="J104" s="4519">
        <v>125000000000</v>
      </c>
      <c r="K104" s="4520">
        <v>19046122482.029999</v>
      </c>
      <c r="L104" s="4519">
        <f>L106</f>
        <v>12944839389.030001</v>
      </c>
      <c r="M104" s="4519">
        <f>M106</f>
        <v>31990961871.059998</v>
      </c>
      <c r="N104" s="4519">
        <v>141100000000</v>
      </c>
      <c r="O104" s="4519">
        <f>O106</f>
        <v>16100000000</v>
      </c>
      <c r="P104" s="4044">
        <f>P106</f>
        <v>12.879999999999999</v>
      </c>
      <c r="Q104" s="4840"/>
    </row>
    <row r="105" spans="1:18" s="2070" customFormat="1" ht="9.1" customHeight="1">
      <c r="A105" s="4048"/>
      <c r="B105" s="4048"/>
      <c r="C105" s="4048"/>
      <c r="D105" s="4048"/>
      <c r="E105" s="4048"/>
      <c r="F105" s="4049"/>
      <c r="G105" s="4103"/>
      <c r="I105" s="4092"/>
      <c r="J105" s="4533"/>
      <c r="K105" s="4536"/>
      <c r="L105" s="4533"/>
      <c r="M105" s="4533"/>
      <c r="N105" s="4533"/>
      <c r="O105" s="4533"/>
      <c r="P105" s="4127"/>
      <c r="Q105" s="4839"/>
    </row>
    <row r="106" spans="1:18" s="4099" customFormat="1">
      <c r="A106" s="4128"/>
      <c r="B106" s="4128"/>
      <c r="C106" s="4128"/>
      <c r="D106" s="4128"/>
      <c r="E106" s="4128"/>
      <c r="F106" s="4098">
        <v>3</v>
      </c>
      <c r="G106" s="4091"/>
      <c r="H106" s="4092" t="s">
        <v>71</v>
      </c>
      <c r="I106" s="4068"/>
      <c r="J106" s="2190">
        <f>J107</f>
        <v>125000000000</v>
      </c>
      <c r="K106" s="2234">
        <v>19046122482.029999</v>
      </c>
      <c r="L106" s="2190">
        <f>SUM(L108:L114)</f>
        <v>12944839389.030001</v>
      </c>
      <c r="M106" s="2190">
        <f>SUM(M108:M114)</f>
        <v>31990961871.059998</v>
      </c>
      <c r="N106" s="2190">
        <f>N107</f>
        <v>141100000000</v>
      </c>
      <c r="O106" s="2190">
        <f>SUM(O108:O114)</f>
        <v>16100000000</v>
      </c>
      <c r="P106" s="4061">
        <f>O106/J106*100</f>
        <v>12.879999999999999</v>
      </c>
      <c r="Q106" s="4839"/>
    </row>
    <row r="107" spans="1:18" s="4099" customFormat="1">
      <c r="A107" s="4074">
        <v>4</v>
      </c>
      <c r="B107" s="4074">
        <v>1</v>
      </c>
      <c r="C107" s="4074" t="s">
        <v>443</v>
      </c>
      <c r="D107" s="4074" t="s">
        <v>449</v>
      </c>
      <c r="E107" s="4048"/>
      <c r="F107" s="4105"/>
      <c r="G107" s="4091"/>
      <c r="H107" s="4056" t="s">
        <v>96</v>
      </c>
      <c r="I107" s="4092"/>
      <c r="J107" s="2181">
        <f>J108</f>
        <v>125000000000</v>
      </c>
      <c r="K107" s="2159">
        <v>19046122482.029999</v>
      </c>
      <c r="L107" s="2181">
        <f>L108</f>
        <v>12944839389.030001</v>
      </c>
      <c r="M107" s="4253">
        <f>SUM(K107:L107)</f>
        <v>31990961871.059998</v>
      </c>
      <c r="N107" s="2190">
        <f>N108</f>
        <v>141100000000</v>
      </c>
      <c r="O107" s="4254">
        <f>O108</f>
        <v>16100000000</v>
      </c>
      <c r="P107" s="4061">
        <f>O107/J107*100</f>
        <v>12.879999999999999</v>
      </c>
      <c r="Q107" s="4846" t="s">
        <v>450</v>
      </c>
      <c r="R107" s="4129">
        <f>R108-K108</f>
        <v>-19041427200.319996</v>
      </c>
    </row>
    <row r="108" spans="1:18" s="2070" customFormat="1">
      <c r="A108" s="4079">
        <v>4</v>
      </c>
      <c r="B108" s="4079">
        <v>1</v>
      </c>
      <c r="C108" s="4079" t="s">
        <v>443</v>
      </c>
      <c r="D108" s="4079" t="s">
        <v>449</v>
      </c>
      <c r="E108" s="4093" t="s">
        <v>437</v>
      </c>
      <c r="F108" s="4049"/>
      <c r="G108" s="4088"/>
      <c r="H108" s="4089" t="s">
        <v>50</v>
      </c>
      <c r="I108" s="4108" t="s">
        <v>97</v>
      </c>
      <c r="J108" s="1964">
        <v>125000000000</v>
      </c>
      <c r="K108" s="2236">
        <v>19046122482.029999</v>
      </c>
      <c r="L108" s="2160">
        <v>12944839389.030001</v>
      </c>
      <c r="M108" s="4253">
        <f>SUM(K108:L108)</f>
        <v>31990961871.059998</v>
      </c>
      <c r="N108" s="4248">
        <v>141100000000</v>
      </c>
      <c r="O108" s="4254">
        <f>N108-J108</f>
        <v>16100000000</v>
      </c>
      <c r="P108" s="4061">
        <f>O108/J108*100</f>
        <v>12.879999999999999</v>
      </c>
      <c r="Q108" s="4847">
        <v>31995657152.77</v>
      </c>
      <c r="R108" s="4130">
        <f>Q108-M108</f>
        <v>4695281.7100028992</v>
      </c>
    </row>
    <row r="109" spans="1:18" s="2070" customFormat="1" ht="6.75" customHeight="1">
      <c r="A109" s="4048"/>
      <c r="B109" s="4048"/>
      <c r="C109" s="4048"/>
      <c r="D109" s="4048"/>
      <c r="E109" s="4048"/>
      <c r="F109" s="4049"/>
      <c r="G109" s="4088"/>
      <c r="H109" s="4090"/>
      <c r="I109" s="4060"/>
      <c r="J109" s="2188"/>
      <c r="K109" s="2159"/>
      <c r="L109" s="2188"/>
      <c r="M109" s="4253"/>
      <c r="N109" s="4253"/>
      <c r="O109" s="4254">
        <f t="shared" ref="O109:O114" si="17">M109-J109</f>
        <v>0</v>
      </c>
      <c r="P109" s="4061">
        <f>O109-K109</f>
        <v>0</v>
      </c>
      <c r="Q109" s="4839"/>
    </row>
    <row r="110" spans="1:18" s="2070" customFormat="1" hidden="1">
      <c r="A110" s="4065">
        <v>4</v>
      </c>
      <c r="B110" s="4065">
        <v>1</v>
      </c>
      <c r="C110" s="4065">
        <v>4</v>
      </c>
      <c r="D110" s="4065" t="s">
        <v>441</v>
      </c>
      <c r="E110" s="4048"/>
      <c r="F110" s="4049"/>
      <c r="G110" s="4088"/>
      <c r="H110" s="4089" t="s">
        <v>50</v>
      </c>
      <c r="I110" s="4060" t="s">
        <v>72</v>
      </c>
      <c r="J110" s="1964">
        <v>0</v>
      </c>
      <c r="K110" s="2159">
        <v>0</v>
      </c>
      <c r="L110" s="2160">
        <f>'[2]ALL BULAN'!E110</f>
        <v>0</v>
      </c>
      <c r="M110" s="4253">
        <f>SUM(K110:L110)</f>
        <v>0</v>
      </c>
      <c r="N110" s="4253">
        <v>0</v>
      </c>
      <c r="O110" s="4254">
        <f t="shared" si="17"/>
        <v>0</v>
      </c>
      <c r="P110" s="4061">
        <v>0</v>
      </c>
      <c r="Q110" s="4839"/>
    </row>
    <row r="111" spans="1:18" s="2070" customFormat="1" hidden="1">
      <c r="A111" s="4074">
        <v>4</v>
      </c>
      <c r="B111" s="4074">
        <v>1</v>
      </c>
      <c r="C111" s="4074" t="s">
        <v>443</v>
      </c>
      <c r="D111" s="4074" t="s">
        <v>444</v>
      </c>
      <c r="E111" s="4074" t="s">
        <v>440</v>
      </c>
      <c r="F111" s="4049"/>
      <c r="G111" s="4088"/>
      <c r="H111" s="4089" t="s">
        <v>50</v>
      </c>
      <c r="I111" s="4060" t="s">
        <v>73</v>
      </c>
      <c r="J111" s="1964">
        <v>0</v>
      </c>
      <c r="K111" s="2159">
        <v>0</v>
      </c>
      <c r="L111" s="2160">
        <f>'[2]ALL BULAN'!E111</f>
        <v>0</v>
      </c>
      <c r="M111" s="4253">
        <f>SUM(K111:L111)</f>
        <v>0</v>
      </c>
      <c r="N111" s="4253">
        <v>0</v>
      </c>
      <c r="O111" s="4254">
        <f t="shared" si="17"/>
        <v>0</v>
      </c>
      <c r="P111" s="4061">
        <v>0</v>
      </c>
      <c r="Q111" s="4839"/>
    </row>
    <row r="112" spans="1:18" s="2070" customFormat="1" hidden="1">
      <c r="A112" s="4069">
        <v>4</v>
      </c>
      <c r="B112" s="4069">
        <v>1</v>
      </c>
      <c r="C112" s="4069" t="s">
        <v>443</v>
      </c>
      <c r="D112" s="4069" t="s">
        <v>444</v>
      </c>
      <c r="E112" s="4070" t="s">
        <v>445</v>
      </c>
      <c r="F112" s="4049"/>
      <c r="G112" s="4088"/>
      <c r="H112" s="4089" t="s">
        <v>50</v>
      </c>
      <c r="I112" s="4060" t="s">
        <v>74</v>
      </c>
      <c r="J112" s="1964">
        <v>0</v>
      </c>
      <c r="K112" s="2159">
        <v>0</v>
      </c>
      <c r="L112" s="2160">
        <f>'[2]ALL BULAN'!E112</f>
        <v>0</v>
      </c>
      <c r="M112" s="4253">
        <f>SUM(K112:L112)</f>
        <v>0</v>
      </c>
      <c r="N112" s="4253">
        <v>0</v>
      </c>
      <c r="O112" s="4254">
        <f t="shared" si="17"/>
        <v>0</v>
      </c>
      <c r="P112" s="4061">
        <v>0</v>
      </c>
      <c r="Q112" s="4839"/>
    </row>
    <row r="113" spans="1:17" s="2070" customFormat="1" hidden="1">
      <c r="A113" s="4101">
        <v>4</v>
      </c>
      <c r="B113" s="4101">
        <v>1</v>
      </c>
      <c r="C113" s="4101" t="s">
        <v>443</v>
      </c>
      <c r="D113" s="4101" t="s">
        <v>444</v>
      </c>
      <c r="E113" s="4101" t="s">
        <v>441</v>
      </c>
      <c r="F113" s="4049"/>
      <c r="G113" s="4088"/>
      <c r="H113" s="4060" t="s">
        <v>308</v>
      </c>
      <c r="I113" s="4090" t="s">
        <v>75</v>
      </c>
      <c r="J113" s="1964">
        <v>0</v>
      </c>
      <c r="K113" s="2159">
        <v>0</v>
      </c>
      <c r="L113" s="2160">
        <f>'[2]ALL BULAN'!E113</f>
        <v>0</v>
      </c>
      <c r="M113" s="4253">
        <f>SUM(K113:L113)</f>
        <v>0</v>
      </c>
      <c r="N113" s="4253">
        <v>0</v>
      </c>
      <c r="O113" s="4254">
        <f t="shared" si="17"/>
        <v>0</v>
      </c>
      <c r="P113" s="4061">
        <v>0</v>
      </c>
      <c r="Q113" s="4839">
        <f>+N104+N116+N91+N66</f>
        <v>177300000000</v>
      </c>
    </row>
    <row r="114" spans="1:17" s="2070" customFormat="1" hidden="1">
      <c r="A114" s="4079">
        <v>4</v>
      </c>
      <c r="B114" s="4079">
        <v>1</v>
      </c>
      <c r="C114" s="4079" t="s">
        <v>443</v>
      </c>
      <c r="D114" s="4079" t="s">
        <v>447</v>
      </c>
      <c r="E114" s="4093" t="s">
        <v>437</v>
      </c>
      <c r="F114" s="4049"/>
      <c r="G114" s="4059"/>
      <c r="H114" s="4089" t="s">
        <v>50</v>
      </c>
      <c r="I114" s="4090" t="s">
        <v>85</v>
      </c>
      <c r="J114" s="1964">
        <v>0</v>
      </c>
      <c r="K114" s="2159">
        <v>0</v>
      </c>
      <c r="L114" s="2160">
        <f>'[2]ALL BULAN'!E114</f>
        <v>0</v>
      </c>
      <c r="M114" s="4253">
        <f>SUM(K114:L114)</f>
        <v>0</v>
      </c>
      <c r="N114" s="4253">
        <v>0</v>
      </c>
      <c r="O114" s="4254">
        <f t="shared" si="17"/>
        <v>0</v>
      </c>
      <c r="P114" s="4061">
        <v>0</v>
      </c>
      <c r="Q114" s="4839"/>
    </row>
    <row r="115" spans="1:17" s="2070" customFormat="1" ht="5.95" customHeight="1">
      <c r="A115" s="4048"/>
      <c r="B115" s="4048"/>
      <c r="C115" s="4048"/>
      <c r="D115" s="4048"/>
      <c r="E115" s="4048"/>
      <c r="F115" s="4049"/>
      <c r="G115" s="4036"/>
      <c r="H115" s="4131"/>
      <c r="I115" s="4131"/>
      <c r="J115" s="2143"/>
      <c r="K115" s="2144"/>
      <c r="L115" s="2143"/>
      <c r="M115" s="1727"/>
      <c r="N115" s="1727"/>
      <c r="O115" s="1727"/>
      <c r="P115" s="4038"/>
      <c r="Q115" s="4839"/>
    </row>
    <row r="116" spans="1:17" s="2073" customFormat="1" ht="15.65">
      <c r="A116" s="4039"/>
      <c r="B116" s="4039"/>
      <c r="C116" s="4039"/>
      <c r="D116" s="4039"/>
      <c r="E116" s="4039"/>
      <c r="F116" s="4040"/>
      <c r="G116" s="4041" t="s">
        <v>100</v>
      </c>
      <c r="H116" s="4042" t="s">
        <v>101</v>
      </c>
      <c r="I116" s="4097"/>
      <c r="J116" s="4519">
        <f>J118</f>
        <v>15000000000</v>
      </c>
      <c r="K116" s="4520">
        <v>2493831376</v>
      </c>
      <c r="L116" s="4519">
        <f>L118</f>
        <v>1671690063</v>
      </c>
      <c r="M116" s="4519">
        <f>M118</f>
        <v>4165521439</v>
      </c>
      <c r="N116" s="4519">
        <f>N118</f>
        <v>15000000000</v>
      </c>
      <c r="O116" s="4519">
        <f>O118</f>
        <v>0</v>
      </c>
      <c r="P116" s="4756">
        <f>O116/J116*100</f>
        <v>0</v>
      </c>
      <c r="Q116" s="4840"/>
    </row>
    <row r="117" spans="1:17" s="2070" customFormat="1" ht="7.55" customHeight="1">
      <c r="A117" s="4048"/>
      <c r="B117" s="4048"/>
      <c r="C117" s="4048"/>
      <c r="D117" s="4048"/>
      <c r="E117" s="4048"/>
      <c r="F117" s="4049"/>
      <c r="G117" s="4059"/>
      <c r="I117" s="4087"/>
      <c r="J117" s="4530"/>
      <c r="K117" s="4537"/>
      <c r="L117" s="4530"/>
      <c r="M117" s="4530"/>
      <c r="N117" s="4530"/>
      <c r="O117" s="4530"/>
      <c r="P117" s="4057"/>
      <c r="Q117" s="4839"/>
    </row>
    <row r="118" spans="1:17" s="2070" customFormat="1" ht="17.25" customHeight="1">
      <c r="A118" s="4048"/>
      <c r="B118" s="4048"/>
      <c r="C118" s="4048"/>
      <c r="D118" s="4048"/>
      <c r="E118" s="4048"/>
      <c r="F118" s="4066">
        <v>3</v>
      </c>
      <c r="G118" s="4059"/>
      <c r="H118" s="4092" t="s">
        <v>71</v>
      </c>
      <c r="I118" s="4132"/>
      <c r="J118" s="2217">
        <f>J119</f>
        <v>15000000000</v>
      </c>
      <c r="K118" s="2240">
        <v>2493831376</v>
      </c>
      <c r="L118" s="2217">
        <f>SUM(L120:L127)</f>
        <v>1671690063</v>
      </c>
      <c r="M118" s="2217">
        <f>SUM(M120:M127)</f>
        <v>4165521439</v>
      </c>
      <c r="N118" s="2217">
        <f>N119</f>
        <v>15000000000</v>
      </c>
      <c r="O118" s="2217">
        <f>SUM(O120:O127)</f>
        <v>0</v>
      </c>
      <c r="P118" s="4061">
        <f>O118/J118*100</f>
        <v>0</v>
      </c>
      <c r="Q118" s="4839"/>
    </row>
    <row r="119" spans="1:17" s="4099" customFormat="1">
      <c r="A119" s="4074">
        <v>4</v>
      </c>
      <c r="B119" s="4074">
        <v>1</v>
      </c>
      <c r="C119" s="4074" t="s">
        <v>443</v>
      </c>
      <c r="D119" s="4074" t="s">
        <v>449</v>
      </c>
      <c r="E119" s="4048"/>
      <c r="F119" s="4105"/>
      <c r="G119" s="4067"/>
      <c r="H119" s="4056" t="s">
        <v>96</v>
      </c>
      <c r="I119" s="4092"/>
      <c r="J119" s="2181">
        <f>J120</f>
        <v>15000000000</v>
      </c>
      <c r="K119" s="2159">
        <v>2493831376</v>
      </c>
      <c r="L119" s="2181">
        <f>SUM(L120)</f>
        <v>1671690063</v>
      </c>
      <c r="M119" s="4253">
        <f t="shared" ref="M119:M127" si="18">SUM(K119:L119)</f>
        <v>4165521439</v>
      </c>
      <c r="N119" s="2181">
        <f>N120</f>
        <v>15000000000</v>
      </c>
      <c r="O119" s="4254">
        <v>0</v>
      </c>
      <c r="P119" s="4061">
        <f>O119/J119*100</f>
        <v>0</v>
      </c>
      <c r="Q119" s="4839"/>
    </row>
    <row r="120" spans="1:17" s="2070" customFormat="1">
      <c r="A120" s="4079">
        <v>4</v>
      </c>
      <c r="B120" s="4079">
        <v>1</v>
      </c>
      <c r="C120" s="4079" t="s">
        <v>443</v>
      </c>
      <c r="D120" s="4079" t="s">
        <v>449</v>
      </c>
      <c r="E120" s="4093" t="s">
        <v>437</v>
      </c>
      <c r="F120" s="4049"/>
      <c r="G120" s="4067"/>
      <c r="H120" s="4108" t="s">
        <v>102</v>
      </c>
      <c r="J120" s="1964">
        <v>15000000000</v>
      </c>
      <c r="K120" s="2159">
        <v>2493831376</v>
      </c>
      <c r="L120" s="2241">
        <v>1671690063</v>
      </c>
      <c r="M120" s="4253">
        <f t="shared" si="18"/>
        <v>4165521439</v>
      </c>
      <c r="N120" s="1964">
        <v>15000000000</v>
      </c>
      <c r="O120" s="4254">
        <v>0</v>
      </c>
      <c r="P120" s="4061">
        <f>O120/J120*100</f>
        <v>0</v>
      </c>
      <c r="Q120" s="4839"/>
    </row>
    <row r="121" spans="1:17" s="2070" customFormat="1" ht="6.75" customHeight="1">
      <c r="A121" s="4048"/>
      <c r="B121" s="4048"/>
      <c r="C121" s="4048"/>
      <c r="D121" s="4048"/>
      <c r="E121" s="4048"/>
      <c r="F121" s="4049"/>
      <c r="G121" s="4059"/>
      <c r="H121" s="4068"/>
      <c r="I121" s="4090"/>
      <c r="J121" s="2188"/>
      <c r="K121" s="2159">
        <v>0</v>
      </c>
      <c r="L121" s="2188"/>
      <c r="M121" s="4253">
        <f t="shared" si="18"/>
        <v>0</v>
      </c>
      <c r="N121" s="4253"/>
      <c r="O121" s="4254">
        <f t="shared" ref="O121:O127" si="19">M121-J121</f>
        <v>0</v>
      </c>
      <c r="P121" s="4061">
        <f>O121-K121</f>
        <v>0</v>
      </c>
      <c r="Q121" s="4839"/>
    </row>
    <row r="122" spans="1:17" s="2070" customFormat="1" hidden="1">
      <c r="A122" s="4048"/>
      <c r="B122" s="4048"/>
      <c r="C122" s="4048"/>
      <c r="D122" s="4048"/>
      <c r="E122" s="4048"/>
      <c r="F122" s="4049"/>
      <c r="G122" s="4080"/>
      <c r="H122" s="4064" t="s">
        <v>50</v>
      </c>
      <c r="I122" s="4133" t="s">
        <v>103</v>
      </c>
      <c r="J122" s="1964">
        <v>0</v>
      </c>
      <c r="K122" s="2159">
        <v>0</v>
      </c>
      <c r="L122" s="2160">
        <f>'[2]ALL BULAN'!E122</f>
        <v>0</v>
      </c>
      <c r="M122" s="4253">
        <f t="shared" si="18"/>
        <v>0</v>
      </c>
      <c r="N122" s="4253">
        <v>0</v>
      </c>
      <c r="O122" s="4254">
        <f t="shared" si="19"/>
        <v>0</v>
      </c>
      <c r="P122" s="4061">
        <v>0</v>
      </c>
      <c r="Q122" s="4839"/>
    </row>
    <row r="123" spans="1:17" s="2070" customFormat="1" hidden="1">
      <c r="A123" s="4065">
        <v>4</v>
      </c>
      <c r="B123" s="4065">
        <v>1</v>
      </c>
      <c r="C123" s="4065">
        <v>4</v>
      </c>
      <c r="D123" s="4065" t="s">
        <v>441</v>
      </c>
      <c r="E123" s="4048"/>
      <c r="F123" s="4049"/>
      <c r="G123" s="4080"/>
      <c r="H123" s="4064" t="s">
        <v>50</v>
      </c>
      <c r="I123" s="4060" t="s">
        <v>72</v>
      </c>
      <c r="J123" s="1964">
        <v>0</v>
      </c>
      <c r="K123" s="2159">
        <v>0</v>
      </c>
      <c r="L123" s="2160">
        <f>'[2]ALL BULAN'!E123</f>
        <v>0</v>
      </c>
      <c r="M123" s="4253">
        <f t="shared" si="18"/>
        <v>0</v>
      </c>
      <c r="N123" s="4253">
        <v>0</v>
      </c>
      <c r="O123" s="4254">
        <f t="shared" si="19"/>
        <v>0</v>
      </c>
      <c r="P123" s="4061">
        <v>0</v>
      </c>
      <c r="Q123" s="4839"/>
    </row>
    <row r="124" spans="1:17" s="2070" customFormat="1" hidden="1">
      <c r="A124" s="4074">
        <v>4</v>
      </c>
      <c r="B124" s="4074">
        <v>1</v>
      </c>
      <c r="C124" s="4074" t="s">
        <v>443</v>
      </c>
      <c r="D124" s="4074" t="s">
        <v>444</v>
      </c>
      <c r="E124" s="4074" t="s">
        <v>440</v>
      </c>
      <c r="F124" s="4049"/>
      <c r="G124" s="4080"/>
      <c r="H124" s="4064" t="s">
        <v>50</v>
      </c>
      <c r="I124" s="4060" t="s">
        <v>73</v>
      </c>
      <c r="J124" s="1964">
        <v>0</v>
      </c>
      <c r="K124" s="2159">
        <v>0</v>
      </c>
      <c r="L124" s="2160">
        <f>'[2]ALL BULAN'!E124</f>
        <v>0</v>
      </c>
      <c r="M124" s="4253">
        <f t="shared" si="18"/>
        <v>0</v>
      </c>
      <c r="N124" s="4253">
        <v>0</v>
      </c>
      <c r="O124" s="4254">
        <f t="shared" si="19"/>
        <v>0</v>
      </c>
      <c r="P124" s="4061">
        <v>0</v>
      </c>
      <c r="Q124" s="4839"/>
    </row>
    <row r="125" spans="1:17" s="2070" customFormat="1" hidden="1">
      <c r="A125" s="4069">
        <v>4</v>
      </c>
      <c r="B125" s="4069">
        <v>1</v>
      </c>
      <c r="C125" s="4069" t="s">
        <v>443</v>
      </c>
      <c r="D125" s="4069" t="s">
        <v>444</v>
      </c>
      <c r="E125" s="4070" t="s">
        <v>445</v>
      </c>
      <c r="F125" s="4049"/>
      <c r="G125" s="4080"/>
      <c r="H125" s="4064" t="s">
        <v>50</v>
      </c>
      <c r="I125" s="4060" t="s">
        <v>74</v>
      </c>
      <c r="J125" s="1964">
        <v>0</v>
      </c>
      <c r="K125" s="2159">
        <v>0</v>
      </c>
      <c r="L125" s="2160">
        <f>'[2]ALL BULAN'!E125</f>
        <v>0</v>
      </c>
      <c r="M125" s="4253">
        <f t="shared" si="18"/>
        <v>0</v>
      </c>
      <c r="N125" s="4253">
        <v>0</v>
      </c>
      <c r="O125" s="4254">
        <f t="shared" si="19"/>
        <v>0</v>
      </c>
      <c r="P125" s="4061">
        <v>0</v>
      </c>
      <c r="Q125" s="4839"/>
    </row>
    <row r="126" spans="1:17" s="2070" customFormat="1" hidden="1">
      <c r="A126" s="4101">
        <v>4</v>
      </c>
      <c r="B126" s="4101">
        <v>1</v>
      </c>
      <c r="C126" s="4101" t="s">
        <v>443</v>
      </c>
      <c r="D126" s="4101" t="s">
        <v>444</v>
      </c>
      <c r="E126" s="4101" t="s">
        <v>441</v>
      </c>
      <c r="F126" s="4049"/>
      <c r="G126" s="4080"/>
      <c r="H126" s="4060" t="s">
        <v>308</v>
      </c>
      <c r="I126" s="4090" t="s">
        <v>75</v>
      </c>
      <c r="J126" s="1964">
        <v>0</v>
      </c>
      <c r="K126" s="2159">
        <v>0</v>
      </c>
      <c r="L126" s="2160">
        <f>'[2]ALL BULAN'!E126</f>
        <v>0</v>
      </c>
      <c r="M126" s="4253">
        <f t="shared" si="18"/>
        <v>0</v>
      </c>
      <c r="N126" s="4253">
        <v>0</v>
      </c>
      <c r="O126" s="4254">
        <f t="shared" si="19"/>
        <v>0</v>
      </c>
      <c r="P126" s="4061">
        <v>0</v>
      </c>
      <c r="Q126" s="4839"/>
    </row>
    <row r="127" spans="1:17" s="2070" customFormat="1" hidden="1">
      <c r="A127" s="4079">
        <v>4</v>
      </c>
      <c r="B127" s="4079">
        <v>1</v>
      </c>
      <c r="C127" s="4079" t="s">
        <v>443</v>
      </c>
      <c r="D127" s="4079" t="s">
        <v>447</v>
      </c>
      <c r="E127" s="4093" t="s">
        <v>437</v>
      </c>
      <c r="F127" s="4049"/>
      <c r="G127" s="4080"/>
      <c r="H127" s="4064" t="s">
        <v>50</v>
      </c>
      <c r="I127" s="4090" t="s">
        <v>85</v>
      </c>
      <c r="J127" s="1964">
        <v>0</v>
      </c>
      <c r="K127" s="2159">
        <v>0</v>
      </c>
      <c r="L127" s="2160">
        <f>'[2]ALL BULAN'!E127</f>
        <v>0</v>
      </c>
      <c r="M127" s="4253">
        <f t="shared" si="18"/>
        <v>0</v>
      </c>
      <c r="N127" s="4253">
        <v>0</v>
      </c>
      <c r="O127" s="4254">
        <f t="shared" si="19"/>
        <v>0</v>
      </c>
      <c r="P127" s="4061">
        <v>0</v>
      </c>
      <c r="Q127" s="4839"/>
    </row>
    <row r="128" spans="1:17" s="2070" customFormat="1" ht="5.35" customHeight="1">
      <c r="A128" s="4048"/>
      <c r="B128" s="4048"/>
      <c r="C128" s="4048"/>
      <c r="D128" s="4048"/>
      <c r="E128" s="4048"/>
      <c r="F128" s="4049"/>
      <c r="G128" s="4082"/>
      <c r="H128" s="4083"/>
      <c r="I128" s="4095"/>
      <c r="J128" s="4531"/>
      <c r="K128" s="2192"/>
      <c r="L128" s="4531"/>
      <c r="M128" s="4532"/>
      <c r="N128" s="4532"/>
      <c r="O128" s="4532"/>
      <c r="P128" s="4096"/>
      <c r="Q128" s="4839"/>
    </row>
    <row r="129" spans="1:17" s="2073" customFormat="1" ht="15.65">
      <c r="A129" s="4039"/>
      <c r="B129" s="4039"/>
      <c r="C129" s="4039"/>
      <c r="D129" s="4039"/>
      <c r="E129" s="4039"/>
      <c r="F129" s="4040"/>
      <c r="G129" s="4041" t="s">
        <v>104</v>
      </c>
      <c r="H129" s="4042" t="s">
        <v>105</v>
      </c>
      <c r="I129" s="4134"/>
      <c r="J129" s="4519">
        <f>J130</f>
        <v>486000000</v>
      </c>
      <c r="K129" s="4520">
        <v>117482985.78</v>
      </c>
      <c r="L129" s="4519">
        <f>L130+L139</f>
        <v>28517500</v>
      </c>
      <c r="M129" s="4519">
        <f>SUM(K129:L129)</f>
        <v>146000485.78</v>
      </c>
      <c r="N129" s="4519">
        <f>N130</f>
        <v>486000000</v>
      </c>
      <c r="O129" s="4519">
        <v>0</v>
      </c>
      <c r="P129" s="4044">
        <f>M129/J129*100</f>
        <v>30.041252218106994</v>
      </c>
      <c r="Q129" s="4840"/>
    </row>
    <row r="130" spans="1:17" s="4099" customFormat="1">
      <c r="A130" s="4128"/>
      <c r="B130" s="4128"/>
      <c r="C130" s="4128"/>
      <c r="D130" s="4128"/>
      <c r="E130" s="4128"/>
      <c r="F130" s="4098">
        <v>1</v>
      </c>
      <c r="G130" s="4067"/>
      <c r="H130" s="4135" t="s">
        <v>106</v>
      </c>
      <c r="I130" s="4087"/>
      <c r="J130" s="4530">
        <f>SUM(J131+J134)</f>
        <v>486000000</v>
      </c>
      <c r="K130" s="2159">
        <v>22406900</v>
      </c>
      <c r="L130" s="4530">
        <f>L131+L134</f>
        <v>26657500</v>
      </c>
      <c r="M130" s="4253">
        <f>SUM(K130:L130)</f>
        <v>49064400</v>
      </c>
      <c r="N130" s="4530">
        <f>N131+N134</f>
        <v>486000000</v>
      </c>
      <c r="O130" s="4254">
        <v>0</v>
      </c>
      <c r="P130" s="4061">
        <f>M130/J130*100</f>
        <v>10.095555555555556</v>
      </c>
      <c r="Q130" s="4839"/>
    </row>
    <row r="131" spans="1:17" s="4099" customFormat="1">
      <c r="A131" s="4074">
        <v>4</v>
      </c>
      <c r="B131" s="4074">
        <v>1</v>
      </c>
      <c r="C131" s="4074">
        <v>2</v>
      </c>
      <c r="D131" s="4074" t="s">
        <v>437</v>
      </c>
      <c r="E131" s="4128"/>
      <c r="F131" s="4105"/>
      <c r="G131" s="4067"/>
      <c r="H131" s="4068" t="s">
        <v>107</v>
      </c>
      <c r="I131" s="4132"/>
      <c r="J131" s="2217">
        <f>J132</f>
        <v>19250000</v>
      </c>
      <c r="K131" s="2159">
        <v>0</v>
      </c>
      <c r="L131" s="2217">
        <f>SUM(L132)</f>
        <v>0</v>
      </c>
      <c r="M131" s="4253">
        <f>SUM(K131:L131)</f>
        <v>0</v>
      </c>
      <c r="N131" s="2217">
        <f>N132</f>
        <v>19250000</v>
      </c>
      <c r="O131" s="4254">
        <v>0</v>
      </c>
      <c r="P131" s="4061">
        <f>M131/J131*100</f>
        <v>0</v>
      </c>
      <c r="Q131" s="4839"/>
    </row>
    <row r="132" spans="1:17" s="2070" customFormat="1">
      <c r="A132" s="4079">
        <v>4</v>
      </c>
      <c r="B132" s="4079">
        <v>1</v>
      </c>
      <c r="C132" s="4079">
        <v>2</v>
      </c>
      <c r="D132" s="4079" t="s">
        <v>437</v>
      </c>
      <c r="E132" s="4074" t="s">
        <v>440</v>
      </c>
      <c r="F132" s="4049"/>
      <c r="G132" s="4059"/>
      <c r="H132" s="4062" t="s">
        <v>50</v>
      </c>
      <c r="I132" s="4136" t="s">
        <v>108</v>
      </c>
      <c r="J132" s="1964">
        <v>19250000</v>
      </c>
      <c r="K132" s="2159">
        <v>0</v>
      </c>
      <c r="L132" s="2160">
        <f>'[2]ALL BULAN'!E132</f>
        <v>0</v>
      </c>
      <c r="M132" s="4253">
        <f>SUM(K132:L132)</f>
        <v>0</v>
      </c>
      <c r="N132" s="2196">
        <v>19250000</v>
      </c>
      <c r="O132" s="4254">
        <v>0</v>
      </c>
      <c r="P132" s="4061">
        <f>M132/J132*100</f>
        <v>0</v>
      </c>
      <c r="Q132" s="4839"/>
    </row>
    <row r="133" spans="1:17" s="2070" customFormat="1" ht="5.95" customHeight="1">
      <c r="A133" s="4048"/>
      <c r="B133" s="4048"/>
      <c r="C133" s="4048"/>
      <c r="D133" s="4048"/>
      <c r="E133" s="4048"/>
      <c r="F133" s="4049"/>
      <c r="G133" s="4059"/>
      <c r="H133" s="4060"/>
      <c r="I133" s="4136"/>
      <c r="J133" s="2217"/>
      <c r="K133" s="2159"/>
      <c r="L133" s="2217"/>
      <c r="M133" s="4253"/>
      <c r="N133" s="4253"/>
      <c r="O133" s="4254">
        <f t="shared" ref="O133:O143" si="20">M133-J133</f>
        <v>0</v>
      </c>
      <c r="P133" s="4061">
        <f>O133-K133</f>
        <v>0</v>
      </c>
      <c r="Q133" s="4839"/>
    </row>
    <row r="134" spans="1:17" s="4099" customFormat="1">
      <c r="A134" s="4046">
        <v>4</v>
      </c>
      <c r="B134" s="4046">
        <v>1</v>
      </c>
      <c r="C134" s="4046">
        <v>2</v>
      </c>
      <c r="D134" s="4047" t="s">
        <v>438</v>
      </c>
      <c r="E134" s="4048"/>
      <c r="F134" s="4105"/>
      <c r="G134" s="4067"/>
      <c r="H134" s="4068" t="s">
        <v>109</v>
      </c>
      <c r="I134" s="4132"/>
      <c r="J134" s="2217">
        <f>J135</f>
        <v>466750000</v>
      </c>
      <c r="K134" s="2159">
        <v>22406900</v>
      </c>
      <c r="L134" s="2217">
        <f>SUM(L135)</f>
        <v>26657500</v>
      </c>
      <c r="M134" s="4253">
        <f>SUM(K134:L134)</f>
        <v>49064400</v>
      </c>
      <c r="N134" s="2217">
        <f>N135</f>
        <v>466750000</v>
      </c>
      <c r="O134" s="4254">
        <v>0</v>
      </c>
      <c r="P134" s="4061">
        <f>M134/J134*100</f>
        <v>10.511922870915907</v>
      </c>
      <c r="Q134" s="4839"/>
    </row>
    <row r="135" spans="1:17" s="2070" customFormat="1">
      <c r="A135" s="4053">
        <v>4</v>
      </c>
      <c r="B135" s="4053">
        <v>1</v>
      </c>
      <c r="C135" s="4053">
        <v>2</v>
      </c>
      <c r="D135" s="4053" t="s">
        <v>438</v>
      </c>
      <c r="E135" s="4054" t="s">
        <v>437</v>
      </c>
      <c r="F135" s="4049"/>
      <c r="G135" s="4059"/>
      <c r="H135" s="4060" t="s">
        <v>64</v>
      </c>
      <c r="I135" s="4132"/>
      <c r="J135" s="2196">
        <f>SUM(J136:J137)</f>
        <v>466750000</v>
      </c>
      <c r="K135" s="2159">
        <v>22406900</v>
      </c>
      <c r="L135" s="2196">
        <f>SUM(L136:L137)</f>
        <v>26657500</v>
      </c>
      <c r="M135" s="4253">
        <f>SUM(K135:L135)</f>
        <v>49064400</v>
      </c>
      <c r="N135" s="2196">
        <f>SUM(N136:N137)</f>
        <v>466750000</v>
      </c>
      <c r="O135" s="4254">
        <v>0</v>
      </c>
      <c r="P135" s="4061">
        <f>M135/J135*100</f>
        <v>10.511922870915907</v>
      </c>
      <c r="Q135" s="4839"/>
    </row>
    <row r="136" spans="1:17" s="2070" customFormat="1">
      <c r="A136" s="4048"/>
      <c r="B136" s="4048"/>
      <c r="C136" s="4048"/>
      <c r="D136" s="4048"/>
      <c r="E136" s="4048"/>
      <c r="F136" s="4049"/>
      <c r="G136" s="4059"/>
      <c r="H136" s="4064" t="s">
        <v>50</v>
      </c>
      <c r="I136" s="4136" t="s">
        <v>110</v>
      </c>
      <c r="J136" s="1964">
        <v>216750000</v>
      </c>
      <c r="K136" s="2159">
        <v>1400000</v>
      </c>
      <c r="L136" s="2160">
        <v>0</v>
      </c>
      <c r="M136" s="4253">
        <f>SUM(K136:L136)</f>
        <v>1400000</v>
      </c>
      <c r="N136" s="1964">
        <v>216750000</v>
      </c>
      <c r="O136" s="4254">
        <v>0</v>
      </c>
      <c r="P136" s="4061">
        <f>M136/J136*100</f>
        <v>0.64590542099192627</v>
      </c>
      <c r="Q136" s="4839"/>
    </row>
    <row r="137" spans="1:17" s="2070" customFormat="1">
      <c r="A137" s="4048"/>
      <c r="B137" s="4048"/>
      <c r="C137" s="4048"/>
      <c r="D137" s="4048"/>
      <c r="E137" s="4048"/>
      <c r="F137" s="4049"/>
      <c r="G137" s="4059"/>
      <c r="H137" s="4064" t="s">
        <v>50</v>
      </c>
      <c r="I137" s="4136" t="s">
        <v>111</v>
      </c>
      <c r="J137" s="1964">
        <v>250000000</v>
      </c>
      <c r="K137" s="2159">
        <v>21006900</v>
      </c>
      <c r="L137" s="2160">
        <v>26657500</v>
      </c>
      <c r="M137" s="4253">
        <f>SUM(K137:L137)</f>
        <v>47664400</v>
      </c>
      <c r="N137" s="1964">
        <v>250000000</v>
      </c>
      <c r="O137" s="4254">
        <v>0</v>
      </c>
      <c r="P137" s="4061">
        <f>M137/J137*100</f>
        <v>19.065760000000001</v>
      </c>
      <c r="Q137" s="4839"/>
    </row>
    <row r="138" spans="1:17" s="2070" customFormat="1" ht="5.95" customHeight="1">
      <c r="A138" s="4048"/>
      <c r="B138" s="4048"/>
      <c r="C138" s="4048"/>
      <c r="D138" s="4048"/>
      <c r="E138" s="4048"/>
      <c r="F138" s="4049"/>
      <c r="G138" s="4059"/>
      <c r="H138" s="4068"/>
      <c r="I138" s="4136"/>
      <c r="J138" s="2196"/>
      <c r="K138" s="2159"/>
      <c r="L138" s="2196"/>
      <c r="M138" s="4253"/>
      <c r="N138" s="4253"/>
      <c r="O138" s="4254">
        <f t="shared" si="20"/>
        <v>0</v>
      </c>
      <c r="P138" s="4061">
        <f>O138-K138</f>
        <v>0</v>
      </c>
      <c r="Q138" s="4839"/>
    </row>
    <row r="139" spans="1:17" s="2070" customFormat="1" hidden="1">
      <c r="A139" s="4065">
        <v>4</v>
      </c>
      <c r="B139" s="4065">
        <v>1</v>
      </c>
      <c r="C139" s="4065">
        <v>4</v>
      </c>
      <c r="D139" s="4048"/>
      <c r="E139" s="4048"/>
      <c r="F139" s="4066">
        <v>3</v>
      </c>
      <c r="G139" s="4059"/>
      <c r="H139" s="4068" t="s">
        <v>71</v>
      </c>
      <c r="I139" s="4132"/>
      <c r="J139" s="2217">
        <v>0</v>
      </c>
      <c r="K139" s="2159">
        <v>95076085.780000001</v>
      </c>
      <c r="L139" s="2217">
        <f>SUM(L140:L144)</f>
        <v>1860000</v>
      </c>
      <c r="M139" s="4253">
        <f t="shared" ref="M139:M144" si="21">SUM(K139:L139)</f>
        <v>96936085.780000001</v>
      </c>
      <c r="N139" s="4253"/>
      <c r="O139" s="4254">
        <v>0</v>
      </c>
      <c r="P139" s="4061">
        <v>0</v>
      </c>
      <c r="Q139" s="4839"/>
    </row>
    <row r="140" spans="1:17" s="2070" customFormat="1" hidden="1">
      <c r="A140" s="4065">
        <v>4</v>
      </c>
      <c r="B140" s="4065">
        <v>1</v>
      </c>
      <c r="C140" s="4065">
        <v>4</v>
      </c>
      <c r="D140" s="4065" t="s">
        <v>441</v>
      </c>
      <c r="E140" s="4048"/>
      <c r="F140" s="4049"/>
      <c r="G140" s="4067"/>
      <c r="H140" s="4064" t="s">
        <v>50</v>
      </c>
      <c r="I140" s="4060" t="s">
        <v>72</v>
      </c>
      <c r="J140" s="1964">
        <v>0</v>
      </c>
      <c r="K140" s="2159">
        <v>81048456.790000007</v>
      </c>
      <c r="L140" s="2160">
        <v>1360000</v>
      </c>
      <c r="M140" s="4253">
        <f t="shared" si="21"/>
        <v>82408456.790000007</v>
      </c>
      <c r="N140" s="4253"/>
      <c r="O140" s="4254">
        <v>0</v>
      </c>
      <c r="P140" s="4061">
        <v>0</v>
      </c>
      <c r="Q140" s="4839"/>
    </row>
    <row r="141" spans="1:17" s="2070" customFormat="1" hidden="1">
      <c r="A141" s="4074">
        <v>4</v>
      </c>
      <c r="B141" s="4074">
        <v>1</v>
      </c>
      <c r="C141" s="4074" t="s">
        <v>443</v>
      </c>
      <c r="D141" s="4074" t="s">
        <v>444</v>
      </c>
      <c r="E141" s="4074" t="s">
        <v>440</v>
      </c>
      <c r="F141" s="4049"/>
      <c r="G141" s="4067"/>
      <c r="H141" s="4064" t="s">
        <v>50</v>
      </c>
      <c r="I141" s="4060" t="s">
        <v>73</v>
      </c>
      <c r="J141" s="1964">
        <v>0</v>
      </c>
      <c r="K141" s="2159">
        <v>0</v>
      </c>
      <c r="L141" s="2160">
        <f>'[2]ALL BULAN'!E141</f>
        <v>0</v>
      </c>
      <c r="M141" s="4253">
        <f t="shared" si="21"/>
        <v>0</v>
      </c>
      <c r="N141" s="4253"/>
      <c r="O141" s="4254">
        <f t="shared" si="20"/>
        <v>0</v>
      </c>
      <c r="P141" s="4061">
        <v>0</v>
      </c>
      <c r="Q141" s="4839"/>
    </row>
    <row r="142" spans="1:17" s="2070" customFormat="1" hidden="1">
      <c r="A142" s="4069">
        <v>4</v>
      </c>
      <c r="B142" s="4069">
        <v>1</v>
      </c>
      <c r="C142" s="4069" t="s">
        <v>443</v>
      </c>
      <c r="D142" s="4069" t="s">
        <v>444</v>
      </c>
      <c r="E142" s="4070" t="s">
        <v>445</v>
      </c>
      <c r="F142" s="4049"/>
      <c r="G142" s="4067"/>
      <c r="H142" s="4064" t="s">
        <v>50</v>
      </c>
      <c r="I142" s="4060" t="s">
        <v>74</v>
      </c>
      <c r="J142" s="1964">
        <v>0</v>
      </c>
      <c r="K142" s="2159">
        <v>0</v>
      </c>
      <c r="L142" s="2160">
        <f>'[2]ALL BULAN'!E142</f>
        <v>0</v>
      </c>
      <c r="M142" s="4253">
        <f t="shared" si="21"/>
        <v>0</v>
      </c>
      <c r="N142" s="4253"/>
      <c r="O142" s="4254">
        <f t="shared" si="20"/>
        <v>0</v>
      </c>
      <c r="P142" s="4061">
        <v>0</v>
      </c>
      <c r="Q142" s="4839"/>
    </row>
    <row r="143" spans="1:17" s="2070" customFormat="1" hidden="1">
      <c r="A143" s="4101">
        <v>4</v>
      </c>
      <c r="B143" s="4101">
        <v>1</v>
      </c>
      <c r="C143" s="4101" t="s">
        <v>443</v>
      </c>
      <c r="D143" s="4101" t="s">
        <v>444</v>
      </c>
      <c r="E143" s="4101" t="s">
        <v>441</v>
      </c>
      <c r="F143" s="4049"/>
      <c r="G143" s="4067"/>
      <c r="H143" s="4060" t="s">
        <v>308</v>
      </c>
      <c r="I143" s="4090" t="s">
        <v>75</v>
      </c>
      <c r="J143" s="1964">
        <v>0</v>
      </c>
      <c r="K143" s="2159">
        <v>0</v>
      </c>
      <c r="L143" s="2160">
        <v>0</v>
      </c>
      <c r="M143" s="4253">
        <f t="shared" si="21"/>
        <v>0</v>
      </c>
      <c r="N143" s="4253"/>
      <c r="O143" s="4254">
        <f t="shared" si="20"/>
        <v>0</v>
      </c>
      <c r="P143" s="4061">
        <v>0</v>
      </c>
      <c r="Q143" s="4839"/>
    </row>
    <row r="144" spans="1:17" s="2070" customFormat="1" hidden="1">
      <c r="A144" s="4079">
        <v>4</v>
      </c>
      <c r="B144" s="4079">
        <v>1</v>
      </c>
      <c r="C144" s="4079" t="s">
        <v>443</v>
      </c>
      <c r="D144" s="4079" t="s">
        <v>447</v>
      </c>
      <c r="E144" s="4093" t="s">
        <v>437</v>
      </c>
      <c r="F144" s="4049"/>
      <c r="G144" s="4067"/>
      <c r="H144" s="4064" t="s">
        <v>50</v>
      </c>
      <c r="I144" s="4090" t="s">
        <v>85</v>
      </c>
      <c r="J144" s="1964">
        <v>0</v>
      </c>
      <c r="K144" s="2159">
        <v>14027628.99</v>
      </c>
      <c r="L144" s="2160">
        <v>500000</v>
      </c>
      <c r="M144" s="4253">
        <f t="shared" si="21"/>
        <v>14527628.99</v>
      </c>
      <c r="N144" s="4253"/>
      <c r="O144" s="4254">
        <v>0</v>
      </c>
      <c r="P144" s="4061">
        <v>0</v>
      </c>
      <c r="Q144" s="4839"/>
    </row>
    <row r="145" spans="1:17" s="2070" customFormat="1" ht="5.95" customHeight="1">
      <c r="A145" s="4048"/>
      <c r="B145" s="4048"/>
      <c r="C145" s="4048"/>
      <c r="D145" s="4048"/>
      <c r="E145" s="4048"/>
      <c r="F145" s="4049"/>
      <c r="G145" s="4082"/>
      <c r="H145" s="4137"/>
      <c r="I145" s="4083"/>
      <c r="J145" s="4528"/>
      <c r="K145" s="2183"/>
      <c r="L145" s="4528"/>
      <c r="M145" s="4529"/>
      <c r="N145" s="4529"/>
      <c r="O145" s="4529"/>
      <c r="P145" s="4084"/>
      <c r="Q145" s="4839"/>
    </row>
    <row r="146" spans="1:17" s="2073" customFormat="1" ht="15.65">
      <c r="A146" s="4039"/>
      <c r="B146" s="4039"/>
      <c r="C146" s="4039"/>
      <c r="D146" s="4039"/>
      <c r="E146" s="4039"/>
      <c r="F146" s="4040"/>
      <c r="G146" s="4041" t="s">
        <v>112</v>
      </c>
      <c r="H146" s="4042" t="s">
        <v>113</v>
      </c>
      <c r="I146" s="4097"/>
      <c r="J146" s="4519">
        <v>0</v>
      </c>
      <c r="K146" s="4520">
        <v>0</v>
      </c>
      <c r="L146" s="4519">
        <f>SUM(L147)</f>
        <v>0</v>
      </c>
      <c r="M146" s="4519">
        <f t="shared" ref="M146:M152" si="22">SUM(K146:L146)</f>
        <v>0</v>
      </c>
      <c r="N146" s="4519"/>
      <c r="O146" s="4519">
        <f t="shared" ref="O146:O152" si="23">M146-J146</f>
        <v>0</v>
      </c>
      <c r="P146" s="4044">
        <v>0</v>
      </c>
      <c r="Q146" s="4840"/>
    </row>
    <row r="147" spans="1:17" s="4099" customFormat="1">
      <c r="A147" s="4065">
        <v>4</v>
      </c>
      <c r="B147" s="4065">
        <v>1</v>
      </c>
      <c r="C147" s="4065">
        <v>4</v>
      </c>
      <c r="D147" s="4048"/>
      <c r="E147" s="4048"/>
      <c r="F147" s="4098">
        <v>3</v>
      </c>
      <c r="G147" s="4050"/>
      <c r="H147" s="4068" t="s">
        <v>71</v>
      </c>
      <c r="I147" s="4068"/>
      <c r="J147" s="4521">
        <v>0</v>
      </c>
      <c r="K147" s="2159">
        <v>0</v>
      </c>
      <c r="L147" s="4521">
        <f>SUM(L150:L151)</f>
        <v>0</v>
      </c>
      <c r="M147" s="4253">
        <f t="shared" si="22"/>
        <v>0</v>
      </c>
      <c r="N147" s="4253"/>
      <c r="O147" s="4254">
        <f t="shared" si="23"/>
        <v>0</v>
      </c>
      <c r="P147" s="4061">
        <v>0</v>
      </c>
      <c r="Q147" s="4839"/>
    </row>
    <row r="148" spans="1:17" s="2070" customFormat="1">
      <c r="A148" s="4065">
        <v>4</v>
      </c>
      <c r="B148" s="4065">
        <v>1</v>
      </c>
      <c r="C148" s="4065">
        <v>4</v>
      </c>
      <c r="D148" s="4065" t="s">
        <v>441</v>
      </c>
      <c r="E148" s="4048"/>
      <c r="F148" s="4049"/>
      <c r="G148" s="4067"/>
      <c r="H148" s="4060" t="s">
        <v>50</v>
      </c>
      <c r="I148" s="4060" t="s">
        <v>72</v>
      </c>
      <c r="J148" s="1964">
        <v>0</v>
      </c>
      <c r="K148" s="2159">
        <v>0</v>
      </c>
      <c r="L148" s="2160">
        <f>'[2]ALL BULAN'!E148</f>
        <v>0</v>
      </c>
      <c r="M148" s="4253">
        <f t="shared" si="22"/>
        <v>0</v>
      </c>
      <c r="N148" s="4253"/>
      <c r="O148" s="4254">
        <f t="shared" si="23"/>
        <v>0</v>
      </c>
      <c r="P148" s="4061">
        <v>0</v>
      </c>
      <c r="Q148" s="4839"/>
    </row>
    <row r="149" spans="1:17" s="2070" customFormat="1">
      <c r="A149" s="4074">
        <v>4</v>
      </c>
      <c r="B149" s="4074">
        <v>1</v>
      </c>
      <c r="C149" s="4074" t="s">
        <v>443</v>
      </c>
      <c r="D149" s="4074" t="s">
        <v>444</v>
      </c>
      <c r="E149" s="4074" t="s">
        <v>440</v>
      </c>
      <c r="F149" s="4049"/>
      <c r="G149" s="4067"/>
      <c r="H149" s="4060" t="s">
        <v>50</v>
      </c>
      <c r="I149" s="4060" t="s">
        <v>73</v>
      </c>
      <c r="J149" s="1964">
        <v>0</v>
      </c>
      <c r="K149" s="2159">
        <v>0</v>
      </c>
      <c r="L149" s="2160">
        <f>'[2]ALL BULAN'!E149</f>
        <v>0</v>
      </c>
      <c r="M149" s="4253">
        <f t="shared" si="22"/>
        <v>0</v>
      </c>
      <c r="N149" s="4253"/>
      <c r="O149" s="4254">
        <f t="shared" si="23"/>
        <v>0</v>
      </c>
      <c r="P149" s="4061">
        <v>0</v>
      </c>
      <c r="Q149" s="4839"/>
    </row>
    <row r="150" spans="1:17" s="2070" customFormat="1">
      <c r="A150" s="4069">
        <v>4</v>
      </c>
      <c r="B150" s="4069">
        <v>1</v>
      </c>
      <c r="C150" s="4069" t="s">
        <v>443</v>
      </c>
      <c r="D150" s="4069" t="s">
        <v>444</v>
      </c>
      <c r="E150" s="4070" t="s">
        <v>445</v>
      </c>
      <c r="F150" s="4049"/>
      <c r="G150" s="4067"/>
      <c r="H150" s="4060" t="s">
        <v>50</v>
      </c>
      <c r="I150" s="4060" t="s">
        <v>74</v>
      </c>
      <c r="J150" s="1964">
        <v>0</v>
      </c>
      <c r="K150" s="2159">
        <v>0</v>
      </c>
      <c r="L150" s="2160">
        <f>'[2]ALL BULAN'!E150</f>
        <v>0</v>
      </c>
      <c r="M150" s="4253">
        <f t="shared" si="22"/>
        <v>0</v>
      </c>
      <c r="N150" s="4253"/>
      <c r="O150" s="4254">
        <f t="shared" si="23"/>
        <v>0</v>
      </c>
      <c r="P150" s="4061">
        <v>0</v>
      </c>
      <c r="Q150" s="4839"/>
    </row>
    <row r="151" spans="1:17" s="2070" customFormat="1">
      <c r="A151" s="4101">
        <v>4</v>
      </c>
      <c r="B151" s="4101">
        <v>1</v>
      </c>
      <c r="C151" s="4101" t="s">
        <v>443</v>
      </c>
      <c r="D151" s="4101" t="s">
        <v>444</v>
      </c>
      <c r="E151" s="4101" t="s">
        <v>441</v>
      </c>
      <c r="F151" s="4049"/>
      <c r="G151" s="4067"/>
      <c r="H151" s="4060" t="s">
        <v>308</v>
      </c>
      <c r="I151" s="4090" t="s">
        <v>75</v>
      </c>
      <c r="J151" s="1964">
        <v>0</v>
      </c>
      <c r="K151" s="2159">
        <v>0</v>
      </c>
      <c r="L151" s="2160">
        <f>'[2]ALL BULAN'!E151</f>
        <v>0</v>
      </c>
      <c r="M151" s="4253">
        <f t="shared" si="22"/>
        <v>0</v>
      </c>
      <c r="N151" s="4253"/>
      <c r="O151" s="4254">
        <f t="shared" si="23"/>
        <v>0</v>
      </c>
      <c r="P151" s="4061">
        <v>0</v>
      </c>
      <c r="Q151" s="4839"/>
    </row>
    <row r="152" spans="1:17" s="2070" customFormat="1">
      <c r="A152" s="4079">
        <v>4</v>
      </c>
      <c r="B152" s="4079">
        <v>1</v>
      </c>
      <c r="C152" s="4079" t="s">
        <v>443</v>
      </c>
      <c r="D152" s="4079" t="s">
        <v>447</v>
      </c>
      <c r="E152" s="4093" t="s">
        <v>437</v>
      </c>
      <c r="F152" s="4049"/>
      <c r="G152" s="4067"/>
      <c r="H152" s="4060" t="s">
        <v>50</v>
      </c>
      <c r="I152" s="4090" t="s">
        <v>85</v>
      </c>
      <c r="J152" s="1964">
        <v>0</v>
      </c>
      <c r="K152" s="2159">
        <v>0</v>
      </c>
      <c r="L152" s="2160">
        <f>'[2]ALL BULAN'!E152</f>
        <v>0</v>
      </c>
      <c r="M152" s="4253">
        <f t="shared" si="22"/>
        <v>0</v>
      </c>
      <c r="N152" s="4253"/>
      <c r="O152" s="4254">
        <f t="shared" si="23"/>
        <v>0</v>
      </c>
      <c r="P152" s="4061">
        <v>0</v>
      </c>
      <c r="Q152" s="4839"/>
    </row>
    <row r="153" spans="1:17" s="2070" customFormat="1">
      <c r="A153" s="4048"/>
      <c r="B153" s="4048"/>
      <c r="C153" s="4048"/>
      <c r="D153" s="4048"/>
      <c r="E153" s="4048"/>
      <c r="F153" s="4049"/>
      <c r="G153" s="4067"/>
      <c r="H153" s="4060"/>
      <c r="I153" s="4060"/>
      <c r="J153" s="4523">
        <v>0</v>
      </c>
      <c r="K153" s="2255">
        <v>0</v>
      </c>
      <c r="L153" s="4523">
        <v>0</v>
      </c>
      <c r="M153" s="4254">
        <v>0</v>
      </c>
      <c r="N153" s="4254"/>
      <c r="O153" s="4602">
        <v>0</v>
      </c>
      <c r="P153" s="4061">
        <v>0</v>
      </c>
      <c r="Q153" s="4839"/>
    </row>
    <row r="154" spans="1:17" s="2073" customFormat="1" ht="15.65">
      <c r="A154" s="4039"/>
      <c r="B154" s="4039"/>
      <c r="C154" s="4039"/>
      <c r="D154" s="4039"/>
      <c r="E154" s="4039"/>
      <c r="F154" s="4040"/>
      <c r="G154" s="4041" t="s">
        <v>114</v>
      </c>
      <c r="H154" s="4042" t="s">
        <v>115</v>
      </c>
      <c r="I154" s="4097"/>
      <c r="J154" s="4519">
        <f>SUM(J155+J161)</f>
        <v>211889500</v>
      </c>
      <c r="K154" s="4520">
        <v>230000</v>
      </c>
      <c r="L154" s="4519">
        <f>L157+L161</f>
        <v>25595000</v>
      </c>
      <c r="M154" s="4519">
        <f t="shared" ref="M154:M167" si="24">SUM(K154:L154)</f>
        <v>25825000</v>
      </c>
      <c r="N154" s="4519">
        <f>SUM(N155+N161)</f>
        <v>211889500</v>
      </c>
      <c r="O154" s="4757">
        <f>N154-J154</f>
        <v>0</v>
      </c>
      <c r="P154" s="4044">
        <f>P155</f>
        <v>0</v>
      </c>
      <c r="Q154" s="4840"/>
    </row>
    <row r="155" spans="1:17" s="2070" customFormat="1">
      <c r="A155" s="4046">
        <v>4</v>
      </c>
      <c r="B155" s="4046">
        <v>1</v>
      </c>
      <c r="C155" s="4046">
        <v>2</v>
      </c>
      <c r="D155" s="4047"/>
      <c r="E155" s="4048"/>
      <c r="F155" s="4066">
        <v>1</v>
      </c>
      <c r="G155" s="4050"/>
      <c r="H155" s="4051" t="s">
        <v>106</v>
      </c>
      <c r="I155" s="4051"/>
      <c r="J155" s="4521">
        <f>J156</f>
        <v>193889500</v>
      </c>
      <c r="K155" s="2159">
        <v>230000</v>
      </c>
      <c r="L155" s="4521">
        <f>SUM(L156)</f>
        <v>24900000</v>
      </c>
      <c r="M155" s="4253">
        <f t="shared" si="24"/>
        <v>25130000</v>
      </c>
      <c r="N155" s="4521">
        <f>N156</f>
        <v>193889500</v>
      </c>
      <c r="O155" s="2260">
        <f>N155-J155</f>
        <v>0</v>
      </c>
      <c r="P155" s="4061">
        <f>P156</f>
        <v>0</v>
      </c>
      <c r="Q155" s="4839"/>
    </row>
    <row r="156" spans="1:17" s="4099" customFormat="1">
      <c r="A156" s="4046">
        <v>4</v>
      </c>
      <c r="B156" s="4046">
        <v>1</v>
      </c>
      <c r="C156" s="4046">
        <v>2</v>
      </c>
      <c r="D156" s="4047" t="s">
        <v>440</v>
      </c>
      <c r="E156" s="4128"/>
      <c r="F156" s="4105"/>
      <c r="G156" s="4067"/>
      <c r="H156" s="4064" t="s">
        <v>116</v>
      </c>
      <c r="I156" s="4068"/>
      <c r="J156" s="2181">
        <f>J157</f>
        <v>193889500</v>
      </c>
      <c r="K156" s="2159">
        <v>230000</v>
      </c>
      <c r="L156" s="2181">
        <f>SUM(L157)</f>
        <v>24900000</v>
      </c>
      <c r="M156" s="4253">
        <f t="shared" si="24"/>
        <v>25130000</v>
      </c>
      <c r="N156" s="4718">
        <f>N157</f>
        <v>193889500</v>
      </c>
      <c r="O156" s="4254">
        <f>O157</f>
        <v>0</v>
      </c>
      <c r="P156" s="4061">
        <f>P157</f>
        <v>0</v>
      </c>
      <c r="Q156" s="4839"/>
    </row>
    <row r="157" spans="1:17" s="2070" customFormat="1">
      <c r="A157" s="4046">
        <v>4</v>
      </c>
      <c r="B157" s="4046">
        <v>1</v>
      </c>
      <c r="C157" s="4046">
        <v>2</v>
      </c>
      <c r="D157" s="4093" t="s">
        <v>440</v>
      </c>
      <c r="E157" s="4093" t="s">
        <v>437</v>
      </c>
      <c r="F157" s="4138"/>
      <c r="G157" s="4067"/>
      <c r="H157" s="4060" t="s">
        <v>117</v>
      </c>
      <c r="I157" s="4060"/>
      <c r="J157" s="1964">
        <f>SUM(J158:J159)</f>
        <v>193889500</v>
      </c>
      <c r="K157" s="2159">
        <v>230000</v>
      </c>
      <c r="L157" s="1964">
        <f>SUM(L158:L159)</f>
        <v>24900000</v>
      </c>
      <c r="M157" s="4253">
        <f t="shared" si="24"/>
        <v>25130000</v>
      </c>
      <c r="N157" s="1964">
        <f>SUM(N158:N159)</f>
        <v>193889500</v>
      </c>
      <c r="O157" s="4254">
        <f>SUM(O158:O159)</f>
        <v>0</v>
      </c>
      <c r="P157" s="4061">
        <f>O157/J157*100</f>
        <v>0</v>
      </c>
      <c r="Q157" s="4839"/>
    </row>
    <row r="158" spans="1:17" s="2070" customFormat="1">
      <c r="A158" s="4048"/>
      <c r="B158" s="4048"/>
      <c r="C158" s="4048"/>
      <c r="D158" s="4048"/>
      <c r="E158" s="4048"/>
      <c r="F158" s="4049"/>
      <c r="G158" s="4067"/>
      <c r="H158" s="4062" t="s">
        <v>50</v>
      </c>
      <c r="I158" s="4060" t="s">
        <v>118</v>
      </c>
      <c r="J158" s="1964">
        <v>103889500</v>
      </c>
      <c r="K158" s="2159">
        <v>230000</v>
      </c>
      <c r="L158" s="2160">
        <v>24900000</v>
      </c>
      <c r="M158" s="4253">
        <f t="shared" si="24"/>
        <v>25130000</v>
      </c>
      <c r="N158" s="1964">
        <v>103889500</v>
      </c>
      <c r="O158" s="4254">
        <f>N158-J158</f>
        <v>0</v>
      </c>
      <c r="P158" s="4061">
        <f>P159</f>
        <v>0</v>
      </c>
      <c r="Q158" s="4839"/>
    </row>
    <row r="159" spans="1:17" s="2070" customFormat="1">
      <c r="A159" s="4048"/>
      <c r="B159" s="4048"/>
      <c r="C159" s="4048"/>
      <c r="D159" s="4048"/>
      <c r="E159" s="4048"/>
      <c r="F159" s="4049"/>
      <c r="G159" s="4067"/>
      <c r="H159" s="4062" t="s">
        <v>50</v>
      </c>
      <c r="I159" s="4060" t="s">
        <v>119</v>
      </c>
      <c r="J159" s="1964">
        <v>90000000</v>
      </c>
      <c r="K159" s="2159">
        <v>0</v>
      </c>
      <c r="L159" s="2160">
        <f>'[2]ALL BULAN'!E159</f>
        <v>0</v>
      </c>
      <c r="M159" s="4253">
        <f t="shared" si="24"/>
        <v>0</v>
      </c>
      <c r="N159" s="1964">
        <v>90000000</v>
      </c>
      <c r="O159" s="4254">
        <f>SUM(N159-J159)</f>
        <v>0</v>
      </c>
      <c r="P159" s="4061">
        <f>O159/J159*100</f>
        <v>0</v>
      </c>
      <c r="Q159" s="4839"/>
    </row>
    <row r="160" spans="1:17" s="2070" customFormat="1" ht="9.1" customHeight="1">
      <c r="A160" s="4048"/>
      <c r="B160" s="4048"/>
      <c r="C160" s="4048"/>
      <c r="D160" s="4048"/>
      <c r="E160" s="4048"/>
      <c r="F160" s="4049"/>
      <c r="G160" s="4067"/>
      <c r="H160" s="4060"/>
      <c r="I160" s="4060"/>
      <c r="J160" s="4523"/>
      <c r="K160" s="2159">
        <v>0</v>
      </c>
      <c r="L160" s="4523"/>
      <c r="M160" s="4253">
        <f t="shared" si="24"/>
        <v>0</v>
      </c>
      <c r="N160" s="4253"/>
      <c r="O160" s="4254">
        <f t="shared" ref="O160:O167" si="25">M160-J160</f>
        <v>0</v>
      </c>
      <c r="P160" s="4061">
        <f>O160-K160</f>
        <v>0</v>
      </c>
      <c r="Q160" s="4839"/>
    </row>
    <row r="161" spans="1:17" s="2070" customFormat="1">
      <c r="A161" s="4065">
        <v>4</v>
      </c>
      <c r="B161" s="4065">
        <v>1</v>
      </c>
      <c r="C161" s="4065">
        <v>4</v>
      </c>
      <c r="D161" s="4048"/>
      <c r="E161" s="4048"/>
      <c r="F161" s="4066">
        <v>3</v>
      </c>
      <c r="G161" s="4067"/>
      <c r="H161" s="4068" t="s">
        <v>71</v>
      </c>
      <c r="I161" s="4068"/>
      <c r="J161" s="4254">
        <f>J162</f>
        <v>18000000</v>
      </c>
      <c r="K161" s="2159">
        <v>0</v>
      </c>
      <c r="L161" s="4523">
        <f>SUM(L162:L167)</f>
        <v>695000</v>
      </c>
      <c r="M161" s="4253">
        <f t="shared" si="24"/>
        <v>695000</v>
      </c>
      <c r="N161" s="4254">
        <v>18000000</v>
      </c>
      <c r="O161" s="4254">
        <f>O162</f>
        <v>0</v>
      </c>
      <c r="P161" s="4061">
        <f>P162</f>
        <v>0</v>
      </c>
      <c r="Q161" s="4839"/>
    </row>
    <row r="162" spans="1:17" s="2070" customFormat="1">
      <c r="A162" s="4065">
        <v>4</v>
      </c>
      <c r="B162" s="4065">
        <v>1</v>
      </c>
      <c r="C162" s="4065">
        <v>4</v>
      </c>
      <c r="D162" s="4093" t="s">
        <v>448</v>
      </c>
      <c r="E162" s="4048"/>
      <c r="F162" s="4049"/>
      <c r="G162" s="4139"/>
      <c r="H162" s="4140" t="s">
        <v>50</v>
      </c>
      <c r="I162" s="4140" t="s">
        <v>120</v>
      </c>
      <c r="J162" s="2257">
        <v>18000000</v>
      </c>
      <c r="K162" s="2159">
        <v>0</v>
      </c>
      <c r="L162" s="2257">
        <v>695000</v>
      </c>
      <c r="M162" s="4538">
        <f t="shared" si="24"/>
        <v>695000</v>
      </c>
      <c r="N162" s="4256">
        <v>18000000</v>
      </c>
      <c r="O162" s="4538">
        <f>N162-J162</f>
        <v>0</v>
      </c>
      <c r="P162" s="4141">
        <f>O162/J162*100</f>
        <v>0</v>
      </c>
      <c r="Q162" s="4839"/>
    </row>
    <row r="163" spans="1:17" s="2070" customFormat="1">
      <c r="A163" s="4065">
        <v>4</v>
      </c>
      <c r="B163" s="4065">
        <v>1</v>
      </c>
      <c r="C163" s="4065">
        <v>4</v>
      </c>
      <c r="D163" s="4065" t="s">
        <v>441</v>
      </c>
      <c r="E163" s="4048"/>
      <c r="F163" s="4049"/>
      <c r="G163" s="4067"/>
      <c r="H163" s="4060" t="s">
        <v>50</v>
      </c>
      <c r="I163" s="4060" t="s">
        <v>72</v>
      </c>
      <c r="J163" s="1964">
        <v>0</v>
      </c>
      <c r="K163" s="2159">
        <v>0</v>
      </c>
      <c r="L163" s="2160">
        <f>'[2]ALL BULAN'!E163</f>
        <v>0</v>
      </c>
      <c r="M163" s="4253">
        <f t="shared" si="24"/>
        <v>0</v>
      </c>
      <c r="N163" s="4253"/>
      <c r="O163" s="4254">
        <f t="shared" si="25"/>
        <v>0</v>
      </c>
      <c r="P163" s="4061">
        <v>0</v>
      </c>
      <c r="Q163" s="4839"/>
    </row>
    <row r="164" spans="1:17" s="2070" customFormat="1">
      <c r="A164" s="4074">
        <v>4</v>
      </c>
      <c r="B164" s="4074">
        <v>1</v>
      </c>
      <c r="C164" s="4074" t="s">
        <v>443</v>
      </c>
      <c r="D164" s="4074" t="s">
        <v>444</v>
      </c>
      <c r="E164" s="4074" t="s">
        <v>440</v>
      </c>
      <c r="F164" s="4049"/>
      <c r="G164" s="4067"/>
      <c r="H164" s="4060" t="s">
        <v>50</v>
      </c>
      <c r="I164" s="4060" t="s">
        <v>73</v>
      </c>
      <c r="J164" s="1964">
        <v>0</v>
      </c>
      <c r="K164" s="2159">
        <v>0</v>
      </c>
      <c r="L164" s="2160">
        <f>'[2]ALL BULAN'!E164</f>
        <v>0</v>
      </c>
      <c r="M164" s="4253">
        <f t="shared" si="24"/>
        <v>0</v>
      </c>
      <c r="N164" s="4253"/>
      <c r="O164" s="4254">
        <f t="shared" si="25"/>
        <v>0</v>
      </c>
      <c r="P164" s="4061">
        <v>0</v>
      </c>
      <c r="Q164" s="4839"/>
    </row>
    <row r="165" spans="1:17" s="2070" customFormat="1">
      <c r="A165" s="4069">
        <v>4</v>
      </c>
      <c r="B165" s="4069">
        <v>1</v>
      </c>
      <c r="C165" s="4069" t="s">
        <v>443</v>
      </c>
      <c r="D165" s="4069" t="s">
        <v>444</v>
      </c>
      <c r="E165" s="4070" t="s">
        <v>445</v>
      </c>
      <c r="F165" s="4049"/>
      <c r="G165" s="4067"/>
      <c r="H165" s="4060" t="s">
        <v>50</v>
      </c>
      <c r="I165" s="4060" t="s">
        <v>74</v>
      </c>
      <c r="J165" s="1964">
        <v>0</v>
      </c>
      <c r="K165" s="2159">
        <v>0</v>
      </c>
      <c r="L165" s="2160">
        <f>'[2]ALL BULAN'!E165</f>
        <v>0</v>
      </c>
      <c r="M165" s="4253">
        <f t="shared" si="24"/>
        <v>0</v>
      </c>
      <c r="N165" s="4253"/>
      <c r="O165" s="4254">
        <f t="shared" si="25"/>
        <v>0</v>
      </c>
      <c r="P165" s="4061">
        <v>0</v>
      </c>
      <c r="Q165" s="4839"/>
    </row>
    <row r="166" spans="1:17" s="2070" customFormat="1">
      <c r="A166" s="4101">
        <v>4</v>
      </c>
      <c r="B166" s="4101">
        <v>1</v>
      </c>
      <c r="C166" s="4101" t="s">
        <v>443</v>
      </c>
      <c r="D166" s="4101" t="s">
        <v>444</v>
      </c>
      <c r="E166" s="4101" t="s">
        <v>441</v>
      </c>
      <c r="F166" s="4049"/>
      <c r="G166" s="4067"/>
      <c r="H166" s="4060" t="s">
        <v>308</v>
      </c>
      <c r="I166" s="4090" t="s">
        <v>75</v>
      </c>
      <c r="J166" s="1964">
        <v>0</v>
      </c>
      <c r="K166" s="2159">
        <v>0</v>
      </c>
      <c r="L166" s="2160">
        <f>'[2]ALL BULAN'!E166</f>
        <v>0</v>
      </c>
      <c r="M166" s="4253">
        <f t="shared" si="24"/>
        <v>0</v>
      </c>
      <c r="N166" s="4253"/>
      <c r="O166" s="4254">
        <f t="shared" si="25"/>
        <v>0</v>
      </c>
      <c r="P166" s="4061">
        <v>0</v>
      </c>
      <c r="Q166" s="4839"/>
    </row>
    <row r="167" spans="1:17" s="2070" customFormat="1">
      <c r="A167" s="4079">
        <v>4</v>
      </c>
      <c r="B167" s="4079">
        <v>1</v>
      </c>
      <c r="C167" s="4079" t="s">
        <v>443</v>
      </c>
      <c r="D167" s="4079" t="s">
        <v>447</v>
      </c>
      <c r="E167" s="4093" t="s">
        <v>437</v>
      </c>
      <c r="F167" s="4049"/>
      <c r="G167" s="4067"/>
      <c r="H167" s="4060" t="s">
        <v>50</v>
      </c>
      <c r="I167" s="4090" t="s">
        <v>85</v>
      </c>
      <c r="J167" s="1964">
        <v>0</v>
      </c>
      <c r="K167" s="2159">
        <v>0</v>
      </c>
      <c r="L167" s="2160">
        <f>'[2]ALL BULAN'!E167</f>
        <v>0</v>
      </c>
      <c r="M167" s="4253">
        <f t="shared" si="24"/>
        <v>0</v>
      </c>
      <c r="N167" s="4253"/>
      <c r="O167" s="4254">
        <f t="shared" si="25"/>
        <v>0</v>
      </c>
      <c r="P167" s="4061">
        <v>0</v>
      </c>
      <c r="Q167" s="4839"/>
    </row>
    <row r="168" spans="1:17" s="2070" customFormat="1">
      <c r="A168" s="4048"/>
      <c r="B168" s="4048"/>
      <c r="C168" s="4048"/>
      <c r="D168" s="4048"/>
      <c r="E168" s="4048"/>
      <c r="F168" s="4049"/>
      <c r="G168" s="4102"/>
      <c r="H168" s="4083"/>
      <c r="I168" s="4083"/>
      <c r="J168" s="4528"/>
      <c r="K168" s="2183"/>
      <c r="L168" s="4528"/>
      <c r="M168" s="4529"/>
      <c r="N168" s="4529"/>
      <c r="O168" s="4529"/>
      <c r="P168" s="4084"/>
      <c r="Q168" s="4839"/>
    </row>
    <row r="169" spans="1:17" s="2073" customFormat="1" ht="15.65">
      <c r="A169" s="4039"/>
      <c r="B169" s="4039"/>
      <c r="C169" s="4039"/>
      <c r="D169" s="4039"/>
      <c r="E169" s="4039"/>
      <c r="F169" s="4040"/>
      <c r="G169" s="4041" t="s">
        <v>121</v>
      </c>
      <c r="H169" s="4042" t="s">
        <v>122</v>
      </c>
      <c r="I169" s="4043"/>
      <c r="J169" s="4519">
        <v>0</v>
      </c>
      <c r="K169" s="4520">
        <v>80532600</v>
      </c>
      <c r="L169" s="4519">
        <f>L170+L175</f>
        <v>0</v>
      </c>
      <c r="M169" s="4519">
        <f>M170+M175</f>
        <v>80532600</v>
      </c>
      <c r="N169" s="4519">
        <f>N172</f>
        <v>300000000</v>
      </c>
      <c r="O169" s="4519">
        <f>O170+O175</f>
        <v>300000000</v>
      </c>
      <c r="P169" s="4044">
        <f>P170+P175</f>
        <v>0</v>
      </c>
      <c r="Q169" s="4840"/>
    </row>
    <row r="170" spans="1:17" s="2073" customFormat="1">
      <c r="A170" s="4046">
        <v>4</v>
      </c>
      <c r="B170" s="4046">
        <v>1</v>
      </c>
      <c r="C170" s="4046">
        <v>2</v>
      </c>
      <c r="D170" s="4039"/>
      <c r="E170" s="4039"/>
      <c r="F170" s="4142">
        <v>1</v>
      </c>
      <c r="G170" s="4110"/>
      <c r="H170" s="4143" t="s">
        <v>106</v>
      </c>
      <c r="I170" s="4051"/>
      <c r="J170" s="4521">
        <v>0</v>
      </c>
      <c r="K170" s="2159">
        <v>72425000</v>
      </c>
      <c r="L170" s="4521">
        <f>L171</f>
        <v>0</v>
      </c>
      <c r="M170" s="4253">
        <f>SUM(K170:L170)</f>
        <v>72425000</v>
      </c>
      <c r="N170" s="2344">
        <f t="shared" ref="N170:P171" si="26">N171</f>
        <v>300000000</v>
      </c>
      <c r="O170" s="2260">
        <f t="shared" si="26"/>
        <v>300000000</v>
      </c>
      <c r="P170" s="4052">
        <f t="shared" si="26"/>
        <v>0</v>
      </c>
      <c r="Q170" s="4840"/>
    </row>
    <row r="171" spans="1:17" s="2073" customFormat="1">
      <c r="A171" s="4046">
        <v>4</v>
      </c>
      <c r="B171" s="4046">
        <v>1</v>
      </c>
      <c r="C171" s="4046">
        <v>2</v>
      </c>
      <c r="D171" s="4047" t="s">
        <v>438</v>
      </c>
      <c r="E171" s="4048"/>
      <c r="F171" s="4040"/>
      <c r="G171" s="4144"/>
      <c r="H171" s="4056" t="s">
        <v>109</v>
      </c>
      <c r="I171" s="4056"/>
      <c r="J171" s="2260">
        <v>0</v>
      </c>
      <c r="K171" s="2159">
        <v>72425000</v>
      </c>
      <c r="L171" s="2260">
        <f>L172</f>
        <v>0</v>
      </c>
      <c r="M171" s="4253">
        <f>SUM(K171:L171)</f>
        <v>72425000</v>
      </c>
      <c r="N171" s="2344">
        <f t="shared" si="26"/>
        <v>300000000</v>
      </c>
      <c r="O171" s="2260">
        <f t="shared" si="26"/>
        <v>300000000</v>
      </c>
      <c r="P171" s="2157">
        <f t="shared" si="26"/>
        <v>0</v>
      </c>
      <c r="Q171" s="4840"/>
    </row>
    <row r="172" spans="1:17" s="2073" customFormat="1">
      <c r="A172" s="4053">
        <v>4</v>
      </c>
      <c r="B172" s="4053">
        <v>1</v>
      </c>
      <c r="C172" s="4053">
        <v>2</v>
      </c>
      <c r="D172" s="4053" t="s">
        <v>438</v>
      </c>
      <c r="E172" s="4054" t="s">
        <v>451</v>
      </c>
      <c r="F172" s="4040"/>
      <c r="G172" s="4144"/>
      <c r="H172" s="4056" t="s">
        <v>452</v>
      </c>
      <c r="I172" s="4056"/>
      <c r="J172" s="2260">
        <v>0</v>
      </c>
      <c r="K172" s="2159">
        <v>72425000</v>
      </c>
      <c r="L172" s="2260">
        <f>SUM(L173)</f>
        <v>0</v>
      </c>
      <c r="M172" s="4253">
        <f>SUM(K172:L172)</f>
        <v>72425000</v>
      </c>
      <c r="N172" s="2344">
        <f>N173</f>
        <v>300000000</v>
      </c>
      <c r="O172" s="2260">
        <f>N172-J172</f>
        <v>300000000</v>
      </c>
      <c r="P172" s="4057">
        <f>SUM(P173)</f>
        <v>0</v>
      </c>
      <c r="Q172" s="4840"/>
    </row>
    <row r="173" spans="1:17" s="2073" customFormat="1">
      <c r="A173" s="4039"/>
      <c r="B173" s="4039"/>
      <c r="C173" s="4039"/>
      <c r="D173" s="4039"/>
      <c r="E173" s="4039"/>
      <c r="F173" s="4040"/>
      <c r="G173" s="4144"/>
      <c r="H173" s="4126"/>
      <c r="I173" s="4145" t="str">
        <f>'[2]ALL BULAN'!C173</f>
        <v>- TEMPAT WISATA DAN OLAH RAGA</v>
      </c>
      <c r="J173" s="2263">
        <v>0</v>
      </c>
      <c r="K173" s="2159">
        <v>72425000</v>
      </c>
      <c r="L173" s="2160">
        <v>0</v>
      </c>
      <c r="M173" s="4253">
        <f>SUM(K173:L173)</f>
        <v>72425000</v>
      </c>
      <c r="N173" s="4255">
        <v>300000000</v>
      </c>
      <c r="O173" s="2260">
        <f>N173-J173</f>
        <v>300000000</v>
      </c>
      <c r="P173" s="4057"/>
      <c r="Q173" s="4840"/>
    </row>
    <row r="174" spans="1:17" s="2073" customFormat="1" ht="5.95" customHeight="1">
      <c r="A174" s="4039"/>
      <c r="B174" s="4039"/>
      <c r="C174" s="4039"/>
      <c r="D174" s="4039"/>
      <c r="E174" s="4039"/>
      <c r="F174" s="4040"/>
      <c r="G174" s="4144"/>
      <c r="H174" s="4146"/>
      <c r="I174" s="4147"/>
      <c r="J174" s="2265"/>
      <c r="K174" s="2266"/>
      <c r="L174" s="2265"/>
      <c r="M174" s="2267"/>
      <c r="N174" s="2267"/>
      <c r="O174" s="2189"/>
      <c r="P174" s="4148"/>
      <c r="Q174" s="4840"/>
    </row>
    <row r="175" spans="1:17" s="2070" customFormat="1" ht="14.25" hidden="1" customHeight="1">
      <c r="A175" s="4065">
        <v>4</v>
      </c>
      <c r="B175" s="4065">
        <v>1</v>
      </c>
      <c r="C175" s="4065">
        <v>4</v>
      </c>
      <c r="D175" s="4048"/>
      <c r="E175" s="4048"/>
      <c r="F175" s="4066">
        <v>3</v>
      </c>
      <c r="G175" s="4055"/>
      <c r="H175" s="4056" t="s">
        <v>71</v>
      </c>
      <c r="I175" s="4149"/>
      <c r="J175" s="4539">
        <v>0</v>
      </c>
      <c r="K175" s="2271">
        <v>8107600</v>
      </c>
      <c r="L175" s="2272">
        <f>SUM(L176:L180)</f>
        <v>0</v>
      </c>
      <c r="M175" s="2272">
        <f>SUM(M176:M180)</f>
        <v>8107600</v>
      </c>
      <c r="N175" s="2272"/>
      <c r="O175" s="4539">
        <f>SUM(O176:O180)</f>
        <v>0</v>
      </c>
      <c r="P175" s="4057">
        <v>0</v>
      </c>
      <c r="Q175" s="4839"/>
    </row>
    <row r="176" spans="1:17" s="2070" customFormat="1" hidden="1">
      <c r="A176" s="4065">
        <v>4</v>
      </c>
      <c r="B176" s="4065">
        <v>1</v>
      </c>
      <c r="C176" s="4065">
        <v>4</v>
      </c>
      <c r="D176" s="4065" t="s">
        <v>441</v>
      </c>
      <c r="E176" s="4048"/>
      <c r="F176" s="4049"/>
      <c r="G176" s="4067"/>
      <c r="H176" s="4062" t="s">
        <v>50</v>
      </c>
      <c r="I176" s="4060" t="s">
        <v>72</v>
      </c>
      <c r="J176" s="1964">
        <v>0</v>
      </c>
      <c r="K176" s="2159">
        <v>0</v>
      </c>
      <c r="L176" s="2160">
        <f>'[2]ALL BULAN'!E176</f>
        <v>0</v>
      </c>
      <c r="M176" s="4253">
        <f>SUM(K176:L176)</f>
        <v>0</v>
      </c>
      <c r="N176" s="4253"/>
      <c r="O176" s="4254">
        <f>N176-J176</f>
        <v>0</v>
      </c>
      <c r="P176" s="4061">
        <v>0</v>
      </c>
      <c r="Q176" s="4839"/>
    </row>
    <row r="177" spans="1:17" s="2070" customFormat="1" hidden="1">
      <c r="A177" s="4074">
        <v>4</v>
      </c>
      <c r="B177" s="4074">
        <v>1</v>
      </c>
      <c r="C177" s="4074" t="s">
        <v>443</v>
      </c>
      <c r="D177" s="4074" t="s">
        <v>444</v>
      </c>
      <c r="E177" s="4074" t="s">
        <v>440</v>
      </c>
      <c r="F177" s="4049"/>
      <c r="G177" s="4067"/>
      <c r="H177" s="4062" t="s">
        <v>50</v>
      </c>
      <c r="I177" s="4060" t="s">
        <v>73</v>
      </c>
      <c r="J177" s="1964">
        <v>0</v>
      </c>
      <c r="K177" s="2159">
        <v>0</v>
      </c>
      <c r="L177" s="2160">
        <f>'[2]ALL BULAN'!E177</f>
        <v>0</v>
      </c>
      <c r="M177" s="4253">
        <f>SUM(K177:L177)</f>
        <v>0</v>
      </c>
      <c r="N177" s="4253"/>
      <c r="O177" s="4254">
        <f>N177-J177</f>
        <v>0</v>
      </c>
      <c r="P177" s="4061">
        <v>0</v>
      </c>
      <c r="Q177" s="4839"/>
    </row>
    <row r="178" spans="1:17" s="2070" customFormat="1" hidden="1">
      <c r="A178" s="4069">
        <v>4</v>
      </c>
      <c r="B178" s="4069">
        <v>1</v>
      </c>
      <c r="C178" s="4069" t="s">
        <v>443</v>
      </c>
      <c r="D178" s="4069" t="s">
        <v>444</v>
      </c>
      <c r="E178" s="4070" t="s">
        <v>445</v>
      </c>
      <c r="F178" s="4049"/>
      <c r="G178" s="4067"/>
      <c r="H178" s="4062" t="s">
        <v>50</v>
      </c>
      <c r="I178" s="4060" t="s">
        <v>74</v>
      </c>
      <c r="J178" s="1964">
        <v>0</v>
      </c>
      <c r="K178" s="2159">
        <v>0</v>
      </c>
      <c r="L178" s="2160">
        <f>'[2]ALL BULAN'!E178</f>
        <v>0</v>
      </c>
      <c r="M178" s="4253">
        <f>SUM(K178:L178)</f>
        <v>0</v>
      </c>
      <c r="N178" s="4253"/>
      <c r="O178" s="4254">
        <f>N178-J178</f>
        <v>0</v>
      </c>
      <c r="P178" s="4061">
        <v>0</v>
      </c>
      <c r="Q178" s="4839"/>
    </row>
    <row r="179" spans="1:17" s="2070" customFormat="1" hidden="1">
      <c r="A179" s="4101">
        <v>4</v>
      </c>
      <c r="B179" s="4101">
        <v>1</v>
      </c>
      <c r="C179" s="4101" t="s">
        <v>443</v>
      </c>
      <c r="D179" s="4101" t="s">
        <v>444</v>
      </c>
      <c r="E179" s="4101" t="s">
        <v>441</v>
      </c>
      <c r="F179" s="4049"/>
      <c r="G179" s="4067"/>
      <c r="H179" s="4062" t="s">
        <v>50</v>
      </c>
      <c r="I179" s="4090" t="s">
        <v>75</v>
      </c>
      <c r="J179" s="1964">
        <v>0</v>
      </c>
      <c r="K179" s="2159">
        <v>7967600</v>
      </c>
      <c r="L179" s="2160">
        <v>0</v>
      </c>
      <c r="M179" s="4253">
        <f>SUM(K179:L179)</f>
        <v>7967600</v>
      </c>
      <c r="N179" s="4253"/>
      <c r="O179" s="4254">
        <f>N179-J179</f>
        <v>0</v>
      </c>
      <c r="P179" s="4061">
        <v>0</v>
      </c>
      <c r="Q179" s="4839"/>
    </row>
    <row r="180" spans="1:17" s="2070" customFormat="1" hidden="1">
      <c r="A180" s="4079">
        <v>4</v>
      </c>
      <c r="B180" s="4079">
        <v>1</v>
      </c>
      <c r="C180" s="4079" t="s">
        <v>443</v>
      </c>
      <c r="D180" s="4079" t="s">
        <v>447</v>
      </c>
      <c r="E180" s="4093" t="s">
        <v>437</v>
      </c>
      <c r="F180" s="4049"/>
      <c r="G180" s="4067"/>
      <c r="H180" s="4062" t="s">
        <v>50</v>
      </c>
      <c r="I180" s="4090" t="s">
        <v>85</v>
      </c>
      <c r="J180" s="1964">
        <v>0</v>
      </c>
      <c r="K180" s="2159">
        <v>140000</v>
      </c>
      <c r="L180" s="2160">
        <v>0</v>
      </c>
      <c r="M180" s="4253">
        <f>SUM(K180:L180)</f>
        <v>140000</v>
      </c>
      <c r="N180" s="4253"/>
      <c r="O180" s="4254">
        <f>N180-J180</f>
        <v>0</v>
      </c>
      <c r="P180" s="4061">
        <v>0</v>
      </c>
      <c r="Q180" s="4839"/>
    </row>
    <row r="181" spans="1:17" s="2070" customFormat="1" ht="4.55" customHeight="1">
      <c r="A181" s="4048"/>
      <c r="B181" s="4048"/>
      <c r="C181" s="4048"/>
      <c r="D181" s="4048"/>
      <c r="E181" s="4048"/>
      <c r="F181" s="4049"/>
      <c r="G181" s="4102"/>
      <c r="H181" s="4083"/>
      <c r="I181" s="4083"/>
      <c r="J181" s="4528"/>
      <c r="K181" s="2183"/>
      <c r="L181" s="4528"/>
      <c r="M181" s="4529"/>
      <c r="N181" s="4529"/>
      <c r="O181" s="4529"/>
      <c r="P181" s="4084"/>
      <c r="Q181" s="4839"/>
    </row>
    <row r="182" spans="1:17" s="2073" customFormat="1" ht="15.65">
      <c r="A182" s="4039"/>
      <c r="B182" s="4039"/>
      <c r="C182" s="4039"/>
      <c r="D182" s="4039"/>
      <c r="E182" s="4039"/>
      <c r="F182" s="4040"/>
      <c r="G182" s="4041" t="s">
        <v>124</v>
      </c>
      <c r="H182" s="4042" t="s">
        <v>453</v>
      </c>
      <c r="I182" s="4043"/>
      <c r="J182" s="4519">
        <v>0</v>
      </c>
      <c r="K182" s="4520">
        <v>2935000</v>
      </c>
      <c r="L182" s="4519">
        <f>L189+L183</f>
        <v>500000</v>
      </c>
      <c r="M182" s="4519">
        <f>M189+M183</f>
        <v>3435000</v>
      </c>
      <c r="N182" s="4519"/>
      <c r="O182" s="4519">
        <f>O183</f>
        <v>0</v>
      </c>
      <c r="P182" s="4044">
        <v>0</v>
      </c>
      <c r="Q182" s="4840"/>
    </row>
    <row r="183" spans="1:17" s="2070" customFormat="1">
      <c r="A183" s="4046">
        <v>4</v>
      </c>
      <c r="B183" s="4046">
        <v>1</v>
      </c>
      <c r="C183" s="4046">
        <v>2</v>
      </c>
      <c r="D183" s="4047"/>
      <c r="E183" s="4048"/>
      <c r="F183" s="4066">
        <v>1</v>
      </c>
      <c r="G183" s="4050"/>
      <c r="H183" s="4051" t="s">
        <v>106</v>
      </c>
      <c r="I183" s="4051"/>
      <c r="J183" s="4521">
        <v>0</v>
      </c>
      <c r="K183" s="2159">
        <v>2935000</v>
      </c>
      <c r="L183" s="4521">
        <f>SUM(L184)</f>
        <v>500000</v>
      </c>
      <c r="M183" s="4253">
        <f t="shared" ref="M183:M194" si="27">SUM(K183:L183)</f>
        <v>3435000</v>
      </c>
      <c r="N183" s="4253"/>
      <c r="O183" s="4254">
        <f>O184</f>
        <v>0</v>
      </c>
      <c r="P183" s="4061">
        <v>0</v>
      </c>
      <c r="Q183" s="4839"/>
    </row>
    <row r="184" spans="1:17" s="4099" customFormat="1">
      <c r="A184" s="4046">
        <v>4</v>
      </c>
      <c r="B184" s="4046">
        <v>1</v>
      </c>
      <c r="C184" s="4046">
        <v>2</v>
      </c>
      <c r="D184" s="4047" t="s">
        <v>440</v>
      </c>
      <c r="E184" s="4128"/>
      <c r="F184" s="4105"/>
      <c r="G184" s="4067"/>
      <c r="H184" s="4064" t="s">
        <v>116</v>
      </c>
      <c r="I184" s="4068"/>
      <c r="J184" s="2181">
        <v>0</v>
      </c>
      <c r="K184" s="2159">
        <v>2935000</v>
      </c>
      <c r="L184" s="2181">
        <f>SUM(L185)</f>
        <v>500000</v>
      </c>
      <c r="M184" s="4253">
        <f t="shared" si="27"/>
        <v>3435000</v>
      </c>
      <c r="N184" s="4253"/>
      <c r="O184" s="4254">
        <f>O185</f>
        <v>0</v>
      </c>
      <c r="P184" s="4061">
        <v>0</v>
      </c>
      <c r="Q184" s="4839"/>
    </row>
    <row r="185" spans="1:17" s="2070" customFormat="1">
      <c r="A185" s="4046">
        <v>4</v>
      </c>
      <c r="B185" s="4046">
        <v>1</v>
      </c>
      <c r="C185" s="4046">
        <v>2</v>
      </c>
      <c r="D185" s="4093" t="s">
        <v>440</v>
      </c>
      <c r="E185" s="4093" t="s">
        <v>437</v>
      </c>
      <c r="F185" s="4049"/>
      <c r="G185" s="4067"/>
      <c r="H185" s="4060" t="s">
        <v>117</v>
      </c>
      <c r="I185" s="4060"/>
      <c r="J185" s="1964">
        <v>0</v>
      </c>
      <c r="K185" s="2159">
        <v>2935000</v>
      </c>
      <c r="L185" s="4540">
        <f>SUM(L186:L187)</f>
        <v>500000</v>
      </c>
      <c r="M185" s="4253">
        <f t="shared" si="27"/>
        <v>3435000</v>
      </c>
      <c r="N185" s="4253"/>
      <c r="O185" s="4254">
        <f>N185-J185</f>
        <v>0</v>
      </c>
      <c r="P185" s="4061">
        <v>0</v>
      </c>
      <c r="Q185" s="4839"/>
    </row>
    <row r="186" spans="1:17" s="2070" customFormat="1">
      <c r="A186" s="4048"/>
      <c r="B186" s="4048"/>
      <c r="C186" s="4048"/>
      <c r="D186" s="4048"/>
      <c r="E186" s="4048"/>
      <c r="F186" s="4049"/>
      <c r="G186" s="4067"/>
      <c r="H186" s="4062" t="s">
        <v>50</v>
      </c>
      <c r="I186" s="4060" t="s">
        <v>454</v>
      </c>
      <c r="J186" s="1964">
        <v>0</v>
      </c>
      <c r="K186" s="2159">
        <v>2935000</v>
      </c>
      <c r="L186" s="2274">
        <v>500000</v>
      </c>
      <c r="M186" s="4253">
        <f t="shared" si="27"/>
        <v>3435000</v>
      </c>
      <c r="N186" s="4253"/>
      <c r="O186" s="4254">
        <f>N186-J186</f>
        <v>0</v>
      </c>
      <c r="P186" s="4061">
        <v>0</v>
      </c>
      <c r="Q186" s="4839"/>
    </row>
    <row r="187" spans="1:17" s="2070" customFormat="1">
      <c r="A187" s="4048"/>
      <c r="B187" s="4048"/>
      <c r="C187" s="4048"/>
      <c r="D187" s="4048"/>
      <c r="E187" s="4048"/>
      <c r="F187" s="4049"/>
      <c r="G187" s="4067"/>
      <c r="H187" s="4062" t="s">
        <v>50</v>
      </c>
      <c r="I187" s="4060" t="s">
        <v>455</v>
      </c>
      <c r="J187" s="1964">
        <v>0</v>
      </c>
      <c r="K187" s="2159">
        <v>0</v>
      </c>
      <c r="L187" s="2274">
        <v>0</v>
      </c>
      <c r="M187" s="4253">
        <f t="shared" si="27"/>
        <v>0</v>
      </c>
      <c r="N187" s="4253"/>
      <c r="O187" s="4254">
        <f>N187-J187</f>
        <v>0</v>
      </c>
      <c r="P187" s="4061">
        <v>0</v>
      </c>
      <c r="Q187" s="4839"/>
    </row>
    <row r="188" spans="1:17" s="2070" customFormat="1" ht="5.35" customHeight="1">
      <c r="A188" s="4048"/>
      <c r="B188" s="4048"/>
      <c r="C188" s="4048"/>
      <c r="D188" s="4048"/>
      <c r="E188" s="4048"/>
      <c r="F188" s="4049"/>
      <c r="G188" s="4150"/>
      <c r="H188" s="4151"/>
      <c r="I188" s="4151"/>
      <c r="J188" s="2275"/>
      <c r="K188" s="2159">
        <v>0</v>
      </c>
      <c r="L188" s="2275"/>
      <c r="M188" s="4253">
        <f t="shared" si="27"/>
        <v>0</v>
      </c>
      <c r="N188" s="4253"/>
      <c r="O188" s="4254">
        <f t="shared" ref="O188:O194" si="28">M188-J188</f>
        <v>0</v>
      </c>
      <c r="P188" s="4061">
        <f>O188-K188</f>
        <v>0</v>
      </c>
      <c r="Q188" s="4839"/>
    </row>
    <row r="189" spans="1:17" s="2070" customFormat="1" hidden="1">
      <c r="A189" s="4065">
        <v>4</v>
      </c>
      <c r="B189" s="4065">
        <v>1</v>
      </c>
      <c r="C189" s="4065">
        <v>4</v>
      </c>
      <c r="D189" s="4048"/>
      <c r="E189" s="4048"/>
      <c r="F189" s="4066">
        <v>3</v>
      </c>
      <c r="G189" s="4152"/>
      <c r="H189" s="4122" t="s">
        <v>71</v>
      </c>
      <c r="I189" s="4122"/>
      <c r="J189" s="2276">
        <v>0</v>
      </c>
      <c r="K189" s="2159">
        <v>0</v>
      </c>
      <c r="L189" s="2276">
        <f>SUM(L190:L194)</f>
        <v>0</v>
      </c>
      <c r="M189" s="4253">
        <f t="shared" si="27"/>
        <v>0</v>
      </c>
      <c r="N189" s="4253"/>
      <c r="O189" s="4254">
        <f t="shared" si="28"/>
        <v>0</v>
      </c>
      <c r="P189" s="4061">
        <v>0</v>
      </c>
      <c r="Q189" s="4839"/>
    </row>
    <row r="190" spans="1:17" s="2070" customFormat="1" hidden="1">
      <c r="A190" s="4065">
        <v>4</v>
      </c>
      <c r="B190" s="4065">
        <v>1</v>
      </c>
      <c r="C190" s="4065">
        <v>4</v>
      </c>
      <c r="D190" s="4065" t="s">
        <v>441</v>
      </c>
      <c r="E190" s="4048"/>
      <c r="F190" s="4049"/>
      <c r="G190" s="4059"/>
      <c r="H190" s="4062" t="s">
        <v>50</v>
      </c>
      <c r="I190" s="4060" t="s">
        <v>72</v>
      </c>
      <c r="J190" s="1964">
        <v>0</v>
      </c>
      <c r="K190" s="2159">
        <v>0</v>
      </c>
      <c r="L190" s="2160">
        <f>'[2]ALL BULAN'!E191</f>
        <v>0</v>
      </c>
      <c r="M190" s="4253">
        <f t="shared" si="27"/>
        <v>0</v>
      </c>
      <c r="N190" s="4253"/>
      <c r="O190" s="4254">
        <f t="shared" si="28"/>
        <v>0</v>
      </c>
      <c r="P190" s="4061">
        <v>0</v>
      </c>
      <c r="Q190" s="4839"/>
    </row>
    <row r="191" spans="1:17" s="2070" customFormat="1" hidden="1">
      <c r="A191" s="4074">
        <v>4</v>
      </c>
      <c r="B191" s="4074">
        <v>1</v>
      </c>
      <c r="C191" s="4074" t="s">
        <v>443</v>
      </c>
      <c r="D191" s="4074" t="s">
        <v>444</v>
      </c>
      <c r="E191" s="4074" t="s">
        <v>440</v>
      </c>
      <c r="F191" s="4049"/>
      <c r="G191" s="4059"/>
      <c r="H191" s="4062" t="s">
        <v>50</v>
      </c>
      <c r="I191" s="4060" t="s">
        <v>73</v>
      </c>
      <c r="J191" s="1964">
        <v>0</v>
      </c>
      <c r="K191" s="2159">
        <v>0</v>
      </c>
      <c r="L191" s="2160">
        <f>'[2]ALL BULAN'!E192</f>
        <v>0</v>
      </c>
      <c r="M191" s="4253">
        <f t="shared" si="27"/>
        <v>0</v>
      </c>
      <c r="N191" s="4253"/>
      <c r="O191" s="4254">
        <f t="shared" si="28"/>
        <v>0</v>
      </c>
      <c r="P191" s="4061">
        <v>0</v>
      </c>
      <c r="Q191" s="4839"/>
    </row>
    <row r="192" spans="1:17" s="2070" customFormat="1" hidden="1">
      <c r="A192" s="4069">
        <v>4</v>
      </c>
      <c r="B192" s="4069">
        <v>1</v>
      </c>
      <c r="C192" s="4069" t="s">
        <v>443</v>
      </c>
      <c r="D192" s="4069" t="s">
        <v>444</v>
      </c>
      <c r="E192" s="4070" t="s">
        <v>445</v>
      </c>
      <c r="F192" s="4049"/>
      <c r="G192" s="4059"/>
      <c r="H192" s="4062" t="s">
        <v>50</v>
      </c>
      <c r="I192" s="4060" t="s">
        <v>74</v>
      </c>
      <c r="J192" s="1964">
        <v>0</v>
      </c>
      <c r="K192" s="2159">
        <v>0</v>
      </c>
      <c r="L192" s="2160">
        <f>'[2]ALL BULAN'!E193</f>
        <v>0</v>
      </c>
      <c r="M192" s="4253">
        <f t="shared" si="27"/>
        <v>0</v>
      </c>
      <c r="N192" s="4253"/>
      <c r="O192" s="4254">
        <f t="shared" si="28"/>
        <v>0</v>
      </c>
      <c r="P192" s="4061">
        <v>0</v>
      </c>
      <c r="Q192" s="4839"/>
    </row>
    <row r="193" spans="1:17" s="2070" customFormat="1" hidden="1">
      <c r="A193" s="4101">
        <v>4</v>
      </c>
      <c r="B193" s="4101">
        <v>1</v>
      </c>
      <c r="C193" s="4101" t="s">
        <v>443</v>
      </c>
      <c r="D193" s="4101" t="s">
        <v>444</v>
      </c>
      <c r="E193" s="4101" t="s">
        <v>441</v>
      </c>
      <c r="F193" s="4049"/>
      <c r="G193" s="4059"/>
      <c r="H193" s="4060" t="s">
        <v>308</v>
      </c>
      <c r="I193" s="4090" t="s">
        <v>75</v>
      </c>
      <c r="J193" s="1964">
        <v>0</v>
      </c>
      <c r="K193" s="2159">
        <v>0</v>
      </c>
      <c r="L193" s="2160">
        <f>'[2]ALL BULAN'!E194</f>
        <v>0</v>
      </c>
      <c r="M193" s="4253">
        <f t="shared" si="27"/>
        <v>0</v>
      </c>
      <c r="N193" s="4253"/>
      <c r="O193" s="4254">
        <f t="shared" si="28"/>
        <v>0</v>
      </c>
      <c r="P193" s="4061">
        <v>0</v>
      </c>
      <c r="Q193" s="4839"/>
    </row>
    <row r="194" spans="1:17" s="2070" customFormat="1" hidden="1">
      <c r="A194" s="4079">
        <v>4</v>
      </c>
      <c r="B194" s="4079">
        <v>1</v>
      </c>
      <c r="C194" s="4079" t="s">
        <v>443</v>
      </c>
      <c r="D194" s="4079" t="s">
        <v>447</v>
      </c>
      <c r="E194" s="4093" t="s">
        <v>437</v>
      </c>
      <c r="F194" s="4049"/>
      <c r="G194" s="4059"/>
      <c r="H194" s="4062" t="s">
        <v>50</v>
      </c>
      <c r="I194" s="4090" t="s">
        <v>85</v>
      </c>
      <c r="J194" s="1964">
        <v>0</v>
      </c>
      <c r="K194" s="2159">
        <v>0</v>
      </c>
      <c r="L194" s="2160">
        <f>'[2]ALL BULAN'!E195</f>
        <v>0</v>
      </c>
      <c r="M194" s="4253">
        <f t="shared" si="27"/>
        <v>0</v>
      </c>
      <c r="N194" s="4253"/>
      <c r="O194" s="4254">
        <f t="shared" si="28"/>
        <v>0</v>
      </c>
      <c r="P194" s="4061">
        <v>0</v>
      </c>
      <c r="Q194" s="4839"/>
    </row>
    <row r="195" spans="1:17" s="2070" customFormat="1" ht="3.8" customHeight="1">
      <c r="A195" s="4048"/>
      <c r="B195" s="4048"/>
      <c r="C195" s="4048"/>
      <c r="D195" s="4048"/>
      <c r="E195" s="4048"/>
      <c r="F195" s="4049"/>
      <c r="G195" s="4082"/>
      <c r="H195" s="4083"/>
      <c r="I195" s="4083"/>
      <c r="J195" s="4528"/>
      <c r="K195" s="2183"/>
      <c r="L195" s="4528"/>
      <c r="M195" s="4529"/>
      <c r="N195" s="4529"/>
      <c r="O195" s="4529"/>
      <c r="P195" s="4084"/>
      <c r="Q195" s="4839"/>
    </row>
    <row r="196" spans="1:17" s="2073" customFormat="1" ht="15.65">
      <c r="A196" s="4039"/>
      <c r="B196" s="4039"/>
      <c r="C196" s="4039"/>
      <c r="D196" s="4039"/>
      <c r="E196" s="4039"/>
      <c r="F196" s="4040"/>
      <c r="G196" s="4041" t="s">
        <v>126</v>
      </c>
      <c r="H196" s="4042" t="s">
        <v>127</v>
      </c>
      <c r="I196" s="4043"/>
      <c r="J196" s="4519">
        <f>J197</f>
        <v>2000000</v>
      </c>
      <c r="K196" s="4520">
        <v>0</v>
      </c>
      <c r="L196" s="4519">
        <f>L197+L211</f>
        <v>200000</v>
      </c>
      <c r="M196" s="4519">
        <f t="shared" ref="M196:M212" si="29">SUM(K196:L196)</f>
        <v>200000</v>
      </c>
      <c r="N196" s="4519">
        <f t="shared" ref="N196:O199" si="30">N197</f>
        <v>2000000</v>
      </c>
      <c r="O196" s="4519">
        <f t="shared" si="30"/>
        <v>0</v>
      </c>
      <c r="P196" s="4044">
        <f>O196/J196*100</f>
        <v>0</v>
      </c>
      <c r="Q196" s="4840"/>
    </row>
    <row r="197" spans="1:17" s="2070" customFormat="1">
      <c r="A197" s="4048"/>
      <c r="B197" s="4048"/>
      <c r="C197" s="4048"/>
      <c r="D197" s="4048"/>
      <c r="E197" s="4048"/>
      <c r="F197" s="4066">
        <v>1</v>
      </c>
      <c r="G197" s="4050"/>
      <c r="H197" s="4143" t="s">
        <v>106</v>
      </c>
      <c r="I197" s="4051"/>
      <c r="J197" s="4521">
        <f>J198</f>
        <v>2000000</v>
      </c>
      <c r="K197" s="2159">
        <v>0</v>
      </c>
      <c r="L197" s="4521">
        <f>L198</f>
        <v>200000</v>
      </c>
      <c r="M197" s="4253">
        <f t="shared" si="29"/>
        <v>200000</v>
      </c>
      <c r="N197" s="2260">
        <f t="shared" si="30"/>
        <v>2000000</v>
      </c>
      <c r="O197" s="4254">
        <f t="shared" si="30"/>
        <v>0</v>
      </c>
      <c r="P197" s="4636">
        <f>O197/J197*100</f>
        <v>0</v>
      </c>
      <c r="Q197" s="4839"/>
    </row>
    <row r="198" spans="1:17" s="4099" customFormat="1">
      <c r="A198" s="4046">
        <v>4</v>
      </c>
      <c r="B198" s="4046">
        <v>1</v>
      </c>
      <c r="C198" s="4046">
        <v>2</v>
      </c>
      <c r="D198" s="4047" t="s">
        <v>438</v>
      </c>
      <c r="E198" s="4128"/>
      <c r="F198" s="4105"/>
      <c r="G198" s="4055"/>
      <c r="H198" s="4056" t="s">
        <v>109</v>
      </c>
      <c r="I198" s="4056"/>
      <c r="J198" s="2260">
        <f>J199</f>
        <v>2000000</v>
      </c>
      <c r="K198" s="2159">
        <v>0</v>
      </c>
      <c r="L198" s="2260">
        <f>L199+L201</f>
        <v>200000</v>
      </c>
      <c r="M198" s="4253">
        <f t="shared" si="29"/>
        <v>200000</v>
      </c>
      <c r="N198" s="2260">
        <f t="shared" si="30"/>
        <v>2000000</v>
      </c>
      <c r="O198" s="4254">
        <f t="shared" si="30"/>
        <v>0</v>
      </c>
      <c r="P198" s="4636">
        <f>O198/J198*100</f>
        <v>0</v>
      </c>
      <c r="Q198" s="4839"/>
    </row>
    <row r="199" spans="1:17" s="4099" customFormat="1">
      <c r="A199" s="4046">
        <v>4</v>
      </c>
      <c r="B199" s="4046">
        <v>1</v>
      </c>
      <c r="C199" s="4046">
        <v>2</v>
      </c>
      <c r="D199" s="4047" t="s">
        <v>438</v>
      </c>
      <c r="E199" s="4093" t="s">
        <v>437</v>
      </c>
      <c r="F199" s="4105"/>
      <c r="G199" s="4055"/>
      <c r="H199" s="4056" t="s">
        <v>64</v>
      </c>
      <c r="I199" s="4056"/>
      <c r="J199" s="2260">
        <f>J200</f>
        <v>2000000</v>
      </c>
      <c r="K199" s="2159">
        <v>0</v>
      </c>
      <c r="L199" s="2260">
        <f>SUM(L200)</f>
        <v>200000</v>
      </c>
      <c r="M199" s="4253">
        <f t="shared" si="29"/>
        <v>200000</v>
      </c>
      <c r="N199" s="2260">
        <f t="shared" si="30"/>
        <v>2000000</v>
      </c>
      <c r="O199" s="4254">
        <f t="shared" si="30"/>
        <v>0</v>
      </c>
      <c r="P199" s="4636">
        <f>O199/J199*100</f>
        <v>0</v>
      </c>
      <c r="Q199" s="4839"/>
    </row>
    <row r="200" spans="1:17" s="2070" customFormat="1">
      <c r="A200" s="4048"/>
      <c r="B200" s="4048"/>
      <c r="C200" s="4048"/>
      <c r="D200" s="4048"/>
      <c r="E200" s="4048"/>
      <c r="F200" s="4049"/>
      <c r="G200" s="4055"/>
      <c r="H200" s="4126"/>
      <c r="I200" s="4145" t="s">
        <v>128</v>
      </c>
      <c r="J200" s="1964">
        <v>2000000</v>
      </c>
      <c r="K200" s="2159">
        <v>0</v>
      </c>
      <c r="L200" s="2160">
        <v>200000</v>
      </c>
      <c r="M200" s="4253">
        <f t="shared" si="29"/>
        <v>200000</v>
      </c>
      <c r="N200" s="1964">
        <v>2000000</v>
      </c>
      <c r="O200" s="4254">
        <f>N200-J200</f>
        <v>0</v>
      </c>
      <c r="P200" s="4636">
        <f>O200/J200*100</f>
        <v>0</v>
      </c>
      <c r="Q200" s="4839"/>
    </row>
    <row r="201" spans="1:17" s="4099" customFormat="1">
      <c r="A201" s="4046">
        <v>4</v>
      </c>
      <c r="B201" s="4046">
        <v>1</v>
      </c>
      <c r="C201" s="4046">
        <v>2</v>
      </c>
      <c r="D201" s="4047" t="s">
        <v>438</v>
      </c>
      <c r="E201" s="4093" t="s">
        <v>440</v>
      </c>
      <c r="F201" s="4105"/>
      <c r="G201" s="4055"/>
      <c r="H201" s="4092" t="s">
        <v>94</v>
      </c>
      <c r="J201" s="2260">
        <v>0</v>
      </c>
      <c r="K201" s="2159">
        <v>0</v>
      </c>
      <c r="L201" s="2260">
        <f>SUM(L202)</f>
        <v>0</v>
      </c>
      <c r="M201" s="4253">
        <f t="shared" si="29"/>
        <v>0</v>
      </c>
      <c r="N201" s="4253">
        <v>0</v>
      </c>
      <c r="O201" s="4254">
        <f t="shared" ref="O201:O212" si="31">M201-J201</f>
        <v>0</v>
      </c>
      <c r="P201" s="4061">
        <v>0</v>
      </c>
      <c r="Q201" s="4839"/>
    </row>
    <row r="202" spans="1:17" s="2070" customFormat="1">
      <c r="A202" s="4048"/>
      <c r="B202" s="4048"/>
      <c r="C202" s="4048"/>
      <c r="D202" s="4048"/>
      <c r="E202" s="4048"/>
      <c r="F202" s="4049"/>
      <c r="G202" s="4055"/>
      <c r="H202" s="4126"/>
      <c r="I202" s="4153" t="s">
        <v>129</v>
      </c>
      <c r="J202" s="1964">
        <v>0</v>
      </c>
      <c r="K202" s="2159">
        <v>0</v>
      </c>
      <c r="L202" s="2160">
        <f>'[2]ALL BULAN'!E203</f>
        <v>0</v>
      </c>
      <c r="M202" s="4253">
        <f t="shared" si="29"/>
        <v>0</v>
      </c>
      <c r="N202" s="4253">
        <v>0</v>
      </c>
      <c r="O202" s="4254">
        <f t="shared" si="31"/>
        <v>0</v>
      </c>
      <c r="P202" s="4061">
        <v>0</v>
      </c>
      <c r="Q202" s="4839"/>
    </row>
    <row r="203" spans="1:17" s="2070" customFormat="1" ht="4.55" customHeight="1">
      <c r="A203" s="4048"/>
      <c r="B203" s="4048"/>
      <c r="C203" s="4048"/>
      <c r="D203" s="4048"/>
      <c r="E203" s="4048"/>
      <c r="F203" s="4049"/>
      <c r="G203" s="4055"/>
      <c r="H203" s="4126"/>
      <c r="I203" s="4154"/>
      <c r="J203" s="2260"/>
      <c r="K203" s="2159">
        <v>0</v>
      </c>
      <c r="L203" s="2260"/>
      <c r="M203" s="4253">
        <f t="shared" si="29"/>
        <v>0</v>
      </c>
      <c r="N203" s="4253">
        <v>0</v>
      </c>
      <c r="O203" s="4254">
        <f t="shared" si="31"/>
        <v>0</v>
      </c>
      <c r="P203" s="4061">
        <f>O203-K203</f>
        <v>0</v>
      </c>
      <c r="Q203" s="4839"/>
    </row>
    <row r="204" spans="1:17" s="2070" customFormat="1" hidden="1">
      <c r="A204" s="4065">
        <v>4</v>
      </c>
      <c r="B204" s="4065">
        <v>1</v>
      </c>
      <c r="C204" s="4065">
        <v>4</v>
      </c>
      <c r="D204" s="4048"/>
      <c r="E204" s="4048"/>
      <c r="F204" s="4066">
        <v>3</v>
      </c>
      <c r="G204" s="4055"/>
      <c r="H204" s="4135" t="s">
        <v>71</v>
      </c>
      <c r="I204" s="4107"/>
      <c r="J204" s="2260">
        <v>0</v>
      </c>
      <c r="K204" s="2159">
        <v>0</v>
      </c>
      <c r="L204" s="2260">
        <f>SUM(L205:L209)</f>
        <v>0</v>
      </c>
      <c r="M204" s="4253">
        <f t="shared" si="29"/>
        <v>0</v>
      </c>
      <c r="N204" s="4253">
        <v>0</v>
      </c>
      <c r="O204" s="4254">
        <f t="shared" si="31"/>
        <v>0</v>
      </c>
      <c r="P204" s="4061">
        <v>0</v>
      </c>
      <c r="Q204" s="4839"/>
    </row>
    <row r="205" spans="1:17" s="2070" customFormat="1" hidden="1">
      <c r="A205" s="4065">
        <v>4</v>
      </c>
      <c r="B205" s="4065">
        <v>1</v>
      </c>
      <c r="C205" s="4065">
        <v>4</v>
      </c>
      <c r="D205" s="4065" t="s">
        <v>441</v>
      </c>
      <c r="E205" s="4048"/>
      <c r="F205" s="4049"/>
      <c r="G205" s="4055"/>
      <c r="H205" s="4062" t="s">
        <v>50</v>
      </c>
      <c r="I205" s="4060" t="s">
        <v>72</v>
      </c>
      <c r="J205" s="1964">
        <v>0</v>
      </c>
      <c r="K205" s="2159">
        <v>0</v>
      </c>
      <c r="L205" s="2160">
        <f>'[2]ALL BULAN'!E206</f>
        <v>0</v>
      </c>
      <c r="M205" s="4253">
        <f t="shared" si="29"/>
        <v>0</v>
      </c>
      <c r="N205" s="4253">
        <v>0</v>
      </c>
      <c r="O205" s="4254">
        <f t="shared" si="31"/>
        <v>0</v>
      </c>
      <c r="P205" s="4061">
        <v>0</v>
      </c>
      <c r="Q205" s="4839"/>
    </row>
    <row r="206" spans="1:17" s="2070" customFormat="1" hidden="1">
      <c r="A206" s="4074">
        <v>4</v>
      </c>
      <c r="B206" s="4074">
        <v>1</v>
      </c>
      <c r="C206" s="4074" t="s">
        <v>443</v>
      </c>
      <c r="D206" s="4074" t="s">
        <v>444</v>
      </c>
      <c r="E206" s="4074" t="s">
        <v>440</v>
      </c>
      <c r="F206" s="4049"/>
      <c r="G206" s="4055"/>
      <c r="H206" s="4062" t="s">
        <v>50</v>
      </c>
      <c r="I206" s="4060" t="s">
        <v>73</v>
      </c>
      <c r="J206" s="1964">
        <v>0</v>
      </c>
      <c r="K206" s="2159">
        <v>0</v>
      </c>
      <c r="L206" s="2160">
        <f>'[2]ALL BULAN'!E207</f>
        <v>0</v>
      </c>
      <c r="M206" s="4253">
        <f t="shared" si="29"/>
        <v>0</v>
      </c>
      <c r="N206" s="4253">
        <v>0</v>
      </c>
      <c r="O206" s="4254">
        <f t="shared" si="31"/>
        <v>0</v>
      </c>
      <c r="P206" s="4061">
        <v>0</v>
      </c>
      <c r="Q206" s="4839"/>
    </row>
    <row r="207" spans="1:17" s="2070" customFormat="1" hidden="1">
      <c r="A207" s="4069">
        <v>4</v>
      </c>
      <c r="B207" s="4069">
        <v>1</v>
      </c>
      <c r="C207" s="4069" t="s">
        <v>443</v>
      </c>
      <c r="D207" s="4069" t="s">
        <v>444</v>
      </c>
      <c r="E207" s="4070" t="s">
        <v>445</v>
      </c>
      <c r="F207" s="4049"/>
      <c r="G207" s="4055"/>
      <c r="H207" s="4062" t="s">
        <v>50</v>
      </c>
      <c r="I207" s="4060" t="s">
        <v>74</v>
      </c>
      <c r="J207" s="1964">
        <v>0</v>
      </c>
      <c r="K207" s="2159">
        <v>0</v>
      </c>
      <c r="L207" s="2160">
        <f>'[2]ALL BULAN'!E208</f>
        <v>0</v>
      </c>
      <c r="M207" s="4253">
        <f t="shared" si="29"/>
        <v>0</v>
      </c>
      <c r="N207" s="4253">
        <v>0</v>
      </c>
      <c r="O207" s="4254">
        <f t="shared" si="31"/>
        <v>0</v>
      </c>
      <c r="P207" s="4061">
        <v>0</v>
      </c>
      <c r="Q207" s="4839"/>
    </row>
    <row r="208" spans="1:17" s="2070" customFormat="1" hidden="1">
      <c r="A208" s="4101">
        <v>4</v>
      </c>
      <c r="B208" s="4101">
        <v>1</v>
      </c>
      <c r="C208" s="4101" t="s">
        <v>443</v>
      </c>
      <c r="D208" s="4101" t="s">
        <v>444</v>
      </c>
      <c r="E208" s="4101" t="s">
        <v>441</v>
      </c>
      <c r="F208" s="4049"/>
      <c r="G208" s="4067"/>
      <c r="H208" s="4060" t="s">
        <v>308</v>
      </c>
      <c r="I208" s="4090" t="s">
        <v>75</v>
      </c>
      <c r="J208" s="1964">
        <v>0</v>
      </c>
      <c r="K208" s="2159">
        <v>0</v>
      </c>
      <c r="L208" s="2160">
        <f>'[2]ALL BULAN'!E209</f>
        <v>0</v>
      </c>
      <c r="M208" s="4253">
        <f t="shared" si="29"/>
        <v>0</v>
      </c>
      <c r="N208" s="4253">
        <v>0</v>
      </c>
      <c r="O208" s="4254">
        <f t="shared" si="31"/>
        <v>0</v>
      </c>
      <c r="P208" s="4061">
        <v>0</v>
      </c>
      <c r="Q208" s="4839"/>
    </row>
    <row r="209" spans="1:17" s="2070" customFormat="1" hidden="1">
      <c r="A209" s="4079">
        <v>4</v>
      </c>
      <c r="B209" s="4079">
        <v>1</v>
      </c>
      <c r="C209" s="4079" t="s">
        <v>443</v>
      </c>
      <c r="D209" s="4079" t="s">
        <v>447</v>
      </c>
      <c r="E209" s="4093" t="s">
        <v>437</v>
      </c>
      <c r="F209" s="4049"/>
      <c r="G209" s="4067"/>
      <c r="H209" s="4062" t="s">
        <v>50</v>
      </c>
      <c r="I209" s="4090" t="s">
        <v>85</v>
      </c>
      <c r="J209" s="1964">
        <v>0</v>
      </c>
      <c r="K209" s="2159">
        <v>0</v>
      </c>
      <c r="L209" s="2160">
        <f>'[2]ALL BULAN'!E210</f>
        <v>0</v>
      </c>
      <c r="M209" s="4253">
        <f t="shared" si="29"/>
        <v>0</v>
      </c>
      <c r="N209" s="4253">
        <v>0</v>
      </c>
      <c r="O209" s="4254">
        <f t="shared" si="31"/>
        <v>0</v>
      </c>
      <c r="P209" s="4061">
        <v>0</v>
      </c>
      <c r="Q209" s="4839"/>
    </row>
    <row r="210" spans="1:17" s="2070" customFormat="1" hidden="1">
      <c r="A210" s="4048"/>
      <c r="B210" s="4048"/>
      <c r="C210" s="4048"/>
      <c r="D210" s="4048"/>
      <c r="E210" s="4048"/>
      <c r="F210" s="4049"/>
      <c r="G210" s="4150"/>
      <c r="H210" s="4151"/>
      <c r="I210" s="4131"/>
      <c r="J210" s="4541"/>
      <c r="K210" s="2159">
        <v>0</v>
      </c>
      <c r="L210" s="4541"/>
      <c r="M210" s="4253">
        <f t="shared" si="29"/>
        <v>0</v>
      </c>
      <c r="N210" s="4253"/>
      <c r="O210" s="4254">
        <f t="shared" si="31"/>
        <v>0</v>
      </c>
      <c r="P210" s="4061">
        <f>O210-K210</f>
        <v>0</v>
      </c>
      <c r="Q210" s="4839"/>
    </row>
    <row r="211" spans="1:17" s="2070" customFormat="1" hidden="1">
      <c r="A211" s="4048"/>
      <c r="B211" s="4048"/>
      <c r="C211" s="4048"/>
      <c r="D211" s="4048"/>
      <c r="E211" s="4048"/>
      <c r="F211" s="4049"/>
      <c r="G211" s="4150"/>
      <c r="H211" s="4135" t="s">
        <v>130</v>
      </c>
      <c r="I211" s="4108"/>
      <c r="J211" s="4542">
        <v>0</v>
      </c>
      <c r="K211" s="2159">
        <v>0</v>
      </c>
      <c r="L211" s="4542">
        <f>SUM(L212)</f>
        <v>0</v>
      </c>
      <c r="M211" s="4253">
        <f t="shared" si="29"/>
        <v>0</v>
      </c>
      <c r="N211" s="4253">
        <v>0</v>
      </c>
      <c r="O211" s="4254">
        <f t="shared" si="31"/>
        <v>0</v>
      </c>
      <c r="P211" s="4061">
        <v>0</v>
      </c>
      <c r="Q211" s="4839"/>
    </row>
    <row r="212" spans="1:17" s="2070" customFormat="1" hidden="1">
      <c r="A212" s="4048"/>
      <c r="B212" s="4048"/>
      <c r="C212" s="4048"/>
      <c r="D212" s="4048"/>
      <c r="E212" s="4048"/>
      <c r="F212" s="4049"/>
      <c r="G212" s="4150"/>
      <c r="H212" s="4155" t="s">
        <v>50</v>
      </c>
      <c r="I212" s="4108" t="s">
        <v>131</v>
      </c>
      <c r="J212" s="1964">
        <v>0</v>
      </c>
      <c r="K212" s="2159">
        <v>0</v>
      </c>
      <c r="L212" s="2160">
        <f>'[2]ALL BULAN'!E213</f>
        <v>0</v>
      </c>
      <c r="M212" s="4253">
        <f t="shared" si="29"/>
        <v>0</v>
      </c>
      <c r="N212" s="4253">
        <v>0</v>
      </c>
      <c r="O212" s="4254">
        <f t="shared" si="31"/>
        <v>0</v>
      </c>
      <c r="P212" s="4061">
        <v>0</v>
      </c>
      <c r="Q212" s="4839"/>
    </row>
    <row r="213" spans="1:17" s="2070" customFormat="1" ht="5.95" customHeight="1">
      <c r="A213" s="4048"/>
      <c r="B213" s="4048"/>
      <c r="C213" s="4048"/>
      <c r="D213" s="4048"/>
      <c r="E213" s="4048"/>
      <c r="F213" s="4049"/>
      <c r="G213" s="4156"/>
      <c r="H213" s="4157"/>
      <c r="I213" s="4157"/>
      <c r="J213" s="4528"/>
      <c r="K213" s="2183"/>
      <c r="L213" s="4528"/>
      <c r="M213" s="4529"/>
      <c r="N213" s="4529"/>
      <c r="O213" s="4529"/>
      <c r="P213" s="4158"/>
      <c r="Q213" s="4839"/>
    </row>
    <row r="214" spans="1:17" s="2073" customFormat="1" ht="15.65">
      <c r="A214" s="4039"/>
      <c r="B214" s="4039"/>
      <c r="C214" s="4039"/>
      <c r="D214" s="4039"/>
      <c r="E214" s="4039"/>
      <c r="F214" s="4040"/>
      <c r="G214" s="4041" t="s">
        <v>132</v>
      </c>
      <c r="H214" s="4042" t="s">
        <v>133</v>
      </c>
      <c r="I214" s="4097"/>
      <c r="J214" s="4519">
        <f>J215</f>
        <v>1530000000</v>
      </c>
      <c r="K214" s="4520">
        <v>337445000</v>
      </c>
      <c r="L214" s="4519">
        <f>L215+L223+L230</f>
        <v>137055000</v>
      </c>
      <c r="M214" s="4519">
        <f>SUM(K214:L214)</f>
        <v>474500000</v>
      </c>
      <c r="N214" s="4519">
        <f>N215</f>
        <v>1775000000</v>
      </c>
      <c r="O214" s="4519">
        <f>O215</f>
        <v>245000000</v>
      </c>
      <c r="P214" s="4044">
        <f>O214/J214*100</f>
        <v>16.013071895424837</v>
      </c>
      <c r="Q214" s="4840"/>
    </row>
    <row r="215" spans="1:17" s="2075" customFormat="1">
      <c r="A215" s="4117"/>
      <c r="B215" s="4117"/>
      <c r="C215" s="4117"/>
      <c r="D215" s="4117"/>
      <c r="E215" s="4117"/>
      <c r="F215" s="4075">
        <v>1</v>
      </c>
      <c r="G215" s="4110"/>
      <c r="H215" s="4143" t="s">
        <v>106</v>
      </c>
      <c r="I215" s="4111"/>
      <c r="J215" s="4534">
        <f>SUM(J216+J220)</f>
        <v>1530000000</v>
      </c>
      <c r="K215" s="2159">
        <v>335225000</v>
      </c>
      <c r="L215" s="4534">
        <f>L216+L220</f>
        <v>137055000</v>
      </c>
      <c r="M215" s="4253">
        <f>SUM(K215:L215)</f>
        <v>472280000</v>
      </c>
      <c r="N215" s="4253">
        <f>SUM(N216+N220)</f>
        <v>1775000000</v>
      </c>
      <c r="O215" s="4254">
        <f>N215-J215</f>
        <v>245000000</v>
      </c>
      <c r="P215" s="4061">
        <f>O215/J215*100</f>
        <v>16.013071895424837</v>
      </c>
      <c r="Q215" s="4845"/>
    </row>
    <row r="216" spans="1:17" s="4099" customFormat="1">
      <c r="A216" s="4046">
        <v>4</v>
      </c>
      <c r="B216" s="4046">
        <v>1</v>
      </c>
      <c r="C216" s="4046">
        <v>2</v>
      </c>
      <c r="D216" s="4047" t="s">
        <v>438</v>
      </c>
      <c r="E216" s="4128"/>
      <c r="F216" s="4105"/>
      <c r="G216" s="4055"/>
      <c r="H216" s="4056" t="s">
        <v>109</v>
      </c>
      <c r="I216" s="4056"/>
      <c r="J216" s="2260">
        <f>J218</f>
        <v>75000000</v>
      </c>
      <c r="K216" s="2159">
        <v>14645000</v>
      </c>
      <c r="L216" s="2260">
        <f>SUM(L217:L218)</f>
        <v>8895000</v>
      </c>
      <c r="M216" s="4253">
        <f>SUM(K216:L216)</f>
        <v>23540000</v>
      </c>
      <c r="N216" s="4253">
        <f>SUM(N217:N218)</f>
        <v>125000000</v>
      </c>
      <c r="O216" s="4254">
        <f t="shared" ref="O216:O221" si="32">N216-J216</f>
        <v>50000000</v>
      </c>
      <c r="P216" s="4061">
        <f t="shared" ref="P216:P221" si="33">O216/J216*100</f>
        <v>66.666666666666657</v>
      </c>
      <c r="Q216" s="4839"/>
    </row>
    <row r="217" spans="1:17" s="2070" customFormat="1">
      <c r="A217" s="4046">
        <v>4</v>
      </c>
      <c r="B217" s="4046">
        <v>1</v>
      </c>
      <c r="C217" s="4046">
        <v>2</v>
      </c>
      <c r="D217" s="4047" t="s">
        <v>438</v>
      </c>
      <c r="E217" s="4093" t="s">
        <v>437</v>
      </c>
      <c r="F217" s="4049"/>
      <c r="G217" s="4059"/>
      <c r="H217" s="4062" t="s">
        <v>50</v>
      </c>
      <c r="I217" s="2070" t="s">
        <v>134</v>
      </c>
      <c r="J217" s="1964">
        <v>0</v>
      </c>
      <c r="K217" s="2236">
        <v>4765000</v>
      </c>
      <c r="L217" s="2160">
        <v>8895000</v>
      </c>
      <c r="M217" s="4248">
        <f>SUM(K217:L217)</f>
        <v>13660000</v>
      </c>
      <c r="N217" s="4248">
        <v>50000000</v>
      </c>
      <c r="O217" s="4254">
        <f t="shared" si="32"/>
        <v>50000000</v>
      </c>
      <c r="P217" s="4061">
        <v>0</v>
      </c>
      <c r="Q217" s="4839"/>
    </row>
    <row r="218" spans="1:17" s="2070" customFormat="1">
      <c r="A218" s="4048"/>
      <c r="B218" s="4048"/>
      <c r="C218" s="4048"/>
      <c r="D218" s="4048"/>
      <c r="E218" s="4048"/>
      <c r="F218" s="4049"/>
      <c r="G218" s="4067"/>
      <c r="H218" s="4062" t="s">
        <v>50</v>
      </c>
      <c r="I218" s="4060" t="s">
        <v>135</v>
      </c>
      <c r="J218" s="1964">
        <v>75000000</v>
      </c>
      <c r="K218" s="2159">
        <v>9880000</v>
      </c>
      <c r="L218" s="2160">
        <v>0</v>
      </c>
      <c r="M218" s="4253">
        <f>SUM(K218:L218)</f>
        <v>9880000</v>
      </c>
      <c r="N218" s="4248">
        <v>75000000</v>
      </c>
      <c r="O218" s="4254">
        <f t="shared" si="32"/>
        <v>0</v>
      </c>
      <c r="P218" s="4061">
        <f t="shared" si="33"/>
        <v>0</v>
      </c>
      <c r="Q218" s="4839"/>
    </row>
    <row r="219" spans="1:17" s="2070" customFormat="1" ht="5.35" customHeight="1">
      <c r="A219" s="4048"/>
      <c r="B219" s="4048"/>
      <c r="C219" s="4048"/>
      <c r="D219" s="4048"/>
      <c r="E219" s="4048"/>
      <c r="F219" s="4049"/>
      <c r="G219" s="4067"/>
      <c r="H219" s="4060"/>
      <c r="I219" s="4060"/>
      <c r="J219" s="4523"/>
      <c r="K219" s="2159"/>
      <c r="L219" s="4523"/>
      <c r="M219" s="4253"/>
      <c r="N219" s="4253"/>
      <c r="O219" s="4254">
        <f t="shared" si="32"/>
        <v>0</v>
      </c>
      <c r="P219" s="4061">
        <v>0</v>
      </c>
      <c r="Q219" s="4839"/>
    </row>
    <row r="220" spans="1:17" s="4099" customFormat="1">
      <c r="A220" s="4046">
        <v>4</v>
      </c>
      <c r="B220" s="4046">
        <v>1</v>
      </c>
      <c r="C220" s="4046">
        <v>2</v>
      </c>
      <c r="D220" s="4047" t="s">
        <v>437</v>
      </c>
      <c r="E220" s="4093"/>
      <c r="F220" s="4105"/>
      <c r="G220" s="4067"/>
      <c r="H220" s="4064" t="s">
        <v>116</v>
      </c>
      <c r="I220" s="4068"/>
      <c r="J220" s="4254">
        <f>J221</f>
        <v>1455000000</v>
      </c>
      <c r="K220" s="2159">
        <v>320580000</v>
      </c>
      <c r="L220" s="4254">
        <f>L221</f>
        <v>128160000</v>
      </c>
      <c r="M220" s="4253">
        <f>SUM(K220:L220)</f>
        <v>448740000</v>
      </c>
      <c r="N220" s="4253">
        <v>1650000000</v>
      </c>
      <c r="O220" s="4254">
        <f t="shared" si="32"/>
        <v>195000000</v>
      </c>
      <c r="P220" s="4061">
        <f t="shared" si="33"/>
        <v>13.402061855670103</v>
      </c>
      <c r="Q220" s="4839"/>
    </row>
    <row r="221" spans="1:17" s="2070" customFormat="1">
      <c r="A221" s="4046">
        <v>4</v>
      </c>
      <c r="B221" s="4046">
        <v>1</v>
      </c>
      <c r="C221" s="4046">
        <v>2</v>
      </c>
      <c r="D221" s="4047" t="s">
        <v>437</v>
      </c>
      <c r="E221" s="4093" t="s">
        <v>456</v>
      </c>
      <c r="F221" s="4049"/>
      <c r="G221" s="4067"/>
      <c r="H221" s="4062" t="s">
        <v>50</v>
      </c>
      <c r="I221" s="4060" t="s">
        <v>136</v>
      </c>
      <c r="J221" s="1964">
        <v>1455000000</v>
      </c>
      <c r="K221" s="2159">
        <v>320580000</v>
      </c>
      <c r="L221" s="2160">
        <v>128160000</v>
      </c>
      <c r="M221" s="4253">
        <f>SUM(K221:L221)</f>
        <v>448740000</v>
      </c>
      <c r="N221" s="4248">
        <v>1650000000</v>
      </c>
      <c r="O221" s="4254">
        <f t="shared" si="32"/>
        <v>195000000</v>
      </c>
      <c r="P221" s="4061">
        <f t="shared" si="33"/>
        <v>13.402061855670103</v>
      </c>
      <c r="Q221" s="4839"/>
    </row>
    <row r="222" spans="1:17" s="2070" customFormat="1" ht="5.95" customHeight="1">
      <c r="A222" s="4048"/>
      <c r="B222" s="4048"/>
      <c r="C222" s="4048"/>
      <c r="D222" s="4048"/>
      <c r="E222" s="4048"/>
      <c r="F222" s="4049"/>
      <c r="G222" s="4067"/>
      <c r="H222" s="4060"/>
      <c r="I222" s="4060"/>
      <c r="J222" s="4523"/>
      <c r="K222" s="2159"/>
      <c r="L222" s="4523"/>
      <c r="M222" s="4253"/>
      <c r="N222" s="4253"/>
      <c r="O222" s="4254">
        <f t="shared" ref="O222:O234" si="34">M222-J222</f>
        <v>0</v>
      </c>
      <c r="P222" s="4061">
        <f>O222-K222</f>
        <v>0</v>
      </c>
      <c r="Q222" s="4839"/>
    </row>
    <row r="223" spans="1:17" s="2070" customFormat="1">
      <c r="A223" s="4065">
        <v>4</v>
      </c>
      <c r="B223" s="4065">
        <v>1</v>
      </c>
      <c r="C223" s="4065">
        <v>4</v>
      </c>
      <c r="D223" s="4048"/>
      <c r="E223" s="4048"/>
      <c r="F223" s="4066">
        <v>3</v>
      </c>
      <c r="G223" s="4067"/>
      <c r="H223" s="4068" t="s">
        <v>71</v>
      </c>
      <c r="I223" s="4068"/>
      <c r="J223" s="1727"/>
      <c r="K223" s="2159">
        <v>2220000</v>
      </c>
      <c r="L223" s="2143">
        <f>SUM(L224:L228)</f>
        <v>0</v>
      </c>
      <c r="M223" s="4253">
        <f t="shared" ref="M223:M228" si="35">SUM(K223:L223)</f>
        <v>2220000</v>
      </c>
      <c r="N223" s="4253"/>
      <c r="O223" s="4254">
        <v>0</v>
      </c>
      <c r="P223" s="4061">
        <v>0</v>
      </c>
      <c r="Q223" s="4839"/>
    </row>
    <row r="224" spans="1:17" s="2070" customFormat="1">
      <c r="A224" s="4065">
        <v>4</v>
      </c>
      <c r="B224" s="4065">
        <v>1</v>
      </c>
      <c r="C224" s="4065">
        <v>4</v>
      </c>
      <c r="D224" s="4065" t="s">
        <v>441</v>
      </c>
      <c r="E224" s="4048"/>
      <c r="F224" s="4049"/>
      <c r="G224" s="4067"/>
      <c r="H224" s="4062" t="s">
        <v>50</v>
      </c>
      <c r="I224" s="4060" t="s">
        <v>72</v>
      </c>
      <c r="J224" s="1964"/>
      <c r="K224" s="2159">
        <v>0</v>
      </c>
      <c r="L224" s="2160">
        <f>'[2]ALL BULAN'!E225</f>
        <v>0</v>
      </c>
      <c r="M224" s="4253">
        <f t="shared" si="35"/>
        <v>0</v>
      </c>
      <c r="N224" s="4253"/>
      <c r="O224" s="4254">
        <f t="shared" si="34"/>
        <v>0</v>
      </c>
      <c r="P224" s="4061">
        <v>0</v>
      </c>
      <c r="Q224" s="4839"/>
    </row>
    <row r="225" spans="1:17" s="2070" customFormat="1">
      <c r="A225" s="4074">
        <v>4</v>
      </c>
      <c r="B225" s="4074">
        <v>1</v>
      </c>
      <c r="C225" s="4074" t="s">
        <v>443</v>
      </c>
      <c r="D225" s="4074" t="s">
        <v>444</v>
      </c>
      <c r="E225" s="4074" t="s">
        <v>440</v>
      </c>
      <c r="F225" s="4049"/>
      <c r="G225" s="4067"/>
      <c r="H225" s="4062" t="s">
        <v>50</v>
      </c>
      <c r="I225" s="4060" t="s">
        <v>73</v>
      </c>
      <c r="J225" s="1964">
        <v>0</v>
      </c>
      <c r="K225" s="2159">
        <v>0</v>
      </c>
      <c r="L225" s="2160">
        <f>'[2]ALL BULAN'!E226</f>
        <v>0</v>
      </c>
      <c r="M225" s="4253">
        <f t="shared" si="35"/>
        <v>0</v>
      </c>
      <c r="N225" s="4253"/>
      <c r="O225" s="4254">
        <f t="shared" si="34"/>
        <v>0</v>
      </c>
      <c r="P225" s="4061">
        <v>0</v>
      </c>
      <c r="Q225" s="4839"/>
    </row>
    <row r="226" spans="1:17" s="2070" customFormat="1">
      <c r="A226" s="4069">
        <v>4</v>
      </c>
      <c r="B226" s="4069">
        <v>1</v>
      </c>
      <c r="C226" s="4069" t="s">
        <v>443</v>
      </c>
      <c r="D226" s="4069" t="s">
        <v>444</v>
      </c>
      <c r="E226" s="4070" t="s">
        <v>445</v>
      </c>
      <c r="F226" s="4049"/>
      <c r="G226" s="4067"/>
      <c r="H226" s="4062" t="s">
        <v>50</v>
      </c>
      <c r="I226" s="4060" t="s">
        <v>74</v>
      </c>
      <c r="J226" s="1964">
        <v>0</v>
      </c>
      <c r="K226" s="2159">
        <v>0</v>
      </c>
      <c r="L226" s="2160">
        <f>'[2]ALL BULAN'!E227</f>
        <v>0</v>
      </c>
      <c r="M226" s="4253">
        <f t="shared" si="35"/>
        <v>0</v>
      </c>
      <c r="N226" s="4253"/>
      <c r="O226" s="4254">
        <f t="shared" si="34"/>
        <v>0</v>
      </c>
      <c r="P226" s="4061">
        <v>0</v>
      </c>
      <c r="Q226" s="4839"/>
    </row>
    <row r="227" spans="1:17" s="2070" customFormat="1">
      <c r="A227" s="4101">
        <v>4</v>
      </c>
      <c r="B227" s="4101">
        <v>1</v>
      </c>
      <c r="C227" s="4101" t="s">
        <v>443</v>
      </c>
      <c r="D227" s="4101" t="s">
        <v>444</v>
      </c>
      <c r="E227" s="4101" t="s">
        <v>441</v>
      </c>
      <c r="F227" s="4049"/>
      <c r="G227" s="4067"/>
      <c r="H227" s="4060" t="s">
        <v>308</v>
      </c>
      <c r="I227" s="4090" t="s">
        <v>75</v>
      </c>
      <c r="J227" s="1964">
        <v>0</v>
      </c>
      <c r="K227" s="2159">
        <v>2220000</v>
      </c>
      <c r="L227" s="2160">
        <v>0</v>
      </c>
      <c r="M227" s="4253">
        <f t="shared" si="35"/>
        <v>2220000</v>
      </c>
      <c r="N227" s="4253"/>
      <c r="O227" s="4254">
        <v>0</v>
      </c>
      <c r="P227" s="4061">
        <v>0</v>
      </c>
      <c r="Q227" s="4839"/>
    </row>
    <row r="228" spans="1:17" s="2070" customFormat="1">
      <c r="A228" s="4079">
        <v>4</v>
      </c>
      <c r="B228" s="4079">
        <v>1</v>
      </c>
      <c r="C228" s="4079" t="s">
        <v>443</v>
      </c>
      <c r="D228" s="4079" t="s">
        <v>447</v>
      </c>
      <c r="E228" s="4093" t="s">
        <v>437</v>
      </c>
      <c r="F228" s="4049"/>
      <c r="G228" s="4067"/>
      <c r="H228" s="4062" t="s">
        <v>50</v>
      </c>
      <c r="I228" s="4090" t="s">
        <v>85</v>
      </c>
      <c r="J228" s="1964">
        <v>0</v>
      </c>
      <c r="K228" s="2159">
        <v>0</v>
      </c>
      <c r="L228" s="2160">
        <f>'[2]ALL BULAN'!E229</f>
        <v>0</v>
      </c>
      <c r="M228" s="4253">
        <f t="shared" si="35"/>
        <v>0</v>
      </c>
      <c r="N228" s="4253"/>
      <c r="O228" s="4254">
        <f t="shared" si="34"/>
        <v>0</v>
      </c>
      <c r="P228" s="4061">
        <v>0</v>
      </c>
      <c r="Q228" s="4839"/>
    </row>
    <row r="229" spans="1:17" s="2070" customFormat="1">
      <c r="A229" s="4048"/>
      <c r="B229" s="4048"/>
      <c r="C229" s="4048"/>
      <c r="D229" s="4048"/>
      <c r="E229" s="4048"/>
      <c r="F229" s="4049"/>
      <c r="G229" s="4067"/>
      <c r="J229" s="4254"/>
      <c r="K229" s="2159"/>
      <c r="L229" s="4254"/>
      <c r="M229" s="4253"/>
      <c r="N229" s="4253"/>
      <c r="O229" s="4254">
        <f t="shared" si="34"/>
        <v>0</v>
      </c>
      <c r="P229" s="4061">
        <f>O229-K229</f>
        <v>0</v>
      </c>
      <c r="Q229" s="4839"/>
    </row>
    <row r="230" spans="1:17" s="2070" customFormat="1">
      <c r="A230" s="4048"/>
      <c r="B230" s="4048"/>
      <c r="C230" s="4048"/>
      <c r="D230" s="4048"/>
      <c r="E230" s="4048"/>
      <c r="F230" s="4066">
        <v>4</v>
      </c>
      <c r="G230" s="4067"/>
      <c r="H230" s="1318" t="s">
        <v>1249</v>
      </c>
      <c r="I230" s="4068"/>
      <c r="J230" s="4254">
        <f>SUM(J231:J234)</f>
        <v>0</v>
      </c>
      <c r="K230" s="2159">
        <v>0</v>
      </c>
      <c r="L230" s="4254">
        <f>SUM(L231:L234)</f>
        <v>0</v>
      </c>
      <c r="M230" s="4253">
        <f>SUM(K230:L230)</f>
        <v>0</v>
      </c>
      <c r="N230" s="4254">
        <f>SUM(N231:N234)</f>
        <v>0</v>
      </c>
      <c r="O230" s="4254">
        <f t="shared" si="34"/>
        <v>0</v>
      </c>
      <c r="P230" s="4061">
        <v>0</v>
      </c>
      <c r="Q230" s="4839"/>
    </row>
    <row r="231" spans="1:17" s="2070" customFormat="1">
      <c r="A231" s="4048"/>
      <c r="B231" s="4048"/>
      <c r="C231" s="4048"/>
      <c r="D231" s="4048"/>
      <c r="E231" s="4048"/>
      <c r="F231" s="4049"/>
      <c r="G231" s="4067"/>
      <c r="H231" s="4062" t="s">
        <v>50</v>
      </c>
      <c r="I231" s="4060" t="s">
        <v>137</v>
      </c>
      <c r="J231" s="1964">
        <v>0</v>
      </c>
      <c r="K231" s="2159">
        <v>0</v>
      </c>
      <c r="L231" s="2160">
        <f>'[2]ALL BULAN'!E232</f>
        <v>0</v>
      </c>
      <c r="M231" s="4253">
        <f>SUM(K231:L231)</f>
        <v>0</v>
      </c>
      <c r="N231" s="1964">
        <v>0</v>
      </c>
      <c r="O231" s="4254">
        <f t="shared" si="34"/>
        <v>0</v>
      </c>
      <c r="P231" s="4061">
        <v>0</v>
      </c>
      <c r="Q231" s="4839"/>
    </row>
    <row r="232" spans="1:17" s="2070" customFormat="1">
      <c r="A232" s="4048"/>
      <c r="B232" s="4048"/>
      <c r="C232" s="4048"/>
      <c r="D232" s="4048"/>
      <c r="E232" s="4048"/>
      <c r="F232" s="4049"/>
      <c r="G232" s="4067"/>
      <c r="H232" s="4062" t="s">
        <v>50</v>
      </c>
      <c r="I232" s="4060" t="s">
        <v>138</v>
      </c>
      <c r="J232" s="1964">
        <v>0</v>
      </c>
      <c r="K232" s="2159">
        <v>0</v>
      </c>
      <c r="L232" s="2160">
        <f>'[2]ALL BULAN'!E233</f>
        <v>0</v>
      </c>
      <c r="M232" s="4253">
        <f>SUM(K232:L232)</f>
        <v>0</v>
      </c>
      <c r="N232" s="1964">
        <v>0</v>
      </c>
      <c r="O232" s="4254">
        <f t="shared" si="34"/>
        <v>0</v>
      </c>
      <c r="P232" s="4061">
        <v>0</v>
      </c>
      <c r="Q232" s="4839"/>
    </row>
    <row r="233" spans="1:17" s="2070" customFormat="1">
      <c r="A233" s="4048"/>
      <c r="B233" s="4048"/>
      <c r="C233" s="4048"/>
      <c r="D233" s="4048"/>
      <c r="E233" s="4048"/>
      <c r="F233" s="4049"/>
      <c r="G233" s="4067"/>
      <c r="H233" s="4062" t="s">
        <v>50</v>
      </c>
      <c r="I233" s="4060" t="s">
        <v>139</v>
      </c>
      <c r="J233" s="1964">
        <v>0</v>
      </c>
      <c r="K233" s="2159">
        <v>0</v>
      </c>
      <c r="L233" s="2160">
        <f>'[2]ALL BULAN'!E234</f>
        <v>0</v>
      </c>
      <c r="M233" s="4253">
        <f>SUM(K233:L233)</f>
        <v>0</v>
      </c>
      <c r="N233" s="1964">
        <v>0</v>
      </c>
      <c r="O233" s="4254">
        <f t="shared" si="34"/>
        <v>0</v>
      </c>
      <c r="P233" s="4061">
        <v>0</v>
      </c>
      <c r="Q233" s="4839"/>
    </row>
    <row r="234" spans="1:17" s="2070" customFormat="1">
      <c r="A234" s="4048"/>
      <c r="B234" s="4048"/>
      <c r="C234" s="4048"/>
      <c r="D234" s="4048"/>
      <c r="E234" s="4048"/>
      <c r="F234" s="4049"/>
      <c r="G234" s="4067"/>
      <c r="H234" s="4062" t="s">
        <v>50</v>
      </c>
      <c r="I234" s="4060" t="s">
        <v>140</v>
      </c>
      <c r="J234" s="1964">
        <v>0</v>
      </c>
      <c r="K234" s="2159">
        <v>0</v>
      </c>
      <c r="L234" s="2160">
        <f>'[2]ALL BULAN'!E235</f>
        <v>0</v>
      </c>
      <c r="M234" s="4253">
        <f>SUM(K234:L234)</f>
        <v>0</v>
      </c>
      <c r="N234" s="1964">
        <v>0</v>
      </c>
      <c r="O234" s="4254">
        <f t="shared" si="34"/>
        <v>0</v>
      </c>
      <c r="P234" s="4061">
        <v>0</v>
      </c>
      <c r="Q234" s="4839"/>
    </row>
    <row r="235" spans="1:17" s="2070" customFormat="1">
      <c r="A235" s="4048"/>
      <c r="B235" s="4048"/>
      <c r="C235" s="4048"/>
      <c r="D235" s="4048"/>
      <c r="E235" s="4048"/>
      <c r="F235" s="4049"/>
      <c r="G235" s="4150"/>
      <c r="H235" s="4081"/>
      <c r="I235" s="4151"/>
      <c r="J235" s="2309"/>
      <c r="K235" s="2390"/>
      <c r="L235" s="2587"/>
      <c r="M235" s="4554"/>
      <c r="N235" s="2309"/>
      <c r="O235" s="4602"/>
      <c r="P235" s="5328"/>
      <c r="Q235" s="4839"/>
    </row>
    <row r="236" spans="1:17" s="2070" customFormat="1">
      <c r="A236" s="4048"/>
      <c r="B236" s="4048"/>
      <c r="C236" s="4048"/>
      <c r="D236" s="4048"/>
      <c r="E236" s="4048"/>
      <c r="F236" s="4049"/>
      <c r="G236" s="4102"/>
      <c r="H236" s="4083"/>
      <c r="I236" s="4083"/>
      <c r="J236" s="4528"/>
      <c r="K236" s="2183"/>
      <c r="L236" s="4528"/>
      <c r="M236" s="4529"/>
      <c r="N236" s="4529"/>
      <c r="O236" s="4529"/>
      <c r="P236" s="4084"/>
      <c r="Q236" s="4839"/>
    </row>
    <row r="237" spans="1:17" s="2073" customFormat="1" ht="15.65">
      <c r="A237" s="4039"/>
      <c r="B237" s="4039"/>
      <c r="C237" s="4039"/>
      <c r="D237" s="4039"/>
      <c r="E237" s="4039"/>
      <c r="F237" s="4040"/>
      <c r="G237" s="4041" t="s">
        <v>141</v>
      </c>
      <c r="H237" s="4042" t="s">
        <v>142</v>
      </c>
      <c r="I237" s="4097"/>
      <c r="J237" s="4519">
        <f>J238</f>
        <v>501125000</v>
      </c>
      <c r="K237" s="4519">
        <f t="shared" ref="K237:M238" si="36">K238</f>
        <v>19350000</v>
      </c>
      <c r="L237" s="4519">
        <f t="shared" si="36"/>
        <v>74050000</v>
      </c>
      <c r="M237" s="4519">
        <f t="shared" si="36"/>
        <v>93400000</v>
      </c>
      <c r="N237" s="4519">
        <f>N238</f>
        <v>356500000</v>
      </c>
      <c r="O237" s="4519">
        <f>N237-J237</f>
        <v>-144625000</v>
      </c>
      <c r="P237" s="4044">
        <f>P238</f>
        <v>-28.86006485407832</v>
      </c>
      <c r="Q237" s="4840"/>
    </row>
    <row r="238" spans="1:17" s="2070" customFormat="1">
      <c r="A238" s="4048"/>
      <c r="B238" s="4048"/>
      <c r="C238" s="4048"/>
      <c r="D238" s="4048"/>
      <c r="E238" s="4048"/>
      <c r="F238" s="4066">
        <v>1</v>
      </c>
      <c r="G238" s="4110"/>
      <c r="H238" s="4143" t="s">
        <v>106</v>
      </c>
      <c r="I238" s="4111"/>
      <c r="J238" s="4534">
        <f>J239</f>
        <v>501125000</v>
      </c>
      <c r="K238" s="2159">
        <v>19350000</v>
      </c>
      <c r="L238" s="4534">
        <f t="shared" si="36"/>
        <v>74050000</v>
      </c>
      <c r="M238" s="4253">
        <f t="shared" ref="M238:M255" si="37">SUM(K238:L238)</f>
        <v>93400000</v>
      </c>
      <c r="N238" s="2181">
        <f>N239</f>
        <v>356500000</v>
      </c>
      <c r="O238" s="4254">
        <f>N238-J238</f>
        <v>-144625000</v>
      </c>
      <c r="P238" s="4061">
        <f>O238/J238*100</f>
        <v>-28.86006485407832</v>
      </c>
      <c r="Q238" s="4839"/>
    </row>
    <row r="239" spans="1:17" s="2070" customFormat="1">
      <c r="A239" s="4046">
        <v>4</v>
      </c>
      <c r="B239" s="4046">
        <v>1</v>
      </c>
      <c r="C239" s="4046">
        <v>2</v>
      </c>
      <c r="D239" s="4047" t="s">
        <v>438</v>
      </c>
      <c r="E239" s="4128"/>
      <c r="F239" s="4105"/>
      <c r="G239" s="4144"/>
      <c r="H239" s="4126" t="s">
        <v>109</v>
      </c>
      <c r="I239" s="4114"/>
      <c r="J239" s="2181">
        <f>SUM(J240+J243)</f>
        <v>501125000</v>
      </c>
      <c r="K239" s="2159">
        <v>19350000</v>
      </c>
      <c r="L239" s="2181">
        <f>L240+L243</f>
        <v>74050000</v>
      </c>
      <c r="M239" s="4253">
        <f t="shared" si="37"/>
        <v>93400000</v>
      </c>
      <c r="N239" s="2291">
        <f>SUM(N240+N243)</f>
        <v>356500000</v>
      </c>
      <c r="O239" s="4254">
        <f t="shared" ref="O239:O244" si="38">N239-J239</f>
        <v>-144625000</v>
      </c>
      <c r="P239" s="4061">
        <f t="shared" ref="P239:P244" si="39">O239/J239*100</f>
        <v>-28.86006485407832</v>
      </c>
      <c r="Q239" s="4839"/>
    </row>
    <row r="240" spans="1:17" s="4099" customFormat="1">
      <c r="A240" s="4046">
        <v>4</v>
      </c>
      <c r="B240" s="4046">
        <v>1</v>
      </c>
      <c r="C240" s="4046">
        <v>2</v>
      </c>
      <c r="D240" s="4047" t="s">
        <v>438</v>
      </c>
      <c r="E240" s="4093" t="s">
        <v>437</v>
      </c>
      <c r="F240" s="4105"/>
      <c r="G240" s="4144"/>
      <c r="H240" s="4056" t="s">
        <v>64</v>
      </c>
      <c r="I240" s="4115"/>
      <c r="J240" s="2189">
        <f>J241</f>
        <v>152500000</v>
      </c>
      <c r="K240" s="2159">
        <v>2850000</v>
      </c>
      <c r="L240" s="2189">
        <f>L241</f>
        <v>6950000</v>
      </c>
      <c r="M240" s="4253">
        <f t="shared" si="37"/>
        <v>9800000</v>
      </c>
      <c r="N240" s="2291">
        <f>N241</f>
        <v>31500000</v>
      </c>
      <c r="O240" s="4254">
        <f t="shared" si="38"/>
        <v>-121000000</v>
      </c>
      <c r="P240" s="4061">
        <f t="shared" si="39"/>
        <v>-79.344262295081975</v>
      </c>
      <c r="Q240" s="4839"/>
    </row>
    <row r="241" spans="1:17" s="2070" customFormat="1">
      <c r="A241" s="4048"/>
      <c r="B241" s="4048"/>
      <c r="C241" s="4048"/>
      <c r="D241" s="4048"/>
      <c r="E241" s="4048"/>
      <c r="F241" s="4049"/>
      <c r="G241" s="4159"/>
      <c r="H241" s="4062" t="s">
        <v>50</v>
      </c>
      <c r="I241" s="4160" t="s">
        <v>143</v>
      </c>
      <c r="J241" s="1964">
        <v>152500000</v>
      </c>
      <c r="K241" s="2159">
        <v>2850000</v>
      </c>
      <c r="L241" s="2160">
        <v>6950000</v>
      </c>
      <c r="M241" s="4253">
        <f t="shared" si="37"/>
        <v>9800000</v>
      </c>
      <c r="N241" s="4248">
        <v>31500000</v>
      </c>
      <c r="O241" s="4254">
        <f t="shared" si="38"/>
        <v>-121000000</v>
      </c>
      <c r="P241" s="4061">
        <f t="shared" si="39"/>
        <v>-79.344262295081975</v>
      </c>
      <c r="Q241" s="4839"/>
    </row>
    <row r="242" spans="1:17" s="2070" customFormat="1" ht="6.75" customHeight="1">
      <c r="A242" s="4048"/>
      <c r="B242" s="4048"/>
      <c r="C242" s="4048"/>
      <c r="D242" s="4048"/>
      <c r="E242" s="4048"/>
      <c r="F242" s="4049"/>
      <c r="G242" s="4159"/>
      <c r="H242" s="4131"/>
      <c r="I242" s="4161"/>
      <c r="J242" s="2291"/>
      <c r="K242" s="2159">
        <v>0</v>
      </c>
      <c r="L242" s="2291"/>
      <c r="M242" s="4253">
        <f t="shared" si="37"/>
        <v>0</v>
      </c>
      <c r="N242" s="4253"/>
      <c r="O242" s="4254">
        <f t="shared" si="38"/>
        <v>0</v>
      </c>
      <c r="P242" s="4061"/>
      <c r="Q242" s="4839"/>
    </row>
    <row r="243" spans="1:17" s="4099" customFormat="1">
      <c r="A243" s="4046">
        <v>4</v>
      </c>
      <c r="B243" s="4046">
        <v>1</v>
      </c>
      <c r="C243" s="4046">
        <v>2</v>
      </c>
      <c r="D243" s="4047" t="s">
        <v>438</v>
      </c>
      <c r="E243" s="4093" t="s">
        <v>440</v>
      </c>
      <c r="F243" s="4105"/>
      <c r="G243" s="4159"/>
      <c r="H243" s="4068" t="s">
        <v>68</v>
      </c>
      <c r="I243" s="4161"/>
      <c r="J243" s="2291">
        <f>J244</f>
        <v>348625000</v>
      </c>
      <c r="K243" s="2159">
        <v>16500000</v>
      </c>
      <c r="L243" s="2291">
        <f>L244</f>
        <v>67100000</v>
      </c>
      <c r="M243" s="4253">
        <f t="shared" si="37"/>
        <v>83600000</v>
      </c>
      <c r="N243" s="2291">
        <f>N244</f>
        <v>325000000</v>
      </c>
      <c r="O243" s="4254">
        <f t="shared" si="38"/>
        <v>-23625000</v>
      </c>
      <c r="P243" s="4061">
        <f t="shared" si="39"/>
        <v>-6.7766224453209043</v>
      </c>
      <c r="Q243" s="4839"/>
    </row>
    <row r="244" spans="1:17" s="2070" customFormat="1">
      <c r="A244" s="4048"/>
      <c r="B244" s="4048"/>
      <c r="C244" s="4048"/>
      <c r="D244" s="4048"/>
      <c r="E244" s="4048"/>
      <c r="F244" s="4049"/>
      <c r="G244" s="4159"/>
      <c r="H244" s="4125" t="s">
        <v>50</v>
      </c>
      <c r="I244" s="4160" t="s">
        <v>144</v>
      </c>
      <c r="J244" s="1964">
        <v>348625000</v>
      </c>
      <c r="K244" s="2159">
        <v>16500000</v>
      </c>
      <c r="L244" s="2160">
        <v>67100000</v>
      </c>
      <c r="M244" s="4253">
        <f t="shared" si="37"/>
        <v>83600000</v>
      </c>
      <c r="N244" s="4248">
        <v>325000000</v>
      </c>
      <c r="O244" s="4254">
        <f t="shared" si="38"/>
        <v>-23625000</v>
      </c>
      <c r="P244" s="4061">
        <f t="shared" si="39"/>
        <v>-6.7766224453209043</v>
      </c>
      <c r="Q244" s="4839"/>
    </row>
    <row r="245" spans="1:17" s="2070" customFormat="1">
      <c r="A245" s="4048"/>
      <c r="B245" s="4048"/>
      <c r="C245" s="4048"/>
      <c r="D245" s="4048"/>
      <c r="E245" s="4048"/>
      <c r="F245" s="4049"/>
      <c r="G245" s="4159"/>
      <c r="H245" s="4131"/>
      <c r="I245" s="4161"/>
      <c r="J245" s="2291"/>
      <c r="K245" s="2159">
        <v>0</v>
      </c>
      <c r="L245" s="2291"/>
      <c r="M245" s="4253">
        <f t="shared" si="37"/>
        <v>0</v>
      </c>
      <c r="N245" s="4253"/>
      <c r="O245" s="4254">
        <f t="shared" ref="O245:O251" si="40">M245-J245</f>
        <v>0</v>
      </c>
      <c r="P245" s="4061">
        <f>O245-K245</f>
        <v>0</v>
      </c>
      <c r="Q245" s="4839"/>
    </row>
    <row r="246" spans="1:17" s="2070" customFormat="1">
      <c r="A246" s="4065">
        <v>4</v>
      </c>
      <c r="B246" s="4065">
        <v>1</v>
      </c>
      <c r="C246" s="4065">
        <v>4</v>
      </c>
      <c r="D246" s="4048"/>
      <c r="E246" s="4048"/>
      <c r="F246" s="4066">
        <v>3</v>
      </c>
      <c r="G246" s="4091"/>
      <c r="H246" s="4092" t="s">
        <v>71</v>
      </c>
      <c r="I246" s="4092"/>
      <c r="J246" s="2292">
        <v>0</v>
      </c>
      <c r="K246" s="2159">
        <v>0</v>
      </c>
      <c r="L246" s="2292">
        <f>SUM(L247:L250)</f>
        <v>0</v>
      </c>
      <c r="M246" s="4253">
        <f t="shared" si="37"/>
        <v>0</v>
      </c>
      <c r="N246" s="4253">
        <v>0</v>
      </c>
      <c r="O246" s="4254">
        <f t="shared" si="40"/>
        <v>0</v>
      </c>
      <c r="P246" s="4061">
        <v>0</v>
      </c>
      <c r="Q246" s="4839"/>
    </row>
    <row r="247" spans="1:17" s="2070" customFormat="1">
      <c r="A247" s="4065">
        <v>4</v>
      </c>
      <c r="B247" s="4065">
        <v>1</v>
      </c>
      <c r="C247" s="4065">
        <v>4</v>
      </c>
      <c r="D247" s="4065" t="s">
        <v>441</v>
      </c>
      <c r="E247" s="4048"/>
      <c r="F247" s="4049"/>
      <c r="G247" s="4091"/>
      <c r="H247" s="4062" t="s">
        <v>50</v>
      </c>
      <c r="I247" s="4060" t="s">
        <v>72</v>
      </c>
      <c r="J247" s="1964">
        <v>0</v>
      </c>
      <c r="K247" s="2159">
        <v>0</v>
      </c>
      <c r="L247" s="2160">
        <f>'[2]ALL BULAN'!E247</f>
        <v>0</v>
      </c>
      <c r="M247" s="4253">
        <f t="shared" si="37"/>
        <v>0</v>
      </c>
      <c r="N247" s="4253">
        <v>0</v>
      </c>
      <c r="O247" s="4254">
        <f t="shared" si="40"/>
        <v>0</v>
      </c>
      <c r="P247" s="4061">
        <v>0</v>
      </c>
      <c r="Q247" s="4839"/>
    </row>
    <row r="248" spans="1:17" s="2070" customFormat="1">
      <c r="A248" s="4074">
        <v>4</v>
      </c>
      <c r="B248" s="4074">
        <v>1</v>
      </c>
      <c r="C248" s="4074" t="s">
        <v>443</v>
      </c>
      <c r="D248" s="4074" t="s">
        <v>444</v>
      </c>
      <c r="E248" s="4074" t="s">
        <v>440</v>
      </c>
      <c r="F248" s="4049"/>
      <c r="G248" s="4091"/>
      <c r="H248" s="4062" t="s">
        <v>50</v>
      </c>
      <c r="I248" s="4060" t="s">
        <v>73</v>
      </c>
      <c r="J248" s="1964">
        <v>0</v>
      </c>
      <c r="K248" s="2159">
        <v>0</v>
      </c>
      <c r="L248" s="2160">
        <f>'[2]ALL BULAN'!E248</f>
        <v>0</v>
      </c>
      <c r="M248" s="4253">
        <f t="shared" si="37"/>
        <v>0</v>
      </c>
      <c r="N248" s="4253">
        <v>0</v>
      </c>
      <c r="O248" s="4254">
        <f t="shared" si="40"/>
        <v>0</v>
      </c>
      <c r="P248" s="4061">
        <v>0</v>
      </c>
      <c r="Q248" s="4839"/>
    </row>
    <row r="249" spans="1:17" s="2070" customFormat="1">
      <c r="A249" s="4069">
        <v>4</v>
      </c>
      <c r="B249" s="4069">
        <v>1</v>
      </c>
      <c r="C249" s="4069" t="s">
        <v>443</v>
      </c>
      <c r="D249" s="4069" t="s">
        <v>444</v>
      </c>
      <c r="E249" s="4070" t="s">
        <v>445</v>
      </c>
      <c r="F249" s="4049"/>
      <c r="G249" s="4091"/>
      <c r="H249" s="4062" t="s">
        <v>50</v>
      </c>
      <c r="I249" s="4060" t="s">
        <v>74</v>
      </c>
      <c r="J249" s="1964">
        <v>0</v>
      </c>
      <c r="K249" s="2159">
        <v>0</v>
      </c>
      <c r="L249" s="2160">
        <f>'[2]ALL BULAN'!E249</f>
        <v>0</v>
      </c>
      <c r="M249" s="4253">
        <f t="shared" si="37"/>
        <v>0</v>
      </c>
      <c r="N249" s="4253">
        <v>0</v>
      </c>
      <c r="O249" s="4254">
        <f t="shared" si="40"/>
        <v>0</v>
      </c>
      <c r="P249" s="4061">
        <v>0</v>
      </c>
      <c r="Q249" s="4839"/>
    </row>
    <row r="250" spans="1:17" s="2070" customFormat="1">
      <c r="A250" s="4101">
        <v>4</v>
      </c>
      <c r="B250" s="4101">
        <v>1</v>
      </c>
      <c r="C250" s="4101" t="s">
        <v>443</v>
      </c>
      <c r="D250" s="4101" t="s">
        <v>444</v>
      </c>
      <c r="E250" s="4101" t="s">
        <v>441</v>
      </c>
      <c r="F250" s="4049"/>
      <c r="G250" s="4088"/>
      <c r="H250" s="4062" t="s">
        <v>50</v>
      </c>
      <c r="I250" s="4090" t="s">
        <v>75</v>
      </c>
      <c r="J250" s="1964">
        <v>0</v>
      </c>
      <c r="K250" s="2159">
        <v>0</v>
      </c>
      <c r="L250" s="2160">
        <f>'[2]ALL BULAN'!E250</f>
        <v>0</v>
      </c>
      <c r="M250" s="4253">
        <f t="shared" si="37"/>
        <v>0</v>
      </c>
      <c r="N250" s="4253">
        <v>0</v>
      </c>
      <c r="O250" s="4254">
        <f t="shared" si="40"/>
        <v>0</v>
      </c>
      <c r="P250" s="4061">
        <v>0</v>
      </c>
      <c r="Q250" s="4839"/>
    </row>
    <row r="251" spans="1:17" s="2070" customFormat="1">
      <c r="A251" s="4048"/>
      <c r="B251" s="4048"/>
      <c r="C251" s="4048"/>
      <c r="D251" s="4048"/>
      <c r="E251" s="4048"/>
      <c r="F251" s="4049"/>
      <c r="G251" s="4088"/>
      <c r="H251" s="4090"/>
      <c r="I251" s="4090"/>
      <c r="J251" s="1964"/>
      <c r="K251" s="2159">
        <v>0</v>
      </c>
      <c r="L251" s="1964"/>
      <c r="M251" s="4253">
        <f t="shared" si="37"/>
        <v>0</v>
      </c>
      <c r="N251" s="4253"/>
      <c r="O251" s="4254">
        <f t="shared" si="40"/>
        <v>0</v>
      </c>
      <c r="P251" s="4061">
        <f>O251-K251</f>
        <v>0</v>
      </c>
      <c r="Q251" s="4839"/>
    </row>
    <row r="252" spans="1:17" s="2070" customFormat="1">
      <c r="A252" s="4048"/>
      <c r="B252" s="4048"/>
      <c r="C252" s="4048"/>
      <c r="D252" s="4048"/>
      <c r="E252" s="4048"/>
      <c r="F252" s="4066">
        <v>4</v>
      </c>
      <c r="G252" s="4088"/>
      <c r="H252" s="1318" t="s">
        <v>1249</v>
      </c>
      <c r="I252" s="4090"/>
      <c r="J252" s="2181">
        <f>SUM(J253:J255)</f>
        <v>0</v>
      </c>
      <c r="K252" s="2159">
        <v>44168718</v>
      </c>
      <c r="L252" s="2181">
        <f>SUM(L253:L255)</f>
        <v>10589500</v>
      </c>
      <c r="M252" s="4253">
        <f t="shared" si="37"/>
        <v>54758218</v>
      </c>
      <c r="N252" s="4253"/>
      <c r="O252" s="4254">
        <v>0</v>
      </c>
      <c r="P252" s="4061">
        <v>0</v>
      </c>
      <c r="Q252" s="4839"/>
    </row>
    <row r="253" spans="1:17" s="2070" customFormat="1">
      <c r="A253" s="4048"/>
      <c r="B253" s="4048"/>
      <c r="C253" s="4048"/>
      <c r="D253" s="4048"/>
      <c r="E253" s="4048"/>
      <c r="F253" s="4049"/>
      <c r="G253" s="4088"/>
      <c r="H253" s="4090" t="s">
        <v>50</v>
      </c>
      <c r="I253" s="4090" t="s">
        <v>145</v>
      </c>
      <c r="J253" s="1964">
        <v>0</v>
      </c>
      <c r="K253" s="2159">
        <v>4835000</v>
      </c>
      <c r="L253" s="2160">
        <v>0</v>
      </c>
      <c r="M253" s="4253">
        <f t="shared" si="37"/>
        <v>4835000</v>
      </c>
      <c r="N253" s="4248">
        <v>0</v>
      </c>
      <c r="O253" s="4254">
        <v>0</v>
      </c>
      <c r="P253" s="4061">
        <v>0</v>
      </c>
      <c r="Q253" s="4839"/>
    </row>
    <row r="254" spans="1:17" s="2070" customFormat="1">
      <c r="A254" s="4048"/>
      <c r="B254" s="4048"/>
      <c r="C254" s="4048"/>
      <c r="D254" s="4048"/>
      <c r="E254" s="4048"/>
      <c r="F254" s="4049"/>
      <c r="G254" s="4088"/>
      <c r="H254" s="4090" t="s">
        <v>50</v>
      </c>
      <c r="I254" s="4090" t="s">
        <v>146</v>
      </c>
      <c r="J254" s="1964">
        <v>0</v>
      </c>
      <c r="K254" s="2159">
        <v>6750000</v>
      </c>
      <c r="L254" s="2160">
        <v>0</v>
      </c>
      <c r="M254" s="4253">
        <f t="shared" si="37"/>
        <v>6750000</v>
      </c>
      <c r="N254" s="4248">
        <v>0</v>
      </c>
      <c r="O254" s="4254">
        <v>0</v>
      </c>
      <c r="P254" s="4061">
        <v>0</v>
      </c>
      <c r="Q254" s="4839"/>
    </row>
    <row r="255" spans="1:17" s="2070" customFormat="1">
      <c r="A255" s="4048"/>
      <c r="B255" s="4048"/>
      <c r="C255" s="4048"/>
      <c r="D255" s="4048"/>
      <c r="E255" s="4048"/>
      <c r="F255" s="4049"/>
      <c r="G255" s="4088"/>
      <c r="H255" s="4090" t="s">
        <v>50</v>
      </c>
      <c r="I255" s="4090" t="s">
        <v>147</v>
      </c>
      <c r="J255" s="1964">
        <v>0</v>
      </c>
      <c r="K255" s="2159">
        <v>32583718</v>
      </c>
      <c r="L255" s="2160">
        <v>10589500</v>
      </c>
      <c r="M255" s="4253">
        <f t="shared" si="37"/>
        <v>43173218</v>
      </c>
      <c r="N255" s="4248">
        <v>0</v>
      </c>
      <c r="O255" s="4254">
        <v>0</v>
      </c>
      <c r="P255" s="4061">
        <v>0</v>
      </c>
      <c r="Q255" s="4839"/>
    </row>
    <row r="256" spans="1:17" s="2070" customFormat="1" ht="15.05">
      <c r="A256" s="4048"/>
      <c r="B256" s="4048"/>
      <c r="C256" s="4048"/>
      <c r="D256" s="4048"/>
      <c r="E256" s="4048"/>
      <c r="F256" s="4049"/>
      <c r="G256" s="4162"/>
      <c r="H256" s="4090"/>
      <c r="I256" s="4163"/>
      <c r="J256" s="1964"/>
      <c r="K256" s="2180"/>
      <c r="L256" s="1964"/>
      <c r="M256" s="2181"/>
      <c r="N256" s="2181"/>
      <c r="O256" s="2181"/>
      <c r="P256" s="4164"/>
      <c r="Q256" s="4839"/>
    </row>
    <row r="257" spans="1:17" s="2073" customFormat="1" ht="15.65">
      <c r="A257" s="4039"/>
      <c r="B257" s="4039"/>
      <c r="C257" s="4039"/>
      <c r="D257" s="4039"/>
      <c r="E257" s="4039"/>
      <c r="F257" s="4040"/>
      <c r="G257" s="4041" t="s">
        <v>148</v>
      </c>
      <c r="H257" s="4042" t="s">
        <v>149</v>
      </c>
      <c r="I257" s="4097"/>
      <c r="J257" s="4519">
        <v>0</v>
      </c>
      <c r="K257" s="4520">
        <v>0</v>
      </c>
      <c r="L257" s="4519">
        <f>L258</f>
        <v>0</v>
      </c>
      <c r="M257" s="4519">
        <f t="shared" ref="M257:M263" si="41">SUM(K257:L257)</f>
        <v>0</v>
      </c>
      <c r="N257" s="4519"/>
      <c r="O257" s="4519">
        <f t="shared" ref="O257:O263" si="42">M257-J257</f>
        <v>0</v>
      </c>
      <c r="P257" s="4044">
        <v>0</v>
      </c>
      <c r="Q257" s="4840"/>
    </row>
    <row r="258" spans="1:17" s="2070" customFormat="1">
      <c r="A258" s="4065">
        <v>4</v>
      </c>
      <c r="B258" s="4065">
        <v>1</v>
      </c>
      <c r="C258" s="4065">
        <v>4</v>
      </c>
      <c r="D258" s="4048"/>
      <c r="E258" s="4048"/>
      <c r="F258" s="4066">
        <v>3</v>
      </c>
      <c r="G258" s="4050"/>
      <c r="H258" s="4068" t="s">
        <v>71</v>
      </c>
      <c r="I258" s="4068"/>
      <c r="J258" s="4521">
        <v>0</v>
      </c>
      <c r="K258" s="2159">
        <v>0</v>
      </c>
      <c r="L258" s="4521">
        <f>SUM(L259:L263)</f>
        <v>0</v>
      </c>
      <c r="M258" s="4253">
        <f t="shared" si="41"/>
        <v>0</v>
      </c>
      <c r="N258" s="4253"/>
      <c r="O258" s="4254">
        <f t="shared" si="42"/>
        <v>0</v>
      </c>
      <c r="P258" s="4061">
        <v>0</v>
      </c>
      <c r="Q258" s="4839"/>
    </row>
    <row r="259" spans="1:17" s="2070" customFormat="1">
      <c r="A259" s="4065">
        <v>4</v>
      </c>
      <c r="B259" s="4065">
        <v>1</v>
      </c>
      <c r="C259" s="4065">
        <v>4</v>
      </c>
      <c r="D259" s="4065" t="s">
        <v>441</v>
      </c>
      <c r="E259" s="4048"/>
      <c r="F259" s="4049"/>
      <c r="G259" s="4059"/>
      <c r="H259" s="4062" t="s">
        <v>50</v>
      </c>
      <c r="I259" s="4060" t="s">
        <v>72</v>
      </c>
      <c r="J259" s="1964">
        <v>0</v>
      </c>
      <c r="K259" s="2159">
        <v>0</v>
      </c>
      <c r="L259" s="2160">
        <f>'[2]ALL BULAN'!E259</f>
        <v>0</v>
      </c>
      <c r="M259" s="4253">
        <f t="shared" si="41"/>
        <v>0</v>
      </c>
      <c r="N259" s="4253"/>
      <c r="O259" s="4254">
        <f t="shared" si="42"/>
        <v>0</v>
      </c>
      <c r="P259" s="4061">
        <v>0</v>
      </c>
      <c r="Q259" s="4839"/>
    </row>
    <row r="260" spans="1:17" s="2070" customFormat="1">
      <c r="A260" s="4074">
        <v>4</v>
      </c>
      <c r="B260" s="4074">
        <v>1</v>
      </c>
      <c r="C260" s="4074" t="s">
        <v>443</v>
      </c>
      <c r="D260" s="4074" t="s">
        <v>444</v>
      </c>
      <c r="E260" s="4074" t="s">
        <v>440</v>
      </c>
      <c r="F260" s="4049"/>
      <c r="G260" s="4067"/>
      <c r="H260" s="4062" t="s">
        <v>50</v>
      </c>
      <c r="I260" s="4060" t="s">
        <v>73</v>
      </c>
      <c r="J260" s="1964">
        <v>0</v>
      </c>
      <c r="K260" s="2159">
        <v>0</v>
      </c>
      <c r="L260" s="2160">
        <f>'[2]ALL BULAN'!E260</f>
        <v>0</v>
      </c>
      <c r="M260" s="4253">
        <f t="shared" si="41"/>
        <v>0</v>
      </c>
      <c r="N260" s="4253"/>
      <c r="O260" s="4254">
        <f t="shared" si="42"/>
        <v>0</v>
      </c>
      <c r="P260" s="4061">
        <v>0</v>
      </c>
      <c r="Q260" s="4839"/>
    </row>
    <row r="261" spans="1:17" s="2070" customFormat="1">
      <c r="A261" s="4069">
        <v>4</v>
      </c>
      <c r="B261" s="4069">
        <v>1</v>
      </c>
      <c r="C261" s="4069" t="s">
        <v>443</v>
      </c>
      <c r="D261" s="4069" t="s">
        <v>444</v>
      </c>
      <c r="E261" s="4070" t="s">
        <v>445</v>
      </c>
      <c r="F261" s="4049"/>
      <c r="G261" s="4067"/>
      <c r="H261" s="4062" t="s">
        <v>50</v>
      </c>
      <c r="I261" s="4060" t="s">
        <v>74</v>
      </c>
      <c r="J261" s="1964">
        <v>0</v>
      </c>
      <c r="K261" s="2159">
        <v>0</v>
      </c>
      <c r="L261" s="2160">
        <f>'[2]ALL BULAN'!E261</f>
        <v>0</v>
      </c>
      <c r="M261" s="4253">
        <f t="shared" si="41"/>
        <v>0</v>
      </c>
      <c r="N261" s="4253"/>
      <c r="O261" s="4254">
        <f t="shared" si="42"/>
        <v>0</v>
      </c>
      <c r="P261" s="4061">
        <v>0</v>
      </c>
      <c r="Q261" s="4839"/>
    </row>
    <row r="262" spans="1:17" s="2070" customFormat="1">
      <c r="A262" s="4101">
        <v>4</v>
      </c>
      <c r="B262" s="4101">
        <v>1</v>
      </c>
      <c r="C262" s="4101" t="s">
        <v>443</v>
      </c>
      <c r="D262" s="4101" t="s">
        <v>444</v>
      </c>
      <c r="E262" s="4101" t="s">
        <v>441</v>
      </c>
      <c r="F262" s="4049"/>
      <c r="G262" s="4067"/>
      <c r="H262" s="4060" t="s">
        <v>308</v>
      </c>
      <c r="I262" s="4090" t="s">
        <v>75</v>
      </c>
      <c r="J262" s="1964">
        <v>0</v>
      </c>
      <c r="K262" s="2159">
        <v>0</v>
      </c>
      <c r="L262" s="2160">
        <f>'[2]ALL BULAN'!E262</f>
        <v>0</v>
      </c>
      <c r="M262" s="4253">
        <f t="shared" si="41"/>
        <v>0</v>
      </c>
      <c r="N262" s="4253"/>
      <c r="O262" s="4254">
        <f t="shared" si="42"/>
        <v>0</v>
      </c>
      <c r="P262" s="4061">
        <v>0</v>
      </c>
      <c r="Q262" s="4839"/>
    </row>
    <row r="263" spans="1:17" s="2070" customFormat="1">
      <c r="A263" s="4079">
        <v>4</v>
      </c>
      <c r="B263" s="4079">
        <v>1</v>
      </c>
      <c r="C263" s="4079" t="s">
        <v>443</v>
      </c>
      <c r="D263" s="4079" t="s">
        <v>447</v>
      </c>
      <c r="E263" s="4093" t="s">
        <v>437</v>
      </c>
      <c r="F263" s="4049"/>
      <c r="G263" s="4067"/>
      <c r="H263" s="4062" t="s">
        <v>50</v>
      </c>
      <c r="I263" s="4090" t="s">
        <v>85</v>
      </c>
      <c r="J263" s="1964">
        <v>0</v>
      </c>
      <c r="K263" s="2159">
        <v>0</v>
      </c>
      <c r="L263" s="2160">
        <f>'[2]ALL BULAN'!E263</f>
        <v>0</v>
      </c>
      <c r="M263" s="4253">
        <f t="shared" si="41"/>
        <v>0</v>
      </c>
      <c r="N263" s="4253"/>
      <c r="O263" s="4254">
        <f t="shared" si="42"/>
        <v>0</v>
      </c>
      <c r="P263" s="4061">
        <v>0</v>
      </c>
      <c r="Q263" s="4839"/>
    </row>
    <row r="264" spans="1:17" s="2070" customFormat="1">
      <c r="A264" s="4048"/>
      <c r="B264" s="4048"/>
      <c r="C264" s="4048"/>
      <c r="D264" s="4048"/>
      <c r="E264" s="4048"/>
      <c r="F264" s="4049"/>
      <c r="G264" s="4102"/>
      <c r="H264" s="4083"/>
      <c r="I264" s="4083"/>
      <c r="J264" s="4528"/>
      <c r="K264" s="2183"/>
      <c r="L264" s="4528"/>
      <c r="M264" s="4529"/>
      <c r="N264" s="4529"/>
      <c r="O264" s="4529"/>
      <c r="P264" s="4084"/>
      <c r="Q264" s="4839"/>
    </row>
    <row r="265" spans="1:17" s="2073" customFormat="1" ht="15.65">
      <c r="A265" s="4039"/>
      <c r="B265" s="4039"/>
      <c r="C265" s="4039"/>
      <c r="D265" s="4039"/>
      <c r="E265" s="4039"/>
      <c r="F265" s="4040"/>
      <c r="G265" s="4041" t="s">
        <v>150</v>
      </c>
      <c r="H265" s="4042" t="s">
        <v>151</v>
      </c>
      <c r="I265" s="4097"/>
      <c r="J265" s="4519">
        <v>0</v>
      </c>
      <c r="K265" s="4520">
        <v>0</v>
      </c>
      <c r="L265" s="4519">
        <f>L266</f>
        <v>0</v>
      </c>
      <c r="M265" s="4519">
        <f t="shared" ref="M265:M271" si="43">SUM(K265:L265)</f>
        <v>0</v>
      </c>
      <c r="N265" s="4519"/>
      <c r="O265" s="4519">
        <f t="shared" ref="O265:O271" si="44">M265-J265</f>
        <v>0</v>
      </c>
      <c r="P265" s="4044">
        <v>0</v>
      </c>
      <c r="Q265" s="4840"/>
    </row>
    <row r="266" spans="1:17" s="2070" customFormat="1">
      <c r="A266" s="4065">
        <v>4</v>
      </c>
      <c r="B266" s="4065">
        <v>1</v>
      </c>
      <c r="C266" s="4065">
        <v>4</v>
      </c>
      <c r="D266" s="4048"/>
      <c r="E266" s="4048"/>
      <c r="F266" s="4066">
        <v>3</v>
      </c>
      <c r="G266" s="4050"/>
      <c r="H266" s="4135" t="s">
        <v>71</v>
      </c>
      <c r="I266" s="4107"/>
      <c r="J266" s="4521">
        <v>0</v>
      </c>
      <c r="K266" s="2159">
        <v>0</v>
      </c>
      <c r="L266" s="4521">
        <f>SUM(L267:L271)</f>
        <v>0</v>
      </c>
      <c r="M266" s="4253">
        <f t="shared" si="43"/>
        <v>0</v>
      </c>
      <c r="N266" s="4253"/>
      <c r="O266" s="4254">
        <f t="shared" si="44"/>
        <v>0</v>
      </c>
      <c r="P266" s="4061">
        <v>0</v>
      </c>
      <c r="Q266" s="4839"/>
    </row>
    <row r="267" spans="1:17" s="2070" customFormat="1">
      <c r="A267" s="4065">
        <v>4</v>
      </c>
      <c r="B267" s="4065">
        <v>1</v>
      </c>
      <c r="C267" s="4065">
        <v>4</v>
      </c>
      <c r="D267" s="4065" t="s">
        <v>441</v>
      </c>
      <c r="E267" s="4048"/>
      <c r="F267" s="4049"/>
      <c r="G267" s="4067"/>
      <c r="H267" s="4062" t="s">
        <v>50</v>
      </c>
      <c r="I267" s="4060" t="s">
        <v>72</v>
      </c>
      <c r="J267" s="1964">
        <v>0</v>
      </c>
      <c r="K267" s="2159">
        <v>0</v>
      </c>
      <c r="L267" s="2160">
        <f>'[2]ALL BULAN'!E267</f>
        <v>0</v>
      </c>
      <c r="M267" s="4253">
        <f t="shared" si="43"/>
        <v>0</v>
      </c>
      <c r="N267" s="4253"/>
      <c r="O267" s="4254">
        <f t="shared" si="44"/>
        <v>0</v>
      </c>
      <c r="P267" s="4061">
        <v>0</v>
      </c>
      <c r="Q267" s="4839"/>
    </row>
    <row r="268" spans="1:17" s="2070" customFormat="1">
      <c r="A268" s="4074">
        <v>4</v>
      </c>
      <c r="B268" s="4074">
        <v>1</v>
      </c>
      <c r="C268" s="4074" t="s">
        <v>443</v>
      </c>
      <c r="D268" s="4074" t="s">
        <v>444</v>
      </c>
      <c r="E268" s="4074" t="s">
        <v>440</v>
      </c>
      <c r="F268" s="4049"/>
      <c r="G268" s="4067"/>
      <c r="H268" s="4062" t="s">
        <v>50</v>
      </c>
      <c r="I268" s="4060" t="s">
        <v>73</v>
      </c>
      <c r="J268" s="1964">
        <v>0</v>
      </c>
      <c r="K268" s="2159">
        <v>0</v>
      </c>
      <c r="L268" s="2160">
        <f>'[2]ALL BULAN'!E268</f>
        <v>0</v>
      </c>
      <c r="M268" s="4253">
        <f t="shared" si="43"/>
        <v>0</v>
      </c>
      <c r="N268" s="4253"/>
      <c r="O268" s="4254">
        <f t="shared" si="44"/>
        <v>0</v>
      </c>
      <c r="P268" s="4061">
        <v>0</v>
      </c>
      <c r="Q268" s="4839"/>
    </row>
    <row r="269" spans="1:17" s="2070" customFormat="1">
      <c r="A269" s="4069">
        <v>4</v>
      </c>
      <c r="B269" s="4069">
        <v>1</v>
      </c>
      <c r="C269" s="4069" t="s">
        <v>443</v>
      </c>
      <c r="D269" s="4069" t="s">
        <v>444</v>
      </c>
      <c r="E269" s="4070" t="s">
        <v>445</v>
      </c>
      <c r="F269" s="4049"/>
      <c r="G269" s="4067"/>
      <c r="H269" s="4062" t="s">
        <v>50</v>
      </c>
      <c r="I269" s="4060" t="s">
        <v>74</v>
      </c>
      <c r="J269" s="1964">
        <v>0</v>
      </c>
      <c r="K269" s="2159">
        <v>0</v>
      </c>
      <c r="L269" s="2160">
        <f>'[2]ALL BULAN'!E269</f>
        <v>0</v>
      </c>
      <c r="M269" s="4253">
        <f t="shared" si="43"/>
        <v>0</v>
      </c>
      <c r="N269" s="4253"/>
      <c r="O269" s="4254">
        <f t="shared" si="44"/>
        <v>0</v>
      </c>
      <c r="P269" s="4061">
        <v>0</v>
      </c>
      <c r="Q269" s="4839"/>
    </row>
    <row r="270" spans="1:17" s="2070" customFormat="1">
      <c r="A270" s="4101">
        <v>4</v>
      </c>
      <c r="B270" s="4101">
        <v>1</v>
      </c>
      <c r="C270" s="4101" t="s">
        <v>443</v>
      </c>
      <c r="D270" s="4101" t="s">
        <v>444</v>
      </c>
      <c r="E270" s="4101" t="s">
        <v>441</v>
      </c>
      <c r="F270" s="4049"/>
      <c r="G270" s="4067"/>
      <c r="H270" s="4060" t="s">
        <v>308</v>
      </c>
      <c r="I270" s="4090" t="s">
        <v>75</v>
      </c>
      <c r="J270" s="1964">
        <v>0</v>
      </c>
      <c r="K270" s="2159">
        <v>0</v>
      </c>
      <c r="L270" s="2160">
        <f>'[2]ALL BULAN'!E270</f>
        <v>0</v>
      </c>
      <c r="M270" s="4253">
        <f t="shared" si="43"/>
        <v>0</v>
      </c>
      <c r="N270" s="4253"/>
      <c r="O270" s="4254">
        <f t="shared" si="44"/>
        <v>0</v>
      </c>
      <c r="P270" s="4061">
        <v>0</v>
      </c>
      <c r="Q270" s="4839"/>
    </row>
    <row r="271" spans="1:17" s="2070" customFormat="1">
      <c r="A271" s="4079">
        <v>4</v>
      </c>
      <c r="B271" s="4079">
        <v>1</v>
      </c>
      <c r="C271" s="4079" t="s">
        <v>443</v>
      </c>
      <c r="D271" s="4079" t="s">
        <v>447</v>
      </c>
      <c r="E271" s="4093" t="s">
        <v>437</v>
      </c>
      <c r="F271" s="4049"/>
      <c r="G271" s="4067"/>
      <c r="H271" s="4062" t="s">
        <v>50</v>
      </c>
      <c r="I271" s="4090" t="s">
        <v>85</v>
      </c>
      <c r="J271" s="1964">
        <v>0</v>
      </c>
      <c r="K271" s="2159">
        <v>0</v>
      </c>
      <c r="L271" s="2160">
        <f>'[2]ALL BULAN'!E271</f>
        <v>0</v>
      </c>
      <c r="M271" s="4253">
        <f t="shared" si="43"/>
        <v>0</v>
      </c>
      <c r="N271" s="4253"/>
      <c r="O271" s="4254">
        <f t="shared" si="44"/>
        <v>0</v>
      </c>
      <c r="P271" s="4061">
        <v>0</v>
      </c>
      <c r="Q271" s="4839"/>
    </row>
    <row r="272" spans="1:17" s="2073" customFormat="1" ht="15.65">
      <c r="A272" s="4039"/>
      <c r="B272" s="4039"/>
      <c r="C272" s="4039"/>
      <c r="D272" s="4039"/>
      <c r="E272" s="4039"/>
      <c r="F272" s="4040"/>
      <c r="G272" s="4041" t="s">
        <v>152</v>
      </c>
      <c r="H272" s="4042" t="s">
        <v>153</v>
      </c>
      <c r="I272" s="4097"/>
      <c r="J272" s="4519">
        <v>0</v>
      </c>
      <c r="K272" s="4520">
        <v>0</v>
      </c>
      <c r="L272" s="4519">
        <f>L273</f>
        <v>0</v>
      </c>
      <c r="M272" s="4519">
        <f t="shared" ref="M272:M278" si="45">SUM(K272:L272)</f>
        <v>0</v>
      </c>
      <c r="N272" s="4519"/>
      <c r="O272" s="4519">
        <f t="shared" ref="O272:O278" si="46">M272-J272</f>
        <v>0</v>
      </c>
      <c r="P272" s="4044">
        <v>0</v>
      </c>
      <c r="Q272" s="4840"/>
    </row>
    <row r="273" spans="1:17" s="2070" customFormat="1">
      <c r="A273" s="4065">
        <v>4</v>
      </c>
      <c r="B273" s="4065">
        <v>1</v>
      </c>
      <c r="C273" s="4065">
        <v>4</v>
      </c>
      <c r="D273" s="4048"/>
      <c r="E273" s="4048"/>
      <c r="F273" s="4066">
        <v>3</v>
      </c>
      <c r="G273" s="4067"/>
      <c r="H273" s="4068" t="s">
        <v>71</v>
      </c>
      <c r="I273" s="4068"/>
      <c r="J273" s="4254">
        <v>0</v>
      </c>
      <c r="K273" s="2159">
        <v>0</v>
      </c>
      <c r="L273" s="4254">
        <f>SUM(L274:L278)</f>
        <v>0</v>
      </c>
      <c r="M273" s="4253">
        <f t="shared" si="45"/>
        <v>0</v>
      </c>
      <c r="N273" s="4253"/>
      <c r="O273" s="4254">
        <f t="shared" si="46"/>
        <v>0</v>
      </c>
      <c r="P273" s="4061">
        <v>0</v>
      </c>
      <c r="Q273" s="4839"/>
    </row>
    <row r="274" spans="1:17" s="2070" customFormat="1">
      <c r="A274" s="4065">
        <v>4</v>
      </c>
      <c r="B274" s="4065">
        <v>1</v>
      </c>
      <c r="C274" s="4065">
        <v>4</v>
      </c>
      <c r="D274" s="4065" t="s">
        <v>441</v>
      </c>
      <c r="E274" s="4048"/>
      <c r="F274" s="4049"/>
      <c r="G274" s="4067"/>
      <c r="H274" s="4062" t="s">
        <v>50</v>
      </c>
      <c r="I274" s="4060" t="s">
        <v>72</v>
      </c>
      <c r="J274" s="1964">
        <v>0</v>
      </c>
      <c r="K274" s="2159">
        <v>0</v>
      </c>
      <c r="L274" s="2160">
        <f>'[2]ALL BULAN'!E275</f>
        <v>0</v>
      </c>
      <c r="M274" s="4253">
        <f t="shared" si="45"/>
        <v>0</v>
      </c>
      <c r="N274" s="4253"/>
      <c r="O274" s="4254">
        <f t="shared" si="46"/>
        <v>0</v>
      </c>
      <c r="P274" s="4061">
        <v>0</v>
      </c>
      <c r="Q274" s="4839"/>
    </row>
    <row r="275" spans="1:17" s="2070" customFormat="1">
      <c r="A275" s="4074">
        <v>4</v>
      </c>
      <c r="B275" s="4074">
        <v>1</v>
      </c>
      <c r="C275" s="4074" t="s">
        <v>443</v>
      </c>
      <c r="D275" s="4074" t="s">
        <v>444</v>
      </c>
      <c r="E275" s="4074" t="s">
        <v>440</v>
      </c>
      <c r="F275" s="4049"/>
      <c r="G275" s="4067"/>
      <c r="H275" s="4062" t="s">
        <v>50</v>
      </c>
      <c r="I275" s="4060" t="s">
        <v>73</v>
      </c>
      <c r="J275" s="1964">
        <v>0</v>
      </c>
      <c r="K275" s="2159">
        <v>0</v>
      </c>
      <c r="L275" s="2160">
        <f>'[2]ALL BULAN'!E276</f>
        <v>0</v>
      </c>
      <c r="M275" s="4253">
        <f t="shared" si="45"/>
        <v>0</v>
      </c>
      <c r="N275" s="4253"/>
      <c r="O275" s="4254">
        <f t="shared" si="46"/>
        <v>0</v>
      </c>
      <c r="P275" s="4061">
        <v>0</v>
      </c>
      <c r="Q275" s="4839"/>
    </row>
    <row r="276" spans="1:17" s="2070" customFormat="1">
      <c r="A276" s="4069">
        <v>4</v>
      </c>
      <c r="B276" s="4069">
        <v>1</v>
      </c>
      <c r="C276" s="4069" t="s">
        <v>443</v>
      </c>
      <c r="D276" s="4069" t="s">
        <v>444</v>
      </c>
      <c r="E276" s="4070" t="s">
        <v>445</v>
      </c>
      <c r="F276" s="4049"/>
      <c r="G276" s="4150"/>
      <c r="H276" s="4062" t="s">
        <v>50</v>
      </c>
      <c r="I276" s="4060" t="s">
        <v>74</v>
      </c>
      <c r="J276" s="1964">
        <v>0</v>
      </c>
      <c r="K276" s="2159">
        <v>0</v>
      </c>
      <c r="L276" s="2160">
        <f>'[2]ALL BULAN'!E277</f>
        <v>0</v>
      </c>
      <c r="M276" s="4253">
        <f t="shared" si="45"/>
        <v>0</v>
      </c>
      <c r="N276" s="4253"/>
      <c r="O276" s="4254">
        <f t="shared" si="46"/>
        <v>0</v>
      </c>
      <c r="P276" s="4061">
        <v>0</v>
      </c>
      <c r="Q276" s="4839"/>
    </row>
    <row r="277" spans="1:17" s="2070" customFormat="1">
      <c r="A277" s="4101">
        <v>4</v>
      </c>
      <c r="B277" s="4101">
        <v>1</v>
      </c>
      <c r="C277" s="4101" t="s">
        <v>443</v>
      </c>
      <c r="D277" s="4101" t="s">
        <v>444</v>
      </c>
      <c r="E277" s="4101" t="s">
        <v>441</v>
      </c>
      <c r="F277" s="4049"/>
      <c r="G277" s="4150"/>
      <c r="H277" s="4060" t="s">
        <v>308</v>
      </c>
      <c r="I277" s="4090" t="s">
        <v>75</v>
      </c>
      <c r="J277" s="1964">
        <v>0</v>
      </c>
      <c r="K277" s="2159">
        <v>0</v>
      </c>
      <c r="L277" s="2160">
        <f>'[2]ALL BULAN'!E278</f>
        <v>0</v>
      </c>
      <c r="M277" s="4253">
        <f t="shared" si="45"/>
        <v>0</v>
      </c>
      <c r="N277" s="4253"/>
      <c r="O277" s="4254">
        <f t="shared" si="46"/>
        <v>0</v>
      </c>
      <c r="P277" s="4061">
        <v>0</v>
      </c>
      <c r="Q277" s="4839"/>
    </row>
    <row r="278" spans="1:17" s="2070" customFormat="1">
      <c r="A278" s="4079">
        <v>4</v>
      </c>
      <c r="B278" s="4079">
        <v>1</v>
      </c>
      <c r="C278" s="4079" t="s">
        <v>443</v>
      </c>
      <c r="D278" s="4079" t="s">
        <v>447</v>
      </c>
      <c r="E278" s="4093" t="s">
        <v>437</v>
      </c>
      <c r="F278" s="4049"/>
      <c r="G278" s="4150"/>
      <c r="H278" s="4062" t="s">
        <v>50</v>
      </c>
      <c r="I278" s="4090" t="s">
        <v>85</v>
      </c>
      <c r="J278" s="1964">
        <v>0</v>
      </c>
      <c r="K278" s="2159">
        <v>0</v>
      </c>
      <c r="L278" s="2160">
        <f>'[2]ALL BULAN'!E279</f>
        <v>0</v>
      </c>
      <c r="M278" s="4253">
        <f t="shared" si="45"/>
        <v>0</v>
      </c>
      <c r="N278" s="4253"/>
      <c r="O278" s="4254">
        <f t="shared" si="46"/>
        <v>0</v>
      </c>
      <c r="P278" s="4061">
        <v>0</v>
      </c>
      <c r="Q278" s="4839"/>
    </row>
    <row r="279" spans="1:17" s="2070" customFormat="1">
      <c r="A279" s="4048"/>
      <c r="B279" s="4048"/>
      <c r="C279" s="4048"/>
      <c r="D279" s="4048"/>
      <c r="E279" s="4048"/>
      <c r="F279" s="4049"/>
      <c r="G279" s="4150"/>
      <c r="H279" s="4151"/>
      <c r="I279" s="4151"/>
      <c r="J279" s="2143"/>
      <c r="K279" s="2144"/>
      <c r="L279" s="2143"/>
      <c r="M279" s="1727"/>
      <c r="N279" s="1727"/>
      <c r="O279" s="1727"/>
      <c r="P279" s="4038"/>
      <c r="Q279" s="4839"/>
    </row>
    <row r="280" spans="1:17" s="2070" customFormat="1" ht="15.65">
      <c r="A280" s="4048"/>
      <c r="B280" s="4048"/>
      <c r="C280" s="4048"/>
      <c r="D280" s="4048"/>
      <c r="E280" s="4048"/>
      <c r="F280" s="4049"/>
      <c r="G280" s="4165" t="s">
        <v>154</v>
      </c>
      <c r="H280" s="4166" t="s">
        <v>155</v>
      </c>
      <c r="I280" s="4167"/>
      <c r="J280" s="4543">
        <v>131250000</v>
      </c>
      <c r="K280" s="4544">
        <v>13309500</v>
      </c>
      <c r="L280" s="4543">
        <f>L282+L297+L305+L314+L322+L330+L350</f>
        <v>16963600</v>
      </c>
      <c r="M280" s="4543">
        <f>SUM(K280:L280)</f>
        <v>30273100</v>
      </c>
      <c r="N280" s="4543">
        <f>N282</f>
        <v>131250000</v>
      </c>
      <c r="O280" s="4543">
        <f>N280-J280</f>
        <v>0</v>
      </c>
      <c r="P280" s="4168">
        <f>P282</f>
        <v>0</v>
      </c>
      <c r="Q280" s="4839"/>
    </row>
    <row r="281" spans="1:17" s="2070" customFormat="1">
      <c r="A281" s="4048"/>
      <c r="B281" s="4048"/>
      <c r="C281" s="4048"/>
      <c r="D281" s="4048"/>
      <c r="E281" s="4048"/>
      <c r="F281" s="4049"/>
      <c r="G281" s="4169"/>
      <c r="H281" s="4131"/>
      <c r="I281" s="4131"/>
      <c r="J281" s="2303"/>
      <c r="K281" s="2144"/>
      <c r="L281" s="2303"/>
      <c r="M281" s="2304"/>
      <c r="N281" s="2304"/>
      <c r="O281" s="2304"/>
      <c r="P281" s="4170"/>
      <c r="Q281" s="4839"/>
    </row>
    <row r="282" spans="1:17" s="2073" customFormat="1" ht="15.65">
      <c r="A282" s="4039"/>
      <c r="B282" s="4039"/>
      <c r="C282" s="4039"/>
      <c r="D282" s="4039"/>
      <c r="E282" s="4039"/>
      <c r="F282" s="4040"/>
      <c r="G282" s="4041"/>
      <c r="H282" s="4042" t="s">
        <v>156</v>
      </c>
      <c r="I282" s="4097" t="s">
        <v>157</v>
      </c>
      <c r="J282" s="4545">
        <f>J283</f>
        <v>131250000</v>
      </c>
      <c r="K282" s="4520">
        <v>13309500</v>
      </c>
      <c r="L282" s="4545">
        <f>L283+L290</f>
        <v>16963600</v>
      </c>
      <c r="M282" s="4519">
        <f t="shared" ref="M282:M288" si="47">SUM(K282:L282)</f>
        <v>30273100</v>
      </c>
      <c r="N282" s="4545">
        <f>N283</f>
        <v>131250000</v>
      </c>
      <c r="O282" s="4519">
        <f>O283</f>
        <v>0</v>
      </c>
      <c r="P282" s="4044">
        <f>O282/J282*100</f>
        <v>0</v>
      </c>
      <c r="Q282" s="4840"/>
    </row>
    <row r="283" spans="1:17" s="2070" customFormat="1">
      <c r="A283" s="4048"/>
      <c r="B283" s="4048"/>
      <c r="C283" s="4048"/>
      <c r="D283" s="4048"/>
      <c r="E283" s="4048"/>
      <c r="F283" s="4066">
        <v>1</v>
      </c>
      <c r="G283" s="4067"/>
      <c r="H283" s="4068" t="s">
        <v>106</v>
      </c>
      <c r="I283" s="4060"/>
      <c r="J283" s="4546">
        <f>J284</f>
        <v>131250000</v>
      </c>
      <c r="K283" s="2159">
        <v>2500000</v>
      </c>
      <c r="L283" s="4546">
        <f>+L284</f>
        <v>5500000</v>
      </c>
      <c r="M283" s="4253">
        <f t="shared" si="47"/>
        <v>8000000</v>
      </c>
      <c r="N283" s="4546">
        <f>N284</f>
        <v>131250000</v>
      </c>
      <c r="O283" s="4254">
        <f>N283-J283</f>
        <v>0</v>
      </c>
      <c r="P283" s="4758">
        <f t="shared" ref="P283:P288" si="48">O283/J283*100</f>
        <v>0</v>
      </c>
      <c r="Q283" s="4839"/>
    </row>
    <row r="284" spans="1:17" s="2070" customFormat="1">
      <c r="A284" s="4046">
        <v>4</v>
      </c>
      <c r="B284" s="4046">
        <v>1</v>
      </c>
      <c r="C284" s="4046">
        <v>2</v>
      </c>
      <c r="D284" s="4047" t="s">
        <v>438</v>
      </c>
      <c r="E284" s="4128"/>
      <c r="F284" s="4049"/>
      <c r="G284" s="4067"/>
      <c r="H284" s="4068" t="s">
        <v>63</v>
      </c>
      <c r="I284" s="4060"/>
      <c r="J284" s="4546">
        <f>J285</f>
        <v>131250000</v>
      </c>
      <c r="K284" s="2159">
        <v>2500000</v>
      </c>
      <c r="L284" s="4546">
        <f>L285</f>
        <v>5500000</v>
      </c>
      <c r="M284" s="4253">
        <f t="shared" si="47"/>
        <v>8000000</v>
      </c>
      <c r="N284" s="4546">
        <f>N285</f>
        <v>131250000</v>
      </c>
      <c r="O284" s="4254">
        <f t="shared" ref="O284:O296" si="49">N284-J284</f>
        <v>0</v>
      </c>
      <c r="P284" s="4061">
        <f t="shared" si="48"/>
        <v>0</v>
      </c>
      <c r="Q284" s="4839"/>
    </row>
    <row r="285" spans="1:17" s="2070" customFormat="1">
      <c r="A285" s="4046">
        <v>4</v>
      </c>
      <c r="B285" s="4046">
        <v>1</v>
      </c>
      <c r="C285" s="4046">
        <v>2</v>
      </c>
      <c r="D285" s="4047" t="s">
        <v>438</v>
      </c>
      <c r="E285" s="4093" t="s">
        <v>437</v>
      </c>
      <c r="F285" s="4049"/>
      <c r="G285" s="4059"/>
      <c r="H285" s="4068" t="s">
        <v>64</v>
      </c>
      <c r="I285" s="4060"/>
      <c r="J285" s="4547">
        <f>SUM(J286:J288)</f>
        <v>131250000</v>
      </c>
      <c r="K285" s="2159">
        <v>2500000</v>
      </c>
      <c r="L285" s="4547">
        <f>SUM(L286:L288)</f>
        <v>5500000</v>
      </c>
      <c r="M285" s="4253">
        <f t="shared" si="47"/>
        <v>8000000</v>
      </c>
      <c r="N285" s="4547">
        <f>SUM(N286:N288)</f>
        <v>131250000</v>
      </c>
      <c r="O285" s="4254">
        <f t="shared" si="49"/>
        <v>0</v>
      </c>
      <c r="P285" s="4061">
        <f t="shared" si="48"/>
        <v>0</v>
      </c>
      <c r="Q285" s="4839"/>
    </row>
    <row r="286" spans="1:17" s="2070" customFormat="1">
      <c r="A286" s="4048"/>
      <c r="B286" s="4048"/>
      <c r="C286" s="4048"/>
      <c r="D286" s="4048"/>
      <c r="E286" s="4048"/>
      <c r="F286" s="4049"/>
      <c r="G286" s="4067"/>
      <c r="H286" s="4060" t="s">
        <v>50</v>
      </c>
      <c r="I286" s="4060" t="s">
        <v>158</v>
      </c>
      <c r="J286" s="1964">
        <v>30000000</v>
      </c>
      <c r="K286" s="2159">
        <v>0</v>
      </c>
      <c r="L286" s="2160">
        <f>'[2]ALL BULAN'!E287</f>
        <v>0</v>
      </c>
      <c r="M286" s="4253">
        <f t="shared" si="47"/>
        <v>0</v>
      </c>
      <c r="N286" s="4248">
        <v>30000000</v>
      </c>
      <c r="O286" s="4254">
        <f t="shared" si="49"/>
        <v>0</v>
      </c>
      <c r="P286" s="4061">
        <f t="shared" si="48"/>
        <v>0</v>
      </c>
      <c r="Q286" s="4839"/>
    </row>
    <row r="287" spans="1:17" s="2070" customFormat="1">
      <c r="A287" s="4048"/>
      <c r="B287" s="4048"/>
      <c r="C287" s="4048"/>
      <c r="D287" s="4048"/>
      <c r="E287" s="4048"/>
      <c r="F287" s="4049"/>
      <c r="G287" s="4067"/>
      <c r="H287" s="4060" t="s">
        <v>50</v>
      </c>
      <c r="I287" s="4060" t="s">
        <v>159</v>
      </c>
      <c r="J287" s="1964">
        <v>26250000</v>
      </c>
      <c r="K287" s="2159">
        <v>1500000</v>
      </c>
      <c r="L287" s="2160">
        <v>0</v>
      </c>
      <c r="M287" s="4253">
        <f t="shared" si="47"/>
        <v>1500000</v>
      </c>
      <c r="N287" s="1964">
        <v>26250000</v>
      </c>
      <c r="O287" s="4254">
        <f t="shared" si="49"/>
        <v>0</v>
      </c>
      <c r="P287" s="4061">
        <f t="shared" si="48"/>
        <v>0</v>
      </c>
      <c r="Q287" s="4839"/>
    </row>
    <row r="288" spans="1:17" s="2070" customFormat="1">
      <c r="A288" s="4048"/>
      <c r="B288" s="4048"/>
      <c r="C288" s="4048"/>
      <c r="D288" s="4048"/>
      <c r="E288" s="4048"/>
      <c r="F288" s="4049"/>
      <c r="G288" s="4067"/>
      <c r="H288" s="4060" t="s">
        <v>50</v>
      </c>
      <c r="I288" s="4060" t="s">
        <v>160</v>
      </c>
      <c r="J288" s="1964">
        <v>75000000</v>
      </c>
      <c r="K288" s="2159">
        <v>1000000</v>
      </c>
      <c r="L288" s="2160">
        <v>5500000</v>
      </c>
      <c r="M288" s="4253">
        <f t="shared" si="47"/>
        <v>6500000</v>
      </c>
      <c r="N288" s="1964">
        <v>75000000</v>
      </c>
      <c r="O288" s="4254">
        <f t="shared" si="49"/>
        <v>0</v>
      </c>
      <c r="P288" s="4061">
        <f t="shared" si="48"/>
        <v>0</v>
      </c>
      <c r="Q288" s="4839"/>
    </row>
    <row r="289" spans="1:17" s="2070" customFormat="1">
      <c r="A289" s="4048"/>
      <c r="B289" s="4048"/>
      <c r="C289" s="4048"/>
      <c r="D289" s="4048"/>
      <c r="E289" s="4048"/>
      <c r="F289" s="4049"/>
      <c r="G289" s="4067"/>
      <c r="H289" s="4060"/>
      <c r="I289" s="4060"/>
      <c r="J289" s="2309"/>
      <c r="K289" s="2159"/>
      <c r="L289" s="2309"/>
      <c r="M289" s="4253"/>
      <c r="N289" s="4253"/>
      <c r="O289" s="4254">
        <f t="shared" si="49"/>
        <v>0</v>
      </c>
      <c r="P289" s="4057">
        <f>O289-K289</f>
        <v>0</v>
      </c>
      <c r="Q289" s="4839"/>
    </row>
    <row r="290" spans="1:17" s="2070" customFormat="1">
      <c r="A290" s="4065">
        <v>4</v>
      </c>
      <c r="B290" s="4065">
        <v>1</v>
      </c>
      <c r="C290" s="4065">
        <v>4</v>
      </c>
      <c r="D290" s="4048"/>
      <c r="E290" s="4048"/>
      <c r="F290" s="4066">
        <v>3</v>
      </c>
      <c r="G290" s="4067"/>
      <c r="H290" s="4068" t="s">
        <v>71</v>
      </c>
      <c r="I290" s="4068"/>
      <c r="J290" s="4541">
        <v>0</v>
      </c>
      <c r="K290" s="2159">
        <v>10809500</v>
      </c>
      <c r="L290" s="4541">
        <f>SUM(L291:L295)</f>
        <v>11463600</v>
      </c>
      <c r="M290" s="4253">
        <f t="shared" ref="M290:M295" si="50">SUM(K290:L290)</f>
        <v>22273100</v>
      </c>
      <c r="N290" s="4253"/>
      <c r="O290" s="4254">
        <f t="shared" si="49"/>
        <v>0</v>
      </c>
      <c r="P290" s="4061">
        <v>0</v>
      </c>
      <c r="Q290" s="4839"/>
    </row>
    <row r="291" spans="1:17" s="2070" customFormat="1">
      <c r="A291" s="4065">
        <v>4</v>
      </c>
      <c r="B291" s="4065">
        <v>1</v>
      </c>
      <c r="C291" s="4065">
        <v>4</v>
      </c>
      <c r="D291" s="4065" t="s">
        <v>441</v>
      </c>
      <c r="E291" s="4048"/>
      <c r="F291" s="4049"/>
      <c r="G291" s="4067"/>
      <c r="H291" s="4062" t="s">
        <v>50</v>
      </c>
      <c r="I291" s="4060" t="s">
        <v>72</v>
      </c>
      <c r="J291" s="1964">
        <v>0</v>
      </c>
      <c r="K291" s="2159">
        <v>0</v>
      </c>
      <c r="L291" s="2160">
        <f>'[2]ALL BULAN'!E292</f>
        <v>0</v>
      </c>
      <c r="M291" s="4253">
        <f t="shared" si="50"/>
        <v>0</v>
      </c>
      <c r="N291" s="4253"/>
      <c r="O291" s="4254">
        <f t="shared" si="49"/>
        <v>0</v>
      </c>
      <c r="P291" s="4061">
        <v>0</v>
      </c>
      <c r="Q291" s="4839"/>
    </row>
    <row r="292" spans="1:17" s="2070" customFormat="1">
      <c r="A292" s="4074">
        <v>4</v>
      </c>
      <c r="B292" s="4074">
        <v>1</v>
      </c>
      <c r="C292" s="4074" t="s">
        <v>443</v>
      </c>
      <c r="D292" s="4074" t="s">
        <v>444</v>
      </c>
      <c r="E292" s="4074" t="s">
        <v>440</v>
      </c>
      <c r="F292" s="4049"/>
      <c r="G292" s="4067"/>
      <c r="H292" s="4062" t="s">
        <v>50</v>
      </c>
      <c r="I292" s="4060" t="s">
        <v>73</v>
      </c>
      <c r="J292" s="1964">
        <v>0</v>
      </c>
      <c r="K292" s="2159">
        <v>0</v>
      </c>
      <c r="L292" s="2160">
        <v>11463600</v>
      </c>
      <c r="M292" s="4253">
        <f t="shared" si="50"/>
        <v>11463600</v>
      </c>
      <c r="N292" s="4253"/>
      <c r="O292" s="4254">
        <f t="shared" si="49"/>
        <v>0</v>
      </c>
      <c r="P292" s="4061">
        <v>0</v>
      </c>
      <c r="Q292" s="4839"/>
    </row>
    <row r="293" spans="1:17" s="2070" customFormat="1">
      <c r="A293" s="4069">
        <v>4</v>
      </c>
      <c r="B293" s="4069">
        <v>1</v>
      </c>
      <c r="C293" s="4069" t="s">
        <v>443</v>
      </c>
      <c r="D293" s="4069" t="s">
        <v>444</v>
      </c>
      <c r="E293" s="4070" t="s">
        <v>445</v>
      </c>
      <c r="F293" s="4049"/>
      <c r="G293" s="4067"/>
      <c r="H293" s="4062" t="s">
        <v>50</v>
      </c>
      <c r="I293" s="4060" t="s">
        <v>74</v>
      </c>
      <c r="J293" s="1964">
        <v>0</v>
      </c>
      <c r="K293" s="2159">
        <v>0</v>
      </c>
      <c r="L293" s="2160">
        <v>0</v>
      </c>
      <c r="M293" s="4253">
        <f t="shared" si="50"/>
        <v>0</v>
      </c>
      <c r="N293" s="4253"/>
      <c r="O293" s="4254">
        <f t="shared" si="49"/>
        <v>0</v>
      </c>
      <c r="P293" s="4061">
        <v>0</v>
      </c>
      <c r="Q293" s="4839"/>
    </row>
    <row r="294" spans="1:17" s="2070" customFormat="1">
      <c r="A294" s="4101">
        <v>4</v>
      </c>
      <c r="B294" s="4101">
        <v>1</v>
      </c>
      <c r="C294" s="4101" t="s">
        <v>443</v>
      </c>
      <c r="D294" s="4101" t="s">
        <v>444</v>
      </c>
      <c r="E294" s="4101" t="s">
        <v>441</v>
      </c>
      <c r="F294" s="4049"/>
      <c r="G294" s="4067"/>
      <c r="H294" s="4060" t="s">
        <v>308</v>
      </c>
      <c r="I294" s="4090" t="s">
        <v>75</v>
      </c>
      <c r="J294" s="1964">
        <v>0</v>
      </c>
      <c r="K294" s="2159">
        <v>0</v>
      </c>
      <c r="L294" s="2160">
        <v>0</v>
      </c>
      <c r="M294" s="4253">
        <f t="shared" si="50"/>
        <v>0</v>
      </c>
      <c r="N294" s="4253"/>
      <c r="O294" s="4254">
        <f t="shared" si="49"/>
        <v>0</v>
      </c>
      <c r="P294" s="4061">
        <v>0</v>
      </c>
      <c r="Q294" s="4839"/>
    </row>
    <row r="295" spans="1:17" s="2070" customFormat="1">
      <c r="A295" s="4079">
        <v>4</v>
      </c>
      <c r="B295" s="4079">
        <v>1</v>
      </c>
      <c r="C295" s="4079" t="s">
        <v>443</v>
      </c>
      <c r="D295" s="4079" t="s">
        <v>447</v>
      </c>
      <c r="E295" s="4093" t="s">
        <v>437</v>
      </c>
      <c r="F295" s="4049"/>
      <c r="G295" s="4067"/>
      <c r="H295" s="4062" t="s">
        <v>50</v>
      </c>
      <c r="I295" s="4090" t="s">
        <v>85</v>
      </c>
      <c r="J295" s="1964">
        <v>0</v>
      </c>
      <c r="K295" s="2159">
        <v>10809500</v>
      </c>
      <c r="L295" s="2160">
        <v>0</v>
      </c>
      <c r="M295" s="4253">
        <f t="shared" si="50"/>
        <v>10809500</v>
      </c>
      <c r="N295" s="4253"/>
      <c r="O295" s="4254">
        <f t="shared" si="49"/>
        <v>0</v>
      </c>
      <c r="P295" s="4061">
        <v>0</v>
      </c>
      <c r="Q295" s="4839"/>
    </row>
    <row r="296" spans="1:17" s="2070" customFormat="1">
      <c r="A296" s="4048"/>
      <c r="B296" s="4048"/>
      <c r="C296" s="4048"/>
      <c r="D296" s="4048"/>
      <c r="E296" s="4048"/>
      <c r="F296" s="4049"/>
      <c r="G296" s="4102"/>
      <c r="H296" s="4171"/>
      <c r="I296" s="4171"/>
      <c r="J296" s="4548">
        <v>0</v>
      </c>
      <c r="K296" s="2183">
        <v>0</v>
      </c>
      <c r="L296" s="4548">
        <v>0</v>
      </c>
      <c r="M296" s="4549">
        <v>0</v>
      </c>
      <c r="N296" s="4549"/>
      <c r="O296" s="4254">
        <f t="shared" si="49"/>
        <v>0</v>
      </c>
      <c r="P296" s="4172">
        <v>0</v>
      </c>
      <c r="Q296" s="4839"/>
    </row>
    <row r="297" spans="1:17" s="2073" customFormat="1" ht="15.05">
      <c r="A297" s="4039"/>
      <c r="B297" s="4039"/>
      <c r="C297" s="4039"/>
      <c r="D297" s="4039"/>
      <c r="E297" s="4039"/>
      <c r="F297" s="4040"/>
      <c r="G297" s="4041"/>
      <c r="H297" s="4097" t="s">
        <v>161</v>
      </c>
      <c r="I297" s="4173" t="s">
        <v>162</v>
      </c>
      <c r="J297" s="4545">
        <v>0</v>
      </c>
      <c r="K297" s="4520">
        <v>0</v>
      </c>
      <c r="L297" s="4545">
        <f>SUM(L298)</f>
        <v>0</v>
      </c>
      <c r="M297" s="4519">
        <f t="shared" ref="M297:M303" si="51">SUM(K297:L297)</f>
        <v>0</v>
      </c>
      <c r="N297" s="4519"/>
      <c r="O297" s="4519">
        <f>M297-J297</f>
        <v>0</v>
      </c>
      <c r="P297" s="4044">
        <f>O297-K297</f>
        <v>0</v>
      </c>
      <c r="Q297" s="4840"/>
    </row>
    <row r="298" spans="1:17" s="2070" customFormat="1">
      <c r="A298" s="4065">
        <v>4</v>
      </c>
      <c r="B298" s="4065">
        <v>1</v>
      </c>
      <c r="C298" s="4065">
        <v>4</v>
      </c>
      <c r="D298" s="4048"/>
      <c r="E298" s="4048"/>
      <c r="F298" s="4066">
        <v>3</v>
      </c>
      <c r="G298" s="4067"/>
      <c r="H298" s="4068" t="s">
        <v>71</v>
      </c>
      <c r="I298" s="4068"/>
      <c r="J298" s="4546">
        <v>0</v>
      </c>
      <c r="K298" s="2159">
        <v>0</v>
      </c>
      <c r="L298" s="4546">
        <f>SUM(L299:L303)</f>
        <v>0</v>
      </c>
      <c r="M298" s="4253">
        <f t="shared" si="51"/>
        <v>0</v>
      </c>
      <c r="N298" s="4253"/>
      <c r="O298" s="4254">
        <f t="shared" ref="O298:O303" si="52">M298-J298</f>
        <v>0</v>
      </c>
      <c r="P298" s="4061">
        <v>0</v>
      </c>
      <c r="Q298" s="4839"/>
    </row>
    <row r="299" spans="1:17" s="2070" customFormat="1">
      <c r="A299" s="4065">
        <v>4</v>
      </c>
      <c r="B299" s="4065">
        <v>1</v>
      </c>
      <c r="C299" s="4065">
        <v>4</v>
      </c>
      <c r="D299" s="4065" t="s">
        <v>441</v>
      </c>
      <c r="E299" s="4048"/>
      <c r="F299" s="4049"/>
      <c r="G299" s="4067"/>
      <c r="H299" s="4062" t="s">
        <v>50</v>
      </c>
      <c r="I299" s="4060" t="s">
        <v>72</v>
      </c>
      <c r="J299" s="1964">
        <v>0</v>
      </c>
      <c r="K299" s="2159">
        <v>0</v>
      </c>
      <c r="L299" s="2160">
        <f>'[2]ALL BULAN'!E300</f>
        <v>0</v>
      </c>
      <c r="M299" s="4253">
        <f t="shared" si="51"/>
        <v>0</v>
      </c>
      <c r="N299" s="4253"/>
      <c r="O299" s="4254">
        <f t="shared" si="52"/>
        <v>0</v>
      </c>
      <c r="P299" s="4061">
        <v>0</v>
      </c>
      <c r="Q299" s="4839"/>
    </row>
    <row r="300" spans="1:17" s="2070" customFormat="1">
      <c r="A300" s="4074">
        <v>4</v>
      </c>
      <c r="B300" s="4074">
        <v>1</v>
      </c>
      <c r="C300" s="4074" t="s">
        <v>443</v>
      </c>
      <c r="D300" s="4074" t="s">
        <v>444</v>
      </c>
      <c r="E300" s="4074" t="s">
        <v>440</v>
      </c>
      <c r="F300" s="4049"/>
      <c r="G300" s="4067"/>
      <c r="H300" s="4062" t="s">
        <v>50</v>
      </c>
      <c r="I300" s="4060" t="s">
        <v>73</v>
      </c>
      <c r="J300" s="1964">
        <v>0</v>
      </c>
      <c r="K300" s="2159">
        <v>0</v>
      </c>
      <c r="L300" s="2160">
        <f>'[2]ALL BULAN'!E301</f>
        <v>0</v>
      </c>
      <c r="M300" s="4253">
        <f t="shared" si="51"/>
        <v>0</v>
      </c>
      <c r="N300" s="4253"/>
      <c r="O300" s="4254">
        <f t="shared" si="52"/>
        <v>0</v>
      </c>
      <c r="P300" s="4061">
        <v>0</v>
      </c>
      <c r="Q300" s="4839"/>
    </row>
    <row r="301" spans="1:17" s="2070" customFormat="1">
      <c r="A301" s="4069">
        <v>4</v>
      </c>
      <c r="B301" s="4069">
        <v>1</v>
      </c>
      <c r="C301" s="4069" t="s">
        <v>443</v>
      </c>
      <c r="D301" s="4069" t="s">
        <v>444</v>
      </c>
      <c r="E301" s="4070" t="s">
        <v>445</v>
      </c>
      <c r="F301" s="4049"/>
      <c r="G301" s="4067"/>
      <c r="H301" s="4062" t="s">
        <v>50</v>
      </c>
      <c r="I301" s="4060" t="s">
        <v>74</v>
      </c>
      <c r="J301" s="1964">
        <v>0</v>
      </c>
      <c r="K301" s="2159">
        <v>0</v>
      </c>
      <c r="L301" s="2160">
        <f>'[2]ALL BULAN'!E302</f>
        <v>0</v>
      </c>
      <c r="M301" s="4253">
        <f t="shared" si="51"/>
        <v>0</v>
      </c>
      <c r="N301" s="4253"/>
      <c r="O301" s="4254">
        <f t="shared" si="52"/>
        <v>0</v>
      </c>
      <c r="P301" s="4061">
        <v>0</v>
      </c>
      <c r="Q301" s="4839"/>
    </row>
    <row r="302" spans="1:17" s="2070" customFormat="1">
      <c r="A302" s="4101">
        <v>4</v>
      </c>
      <c r="B302" s="4101">
        <v>1</v>
      </c>
      <c r="C302" s="4101" t="s">
        <v>443</v>
      </c>
      <c r="D302" s="4101" t="s">
        <v>444</v>
      </c>
      <c r="E302" s="4101" t="s">
        <v>441</v>
      </c>
      <c r="F302" s="4049"/>
      <c r="G302" s="4067"/>
      <c r="H302" s="4060" t="s">
        <v>308</v>
      </c>
      <c r="I302" s="4090" t="s">
        <v>75</v>
      </c>
      <c r="J302" s="1964">
        <v>0</v>
      </c>
      <c r="K302" s="2159">
        <v>0</v>
      </c>
      <c r="L302" s="2160">
        <f>'[2]ALL BULAN'!E303</f>
        <v>0</v>
      </c>
      <c r="M302" s="4253">
        <f t="shared" si="51"/>
        <v>0</v>
      </c>
      <c r="N302" s="4253"/>
      <c r="O302" s="4254">
        <f t="shared" si="52"/>
        <v>0</v>
      </c>
      <c r="P302" s="4061">
        <v>0</v>
      </c>
      <c r="Q302" s="4839"/>
    </row>
    <row r="303" spans="1:17" s="2070" customFormat="1">
      <c r="A303" s="4079">
        <v>4</v>
      </c>
      <c r="B303" s="4079">
        <v>1</v>
      </c>
      <c r="C303" s="4079" t="s">
        <v>443</v>
      </c>
      <c r="D303" s="4079" t="s">
        <v>447</v>
      </c>
      <c r="E303" s="4093" t="s">
        <v>437</v>
      </c>
      <c r="F303" s="4049"/>
      <c r="G303" s="4067"/>
      <c r="H303" s="4062" t="s">
        <v>50</v>
      </c>
      <c r="I303" s="4090" t="s">
        <v>85</v>
      </c>
      <c r="J303" s="1964">
        <v>0</v>
      </c>
      <c r="K303" s="2159">
        <v>0</v>
      </c>
      <c r="L303" s="2160">
        <f>'[2]ALL BULAN'!E304</f>
        <v>0</v>
      </c>
      <c r="M303" s="4253">
        <f t="shared" si="51"/>
        <v>0</v>
      </c>
      <c r="N303" s="4253"/>
      <c r="O303" s="4254">
        <f t="shared" si="52"/>
        <v>0</v>
      </c>
      <c r="P303" s="4061">
        <v>0</v>
      </c>
      <c r="Q303" s="4839"/>
    </row>
    <row r="304" spans="1:17" s="2070" customFormat="1">
      <c r="A304" s="4048"/>
      <c r="B304" s="4048"/>
      <c r="C304" s="4048"/>
      <c r="D304" s="4048"/>
      <c r="E304" s="4048"/>
      <c r="F304" s="4049"/>
      <c r="G304" s="4102"/>
      <c r="H304" s="4083"/>
      <c r="I304" s="4083"/>
      <c r="J304" s="2314"/>
      <c r="K304" s="2220"/>
      <c r="L304" s="2314"/>
      <c r="M304" s="2315"/>
      <c r="N304" s="2315"/>
      <c r="O304" s="2315"/>
      <c r="P304" s="4174"/>
      <c r="Q304" s="4839"/>
    </row>
    <row r="305" spans="1:17" s="2073" customFormat="1" ht="15.05">
      <c r="A305" s="4039"/>
      <c r="B305" s="4039"/>
      <c r="C305" s="4039"/>
      <c r="D305" s="4039"/>
      <c r="E305" s="4039"/>
      <c r="F305" s="4040"/>
      <c r="G305" s="4041"/>
      <c r="H305" s="4097" t="s">
        <v>163</v>
      </c>
      <c r="I305" s="4173" t="s">
        <v>164</v>
      </c>
      <c r="J305" s="4545">
        <v>0</v>
      </c>
      <c r="K305" s="4520">
        <v>0</v>
      </c>
      <c r="L305" s="4545">
        <f>SUM(L306)</f>
        <v>0</v>
      </c>
      <c r="M305" s="4519">
        <f t="shared" ref="M305:M311" si="53">SUM(K305:L305)</f>
        <v>0</v>
      </c>
      <c r="N305" s="4519"/>
      <c r="O305" s="4519">
        <f>M305-J305</f>
        <v>0</v>
      </c>
      <c r="P305" s="4044">
        <f>O305-K305</f>
        <v>0</v>
      </c>
      <c r="Q305" s="4840"/>
    </row>
    <row r="306" spans="1:17" s="2070" customFormat="1">
      <c r="A306" s="4065">
        <v>4</v>
      </c>
      <c r="B306" s="4065">
        <v>1</v>
      </c>
      <c r="C306" s="4065">
        <v>4</v>
      </c>
      <c r="D306" s="4048"/>
      <c r="E306" s="4048"/>
      <c r="F306" s="4066">
        <v>3</v>
      </c>
      <c r="G306" s="4067"/>
      <c r="H306" s="4068" t="s">
        <v>71</v>
      </c>
      <c r="I306" s="4068"/>
      <c r="J306" s="4546">
        <v>0</v>
      </c>
      <c r="K306" s="2159">
        <v>0</v>
      </c>
      <c r="L306" s="4546">
        <f>SUM(L307:L311)</f>
        <v>0</v>
      </c>
      <c r="M306" s="4253">
        <f t="shared" si="53"/>
        <v>0</v>
      </c>
      <c r="N306" s="4253"/>
      <c r="O306" s="4254">
        <f t="shared" ref="O306:O311" si="54">M306-J306</f>
        <v>0</v>
      </c>
      <c r="P306" s="4061">
        <v>0</v>
      </c>
      <c r="Q306" s="4839"/>
    </row>
    <row r="307" spans="1:17" s="2070" customFormat="1">
      <c r="A307" s="4065">
        <v>4</v>
      </c>
      <c r="B307" s="4065">
        <v>1</v>
      </c>
      <c r="C307" s="4065">
        <v>4</v>
      </c>
      <c r="D307" s="4065" t="s">
        <v>441</v>
      </c>
      <c r="E307" s="4048"/>
      <c r="F307" s="4049"/>
      <c r="G307" s="4067"/>
      <c r="H307" s="4062" t="s">
        <v>50</v>
      </c>
      <c r="I307" s="4060" t="s">
        <v>72</v>
      </c>
      <c r="J307" s="1964">
        <v>0</v>
      </c>
      <c r="K307" s="2159">
        <v>0</v>
      </c>
      <c r="L307" s="2160">
        <f>'[2]ALL BULAN'!E308</f>
        <v>0</v>
      </c>
      <c r="M307" s="4253">
        <f t="shared" si="53"/>
        <v>0</v>
      </c>
      <c r="N307" s="4253"/>
      <c r="O307" s="4254">
        <f t="shared" si="54"/>
        <v>0</v>
      </c>
      <c r="P307" s="4061">
        <v>0</v>
      </c>
      <c r="Q307" s="4839"/>
    </row>
    <row r="308" spans="1:17" s="2070" customFormat="1">
      <c r="A308" s="4074">
        <v>4</v>
      </c>
      <c r="B308" s="4074">
        <v>1</v>
      </c>
      <c r="C308" s="4074" t="s">
        <v>443</v>
      </c>
      <c r="D308" s="4074" t="s">
        <v>444</v>
      </c>
      <c r="E308" s="4074" t="s">
        <v>440</v>
      </c>
      <c r="F308" s="4049"/>
      <c r="G308" s="4067"/>
      <c r="H308" s="4062" t="s">
        <v>50</v>
      </c>
      <c r="I308" s="4060" t="s">
        <v>73</v>
      </c>
      <c r="J308" s="1964">
        <v>0</v>
      </c>
      <c r="K308" s="2159">
        <v>0</v>
      </c>
      <c r="L308" s="2160">
        <f>'[2]ALL BULAN'!E309</f>
        <v>0</v>
      </c>
      <c r="M308" s="4253">
        <f t="shared" si="53"/>
        <v>0</v>
      </c>
      <c r="N308" s="4253"/>
      <c r="O308" s="4254">
        <f t="shared" si="54"/>
        <v>0</v>
      </c>
      <c r="P308" s="4061">
        <v>0</v>
      </c>
      <c r="Q308" s="4839"/>
    </row>
    <row r="309" spans="1:17" s="2070" customFormat="1">
      <c r="A309" s="4069">
        <v>4</v>
      </c>
      <c r="B309" s="4069">
        <v>1</v>
      </c>
      <c r="C309" s="4069" t="s">
        <v>443</v>
      </c>
      <c r="D309" s="4069" t="s">
        <v>444</v>
      </c>
      <c r="E309" s="4070" t="s">
        <v>445</v>
      </c>
      <c r="F309" s="4049"/>
      <c r="G309" s="4067"/>
      <c r="H309" s="4062" t="s">
        <v>50</v>
      </c>
      <c r="I309" s="4060" t="s">
        <v>74</v>
      </c>
      <c r="J309" s="1964">
        <v>0</v>
      </c>
      <c r="K309" s="2159">
        <v>0</v>
      </c>
      <c r="L309" s="2160">
        <f>'[2]ALL BULAN'!E310</f>
        <v>0</v>
      </c>
      <c r="M309" s="4253">
        <f t="shared" si="53"/>
        <v>0</v>
      </c>
      <c r="N309" s="4253"/>
      <c r="O309" s="4254">
        <f t="shared" si="54"/>
        <v>0</v>
      </c>
      <c r="P309" s="4061">
        <v>0</v>
      </c>
      <c r="Q309" s="4839"/>
    </row>
    <row r="310" spans="1:17" s="2070" customFormat="1">
      <c r="A310" s="4101">
        <v>4</v>
      </c>
      <c r="B310" s="4101">
        <v>1</v>
      </c>
      <c r="C310" s="4101" t="s">
        <v>443</v>
      </c>
      <c r="D310" s="4101" t="s">
        <v>444</v>
      </c>
      <c r="E310" s="4101" t="s">
        <v>441</v>
      </c>
      <c r="F310" s="4049"/>
      <c r="G310" s="4067"/>
      <c r="H310" s="4060" t="s">
        <v>308</v>
      </c>
      <c r="I310" s="4090" t="s">
        <v>75</v>
      </c>
      <c r="J310" s="1964">
        <v>0</v>
      </c>
      <c r="K310" s="2159">
        <v>0</v>
      </c>
      <c r="L310" s="2160">
        <f>'[2]ALL BULAN'!E311</f>
        <v>0</v>
      </c>
      <c r="M310" s="4253">
        <f t="shared" si="53"/>
        <v>0</v>
      </c>
      <c r="N310" s="4253"/>
      <c r="O310" s="4254">
        <f t="shared" si="54"/>
        <v>0</v>
      </c>
      <c r="P310" s="4061">
        <v>0</v>
      </c>
      <c r="Q310" s="4839"/>
    </row>
    <row r="311" spans="1:17" s="2070" customFormat="1">
      <c r="A311" s="4079">
        <v>4</v>
      </c>
      <c r="B311" s="4079">
        <v>1</v>
      </c>
      <c r="C311" s="4079" t="s">
        <v>443</v>
      </c>
      <c r="D311" s="4079" t="s">
        <v>447</v>
      </c>
      <c r="E311" s="4093" t="s">
        <v>437</v>
      </c>
      <c r="F311" s="4049"/>
      <c r="G311" s="4067"/>
      <c r="H311" s="4062" t="s">
        <v>50</v>
      </c>
      <c r="I311" s="4090" t="s">
        <v>85</v>
      </c>
      <c r="J311" s="1964">
        <v>0</v>
      </c>
      <c r="K311" s="2159">
        <v>0</v>
      </c>
      <c r="L311" s="2160">
        <f>'[2]ALL BULAN'!E312</f>
        <v>0</v>
      </c>
      <c r="M311" s="4253">
        <f t="shared" si="53"/>
        <v>0</v>
      </c>
      <c r="N311" s="4253"/>
      <c r="O311" s="4254">
        <f t="shared" si="54"/>
        <v>0</v>
      </c>
      <c r="P311" s="4061">
        <v>0</v>
      </c>
      <c r="Q311" s="4839"/>
    </row>
    <row r="312" spans="1:17" s="2070" customFormat="1">
      <c r="A312" s="5330"/>
      <c r="B312" s="5330"/>
      <c r="C312" s="5330"/>
      <c r="D312" s="5330"/>
      <c r="E312" s="5329"/>
      <c r="F312" s="4049"/>
      <c r="G312" s="4067"/>
      <c r="H312" s="4062"/>
      <c r="I312" s="4131"/>
      <c r="J312" s="2309"/>
      <c r="K312" s="2317"/>
      <c r="L312" s="2587"/>
      <c r="M312" s="2576"/>
      <c r="N312" s="2576"/>
      <c r="O312" s="1727"/>
      <c r="P312" s="4038"/>
      <c r="Q312" s="4839"/>
    </row>
    <row r="313" spans="1:17" s="2070" customFormat="1">
      <c r="A313" s="4048"/>
      <c r="B313" s="4048"/>
      <c r="C313" s="4048"/>
      <c r="D313" s="4048"/>
      <c r="E313" s="4048"/>
      <c r="F313" s="4049"/>
      <c r="G313" s="4067"/>
      <c r="H313" s="4060"/>
      <c r="I313" s="4060"/>
      <c r="J313" s="2303"/>
      <c r="K313" s="2144"/>
      <c r="L313" s="2303"/>
      <c r="M313" s="2304"/>
      <c r="N313" s="2304"/>
      <c r="O313" s="2304"/>
      <c r="P313" s="4170"/>
      <c r="Q313" s="4839"/>
    </row>
    <row r="314" spans="1:17" s="2073" customFormat="1" ht="15.05">
      <c r="A314" s="4039"/>
      <c r="B314" s="4039"/>
      <c r="C314" s="4039"/>
      <c r="D314" s="4039"/>
      <c r="E314" s="4039"/>
      <c r="F314" s="4040"/>
      <c r="G314" s="4041"/>
      <c r="H314" s="4097" t="s">
        <v>165</v>
      </c>
      <c r="I314" s="4173" t="s">
        <v>166</v>
      </c>
      <c r="J314" s="4545">
        <v>0</v>
      </c>
      <c r="K314" s="4520">
        <v>0</v>
      </c>
      <c r="L314" s="4545">
        <f>SUM(L315)</f>
        <v>0</v>
      </c>
      <c r="M314" s="4519">
        <f t="shared" ref="M314:M320" si="55">SUM(K314:L314)</f>
        <v>0</v>
      </c>
      <c r="N314" s="4519"/>
      <c r="O314" s="4519">
        <f>M314-J314</f>
        <v>0</v>
      </c>
      <c r="P314" s="4044">
        <f>O314-K314</f>
        <v>0</v>
      </c>
      <c r="Q314" s="4840"/>
    </row>
    <row r="315" spans="1:17" s="2070" customFormat="1">
      <c r="A315" s="4065">
        <v>4</v>
      </c>
      <c r="B315" s="4065">
        <v>1</v>
      </c>
      <c r="C315" s="4065">
        <v>4</v>
      </c>
      <c r="D315" s="4048"/>
      <c r="E315" s="4048"/>
      <c r="F315" s="4066">
        <v>3</v>
      </c>
      <c r="G315" s="4067"/>
      <c r="H315" s="4068" t="s">
        <v>71</v>
      </c>
      <c r="I315" s="4068"/>
      <c r="J315" s="4546">
        <v>0</v>
      </c>
      <c r="K315" s="2159">
        <v>0</v>
      </c>
      <c r="L315" s="4546">
        <f>SUM(L316:L320)</f>
        <v>0</v>
      </c>
      <c r="M315" s="4253">
        <f t="shared" si="55"/>
        <v>0</v>
      </c>
      <c r="N315" s="4253"/>
      <c r="O315" s="4254">
        <f t="shared" ref="O315:O320" si="56">M315-J315</f>
        <v>0</v>
      </c>
      <c r="P315" s="4061">
        <v>0</v>
      </c>
      <c r="Q315" s="4839"/>
    </row>
    <row r="316" spans="1:17" s="2070" customFormat="1">
      <c r="A316" s="4065">
        <v>4</v>
      </c>
      <c r="B316" s="4065">
        <v>1</v>
      </c>
      <c r="C316" s="4065">
        <v>4</v>
      </c>
      <c r="D316" s="4065" t="s">
        <v>441</v>
      </c>
      <c r="E316" s="4048"/>
      <c r="F316" s="4049"/>
      <c r="G316" s="4067"/>
      <c r="H316" s="4062" t="s">
        <v>50</v>
      </c>
      <c r="I316" s="4060" t="s">
        <v>72</v>
      </c>
      <c r="J316" s="1964">
        <v>0</v>
      </c>
      <c r="K316" s="2159">
        <v>0</v>
      </c>
      <c r="L316" s="2160">
        <f>'[2]ALL BULAN'!E316</f>
        <v>0</v>
      </c>
      <c r="M316" s="4253">
        <f t="shared" si="55"/>
        <v>0</v>
      </c>
      <c r="N316" s="4253"/>
      <c r="O316" s="4254">
        <f t="shared" si="56"/>
        <v>0</v>
      </c>
      <c r="P316" s="4061">
        <v>0</v>
      </c>
      <c r="Q316" s="4839"/>
    </row>
    <row r="317" spans="1:17" s="2070" customFormat="1">
      <c r="A317" s="4074">
        <v>4</v>
      </c>
      <c r="B317" s="4074">
        <v>1</v>
      </c>
      <c r="C317" s="4074" t="s">
        <v>443</v>
      </c>
      <c r="D317" s="4074" t="s">
        <v>444</v>
      </c>
      <c r="E317" s="4074" t="s">
        <v>440</v>
      </c>
      <c r="F317" s="4049"/>
      <c r="G317" s="4067"/>
      <c r="H317" s="4062" t="s">
        <v>50</v>
      </c>
      <c r="I317" s="4060" t="s">
        <v>73</v>
      </c>
      <c r="J317" s="1964">
        <v>0</v>
      </c>
      <c r="K317" s="2159">
        <v>0</v>
      </c>
      <c r="L317" s="2160">
        <f>'[2]ALL BULAN'!E317</f>
        <v>0</v>
      </c>
      <c r="M317" s="4253">
        <f t="shared" si="55"/>
        <v>0</v>
      </c>
      <c r="N317" s="4253"/>
      <c r="O317" s="4254">
        <f t="shared" si="56"/>
        <v>0</v>
      </c>
      <c r="P317" s="4061">
        <v>0</v>
      </c>
      <c r="Q317" s="4839"/>
    </row>
    <row r="318" spans="1:17" s="2070" customFormat="1">
      <c r="A318" s="4069">
        <v>4</v>
      </c>
      <c r="B318" s="4069">
        <v>1</v>
      </c>
      <c r="C318" s="4069" t="s">
        <v>443</v>
      </c>
      <c r="D318" s="4069" t="s">
        <v>444</v>
      </c>
      <c r="E318" s="4070" t="s">
        <v>445</v>
      </c>
      <c r="F318" s="4049"/>
      <c r="G318" s="4067"/>
      <c r="H318" s="4062" t="s">
        <v>50</v>
      </c>
      <c r="I318" s="4060" t="s">
        <v>74</v>
      </c>
      <c r="J318" s="1964">
        <v>0</v>
      </c>
      <c r="K318" s="2159">
        <v>0</v>
      </c>
      <c r="L318" s="2160">
        <f>'[2]ALL BULAN'!E318</f>
        <v>0</v>
      </c>
      <c r="M318" s="4253">
        <f t="shared" si="55"/>
        <v>0</v>
      </c>
      <c r="N318" s="4253"/>
      <c r="O318" s="4254">
        <f t="shared" si="56"/>
        <v>0</v>
      </c>
      <c r="P318" s="4061">
        <v>0</v>
      </c>
      <c r="Q318" s="4839"/>
    </row>
    <row r="319" spans="1:17" s="2070" customFormat="1">
      <c r="A319" s="4101">
        <v>4</v>
      </c>
      <c r="B319" s="4101">
        <v>1</v>
      </c>
      <c r="C319" s="4101" t="s">
        <v>443</v>
      </c>
      <c r="D319" s="4101" t="s">
        <v>444</v>
      </c>
      <c r="E319" s="4101" t="s">
        <v>441</v>
      </c>
      <c r="F319" s="4049"/>
      <c r="G319" s="4067"/>
      <c r="H319" s="4060" t="s">
        <v>308</v>
      </c>
      <c r="I319" s="4090" t="s">
        <v>75</v>
      </c>
      <c r="J319" s="1964">
        <v>0</v>
      </c>
      <c r="K319" s="2159">
        <v>0</v>
      </c>
      <c r="L319" s="2160">
        <f>'[2]ALL BULAN'!E319</f>
        <v>0</v>
      </c>
      <c r="M319" s="4253">
        <f t="shared" si="55"/>
        <v>0</v>
      </c>
      <c r="N319" s="4253"/>
      <c r="O319" s="4254">
        <f t="shared" si="56"/>
        <v>0</v>
      </c>
      <c r="P319" s="4061">
        <v>0</v>
      </c>
      <c r="Q319" s="4839"/>
    </row>
    <row r="320" spans="1:17" s="2070" customFormat="1">
      <c r="A320" s="4079">
        <v>4</v>
      </c>
      <c r="B320" s="4079">
        <v>1</v>
      </c>
      <c r="C320" s="4079" t="s">
        <v>443</v>
      </c>
      <c r="D320" s="4079" t="s">
        <v>447</v>
      </c>
      <c r="E320" s="4093" t="s">
        <v>437</v>
      </c>
      <c r="F320" s="4049"/>
      <c r="G320" s="4067"/>
      <c r="H320" s="4062" t="s">
        <v>50</v>
      </c>
      <c r="I320" s="4090" t="s">
        <v>85</v>
      </c>
      <c r="J320" s="1964">
        <v>0</v>
      </c>
      <c r="K320" s="2159">
        <v>0</v>
      </c>
      <c r="L320" s="2160">
        <f>'[2]ALL BULAN'!E320</f>
        <v>0</v>
      </c>
      <c r="M320" s="4253">
        <f t="shared" si="55"/>
        <v>0</v>
      </c>
      <c r="N320" s="4253"/>
      <c r="O320" s="4254">
        <f t="shared" si="56"/>
        <v>0</v>
      </c>
      <c r="P320" s="4061">
        <v>0</v>
      </c>
      <c r="Q320" s="4839"/>
    </row>
    <row r="321" spans="1:17" s="2070" customFormat="1">
      <c r="A321" s="4048"/>
      <c r="B321" s="4048"/>
      <c r="C321" s="4048"/>
      <c r="D321" s="4048"/>
      <c r="E321" s="4048"/>
      <c r="F321" s="4049"/>
      <c r="G321" s="4067"/>
      <c r="H321" s="4060"/>
      <c r="I321" s="4131"/>
      <c r="J321" s="2309"/>
      <c r="K321" s="2317"/>
      <c r="L321" s="2309"/>
      <c r="M321" s="2318"/>
      <c r="N321" s="2318"/>
      <c r="O321" s="2318"/>
      <c r="P321" s="4175"/>
      <c r="Q321" s="4839"/>
    </row>
    <row r="322" spans="1:17" s="2073" customFormat="1" ht="15.05">
      <c r="A322" s="4039"/>
      <c r="B322" s="4039"/>
      <c r="C322" s="4039"/>
      <c r="D322" s="4039"/>
      <c r="E322" s="4039"/>
      <c r="F322" s="4040"/>
      <c r="G322" s="4176"/>
      <c r="H322" s="4177" t="s">
        <v>167</v>
      </c>
      <c r="I322" s="4173" t="s">
        <v>168</v>
      </c>
      <c r="J322" s="4550">
        <v>0</v>
      </c>
      <c r="K322" s="4520">
        <v>0</v>
      </c>
      <c r="L322" s="4550">
        <f>SUM(L323)</f>
        <v>0</v>
      </c>
      <c r="M322" s="4519">
        <f t="shared" ref="M322:M328" si="57">SUM(K322:L322)</f>
        <v>0</v>
      </c>
      <c r="N322" s="4519"/>
      <c r="O322" s="4519">
        <f>M322-J322</f>
        <v>0</v>
      </c>
      <c r="P322" s="4044">
        <f>O322-K322</f>
        <v>0</v>
      </c>
      <c r="Q322" s="4840"/>
    </row>
    <row r="323" spans="1:17" s="2070" customFormat="1">
      <c r="A323" s="4065">
        <v>4</v>
      </c>
      <c r="B323" s="4065">
        <v>1</v>
      </c>
      <c r="C323" s="4065">
        <v>4</v>
      </c>
      <c r="D323" s="4048"/>
      <c r="E323" s="4048"/>
      <c r="F323" s="4066">
        <v>3</v>
      </c>
      <c r="G323" s="4178"/>
      <c r="H323" s="4179" t="s">
        <v>71</v>
      </c>
      <c r="I323" s="4179"/>
      <c r="J323" s="4551">
        <v>0</v>
      </c>
      <c r="K323" s="2159">
        <v>0</v>
      </c>
      <c r="L323" s="4551">
        <f>SUM(L324:L328)</f>
        <v>0</v>
      </c>
      <c r="M323" s="4253">
        <f t="shared" si="57"/>
        <v>0</v>
      </c>
      <c r="N323" s="4253"/>
      <c r="O323" s="4254">
        <f t="shared" ref="O323:O328" si="58">M323-J323</f>
        <v>0</v>
      </c>
      <c r="P323" s="4061">
        <v>0</v>
      </c>
      <c r="Q323" s="4839"/>
    </row>
    <row r="324" spans="1:17" s="2070" customFormat="1">
      <c r="A324" s="4065">
        <v>4</v>
      </c>
      <c r="B324" s="4065">
        <v>1</v>
      </c>
      <c r="C324" s="4065">
        <v>4</v>
      </c>
      <c r="D324" s="4065" t="s">
        <v>441</v>
      </c>
      <c r="E324" s="4048"/>
      <c r="F324" s="4049"/>
      <c r="G324" s="4178"/>
      <c r="H324" s="4060" t="s">
        <v>50</v>
      </c>
      <c r="I324" s="4126" t="s">
        <v>73</v>
      </c>
      <c r="J324" s="1964">
        <v>0</v>
      </c>
      <c r="K324" s="2159">
        <v>0</v>
      </c>
      <c r="L324" s="2160">
        <f>'[2]ALL BULAN'!E324</f>
        <v>0</v>
      </c>
      <c r="M324" s="4253">
        <f t="shared" si="57"/>
        <v>0</v>
      </c>
      <c r="N324" s="4253"/>
      <c r="O324" s="4254">
        <f t="shared" si="58"/>
        <v>0</v>
      </c>
      <c r="P324" s="4061">
        <v>0</v>
      </c>
      <c r="Q324" s="4839"/>
    </row>
    <row r="325" spans="1:17" s="2070" customFormat="1">
      <c r="A325" s="4074">
        <v>4</v>
      </c>
      <c r="B325" s="4074">
        <v>1</v>
      </c>
      <c r="C325" s="4074" t="s">
        <v>443</v>
      </c>
      <c r="D325" s="4074" t="s">
        <v>444</v>
      </c>
      <c r="E325" s="4074" t="s">
        <v>440</v>
      </c>
      <c r="F325" s="4049"/>
      <c r="G325" s="4178"/>
      <c r="H325" s="4060" t="s">
        <v>50</v>
      </c>
      <c r="I325" s="4060" t="s">
        <v>74</v>
      </c>
      <c r="J325" s="1964">
        <v>0</v>
      </c>
      <c r="K325" s="2159">
        <v>0</v>
      </c>
      <c r="L325" s="2160">
        <f>'[2]ALL BULAN'!E325</f>
        <v>0</v>
      </c>
      <c r="M325" s="4253">
        <f t="shared" si="57"/>
        <v>0</v>
      </c>
      <c r="N325" s="4253"/>
      <c r="O325" s="4254">
        <f t="shared" si="58"/>
        <v>0</v>
      </c>
      <c r="P325" s="4061">
        <v>0</v>
      </c>
      <c r="Q325" s="4839"/>
    </row>
    <row r="326" spans="1:17" s="2070" customFormat="1">
      <c r="A326" s="4069">
        <v>4</v>
      </c>
      <c r="B326" s="4069">
        <v>1</v>
      </c>
      <c r="C326" s="4069" t="s">
        <v>443</v>
      </c>
      <c r="D326" s="4069" t="s">
        <v>444</v>
      </c>
      <c r="E326" s="4070" t="s">
        <v>445</v>
      </c>
      <c r="F326" s="4049"/>
      <c r="G326" s="4178"/>
      <c r="H326" s="4060" t="s">
        <v>308</v>
      </c>
      <c r="I326" s="4060" t="s">
        <v>75</v>
      </c>
      <c r="J326" s="1964">
        <v>0</v>
      </c>
      <c r="K326" s="2159">
        <v>0</v>
      </c>
      <c r="L326" s="2160">
        <f>'[2]ALL BULAN'!E326</f>
        <v>0</v>
      </c>
      <c r="M326" s="4253">
        <f t="shared" si="57"/>
        <v>0</v>
      </c>
      <c r="N326" s="4253"/>
      <c r="O326" s="4254">
        <f t="shared" si="58"/>
        <v>0</v>
      </c>
      <c r="P326" s="4061">
        <v>0</v>
      </c>
      <c r="Q326" s="4839"/>
    </row>
    <row r="327" spans="1:17" s="2070" customFormat="1">
      <c r="A327" s="4101">
        <v>4</v>
      </c>
      <c r="B327" s="4101">
        <v>1</v>
      </c>
      <c r="C327" s="4101" t="s">
        <v>443</v>
      </c>
      <c r="D327" s="4101" t="s">
        <v>444</v>
      </c>
      <c r="E327" s="4101" t="s">
        <v>441</v>
      </c>
      <c r="F327" s="4049"/>
      <c r="G327" s="4178"/>
      <c r="H327" s="4060" t="s">
        <v>50</v>
      </c>
      <c r="I327" s="4060" t="s">
        <v>169</v>
      </c>
      <c r="J327" s="1964">
        <v>0</v>
      </c>
      <c r="K327" s="2159">
        <v>0</v>
      </c>
      <c r="L327" s="2160">
        <f>'[2]ALL BULAN'!E327</f>
        <v>0</v>
      </c>
      <c r="M327" s="4253">
        <f t="shared" si="57"/>
        <v>0</v>
      </c>
      <c r="N327" s="4253"/>
      <c r="O327" s="4254">
        <f t="shared" si="58"/>
        <v>0</v>
      </c>
      <c r="P327" s="4061">
        <v>0</v>
      </c>
      <c r="Q327" s="4839"/>
    </row>
    <row r="328" spans="1:17" s="2070" customFormat="1">
      <c r="A328" s="4079">
        <v>4</v>
      </c>
      <c r="B328" s="4079">
        <v>1</v>
      </c>
      <c r="C328" s="4079" t="s">
        <v>443</v>
      </c>
      <c r="D328" s="4079" t="s">
        <v>447</v>
      </c>
      <c r="E328" s="4093" t="s">
        <v>437</v>
      </c>
      <c r="F328" s="4049"/>
      <c r="G328" s="4178"/>
      <c r="H328" s="4060" t="s">
        <v>50</v>
      </c>
      <c r="I328" s="4060" t="s">
        <v>85</v>
      </c>
      <c r="J328" s="1964">
        <v>0</v>
      </c>
      <c r="K328" s="2159">
        <v>0</v>
      </c>
      <c r="L328" s="2160">
        <f>'[2]ALL BULAN'!E328</f>
        <v>0</v>
      </c>
      <c r="M328" s="4253">
        <f t="shared" si="57"/>
        <v>0</v>
      </c>
      <c r="N328" s="4253"/>
      <c r="O328" s="4254">
        <f t="shared" si="58"/>
        <v>0</v>
      </c>
      <c r="P328" s="4061">
        <v>0</v>
      </c>
      <c r="Q328" s="4839"/>
    </row>
    <row r="329" spans="1:17" s="2070" customFormat="1" ht="4.55" customHeight="1">
      <c r="A329" s="4048"/>
      <c r="B329" s="4048"/>
      <c r="C329" s="4048"/>
      <c r="D329" s="4048"/>
      <c r="E329" s="4048"/>
      <c r="F329" s="4049"/>
      <c r="G329" s="4067"/>
      <c r="H329" s="4060"/>
      <c r="I329" s="4060"/>
      <c r="J329" s="2303"/>
      <c r="K329" s="2144"/>
      <c r="L329" s="2303"/>
      <c r="M329" s="2304"/>
      <c r="N329" s="2304"/>
      <c r="O329" s="2304"/>
      <c r="P329" s="4170"/>
      <c r="Q329" s="4839"/>
    </row>
    <row r="330" spans="1:17" s="2073" customFormat="1" ht="15.05">
      <c r="A330" s="4039"/>
      <c r="B330" s="4039"/>
      <c r="C330" s="4039"/>
      <c r="D330" s="4039"/>
      <c r="E330" s="4039"/>
      <c r="F330" s="4040"/>
      <c r="G330" s="4041"/>
      <c r="H330" s="4097" t="s">
        <v>170</v>
      </c>
      <c r="I330" s="4173" t="s">
        <v>171</v>
      </c>
      <c r="J330" s="4545">
        <v>0</v>
      </c>
      <c r="K330" s="4520">
        <v>0</v>
      </c>
      <c r="L330" s="4545">
        <f>SUM(L331)</f>
        <v>0</v>
      </c>
      <c r="M330" s="4519">
        <f t="shared" ref="M330:M336" si="59">SUM(K330:L330)</f>
        <v>0</v>
      </c>
      <c r="N330" s="4519">
        <v>0</v>
      </c>
      <c r="O330" s="4519">
        <f>M330-J330</f>
        <v>0</v>
      </c>
      <c r="P330" s="4044">
        <f>O330-K330</f>
        <v>0</v>
      </c>
      <c r="Q330" s="4840"/>
    </row>
    <row r="331" spans="1:17" s="2070" customFormat="1">
      <c r="A331" s="4065">
        <v>4</v>
      </c>
      <c r="B331" s="4065">
        <v>1</v>
      </c>
      <c r="C331" s="4065">
        <v>4</v>
      </c>
      <c r="D331" s="4048"/>
      <c r="E331" s="4048"/>
      <c r="F331" s="4066">
        <v>3</v>
      </c>
      <c r="G331" s="4067"/>
      <c r="H331" s="4068" t="s">
        <v>71</v>
      </c>
      <c r="I331" s="4068"/>
      <c r="J331" s="4546">
        <v>0</v>
      </c>
      <c r="K331" s="2159">
        <v>0</v>
      </c>
      <c r="L331" s="4546">
        <f>SUM(L332:L336)</f>
        <v>0</v>
      </c>
      <c r="M331" s="4253">
        <f t="shared" si="59"/>
        <v>0</v>
      </c>
      <c r="N331" s="4253">
        <v>0</v>
      </c>
      <c r="O331" s="4254">
        <f t="shared" ref="O331:O336" si="60">M331-J331</f>
        <v>0</v>
      </c>
      <c r="P331" s="4061">
        <v>0</v>
      </c>
      <c r="Q331" s="4839"/>
    </row>
    <row r="332" spans="1:17" s="2070" customFormat="1">
      <c r="A332" s="4065">
        <v>4</v>
      </c>
      <c r="B332" s="4065">
        <v>1</v>
      </c>
      <c r="C332" s="4065">
        <v>4</v>
      </c>
      <c r="D332" s="4065" t="s">
        <v>441</v>
      </c>
      <c r="E332" s="4048"/>
      <c r="F332" s="4049"/>
      <c r="G332" s="4067"/>
      <c r="H332" s="4062" t="s">
        <v>50</v>
      </c>
      <c r="I332" s="4060" t="s">
        <v>72</v>
      </c>
      <c r="J332" s="1964">
        <v>0</v>
      </c>
      <c r="K332" s="2159">
        <v>0</v>
      </c>
      <c r="L332" s="2160">
        <f>'[2]ALL BULAN'!E332</f>
        <v>0</v>
      </c>
      <c r="M332" s="4253">
        <f t="shared" si="59"/>
        <v>0</v>
      </c>
      <c r="N332" s="4253">
        <v>0</v>
      </c>
      <c r="O332" s="4254">
        <f t="shared" si="60"/>
        <v>0</v>
      </c>
      <c r="P332" s="4061">
        <v>0</v>
      </c>
      <c r="Q332" s="4839"/>
    </row>
    <row r="333" spans="1:17" s="2070" customFormat="1">
      <c r="A333" s="4074">
        <v>4</v>
      </c>
      <c r="B333" s="4074">
        <v>1</v>
      </c>
      <c r="C333" s="4074" t="s">
        <v>443</v>
      </c>
      <c r="D333" s="4074" t="s">
        <v>444</v>
      </c>
      <c r="E333" s="4074" t="s">
        <v>440</v>
      </c>
      <c r="F333" s="4049"/>
      <c r="G333" s="4067"/>
      <c r="H333" s="4062" t="s">
        <v>50</v>
      </c>
      <c r="I333" s="4060" t="s">
        <v>73</v>
      </c>
      <c r="J333" s="1964">
        <v>0</v>
      </c>
      <c r="K333" s="2159">
        <v>0</v>
      </c>
      <c r="L333" s="2160">
        <f>'[2]ALL BULAN'!E333</f>
        <v>0</v>
      </c>
      <c r="M333" s="4253">
        <f t="shared" si="59"/>
        <v>0</v>
      </c>
      <c r="N333" s="4253">
        <v>0</v>
      </c>
      <c r="O333" s="4254">
        <f t="shared" si="60"/>
        <v>0</v>
      </c>
      <c r="P333" s="4061">
        <v>0</v>
      </c>
      <c r="Q333" s="4839"/>
    </row>
    <row r="334" spans="1:17" s="2070" customFormat="1">
      <c r="A334" s="4069">
        <v>4</v>
      </c>
      <c r="B334" s="4069">
        <v>1</v>
      </c>
      <c r="C334" s="4069" t="s">
        <v>443</v>
      </c>
      <c r="D334" s="4069" t="s">
        <v>444</v>
      </c>
      <c r="E334" s="4070" t="s">
        <v>445</v>
      </c>
      <c r="F334" s="4049"/>
      <c r="G334" s="4067"/>
      <c r="H334" s="4062" t="s">
        <v>50</v>
      </c>
      <c r="I334" s="4060" t="s">
        <v>74</v>
      </c>
      <c r="J334" s="1964">
        <v>0</v>
      </c>
      <c r="K334" s="2159">
        <v>0</v>
      </c>
      <c r="L334" s="2160">
        <f>'[2]ALL BULAN'!E334</f>
        <v>0</v>
      </c>
      <c r="M334" s="4253">
        <f t="shared" si="59"/>
        <v>0</v>
      </c>
      <c r="N334" s="4253">
        <v>0</v>
      </c>
      <c r="O334" s="4254">
        <f t="shared" si="60"/>
        <v>0</v>
      </c>
      <c r="P334" s="4061">
        <v>0</v>
      </c>
      <c r="Q334" s="4839"/>
    </row>
    <row r="335" spans="1:17" s="2070" customFormat="1">
      <c r="A335" s="4101">
        <v>4</v>
      </c>
      <c r="B335" s="4101">
        <v>1</v>
      </c>
      <c r="C335" s="4101" t="s">
        <v>443</v>
      </c>
      <c r="D335" s="4101" t="s">
        <v>444</v>
      </c>
      <c r="E335" s="4101" t="s">
        <v>441</v>
      </c>
      <c r="F335" s="4049"/>
      <c r="G335" s="4067"/>
      <c r="H335" s="4060" t="s">
        <v>308</v>
      </c>
      <c r="I335" s="4090" t="s">
        <v>75</v>
      </c>
      <c r="J335" s="1964">
        <v>0</v>
      </c>
      <c r="K335" s="2159">
        <v>0</v>
      </c>
      <c r="L335" s="2160">
        <f>'[2]ALL BULAN'!E335</f>
        <v>0</v>
      </c>
      <c r="M335" s="4253">
        <f t="shared" si="59"/>
        <v>0</v>
      </c>
      <c r="N335" s="4253">
        <v>0</v>
      </c>
      <c r="O335" s="4254">
        <f t="shared" si="60"/>
        <v>0</v>
      </c>
      <c r="P335" s="4061">
        <v>0</v>
      </c>
      <c r="Q335" s="4839"/>
    </row>
    <row r="336" spans="1:17" s="2070" customFormat="1">
      <c r="A336" s="4079">
        <v>4</v>
      </c>
      <c r="B336" s="4079">
        <v>1</v>
      </c>
      <c r="C336" s="4079" t="s">
        <v>443</v>
      </c>
      <c r="D336" s="4079" t="s">
        <v>447</v>
      </c>
      <c r="E336" s="4093" t="s">
        <v>437</v>
      </c>
      <c r="F336" s="4049"/>
      <c r="G336" s="4067"/>
      <c r="H336" s="4062" t="s">
        <v>50</v>
      </c>
      <c r="I336" s="4090" t="s">
        <v>85</v>
      </c>
      <c r="J336" s="1964">
        <v>0</v>
      </c>
      <c r="K336" s="2159">
        <v>0</v>
      </c>
      <c r="L336" s="2160">
        <f>'[2]ALL BULAN'!E336</f>
        <v>0</v>
      </c>
      <c r="M336" s="4253">
        <f t="shared" si="59"/>
        <v>0</v>
      </c>
      <c r="N336" s="4253">
        <v>0</v>
      </c>
      <c r="O336" s="4254">
        <f t="shared" si="60"/>
        <v>0</v>
      </c>
      <c r="P336" s="4061">
        <v>0</v>
      </c>
      <c r="Q336" s="4839"/>
    </row>
    <row r="337" spans="1:17" s="4782" customFormat="1">
      <c r="A337" s="5331"/>
      <c r="B337" s="5331"/>
      <c r="C337" s="5331"/>
      <c r="D337" s="5331"/>
      <c r="E337" s="4771"/>
      <c r="F337" s="4772"/>
      <c r="G337" s="4773"/>
      <c r="H337" s="4774" t="s">
        <v>1250</v>
      </c>
      <c r="I337" s="4783"/>
      <c r="J337" s="5304">
        <f>SUM(J338+J347)</f>
        <v>92558485190</v>
      </c>
      <c r="K337" s="5305">
        <v>0</v>
      </c>
      <c r="L337" s="5304">
        <f>'[2]ALL BULAN'!E337</f>
        <v>0</v>
      </c>
      <c r="M337" s="5299">
        <f t="shared" ref="M337:M348" si="61">SUM(K337:L337)</f>
        <v>0</v>
      </c>
      <c r="N337" s="5299">
        <f>N338+N347</f>
        <v>93009585651</v>
      </c>
      <c r="O337" s="5299">
        <f>N337-J337</f>
        <v>451100461</v>
      </c>
      <c r="P337" s="5300">
        <f>P338</f>
        <v>0.49813163289287571</v>
      </c>
      <c r="Q337" s="4849"/>
    </row>
    <row r="338" spans="1:17" s="4782" customFormat="1">
      <c r="A338" s="5331"/>
      <c r="B338" s="5331"/>
      <c r="C338" s="5331"/>
      <c r="D338" s="5331"/>
      <c r="E338" s="4771"/>
      <c r="F338" s="4772"/>
      <c r="G338" s="4773"/>
      <c r="H338" s="4774" t="s">
        <v>1229</v>
      </c>
      <c r="I338" s="4775"/>
      <c r="J338" s="5295">
        <v>90558485190</v>
      </c>
      <c r="K338" s="5296">
        <v>0</v>
      </c>
      <c r="L338" s="5297">
        <f>'[2]ALL BULAN'!E338</f>
        <v>0</v>
      </c>
      <c r="M338" s="5298">
        <f t="shared" si="61"/>
        <v>0</v>
      </c>
      <c r="N338" s="5298">
        <f>N339</f>
        <v>91009585651</v>
      </c>
      <c r="O338" s="5299">
        <f>N338-J338</f>
        <v>451100461</v>
      </c>
      <c r="P338" s="5300">
        <f>O338/J338*100</f>
        <v>0.49813163289287571</v>
      </c>
      <c r="Q338" s="4849"/>
    </row>
    <row r="339" spans="1:17" s="4782" customFormat="1">
      <c r="A339" s="5331"/>
      <c r="B339" s="5331"/>
      <c r="C339" s="5331"/>
      <c r="D339" s="5331"/>
      <c r="E339" s="4771"/>
      <c r="F339" s="4772"/>
      <c r="G339" s="4773"/>
      <c r="H339" s="4774" t="s">
        <v>1228</v>
      </c>
      <c r="I339" s="4783"/>
      <c r="J339" s="5295">
        <f>SUM(J340:J346)</f>
        <v>90558485190</v>
      </c>
      <c r="K339" s="5296"/>
      <c r="L339" s="5301"/>
      <c r="M339" s="5298"/>
      <c r="N339" s="5298">
        <f>SUM(N340:N346)</f>
        <v>91009585651</v>
      </c>
      <c r="O339" s="5299">
        <f>N339-J339</f>
        <v>451100461</v>
      </c>
      <c r="P339" s="5300">
        <f t="shared" ref="P339:P348" si="62">O339/J339*100</f>
        <v>0.49813163289287571</v>
      </c>
      <c r="Q339" s="4849"/>
    </row>
    <row r="340" spans="1:17" s="4782" customFormat="1">
      <c r="A340" s="5331"/>
      <c r="B340" s="5331"/>
      <c r="C340" s="5331"/>
      <c r="D340" s="5331"/>
      <c r="E340" s="4771"/>
      <c r="F340" s="4772"/>
      <c r="G340" s="4773"/>
      <c r="H340" s="4785" t="s">
        <v>50</v>
      </c>
      <c r="I340" s="4783" t="s">
        <v>196</v>
      </c>
      <c r="J340" s="5302">
        <v>13374571865</v>
      </c>
      <c r="K340" s="5296"/>
      <c r="L340" s="5301"/>
      <c r="M340" s="5298"/>
      <c r="N340" s="5303">
        <v>11305220112</v>
      </c>
      <c r="O340" s="5299">
        <f t="shared" ref="O340:O346" si="63">N340-J340</f>
        <v>-2069351753</v>
      </c>
      <c r="P340" s="5300">
        <f t="shared" si="62"/>
        <v>-15.47228407673594</v>
      </c>
      <c r="Q340" s="4849"/>
    </row>
    <row r="341" spans="1:17" s="4782" customFormat="1">
      <c r="A341" s="5331"/>
      <c r="B341" s="5331"/>
      <c r="C341" s="5331"/>
      <c r="D341" s="5331"/>
      <c r="E341" s="4771"/>
      <c r="F341" s="4772"/>
      <c r="G341" s="4773"/>
      <c r="H341" s="4785" t="s">
        <v>50</v>
      </c>
      <c r="I341" s="4783" t="s">
        <v>1230</v>
      </c>
      <c r="J341" s="5302">
        <v>59958450102</v>
      </c>
      <c r="K341" s="5296"/>
      <c r="L341" s="5301"/>
      <c r="M341" s="5298"/>
      <c r="N341" s="5302">
        <v>62065732074</v>
      </c>
      <c r="O341" s="5299">
        <f t="shared" si="63"/>
        <v>2107281972</v>
      </c>
      <c r="P341" s="5300">
        <f t="shared" si="62"/>
        <v>3.5145704540646703</v>
      </c>
      <c r="Q341" s="4849"/>
    </row>
    <row r="342" spans="1:17" s="4782" customFormat="1">
      <c r="A342" s="5331"/>
      <c r="B342" s="5331"/>
      <c r="C342" s="5331"/>
      <c r="D342" s="5331"/>
      <c r="E342" s="4771"/>
      <c r="F342" s="4772"/>
      <c r="G342" s="4773"/>
      <c r="H342" s="4785" t="s">
        <v>50</v>
      </c>
      <c r="I342" s="4783" t="s">
        <v>1231</v>
      </c>
      <c r="J342" s="5302">
        <v>1000000000</v>
      </c>
      <c r="K342" s="5296"/>
      <c r="L342" s="5301"/>
      <c r="M342" s="5298"/>
      <c r="N342" s="5303">
        <v>1100000000</v>
      </c>
      <c r="O342" s="5299">
        <f t="shared" si="63"/>
        <v>100000000</v>
      </c>
      <c r="P342" s="5300">
        <f t="shared" si="62"/>
        <v>10</v>
      </c>
      <c r="Q342" s="4849"/>
    </row>
    <row r="343" spans="1:17" s="4782" customFormat="1">
      <c r="A343" s="5331"/>
      <c r="B343" s="5331"/>
      <c r="C343" s="5331"/>
      <c r="D343" s="5331"/>
      <c r="E343" s="4771"/>
      <c r="F343" s="4772"/>
      <c r="G343" s="4773"/>
      <c r="H343" s="4785" t="s">
        <v>50</v>
      </c>
      <c r="I343" s="4783" t="s">
        <v>1232</v>
      </c>
      <c r="J343" s="5302">
        <v>16000000000</v>
      </c>
      <c r="K343" s="5296">
        <v>0</v>
      </c>
      <c r="L343" s="5301">
        <f>'[2]ALL BULAN'!E339</f>
        <v>0</v>
      </c>
      <c r="M343" s="5298">
        <f t="shared" si="61"/>
        <v>0</v>
      </c>
      <c r="N343" s="5302">
        <v>16000000000</v>
      </c>
      <c r="O343" s="5299">
        <f t="shared" si="63"/>
        <v>0</v>
      </c>
      <c r="P343" s="5300">
        <f t="shared" si="62"/>
        <v>0</v>
      </c>
      <c r="Q343" s="4849"/>
    </row>
    <row r="344" spans="1:17" s="4782" customFormat="1">
      <c r="A344" s="5331"/>
      <c r="B344" s="5331"/>
      <c r="C344" s="5331"/>
      <c r="D344" s="5331"/>
      <c r="E344" s="4771"/>
      <c r="F344" s="4772"/>
      <c r="G344" s="4773"/>
      <c r="H344" s="4785" t="s">
        <v>50</v>
      </c>
      <c r="I344" s="4783" t="s">
        <v>1233</v>
      </c>
      <c r="J344" s="5302">
        <v>0</v>
      </c>
      <c r="K344" s="5296">
        <v>0</v>
      </c>
      <c r="L344" s="5301">
        <f>'[2]ALL BULAN'!E340</f>
        <v>0</v>
      </c>
      <c r="M344" s="5298">
        <f t="shared" si="61"/>
        <v>0</v>
      </c>
      <c r="N344" s="5298">
        <v>0</v>
      </c>
      <c r="O344" s="5299">
        <f t="shared" si="63"/>
        <v>0</v>
      </c>
      <c r="P344" s="5300">
        <v>0</v>
      </c>
      <c r="Q344" s="4849"/>
    </row>
    <row r="345" spans="1:17" s="4782" customFormat="1">
      <c r="A345" s="5331"/>
      <c r="B345" s="5331"/>
      <c r="C345" s="5331"/>
      <c r="D345" s="5331"/>
      <c r="E345" s="4771"/>
      <c r="F345" s="4772"/>
      <c r="G345" s="4773"/>
      <c r="H345" s="4785" t="s">
        <v>50</v>
      </c>
      <c r="I345" s="4783" t="s">
        <v>1093</v>
      </c>
      <c r="J345" s="5302">
        <v>136702012</v>
      </c>
      <c r="K345" s="5296">
        <v>0</v>
      </c>
      <c r="L345" s="5301">
        <f>'[2]ALL BULAN'!E341</f>
        <v>0</v>
      </c>
      <c r="M345" s="5298">
        <f t="shared" si="61"/>
        <v>0</v>
      </c>
      <c r="N345" s="5303">
        <v>437998804</v>
      </c>
      <c r="O345" s="5299">
        <f t="shared" si="63"/>
        <v>301296792</v>
      </c>
      <c r="P345" s="5300">
        <f t="shared" si="62"/>
        <v>220.40406545003884</v>
      </c>
      <c r="Q345" s="4849"/>
    </row>
    <row r="346" spans="1:17" s="4782" customFormat="1">
      <c r="A346" s="5331"/>
      <c r="B346" s="5331"/>
      <c r="C346" s="5331"/>
      <c r="D346" s="5331"/>
      <c r="E346" s="4771"/>
      <c r="F346" s="4772"/>
      <c r="G346" s="4773"/>
      <c r="H346" s="4785"/>
      <c r="I346" s="4783" t="s">
        <v>1234</v>
      </c>
      <c r="J346" s="5302">
        <v>88761211</v>
      </c>
      <c r="K346" s="5296"/>
      <c r="L346" s="5301"/>
      <c r="M346" s="5298"/>
      <c r="N346" s="5303">
        <v>100634661</v>
      </c>
      <c r="O346" s="5299">
        <f t="shared" si="63"/>
        <v>11873450</v>
      </c>
      <c r="P346" s="5300">
        <f t="shared" si="62"/>
        <v>13.376845433079998</v>
      </c>
      <c r="Q346" s="4849"/>
    </row>
    <row r="347" spans="1:17" s="4782" customFormat="1">
      <c r="A347" s="5331"/>
      <c r="B347" s="5331"/>
      <c r="C347" s="5331"/>
      <c r="D347" s="5331"/>
      <c r="E347" s="4771"/>
      <c r="F347" s="4772"/>
      <c r="G347" s="4773"/>
      <c r="H347" s="4774" t="s">
        <v>1235</v>
      </c>
      <c r="I347" s="4783"/>
      <c r="J347" s="5295">
        <f>J348</f>
        <v>2000000000</v>
      </c>
      <c r="K347" s="5296"/>
      <c r="L347" s="5301"/>
      <c r="M347" s="5298"/>
      <c r="N347" s="5298">
        <f>N348</f>
        <v>2000000000</v>
      </c>
      <c r="O347" s="5299">
        <f>N347-J347</f>
        <v>0</v>
      </c>
      <c r="P347" s="5300">
        <f t="shared" si="62"/>
        <v>0</v>
      </c>
      <c r="Q347" s="4849"/>
    </row>
    <row r="348" spans="1:17" s="4782" customFormat="1">
      <c r="A348" s="5331"/>
      <c r="B348" s="5331"/>
      <c r="C348" s="5331"/>
      <c r="D348" s="5331"/>
      <c r="E348" s="4771"/>
      <c r="F348" s="4772"/>
      <c r="G348" s="4773"/>
      <c r="H348" s="4785" t="s">
        <v>50</v>
      </c>
      <c r="I348" s="4783" t="s">
        <v>1236</v>
      </c>
      <c r="J348" s="5302">
        <v>2000000000</v>
      </c>
      <c r="K348" s="5296">
        <v>0</v>
      </c>
      <c r="L348" s="5301">
        <f>'[2]ALL BULAN'!E342</f>
        <v>0</v>
      </c>
      <c r="M348" s="5298">
        <f t="shared" si="61"/>
        <v>0</v>
      </c>
      <c r="N348" s="5298">
        <v>2000000000</v>
      </c>
      <c r="O348" s="5299">
        <f>N348-J348</f>
        <v>0</v>
      </c>
      <c r="P348" s="5300">
        <f t="shared" si="62"/>
        <v>0</v>
      </c>
      <c r="Q348" s="4849"/>
    </row>
    <row r="349" spans="1:17" s="4782" customFormat="1" ht="7.55" customHeight="1">
      <c r="A349" s="4787"/>
      <c r="B349" s="4787"/>
      <c r="C349" s="4787"/>
      <c r="D349" s="4787"/>
      <c r="E349" s="4787"/>
      <c r="F349" s="4772"/>
      <c r="G349" s="4773"/>
      <c r="H349" s="4788"/>
      <c r="I349" s="4783"/>
      <c r="J349" s="4789"/>
      <c r="K349" s="4790"/>
      <c r="L349" s="4789"/>
      <c r="M349" s="4791"/>
      <c r="N349" s="4791"/>
      <c r="O349" s="4791"/>
      <c r="P349" s="4792"/>
      <c r="Q349" s="4849"/>
    </row>
    <row r="350" spans="1:17" s="2073" customFormat="1" ht="15.05">
      <c r="A350" s="4039"/>
      <c r="B350" s="4039"/>
      <c r="C350" s="4039"/>
      <c r="D350" s="4039"/>
      <c r="E350" s="4039"/>
      <c r="F350" s="4040"/>
      <c r="G350" s="4041"/>
      <c r="H350" s="4180" t="s">
        <v>172</v>
      </c>
      <c r="I350" s="4173" t="s">
        <v>173</v>
      </c>
      <c r="J350" s="4545">
        <v>0</v>
      </c>
      <c r="K350" s="4520">
        <v>0</v>
      </c>
      <c r="L350" s="4545">
        <f>SUM(L351)</f>
        <v>0</v>
      </c>
      <c r="M350" s="4519">
        <f t="shared" ref="M350:M356" si="64">SUM(K350:L350)</f>
        <v>0</v>
      </c>
      <c r="N350" s="4519"/>
      <c r="O350" s="4519">
        <f>M350-J350</f>
        <v>0</v>
      </c>
      <c r="P350" s="4044">
        <f>O350-K350</f>
        <v>0</v>
      </c>
      <c r="Q350" s="4840"/>
    </row>
    <row r="351" spans="1:17" s="2070" customFormat="1">
      <c r="A351" s="4065">
        <v>4</v>
      </c>
      <c r="B351" s="4065">
        <v>1</v>
      </c>
      <c r="C351" s="4065">
        <v>4</v>
      </c>
      <c r="D351" s="4048"/>
      <c r="E351" s="4048"/>
      <c r="F351" s="4066">
        <v>3</v>
      </c>
      <c r="G351" s="4067"/>
      <c r="H351" s="4068" t="s">
        <v>71</v>
      </c>
      <c r="I351" s="4068"/>
      <c r="J351" s="4546">
        <v>0</v>
      </c>
      <c r="K351" s="2159">
        <v>0</v>
      </c>
      <c r="L351" s="4546">
        <f>SUM(L352:L356)</f>
        <v>0</v>
      </c>
      <c r="M351" s="4253">
        <f t="shared" si="64"/>
        <v>0</v>
      </c>
      <c r="N351" s="4253">
        <v>0</v>
      </c>
      <c r="O351" s="4254">
        <f t="shared" ref="O351:O356" si="65">M351-J351</f>
        <v>0</v>
      </c>
      <c r="P351" s="4061">
        <v>0</v>
      </c>
      <c r="Q351" s="4839"/>
    </row>
    <row r="352" spans="1:17" s="2070" customFormat="1">
      <c r="A352" s="4065">
        <v>4</v>
      </c>
      <c r="B352" s="4065">
        <v>1</v>
      </c>
      <c r="C352" s="4065">
        <v>4</v>
      </c>
      <c r="D352" s="4065" t="s">
        <v>441</v>
      </c>
      <c r="E352" s="4048"/>
      <c r="F352" s="4049"/>
      <c r="G352" s="4059"/>
      <c r="H352" s="4131" t="s">
        <v>50</v>
      </c>
      <c r="I352" s="4060" t="s">
        <v>72</v>
      </c>
      <c r="J352" s="1964">
        <v>0</v>
      </c>
      <c r="K352" s="2159">
        <v>0</v>
      </c>
      <c r="L352" s="2160">
        <f>'[2]ALL BULAN'!E340</f>
        <v>0</v>
      </c>
      <c r="M352" s="4253">
        <f t="shared" si="64"/>
        <v>0</v>
      </c>
      <c r="N352" s="4253">
        <v>0</v>
      </c>
      <c r="O352" s="4254">
        <f t="shared" si="65"/>
        <v>0</v>
      </c>
      <c r="P352" s="4061">
        <v>0</v>
      </c>
      <c r="Q352" s="4839"/>
    </row>
    <row r="353" spans="1:17" s="2070" customFormat="1">
      <c r="A353" s="4074">
        <v>4</v>
      </c>
      <c r="B353" s="4074">
        <v>1</v>
      </c>
      <c r="C353" s="4074" t="s">
        <v>443</v>
      </c>
      <c r="D353" s="4074" t="s">
        <v>444</v>
      </c>
      <c r="E353" s="4074" t="s">
        <v>440</v>
      </c>
      <c r="F353" s="4049"/>
      <c r="G353" s="4059"/>
      <c r="H353" s="4131" t="s">
        <v>50</v>
      </c>
      <c r="I353" s="4060" t="s">
        <v>73</v>
      </c>
      <c r="J353" s="1964">
        <v>0</v>
      </c>
      <c r="K353" s="2159">
        <v>0</v>
      </c>
      <c r="L353" s="2160">
        <f>'[2]ALL BULAN'!E341</f>
        <v>0</v>
      </c>
      <c r="M353" s="4253">
        <f t="shared" si="64"/>
        <v>0</v>
      </c>
      <c r="N353" s="4253">
        <v>0</v>
      </c>
      <c r="O353" s="4254">
        <f t="shared" si="65"/>
        <v>0</v>
      </c>
      <c r="P353" s="4061">
        <v>0</v>
      </c>
      <c r="Q353" s="4839"/>
    </row>
    <row r="354" spans="1:17" s="2070" customFormat="1">
      <c r="A354" s="4069">
        <v>4</v>
      </c>
      <c r="B354" s="4069">
        <v>1</v>
      </c>
      <c r="C354" s="4069" t="s">
        <v>443</v>
      </c>
      <c r="D354" s="4069" t="s">
        <v>444</v>
      </c>
      <c r="E354" s="4070" t="s">
        <v>445</v>
      </c>
      <c r="F354" s="4049"/>
      <c r="G354" s="4059"/>
      <c r="H354" s="4131" t="s">
        <v>50</v>
      </c>
      <c r="I354" s="4060" t="s">
        <v>74</v>
      </c>
      <c r="J354" s="1964">
        <v>0</v>
      </c>
      <c r="K354" s="2159">
        <v>0</v>
      </c>
      <c r="L354" s="2160">
        <f>'[2]ALL BULAN'!E342</f>
        <v>0</v>
      </c>
      <c r="M354" s="4253">
        <f t="shared" si="64"/>
        <v>0</v>
      </c>
      <c r="N354" s="4253">
        <v>0</v>
      </c>
      <c r="O354" s="4254">
        <f t="shared" si="65"/>
        <v>0</v>
      </c>
      <c r="P354" s="4061">
        <v>0</v>
      </c>
      <c r="Q354" s="4839"/>
    </row>
    <row r="355" spans="1:17" s="2070" customFormat="1">
      <c r="A355" s="4101">
        <v>4</v>
      </c>
      <c r="B355" s="4101">
        <v>1</v>
      </c>
      <c r="C355" s="4101" t="s">
        <v>443</v>
      </c>
      <c r="D355" s="4101" t="s">
        <v>444</v>
      </c>
      <c r="E355" s="4101" t="s">
        <v>441</v>
      </c>
      <c r="F355" s="4049"/>
      <c r="G355" s="4059"/>
      <c r="H355" s="4060" t="s">
        <v>308</v>
      </c>
      <c r="I355" s="4060" t="s">
        <v>75</v>
      </c>
      <c r="J355" s="1964">
        <v>0</v>
      </c>
      <c r="K355" s="2159">
        <v>0</v>
      </c>
      <c r="L355" s="2160">
        <f>'[2]ALL BULAN'!E343</f>
        <v>0</v>
      </c>
      <c r="M355" s="4253">
        <f t="shared" si="64"/>
        <v>0</v>
      </c>
      <c r="N355" s="4253">
        <v>0</v>
      </c>
      <c r="O355" s="4254">
        <f t="shared" si="65"/>
        <v>0</v>
      </c>
      <c r="P355" s="4061">
        <v>0</v>
      </c>
      <c r="Q355" s="4839"/>
    </row>
    <row r="356" spans="1:17" s="2070" customFormat="1">
      <c r="A356" s="4079">
        <v>4</v>
      </c>
      <c r="B356" s="4079">
        <v>1</v>
      </c>
      <c r="C356" s="4079" t="s">
        <v>443</v>
      </c>
      <c r="D356" s="4079" t="s">
        <v>447</v>
      </c>
      <c r="E356" s="4093" t="s">
        <v>437</v>
      </c>
      <c r="F356" s="4049"/>
      <c r="G356" s="4059"/>
      <c r="H356" s="4181" t="s">
        <v>50</v>
      </c>
      <c r="I356" s="4060" t="s">
        <v>85</v>
      </c>
      <c r="J356" s="1964">
        <v>0</v>
      </c>
      <c r="K356" s="2159">
        <v>0</v>
      </c>
      <c r="L356" s="2160">
        <f>'[2]ALL BULAN'!E344</f>
        <v>0</v>
      </c>
      <c r="M356" s="4253">
        <f t="shared" si="64"/>
        <v>0</v>
      </c>
      <c r="N356" s="4253">
        <v>0</v>
      </c>
      <c r="O356" s="4254">
        <f t="shared" si="65"/>
        <v>0</v>
      </c>
      <c r="P356" s="4061">
        <v>0</v>
      </c>
      <c r="Q356" s="4839"/>
    </row>
    <row r="357" spans="1:17" s="2070" customFormat="1" ht="5.95" customHeight="1">
      <c r="A357" s="4048"/>
      <c r="B357" s="4048"/>
      <c r="C357" s="4048"/>
      <c r="D357" s="4048"/>
      <c r="E357" s="4048"/>
      <c r="F357" s="4049"/>
      <c r="G357" s="4150"/>
      <c r="H357" s="4151"/>
      <c r="I357" s="4133"/>
      <c r="J357" s="2334"/>
      <c r="K357" s="2335"/>
      <c r="L357" s="2334"/>
      <c r="M357" s="2336"/>
      <c r="N357" s="2336"/>
      <c r="O357" s="2336"/>
      <c r="P357" s="4182"/>
      <c r="Q357" s="4839"/>
    </row>
    <row r="358" spans="1:17" s="2073" customFormat="1" ht="15.05">
      <c r="A358" s="4039"/>
      <c r="B358" s="4039"/>
      <c r="C358" s="4039"/>
      <c r="D358" s="4039"/>
      <c r="E358" s="4039"/>
      <c r="F358" s="4040"/>
      <c r="G358" s="4183" t="s">
        <v>174</v>
      </c>
      <c r="H358" s="4173" t="s">
        <v>175</v>
      </c>
      <c r="I358" s="4173"/>
      <c r="J358" s="4552">
        <v>0</v>
      </c>
      <c r="K358" s="4520">
        <v>19067890</v>
      </c>
      <c r="L358" s="4552">
        <f>SUM(L359)</f>
        <v>0</v>
      </c>
      <c r="M358" s="4519">
        <f t="shared" ref="M358:M364" si="66">SUM(K358:L358)</f>
        <v>19067890</v>
      </c>
      <c r="N358" s="4519"/>
      <c r="O358" s="4519">
        <f>O359</f>
        <v>0</v>
      </c>
      <c r="P358" s="4044">
        <v>0</v>
      </c>
      <c r="Q358" s="4840"/>
    </row>
    <row r="359" spans="1:17" s="2070" customFormat="1">
      <c r="A359" s="4065">
        <v>4</v>
      </c>
      <c r="B359" s="4065">
        <v>1</v>
      </c>
      <c r="C359" s="4065">
        <v>4</v>
      </c>
      <c r="D359" s="4048"/>
      <c r="E359" s="4048"/>
      <c r="F359" s="4066">
        <v>3</v>
      </c>
      <c r="G359" s="4067"/>
      <c r="H359" s="4068" t="s">
        <v>71</v>
      </c>
      <c r="I359" s="4068"/>
      <c r="J359" s="4546">
        <v>0</v>
      </c>
      <c r="K359" s="2159">
        <v>19067890</v>
      </c>
      <c r="L359" s="4546">
        <f>SUM(L360:L364)</f>
        <v>0</v>
      </c>
      <c r="M359" s="4253">
        <f t="shared" si="66"/>
        <v>19067890</v>
      </c>
      <c r="N359" s="4253">
        <v>0</v>
      </c>
      <c r="O359" s="4254">
        <f>SUM(O360:O364)</f>
        <v>0</v>
      </c>
      <c r="P359" s="4061">
        <v>0</v>
      </c>
      <c r="Q359" s="4839"/>
    </row>
    <row r="360" spans="1:17" s="2070" customFormat="1">
      <c r="A360" s="4065">
        <v>4</v>
      </c>
      <c r="B360" s="4065">
        <v>1</v>
      </c>
      <c r="C360" s="4065">
        <v>4</v>
      </c>
      <c r="D360" s="4065" t="s">
        <v>441</v>
      </c>
      <c r="E360" s="4048"/>
      <c r="F360" s="4049"/>
      <c r="G360" s="4067"/>
      <c r="H360" s="4062" t="s">
        <v>50</v>
      </c>
      <c r="I360" s="4060" t="s">
        <v>72</v>
      </c>
      <c r="J360" s="1964">
        <v>0</v>
      </c>
      <c r="K360" s="2159">
        <v>0</v>
      </c>
      <c r="L360" s="2160">
        <f>'[2]ALL BULAN'!E348</f>
        <v>0</v>
      </c>
      <c r="M360" s="4253">
        <f t="shared" si="66"/>
        <v>0</v>
      </c>
      <c r="N360" s="4253">
        <v>0</v>
      </c>
      <c r="O360" s="4254">
        <f>M360-J360</f>
        <v>0</v>
      </c>
      <c r="P360" s="4061">
        <v>0</v>
      </c>
      <c r="Q360" s="4839"/>
    </row>
    <row r="361" spans="1:17" s="2070" customFormat="1">
      <c r="A361" s="4074">
        <v>4</v>
      </c>
      <c r="B361" s="4074">
        <v>1</v>
      </c>
      <c r="C361" s="4074" t="s">
        <v>443</v>
      </c>
      <c r="D361" s="4074" t="s">
        <v>444</v>
      </c>
      <c r="E361" s="4074" t="s">
        <v>440</v>
      </c>
      <c r="F361" s="4049"/>
      <c r="G361" s="4067"/>
      <c r="H361" s="4062" t="s">
        <v>50</v>
      </c>
      <c r="I361" s="4060" t="s">
        <v>73</v>
      </c>
      <c r="J361" s="1964">
        <v>0</v>
      </c>
      <c r="K361" s="2159">
        <v>0</v>
      </c>
      <c r="L361" s="2160">
        <f>'[2]ALL BULAN'!E349</f>
        <v>0</v>
      </c>
      <c r="M361" s="4253">
        <f t="shared" si="66"/>
        <v>0</v>
      </c>
      <c r="N361" s="4253">
        <v>0</v>
      </c>
      <c r="O361" s="4254">
        <f>M361-J361</f>
        <v>0</v>
      </c>
      <c r="P361" s="4061">
        <v>0</v>
      </c>
      <c r="Q361" s="4839"/>
    </row>
    <row r="362" spans="1:17" s="2070" customFormat="1">
      <c r="A362" s="4069">
        <v>4</v>
      </c>
      <c r="B362" s="4069">
        <v>1</v>
      </c>
      <c r="C362" s="4069" t="s">
        <v>443</v>
      </c>
      <c r="D362" s="4069" t="s">
        <v>444</v>
      </c>
      <c r="E362" s="4070" t="s">
        <v>445</v>
      </c>
      <c r="F362" s="4049"/>
      <c r="G362" s="4067"/>
      <c r="H362" s="4062" t="s">
        <v>50</v>
      </c>
      <c r="I362" s="4060" t="s">
        <v>74</v>
      </c>
      <c r="J362" s="1964">
        <v>0</v>
      </c>
      <c r="K362" s="2159">
        <v>0</v>
      </c>
      <c r="L362" s="2160">
        <f>'[2]ALL BULAN'!E350</f>
        <v>0</v>
      </c>
      <c r="M362" s="4253">
        <f t="shared" si="66"/>
        <v>0</v>
      </c>
      <c r="N362" s="4253">
        <v>0</v>
      </c>
      <c r="O362" s="4254">
        <f>M362-J362</f>
        <v>0</v>
      </c>
      <c r="P362" s="4061">
        <v>0</v>
      </c>
      <c r="Q362" s="4839"/>
    </row>
    <row r="363" spans="1:17" s="2070" customFormat="1">
      <c r="A363" s="4101">
        <v>4</v>
      </c>
      <c r="B363" s="4101">
        <v>1</v>
      </c>
      <c r="C363" s="4101" t="s">
        <v>443</v>
      </c>
      <c r="D363" s="4101" t="s">
        <v>444</v>
      </c>
      <c r="E363" s="4101" t="s">
        <v>441</v>
      </c>
      <c r="F363" s="4049"/>
      <c r="G363" s="4067"/>
      <c r="H363" s="4062" t="s">
        <v>50</v>
      </c>
      <c r="I363" s="4090" t="s">
        <v>75</v>
      </c>
      <c r="J363" s="1964">
        <v>0</v>
      </c>
      <c r="K363" s="2159">
        <v>18154890</v>
      </c>
      <c r="L363" s="2160">
        <v>0</v>
      </c>
      <c r="M363" s="4253">
        <f t="shared" si="66"/>
        <v>18154890</v>
      </c>
      <c r="N363" s="4253">
        <v>0</v>
      </c>
      <c r="O363" s="4254">
        <v>0</v>
      </c>
      <c r="P363" s="4061">
        <v>0</v>
      </c>
      <c r="Q363" s="4839"/>
    </row>
    <row r="364" spans="1:17" s="2070" customFormat="1">
      <c r="A364" s="4079">
        <v>4</v>
      </c>
      <c r="B364" s="4079">
        <v>1</v>
      </c>
      <c r="C364" s="4079" t="s">
        <v>443</v>
      </c>
      <c r="D364" s="4079" t="s">
        <v>447</v>
      </c>
      <c r="E364" s="4093" t="s">
        <v>437</v>
      </c>
      <c r="F364" s="4049"/>
      <c r="G364" s="4067"/>
      <c r="H364" s="4062" t="s">
        <v>50</v>
      </c>
      <c r="I364" s="4090" t="s">
        <v>85</v>
      </c>
      <c r="J364" s="1964">
        <v>0</v>
      </c>
      <c r="K364" s="2159">
        <v>913000</v>
      </c>
      <c r="L364" s="2160">
        <v>0</v>
      </c>
      <c r="M364" s="4253">
        <f t="shared" si="66"/>
        <v>913000</v>
      </c>
      <c r="N364" s="4253">
        <v>0</v>
      </c>
      <c r="O364" s="4254">
        <v>0</v>
      </c>
      <c r="P364" s="4061">
        <v>0</v>
      </c>
      <c r="Q364" s="4839"/>
    </row>
    <row r="365" spans="1:17" s="2070" customFormat="1">
      <c r="A365" s="4048"/>
      <c r="B365" s="4048"/>
      <c r="C365" s="4048"/>
      <c r="D365" s="4048"/>
      <c r="E365" s="4048"/>
      <c r="F365" s="4049"/>
      <c r="G365" s="4184"/>
      <c r="H365" s="4185"/>
      <c r="I365" s="4185"/>
      <c r="J365" s="2314"/>
      <c r="K365" s="2220"/>
      <c r="L365" s="2314"/>
      <c r="M365" s="2315"/>
      <c r="N365" s="2315"/>
      <c r="O365" s="2315"/>
      <c r="P365" s="4174"/>
      <c r="Q365" s="4839"/>
    </row>
    <row r="366" spans="1:17" s="2073" customFormat="1" ht="15.05">
      <c r="A366" s="4039"/>
      <c r="B366" s="4039"/>
      <c r="C366" s="4039"/>
      <c r="D366" s="4039"/>
      <c r="E366" s="4039"/>
      <c r="F366" s="4040"/>
      <c r="G366" s="4041" t="s">
        <v>176</v>
      </c>
      <c r="H366" s="4173" t="s">
        <v>177</v>
      </c>
      <c r="I366" s="4097"/>
      <c r="J366" s="4519">
        <f>J367</f>
        <v>181842529274</v>
      </c>
      <c r="K366" s="4520">
        <v>3277262985</v>
      </c>
      <c r="L366" s="4519">
        <f>L367</f>
        <v>875532884</v>
      </c>
      <c r="M366" s="4519">
        <f>SUM(K366:L366)</f>
        <v>4152795869</v>
      </c>
      <c r="N366" s="4519" t="e">
        <f>N367</f>
        <v>#REF!</v>
      </c>
      <c r="O366" s="4519" t="e">
        <f>N366-J366</f>
        <v>#REF!</v>
      </c>
      <c r="P366" s="4044" t="e">
        <f>O366/J366*100</f>
        <v>#REF!</v>
      </c>
      <c r="Q366" s="4840"/>
    </row>
    <row r="367" spans="1:17" s="2070" customFormat="1">
      <c r="A367" s="4048"/>
      <c r="B367" s="4048"/>
      <c r="C367" s="4048"/>
      <c r="D367" s="4048"/>
      <c r="E367" s="4048"/>
      <c r="F367" s="4049"/>
      <c r="G367" s="4186" t="s">
        <v>179</v>
      </c>
      <c r="H367" s="4068" t="s">
        <v>180</v>
      </c>
      <c r="I367" s="4068"/>
      <c r="J367" s="4254">
        <f>SUM(J368+J383+J397)</f>
        <v>181842529274</v>
      </c>
      <c r="K367" s="2159">
        <v>3277262985</v>
      </c>
      <c r="L367" s="4254">
        <f>L368+L383+L397</f>
        <v>875532884</v>
      </c>
      <c r="M367" s="4253">
        <f t="shared" ref="M367:M397" si="67">SUM(K367:L367)</f>
        <v>4152795869</v>
      </c>
      <c r="N367" s="4253" t="e">
        <f>SUM(N368+N383+N397)</f>
        <v>#REF!</v>
      </c>
      <c r="O367" s="4254" t="e">
        <f>N367-J367</f>
        <v>#REF!</v>
      </c>
      <c r="P367" s="4061" t="e">
        <f>O367/J367*100</f>
        <v>#REF!</v>
      </c>
      <c r="Q367" s="4839"/>
    </row>
    <row r="368" spans="1:17" s="2076" customFormat="1">
      <c r="A368" s="4048"/>
      <c r="B368" s="4048"/>
      <c r="C368" s="4048"/>
      <c r="D368" s="4048"/>
      <c r="E368" s="4048"/>
      <c r="F368" s="4066">
        <v>1</v>
      </c>
      <c r="G368" s="4067"/>
      <c r="H368" s="4068" t="s">
        <v>106</v>
      </c>
      <c r="I368" s="4068"/>
      <c r="J368" s="4254">
        <f>J369</f>
        <v>2235631500</v>
      </c>
      <c r="K368" s="2159">
        <v>181908726</v>
      </c>
      <c r="L368" s="4254">
        <f>L370</f>
        <v>0</v>
      </c>
      <c r="M368" s="4253">
        <f t="shared" si="67"/>
        <v>181908726</v>
      </c>
      <c r="N368" s="4254">
        <f>N369</f>
        <v>2685631500</v>
      </c>
      <c r="O368" s="4254">
        <f>N368-J368</f>
        <v>450000000</v>
      </c>
      <c r="P368" s="4061">
        <f t="shared" ref="P368:P380" si="68">O368/J368*100</f>
        <v>20.128540861944376</v>
      </c>
      <c r="Q368" s="4839"/>
    </row>
    <row r="369" spans="1:17" s="2076" customFormat="1">
      <c r="A369" s="4046">
        <v>4</v>
      </c>
      <c r="B369" s="4046">
        <v>1</v>
      </c>
      <c r="C369" s="4046">
        <v>2</v>
      </c>
      <c r="D369" s="4047" t="s">
        <v>438</v>
      </c>
      <c r="E369" s="4128"/>
      <c r="F369" s="4049"/>
      <c r="G369" s="4067"/>
      <c r="H369" s="4068" t="s">
        <v>109</v>
      </c>
      <c r="I369" s="4068"/>
      <c r="J369" s="4254">
        <f>J370</f>
        <v>2235631500</v>
      </c>
      <c r="K369" s="2159">
        <v>181908726</v>
      </c>
      <c r="L369" s="4254">
        <f>L371</f>
        <v>0</v>
      </c>
      <c r="M369" s="4253">
        <f t="shared" si="67"/>
        <v>181908726</v>
      </c>
      <c r="N369" s="4254">
        <f>N370</f>
        <v>2685631500</v>
      </c>
      <c r="O369" s="4254">
        <f>N369-J369</f>
        <v>450000000</v>
      </c>
      <c r="P369" s="4061">
        <f t="shared" si="68"/>
        <v>20.128540861944376</v>
      </c>
      <c r="Q369" s="4839"/>
    </row>
    <row r="370" spans="1:17" s="2076" customFormat="1" ht="15.05">
      <c r="A370" s="4046">
        <v>4</v>
      </c>
      <c r="B370" s="4046">
        <v>1</v>
      </c>
      <c r="C370" s="4046">
        <v>2</v>
      </c>
      <c r="D370" s="4047" t="s">
        <v>438</v>
      </c>
      <c r="E370" s="4093" t="s">
        <v>437</v>
      </c>
      <c r="F370" s="4049"/>
      <c r="G370" s="4187"/>
      <c r="H370" s="4188" t="s">
        <v>181</v>
      </c>
      <c r="I370" s="4189"/>
      <c r="J370" s="4254">
        <f>SUM(J371+J374+J375)</f>
        <v>2235631500</v>
      </c>
      <c r="K370" s="2159">
        <v>181908726</v>
      </c>
      <c r="L370" s="4254">
        <f>L371</f>
        <v>0</v>
      </c>
      <c r="M370" s="4253">
        <f t="shared" si="67"/>
        <v>181908726</v>
      </c>
      <c r="N370" s="4254">
        <f>SUM(N371+N374+N375)</f>
        <v>2685631500</v>
      </c>
      <c r="O370" s="4254">
        <f t="shared" ref="O370:O380" si="69">N370-J370</f>
        <v>450000000</v>
      </c>
      <c r="P370" s="4061">
        <f t="shared" si="68"/>
        <v>20.128540861944376</v>
      </c>
      <c r="Q370" s="4839"/>
    </row>
    <row r="371" spans="1:17" s="2076" customFormat="1">
      <c r="A371" s="4048"/>
      <c r="B371" s="4048"/>
      <c r="C371" s="4048"/>
      <c r="D371" s="4048"/>
      <c r="E371" s="4048"/>
      <c r="F371" s="4049"/>
      <c r="G371" s="4067"/>
      <c r="H371" s="4062" t="s">
        <v>156</v>
      </c>
      <c r="I371" s="847" t="s">
        <v>182</v>
      </c>
      <c r="J371" s="4719">
        <f>SUM(J372:J373)</f>
        <v>1575381500</v>
      </c>
      <c r="K371" s="2159">
        <v>181908726</v>
      </c>
      <c r="L371" s="4254">
        <f>SUM(L372:L375)</f>
        <v>0</v>
      </c>
      <c r="M371" s="4253">
        <f t="shared" si="67"/>
        <v>181908726</v>
      </c>
      <c r="N371" s="4719">
        <f>SUM(N372:N373)</f>
        <v>1575381500</v>
      </c>
      <c r="O371" s="4254">
        <f t="shared" si="69"/>
        <v>0</v>
      </c>
      <c r="P371" s="4061">
        <f t="shared" si="68"/>
        <v>0</v>
      </c>
      <c r="Q371" s="4839"/>
    </row>
    <row r="372" spans="1:17" s="2076" customFormat="1">
      <c r="A372" s="4048"/>
      <c r="B372" s="4048"/>
      <c r="C372" s="4048"/>
      <c r="D372" s="4048"/>
      <c r="E372" s="4048"/>
      <c r="F372" s="4049"/>
      <c r="G372" s="4067"/>
      <c r="H372" s="4060"/>
      <c r="I372" s="4062" t="s">
        <v>183</v>
      </c>
      <c r="J372" s="1964">
        <v>1043101100</v>
      </c>
      <c r="K372" s="2159">
        <v>6500000</v>
      </c>
      <c r="L372" s="2160">
        <v>0</v>
      </c>
      <c r="M372" s="4253">
        <f t="shared" si="67"/>
        <v>6500000</v>
      </c>
      <c r="N372" s="1964">
        <v>1043101100</v>
      </c>
      <c r="O372" s="4254">
        <f t="shared" si="69"/>
        <v>0</v>
      </c>
      <c r="P372" s="4061">
        <f t="shared" si="68"/>
        <v>0</v>
      </c>
      <c r="Q372" s="4839"/>
    </row>
    <row r="373" spans="1:17" s="2076" customFormat="1">
      <c r="A373" s="4048"/>
      <c r="B373" s="4048"/>
      <c r="C373" s="4048"/>
      <c r="D373" s="4048"/>
      <c r="E373" s="4048"/>
      <c r="F373" s="4049"/>
      <c r="G373" s="4067"/>
      <c r="H373" s="4060"/>
      <c r="I373" s="4062" t="s">
        <v>184</v>
      </c>
      <c r="J373" s="1964">
        <v>532280400</v>
      </c>
      <c r="K373" s="2159">
        <v>23000000</v>
      </c>
      <c r="L373" s="2160">
        <v>0</v>
      </c>
      <c r="M373" s="4253">
        <f t="shared" si="67"/>
        <v>23000000</v>
      </c>
      <c r="N373" s="1964">
        <v>532280400</v>
      </c>
      <c r="O373" s="4254">
        <f t="shared" si="69"/>
        <v>0</v>
      </c>
      <c r="P373" s="4061">
        <f t="shared" si="68"/>
        <v>0</v>
      </c>
      <c r="Q373" s="4839"/>
    </row>
    <row r="374" spans="1:17" s="2076" customFormat="1">
      <c r="A374" s="4048"/>
      <c r="B374" s="4048"/>
      <c r="C374" s="4048"/>
      <c r="D374" s="4048"/>
      <c r="E374" s="4048"/>
      <c r="F374" s="4049"/>
      <c r="G374" s="4067"/>
      <c r="H374" s="4062" t="s">
        <v>161</v>
      </c>
      <c r="I374" s="4062" t="s">
        <v>185</v>
      </c>
      <c r="J374" s="4720">
        <v>500000000</v>
      </c>
      <c r="K374" s="2159">
        <v>112658726</v>
      </c>
      <c r="L374" s="2160">
        <v>0</v>
      </c>
      <c r="M374" s="4253">
        <f t="shared" si="67"/>
        <v>112658726</v>
      </c>
      <c r="N374" s="4720">
        <v>950000000</v>
      </c>
      <c r="O374" s="4254">
        <f t="shared" si="69"/>
        <v>450000000</v>
      </c>
      <c r="P374" s="4061">
        <f t="shared" si="68"/>
        <v>90</v>
      </c>
      <c r="Q374" s="4839"/>
    </row>
    <row r="375" spans="1:17" s="2076" customFormat="1">
      <c r="A375" s="4048"/>
      <c r="B375" s="4048"/>
      <c r="C375" s="4048"/>
      <c r="D375" s="4048"/>
      <c r="E375" s="4048"/>
      <c r="F375" s="4049"/>
      <c r="G375" s="4067"/>
      <c r="H375" s="4062" t="s">
        <v>163</v>
      </c>
      <c r="I375" s="4060" t="s">
        <v>186</v>
      </c>
      <c r="J375" s="4719">
        <f>SUM(J376:J380)</f>
        <v>160250000</v>
      </c>
      <c r="K375" s="2159">
        <v>39750000</v>
      </c>
      <c r="L375" s="4254">
        <f>SUM(L376:L381)</f>
        <v>0</v>
      </c>
      <c r="M375" s="4253">
        <f t="shared" si="67"/>
        <v>39750000</v>
      </c>
      <c r="N375" s="4719">
        <f>SUM(N376:N380)</f>
        <v>160250000</v>
      </c>
      <c r="O375" s="4254">
        <f t="shared" si="69"/>
        <v>0</v>
      </c>
      <c r="P375" s="4061">
        <f t="shared" si="68"/>
        <v>0</v>
      </c>
      <c r="Q375" s="4839"/>
    </row>
    <row r="376" spans="1:17" s="2076" customFormat="1">
      <c r="A376" s="4048"/>
      <c r="B376" s="4048"/>
      <c r="C376" s="4048"/>
      <c r="D376" s="4048"/>
      <c r="E376" s="4048"/>
      <c r="F376" s="4049"/>
      <c r="G376" s="4067"/>
      <c r="H376" s="4060"/>
      <c r="I376" s="4062" t="s">
        <v>187</v>
      </c>
      <c r="J376" s="1964">
        <v>35000000</v>
      </c>
      <c r="K376" s="2159">
        <v>22500000</v>
      </c>
      <c r="L376" s="2160">
        <v>0</v>
      </c>
      <c r="M376" s="4253">
        <f t="shared" si="67"/>
        <v>22500000</v>
      </c>
      <c r="N376" s="1964">
        <v>35000000</v>
      </c>
      <c r="O376" s="4254">
        <f t="shared" si="69"/>
        <v>0</v>
      </c>
      <c r="P376" s="4061">
        <f t="shared" si="68"/>
        <v>0</v>
      </c>
      <c r="Q376" s="4839"/>
    </row>
    <row r="377" spans="1:17" s="2076" customFormat="1">
      <c r="A377" s="4048"/>
      <c r="B377" s="4048"/>
      <c r="C377" s="4048"/>
      <c r="D377" s="4048"/>
      <c r="E377" s="4048"/>
      <c r="F377" s="4049"/>
      <c r="G377" s="4067"/>
      <c r="H377" s="4060"/>
      <c r="I377" s="4062" t="s">
        <v>188</v>
      </c>
      <c r="J377" s="1964">
        <v>28000000</v>
      </c>
      <c r="K377" s="2159">
        <v>0</v>
      </c>
      <c r="L377" s="2160">
        <f>'[2]ALL BULAN'!E365</f>
        <v>0</v>
      </c>
      <c r="M377" s="4253">
        <f t="shared" si="67"/>
        <v>0</v>
      </c>
      <c r="N377" s="1964">
        <v>28000000</v>
      </c>
      <c r="O377" s="4254">
        <f t="shared" si="69"/>
        <v>0</v>
      </c>
      <c r="P377" s="4061">
        <f t="shared" si="68"/>
        <v>0</v>
      </c>
      <c r="Q377" s="4839"/>
    </row>
    <row r="378" spans="1:17" s="2076" customFormat="1">
      <c r="A378" s="4048"/>
      <c r="B378" s="4048"/>
      <c r="C378" s="4048"/>
      <c r="D378" s="4048"/>
      <c r="E378" s="4048"/>
      <c r="F378" s="4049"/>
      <c r="G378" s="4067"/>
      <c r="H378" s="4060"/>
      <c r="I378" s="4062" t="s">
        <v>189</v>
      </c>
      <c r="J378" s="1964">
        <v>17250000</v>
      </c>
      <c r="K378" s="2159">
        <v>17250000</v>
      </c>
      <c r="L378" s="2160">
        <v>0</v>
      </c>
      <c r="M378" s="4253">
        <f t="shared" si="67"/>
        <v>17250000</v>
      </c>
      <c r="N378" s="1964">
        <v>17250000</v>
      </c>
      <c r="O378" s="4254">
        <f t="shared" si="69"/>
        <v>0</v>
      </c>
      <c r="P378" s="4061">
        <f t="shared" si="68"/>
        <v>0</v>
      </c>
      <c r="Q378" s="4839"/>
    </row>
    <row r="379" spans="1:17" s="2076" customFormat="1">
      <c r="A379" s="4048"/>
      <c r="B379" s="4048"/>
      <c r="C379" s="4048"/>
      <c r="D379" s="4048"/>
      <c r="E379" s="4048"/>
      <c r="F379" s="4049"/>
      <c r="G379" s="4067"/>
      <c r="H379" s="4068"/>
      <c r="I379" s="4062" t="s">
        <v>190</v>
      </c>
      <c r="J379" s="1964">
        <v>30000000</v>
      </c>
      <c r="K379" s="2159">
        <v>0</v>
      </c>
      <c r="L379" s="2160">
        <f>'[2]ALL BULAN'!E367</f>
        <v>0</v>
      </c>
      <c r="M379" s="4253">
        <f t="shared" si="67"/>
        <v>0</v>
      </c>
      <c r="N379" s="1964">
        <v>30000000</v>
      </c>
      <c r="O379" s="4254">
        <f t="shared" si="69"/>
        <v>0</v>
      </c>
      <c r="P379" s="4061">
        <f>O379/J379*100</f>
        <v>0</v>
      </c>
      <c r="Q379" s="4839"/>
    </row>
    <row r="380" spans="1:17" s="2076" customFormat="1">
      <c r="A380" s="4048"/>
      <c r="B380" s="4048"/>
      <c r="C380" s="4048"/>
      <c r="D380" s="4048"/>
      <c r="E380" s="4048"/>
      <c r="F380" s="4049"/>
      <c r="G380" s="4067"/>
      <c r="H380" s="4068"/>
      <c r="I380" s="4062" t="s">
        <v>191</v>
      </c>
      <c r="J380" s="1964">
        <v>50000000</v>
      </c>
      <c r="K380" s="2159">
        <v>0</v>
      </c>
      <c r="L380" s="2160">
        <f>'[2]ALL BULAN'!E368</f>
        <v>0</v>
      </c>
      <c r="M380" s="4253">
        <f t="shared" si="67"/>
        <v>0</v>
      </c>
      <c r="N380" s="1964">
        <v>50000000</v>
      </c>
      <c r="O380" s="4254">
        <f t="shared" si="69"/>
        <v>0</v>
      </c>
      <c r="P380" s="4061">
        <f t="shared" si="68"/>
        <v>0</v>
      </c>
      <c r="Q380" s="4839"/>
    </row>
    <row r="381" spans="1:17" s="2076" customFormat="1">
      <c r="A381" s="4048"/>
      <c r="B381" s="4048"/>
      <c r="C381" s="4048"/>
      <c r="D381" s="4048"/>
      <c r="E381" s="4048"/>
      <c r="F381" s="4049"/>
      <c r="G381" s="4067"/>
      <c r="H381" s="4062" t="s">
        <v>165</v>
      </c>
      <c r="I381" s="4060" t="s">
        <v>192</v>
      </c>
      <c r="J381" s="1964">
        <v>0</v>
      </c>
      <c r="K381" s="2159">
        <v>0</v>
      </c>
      <c r="L381" s="2160">
        <f>'[2]ALL BULAN'!E369</f>
        <v>0</v>
      </c>
      <c r="M381" s="4253">
        <f t="shared" si="67"/>
        <v>0</v>
      </c>
      <c r="N381" s="1964">
        <v>0</v>
      </c>
      <c r="O381" s="4254">
        <f>M381-J381</f>
        <v>0</v>
      </c>
      <c r="P381" s="4061">
        <v>0</v>
      </c>
      <c r="Q381" s="4839"/>
    </row>
    <row r="382" spans="1:17" s="2076" customFormat="1" ht="6.75" customHeight="1">
      <c r="A382" s="4048"/>
      <c r="B382" s="4048"/>
      <c r="C382" s="4048"/>
      <c r="D382" s="4048"/>
      <c r="E382" s="4048"/>
      <c r="F382" s="4049"/>
      <c r="G382" s="4067"/>
      <c r="H382" s="4068"/>
      <c r="I382" s="4060"/>
      <c r="J382" s="4253"/>
      <c r="K382" s="2159">
        <v>0</v>
      </c>
      <c r="L382" s="4253"/>
      <c r="M382" s="4253">
        <f t="shared" si="67"/>
        <v>0</v>
      </c>
      <c r="N382" s="4253"/>
      <c r="O382" s="4254">
        <f>M382-J382</f>
        <v>0</v>
      </c>
      <c r="P382" s="4061">
        <f>O382-K382</f>
        <v>0</v>
      </c>
      <c r="Q382" s="4839"/>
    </row>
    <row r="383" spans="1:17" s="4734" customFormat="1" ht="15.05">
      <c r="A383" s="4725">
        <v>4</v>
      </c>
      <c r="B383" s="4725">
        <v>1</v>
      </c>
      <c r="C383" s="4725" t="s">
        <v>457</v>
      </c>
      <c r="D383" s="4726"/>
      <c r="E383" s="4726"/>
      <c r="F383" s="4727">
        <v>2</v>
      </c>
      <c r="G383" s="4728" t="s">
        <v>179</v>
      </c>
      <c r="H383" s="4729" t="s">
        <v>193</v>
      </c>
      <c r="I383" s="4730"/>
      <c r="J383" s="4731">
        <f>SUM(J384+J394)</f>
        <v>92558485190</v>
      </c>
      <c r="K383" s="4732">
        <v>0</v>
      </c>
      <c r="L383" s="4731">
        <f>+L384</f>
        <v>0</v>
      </c>
      <c r="M383" s="4731">
        <f t="shared" si="67"/>
        <v>0</v>
      </c>
      <c r="N383" s="4731" t="e">
        <f>SUM(N384+N394)</f>
        <v>#REF!</v>
      </c>
      <c r="O383" s="4723" t="e">
        <f>N383-J383</f>
        <v>#REF!</v>
      </c>
      <c r="P383" s="4724" t="e">
        <f>O383/J383*100</f>
        <v>#REF!</v>
      </c>
      <c r="Q383" s="4850"/>
    </row>
    <row r="384" spans="1:17" s="2076" customFormat="1">
      <c r="A384" s="4065">
        <v>4</v>
      </c>
      <c r="B384" s="4065">
        <v>1</v>
      </c>
      <c r="C384" s="4065" t="s">
        <v>457</v>
      </c>
      <c r="D384" s="4093" t="s">
        <v>437</v>
      </c>
      <c r="E384" s="4048"/>
      <c r="F384" s="4049"/>
      <c r="G384" s="4067"/>
      <c r="H384" s="4060" t="s">
        <v>194</v>
      </c>
      <c r="I384" s="4060"/>
      <c r="J384" s="4254">
        <f>J385</f>
        <v>90558485190</v>
      </c>
      <c r="K384" s="2343">
        <v>0</v>
      </c>
      <c r="L384" s="4254">
        <f>+L385</f>
        <v>0</v>
      </c>
      <c r="M384" s="2344">
        <f t="shared" si="67"/>
        <v>0</v>
      </c>
      <c r="N384" s="4254" t="e">
        <f>N385</f>
        <v>#REF!</v>
      </c>
      <c r="O384" s="4254" t="e">
        <f>N384-J384</f>
        <v>#REF!</v>
      </c>
      <c r="P384" s="4061" t="e">
        <f>O384/J384*100</f>
        <v>#REF!</v>
      </c>
      <c r="Q384" s="4839"/>
    </row>
    <row r="385" spans="1:17" s="2076" customFormat="1">
      <c r="A385" s="4048"/>
      <c r="B385" s="4048"/>
      <c r="C385" s="4048"/>
      <c r="D385" s="4048"/>
      <c r="E385" s="4048"/>
      <c r="F385" s="4049"/>
      <c r="G385" s="4067"/>
      <c r="H385" s="4060" t="s">
        <v>195</v>
      </c>
      <c r="I385" s="4060"/>
      <c r="J385" s="4254">
        <f>SUM(J386:J392)</f>
        <v>90558485190</v>
      </c>
      <c r="K385" s="2159">
        <v>0</v>
      </c>
      <c r="L385" s="4254">
        <f>SUM(L386:L394)</f>
        <v>0</v>
      </c>
      <c r="M385" s="4253">
        <f t="shared" si="67"/>
        <v>0</v>
      </c>
      <c r="N385" s="4254" t="e">
        <f>SUM(N386:N392)</f>
        <v>#REF!</v>
      </c>
      <c r="O385" s="4254" t="e">
        <f>N385-J385</f>
        <v>#REF!</v>
      </c>
      <c r="P385" s="4061" t="e">
        <f t="shared" ref="P385:P392" si="70">O385/J385*100</f>
        <v>#REF!</v>
      </c>
      <c r="Q385" s="4839"/>
    </row>
    <row r="386" spans="1:17" s="2076" customFormat="1">
      <c r="A386" s="4048"/>
      <c r="B386" s="4048"/>
      <c r="C386" s="4048"/>
      <c r="D386" s="4048"/>
      <c r="E386" s="4048"/>
      <c r="F386" s="4049"/>
      <c r="G386" s="4067"/>
      <c r="H386" s="4060" t="s">
        <v>50</v>
      </c>
      <c r="I386" s="4060" t="s">
        <v>196</v>
      </c>
      <c r="J386" s="1964">
        <v>13374571865</v>
      </c>
      <c r="K386" s="2159">
        <v>0</v>
      </c>
      <c r="L386" s="2160">
        <f>'[2]ALL BULAN'!E374</f>
        <v>0</v>
      </c>
      <c r="M386" s="4253">
        <f t="shared" si="67"/>
        <v>0</v>
      </c>
      <c r="N386" s="1964">
        <v>11305220112</v>
      </c>
      <c r="O386" s="4254">
        <f t="shared" ref="O386:O393" si="71">N386-J386</f>
        <v>-2069351753</v>
      </c>
      <c r="P386" s="4061">
        <f t="shared" si="70"/>
        <v>-15.47228407673594</v>
      </c>
      <c r="Q386" s="4839"/>
    </row>
    <row r="387" spans="1:17" s="2076" customFormat="1">
      <c r="A387" s="4048"/>
      <c r="B387" s="4048"/>
      <c r="C387" s="4048"/>
      <c r="D387" s="4048"/>
      <c r="E387" s="4048"/>
      <c r="F387" s="4049"/>
      <c r="G387" s="4067"/>
      <c r="H387" s="4060" t="s">
        <v>50</v>
      </c>
      <c r="I387" s="4060" t="s">
        <v>197</v>
      </c>
      <c r="J387" s="1964">
        <v>59958450102</v>
      </c>
      <c r="K387" s="2159">
        <v>0</v>
      </c>
      <c r="L387" s="2160">
        <f>'[2]ALL BULAN'!E375</f>
        <v>0</v>
      </c>
      <c r="M387" s="4253">
        <f t="shared" si="67"/>
        <v>0</v>
      </c>
      <c r="N387" s="1964">
        <v>62065732074</v>
      </c>
      <c r="O387" s="4254">
        <f t="shared" si="71"/>
        <v>2107281972</v>
      </c>
      <c r="P387" s="4061">
        <f t="shared" si="70"/>
        <v>3.5145704540646703</v>
      </c>
      <c r="Q387" s="4839"/>
    </row>
    <row r="388" spans="1:17" s="2076" customFormat="1">
      <c r="A388" s="4048"/>
      <c r="B388" s="4048"/>
      <c r="C388" s="4048"/>
      <c r="D388" s="4048"/>
      <c r="E388" s="4048"/>
      <c r="F388" s="4049"/>
      <c r="G388" s="4067"/>
      <c r="H388" s="4060" t="s">
        <v>50</v>
      </c>
      <c r="I388" s="4060" t="s">
        <v>198</v>
      </c>
      <c r="J388" s="1964">
        <v>1000000000</v>
      </c>
      <c r="K388" s="2159">
        <v>0</v>
      </c>
      <c r="L388" s="2160">
        <f>'[2]ALL BULAN'!E376</f>
        <v>0</v>
      </c>
      <c r="M388" s="4253">
        <f t="shared" si="67"/>
        <v>0</v>
      </c>
      <c r="N388" s="1964">
        <v>1100000000</v>
      </c>
      <c r="O388" s="4254">
        <f t="shared" si="71"/>
        <v>100000000</v>
      </c>
      <c r="P388" s="4061">
        <f t="shared" si="70"/>
        <v>10</v>
      </c>
      <c r="Q388" s="4839"/>
    </row>
    <row r="389" spans="1:17" s="2076" customFormat="1">
      <c r="A389" s="4048"/>
      <c r="B389" s="4048"/>
      <c r="C389" s="4048"/>
      <c r="D389" s="4048"/>
      <c r="E389" s="4048"/>
      <c r="F389" s="4049"/>
      <c r="G389" s="4067"/>
      <c r="H389" s="4060" t="s">
        <v>50</v>
      </c>
      <c r="I389" s="4060" t="s">
        <v>199</v>
      </c>
      <c r="J389" s="1964">
        <v>16000000000</v>
      </c>
      <c r="K389" s="2159">
        <v>0</v>
      </c>
      <c r="L389" s="2160">
        <f>'[2]ALL BULAN'!E377</f>
        <v>0</v>
      </c>
      <c r="M389" s="4253">
        <f t="shared" si="67"/>
        <v>0</v>
      </c>
      <c r="N389" s="1964" t="e">
        <f>#REF!</f>
        <v>#REF!</v>
      </c>
      <c r="O389" s="4254" t="e">
        <f t="shared" si="71"/>
        <v>#REF!</v>
      </c>
      <c r="P389" s="4061" t="e">
        <f t="shared" si="70"/>
        <v>#REF!</v>
      </c>
      <c r="Q389" s="4839"/>
    </row>
    <row r="390" spans="1:17" s="2076" customFormat="1">
      <c r="A390" s="4048"/>
      <c r="B390" s="4048"/>
      <c r="C390" s="4048"/>
      <c r="D390" s="4048"/>
      <c r="E390" s="4048"/>
      <c r="F390" s="4049"/>
      <c r="G390" s="4067"/>
      <c r="H390" s="4060" t="s">
        <v>50</v>
      </c>
      <c r="I390" s="4060" t="s">
        <v>200</v>
      </c>
      <c r="J390" s="1964">
        <v>0</v>
      </c>
      <c r="K390" s="2159">
        <v>0</v>
      </c>
      <c r="L390" s="2160">
        <f>'[2]ALL BULAN'!E378</f>
        <v>0</v>
      </c>
      <c r="M390" s="4253">
        <f t="shared" si="67"/>
        <v>0</v>
      </c>
      <c r="N390" s="1964">
        <v>0</v>
      </c>
      <c r="O390" s="4254">
        <f t="shared" si="71"/>
        <v>0</v>
      </c>
      <c r="P390" s="4061">
        <v>0</v>
      </c>
      <c r="Q390" s="4839"/>
    </row>
    <row r="391" spans="1:17" s="2076" customFormat="1">
      <c r="A391" s="4048"/>
      <c r="B391" s="4048"/>
      <c r="C391" s="4048"/>
      <c r="D391" s="4048"/>
      <c r="E391" s="4048"/>
      <c r="F391" s="4049"/>
      <c r="G391" s="4067"/>
      <c r="H391" s="4060" t="s">
        <v>50</v>
      </c>
      <c r="I391" s="4060" t="s">
        <v>201</v>
      </c>
      <c r="J391" s="1964">
        <v>136702012</v>
      </c>
      <c r="K391" s="2159">
        <v>0</v>
      </c>
      <c r="L391" s="2160">
        <f>'[2]ALL BULAN'!E379</f>
        <v>0</v>
      </c>
      <c r="M391" s="4253">
        <f t="shared" si="67"/>
        <v>0</v>
      </c>
      <c r="N391" s="1964">
        <v>437998804</v>
      </c>
      <c r="O391" s="4254">
        <f t="shared" si="71"/>
        <v>301296792</v>
      </c>
      <c r="P391" s="4061">
        <f t="shared" si="70"/>
        <v>220.40406545003884</v>
      </c>
      <c r="Q391" s="4839"/>
    </row>
    <row r="392" spans="1:17" s="2076" customFormat="1">
      <c r="A392" s="4048"/>
      <c r="B392" s="4048"/>
      <c r="C392" s="4048"/>
      <c r="D392" s="4048"/>
      <c r="E392" s="4048"/>
      <c r="F392" s="4049"/>
      <c r="G392" s="4067"/>
      <c r="H392" s="4060" t="s">
        <v>50</v>
      </c>
      <c r="I392" s="4060" t="s">
        <v>202</v>
      </c>
      <c r="J392" s="1964">
        <v>88761211</v>
      </c>
      <c r="K392" s="2159">
        <v>0</v>
      </c>
      <c r="L392" s="2160">
        <f>'[2]ALL BULAN'!E380</f>
        <v>0</v>
      </c>
      <c r="M392" s="4253">
        <f t="shared" si="67"/>
        <v>0</v>
      </c>
      <c r="N392" s="1964" t="e">
        <f>#REF!</f>
        <v>#REF!</v>
      </c>
      <c r="O392" s="4254" t="e">
        <f t="shared" si="71"/>
        <v>#REF!</v>
      </c>
      <c r="P392" s="4061" t="e">
        <f t="shared" si="70"/>
        <v>#REF!</v>
      </c>
      <c r="Q392" s="4839"/>
    </row>
    <row r="393" spans="1:17" s="2076" customFormat="1" ht="6.75" customHeight="1">
      <c r="A393" s="4048"/>
      <c r="B393" s="4048"/>
      <c r="C393" s="4048"/>
      <c r="D393" s="4048"/>
      <c r="E393" s="4048"/>
      <c r="F393" s="4049"/>
      <c r="G393" s="4067"/>
      <c r="H393" s="4060"/>
      <c r="I393" s="4189"/>
      <c r="J393" s="2346"/>
      <c r="K393" s="2159">
        <v>0</v>
      </c>
      <c r="L393" s="2346"/>
      <c r="M393" s="4253">
        <f t="shared" si="67"/>
        <v>0</v>
      </c>
      <c r="N393" s="2346"/>
      <c r="O393" s="4254">
        <f t="shared" si="71"/>
        <v>0</v>
      </c>
      <c r="P393" s="4061">
        <v>0</v>
      </c>
      <c r="Q393" s="4839"/>
    </row>
    <row r="394" spans="1:17" s="2076" customFormat="1" ht="15.05">
      <c r="A394" s="4048"/>
      <c r="B394" s="4048"/>
      <c r="C394" s="4048"/>
      <c r="D394" s="4048"/>
      <c r="E394" s="4048"/>
      <c r="F394" s="4049"/>
      <c r="G394" s="4067"/>
      <c r="H394" s="4060" t="s">
        <v>203</v>
      </c>
      <c r="I394" s="4189"/>
      <c r="J394" s="4253">
        <v>2000000000</v>
      </c>
      <c r="K394" s="2159">
        <v>0</v>
      </c>
      <c r="L394" s="4253">
        <f>L395</f>
        <v>0</v>
      </c>
      <c r="M394" s="4253">
        <f t="shared" si="67"/>
        <v>0</v>
      </c>
      <c r="N394" s="4253">
        <v>2000000000</v>
      </c>
      <c r="O394" s="4254">
        <f>N394-J394</f>
        <v>0</v>
      </c>
      <c r="P394" s="4061">
        <f>O394/J394*100</f>
        <v>0</v>
      </c>
      <c r="Q394" s="4839"/>
    </row>
    <row r="395" spans="1:17" s="2076" customFormat="1">
      <c r="A395" s="4048"/>
      <c r="B395" s="4048"/>
      <c r="C395" s="4048"/>
      <c r="D395" s="4048"/>
      <c r="E395" s="4048"/>
      <c r="F395" s="4049"/>
      <c r="G395" s="4067"/>
      <c r="H395" s="4064" t="s">
        <v>50</v>
      </c>
      <c r="I395" s="4060" t="s">
        <v>204</v>
      </c>
      <c r="J395" s="1964">
        <v>2000000000</v>
      </c>
      <c r="K395" s="2159">
        <v>0</v>
      </c>
      <c r="L395" s="2160">
        <f>'[2]ALL BULAN'!E383</f>
        <v>0</v>
      </c>
      <c r="M395" s="4253">
        <f t="shared" si="67"/>
        <v>0</v>
      </c>
      <c r="N395" s="1964">
        <v>2000000000</v>
      </c>
      <c r="O395" s="4254">
        <f>N395-J395</f>
        <v>0</v>
      </c>
      <c r="P395" s="4061">
        <f>O395/J395*100</f>
        <v>0</v>
      </c>
      <c r="Q395" s="4839"/>
    </row>
    <row r="396" spans="1:17" s="2076" customFormat="1" ht="5.95" customHeight="1">
      <c r="A396" s="4048"/>
      <c r="B396" s="4048"/>
      <c r="C396" s="4048"/>
      <c r="D396" s="4048"/>
      <c r="E396" s="4048"/>
      <c r="F396" s="4049"/>
      <c r="G396" s="4067"/>
      <c r="H396" s="4068"/>
      <c r="I396" s="4060"/>
      <c r="J396" s="4248"/>
      <c r="K396" s="2159">
        <v>0</v>
      </c>
      <c r="L396" s="4248"/>
      <c r="M396" s="4253">
        <f t="shared" si="67"/>
        <v>0</v>
      </c>
      <c r="N396" s="4253"/>
      <c r="O396" s="4254">
        <f>M396-J396</f>
        <v>0</v>
      </c>
      <c r="P396" s="4061">
        <f>O396-K396</f>
        <v>0</v>
      </c>
      <c r="Q396" s="4839"/>
    </row>
    <row r="397" spans="1:17" s="4734" customFormat="1" ht="15.05">
      <c r="A397" s="4725">
        <v>4</v>
      </c>
      <c r="B397" s="4725">
        <v>1</v>
      </c>
      <c r="C397" s="4725">
        <v>4</v>
      </c>
      <c r="D397" s="4726"/>
      <c r="E397" s="4726"/>
      <c r="F397" s="4727">
        <v>3</v>
      </c>
      <c r="G397" s="4728" t="s">
        <v>179</v>
      </c>
      <c r="H397" s="4826" t="s">
        <v>71</v>
      </c>
      <c r="I397" s="4827"/>
      <c r="J397" s="4723">
        <f>SUM(J398+J405+J409+J412+J419+J422+J436)</f>
        <v>87048412584</v>
      </c>
      <c r="K397" s="4828">
        <v>3095354259</v>
      </c>
      <c r="L397" s="4723">
        <f>L398+L405+L409+L412+L419+L422+L436</f>
        <v>875532884</v>
      </c>
      <c r="M397" s="4723">
        <f t="shared" si="67"/>
        <v>3970887143</v>
      </c>
      <c r="N397" s="4723">
        <f>SUM(N398+N405+N409+N412+N416+N419+N422+N436)</f>
        <v>89603284425</v>
      </c>
      <c r="O397" s="4733">
        <f t="shared" ref="O397:O405" si="72">N397-J397</f>
        <v>2554871841</v>
      </c>
      <c r="P397" s="4724">
        <f t="shared" ref="P397:P460" si="73">O397/J397*100</f>
        <v>2.9350010702775298</v>
      </c>
      <c r="Q397" s="4850">
        <f t="shared" ref="Q397:Q413" si="74">P397/K397*100</f>
        <v>9.4819552939498612E-8</v>
      </c>
    </row>
    <row r="398" spans="1:17" s="2076" customFormat="1">
      <c r="A398" s="4065">
        <v>4</v>
      </c>
      <c r="B398" s="4065">
        <v>1</v>
      </c>
      <c r="C398" s="4065">
        <v>4</v>
      </c>
      <c r="D398" s="4047" t="s">
        <v>437</v>
      </c>
      <c r="E398" s="4048"/>
      <c r="F398" s="4049"/>
      <c r="G398" s="4190" t="s">
        <v>205</v>
      </c>
      <c r="H398" s="4056" t="s">
        <v>206</v>
      </c>
      <c r="I398" s="4037"/>
      <c r="J398" s="2344">
        <f>SUM(J399:J404)</f>
        <v>250000000</v>
      </c>
      <c r="K398" s="4555">
        <v>0</v>
      </c>
      <c r="L398" s="2344">
        <f>SUM(L399:L403)</f>
        <v>0</v>
      </c>
      <c r="M398" s="4556">
        <f t="shared" ref="M398:M441" si="75">SUM(K398:L398)</f>
        <v>0</v>
      </c>
      <c r="N398" s="2344">
        <f>SUM(N399:N404)</f>
        <v>250000000</v>
      </c>
      <c r="O398" s="4254">
        <f t="shared" si="72"/>
        <v>0</v>
      </c>
      <c r="P398" s="4061">
        <f t="shared" si="73"/>
        <v>0</v>
      </c>
      <c r="Q398" s="4839" t="e">
        <f t="shared" si="74"/>
        <v>#DIV/0!</v>
      </c>
    </row>
    <row r="399" spans="1:17" s="2076" customFormat="1">
      <c r="A399" s="4048"/>
      <c r="B399" s="4048"/>
      <c r="C399" s="4048"/>
      <c r="D399" s="4048"/>
      <c r="E399" s="4048"/>
      <c r="F399" s="4049"/>
      <c r="G399" s="4067"/>
      <c r="H399" s="4062" t="s">
        <v>50</v>
      </c>
      <c r="I399" s="4191" t="s">
        <v>207</v>
      </c>
      <c r="J399" s="1964">
        <v>0</v>
      </c>
      <c r="K399" s="2343">
        <v>0</v>
      </c>
      <c r="L399" s="2160">
        <f>'[2]ALL BULAN'!E387</f>
        <v>0</v>
      </c>
      <c r="M399" s="2344">
        <f t="shared" si="75"/>
        <v>0</v>
      </c>
      <c r="N399" s="2344">
        <v>0</v>
      </c>
      <c r="O399" s="4254">
        <f t="shared" si="72"/>
        <v>0</v>
      </c>
      <c r="P399" s="4061" t="e">
        <f t="shared" si="73"/>
        <v>#DIV/0!</v>
      </c>
      <c r="Q399" s="4839" t="e">
        <f t="shared" si="74"/>
        <v>#DIV/0!</v>
      </c>
    </row>
    <row r="400" spans="1:17" s="2076" customFormat="1">
      <c r="A400" s="4048"/>
      <c r="B400" s="4048"/>
      <c r="C400" s="4048"/>
      <c r="D400" s="4048"/>
      <c r="E400" s="4048"/>
      <c r="F400" s="4049"/>
      <c r="G400" s="4067"/>
      <c r="H400" s="4062" t="s">
        <v>50</v>
      </c>
      <c r="I400" s="4191" t="s">
        <v>208</v>
      </c>
      <c r="J400" s="1964">
        <v>50000000</v>
      </c>
      <c r="K400" s="2159">
        <v>0</v>
      </c>
      <c r="L400" s="2160">
        <f>'[2]ALL BULAN'!E388</f>
        <v>0</v>
      </c>
      <c r="M400" s="4253">
        <f t="shared" si="75"/>
        <v>0</v>
      </c>
      <c r="N400" s="4248">
        <v>50000000</v>
      </c>
      <c r="O400" s="4254">
        <f t="shared" si="72"/>
        <v>0</v>
      </c>
      <c r="P400" s="4061">
        <f t="shared" si="73"/>
        <v>0</v>
      </c>
      <c r="Q400" s="4839" t="e">
        <f t="shared" si="74"/>
        <v>#DIV/0!</v>
      </c>
    </row>
    <row r="401" spans="1:17" s="2076" customFormat="1">
      <c r="A401" s="4048"/>
      <c r="B401" s="4048"/>
      <c r="C401" s="4048"/>
      <c r="D401" s="4048"/>
      <c r="E401" s="4048"/>
      <c r="F401" s="4049"/>
      <c r="G401" s="4067"/>
      <c r="H401" s="4062" t="s">
        <v>50</v>
      </c>
      <c r="I401" s="4191" t="s">
        <v>209</v>
      </c>
      <c r="J401" s="1964">
        <v>0</v>
      </c>
      <c r="K401" s="2159">
        <v>0</v>
      </c>
      <c r="L401" s="2160">
        <f>'[2]ALL BULAN'!E389</f>
        <v>0</v>
      </c>
      <c r="M401" s="4253">
        <f t="shared" si="75"/>
        <v>0</v>
      </c>
      <c r="N401" s="4253"/>
      <c r="O401" s="4254">
        <f t="shared" si="72"/>
        <v>0</v>
      </c>
      <c r="P401" s="4061" t="e">
        <f t="shared" si="73"/>
        <v>#DIV/0!</v>
      </c>
      <c r="Q401" s="4839" t="e">
        <f t="shared" si="74"/>
        <v>#DIV/0!</v>
      </c>
    </row>
    <row r="402" spans="1:17" s="2076" customFormat="1">
      <c r="A402" s="4048"/>
      <c r="B402" s="4048"/>
      <c r="C402" s="4048"/>
      <c r="D402" s="4048"/>
      <c r="E402" s="4048"/>
      <c r="F402" s="4049"/>
      <c r="G402" s="4067"/>
      <c r="H402" s="4062" t="s">
        <v>50</v>
      </c>
      <c r="I402" s="4191" t="s">
        <v>210</v>
      </c>
      <c r="J402" s="1964">
        <v>0</v>
      </c>
      <c r="K402" s="2159">
        <v>0</v>
      </c>
      <c r="L402" s="2160">
        <f>'[2]ALL BULAN'!E390</f>
        <v>0</v>
      </c>
      <c r="M402" s="4253">
        <f t="shared" si="75"/>
        <v>0</v>
      </c>
      <c r="N402" s="4253"/>
      <c r="O402" s="4254">
        <f t="shared" si="72"/>
        <v>0</v>
      </c>
      <c r="P402" s="4061" t="e">
        <f t="shared" si="73"/>
        <v>#DIV/0!</v>
      </c>
      <c r="Q402" s="4839" t="e">
        <f t="shared" si="74"/>
        <v>#DIV/0!</v>
      </c>
    </row>
    <row r="403" spans="1:17" s="2076" customFormat="1">
      <c r="A403" s="4048"/>
      <c r="B403" s="4048"/>
      <c r="C403" s="4048"/>
      <c r="D403" s="4048"/>
      <c r="E403" s="4048"/>
      <c r="F403" s="4049"/>
      <c r="G403" s="4067"/>
      <c r="H403" s="4062" t="s">
        <v>50</v>
      </c>
      <c r="I403" s="4191" t="s">
        <v>211</v>
      </c>
      <c r="J403" s="1964">
        <v>200000000</v>
      </c>
      <c r="K403" s="2159">
        <v>0</v>
      </c>
      <c r="L403" s="2160">
        <f>'[2]ALL BULAN'!E391</f>
        <v>0</v>
      </c>
      <c r="M403" s="4253">
        <f t="shared" si="75"/>
        <v>0</v>
      </c>
      <c r="N403" s="4248">
        <v>200000000</v>
      </c>
      <c r="O403" s="4254">
        <f t="shared" si="72"/>
        <v>0</v>
      </c>
      <c r="P403" s="4061">
        <f t="shared" si="73"/>
        <v>0</v>
      </c>
      <c r="Q403" s="4839" t="e">
        <f t="shared" si="74"/>
        <v>#DIV/0!</v>
      </c>
    </row>
    <row r="404" spans="1:17" s="2076" customFormat="1" ht="5.95" customHeight="1">
      <c r="A404" s="4048"/>
      <c r="B404" s="4048"/>
      <c r="C404" s="4048"/>
      <c r="D404" s="4048"/>
      <c r="E404" s="4048"/>
      <c r="F404" s="4049"/>
      <c r="G404" s="4067"/>
      <c r="H404" s="4060"/>
      <c r="I404" s="4126"/>
      <c r="J404" s="4248"/>
      <c r="K404" s="2159">
        <v>0</v>
      </c>
      <c r="L404" s="4248"/>
      <c r="M404" s="4253">
        <f t="shared" si="75"/>
        <v>0</v>
      </c>
      <c r="N404" s="4253"/>
      <c r="O404" s="4254">
        <f t="shared" si="72"/>
        <v>0</v>
      </c>
      <c r="P404" s="4061" t="e">
        <f t="shared" si="73"/>
        <v>#DIV/0!</v>
      </c>
      <c r="Q404" s="4839" t="e">
        <f t="shared" si="74"/>
        <v>#DIV/0!</v>
      </c>
    </row>
    <row r="405" spans="1:17" s="2076" customFormat="1">
      <c r="A405" s="4065">
        <v>4</v>
      </c>
      <c r="B405" s="4065">
        <v>1</v>
      </c>
      <c r="C405" s="4065">
        <v>4</v>
      </c>
      <c r="D405" s="4047" t="s">
        <v>438</v>
      </c>
      <c r="E405" s="4048"/>
      <c r="F405" s="4049"/>
      <c r="G405" s="4190" t="s">
        <v>205</v>
      </c>
      <c r="H405" s="4135" t="s">
        <v>212</v>
      </c>
      <c r="I405" s="4060"/>
      <c r="J405" s="4253">
        <f>J406</f>
        <v>4500000000</v>
      </c>
      <c r="K405" s="4795">
        <v>3094595763</v>
      </c>
      <c r="L405" s="4253">
        <f>SUM(L406:L407)</f>
        <v>532884</v>
      </c>
      <c r="M405" s="4253">
        <f t="shared" si="75"/>
        <v>3095128647</v>
      </c>
      <c r="N405" s="4253">
        <f>SUM(N406:N407)</f>
        <v>7037000000</v>
      </c>
      <c r="O405" s="4254">
        <f t="shared" si="72"/>
        <v>2537000000</v>
      </c>
      <c r="P405" s="4061">
        <f t="shared" si="73"/>
        <v>56.37777777777778</v>
      </c>
      <c r="Q405" s="4839">
        <f t="shared" si="74"/>
        <v>1.8218139652309018E-6</v>
      </c>
    </row>
    <row r="406" spans="1:17" s="2076" customFormat="1">
      <c r="A406" s="4048"/>
      <c r="B406" s="4048"/>
      <c r="C406" s="4048"/>
      <c r="D406" s="4048"/>
      <c r="E406" s="4048"/>
      <c r="F406" s="4049"/>
      <c r="G406" s="4067"/>
      <c r="H406" s="4192" t="s">
        <v>50</v>
      </c>
      <c r="I406" s="4126" t="s">
        <v>213</v>
      </c>
      <c r="J406" s="4793">
        <v>4500000000</v>
      </c>
      <c r="K406" s="2343">
        <v>3057719834</v>
      </c>
      <c r="L406" s="4794">
        <v>35912</v>
      </c>
      <c r="M406" s="2344">
        <f t="shared" si="75"/>
        <v>3057755746</v>
      </c>
      <c r="N406" s="4255">
        <v>7000000000</v>
      </c>
      <c r="O406" s="4523">
        <f t="shared" ref="O406:O428" si="76">N406-J406</f>
        <v>2500000000</v>
      </c>
      <c r="P406" s="4061">
        <f t="shared" si="73"/>
        <v>55.555555555555557</v>
      </c>
      <c r="Q406" s="4839">
        <f t="shared" si="74"/>
        <v>1.8168948946143232E-6</v>
      </c>
    </row>
    <row r="407" spans="1:17" s="2076" customFormat="1">
      <c r="A407" s="4048"/>
      <c r="B407" s="4048"/>
      <c r="C407" s="4048"/>
      <c r="D407" s="4048"/>
      <c r="E407" s="4048"/>
      <c r="F407" s="4049"/>
      <c r="G407" s="4067"/>
      <c r="H407" s="4193" t="s">
        <v>50</v>
      </c>
      <c r="I407" s="4060" t="s">
        <v>214</v>
      </c>
      <c r="J407" s="1964">
        <v>0</v>
      </c>
      <c r="K407" s="2159">
        <v>36875929</v>
      </c>
      <c r="L407" s="2160">
        <v>496972</v>
      </c>
      <c r="M407" s="4253">
        <f t="shared" si="75"/>
        <v>37372901</v>
      </c>
      <c r="N407" s="4248">
        <v>37000000</v>
      </c>
      <c r="O407" s="4523">
        <f t="shared" si="76"/>
        <v>37000000</v>
      </c>
      <c r="P407" s="4061" t="e">
        <f t="shared" si="73"/>
        <v>#DIV/0!</v>
      </c>
      <c r="Q407" s="4839" t="e">
        <f t="shared" si="74"/>
        <v>#DIV/0!</v>
      </c>
    </row>
    <row r="408" spans="1:17" s="2076" customFormat="1" ht="3.8" customHeight="1">
      <c r="A408" s="4048"/>
      <c r="B408" s="4048"/>
      <c r="C408" s="4048"/>
      <c r="D408" s="4048"/>
      <c r="E408" s="4048"/>
      <c r="F408" s="4049"/>
      <c r="G408" s="4067"/>
      <c r="H408" s="4060"/>
      <c r="I408" s="4060"/>
      <c r="J408" s="4248"/>
      <c r="K408" s="2159">
        <v>0</v>
      </c>
      <c r="L408" s="4248"/>
      <c r="M408" s="4253">
        <f t="shared" si="75"/>
        <v>0</v>
      </c>
      <c r="N408" s="4253"/>
      <c r="O408" s="4523">
        <f t="shared" si="76"/>
        <v>0</v>
      </c>
      <c r="P408" s="4061" t="e">
        <f t="shared" si="73"/>
        <v>#DIV/0!</v>
      </c>
      <c r="Q408" s="4839" t="e">
        <f t="shared" si="74"/>
        <v>#DIV/0!</v>
      </c>
    </row>
    <row r="409" spans="1:17" s="2076" customFormat="1">
      <c r="A409" s="4065">
        <v>4</v>
      </c>
      <c r="B409" s="4065">
        <v>1</v>
      </c>
      <c r="C409" s="4065">
        <v>4</v>
      </c>
      <c r="D409" s="4047" t="s">
        <v>440</v>
      </c>
      <c r="E409" s="4048"/>
      <c r="F409" s="4049"/>
      <c r="G409" s="4190" t="s">
        <v>205</v>
      </c>
      <c r="H409" s="4135" t="s">
        <v>215</v>
      </c>
      <c r="I409" s="4068"/>
      <c r="J409" s="4253">
        <f>J410</f>
        <v>6875000000</v>
      </c>
      <c r="K409" s="4795">
        <v>0</v>
      </c>
      <c r="L409" s="4253">
        <f>L410</f>
        <v>875000000</v>
      </c>
      <c r="M409" s="4253">
        <f t="shared" si="75"/>
        <v>875000000</v>
      </c>
      <c r="N409" s="4253">
        <f>N410</f>
        <v>7000000000</v>
      </c>
      <c r="O409" s="4254">
        <f t="shared" si="76"/>
        <v>125000000</v>
      </c>
      <c r="P409" s="4061">
        <f t="shared" si="73"/>
        <v>1.8181818181818181</v>
      </c>
      <c r="Q409" s="4839" t="e">
        <f t="shared" si="74"/>
        <v>#DIV/0!</v>
      </c>
    </row>
    <row r="410" spans="1:17" s="2076" customFormat="1">
      <c r="A410" s="4048"/>
      <c r="B410" s="4048"/>
      <c r="C410" s="4048"/>
      <c r="D410" s="4048"/>
      <c r="E410" s="4048"/>
      <c r="F410" s="4049"/>
      <c r="G410" s="4067"/>
      <c r="H410" s="4192" t="s">
        <v>50</v>
      </c>
      <c r="I410" s="4126" t="s">
        <v>216</v>
      </c>
      <c r="J410" s="4793">
        <v>6875000000</v>
      </c>
      <c r="K410" s="2343">
        <v>0</v>
      </c>
      <c r="L410" s="4794">
        <v>875000000</v>
      </c>
      <c r="M410" s="2344">
        <f t="shared" si="75"/>
        <v>875000000</v>
      </c>
      <c r="N410" s="2344">
        <v>7000000000</v>
      </c>
      <c r="O410" s="4523">
        <f t="shared" si="76"/>
        <v>125000000</v>
      </c>
      <c r="P410" s="4061">
        <f t="shared" si="73"/>
        <v>1.8181818181818181</v>
      </c>
      <c r="Q410" s="4839" t="e">
        <f t="shared" si="74"/>
        <v>#DIV/0!</v>
      </c>
    </row>
    <row r="411" spans="1:17" s="2076" customFormat="1">
      <c r="A411" s="4048"/>
      <c r="B411" s="4048"/>
      <c r="C411" s="4048"/>
      <c r="D411" s="4048"/>
      <c r="E411" s="4048"/>
      <c r="F411" s="4049"/>
      <c r="G411" s="4067"/>
      <c r="H411" s="4060"/>
      <c r="I411" s="4060"/>
      <c r="J411" s="4248"/>
      <c r="K411" s="2159">
        <v>0</v>
      </c>
      <c r="L411" s="4248"/>
      <c r="M411" s="4253">
        <f t="shared" si="75"/>
        <v>0</v>
      </c>
      <c r="N411" s="4253"/>
      <c r="O411" s="4523">
        <f t="shared" si="76"/>
        <v>0</v>
      </c>
      <c r="P411" s="4061" t="e">
        <f t="shared" si="73"/>
        <v>#DIV/0!</v>
      </c>
      <c r="Q411" s="4839" t="e">
        <f t="shared" si="74"/>
        <v>#DIV/0!</v>
      </c>
    </row>
    <row r="412" spans="1:17" s="2076" customFormat="1">
      <c r="A412" s="4065">
        <v>4</v>
      </c>
      <c r="B412" s="4065">
        <v>1</v>
      </c>
      <c r="C412" s="4065">
        <v>4</v>
      </c>
      <c r="D412" s="4047" t="s">
        <v>445</v>
      </c>
      <c r="E412" s="4048"/>
      <c r="F412" s="4049"/>
      <c r="G412" s="4190" t="s">
        <v>205</v>
      </c>
      <c r="H412" s="4796" t="s">
        <v>217</v>
      </c>
      <c r="I412" s="4151"/>
      <c r="J412" s="4554">
        <f>SUM(J413:J414)</f>
        <v>1205211975</v>
      </c>
      <c r="K412" s="2390">
        <v>200000</v>
      </c>
      <c r="L412" s="4554">
        <f>SUM(L413:L414)</f>
        <v>0</v>
      </c>
      <c r="M412" s="4554">
        <f t="shared" si="75"/>
        <v>200000</v>
      </c>
      <c r="N412" s="4554">
        <f>SUM(N413:N414)</f>
        <v>1205211975</v>
      </c>
      <c r="O412" s="4523">
        <f t="shared" si="76"/>
        <v>0</v>
      </c>
      <c r="P412" s="4061">
        <f t="shared" si="73"/>
        <v>0</v>
      </c>
      <c r="Q412" s="4839">
        <f t="shared" si="74"/>
        <v>0</v>
      </c>
    </row>
    <row r="413" spans="1:17" s="2070" customFormat="1">
      <c r="A413" s="4048"/>
      <c r="B413" s="4048"/>
      <c r="C413" s="4048"/>
      <c r="D413" s="4048"/>
      <c r="E413" s="4048"/>
      <c r="F413" s="4049"/>
      <c r="G413" s="4067"/>
      <c r="H413" s="4196" t="s">
        <v>50</v>
      </c>
      <c r="I413" s="4060" t="s">
        <v>218</v>
      </c>
      <c r="J413" s="4541">
        <v>1190211975</v>
      </c>
      <c r="K413" s="4797">
        <v>0</v>
      </c>
      <c r="L413" s="4798">
        <f>'[2]ALL BULAN'!E401</f>
        <v>0</v>
      </c>
      <c r="M413" s="4253">
        <f t="shared" si="75"/>
        <v>0</v>
      </c>
      <c r="N413" s="4541">
        <v>1190211975</v>
      </c>
      <c r="O413" s="4523">
        <f t="shared" si="76"/>
        <v>0</v>
      </c>
      <c r="P413" s="4061">
        <f t="shared" si="73"/>
        <v>0</v>
      </c>
      <c r="Q413" s="4839" t="e">
        <f t="shared" si="74"/>
        <v>#DIV/0!</v>
      </c>
    </row>
    <row r="414" spans="1:17" s="2070" customFormat="1">
      <c r="A414" s="4048"/>
      <c r="B414" s="4048"/>
      <c r="C414" s="4048"/>
      <c r="D414" s="4048"/>
      <c r="E414" s="4048"/>
      <c r="F414" s="4049"/>
      <c r="G414" s="4067"/>
      <c r="H414" s="4196" t="s">
        <v>50</v>
      </c>
      <c r="I414" s="4060" t="s">
        <v>219</v>
      </c>
      <c r="J414" s="4541">
        <v>15000000</v>
      </c>
      <c r="K414" s="4797">
        <v>200000</v>
      </c>
      <c r="L414" s="4798">
        <f>'[2]ALL BULAN'!E402</f>
        <v>0</v>
      </c>
      <c r="M414" s="4253">
        <f t="shared" si="75"/>
        <v>200000</v>
      </c>
      <c r="N414" s="4541">
        <v>15000000</v>
      </c>
      <c r="O414" s="4523">
        <f t="shared" si="76"/>
        <v>0</v>
      </c>
      <c r="P414" s="4061">
        <f t="shared" si="73"/>
        <v>0</v>
      </c>
      <c r="Q414" s="4839"/>
    </row>
    <row r="415" spans="1:17" s="2070" customFormat="1" ht="12.05" customHeight="1">
      <c r="A415" s="4048"/>
      <c r="B415" s="4048"/>
      <c r="C415" s="4048"/>
      <c r="D415" s="4048"/>
      <c r="E415" s="4048"/>
      <c r="F415" s="4049"/>
      <c r="G415" s="4194"/>
      <c r="H415" s="4181"/>
      <c r="I415" s="4060"/>
      <c r="J415" s="4248"/>
      <c r="K415" s="4797">
        <v>0</v>
      </c>
      <c r="L415" s="4248"/>
      <c r="M415" s="4253">
        <f t="shared" si="75"/>
        <v>0</v>
      </c>
      <c r="N415" s="4248"/>
      <c r="O415" s="4523">
        <f t="shared" si="76"/>
        <v>0</v>
      </c>
      <c r="P415" s="4061" t="e">
        <f t="shared" si="73"/>
        <v>#DIV/0!</v>
      </c>
      <c r="Q415" s="4839"/>
    </row>
    <row r="416" spans="1:17" s="2070" customFormat="1" ht="12.05" customHeight="1">
      <c r="A416" s="4837"/>
      <c r="B416" s="4837"/>
      <c r="C416" s="4837"/>
      <c r="D416" s="4838"/>
      <c r="E416" s="4048"/>
      <c r="F416" s="4049"/>
      <c r="G416" s="4190" t="s">
        <v>205</v>
      </c>
      <c r="H416" s="2856" t="s">
        <v>557</v>
      </c>
      <c r="I416" s="4151"/>
      <c r="J416" s="4554">
        <f>SUM(J417:J417)</f>
        <v>0</v>
      </c>
      <c r="K416" s="2390">
        <v>200000</v>
      </c>
      <c r="L416" s="4554">
        <f>SUM(L417:L417)</f>
        <v>0</v>
      </c>
      <c r="M416" s="4554">
        <f t="shared" si="75"/>
        <v>200000</v>
      </c>
      <c r="N416" s="4554">
        <f>SUM(N417:N417)</f>
        <v>82408000</v>
      </c>
      <c r="O416" s="4523">
        <f t="shared" si="76"/>
        <v>82408000</v>
      </c>
      <c r="P416" s="4061" t="e">
        <f t="shared" si="73"/>
        <v>#DIV/0!</v>
      </c>
      <c r="Q416" s="4839"/>
    </row>
    <row r="417" spans="1:17" s="2070" customFormat="1" ht="12.05" customHeight="1">
      <c r="A417" s="4837"/>
      <c r="B417" s="4837"/>
      <c r="C417" s="4837"/>
      <c r="D417" s="4838"/>
      <c r="E417" s="4048"/>
      <c r="F417" s="4049"/>
      <c r="G417" s="4067"/>
      <c r="H417" s="4196" t="s">
        <v>50</v>
      </c>
      <c r="I417" s="200" t="s">
        <v>1253</v>
      </c>
      <c r="J417" s="4541">
        <v>0</v>
      </c>
      <c r="K417" s="4797">
        <v>0</v>
      </c>
      <c r="L417" s="4798">
        <f>'[2]ALL BULAN'!E405</f>
        <v>0</v>
      </c>
      <c r="M417" s="4253">
        <f t="shared" si="75"/>
        <v>0</v>
      </c>
      <c r="N417" s="4541">
        <v>82408000</v>
      </c>
      <c r="O417" s="4523">
        <f t="shared" si="76"/>
        <v>82408000</v>
      </c>
      <c r="P417" s="4061" t="e">
        <f t="shared" si="73"/>
        <v>#DIV/0!</v>
      </c>
      <c r="Q417" s="4839"/>
    </row>
    <row r="418" spans="1:17" s="2070" customFormat="1" ht="12.05" customHeight="1">
      <c r="A418" s="4837"/>
      <c r="B418" s="4837"/>
      <c r="C418" s="4837"/>
      <c r="D418" s="4838"/>
      <c r="E418" s="4048"/>
      <c r="F418" s="4049"/>
      <c r="G418" s="4194"/>
      <c r="H418" s="4181"/>
      <c r="I418" s="4060"/>
      <c r="J418" s="4248"/>
      <c r="K418" s="4797"/>
      <c r="L418" s="4248"/>
      <c r="M418" s="4253"/>
      <c r="N418" s="4248"/>
      <c r="O418" s="4523"/>
      <c r="P418" s="4061" t="e">
        <f t="shared" si="73"/>
        <v>#DIV/0!</v>
      </c>
      <c r="Q418" s="4839"/>
    </row>
    <row r="419" spans="1:17" s="2070" customFormat="1">
      <c r="A419" s="4065">
        <v>4</v>
      </c>
      <c r="B419" s="4065">
        <v>1</v>
      </c>
      <c r="C419" s="4065">
        <v>4</v>
      </c>
      <c r="D419" s="4047" t="s">
        <v>448</v>
      </c>
      <c r="E419" s="4048"/>
      <c r="F419" s="4049"/>
      <c r="G419" s="4190" t="s">
        <v>205</v>
      </c>
      <c r="H419" s="4799" t="s">
        <v>220</v>
      </c>
      <c r="I419" s="4060"/>
      <c r="J419" s="4253">
        <f>J420</f>
        <v>217536159</v>
      </c>
      <c r="K419" s="4797">
        <v>558496</v>
      </c>
      <c r="L419" s="4253">
        <f>SUM(L420:L420)</f>
        <v>0</v>
      </c>
      <c r="M419" s="4253">
        <f t="shared" si="75"/>
        <v>558496</v>
      </c>
      <c r="N419" s="4253">
        <f>N420</f>
        <v>13000000</v>
      </c>
      <c r="O419" s="4254">
        <f t="shared" si="76"/>
        <v>-204536159</v>
      </c>
      <c r="P419" s="4061">
        <f t="shared" si="73"/>
        <v>-94.023982008434743</v>
      </c>
      <c r="Q419" s="4839"/>
    </row>
    <row r="420" spans="1:17" s="2070" customFormat="1">
      <c r="A420" s="4048"/>
      <c r="B420" s="4048"/>
      <c r="C420" s="4048"/>
      <c r="D420" s="4048"/>
      <c r="E420" s="4048"/>
      <c r="F420" s="4049"/>
      <c r="G420" s="4194"/>
      <c r="H420" s="4196" t="s">
        <v>50</v>
      </c>
      <c r="I420" s="4800" t="s">
        <v>221</v>
      </c>
      <c r="J420" s="4541">
        <v>217536159</v>
      </c>
      <c r="K420" s="4797">
        <v>558496</v>
      </c>
      <c r="L420" s="4798">
        <v>0</v>
      </c>
      <c r="M420" s="4253">
        <f t="shared" si="75"/>
        <v>558496</v>
      </c>
      <c r="N420" s="4541">
        <v>13000000</v>
      </c>
      <c r="O420" s="4523">
        <f t="shared" si="76"/>
        <v>-204536159</v>
      </c>
      <c r="P420" s="4061">
        <f t="shared" si="73"/>
        <v>-94.023982008434743</v>
      </c>
      <c r="Q420" s="4839"/>
    </row>
    <row r="421" spans="1:17" s="2070" customFormat="1">
      <c r="A421" s="4048"/>
      <c r="B421" s="4048"/>
      <c r="C421" s="4048"/>
      <c r="D421" s="4048"/>
      <c r="E421" s="4048"/>
      <c r="F421" s="4049"/>
      <c r="G421" s="4194"/>
      <c r="H421" s="4181"/>
      <c r="I421" s="4060"/>
      <c r="J421" s="4248"/>
      <c r="K421" s="4797">
        <v>0</v>
      </c>
      <c r="L421" s="4248"/>
      <c r="M421" s="4253">
        <f t="shared" si="75"/>
        <v>0</v>
      </c>
      <c r="N421" s="4253"/>
      <c r="O421" s="4523">
        <f t="shared" si="76"/>
        <v>0</v>
      </c>
      <c r="P421" s="4061" t="e">
        <f t="shared" si="73"/>
        <v>#DIV/0!</v>
      </c>
      <c r="Q421" s="4839"/>
    </row>
    <row r="422" spans="1:17" s="2070" customFormat="1">
      <c r="A422" s="4065">
        <v>4</v>
      </c>
      <c r="B422" s="4065">
        <v>1</v>
      </c>
      <c r="C422" s="4065">
        <v>4</v>
      </c>
      <c r="D422" s="4047" t="s">
        <v>444</v>
      </c>
      <c r="E422" s="4048"/>
      <c r="F422" s="4049"/>
      <c r="G422" s="4190" t="s">
        <v>205</v>
      </c>
      <c r="H422" s="4135" t="s">
        <v>222</v>
      </c>
      <c r="I422" s="4060"/>
      <c r="J422" s="4253">
        <f>SUM(J423+J426+J431)</f>
        <v>73939763650</v>
      </c>
      <c r="K422" s="4797">
        <v>0</v>
      </c>
      <c r="L422" s="4253">
        <f>SUM(L423:L431)</f>
        <v>0</v>
      </c>
      <c r="M422" s="4253">
        <f t="shared" si="75"/>
        <v>0</v>
      </c>
      <c r="N422" s="4253">
        <f>SUM(N423+N426+N431)</f>
        <v>73954763650</v>
      </c>
      <c r="O422" s="4523">
        <f t="shared" si="76"/>
        <v>15000000</v>
      </c>
      <c r="P422" s="4061">
        <f t="shared" si="73"/>
        <v>2.0286783808241185E-2</v>
      </c>
      <c r="Q422" s="4839"/>
    </row>
    <row r="423" spans="1:17" s="2070" customFormat="1">
      <c r="A423" s="4074">
        <v>4</v>
      </c>
      <c r="B423" s="4074">
        <v>1</v>
      </c>
      <c r="C423" s="4074" t="s">
        <v>443</v>
      </c>
      <c r="D423" s="4074" t="s">
        <v>444</v>
      </c>
      <c r="E423" s="4074" t="s">
        <v>440</v>
      </c>
      <c r="F423" s="4049"/>
      <c r="G423" s="4194"/>
      <c r="H423" s="4195" t="s">
        <v>50</v>
      </c>
      <c r="I423" s="4126" t="s">
        <v>73</v>
      </c>
      <c r="J423" s="4793">
        <v>0</v>
      </c>
      <c r="K423" s="2343">
        <v>0</v>
      </c>
      <c r="L423" s="4794">
        <f>'[2]ALL BULAN'!E408</f>
        <v>0</v>
      </c>
      <c r="M423" s="2344">
        <f t="shared" si="75"/>
        <v>0</v>
      </c>
      <c r="N423" s="4793">
        <f>N424</f>
        <v>15000000</v>
      </c>
      <c r="O423" s="4523">
        <f t="shared" si="76"/>
        <v>15000000</v>
      </c>
      <c r="P423" s="4061" t="e">
        <f t="shared" si="73"/>
        <v>#DIV/0!</v>
      </c>
      <c r="Q423" s="4839"/>
    </row>
    <row r="424" spans="1:17" s="2070" customFormat="1">
      <c r="A424" s="4101"/>
      <c r="B424" s="4101"/>
      <c r="C424" s="4101"/>
      <c r="D424" s="4101"/>
      <c r="E424" s="4829"/>
      <c r="F424" s="4049"/>
      <c r="G424" s="4194"/>
      <c r="H424" s="4195"/>
      <c r="I424" s="224" t="s">
        <v>570</v>
      </c>
      <c r="J424" s="4793">
        <v>0</v>
      </c>
      <c r="K424" s="2343"/>
      <c r="L424" s="4794"/>
      <c r="M424" s="2344"/>
      <c r="N424" s="4793">
        <v>15000000</v>
      </c>
      <c r="O424" s="4523">
        <f t="shared" si="76"/>
        <v>15000000</v>
      </c>
      <c r="P424" s="4061" t="e">
        <f t="shared" si="73"/>
        <v>#DIV/0!</v>
      </c>
      <c r="Q424" s="4839"/>
    </row>
    <row r="425" spans="1:17" s="2070" customFormat="1">
      <c r="A425" s="4069">
        <v>4</v>
      </c>
      <c r="B425" s="4069">
        <v>1</v>
      </c>
      <c r="C425" s="4069" t="s">
        <v>443</v>
      </c>
      <c r="D425" s="4069" t="s">
        <v>444</v>
      </c>
      <c r="E425" s="4070" t="s">
        <v>445</v>
      </c>
      <c r="F425" s="4049"/>
      <c r="G425" s="4194"/>
      <c r="H425" s="4196" t="s">
        <v>50</v>
      </c>
      <c r="I425" s="4060" t="s">
        <v>74</v>
      </c>
      <c r="J425" s="1964">
        <v>0</v>
      </c>
      <c r="K425" s="2159">
        <v>0</v>
      </c>
      <c r="L425" s="2160">
        <f>'[2]ALL BULAN'!E409</f>
        <v>0</v>
      </c>
      <c r="M425" s="4253">
        <f t="shared" si="75"/>
        <v>0</v>
      </c>
      <c r="N425" s="1964">
        <v>0</v>
      </c>
      <c r="O425" s="4523">
        <f t="shared" si="76"/>
        <v>0</v>
      </c>
      <c r="P425" s="4061" t="e">
        <f t="shared" si="73"/>
        <v>#DIV/0!</v>
      </c>
      <c r="Q425" s="4839"/>
    </row>
    <row r="426" spans="1:17" s="2070" customFormat="1">
      <c r="A426" s="4101">
        <v>4</v>
      </c>
      <c r="B426" s="4101">
        <v>1</v>
      </c>
      <c r="C426" s="4101" t="s">
        <v>443</v>
      </c>
      <c r="D426" s="4101" t="s">
        <v>444</v>
      </c>
      <c r="E426" s="4101" t="s">
        <v>441</v>
      </c>
      <c r="F426" s="4049"/>
      <c r="G426" s="4194"/>
      <c r="H426" s="4181" t="s">
        <v>308</v>
      </c>
      <c r="I426" s="4068" t="s">
        <v>75</v>
      </c>
      <c r="J426" s="2181">
        <f>J427</f>
        <v>3000000000</v>
      </c>
      <c r="K426" s="2159">
        <v>0</v>
      </c>
      <c r="L426" s="2224">
        <f>SUM(L427:L429)</f>
        <v>0</v>
      </c>
      <c r="M426" s="4253">
        <f t="shared" si="75"/>
        <v>0</v>
      </c>
      <c r="N426" s="2181">
        <f>N427</f>
        <v>3000000000</v>
      </c>
      <c r="O426" s="4523">
        <f t="shared" si="76"/>
        <v>0</v>
      </c>
      <c r="P426" s="4061">
        <f t="shared" si="73"/>
        <v>0</v>
      </c>
      <c r="Q426" s="4839"/>
    </row>
    <row r="427" spans="1:17" s="2070" customFormat="1">
      <c r="A427" s="4048"/>
      <c r="B427" s="4048"/>
      <c r="C427" s="4048"/>
      <c r="D427" s="4048"/>
      <c r="E427" s="4048"/>
      <c r="F427" s="4049"/>
      <c r="G427" s="4194"/>
      <c r="H427" s="4196"/>
      <c r="I427" s="4060" t="s">
        <v>458</v>
      </c>
      <c r="J427" s="1964">
        <v>3000000000</v>
      </c>
      <c r="K427" s="2159">
        <v>0</v>
      </c>
      <c r="L427" s="2160">
        <f>'[2]ALL BULAN'!E411</f>
        <v>0</v>
      </c>
      <c r="M427" s="4253">
        <f t="shared" si="75"/>
        <v>0</v>
      </c>
      <c r="N427" s="1964">
        <v>3000000000</v>
      </c>
      <c r="O427" s="4523">
        <f t="shared" si="76"/>
        <v>0</v>
      </c>
      <c r="P427" s="4061">
        <f t="shared" si="73"/>
        <v>0</v>
      </c>
      <c r="Q427" s="4839"/>
    </row>
    <row r="428" spans="1:17" s="2070" customFormat="1">
      <c r="A428" s="4048"/>
      <c r="B428" s="4048"/>
      <c r="C428" s="4048"/>
      <c r="D428" s="4048"/>
      <c r="E428" s="4048"/>
      <c r="F428" s="4049"/>
      <c r="G428" s="4194"/>
      <c r="H428" s="4196"/>
      <c r="I428" s="4060" t="s">
        <v>224</v>
      </c>
      <c r="J428" s="1964">
        <v>0</v>
      </c>
      <c r="K428" s="2159">
        <v>0</v>
      </c>
      <c r="L428" s="2160">
        <f>'[2]ALL BULAN'!E412</f>
        <v>0</v>
      </c>
      <c r="M428" s="4253">
        <f t="shared" si="75"/>
        <v>0</v>
      </c>
      <c r="N428" s="1964">
        <v>0</v>
      </c>
      <c r="O428" s="4523">
        <f t="shared" si="76"/>
        <v>0</v>
      </c>
      <c r="P428" s="4061"/>
      <c r="Q428" s="4839"/>
    </row>
    <row r="429" spans="1:17" s="2070" customFormat="1">
      <c r="A429" s="4048"/>
      <c r="B429" s="4048"/>
      <c r="C429" s="4048"/>
      <c r="D429" s="4048"/>
      <c r="E429" s="4048"/>
      <c r="F429" s="4049"/>
      <c r="G429" s="4194"/>
      <c r="H429" s="4196"/>
      <c r="I429" s="4060" t="s">
        <v>225</v>
      </c>
      <c r="J429" s="1964">
        <v>0</v>
      </c>
      <c r="K429" s="2159">
        <v>0</v>
      </c>
      <c r="L429" s="2160">
        <f>'[2]ALL BULAN'!E413</f>
        <v>0</v>
      </c>
      <c r="M429" s="4253">
        <f t="shared" si="75"/>
        <v>0</v>
      </c>
      <c r="N429" s="1964">
        <v>0</v>
      </c>
      <c r="O429" s="4254">
        <f t="shared" ref="O429:O441" si="77">N429-J429</f>
        <v>0</v>
      </c>
      <c r="P429" s="4061"/>
      <c r="Q429" s="4839"/>
    </row>
    <row r="430" spans="1:17" s="2070" customFormat="1" ht="3.8" customHeight="1">
      <c r="A430" s="4048"/>
      <c r="B430" s="4048"/>
      <c r="C430" s="4048"/>
      <c r="D430" s="4048"/>
      <c r="E430" s="4048"/>
      <c r="F430" s="4049"/>
      <c r="G430" s="4194"/>
      <c r="H430" s="4196"/>
      <c r="I430" s="4060"/>
      <c r="J430" s="4248"/>
      <c r="K430" s="2159">
        <v>0</v>
      </c>
      <c r="L430" s="4248"/>
      <c r="M430" s="4253">
        <f t="shared" si="75"/>
        <v>0</v>
      </c>
      <c r="N430" s="4253"/>
      <c r="O430" s="4254">
        <f t="shared" si="77"/>
        <v>0</v>
      </c>
      <c r="P430" s="4061"/>
      <c r="Q430" s="4839"/>
    </row>
    <row r="431" spans="1:17" s="2070" customFormat="1">
      <c r="A431" s="4101">
        <v>4</v>
      </c>
      <c r="B431" s="4101">
        <v>1</v>
      </c>
      <c r="C431" s="4101" t="s">
        <v>443</v>
      </c>
      <c r="D431" s="4101" t="s">
        <v>444</v>
      </c>
      <c r="E431" s="4101" t="s">
        <v>456</v>
      </c>
      <c r="F431" s="4049"/>
      <c r="G431" s="4067"/>
      <c r="H431" s="4197" t="s">
        <v>50</v>
      </c>
      <c r="I431" s="4198" t="s">
        <v>226</v>
      </c>
      <c r="J431" s="4557">
        <f>J432</f>
        <v>70939763650</v>
      </c>
      <c r="K431" s="2341">
        <v>0</v>
      </c>
      <c r="L431" s="4557">
        <f>SUM(L432:L434)</f>
        <v>0</v>
      </c>
      <c r="M431" s="4553">
        <f t="shared" si="75"/>
        <v>0</v>
      </c>
      <c r="N431" s="4557">
        <v>70939763650</v>
      </c>
      <c r="O431" s="4254">
        <f t="shared" si="77"/>
        <v>0</v>
      </c>
      <c r="P431" s="4061">
        <f t="shared" si="73"/>
        <v>0</v>
      </c>
      <c r="Q431" s="4839"/>
    </row>
    <row r="432" spans="1:17" s="2070" customFormat="1">
      <c r="A432" s="4048"/>
      <c r="B432" s="4048"/>
      <c r="C432" s="4048"/>
      <c r="D432" s="4048"/>
      <c r="E432" s="4048"/>
      <c r="F432" s="4049"/>
      <c r="G432" s="4067"/>
      <c r="H432" s="4126"/>
      <c r="I432" s="4199" t="s">
        <v>227</v>
      </c>
      <c r="J432" s="1964">
        <v>70939763650</v>
      </c>
      <c r="K432" s="2343">
        <v>0</v>
      </c>
      <c r="L432" s="2160">
        <f>'[2]ALL BULAN'!E416</f>
        <v>0</v>
      </c>
      <c r="M432" s="2344">
        <f t="shared" si="75"/>
        <v>0</v>
      </c>
      <c r="N432" s="1964">
        <v>70939763650</v>
      </c>
      <c r="O432" s="4254">
        <f t="shared" si="77"/>
        <v>0</v>
      </c>
      <c r="P432" s="4061">
        <f t="shared" si="73"/>
        <v>0</v>
      </c>
      <c r="Q432" s="4839"/>
    </row>
    <row r="433" spans="1:17" s="2070" customFormat="1">
      <c r="A433" s="4048"/>
      <c r="B433" s="4048"/>
      <c r="C433" s="4048"/>
      <c r="D433" s="4048"/>
      <c r="E433" s="4048"/>
      <c r="F433" s="4049"/>
      <c r="G433" s="4067"/>
      <c r="H433" s="4060"/>
      <c r="I433" s="4200" t="s">
        <v>228</v>
      </c>
      <c r="J433" s="1964">
        <v>0</v>
      </c>
      <c r="K433" s="2159">
        <v>0</v>
      </c>
      <c r="L433" s="2160">
        <f>'[2]ALL BULAN'!E417</f>
        <v>0</v>
      </c>
      <c r="M433" s="4253">
        <f t="shared" si="75"/>
        <v>0</v>
      </c>
      <c r="N433" s="1964">
        <v>0</v>
      </c>
      <c r="O433" s="4254">
        <f t="shared" si="77"/>
        <v>0</v>
      </c>
      <c r="P433" s="4061"/>
      <c r="Q433" s="4839"/>
    </row>
    <row r="434" spans="1:17" s="2070" customFormat="1">
      <c r="A434" s="4048"/>
      <c r="B434" s="4048"/>
      <c r="C434" s="4048"/>
      <c r="D434" s="4048"/>
      <c r="E434" s="4048"/>
      <c r="F434" s="4049"/>
      <c r="G434" s="4067"/>
      <c r="H434" s="4060"/>
      <c r="I434" s="4200" t="s">
        <v>229</v>
      </c>
      <c r="J434" s="1964">
        <v>0</v>
      </c>
      <c r="K434" s="2159">
        <v>0</v>
      </c>
      <c r="L434" s="2160">
        <f>'[2]ALL BULAN'!E418</f>
        <v>0</v>
      </c>
      <c r="M434" s="4253">
        <f t="shared" si="75"/>
        <v>0</v>
      </c>
      <c r="N434" s="1964">
        <v>0</v>
      </c>
      <c r="O434" s="4254">
        <f t="shared" si="77"/>
        <v>0</v>
      </c>
      <c r="P434" s="4061"/>
      <c r="Q434" s="4839"/>
    </row>
    <row r="435" spans="1:17" s="2070" customFormat="1" ht="5.35" customHeight="1">
      <c r="A435" s="4048"/>
      <c r="B435" s="4048"/>
      <c r="C435" s="4048"/>
      <c r="D435" s="4048"/>
      <c r="E435" s="4048"/>
      <c r="F435" s="4049"/>
      <c r="G435" s="4067"/>
      <c r="H435" s="4060"/>
      <c r="I435" s="4126"/>
      <c r="J435" s="4248"/>
      <c r="K435" s="2159">
        <v>0</v>
      </c>
      <c r="L435" s="4248"/>
      <c r="M435" s="4253">
        <f t="shared" si="75"/>
        <v>0</v>
      </c>
      <c r="N435" s="4248"/>
      <c r="O435" s="4254">
        <f t="shared" si="77"/>
        <v>0</v>
      </c>
      <c r="P435" s="4061"/>
      <c r="Q435" s="4839"/>
    </row>
    <row r="436" spans="1:17" s="2070" customFormat="1">
      <c r="A436" s="4065">
        <v>4</v>
      </c>
      <c r="B436" s="4065">
        <v>1</v>
      </c>
      <c r="C436" s="4065">
        <v>4</v>
      </c>
      <c r="D436" s="4047" t="s">
        <v>459</v>
      </c>
      <c r="E436" s="4048"/>
      <c r="F436" s="4049"/>
      <c r="G436" s="4190" t="s">
        <v>205</v>
      </c>
      <c r="H436" s="4201" t="s">
        <v>230</v>
      </c>
      <c r="I436" s="4202"/>
      <c r="J436" s="4558">
        <f>SUM(J437+J439)</f>
        <v>60900800</v>
      </c>
      <c r="K436" s="2341">
        <v>0</v>
      </c>
      <c r="L436" s="4558">
        <f>L437+L439</f>
        <v>0</v>
      </c>
      <c r="M436" s="4553">
        <f t="shared" si="75"/>
        <v>0</v>
      </c>
      <c r="N436" s="4558">
        <f>SUM(N437+N439)</f>
        <v>60900800</v>
      </c>
      <c r="O436" s="4254">
        <f t="shared" si="77"/>
        <v>0</v>
      </c>
      <c r="P436" s="4061"/>
      <c r="Q436" s="4839"/>
    </row>
    <row r="437" spans="1:17" s="4099" customFormat="1">
      <c r="A437" s="4128"/>
      <c r="B437" s="4128"/>
      <c r="C437" s="4128"/>
      <c r="D437" s="4128"/>
      <c r="E437" s="4128"/>
      <c r="F437" s="4105"/>
      <c r="G437" s="4067"/>
      <c r="H437" s="4203" t="s">
        <v>231</v>
      </c>
      <c r="J437" s="2291">
        <f>J438</f>
        <v>12035600</v>
      </c>
      <c r="K437" s="2343">
        <v>0</v>
      </c>
      <c r="L437" s="2291">
        <f>L438</f>
        <v>0</v>
      </c>
      <c r="M437" s="2344">
        <f t="shared" si="75"/>
        <v>0</v>
      </c>
      <c r="N437" s="2291">
        <f>N438</f>
        <v>12035600</v>
      </c>
      <c r="O437" s="4254">
        <f t="shared" si="77"/>
        <v>0</v>
      </c>
      <c r="P437" s="4061">
        <f t="shared" si="73"/>
        <v>0</v>
      </c>
      <c r="Q437" s="4839"/>
    </row>
    <row r="438" spans="1:17" s="2070" customFormat="1">
      <c r="A438" s="4048"/>
      <c r="B438" s="4048"/>
      <c r="C438" s="4048"/>
      <c r="D438" s="4048"/>
      <c r="E438" s="4048"/>
      <c r="F438" s="4049"/>
      <c r="G438" s="4067"/>
      <c r="H438" s="4193" t="s">
        <v>50</v>
      </c>
      <c r="I438" s="4204" t="s">
        <v>232</v>
      </c>
      <c r="J438" s="1964">
        <v>12035600</v>
      </c>
      <c r="K438" s="2159">
        <v>0</v>
      </c>
      <c r="L438" s="2160">
        <f>'[2]ALL BULAN'!E422</f>
        <v>0</v>
      </c>
      <c r="M438" s="4253">
        <f t="shared" si="75"/>
        <v>0</v>
      </c>
      <c r="N438" s="1964">
        <v>12035600</v>
      </c>
      <c r="O438" s="4254">
        <f t="shared" si="77"/>
        <v>0</v>
      </c>
      <c r="P438" s="4061">
        <f t="shared" si="73"/>
        <v>0</v>
      </c>
      <c r="Q438" s="4839"/>
    </row>
    <row r="439" spans="1:17" s="4099" customFormat="1">
      <c r="A439" s="4128"/>
      <c r="B439" s="4128"/>
      <c r="C439" s="4128"/>
      <c r="D439" s="4128"/>
      <c r="E439" s="4128"/>
      <c r="F439" s="4105"/>
      <c r="G439" s="4067"/>
      <c r="H439" s="4205" t="s">
        <v>233</v>
      </c>
      <c r="J439" s="4542">
        <f>SUM(J440:J441)</f>
        <v>48865200</v>
      </c>
      <c r="K439" s="2159">
        <v>0</v>
      </c>
      <c r="L439" s="4542">
        <f>SUM(L440:L441)</f>
        <v>0</v>
      </c>
      <c r="M439" s="4253">
        <f t="shared" si="75"/>
        <v>0</v>
      </c>
      <c r="N439" s="4542">
        <f>SUM(N440:N441)</f>
        <v>48865200</v>
      </c>
      <c r="O439" s="4254">
        <f t="shared" si="77"/>
        <v>0</v>
      </c>
      <c r="P439" s="4061">
        <f t="shared" si="73"/>
        <v>0</v>
      </c>
      <c r="Q439" s="4839"/>
    </row>
    <row r="440" spans="1:17" s="2070" customFormat="1">
      <c r="A440" s="4048"/>
      <c r="B440" s="4048"/>
      <c r="C440" s="4048"/>
      <c r="D440" s="4048"/>
      <c r="E440" s="4048"/>
      <c r="F440" s="4049"/>
      <c r="G440" s="4067"/>
      <c r="H440" s="4193" t="s">
        <v>50</v>
      </c>
      <c r="I440" s="4200" t="s">
        <v>234</v>
      </c>
      <c r="J440" s="1964">
        <v>4492800</v>
      </c>
      <c r="K440" s="2159">
        <v>0</v>
      </c>
      <c r="L440" s="2160">
        <f>'[2]ALL BULAN'!E424</f>
        <v>0</v>
      </c>
      <c r="M440" s="4253">
        <f t="shared" si="75"/>
        <v>0</v>
      </c>
      <c r="N440" s="1964">
        <v>4492800</v>
      </c>
      <c r="O440" s="4254">
        <f t="shared" si="77"/>
        <v>0</v>
      </c>
      <c r="P440" s="4061">
        <f t="shared" si="73"/>
        <v>0</v>
      </c>
      <c r="Q440" s="4839"/>
    </row>
    <row r="441" spans="1:17" s="2070" customFormat="1">
      <c r="A441" s="4048"/>
      <c r="B441" s="4048"/>
      <c r="C441" s="4048"/>
      <c r="D441" s="4048"/>
      <c r="E441" s="4048"/>
      <c r="F441" s="4049"/>
      <c r="G441" s="4067"/>
      <c r="H441" s="4193" t="s">
        <v>50</v>
      </c>
      <c r="I441" s="4200" t="s">
        <v>235</v>
      </c>
      <c r="J441" s="1964">
        <v>44372400</v>
      </c>
      <c r="K441" s="2159">
        <v>0</v>
      </c>
      <c r="L441" s="2160">
        <f>'[2]ALL BULAN'!E425</f>
        <v>0</v>
      </c>
      <c r="M441" s="4253">
        <f t="shared" si="75"/>
        <v>0</v>
      </c>
      <c r="N441" s="1964">
        <v>44372400</v>
      </c>
      <c r="O441" s="4254">
        <f t="shared" si="77"/>
        <v>0</v>
      </c>
      <c r="P441" s="4061">
        <f t="shared" si="73"/>
        <v>0</v>
      </c>
      <c r="Q441" s="4839"/>
    </row>
    <row r="442" spans="1:17" s="2070" customFormat="1">
      <c r="A442" s="4048"/>
      <c r="B442" s="4048"/>
      <c r="C442" s="4048"/>
      <c r="D442" s="4048"/>
      <c r="E442" s="4048"/>
      <c r="F442" s="4049"/>
      <c r="G442" s="4150"/>
      <c r="H442" s="4206"/>
      <c r="I442" s="4206"/>
      <c r="J442" s="2389"/>
      <c r="K442" s="2390"/>
      <c r="L442" s="2389"/>
      <c r="M442" s="2391"/>
      <c r="N442" s="2391"/>
      <c r="O442" s="2391"/>
      <c r="P442" s="4207" t="e">
        <f t="shared" si="73"/>
        <v>#DIV/0!</v>
      </c>
      <c r="Q442" s="4839"/>
    </row>
    <row r="443" spans="1:17" s="4745" customFormat="1" ht="14.25" customHeight="1">
      <c r="A443" s="4735">
        <v>4</v>
      </c>
      <c r="B443" s="4735" t="s">
        <v>460</v>
      </c>
      <c r="C443" s="4736"/>
      <c r="D443" s="4736"/>
      <c r="E443" s="4736"/>
      <c r="F443" s="4737"/>
      <c r="G443" s="4738"/>
      <c r="H443" s="4739" t="s">
        <v>236</v>
      </c>
      <c r="I443" s="4740"/>
      <c r="J443" s="4741">
        <f>SUM(J444+J457+J462)</f>
        <v>3222521202310</v>
      </c>
      <c r="K443" s="4742">
        <v>602895773311</v>
      </c>
      <c r="L443" s="4741">
        <f>+L444+L457+L462+L472+L507</f>
        <v>253510823600</v>
      </c>
      <c r="M443" s="4741">
        <f>+M444+M457+M462+M472+M507</f>
        <v>856406596911</v>
      </c>
      <c r="N443" s="4741" t="e">
        <f>SUM(N444+N457+N462)</f>
        <v>#REF!</v>
      </c>
      <c r="O443" s="4743" t="e">
        <f>N443-J443</f>
        <v>#REF!</v>
      </c>
      <c r="P443" s="4744" t="e">
        <f t="shared" si="73"/>
        <v>#REF!</v>
      </c>
      <c r="Q443" s="4851"/>
    </row>
    <row r="444" spans="1:17" s="4637" customFormat="1" ht="14.25" customHeight="1">
      <c r="A444" s="4632">
        <v>4</v>
      </c>
      <c r="B444" s="4632" t="s">
        <v>460</v>
      </c>
      <c r="C444" s="4632">
        <v>1</v>
      </c>
      <c r="D444" s="4633"/>
      <c r="E444" s="4633"/>
      <c r="F444" s="4634"/>
      <c r="G444" s="4638" t="s">
        <v>237</v>
      </c>
      <c r="H444" s="4639" t="s">
        <v>238</v>
      </c>
      <c r="I444" s="4639"/>
      <c r="J444" s="4640">
        <f>SUM(J445+J452)</f>
        <v>353125684600</v>
      </c>
      <c r="K444" s="4640">
        <v>77134449311</v>
      </c>
      <c r="L444" s="4640">
        <f>+L445+L452</f>
        <v>43645442600</v>
      </c>
      <c r="M444" s="4640">
        <f t="shared" ref="M444:M460" si="78">SUM(K444:L444)</f>
        <v>120779891911</v>
      </c>
      <c r="N444" s="4640">
        <f>SUM(N445+N452)</f>
        <v>328125684600</v>
      </c>
      <c r="O444" s="4640">
        <f>N444-J444</f>
        <v>-25000000000</v>
      </c>
      <c r="P444" s="4641">
        <f t="shared" si="73"/>
        <v>-7.0796322924849067</v>
      </c>
      <c r="Q444" s="4839"/>
    </row>
    <row r="445" spans="1:17" s="2070" customFormat="1" ht="15.05">
      <c r="A445" s="4065">
        <v>4</v>
      </c>
      <c r="B445" s="4065" t="s">
        <v>460</v>
      </c>
      <c r="C445" s="4065">
        <v>1</v>
      </c>
      <c r="D445" s="4047" t="s">
        <v>437</v>
      </c>
      <c r="E445" s="4048"/>
      <c r="F445" s="4049"/>
      <c r="G445" s="4055"/>
      <c r="H445" s="4056" t="s">
        <v>239</v>
      </c>
      <c r="I445" s="4126"/>
      <c r="J445" s="4721">
        <f>SUM(J446:J450)</f>
        <v>185190481600</v>
      </c>
      <c r="K445" s="4560">
        <v>15220097700</v>
      </c>
      <c r="L445" s="4559">
        <f>SUM(L446:L450)</f>
        <v>43568767100</v>
      </c>
      <c r="M445" s="4561">
        <f t="shared" si="78"/>
        <v>58788864800</v>
      </c>
      <c r="N445" s="4721">
        <f>SUM(N446:N450)</f>
        <v>176690481600</v>
      </c>
      <c r="O445" s="4805">
        <f t="shared" ref="O445:O456" si="79">N445-J445</f>
        <v>-8500000000</v>
      </c>
      <c r="P445" s="4806">
        <f t="shared" si="73"/>
        <v>-4.5898687268168974</v>
      </c>
      <c r="Q445" s="4839"/>
    </row>
    <row r="446" spans="1:17" s="2070" customFormat="1" ht="15.05">
      <c r="A446" s="4065">
        <v>4</v>
      </c>
      <c r="B446" s="4065" t="s">
        <v>460</v>
      </c>
      <c r="C446" s="4065">
        <v>1</v>
      </c>
      <c r="D446" s="4047" t="s">
        <v>437</v>
      </c>
      <c r="E446" s="4047" t="s">
        <v>437</v>
      </c>
      <c r="F446" s="4049"/>
      <c r="G446" s="4150"/>
      <c r="H446" s="4081" t="s">
        <v>50</v>
      </c>
      <c r="I446" s="4151" t="s">
        <v>240</v>
      </c>
      <c r="J446" s="1964">
        <v>10416269000</v>
      </c>
      <c r="K446" s="2159">
        <v>2542990867</v>
      </c>
      <c r="L446" s="2160">
        <v>2000213850</v>
      </c>
      <c r="M446" s="4253">
        <f t="shared" si="78"/>
        <v>4543204717</v>
      </c>
      <c r="N446" s="1964">
        <v>10416269000</v>
      </c>
      <c r="O446" s="4807">
        <f t="shared" si="79"/>
        <v>0</v>
      </c>
      <c r="P446" s="4808">
        <f t="shared" si="73"/>
        <v>0</v>
      </c>
      <c r="Q446" s="4839"/>
    </row>
    <row r="447" spans="1:17" s="2070" customFormat="1" ht="15.05">
      <c r="A447" s="4065">
        <v>4</v>
      </c>
      <c r="B447" s="4065" t="s">
        <v>460</v>
      </c>
      <c r="C447" s="4065">
        <v>1</v>
      </c>
      <c r="D447" s="4047" t="s">
        <v>437</v>
      </c>
      <c r="F447" s="4049"/>
      <c r="G447" s="4208"/>
      <c r="H447" s="4081" t="s">
        <v>50</v>
      </c>
      <c r="I447" s="4090" t="s">
        <v>241</v>
      </c>
      <c r="J447" s="1964">
        <v>0</v>
      </c>
      <c r="K447" s="2159">
        <v>0</v>
      </c>
      <c r="L447" s="2160">
        <f>'[2]ALL BULAN'!E431</f>
        <v>0</v>
      </c>
      <c r="M447" s="4253">
        <f t="shared" si="78"/>
        <v>0</v>
      </c>
      <c r="N447" s="1964">
        <v>0</v>
      </c>
      <c r="O447" s="4807">
        <f t="shared" si="79"/>
        <v>0</v>
      </c>
      <c r="P447" s="4808" t="e">
        <f t="shared" si="73"/>
        <v>#DIV/0!</v>
      </c>
      <c r="Q447" s="4839"/>
    </row>
    <row r="448" spans="1:17" s="2070" customFormat="1" ht="15.05">
      <c r="A448" s="4065">
        <v>4</v>
      </c>
      <c r="B448" s="4065" t="s">
        <v>460</v>
      </c>
      <c r="C448" s="4065">
        <v>1</v>
      </c>
      <c r="D448" s="4047" t="s">
        <v>437</v>
      </c>
      <c r="E448" s="4047" t="s">
        <v>440</v>
      </c>
      <c r="F448" s="4049"/>
      <c r="G448" s="4208"/>
      <c r="H448" s="4081" t="s">
        <v>50</v>
      </c>
      <c r="I448" s="4090" t="s">
        <v>242</v>
      </c>
      <c r="J448" s="1964">
        <v>104034902000</v>
      </c>
      <c r="K448" s="2159">
        <v>12576808932</v>
      </c>
      <c r="L448" s="2160">
        <v>23883725500</v>
      </c>
      <c r="M448" s="4253">
        <f t="shared" si="78"/>
        <v>36460534432</v>
      </c>
      <c r="N448" s="1964">
        <v>95534902000</v>
      </c>
      <c r="O448" s="4807">
        <f t="shared" si="79"/>
        <v>-8500000000</v>
      </c>
      <c r="P448" s="4808">
        <f t="shared" si="73"/>
        <v>-8.1703349900786169</v>
      </c>
      <c r="Q448" s="4839"/>
    </row>
    <row r="449" spans="1:17" s="2070" customFormat="1" ht="15.05">
      <c r="A449" s="4065">
        <v>4</v>
      </c>
      <c r="B449" s="4065" t="s">
        <v>460</v>
      </c>
      <c r="C449" s="4065">
        <v>1</v>
      </c>
      <c r="D449" s="4047" t="s">
        <v>437</v>
      </c>
      <c r="E449" s="4047"/>
      <c r="F449" s="4049"/>
      <c r="G449" s="4208"/>
      <c r="H449" s="4081" t="s">
        <v>50</v>
      </c>
      <c r="I449" s="4090" t="s">
        <v>243</v>
      </c>
      <c r="J449" s="1964">
        <v>0</v>
      </c>
      <c r="K449" s="2159">
        <v>0</v>
      </c>
      <c r="L449" s="2160">
        <f>'[2]ALL BULAN'!E433</f>
        <v>0</v>
      </c>
      <c r="M449" s="4253">
        <f t="shared" si="78"/>
        <v>0</v>
      </c>
      <c r="N449" s="1964">
        <v>0</v>
      </c>
      <c r="O449" s="4807">
        <f t="shared" si="79"/>
        <v>0</v>
      </c>
      <c r="P449" s="4808" t="e">
        <f t="shared" si="73"/>
        <v>#DIV/0!</v>
      </c>
      <c r="Q449" s="4839"/>
    </row>
    <row r="450" spans="1:17" s="2070" customFormat="1" ht="15.05">
      <c r="A450" s="4065">
        <v>4</v>
      </c>
      <c r="B450" s="4065" t="s">
        <v>460</v>
      </c>
      <c r="C450" s="4065">
        <v>1</v>
      </c>
      <c r="D450" s="4047" t="s">
        <v>437</v>
      </c>
      <c r="E450" s="4047" t="s">
        <v>445</v>
      </c>
      <c r="F450" s="4049"/>
      <c r="G450" s="4208"/>
      <c r="H450" s="4081" t="s">
        <v>50</v>
      </c>
      <c r="I450" s="4090" t="s">
        <v>244</v>
      </c>
      <c r="J450" s="1964">
        <v>70739310600</v>
      </c>
      <c r="K450" s="2159">
        <v>100297901</v>
      </c>
      <c r="L450" s="2160">
        <v>17684827750</v>
      </c>
      <c r="M450" s="4253">
        <f t="shared" si="78"/>
        <v>17785125651</v>
      </c>
      <c r="N450" s="1964">
        <v>70739310600</v>
      </c>
      <c r="O450" s="4807">
        <f t="shared" si="79"/>
        <v>0</v>
      </c>
      <c r="P450" s="4808">
        <f t="shared" si="73"/>
        <v>0</v>
      </c>
      <c r="Q450" s="4839"/>
    </row>
    <row r="451" spans="1:17" s="2070" customFormat="1" ht="5.95" customHeight="1">
      <c r="A451" s="4048"/>
      <c r="B451" s="4048"/>
      <c r="C451" s="4048"/>
      <c r="D451" s="4048"/>
      <c r="E451" s="4048"/>
      <c r="F451" s="4049"/>
      <c r="G451" s="4208"/>
      <c r="H451" s="4151"/>
      <c r="I451" s="4090"/>
      <c r="J451" s="4562"/>
      <c r="K451" s="2159">
        <v>0</v>
      </c>
      <c r="L451" s="4562"/>
      <c r="M451" s="4253">
        <f t="shared" si="78"/>
        <v>0</v>
      </c>
      <c r="N451" s="4562"/>
      <c r="O451" s="4807">
        <f t="shared" si="79"/>
        <v>0</v>
      </c>
      <c r="P451" s="4808"/>
      <c r="Q451" s="4839"/>
    </row>
    <row r="452" spans="1:17" s="2070" customFormat="1" ht="15.05">
      <c r="A452" s="4065">
        <v>4</v>
      </c>
      <c r="B452" s="4065" t="s">
        <v>460</v>
      </c>
      <c r="C452" s="4065">
        <v>1</v>
      </c>
      <c r="D452" s="4047" t="s">
        <v>438</v>
      </c>
      <c r="E452" s="4048"/>
      <c r="F452" s="4049"/>
      <c r="G452" s="4208"/>
      <c r="H452" s="4100" t="s">
        <v>245</v>
      </c>
      <c r="I452" s="4090"/>
      <c r="J452" s="4562">
        <f>SUM(J453:J455)</f>
        <v>167935203000</v>
      </c>
      <c r="K452" s="4564">
        <v>61914351611</v>
      </c>
      <c r="L452" s="4563">
        <f>SUM(L453:L456)</f>
        <v>76675500</v>
      </c>
      <c r="M452" s="4563">
        <f>SUM(M453:M456)</f>
        <v>61991027111</v>
      </c>
      <c r="N452" s="4562">
        <f>SUM(N453:N455)</f>
        <v>151435203000</v>
      </c>
      <c r="O452" s="4807">
        <f t="shared" si="79"/>
        <v>-16500000000</v>
      </c>
      <c r="P452" s="4808">
        <f t="shared" si="73"/>
        <v>-9.8252181229685362</v>
      </c>
      <c r="Q452" s="4839"/>
    </row>
    <row r="453" spans="1:17" s="2070" customFormat="1" ht="15.05">
      <c r="A453" s="4065">
        <v>4</v>
      </c>
      <c r="B453" s="4065" t="s">
        <v>460</v>
      </c>
      <c r="C453" s="4065">
        <v>1</v>
      </c>
      <c r="D453" s="4047" t="s">
        <v>438</v>
      </c>
      <c r="E453" s="4047" t="s">
        <v>437</v>
      </c>
      <c r="F453" s="4049"/>
      <c r="G453" s="4208"/>
      <c r="H453" s="4089" t="s">
        <v>50</v>
      </c>
      <c r="I453" s="4090" t="s">
        <v>246</v>
      </c>
      <c r="J453" s="1964">
        <v>511170000</v>
      </c>
      <c r="K453" s="2159">
        <v>0</v>
      </c>
      <c r="L453" s="2160">
        <v>66556500</v>
      </c>
      <c r="M453" s="4253">
        <f t="shared" si="78"/>
        <v>66556500</v>
      </c>
      <c r="N453" s="1964">
        <v>511170000</v>
      </c>
      <c r="O453" s="4807">
        <f t="shared" si="79"/>
        <v>0</v>
      </c>
      <c r="P453" s="4808">
        <f t="shared" si="73"/>
        <v>0</v>
      </c>
      <c r="Q453" s="4839"/>
    </row>
    <row r="454" spans="1:17" s="2070" customFormat="1" ht="15.05">
      <c r="A454" s="4065">
        <v>4</v>
      </c>
      <c r="B454" s="4065" t="s">
        <v>460</v>
      </c>
      <c r="C454" s="4065">
        <v>1</v>
      </c>
      <c r="D454" s="4047" t="s">
        <v>438</v>
      </c>
      <c r="E454" s="4070" t="s">
        <v>445</v>
      </c>
      <c r="F454" s="4049"/>
      <c r="G454" s="4208"/>
      <c r="H454" s="4089" t="s">
        <v>50</v>
      </c>
      <c r="I454" s="4090" t="s">
        <v>247</v>
      </c>
      <c r="J454" s="1964">
        <v>4168131000</v>
      </c>
      <c r="K454" s="2159">
        <v>1232728624</v>
      </c>
      <c r="L454" s="2160">
        <v>0</v>
      </c>
      <c r="M454" s="4253">
        <f t="shared" si="78"/>
        <v>1232728624</v>
      </c>
      <c r="N454" s="1964">
        <v>4168131000</v>
      </c>
      <c r="O454" s="4807">
        <f t="shared" si="79"/>
        <v>0</v>
      </c>
      <c r="P454" s="4808">
        <f t="shared" si="73"/>
        <v>0</v>
      </c>
      <c r="Q454" s="4839"/>
    </row>
    <row r="455" spans="1:17" s="2070" customFormat="1" ht="15.05">
      <c r="A455" s="4065">
        <v>4</v>
      </c>
      <c r="B455" s="4065" t="s">
        <v>460</v>
      </c>
      <c r="C455" s="4065">
        <v>1</v>
      </c>
      <c r="D455" s="4047" t="s">
        <v>438</v>
      </c>
      <c r="E455" s="4070" t="s">
        <v>451</v>
      </c>
      <c r="F455" s="4049"/>
      <c r="G455" s="4208"/>
      <c r="H455" s="4089" t="s">
        <v>50</v>
      </c>
      <c r="I455" s="4090" t="s">
        <v>248</v>
      </c>
      <c r="J455" s="1964">
        <v>163255902000</v>
      </c>
      <c r="K455" s="2159">
        <v>60654372288</v>
      </c>
      <c r="L455" s="2160">
        <v>0</v>
      </c>
      <c r="M455" s="4253">
        <f t="shared" si="78"/>
        <v>60654372288</v>
      </c>
      <c r="N455" s="1964">
        <v>146755902000</v>
      </c>
      <c r="O455" s="4807">
        <f t="shared" si="79"/>
        <v>-16500000000</v>
      </c>
      <c r="P455" s="4808">
        <f t="shared" si="73"/>
        <v>-10.106832156058896</v>
      </c>
      <c r="Q455" s="4839"/>
    </row>
    <row r="456" spans="1:17" s="2070" customFormat="1" ht="13.5" customHeight="1">
      <c r="A456" s="4048"/>
      <c r="B456" s="4048"/>
      <c r="C456" s="4048"/>
      <c r="D456" s="4048"/>
      <c r="E456" s="4048"/>
      <c r="F456" s="4049"/>
      <c r="G456" s="4211"/>
      <c r="H456" s="4089" t="s">
        <v>50</v>
      </c>
      <c r="I456" s="4133" t="s">
        <v>461</v>
      </c>
      <c r="J456" s="4642"/>
      <c r="K456" s="2255">
        <v>27250699</v>
      </c>
      <c r="L456" s="4642">
        <v>10119000</v>
      </c>
      <c r="M456" s="4254">
        <f t="shared" si="78"/>
        <v>37369699</v>
      </c>
      <c r="N456" s="4254"/>
      <c r="O456" s="4801">
        <f t="shared" si="79"/>
        <v>0</v>
      </c>
      <c r="P456" s="4803" t="e">
        <f t="shared" si="73"/>
        <v>#DIV/0!</v>
      </c>
      <c r="Q456" s="4839"/>
    </row>
    <row r="457" spans="1:17" s="4637" customFormat="1" ht="15.05">
      <c r="A457" s="4632">
        <v>4</v>
      </c>
      <c r="B457" s="4632" t="s">
        <v>460</v>
      </c>
      <c r="C457" s="4632" t="s">
        <v>460</v>
      </c>
      <c r="D457" s="4633"/>
      <c r="E457" s="4633"/>
      <c r="F457" s="4634"/>
      <c r="G457" s="4638" t="s">
        <v>249</v>
      </c>
      <c r="H457" s="4643" t="s">
        <v>250</v>
      </c>
      <c r="I457" s="4635"/>
      <c r="J457" s="4644">
        <f>J458</f>
        <v>1496972549710</v>
      </c>
      <c r="K457" s="4640">
        <v>354005724000</v>
      </c>
      <c r="L457" s="4644">
        <f>L458</f>
        <v>118001908000</v>
      </c>
      <c r="M457" s="4640">
        <f t="shared" si="78"/>
        <v>472007632000</v>
      </c>
      <c r="N457" s="4644" t="e">
        <f>N458</f>
        <v>#REF!</v>
      </c>
      <c r="O457" s="4640" t="e">
        <f>N457-J457</f>
        <v>#REF!</v>
      </c>
      <c r="P457" s="4641" t="e">
        <f t="shared" si="73"/>
        <v>#REF!</v>
      </c>
      <c r="Q457" s="4839"/>
    </row>
    <row r="458" spans="1:17" s="2070" customFormat="1" ht="15.05">
      <c r="A458" s="4065">
        <v>4</v>
      </c>
      <c r="B458" s="4065" t="s">
        <v>460</v>
      </c>
      <c r="C458" s="4065" t="s">
        <v>460</v>
      </c>
      <c r="D458" s="4047" t="s">
        <v>437</v>
      </c>
      <c r="E458" s="4048"/>
      <c r="F458" s="4049"/>
      <c r="G458" s="4209"/>
      <c r="H458" s="4210" t="s">
        <v>251</v>
      </c>
      <c r="I458" s="4136"/>
      <c r="J458" s="4559">
        <f>SUM(J459:J460)</f>
        <v>1496972549710</v>
      </c>
      <c r="K458" s="2159">
        <v>354005724000</v>
      </c>
      <c r="L458" s="4559">
        <f>SUM(L459:L460)</f>
        <v>118001908000</v>
      </c>
      <c r="M458" s="4253">
        <f t="shared" si="78"/>
        <v>472007632000</v>
      </c>
      <c r="N458" s="4559" t="e">
        <f>SUM(N459:N460)</f>
        <v>#REF!</v>
      </c>
      <c r="O458" s="4523" t="e">
        <f>N458-J458</f>
        <v>#REF!</v>
      </c>
      <c r="P458" s="4806" t="e">
        <f t="shared" si="73"/>
        <v>#REF!</v>
      </c>
      <c r="Q458" s="4839"/>
    </row>
    <row r="459" spans="1:17" s="2070" customFormat="1" ht="15.05">
      <c r="A459" s="4048"/>
      <c r="B459" s="4048"/>
      <c r="C459" s="4048"/>
      <c r="D459" s="4048"/>
      <c r="E459" s="4048"/>
      <c r="F459" s="4049"/>
      <c r="G459" s="4208"/>
      <c r="H459" s="4089" t="s">
        <v>50</v>
      </c>
      <c r="I459" s="4090" t="s">
        <v>252</v>
      </c>
      <c r="J459" s="1964">
        <v>1416022952000</v>
      </c>
      <c r="K459" s="2159">
        <v>354005724000</v>
      </c>
      <c r="L459" s="2160">
        <v>118001908000</v>
      </c>
      <c r="M459" s="4253">
        <f t="shared" si="78"/>
        <v>472007632000</v>
      </c>
      <c r="N459" s="1964" t="e">
        <f>#REF!</f>
        <v>#REF!</v>
      </c>
      <c r="O459" s="4523" t="e">
        <f>N459-J459</f>
        <v>#REF!</v>
      </c>
      <c r="P459" s="4808" t="e">
        <f t="shared" si="73"/>
        <v>#REF!</v>
      </c>
      <c r="Q459" s="4839"/>
    </row>
    <row r="460" spans="1:17" s="2070" customFormat="1" ht="15.05">
      <c r="A460" s="4048"/>
      <c r="B460" s="4048"/>
      <c r="C460" s="4048"/>
      <c r="D460" s="4048"/>
      <c r="E460" s="4048"/>
      <c r="F460" s="4049"/>
      <c r="G460" s="4208"/>
      <c r="H460" s="4089" t="s">
        <v>50</v>
      </c>
      <c r="I460" s="4090" t="s">
        <v>253</v>
      </c>
      <c r="J460" s="1964">
        <v>80949597710</v>
      </c>
      <c r="K460" s="2159">
        <v>0</v>
      </c>
      <c r="L460" s="2160">
        <f>'[2]ALL BULAN'!E444</f>
        <v>0</v>
      </c>
      <c r="M460" s="4253">
        <f t="shared" si="78"/>
        <v>0</v>
      </c>
      <c r="N460" s="1964">
        <v>0</v>
      </c>
      <c r="O460" s="4523">
        <f>M460-J460</f>
        <v>-80949597710</v>
      </c>
      <c r="P460" s="4808">
        <f t="shared" si="73"/>
        <v>-100</v>
      </c>
      <c r="Q460" s="4839"/>
    </row>
    <row r="461" spans="1:17" s="2070" customFormat="1">
      <c r="A461" s="4048"/>
      <c r="B461" s="4048"/>
      <c r="C461" s="4048"/>
      <c r="D461" s="4048"/>
      <c r="E461" s="4048"/>
      <c r="F461" s="4049"/>
      <c r="G461" s="4211"/>
      <c r="H461" s="4133"/>
      <c r="I461" s="4133"/>
      <c r="J461" s="4565"/>
      <c r="K461" s="4566"/>
      <c r="L461" s="4565"/>
      <c r="M461" s="4567"/>
      <c r="N461" s="4565"/>
      <c r="O461" s="4567"/>
      <c r="P461" s="4809" t="e">
        <f t="shared" ref="P461:P524" si="80">O461/J461*100</f>
        <v>#DIV/0!</v>
      </c>
      <c r="Q461" s="4839"/>
    </row>
    <row r="462" spans="1:17" s="4637" customFormat="1" ht="15.05">
      <c r="A462" s="4632">
        <v>4</v>
      </c>
      <c r="B462" s="4632" t="s">
        <v>460</v>
      </c>
      <c r="C462" s="4632" t="s">
        <v>457</v>
      </c>
      <c r="D462" s="4633"/>
      <c r="E462" s="4633"/>
      <c r="F462" s="4634"/>
      <c r="G462" s="4638" t="s">
        <v>254</v>
      </c>
      <c r="H462" s="4643" t="s">
        <v>255</v>
      </c>
      <c r="I462" s="4635"/>
      <c r="J462" s="4644">
        <f>J463</f>
        <v>1372422968000</v>
      </c>
      <c r="K462" s="4640">
        <v>171755600000</v>
      </c>
      <c r="L462" s="4644">
        <f>L463</f>
        <v>65166318000</v>
      </c>
      <c r="M462" s="4640">
        <f t="shared" ref="M462:M470" si="81">SUM(K462:L462)</f>
        <v>236921918000</v>
      </c>
      <c r="N462" s="4644">
        <f>N463</f>
        <v>1391780032730</v>
      </c>
      <c r="O462" s="4640">
        <f>N462-J462</f>
        <v>19357064730</v>
      </c>
      <c r="P462" s="4641">
        <f t="shared" si="80"/>
        <v>1.4104299608311424</v>
      </c>
      <c r="Q462" s="4839"/>
    </row>
    <row r="463" spans="1:17" s="2070" customFormat="1" ht="15.05">
      <c r="A463" s="4065">
        <v>4</v>
      </c>
      <c r="B463" s="4065" t="s">
        <v>460</v>
      </c>
      <c r="C463" s="4065" t="s">
        <v>457</v>
      </c>
      <c r="D463" s="4047" t="s">
        <v>437</v>
      </c>
      <c r="E463" s="4048"/>
      <c r="F463" s="4049"/>
      <c r="G463" s="4213"/>
      <c r="H463" s="4210" t="s">
        <v>256</v>
      </c>
      <c r="I463" s="4136"/>
      <c r="J463" s="4810">
        <f>SUM(J464+J470)</f>
        <v>1372422968000</v>
      </c>
      <c r="K463" s="2390">
        <v>171755600000</v>
      </c>
      <c r="L463" s="4810">
        <f>L464+L470</f>
        <v>65166318000</v>
      </c>
      <c r="M463" s="4554">
        <f t="shared" si="81"/>
        <v>236921918000</v>
      </c>
      <c r="N463" s="4810">
        <f>SUM(N464+N470)</f>
        <v>1391780032730</v>
      </c>
      <c r="O463" s="4811">
        <f t="shared" ref="O463:O470" si="82">N463-J463</f>
        <v>19357064730</v>
      </c>
      <c r="P463" s="4806">
        <f t="shared" si="80"/>
        <v>1.4104299608311424</v>
      </c>
      <c r="Q463" s="4839"/>
    </row>
    <row r="464" spans="1:17" s="2070" customFormat="1" ht="15.05">
      <c r="A464" s="4048"/>
      <c r="B464" s="4048"/>
      <c r="C464" s="4048"/>
      <c r="D464" s="4048"/>
      <c r="E464" s="4048"/>
      <c r="F464" s="4049"/>
      <c r="G464" s="4208"/>
      <c r="H464" s="4089" t="s">
        <v>50</v>
      </c>
      <c r="I464" s="4090" t="s">
        <v>257</v>
      </c>
      <c r="J464" s="4563">
        <f>SUM(J465:J469)</f>
        <v>1074923968000</v>
      </c>
      <c r="K464" s="2180">
        <v>171755600000</v>
      </c>
      <c r="L464" s="4563">
        <f>SUM(L465:L469)</f>
        <v>65166318000</v>
      </c>
      <c r="M464" s="2189">
        <f t="shared" si="81"/>
        <v>236921918000</v>
      </c>
      <c r="N464" s="4563">
        <f>SUM(N465:N469)</f>
        <v>1074923968000</v>
      </c>
      <c r="O464" s="4802">
        <f t="shared" si="82"/>
        <v>0</v>
      </c>
      <c r="P464" s="4804">
        <f t="shared" si="80"/>
        <v>0</v>
      </c>
      <c r="Q464" s="4839"/>
    </row>
    <row r="465" spans="1:17" s="2070" customFormat="1" ht="15.05">
      <c r="A465" s="4048"/>
      <c r="B465" s="4048"/>
      <c r="C465" s="4048"/>
      <c r="D465" s="4048"/>
      <c r="E465" s="4048"/>
      <c r="F465" s="4049"/>
      <c r="G465" s="4208"/>
      <c r="H465" s="4090"/>
      <c r="I465" s="4089" t="s">
        <v>258</v>
      </c>
      <c r="J465" s="1964">
        <v>858778000000</v>
      </c>
      <c r="K465" s="2180">
        <v>171755600000</v>
      </c>
      <c r="L465" s="2160">
        <f>'[2]ALL BULAN'!E449</f>
        <v>0</v>
      </c>
      <c r="M465" s="2189">
        <f t="shared" si="81"/>
        <v>171755600000</v>
      </c>
      <c r="N465" s="1964">
        <v>858778000000</v>
      </c>
      <c r="O465" s="4802">
        <f t="shared" si="82"/>
        <v>0</v>
      </c>
      <c r="P465" s="4804">
        <f t="shared" si="80"/>
        <v>0</v>
      </c>
      <c r="Q465" s="4839"/>
    </row>
    <row r="466" spans="1:17" s="2070" customFormat="1" ht="15.05">
      <c r="A466" s="4048"/>
      <c r="B466" s="4048"/>
      <c r="C466" s="4048"/>
      <c r="D466" s="4048"/>
      <c r="E466" s="4048"/>
      <c r="F466" s="4049"/>
      <c r="G466" s="4208"/>
      <c r="H466" s="4090"/>
      <c r="I466" s="4089" t="s">
        <v>259</v>
      </c>
      <c r="J466" s="1964">
        <v>207376785000</v>
      </c>
      <c r="K466" s="2180">
        <v>0</v>
      </c>
      <c r="L466" s="2160">
        <v>62213035000</v>
      </c>
      <c r="M466" s="2189">
        <f t="shared" si="81"/>
        <v>62213035000</v>
      </c>
      <c r="N466" s="1964">
        <v>207376785000</v>
      </c>
      <c r="O466" s="4802">
        <f t="shared" si="82"/>
        <v>0</v>
      </c>
      <c r="P466" s="4804">
        <f t="shared" si="80"/>
        <v>0</v>
      </c>
      <c r="Q466" s="4839"/>
    </row>
    <row r="467" spans="1:17" s="2070" customFormat="1" ht="15.05">
      <c r="A467" s="4048"/>
      <c r="B467" s="4048"/>
      <c r="C467" s="4048"/>
      <c r="D467" s="4048"/>
      <c r="E467" s="4048"/>
      <c r="F467" s="4049"/>
      <c r="G467" s="4208"/>
      <c r="H467" s="4090"/>
      <c r="I467" s="4089" t="s">
        <v>260</v>
      </c>
      <c r="J467" s="1964">
        <v>4737000000</v>
      </c>
      <c r="K467" s="2180">
        <v>0</v>
      </c>
      <c r="L467" s="2160">
        <v>1421100000</v>
      </c>
      <c r="M467" s="2189">
        <f t="shared" si="81"/>
        <v>1421100000</v>
      </c>
      <c r="N467" s="1964">
        <v>4737000000</v>
      </c>
      <c r="O467" s="4802">
        <f t="shared" si="82"/>
        <v>0</v>
      </c>
      <c r="P467" s="4804">
        <f t="shared" si="80"/>
        <v>0</v>
      </c>
      <c r="Q467" s="4839"/>
    </row>
    <row r="468" spans="1:17" s="2070" customFormat="1" ht="15.05">
      <c r="A468" s="4048"/>
      <c r="B468" s="4048"/>
      <c r="C468" s="4048"/>
      <c r="D468" s="4048"/>
      <c r="E468" s="4048"/>
      <c r="F468" s="4049"/>
      <c r="G468" s="4208"/>
      <c r="H468" s="4090"/>
      <c r="I468" s="4089" t="s">
        <v>261</v>
      </c>
      <c r="J468" s="1964">
        <v>2500000000</v>
      </c>
      <c r="K468" s="2180">
        <v>0</v>
      </c>
      <c r="L468" s="2160">
        <v>1532183000</v>
      </c>
      <c r="M468" s="2189">
        <f t="shared" si="81"/>
        <v>1532183000</v>
      </c>
      <c r="N468" s="1964">
        <v>2500000000</v>
      </c>
      <c r="O468" s="4802">
        <f t="shared" si="82"/>
        <v>0</v>
      </c>
      <c r="P468" s="4804">
        <f t="shared" si="80"/>
        <v>0</v>
      </c>
      <c r="Q468" s="4839"/>
    </row>
    <row r="469" spans="1:17" s="2070" customFormat="1" ht="15.05">
      <c r="A469" s="4048"/>
      <c r="B469" s="4048"/>
      <c r="C469" s="4048"/>
      <c r="D469" s="4048"/>
      <c r="E469" s="4048"/>
      <c r="F469" s="4049"/>
      <c r="G469" s="4208"/>
      <c r="H469" s="4090"/>
      <c r="I469" s="4089" t="s">
        <v>262</v>
      </c>
      <c r="J469" s="1964">
        <v>1532183000</v>
      </c>
      <c r="K469" s="2180">
        <v>0</v>
      </c>
      <c r="L469" s="2160">
        <f>'[2]ALL BULAN'!E453</f>
        <v>0</v>
      </c>
      <c r="M469" s="2189">
        <f t="shared" si="81"/>
        <v>0</v>
      </c>
      <c r="N469" s="1964">
        <v>1532183000</v>
      </c>
      <c r="O469" s="4802">
        <f t="shared" si="82"/>
        <v>0</v>
      </c>
      <c r="P469" s="4814">
        <f t="shared" si="80"/>
        <v>0</v>
      </c>
      <c r="Q469" s="4839"/>
    </row>
    <row r="470" spans="1:17" s="2070" customFormat="1" ht="15.05">
      <c r="A470" s="4048"/>
      <c r="B470" s="4048"/>
      <c r="C470" s="4048"/>
      <c r="D470" s="4048"/>
      <c r="E470" s="4048"/>
      <c r="F470" s="4049"/>
      <c r="G470" s="4208"/>
      <c r="H470" s="4089" t="s">
        <v>50</v>
      </c>
      <c r="I470" s="4090" t="s">
        <v>263</v>
      </c>
      <c r="J470" s="4815">
        <v>297499000000</v>
      </c>
      <c r="K470" s="2180">
        <v>0</v>
      </c>
      <c r="L470" s="2160">
        <f>'[2]ALL BULAN'!E454</f>
        <v>0</v>
      </c>
      <c r="M470" s="2189">
        <f t="shared" si="81"/>
        <v>0</v>
      </c>
      <c r="N470" s="4815">
        <f>'Kom Kua PPAS'!P437</f>
        <v>316856064730</v>
      </c>
      <c r="O470" s="4807">
        <f t="shared" si="82"/>
        <v>19357064730</v>
      </c>
      <c r="P470" s="4814">
        <f t="shared" si="80"/>
        <v>6.5065982507504225</v>
      </c>
      <c r="Q470" s="4839"/>
    </row>
    <row r="471" spans="1:17" s="2070" customFormat="1">
      <c r="A471" s="4048"/>
      <c r="B471" s="4048"/>
      <c r="C471" s="4048"/>
      <c r="D471" s="4048"/>
      <c r="E471" s="4048"/>
      <c r="F471" s="4049"/>
      <c r="G471" s="4211"/>
      <c r="H471" s="4133"/>
      <c r="I471" s="4133"/>
      <c r="J471" s="4810"/>
      <c r="K471" s="4812"/>
      <c r="L471" s="4810"/>
      <c r="M471" s="4813"/>
      <c r="N471" s="4813"/>
      <c r="O471" s="4813"/>
      <c r="P471" s="4809" t="e">
        <f t="shared" si="80"/>
        <v>#DIV/0!</v>
      </c>
      <c r="Q471" s="4839"/>
    </row>
    <row r="472" spans="1:17" s="4754" customFormat="1" ht="15.05">
      <c r="A472" s="4735">
        <v>4</v>
      </c>
      <c r="B472" s="4735" t="s">
        <v>457</v>
      </c>
      <c r="C472" s="4746"/>
      <c r="D472" s="4746"/>
      <c r="E472" s="4746"/>
      <c r="F472" s="4747">
        <v>4</v>
      </c>
      <c r="G472" s="4748" t="s">
        <v>264</v>
      </c>
      <c r="H472" s="4749" t="s">
        <v>265</v>
      </c>
      <c r="I472" s="4750"/>
      <c r="J472" s="4751">
        <f>J473+J507</f>
        <v>67264821900</v>
      </c>
      <c r="K472" s="4752">
        <v>0</v>
      </c>
      <c r="L472" s="4751">
        <f>L473</f>
        <v>0</v>
      </c>
      <c r="M472" s="4752">
        <f t="shared" ref="M472:M505" si="83">SUM(K472:L472)</f>
        <v>0</v>
      </c>
      <c r="N472" s="4751">
        <f>N473+N507</f>
        <v>85598457900</v>
      </c>
      <c r="O472" s="4752">
        <f>N472-J472</f>
        <v>18333636000</v>
      </c>
      <c r="P472" s="4753">
        <f t="shared" si="80"/>
        <v>27.255905066181406</v>
      </c>
      <c r="Q472" s="4851"/>
    </row>
    <row r="473" spans="1:17" s="4099" customFormat="1">
      <c r="A473" s="4065">
        <v>4</v>
      </c>
      <c r="B473" s="4065" t="s">
        <v>457</v>
      </c>
      <c r="C473" s="4065" t="s">
        <v>58</v>
      </c>
      <c r="D473" s="4128"/>
      <c r="E473" s="4128"/>
      <c r="F473" s="4105"/>
      <c r="G473" s="4209" t="s">
        <v>264</v>
      </c>
      <c r="H473" s="4214" t="s">
        <v>266</v>
      </c>
      <c r="I473" s="4132"/>
      <c r="J473" s="4561">
        <f>J474+J477</f>
        <v>13870510900</v>
      </c>
      <c r="K473" s="2159">
        <v>0</v>
      </c>
      <c r="L473" s="4561">
        <f>L474+L477+L499</f>
        <v>0</v>
      </c>
      <c r="M473" s="4253">
        <f t="shared" si="83"/>
        <v>0</v>
      </c>
      <c r="N473" s="4561">
        <f>SUM(N474+N477)</f>
        <v>32204146900</v>
      </c>
      <c r="O473" s="4254">
        <f>N473-J473</f>
        <v>18333636000</v>
      </c>
      <c r="P473" s="4061">
        <f t="shared" si="80"/>
        <v>132.17707791859348</v>
      </c>
      <c r="Q473" s="4839"/>
    </row>
    <row r="474" spans="1:17" s="4099" customFormat="1">
      <c r="A474" s="4065">
        <v>4</v>
      </c>
      <c r="B474" s="4065" t="s">
        <v>457</v>
      </c>
      <c r="C474" s="4065" t="s">
        <v>58</v>
      </c>
      <c r="D474" s="4065" t="s">
        <v>437</v>
      </c>
      <c r="E474" s="4128"/>
      <c r="F474" s="4105"/>
      <c r="G474" s="4208" t="s">
        <v>205</v>
      </c>
      <c r="H474" s="4100" t="s">
        <v>267</v>
      </c>
      <c r="I474" s="4092"/>
      <c r="J474" s="4568">
        <v>0</v>
      </c>
      <c r="K474" s="2159">
        <v>0</v>
      </c>
      <c r="L474" s="4568">
        <f>SUM(L475)</f>
        <v>0</v>
      </c>
      <c r="M474" s="4253">
        <f t="shared" si="83"/>
        <v>0</v>
      </c>
      <c r="N474" s="4568">
        <v>0</v>
      </c>
      <c r="O474" s="4254">
        <f t="shared" ref="O474:O513" si="84">N474-J474</f>
        <v>0</v>
      </c>
      <c r="P474" s="4061" t="e">
        <f t="shared" si="80"/>
        <v>#DIV/0!</v>
      </c>
      <c r="Q474" s="4839"/>
    </row>
    <row r="475" spans="1:17" s="2070" customFormat="1">
      <c r="A475" s="4048"/>
      <c r="B475" s="4048"/>
      <c r="C475" s="4048"/>
      <c r="D475" s="4048"/>
      <c r="E475" s="4048"/>
      <c r="F475" s="4049"/>
      <c r="G475" s="4208"/>
      <c r="H475" s="4100" t="s">
        <v>50</v>
      </c>
      <c r="I475" s="4090" t="s">
        <v>268</v>
      </c>
      <c r="J475" s="1964">
        <v>0</v>
      </c>
      <c r="K475" s="2159">
        <v>0</v>
      </c>
      <c r="L475" s="2160">
        <f>'[2]ALL BULAN'!E459</f>
        <v>0</v>
      </c>
      <c r="M475" s="4253">
        <f t="shared" si="83"/>
        <v>0</v>
      </c>
      <c r="N475" s="1964">
        <v>0</v>
      </c>
      <c r="O475" s="4254">
        <f t="shared" si="84"/>
        <v>0</v>
      </c>
      <c r="P475" s="4061" t="e">
        <f t="shared" si="80"/>
        <v>#DIV/0!</v>
      </c>
      <c r="Q475" s="4839"/>
    </row>
    <row r="476" spans="1:17" s="2070" customFormat="1">
      <c r="A476" s="4048"/>
      <c r="B476" s="4048"/>
      <c r="C476" s="4048"/>
      <c r="D476" s="4048"/>
      <c r="E476" s="4048"/>
      <c r="F476" s="4049"/>
      <c r="G476" s="4208"/>
      <c r="H476" s="4092"/>
      <c r="I476" s="4090"/>
      <c r="J476" s="4563"/>
      <c r="K476" s="2159">
        <v>0</v>
      </c>
      <c r="L476" s="4563"/>
      <c r="M476" s="4253">
        <f t="shared" si="83"/>
        <v>0</v>
      </c>
      <c r="N476" s="4563"/>
      <c r="O476" s="4254">
        <f t="shared" si="84"/>
        <v>0</v>
      </c>
      <c r="P476" s="4061" t="e">
        <f t="shared" si="80"/>
        <v>#DIV/0!</v>
      </c>
      <c r="Q476" s="4839"/>
    </row>
    <row r="477" spans="1:17" s="4099" customFormat="1">
      <c r="A477" s="4065">
        <v>4</v>
      </c>
      <c r="B477" s="4065" t="s">
        <v>457</v>
      </c>
      <c r="C477" s="4065" t="s">
        <v>58</v>
      </c>
      <c r="D477" s="4065" t="s">
        <v>440</v>
      </c>
      <c r="E477" s="4128"/>
      <c r="F477" s="4105"/>
      <c r="G477" s="4208" t="s">
        <v>205</v>
      </c>
      <c r="H477" s="4100" t="s">
        <v>269</v>
      </c>
      <c r="I477" s="4092"/>
      <c r="J477" s="4569">
        <f>SUM(J478+J499)</f>
        <v>13870510900</v>
      </c>
      <c r="K477" s="2159">
        <v>0</v>
      </c>
      <c r="L477" s="4570">
        <f>SUM(L478)</f>
        <v>0</v>
      </c>
      <c r="M477" s="4253">
        <f t="shared" si="83"/>
        <v>0</v>
      </c>
      <c r="N477" s="4569">
        <f>SUM(N478+N499)</f>
        <v>32204146900</v>
      </c>
      <c r="O477" s="4254">
        <f t="shared" si="84"/>
        <v>18333636000</v>
      </c>
      <c r="P477" s="4061">
        <f t="shared" si="80"/>
        <v>132.17707791859348</v>
      </c>
      <c r="Q477" s="4839"/>
    </row>
    <row r="478" spans="1:17" s="2070" customFormat="1">
      <c r="A478" s="4048"/>
      <c r="B478" s="4048"/>
      <c r="C478" s="4048"/>
      <c r="D478" s="4048"/>
      <c r="E478" s="4048"/>
      <c r="F478" s="4049"/>
      <c r="G478" s="4208"/>
      <c r="H478" s="4089" t="s">
        <v>270</v>
      </c>
      <c r="I478" s="4090"/>
      <c r="J478" s="4563">
        <f>SUM(J479+J482+J487+J491+J492+J88+J494+J497+J480)</f>
        <v>10177085900</v>
      </c>
      <c r="K478" s="2159">
        <v>0</v>
      </c>
      <c r="L478" s="4563">
        <f>L479+L480+L482+L487+L491+L492+L494+L497</f>
        <v>0</v>
      </c>
      <c r="M478" s="4253">
        <f t="shared" si="83"/>
        <v>0</v>
      </c>
      <c r="N478" s="4563">
        <f>SUM(N479+N480+N482+N487+N491+N492+N493+N494+N497)</f>
        <v>28510721900</v>
      </c>
      <c r="O478" s="4254">
        <f t="shared" si="84"/>
        <v>18333636000</v>
      </c>
      <c r="P478" s="4061">
        <f t="shared" si="80"/>
        <v>180.14622437253871</v>
      </c>
      <c r="Q478" s="4839"/>
    </row>
    <row r="479" spans="1:17" s="2070" customFormat="1">
      <c r="A479" s="4048"/>
      <c r="B479" s="4048"/>
      <c r="C479" s="4048"/>
      <c r="D479" s="4048"/>
      <c r="E479" s="4048"/>
      <c r="F479" s="4049"/>
      <c r="G479" s="4208"/>
      <c r="H479" s="4089" t="s">
        <v>50</v>
      </c>
      <c r="I479" s="4092" t="s">
        <v>462</v>
      </c>
      <c r="J479" s="4720">
        <v>3291945800</v>
      </c>
      <c r="K479" s="2159">
        <v>0</v>
      </c>
      <c r="L479" s="2160">
        <f>'[2]ALL BULAN'!E463</f>
        <v>0</v>
      </c>
      <c r="M479" s="4253">
        <f t="shared" si="83"/>
        <v>0</v>
      </c>
      <c r="N479" s="4720">
        <v>3291945800</v>
      </c>
      <c r="O479" s="4254">
        <f t="shared" si="84"/>
        <v>0</v>
      </c>
      <c r="P479" s="4061">
        <f t="shared" si="80"/>
        <v>0</v>
      </c>
      <c r="Q479" s="4839"/>
    </row>
    <row r="480" spans="1:17" s="2070" customFormat="1">
      <c r="A480" s="4048"/>
      <c r="B480" s="4048"/>
      <c r="C480" s="4048"/>
      <c r="D480" s="4048"/>
      <c r="E480" s="4048"/>
      <c r="F480" s="4049"/>
      <c r="G480" s="4208"/>
      <c r="H480" s="4100" t="s">
        <v>50</v>
      </c>
      <c r="I480" s="4092" t="s">
        <v>271</v>
      </c>
      <c r="J480" s="4562">
        <v>51419400</v>
      </c>
      <c r="K480" s="2159">
        <v>0</v>
      </c>
      <c r="L480" s="4563">
        <f>L481</f>
        <v>0</v>
      </c>
      <c r="M480" s="4253">
        <f t="shared" si="83"/>
        <v>0</v>
      </c>
      <c r="N480" s="4562">
        <v>51419400</v>
      </c>
      <c r="O480" s="4254">
        <f t="shared" si="84"/>
        <v>0</v>
      </c>
      <c r="P480" s="4061">
        <f t="shared" si="80"/>
        <v>0</v>
      </c>
      <c r="Q480" s="4839"/>
    </row>
    <row r="481" spans="1:17" s="2070" customFormat="1">
      <c r="A481" s="4048"/>
      <c r="B481" s="4048"/>
      <c r="C481" s="4048"/>
      <c r="D481" s="4048"/>
      <c r="E481" s="4048"/>
      <c r="F481" s="4049"/>
      <c r="G481" s="4208"/>
      <c r="H481" s="4092"/>
      <c r="I481" s="4090" t="s">
        <v>272</v>
      </c>
      <c r="J481" s="1964">
        <v>51419400</v>
      </c>
      <c r="K481" s="2159">
        <v>0</v>
      </c>
      <c r="L481" s="2160">
        <f>'[2]ALL BULAN'!E465</f>
        <v>0</v>
      </c>
      <c r="M481" s="4253">
        <f t="shared" si="83"/>
        <v>0</v>
      </c>
      <c r="N481" s="1964">
        <v>51419400</v>
      </c>
      <c r="O481" s="4254">
        <f t="shared" si="84"/>
        <v>0</v>
      </c>
      <c r="P481" s="4061">
        <f t="shared" si="80"/>
        <v>0</v>
      </c>
      <c r="Q481" s="4839"/>
    </row>
    <row r="482" spans="1:17" s="2070" customFormat="1">
      <c r="A482" s="4048"/>
      <c r="B482" s="4048"/>
      <c r="C482" s="4048"/>
      <c r="D482" s="4048"/>
      <c r="E482" s="4048"/>
      <c r="F482" s="4049"/>
      <c r="G482" s="4208"/>
      <c r="H482" s="4100" t="s">
        <v>50</v>
      </c>
      <c r="I482" s="4092" t="s">
        <v>273</v>
      </c>
      <c r="J482" s="4562">
        <f>SUM(J483:J486)</f>
        <v>335291000</v>
      </c>
      <c r="K482" s="2159">
        <v>0</v>
      </c>
      <c r="L482" s="4563">
        <f>SUM(L483:L486)</f>
        <v>0</v>
      </c>
      <c r="M482" s="4253">
        <f t="shared" si="83"/>
        <v>0</v>
      </c>
      <c r="N482" s="4562">
        <f>SUM(N483:N486)</f>
        <v>335291000</v>
      </c>
      <c r="O482" s="4254">
        <f t="shared" si="84"/>
        <v>0</v>
      </c>
      <c r="P482" s="4061">
        <f t="shared" si="80"/>
        <v>0</v>
      </c>
      <c r="Q482" s="4839"/>
    </row>
    <row r="483" spans="1:17" s="2070" customFormat="1">
      <c r="A483" s="4048"/>
      <c r="B483" s="4048"/>
      <c r="C483" s="4048"/>
      <c r="D483" s="4048"/>
      <c r="E483" s="4048"/>
      <c r="F483" s="4049"/>
      <c r="G483" s="4208"/>
      <c r="H483" s="4092"/>
      <c r="I483" s="4090" t="s">
        <v>274</v>
      </c>
      <c r="J483" s="1964">
        <v>55355000</v>
      </c>
      <c r="K483" s="2159">
        <v>0</v>
      </c>
      <c r="L483" s="2160">
        <f>'[2]ALL BULAN'!E467</f>
        <v>0</v>
      </c>
      <c r="M483" s="4253">
        <f t="shared" si="83"/>
        <v>0</v>
      </c>
      <c r="N483" s="1964">
        <v>55355000</v>
      </c>
      <c r="O483" s="4254">
        <f t="shared" si="84"/>
        <v>0</v>
      </c>
      <c r="P483" s="4061">
        <f t="shared" si="80"/>
        <v>0</v>
      </c>
      <c r="Q483" s="4839"/>
    </row>
    <row r="484" spans="1:17" s="2070" customFormat="1">
      <c r="A484" s="4048"/>
      <c r="B484" s="4048"/>
      <c r="C484" s="4048"/>
      <c r="D484" s="4048"/>
      <c r="E484" s="4048"/>
      <c r="F484" s="4049"/>
      <c r="G484" s="4208"/>
      <c r="H484" s="4092"/>
      <c r="I484" s="4090" t="s">
        <v>138</v>
      </c>
      <c r="J484" s="1964">
        <v>57136000</v>
      </c>
      <c r="K484" s="2159">
        <v>0</v>
      </c>
      <c r="L484" s="2160">
        <f>'[2]ALL BULAN'!E468</f>
        <v>0</v>
      </c>
      <c r="M484" s="4253">
        <f t="shared" si="83"/>
        <v>0</v>
      </c>
      <c r="N484" s="1964">
        <v>57136000</v>
      </c>
      <c r="O484" s="4254">
        <f t="shared" si="84"/>
        <v>0</v>
      </c>
      <c r="P484" s="4061">
        <f t="shared" si="80"/>
        <v>0</v>
      </c>
      <c r="Q484" s="4839"/>
    </row>
    <row r="485" spans="1:17" s="2070" customFormat="1">
      <c r="A485" s="4048"/>
      <c r="B485" s="4048"/>
      <c r="C485" s="4048"/>
      <c r="D485" s="4048"/>
      <c r="E485" s="4048"/>
      <c r="F485" s="4049"/>
      <c r="G485" s="4208"/>
      <c r="H485" s="4092"/>
      <c r="I485" s="4090" t="s">
        <v>275</v>
      </c>
      <c r="J485" s="1964">
        <v>24760000</v>
      </c>
      <c r="K485" s="2159">
        <v>0</v>
      </c>
      <c r="L485" s="2160">
        <f>'[2]ALL BULAN'!E469</f>
        <v>0</v>
      </c>
      <c r="M485" s="4253">
        <f t="shared" si="83"/>
        <v>0</v>
      </c>
      <c r="N485" s="1964">
        <v>24760000</v>
      </c>
      <c r="O485" s="4254">
        <f t="shared" si="84"/>
        <v>0</v>
      </c>
      <c r="P485" s="4061">
        <f t="shared" si="80"/>
        <v>0</v>
      </c>
      <c r="Q485" s="4839"/>
    </row>
    <row r="486" spans="1:17" s="2070" customFormat="1">
      <c r="A486" s="4048"/>
      <c r="B486" s="4048"/>
      <c r="C486" s="4048"/>
      <c r="D486" s="4048"/>
      <c r="E486" s="4048"/>
      <c r="F486" s="4049"/>
      <c r="G486" s="4208"/>
      <c r="H486" s="4092"/>
      <c r="I486" s="4090" t="s">
        <v>140</v>
      </c>
      <c r="J486" s="1964">
        <v>198040000</v>
      </c>
      <c r="K486" s="2159">
        <v>0</v>
      </c>
      <c r="L486" s="2160">
        <f>'[2]ALL BULAN'!E470</f>
        <v>0</v>
      </c>
      <c r="M486" s="4253">
        <f t="shared" si="83"/>
        <v>0</v>
      </c>
      <c r="N486" s="1964">
        <v>198040000</v>
      </c>
      <c r="O486" s="4254">
        <f t="shared" si="84"/>
        <v>0</v>
      </c>
      <c r="P486" s="4061">
        <f t="shared" si="80"/>
        <v>0</v>
      </c>
      <c r="Q486" s="4839"/>
    </row>
    <row r="487" spans="1:17" s="2070" customFormat="1">
      <c r="A487" s="4048"/>
      <c r="B487" s="4048"/>
      <c r="C487" s="4048"/>
      <c r="D487" s="4048"/>
      <c r="E487" s="4048"/>
      <c r="F487" s="4049"/>
      <c r="G487" s="4215"/>
      <c r="H487" s="4216" t="s">
        <v>50</v>
      </c>
      <c r="I487" s="4217" t="s">
        <v>224</v>
      </c>
      <c r="J487" s="4722">
        <f>SUM(J488:J490)</f>
        <v>400714300</v>
      </c>
      <c r="K487" s="4572">
        <v>0</v>
      </c>
      <c r="L487" s="4571">
        <f>SUM(L488:L490)</f>
        <v>0</v>
      </c>
      <c r="M487" s="4573">
        <f t="shared" si="83"/>
        <v>0</v>
      </c>
      <c r="N487" s="4722">
        <f>SUM(N488:N490)</f>
        <v>400714300</v>
      </c>
      <c r="O487" s="4254">
        <f t="shared" si="84"/>
        <v>0</v>
      </c>
      <c r="P487" s="4061">
        <f t="shared" si="80"/>
        <v>0</v>
      </c>
      <c r="Q487" s="4839"/>
    </row>
    <row r="488" spans="1:17" s="2070" customFormat="1">
      <c r="A488" s="4048"/>
      <c r="B488" s="4048"/>
      <c r="C488" s="4048"/>
      <c r="D488" s="4048"/>
      <c r="E488" s="4048"/>
      <c r="F488" s="4049"/>
      <c r="G488" s="4208"/>
      <c r="H488" s="4092"/>
      <c r="I488" s="4089" t="s">
        <v>276</v>
      </c>
      <c r="J488" s="1964">
        <v>63698000</v>
      </c>
      <c r="K488" s="2159">
        <v>0</v>
      </c>
      <c r="L488" s="2160">
        <f>'[2]ALL BULAN'!E472</f>
        <v>0</v>
      </c>
      <c r="M488" s="4253">
        <f t="shared" si="83"/>
        <v>0</v>
      </c>
      <c r="N488" s="1964">
        <v>63698000</v>
      </c>
      <c r="O488" s="4254">
        <f t="shared" si="84"/>
        <v>0</v>
      </c>
      <c r="P488" s="4061">
        <f t="shared" si="80"/>
        <v>0</v>
      </c>
      <c r="Q488" s="4839"/>
    </row>
    <row r="489" spans="1:17" s="2070" customFormat="1">
      <c r="A489" s="4048"/>
      <c r="B489" s="4048"/>
      <c r="C489" s="4048"/>
      <c r="D489" s="4048"/>
      <c r="E489" s="4048"/>
      <c r="F489" s="4049"/>
      <c r="G489" s="4208"/>
      <c r="H489" s="4092"/>
      <c r="I489" s="4089" t="s">
        <v>277</v>
      </c>
      <c r="J489" s="1964">
        <v>285233000</v>
      </c>
      <c r="K489" s="2159">
        <v>0</v>
      </c>
      <c r="L489" s="2160">
        <f>'[2]ALL BULAN'!E473</f>
        <v>0</v>
      </c>
      <c r="M489" s="4253">
        <f t="shared" si="83"/>
        <v>0</v>
      </c>
      <c r="N489" s="1964">
        <v>285233000</v>
      </c>
      <c r="O489" s="4254">
        <f t="shared" si="84"/>
        <v>0</v>
      </c>
      <c r="P489" s="4061">
        <f t="shared" si="80"/>
        <v>0</v>
      </c>
      <c r="Q489" s="4839"/>
    </row>
    <row r="490" spans="1:17" s="2070" customFormat="1">
      <c r="A490" s="4048"/>
      <c r="B490" s="4048"/>
      <c r="C490" s="4048"/>
      <c r="D490" s="4048"/>
      <c r="E490" s="4048"/>
      <c r="F490" s="4049"/>
      <c r="G490" s="4208"/>
      <c r="H490" s="4092"/>
      <c r="I490" s="4089" t="s">
        <v>278</v>
      </c>
      <c r="J490" s="1964">
        <v>51783300</v>
      </c>
      <c r="K490" s="2159">
        <v>0</v>
      </c>
      <c r="L490" s="2160">
        <f>'[2]ALL BULAN'!E474</f>
        <v>0</v>
      </c>
      <c r="M490" s="4253">
        <f t="shared" si="83"/>
        <v>0</v>
      </c>
      <c r="N490" s="1964">
        <v>51783300</v>
      </c>
      <c r="O490" s="4254">
        <f t="shared" si="84"/>
        <v>0</v>
      </c>
      <c r="P490" s="4061">
        <f t="shared" si="80"/>
        <v>0</v>
      </c>
      <c r="Q490" s="4839"/>
    </row>
    <row r="491" spans="1:17" s="2070" customFormat="1">
      <c r="A491" s="4048"/>
      <c r="B491" s="4048"/>
      <c r="C491" s="4048"/>
      <c r="D491" s="4048"/>
      <c r="E491" s="4048"/>
      <c r="F491" s="4049"/>
      <c r="G491" s="4208"/>
      <c r="H491" s="4100" t="s">
        <v>50</v>
      </c>
      <c r="I491" s="4092" t="s">
        <v>279</v>
      </c>
      <c r="J491" s="4720">
        <v>25741600</v>
      </c>
      <c r="K491" s="2159">
        <v>0</v>
      </c>
      <c r="L491" s="2160">
        <f>'[2]ALL BULAN'!E475</f>
        <v>0</v>
      </c>
      <c r="M491" s="4253">
        <f t="shared" si="83"/>
        <v>0</v>
      </c>
      <c r="N491" s="4720">
        <v>25741600</v>
      </c>
      <c r="O491" s="4254">
        <f t="shared" si="84"/>
        <v>0</v>
      </c>
      <c r="P491" s="4061">
        <f t="shared" si="80"/>
        <v>0</v>
      </c>
      <c r="Q491" s="4839"/>
    </row>
    <row r="492" spans="1:17" s="2070" customFormat="1">
      <c r="A492" s="4048"/>
      <c r="B492" s="4048"/>
      <c r="C492" s="4048"/>
      <c r="D492" s="4048"/>
      <c r="E492" s="4048"/>
      <c r="F492" s="4049"/>
      <c r="G492" s="4208"/>
      <c r="H492" s="4100" t="s">
        <v>50</v>
      </c>
      <c r="I492" s="4092" t="s">
        <v>280</v>
      </c>
      <c r="J492" s="4720">
        <v>1100000</v>
      </c>
      <c r="K492" s="2159">
        <v>0</v>
      </c>
      <c r="L492" s="2160">
        <f>'[2]ALL BULAN'!E476</f>
        <v>0</v>
      </c>
      <c r="M492" s="4253">
        <f t="shared" si="83"/>
        <v>0</v>
      </c>
      <c r="N492" s="4720">
        <v>1100000</v>
      </c>
      <c r="O492" s="4254">
        <f t="shared" si="84"/>
        <v>0</v>
      </c>
      <c r="P492" s="4061">
        <f t="shared" si="80"/>
        <v>0</v>
      </c>
      <c r="Q492" s="4839"/>
    </row>
    <row r="493" spans="1:17" s="2070" customFormat="1">
      <c r="A493" s="4048"/>
      <c r="B493" s="4048"/>
      <c r="C493" s="4048"/>
      <c r="D493" s="4048"/>
      <c r="E493" s="4048"/>
      <c r="F493" s="4049"/>
      <c r="G493" s="4208"/>
      <c r="H493" s="4100" t="s">
        <v>50</v>
      </c>
      <c r="I493" s="2124" t="s">
        <v>1252</v>
      </c>
      <c r="J493" s="4720">
        <v>0</v>
      </c>
      <c r="K493" s="2159">
        <v>0</v>
      </c>
      <c r="L493" s="2160">
        <f>'[2]ALL BULAN'!E477</f>
        <v>0</v>
      </c>
      <c r="M493" s="4253">
        <f>SUM(K493:L493)</f>
        <v>0</v>
      </c>
      <c r="N493" s="4720">
        <v>18120000000</v>
      </c>
      <c r="O493" s="4254">
        <f t="shared" si="84"/>
        <v>18120000000</v>
      </c>
      <c r="P493" s="4061" t="e">
        <f t="shared" si="80"/>
        <v>#DIV/0!</v>
      </c>
      <c r="Q493" s="4839"/>
    </row>
    <row r="494" spans="1:17" s="2070" customFormat="1">
      <c r="A494" s="4048"/>
      <c r="B494" s="4048"/>
      <c r="C494" s="4048"/>
      <c r="D494" s="4048"/>
      <c r="E494" s="4048"/>
      <c r="F494" s="4049"/>
      <c r="G494" s="4208"/>
      <c r="H494" s="4100" t="s">
        <v>50</v>
      </c>
      <c r="I494" s="4092" t="s">
        <v>281</v>
      </c>
      <c r="J494" s="4562">
        <f>SUM(J495:J496)</f>
        <v>4562382400</v>
      </c>
      <c r="K494" s="2159">
        <v>0</v>
      </c>
      <c r="L494" s="4563">
        <f>SUM(L495:L496)</f>
        <v>0</v>
      </c>
      <c r="M494" s="4253">
        <f t="shared" si="83"/>
        <v>0</v>
      </c>
      <c r="N494" s="4562">
        <f>SUM(N495:N496)</f>
        <v>4776018400</v>
      </c>
      <c r="O494" s="4254">
        <f t="shared" si="84"/>
        <v>213636000</v>
      </c>
      <c r="P494" s="4061">
        <f t="shared" si="80"/>
        <v>4.682553571134239</v>
      </c>
      <c r="Q494" s="4839"/>
    </row>
    <row r="495" spans="1:17" s="2070" customFormat="1">
      <c r="A495" s="4048"/>
      <c r="B495" s="4048"/>
      <c r="C495" s="4048"/>
      <c r="D495" s="4048"/>
      <c r="E495" s="4048"/>
      <c r="F495" s="4049"/>
      <c r="G495" s="4208"/>
      <c r="H495" s="4092"/>
      <c r="I495" s="4089" t="s">
        <v>282</v>
      </c>
      <c r="J495" s="1964">
        <v>1439364000</v>
      </c>
      <c r="K495" s="2159">
        <v>0</v>
      </c>
      <c r="L495" s="2160">
        <f>'[2]ALL BULAN'!E478</f>
        <v>0</v>
      </c>
      <c r="M495" s="4253">
        <f t="shared" si="83"/>
        <v>0</v>
      </c>
      <c r="N495" s="1964">
        <v>1653000000</v>
      </c>
      <c r="O495" s="4254">
        <f t="shared" si="84"/>
        <v>213636000</v>
      </c>
      <c r="P495" s="4061">
        <f t="shared" si="80"/>
        <v>14.842388721685412</v>
      </c>
      <c r="Q495" s="4839"/>
    </row>
    <row r="496" spans="1:17" s="2070" customFormat="1">
      <c r="A496" s="4048"/>
      <c r="B496" s="4048"/>
      <c r="C496" s="4048"/>
      <c r="D496" s="4048"/>
      <c r="E496" s="4048"/>
      <c r="F496" s="4049"/>
      <c r="G496" s="4208"/>
      <c r="H496" s="4092"/>
      <c r="I496" s="4089" t="s">
        <v>283</v>
      </c>
      <c r="J496" s="1964">
        <v>3123018400</v>
      </c>
      <c r="K496" s="2159">
        <v>0</v>
      </c>
      <c r="L496" s="2160">
        <f>'[2]ALL BULAN'!E479</f>
        <v>0</v>
      </c>
      <c r="M496" s="4253">
        <f t="shared" si="83"/>
        <v>0</v>
      </c>
      <c r="N496" s="1964">
        <v>3123018400</v>
      </c>
      <c r="O496" s="4254">
        <f t="shared" si="84"/>
        <v>0</v>
      </c>
      <c r="P496" s="4061">
        <f t="shared" si="80"/>
        <v>0</v>
      </c>
      <c r="Q496" s="4839"/>
    </row>
    <row r="497" spans="1:17" s="2070" customFormat="1">
      <c r="A497" s="4048"/>
      <c r="B497" s="4048"/>
      <c r="C497" s="4048"/>
      <c r="D497" s="4048"/>
      <c r="E497" s="4048"/>
      <c r="F497" s="4049"/>
      <c r="G497" s="4208"/>
      <c r="H497" s="4100" t="s">
        <v>50</v>
      </c>
      <c r="I497" s="4092" t="s">
        <v>463</v>
      </c>
      <c r="J497" s="4720">
        <v>1508491400</v>
      </c>
      <c r="K497" s="2159">
        <v>0</v>
      </c>
      <c r="L497" s="2160">
        <f>'[2]ALL BULAN'!E480</f>
        <v>0</v>
      </c>
      <c r="M497" s="4253">
        <f t="shared" si="83"/>
        <v>0</v>
      </c>
      <c r="N497" s="4720">
        <v>1508491400</v>
      </c>
      <c r="O497" s="4254">
        <f t="shared" si="84"/>
        <v>0</v>
      </c>
      <c r="P497" s="4061">
        <f t="shared" si="80"/>
        <v>0</v>
      </c>
      <c r="Q497" s="4839"/>
    </row>
    <row r="498" spans="1:17" s="2070" customFormat="1">
      <c r="A498" s="4048"/>
      <c r="B498" s="4048"/>
      <c r="C498" s="4048"/>
      <c r="D498" s="4048"/>
      <c r="E498" s="4048"/>
      <c r="F498" s="4049"/>
      <c r="G498" s="4208"/>
      <c r="H498" s="4092"/>
      <c r="I498" s="4090"/>
      <c r="J498" s="4563"/>
      <c r="K498" s="2159">
        <v>0</v>
      </c>
      <c r="L498" s="4563"/>
      <c r="M498" s="4253">
        <f t="shared" si="83"/>
        <v>0</v>
      </c>
      <c r="N498" s="4563"/>
      <c r="O498" s="4254">
        <f t="shared" si="84"/>
        <v>0</v>
      </c>
      <c r="P498" s="4061" t="e">
        <f t="shared" si="80"/>
        <v>#DIV/0!</v>
      </c>
      <c r="Q498" s="4839"/>
    </row>
    <row r="499" spans="1:17" s="2070" customFormat="1">
      <c r="A499" s="4048"/>
      <c r="B499" s="4048"/>
      <c r="C499" s="4048"/>
      <c r="D499" s="4048"/>
      <c r="E499" s="4048"/>
      <c r="F499" s="4049"/>
      <c r="G499" s="4208" t="s">
        <v>205</v>
      </c>
      <c r="H499" s="4100" t="s">
        <v>285</v>
      </c>
      <c r="I499" s="4090"/>
      <c r="J499" s="4563">
        <f>J500</f>
        <v>3693425000</v>
      </c>
      <c r="K499" s="2159">
        <v>0</v>
      </c>
      <c r="L499" s="4563">
        <f>L500</f>
        <v>0</v>
      </c>
      <c r="M499" s="4253">
        <f t="shared" si="83"/>
        <v>0</v>
      </c>
      <c r="N499" s="4563">
        <f>N500</f>
        <v>3693425000</v>
      </c>
      <c r="O499" s="4254">
        <f t="shared" si="84"/>
        <v>0</v>
      </c>
      <c r="P499" s="4061">
        <f t="shared" si="80"/>
        <v>0</v>
      </c>
      <c r="Q499" s="4839"/>
    </row>
    <row r="500" spans="1:17" s="2070" customFormat="1">
      <c r="A500" s="4048"/>
      <c r="B500" s="4048"/>
      <c r="C500" s="4048"/>
      <c r="D500" s="4048"/>
      <c r="E500" s="4048"/>
      <c r="F500" s="4049"/>
      <c r="G500" s="4208"/>
      <c r="H500" s="4089" t="s">
        <v>286</v>
      </c>
      <c r="I500" s="4090"/>
      <c r="J500" s="4563">
        <f>SUM(J501+J504)</f>
        <v>3693425000</v>
      </c>
      <c r="K500" s="2159">
        <v>0</v>
      </c>
      <c r="L500" s="4563">
        <f>L501+L504</f>
        <v>0</v>
      </c>
      <c r="M500" s="4253">
        <f t="shared" si="83"/>
        <v>0</v>
      </c>
      <c r="N500" s="4563">
        <f>SUM(N501+N504)</f>
        <v>3693425000</v>
      </c>
      <c r="O500" s="4254">
        <f t="shared" si="84"/>
        <v>0</v>
      </c>
      <c r="P500" s="4061">
        <f t="shared" si="80"/>
        <v>0</v>
      </c>
      <c r="Q500" s="4839"/>
    </row>
    <row r="501" spans="1:17" s="2070" customFormat="1">
      <c r="A501" s="4048"/>
      <c r="B501" s="4048"/>
      <c r="C501" s="4048"/>
      <c r="D501" s="4048"/>
      <c r="E501" s="4048"/>
      <c r="F501" s="4049"/>
      <c r="G501" s="4208"/>
      <c r="H501" s="4100" t="s">
        <v>50</v>
      </c>
      <c r="I501" s="4090" t="s">
        <v>287</v>
      </c>
      <c r="J501" s="4563">
        <v>4625000</v>
      </c>
      <c r="K501" s="2159">
        <v>0</v>
      </c>
      <c r="L501" s="4563">
        <f>L502+L503</f>
        <v>0</v>
      </c>
      <c r="M501" s="4253">
        <f t="shared" si="83"/>
        <v>0</v>
      </c>
      <c r="N501" s="4563">
        <v>4625000</v>
      </c>
      <c r="O501" s="4254">
        <f t="shared" si="84"/>
        <v>0</v>
      </c>
      <c r="P501" s="4061">
        <f t="shared" si="80"/>
        <v>0</v>
      </c>
      <c r="Q501" s="4839"/>
    </row>
    <row r="502" spans="1:17" s="2070" customFormat="1">
      <c r="A502" s="4048"/>
      <c r="B502" s="4048"/>
      <c r="C502" s="4048"/>
      <c r="D502" s="4048"/>
      <c r="E502" s="4048"/>
      <c r="F502" s="4049"/>
      <c r="G502" s="4208"/>
      <c r="H502" s="4092"/>
      <c r="I502" s="4089" t="s">
        <v>288</v>
      </c>
      <c r="J502" s="1964">
        <v>4625000</v>
      </c>
      <c r="K502" s="2159">
        <v>0</v>
      </c>
      <c r="L502" s="2160">
        <f>'[2]ALL BULAN'!E485</f>
        <v>0</v>
      </c>
      <c r="M502" s="4253">
        <f t="shared" si="83"/>
        <v>0</v>
      </c>
      <c r="N502" s="1964">
        <v>4625000</v>
      </c>
      <c r="O502" s="4254">
        <f t="shared" si="84"/>
        <v>0</v>
      </c>
      <c r="P502" s="4061">
        <f t="shared" si="80"/>
        <v>0</v>
      </c>
      <c r="Q502" s="4839"/>
    </row>
    <row r="503" spans="1:17" s="2070" customFormat="1">
      <c r="A503" s="4048"/>
      <c r="B503" s="4048"/>
      <c r="C503" s="4048"/>
      <c r="D503" s="4048"/>
      <c r="E503" s="4048"/>
      <c r="F503" s="4049"/>
      <c r="G503" s="4208"/>
      <c r="H503" s="4092"/>
      <c r="I503" s="4089" t="s">
        <v>289</v>
      </c>
      <c r="J503" s="1964">
        <v>0</v>
      </c>
      <c r="K503" s="2159">
        <v>0</v>
      </c>
      <c r="L503" s="2160">
        <f>'[2]ALL BULAN'!E486</f>
        <v>0</v>
      </c>
      <c r="M503" s="4253">
        <f t="shared" si="83"/>
        <v>0</v>
      </c>
      <c r="N503" s="1964">
        <v>0</v>
      </c>
      <c r="O503" s="4254">
        <f t="shared" si="84"/>
        <v>0</v>
      </c>
      <c r="P503" s="4061" t="e">
        <f t="shared" si="80"/>
        <v>#DIV/0!</v>
      </c>
      <c r="Q503" s="4839"/>
    </row>
    <row r="504" spans="1:17" s="2070" customFormat="1">
      <c r="A504" s="4048"/>
      <c r="B504" s="4048"/>
      <c r="C504" s="4048"/>
      <c r="D504" s="4048"/>
      <c r="E504" s="4048"/>
      <c r="F504" s="4049"/>
      <c r="G504" s="4208"/>
      <c r="H504" s="4100" t="s">
        <v>50</v>
      </c>
      <c r="I504" s="4092" t="s">
        <v>462</v>
      </c>
      <c r="J504" s="4563">
        <v>3688800000</v>
      </c>
      <c r="K504" s="2159">
        <v>0</v>
      </c>
      <c r="L504" s="4563">
        <f>L505</f>
        <v>0</v>
      </c>
      <c r="M504" s="4253">
        <f t="shared" si="83"/>
        <v>0</v>
      </c>
      <c r="N504" s="4563">
        <v>3688800000</v>
      </c>
      <c r="O504" s="4254">
        <f t="shared" si="84"/>
        <v>0</v>
      </c>
      <c r="P504" s="4061">
        <f t="shared" si="80"/>
        <v>0</v>
      </c>
      <c r="Q504" s="4839"/>
    </row>
    <row r="505" spans="1:17" s="2070" customFormat="1">
      <c r="A505" s="4048"/>
      <c r="B505" s="4048"/>
      <c r="C505" s="4048"/>
      <c r="D505" s="4048"/>
      <c r="E505" s="4048"/>
      <c r="F505" s="4049"/>
      <c r="G505" s="4218"/>
      <c r="H505" s="4090"/>
      <c r="I505" s="4089" t="s">
        <v>290</v>
      </c>
      <c r="J505" s="1964">
        <v>3688800000</v>
      </c>
      <c r="K505" s="2236">
        <v>0</v>
      </c>
      <c r="L505" s="2160">
        <f>'[2]ALL BULAN'!E488</f>
        <v>0</v>
      </c>
      <c r="M505" s="4248">
        <f t="shared" si="83"/>
        <v>0</v>
      </c>
      <c r="N505" s="1964">
        <v>3688800000</v>
      </c>
      <c r="O505" s="4254">
        <f t="shared" si="84"/>
        <v>0</v>
      </c>
      <c r="P505" s="4061">
        <f t="shared" si="80"/>
        <v>0</v>
      </c>
      <c r="Q505" s="4839"/>
    </row>
    <row r="506" spans="1:17" s="2070" customFormat="1">
      <c r="A506" s="4048"/>
      <c r="B506" s="4048"/>
      <c r="C506" s="4048"/>
      <c r="D506" s="4048"/>
      <c r="E506" s="4048"/>
      <c r="F506" s="4049"/>
      <c r="G506" s="4211"/>
      <c r="H506" s="4219"/>
      <c r="I506" s="4133"/>
      <c r="J506" s="4565"/>
      <c r="K506" s="4566"/>
      <c r="L506" s="4565"/>
      <c r="M506" s="4567"/>
      <c r="N506" s="4565"/>
      <c r="O506" s="4254">
        <f t="shared" si="84"/>
        <v>0</v>
      </c>
      <c r="P506" s="4061" t="e">
        <f t="shared" si="80"/>
        <v>#DIV/0!</v>
      </c>
      <c r="Q506" s="4839"/>
    </row>
    <row r="507" spans="1:17" s="4648" customFormat="1" ht="15.05">
      <c r="A507" s="4632">
        <v>4</v>
      </c>
      <c r="B507" s="4632" t="s">
        <v>457</v>
      </c>
      <c r="C507" s="4632" t="s">
        <v>443</v>
      </c>
      <c r="D507" s="4645"/>
      <c r="E507" s="4645"/>
      <c r="F507" s="4646"/>
      <c r="G507" s="4638" t="s">
        <v>291</v>
      </c>
      <c r="H507" s="4647" t="s">
        <v>292</v>
      </c>
      <c r="I507" s="4639"/>
      <c r="J507" s="4644">
        <f>J508</f>
        <v>53394311000</v>
      </c>
      <c r="K507" s="4640">
        <v>0</v>
      </c>
      <c r="L507" s="4644">
        <f>L508</f>
        <v>26697155000</v>
      </c>
      <c r="M507" s="4640">
        <f t="shared" ref="M507:M514" si="85">SUM(K507:L507)</f>
        <v>26697155000</v>
      </c>
      <c r="N507" s="4644">
        <f>N508</f>
        <v>53394311000</v>
      </c>
      <c r="O507" s="4254">
        <f t="shared" si="84"/>
        <v>0</v>
      </c>
      <c r="P507" s="4061">
        <f t="shared" si="80"/>
        <v>0</v>
      </c>
      <c r="Q507" s="4839"/>
    </row>
    <row r="508" spans="1:17" s="4099" customFormat="1">
      <c r="A508" s="4065">
        <v>4</v>
      </c>
      <c r="B508" s="4065" t="s">
        <v>457</v>
      </c>
      <c r="C508" s="4065" t="s">
        <v>443</v>
      </c>
      <c r="D508" s="4065" t="s">
        <v>437</v>
      </c>
      <c r="E508" s="4128"/>
      <c r="F508" s="4105"/>
      <c r="G508" s="4209"/>
      <c r="H508" s="4214" t="s">
        <v>293</v>
      </c>
      <c r="I508" s="4132"/>
      <c r="J508" s="4561">
        <f>J509</f>
        <v>53394311000</v>
      </c>
      <c r="K508" s="2159">
        <v>0</v>
      </c>
      <c r="L508" s="4561">
        <f>L509</f>
        <v>26697155000</v>
      </c>
      <c r="M508" s="4253">
        <f t="shared" si="85"/>
        <v>26697155000</v>
      </c>
      <c r="N508" s="4561">
        <f>N509</f>
        <v>53394311000</v>
      </c>
      <c r="O508" s="4254">
        <f t="shared" si="84"/>
        <v>0</v>
      </c>
      <c r="P508" s="4061">
        <f t="shared" si="80"/>
        <v>0</v>
      </c>
      <c r="Q508" s="4839"/>
    </row>
    <row r="509" spans="1:17" s="4099" customFormat="1">
      <c r="A509" s="4128"/>
      <c r="B509" s="4128"/>
      <c r="C509" s="4128"/>
      <c r="D509" s="4128"/>
      <c r="E509" s="4128"/>
      <c r="F509" s="4105"/>
      <c r="G509" s="4208"/>
      <c r="H509" s="4100" t="s">
        <v>294</v>
      </c>
      <c r="I509" s="4092"/>
      <c r="J509" s="4568">
        <f>J510</f>
        <v>53394311000</v>
      </c>
      <c r="K509" s="2159">
        <v>0</v>
      </c>
      <c r="L509" s="4568">
        <f>L510</f>
        <v>26697155000</v>
      </c>
      <c r="M509" s="4253">
        <f t="shared" si="85"/>
        <v>26697155000</v>
      </c>
      <c r="N509" s="4568">
        <f>N510</f>
        <v>53394311000</v>
      </c>
      <c r="O509" s="4254">
        <f t="shared" si="84"/>
        <v>0</v>
      </c>
      <c r="P509" s="4061">
        <f t="shared" si="80"/>
        <v>0</v>
      </c>
      <c r="Q509" s="4839"/>
    </row>
    <row r="510" spans="1:17" s="2070" customFormat="1">
      <c r="A510" s="4048"/>
      <c r="B510" s="4048"/>
      <c r="C510" s="4048"/>
      <c r="D510" s="4048"/>
      <c r="E510" s="4048"/>
      <c r="F510" s="4049"/>
      <c r="G510" s="4208"/>
      <c r="H510" s="4100" t="s">
        <v>50</v>
      </c>
      <c r="I510" s="206" t="s">
        <v>295</v>
      </c>
      <c r="J510" s="4563">
        <f>J512</f>
        <v>53394311000</v>
      </c>
      <c r="K510" s="2159">
        <v>0</v>
      </c>
      <c r="L510" s="4563">
        <f>SUM(L511:L512)</f>
        <v>26697155000</v>
      </c>
      <c r="M510" s="4253">
        <f t="shared" si="85"/>
        <v>26697155000</v>
      </c>
      <c r="N510" s="4563">
        <f>N512</f>
        <v>53394311000</v>
      </c>
      <c r="O510" s="4254">
        <f t="shared" si="84"/>
        <v>0</v>
      </c>
      <c r="P510" s="4061">
        <f t="shared" si="80"/>
        <v>0</v>
      </c>
      <c r="Q510" s="4839"/>
    </row>
    <row r="511" spans="1:17" s="2070" customFormat="1">
      <c r="A511" s="4048"/>
      <c r="B511" s="4048"/>
      <c r="C511" s="4048"/>
      <c r="D511" s="4048"/>
      <c r="E511" s="4048"/>
      <c r="F511" s="4049"/>
      <c r="G511" s="4208"/>
      <c r="H511" s="4092"/>
      <c r="I511" s="2730" t="s">
        <v>296</v>
      </c>
      <c r="J511" s="1964">
        <v>0</v>
      </c>
      <c r="K511" s="2159">
        <v>0</v>
      </c>
      <c r="L511" s="2160">
        <v>0</v>
      </c>
      <c r="M511" s="4253">
        <f t="shared" si="85"/>
        <v>0</v>
      </c>
      <c r="N511" s="1964">
        <v>0</v>
      </c>
      <c r="O511" s="4254">
        <f t="shared" si="84"/>
        <v>0</v>
      </c>
      <c r="P511" s="4061" t="e">
        <f t="shared" si="80"/>
        <v>#DIV/0!</v>
      </c>
      <c r="Q511" s="4839"/>
    </row>
    <row r="512" spans="1:17" s="2070" customFormat="1">
      <c r="A512" s="4048"/>
      <c r="B512" s="4048"/>
      <c r="C512" s="4048"/>
      <c r="D512" s="4048"/>
      <c r="E512" s="4048"/>
      <c r="F512" s="4049"/>
      <c r="G512" s="4208"/>
      <c r="H512" s="4092"/>
      <c r="I512" s="2730" t="s">
        <v>297</v>
      </c>
      <c r="J512" s="1964">
        <v>53394311000</v>
      </c>
      <c r="K512" s="2159">
        <v>0</v>
      </c>
      <c r="L512" s="2160">
        <v>26697155000</v>
      </c>
      <c r="M512" s="4253">
        <f t="shared" si="85"/>
        <v>26697155000</v>
      </c>
      <c r="N512" s="1964">
        <v>53394311000</v>
      </c>
      <c r="O512" s="4254">
        <f t="shared" si="84"/>
        <v>0</v>
      </c>
      <c r="P512" s="4061">
        <f t="shared" si="80"/>
        <v>0</v>
      </c>
      <c r="Q512" s="4839"/>
    </row>
    <row r="513" spans="1:17" s="2070" customFormat="1">
      <c r="A513" s="4048"/>
      <c r="B513" s="4048"/>
      <c r="C513" s="4048"/>
      <c r="D513" s="4048"/>
      <c r="E513" s="4048"/>
      <c r="F513" s="4049"/>
      <c r="G513" s="4208"/>
      <c r="H513" s="4100" t="s">
        <v>50</v>
      </c>
      <c r="I513" s="206" t="s">
        <v>298</v>
      </c>
      <c r="J513" s="4563">
        <v>0</v>
      </c>
      <c r="K513" s="2159">
        <v>0</v>
      </c>
      <c r="L513" s="4563">
        <f>SUM(L514)</f>
        <v>0</v>
      </c>
      <c r="M513" s="4253">
        <f t="shared" si="85"/>
        <v>0</v>
      </c>
      <c r="N513" s="4563">
        <v>0</v>
      </c>
      <c r="O513" s="4254">
        <f t="shared" si="84"/>
        <v>0</v>
      </c>
      <c r="P513" s="4061" t="e">
        <f t="shared" si="80"/>
        <v>#DIV/0!</v>
      </c>
      <c r="Q513" s="4839"/>
    </row>
    <row r="514" spans="1:17" s="2070" customFormat="1">
      <c r="A514" s="4048"/>
      <c r="B514" s="4048"/>
      <c r="C514" s="4048"/>
      <c r="D514" s="4048"/>
      <c r="E514" s="4048"/>
      <c r="F514" s="4049"/>
      <c r="G514" s="4208"/>
      <c r="H514" s="4092"/>
      <c r="I514" s="4089" t="s">
        <v>299</v>
      </c>
      <c r="J514" s="1964">
        <v>0</v>
      </c>
      <c r="K514" s="2159">
        <v>0</v>
      </c>
      <c r="L514" s="2160">
        <f>'[2]ALL BULAN'!E497</f>
        <v>0</v>
      </c>
      <c r="M514" s="4253">
        <f t="shared" si="85"/>
        <v>0</v>
      </c>
      <c r="N514" s="1964">
        <v>0</v>
      </c>
      <c r="O514" s="4254">
        <f>M514-J514</f>
        <v>0</v>
      </c>
      <c r="P514" s="4061" t="e">
        <f t="shared" si="80"/>
        <v>#DIV/0!</v>
      </c>
      <c r="Q514" s="4839"/>
    </row>
    <row r="515" spans="1:17" s="2070" customFormat="1">
      <c r="A515" s="4048"/>
      <c r="B515" s="4048"/>
      <c r="C515" s="4048"/>
      <c r="D515" s="4048"/>
      <c r="E515" s="4048"/>
      <c r="F515" s="4049"/>
      <c r="G515" s="4178"/>
      <c r="H515" s="4037"/>
      <c r="I515" s="4131"/>
      <c r="J515" s="4565"/>
      <c r="K515" s="4566"/>
      <c r="L515" s="4565"/>
      <c r="M515" s="4567"/>
      <c r="N515" s="4567"/>
      <c r="O515" s="4567"/>
      <c r="P515" s="4212" t="e">
        <f t="shared" si="80"/>
        <v>#DIV/0!</v>
      </c>
      <c r="Q515" s="4839"/>
    </row>
    <row r="516" spans="1:17" s="2070" customFormat="1" ht="15.05">
      <c r="A516" s="4048"/>
      <c r="B516" s="4048"/>
      <c r="C516" s="4048"/>
      <c r="D516" s="4048"/>
      <c r="E516" s="4048"/>
      <c r="F516" s="4049"/>
      <c r="G516" s="4176" t="s">
        <v>300</v>
      </c>
      <c r="H516" s="4173" t="s">
        <v>301</v>
      </c>
      <c r="I516" s="4173"/>
      <c r="J516" s="4550">
        <v>0</v>
      </c>
      <c r="K516" s="4574">
        <v>0</v>
      </c>
      <c r="L516" s="4550">
        <f>SUM(L517)</f>
        <v>0</v>
      </c>
      <c r="M516" s="4575">
        <f t="shared" ref="M516:M522" si="86">SUM(K516:L516)</f>
        <v>0</v>
      </c>
      <c r="N516" s="4576"/>
      <c r="O516" s="4519">
        <f t="shared" ref="O516:O522" si="87">M516-J516</f>
        <v>0</v>
      </c>
      <c r="P516" s="4044" t="e">
        <f t="shared" si="80"/>
        <v>#DIV/0!</v>
      </c>
      <c r="Q516" s="4839"/>
    </row>
    <row r="517" spans="1:17" s="2070" customFormat="1">
      <c r="A517" s="4065">
        <v>4</v>
      </c>
      <c r="B517" s="4065">
        <v>1</v>
      </c>
      <c r="C517" s="4065">
        <v>4</v>
      </c>
      <c r="D517" s="4048"/>
      <c r="E517" s="4048"/>
      <c r="F517" s="4049">
        <v>3</v>
      </c>
      <c r="G517" s="4209"/>
      <c r="H517" s="4179" t="s">
        <v>71</v>
      </c>
      <c r="I517" s="4179"/>
      <c r="J517" s="4559">
        <v>0</v>
      </c>
      <c r="K517" s="2159">
        <v>0</v>
      </c>
      <c r="L517" s="4559">
        <f>SUM(L518:L522)</f>
        <v>0</v>
      </c>
      <c r="M517" s="4253">
        <f t="shared" si="86"/>
        <v>0</v>
      </c>
      <c r="N517" s="4253"/>
      <c r="O517" s="4254">
        <f t="shared" si="87"/>
        <v>0</v>
      </c>
      <c r="P517" s="4061" t="e">
        <f t="shared" si="80"/>
        <v>#DIV/0!</v>
      </c>
      <c r="Q517" s="4839"/>
    </row>
    <row r="518" spans="1:17" s="2070" customFormat="1">
      <c r="A518" s="4065">
        <v>4</v>
      </c>
      <c r="B518" s="4065">
        <v>1</v>
      </c>
      <c r="C518" s="4065">
        <v>4</v>
      </c>
      <c r="D518" s="4065" t="s">
        <v>441</v>
      </c>
      <c r="E518" s="4048"/>
      <c r="F518" s="4049"/>
      <c r="G518" s="4211"/>
      <c r="H518" s="4060" t="s">
        <v>50</v>
      </c>
      <c r="I518" s="4126" t="s">
        <v>73</v>
      </c>
      <c r="J518" s="1964">
        <v>0</v>
      </c>
      <c r="K518" s="2159">
        <v>0</v>
      </c>
      <c r="L518" s="2160">
        <f>'[2]ALL BULAN'!E501</f>
        <v>0</v>
      </c>
      <c r="M518" s="4253">
        <f t="shared" si="86"/>
        <v>0</v>
      </c>
      <c r="N518" s="4253"/>
      <c r="O518" s="4254">
        <f t="shared" si="87"/>
        <v>0</v>
      </c>
      <c r="P518" s="4061" t="e">
        <f t="shared" si="80"/>
        <v>#DIV/0!</v>
      </c>
      <c r="Q518" s="4839"/>
    </row>
    <row r="519" spans="1:17" s="2070" customFormat="1">
      <c r="A519" s="4074">
        <v>4</v>
      </c>
      <c r="B519" s="4074">
        <v>1</v>
      </c>
      <c r="C519" s="4074" t="s">
        <v>443</v>
      </c>
      <c r="D519" s="4074" t="s">
        <v>444</v>
      </c>
      <c r="E519" s="4074" t="s">
        <v>440</v>
      </c>
      <c r="F519" s="4049"/>
      <c r="G519" s="4178"/>
      <c r="H519" s="4060" t="s">
        <v>50</v>
      </c>
      <c r="I519" s="4060" t="s">
        <v>74</v>
      </c>
      <c r="J519" s="1964">
        <v>0</v>
      </c>
      <c r="K519" s="2159">
        <v>0</v>
      </c>
      <c r="L519" s="2160">
        <f>'[2]ALL BULAN'!E502</f>
        <v>0</v>
      </c>
      <c r="M519" s="4253">
        <f t="shared" si="86"/>
        <v>0</v>
      </c>
      <c r="N519" s="4253"/>
      <c r="O519" s="4254">
        <f t="shared" si="87"/>
        <v>0</v>
      </c>
      <c r="P519" s="4061" t="e">
        <f t="shared" si="80"/>
        <v>#DIV/0!</v>
      </c>
      <c r="Q519" s="4839"/>
    </row>
    <row r="520" spans="1:17" s="2070" customFormat="1">
      <c r="A520" s="4069">
        <v>4</v>
      </c>
      <c r="B520" s="4069">
        <v>1</v>
      </c>
      <c r="C520" s="4069" t="s">
        <v>443</v>
      </c>
      <c r="D520" s="4069" t="s">
        <v>444</v>
      </c>
      <c r="E520" s="4070" t="s">
        <v>445</v>
      </c>
      <c r="F520" s="4049"/>
      <c r="G520" s="4178"/>
      <c r="H520" s="4060" t="s">
        <v>308</v>
      </c>
      <c r="I520" s="4060" t="s">
        <v>75</v>
      </c>
      <c r="J520" s="1964">
        <v>0</v>
      </c>
      <c r="K520" s="2159">
        <v>0</v>
      </c>
      <c r="L520" s="2160">
        <f>'[2]ALL BULAN'!E503</f>
        <v>0</v>
      </c>
      <c r="M520" s="4253">
        <f t="shared" si="86"/>
        <v>0</v>
      </c>
      <c r="N520" s="4253"/>
      <c r="O520" s="4254">
        <f t="shared" si="87"/>
        <v>0</v>
      </c>
      <c r="P520" s="4061" t="e">
        <f t="shared" si="80"/>
        <v>#DIV/0!</v>
      </c>
      <c r="Q520" s="4839"/>
    </row>
    <row r="521" spans="1:17" s="2070" customFormat="1">
      <c r="A521" s="4101">
        <v>4</v>
      </c>
      <c r="B521" s="4101">
        <v>1</v>
      </c>
      <c r="C521" s="4101" t="s">
        <v>443</v>
      </c>
      <c r="D521" s="4101" t="s">
        <v>444</v>
      </c>
      <c r="E521" s="4101" t="s">
        <v>441</v>
      </c>
      <c r="F521" s="4049"/>
      <c r="G521" s="4178"/>
      <c r="H521" s="4060" t="s">
        <v>50</v>
      </c>
      <c r="I521" s="4060" t="s">
        <v>169</v>
      </c>
      <c r="J521" s="1964">
        <v>0</v>
      </c>
      <c r="K521" s="2159">
        <v>0</v>
      </c>
      <c r="L521" s="2160">
        <f>'[2]ALL BULAN'!E504</f>
        <v>0</v>
      </c>
      <c r="M521" s="4253">
        <f t="shared" si="86"/>
        <v>0</v>
      </c>
      <c r="N521" s="4253"/>
      <c r="O521" s="4254">
        <f t="shared" si="87"/>
        <v>0</v>
      </c>
      <c r="P521" s="4061" t="e">
        <f t="shared" si="80"/>
        <v>#DIV/0!</v>
      </c>
      <c r="Q521" s="4839"/>
    </row>
    <row r="522" spans="1:17" s="2070" customFormat="1">
      <c r="A522" s="4079">
        <v>4</v>
      </c>
      <c r="B522" s="4079">
        <v>1</v>
      </c>
      <c r="C522" s="4079" t="s">
        <v>443</v>
      </c>
      <c r="D522" s="4079" t="s">
        <v>447</v>
      </c>
      <c r="E522" s="4093" t="s">
        <v>437</v>
      </c>
      <c r="F522" s="4049"/>
      <c r="G522" s="4178"/>
      <c r="H522" s="4060" t="s">
        <v>50</v>
      </c>
      <c r="I522" s="4060" t="s">
        <v>85</v>
      </c>
      <c r="J522" s="1964">
        <v>0</v>
      </c>
      <c r="K522" s="2159">
        <v>0</v>
      </c>
      <c r="L522" s="2160">
        <f>'[2]ALL BULAN'!E505</f>
        <v>0</v>
      </c>
      <c r="M522" s="4253">
        <f t="shared" si="86"/>
        <v>0</v>
      </c>
      <c r="N522" s="4253"/>
      <c r="O522" s="4254">
        <f t="shared" si="87"/>
        <v>0</v>
      </c>
      <c r="P522" s="4061" t="e">
        <f t="shared" si="80"/>
        <v>#DIV/0!</v>
      </c>
      <c r="Q522" s="4839"/>
    </row>
    <row r="523" spans="1:17" s="2070" customFormat="1">
      <c r="A523" s="4048"/>
      <c r="B523" s="4048"/>
      <c r="C523" s="4048"/>
      <c r="D523" s="4048"/>
      <c r="E523" s="4048"/>
      <c r="F523" s="4049"/>
      <c r="G523" s="4055"/>
      <c r="H523" s="4023"/>
      <c r="I523" s="4126"/>
      <c r="J523" s="4577"/>
      <c r="K523" s="4578"/>
      <c r="L523" s="4577"/>
      <c r="M523" s="4579"/>
      <c r="N523" s="4579"/>
      <c r="O523" s="4579"/>
      <c r="P523" s="4221" t="e">
        <f t="shared" si="80"/>
        <v>#DIV/0!</v>
      </c>
      <c r="Q523" s="4839"/>
    </row>
    <row r="524" spans="1:17" s="2073" customFormat="1" ht="15.05">
      <c r="A524" s="4039"/>
      <c r="B524" s="4039"/>
      <c r="C524" s="4039"/>
      <c r="D524" s="4039"/>
      <c r="E524" s="4039"/>
      <c r="F524" s="4040"/>
      <c r="G524" s="4041" t="s">
        <v>302</v>
      </c>
      <c r="H524" s="4222" t="s">
        <v>303</v>
      </c>
      <c r="I524" s="4223"/>
      <c r="J524" s="4580">
        <f>J525</f>
        <v>1500000000</v>
      </c>
      <c r="K524" s="4574">
        <v>131950000</v>
      </c>
      <c r="L524" s="4580">
        <f>L525+L528</f>
        <v>69400000</v>
      </c>
      <c r="M524" s="4575">
        <f t="shared" ref="M524:M533" si="88">SUM(K524:L524)</f>
        <v>201350000</v>
      </c>
      <c r="N524" s="4580">
        <v>1500000000</v>
      </c>
      <c r="O524" s="4519">
        <f>N524-J524</f>
        <v>0</v>
      </c>
      <c r="P524" s="4044">
        <f t="shared" si="80"/>
        <v>0</v>
      </c>
      <c r="Q524" s="4840"/>
    </row>
    <row r="525" spans="1:17" s="2070" customFormat="1">
      <c r="A525" s="4046">
        <v>4</v>
      </c>
      <c r="B525" s="4046">
        <v>1</v>
      </c>
      <c r="C525" s="4046">
        <v>2</v>
      </c>
      <c r="D525" s="4047" t="s">
        <v>438</v>
      </c>
      <c r="E525" s="4048"/>
      <c r="F525" s="4049">
        <v>1</v>
      </c>
      <c r="G525" s="4050"/>
      <c r="H525" s="4051" t="s">
        <v>63</v>
      </c>
      <c r="I525" s="4224"/>
      <c r="J525" s="4581">
        <f>J526</f>
        <v>1500000000</v>
      </c>
      <c r="K525" s="2159">
        <v>131950000</v>
      </c>
      <c r="L525" s="4581">
        <f>L526</f>
        <v>69400000</v>
      </c>
      <c r="M525" s="4253">
        <f t="shared" si="88"/>
        <v>201350000</v>
      </c>
      <c r="N525" s="4249">
        <v>1500000000</v>
      </c>
      <c r="O525" s="4820">
        <f>N525-J525</f>
        <v>0</v>
      </c>
      <c r="P525" s="4636">
        <f>O525/J525*100</f>
        <v>0</v>
      </c>
      <c r="Q525" s="4839"/>
    </row>
    <row r="526" spans="1:17" s="2070" customFormat="1">
      <c r="A526" s="4046">
        <v>4</v>
      </c>
      <c r="B526" s="4046">
        <v>1</v>
      </c>
      <c r="C526" s="4046">
        <v>2</v>
      </c>
      <c r="D526" s="4047" t="s">
        <v>438</v>
      </c>
      <c r="E526" s="4093" t="s">
        <v>440</v>
      </c>
      <c r="F526" s="4049"/>
      <c r="G526" s="4067"/>
      <c r="H526" s="4062" t="s">
        <v>50</v>
      </c>
      <c r="I526" s="4060" t="s">
        <v>304</v>
      </c>
      <c r="J526" s="1964">
        <v>1500000000</v>
      </c>
      <c r="K526" s="2159">
        <v>131950000</v>
      </c>
      <c r="L526" s="2160">
        <v>69400000</v>
      </c>
      <c r="M526" s="4253">
        <f t="shared" si="88"/>
        <v>201350000</v>
      </c>
      <c r="N526" s="4249">
        <v>1500000000</v>
      </c>
      <c r="O526" s="4820">
        <f>N526-J526</f>
        <v>0</v>
      </c>
      <c r="P526" s="4636">
        <f>O526/J526*100</f>
        <v>0</v>
      </c>
      <c r="Q526" s="4839"/>
    </row>
    <row r="527" spans="1:17" s="2070" customFormat="1" ht="4.55" customHeight="1">
      <c r="A527" s="4048"/>
      <c r="B527" s="4048"/>
      <c r="C527" s="4048"/>
      <c r="D527" s="4048"/>
      <c r="E527" s="4048"/>
      <c r="F527" s="4049"/>
      <c r="G527" s="4067"/>
      <c r="H527" s="4060"/>
      <c r="I527" s="4060"/>
      <c r="J527" s="4541"/>
      <c r="K527" s="2159">
        <v>0</v>
      </c>
      <c r="L527" s="4541"/>
      <c r="M527" s="4253">
        <f t="shared" si="88"/>
        <v>0</v>
      </c>
      <c r="N527" s="4253"/>
      <c r="O527" s="4254">
        <f t="shared" ref="O527:O533" si="89">M527-J527</f>
        <v>0</v>
      </c>
      <c r="P527" s="4061"/>
      <c r="Q527" s="4839"/>
    </row>
    <row r="528" spans="1:17" s="2070" customFormat="1">
      <c r="A528" s="4065">
        <v>4</v>
      </c>
      <c r="B528" s="4065">
        <v>1</v>
      </c>
      <c r="C528" s="4065">
        <v>4</v>
      </c>
      <c r="D528" s="4048"/>
      <c r="E528" s="4048"/>
      <c r="F528" s="4049">
        <v>3</v>
      </c>
      <c r="G528" s="4067"/>
      <c r="H528" s="4068" t="s">
        <v>71</v>
      </c>
      <c r="I528" s="4068"/>
      <c r="J528" s="4542">
        <v>0</v>
      </c>
      <c r="K528" s="2159">
        <v>0</v>
      </c>
      <c r="L528" s="4542">
        <f>SUM(L529:L533)</f>
        <v>0</v>
      </c>
      <c r="M528" s="4253">
        <f t="shared" si="88"/>
        <v>0</v>
      </c>
      <c r="N528" s="4253">
        <v>0</v>
      </c>
      <c r="O528" s="4254">
        <f t="shared" si="89"/>
        <v>0</v>
      </c>
      <c r="P528" s="4061"/>
      <c r="Q528" s="4839"/>
    </row>
    <row r="529" spans="1:17" s="2070" customFormat="1">
      <c r="A529" s="4065">
        <v>4</v>
      </c>
      <c r="B529" s="4065">
        <v>1</v>
      </c>
      <c r="C529" s="4065">
        <v>4</v>
      </c>
      <c r="D529" s="4065" t="s">
        <v>441</v>
      </c>
      <c r="E529" s="4048"/>
      <c r="F529" s="4049"/>
      <c r="G529" s="4067"/>
      <c r="H529" s="4062" t="s">
        <v>50</v>
      </c>
      <c r="I529" s="4060" t="s">
        <v>72</v>
      </c>
      <c r="J529" s="1964">
        <v>0</v>
      </c>
      <c r="K529" s="2159">
        <v>0</v>
      </c>
      <c r="L529" s="2160">
        <f>'[2]ALL BULAN'!E512</f>
        <v>0</v>
      </c>
      <c r="M529" s="4253">
        <f t="shared" si="88"/>
        <v>0</v>
      </c>
      <c r="N529" s="4253">
        <v>0</v>
      </c>
      <c r="O529" s="4254">
        <f t="shared" si="89"/>
        <v>0</v>
      </c>
      <c r="P529" s="4061"/>
      <c r="Q529" s="4839"/>
    </row>
    <row r="530" spans="1:17" s="2070" customFormat="1">
      <c r="A530" s="4074">
        <v>4</v>
      </c>
      <c r="B530" s="4074">
        <v>1</v>
      </c>
      <c r="C530" s="4074" t="s">
        <v>443</v>
      </c>
      <c r="D530" s="4074" t="s">
        <v>444</v>
      </c>
      <c r="E530" s="4074" t="s">
        <v>440</v>
      </c>
      <c r="F530" s="4049"/>
      <c r="G530" s="4067"/>
      <c r="H530" s="4062" t="s">
        <v>50</v>
      </c>
      <c r="I530" s="4060" t="s">
        <v>73</v>
      </c>
      <c r="J530" s="1964">
        <v>0</v>
      </c>
      <c r="K530" s="2159">
        <v>0</v>
      </c>
      <c r="L530" s="2160">
        <f>'[2]ALL BULAN'!E513</f>
        <v>0</v>
      </c>
      <c r="M530" s="4253">
        <f t="shared" si="88"/>
        <v>0</v>
      </c>
      <c r="N530" s="4253">
        <v>0</v>
      </c>
      <c r="O530" s="4254">
        <f t="shared" si="89"/>
        <v>0</v>
      </c>
      <c r="P530" s="4061"/>
      <c r="Q530" s="4839"/>
    </row>
    <row r="531" spans="1:17" s="2070" customFormat="1">
      <c r="A531" s="4069">
        <v>4</v>
      </c>
      <c r="B531" s="4069">
        <v>1</v>
      </c>
      <c r="C531" s="4069" t="s">
        <v>443</v>
      </c>
      <c r="D531" s="4069" t="s">
        <v>444</v>
      </c>
      <c r="E531" s="4070" t="s">
        <v>445</v>
      </c>
      <c r="F531" s="4049"/>
      <c r="G531" s="4150"/>
      <c r="H531" s="4062" t="s">
        <v>50</v>
      </c>
      <c r="I531" s="4060" t="s">
        <v>74</v>
      </c>
      <c r="J531" s="1964">
        <v>0</v>
      </c>
      <c r="K531" s="2159">
        <v>0</v>
      </c>
      <c r="L531" s="2160">
        <f>'[2]ALL BULAN'!E514</f>
        <v>0</v>
      </c>
      <c r="M531" s="4253">
        <f t="shared" si="88"/>
        <v>0</v>
      </c>
      <c r="N531" s="4253">
        <v>0</v>
      </c>
      <c r="O531" s="4254">
        <f t="shared" si="89"/>
        <v>0</v>
      </c>
      <c r="P531" s="4061"/>
      <c r="Q531" s="4839"/>
    </row>
    <row r="532" spans="1:17" s="2070" customFormat="1">
      <c r="A532" s="4101">
        <v>4</v>
      </c>
      <c r="B532" s="4101">
        <v>1</v>
      </c>
      <c r="C532" s="4101" t="s">
        <v>443</v>
      </c>
      <c r="D532" s="4101" t="s">
        <v>444</v>
      </c>
      <c r="E532" s="4101" t="s">
        <v>441</v>
      </c>
      <c r="F532" s="4049"/>
      <c r="G532" s="4150"/>
      <c r="H532" s="4060" t="s">
        <v>308</v>
      </c>
      <c r="I532" s="4090" t="s">
        <v>75</v>
      </c>
      <c r="J532" s="1964">
        <v>0</v>
      </c>
      <c r="K532" s="2159">
        <v>0</v>
      </c>
      <c r="L532" s="2160">
        <f>'[2]ALL BULAN'!E515</f>
        <v>0</v>
      </c>
      <c r="M532" s="4253">
        <f t="shared" si="88"/>
        <v>0</v>
      </c>
      <c r="N532" s="4253">
        <v>0</v>
      </c>
      <c r="O532" s="4254">
        <f t="shared" si="89"/>
        <v>0</v>
      </c>
      <c r="P532" s="4061"/>
      <c r="Q532" s="4839"/>
    </row>
    <row r="533" spans="1:17" s="2070" customFormat="1">
      <c r="A533" s="4079">
        <v>4</v>
      </c>
      <c r="B533" s="4079">
        <v>1</v>
      </c>
      <c r="C533" s="4079" t="s">
        <v>443</v>
      </c>
      <c r="D533" s="4079" t="s">
        <v>447</v>
      </c>
      <c r="E533" s="4093" t="s">
        <v>437</v>
      </c>
      <c r="F533" s="4049"/>
      <c r="G533" s="4150"/>
      <c r="H533" s="4062" t="s">
        <v>50</v>
      </c>
      <c r="I533" s="4090" t="s">
        <v>85</v>
      </c>
      <c r="J533" s="1964">
        <v>0</v>
      </c>
      <c r="K533" s="2159">
        <v>0</v>
      </c>
      <c r="L533" s="2160">
        <f>'[2]ALL BULAN'!E516</f>
        <v>0</v>
      </c>
      <c r="M533" s="4253">
        <f t="shared" si="88"/>
        <v>0</v>
      </c>
      <c r="N533" s="4253">
        <v>0</v>
      </c>
      <c r="O533" s="4254">
        <f t="shared" si="89"/>
        <v>0</v>
      </c>
      <c r="P533" s="4061"/>
      <c r="Q533" s="4839"/>
    </row>
    <row r="534" spans="1:17" s="2070" customFormat="1" ht="5.35" customHeight="1">
      <c r="A534" s="4048"/>
      <c r="B534" s="4048"/>
      <c r="C534" s="4048"/>
      <c r="D534" s="4048"/>
      <c r="E534" s="4048"/>
      <c r="F534" s="4049"/>
      <c r="G534" s="4102"/>
      <c r="H534" s="4083"/>
      <c r="I534" s="4083"/>
      <c r="J534" s="4548"/>
      <c r="K534" s="2183"/>
      <c r="L534" s="4548"/>
      <c r="M534" s="4549"/>
      <c r="N534" s="4549"/>
      <c r="O534" s="4549"/>
      <c r="P534" s="4172"/>
      <c r="Q534" s="4839"/>
    </row>
    <row r="535" spans="1:17" s="2073" customFormat="1" ht="15.65">
      <c r="A535" s="4039"/>
      <c r="B535" s="4039"/>
      <c r="C535" s="4039"/>
      <c r="D535" s="4039"/>
      <c r="E535" s="4039"/>
      <c r="F535" s="4040"/>
      <c r="G535" s="4041" t="s">
        <v>305</v>
      </c>
      <c r="H535" s="4042" t="s">
        <v>464</v>
      </c>
      <c r="I535" s="4097"/>
      <c r="J535" s="4545">
        <f>SUM(J536+J567)</f>
        <v>1140687567935</v>
      </c>
      <c r="K535" s="4574">
        <v>3919495400</v>
      </c>
      <c r="L535" s="4545">
        <f>L567</f>
        <v>2644601369</v>
      </c>
      <c r="M535" s="4575">
        <f>SUM(K535:L535)</f>
        <v>6564096769</v>
      </c>
      <c r="N535" s="4545" t="e">
        <f>SUM(N536+N567)</f>
        <v>#REF!</v>
      </c>
      <c r="O535" s="4545" t="e">
        <f>SUM(N535-J535)</f>
        <v>#REF!</v>
      </c>
      <c r="P535" s="4044" t="e">
        <f>O535/J535*100</f>
        <v>#REF!</v>
      </c>
      <c r="Q535" s="4840"/>
    </row>
    <row r="536" spans="1:17" s="4707" customFormat="1" ht="15.05" customHeight="1">
      <c r="A536" s="4698" t="s">
        <v>58</v>
      </c>
      <c r="B536" s="4698"/>
      <c r="C536" s="4699"/>
      <c r="D536" s="4699"/>
      <c r="E536" s="4699"/>
      <c r="F536" s="4700"/>
      <c r="G536" s="4701"/>
      <c r="H536" s="4702" t="s">
        <v>1141</v>
      </c>
      <c r="I536" s="4703"/>
      <c r="J536" s="4704">
        <f>SUM(J537+J549+J561+J563+J565)</f>
        <v>1122139007935</v>
      </c>
      <c r="K536" s="4705"/>
      <c r="L536" s="4704"/>
      <c r="M536" s="4704"/>
      <c r="N536" s="4704" t="e">
        <f>SUM(N537+N549+N561+N563+N565)</f>
        <v>#REF!</v>
      </c>
      <c r="O536" s="4704" t="e">
        <f>SUM(N536-J536)</f>
        <v>#REF!</v>
      </c>
      <c r="P536" s="4706" t="e">
        <f>O536/J536*100</f>
        <v>#REF!</v>
      </c>
      <c r="Q536" s="4852"/>
    </row>
    <row r="537" spans="1:17" s="2070" customFormat="1" ht="15.05" customHeight="1">
      <c r="A537" s="1944" t="s">
        <v>58</v>
      </c>
      <c r="B537" s="4692" t="s">
        <v>437</v>
      </c>
      <c r="C537" s="4679"/>
      <c r="D537" s="4679"/>
      <c r="E537" s="4679"/>
      <c r="F537" s="4680"/>
      <c r="G537" s="2123"/>
      <c r="H537" s="2124" t="s">
        <v>1142</v>
      </c>
      <c r="I537" s="2124"/>
      <c r="J537" s="4681">
        <f>SUM(J538:J547)</f>
        <v>311893723935</v>
      </c>
      <c r="K537" s="4569"/>
      <c r="L537" s="4681"/>
      <c r="M537" s="4681"/>
      <c r="N537" s="4681" t="e">
        <f>#REF!</f>
        <v>#REF!</v>
      </c>
      <c r="O537" s="4681">
        <f>SUM(O538:O547)</f>
        <v>0</v>
      </c>
      <c r="P537" s="4682" t="e">
        <f>SUM(N537/J537*100-100)</f>
        <v>#REF!</v>
      </c>
      <c r="Q537" s="4839"/>
    </row>
    <row r="538" spans="1:17" s="2070" customFormat="1" ht="15.05" hidden="1" customHeight="1">
      <c r="A538" s="4693"/>
      <c r="B538" s="4694"/>
      <c r="C538" s="4694"/>
      <c r="D538" s="4694"/>
      <c r="E538" s="4694"/>
      <c r="F538" s="4677"/>
      <c r="G538" s="4055"/>
      <c r="H538" s="3017" t="s">
        <v>1143</v>
      </c>
      <c r="I538" s="4126"/>
      <c r="J538" s="4659">
        <v>103905461339</v>
      </c>
      <c r="K538" s="4657"/>
      <c r="L538" s="4660"/>
      <c r="M538" s="4656"/>
      <c r="N538" s="4661">
        <v>103905461339</v>
      </c>
      <c r="O538" s="3135">
        <f>N538-J538</f>
        <v>0</v>
      </c>
      <c r="P538" s="3608">
        <f>+N538/J538*100-100</f>
        <v>0</v>
      </c>
      <c r="Q538" s="4839"/>
    </row>
    <row r="539" spans="1:17" s="2070" customFormat="1" ht="15.05" hidden="1" customHeight="1">
      <c r="A539" s="4655"/>
      <c r="B539" s="4655"/>
      <c r="C539" s="4655"/>
      <c r="D539" s="4655"/>
      <c r="E539" s="4655"/>
      <c r="F539" s="4040"/>
      <c r="G539" s="4055"/>
      <c r="H539" s="2877" t="s">
        <v>1144</v>
      </c>
      <c r="I539" s="4126"/>
      <c r="J539" s="3482">
        <v>34714931659</v>
      </c>
      <c r="K539" s="4657"/>
      <c r="L539" s="4660"/>
      <c r="M539" s="4656"/>
      <c r="N539" s="4662">
        <v>34714931659</v>
      </c>
      <c r="O539" s="3135">
        <f t="shared" ref="O539:O547" si="90">N539-J539</f>
        <v>0</v>
      </c>
      <c r="P539" s="4010">
        <f t="shared" ref="P539:P547" si="91">+N539/J539*100-100</f>
        <v>0</v>
      </c>
      <c r="Q539" s="4839"/>
    </row>
    <row r="540" spans="1:17" s="2070" customFormat="1" ht="15.05" hidden="1" customHeight="1">
      <c r="A540" s="4693"/>
      <c r="B540" s="4693"/>
      <c r="C540" s="4693"/>
      <c r="D540" s="4693"/>
      <c r="E540" s="4693"/>
      <c r="F540" s="4049"/>
      <c r="G540" s="4055"/>
      <c r="H540" s="2877" t="s">
        <v>1146</v>
      </c>
      <c r="I540" s="4126"/>
      <c r="J540" s="3482">
        <v>9610012775</v>
      </c>
      <c r="K540" s="4657"/>
      <c r="L540" s="4660"/>
      <c r="M540" s="4656"/>
      <c r="N540" s="4662">
        <v>9610012775</v>
      </c>
      <c r="O540" s="3135">
        <f t="shared" si="90"/>
        <v>0</v>
      </c>
      <c r="P540" s="4010">
        <f t="shared" si="91"/>
        <v>0</v>
      </c>
      <c r="Q540" s="4839"/>
    </row>
    <row r="541" spans="1:17" s="2070" customFormat="1" ht="15.05" hidden="1" customHeight="1">
      <c r="A541" s="4655"/>
      <c r="B541" s="4655"/>
      <c r="C541" s="4655"/>
      <c r="D541" s="4655"/>
      <c r="E541" s="4655"/>
      <c r="F541" s="4040"/>
      <c r="G541" s="4055"/>
      <c r="H541" s="2877" t="s">
        <v>1145</v>
      </c>
      <c r="I541" s="4126"/>
      <c r="J541" s="3482">
        <v>42614528606</v>
      </c>
      <c r="K541" s="4657"/>
      <c r="L541" s="4660"/>
      <c r="M541" s="4656"/>
      <c r="N541" s="4662">
        <v>42614528606</v>
      </c>
      <c r="O541" s="3135">
        <f t="shared" si="90"/>
        <v>0</v>
      </c>
      <c r="P541" s="4010">
        <f t="shared" si="91"/>
        <v>0</v>
      </c>
      <c r="Q541" s="4839"/>
    </row>
    <row r="542" spans="1:17" s="2070" customFormat="1" ht="15.05" hidden="1" customHeight="1">
      <c r="A542" s="4693"/>
      <c r="B542" s="4693"/>
      <c r="C542" s="4693"/>
      <c r="D542" s="4693"/>
      <c r="E542" s="4693"/>
      <c r="F542" s="4049"/>
      <c r="G542" s="4055"/>
      <c r="H542" s="2877" t="s">
        <v>1147</v>
      </c>
      <c r="I542" s="4126"/>
      <c r="J542" s="3482">
        <v>45159023780</v>
      </c>
      <c r="K542" s="4657"/>
      <c r="L542" s="4660"/>
      <c r="M542" s="4656"/>
      <c r="N542" s="4662">
        <v>45159023780</v>
      </c>
      <c r="O542" s="3135">
        <f t="shared" si="90"/>
        <v>0</v>
      </c>
      <c r="P542" s="4010">
        <f t="shared" si="91"/>
        <v>0</v>
      </c>
      <c r="Q542" s="4839"/>
    </row>
    <row r="543" spans="1:17" s="2070" customFormat="1" ht="15.05" hidden="1" customHeight="1">
      <c r="A543" s="4655"/>
      <c r="B543" s="4655"/>
      <c r="C543" s="4655"/>
      <c r="D543" s="4655"/>
      <c r="E543" s="4655"/>
      <c r="F543" s="4040"/>
      <c r="G543" s="4055"/>
      <c r="H543" s="2877" t="s">
        <v>1149</v>
      </c>
      <c r="I543" s="4126"/>
      <c r="J543" s="3482">
        <v>24602495136</v>
      </c>
      <c r="K543" s="4657"/>
      <c r="L543" s="4660"/>
      <c r="M543" s="4656"/>
      <c r="N543" s="4662">
        <v>24602495136</v>
      </c>
      <c r="O543" s="3135">
        <f t="shared" si="90"/>
        <v>0</v>
      </c>
      <c r="P543" s="4010">
        <f t="shared" si="91"/>
        <v>0</v>
      </c>
      <c r="Q543" s="4839"/>
    </row>
    <row r="544" spans="1:17" s="2070" customFormat="1" ht="15.05" hidden="1" customHeight="1">
      <c r="A544" s="4693"/>
      <c r="B544" s="4693"/>
      <c r="C544" s="4693"/>
      <c r="D544" s="4693"/>
      <c r="E544" s="4693"/>
      <c r="F544" s="4049"/>
      <c r="G544" s="4055"/>
      <c r="H544" s="2877" t="s">
        <v>1148</v>
      </c>
      <c r="I544" s="4126"/>
      <c r="J544" s="3482">
        <v>19282915315</v>
      </c>
      <c r="K544" s="4657"/>
      <c r="L544" s="4660"/>
      <c r="M544" s="4656"/>
      <c r="N544" s="4662">
        <v>19282915315</v>
      </c>
      <c r="O544" s="3135">
        <f t="shared" si="90"/>
        <v>0</v>
      </c>
      <c r="P544" s="4010">
        <f t="shared" si="91"/>
        <v>0</v>
      </c>
      <c r="Q544" s="4839"/>
    </row>
    <row r="545" spans="1:17" s="2070" customFormat="1" ht="15.05" hidden="1" customHeight="1">
      <c r="A545" s="4655"/>
      <c r="B545" s="4655"/>
      <c r="C545" s="4655"/>
      <c r="D545" s="4655"/>
      <c r="E545" s="4655"/>
      <c r="F545" s="4040"/>
      <c r="G545" s="4055"/>
      <c r="H545" s="2877" t="s">
        <v>1150</v>
      </c>
      <c r="I545" s="4126"/>
      <c r="J545" s="3482">
        <v>8832161493</v>
      </c>
      <c r="K545" s="4657"/>
      <c r="L545" s="4660"/>
      <c r="M545" s="4656"/>
      <c r="N545" s="4662">
        <v>8832161493</v>
      </c>
      <c r="O545" s="3135">
        <f t="shared" si="90"/>
        <v>0</v>
      </c>
      <c r="P545" s="4010">
        <f t="shared" si="91"/>
        <v>0</v>
      </c>
      <c r="Q545" s="4839"/>
    </row>
    <row r="546" spans="1:17" s="2070" customFormat="1" ht="15.05" hidden="1" customHeight="1">
      <c r="A546" s="4693"/>
      <c r="B546" s="4693"/>
      <c r="C546" s="4693"/>
      <c r="D546" s="4693"/>
      <c r="E546" s="4693"/>
      <c r="F546" s="4049"/>
      <c r="G546" s="4055"/>
      <c r="H546" s="2877" t="s">
        <v>1151</v>
      </c>
      <c r="I546" s="4126"/>
      <c r="J546" s="3482">
        <v>9908631964</v>
      </c>
      <c r="K546" s="4657"/>
      <c r="L546" s="4660"/>
      <c r="M546" s="4656"/>
      <c r="N546" s="4662">
        <v>9908631964</v>
      </c>
      <c r="O546" s="3135">
        <f t="shared" si="90"/>
        <v>0</v>
      </c>
      <c r="P546" s="4010">
        <f t="shared" si="91"/>
        <v>0</v>
      </c>
      <c r="Q546" s="4839"/>
    </row>
    <row r="547" spans="1:17" s="2070" customFormat="1" ht="15.05" hidden="1" customHeight="1">
      <c r="A547" s="4655"/>
      <c r="B547" s="4655"/>
      <c r="C547" s="4655"/>
      <c r="D547" s="4655"/>
      <c r="E547" s="4655"/>
      <c r="F547" s="4040"/>
      <c r="G547" s="4055"/>
      <c r="H547" s="2877" t="s">
        <v>1152</v>
      </c>
      <c r="I547" s="4126"/>
      <c r="J547" s="3482">
        <v>13263561868</v>
      </c>
      <c r="K547" s="4657"/>
      <c r="L547" s="4660"/>
      <c r="M547" s="4656"/>
      <c r="N547" s="4662">
        <v>13263561868</v>
      </c>
      <c r="O547" s="3135">
        <f t="shared" si="90"/>
        <v>0</v>
      </c>
      <c r="P547" s="4010">
        <f t="shared" si="91"/>
        <v>0</v>
      </c>
      <c r="Q547" s="4839"/>
    </row>
    <row r="548" spans="1:17" s="2070" customFormat="1" ht="15.05" hidden="1" customHeight="1">
      <c r="A548" s="4693"/>
      <c r="B548" s="4691"/>
      <c r="C548" s="4691"/>
      <c r="D548" s="4691"/>
      <c r="E548" s="4691"/>
      <c r="F548" s="4672"/>
      <c r="G548" s="4169"/>
      <c r="H548" s="4131"/>
      <c r="I548" s="4131"/>
      <c r="J548" s="4673"/>
      <c r="K548" s="4674"/>
      <c r="L548" s="4673"/>
      <c r="M548" s="4675"/>
      <c r="N548" s="4676"/>
      <c r="O548" s="2304"/>
      <c r="P548" s="4170"/>
      <c r="Q548" s="4839"/>
    </row>
    <row r="549" spans="1:17" s="2070" customFormat="1" ht="15.05" customHeight="1">
      <c r="A549" s="1944" t="s">
        <v>58</v>
      </c>
      <c r="B549" s="4692" t="s">
        <v>440</v>
      </c>
      <c r="C549" s="4695"/>
      <c r="D549" s="4695"/>
      <c r="E549" s="4695"/>
      <c r="F549" s="4678"/>
      <c r="G549" s="4091"/>
      <c r="H549" s="4683" t="s">
        <v>1153</v>
      </c>
      <c r="I549" s="4090"/>
      <c r="J549" s="4681">
        <f>SUM(J550:J559)</f>
        <v>321503155000</v>
      </c>
      <c r="K549" s="4569"/>
      <c r="L549" s="4681"/>
      <c r="M549" s="4681"/>
      <c r="N549" s="4681" t="e">
        <f>#REF!</f>
        <v>#REF!</v>
      </c>
      <c r="O549" s="4681">
        <f>SUM(O550:O559)</f>
        <v>-21685555000</v>
      </c>
      <c r="P549" s="4681">
        <f>SUM(P550:P559)</f>
        <v>-75.284550865419035</v>
      </c>
      <c r="Q549" s="4839"/>
    </row>
    <row r="550" spans="1:17" s="2070" customFormat="1" ht="15.05" hidden="1" customHeight="1">
      <c r="A550" s="4693"/>
      <c r="B550" s="4694"/>
      <c r="C550" s="4694"/>
      <c r="D550" s="4694"/>
      <c r="E550" s="4694"/>
      <c r="F550" s="4677"/>
      <c r="G550" s="4055"/>
      <c r="H550" s="3017" t="s">
        <v>1143</v>
      </c>
      <c r="I550" s="4126"/>
      <c r="J550" s="4659">
        <v>89048587600</v>
      </c>
      <c r="K550" s="4663"/>
      <c r="L550" s="4659"/>
      <c r="M550" s="4659">
        <v>21008364305</v>
      </c>
      <c r="N550" s="4661">
        <v>85210794910</v>
      </c>
      <c r="O550" s="3135">
        <f>N550-J550</f>
        <v>-3837792690</v>
      </c>
      <c r="P550" s="3608">
        <f>+N550/J550*100-100</f>
        <v>-4.3097737914037424</v>
      </c>
      <c r="Q550" s="4839"/>
    </row>
    <row r="551" spans="1:17" s="2070" customFormat="1" ht="15.05" hidden="1" customHeight="1">
      <c r="A551" s="4655"/>
      <c r="B551" s="4655"/>
      <c r="C551" s="4655"/>
      <c r="D551" s="4655"/>
      <c r="E551" s="4655"/>
      <c r="F551" s="4040"/>
      <c r="G551" s="4055"/>
      <c r="H551" s="2877" t="s">
        <v>1144</v>
      </c>
      <c r="I551" s="4126"/>
      <c r="J551" s="3482">
        <v>43050445200</v>
      </c>
      <c r="K551" s="4663"/>
      <c r="L551" s="3482"/>
      <c r="M551" s="3482">
        <v>12974559000</v>
      </c>
      <c r="N551" s="4662">
        <v>38687005933</v>
      </c>
      <c r="O551" s="3135">
        <f t="shared" ref="O551:O559" si="92">N551-J551</f>
        <v>-4363439267</v>
      </c>
      <c r="P551" s="4010">
        <f t="shared" ref="P551:P559" si="93">+N551/J551*100-100</f>
        <v>-10.135642608871322</v>
      </c>
      <c r="Q551" s="4839"/>
    </row>
    <row r="552" spans="1:17" s="2070" customFormat="1" ht="15.05" hidden="1" customHeight="1">
      <c r="A552" s="4693"/>
      <c r="B552" s="4693"/>
      <c r="C552" s="4693"/>
      <c r="D552" s="4693"/>
      <c r="E552" s="4693"/>
      <c r="F552" s="4049"/>
      <c r="G552" s="4055"/>
      <c r="H552" s="2877" t="s">
        <v>1145</v>
      </c>
      <c r="I552" s="4126"/>
      <c r="J552" s="3482">
        <v>15367063100</v>
      </c>
      <c r="K552" s="4663"/>
      <c r="L552" s="3482"/>
      <c r="M552" s="3482">
        <v>0</v>
      </c>
      <c r="N552" s="4662">
        <v>15451217308</v>
      </c>
      <c r="O552" s="3135">
        <f t="shared" si="92"/>
        <v>84154208</v>
      </c>
      <c r="P552" s="4010">
        <f t="shared" si="93"/>
        <v>0.54762713898142579</v>
      </c>
      <c r="Q552" s="4839"/>
    </row>
    <row r="553" spans="1:17" s="2070" customFormat="1" ht="15.05" hidden="1" customHeight="1">
      <c r="A553" s="4655"/>
      <c r="B553" s="4655"/>
      <c r="C553" s="4655"/>
      <c r="D553" s="4655"/>
      <c r="E553" s="4655"/>
      <c r="F553" s="4040"/>
      <c r="G553" s="4055"/>
      <c r="H553" s="2877" t="s">
        <v>1146</v>
      </c>
      <c r="I553" s="4126"/>
      <c r="J553" s="3482">
        <v>46313162500</v>
      </c>
      <c r="K553" s="4663"/>
      <c r="L553" s="3482"/>
      <c r="M553" s="3482">
        <v>10590982300</v>
      </c>
      <c r="N553" s="4662">
        <v>41540262518</v>
      </c>
      <c r="O553" s="3135">
        <f t="shared" si="92"/>
        <v>-4772899982</v>
      </c>
      <c r="P553" s="4010">
        <f t="shared" si="93"/>
        <v>-10.305709488096397</v>
      </c>
      <c r="Q553" s="4839"/>
    </row>
    <row r="554" spans="1:17" s="2070" customFormat="1" ht="15.05" hidden="1" customHeight="1">
      <c r="A554" s="4693"/>
      <c r="B554" s="4693"/>
      <c r="C554" s="4693"/>
      <c r="D554" s="4693"/>
      <c r="E554" s="4693"/>
      <c r="F554" s="4049"/>
      <c r="G554" s="4055"/>
      <c r="H554" s="2877" t="s">
        <v>1147</v>
      </c>
      <c r="I554" s="4126"/>
      <c r="J554" s="3482">
        <v>54297917400</v>
      </c>
      <c r="K554" s="4663"/>
      <c r="L554" s="3482"/>
      <c r="M554" s="3482">
        <v>13243838750</v>
      </c>
      <c r="N554" s="4662">
        <v>54925491645</v>
      </c>
      <c r="O554" s="3135">
        <f t="shared" si="92"/>
        <v>627574245</v>
      </c>
      <c r="P554" s="4010">
        <f t="shared" si="93"/>
        <v>1.1557980030372192</v>
      </c>
      <c r="Q554" s="4839"/>
    </row>
    <row r="555" spans="1:17" s="2070" customFormat="1" ht="15.05" hidden="1" customHeight="1">
      <c r="A555" s="4655"/>
      <c r="B555" s="4655"/>
      <c r="C555" s="4655"/>
      <c r="D555" s="4655"/>
      <c r="E555" s="4655"/>
      <c r="F555" s="4040"/>
      <c r="G555" s="4055"/>
      <c r="H555" s="2877" t="s">
        <v>1149</v>
      </c>
      <c r="I555" s="4126"/>
      <c r="J555" s="3482">
        <v>26331859300</v>
      </c>
      <c r="K555" s="4663"/>
      <c r="L555" s="3482"/>
      <c r="M555" s="3482">
        <v>4970869900</v>
      </c>
      <c r="N555" s="4662">
        <v>21656173662</v>
      </c>
      <c r="O555" s="3135">
        <f t="shared" si="92"/>
        <v>-4675685638</v>
      </c>
      <c r="P555" s="4010">
        <f t="shared" si="93"/>
        <v>-17.756762197191293</v>
      </c>
      <c r="Q555" s="4839"/>
    </row>
    <row r="556" spans="1:17" s="2070" customFormat="1" ht="15.05" hidden="1" customHeight="1">
      <c r="A556" s="4693"/>
      <c r="B556" s="4693"/>
      <c r="C556" s="4693"/>
      <c r="D556" s="4693"/>
      <c r="E556" s="4693"/>
      <c r="F556" s="4049"/>
      <c r="G556" s="4055"/>
      <c r="H556" s="2877" t="s">
        <v>1148</v>
      </c>
      <c r="I556" s="4126"/>
      <c r="J556" s="3482">
        <v>14367919300</v>
      </c>
      <c r="K556" s="4663"/>
      <c r="L556" s="3482"/>
      <c r="M556" s="3482">
        <v>2888678800</v>
      </c>
      <c r="N556" s="4662">
        <v>10870384670</v>
      </c>
      <c r="O556" s="3135">
        <f t="shared" si="92"/>
        <v>-3497534630</v>
      </c>
      <c r="P556" s="4010">
        <f t="shared" si="93"/>
        <v>-24.342666164612993</v>
      </c>
      <c r="Q556" s="4839"/>
    </row>
    <row r="557" spans="1:17" s="2070" customFormat="1" ht="15.05" hidden="1" customHeight="1">
      <c r="A557" s="4655"/>
      <c r="B557" s="4655"/>
      <c r="C557" s="4655"/>
      <c r="D557" s="4655"/>
      <c r="E557" s="4655"/>
      <c r="F557" s="4040"/>
      <c r="G557" s="4055"/>
      <c r="H557" s="2877" t="s">
        <v>1150</v>
      </c>
      <c r="I557" s="4126"/>
      <c r="J557" s="3482">
        <v>10029004300</v>
      </c>
      <c r="K557" s="4663"/>
      <c r="L557" s="3482"/>
      <c r="M557" s="3482">
        <v>1741245300</v>
      </c>
      <c r="N557" s="4662">
        <v>10682242857</v>
      </c>
      <c r="O557" s="3135">
        <f t="shared" si="92"/>
        <v>653238557</v>
      </c>
      <c r="P557" s="4010">
        <f t="shared" si="93"/>
        <v>6.5134936376485513</v>
      </c>
      <c r="Q557" s="4839"/>
    </row>
    <row r="558" spans="1:17" s="2070" customFormat="1" ht="15.05" hidden="1" customHeight="1">
      <c r="A558" s="4693"/>
      <c r="B558" s="4693"/>
      <c r="C558" s="4693"/>
      <c r="D558" s="4693"/>
      <c r="E558" s="4693"/>
      <c r="F558" s="4049"/>
      <c r="G558" s="4055"/>
      <c r="H558" s="2877" t="s">
        <v>1151</v>
      </c>
      <c r="I558" s="4126"/>
      <c r="J558" s="3482">
        <v>10866726200</v>
      </c>
      <c r="K558" s="4663"/>
      <c r="L558" s="3482"/>
      <c r="M558" s="3482">
        <v>2296433100</v>
      </c>
      <c r="N558" s="4662">
        <v>10114515498</v>
      </c>
      <c r="O558" s="3135">
        <f t="shared" si="92"/>
        <v>-752210702</v>
      </c>
      <c r="P558" s="4010">
        <f t="shared" si="93"/>
        <v>-6.9221464510626873</v>
      </c>
      <c r="Q558" s="4839"/>
    </row>
    <row r="559" spans="1:17" s="2070" customFormat="1" ht="15.05" hidden="1" customHeight="1">
      <c r="A559" s="4655"/>
      <c r="B559" s="4655"/>
      <c r="C559" s="4655"/>
      <c r="D559" s="4655"/>
      <c r="E559" s="4655"/>
      <c r="F559" s="4040"/>
      <c r="G559" s="4055"/>
      <c r="H559" s="2877" t="s">
        <v>1152</v>
      </c>
      <c r="I559" s="4126"/>
      <c r="J559" s="3482">
        <v>11830470100</v>
      </c>
      <c r="K559" s="4663"/>
      <c r="L559" s="3482"/>
      <c r="M559" s="3482">
        <v>3006474100</v>
      </c>
      <c r="N559" s="4662">
        <v>10679510999</v>
      </c>
      <c r="O559" s="3135">
        <f t="shared" si="92"/>
        <v>-1150959101</v>
      </c>
      <c r="P559" s="3606">
        <f t="shared" si="93"/>
        <v>-9.7287689438477969</v>
      </c>
      <c r="Q559" s="4839"/>
    </row>
    <row r="560" spans="1:17" s="2070" customFormat="1" ht="15.05" hidden="1" customHeight="1">
      <c r="A560" s="4693"/>
      <c r="B560" s="4693"/>
      <c r="C560" s="4693"/>
      <c r="D560" s="4693"/>
      <c r="E560" s="4693"/>
      <c r="F560" s="4049"/>
      <c r="G560" s="4055"/>
      <c r="H560" s="4131"/>
      <c r="I560" s="4126"/>
      <c r="J560" s="4673"/>
      <c r="K560" s="4674"/>
      <c r="L560" s="4673"/>
      <c r="M560" s="4675"/>
      <c r="N560" s="4676"/>
      <c r="O560" s="2304"/>
      <c r="P560" s="4170"/>
      <c r="Q560" s="4839"/>
    </row>
    <row r="561" spans="1:17" s="2070" customFormat="1" ht="15.05" customHeight="1">
      <c r="A561" s="1944" t="s">
        <v>58</v>
      </c>
      <c r="B561" s="4696" t="s">
        <v>451</v>
      </c>
      <c r="C561" s="4655"/>
      <c r="D561" s="4655"/>
      <c r="E561" s="4655"/>
      <c r="F561" s="4040"/>
      <c r="G561" s="4055"/>
      <c r="H561" s="4653" t="s">
        <v>1154</v>
      </c>
      <c r="I561" s="224"/>
      <c r="J561" s="3204">
        <v>192900000000</v>
      </c>
      <c r="K561" s="3204">
        <v>46114131883</v>
      </c>
      <c r="L561" s="3204"/>
      <c r="M561" s="3204">
        <v>46114131883</v>
      </c>
      <c r="N561" s="4686" t="e">
        <f>#REF!</f>
        <v>#REF!</v>
      </c>
      <c r="O561" s="4687" t="e">
        <f>N561-J561</f>
        <v>#REF!</v>
      </c>
      <c r="P561" s="4688" t="e">
        <f>+N561/J561*100-100</f>
        <v>#REF!</v>
      </c>
      <c r="Q561" s="4839"/>
    </row>
    <row r="562" spans="1:17" s="2070" customFormat="1" ht="15.05" hidden="1" customHeight="1">
      <c r="A562" s="4693"/>
      <c r="B562" s="4693"/>
      <c r="C562" s="4693"/>
      <c r="D562" s="4693"/>
      <c r="E562" s="4693"/>
      <c r="F562" s="4049"/>
      <c r="G562" s="4055"/>
      <c r="H562" s="4654"/>
      <c r="I562" s="224"/>
      <c r="J562" s="4684"/>
      <c r="K562" s="4569"/>
      <c r="L562" s="4684"/>
      <c r="M562" s="4681"/>
      <c r="N562" s="4685"/>
      <c r="O562" s="2292"/>
      <c r="P562" s="4689"/>
      <c r="Q562" s="4839"/>
    </row>
    <row r="563" spans="1:17" s="2070" customFormat="1" ht="15.05" customHeight="1">
      <c r="A563" s="1944" t="s">
        <v>58</v>
      </c>
      <c r="B563" s="4696" t="s">
        <v>441</v>
      </c>
      <c r="C563" s="4655"/>
      <c r="D563" s="4655"/>
      <c r="E563" s="4655"/>
      <c r="F563" s="4040"/>
      <c r="G563" s="4055"/>
      <c r="H563" s="4653" t="s">
        <v>1156</v>
      </c>
      <c r="I563" s="224"/>
      <c r="J563" s="3204">
        <v>1000000000</v>
      </c>
      <c r="K563" s="3204"/>
      <c r="L563" s="3204"/>
      <c r="M563" s="3204">
        <v>228953247</v>
      </c>
      <c r="N563" s="4686" t="e">
        <f>#REF!</f>
        <v>#REF!</v>
      </c>
      <c r="O563" s="4690" t="e">
        <f>N563-J563</f>
        <v>#REF!</v>
      </c>
      <c r="P563" s="4688" t="e">
        <f>+N563/J563*100-100</f>
        <v>#REF!</v>
      </c>
      <c r="Q563" s="4839"/>
    </row>
    <row r="564" spans="1:17" s="2070" customFormat="1" ht="15.05" hidden="1" customHeight="1">
      <c r="A564" s="4693"/>
      <c r="B564" s="4693"/>
      <c r="C564" s="4693"/>
      <c r="D564" s="4693"/>
      <c r="E564" s="4693"/>
      <c r="F564" s="4049"/>
      <c r="G564" s="4055"/>
      <c r="H564" s="4654"/>
      <c r="I564" s="224"/>
      <c r="J564" s="4684"/>
      <c r="K564" s="4569"/>
      <c r="L564" s="4684"/>
      <c r="M564" s="4681"/>
      <c r="N564" s="4685"/>
      <c r="O564" s="2292"/>
      <c r="P564" s="4689"/>
      <c r="Q564" s="4839"/>
    </row>
    <row r="565" spans="1:17" s="2070" customFormat="1" ht="15.05" customHeight="1">
      <c r="A565" s="1944" t="s">
        <v>58</v>
      </c>
      <c r="B565" s="1944" t="s">
        <v>456</v>
      </c>
      <c r="C565" s="4655"/>
      <c r="D565" s="4655"/>
      <c r="E565" s="4655"/>
      <c r="F565" s="4040"/>
      <c r="G565" s="4055"/>
      <c r="H565" s="4653" t="s">
        <v>1157</v>
      </c>
      <c r="I565" s="224"/>
      <c r="J565" s="3204">
        <v>294842129000</v>
      </c>
      <c r="K565" s="3204">
        <v>44786003561</v>
      </c>
      <c r="L565" s="3204"/>
      <c r="M565" s="3204">
        <v>44786003561</v>
      </c>
      <c r="N565" s="4686" t="e">
        <f>#REF!</f>
        <v>#REF!</v>
      </c>
      <c r="O565" s="4690" t="e">
        <f>N565-J565</f>
        <v>#REF!</v>
      </c>
      <c r="P565" s="4688" t="e">
        <f>+N565/J565*100-100</f>
        <v>#REF!</v>
      </c>
      <c r="Q565" s="4839"/>
    </row>
    <row r="566" spans="1:17" s="2070" customFormat="1" ht="15.05" customHeight="1">
      <c r="A566" s="4693"/>
      <c r="B566" s="4693"/>
      <c r="C566" s="4693"/>
      <c r="D566" s="4693"/>
      <c r="E566" s="4693"/>
      <c r="F566" s="4049"/>
      <c r="G566" s="4055"/>
      <c r="H566" s="4126"/>
      <c r="I566" s="4126"/>
      <c r="J566" s="4660"/>
      <c r="K566" s="4657"/>
      <c r="L566" s="4660"/>
      <c r="M566" s="4656"/>
      <c r="N566" s="4658"/>
      <c r="O566" s="4649"/>
      <c r="P566" s="4650"/>
      <c r="Q566" s="4839"/>
    </row>
    <row r="567" spans="1:17" s="4707" customFormat="1" ht="12.05" customHeight="1">
      <c r="A567" s="4708">
        <v>4</v>
      </c>
      <c r="B567" s="4708">
        <v>1</v>
      </c>
      <c r="C567" s="4708" t="s">
        <v>443</v>
      </c>
      <c r="D567" s="4708"/>
      <c r="E567" s="4709"/>
      <c r="F567" s="4710">
        <v>3</v>
      </c>
      <c r="G567" s="4711"/>
      <c r="H567" s="4712" t="s">
        <v>71</v>
      </c>
      <c r="I567" s="4712"/>
      <c r="J567" s="4713">
        <f>J569</f>
        <v>18548560000</v>
      </c>
      <c r="K567" s="4714">
        <v>3919495400</v>
      </c>
      <c r="L567" s="4713">
        <f>L570+L582+L594+L610+L612+L614+L625</f>
        <v>2644601369</v>
      </c>
      <c r="M567" s="4715">
        <f t="shared" ref="M567:M600" si="94">SUM(K567:L567)</f>
        <v>6564096769</v>
      </c>
      <c r="N567" s="4713">
        <f>N569</f>
        <v>18798560000</v>
      </c>
      <c r="O567" s="4716">
        <f>N567-J567</f>
        <v>250000000</v>
      </c>
      <c r="P567" s="4717">
        <v>0</v>
      </c>
      <c r="Q567" s="4852"/>
    </row>
    <row r="568" spans="1:17" s="2070" customFormat="1" ht="4.55" customHeight="1">
      <c r="A568" s="4693"/>
      <c r="B568" s="4693"/>
      <c r="C568" s="4693"/>
      <c r="D568" s="4693"/>
      <c r="E568" s="4693"/>
      <c r="F568" s="4049"/>
      <c r="G568" s="4067"/>
      <c r="H568" s="4068"/>
      <c r="I568" s="4068"/>
      <c r="J568" s="4664"/>
      <c r="K568" s="4665">
        <v>0</v>
      </c>
      <c r="L568" s="4664"/>
      <c r="M568" s="4666">
        <f t="shared" si="94"/>
        <v>0</v>
      </c>
      <c r="N568" s="4664"/>
      <c r="O568" s="4716">
        <f t="shared" ref="O568:O626" si="95">N568-J568</f>
        <v>0</v>
      </c>
      <c r="P568" s="4061">
        <f>O568-K568</f>
        <v>0</v>
      </c>
      <c r="Q568" s="4839"/>
    </row>
    <row r="569" spans="1:17" s="2070" customFormat="1">
      <c r="A569" s="4697">
        <v>4</v>
      </c>
      <c r="B569" s="4697">
        <v>1</v>
      </c>
      <c r="C569" s="4697" t="s">
        <v>443</v>
      </c>
      <c r="D569" s="4697" t="s">
        <v>456</v>
      </c>
      <c r="E569" s="4693"/>
      <c r="F569" s="4049"/>
      <c r="G569" s="4067"/>
      <c r="H569" s="4068" t="s">
        <v>307</v>
      </c>
      <c r="I569" s="4060"/>
      <c r="J569" s="4664">
        <f>SUM(J570+J582)</f>
        <v>18548560000</v>
      </c>
      <c r="K569" s="4665">
        <v>3186070400</v>
      </c>
      <c r="L569" s="4664">
        <f>L570+L582</f>
        <v>2232826369</v>
      </c>
      <c r="M569" s="4666">
        <f t="shared" si="94"/>
        <v>5418896769</v>
      </c>
      <c r="N569" s="4664">
        <f>SUM(N570+N582)</f>
        <v>18798560000</v>
      </c>
      <c r="O569" s="4716">
        <f t="shared" si="95"/>
        <v>250000000</v>
      </c>
      <c r="P569" s="4061">
        <v>0</v>
      </c>
      <c r="Q569" s="4839"/>
    </row>
    <row r="570" spans="1:17" s="2070" customFormat="1">
      <c r="A570" s="4697">
        <v>4</v>
      </c>
      <c r="B570" s="4697">
        <v>1</v>
      </c>
      <c r="C570" s="4697" t="s">
        <v>443</v>
      </c>
      <c r="D570" s="4697" t="s">
        <v>456</v>
      </c>
      <c r="E570" s="4697" t="s">
        <v>437</v>
      </c>
      <c r="F570" s="4049"/>
      <c r="G570" s="4067" t="s">
        <v>308</v>
      </c>
      <c r="H570" s="4068" t="s">
        <v>309</v>
      </c>
      <c r="I570" s="4068"/>
      <c r="J570" s="4816">
        <v>18448560000</v>
      </c>
      <c r="K570" s="4817">
        <v>3064125447</v>
      </c>
      <c r="L570" s="4816">
        <f>SUM(L571:L580)</f>
        <v>2223238906</v>
      </c>
      <c r="M570" s="4818">
        <f t="shared" si="94"/>
        <v>5287364353</v>
      </c>
      <c r="N570" s="4816">
        <v>18448560000</v>
      </c>
      <c r="O570" s="4716">
        <f t="shared" si="95"/>
        <v>0</v>
      </c>
      <c r="P570" s="4061">
        <v>0</v>
      </c>
      <c r="Q570" s="4839"/>
    </row>
    <row r="571" spans="1:17" s="2070" customFormat="1" hidden="1">
      <c r="A571" s="4693"/>
      <c r="B571" s="4693"/>
      <c r="C571" s="4693"/>
      <c r="D571" s="4693"/>
      <c r="E571" s="4693"/>
      <c r="F571" s="4049"/>
      <c r="G571" s="4067"/>
      <c r="H571" s="4193">
        <v>1</v>
      </c>
      <c r="I571" s="4060" t="s">
        <v>310</v>
      </c>
      <c r="J571" s="2466">
        <v>0</v>
      </c>
      <c r="K571" s="4665">
        <v>950178232</v>
      </c>
      <c r="L571" s="4667">
        <v>483669403</v>
      </c>
      <c r="M571" s="4668">
        <f t="shared" si="94"/>
        <v>1433847635</v>
      </c>
      <c r="N571" s="2466">
        <v>0</v>
      </c>
      <c r="O571" s="4716">
        <f t="shared" si="95"/>
        <v>0</v>
      </c>
      <c r="P571" s="4061">
        <v>0</v>
      </c>
      <c r="Q571" s="4839"/>
    </row>
    <row r="572" spans="1:17" s="2070" customFormat="1" hidden="1">
      <c r="A572" s="4693"/>
      <c r="B572" s="4693"/>
      <c r="C572" s="4693"/>
      <c r="D572" s="4693"/>
      <c r="E572" s="4693"/>
      <c r="F572" s="4049"/>
      <c r="G572" s="4067"/>
      <c r="H572" s="4193">
        <v>2</v>
      </c>
      <c r="I572" s="4060" t="s">
        <v>311</v>
      </c>
      <c r="J572" s="2466">
        <v>0</v>
      </c>
      <c r="K572" s="4665">
        <v>464483071</v>
      </c>
      <c r="L572" s="2491">
        <v>700930596</v>
      </c>
      <c r="M572" s="4666">
        <f t="shared" si="94"/>
        <v>1165413667</v>
      </c>
      <c r="N572" s="2466">
        <v>0</v>
      </c>
      <c r="O572" s="4716">
        <f t="shared" si="95"/>
        <v>0</v>
      </c>
      <c r="P572" s="4061">
        <v>0</v>
      </c>
      <c r="Q572" s="4839"/>
    </row>
    <row r="573" spans="1:17" s="2070" customFormat="1" hidden="1">
      <c r="A573" s="4693"/>
      <c r="B573" s="4693"/>
      <c r="C573" s="4693"/>
      <c r="D573" s="4693"/>
      <c r="E573" s="4693"/>
      <c r="F573" s="4049"/>
      <c r="G573" s="4067"/>
      <c r="H573" s="4193">
        <v>3</v>
      </c>
      <c r="I573" s="4060" t="s">
        <v>312</v>
      </c>
      <c r="J573" s="2466">
        <v>0</v>
      </c>
      <c r="K573" s="4665">
        <v>526640801</v>
      </c>
      <c r="L573" s="2491">
        <v>257640400</v>
      </c>
      <c r="M573" s="4666">
        <f t="shared" si="94"/>
        <v>784281201</v>
      </c>
      <c r="N573" s="2466">
        <v>0</v>
      </c>
      <c r="O573" s="4716">
        <f t="shared" si="95"/>
        <v>0</v>
      </c>
      <c r="P573" s="4061">
        <v>0</v>
      </c>
      <c r="Q573" s="4839"/>
    </row>
    <row r="574" spans="1:17" s="2070" customFormat="1" hidden="1">
      <c r="A574" s="4693"/>
      <c r="B574" s="4693"/>
      <c r="C574" s="4693"/>
      <c r="D574" s="4693"/>
      <c r="E574" s="4693"/>
      <c r="F574" s="4049"/>
      <c r="G574" s="4067"/>
      <c r="H574" s="4193">
        <v>4</v>
      </c>
      <c r="I574" s="4060" t="s">
        <v>313</v>
      </c>
      <c r="J574" s="2466">
        <v>0</v>
      </c>
      <c r="K574" s="4665">
        <v>210189810</v>
      </c>
      <c r="L574" s="4667">
        <v>117317727</v>
      </c>
      <c r="M574" s="4668">
        <f t="shared" si="94"/>
        <v>327507537</v>
      </c>
      <c r="N574" s="2466">
        <v>0</v>
      </c>
      <c r="O574" s="4716">
        <f t="shared" si="95"/>
        <v>0</v>
      </c>
      <c r="P574" s="4061">
        <v>0</v>
      </c>
      <c r="Q574" s="4839"/>
    </row>
    <row r="575" spans="1:17" s="2070" customFormat="1" hidden="1">
      <c r="A575" s="4693"/>
      <c r="B575" s="4693"/>
      <c r="C575" s="4693"/>
      <c r="D575" s="4693"/>
      <c r="E575" s="4693"/>
      <c r="F575" s="4049"/>
      <c r="G575" s="4067"/>
      <c r="H575" s="4193">
        <v>5</v>
      </c>
      <c r="I575" s="4060" t="s">
        <v>465</v>
      </c>
      <c r="J575" s="2466">
        <v>0</v>
      </c>
      <c r="K575" s="4665">
        <v>198751703</v>
      </c>
      <c r="L575" s="2491">
        <v>92358050</v>
      </c>
      <c r="M575" s="4666">
        <f t="shared" si="94"/>
        <v>291109753</v>
      </c>
      <c r="N575" s="2466">
        <v>0</v>
      </c>
      <c r="O575" s="4716">
        <f t="shared" si="95"/>
        <v>0</v>
      </c>
      <c r="P575" s="4061">
        <v>0</v>
      </c>
      <c r="Q575" s="4839"/>
    </row>
    <row r="576" spans="1:17" s="2070" customFormat="1" hidden="1">
      <c r="A576" s="4693"/>
      <c r="B576" s="4693"/>
      <c r="C576" s="4693"/>
      <c r="D576" s="4693"/>
      <c r="E576" s="4693"/>
      <c r="F576" s="4049"/>
      <c r="G576" s="4067"/>
      <c r="H576" s="4193">
        <v>6</v>
      </c>
      <c r="I576" s="4060" t="s">
        <v>466</v>
      </c>
      <c r="J576" s="2466"/>
      <c r="K576" s="4665">
        <v>96723700</v>
      </c>
      <c r="L576" s="2491">
        <v>51092666</v>
      </c>
      <c r="M576" s="4666">
        <f t="shared" si="94"/>
        <v>147816366</v>
      </c>
      <c r="N576" s="2466"/>
      <c r="O576" s="4716">
        <f t="shared" si="95"/>
        <v>0</v>
      </c>
      <c r="P576" s="4061"/>
      <c r="Q576" s="4839"/>
    </row>
    <row r="577" spans="1:17" s="2070" customFormat="1" hidden="1">
      <c r="A577" s="4693"/>
      <c r="B577" s="4693"/>
      <c r="C577" s="4693"/>
      <c r="D577" s="4693"/>
      <c r="E577" s="4693"/>
      <c r="F577" s="4049"/>
      <c r="G577" s="4067"/>
      <c r="H577" s="4193">
        <v>7</v>
      </c>
      <c r="I577" s="4060" t="s">
        <v>315</v>
      </c>
      <c r="J577" s="2466">
        <v>0</v>
      </c>
      <c r="K577" s="4665">
        <v>94411077</v>
      </c>
      <c r="L577" s="2491">
        <v>45850047</v>
      </c>
      <c r="M577" s="4666">
        <f t="shared" si="94"/>
        <v>140261124</v>
      </c>
      <c r="N577" s="2466">
        <v>0</v>
      </c>
      <c r="O577" s="4716">
        <f t="shared" si="95"/>
        <v>0</v>
      </c>
      <c r="P577" s="4061">
        <v>0</v>
      </c>
      <c r="Q577" s="4839"/>
    </row>
    <row r="578" spans="1:17" s="2070" customFormat="1" hidden="1">
      <c r="A578" s="4693"/>
      <c r="B578" s="4693"/>
      <c r="C578" s="4693"/>
      <c r="D578" s="4693"/>
      <c r="E578" s="4693"/>
      <c r="F578" s="4049"/>
      <c r="G578" s="4067"/>
      <c r="H578" s="4193">
        <v>8</v>
      </c>
      <c r="I578" s="4060" t="s">
        <v>316</v>
      </c>
      <c r="J578" s="2466">
        <v>0</v>
      </c>
      <c r="K578" s="4665">
        <v>310303928</v>
      </c>
      <c r="L578" s="4667">
        <v>180694105</v>
      </c>
      <c r="M578" s="4668">
        <f t="shared" si="94"/>
        <v>490998033</v>
      </c>
      <c r="N578" s="2466">
        <v>0</v>
      </c>
      <c r="O578" s="4716">
        <f t="shared" si="95"/>
        <v>0</v>
      </c>
      <c r="P578" s="4061">
        <v>0</v>
      </c>
      <c r="Q578" s="4839"/>
    </row>
    <row r="579" spans="1:17" s="2070" customFormat="1" hidden="1">
      <c r="A579" s="4693"/>
      <c r="B579" s="4693"/>
      <c r="C579" s="4693"/>
      <c r="D579" s="4693"/>
      <c r="E579" s="4693"/>
      <c r="F579" s="4049"/>
      <c r="G579" s="4067"/>
      <c r="H579" s="4193">
        <v>9</v>
      </c>
      <c r="I579" s="4060" t="s">
        <v>317</v>
      </c>
      <c r="J579" s="2466">
        <v>0</v>
      </c>
      <c r="K579" s="4665">
        <v>107538725</v>
      </c>
      <c r="L579" s="2491">
        <v>242828712</v>
      </c>
      <c r="M579" s="4666">
        <f t="shared" si="94"/>
        <v>350367437</v>
      </c>
      <c r="N579" s="2466">
        <v>0</v>
      </c>
      <c r="O579" s="4716">
        <f t="shared" si="95"/>
        <v>0</v>
      </c>
      <c r="P579" s="4061">
        <v>0</v>
      </c>
      <c r="Q579" s="4839"/>
    </row>
    <row r="580" spans="1:17" s="2070" customFormat="1" hidden="1">
      <c r="A580" s="4048"/>
      <c r="B580" s="4048"/>
      <c r="C580" s="4048"/>
      <c r="D580" s="4048"/>
      <c r="E580" s="4048"/>
      <c r="F580" s="4049"/>
      <c r="G580" s="4067"/>
      <c r="H580" s="4193">
        <v>10</v>
      </c>
      <c r="I580" s="4060" t="s">
        <v>318</v>
      </c>
      <c r="J580" s="2466">
        <v>0</v>
      </c>
      <c r="K580" s="4665">
        <v>104904400</v>
      </c>
      <c r="L580" s="2491">
        <v>50857200</v>
      </c>
      <c r="M580" s="4666">
        <f t="shared" si="94"/>
        <v>155761600</v>
      </c>
      <c r="N580" s="2466">
        <v>0</v>
      </c>
      <c r="O580" s="4716">
        <f t="shared" si="95"/>
        <v>0</v>
      </c>
      <c r="P580" s="4061">
        <v>0</v>
      </c>
      <c r="Q580" s="4839"/>
    </row>
    <row r="581" spans="1:17" s="2070" customFormat="1" ht="7.55" customHeight="1">
      <c r="A581" s="4048"/>
      <c r="B581" s="4048"/>
      <c r="C581" s="4048"/>
      <c r="D581" s="4048"/>
      <c r="E581" s="4048"/>
      <c r="F581" s="4049"/>
      <c r="G581" s="4067"/>
      <c r="H581" s="4193"/>
      <c r="I581" s="4060"/>
      <c r="J581" s="4669"/>
      <c r="K581" s="4665">
        <v>0</v>
      </c>
      <c r="L581" s="4669"/>
      <c r="M581" s="4666">
        <f t="shared" si="94"/>
        <v>0</v>
      </c>
      <c r="N581" s="4669"/>
      <c r="O581" s="4716">
        <f t="shared" si="95"/>
        <v>0</v>
      </c>
      <c r="P581" s="4061">
        <f>O581-K581</f>
        <v>0</v>
      </c>
      <c r="Q581" s="4839"/>
    </row>
    <row r="582" spans="1:17" s="2070" customFormat="1">
      <c r="A582" s="4079">
        <v>4</v>
      </c>
      <c r="B582" s="4079">
        <v>1</v>
      </c>
      <c r="C582" s="4079" t="s">
        <v>443</v>
      </c>
      <c r="D582" s="4079" t="s">
        <v>456</v>
      </c>
      <c r="E582" s="4079" t="s">
        <v>438</v>
      </c>
      <c r="F582" s="4049"/>
      <c r="G582" s="4067" t="s">
        <v>308</v>
      </c>
      <c r="H582" s="4068" t="s">
        <v>319</v>
      </c>
      <c r="I582" s="4068"/>
      <c r="J582" s="4819">
        <v>100000000</v>
      </c>
      <c r="K582" s="4817">
        <v>51221268</v>
      </c>
      <c r="L582" s="4819">
        <v>9587463</v>
      </c>
      <c r="M582" s="4818">
        <v>60808731</v>
      </c>
      <c r="N582" s="4819">
        <v>350000000</v>
      </c>
      <c r="O582" s="4719">
        <v>250000000</v>
      </c>
      <c r="P582" s="4061">
        <v>0</v>
      </c>
      <c r="Q582" s="4839"/>
    </row>
    <row r="583" spans="1:17" s="2070" customFormat="1" hidden="1">
      <c r="A583" s="4048"/>
      <c r="B583" s="4048"/>
      <c r="C583" s="4048"/>
      <c r="D583" s="4048"/>
      <c r="E583" s="4048"/>
      <c r="F583" s="4049"/>
      <c r="G583" s="4067"/>
      <c r="H583" s="4193">
        <v>1</v>
      </c>
      <c r="I583" s="4060" t="s">
        <v>310</v>
      </c>
      <c r="J583" s="2466">
        <v>100000000</v>
      </c>
      <c r="K583" s="4665">
        <v>51221268</v>
      </c>
      <c r="L583" s="4667">
        <v>9587463</v>
      </c>
      <c r="M583" s="4668">
        <f t="shared" si="94"/>
        <v>60808731</v>
      </c>
      <c r="N583" s="2466">
        <v>350000000</v>
      </c>
      <c r="O583" s="4716">
        <f t="shared" si="95"/>
        <v>250000000</v>
      </c>
      <c r="P583" s="4061">
        <v>0</v>
      </c>
      <c r="Q583" s="4839"/>
    </row>
    <row r="584" spans="1:17" s="2070" customFormat="1" hidden="1">
      <c r="A584" s="4048"/>
      <c r="B584" s="4048"/>
      <c r="C584" s="4048"/>
      <c r="D584" s="4048"/>
      <c r="E584" s="4048"/>
      <c r="F584" s="4049"/>
      <c r="G584" s="4067"/>
      <c r="H584" s="4193">
        <v>2</v>
      </c>
      <c r="I584" s="4060" t="s">
        <v>311</v>
      </c>
      <c r="J584" s="2466">
        <v>0</v>
      </c>
      <c r="K584" s="4665">
        <v>14910125</v>
      </c>
      <c r="L584" s="2491">
        <v>23481425</v>
      </c>
      <c r="M584" s="4666">
        <f t="shared" si="94"/>
        <v>38391550</v>
      </c>
      <c r="N584" s="2466">
        <v>0</v>
      </c>
      <c r="O584" s="4716">
        <f t="shared" si="95"/>
        <v>0</v>
      </c>
      <c r="P584" s="4061">
        <v>0</v>
      </c>
      <c r="Q584" s="4839"/>
    </row>
    <row r="585" spans="1:17" s="2070" customFormat="1" hidden="1">
      <c r="A585" s="4048"/>
      <c r="B585" s="4048"/>
      <c r="C585" s="4048"/>
      <c r="D585" s="4048"/>
      <c r="E585" s="4048"/>
      <c r="F585" s="4049"/>
      <c r="G585" s="4067"/>
      <c r="H585" s="4193">
        <v>3</v>
      </c>
      <c r="I585" s="4060" t="s">
        <v>312</v>
      </c>
      <c r="J585" s="2466">
        <v>0</v>
      </c>
      <c r="K585" s="4665">
        <v>11853570</v>
      </c>
      <c r="L585" s="2491">
        <v>8988200</v>
      </c>
      <c r="M585" s="4666">
        <f t="shared" si="94"/>
        <v>20841770</v>
      </c>
      <c r="N585" s="2466">
        <v>0</v>
      </c>
      <c r="O585" s="4716">
        <f t="shared" si="95"/>
        <v>0</v>
      </c>
      <c r="P585" s="4061">
        <v>0</v>
      </c>
      <c r="Q585" s="4839"/>
    </row>
    <row r="586" spans="1:17" s="2070" customFormat="1" hidden="1">
      <c r="A586" s="4048"/>
      <c r="B586" s="4048"/>
      <c r="C586" s="4048"/>
      <c r="D586" s="4048"/>
      <c r="E586" s="4048"/>
      <c r="F586" s="4049"/>
      <c r="G586" s="4067"/>
      <c r="H586" s="4193">
        <v>4</v>
      </c>
      <c r="I586" s="4060" t="s">
        <v>313</v>
      </c>
      <c r="J586" s="2466">
        <v>0</v>
      </c>
      <c r="K586" s="4665">
        <v>8483975</v>
      </c>
      <c r="L586" s="4667">
        <v>4618600</v>
      </c>
      <c r="M586" s="4668">
        <f t="shared" si="94"/>
        <v>13102575</v>
      </c>
      <c r="N586" s="2466">
        <v>0</v>
      </c>
      <c r="O586" s="4716">
        <f t="shared" si="95"/>
        <v>0</v>
      </c>
      <c r="P586" s="4061">
        <v>0</v>
      </c>
      <c r="Q586" s="4839"/>
    </row>
    <row r="587" spans="1:17" s="2070" customFormat="1" hidden="1">
      <c r="A587" s="4048"/>
      <c r="B587" s="4048"/>
      <c r="C587" s="4048"/>
      <c r="D587" s="4048"/>
      <c r="E587" s="4048"/>
      <c r="F587" s="4049"/>
      <c r="G587" s="4067"/>
      <c r="H587" s="4193">
        <v>5</v>
      </c>
      <c r="I587" s="4060" t="s">
        <v>465</v>
      </c>
      <c r="J587" s="2466">
        <v>0</v>
      </c>
      <c r="K587" s="4665">
        <v>10865555</v>
      </c>
      <c r="L587" s="2491">
        <v>3584900</v>
      </c>
      <c r="M587" s="4666">
        <f t="shared" si="94"/>
        <v>14450455</v>
      </c>
      <c r="N587" s="2466">
        <v>0</v>
      </c>
      <c r="O587" s="4716">
        <f t="shared" si="95"/>
        <v>0</v>
      </c>
      <c r="P587" s="4061">
        <v>0</v>
      </c>
      <c r="Q587" s="4839"/>
    </row>
    <row r="588" spans="1:17" s="2070" customFormat="1" hidden="1">
      <c r="A588" s="4048"/>
      <c r="B588" s="4048"/>
      <c r="C588" s="4048"/>
      <c r="D588" s="4048"/>
      <c r="E588" s="4048"/>
      <c r="F588" s="4049"/>
      <c r="G588" s="4067"/>
      <c r="H588" s="4193">
        <v>6</v>
      </c>
      <c r="I588" s="4060" t="s">
        <v>466</v>
      </c>
      <c r="J588" s="2466"/>
      <c r="K588" s="4665">
        <v>3475300</v>
      </c>
      <c r="L588" s="2491">
        <v>7300390</v>
      </c>
      <c r="M588" s="4666">
        <f t="shared" si="94"/>
        <v>10775690</v>
      </c>
      <c r="N588" s="2466"/>
      <c r="O588" s="4716">
        <f t="shared" si="95"/>
        <v>0</v>
      </c>
      <c r="P588" s="4061"/>
      <c r="Q588" s="4839"/>
    </row>
    <row r="589" spans="1:17" s="2070" customFormat="1" hidden="1">
      <c r="A589" s="4048"/>
      <c r="B589" s="4048"/>
      <c r="C589" s="4048"/>
      <c r="D589" s="4048"/>
      <c r="E589" s="4048"/>
      <c r="F589" s="4049"/>
      <c r="G589" s="4067"/>
      <c r="H589" s="4193">
        <v>7</v>
      </c>
      <c r="I589" s="4060" t="s">
        <v>315</v>
      </c>
      <c r="J589" s="2466">
        <v>0</v>
      </c>
      <c r="K589" s="4665">
        <v>4177145</v>
      </c>
      <c r="L589" s="2491">
        <v>2170250</v>
      </c>
      <c r="M589" s="4666">
        <f t="shared" si="94"/>
        <v>6347395</v>
      </c>
      <c r="N589" s="2466">
        <v>0</v>
      </c>
      <c r="O589" s="4716">
        <f t="shared" si="95"/>
        <v>0</v>
      </c>
      <c r="P589" s="4061">
        <v>0</v>
      </c>
      <c r="Q589" s="4839"/>
    </row>
    <row r="590" spans="1:17" s="2070" customFormat="1" hidden="1">
      <c r="A590" s="4048"/>
      <c r="B590" s="4048"/>
      <c r="C590" s="4048"/>
      <c r="D590" s="4048"/>
      <c r="E590" s="4048"/>
      <c r="F590" s="4049"/>
      <c r="G590" s="4067"/>
      <c r="H590" s="4193">
        <v>8</v>
      </c>
      <c r="I590" s="4060" t="s">
        <v>316</v>
      </c>
      <c r="J590" s="2466">
        <v>0</v>
      </c>
      <c r="K590" s="4665">
        <v>12073539</v>
      </c>
      <c r="L590" s="4667">
        <v>9903007</v>
      </c>
      <c r="M590" s="4668">
        <f t="shared" si="94"/>
        <v>21976546</v>
      </c>
      <c r="N590" s="2466">
        <v>0</v>
      </c>
      <c r="O590" s="4716">
        <f t="shared" si="95"/>
        <v>0</v>
      </c>
      <c r="P590" s="4061">
        <v>0</v>
      </c>
      <c r="Q590" s="4839"/>
    </row>
    <row r="591" spans="1:17" s="2070" customFormat="1" hidden="1">
      <c r="A591" s="4048"/>
      <c r="B591" s="4048"/>
      <c r="C591" s="4048"/>
      <c r="D591" s="4048"/>
      <c r="E591" s="4048"/>
      <c r="F591" s="4049"/>
      <c r="G591" s="4067"/>
      <c r="H591" s="4193">
        <v>9</v>
      </c>
      <c r="I591" s="4060" t="s">
        <v>317</v>
      </c>
      <c r="J591" s="2466">
        <v>0</v>
      </c>
      <c r="K591" s="4665">
        <v>2760945</v>
      </c>
      <c r="L591" s="2491">
        <v>2402495</v>
      </c>
      <c r="M591" s="4666">
        <f t="shared" si="94"/>
        <v>5163440</v>
      </c>
      <c r="N591" s="2466">
        <v>0</v>
      </c>
      <c r="O591" s="4716">
        <f t="shared" si="95"/>
        <v>0</v>
      </c>
      <c r="P591" s="4061">
        <v>0</v>
      </c>
      <c r="Q591" s="4839"/>
    </row>
    <row r="592" spans="1:17" s="2070" customFormat="1" hidden="1">
      <c r="A592" s="4048"/>
      <c r="B592" s="4048"/>
      <c r="C592" s="4048"/>
      <c r="D592" s="4048"/>
      <c r="E592" s="4048"/>
      <c r="F592" s="4049"/>
      <c r="G592" s="4067"/>
      <c r="H592" s="4193">
        <v>10</v>
      </c>
      <c r="I592" s="4060" t="s">
        <v>318</v>
      </c>
      <c r="J592" s="2466">
        <v>0</v>
      </c>
      <c r="K592" s="4665">
        <v>2123531</v>
      </c>
      <c r="L592" s="2491">
        <v>1371025</v>
      </c>
      <c r="M592" s="4666">
        <f t="shared" si="94"/>
        <v>3494556</v>
      </c>
      <c r="N592" s="2466">
        <v>0</v>
      </c>
      <c r="O592" s="4716">
        <f t="shared" si="95"/>
        <v>0</v>
      </c>
      <c r="P592" s="4061">
        <v>0</v>
      </c>
      <c r="Q592" s="4839"/>
    </row>
    <row r="593" spans="1:17" s="2070" customFormat="1" ht="4.55" customHeight="1">
      <c r="A593" s="4048"/>
      <c r="B593" s="4048"/>
      <c r="C593" s="4048"/>
      <c r="D593" s="4048"/>
      <c r="E593" s="4048"/>
      <c r="F593" s="4049"/>
      <c r="G593" s="4067"/>
      <c r="H593" s="4193"/>
      <c r="I593" s="4226"/>
      <c r="J593" s="4669"/>
      <c r="K593" s="4665">
        <v>0</v>
      </c>
      <c r="L593" s="4669"/>
      <c r="M593" s="4666">
        <f t="shared" si="94"/>
        <v>0</v>
      </c>
      <c r="N593" s="4669"/>
      <c r="O593" s="4716">
        <f t="shared" si="95"/>
        <v>0</v>
      </c>
      <c r="P593" s="4061">
        <f>O593-K593</f>
        <v>0</v>
      </c>
      <c r="Q593" s="4839"/>
    </row>
    <row r="594" spans="1:17" s="2070" customFormat="1">
      <c r="A594" s="4079">
        <v>4</v>
      </c>
      <c r="B594" s="4079">
        <v>1</v>
      </c>
      <c r="C594" s="4079" t="s">
        <v>443</v>
      </c>
      <c r="D594" s="4079" t="s">
        <v>444</v>
      </c>
      <c r="E594" s="4048"/>
      <c r="F594" s="4049"/>
      <c r="G594" s="4067" t="s">
        <v>308</v>
      </c>
      <c r="H594" s="4068" t="s">
        <v>222</v>
      </c>
      <c r="I594" s="4068"/>
      <c r="J594" s="4670">
        <v>0</v>
      </c>
      <c r="K594" s="4665">
        <v>0</v>
      </c>
      <c r="L594" s="4670">
        <f>SUM(L595:L597)</f>
        <v>0</v>
      </c>
      <c r="M594" s="4666">
        <f t="shared" si="94"/>
        <v>0</v>
      </c>
      <c r="N594" s="4670">
        <v>0</v>
      </c>
      <c r="O594" s="4716">
        <f t="shared" si="95"/>
        <v>0</v>
      </c>
      <c r="P594" s="4061">
        <v>0</v>
      </c>
      <c r="Q594" s="4839"/>
    </row>
    <row r="595" spans="1:17" s="2070" customFormat="1">
      <c r="A595" s="4074">
        <v>4</v>
      </c>
      <c r="B595" s="4074">
        <v>1</v>
      </c>
      <c r="C595" s="4074" t="s">
        <v>443</v>
      </c>
      <c r="D595" s="4074" t="s">
        <v>444</v>
      </c>
      <c r="E595" s="4074" t="s">
        <v>440</v>
      </c>
      <c r="F595" s="4049"/>
      <c r="G595" s="4059"/>
      <c r="H595" s="4227" t="s">
        <v>50</v>
      </c>
      <c r="I595" s="4060" t="s">
        <v>73</v>
      </c>
      <c r="J595" s="2466">
        <v>0</v>
      </c>
      <c r="K595" s="4665">
        <v>0</v>
      </c>
      <c r="L595" s="2491">
        <f>'[2]ALL BULAN'!E546</f>
        <v>0</v>
      </c>
      <c r="M595" s="4666">
        <f t="shared" si="94"/>
        <v>0</v>
      </c>
      <c r="N595" s="2466">
        <v>0</v>
      </c>
      <c r="O595" s="4716">
        <f t="shared" si="95"/>
        <v>0</v>
      </c>
      <c r="P595" s="4061">
        <v>0</v>
      </c>
      <c r="Q595" s="4839"/>
    </row>
    <row r="596" spans="1:17" s="2070" customFormat="1">
      <c r="A596" s="4069">
        <v>4</v>
      </c>
      <c r="B596" s="4069">
        <v>1</v>
      </c>
      <c r="C596" s="4069" t="s">
        <v>443</v>
      </c>
      <c r="D596" s="4069" t="s">
        <v>444</v>
      </c>
      <c r="E596" s="4070" t="s">
        <v>445</v>
      </c>
      <c r="F596" s="4049"/>
      <c r="G596" s="4059"/>
      <c r="H596" s="4227" t="s">
        <v>50</v>
      </c>
      <c r="I596" s="4060" t="s">
        <v>74</v>
      </c>
      <c r="J596" s="2466">
        <v>0</v>
      </c>
      <c r="K596" s="4665">
        <v>0</v>
      </c>
      <c r="L596" s="2491">
        <f>'[2]ALL BULAN'!E547</f>
        <v>0</v>
      </c>
      <c r="M596" s="4666">
        <f t="shared" si="94"/>
        <v>0</v>
      </c>
      <c r="N596" s="2466">
        <v>0</v>
      </c>
      <c r="O596" s="4716">
        <f t="shared" si="95"/>
        <v>0</v>
      </c>
      <c r="P596" s="4061">
        <v>0</v>
      </c>
      <c r="Q596" s="4839"/>
    </row>
    <row r="597" spans="1:17" s="2070" customFormat="1">
      <c r="A597" s="4101">
        <v>4</v>
      </c>
      <c r="B597" s="4101">
        <v>1</v>
      </c>
      <c r="C597" s="4101" t="s">
        <v>443</v>
      </c>
      <c r="D597" s="4101" t="s">
        <v>444</v>
      </c>
      <c r="E597" s="4101" t="s">
        <v>441</v>
      </c>
      <c r="F597" s="4049"/>
      <c r="G597" s="4059"/>
      <c r="H597" s="4060" t="s">
        <v>308</v>
      </c>
      <c r="I597" s="4060" t="s">
        <v>75</v>
      </c>
      <c r="J597" s="4669">
        <v>0</v>
      </c>
      <c r="K597" s="4665">
        <v>0</v>
      </c>
      <c r="L597" s="4669">
        <f>SUM(L598:L608)</f>
        <v>0</v>
      </c>
      <c r="M597" s="4666">
        <f t="shared" si="94"/>
        <v>0</v>
      </c>
      <c r="N597" s="4669">
        <v>0</v>
      </c>
      <c r="O597" s="4716">
        <f t="shared" si="95"/>
        <v>0</v>
      </c>
      <c r="P597" s="4061">
        <v>0</v>
      </c>
      <c r="Q597" s="4839"/>
    </row>
    <row r="598" spans="1:17" s="2070" customFormat="1" hidden="1">
      <c r="A598" s="4048"/>
      <c r="B598" s="4048"/>
      <c r="C598" s="4048"/>
      <c r="D598" s="4048"/>
      <c r="E598" s="4048"/>
      <c r="F598" s="4049"/>
      <c r="G598" s="4059"/>
      <c r="H598" s="4193">
        <v>1</v>
      </c>
      <c r="I598" s="4060" t="s">
        <v>320</v>
      </c>
      <c r="J598" s="2466">
        <v>0</v>
      </c>
      <c r="K598" s="4665">
        <v>0</v>
      </c>
      <c r="L598" s="2491">
        <f>'[2]ALL BULAN'!E549</f>
        <v>0</v>
      </c>
      <c r="M598" s="4666">
        <f t="shared" si="94"/>
        <v>0</v>
      </c>
      <c r="N598" s="2466">
        <v>0</v>
      </c>
      <c r="O598" s="4716">
        <f t="shared" si="95"/>
        <v>0</v>
      </c>
      <c r="P598" s="4061">
        <v>0</v>
      </c>
      <c r="Q598" s="4839"/>
    </row>
    <row r="599" spans="1:17" s="2070" customFormat="1" hidden="1">
      <c r="A599" s="4048"/>
      <c r="B599" s="4048"/>
      <c r="C599" s="4048"/>
      <c r="D599" s="4048"/>
      <c r="E599" s="4048"/>
      <c r="F599" s="4049"/>
      <c r="G599" s="4059"/>
      <c r="H599" s="4193">
        <v>2</v>
      </c>
      <c r="I599" s="4060" t="s">
        <v>310</v>
      </c>
      <c r="J599" s="2466">
        <v>0</v>
      </c>
      <c r="K599" s="4665">
        <v>0</v>
      </c>
      <c r="L599" s="2491">
        <f>'[2]ALL BULAN'!E550</f>
        <v>0</v>
      </c>
      <c r="M599" s="4666">
        <f t="shared" si="94"/>
        <v>0</v>
      </c>
      <c r="N599" s="2466">
        <v>0</v>
      </c>
      <c r="O599" s="4716">
        <f t="shared" si="95"/>
        <v>0</v>
      </c>
      <c r="P599" s="4061">
        <v>0</v>
      </c>
      <c r="Q599" s="4839"/>
    </row>
    <row r="600" spans="1:17" s="2070" customFormat="1" hidden="1">
      <c r="A600" s="4048"/>
      <c r="B600" s="4048"/>
      <c r="C600" s="4048"/>
      <c r="D600" s="4048"/>
      <c r="E600" s="4048"/>
      <c r="F600" s="4049"/>
      <c r="G600" s="4059"/>
      <c r="H600" s="4193">
        <v>3</v>
      </c>
      <c r="I600" s="4060" t="s">
        <v>311</v>
      </c>
      <c r="J600" s="2466">
        <v>0</v>
      </c>
      <c r="K600" s="4665">
        <v>0</v>
      </c>
      <c r="L600" s="2491">
        <f>'[2]ALL BULAN'!E551</f>
        <v>0</v>
      </c>
      <c r="M600" s="4666">
        <f t="shared" si="94"/>
        <v>0</v>
      </c>
      <c r="N600" s="2466">
        <v>0</v>
      </c>
      <c r="O600" s="4716">
        <f t="shared" si="95"/>
        <v>0</v>
      </c>
      <c r="P600" s="4061">
        <v>0</v>
      </c>
      <c r="Q600" s="4839"/>
    </row>
    <row r="601" spans="1:17" s="2070" customFormat="1" hidden="1">
      <c r="A601" s="4048"/>
      <c r="B601" s="4048"/>
      <c r="C601" s="4048"/>
      <c r="D601" s="4048"/>
      <c r="E601" s="4048"/>
      <c r="F601" s="4049"/>
      <c r="G601" s="4059"/>
      <c r="H601" s="4193">
        <v>4</v>
      </c>
      <c r="I601" s="4060" t="s">
        <v>312</v>
      </c>
      <c r="J601" s="2466">
        <v>0</v>
      </c>
      <c r="K601" s="4665">
        <v>0</v>
      </c>
      <c r="L601" s="2491">
        <f>'[2]ALL BULAN'!E552</f>
        <v>0</v>
      </c>
      <c r="M601" s="4666">
        <f t="shared" ref="M601:M626" si="96">SUM(K601:L601)</f>
        <v>0</v>
      </c>
      <c r="N601" s="2466">
        <v>0</v>
      </c>
      <c r="O601" s="4716">
        <f t="shared" si="95"/>
        <v>0</v>
      </c>
      <c r="P601" s="4061">
        <v>0</v>
      </c>
      <c r="Q601" s="4839"/>
    </row>
    <row r="602" spans="1:17" s="2070" customFormat="1" hidden="1">
      <c r="A602" s="4048"/>
      <c r="B602" s="4048"/>
      <c r="C602" s="4048"/>
      <c r="D602" s="4048"/>
      <c r="E602" s="4048"/>
      <c r="F602" s="4049"/>
      <c r="G602" s="4059"/>
      <c r="H602" s="4193">
        <v>5</v>
      </c>
      <c r="I602" s="4060" t="s">
        <v>313</v>
      </c>
      <c r="J602" s="2466">
        <v>0</v>
      </c>
      <c r="K602" s="4665">
        <v>0</v>
      </c>
      <c r="L602" s="2491">
        <f>'[2]ALL BULAN'!E553</f>
        <v>0</v>
      </c>
      <c r="M602" s="4666">
        <f t="shared" si="96"/>
        <v>0</v>
      </c>
      <c r="N602" s="2466">
        <v>0</v>
      </c>
      <c r="O602" s="4716">
        <f t="shared" si="95"/>
        <v>0</v>
      </c>
      <c r="P602" s="4061">
        <v>0</v>
      </c>
      <c r="Q602" s="4839"/>
    </row>
    <row r="603" spans="1:17" s="2070" customFormat="1" hidden="1">
      <c r="A603" s="4048"/>
      <c r="B603" s="4048"/>
      <c r="C603" s="4048"/>
      <c r="D603" s="4048"/>
      <c r="E603" s="4048"/>
      <c r="F603" s="4049"/>
      <c r="G603" s="4059"/>
      <c r="H603" s="4193">
        <v>6</v>
      </c>
      <c r="I603" s="4060" t="s">
        <v>465</v>
      </c>
      <c r="J603" s="2466">
        <v>0</v>
      </c>
      <c r="K603" s="4665">
        <v>0</v>
      </c>
      <c r="L603" s="2491">
        <f>'[2]ALL BULAN'!E554</f>
        <v>0</v>
      </c>
      <c r="M603" s="4666">
        <f t="shared" si="96"/>
        <v>0</v>
      </c>
      <c r="N603" s="2466">
        <v>0</v>
      </c>
      <c r="O603" s="4716">
        <f t="shared" si="95"/>
        <v>0</v>
      </c>
      <c r="P603" s="4061">
        <v>0</v>
      </c>
      <c r="Q603" s="4839"/>
    </row>
    <row r="604" spans="1:17" s="2070" customFormat="1" hidden="1">
      <c r="A604" s="4048"/>
      <c r="B604" s="4048"/>
      <c r="C604" s="4048"/>
      <c r="D604" s="4048"/>
      <c r="E604" s="4048"/>
      <c r="F604" s="4049"/>
      <c r="G604" s="4059"/>
      <c r="H604" s="4193">
        <v>7</v>
      </c>
      <c r="I604" s="4060" t="s">
        <v>466</v>
      </c>
      <c r="J604" s="2466"/>
      <c r="K604" s="4665"/>
      <c r="L604" s="2491"/>
      <c r="M604" s="4666"/>
      <c r="N604" s="2466"/>
      <c r="O604" s="4716">
        <f t="shared" si="95"/>
        <v>0</v>
      </c>
      <c r="P604" s="4061"/>
      <c r="Q604" s="4839"/>
    </row>
    <row r="605" spans="1:17" s="2070" customFormat="1" hidden="1">
      <c r="A605" s="4048"/>
      <c r="B605" s="4048"/>
      <c r="C605" s="4048"/>
      <c r="D605" s="4048"/>
      <c r="E605" s="4048"/>
      <c r="F605" s="4049"/>
      <c r="G605" s="4067"/>
      <c r="H605" s="4193">
        <v>8</v>
      </c>
      <c r="I605" s="4060" t="s">
        <v>315</v>
      </c>
      <c r="J605" s="2466">
        <v>0</v>
      </c>
      <c r="K605" s="4665">
        <v>0</v>
      </c>
      <c r="L605" s="2491">
        <f>'[2]ALL BULAN'!E555</f>
        <v>0</v>
      </c>
      <c r="M605" s="4666">
        <f t="shared" si="96"/>
        <v>0</v>
      </c>
      <c r="N605" s="2466">
        <v>0</v>
      </c>
      <c r="O605" s="4716">
        <f t="shared" si="95"/>
        <v>0</v>
      </c>
      <c r="P605" s="4061">
        <v>0</v>
      </c>
      <c r="Q605" s="4839"/>
    </row>
    <row r="606" spans="1:17" s="2070" customFormat="1" hidden="1">
      <c r="A606" s="4048"/>
      <c r="B606" s="4048"/>
      <c r="C606" s="4048"/>
      <c r="D606" s="4048"/>
      <c r="E606" s="4048"/>
      <c r="F606" s="4049"/>
      <c r="G606" s="4067"/>
      <c r="H606" s="4193">
        <v>9</v>
      </c>
      <c r="I606" s="4060" t="s">
        <v>316</v>
      </c>
      <c r="J606" s="2466">
        <v>0</v>
      </c>
      <c r="K606" s="4665">
        <v>0</v>
      </c>
      <c r="L606" s="2491">
        <f>'[2]ALL BULAN'!E556</f>
        <v>0</v>
      </c>
      <c r="M606" s="4666">
        <f t="shared" si="96"/>
        <v>0</v>
      </c>
      <c r="N606" s="2466">
        <v>0</v>
      </c>
      <c r="O606" s="4716">
        <f t="shared" si="95"/>
        <v>0</v>
      </c>
      <c r="P606" s="4061">
        <v>0</v>
      </c>
      <c r="Q606" s="4839"/>
    </row>
    <row r="607" spans="1:17" s="2070" customFormat="1" hidden="1">
      <c r="A607" s="4048"/>
      <c r="B607" s="4048"/>
      <c r="C607" s="4048"/>
      <c r="D607" s="4048"/>
      <c r="E607" s="4048"/>
      <c r="F607" s="4049"/>
      <c r="G607" s="4067"/>
      <c r="H607" s="4193">
        <v>10</v>
      </c>
      <c r="I607" s="4060" t="s">
        <v>317</v>
      </c>
      <c r="J607" s="2466">
        <v>0</v>
      </c>
      <c r="K607" s="4665">
        <v>0</v>
      </c>
      <c r="L607" s="2491">
        <f>'[2]ALL BULAN'!E557</f>
        <v>0</v>
      </c>
      <c r="M607" s="4666">
        <f t="shared" si="96"/>
        <v>0</v>
      </c>
      <c r="N607" s="2466">
        <v>0</v>
      </c>
      <c r="O607" s="4716">
        <f t="shared" si="95"/>
        <v>0</v>
      </c>
      <c r="P607" s="4061">
        <v>0</v>
      </c>
      <c r="Q607" s="4839"/>
    </row>
    <row r="608" spans="1:17" s="2070" customFormat="1" hidden="1">
      <c r="A608" s="4048"/>
      <c r="B608" s="4048"/>
      <c r="C608" s="4048"/>
      <c r="D608" s="4048"/>
      <c r="E608" s="4048"/>
      <c r="F608" s="4049"/>
      <c r="G608" s="4067"/>
      <c r="H608" s="4193">
        <v>11</v>
      </c>
      <c r="I608" s="4060" t="s">
        <v>318</v>
      </c>
      <c r="J608" s="2466">
        <v>0</v>
      </c>
      <c r="K608" s="4665">
        <v>0</v>
      </c>
      <c r="L608" s="2491">
        <f>'[2]ALL BULAN'!E558</f>
        <v>0</v>
      </c>
      <c r="M608" s="4666">
        <f t="shared" si="96"/>
        <v>0</v>
      </c>
      <c r="N608" s="2466">
        <v>0</v>
      </c>
      <c r="O608" s="4716">
        <f t="shared" si="95"/>
        <v>0</v>
      </c>
      <c r="P608" s="4061">
        <v>0</v>
      </c>
      <c r="Q608" s="4839"/>
    </row>
    <row r="609" spans="1:17" s="2070" customFormat="1" ht="5.35" customHeight="1">
      <c r="A609" s="4048"/>
      <c r="B609" s="4048"/>
      <c r="C609" s="4048"/>
      <c r="D609" s="4048"/>
      <c r="E609" s="4048"/>
      <c r="F609" s="4049"/>
      <c r="G609" s="4067"/>
      <c r="H609" s="4193"/>
      <c r="I609" s="4060"/>
      <c r="J609" s="4671"/>
      <c r="K609" s="4665">
        <v>0</v>
      </c>
      <c r="L609" s="4671"/>
      <c r="M609" s="4666">
        <f t="shared" si="96"/>
        <v>0</v>
      </c>
      <c r="N609" s="4671"/>
      <c r="O609" s="4716">
        <f t="shared" si="95"/>
        <v>0</v>
      </c>
      <c r="P609" s="4061">
        <f>O609-K609</f>
        <v>0</v>
      </c>
      <c r="Q609" s="4839"/>
    </row>
    <row r="610" spans="1:17" s="2070" customFormat="1">
      <c r="A610" s="4048"/>
      <c r="B610" s="4048"/>
      <c r="C610" s="4048"/>
      <c r="D610" s="4048"/>
      <c r="E610" s="4048"/>
      <c r="F610" s="4049"/>
      <c r="G610" s="4067" t="s">
        <v>308</v>
      </c>
      <c r="H610" s="4068" t="s">
        <v>321</v>
      </c>
      <c r="I610" s="4060"/>
      <c r="J610" s="4546">
        <v>0</v>
      </c>
      <c r="K610" s="2159">
        <v>275500000</v>
      </c>
      <c r="L610" s="4585">
        <v>137750000</v>
      </c>
      <c r="M610" s="4253">
        <f t="shared" si="96"/>
        <v>413250000</v>
      </c>
      <c r="N610" s="4546">
        <v>0</v>
      </c>
      <c r="O610" s="4716">
        <f t="shared" si="95"/>
        <v>0</v>
      </c>
      <c r="P610" s="4061">
        <v>0</v>
      </c>
      <c r="Q610" s="4839"/>
    </row>
    <row r="611" spans="1:17" s="2070" customFormat="1" ht="4.55" customHeight="1">
      <c r="A611" s="4048"/>
      <c r="B611" s="4048"/>
      <c r="C611" s="4048"/>
      <c r="D611" s="4048"/>
      <c r="E611" s="4048"/>
      <c r="F611" s="4049"/>
      <c r="G611" s="4067"/>
      <c r="H611" s="4068"/>
      <c r="I611" s="4060"/>
      <c r="J611" s="4546"/>
      <c r="K611" s="2159">
        <v>0</v>
      </c>
      <c r="L611" s="4546"/>
      <c r="M611" s="4253">
        <f t="shared" si="96"/>
        <v>0</v>
      </c>
      <c r="N611" s="4546"/>
      <c r="O611" s="4716">
        <f t="shared" si="95"/>
        <v>0</v>
      </c>
      <c r="P611" s="4061">
        <f>O611-K611</f>
        <v>0</v>
      </c>
      <c r="Q611" s="4839"/>
    </row>
    <row r="612" spans="1:17" s="2070" customFormat="1">
      <c r="A612" s="4048"/>
      <c r="B612" s="4048"/>
      <c r="C612" s="4048"/>
      <c r="D612" s="4048"/>
      <c r="E612" s="4048"/>
      <c r="F612" s="4049"/>
      <c r="G612" s="4067" t="s">
        <v>308</v>
      </c>
      <c r="H612" s="4068" t="s">
        <v>322</v>
      </c>
      <c r="I612" s="4060"/>
      <c r="J612" s="1964">
        <v>0</v>
      </c>
      <c r="K612" s="2159">
        <v>0</v>
      </c>
      <c r="L612" s="2160">
        <f>'[2]ALL BULAN'!E562</f>
        <v>0</v>
      </c>
      <c r="M612" s="4253">
        <f t="shared" si="96"/>
        <v>0</v>
      </c>
      <c r="N612" s="1964">
        <v>0</v>
      </c>
      <c r="O612" s="4716">
        <f t="shared" si="95"/>
        <v>0</v>
      </c>
      <c r="P612" s="4061">
        <v>0</v>
      </c>
      <c r="Q612" s="4839"/>
    </row>
    <row r="613" spans="1:17" s="2070" customFormat="1" ht="5.35" customHeight="1">
      <c r="A613" s="4048"/>
      <c r="B613" s="4048"/>
      <c r="C613" s="4048"/>
      <c r="D613" s="4048"/>
      <c r="E613" s="4048"/>
      <c r="F613" s="4049"/>
      <c r="G613" s="4067"/>
      <c r="H613" s="4068"/>
      <c r="I613" s="4060"/>
      <c r="J613" s="4542"/>
      <c r="K613" s="2159">
        <v>0</v>
      </c>
      <c r="L613" s="4542"/>
      <c r="M613" s="4253">
        <f t="shared" si="96"/>
        <v>0</v>
      </c>
      <c r="N613" s="4542"/>
      <c r="O613" s="4716">
        <f t="shared" si="95"/>
        <v>0</v>
      </c>
      <c r="P613" s="4061">
        <f>O613-K613</f>
        <v>0</v>
      </c>
      <c r="Q613" s="4839"/>
    </row>
    <row r="614" spans="1:17" s="2070" customFormat="1">
      <c r="A614" s="4048"/>
      <c r="B614" s="4048"/>
      <c r="C614" s="4048"/>
      <c r="D614" s="4048"/>
      <c r="E614" s="4048"/>
      <c r="F614" s="4049"/>
      <c r="G614" s="4067" t="s">
        <v>308</v>
      </c>
      <c r="H614" s="5761" t="s">
        <v>323</v>
      </c>
      <c r="I614" s="5761"/>
      <c r="J614" s="4542">
        <v>0</v>
      </c>
      <c r="K614" s="2159">
        <v>457925000</v>
      </c>
      <c r="L614" s="4542">
        <f>SUM(L615:L624)</f>
        <v>274025000</v>
      </c>
      <c r="M614" s="4253">
        <f t="shared" si="96"/>
        <v>731950000</v>
      </c>
      <c r="N614" s="4542">
        <v>0</v>
      </c>
      <c r="O614" s="4716">
        <f t="shared" si="95"/>
        <v>0</v>
      </c>
      <c r="P614" s="4061">
        <v>0</v>
      </c>
      <c r="Q614" s="4839"/>
    </row>
    <row r="615" spans="1:17" s="2070" customFormat="1" hidden="1">
      <c r="A615" s="4048"/>
      <c r="B615" s="4048"/>
      <c r="C615" s="4048"/>
      <c r="D615" s="4048"/>
      <c r="E615" s="4048"/>
      <c r="F615" s="4049"/>
      <c r="G615" s="4067"/>
      <c r="H615" s="4193"/>
      <c r="I615" s="4060" t="s">
        <v>310</v>
      </c>
      <c r="J615" s="1964">
        <v>0</v>
      </c>
      <c r="K615" s="2159">
        <v>98675000</v>
      </c>
      <c r="L615" s="2450">
        <v>46375000</v>
      </c>
      <c r="M615" s="4583">
        <f t="shared" si="96"/>
        <v>145050000</v>
      </c>
      <c r="N615" s="1964">
        <v>0</v>
      </c>
      <c r="O615" s="4716">
        <f t="shared" si="95"/>
        <v>0</v>
      </c>
      <c r="P615" s="4061">
        <v>0</v>
      </c>
      <c r="Q615" s="4839"/>
    </row>
    <row r="616" spans="1:17" s="2070" customFormat="1" hidden="1">
      <c r="A616" s="4048"/>
      <c r="B616" s="4048"/>
      <c r="C616" s="4048"/>
      <c r="D616" s="4048"/>
      <c r="E616" s="4048"/>
      <c r="F616" s="4049"/>
      <c r="G616" s="4067"/>
      <c r="H616" s="4193"/>
      <c r="I616" s="4060" t="s">
        <v>311</v>
      </c>
      <c r="J616" s="1964">
        <v>0</v>
      </c>
      <c r="K616" s="2159">
        <v>70250000</v>
      </c>
      <c r="L616" s="2160">
        <v>103425000</v>
      </c>
      <c r="M616" s="4253">
        <f t="shared" si="96"/>
        <v>173675000</v>
      </c>
      <c r="N616" s="1964">
        <v>0</v>
      </c>
      <c r="O616" s="4716">
        <f t="shared" si="95"/>
        <v>0</v>
      </c>
      <c r="P616" s="4061">
        <v>0</v>
      </c>
      <c r="Q616" s="4839"/>
    </row>
    <row r="617" spans="1:17" s="2070" customFormat="1" hidden="1">
      <c r="A617" s="4048"/>
      <c r="B617" s="4048"/>
      <c r="C617" s="4048"/>
      <c r="D617" s="4048"/>
      <c r="E617" s="4048"/>
      <c r="F617" s="4049"/>
      <c r="G617" s="4067"/>
      <c r="H617" s="4193"/>
      <c r="I617" s="4060" t="s">
        <v>312</v>
      </c>
      <c r="J617" s="1964">
        <v>0</v>
      </c>
      <c r="K617" s="2159">
        <v>95350000</v>
      </c>
      <c r="L617" s="2160">
        <v>42725000</v>
      </c>
      <c r="M617" s="4253">
        <f t="shared" si="96"/>
        <v>138075000</v>
      </c>
      <c r="N617" s="1964">
        <v>0</v>
      </c>
      <c r="O617" s="4716">
        <f t="shared" si="95"/>
        <v>0</v>
      </c>
      <c r="P617" s="4061">
        <v>0</v>
      </c>
      <c r="Q617" s="4839"/>
    </row>
    <row r="618" spans="1:17" s="2070" customFormat="1" hidden="1">
      <c r="A618" s="4048"/>
      <c r="B618" s="4048"/>
      <c r="C618" s="4048"/>
      <c r="D618" s="4048"/>
      <c r="E618" s="4048"/>
      <c r="F618" s="4049"/>
      <c r="G618" s="4067"/>
      <c r="H618" s="4193"/>
      <c r="I618" s="4060" t="s">
        <v>313</v>
      </c>
      <c r="J618" s="1964">
        <v>0</v>
      </c>
      <c r="K618" s="2159">
        <v>49650000</v>
      </c>
      <c r="L618" s="2450">
        <v>14725000</v>
      </c>
      <c r="M618" s="4583">
        <f t="shared" si="96"/>
        <v>64375000</v>
      </c>
      <c r="N618" s="1964">
        <v>0</v>
      </c>
      <c r="O618" s="4716">
        <f t="shared" si="95"/>
        <v>0</v>
      </c>
      <c r="P618" s="4061">
        <v>0</v>
      </c>
      <c r="Q618" s="4839"/>
    </row>
    <row r="619" spans="1:17" s="2070" customFormat="1" hidden="1">
      <c r="A619" s="4048"/>
      <c r="B619" s="4048"/>
      <c r="C619" s="4048"/>
      <c r="D619" s="4048"/>
      <c r="E619" s="4048"/>
      <c r="F619" s="4049"/>
      <c r="G619" s="4067"/>
      <c r="H619" s="4193"/>
      <c r="I619" s="4060" t="s">
        <v>465</v>
      </c>
      <c r="J619" s="1964">
        <v>0</v>
      </c>
      <c r="K619" s="2159">
        <v>16975000</v>
      </c>
      <c r="L619" s="2160">
        <v>8525000</v>
      </c>
      <c r="M619" s="4253">
        <f t="shared" si="96"/>
        <v>25500000</v>
      </c>
      <c r="N619" s="1964">
        <v>0</v>
      </c>
      <c r="O619" s="4716">
        <f t="shared" si="95"/>
        <v>0</v>
      </c>
      <c r="P619" s="4061">
        <v>0</v>
      </c>
      <c r="Q619" s="4839"/>
    </row>
    <row r="620" spans="1:17" s="2070" customFormat="1" hidden="1">
      <c r="A620" s="4048"/>
      <c r="B620" s="4048"/>
      <c r="C620" s="4048"/>
      <c r="D620" s="4048"/>
      <c r="E620" s="4048"/>
      <c r="F620" s="4049"/>
      <c r="G620" s="4067"/>
      <c r="H620" s="4193"/>
      <c r="I620" s="4060" t="s">
        <v>466</v>
      </c>
      <c r="J620" s="1964">
        <v>0</v>
      </c>
      <c r="K620" s="2159">
        <v>13000000</v>
      </c>
      <c r="L620" s="2160">
        <v>6250000</v>
      </c>
      <c r="M620" s="4253">
        <f t="shared" si="96"/>
        <v>19250000</v>
      </c>
      <c r="N620" s="1964">
        <v>0</v>
      </c>
      <c r="O620" s="4716">
        <f t="shared" si="95"/>
        <v>0</v>
      </c>
      <c r="P620" s="4061">
        <v>0</v>
      </c>
      <c r="Q620" s="4839"/>
    </row>
    <row r="621" spans="1:17" s="2070" customFormat="1" hidden="1">
      <c r="A621" s="4048"/>
      <c r="B621" s="4048"/>
      <c r="C621" s="4048"/>
      <c r="D621" s="4048"/>
      <c r="E621" s="4048"/>
      <c r="F621" s="4049"/>
      <c r="G621" s="4067"/>
      <c r="H621" s="4193"/>
      <c r="I621" s="4060" t="s">
        <v>315</v>
      </c>
      <c r="J621" s="1964">
        <v>0</v>
      </c>
      <c r="K621" s="2159">
        <v>10775000</v>
      </c>
      <c r="L621" s="2160">
        <v>3550000</v>
      </c>
      <c r="M621" s="4253">
        <f t="shared" si="96"/>
        <v>14325000</v>
      </c>
      <c r="N621" s="1964">
        <v>0</v>
      </c>
      <c r="O621" s="4716">
        <f t="shared" si="95"/>
        <v>0</v>
      </c>
      <c r="P621" s="4061">
        <v>0</v>
      </c>
      <c r="Q621" s="4839"/>
    </row>
    <row r="622" spans="1:17" s="2070" customFormat="1" hidden="1">
      <c r="A622" s="4048"/>
      <c r="B622" s="4048"/>
      <c r="C622" s="4048"/>
      <c r="D622" s="4048"/>
      <c r="E622" s="4048"/>
      <c r="F622" s="4049"/>
      <c r="G622" s="4067"/>
      <c r="H622" s="4193"/>
      <c r="I622" s="4060" t="s">
        <v>316</v>
      </c>
      <c r="J622" s="1964">
        <v>0</v>
      </c>
      <c r="K622" s="2159">
        <v>85725000</v>
      </c>
      <c r="L622" s="2450">
        <v>40875000</v>
      </c>
      <c r="M622" s="4583">
        <f t="shared" si="96"/>
        <v>126600000</v>
      </c>
      <c r="N622" s="1964">
        <v>0</v>
      </c>
      <c r="O622" s="4716">
        <f t="shared" si="95"/>
        <v>0</v>
      </c>
      <c r="P622" s="4061">
        <v>0</v>
      </c>
      <c r="Q622" s="4839"/>
    </row>
    <row r="623" spans="1:17" s="2070" customFormat="1" hidden="1">
      <c r="A623" s="4048"/>
      <c r="B623" s="4048"/>
      <c r="C623" s="4048"/>
      <c r="D623" s="4048"/>
      <c r="E623" s="4048"/>
      <c r="F623" s="4049"/>
      <c r="G623" s="4067"/>
      <c r="H623" s="4193"/>
      <c r="I623" s="4060" t="s">
        <v>317</v>
      </c>
      <c r="J623" s="1964">
        <v>0</v>
      </c>
      <c r="K623" s="2159">
        <v>17525000</v>
      </c>
      <c r="L623" s="2160">
        <v>7575000</v>
      </c>
      <c r="M623" s="4253">
        <f t="shared" si="96"/>
        <v>25100000</v>
      </c>
      <c r="N623" s="1964">
        <v>0</v>
      </c>
      <c r="O623" s="4716">
        <f t="shared" si="95"/>
        <v>0</v>
      </c>
      <c r="P623" s="4061">
        <v>0</v>
      </c>
      <c r="Q623" s="4839"/>
    </row>
    <row r="624" spans="1:17" s="2070" customFormat="1" hidden="1">
      <c r="A624" s="4048"/>
      <c r="B624" s="4048"/>
      <c r="C624" s="4048"/>
      <c r="D624" s="4048"/>
      <c r="E624" s="4048"/>
      <c r="F624" s="4049"/>
      <c r="G624" s="4067"/>
      <c r="H624" s="4193"/>
      <c r="I624" s="4060" t="s">
        <v>318</v>
      </c>
      <c r="J624" s="1964">
        <v>0</v>
      </c>
      <c r="K624" s="2159">
        <v>0</v>
      </c>
      <c r="L624" s="2160">
        <f>'[2]ALL BULAN'!E573</f>
        <v>0</v>
      </c>
      <c r="M624" s="4253">
        <f t="shared" si="96"/>
        <v>0</v>
      </c>
      <c r="N624" s="1964">
        <v>0</v>
      </c>
      <c r="O624" s="4716">
        <f t="shared" si="95"/>
        <v>0</v>
      </c>
      <c r="P624" s="4061">
        <f>O624-K624</f>
        <v>0</v>
      </c>
      <c r="Q624" s="4839"/>
    </row>
    <row r="625" spans="1:17" s="2070" customFormat="1">
      <c r="A625" s="4048"/>
      <c r="B625" s="4048"/>
      <c r="C625" s="4048"/>
      <c r="D625" s="4048"/>
      <c r="E625" s="4048"/>
      <c r="F625" s="4049"/>
      <c r="G625" s="4067" t="s">
        <v>308</v>
      </c>
      <c r="H625" s="5762" t="s">
        <v>85</v>
      </c>
      <c r="I625" s="5762"/>
      <c r="J625" s="4542">
        <v>0</v>
      </c>
      <c r="K625" s="2159">
        <v>0</v>
      </c>
      <c r="L625" s="4542">
        <f>SUM(L626)</f>
        <v>0</v>
      </c>
      <c r="M625" s="4253">
        <f t="shared" si="96"/>
        <v>0</v>
      </c>
      <c r="N625" s="4542">
        <v>0</v>
      </c>
      <c r="O625" s="4716">
        <f t="shared" si="95"/>
        <v>0</v>
      </c>
      <c r="P625" s="4061">
        <v>0</v>
      </c>
      <c r="Q625" s="4839"/>
    </row>
    <row r="626" spans="1:17" s="2070" customFormat="1">
      <c r="A626" s="4048"/>
      <c r="B626" s="4048"/>
      <c r="C626" s="4048"/>
      <c r="D626" s="4048"/>
      <c r="E626" s="4048"/>
      <c r="F626" s="4049"/>
      <c r="G626" s="4067"/>
      <c r="H626" s="4193"/>
      <c r="I626" s="4068" t="s">
        <v>324</v>
      </c>
      <c r="J626" s="1964">
        <v>0</v>
      </c>
      <c r="K626" s="2159">
        <v>0</v>
      </c>
      <c r="L626" s="2160">
        <f>'[2]ALL BULAN'!E575</f>
        <v>0</v>
      </c>
      <c r="M626" s="4253">
        <f t="shared" si="96"/>
        <v>0</v>
      </c>
      <c r="N626" s="1964">
        <v>0</v>
      </c>
      <c r="O626" s="4716">
        <f t="shared" si="95"/>
        <v>0</v>
      </c>
      <c r="P626" s="4061">
        <f>O626-K626</f>
        <v>0</v>
      </c>
      <c r="Q626" s="4839"/>
    </row>
    <row r="627" spans="1:17" s="2070" customFormat="1" ht="6.75" customHeight="1">
      <c r="A627" s="4048"/>
      <c r="B627" s="4048"/>
      <c r="C627" s="4048"/>
      <c r="D627" s="4048"/>
      <c r="E627" s="4048"/>
      <c r="F627" s="4049"/>
      <c r="G627" s="4102"/>
      <c r="H627" s="4083"/>
      <c r="I627" s="4083"/>
      <c r="J627" s="4548"/>
      <c r="K627" s="2183"/>
      <c r="L627" s="4548"/>
      <c r="M627" s="4549"/>
      <c r="N627" s="4549"/>
      <c r="O627" s="4549"/>
      <c r="P627" s="4172"/>
      <c r="Q627" s="4839"/>
    </row>
    <row r="628" spans="1:17" s="2073" customFormat="1" ht="15.65">
      <c r="A628" s="4039"/>
      <c r="B628" s="4039"/>
      <c r="C628" s="4039"/>
      <c r="D628" s="4039"/>
      <c r="E628" s="4039"/>
      <c r="F628" s="4040"/>
      <c r="G628" s="4041" t="s">
        <v>325</v>
      </c>
      <c r="H628" s="4042" t="s">
        <v>326</v>
      </c>
      <c r="I628" s="4097"/>
      <c r="J628" s="4545">
        <f>SUM(J629+J642)</f>
        <v>4692225000</v>
      </c>
      <c r="K628" s="4520">
        <v>40000000</v>
      </c>
      <c r="L628" s="4545">
        <f>L631+L634+L642</f>
        <v>10625000</v>
      </c>
      <c r="M628" s="4545">
        <f t="shared" ref="M628:M649" si="97">SUM(K628:L628)</f>
        <v>50625000</v>
      </c>
      <c r="N628" s="4545" t="e">
        <f>SUM(N629+N642)</f>
        <v>#REF!</v>
      </c>
      <c r="O628" s="4821" t="e">
        <f>N628-J628</f>
        <v>#REF!</v>
      </c>
      <c r="P628" s="4044" t="e">
        <f>O628/J628*100</f>
        <v>#REF!</v>
      </c>
      <c r="Q628" s="4840"/>
    </row>
    <row r="629" spans="1:17" s="4099" customFormat="1">
      <c r="A629" s="4128"/>
      <c r="B629" s="4128"/>
      <c r="C629" s="4128"/>
      <c r="D629" s="4128"/>
      <c r="E629" s="4128"/>
      <c r="F629" s="4105">
        <v>1</v>
      </c>
      <c r="G629" s="4050"/>
      <c r="H629" s="4143" t="s">
        <v>106</v>
      </c>
      <c r="I629" s="4051"/>
      <c r="J629" s="4582">
        <f>J630</f>
        <v>300000000</v>
      </c>
      <c r="K629" s="2159">
        <v>40000000</v>
      </c>
      <c r="L629" s="4586">
        <f>L630</f>
        <v>10625000</v>
      </c>
      <c r="M629" s="4253">
        <f t="shared" si="97"/>
        <v>50625000</v>
      </c>
      <c r="N629" s="4253">
        <f>N630</f>
        <v>505600000</v>
      </c>
      <c r="O629" s="2188">
        <f t="shared" ref="O629:O649" si="98">N629-J629</f>
        <v>205600000</v>
      </c>
      <c r="P629" s="4061">
        <f>O629/J629*100</f>
        <v>68.533333333333331</v>
      </c>
      <c r="Q629" s="4839"/>
    </row>
    <row r="630" spans="1:17" s="4099" customFormat="1" ht="13.5" customHeight="1">
      <c r="A630" s="4046">
        <v>4</v>
      </c>
      <c r="B630" s="4046">
        <v>1</v>
      </c>
      <c r="C630" s="4046">
        <v>2</v>
      </c>
      <c r="D630" s="4047" t="s">
        <v>438</v>
      </c>
      <c r="E630" s="4128"/>
      <c r="F630" s="4105"/>
      <c r="G630" s="4055"/>
      <c r="H630" s="4056" t="s">
        <v>63</v>
      </c>
      <c r="I630" s="4056"/>
      <c r="J630" s="2482">
        <f>SUM(J631+J634)</f>
        <v>300000000</v>
      </c>
      <c r="K630" s="2159">
        <v>40000000</v>
      </c>
      <c r="L630" s="4587">
        <f>L631+L634</f>
        <v>10625000</v>
      </c>
      <c r="M630" s="4253">
        <f t="shared" si="97"/>
        <v>50625000</v>
      </c>
      <c r="N630" s="4253">
        <f>SUM(N631+N634)</f>
        <v>505600000</v>
      </c>
      <c r="O630" s="2188">
        <f t="shared" si="98"/>
        <v>205600000</v>
      </c>
      <c r="P630" s="4061">
        <f t="shared" ref="P630:P647" si="99">O630/J630*100</f>
        <v>68.533333333333331</v>
      </c>
      <c r="Q630" s="4839"/>
    </row>
    <row r="631" spans="1:17" s="4099" customFormat="1" ht="13.5" customHeight="1">
      <c r="A631" s="4046">
        <v>4</v>
      </c>
      <c r="B631" s="4046">
        <v>1</v>
      </c>
      <c r="C631" s="4046">
        <v>2</v>
      </c>
      <c r="D631" s="4047" t="s">
        <v>438</v>
      </c>
      <c r="E631" s="4093" t="s">
        <v>440</v>
      </c>
      <c r="F631" s="4105"/>
      <c r="G631" s="4067"/>
      <c r="H631" s="4064" t="s">
        <v>50</v>
      </c>
      <c r="I631" s="4068" t="s">
        <v>304</v>
      </c>
      <c r="J631" s="2465">
        <f>SUM(J632:J633)</f>
        <v>150000000</v>
      </c>
      <c r="K631" s="2159">
        <v>13050000</v>
      </c>
      <c r="L631" s="1964">
        <f>L633</f>
        <v>0</v>
      </c>
      <c r="M631" s="4253">
        <f t="shared" si="97"/>
        <v>13050000</v>
      </c>
      <c r="N631" s="4253">
        <f>N632</f>
        <v>265000000</v>
      </c>
      <c r="O631" s="2188">
        <f t="shared" si="98"/>
        <v>115000000</v>
      </c>
      <c r="P631" s="4061">
        <f t="shared" si="99"/>
        <v>76.666666666666671</v>
      </c>
      <c r="Q631" s="4839"/>
    </row>
    <row r="632" spans="1:17" s="4099" customFormat="1" ht="13.5" customHeight="1">
      <c r="A632" s="4250"/>
      <c r="B632" s="4250"/>
      <c r="C632" s="4250"/>
      <c r="D632" s="4251"/>
      <c r="E632" s="4252"/>
      <c r="F632" s="4105"/>
      <c r="G632" s="4067"/>
      <c r="H632" s="4064"/>
      <c r="I632" s="2727" t="s">
        <v>1226</v>
      </c>
      <c r="J632" s="2466">
        <v>125000000</v>
      </c>
      <c r="K632" s="2159"/>
      <c r="L632" s="1964"/>
      <c r="M632" s="4253"/>
      <c r="N632" s="4248">
        <v>265000000</v>
      </c>
      <c r="O632" s="2188">
        <f t="shared" si="98"/>
        <v>140000000</v>
      </c>
      <c r="P632" s="4061">
        <f t="shared" si="99"/>
        <v>112.00000000000001</v>
      </c>
      <c r="Q632" s="4839"/>
    </row>
    <row r="633" spans="1:17" s="2070" customFormat="1" ht="13.5" customHeight="1">
      <c r="A633" s="4048"/>
      <c r="B633" s="4048"/>
      <c r="C633" s="4048"/>
      <c r="D633" s="4048"/>
      <c r="E633" s="4048"/>
      <c r="F633" s="4049"/>
      <c r="G633" s="4067"/>
      <c r="H633" s="4060"/>
      <c r="I633" s="2727" t="s">
        <v>1227</v>
      </c>
      <c r="J633" s="2466">
        <v>25000000</v>
      </c>
      <c r="K633" s="2159">
        <v>13050000</v>
      </c>
      <c r="L633" s="2467">
        <v>0</v>
      </c>
      <c r="M633" s="4253">
        <f t="shared" si="97"/>
        <v>13050000</v>
      </c>
      <c r="N633" s="4248">
        <v>0</v>
      </c>
      <c r="O633" s="2188">
        <f t="shared" si="98"/>
        <v>-25000000</v>
      </c>
      <c r="P633" s="4061">
        <f t="shared" si="99"/>
        <v>-100</v>
      </c>
      <c r="Q633" s="4839"/>
    </row>
    <row r="634" spans="1:17" s="4099" customFormat="1" ht="13.5" customHeight="1">
      <c r="A634" s="4046">
        <v>4</v>
      </c>
      <c r="B634" s="4046">
        <v>1</v>
      </c>
      <c r="C634" s="4046">
        <v>2</v>
      </c>
      <c r="D634" s="4047" t="s">
        <v>438</v>
      </c>
      <c r="E634" s="4093" t="s">
        <v>437</v>
      </c>
      <c r="F634" s="4105"/>
      <c r="G634" s="4067"/>
      <c r="H634" s="4064" t="s">
        <v>50</v>
      </c>
      <c r="I634" s="4068" t="s">
        <v>64</v>
      </c>
      <c r="J634" s="2465">
        <f>SUM(J635:J637)</f>
        <v>150000000</v>
      </c>
      <c r="K634" s="2159">
        <v>26950000</v>
      </c>
      <c r="L634" s="2465">
        <f>SUM(L635:L640)</f>
        <v>10625000</v>
      </c>
      <c r="M634" s="4253">
        <f t="shared" si="97"/>
        <v>37575000</v>
      </c>
      <c r="N634" s="4253">
        <f>SUM(N635:N639)</f>
        <v>240600000</v>
      </c>
      <c r="O634" s="2188">
        <f t="shared" si="98"/>
        <v>90600000</v>
      </c>
      <c r="P634" s="4061">
        <f t="shared" si="99"/>
        <v>60.4</v>
      </c>
      <c r="Q634" s="4839"/>
    </row>
    <row r="635" spans="1:17" s="2070" customFormat="1" ht="13.5" customHeight="1">
      <c r="A635" s="4048"/>
      <c r="B635" s="4048"/>
      <c r="C635" s="4048"/>
      <c r="D635" s="4048"/>
      <c r="E635" s="4048"/>
      <c r="F635" s="4049"/>
      <c r="G635" s="4059"/>
      <c r="H635" s="4060"/>
      <c r="I635" s="2727" t="s">
        <v>1221</v>
      </c>
      <c r="J635" s="1964">
        <v>45000000</v>
      </c>
      <c r="K635" s="2159">
        <v>26950000</v>
      </c>
      <c r="L635" s="2160">
        <v>10625000</v>
      </c>
      <c r="M635" s="4253">
        <f t="shared" si="97"/>
        <v>37575000</v>
      </c>
      <c r="N635" s="4248">
        <v>95000000</v>
      </c>
      <c r="O635" s="2188">
        <f t="shared" si="98"/>
        <v>50000000</v>
      </c>
      <c r="P635" s="4061">
        <f t="shared" si="99"/>
        <v>111.11111111111111</v>
      </c>
      <c r="Q635" s="4839"/>
    </row>
    <row r="636" spans="1:17" s="2070" customFormat="1" ht="13.5" customHeight="1">
      <c r="A636" s="4048"/>
      <c r="B636" s="4048"/>
      <c r="C636" s="4048"/>
      <c r="D636" s="4048"/>
      <c r="E636" s="4048"/>
      <c r="F636" s="4049"/>
      <c r="G636" s="4059"/>
      <c r="H636" s="4060"/>
      <c r="I636" s="2727" t="s">
        <v>1222</v>
      </c>
      <c r="J636" s="1964">
        <v>50000000</v>
      </c>
      <c r="K636" s="2159"/>
      <c r="L636" s="2160"/>
      <c r="M636" s="4253"/>
      <c r="N636" s="1964">
        <v>50000000</v>
      </c>
      <c r="O636" s="2188">
        <f t="shared" si="98"/>
        <v>0</v>
      </c>
      <c r="P636" s="4061">
        <f t="shared" si="99"/>
        <v>0</v>
      </c>
      <c r="Q636" s="4839"/>
    </row>
    <row r="637" spans="1:17" s="2070" customFormat="1" ht="13.5" customHeight="1">
      <c r="A637" s="4048"/>
      <c r="B637" s="4048"/>
      <c r="C637" s="4048"/>
      <c r="D637" s="4048"/>
      <c r="E637" s="4048"/>
      <c r="F637" s="4049"/>
      <c r="G637" s="4059"/>
      <c r="H637" s="4060"/>
      <c r="I637" s="2727" t="s">
        <v>1223</v>
      </c>
      <c r="J637" s="1964">
        <v>55000000</v>
      </c>
      <c r="K637" s="2159"/>
      <c r="L637" s="2160"/>
      <c r="M637" s="4253"/>
      <c r="N637" s="4248">
        <v>85000000</v>
      </c>
      <c r="O637" s="2188">
        <f t="shared" si="98"/>
        <v>30000000</v>
      </c>
      <c r="P637" s="4061">
        <f t="shared" si="99"/>
        <v>54.54545454545454</v>
      </c>
      <c r="Q637" s="4839"/>
    </row>
    <row r="638" spans="1:17" s="2070" customFormat="1" ht="13.5" customHeight="1">
      <c r="A638" s="4048"/>
      <c r="B638" s="4048"/>
      <c r="C638" s="4048"/>
      <c r="D638" s="4048"/>
      <c r="E638" s="4048"/>
      <c r="F638" s="4049"/>
      <c r="G638" s="4059"/>
      <c r="H638" s="4060"/>
      <c r="I638" s="2727" t="s">
        <v>1224</v>
      </c>
      <c r="J638" s="1964">
        <v>0</v>
      </c>
      <c r="K638" s="2159"/>
      <c r="L638" s="2160"/>
      <c r="M638" s="4253"/>
      <c r="N638" s="4248">
        <v>7000000</v>
      </c>
      <c r="O638" s="2188">
        <f t="shared" si="98"/>
        <v>7000000</v>
      </c>
      <c r="P638" s="4061">
        <v>0</v>
      </c>
      <c r="Q638" s="4839"/>
    </row>
    <row r="639" spans="1:17" s="2070" customFormat="1" ht="13.5" customHeight="1">
      <c r="A639" s="4048"/>
      <c r="B639" s="4048"/>
      <c r="C639" s="4048"/>
      <c r="D639" s="4048"/>
      <c r="E639" s="4048"/>
      <c r="F639" s="4049"/>
      <c r="G639" s="4059"/>
      <c r="H639" s="4060"/>
      <c r="I639" s="2727" t="s">
        <v>1225</v>
      </c>
      <c r="J639" s="1964"/>
      <c r="K639" s="2159"/>
      <c r="L639" s="2160"/>
      <c r="M639" s="4253"/>
      <c r="N639" s="4248">
        <v>3600000</v>
      </c>
      <c r="O639" s="2188">
        <f t="shared" si="98"/>
        <v>3600000</v>
      </c>
      <c r="P639" s="4061">
        <v>0</v>
      </c>
      <c r="Q639" s="4839"/>
    </row>
    <row r="640" spans="1:17" s="2070" customFormat="1" ht="13.5" customHeight="1">
      <c r="A640" s="4048"/>
      <c r="B640" s="4048"/>
      <c r="C640" s="4048"/>
      <c r="D640" s="4048"/>
      <c r="E640" s="4048"/>
      <c r="F640" s="4049"/>
      <c r="G640" s="4059"/>
      <c r="H640" s="4060"/>
      <c r="I640" s="4062"/>
      <c r="J640" s="1964"/>
      <c r="K640" s="2159">
        <v>0</v>
      </c>
      <c r="L640" s="2160">
        <f>'[2]ALL BULAN'!E584</f>
        <v>0</v>
      </c>
      <c r="M640" s="4253">
        <f t="shared" si="97"/>
        <v>0</v>
      </c>
      <c r="N640" s="4253"/>
      <c r="O640" s="2188">
        <f t="shared" si="98"/>
        <v>0</v>
      </c>
      <c r="P640" s="4061">
        <v>0</v>
      </c>
      <c r="Q640" s="4839"/>
    </row>
    <row r="641" spans="1:17" s="2070" customFormat="1" ht="6.75" customHeight="1">
      <c r="A641" s="4048"/>
      <c r="B641" s="4048"/>
      <c r="C641" s="4048"/>
      <c r="D641" s="4048"/>
      <c r="E641" s="4048"/>
      <c r="F641" s="4049"/>
      <c r="G641" s="4067"/>
      <c r="H641" s="4060"/>
      <c r="I641" s="4060"/>
      <c r="J641" s="2468"/>
      <c r="K641" s="2159">
        <v>0</v>
      </c>
      <c r="L641" s="2468"/>
      <c r="M641" s="4253">
        <f t="shared" si="97"/>
        <v>0</v>
      </c>
      <c r="N641" s="4253"/>
      <c r="O641" s="2188">
        <f t="shared" si="98"/>
        <v>0</v>
      </c>
      <c r="P641" s="4061">
        <v>0</v>
      </c>
      <c r="Q641" s="4839"/>
    </row>
    <row r="642" spans="1:17" s="2070" customFormat="1">
      <c r="A642" s="4065">
        <v>4</v>
      </c>
      <c r="B642" s="4065">
        <v>1</v>
      </c>
      <c r="C642" s="4065">
        <v>4</v>
      </c>
      <c r="D642" s="4048"/>
      <c r="E642" s="4048"/>
      <c r="F642" s="4049">
        <v>3</v>
      </c>
      <c r="G642" s="4067"/>
      <c r="H642" s="4068" t="s">
        <v>71</v>
      </c>
      <c r="I642" s="4068"/>
      <c r="J642" s="4542">
        <f>J646</f>
        <v>4392225000</v>
      </c>
      <c r="K642" s="2159">
        <v>0</v>
      </c>
      <c r="L642" s="4542">
        <f>SUM(L643:L646)</f>
        <v>0</v>
      </c>
      <c r="M642" s="4253">
        <f t="shared" si="97"/>
        <v>0</v>
      </c>
      <c r="N642" s="4542" t="e">
        <f>N646</f>
        <v>#REF!</v>
      </c>
      <c r="O642" s="2188" t="e">
        <f t="shared" si="98"/>
        <v>#REF!</v>
      </c>
      <c r="P642" s="4061" t="e">
        <f t="shared" si="99"/>
        <v>#REF!</v>
      </c>
      <c r="Q642" s="4839"/>
    </row>
    <row r="643" spans="1:17" s="2070" customFormat="1">
      <c r="A643" s="4074">
        <v>4</v>
      </c>
      <c r="B643" s="4074">
        <v>1</v>
      </c>
      <c r="C643" s="4074" t="s">
        <v>443</v>
      </c>
      <c r="D643" s="4074" t="s">
        <v>444</v>
      </c>
      <c r="E643" s="4074" t="s">
        <v>440</v>
      </c>
      <c r="F643" s="4049"/>
      <c r="G643" s="4059"/>
      <c r="H643" s="4062" t="s">
        <v>50</v>
      </c>
      <c r="I643" s="4060" t="s">
        <v>73</v>
      </c>
      <c r="J643" s="1964">
        <v>0</v>
      </c>
      <c r="K643" s="2159">
        <v>0</v>
      </c>
      <c r="L643" s="2160">
        <f>'[2]ALL BULAN'!E587</f>
        <v>0</v>
      </c>
      <c r="M643" s="4253">
        <f t="shared" si="97"/>
        <v>0</v>
      </c>
      <c r="N643" s="4253">
        <v>0</v>
      </c>
      <c r="O643" s="2188">
        <f t="shared" si="98"/>
        <v>0</v>
      </c>
      <c r="P643" s="4061">
        <v>0</v>
      </c>
      <c r="Q643" s="4839"/>
    </row>
    <row r="644" spans="1:17" s="2070" customFormat="1">
      <c r="A644" s="4069">
        <v>4</v>
      </c>
      <c r="B644" s="4069">
        <v>1</v>
      </c>
      <c r="C644" s="4069" t="s">
        <v>443</v>
      </c>
      <c r="D644" s="4069" t="s">
        <v>444</v>
      </c>
      <c r="E644" s="4070" t="s">
        <v>445</v>
      </c>
      <c r="F644" s="4049"/>
      <c r="G644" s="4059"/>
      <c r="H644" s="4062" t="s">
        <v>50</v>
      </c>
      <c r="I644" s="4060" t="s">
        <v>74</v>
      </c>
      <c r="J644" s="1964">
        <v>0</v>
      </c>
      <c r="K644" s="2159">
        <v>0</v>
      </c>
      <c r="L644" s="2160">
        <f>'[2]ALL BULAN'!E588</f>
        <v>0</v>
      </c>
      <c r="M644" s="4253">
        <f t="shared" si="97"/>
        <v>0</v>
      </c>
      <c r="N644" s="4253">
        <v>0</v>
      </c>
      <c r="O644" s="2188">
        <f t="shared" si="98"/>
        <v>0</v>
      </c>
      <c r="P644" s="4061">
        <v>0</v>
      </c>
      <c r="Q644" s="4839"/>
    </row>
    <row r="645" spans="1:17" s="2070" customFormat="1">
      <c r="A645" s="4101">
        <v>4</v>
      </c>
      <c r="B645" s="4101">
        <v>1</v>
      </c>
      <c r="C645" s="4101" t="s">
        <v>443</v>
      </c>
      <c r="D645" s="4101" t="s">
        <v>444</v>
      </c>
      <c r="E645" s="4101" t="s">
        <v>441</v>
      </c>
      <c r="F645" s="4049"/>
      <c r="G645" s="4059"/>
      <c r="H645" s="4060" t="s">
        <v>308</v>
      </c>
      <c r="I645" s="4060" t="s">
        <v>75</v>
      </c>
      <c r="J645" s="1964">
        <v>0</v>
      </c>
      <c r="K645" s="2159">
        <v>0</v>
      </c>
      <c r="L645" s="2160">
        <f>'[2]ALL BULAN'!E589</f>
        <v>0</v>
      </c>
      <c r="M645" s="4253">
        <f t="shared" si="97"/>
        <v>0</v>
      </c>
      <c r="N645" s="4253">
        <v>0</v>
      </c>
      <c r="O645" s="2188">
        <f t="shared" si="98"/>
        <v>0</v>
      </c>
      <c r="P645" s="4061">
        <v>0</v>
      </c>
      <c r="Q645" s="4839"/>
    </row>
    <row r="646" spans="1:17" s="2070" customFormat="1">
      <c r="A646" s="4048"/>
      <c r="B646" s="4048"/>
      <c r="C646" s="4048"/>
      <c r="D646" s="4048"/>
      <c r="E646" s="4048"/>
      <c r="F646" s="4049"/>
      <c r="G646" s="4059"/>
      <c r="H646" s="4064" t="s">
        <v>50</v>
      </c>
      <c r="I646" s="4068" t="s">
        <v>329</v>
      </c>
      <c r="J646" s="2465">
        <f>J647</f>
        <v>4392225000</v>
      </c>
      <c r="K646" s="2159">
        <v>0</v>
      </c>
      <c r="L646" s="2465">
        <f>SUM(L647:L649)</f>
        <v>0</v>
      </c>
      <c r="M646" s="4253">
        <f t="shared" si="97"/>
        <v>0</v>
      </c>
      <c r="N646" s="2465" t="e">
        <f>N647</f>
        <v>#REF!</v>
      </c>
      <c r="O646" s="2188" t="e">
        <f t="shared" si="98"/>
        <v>#REF!</v>
      </c>
      <c r="P646" s="4061" t="e">
        <f t="shared" si="99"/>
        <v>#REF!</v>
      </c>
      <c r="Q646" s="4839"/>
    </row>
    <row r="647" spans="1:17" s="2070" customFormat="1">
      <c r="A647" s="4048"/>
      <c r="B647" s="4048"/>
      <c r="C647" s="4048"/>
      <c r="D647" s="4048"/>
      <c r="E647" s="4048"/>
      <c r="F647" s="4049"/>
      <c r="G647" s="4080"/>
      <c r="H647" s="4151"/>
      <c r="I647" s="4081" t="s">
        <v>330</v>
      </c>
      <c r="J647" s="1964">
        <v>4392225000</v>
      </c>
      <c r="K647" s="2159">
        <v>0</v>
      </c>
      <c r="L647" s="2160">
        <f>'[2]ALL BULAN'!E591</f>
        <v>0</v>
      </c>
      <c r="M647" s="4253">
        <f t="shared" si="97"/>
        <v>0</v>
      </c>
      <c r="N647" s="1964" t="e">
        <f>#REF!</f>
        <v>#REF!</v>
      </c>
      <c r="O647" s="2188" t="e">
        <f t="shared" si="98"/>
        <v>#REF!</v>
      </c>
      <c r="P647" s="4061" t="e">
        <f t="shared" si="99"/>
        <v>#REF!</v>
      </c>
      <c r="Q647" s="4839"/>
    </row>
    <row r="648" spans="1:17" s="2070" customFormat="1">
      <c r="A648" s="4048"/>
      <c r="B648" s="4048"/>
      <c r="C648" s="4048"/>
      <c r="D648" s="4048"/>
      <c r="E648" s="4048"/>
      <c r="F648" s="4049"/>
      <c r="G648" s="4080"/>
      <c r="H648" s="4151"/>
      <c r="I648" s="4081" t="s">
        <v>331</v>
      </c>
      <c r="J648" s="1964">
        <v>0</v>
      </c>
      <c r="K648" s="2159">
        <v>0</v>
      </c>
      <c r="L648" s="2160">
        <f>'[2]ALL BULAN'!E592</f>
        <v>0</v>
      </c>
      <c r="M648" s="4253">
        <f t="shared" si="97"/>
        <v>0</v>
      </c>
      <c r="N648" s="4253">
        <v>0</v>
      </c>
      <c r="O648" s="2188">
        <f t="shared" si="98"/>
        <v>0</v>
      </c>
      <c r="P648" s="4061">
        <v>0</v>
      </c>
      <c r="Q648" s="4839"/>
    </row>
    <row r="649" spans="1:17" s="2070" customFormat="1">
      <c r="A649" s="4048"/>
      <c r="B649" s="4048"/>
      <c r="C649" s="4048"/>
      <c r="D649" s="4048"/>
      <c r="E649" s="4048"/>
      <c r="F649" s="4049"/>
      <c r="G649" s="4080"/>
      <c r="H649" s="4151"/>
      <c r="I649" s="4081" t="s">
        <v>332</v>
      </c>
      <c r="J649" s="1964">
        <v>0</v>
      </c>
      <c r="K649" s="2159">
        <v>0</v>
      </c>
      <c r="L649" s="2160">
        <f>'[2]ALL BULAN'!E593</f>
        <v>0</v>
      </c>
      <c r="M649" s="4253">
        <f t="shared" si="97"/>
        <v>0</v>
      </c>
      <c r="N649" s="4253">
        <v>0</v>
      </c>
      <c r="O649" s="2188">
        <f t="shared" si="98"/>
        <v>0</v>
      </c>
      <c r="P649" s="4061">
        <v>0</v>
      </c>
      <c r="Q649" s="4839"/>
    </row>
    <row r="650" spans="1:17" s="2070" customFormat="1" ht="4.55" customHeight="1">
      <c r="A650" s="4048"/>
      <c r="B650" s="4048"/>
      <c r="C650" s="4048"/>
      <c r="D650" s="4048"/>
      <c r="E650" s="4048"/>
      <c r="F650" s="4049"/>
      <c r="G650" s="4102"/>
      <c r="H650" s="4083"/>
      <c r="I650" s="4083"/>
      <c r="J650" s="4548"/>
      <c r="K650" s="2183"/>
      <c r="L650" s="4548"/>
      <c r="M650" s="4549"/>
      <c r="N650" s="4549"/>
      <c r="O650" s="2315"/>
      <c r="P650" s="4172"/>
      <c r="Q650" s="4839"/>
    </row>
    <row r="651" spans="1:17" s="2070" customFormat="1" ht="15.65">
      <c r="A651" s="4048"/>
      <c r="B651" s="4048"/>
      <c r="C651" s="4048"/>
      <c r="D651" s="4048"/>
      <c r="E651" s="4048"/>
      <c r="F651" s="4049"/>
      <c r="G651" s="4041" t="s">
        <v>333</v>
      </c>
      <c r="H651" s="4042" t="s">
        <v>334</v>
      </c>
      <c r="I651" s="4097"/>
      <c r="J651" s="4545">
        <v>0</v>
      </c>
      <c r="K651" s="4520">
        <v>0</v>
      </c>
      <c r="L651" s="4545">
        <f>L652</f>
        <v>9346050</v>
      </c>
      <c r="M651" s="4545">
        <f t="shared" ref="M651:M657" si="100">SUM(K651:L651)</f>
        <v>9346050</v>
      </c>
      <c r="N651" s="4545">
        <v>0</v>
      </c>
      <c r="O651" s="4519">
        <v>0</v>
      </c>
      <c r="P651" s="4044">
        <v>0</v>
      </c>
      <c r="Q651" s="4839"/>
    </row>
    <row r="652" spans="1:17" s="2070" customFormat="1">
      <c r="A652" s="4065">
        <v>4</v>
      </c>
      <c r="B652" s="4065">
        <v>1</v>
      </c>
      <c r="C652" s="4065">
        <v>4</v>
      </c>
      <c r="D652" s="4048"/>
      <c r="E652" s="4048"/>
      <c r="F652" s="4049">
        <v>3</v>
      </c>
      <c r="G652" s="4150"/>
      <c r="H652" s="4179" t="s">
        <v>71</v>
      </c>
      <c r="I652" s="4179"/>
      <c r="J652" s="2304">
        <v>0</v>
      </c>
      <c r="K652" s="2159">
        <v>0</v>
      </c>
      <c r="L652" s="2304">
        <f>SUM(L653:L657)</f>
        <v>9346050</v>
      </c>
      <c r="M652" s="4253">
        <f t="shared" si="100"/>
        <v>9346050</v>
      </c>
      <c r="N652" s="4253">
        <v>0</v>
      </c>
      <c r="O652" s="4254">
        <v>0</v>
      </c>
      <c r="P652" s="4061">
        <v>0</v>
      </c>
      <c r="Q652" s="4839"/>
    </row>
    <row r="653" spans="1:17" s="2070" customFormat="1">
      <c r="A653" s="4074">
        <v>4</v>
      </c>
      <c r="B653" s="4074">
        <v>1</v>
      </c>
      <c r="C653" s="4074" t="s">
        <v>443</v>
      </c>
      <c r="D653" s="4074" t="s">
        <v>444</v>
      </c>
      <c r="E653" s="4074" t="s">
        <v>440</v>
      </c>
      <c r="F653" s="4049"/>
      <c r="G653" s="4124"/>
      <c r="H653" s="4060" t="s">
        <v>50</v>
      </c>
      <c r="I653" s="4126" t="s">
        <v>73</v>
      </c>
      <c r="J653" s="1964">
        <v>0</v>
      </c>
      <c r="K653" s="2159">
        <v>0</v>
      </c>
      <c r="L653" s="2160">
        <f>'[2]ALL BULAN'!E597</f>
        <v>0</v>
      </c>
      <c r="M653" s="4253">
        <f t="shared" si="100"/>
        <v>0</v>
      </c>
      <c r="N653" s="4253">
        <v>0</v>
      </c>
      <c r="O653" s="4254">
        <f>M653-J653</f>
        <v>0</v>
      </c>
      <c r="P653" s="4061">
        <v>0</v>
      </c>
      <c r="Q653" s="4839"/>
    </row>
    <row r="654" spans="1:17" s="2070" customFormat="1">
      <c r="A654" s="4069">
        <v>4</v>
      </c>
      <c r="B654" s="4069">
        <v>1</v>
      </c>
      <c r="C654" s="4069" t="s">
        <v>443</v>
      </c>
      <c r="D654" s="4069" t="s">
        <v>444</v>
      </c>
      <c r="E654" s="4070" t="s">
        <v>445</v>
      </c>
      <c r="F654" s="4049"/>
      <c r="G654" s="4059"/>
      <c r="H654" s="4060" t="s">
        <v>50</v>
      </c>
      <c r="I654" s="4060" t="s">
        <v>74</v>
      </c>
      <c r="J654" s="1964">
        <v>0</v>
      </c>
      <c r="K654" s="2159">
        <v>0</v>
      </c>
      <c r="L654" s="2160">
        <f>'[2]ALL BULAN'!E598</f>
        <v>0</v>
      </c>
      <c r="M654" s="4253">
        <f t="shared" si="100"/>
        <v>0</v>
      </c>
      <c r="N654" s="4253">
        <v>0</v>
      </c>
      <c r="O654" s="4254">
        <f>M654-J654</f>
        <v>0</v>
      </c>
      <c r="P654" s="4061">
        <v>0</v>
      </c>
      <c r="Q654" s="4839"/>
    </row>
    <row r="655" spans="1:17" s="2070" customFormat="1">
      <c r="A655" s="4101">
        <v>4</v>
      </c>
      <c r="B655" s="4101">
        <v>1</v>
      </c>
      <c r="C655" s="4101" t="s">
        <v>443</v>
      </c>
      <c r="D655" s="4101" t="s">
        <v>444</v>
      </c>
      <c r="E655" s="4101" t="s">
        <v>441</v>
      </c>
      <c r="F655" s="4049"/>
      <c r="G655" s="4059"/>
      <c r="H655" s="4060" t="s">
        <v>308</v>
      </c>
      <c r="I655" s="4060" t="s">
        <v>75</v>
      </c>
      <c r="J655" s="1964">
        <v>0</v>
      </c>
      <c r="K655" s="2159">
        <v>0</v>
      </c>
      <c r="L655" s="2160">
        <v>9346050</v>
      </c>
      <c r="M655" s="4253">
        <f t="shared" si="100"/>
        <v>9346050</v>
      </c>
      <c r="N655" s="4253">
        <v>0</v>
      </c>
      <c r="O655" s="4254">
        <v>0</v>
      </c>
      <c r="P655" s="4061">
        <v>0</v>
      </c>
      <c r="Q655" s="4839"/>
    </row>
    <row r="656" spans="1:17" s="2070" customFormat="1">
      <c r="A656" s="4048"/>
      <c r="B656" s="4048"/>
      <c r="C656" s="4048"/>
      <c r="D656" s="4048"/>
      <c r="E656" s="4048"/>
      <c r="F656" s="4049"/>
      <c r="G656" s="4059"/>
      <c r="H656" s="4060" t="s">
        <v>50</v>
      </c>
      <c r="I656" s="4060" t="s">
        <v>169</v>
      </c>
      <c r="J656" s="1964">
        <v>0</v>
      </c>
      <c r="K656" s="2159">
        <v>0</v>
      </c>
      <c r="L656" s="2160">
        <f>'[2]ALL BULAN'!E600</f>
        <v>0</v>
      </c>
      <c r="M656" s="4253">
        <f t="shared" si="100"/>
        <v>0</v>
      </c>
      <c r="N656" s="4253">
        <v>0</v>
      </c>
      <c r="O656" s="4254">
        <f>M656-J656</f>
        <v>0</v>
      </c>
      <c r="P656" s="4061">
        <v>0</v>
      </c>
      <c r="Q656" s="4839"/>
    </row>
    <row r="657" spans="1:17" s="2070" customFormat="1">
      <c r="A657" s="4079">
        <v>4</v>
      </c>
      <c r="B657" s="4079">
        <v>1</v>
      </c>
      <c r="C657" s="4079" t="s">
        <v>443</v>
      </c>
      <c r="D657" s="4079" t="s">
        <v>447</v>
      </c>
      <c r="E657" s="4093" t="s">
        <v>437</v>
      </c>
      <c r="F657" s="4049"/>
      <c r="G657" s="4067"/>
      <c r="H657" s="4060" t="s">
        <v>50</v>
      </c>
      <c r="I657" s="4060" t="s">
        <v>85</v>
      </c>
      <c r="J657" s="1964">
        <v>0</v>
      </c>
      <c r="K657" s="2159">
        <v>0</v>
      </c>
      <c r="L657" s="2160">
        <f>'[2]ALL BULAN'!E601</f>
        <v>0</v>
      </c>
      <c r="M657" s="4253">
        <f t="shared" si="100"/>
        <v>0</v>
      </c>
      <c r="N657" s="4253">
        <v>0</v>
      </c>
      <c r="O657" s="4254">
        <f>M657-J657</f>
        <v>0</v>
      </c>
      <c r="P657" s="4061">
        <v>0</v>
      </c>
      <c r="Q657" s="4839"/>
    </row>
    <row r="658" spans="1:17" s="2070" customFormat="1" ht="5.35" customHeight="1">
      <c r="A658" s="4048"/>
      <c r="B658" s="4048"/>
      <c r="C658" s="4048"/>
      <c r="D658" s="4048"/>
      <c r="E658" s="4048"/>
      <c r="F658" s="4049"/>
      <c r="G658" s="4067"/>
      <c r="H658" s="4060"/>
      <c r="I658" s="4060"/>
      <c r="J658" s="4588"/>
      <c r="K658" s="2471"/>
      <c r="L658" s="4588"/>
      <c r="M658" s="4558"/>
      <c r="N658" s="4558"/>
      <c r="O658" s="4558"/>
      <c r="P658" s="4228"/>
      <c r="Q658" s="4839"/>
    </row>
    <row r="659" spans="1:17" s="2070" customFormat="1" ht="15.65">
      <c r="A659" s="4048"/>
      <c r="B659" s="4048"/>
      <c r="C659" s="4048"/>
      <c r="D659" s="4048"/>
      <c r="E659" s="4048"/>
      <c r="F659" s="4049"/>
      <c r="G659" s="4229" t="s">
        <v>335</v>
      </c>
      <c r="H659" s="4085" t="s">
        <v>336</v>
      </c>
      <c r="I659" s="4223"/>
      <c r="J659" s="4580">
        <f>J660</f>
        <v>0</v>
      </c>
      <c r="K659" s="4520">
        <v>200000</v>
      </c>
      <c r="L659" s="4580">
        <f>L660</f>
        <v>0</v>
      </c>
      <c r="M659" s="4545">
        <f t="shared" ref="M659:M665" si="101">SUM(K659:L659)</f>
        <v>200000</v>
      </c>
      <c r="N659" s="4580">
        <f>N660</f>
        <v>0</v>
      </c>
      <c r="O659" s="4519">
        <v>0</v>
      </c>
      <c r="P659" s="4044">
        <v>0</v>
      </c>
      <c r="Q659" s="4839"/>
    </row>
    <row r="660" spans="1:17" s="2070" customFormat="1">
      <c r="A660" s="4065">
        <v>4</v>
      </c>
      <c r="B660" s="4065">
        <v>1</v>
      </c>
      <c r="C660" s="4065">
        <v>4</v>
      </c>
      <c r="D660" s="4048"/>
      <c r="E660" s="4048"/>
      <c r="F660" s="4049">
        <v>3</v>
      </c>
      <c r="G660" s="4076"/>
      <c r="H660" s="4077" t="s">
        <v>71</v>
      </c>
      <c r="I660" s="4077"/>
      <c r="J660" s="4589">
        <v>0</v>
      </c>
      <c r="K660" s="2159">
        <v>200000</v>
      </c>
      <c r="L660" s="4589">
        <f>SUM(L661:L665)</f>
        <v>0</v>
      </c>
      <c r="M660" s="4253">
        <f t="shared" si="101"/>
        <v>200000</v>
      </c>
      <c r="N660" s="4589">
        <f>N664</f>
        <v>0</v>
      </c>
      <c r="O660" s="4254">
        <v>0</v>
      </c>
      <c r="P660" s="4061">
        <v>0</v>
      </c>
      <c r="Q660" s="4839"/>
    </row>
    <row r="661" spans="1:17" s="2070" customFormat="1">
      <c r="A661" s="4074">
        <v>4</v>
      </c>
      <c r="B661" s="4074">
        <v>1</v>
      </c>
      <c r="C661" s="4074" t="s">
        <v>443</v>
      </c>
      <c r="D661" s="4074" t="s">
        <v>444</v>
      </c>
      <c r="E661" s="4074" t="s">
        <v>440</v>
      </c>
      <c r="F661" s="4049"/>
      <c r="G661" s="4059"/>
      <c r="H661" s="4060" t="s">
        <v>50</v>
      </c>
      <c r="I661" s="4060" t="s">
        <v>73</v>
      </c>
      <c r="J661" s="1964">
        <v>0</v>
      </c>
      <c r="K661" s="2159">
        <v>0</v>
      </c>
      <c r="L661" s="2160">
        <f>'[2]ALL BULAN'!E605</f>
        <v>0</v>
      </c>
      <c r="M661" s="4253">
        <f t="shared" si="101"/>
        <v>0</v>
      </c>
      <c r="N661" s="4248">
        <v>0</v>
      </c>
      <c r="O661" s="4254">
        <f>M661-J661</f>
        <v>0</v>
      </c>
      <c r="P661" s="4061">
        <v>0</v>
      </c>
      <c r="Q661" s="4839"/>
    </row>
    <row r="662" spans="1:17" s="2070" customFormat="1">
      <c r="A662" s="4069">
        <v>4</v>
      </c>
      <c r="B662" s="4069">
        <v>1</v>
      </c>
      <c r="C662" s="4069" t="s">
        <v>443</v>
      </c>
      <c r="D662" s="4069" t="s">
        <v>444</v>
      </c>
      <c r="E662" s="4070" t="s">
        <v>445</v>
      </c>
      <c r="F662" s="4049"/>
      <c r="G662" s="4059"/>
      <c r="H662" s="4060" t="s">
        <v>50</v>
      </c>
      <c r="I662" s="4060" t="s">
        <v>74</v>
      </c>
      <c r="J662" s="1964">
        <v>0</v>
      </c>
      <c r="K662" s="2159">
        <v>0</v>
      </c>
      <c r="L662" s="2160">
        <f>'[2]ALL BULAN'!E606</f>
        <v>0</v>
      </c>
      <c r="M662" s="4253">
        <f t="shared" si="101"/>
        <v>0</v>
      </c>
      <c r="N662" s="4248">
        <v>0</v>
      </c>
      <c r="O662" s="4254">
        <f>M662-J662</f>
        <v>0</v>
      </c>
      <c r="P662" s="4061">
        <v>0</v>
      </c>
      <c r="Q662" s="4839"/>
    </row>
    <row r="663" spans="1:17" s="2070" customFormat="1">
      <c r="A663" s="4101">
        <v>4</v>
      </c>
      <c r="B663" s="4101">
        <v>1</v>
      </c>
      <c r="C663" s="4101" t="s">
        <v>443</v>
      </c>
      <c r="D663" s="4101" t="s">
        <v>444</v>
      </c>
      <c r="E663" s="4101" t="s">
        <v>441</v>
      </c>
      <c r="F663" s="4049"/>
      <c r="G663" s="4059"/>
      <c r="H663" s="4060" t="s">
        <v>308</v>
      </c>
      <c r="I663" s="4060" t="s">
        <v>75</v>
      </c>
      <c r="J663" s="1964">
        <v>0</v>
      </c>
      <c r="K663" s="2159">
        <v>200000</v>
      </c>
      <c r="L663" s="2160">
        <v>0</v>
      </c>
      <c r="M663" s="4253">
        <f t="shared" si="101"/>
        <v>200000</v>
      </c>
      <c r="N663" s="4248">
        <v>0</v>
      </c>
      <c r="O663" s="4254">
        <v>0</v>
      </c>
      <c r="P663" s="4061">
        <v>0</v>
      </c>
      <c r="Q663" s="4839"/>
    </row>
    <row r="664" spans="1:17" s="2070" customFormat="1">
      <c r="A664" s="4079">
        <v>4</v>
      </c>
      <c r="B664" s="4079">
        <v>1</v>
      </c>
      <c r="C664" s="4079" t="s">
        <v>443</v>
      </c>
      <c r="D664" s="4079" t="s">
        <v>447</v>
      </c>
      <c r="E664" s="4093" t="s">
        <v>437</v>
      </c>
      <c r="F664" s="4049"/>
      <c r="G664" s="4059"/>
      <c r="H664" s="4060" t="s">
        <v>50</v>
      </c>
      <c r="I664" s="3963" t="s">
        <v>1248</v>
      </c>
      <c r="J664" s="4755">
        <v>4625000</v>
      </c>
      <c r="K664" s="2159">
        <v>0</v>
      </c>
      <c r="L664" s="2160">
        <f>'[2]ALL BULAN'!E608</f>
        <v>0</v>
      </c>
      <c r="M664" s="4253">
        <f t="shared" si="101"/>
        <v>0</v>
      </c>
      <c r="N664" s="1964">
        <v>0</v>
      </c>
      <c r="O664" s="4254">
        <v>0</v>
      </c>
      <c r="P664" s="4061">
        <v>0</v>
      </c>
      <c r="Q664" s="4839"/>
    </row>
    <row r="665" spans="1:17" s="2070" customFormat="1">
      <c r="A665" s="4048"/>
      <c r="B665" s="4048"/>
      <c r="C665" s="4048"/>
      <c r="D665" s="4048"/>
      <c r="E665" s="4048"/>
      <c r="F665" s="4049"/>
      <c r="G665" s="4059"/>
      <c r="H665" s="4060" t="s">
        <v>50</v>
      </c>
      <c r="I665" s="4060" t="s">
        <v>338</v>
      </c>
      <c r="J665" s="1964">
        <v>0</v>
      </c>
      <c r="K665" s="2159">
        <v>0</v>
      </c>
      <c r="L665" s="2160">
        <f>'[2]ALL BULAN'!E609</f>
        <v>0</v>
      </c>
      <c r="M665" s="4253">
        <f t="shared" si="101"/>
        <v>0</v>
      </c>
      <c r="N665" s="4248">
        <v>0</v>
      </c>
      <c r="O665" s="4254">
        <f>M665-J665</f>
        <v>0</v>
      </c>
      <c r="P665" s="4061">
        <v>0</v>
      </c>
      <c r="Q665" s="4839"/>
    </row>
    <row r="666" spans="1:17" s="2070" customFormat="1" ht="5.95" customHeight="1">
      <c r="A666" s="4048"/>
      <c r="B666" s="4048"/>
      <c r="C666" s="4048"/>
      <c r="D666" s="4048"/>
      <c r="E666" s="4048"/>
      <c r="F666" s="4049"/>
      <c r="G666" s="4071"/>
      <c r="H666" s="4072"/>
      <c r="I666" s="4072"/>
      <c r="J666" s="4588"/>
      <c r="K666" s="2167"/>
      <c r="L666" s="4588"/>
      <c r="M666" s="4590"/>
      <c r="N666" s="4590"/>
      <c r="O666" s="4590"/>
      <c r="P666" s="4230"/>
      <c r="Q666" s="4839"/>
    </row>
    <row r="667" spans="1:17" s="2070" customFormat="1" ht="15.65">
      <c r="A667" s="4048"/>
      <c r="B667" s="4048"/>
      <c r="C667" s="4048"/>
      <c r="D667" s="4048"/>
      <c r="E667" s="4048"/>
      <c r="F667" s="4049"/>
      <c r="G667" s="4231" t="s">
        <v>339</v>
      </c>
      <c r="H667" s="4232" t="s">
        <v>340</v>
      </c>
      <c r="I667" s="4233"/>
      <c r="J667" s="2478">
        <f>J668</f>
        <v>1274387000</v>
      </c>
      <c r="K667" s="4520">
        <v>258384000</v>
      </c>
      <c r="L667" s="2478">
        <f>L668+L686</f>
        <v>38260000</v>
      </c>
      <c r="M667" s="4545">
        <f t="shared" ref="M667:M691" si="102">SUM(K667:L667)</f>
        <v>296644000</v>
      </c>
      <c r="N667" s="2478">
        <f>SUM(N668+N686)</f>
        <v>1153018000</v>
      </c>
      <c r="O667" s="4822">
        <f>N667-J667</f>
        <v>-121369000</v>
      </c>
      <c r="P667" s="4044">
        <f>O667/J667*100</f>
        <v>-9.5237161082151651</v>
      </c>
      <c r="Q667" s="4839"/>
    </row>
    <row r="668" spans="1:17" s="2070" customFormat="1">
      <c r="A668" s="4048"/>
      <c r="B668" s="4048"/>
      <c r="C668" s="4048"/>
      <c r="D668" s="4048"/>
      <c r="E668" s="4048"/>
      <c r="F668" s="4049">
        <v>1</v>
      </c>
      <c r="G668" s="4050"/>
      <c r="H668" s="4037" t="s">
        <v>106</v>
      </c>
      <c r="I668" s="4051"/>
      <c r="J668" s="4582">
        <f>SUM(J669+J673)</f>
        <v>1274387000</v>
      </c>
      <c r="K668" s="2159">
        <v>256284000</v>
      </c>
      <c r="L668" s="4582">
        <f>L669+L673</f>
        <v>38260000</v>
      </c>
      <c r="M668" s="4253">
        <f t="shared" si="102"/>
        <v>294544000</v>
      </c>
      <c r="N668" s="4582">
        <f>SUM(N669+N673)</f>
        <v>1153018000</v>
      </c>
      <c r="O668" s="4823">
        <f t="shared" ref="O668:O691" si="103">N668-J668</f>
        <v>-121369000</v>
      </c>
      <c r="P668" s="4758">
        <f>O668/J668*100</f>
        <v>-9.5237161082151651</v>
      </c>
      <c r="Q668" s="4839"/>
    </row>
    <row r="669" spans="1:17" s="2070" customFormat="1">
      <c r="A669" s="4046">
        <v>4</v>
      </c>
      <c r="B669" s="4046">
        <v>1</v>
      </c>
      <c r="C669" s="4046">
        <v>2</v>
      </c>
      <c r="D669" s="4047" t="s">
        <v>438</v>
      </c>
      <c r="E669" s="4128"/>
      <c r="F669" s="4049"/>
      <c r="G669" s="4055"/>
      <c r="H669" s="4056" t="s">
        <v>63</v>
      </c>
      <c r="I669" s="4056"/>
      <c r="J669" s="4591">
        <f>J670</f>
        <v>200000000</v>
      </c>
      <c r="K669" s="2159">
        <v>0</v>
      </c>
      <c r="L669" s="4591">
        <f>L670</f>
        <v>400000</v>
      </c>
      <c r="M669" s="4253">
        <f t="shared" si="102"/>
        <v>400000</v>
      </c>
      <c r="N669" s="4591">
        <f>N670</f>
        <v>200000000</v>
      </c>
      <c r="O669" s="4523">
        <f t="shared" si="103"/>
        <v>0</v>
      </c>
      <c r="P669" s="4061">
        <f>O669/J669*100</f>
        <v>0</v>
      </c>
      <c r="Q669" s="4839"/>
    </row>
    <row r="670" spans="1:17" s="2070" customFormat="1">
      <c r="A670" s="4046">
        <v>4</v>
      </c>
      <c r="B670" s="4046">
        <v>1</v>
      </c>
      <c r="C670" s="4046">
        <v>2</v>
      </c>
      <c r="D670" s="4047" t="s">
        <v>438</v>
      </c>
      <c r="E670" s="4093" t="s">
        <v>440</v>
      </c>
      <c r="F670" s="4049"/>
      <c r="G670" s="4055"/>
      <c r="H670" s="4234" t="s">
        <v>50</v>
      </c>
      <c r="I670" s="4126" t="s">
        <v>304</v>
      </c>
      <c r="J670" s="4591">
        <f>J671</f>
        <v>200000000</v>
      </c>
      <c r="K670" s="2159">
        <v>0</v>
      </c>
      <c r="L670" s="4591">
        <f>SUM(L671)</f>
        <v>400000</v>
      </c>
      <c r="M670" s="4253">
        <f t="shared" si="102"/>
        <v>400000</v>
      </c>
      <c r="N670" s="4591">
        <f>N671</f>
        <v>200000000</v>
      </c>
      <c r="O670" s="4523">
        <f t="shared" si="103"/>
        <v>0</v>
      </c>
      <c r="P670" s="4061">
        <f t="shared" ref="P670:P684" si="104">O670/J670*100</f>
        <v>0</v>
      </c>
      <c r="Q670" s="4839"/>
    </row>
    <row r="671" spans="1:17" s="2070" customFormat="1">
      <c r="A671" s="4046">
        <v>4</v>
      </c>
      <c r="B671" s="4046">
        <v>1</v>
      </c>
      <c r="C671" s="4046">
        <v>2</v>
      </c>
      <c r="D671" s="4047" t="s">
        <v>438</v>
      </c>
      <c r="E671" s="4093" t="s">
        <v>437</v>
      </c>
      <c r="F671" s="4049"/>
      <c r="G671" s="4055"/>
      <c r="H671" s="4056"/>
      <c r="I671" s="4145" t="s">
        <v>341</v>
      </c>
      <c r="J671" s="1964">
        <v>200000000</v>
      </c>
      <c r="K671" s="2159">
        <v>0</v>
      </c>
      <c r="L671" s="2160">
        <v>400000</v>
      </c>
      <c r="M671" s="4253">
        <f t="shared" si="102"/>
        <v>400000</v>
      </c>
      <c r="N671" s="1964">
        <v>200000000</v>
      </c>
      <c r="O671" s="4523">
        <f t="shared" si="103"/>
        <v>0</v>
      </c>
      <c r="P671" s="4061">
        <f t="shared" si="104"/>
        <v>0</v>
      </c>
      <c r="Q671" s="4839"/>
    </row>
    <row r="672" spans="1:17" s="2070" customFormat="1" ht="5.35" customHeight="1">
      <c r="A672" s="4048"/>
      <c r="B672" s="4048"/>
      <c r="C672" s="4048"/>
      <c r="D672" s="4048"/>
      <c r="E672" s="4048"/>
      <c r="F672" s="4049"/>
      <c r="G672" s="4055"/>
      <c r="H672" s="4056"/>
      <c r="I672" s="4056"/>
      <c r="J672" s="4591"/>
      <c r="K672" s="2159">
        <v>0</v>
      </c>
      <c r="L672" s="4591"/>
      <c r="M672" s="4253">
        <f t="shared" si="102"/>
        <v>0</v>
      </c>
      <c r="N672" s="4253"/>
      <c r="O672" s="4523">
        <f t="shared" si="103"/>
        <v>0</v>
      </c>
      <c r="P672" s="4061">
        <v>0</v>
      </c>
      <c r="Q672" s="4839"/>
    </row>
    <row r="673" spans="1:17" s="2070" customFormat="1">
      <c r="A673" s="4046">
        <v>4</v>
      </c>
      <c r="B673" s="4046">
        <v>1</v>
      </c>
      <c r="C673" s="4046">
        <v>2</v>
      </c>
      <c r="D673" s="4047" t="s">
        <v>438</v>
      </c>
      <c r="E673" s="4093" t="s">
        <v>448</v>
      </c>
      <c r="F673" s="4049"/>
      <c r="G673" s="4055"/>
      <c r="H673" s="4051" t="s">
        <v>342</v>
      </c>
      <c r="I673" s="4056"/>
      <c r="J673" s="2482">
        <f>SUM(J674:J684)</f>
        <v>1074387000</v>
      </c>
      <c r="K673" s="2159">
        <v>256284000</v>
      </c>
      <c r="L673" s="2482">
        <f>SUM(L674:L684)</f>
        <v>37860000</v>
      </c>
      <c r="M673" s="4253">
        <f t="shared" si="102"/>
        <v>294144000</v>
      </c>
      <c r="N673" s="2482">
        <f>SUM(N674:N684)</f>
        <v>953018000</v>
      </c>
      <c r="O673" s="4523">
        <f t="shared" si="103"/>
        <v>-121369000</v>
      </c>
      <c r="P673" s="4061">
        <f t="shared" si="104"/>
        <v>-11.296581213287205</v>
      </c>
      <c r="Q673" s="4839"/>
    </row>
    <row r="674" spans="1:17" s="2070" customFormat="1">
      <c r="A674" s="4048"/>
      <c r="B674" s="4048"/>
      <c r="C674" s="4048"/>
      <c r="D674" s="4048"/>
      <c r="E674" s="4048"/>
      <c r="F674" s="4049"/>
      <c r="G674" s="4067"/>
      <c r="H674" s="4060" t="s">
        <v>50</v>
      </c>
      <c r="I674" s="4060" t="s">
        <v>343</v>
      </c>
      <c r="J674" s="1964">
        <v>259229500</v>
      </c>
      <c r="K674" s="2159">
        <v>133580000</v>
      </c>
      <c r="L674" s="2160">
        <f>9000000+2430000</f>
        <v>11430000</v>
      </c>
      <c r="M674" s="4253">
        <f t="shared" si="102"/>
        <v>145010000</v>
      </c>
      <c r="N674" s="1964">
        <v>281240000</v>
      </c>
      <c r="O674" s="4523">
        <f t="shared" si="103"/>
        <v>22010500</v>
      </c>
      <c r="P674" s="4061">
        <f t="shared" si="104"/>
        <v>8.4907389012438781</v>
      </c>
      <c r="Q674" s="4839"/>
    </row>
    <row r="675" spans="1:17" s="2070" customFormat="1">
      <c r="A675" s="4048"/>
      <c r="B675" s="4048"/>
      <c r="C675" s="4048"/>
      <c r="D675" s="4048"/>
      <c r="E675" s="4048"/>
      <c r="F675" s="4049"/>
      <c r="G675" s="4067"/>
      <c r="H675" s="4060" t="s">
        <v>50</v>
      </c>
      <c r="I675" s="4060" t="s">
        <v>344</v>
      </c>
      <c r="J675" s="1964">
        <v>374739500</v>
      </c>
      <c r="K675" s="2159">
        <v>28650000</v>
      </c>
      <c r="L675" s="2160">
        <v>2310000</v>
      </c>
      <c r="M675" s="4253">
        <f t="shared" si="102"/>
        <v>30960000</v>
      </c>
      <c r="N675" s="1964">
        <v>246440000</v>
      </c>
      <c r="O675" s="4523">
        <f t="shared" si="103"/>
        <v>-128299500</v>
      </c>
      <c r="P675" s="4061">
        <f t="shared" si="104"/>
        <v>-34.236983291059524</v>
      </c>
      <c r="Q675" s="4839"/>
    </row>
    <row r="676" spans="1:17" s="2070" customFormat="1">
      <c r="A676" s="4048"/>
      <c r="B676" s="4048"/>
      <c r="C676" s="4048"/>
      <c r="D676" s="4048"/>
      <c r="E676" s="4048"/>
      <c r="F676" s="4049"/>
      <c r="G676" s="4067"/>
      <c r="H676" s="4060" t="s">
        <v>50</v>
      </c>
      <c r="I676" s="4060" t="s">
        <v>345</v>
      </c>
      <c r="J676" s="1964">
        <v>271618000</v>
      </c>
      <c r="K676" s="2159">
        <v>32440000</v>
      </c>
      <c r="L676" s="2160">
        <f>'[2]ALL BULAN'!E620</f>
        <v>0</v>
      </c>
      <c r="M676" s="4253">
        <f t="shared" si="102"/>
        <v>32440000</v>
      </c>
      <c r="N676" s="1964">
        <v>271985000</v>
      </c>
      <c r="O676" s="4523">
        <f t="shared" si="103"/>
        <v>367000</v>
      </c>
      <c r="P676" s="4061">
        <f t="shared" si="104"/>
        <v>0.13511622941042198</v>
      </c>
      <c r="Q676" s="4839"/>
    </row>
    <row r="677" spans="1:17" s="2070" customFormat="1">
      <c r="A677" s="4048"/>
      <c r="B677" s="4048"/>
      <c r="C677" s="4048"/>
      <c r="D677" s="4048"/>
      <c r="E677" s="4048"/>
      <c r="F677" s="4049"/>
      <c r="G677" s="4067"/>
      <c r="H677" s="4060" t="s">
        <v>50</v>
      </c>
      <c r="I677" s="4060" t="s">
        <v>346</v>
      </c>
      <c r="J677" s="1964">
        <v>0</v>
      </c>
      <c r="K677" s="2159">
        <v>0</v>
      </c>
      <c r="L677" s="2160">
        <f>'[2]ALL BULAN'!E621</f>
        <v>0</v>
      </c>
      <c r="M677" s="4253">
        <f t="shared" si="102"/>
        <v>0</v>
      </c>
      <c r="N677" s="4253">
        <v>0</v>
      </c>
      <c r="O677" s="4523">
        <f t="shared" si="103"/>
        <v>0</v>
      </c>
      <c r="P677" s="4061">
        <v>0</v>
      </c>
      <c r="Q677" s="4839"/>
    </row>
    <row r="678" spans="1:17" s="2070" customFormat="1">
      <c r="A678" s="4048"/>
      <c r="B678" s="4048"/>
      <c r="C678" s="4048"/>
      <c r="D678" s="4048"/>
      <c r="E678" s="4048"/>
      <c r="F678" s="4049"/>
      <c r="G678" s="4067"/>
      <c r="H678" s="4060" t="s">
        <v>50</v>
      </c>
      <c r="I678" s="4060" t="s">
        <v>347</v>
      </c>
      <c r="J678" s="1964">
        <v>0</v>
      </c>
      <c r="K678" s="2159">
        <v>0</v>
      </c>
      <c r="L678" s="2160">
        <f>'[2]ALL BULAN'!E622</f>
        <v>0</v>
      </c>
      <c r="M678" s="4253">
        <f t="shared" si="102"/>
        <v>0</v>
      </c>
      <c r="N678" s="4253">
        <v>0</v>
      </c>
      <c r="O678" s="4523">
        <f t="shared" si="103"/>
        <v>0</v>
      </c>
      <c r="P678" s="4061">
        <v>0</v>
      </c>
      <c r="Q678" s="4839"/>
    </row>
    <row r="679" spans="1:17" s="2070" customFormat="1">
      <c r="A679" s="4048"/>
      <c r="B679" s="4048"/>
      <c r="C679" s="4048"/>
      <c r="D679" s="4048"/>
      <c r="E679" s="4048"/>
      <c r="F679" s="4049"/>
      <c r="G679" s="4067"/>
      <c r="H679" s="4060" t="s">
        <v>50</v>
      </c>
      <c r="I679" s="4060" t="s">
        <v>348</v>
      </c>
      <c r="J679" s="1964">
        <v>46200000</v>
      </c>
      <c r="K679" s="2159">
        <v>29700000</v>
      </c>
      <c r="L679" s="2160">
        <v>0</v>
      </c>
      <c r="M679" s="4253">
        <f t="shared" si="102"/>
        <v>29700000</v>
      </c>
      <c r="N679" s="4248">
        <v>50200000</v>
      </c>
      <c r="O679" s="4523">
        <f t="shared" si="103"/>
        <v>4000000</v>
      </c>
      <c r="P679" s="4061">
        <f t="shared" si="104"/>
        <v>8.6580086580086579</v>
      </c>
      <c r="Q679" s="4839"/>
    </row>
    <row r="680" spans="1:17" s="2070" customFormat="1">
      <c r="A680" s="4048"/>
      <c r="B680" s="4048"/>
      <c r="C680" s="4048"/>
      <c r="D680" s="4048"/>
      <c r="E680" s="4048"/>
      <c r="F680" s="4049"/>
      <c r="G680" s="4067"/>
      <c r="H680" s="4060" t="s">
        <v>50</v>
      </c>
      <c r="I680" s="4060" t="s">
        <v>349</v>
      </c>
      <c r="J680" s="1964">
        <v>88200000</v>
      </c>
      <c r="K680" s="2159">
        <v>16920000</v>
      </c>
      <c r="L680" s="2160">
        <f>13320000+10800000</f>
        <v>24120000</v>
      </c>
      <c r="M680" s="4253">
        <f t="shared" si="102"/>
        <v>41040000</v>
      </c>
      <c r="N680" s="4248">
        <v>68200000</v>
      </c>
      <c r="O680" s="4523">
        <f t="shared" si="103"/>
        <v>-20000000</v>
      </c>
      <c r="P680" s="4061">
        <f t="shared" si="104"/>
        <v>-22.67573696145125</v>
      </c>
      <c r="Q680" s="4839"/>
    </row>
    <row r="681" spans="1:17" s="2070" customFormat="1">
      <c r="A681" s="4048"/>
      <c r="B681" s="4048"/>
      <c r="C681" s="4048"/>
      <c r="D681" s="4048"/>
      <c r="E681" s="4048"/>
      <c r="F681" s="4049"/>
      <c r="G681" s="4067"/>
      <c r="H681" s="4060" t="s">
        <v>50</v>
      </c>
      <c r="I681" s="4060" t="s">
        <v>350</v>
      </c>
      <c r="J681" s="1964">
        <v>24400000</v>
      </c>
      <c r="K681" s="2159">
        <v>14994000</v>
      </c>
      <c r="L681" s="2160">
        <f>'[2]ALL BULAN'!E625</f>
        <v>0</v>
      </c>
      <c r="M681" s="4253">
        <f t="shared" si="102"/>
        <v>14994000</v>
      </c>
      <c r="N681" s="4248">
        <v>24453000</v>
      </c>
      <c r="O681" s="4523">
        <f t="shared" si="103"/>
        <v>53000</v>
      </c>
      <c r="P681" s="4061">
        <f t="shared" si="104"/>
        <v>0.21721311475409838</v>
      </c>
      <c r="Q681" s="4839"/>
    </row>
    <row r="682" spans="1:17" s="2070" customFormat="1">
      <c r="A682" s="4048"/>
      <c r="B682" s="4048"/>
      <c r="C682" s="4048"/>
      <c r="D682" s="4048"/>
      <c r="E682" s="4048"/>
      <c r="F682" s="4049"/>
      <c r="G682" s="4067"/>
      <c r="H682" s="4060" t="s">
        <v>50</v>
      </c>
      <c r="I682" s="4060" t="s">
        <v>351</v>
      </c>
      <c r="J682" s="1964">
        <v>0</v>
      </c>
      <c r="K682" s="2159">
        <v>0</v>
      </c>
      <c r="L682" s="2160">
        <f>'[2]ALL BULAN'!E626</f>
        <v>0</v>
      </c>
      <c r="M682" s="4253">
        <f t="shared" si="102"/>
        <v>0</v>
      </c>
      <c r="N682" s="4253">
        <v>0</v>
      </c>
      <c r="O682" s="4523">
        <f t="shared" si="103"/>
        <v>0</v>
      </c>
      <c r="P682" s="4061">
        <v>0</v>
      </c>
      <c r="Q682" s="4839"/>
    </row>
    <row r="683" spans="1:17" s="2070" customFormat="1">
      <c r="A683" s="4048"/>
      <c r="B683" s="4048"/>
      <c r="C683" s="4048"/>
      <c r="D683" s="4048"/>
      <c r="E683" s="4048"/>
      <c r="F683" s="4049"/>
      <c r="G683" s="4067"/>
      <c r="H683" s="4235" t="s">
        <v>50</v>
      </c>
      <c r="I683" s="4236" t="s">
        <v>352</v>
      </c>
      <c r="J683" s="1964">
        <v>0</v>
      </c>
      <c r="K683" s="2159">
        <v>0</v>
      </c>
      <c r="L683" s="2160">
        <f>'[2]ALL BULAN'!E627</f>
        <v>0</v>
      </c>
      <c r="M683" s="4253">
        <f t="shared" si="102"/>
        <v>0</v>
      </c>
      <c r="N683" s="4253">
        <v>0</v>
      </c>
      <c r="O683" s="4523">
        <f t="shared" si="103"/>
        <v>0</v>
      </c>
      <c r="P683" s="4061">
        <v>0</v>
      </c>
      <c r="Q683" s="4839"/>
    </row>
    <row r="684" spans="1:17" s="2070" customFormat="1">
      <c r="A684" s="4048"/>
      <c r="B684" s="4048"/>
      <c r="C684" s="4048"/>
      <c r="D684" s="4048"/>
      <c r="E684" s="4048"/>
      <c r="F684" s="4049"/>
      <c r="G684" s="4067"/>
      <c r="H684" s="4237" t="s">
        <v>50</v>
      </c>
      <c r="I684" s="4236" t="s">
        <v>353</v>
      </c>
      <c r="J684" s="1964">
        <v>10000000</v>
      </c>
      <c r="K684" s="2159">
        <v>0</v>
      </c>
      <c r="L684" s="2160">
        <f>'[2]ALL BULAN'!E628</f>
        <v>0</v>
      </c>
      <c r="M684" s="4253">
        <f t="shared" si="102"/>
        <v>0</v>
      </c>
      <c r="N684" s="4248">
        <v>10500000</v>
      </c>
      <c r="O684" s="4523">
        <f t="shared" si="103"/>
        <v>500000</v>
      </c>
      <c r="P684" s="4061">
        <f t="shared" si="104"/>
        <v>5</v>
      </c>
      <c r="Q684" s="4839"/>
    </row>
    <row r="685" spans="1:17" s="2070" customFormat="1" ht="5.35" customHeight="1">
      <c r="A685" s="4048"/>
      <c r="B685" s="4048"/>
      <c r="C685" s="4048"/>
      <c r="D685" s="4048"/>
      <c r="E685" s="4048"/>
      <c r="F685" s="4049"/>
      <c r="G685" s="4067"/>
      <c r="H685" s="4060"/>
      <c r="I685" s="4060"/>
      <c r="J685" s="4541"/>
      <c r="K685" s="2159">
        <v>0</v>
      </c>
      <c r="L685" s="4541"/>
      <c r="M685" s="4253">
        <f t="shared" si="102"/>
        <v>0</v>
      </c>
      <c r="N685" s="4253"/>
      <c r="O685" s="4523">
        <f t="shared" si="103"/>
        <v>0</v>
      </c>
      <c r="P685" s="4061">
        <v>0</v>
      </c>
      <c r="Q685" s="4839"/>
    </row>
    <row r="686" spans="1:17" s="2070" customFormat="1">
      <c r="A686" s="4065">
        <v>4</v>
      </c>
      <c r="B686" s="4065">
        <v>1</v>
      </c>
      <c r="C686" s="4065">
        <v>4</v>
      </c>
      <c r="D686" s="4048"/>
      <c r="E686" s="4048"/>
      <c r="F686" s="4049">
        <v>3</v>
      </c>
      <c r="G686" s="4067"/>
      <c r="H686" s="4068" t="s">
        <v>71</v>
      </c>
      <c r="I686" s="4068"/>
      <c r="J686" s="4542">
        <v>0</v>
      </c>
      <c r="K686" s="2159">
        <v>2100000</v>
      </c>
      <c r="L686" s="4542">
        <f>SUM(L687:L691)</f>
        <v>0</v>
      </c>
      <c r="M686" s="4253">
        <f t="shared" si="102"/>
        <v>2100000</v>
      </c>
      <c r="N686" s="4542">
        <f>N690</f>
        <v>0</v>
      </c>
      <c r="O686" s="4523">
        <f t="shared" si="103"/>
        <v>0</v>
      </c>
      <c r="P686" s="4061">
        <v>0</v>
      </c>
      <c r="Q686" s="4839"/>
    </row>
    <row r="687" spans="1:17" s="2070" customFormat="1">
      <c r="A687" s="4074">
        <v>4</v>
      </c>
      <c r="B687" s="4074">
        <v>1</v>
      </c>
      <c r="C687" s="4074" t="s">
        <v>443</v>
      </c>
      <c r="D687" s="4074" t="s">
        <v>444</v>
      </c>
      <c r="E687" s="4074" t="s">
        <v>440</v>
      </c>
      <c r="F687" s="4049"/>
      <c r="G687" s="4059"/>
      <c r="H687" s="4060" t="s">
        <v>50</v>
      </c>
      <c r="I687" s="4060" t="s">
        <v>73</v>
      </c>
      <c r="J687" s="1964">
        <v>0</v>
      </c>
      <c r="K687" s="2159">
        <v>0</v>
      </c>
      <c r="L687" s="2160">
        <f>'[2]ALL BULAN'!E631</f>
        <v>0</v>
      </c>
      <c r="M687" s="4253">
        <f t="shared" si="102"/>
        <v>0</v>
      </c>
      <c r="N687" s="4253"/>
      <c r="O687" s="4523">
        <f t="shared" si="103"/>
        <v>0</v>
      </c>
      <c r="P687" s="4061">
        <v>0</v>
      </c>
      <c r="Q687" s="4839"/>
    </row>
    <row r="688" spans="1:17" s="2070" customFormat="1">
      <c r="A688" s="4069">
        <v>4</v>
      </c>
      <c r="B688" s="4069">
        <v>1</v>
      </c>
      <c r="C688" s="4069" t="s">
        <v>443</v>
      </c>
      <c r="D688" s="4069" t="s">
        <v>444</v>
      </c>
      <c r="E688" s="4070" t="s">
        <v>445</v>
      </c>
      <c r="F688" s="4049"/>
      <c r="G688" s="4059"/>
      <c r="H688" s="4060" t="s">
        <v>50</v>
      </c>
      <c r="I688" s="4060" t="s">
        <v>74</v>
      </c>
      <c r="J688" s="1964">
        <v>0</v>
      </c>
      <c r="K688" s="2159">
        <v>0</v>
      </c>
      <c r="L688" s="2160">
        <f>'[2]ALL BULAN'!E632</f>
        <v>0</v>
      </c>
      <c r="M688" s="4253">
        <f t="shared" si="102"/>
        <v>0</v>
      </c>
      <c r="N688" s="4253"/>
      <c r="O688" s="4523">
        <f t="shared" si="103"/>
        <v>0</v>
      </c>
      <c r="P688" s="4061">
        <v>0</v>
      </c>
      <c r="Q688" s="4839"/>
    </row>
    <row r="689" spans="1:17" s="2070" customFormat="1">
      <c r="A689" s="4101">
        <v>4</v>
      </c>
      <c r="B689" s="4101">
        <v>1</v>
      </c>
      <c r="C689" s="4101" t="s">
        <v>443</v>
      </c>
      <c r="D689" s="4101" t="s">
        <v>444</v>
      </c>
      <c r="E689" s="4101" t="s">
        <v>441</v>
      </c>
      <c r="F689" s="4049"/>
      <c r="G689" s="4059"/>
      <c r="H689" s="4060" t="s">
        <v>308</v>
      </c>
      <c r="I689" s="4060" t="s">
        <v>75</v>
      </c>
      <c r="J689" s="1964">
        <v>0</v>
      </c>
      <c r="K689" s="2159">
        <v>0</v>
      </c>
      <c r="L689" s="2160">
        <f>'[2]ALL BULAN'!E633</f>
        <v>0</v>
      </c>
      <c r="M689" s="4253">
        <f t="shared" si="102"/>
        <v>0</v>
      </c>
      <c r="N689" s="4253"/>
      <c r="O689" s="4523">
        <f t="shared" si="103"/>
        <v>0</v>
      </c>
      <c r="P689" s="4061">
        <v>0</v>
      </c>
      <c r="Q689" s="4839"/>
    </row>
    <row r="690" spans="1:17" s="2070" customFormat="1">
      <c r="A690" s="4048"/>
      <c r="B690" s="4048"/>
      <c r="C690" s="4048"/>
      <c r="D690" s="4048"/>
      <c r="E690" s="4048"/>
      <c r="F690" s="4049"/>
      <c r="G690" s="4067"/>
      <c r="H690" s="4060" t="s">
        <v>50</v>
      </c>
      <c r="I690" s="3963" t="s">
        <v>1251</v>
      </c>
      <c r="J690" s="4755">
        <v>1508491400</v>
      </c>
      <c r="K690" s="2159">
        <v>2100000</v>
      </c>
      <c r="L690" s="2160">
        <v>0</v>
      </c>
      <c r="M690" s="4253">
        <f t="shared" si="102"/>
        <v>2100000</v>
      </c>
      <c r="N690" s="4248">
        <v>0</v>
      </c>
      <c r="O690" s="4523">
        <f t="shared" si="103"/>
        <v>-1508491400</v>
      </c>
      <c r="P690" s="4061">
        <v>0</v>
      </c>
      <c r="Q690" s="4839"/>
    </row>
    <row r="691" spans="1:17" s="2070" customFormat="1">
      <c r="A691" s="4065">
        <v>4</v>
      </c>
      <c r="B691" s="4065">
        <v>1</v>
      </c>
      <c r="C691" s="4065">
        <v>4</v>
      </c>
      <c r="D691" s="4065" t="s">
        <v>441</v>
      </c>
      <c r="E691" s="4048"/>
      <c r="F691" s="4049"/>
      <c r="G691" s="4067"/>
      <c r="H691" s="4238" t="s">
        <v>50</v>
      </c>
      <c r="I691" s="4238" t="s">
        <v>324</v>
      </c>
      <c r="J691" s="1964">
        <v>0</v>
      </c>
      <c r="K691" s="2159">
        <v>0</v>
      </c>
      <c r="L691" s="2160">
        <f>'[2]ALL BULAN'!E635</f>
        <v>0</v>
      </c>
      <c r="M691" s="4253">
        <f t="shared" si="102"/>
        <v>0</v>
      </c>
      <c r="N691" s="4253"/>
      <c r="O691" s="4523">
        <f t="shared" si="103"/>
        <v>0</v>
      </c>
      <c r="P691" s="4061">
        <v>0</v>
      </c>
      <c r="Q691" s="4839"/>
    </row>
    <row r="692" spans="1:17" s="2070" customFormat="1" ht="5.5" customHeight="1">
      <c r="A692" s="4048"/>
      <c r="B692" s="4048"/>
      <c r="C692" s="4048"/>
      <c r="D692" s="4048"/>
      <c r="E692" s="4048"/>
      <c r="F692" s="4049"/>
      <c r="G692" s="4102"/>
      <c r="H692" s="4083"/>
      <c r="I692" s="4083"/>
      <c r="J692" s="4592"/>
      <c r="K692" s="2341"/>
      <c r="L692" s="4592"/>
      <c r="M692" s="4593"/>
      <c r="N692" s="4593"/>
      <c r="O692" s="4824"/>
      <c r="P692" s="4239"/>
      <c r="Q692" s="4839"/>
    </row>
    <row r="693" spans="1:17" s="2070" customFormat="1" ht="15.65">
      <c r="A693" s="4048"/>
      <c r="B693" s="4048"/>
      <c r="C693" s="4048"/>
      <c r="D693" s="4048"/>
      <c r="E693" s="4048"/>
      <c r="F693" s="4049"/>
      <c r="G693" s="4041" t="s">
        <v>355</v>
      </c>
      <c r="H693" s="4042" t="s">
        <v>356</v>
      </c>
      <c r="I693" s="4097"/>
      <c r="J693" s="4545">
        <f>J694</f>
        <v>1004500000</v>
      </c>
      <c r="K693" s="4520">
        <v>14881950</v>
      </c>
      <c r="L693" s="4545">
        <f>L694+L711</f>
        <v>120000</v>
      </c>
      <c r="M693" s="4545">
        <f t="shared" ref="M693:M715" si="105">SUM(K693:L693)</f>
        <v>15001950</v>
      </c>
      <c r="N693" s="4545">
        <f>N694</f>
        <v>291000000</v>
      </c>
      <c r="O693" s="4519">
        <f>N693-J693</f>
        <v>-713500000</v>
      </c>
      <c r="P693" s="4044">
        <f>O693/J693*100</f>
        <v>-71.030363364858147</v>
      </c>
      <c r="Q693" s="4839"/>
    </row>
    <row r="694" spans="1:17" s="2070" customFormat="1">
      <c r="A694" s="4046">
        <v>4</v>
      </c>
      <c r="B694" s="4046">
        <v>1</v>
      </c>
      <c r="C694" s="4046">
        <v>2</v>
      </c>
      <c r="D694" s="4047" t="s">
        <v>438</v>
      </c>
      <c r="E694" s="4128"/>
      <c r="F694" s="4049">
        <v>1</v>
      </c>
      <c r="G694" s="4050"/>
      <c r="H694" s="4051" t="s">
        <v>63</v>
      </c>
      <c r="I694" s="4224"/>
      <c r="J694" s="4586">
        <f>SUM(J695+J702)</f>
        <v>1004500000</v>
      </c>
      <c r="K694" s="2159">
        <v>14161950</v>
      </c>
      <c r="L694" s="4586">
        <f>+L695+L702</f>
        <v>120000</v>
      </c>
      <c r="M694" s="4253">
        <f t="shared" si="105"/>
        <v>14281950</v>
      </c>
      <c r="N694" s="4253">
        <f>SUM(N695+N702)</f>
        <v>291000000</v>
      </c>
      <c r="O694" s="2263">
        <f t="shared" ref="O694:O715" si="106">N694-J694</f>
        <v>-713500000</v>
      </c>
      <c r="P694" s="4061">
        <f>O694/J694*100</f>
        <v>-71.030363364858147</v>
      </c>
      <c r="Q694" s="4839"/>
    </row>
    <row r="695" spans="1:17" s="2070" customFormat="1">
      <c r="A695" s="4046">
        <v>4</v>
      </c>
      <c r="B695" s="4046">
        <v>1</v>
      </c>
      <c r="C695" s="4046">
        <v>2</v>
      </c>
      <c r="D695" s="4047" t="s">
        <v>438</v>
      </c>
      <c r="E695" s="4093" t="s">
        <v>437</v>
      </c>
      <c r="F695" s="4049"/>
      <c r="G695" s="4059"/>
      <c r="H695" s="4068" t="s">
        <v>64</v>
      </c>
      <c r="I695" s="4060"/>
      <c r="J695" s="4542">
        <f>SUM(J696:J699)</f>
        <v>785500000</v>
      </c>
      <c r="K695" s="2159">
        <v>13303900</v>
      </c>
      <c r="L695" s="4542">
        <f>SUM(L696:L700)</f>
        <v>120000</v>
      </c>
      <c r="M695" s="4253">
        <f t="shared" si="105"/>
        <v>13423900</v>
      </c>
      <c r="N695" s="4542">
        <f>SUM(N696:N699)</f>
        <v>72000000</v>
      </c>
      <c r="O695" s="4523">
        <f t="shared" si="106"/>
        <v>-713500000</v>
      </c>
      <c r="P695" s="4061">
        <f>O695/J695*100</f>
        <v>-90.833863781031184</v>
      </c>
      <c r="Q695" s="4839"/>
    </row>
    <row r="696" spans="1:17" s="2070" customFormat="1">
      <c r="A696" s="4048"/>
      <c r="B696" s="4048"/>
      <c r="C696" s="4048"/>
      <c r="D696" s="4048"/>
      <c r="E696" s="4048"/>
      <c r="F696" s="4049"/>
      <c r="G696" s="4067"/>
      <c r="H696" s="4060" t="s">
        <v>50</v>
      </c>
      <c r="I696" s="4060" t="s">
        <v>357</v>
      </c>
      <c r="J696" s="1964">
        <v>40000000</v>
      </c>
      <c r="K696" s="2159">
        <v>7487600</v>
      </c>
      <c r="L696" s="2160">
        <v>0</v>
      </c>
      <c r="M696" s="4253">
        <f t="shared" si="105"/>
        <v>7487600</v>
      </c>
      <c r="N696" s="4253">
        <v>0</v>
      </c>
      <c r="O696" s="4523">
        <f t="shared" si="106"/>
        <v>-40000000</v>
      </c>
      <c r="P696" s="4061">
        <f>O696/J696*100</f>
        <v>-100</v>
      </c>
      <c r="Q696" s="4839"/>
    </row>
    <row r="697" spans="1:17" s="2070" customFormat="1">
      <c r="A697" s="4048"/>
      <c r="B697" s="4048"/>
      <c r="C697" s="4048"/>
      <c r="D697" s="4048"/>
      <c r="E697" s="4048"/>
      <c r="F697" s="4049"/>
      <c r="G697" s="4067"/>
      <c r="H697" s="4060" t="s">
        <v>50</v>
      </c>
      <c r="I697" s="4060" t="s">
        <v>358</v>
      </c>
      <c r="J697" s="1964">
        <v>23000000</v>
      </c>
      <c r="K697" s="2159">
        <v>2276300</v>
      </c>
      <c r="L697" s="2160">
        <v>0</v>
      </c>
      <c r="M697" s="4253">
        <f t="shared" si="105"/>
        <v>2276300</v>
      </c>
      <c r="N697" s="4253">
        <v>0</v>
      </c>
      <c r="O697" s="4523">
        <f t="shared" si="106"/>
        <v>-23000000</v>
      </c>
      <c r="P697" s="4061">
        <f t="shared" ref="P697:P705" si="107">O697/J697*100</f>
        <v>-100</v>
      </c>
      <c r="Q697" s="4839"/>
    </row>
    <row r="698" spans="1:17" s="2070" customFormat="1">
      <c r="A698" s="4048"/>
      <c r="B698" s="4048"/>
      <c r="C698" s="4048"/>
      <c r="D698" s="4048"/>
      <c r="E698" s="4048"/>
      <c r="F698" s="4049"/>
      <c r="G698" s="4067"/>
      <c r="H698" s="200" t="s">
        <v>50</v>
      </c>
      <c r="I698" s="200" t="s">
        <v>1237</v>
      </c>
      <c r="J698" s="1964">
        <v>0</v>
      </c>
      <c r="K698" s="2159"/>
      <c r="L698" s="2160"/>
      <c r="M698" s="4253"/>
      <c r="N698" s="4248">
        <v>45000000</v>
      </c>
      <c r="O698" s="4523">
        <f t="shared" si="106"/>
        <v>45000000</v>
      </c>
      <c r="P698" s="4061">
        <v>0</v>
      </c>
      <c r="Q698" s="4839"/>
    </row>
    <row r="699" spans="1:17" s="2070" customFormat="1">
      <c r="A699" s="4048"/>
      <c r="B699" s="4048"/>
      <c r="C699" s="4048"/>
      <c r="D699" s="4048"/>
      <c r="E699" s="4048"/>
      <c r="F699" s="4049"/>
      <c r="G699" s="4067"/>
      <c r="H699" s="4060" t="s">
        <v>50</v>
      </c>
      <c r="I699" s="4060" t="s">
        <v>359</v>
      </c>
      <c r="J699" s="1964">
        <v>722500000</v>
      </c>
      <c r="K699" s="2159">
        <v>0</v>
      </c>
      <c r="L699" s="2160">
        <v>120000</v>
      </c>
      <c r="M699" s="4253">
        <f t="shared" si="105"/>
        <v>120000</v>
      </c>
      <c r="N699" s="4248">
        <v>27000000</v>
      </c>
      <c r="O699" s="4523">
        <f t="shared" si="106"/>
        <v>-695500000</v>
      </c>
      <c r="P699" s="4061">
        <v>0</v>
      </c>
      <c r="Q699" s="4839"/>
    </row>
    <row r="700" spans="1:17" s="2070" customFormat="1">
      <c r="A700" s="4048"/>
      <c r="B700" s="4048"/>
      <c r="C700" s="4048"/>
      <c r="D700" s="4048"/>
      <c r="E700" s="4048"/>
      <c r="F700" s="4049"/>
      <c r="G700" s="4067"/>
      <c r="H700" s="4060" t="s">
        <v>50</v>
      </c>
      <c r="I700" s="4060" t="s">
        <v>360</v>
      </c>
      <c r="J700" s="1964">
        <v>0</v>
      </c>
      <c r="K700" s="2159">
        <v>3540000</v>
      </c>
      <c r="L700" s="2160">
        <v>0</v>
      </c>
      <c r="M700" s="4253">
        <f t="shared" si="105"/>
        <v>3540000</v>
      </c>
      <c r="N700" s="4253"/>
      <c r="O700" s="4523">
        <f t="shared" si="106"/>
        <v>0</v>
      </c>
      <c r="P700" s="4061">
        <v>0</v>
      </c>
      <c r="Q700" s="4839"/>
    </row>
    <row r="701" spans="1:17" s="2070" customFormat="1" ht="3.8" customHeight="1">
      <c r="A701" s="4048"/>
      <c r="B701" s="4048"/>
      <c r="C701" s="4048"/>
      <c r="D701" s="4048"/>
      <c r="E701" s="4048"/>
      <c r="F701" s="4049"/>
      <c r="G701" s="4067"/>
      <c r="H701" s="4060"/>
      <c r="I701" s="4060"/>
      <c r="J701" s="4541"/>
      <c r="K701" s="2159">
        <v>0</v>
      </c>
      <c r="L701" s="4541"/>
      <c r="M701" s="4253">
        <f t="shared" si="105"/>
        <v>0</v>
      </c>
      <c r="N701" s="4253"/>
      <c r="O701" s="4523">
        <f t="shared" si="106"/>
        <v>0</v>
      </c>
      <c r="P701" s="4061">
        <v>0</v>
      </c>
      <c r="Q701" s="4839"/>
    </row>
    <row r="702" spans="1:17" s="2070" customFormat="1">
      <c r="A702" s="4046">
        <v>4</v>
      </c>
      <c r="B702" s="4046">
        <v>1</v>
      </c>
      <c r="C702" s="4046">
        <v>2</v>
      </c>
      <c r="D702" s="4047" t="s">
        <v>438</v>
      </c>
      <c r="E702" s="4093" t="s">
        <v>448</v>
      </c>
      <c r="F702" s="4049"/>
      <c r="G702" s="4067"/>
      <c r="H702" s="4068" t="s">
        <v>361</v>
      </c>
      <c r="I702" s="4060"/>
      <c r="J702" s="4542">
        <f>SUM(J703:J708)</f>
        <v>219000000</v>
      </c>
      <c r="K702" s="2159">
        <v>858050</v>
      </c>
      <c r="L702" s="4542">
        <f>SUM(L703:L709)</f>
        <v>0</v>
      </c>
      <c r="M702" s="4253">
        <f t="shared" si="105"/>
        <v>858050</v>
      </c>
      <c r="N702" s="4253">
        <f>SUM(N703:N709)</f>
        <v>219000000</v>
      </c>
      <c r="O702" s="4523">
        <f t="shared" si="106"/>
        <v>0</v>
      </c>
      <c r="P702" s="4061">
        <f t="shared" si="107"/>
        <v>0</v>
      </c>
      <c r="Q702" s="4839"/>
    </row>
    <row r="703" spans="1:17" s="2070" customFormat="1">
      <c r="A703" s="4048"/>
      <c r="B703" s="4048"/>
      <c r="C703" s="4048"/>
      <c r="D703" s="4048"/>
      <c r="E703" s="4048"/>
      <c r="F703" s="4049"/>
      <c r="G703" s="4067"/>
      <c r="H703" s="4060" t="s">
        <v>50</v>
      </c>
      <c r="I703" s="4060" t="s">
        <v>362</v>
      </c>
      <c r="J703" s="1964">
        <v>0</v>
      </c>
      <c r="K703" s="2159">
        <v>0</v>
      </c>
      <c r="L703" s="2160">
        <f>'[2]ALL BULAN'!E646</f>
        <v>0</v>
      </c>
      <c r="M703" s="4253">
        <f t="shared" si="105"/>
        <v>0</v>
      </c>
      <c r="N703" s="4253"/>
      <c r="O703" s="4523">
        <f t="shared" si="106"/>
        <v>0</v>
      </c>
      <c r="P703" s="4061">
        <v>0</v>
      </c>
      <c r="Q703" s="4839"/>
    </row>
    <row r="704" spans="1:17" s="2070" customFormat="1">
      <c r="A704" s="4048"/>
      <c r="B704" s="4048"/>
      <c r="C704" s="4048"/>
      <c r="D704" s="4048"/>
      <c r="E704" s="4048"/>
      <c r="F704" s="4049"/>
      <c r="G704" s="4067"/>
      <c r="H704" s="4060" t="s">
        <v>50</v>
      </c>
      <c r="I704" s="4060" t="s">
        <v>363</v>
      </c>
      <c r="J704" s="1964">
        <v>75000000</v>
      </c>
      <c r="K704" s="2159">
        <v>858050</v>
      </c>
      <c r="L704" s="2160">
        <v>0</v>
      </c>
      <c r="M704" s="4253">
        <f t="shared" si="105"/>
        <v>858050</v>
      </c>
      <c r="N704" s="1964">
        <v>75000000</v>
      </c>
      <c r="O704" s="4523">
        <f t="shared" si="106"/>
        <v>0</v>
      </c>
      <c r="P704" s="4061">
        <f t="shared" si="107"/>
        <v>0</v>
      </c>
      <c r="Q704" s="4839"/>
    </row>
    <row r="705" spans="1:17" s="2070" customFormat="1">
      <c r="A705" s="4048"/>
      <c r="B705" s="4048"/>
      <c r="C705" s="4048"/>
      <c r="D705" s="4048"/>
      <c r="E705" s="4048"/>
      <c r="F705" s="4049"/>
      <c r="G705" s="4067"/>
      <c r="H705" s="4060" t="s">
        <v>50</v>
      </c>
      <c r="I705" s="4060" t="s">
        <v>364</v>
      </c>
      <c r="J705" s="1964">
        <v>19000000</v>
      </c>
      <c r="K705" s="2159">
        <v>0</v>
      </c>
      <c r="L705" s="2160">
        <f>'[2]ALL BULAN'!E648</f>
        <v>0</v>
      </c>
      <c r="M705" s="4253">
        <f t="shared" si="105"/>
        <v>0</v>
      </c>
      <c r="N705" s="1964">
        <v>19000000</v>
      </c>
      <c r="O705" s="4523">
        <f t="shared" si="106"/>
        <v>0</v>
      </c>
      <c r="P705" s="4061">
        <f t="shared" si="107"/>
        <v>0</v>
      </c>
      <c r="Q705" s="4839"/>
    </row>
    <row r="706" spans="1:17" s="2070" customFormat="1">
      <c r="A706" s="4048"/>
      <c r="B706" s="4048"/>
      <c r="C706" s="4048"/>
      <c r="D706" s="4048"/>
      <c r="E706" s="4048"/>
      <c r="F706" s="4049"/>
      <c r="G706" s="4067"/>
      <c r="H706" s="4060" t="s">
        <v>50</v>
      </c>
      <c r="I706" s="4060" t="s">
        <v>365</v>
      </c>
      <c r="J706" s="1964">
        <v>125000000</v>
      </c>
      <c r="K706" s="2159">
        <v>0</v>
      </c>
      <c r="L706" s="2160">
        <f>'[2]ALL BULAN'!E649</f>
        <v>0</v>
      </c>
      <c r="M706" s="4253">
        <f t="shared" si="105"/>
        <v>0</v>
      </c>
      <c r="N706" s="1964">
        <v>125000000</v>
      </c>
      <c r="O706" s="4523">
        <f t="shared" si="106"/>
        <v>0</v>
      </c>
      <c r="P706" s="4061">
        <f>M706/J706*100</f>
        <v>0</v>
      </c>
      <c r="Q706" s="4839"/>
    </row>
    <row r="707" spans="1:17" s="2070" customFormat="1">
      <c r="A707" s="4048"/>
      <c r="B707" s="4048"/>
      <c r="C707" s="4048"/>
      <c r="D707" s="4048"/>
      <c r="E707" s="4048"/>
      <c r="F707" s="4049"/>
      <c r="G707" s="4067"/>
      <c r="H707" s="4060" t="s">
        <v>50</v>
      </c>
      <c r="I707" s="4060" t="s">
        <v>366</v>
      </c>
      <c r="J707" s="1964">
        <v>0</v>
      </c>
      <c r="K707" s="2159">
        <v>0</v>
      </c>
      <c r="L707" s="2160">
        <f>'[2]ALL BULAN'!E650</f>
        <v>0</v>
      </c>
      <c r="M707" s="4253">
        <f t="shared" si="105"/>
        <v>0</v>
      </c>
      <c r="N707" s="4253">
        <v>0</v>
      </c>
      <c r="O707" s="4523">
        <f t="shared" si="106"/>
        <v>0</v>
      </c>
      <c r="P707" s="4061">
        <v>0</v>
      </c>
      <c r="Q707" s="4839"/>
    </row>
    <row r="708" spans="1:17" s="2070" customFormat="1">
      <c r="A708" s="4048"/>
      <c r="B708" s="4048"/>
      <c r="C708" s="4048"/>
      <c r="D708" s="4048"/>
      <c r="E708" s="4048"/>
      <c r="F708" s="4049"/>
      <c r="G708" s="4067"/>
      <c r="H708" s="4060" t="s">
        <v>50</v>
      </c>
      <c r="I708" s="4060" t="s">
        <v>367</v>
      </c>
      <c r="J708" s="1964">
        <v>0</v>
      </c>
      <c r="K708" s="2159">
        <v>0</v>
      </c>
      <c r="L708" s="2160">
        <f>'[2]ALL BULAN'!E651</f>
        <v>0</v>
      </c>
      <c r="M708" s="4253">
        <f t="shared" si="105"/>
        <v>0</v>
      </c>
      <c r="N708" s="4253">
        <v>0</v>
      </c>
      <c r="O708" s="4523">
        <f t="shared" si="106"/>
        <v>0</v>
      </c>
      <c r="P708" s="4061">
        <v>0</v>
      </c>
      <c r="Q708" s="4839"/>
    </row>
    <row r="709" spans="1:17" s="2070" customFormat="1">
      <c r="A709" s="4048"/>
      <c r="B709" s="4048"/>
      <c r="C709" s="4048"/>
      <c r="D709" s="4048"/>
      <c r="E709" s="4048"/>
      <c r="F709" s="4049"/>
      <c r="G709" s="4067"/>
      <c r="H709" s="4060" t="s">
        <v>50</v>
      </c>
      <c r="I709" s="4060" t="s">
        <v>368</v>
      </c>
      <c r="J709" s="1964">
        <v>0</v>
      </c>
      <c r="K709" s="2159">
        <v>0</v>
      </c>
      <c r="L709" s="2160">
        <f>'[2]ALL BULAN'!E652</f>
        <v>0</v>
      </c>
      <c r="M709" s="4253">
        <f t="shared" si="105"/>
        <v>0</v>
      </c>
      <c r="N709" s="4253">
        <v>0</v>
      </c>
      <c r="O709" s="4523">
        <f t="shared" si="106"/>
        <v>0</v>
      </c>
      <c r="P709" s="4061">
        <v>0</v>
      </c>
      <c r="Q709" s="4839"/>
    </row>
    <row r="710" spans="1:17" s="2070" customFormat="1" ht="4.55" customHeight="1">
      <c r="A710" s="4048"/>
      <c r="B710" s="4048"/>
      <c r="C710" s="4048"/>
      <c r="D710" s="4048"/>
      <c r="E710" s="4048"/>
      <c r="F710" s="4049"/>
      <c r="G710" s="4067"/>
      <c r="H710" s="4060"/>
      <c r="I710" s="4060"/>
      <c r="J710" s="4541"/>
      <c r="K710" s="2159">
        <v>0</v>
      </c>
      <c r="L710" s="4541"/>
      <c r="M710" s="4253">
        <f t="shared" si="105"/>
        <v>0</v>
      </c>
      <c r="N710" s="4253">
        <v>0</v>
      </c>
      <c r="O710" s="4523">
        <f t="shared" si="106"/>
        <v>0</v>
      </c>
      <c r="P710" s="4061">
        <f>O710-K710</f>
        <v>0</v>
      </c>
      <c r="Q710" s="4839"/>
    </row>
    <row r="711" spans="1:17" s="2070" customFormat="1">
      <c r="A711" s="4048"/>
      <c r="B711" s="4048"/>
      <c r="C711" s="4048"/>
      <c r="D711" s="4048"/>
      <c r="E711" s="4048"/>
      <c r="F711" s="4049">
        <v>3</v>
      </c>
      <c r="G711" s="4067"/>
      <c r="H711" s="4068" t="s">
        <v>71</v>
      </c>
      <c r="I711" s="4068"/>
      <c r="J711" s="4542">
        <v>0</v>
      </c>
      <c r="K711" s="2159">
        <v>720000</v>
      </c>
      <c r="L711" s="4542">
        <f>SUM(L712:L715)</f>
        <v>0</v>
      </c>
      <c r="M711" s="4253">
        <f t="shared" si="105"/>
        <v>720000</v>
      </c>
      <c r="N711" s="4253">
        <v>0</v>
      </c>
      <c r="O711" s="4523">
        <f t="shared" si="106"/>
        <v>0</v>
      </c>
      <c r="P711" s="4061">
        <v>0</v>
      </c>
      <c r="Q711" s="4839"/>
    </row>
    <row r="712" spans="1:17" s="2070" customFormat="1">
      <c r="A712" s="4048"/>
      <c r="B712" s="4048"/>
      <c r="C712" s="4048"/>
      <c r="D712" s="4048"/>
      <c r="E712" s="4048"/>
      <c r="F712" s="4049"/>
      <c r="G712" s="4059"/>
      <c r="H712" s="4060" t="s">
        <v>50</v>
      </c>
      <c r="I712" s="4188" t="s">
        <v>369</v>
      </c>
      <c r="J712" s="1964">
        <v>0</v>
      </c>
      <c r="K712" s="2159">
        <v>0</v>
      </c>
      <c r="L712" s="2160">
        <f>'[2]ALL BULAN'!E655</f>
        <v>0</v>
      </c>
      <c r="M712" s="4253">
        <f t="shared" si="105"/>
        <v>0</v>
      </c>
      <c r="N712" s="4253">
        <v>0</v>
      </c>
      <c r="O712" s="4523">
        <f t="shared" si="106"/>
        <v>0</v>
      </c>
      <c r="P712" s="4061">
        <v>0</v>
      </c>
      <c r="Q712" s="4839"/>
    </row>
    <row r="713" spans="1:17" s="2070" customFormat="1">
      <c r="A713" s="4069">
        <v>4</v>
      </c>
      <c r="B713" s="4069">
        <v>1</v>
      </c>
      <c r="C713" s="4069" t="s">
        <v>443</v>
      </c>
      <c r="D713" s="4069" t="s">
        <v>444</v>
      </c>
      <c r="E713" s="4070" t="s">
        <v>445</v>
      </c>
      <c r="F713" s="4049"/>
      <c r="G713" s="4059"/>
      <c r="H713" s="4060" t="s">
        <v>50</v>
      </c>
      <c r="I713" s="4060" t="s">
        <v>74</v>
      </c>
      <c r="J713" s="1964">
        <v>0</v>
      </c>
      <c r="K713" s="2159">
        <v>0</v>
      </c>
      <c r="L713" s="2160">
        <f>'[2]ALL BULAN'!E656</f>
        <v>0</v>
      </c>
      <c r="M713" s="4253">
        <f t="shared" si="105"/>
        <v>0</v>
      </c>
      <c r="N713" s="4253">
        <v>0</v>
      </c>
      <c r="O713" s="4523">
        <f t="shared" si="106"/>
        <v>0</v>
      </c>
      <c r="P713" s="4061">
        <v>0</v>
      </c>
      <c r="Q713" s="4839"/>
    </row>
    <row r="714" spans="1:17" s="2070" customFormat="1">
      <c r="A714" s="4101">
        <v>4</v>
      </c>
      <c r="B714" s="4101">
        <v>1</v>
      </c>
      <c r="C714" s="4101" t="s">
        <v>443</v>
      </c>
      <c r="D714" s="4101" t="s">
        <v>444</v>
      </c>
      <c r="E714" s="4101" t="s">
        <v>441</v>
      </c>
      <c r="F714" s="4049"/>
      <c r="G714" s="4059"/>
      <c r="H714" s="4060" t="s">
        <v>308</v>
      </c>
      <c r="I714" s="4060" t="s">
        <v>75</v>
      </c>
      <c r="J714" s="1964">
        <v>0</v>
      </c>
      <c r="K714" s="2159">
        <v>0</v>
      </c>
      <c r="L714" s="2160">
        <f>'[2]ALL BULAN'!E657</f>
        <v>0</v>
      </c>
      <c r="M714" s="4253">
        <f t="shared" si="105"/>
        <v>0</v>
      </c>
      <c r="N714" s="4253">
        <v>0</v>
      </c>
      <c r="O714" s="4523">
        <f t="shared" si="106"/>
        <v>0</v>
      </c>
      <c r="P714" s="4061">
        <v>0</v>
      </c>
      <c r="Q714" s="4839"/>
    </row>
    <row r="715" spans="1:17" s="2070" customFormat="1">
      <c r="A715" s="4079">
        <v>4</v>
      </c>
      <c r="B715" s="4079">
        <v>1</v>
      </c>
      <c r="C715" s="4079" t="s">
        <v>443</v>
      </c>
      <c r="D715" s="4079" t="s">
        <v>447</v>
      </c>
      <c r="E715" s="4093" t="s">
        <v>437</v>
      </c>
      <c r="F715" s="4049"/>
      <c r="G715" s="4059"/>
      <c r="H715" s="4060" t="s">
        <v>50</v>
      </c>
      <c r="I715" s="4060" t="s">
        <v>85</v>
      </c>
      <c r="J715" s="1964">
        <v>0</v>
      </c>
      <c r="K715" s="2159">
        <v>720000</v>
      </c>
      <c r="L715" s="2160">
        <v>0</v>
      </c>
      <c r="M715" s="4253">
        <f t="shared" si="105"/>
        <v>720000</v>
      </c>
      <c r="N715" s="4253">
        <v>0</v>
      </c>
      <c r="O715" s="4523">
        <f t="shared" si="106"/>
        <v>0</v>
      </c>
      <c r="P715" s="4061">
        <v>0</v>
      </c>
      <c r="Q715" s="4839"/>
    </row>
    <row r="716" spans="1:17" s="2070" customFormat="1" ht="3.8" customHeight="1">
      <c r="A716" s="4048"/>
      <c r="B716" s="4048"/>
      <c r="C716" s="4048"/>
      <c r="D716" s="4048"/>
      <c r="E716" s="4048"/>
      <c r="F716" s="4049"/>
      <c r="G716" s="4102"/>
      <c r="H716" s="4083"/>
      <c r="I716" s="4083"/>
      <c r="J716" s="4548"/>
      <c r="K716" s="2183"/>
      <c r="L716" s="4548"/>
      <c r="M716" s="4549"/>
      <c r="N716" s="4549">
        <v>0</v>
      </c>
      <c r="O716" s="2315"/>
      <c r="P716" s="4172"/>
      <c r="Q716" s="4839"/>
    </row>
    <row r="717" spans="1:17" s="2070" customFormat="1" ht="15.65">
      <c r="A717" s="4048"/>
      <c r="B717" s="4048"/>
      <c r="C717" s="4048"/>
      <c r="D717" s="4048"/>
      <c r="E717" s="4048"/>
      <c r="F717" s="4049"/>
      <c r="G717" s="4041" t="s">
        <v>370</v>
      </c>
      <c r="H717" s="4042" t="s">
        <v>371</v>
      </c>
      <c r="I717" s="4097"/>
      <c r="J717" s="4545">
        <v>0</v>
      </c>
      <c r="K717" s="4520">
        <v>0</v>
      </c>
      <c r="L717" s="4545">
        <f>L718</f>
        <v>0</v>
      </c>
      <c r="M717" s="4545">
        <f t="shared" ref="M717:M723" si="108">SUM(K717:L717)</f>
        <v>0</v>
      </c>
      <c r="N717" s="4545">
        <v>0</v>
      </c>
      <c r="O717" s="4519">
        <f t="shared" ref="O717:O723" si="109">M717-J717</f>
        <v>0</v>
      </c>
      <c r="P717" s="4044">
        <v>0</v>
      </c>
      <c r="Q717" s="4839"/>
    </row>
    <row r="718" spans="1:17" s="2070" customFormat="1">
      <c r="A718" s="4065">
        <v>4</v>
      </c>
      <c r="B718" s="4065">
        <v>1</v>
      </c>
      <c r="C718" s="4065">
        <v>4</v>
      </c>
      <c r="D718" s="4048"/>
      <c r="E718" s="4048"/>
      <c r="F718" s="4049">
        <v>3</v>
      </c>
      <c r="G718" s="4150"/>
      <c r="H718" s="4179" t="s">
        <v>71</v>
      </c>
      <c r="I718" s="4179"/>
      <c r="J718" s="2304">
        <v>0</v>
      </c>
      <c r="K718" s="2159">
        <v>0</v>
      </c>
      <c r="L718" s="2304">
        <f>SUM(L719:L723)</f>
        <v>0</v>
      </c>
      <c r="M718" s="4253">
        <f t="shared" si="108"/>
        <v>0</v>
      </c>
      <c r="N718" s="4253"/>
      <c r="O718" s="4254">
        <f t="shared" si="109"/>
        <v>0</v>
      </c>
      <c r="P718" s="4061">
        <v>0</v>
      </c>
      <c r="Q718" s="4839"/>
    </row>
    <row r="719" spans="1:17" s="2070" customFormat="1">
      <c r="A719" s="4065">
        <v>4</v>
      </c>
      <c r="B719" s="4065">
        <v>1</v>
      </c>
      <c r="C719" s="4065">
        <v>4</v>
      </c>
      <c r="D719" s="4065" t="s">
        <v>441</v>
      </c>
      <c r="E719" s="4048"/>
      <c r="F719" s="4049"/>
      <c r="G719" s="4067"/>
      <c r="H719" s="4131" t="s">
        <v>50</v>
      </c>
      <c r="I719" s="4060" t="s">
        <v>72</v>
      </c>
      <c r="J719" s="1964">
        <v>0</v>
      </c>
      <c r="K719" s="2159">
        <v>0</v>
      </c>
      <c r="L719" s="2160">
        <f>'[2]ALL BULAN'!E662</f>
        <v>0</v>
      </c>
      <c r="M719" s="4253">
        <f t="shared" si="108"/>
        <v>0</v>
      </c>
      <c r="N719" s="4253"/>
      <c r="O719" s="4254">
        <f t="shared" si="109"/>
        <v>0</v>
      </c>
      <c r="P719" s="4061">
        <v>0</v>
      </c>
      <c r="Q719" s="4839"/>
    </row>
    <row r="720" spans="1:17" s="2070" customFormat="1">
      <c r="A720" s="4074">
        <v>4</v>
      </c>
      <c r="B720" s="4074">
        <v>1</v>
      </c>
      <c r="C720" s="4074" t="s">
        <v>443</v>
      </c>
      <c r="D720" s="4074" t="s">
        <v>444</v>
      </c>
      <c r="E720" s="4074" t="s">
        <v>440</v>
      </c>
      <c r="F720" s="4049"/>
      <c r="G720" s="4059"/>
      <c r="H720" s="4131" t="s">
        <v>50</v>
      </c>
      <c r="I720" s="4060" t="s">
        <v>73</v>
      </c>
      <c r="J720" s="1964">
        <v>0</v>
      </c>
      <c r="K720" s="2159">
        <v>0</v>
      </c>
      <c r="L720" s="2160">
        <f>'[2]ALL BULAN'!E663</f>
        <v>0</v>
      </c>
      <c r="M720" s="4253">
        <f t="shared" si="108"/>
        <v>0</v>
      </c>
      <c r="N720" s="4253"/>
      <c r="O720" s="4254">
        <f t="shared" si="109"/>
        <v>0</v>
      </c>
      <c r="P720" s="4061">
        <v>0</v>
      </c>
      <c r="Q720" s="4839"/>
    </row>
    <row r="721" spans="1:17" s="2070" customFormat="1">
      <c r="A721" s="4069">
        <v>4</v>
      </c>
      <c r="B721" s="4069">
        <v>1</v>
      </c>
      <c r="C721" s="4069" t="s">
        <v>443</v>
      </c>
      <c r="D721" s="4069" t="s">
        <v>444</v>
      </c>
      <c r="E721" s="4070" t="s">
        <v>445</v>
      </c>
      <c r="F721" s="4049"/>
      <c r="G721" s="4059"/>
      <c r="H721" s="4131" t="s">
        <v>50</v>
      </c>
      <c r="I721" s="4060" t="s">
        <v>74</v>
      </c>
      <c r="J721" s="1964">
        <v>0</v>
      </c>
      <c r="K721" s="2159">
        <v>0</v>
      </c>
      <c r="L721" s="2160">
        <f>'[2]ALL BULAN'!E664</f>
        <v>0</v>
      </c>
      <c r="M721" s="4253">
        <f t="shared" si="108"/>
        <v>0</v>
      </c>
      <c r="N721" s="4253"/>
      <c r="O721" s="4254">
        <f t="shared" si="109"/>
        <v>0</v>
      </c>
      <c r="P721" s="4061">
        <v>0</v>
      </c>
      <c r="Q721" s="4839"/>
    </row>
    <row r="722" spans="1:17" s="2070" customFormat="1">
      <c r="A722" s="4101">
        <v>4</v>
      </c>
      <c r="B722" s="4101">
        <v>1</v>
      </c>
      <c r="C722" s="4101" t="s">
        <v>443</v>
      </c>
      <c r="D722" s="4101" t="s">
        <v>444</v>
      </c>
      <c r="E722" s="4101" t="s">
        <v>441</v>
      </c>
      <c r="F722" s="4049"/>
      <c r="G722" s="4059"/>
      <c r="H722" s="4060" t="s">
        <v>308</v>
      </c>
      <c r="I722" s="4060" t="s">
        <v>75</v>
      </c>
      <c r="J722" s="1964">
        <v>0</v>
      </c>
      <c r="K722" s="2159">
        <v>0</v>
      </c>
      <c r="L722" s="2160">
        <f>'[2]ALL BULAN'!E665</f>
        <v>0</v>
      </c>
      <c r="M722" s="4253">
        <f t="shared" si="108"/>
        <v>0</v>
      </c>
      <c r="N722" s="4253"/>
      <c r="O722" s="4254">
        <f t="shared" si="109"/>
        <v>0</v>
      </c>
      <c r="P722" s="4061">
        <v>0</v>
      </c>
      <c r="Q722" s="4839"/>
    </row>
    <row r="723" spans="1:17" s="2070" customFormat="1">
      <c r="A723" s="4079">
        <v>4</v>
      </c>
      <c r="B723" s="4079">
        <v>1</v>
      </c>
      <c r="C723" s="4079" t="s">
        <v>443</v>
      </c>
      <c r="D723" s="4079" t="s">
        <v>447</v>
      </c>
      <c r="E723" s="4093" t="s">
        <v>437</v>
      </c>
      <c r="F723" s="4049"/>
      <c r="G723" s="4067"/>
      <c r="H723" s="4181" t="s">
        <v>50</v>
      </c>
      <c r="I723" s="4060" t="s">
        <v>85</v>
      </c>
      <c r="J723" s="1964">
        <v>0</v>
      </c>
      <c r="K723" s="2159">
        <v>0</v>
      </c>
      <c r="L723" s="2160">
        <f>'[2]ALL BULAN'!E666</f>
        <v>0</v>
      </c>
      <c r="M723" s="4253">
        <f t="shared" si="108"/>
        <v>0</v>
      </c>
      <c r="N723" s="4253"/>
      <c r="O723" s="4254">
        <f t="shared" si="109"/>
        <v>0</v>
      </c>
      <c r="P723" s="4061">
        <v>0</v>
      </c>
      <c r="Q723" s="4839"/>
    </row>
    <row r="724" spans="1:17" s="2070" customFormat="1" ht="5.35" customHeight="1">
      <c r="A724" s="4048"/>
      <c r="B724" s="4048"/>
      <c r="C724" s="4048"/>
      <c r="D724" s="4048"/>
      <c r="E724" s="4048"/>
      <c r="F724" s="4049"/>
      <c r="G724" s="4102"/>
      <c r="H724" s="4185"/>
      <c r="I724" s="4185"/>
      <c r="J724" s="2314"/>
      <c r="K724" s="2220"/>
      <c r="L724" s="2314"/>
      <c r="M724" s="2315"/>
      <c r="N724" s="2315"/>
      <c r="O724" s="2315"/>
      <c r="P724" s="4174"/>
      <c r="Q724" s="4839"/>
    </row>
    <row r="725" spans="1:17" s="2070" customFormat="1" ht="15.65">
      <c r="A725" s="4048"/>
      <c r="B725" s="4048"/>
      <c r="C725" s="4048"/>
      <c r="D725" s="4048"/>
      <c r="E725" s="4048"/>
      <c r="F725" s="4049"/>
      <c r="G725" s="4041" t="s">
        <v>372</v>
      </c>
      <c r="H725" s="4042" t="s">
        <v>373</v>
      </c>
      <c r="I725" s="4097"/>
      <c r="J725" s="4545">
        <f>J727</f>
        <v>1338680000</v>
      </c>
      <c r="K725" s="4594">
        <v>81424500</v>
      </c>
      <c r="L725" s="4545">
        <f>L727+L751</f>
        <v>148650500</v>
      </c>
      <c r="M725" s="4595">
        <f>SUM(K725:L725)</f>
        <v>230075000</v>
      </c>
      <c r="N725" s="4545">
        <f>N727</f>
        <v>1263680000</v>
      </c>
      <c r="O725" s="4519">
        <f>N725-J725</f>
        <v>-75000000</v>
      </c>
      <c r="P725" s="4044">
        <f>O725/J725*100</f>
        <v>-5.6025338393043898</v>
      </c>
      <c r="Q725" s="4839"/>
    </row>
    <row r="726" spans="1:17" s="2070" customFormat="1" ht="3.8" customHeight="1">
      <c r="A726" s="4048"/>
      <c r="B726" s="4048"/>
      <c r="C726" s="4048"/>
      <c r="D726" s="4048"/>
      <c r="E726" s="4048"/>
      <c r="F726" s="4049"/>
      <c r="G726" s="4050"/>
      <c r="H726" s="4224"/>
      <c r="I726" s="4051"/>
      <c r="J726" s="4581"/>
      <c r="K726" s="4522"/>
      <c r="L726" s="4581"/>
      <c r="M726" s="4582"/>
      <c r="N726" s="4581"/>
      <c r="O726" s="4582"/>
      <c r="P726" s="4225"/>
      <c r="Q726" s="4839"/>
    </row>
    <row r="727" spans="1:17" s="2070" customFormat="1">
      <c r="A727" s="4048"/>
      <c r="B727" s="4048"/>
      <c r="C727" s="4048"/>
      <c r="D727" s="4048"/>
      <c r="E727" s="4048"/>
      <c r="F727" s="4049">
        <v>1</v>
      </c>
      <c r="G727" s="4067"/>
      <c r="H727" s="4068" t="s">
        <v>106</v>
      </c>
      <c r="I727" s="4068"/>
      <c r="J727" s="4546">
        <v>1338680000</v>
      </c>
      <c r="K727" s="2159">
        <v>81424500</v>
      </c>
      <c r="L727" s="4546">
        <f>+L729+L749+L741</f>
        <v>147615500</v>
      </c>
      <c r="M727" s="4253">
        <f t="shared" ref="M727:M756" si="110">SUM(K727:L727)</f>
        <v>229040000</v>
      </c>
      <c r="N727" s="4546">
        <f>N729</f>
        <v>1263680000</v>
      </c>
      <c r="O727" s="4254">
        <f>N727-J727</f>
        <v>-75000000</v>
      </c>
      <c r="P727" s="4061">
        <f>O727/J727*100</f>
        <v>-5.6025338393043898</v>
      </c>
      <c r="Q727" s="4839"/>
    </row>
    <row r="728" spans="1:17" s="2070" customFormat="1" ht="3.8" customHeight="1">
      <c r="A728" s="4048"/>
      <c r="B728" s="4048"/>
      <c r="C728" s="4048"/>
      <c r="D728" s="4048"/>
      <c r="E728" s="4048"/>
      <c r="F728" s="4049"/>
      <c r="G728" s="4067"/>
      <c r="H728" s="4060"/>
      <c r="I728" s="4060"/>
      <c r="J728" s="4584"/>
      <c r="K728" s="2159">
        <v>0</v>
      </c>
      <c r="L728" s="4584"/>
      <c r="M728" s="4253">
        <f t="shared" si="110"/>
        <v>0</v>
      </c>
      <c r="N728" s="4584"/>
      <c r="O728" s="4254">
        <f>M728-J728</f>
        <v>0</v>
      </c>
      <c r="P728" s="4061">
        <v>0</v>
      </c>
      <c r="Q728" s="4839"/>
    </row>
    <row r="729" spans="1:17" s="2070" customFormat="1">
      <c r="A729" s="4046">
        <v>4</v>
      </c>
      <c r="B729" s="4046">
        <v>1</v>
      </c>
      <c r="C729" s="4046">
        <v>2</v>
      </c>
      <c r="D729" s="4047" t="s">
        <v>438</v>
      </c>
      <c r="E729" s="4128"/>
      <c r="F729" s="4049"/>
      <c r="G729" s="4067"/>
      <c r="H729" s="4068" t="s">
        <v>374</v>
      </c>
      <c r="I729" s="4068"/>
      <c r="J729" s="4546">
        <f>SUM(J730+J741)</f>
        <v>1338680000</v>
      </c>
      <c r="K729" s="2159">
        <v>26025000</v>
      </c>
      <c r="L729" s="4546">
        <f>+L730</f>
        <v>27371000</v>
      </c>
      <c r="M729" s="4253">
        <f t="shared" si="110"/>
        <v>53396000</v>
      </c>
      <c r="N729" s="4546">
        <f>SUM(N730+N741)</f>
        <v>1263680000</v>
      </c>
      <c r="O729" s="4254">
        <f>N729-J729</f>
        <v>-75000000</v>
      </c>
      <c r="P729" s="4061">
        <f t="shared" ref="P729:P748" si="111">O729/J729*100</f>
        <v>-5.6025338393043898</v>
      </c>
      <c r="Q729" s="4839"/>
    </row>
    <row r="730" spans="1:17" s="2070" customFormat="1">
      <c r="A730" s="4046">
        <v>4</v>
      </c>
      <c r="B730" s="4046">
        <v>1</v>
      </c>
      <c r="C730" s="4046">
        <v>2</v>
      </c>
      <c r="D730" s="4047" t="s">
        <v>438</v>
      </c>
      <c r="E730" s="4093" t="s">
        <v>437</v>
      </c>
      <c r="F730" s="4049"/>
      <c r="G730" s="4059"/>
      <c r="H730" s="4068" t="s">
        <v>64</v>
      </c>
      <c r="I730" s="4068"/>
      <c r="J730" s="4546">
        <f>SUM(J731:J739)</f>
        <v>518680000</v>
      </c>
      <c r="K730" s="2159">
        <v>26025000</v>
      </c>
      <c r="L730" s="4546">
        <f>SUM(L731:L739)</f>
        <v>27371000</v>
      </c>
      <c r="M730" s="4253">
        <f t="shared" si="110"/>
        <v>53396000</v>
      </c>
      <c r="N730" s="4546">
        <f>SUM(N731:N739)</f>
        <v>443680000</v>
      </c>
      <c r="O730" s="4254">
        <f t="shared" ref="O730:O756" si="112">N730-J730</f>
        <v>-75000000</v>
      </c>
      <c r="P730" s="4061">
        <f t="shared" si="111"/>
        <v>-14.459782524870826</v>
      </c>
      <c r="Q730" s="4839"/>
    </row>
    <row r="731" spans="1:17" s="2070" customFormat="1">
      <c r="A731" s="4048"/>
      <c r="B731" s="4048"/>
      <c r="C731" s="4048"/>
      <c r="D731" s="4048"/>
      <c r="E731" s="4048"/>
      <c r="F731" s="4049"/>
      <c r="G731" s="4067"/>
      <c r="H731" s="4068" t="s">
        <v>50</v>
      </c>
      <c r="I731" s="4060" t="s">
        <v>375</v>
      </c>
      <c r="J731" s="1964">
        <v>328430000</v>
      </c>
      <c r="K731" s="2159">
        <v>11650000</v>
      </c>
      <c r="L731" s="2160">
        <v>13471000</v>
      </c>
      <c r="M731" s="4253">
        <f t="shared" si="110"/>
        <v>25121000</v>
      </c>
      <c r="N731" s="1964">
        <v>328430000</v>
      </c>
      <c r="O731" s="4523">
        <f t="shared" si="112"/>
        <v>0</v>
      </c>
      <c r="P731" s="5156">
        <f t="shared" si="111"/>
        <v>0</v>
      </c>
      <c r="Q731" s="4839"/>
    </row>
    <row r="732" spans="1:17" s="2070" customFormat="1">
      <c r="A732" s="4048"/>
      <c r="B732" s="4048"/>
      <c r="C732" s="4048"/>
      <c r="D732" s="4048"/>
      <c r="E732" s="4048"/>
      <c r="F732" s="4049"/>
      <c r="G732" s="4067"/>
      <c r="H732" s="4060" t="s">
        <v>50</v>
      </c>
      <c r="I732" s="4060" t="s">
        <v>376</v>
      </c>
      <c r="J732" s="1964">
        <v>15000000</v>
      </c>
      <c r="K732" s="2159">
        <v>2000000</v>
      </c>
      <c r="L732" s="2160">
        <v>0</v>
      </c>
      <c r="M732" s="4253">
        <f t="shared" si="110"/>
        <v>2000000</v>
      </c>
      <c r="N732" s="1964">
        <v>15000000</v>
      </c>
      <c r="O732" s="4523">
        <f t="shared" si="112"/>
        <v>0</v>
      </c>
      <c r="P732" s="5156">
        <f t="shared" si="111"/>
        <v>0</v>
      </c>
      <c r="Q732" s="4839"/>
    </row>
    <row r="733" spans="1:17" s="2070" customFormat="1">
      <c r="A733" s="4048"/>
      <c r="B733" s="4048"/>
      <c r="C733" s="4048"/>
      <c r="D733" s="4048"/>
      <c r="E733" s="4048"/>
      <c r="F733" s="4049"/>
      <c r="G733" s="4067"/>
      <c r="H733" s="4060" t="s">
        <v>50</v>
      </c>
      <c r="I733" s="4060" t="s">
        <v>377</v>
      </c>
      <c r="J733" s="1964">
        <v>50000000</v>
      </c>
      <c r="K733" s="2159">
        <v>0</v>
      </c>
      <c r="L733" s="2160">
        <v>1500000</v>
      </c>
      <c r="M733" s="4253">
        <f t="shared" si="110"/>
        <v>1500000</v>
      </c>
      <c r="N733" s="1964">
        <v>25000000</v>
      </c>
      <c r="O733" s="4523">
        <f t="shared" si="112"/>
        <v>-25000000</v>
      </c>
      <c r="P733" s="5156">
        <f t="shared" si="111"/>
        <v>-50</v>
      </c>
      <c r="Q733" s="4839"/>
    </row>
    <row r="734" spans="1:17" s="2070" customFormat="1">
      <c r="A734" s="4048"/>
      <c r="B734" s="4048"/>
      <c r="C734" s="4048"/>
      <c r="D734" s="4048"/>
      <c r="E734" s="4048"/>
      <c r="F734" s="4049"/>
      <c r="G734" s="4067"/>
      <c r="H734" s="4068" t="s">
        <v>50</v>
      </c>
      <c r="I734" s="4060" t="s">
        <v>378</v>
      </c>
      <c r="J734" s="1964">
        <v>40250000</v>
      </c>
      <c r="K734" s="2159">
        <v>1375000</v>
      </c>
      <c r="L734" s="2160">
        <v>0</v>
      </c>
      <c r="M734" s="4253">
        <f t="shared" si="110"/>
        <v>1375000</v>
      </c>
      <c r="N734" s="1964">
        <v>40250000</v>
      </c>
      <c r="O734" s="4523">
        <f t="shared" si="112"/>
        <v>0</v>
      </c>
      <c r="P734" s="5156">
        <f t="shared" si="111"/>
        <v>0</v>
      </c>
      <c r="Q734" s="4839"/>
    </row>
    <row r="735" spans="1:17" s="2070" customFormat="1">
      <c r="A735" s="4048"/>
      <c r="B735" s="4048"/>
      <c r="C735" s="4048"/>
      <c r="D735" s="4048"/>
      <c r="E735" s="4048"/>
      <c r="F735" s="4049"/>
      <c r="G735" s="4067"/>
      <c r="H735" s="4060" t="s">
        <v>50</v>
      </c>
      <c r="I735" s="4060" t="s">
        <v>379</v>
      </c>
      <c r="J735" s="1964">
        <v>25000000</v>
      </c>
      <c r="K735" s="2159">
        <v>10000000</v>
      </c>
      <c r="L735" s="2160">
        <f>900000+7000000+2000000+1000000</f>
        <v>10900000</v>
      </c>
      <c r="M735" s="4253">
        <f t="shared" si="110"/>
        <v>20900000</v>
      </c>
      <c r="N735" s="1964">
        <v>5000000</v>
      </c>
      <c r="O735" s="4523">
        <f t="shared" si="112"/>
        <v>-20000000</v>
      </c>
      <c r="P735" s="5156">
        <f t="shared" si="111"/>
        <v>-80</v>
      </c>
      <c r="Q735" s="4839"/>
    </row>
    <row r="736" spans="1:17" s="2070" customFormat="1">
      <c r="A736" s="4048"/>
      <c r="B736" s="4048"/>
      <c r="C736" s="4048"/>
      <c r="D736" s="4048"/>
      <c r="E736" s="4048"/>
      <c r="F736" s="4049"/>
      <c r="G736" s="4067"/>
      <c r="H736" s="4060" t="s">
        <v>50</v>
      </c>
      <c r="I736" s="4060" t="s">
        <v>380</v>
      </c>
      <c r="J736" s="1964">
        <v>0</v>
      </c>
      <c r="K736" s="2159">
        <v>0</v>
      </c>
      <c r="L736" s="2160">
        <f>'[2]ALL BULAN'!E679</f>
        <v>0</v>
      </c>
      <c r="M736" s="4253">
        <f t="shared" si="110"/>
        <v>0</v>
      </c>
      <c r="N736" s="1964">
        <v>0</v>
      </c>
      <c r="O736" s="4523">
        <f t="shared" si="112"/>
        <v>0</v>
      </c>
      <c r="P736" s="5156">
        <v>0</v>
      </c>
      <c r="Q736" s="4839"/>
    </row>
    <row r="737" spans="1:17" s="2070" customFormat="1">
      <c r="A737" s="4048"/>
      <c r="B737" s="4048"/>
      <c r="C737" s="4048"/>
      <c r="D737" s="4048"/>
      <c r="E737" s="4048"/>
      <c r="F737" s="4049"/>
      <c r="G737" s="4067"/>
      <c r="H737" s="4060" t="s">
        <v>50</v>
      </c>
      <c r="I737" s="4060" t="s">
        <v>381</v>
      </c>
      <c r="J737" s="1964">
        <v>60000000</v>
      </c>
      <c r="K737" s="2159">
        <v>1000000</v>
      </c>
      <c r="L737" s="2160">
        <v>1500000</v>
      </c>
      <c r="M737" s="4253">
        <f t="shared" si="110"/>
        <v>2500000</v>
      </c>
      <c r="N737" s="1964">
        <v>30000000</v>
      </c>
      <c r="O737" s="4523">
        <f t="shared" si="112"/>
        <v>-30000000</v>
      </c>
      <c r="P737" s="5156">
        <f t="shared" si="111"/>
        <v>-50</v>
      </c>
      <c r="Q737" s="4839"/>
    </row>
    <row r="738" spans="1:17" s="2070" customFormat="1">
      <c r="A738" s="4048"/>
      <c r="B738" s="4048"/>
      <c r="C738" s="4048"/>
      <c r="D738" s="4048"/>
      <c r="E738" s="4048"/>
      <c r="F738" s="4049"/>
      <c r="G738" s="4067"/>
      <c r="H738" s="4060" t="s">
        <v>50</v>
      </c>
      <c r="I738" s="4060" t="s">
        <v>382</v>
      </c>
      <c r="J738" s="1964">
        <v>0</v>
      </c>
      <c r="K738" s="2159">
        <v>0</v>
      </c>
      <c r="L738" s="2160">
        <f>'[2]ALL BULAN'!E681</f>
        <v>0</v>
      </c>
      <c r="M738" s="4253">
        <f t="shared" si="110"/>
        <v>0</v>
      </c>
      <c r="N738" s="1964">
        <v>0</v>
      </c>
      <c r="O738" s="4523">
        <f t="shared" si="112"/>
        <v>0</v>
      </c>
      <c r="P738" s="5156">
        <v>0</v>
      </c>
      <c r="Q738" s="4839"/>
    </row>
    <row r="739" spans="1:17" s="2070" customFormat="1" ht="10.5" customHeight="1">
      <c r="A739" s="4048"/>
      <c r="B739" s="4048"/>
      <c r="C739" s="4048"/>
      <c r="D739" s="4048"/>
      <c r="E739" s="4048"/>
      <c r="F739" s="4049"/>
      <c r="G739" s="4067"/>
      <c r="H739" s="4060" t="s">
        <v>50</v>
      </c>
      <c r="I739" s="4060" t="s">
        <v>383</v>
      </c>
      <c r="J739" s="1964">
        <v>0</v>
      </c>
      <c r="K739" s="2159">
        <v>0</v>
      </c>
      <c r="L739" s="2160">
        <f>'[2]ALL BULAN'!E682</f>
        <v>0</v>
      </c>
      <c r="M739" s="4253">
        <f t="shared" si="110"/>
        <v>0</v>
      </c>
      <c r="N739" s="1964">
        <v>0</v>
      </c>
      <c r="O739" s="4523">
        <f t="shared" si="112"/>
        <v>0</v>
      </c>
      <c r="P739" s="5156">
        <v>0</v>
      </c>
      <c r="Q739" s="4839"/>
    </row>
    <row r="740" spans="1:17" s="2070" customFormat="1" ht="7.55" hidden="1" customHeight="1">
      <c r="A740" s="4048"/>
      <c r="B740" s="4048"/>
      <c r="C740" s="4048"/>
      <c r="D740" s="4048"/>
      <c r="E740" s="4048"/>
      <c r="F740" s="4049"/>
      <c r="G740" s="4067"/>
      <c r="H740" s="4068"/>
      <c r="I740" s="4060"/>
      <c r="J740" s="4541"/>
      <c r="K740" s="2159">
        <v>0</v>
      </c>
      <c r="L740" s="4541"/>
      <c r="M740" s="4253">
        <f t="shared" si="110"/>
        <v>0</v>
      </c>
      <c r="N740" s="4541"/>
      <c r="O740" s="4523">
        <f t="shared" si="112"/>
        <v>0</v>
      </c>
      <c r="P740" s="5156">
        <v>0</v>
      </c>
      <c r="Q740" s="4839"/>
    </row>
    <row r="741" spans="1:17" s="2070" customFormat="1">
      <c r="A741" s="4046">
        <v>4</v>
      </c>
      <c r="B741" s="4046">
        <v>1</v>
      </c>
      <c r="C741" s="4046">
        <v>2</v>
      </c>
      <c r="D741" s="4047" t="s">
        <v>438</v>
      </c>
      <c r="E741" s="4093" t="s">
        <v>448</v>
      </c>
      <c r="F741" s="4049"/>
      <c r="G741" s="4067"/>
      <c r="H741" s="4068" t="s">
        <v>361</v>
      </c>
      <c r="I741" s="4068"/>
      <c r="J741" s="4546">
        <f>SUM(J742:J748)</f>
        <v>820000000</v>
      </c>
      <c r="K741" s="2159">
        <v>55399500</v>
      </c>
      <c r="L741" s="4546">
        <f>SUM(L742:L748)</f>
        <v>120244500</v>
      </c>
      <c r="M741" s="4253">
        <f t="shared" si="110"/>
        <v>175644000</v>
      </c>
      <c r="N741" s="4546">
        <f>SUM(N742:N748)</f>
        <v>820000000</v>
      </c>
      <c r="O741" s="4254">
        <f t="shared" si="112"/>
        <v>0</v>
      </c>
      <c r="P741" s="4061">
        <f t="shared" si="111"/>
        <v>0</v>
      </c>
      <c r="Q741" s="4839"/>
    </row>
    <row r="742" spans="1:17" s="2070" customFormat="1">
      <c r="A742" s="4048"/>
      <c r="B742" s="4048"/>
      <c r="C742" s="4048"/>
      <c r="D742" s="4048"/>
      <c r="E742" s="4048"/>
      <c r="F742" s="4049"/>
      <c r="G742" s="4067"/>
      <c r="H742" s="4060" t="s">
        <v>50</v>
      </c>
      <c r="I742" s="4060" t="s">
        <v>384</v>
      </c>
      <c r="J742" s="1964">
        <v>190000000</v>
      </c>
      <c r="K742" s="2159">
        <v>30000000</v>
      </c>
      <c r="L742" s="2160">
        <f>12190000+1660000+5650000</f>
        <v>19500000</v>
      </c>
      <c r="M742" s="4253">
        <f t="shared" si="110"/>
        <v>49500000</v>
      </c>
      <c r="N742" s="1964">
        <v>190000000</v>
      </c>
      <c r="O742" s="4254">
        <f t="shared" si="112"/>
        <v>0</v>
      </c>
      <c r="P742" s="4061">
        <f t="shared" si="111"/>
        <v>0</v>
      </c>
      <c r="Q742" s="4839"/>
    </row>
    <row r="743" spans="1:17" s="2070" customFormat="1">
      <c r="A743" s="4048"/>
      <c r="B743" s="4048"/>
      <c r="C743" s="4048"/>
      <c r="D743" s="4048"/>
      <c r="E743" s="4048"/>
      <c r="F743" s="4049"/>
      <c r="G743" s="4067"/>
      <c r="H743" s="4060" t="s">
        <v>50</v>
      </c>
      <c r="I743" s="4060" t="s">
        <v>385</v>
      </c>
      <c r="J743" s="1964">
        <v>160000000</v>
      </c>
      <c r="K743" s="2159">
        <v>6528500</v>
      </c>
      <c r="L743" s="2160">
        <v>15425500</v>
      </c>
      <c r="M743" s="4253">
        <f t="shared" si="110"/>
        <v>21954000</v>
      </c>
      <c r="N743" s="1964">
        <v>160000000</v>
      </c>
      <c r="O743" s="4254">
        <f t="shared" si="112"/>
        <v>0</v>
      </c>
      <c r="P743" s="4061">
        <f t="shared" si="111"/>
        <v>0</v>
      </c>
      <c r="Q743" s="4839"/>
    </row>
    <row r="744" spans="1:17" s="2070" customFormat="1">
      <c r="A744" s="4048"/>
      <c r="B744" s="4048"/>
      <c r="C744" s="4048"/>
      <c r="D744" s="4048"/>
      <c r="E744" s="4048"/>
      <c r="F744" s="4049"/>
      <c r="G744" s="4067"/>
      <c r="H744" s="4060" t="s">
        <v>50</v>
      </c>
      <c r="I744" s="4060" t="s">
        <v>386</v>
      </c>
      <c r="J744" s="1964">
        <v>90000000</v>
      </c>
      <c r="K744" s="2159">
        <v>16191000</v>
      </c>
      <c r="L744" s="2160">
        <v>11950000</v>
      </c>
      <c r="M744" s="4253">
        <f t="shared" si="110"/>
        <v>28141000</v>
      </c>
      <c r="N744" s="1964">
        <v>90000000</v>
      </c>
      <c r="O744" s="4254">
        <f t="shared" si="112"/>
        <v>0</v>
      </c>
      <c r="P744" s="4061">
        <f t="shared" si="111"/>
        <v>0</v>
      </c>
      <c r="Q744" s="4839"/>
    </row>
    <row r="745" spans="1:17" s="2070" customFormat="1">
      <c r="A745" s="4048"/>
      <c r="B745" s="4048"/>
      <c r="C745" s="4048"/>
      <c r="D745" s="4048"/>
      <c r="E745" s="4048"/>
      <c r="F745" s="4049"/>
      <c r="G745" s="4067"/>
      <c r="H745" s="4060" t="s">
        <v>50</v>
      </c>
      <c r="I745" s="4060" t="s">
        <v>387</v>
      </c>
      <c r="J745" s="1964">
        <v>0</v>
      </c>
      <c r="K745" s="2159">
        <v>0</v>
      </c>
      <c r="L745" s="2160">
        <v>0</v>
      </c>
      <c r="M745" s="4253">
        <f t="shared" si="110"/>
        <v>0</v>
      </c>
      <c r="N745" s="1964">
        <v>0</v>
      </c>
      <c r="O745" s="4254">
        <f t="shared" si="112"/>
        <v>0</v>
      </c>
      <c r="P745" s="4061">
        <v>0</v>
      </c>
      <c r="Q745" s="4839"/>
    </row>
    <row r="746" spans="1:17" s="2070" customFormat="1">
      <c r="A746" s="4048"/>
      <c r="B746" s="4048"/>
      <c r="C746" s="4048"/>
      <c r="D746" s="4048"/>
      <c r="E746" s="4048"/>
      <c r="F746" s="4049"/>
      <c r="G746" s="4067"/>
      <c r="H746" s="4060" t="s">
        <v>50</v>
      </c>
      <c r="I746" s="4060" t="s">
        <v>388</v>
      </c>
      <c r="J746" s="1964">
        <v>15000000</v>
      </c>
      <c r="K746" s="2159">
        <v>1200000</v>
      </c>
      <c r="L746" s="2160">
        <v>1400000</v>
      </c>
      <c r="M746" s="4253">
        <f t="shared" si="110"/>
        <v>2600000</v>
      </c>
      <c r="N746" s="1964">
        <v>15000000</v>
      </c>
      <c r="O746" s="4254">
        <f t="shared" si="112"/>
        <v>0</v>
      </c>
      <c r="P746" s="4061">
        <f t="shared" si="111"/>
        <v>0</v>
      </c>
      <c r="Q746" s="4839"/>
    </row>
    <row r="747" spans="1:17" s="2070" customFormat="1">
      <c r="A747" s="4048"/>
      <c r="B747" s="4048"/>
      <c r="C747" s="4048"/>
      <c r="D747" s="4048"/>
      <c r="E747" s="4048"/>
      <c r="F747" s="4049"/>
      <c r="G747" s="4067"/>
      <c r="H747" s="4060" t="s">
        <v>50</v>
      </c>
      <c r="I747" s="4060" t="s">
        <v>389</v>
      </c>
      <c r="J747" s="1964">
        <v>30000000</v>
      </c>
      <c r="K747" s="2159">
        <v>1480000</v>
      </c>
      <c r="L747" s="2160">
        <v>569000</v>
      </c>
      <c r="M747" s="4253">
        <f t="shared" si="110"/>
        <v>2049000</v>
      </c>
      <c r="N747" s="1964">
        <v>30000000</v>
      </c>
      <c r="O747" s="4254">
        <f t="shared" si="112"/>
        <v>0</v>
      </c>
      <c r="P747" s="4061">
        <f t="shared" si="111"/>
        <v>0</v>
      </c>
      <c r="Q747" s="4839"/>
    </row>
    <row r="748" spans="1:17" s="2070" customFormat="1">
      <c r="A748" s="4048"/>
      <c r="B748" s="4048"/>
      <c r="C748" s="4048"/>
      <c r="D748" s="4048"/>
      <c r="E748" s="4048"/>
      <c r="F748" s="4049"/>
      <c r="G748" s="4067"/>
      <c r="H748" s="4060" t="s">
        <v>50</v>
      </c>
      <c r="I748" s="4060" t="s">
        <v>390</v>
      </c>
      <c r="J748" s="1964">
        <v>335000000</v>
      </c>
      <c r="K748" s="2159">
        <v>0</v>
      </c>
      <c r="L748" s="2160">
        <v>71400000</v>
      </c>
      <c r="M748" s="4253">
        <f t="shared" si="110"/>
        <v>71400000</v>
      </c>
      <c r="N748" s="1964">
        <v>335000000</v>
      </c>
      <c r="O748" s="4254">
        <f t="shared" si="112"/>
        <v>0</v>
      </c>
      <c r="P748" s="4061">
        <f t="shared" si="111"/>
        <v>0</v>
      </c>
      <c r="Q748" s="4839"/>
    </row>
    <row r="749" spans="1:17" s="2070" customFormat="1">
      <c r="A749" s="4048"/>
      <c r="B749" s="4048"/>
      <c r="C749" s="4048"/>
      <c r="D749" s="4048"/>
      <c r="E749" s="4048"/>
      <c r="F749" s="4049"/>
      <c r="G749" s="4067"/>
      <c r="H749" s="4068" t="s">
        <v>391</v>
      </c>
      <c r="I749" s="4060"/>
      <c r="J749" s="1964">
        <v>0</v>
      </c>
      <c r="K749" s="2159">
        <v>0</v>
      </c>
      <c r="L749" s="2491">
        <v>0</v>
      </c>
      <c r="M749" s="4253">
        <f t="shared" si="110"/>
        <v>0</v>
      </c>
      <c r="N749" s="1964">
        <v>0</v>
      </c>
      <c r="O749" s="4254">
        <f t="shared" si="112"/>
        <v>0</v>
      </c>
      <c r="P749" s="4061">
        <v>0</v>
      </c>
      <c r="Q749" s="4839"/>
    </row>
    <row r="750" spans="1:17" s="2070" customFormat="1" ht="5.95" customHeight="1">
      <c r="A750" s="4048"/>
      <c r="B750" s="4048"/>
      <c r="C750" s="4048"/>
      <c r="D750" s="4048"/>
      <c r="E750" s="4048"/>
      <c r="F750" s="4049"/>
      <c r="G750" s="4067"/>
      <c r="H750" s="4060"/>
      <c r="I750" s="4060"/>
      <c r="J750" s="4541"/>
      <c r="K750" s="2159">
        <v>0</v>
      </c>
      <c r="L750" s="4541"/>
      <c r="M750" s="4253">
        <f t="shared" si="110"/>
        <v>0</v>
      </c>
      <c r="N750" s="4541"/>
      <c r="O750" s="4254">
        <f t="shared" si="112"/>
        <v>0</v>
      </c>
      <c r="P750" s="4061">
        <v>0</v>
      </c>
      <c r="Q750" s="4839"/>
    </row>
    <row r="751" spans="1:17" s="2070" customFormat="1">
      <c r="A751" s="4065">
        <v>4</v>
      </c>
      <c r="B751" s="4065">
        <v>1</v>
      </c>
      <c r="C751" s="4065">
        <v>4</v>
      </c>
      <c r="D751" s="4048"/>
      <c r="E751" s="4048"/>
      <c r="F751" s="4049">
        <v>3</v>
      </c>
      <c r="G751" s="4067"/>
      <c r="H751" s="4068" t="s">
        <v>71</v>
      </c>
      <c r="I751" s="4068"/>
      <c r="J751" s="4542">
        <v>0</v>
      </c>
      <c r="K751" s="2159">
        <v>0</v>
      </c>
      <c r="L751" s="4542">
        <f>SUM(L752:L756)</f>
        <v>1035000</v>
      </c>
      <c r="M751" s="4253">
        <f t="shared" si="110"/>
        <v>1035000</v>
      </c>
      <c r="N751" s="4542">
        <v>0</v>
      </c>
      <c r="O751" s="4254">
        <f t="shared" si="112"/>
        <v>0</v>
      </c>
      <c r="P751" s="4061">
        <v>0</v>
      </c>
      <c r="Q751" s="4839"/>
    </row>
    <row r="752" spans="1:17" s="2070" customFormat="1">
      <c r="A752" s="4065">
        <v>4</v>
      </c>
      <c r="B752" s="4065">
        <v>1</v>
      </c>
      <c r="C752" s="4065">
        <v>4</v>
      </c>
      <c r="D752" s="4065" t="s">
        <v>441</v>
      </c>
      <c r="E752" s="4048"/>
      <c r="F752" s="4049"/>
      <c r="G752" s="4059"/>
      <c r="H752" s="4131" t="s">
        <v>50</v>
      </c>
      <c r="I752" s="4060" t="s">
        <v>72</v>
      </c>
      <c r="J752" s="1964">
        <v>0</v>
      </c>
      <c r="K752" s="2159">
        <v>0</v>
      </c>
      <c r="L752" s="2160">
        <f>'[2]ALL BULAN'!E695</f>
        <v>0</v>
      </c>
      <c r="M752" s="4253">
        <f t="shared" si="110"/>
        <v>0</v>
      </c>
      <c r="N752" s="1964">
        <v>0</v>
      </c>
      <c r="O752" s="4254">
        <f t="shared" si="112"/>
        <v>0</v>
      </c>
      <c r="P752" s="4061">
        <v>0</v>
      </c>
      <c r="Q752" s="4839"/>
    </row>
    <row r="753" spans="1:17" s="2070" customFormat="1">
      <c r="A753" s="4074">
        <v>4</v>
      </c>
      <c r="B753" s="4074">
        <v>1</v>
      </c>
      <c r="C753" s="4074" t="s">
        <v>443</v>
      </c>
      <c r="D753" s="4074" t="s">
        <v>444</v>
      </c>
      <c r="E753" s="4074" t="s">
        <v>440</v>
      </c>
      <c r="F753" s="4049"/>
      <c r="G753" s="4059"/>
      <c r="H753" s="4131" t="s">
        <v>50</v>
      </c>
      <c r="I753" s="4060" t="s">
        <v>73</v>
      </c>
      <c r="J753" s="1964">
        <v>0</v>
      </c>
      <c r="K753" s="2159">
        <v>0</v>
      </c>
      <c r="L753" s="2160">
        <f>'[2]ALL BULAN'!E696</f>
        <v>0</v>
      </c>
      <c r="M753" s="4253">
        <f t="shared" si="110"/>
        <v>0</v>
      </c>
      <c r="N753" s="1964">
        <v>0</v>
      </c>
      <c r="O753" s="4254">
        <f t="shared" si="112"/>
        <v>0</v>
      </c>
      <c r="P753" s="4061">
        <v>0</v>
      </c>
      <c r="Q753" s="4839"/>
    </row>
    <row r="754" spans="1:17" s="2070" customFormat="1">
      <c r="A754" s="4069">
        <v>4</v>
      </c>
      <c r="B754" s="4069">
        <v>1</v>
      </c>
      <c r="C754" s="4069" t="s">
        <v>443</v>
      </c>
      <c r="D754" s="4069" t="s">
        <v>444</v>
      </c>
      <c r="E754" s="4070" t="s">
        <v>445</v>
      </c>
      <c r="F754" s="4049"/>
      <c r="G754" s="4059"/>
      <c r="H754" s="4131" t="s">
        <v>50</v>
      </c>
      <c r="I754" s="4060" t="s">
        <v>74</v>
      </c>
      <c r="J754" s="1964">
        <v>0</v>
      </c>
      <c r="K754" s="2159">
        <v>0</v>
      </c>
      <c r="L754" s="2160">
        <f>'[2]ALL BULAN'!E697</f>
        <v>0</v>
      </c>
      <c r="M754" s="4253">
        <f t="shared" si="110"/>
        <v>0</v>
      </c>
      <c r="N754" s="1964">
        <v>0</v>
      </c>
      <c r="O754" s="4254">
        <f t="shared" si="112"/>
        <v>0</v>
      </c>
      <c r="P754" s="4061">
        <v>0</v>
      </c>
      <c r="Q754" s="4839"/>
    </row>
    <row r="755" spans="1:17" s="2070" customFormat="1">
      <c r="A755" s="4101">
        <v>4</v>
      </c>
      <c r="B755" s="4101">
        <v>1</v>
      </c>
      <c r="C755" s="4101" t="s">
        <v>443</v>
      </c>
      <c r="D755" s="4101" t="s">
        <v>444</v>
      </c>
      <c r="E755" s="4101" t="s">
        <v>441</v>
      </c>
      <c r="F755" s="4049"/>
      <c r="G755" s="4067"/>
      <c r="H755" s="4060" t="s">
        <v>308</v>
      </c>
      <c r="I755" s="4060" t="s">
        <v>75</v>
      </c>
      <c r="J755" s="1964">
        <v>0</v>
      </c>
      <c r="K755" s="2159">
        <v>0</v>
      </c>
      <c r="L755" s="2160">
        <f>'[2]ALL BULAN'!E698</f>
        <v>0</v>
      </c>
      <c r="M755" s="4253">
        <f t="shared" si="110"/>
        <v>0</v>
      </c>
      <c r="N755" s="1964">
        <v>0</v>
      </c>
      <c r="O755" s="4254">
        <f t="shared" si="112"/>
        <v>0</v>
      </c>
      <c r="P755" s="4061">
        <v>0</v>
      </c>
      <c r="Q755" s="4839"/>
    </row>
    <row r="756" spans="1:17" s="2070" customFormat="1">
      <c r="A756" s="4079">
        <v>4</v>
      </c>
      <c r="B756" s="4079">
        <v>1</v>
      </c>
      <c r="C756" s="4079" t="s">
        <v>443</v>
      </c>
      <c r="D756" s="4079" t="s">
        <v>447</v>
      </c>
      <c r="E756" s="4093" t="s">
        <v>437</v>
      </c>
      <c r="F756" s="4049"/>
      <c r="G756" s="4067"/>
      <c r="H756" s="4181" t="s">
        <v>50</v>
      </c>
      <c r="I756" s="4060" t="s">
        <v>85</v>
      </c>
      <c r="J756" s="1964">
        <v>0</v>
      </c>
      <c r="K756" s="2159">
        <v>0</v>
      </c>
      <c r="L756" s="2160">
        <v>1035000</v>
      </c>
      <c r="M756" s="4253">
        <f t="shared" si="110"/>
        <v>1035000</v>
      </c>
      <c r="N756" s="1964">
        <v>0</v>
      </c>
      <c r="O756" s="4254">
        <f t="shared" si="112"/>
        <v>0</v>
      </c>
      <c r="P756" s="4061">
        <v>0</v>
      </c>
      <c r="Q756" s="4839"/>
    </row>
    <row r="757" spans="1:17" s="2070" customFormat="1" ht="5.35" customHeight="1">
      <c r="A757" s="4048"/>
      <c r="B757" s="4048"/>
      <c r="C757" s="4048"/>
      <c r="D757" s="4048"/>
      <c r="E757" s="4048"/>
      <c r="F757" s="4049"/>
      <c r="G757" s="4102"/>
      <c r="H757" s="4083"/>
      <c r="I757" s="4083"/>
      <c r="J757" s="4548"/>
      <c r="K757" s="2183"/>
      <c r="L757" s="4548"/>
      <c r="M757" s="4549"/>
      <c r="N757" s="4549"/>
      <c r="O757" s="4549"/>
      <c r="P757" s="4172"/>
      <c r="Q757" s="4839"/>
    </row>
    <row r="758" spans="1:17" s="2073" customFormat="1" ht="15.65">
      <c r="A758" s="4039"/>
      <c r="B758" s="4039"/>
      <c r="C758" s="4039"/>
      <c r="D758" s="4039"/>
      <c r="E758" s="4039"/>
      <c r="F758" s="4040"/>
      <c r="G758" s="4041" t="s">
        <v>392</v>
      </c>
      <c r="H758" s="4042" t="s">
        <v>393</v>
      </c>
      <c r="I758" s="4097"/>
      <c r="J758" s="4545">
        <v>0</v>
      </c>
      <c r="K758" s="4594">
        <v>0</v>
      </c>
      <c r="L758" s="4545">
        <f>L760+L764</f>
        <v>0</v>
      </c>
      <c r="M758" s="4595">
        <f>SUM(K758:L758)</f>
        <v>0</v>
      </c>
      <c r="N758" s="4545">
        <v>0</v>
      </c>
      <c r="O758" s="4519">
        <f>M758-J758</f>
        <v>0</v>
      </c>
      <c r="P758" s="4044">
        <v>0</v>
      </c>
      <c r="Q758" s="4840"/>
    </row>
    <row r="759" spans="1:17" s="2070" customFormat="1" ht="3.8" customHeight="1">
      <c r="A759" s="4048"/>
      <c r="B759" s="4048"/>
      <c r="C759" s="4048"/>
      <c r="D759" s="4048"/>
      <c r="E759" s="4048"/>
      <c r="F759" s="4049"/>
      <c r="G759" s="4050"/>
      <c r="H759" s="4224"/>
      <c r="I759" s="4051"/>
      <c r="J759" s="4581"/>
      <c r="K759" s="4522"/>
      <c r="L759" s="4581"/>
      <c r="M759" s="4582"/>
      <c r="N759" s="4581"/>
      <c r="O759" s="4582"/>
      <c r="P759" s="4225">
        <v>0</v>
      </c>
      <c r="Q759" s="4839"/>
    </row>
    <row r="760" spans="1:17" s="2070" customFormat="1">
      <c r="A760" s="4048"/>
      <c r="B760" s="4048"/>
      <c r="C760" s="4048"/>
      <c r="D760" s="4048"/>
      <c r="E760" s="4048"/>
      <c r="F760" s="4049">
        <v>1</v>
      </c>
      <c r="G760" s="4067"/>
      <c r="H760" s="4068" t="s">
        <v>106</v>
      </c>
      <c r="I760" s="4068"/>
      <c r="J760" s="4542">
        <v>0</v>
      </c>
      <c r="K760" s="2159">
        <v>0</v>
      </c>
      <c r="L760" s="4542">
        <f>L761</f>
        <v>0</v>
      </c>
      <c r="M760" s="4253">
        <f t="shared" ref="M760:M769" si="113">SUM(K760:L760)</f>
        <v>0</v>
      </c>
      <c r="N760" s="4542">
        <v>0</v>
      </c>
      <c r="O760" s="4254">
        <f t="shared" ref="O760:O769" si="114">M760-J760</f>
        <v>0</v>
      </c>
      <c r="P760" s="4061">
        <v>0</v>
      </c>
      <c r="Q760" s="4839"/>
    </row>
    <row r="761" spans="1:17" s="2070" customFormat="1">
      <c r="A761" s="4046">
        <v>4</v>
      </c>
      <c r="B761" s="4046">
        <v>1</v>
      </c>
      <c r="C761" s="4046">
        <v>2</v>
      </c>
      <c r="D761" s="4047" t="s">
        <v>437</v>
      </c>
      <c r="E761" s="4048"/>
      <c r="F761" s="4049"/>
      <c r="G761" s="4067"/>
      <c r="H761" s="4060" t="s">
        <v>107</v>
      </c>
      <c r="I761" s="4068"/>
      <c r="J761" s="4541">
        <v>0</v>
      </c>
      <c r="K761" s="2159">
        <v>0</v>
      </c>
      <c r="L761" s="4541">
        <f>L762</f>
        <v>0</v>
      </c>
      <c r="M761" s="4253">
        <f t="shared" si="113"/>
        <v>0</v>
      </c>
      <c r="N761" s="4541">
        <v>0</v>
      </c>
      <c r="O761" s="4254">
        <f t="shared" si="114"/>
        <v>0</v>
      </c>
      <c r="P761" s="4061">
        <v>0</v>
      </c>
      <c r="Q761" s="4839"/>
    </row>
    <row r="762" spans="1:17" s="2070" customFormat="1">
      <c r="A762" s="4046">
        <v>4</v>
      </c>
      <c r="B762" s="4046">
        <v>1</v>
      </c>
      <c r="C762" s="4046">
        <v>2</v>
      </c>
      <c r="D762" s="4047" t="s">
        <v>437</v>
      </c>
      <c r="E762" s="4070" t="s">
        <v>445</v>
      </c>
      <c r="F762" s="4049"/>
      <c r="G762" s="4067"/>
      <c r="H762" s="4060" t="s">
        <v>50</v>
      </c>
      <c r="I762" s="4060" t="s">
        <v>394</v>
      </c>
      <c r="J762" s="1964">
        <v>0</v>
      </c>
      <c r="K762" s="2159">
        <v>0</v>
      </c>
      <c r="L762" s="2160">
        <f>'[2]ALL BULAN'!E705</f>
        <v>0</v>
      </c>
      <c r="M762" s="4253">
        <f t="shared" si="113"/>
        <v>0</v>
      </c>
      <c r="N762" s="1964">
        <v>0</v>
      </c>
      <c r="O762" s="4254">
        <f t="shared" si="114"/>
        <v>0</v>
      </c>
      <c r="P762" s="4061">
        <v>0</v>
      </c>
      <c r="Q762" s="4839"/>
    </row>
    <row r="763" spans="1:17" s="2070" customFormat="1" ht="5.95" customHeight="1">
      <c r="A763" s="4048"/>
      <c r="B763" s="4048"/>
      <c r="C763" s="4048"/>
      <c r="D763" s="4048"/>
      <c r="E763" s="4048"/>
      <c r="F763" s="4049"/>
      <c r="G763" s="4067"/>
      <c r="H763" s="4060"/>
      <c r="I763" s="4060"/>
      <c r="J763" s="4541"/>
      <c r="K763" s="2159">
        <v>0</v>
      </c>
      <c r="L763" s="4541"/>
      <c r="M763" s="4253">
        <f t="shared" si="113"/>
        <v>0</v>
      </c>
      <c r="N763" s="4541"/>
      <c r="O763" s="4254">
        <f t="shared" si="114"/>
        <v>0</v>
      </c>
      <c r="P763" s="4061">
        <f>O763-K763</f>
        <v>0</v>
      </c>
      <c r="Q763" s="4839"/>
    </row>
    <row r="764" spans="1:17" s="2070" customFormat="1">
      <c r="A764" s="4065">
        <v>4</v>
      </c>
      <c r="B764" s="4065">
        <v>1</v>
      </c>
      <c r="C764" s="4065">
        <v>4</v>
      </c>
      <c r="D764" s="4048"/>
      <c r="E764" s="4048"/>
      <c r="F764" s="4049">
        <v>3</v>
      </c>
      <c r="G764" s="4067"/>
      <c r="H764" s="4068" t="s">
        <v>71</v>
      </c>
      <c r="I764" s="4068"/>
      <c r="J764" s="4542">
        <v>0</v>
      </c>
      <c r="K764" s="2159">
        <v>0</v>
      </c>
      <c r="L764" s="4542">
        <f>SUM(L765:L769)</f>
        <v>0</v>
      </c>
      <c r="M764" s="4253">
        <f t="shared" si="113"/>
        <v>0</v>
      </c>
      <c r="N764" s="4542">
        <v>0</v>
      </c>
      <c r="O764" s="4254">
        <f t="shared" si="114"/>
        <v>0</v>
      </c>
      <c r="P764" s="4061">
        <v>0</v>
      </c>
      <c r="Q764" s="4839"/>
    </row>
    <row r="765" spans="1:17" s="2070" customFormat="1">
      <c r="A765" s="4065">
        <v>4</v>
      </c>
      <c r="B765" s="4065">
        <v>1</v>
      </c>
      <c r="C765" s="4065">
        <v>4</v>
      </c>
      <c r="D765" s="4065" t="s">
        <v>441</v>
      </c>
      <c r="E765" s="4048"/>
      <c r="F765" s="4049"/>
      <c r="G765" s="4059"/>
      <c r="H765" s="4131" t="s">
        <v>50</v>
      </c>
      <c r="I765" s="4060" t="s">
        <v>72</v>
      </c>
      <c r="J765" s="1964">
        <v>0</v>
      </c>
      <c r="K765" s="2159">
        <v>0</v>
      </c>
      <c r="L765" s="2160">
        <f>'[2]ALL BULAN'!E708</f>
        <v>0</v>
      </c>
      <c r="M765" s="4253">
        <f t="shared" si="113"/>
        <v>0</v>
      </c>
      <c r="N765" s="1964">
        <v>0</v>
      </c>
      <c r="O765" s="4254">
        <f t="shared" si="114"/>
        <v>0</v>
      </c>
      <c r="P765" s="4061">
        <v>0</v>
      </c>
      <c r="Q765" s="4839"/>
    </row>
    <row r="766" spans="1:17" s="2070" customFormat="1">
      <c r="A766" s="4074">
        <v>4</v>
      </c>
      <c r="B766" s="4074">
        <v>1</v>
      </c>
      <c r="C766" s="4074" t="s">
        <v>443</v>
      </c>
      <c r="D766" s="4074" t="s">
        <v>444</v>
      </c>
      <c r="E766" s="4074" t="s">
        <v>440</v>
      </c>
      <c r="F766" s="4049"/>
      <c r="G766" s="4059"/>
      <c r="H766" s="4131" t="s">
        <v>50</v>
      </c>
      <c r="I766" s="4060" t="s">
        <v>73</v>
      </c>
      <c r="J766" s="1964">
        <v>0</v>
      </c>
      <c r="K766" s="2159">
        <v>0</v>
      </c>
      <c r="L766" s="2160">
        <f>'[2]ALL BULAN'!E709</f>
        <v>0</v>
      </c>
      <c r="M766" s="4253">
        <f t="shared" si="113"/>
        <v>0</v>
      </c>
      <c r="N766" s="1964">
        <v>0</v>
      </c>
      <c r="O766" s="4254">
        <f t="shared" si="114"/>
        <v>0</v>
      </c>
      <c r="P766" s="4061">
        <v>0</v>
      </c>
      <c r="Q766" s="4839"/>
    </row>
    <row r="767" spans="1:17" s="2070" customFormat="1">
      <c r="A767" s="4069">
        <v>4</v>
      </c>
      <c r="B767" s="4069">
        <v>1</v>
      </c>
      <c r="C767" s="4069" t="s">
        <v>443</v>
      </c>
      <c r="D767" s="4069" t="s">
        <v>444</v>
      </c>
      <c r="E767" s="4070" t="s">
        <v>445</v>
      </c>
      <c r="F767" s="4049"/>
      <c r="G767" s="4059"/>
      <c r="H767" s="4131" t="s">
        <v>50</v>
      </c>
      <c r="I767" s="4060" t="s">
        <v>74</v>
      </c>
      <c r="J767" s="1964">
        <v>0</v>
      </c>
      <c r="K767" s="2159">
        <v>0</v>
      </c>
      <c r="L767" s="2160">
        <f>'[2]ALL BULAN'!E710</f>
        <v>0</v>
      </c>
      <c r="M767" s="4253">
        <f t="shared" si="113"/>
        <v>0</v>
      </c>
      <c r="N767" s="1964">
        <v>0</v>
      </c>
      <c r="O767" s="4254">
        <f t="shared" si="114"/>
        <v>0</v>
      </c>
      <c r="P767" s="4061">
        <v>0</v>
      </c>
      <c r="Q767" s="4839"/>
    </row>
    <row r="768" spans="1:17" s="2070" customFormat="1">
      <c r="A768" s="4101">
        <v>4</v>
      </c>
      <c r="B768" s="4101">
        <v>1</v>
      </c>
      <c r="C768" s="4101" t="s">
        <v>443</v>
      </c>
      <c r="D768" s="4101" t="s">
        <v>444</v>
      </c>
      <c r="E768" s="4101" t="s">
        <v>441</v>
      </c>
      <c r="F768" s="4049"/>
      <c r="G768" s="4067"/>
      <c r="H768" s="4060" t="s">
        <v>308</v>
      </c>
      <c r="I768" s="4060" t="s">
        <v>75</v>
      </c>
      <c r="J768" s="1964">
        <v>0</v>
      </c>
      <c r="K768" s="2159">
        <v>0</v>
      </c>
      <c r="L768" s="2160">
        <f>'[2]ALL BULAN'!E711</f>
        <v>0</v>
      </c>
      <c r="M768" s="4253">
        <f t="shared" si="113"/>
        <v>0</v>
      </c>
      <c r="N768" s="1964">
        <v>0</v>
      </c>
      <c r="O768" s="4254">
        <f t="shared" si="114"/>
        <v>0</v>
      </c>
      <c r="P768" s="4061">
        <v>0</v>
      </c>
      <c r="Q768" s="4839"/>
    </row>
    <row r="769" spans="1:17" s="2070" customFormat="1">
      <c r="A769" s="4079">
        <v>4</v>
      </c>
      <c r="B769" s="4079">
        <v>1</v>
      </c>
      <c r="C769" s="4079" t="s">
        <v>443</v>
      </c>
      <c r="D769" s="4079" t="s">
        <v>447</v>
      </c>
      <c r="E769" s="4093" t="s">
        <v>437</v>
      </c>
      <c r="F769" s="4049"/>
      <c r="G769" s="4067"/>
      <c r="H769" s="4181" t="s">
        <v>50</v>
      </c>
      <c r="I769" s="4060" t="s">
        <v>85</v>
      </c>
      <c r="J769" s="1964">
        <v>0</v>
      </c>
      <c r="K769" s="2159">
        <v>0</v>
      </c>
      <c r="L769" s="2160">
        <f>'[2]ALL BULAN'!E712</f>
        <v>0</v>
      </c>
      <c r="M769" s="4253">
        <f t="shared" si="113"/>
        <v>0</v>
      </c>
      <c r="N769" s="1964">
        <v>0</v>
      </c>
      <c r="O769" s="4254">
        <f t="shared" si="114"/>
        <v>0</v>
      </c>
      <c r="P769" s="4061">
        <v>0</v>
      </c>
      <c r="Q769" s="4839"/>
    </row>
    <row r="770" spans="1:17" s="2070" customFormat="1" ht="5.35" customHeight="1">
      <c r="A770" s="4048"/>
      <c r="B770" s="4048"/>
      <c r="C770" s="4048"/>
      <c r="D770" s="4048"/>
      <c r="E770" s="4048"/>
      <c r="F770" s="4049"/>
      <c r="G770" s="4102"/>
      <c r="H770" s="4083"/>
      <c r="I770" s="4083"/>
      <c r="J770" s="4548"/>
      <c r="K770" s="2183"/>
      <c r="L770" s="4548"/>
      <c r="M770" s="4549"/>
      <c r="N770" s="4549"/>
      <c r="O770" s="4549"/>
      <c r="P770" s="4172"/>
      <c r="Q770" s="4839"/>
    </row>
    <row r="771" spans="1:17" s="2070" customFormat="1" ht="15.65">
      <c r="A771" s="4048"/>
      <c r="B771" s="4048"/>
      <c r="C771" s="4048"/>
      <c r="D771" s="4048"/>
      <c r="E771" s="4048"/>
      <c r="F771" s="4049"/>
      <c r="G771" s="4041" t="s">
        <v>396</v>
      </c>
      <c r="H771" s="4240" t="s">
        <v>397</v>
      </c>
      <c r="I771" s="4097"/>
      <c r="J771" s="4545">
        <v>0</v>
      </c>
      <c r="K771" s="4594">
        <v>0</v>
      </c>
      <c r="L771" s="4545">
        <f>SUM(L773)</f>
        <v>0</v>
      </c>
      <c r="M771" s="4595">
        <f>SUM(K771:L771)</f>
        <v>0</v>
      </c>
      <c r="N771" s="4545">
        <v>0</v>
      </c>
      <c r="O771" s="4519">
        <f>M771-J771</f>
        <v>0</v>
      </c>
      <c r="P771" s="4044">
        <v>0</v>
      </c>
      <c r="Q771" s="4839"/>
    </row>
    <row r="772" spans="1:17" s="2070" customFormat="1" ht="4.55" customHeight="1">
      <c r="A772" s="4048"/>
      <c r="B772" s="4048"/>
      <c r="C772" s="4048"/>
      <c r="D772" s="4048"/>
      <c r="E772" s="4048"/>
      <c r="F772" s="4049"/>
      <c r="G772" s="4050"/>
      <c r="H772" s="4224"/>
      <c r="I772" s="4224"/>
      <c r="J772" s="4581"/>
      <c r="K772" s="4522"/>
      <c r="L772" s="4581"/>
      <c r="M772" s="4582"/>
      <c r="N772" s="4581"/>
      <c r="O772" s="4582"/>
      <c r="P772" s="4225"/>
      <c r="Q772" s="4839"/>
    </row>
    <row r="773" spans="1:17" s="2070" customFormat="1">
      <c r="A773" s="4065">
        <v>4</v>
      </c>
      <c r="B773" s="4065">
        <v>1</v>
      </c>
      <c r="C773" s="4065">
        <v>4</v>
      </c>
      <c r="D773" s="4048"/>
      <c r="E773" s="4048"/>
      <c r="F773" s="4049">
        <v>3</v>
      </c>
      <c r="G773" s="4067"/>
      <c r="H773" s="4068" t="s">
        <v>71</v>
      </c>
      <c r="I773" s="4068"/>
      <c r="J773" s="4546">
        <v>0</v>
      </c>
      <c r="K773" s="2159">
        <v>0</v>
      </c>
      <c r="L773" s="4546">
        <f>SUM(L774:L778)</f>
        <v>0</v>
      </c>
      <c r="M773" s="4253">
        <f t="shared" ref="M773:M778" si="115">SUM(K773:L773)</f>
        <v>0</v>
      </c>
      <c r="N773" s="4546">
        <v>0</v>
      </c>
      <c r="O773" s="4254">
        <f t="shared" ref="O773:O778" si="116">M773-J773</f>
        <v>0</v>
      </c>
      <c r="P773" s="4061">
        <v>0</v>
      </c>
      <c r="Q773" s="4839"/>
    </row>
    <row r="774" spans="1:17" s="2070" customFormat="1">
      <c r="A774" s="4065">
        <v>4</v>
      </c>
      <c r="B774" s="4065">
        <v>1</v>
      </c>
      <c r="C774" s="4065">
        <v>4</v>
      </c>
      <c r="D774" s="4065" t="s">
        <v>441</v>
      </c>
      <c r="E774" s="4048"/>
      <c r="F774" s="4049"/>
      <c r="G774" s="4059"/>
      <c r="H774" s="4131" t="s">
        <v>50</v>
      </c>
      <c r="I774" s="4060" t="s">
        <v>72</v>
      </c>
      <c r="J774" s="1964">
        <v>0</v>
      </c>
      <c r="K774" s="2159">
        <v>0</v>
      </c>
      <c r="L774" s="2160">
        <f>'[2]ALL BULAN'!E717</f>
        <v>0</v>
      </c>
      <c r="M774" s="4253">
        <f t="shared" si="115"/>
        <v>0</v>
      </c>
      <c r="N774" s="1964">
        <v>0</v>
      </c>
      <c r="O774" s="4254">
        <f t="shared" si="116"/>
        <v>0</v>
      </c>
      <c r="P774" s="4061">
        <v>0</v>
      </c>
      <c r="Q774" s="4839"/>
    </row>
    <row r="775" spans="1:17" s="2070" customFormat="1">
      <c r="A775" s="4074">
        <v>4</v>
      </c>
      <c r="B775" s="4074">
        <v>1</v>
      </c>
      <c r="C775" s="4074" t="s">
        <v>443</v>
      </c>
      <c r="D775" s="4074" t="s">
        <v>444</v>
      </c>
      <c r="E775" s="4074" t="s">
        <v>440</v>
      </c>
      <c r="F775" s="4049"/>
      <c r="G775" s="4059"/>
      <c r="H775" s="4131" t="s">
        <v>50</v>
      </c>
      <c r="I775" s="4060" t="s">
        <v>73</v>
      </c>
      <c r="J775" s="1964">
        <v>0</v>
      </c>
      <c r="K775" s="2159">
        <v>0</v>
      </c>
      <c r="L775" s="2160">
        <f>'[2]ALL BULAN'!E718</f>
        <v>0</v>
      </c>
      <c r="M775" s="4253">
        <f t="shared" si="115"/>
        <v>0</v>
      </c>
      <c r="N775" s="1964">
        <v>0</v>
      </c>
      <c r="O775" s="4254">
        <f t="shared" si="116"/>
        <v>0</v>
      </c>
      <c r="P775" s="4061">
        <v>0</v>
      </c>
      <c r="Q775" s="4839"/>
    </row>
    <row r="776" spans="1:17" s="2070" customFormat="1">
      <c r="A776" s="4069">
        <v>4</v>
      </c>
      <c r="B776" s="4069">
        <v>1</v>
      </c>
      <c r="C776" s="4069" t="s">
        <v>443</v>
      </c>
      <c r="D776" s="4069" t="s">
        <v>444</v>
      </c>
      <c r="E776" s="4070" t="s">
        <v>445</v>
      </c>
      <c r="F776" s="4049"/>
      <c r="G776" s="4059"/>
      <c r="H776" s="4131" t="s">
        <v>50</v>
      </c>
      <c r="I776" s="4060" t="s">
        <v>74</v>
      </c>
      <c r="J776" s="1964">
        <v>0</v>
      </c>
      <c r="K776" s="2159">
        <v>0</v>
      </c>
      <c r="L776" s="2160">
        <f>'[2]ALL BULAN'!E719</f>
        <v>0</v>
      </c>
      <c r="M776" s="4253">
        <f t="shared" si="115"/>
        <v>0</v>
      </c>
      <c r="N776" s="1964">
        <v>0</v>
      </c>
      <c r="O776" s="4254">
        <f t="shared" si="116"/>
        <v>0</v>
      </c>
      <c r="P776" s="4061">
        <v>0</v>
      </c>
      <c r="Q776" s="4839"/>
    </row>
    <row r="777" spans="1:17" s="2070" customFormat="1">
      <c r="A777" s="4101">
        <v>4</v>
      </c>
      <c r="B777" s="4101">
        <v>1</v>
      </c>
      <c r="C777" s="4101" t="s">
        <v>443</v>
      </c>
      <c r="D777" s="4101" t="s">
        <v>444</v>
      </c>
      <c r="E777" s="4101" t="s">
        <v>441</v>
      </c>
      <c r="F777" s="4049"/>
      <c r="G777" s="4059"/>
      <c r="H777" s="4060" t="s">
        <v>308</v>
      </c>
      <c r="I777" s="4060" t="s">
        <v>75</v>
      </c>
      <c r="J777" s="1964">
        <v>0</v>
      </c>
      <c r="K777" s="2159">
        <v>0</v>
      </c>
      <c r="L777" s="2160">
        <f>'[2]ALL BULAN'!E720</f>
        <v>0</v>
      </c>
      <c r="M777" s="4253">
        <f t="shared" si="115"/>
        <v>0</v>
      </c>
      <c r="N777" s="1964">
        <v>0</v>
      </c>
      <c r="O777" s="4254">
        <f t="shared" si="116"/>
        <v>0</v>
      </c>
      <c r="P777" s="4061">
        <v>0</v>
      </c>
      <c r="Q777" s="4839"/>
    </row>
    <row r="778" spans="1:17" s="2070" customFormat="1">
      <c r="A778" s="4079">
        <v>4</v>
      </c>
      <c r="B778" s="4079">
        <v>1</v>
      </c>
      <c r="C778" s="4079" t="s">
        <v>443</v>
      </c>
      <c r="D778" s="4079" t="s">
        <v>447</v>
      </c>
      <c r="E778" s="4093" t="s">
        <v>437</v>
      </c>
      <c r="F778" s="4049"/>
      <c r="G778" s="4150"/>
      <c r="H778" s="4181" t="s">
        <v>50</v>
      </c>
      <c r="I778" s="4060" t="s">
        <v>85</v>
      </c>
      <c r="J778" s="1964">
        <v>0</v>
      </c>
      <c r="K778" s="2159">
        <v>0</v>
      </c>
      <c r="L778" s="2160">
        <f>'[2]ALL BULAN'!E721</f>
        <v>0</v>
      </c>
      <c r="M778" s="4253">
        <f t="shared" si="115"/>
        <v>0</v>
      </c>
      <c r="N778" s="1964">
        <v>0</v>
      </c>
      <c r="O778" s="4254">
        <f t="shared" si="116"/>
        <v>0</v>
      </c>
      <c r="P778" s="4061">
        <v>0</v>
      </c>
      <c r="Q778" s="4839"/>
    </row>
    <row r="779" spans="1:17" s="2070" customFormat="1" ht="5.95" customHeight="1">
      <c r="A779" s="4048"/>
      <c r="B779" s="4048"/>
      <c r="C779" s="4048"/>
      <c r="D779" s="4048"/>
      <c r="E779" s="4048"/>
      <c r="F779" s="4049"/>
      <c r="G779" s="4162"/>
      <c r="H779" s="4131"/>
      <c r="I779" s="4131"/>
      <c r="J779" s="2494"/>
      <c r="K779" s="4578"/>
      <c r="L779" s="2494"/>
      <c r="M779" s="2496"/>
      <c r="N779" s="2494"/>
      <c r="O779" s="2496"/>
      <c r="P779" s="4241"/>
      <c r="Q779" s="4839"/>
    </row>
    <row r="780" spans="1:17" s="2073" customFormat="1" ht="15.65">
      <c r="A780" s="4039"/>
      <c r="B780" s="4039"/>
      <c r="C780" s="4039"/>
      <c r="D780" s="4039"/>
      <c r="E780" s="4039"/>
      <c r="F780" s="4040"/>
      <c r="G780" s="4041" t="s">
        <v>398</v>
      </c>
      <c r="H780" s="4042" t="s">
        <v>399</v>
      </c>
      <c r="I780" s="4097"/>
      <c r="J780" s="4545">
        <v>0</v>
      </c>
      <c r="K780" s="4594">
        <v>0</v>
      </c>
      <c r="L780" s="4545">
        <f>SUM(L782)</f>
        <v>0</v>
      </c>
      <c r="M780" s="4595">
        <f>SUM(K780:L780)</f>
        <v>0</v>
      </c>
      <c r="N780" s="4545">
        <v>0</v>
      </c>
      <c r="O780" s="4519">
        <f>M780-J780</f>
        <v>0</v>
      </c>
      <c r="P780" s="4044">
        <v>0</v>
      </c>
      <c r="Q780" s="4840"/>
    </row>
    <row r="781" spans="1:17" s="2070" customFormat="1" ht="5.95" customHeight="1">
      <c r="A781" s="4048"/>
      <c r="B781" s="4048"/>
      <c r="C781" s="4048"/>
      <c r="D781" s="4048"/>
      <c r="E781" s="4048"/>
      <c r="F781" s="4049"/>
      <c r="G781" s="4050"/>
      <c r="H781" s="4224"/>
      <c r="I781" s="4224"/>
      <c r="J781" s="4581"/>
      <c r="K781" s="4522"/>
      <c r="L781" s="4581"/>
      <c r="M781" s="4582"/>
      <c r="N781" s="4581"/>
      <c r="O781" s="4582"/>
      <c r="P781" s="4225"/>
      <c r="Q781" s="4839"/>
    </row>
    <row r="782" spans="1:17" s="2070" customFormat="1">
      <c r="A782" s="4065">
        <v>4</v>
      </c>
      <c r="B782" s="4065">
        <v>1</v>
      </c>
      <c r="C782" s="4065">
        <v>4</v>
      </c>
      <c r="D782" s="4048"/>
      <c r="E782" s="4048"/>
      <c r="F782" s="4049">
        <v>3</v>
      </c>
      <c r="G782" s="4067"/>
      <c r="H782" s="4068" t="s">
        <v>71</v>
      </c>
      <c r="I782" s="4068"/>
      <c r="J782" s="4546">
        <v>0</v>
      </c>
      <c r="K782" s="2159">
        <v>0</v>
      </c>
      <c r="L782" s="4546">
        <f>SUM(L783:L787)</f>
        <v>0</v>
      </c>
      <c r="M782" s="4253">
        <f t="shared" ref="M782:M787" si="117">SUM(K782:L782)</f>
        <v>0</v>
      </c>
      <c r="N782" s="4546">
        <v>0</v>
      </c>
      <c r="O782" s="4254">
        <f t="shared" ref="O782:O787" si="118">M782-J782</f>
        <v>0</v>
      </c>
      <c r="P782" s="4061">
        <v>0</v>
      </c>
      <c r="Q782" s="4839"/>
    </row>
    <row r="783" spans="1:17" s="2070" customFormat="1">
      <c r="A783" s="4065">
        <v>4</v>
      </c>
      <c r="B783" s="4065">
        <v>1</v>
      </c>
      <c r="C783" s="4065">
        <v>4</v>
      </c>
      <c r="D783" s="4065" t="s">
        <v>441</v>
      </c>
      <c r="E783" s="4048"/>
      <c r="F783" s="4049"/>
      <c r="G783" s="4059"/>
      <c r="H783" s="4131" t="s">
        <v>50</v>
      </c>
      <c r="I783" s="4060" t="s">
        <v>72</v>
      </c>
      <c r="J783" s="1964">
        <v>0</v>
      </c>
      <c r="K783" s="2159">
        <v>0</v>
      </c>
      <c r="L783" s="2160">
        <f>'[2]ALL BULAN'!E726</f>
        <v>0</v>
      </c>
      <c r="M783" s="4253">
        <f t="shared" si="117"/>
        <v>0</v>
      </c>
      <c r="N783" s="1964">
        <v>0</v>
      </c>
      <c r="O783" s="4254">
        <f t="shared" si="118"/>
        <v>0</v>
      </c>
      <c r="P783" s="4061">
        <v>0</v>
      </c>
      <c r="Q783" s="4839"/>
    </row>
    <row r="784" spans="1:17" s="2070" customFormat="1">
      <c r="A784" s="4074">
        <v>4</v>
      </c>
      <c r="B784" s="4074">
        <v>1</v>
      </c>
      <c r="C784" s="4074" t="s">
        <v>443</v>
      </c>
      <c r="D784" s="4074" t="s">
        <v>444</v>
      </c>
      <c r="E784" s="4074" t="s">
        <v>440</v>
      </c>
      <c r="F784" s="4049"/>
      <c r="G784" s="4059"/>
      <c r="H784" s="4131" t="s">
        <v>50</v>
      </c>
      <c r="I784" s="4060" t="s">
        <v>73</v>
      </c>
      <c r="J784" s="1964">
        <v>0</v>
      </c>
      <c r="K784" s="2159">
        <v>0</v>
      </c>
      <c r="L784" s="2160">
        <f>'[2]ALL BULAN'!E727</f>
        <v>0</v>
      </c>
      <c r="M784" s="4253">
        <f t="shared" si="117"/>
        <v>0</v>
      </c>
      <c r="N784" s="1964">
        <v>0</v>
      </c>
      <c r="O784" s="4254">
        <f t="shared" si="118"/>
        <v>0</v>
      </c>
      <c r="P784" s="4061">
        <v>0</v>
      </c>
      <c r="Q784" s="4839"/>
    </row>
    <row r="785" spans="1:17" s="2070" customFormat="1">
      <c r="A785" s="4069">
        <v>4</v>
      </c>
      <c r="B785" s="4069">
        <v>1</v>
      </c>
      <c r="C785" s="4069" t="s">
        <v>443</v>
      </c>
      <c r="D785" s="4069" t="s">
        <v>444</v>
      </c>
      <c r="E785" s="4070" t="s">
        <v>445</v>
      </c>
      <c r="F785" s="4049"/>
      <c r="G785" s="4059"/>
      <c r="H785" s="4131" t="s">
        <v>50</v>
      </c>
      <c r="I785" s="4060" t="s">
        <v>74</v>
      </c>
      <c r="J785" s="1964">
        <v>0</v>
      </c>
      <c r="K785" s="2159">
        <v>0</v>
      </c>
      <c r="L785" s="2160">
        <f>'[2]ALL BULAN'!E728</f>
        <v>0</v>
      </c>
      <c r="M785" s="4253">
        <f t="shared" si="117"/>
        <v>0</v>
      </c>
      <c r="N785" s="1964">
        <v>0</v>
      </c>
      <c r="O785" s="4254">
        <f t="shared" si="118"/>
        <v>0</v>
      </c>
      <c r="P785" s="4061">
        <v>0</v>
      </c>
      <c r="Q785" s="4839"/>
    </row>
    <row r="786" spans="1:17" s="2070" customFormat="1">
      <c r="A786" s="4101">
        <v>4</v>
      </c>
      <c r="B786" s="4101">
        <v>1</v>
      </c>
      <c r="C786" s="4101" t="s">
        <v>443</v>
      </c>
      <c r="D786" s="4101" t="s">
        <v>444</v>
      </c>
      <c r="E786" s="4101" t="s">
        <v>441</v>
      </c>
      <c r="F786" s="4049"/>
      <c r="G786" s="4059"/>
      <c r="H786" s="4060" t="s">
        <v>308</v>
      </c>
      <c r="I786" s="4060" t="s">
        <v>75</v>
      </c>
      <c r="J786" s="1964">
        <v>0</v>
      </c>
      <c r="K786" s="2159">
        <v>0</v>
      </c>
      <c r="L786" s="2160">
        <f>'[2]ALL BULAN'!E729</f>
        <v>0</v>
      </c>
      <c r="M786" s="4253">
        <f t="shared" si="117"/>
        <v>0</v>
      </c>
      <c r="N786" s="1964">
        <v>0</v>
      </c>
      <c r="O786" s="4254">
        <f t="shared" si="118"/>
        <v>0</v>
      </c>
      <c r="P786" s="4061">
        <v>0</v>
      </c>
      <c r="Q786" s="4839"/>
    </row>
    <row r="787" spans="1:17" s="2070" customFormat="1">
      <c r="A787" s="4079">
        <v>4</v>
      </c>
      <c r="B787" s="4079">
        <v>1</v>
      </c>
      <c r="C787" s="4079" t="s">
        <v>443</v>
      </c>
      <c r="D787" s="4079" t="s">
        <v>447</v>
      </c>
      <c r="E787" s="4093" t="s">
        <v>437</v>
      </c>
      <c r="F787" s="4049"/>
      <c r="G787" s="4150"/>
      <c r="H787" s="4181" t="s">
        <v>50</v>
      </c>
      <c r="I787" s="4060" t="s">
        <v>85</v>
      </c>
      <c r="J787" s="1964">
        <v>0</v>
      </c>
      <c r="K787" s="2159">
        <v>0</v>
      </c>
      <c r="L787" s="2160">
        <f>'[2]ALL BULAN'!E730</f>
        <v>0</v>
      </c>
      <c r="M787" s="4253">
        <f t="shared" si="117"/>
        <v>0</v>
      </c>
      <c r="N787" s="1964">
        <v>0</v>
      </c>
      <c r="O787" s="4254">
        <f t="shared" si="118"/>
        <v>0</v>
      </c>
      <c r="P787" s="4061">
        <v>0</v>
      </c>
      <c r="Q787" s="4839"/>
    </row>
    <row r="788" spans="1:17" s="2070" customFormat="1" ht="5.35" customHeight="1">
      <c r="A788" s="4048"/>
      <c r="B788" s="4048"/>
      <c r="C788" s="4048"/>
      <c r="D788" s="4048"/>
      <c r="E788" s="4048"/>
      <c r="F788" s="4049"/>
      <c r="G788" s="4162"/>
      <c r="H788" s="4131"/>
      <c r="I788" s="4131"/>
      <c r="J788" s="2314"/>
      <c r="K788" s="2220"/>
      <c r="L788" s="2314"/>
      <c r="M788" s="2315"/>
      <c r="N788" s="2314"/>
      <c r="O788" s="2315"/>
      <c r="P788" s="4174"/>
      <c r="Q788" s="4839"/>
    </row>
    <row r="789" spans="1:17" s="2073" customFormat="1" ht="15.65">
      <c r="A789" s="4039"/>
      <c r="B789" s="4039"/>
      <c r="C789" s="4039"/>
      <c r="D789" s="4039"/>
      <c r="E789" s="4039"/>
      <c r="F789" s="4040"/>
      <c r="G789" s="4041" t="s">
        <v>400</v>
      </c>
      <c r="H789" s="4242" t="s">
        <v>401</v>
      </c>
      <c r="I789" s="4097"/>
      <c r="J789" s="4545">
        <v>0</v>
      </c>
      <c r="K789" s="4594">
        <v>0</v>
      </c>
      <c r="L789" s="4545">
        <f>SUM(L791)</f>
        <v>0</v>
      </c>
      <c r="M789" s="4595">
        <f>SUM(K789:L789)</f>
        <v>0</v>
      </c>
      <c r="N789" s="4545">
        <v>0</v>
      </c>
      <c r="O789" s="4519">
        <f>M789-J789</f>
        <v>0</v>
      </c>
      <c r="P789" s="4044">
        <v>0</v>
      </c>
      <c r="Q789" s="4840"/>
    </row>
    <row r="790" spans="1:17" s="2070" customFormat="1" ht="3.8" customHeight="1">
      <c r="A790" s="4048"/>
      <c r="B790" s="4048"/>
      <c r="C790" s="4048"/>
      <c r="D790" s="4048"/>
      <c r="E790" s="4048"/>
      <c r="F790" s="4049"/>
      <c r="G790" s="4067"/>
      <c r="H790" s="4126"/>
      <c r="I790" s="4060"/>
      <c r="J790" s="4584"/>
      <c r="K790" s="2255"/>
      <c r="L790" s="4584"/>
      <c r="M790" s="4546"/>
      <c r="N790" s="4584"/>
      <c r="O790" s="4546"/>
      <c r="P790" s="4243"/>
      <c r="Q790" s="4839"/>
    </row>
    <row r="791" spans="1:17" s="2070" customFormat="1">
      <c r="A791" s="4065">
        <v>4</v>
      </c>
      <c r="B791" s="4065">
        <v>1</v>
      </c>
      <c r="C791" s="4065">
        <v>4</v>
      </c>
      <c r="D791" s="4048"/>
      <c r="E791" s="4048"/>
      <c r="F791" s="4049">
        <v>3</v>
      </c>
      <c r="G791" s="4067"/>
      <c r="H791" s="4068" t="s">
        <v>71</v>
      </c>
      <c r="I791" s="4068"/>
      <c r="J791" s="4546">
        <v>0</v>
      </c>
      <c r="K791" s="2159">
        <v>0</v>
      </c>
      <c r="L791" s="4546">
        <f>SUM(L792:L796)</f>
        <v>0</v>
      </c>
      <c r="M791" s="4253">
        <f t="shared" ref="M791:M796" si="119">SUM(K791:L791)</f>
        <v>0</v>
      </c>
      <c r="N791" s="4546">
        <v>0</v>
      </c>
      <c r="O791" s="4254">
        <f t="shared" ref="O791:O796" si="120">M791-J791</f>
        <v>0</v>
      </c>
      <c r="P791" s="4061">
        <v>0</v>
      </c>
      <c r="Q791" s="4839"/>
    </row>
    <row r="792" spans="1:17" s="2070" customFormat="1">
      <c r="A792" s="4065">
        <v>4</v>
      </c>
      <c r="B792" s="4065">
        <v>1</v>
      </c>
      <c r="C792" s="4065">
        <v>4</v>
      </c>
      <c r="D792" s="4065" t="s">
        <v>441</v>
      </c>
      <c r="E792" s="4048"/>
      <c r="F792" s="4049"/>
      <c r="G792" s="4059"/>
      <c r="H792" s="4131" t="s">
        <v>50</v>
      </c>
      <c r="I792" s="4060" t="s">
        <v>72</v>
      </c>
      <c r="J792" s="1964">
        <v>0</v>
      </c>
      <c r="K792" s="2159">
        <v>0</v>
      </c>
      <c r="L792" s="2160">
        <f>'[2]ALL BULAN'!E735</f>
        <v>0</v>
      </c>
      <c r="M792" s="4253">
        <f t="shared" si="119"/>
        <v>0</v>
      </c>
      <c r="N792" s="1964">
        <v>0</v>
      </c>
      <c r="O792" s="4254">
        <f t="shared" si="120"/>
        <v>0</v>
      </c>
      <c r="P792" s="4061">
        <v>0</v>
      </c>
      <c r="Q792" s="4839"/>
    </row>
    <row r="793" spans="1:17" s="2070" customFormat="1">
      <c r="A793" s="4074">
        <v>4</v>
      </c>
      <c r="B793" s="4074">
        <v>1</v>
      </c>
      <c r="C793" s="4074" t="s">
        <v>443</v>
      </c>
      <c r="D793" s="4074" t="s">
        <v>444</v>
      </c>
      <c r="E793" s="4074" t="s">
        <v>440</v>
      </c>
      <c r="F793" s="4049"/>
      <c r="G793" s="4059"/>
      <c r="H793" s="4131" t="s">
        <v>50</v>
      </c>
      <c r="I793" s="4060" t="s">
        <v>73</v>
      </c>
      <c r="J793" s="1964">
        <v>0</v>
      </c>
      <c r="K793" s="2159">
        <v>0</v>
      </c>
      <c r="L793" s="2160">
        <f>'[2]ALL BULAN'!E736</f>
        <v>0</v>
      </c>
      <c r="M793" s="4253">
        <f t="shared" si="119"/>
        <v>0</v>
      </c>
      <c r="N793" s="1964">
        <v>0</v>
      </c>
      <c r="O793" s="4254">
        <f t="shared" si="120"/>
        <v>0</v>
      </c>
      <c r="P793" s="4061">
        <v>0</v>
      </c>
      <c r="Q793" s="4839"/>
    </row>
    <row r="794" spans="1:17" s="2070" customFormat="1">
      <c r="A794" s="4069">
        <v>4</v>
      </c>
      <c r="B794" s="4069">
        <v>1</v>
      </c>
      <c r="C794" s="4069" t="s">
        <v>443</v>
      </c>
      <c r="D794" s="4069" t="s">
        <v>444</v>
      </c>
      <c r="E794" s="4070" t="s">
        <v>445</v>
      </c>
      <c r="F794" s="4049"/>
      <c r="G794" s="4059"/>
      <c r="H794" s="4131" t="s">
        <v>50</v>
      </c>
      <c r="I794" s="4060" t="s">
        <v>74</v>
      </c>
      <c r="J794" s="1964">
        <v>0</v>
      </c>
      <c r="K794" s="2159">
        <v>0</v>
      </c>
      <c r="L794" s="2160">
        <f>'[2]ALL BULAN'!E737</f>
        <v>0</v>
      </c>
      <c r="M794" s="4253">
        <f t="shared" si="119"/>
        <v>0</v>
      </c>
      <c r="N794" s="1964">
        <v>0</v>
      </c>
      <c r="O794" s="4254">
        <f t="shared" si="120"/>
        <v>0</v>
      </c>
      <c r="P794" s="4061">
        <v>0</v>
      </c>
      <c r="Q794" s="4839"/>
    </row>
    <row r="795" spans="1:17" s="2070" customFormat="1">
      <c r="A795" s="4101">
        <v>4</v>
      </c>
      <c r="B795" s="4101">
        <v>1</v>
      </c>
      <c r="C795" s="4101" t="s">
        <v>443</v>
      </c>
      <c r="D795" s="4101" t="s">
        <v>444</v>
      </c>
      <c r="E795" s="4101" t="s">
        <v>441</v>
      </c>
      <c r="F795" s="4049"/>
      <c r="G795" s="4059"/>
      <c r="H795" s="4060" t="s">
        <v>308</v>
      </c>
      <c r="I795" s="4060" t="s">
        <v>75</v>
      </c>
      <c r="J795" s="1964">
        <v>0</v>
      </c>
      <c r="K795" s="2159">
        <v>0</v>
      </c>
      <c r="L795" s="2160">
        <f>'[2]ALL BULAN'!E738</f>
        <v>0</v>
      </c>
      <c r="M795" s="4253">
        <f t="shared" si="119"/>
        <v>0</v>
      </c>
      <c r="N795" s="1964">
        <v>0</v>
      </c>
      <c r="O795" s="4254">
        <f t="shared" si="120"/>
        <v>0</v>
      </c>
      <c r="P795" s="4061">
        <v>0</v>
      </c>
      <c r="Q795" s="4839"/>
    </row>
    <row r="796" spans="1:17" s="2070" customFormat="1">
      <c r="A796" s="4079">
        <v>4</v>
      </c>
      <c r="B796" s="4079">
        <v>1</v>
      </c>
      <c r="C796" s="4079" t="s">
        <v>443</v>
      </c>
      <c r="D796" s="4079" t="s">
        <v>447</v>
      </c>
      <c r="E796" s="4093" t="s">
        <v>437</v>
      </c>
      <c r="F796" s="4049"/>
      <c r="G796" s="4080"/>
      <c r="H796" s="4181" t="s">
        <v>50</v>
      </c>
      <c r="I796" s="4060" t="s">
        <v>85</v>
      </c>
      <c r="J796" s="1964">
        <v>0</v>
      </c>
      <c r="K796" s="2159">
        <v>0</v>
      </c>
      <c r="L796" s="2160">
        <f>'[2]ALL BULAN'!E739</f>
        <v>0</v>
      </c>
      <c r="M796" s="4253">
        <f t="shared" si="119"/>
        <v>0</v>
      </c>
      <c r="N796" s="1964">
        <v>0</v>
      </c>
      <c r="O796" s="4254">
        <f t="shared" si="120"/>
        <v>0</v>
      </c>
      <c r="P796" s="4061">
        <v>0</v>
      </c>
      <c r="Q796" s="4839"/>
    </row>
    <row r="797" spans="1:17" s="2070" customFormat="1" ht="5.95" customHeight="1">
      <c r="A797" s="4048"/>
      <c r="B797" s="4048"/>
      <c r="C797" s="4048"/>
      <c r="D797" s="4048"/>
      <c r="E797" s="4048"/>
      <c r="F797" s="4049"/>
      <c r="G797" s="4102"/>
      <c r="H797" s="4083"/>
      <c r="I797" s="4083"/>
      <c r="J797" s="4548"/>
      <c r="K797" s="2183"/>
      <c r="L797" s="4548"/>
      <c r="M797" s="4549"/>
      <c r="N797" s="4548"/>
      <c r="O797" s="4549"/>
      <c r="P797" s="4172"/>
      <c r="Q797" s="4839"/>
    </row>
    <row r="798" spans="1:17" s="2073" customFormat="1" ht="15.65">
      <c r="A798" s="4039"/>
      <c r="B798" s="4039"/>
      <c r="C798" s="4039"/>
      <c r="D798" s="4039"/>
      <c r="E798" s="4039"/>
      <c r="F798" s="4040"/>
      <c r="G798" s="4041" t="s">
        <v>402</v>
      </c>
      <c r="H798" s="4042" t="s">
        <v>403</v>
      </c>
      <c r="I798" s="4097"/>
      <c r="J798" s="4545">
        <v>0</v>
      </c>
      <c r="K798" s="4594">
        <v>0</v>
      </c>
      <c r="L798" s="4545">
        <f>SUM(L800)</f>
        <v>0</v>
      </c>
      <c r="M798" s="4595">
        <f>SUM(K798:L798)</f>
        <v>0</v>
      </c>
      <c r="N798" s="4545">
        <v>0</v>
      </c>
      <c r="O798" s="4519">
        <f>M798-J798</f>
        <v>0</v>
      </c>
      <c r="P798" s="4044">
        <v>0</v>
      </c>
      <c r="Q798" s="4840"/>
    </row>
    <row r="799" spans="1:17" s="2070" customFormat="1" ht="5.35" customHeight="1">
      <c r="A799" s="4048"/>
      <c r="B799" s="4048"/>
      <c r="C799" s="4048"/>
      <c r="D799" s="4048"/>
      <c r="E799" s="4048"/>
      <c r="F799" s="4049"/>
      <c r="G799" s="4050"/>
      <c r="H799" s="4224"/>
      <c r="I799" s="4224"/>
      <c r="J799" s="4581"/>
      <c r="K799" s="4522"/>
      <c r="L799" s="4581"/>
      <c r="M799" s="4582"/>
      <c r="N799" s="4581"/>
      <c r="O799" s="4582"/>
      <c r="P799" s="4225"/>
      <c r="Q799" s="4839"/>
    </row>
    <row r="800" spans="1:17" s="2070" customFormat="1">
      <c r="A800" s="4065">
        <v>4</v>
      </c>
      <c r="B800" s="4065">
        <v>1</v>
      </c>
      <c r="C800" s="4065">
        <v>4</v>
      </c>
      <c r="D800" s="4048"/>
      <c r="E800" s="4048"/>
      <c r="F800" s="4049">
        <v>3</v>
      </c>
      <c r="G800" s="4067"/>
      <c r="H800" s="4068" t="s">
        <v>71</v>
      </c>
      <c r="I800" s="4068"/>
      <c r="J800" s="4546">
        <v>0</v>
      </c>
      <c r="K800" s="2159">
        <v>0</v>
      </c>
      <c r="L800" s="4546">
        <f>SUM(L801:L805)</f>
        <v>0</v>
      </c>
      <c r="M800" s="4253">
        <f t="shared" ref="M800:M805" si="121">SUM(K800:L800)</f>
        <v>0</v>
      </c>
      <c r="N800" s="4546">
        <v>0</v>
      </c>
      <c r="O800" s="4254">
        <f t="shared" ref="O800:O805" si="122">M800-J800</f>
        <v>0</v>
      </c>
      <c r="P800" s="4061">
        <v>0</v>
      </c>
      <c r="Q800" s="4839"/>
    </row>
    <row r="801" spans="1:17" s="2070" customFormat="1">
      <c r="A801" s="4065">
        <v>4</v>
      </c>
      <c r="B801" s="4065">
        <v>1</v>
      </c>
      <c r="C801" s="4065">
        <v>4</v>
      </c>
      <c r="D801" s="4065" t="s">
        <v>441</v>
      </c>
      <c r="E801" s="4048"/>
      <c r="F801" s="4049"/>
      <c r="G801" s="4059"/>
      <c r="H801" s="4131" t="s">
        <v>50</v>
      </c>
      <c r="I801" s="4060" t="s">
        <v>72</v>
      </c>
      <c r="J801" s="1964">
        <v>0</v>
      </c>
      <c r="K801" s="2159">
        <v>0</v>
      </c>
      <c r="L801" s="2160">
        <f>'[2]ALL BULAN'!E744</f>
        <v>0</v>
      </c>
      <c r="M801" s="4253">
        <f t="shared" si="121"/>
        <v>0</v>
      </c>
      <c r="N801" s="1964">
        <v>0</v>
      </c>
      <c r="O801" s="4254">
        <f t="shared" si="122"/>
        <v>0</v>
      </c>
      <c r="P801" s="4061">
        <v>0</v>
      </c>
      <c r="Q801" s="4839"/>
    </row>
    <row r="802" spans="1:17" s="2070" customFormat="1">
      <c r="A802" s="4074">
        <v>4</v>
      </c>
      <c r="B802" s="4074">
        <v>1</v>
      </c>
      <c r="C802" s="4074" t="s">
        <v>443</v>
      </c>
      <c r="D802" s="4074" t="s">
        <v>444</v>
      </c>
      <c r="E802" s="4074" t="s">
        <v>440</v>
      </c>
      <c r="F802" s="4049"/>
      <c r="G802" s="4059"/>
      <c r="H802" s="4131" t="s">
        <v>50</v>
      </c>
      <c r="I802" s="4060" t="s">
        <v>73</v>
      </c>
      <c r="J802" s="1964">
        <v>0</v>
      </c>
      <c r="K802" s="2159">
        <v>0</v>
      </c>
      <c r="L802" s="2160">
        <f>'[2]ALL BULAN'!E745</f>
        <v>0</v>
      </c>
      <c r="M802" s="4253">
        <f t="shared" si="121"/>
        <v>0</v>
      </c>
      <c r="N802" s="1964">
        <v>0</v>
      </c>
      <c r="O802" s="4254">
        <f t="shared" si="122"/>
        <v>0</v>
      </c>
      <c r="P802" s="4061">
        <v>0</v>
      </c>
      <c r="Q802" s="4839"/>
    </row>
    <row r="803" spans="1:17" s="2070" customFormat="1">
      <c r="A803" s="4069">
        <v>4</v>
      </c>
      <c r="B803" s="4069">
        <v>1</v>
      </c>
      <c r="C803" s="4069" t="s">
        <v>443</v>
      </c>
      <c r="D803" s="4069" t="s">
        <v>444</v>
      </c>
      <c r="E803" s="4070" t="s">
        <v>445</v>
      </c>
      <c r="F803" s="4049"/>
      <c r="G803" s="4059"/>
      <c r="H803" s="4131" t="s">
        <v>50</v>
      </c>
      <c r="I803" s="4060" t="s">
        <v>74</v>
      </c>
      <c r="J803" s="1964">
        <v>0</v>
      </c>
      <c r="K803" s="2159">
        <v>0</v>
      </c>
      <c r="L803" s="2160">
        <f>'[2]ALL BULAN'!E746</f>
        <v>0</v>
      </c>
      <c r="M803" s="4253">
        <f t="shared" si="121"/>
        <v>0</v>
      </c>
      <c r="N803" s="1964">
        <v>0</v>
      </c>
      <c r="O803" s="4254">
        <f t="shared" si="122"/>
        <v>0</v>
      </c>
      <c r="P803" s="4061">
        <v>0</v>
      </c>
      <c r="Q803" s="4839"/>
    </row>
    <row r="804" spans="1:17" s="2070" customFormat="1">
      <c r="A804" s="4101">
        <v>4</v>
      </c>
      <c r="B804" s="4101">
        <v>1</v>
      </c>
      <c r="C804" s="4101" t="s">
        <v>443</v>
      </c>
      <c r="D804" s="4101" t="s">
        <v>444</v>
      </c>
      <c r="E804" s="4101" t="s">
        <v>441</v>
      </c>
      <c r="F804" s="4049"/>
      <c r="G804" s="4059"/>
      <c r="H804" s="4060" t="s">
        <v>308</v>
      </c>
      <c r="I804" s="4060" t="s">
        <v>75</v>
      </c>
      <c r="J804" s="1964">
        <v>0</v>
      </c>
      <c r="K804" s="2159">
        <v>0</v>
      </c>
      <c r="L804" s="2160">
        <f>'[2]ALL BULAN'!E747</f>
        <v>0</v>
      </c>
      <c r="M804" s="4253">
        <f t="shared" si="121"/>
        <v>0</v>
      </c>
      <c r="N804" s="1964">
        <v>0</v>
      </c>
      <c r="O804" s="4254">
        <f t="shared" si="122"/>
        <v>0</v>
      </c>
      <c r="P804" s="4061">
        <v>0</v>
      </c>
      <c r="Q804" s="4839"/>
    </row>
    <row r="805" spans="1:17" s="2070" customFormat="1">
      <c r="A805" s="4079">
        <v>4</v>
      </c>
      <c r="B805" s="4079">
        <v>1</v>
      </c>
      <c r="C805" s="4079" t="s">
        <v>443</v>
      </c>
      <c r="D805" s="4079" t="s">
        <v>447</v>
      </c>
      <c r="E805" s="4093" t="s">
        <v>437</v>
      </c>
      <c r="F805" s="4049"/>
      <c r="G805" s="4080"/>
      <c r="H805" s="4181" t="s">
        <v>50</v>
      </c>
      <c r="I805" s="4060" t="s">
        <v>85</v>
      </c>
      <c r="J805" s="1964">
        <v>0</v>
      </c>
      <c r="K805" s="2159">
        <v>0</v>
      </c>
      <c r="L805" s="2160">
        <f>'[2]ALL BULAN'!E748</f>
        <v>0</v>
      </c>
      <c r="M805" s="4253">
        <f t="shared" si="121"/>
        <v>0</v>
      </c>
      <c r="N805" s="1964">
        <v>0</v>
      </c>
      <c r="O805" s="4254">
        <f t="shared" si="122"/>
        <v>0</v>
      </c>
      <c r="P805" s="4061">
        <v>0</v>
      </c>
      <c r="Q805" s="4839"/>
    </row>
    <row r="806" spans="1:17" s="2070" customFormat="1" ht="5.95" customHeight="1">
      <c r="A806" s="4048"/>
      <c r="B806" s="4048"/>
      <c r="C806" s="4048"/>
      <c r="D806" s="4048"/>
      <c r="E806" s="4048"/>
      <c r="F806" s="4049"/>
      <c r="G806" s="4102"/>
      <c r="H806" s="4083"/>
      <c r="I806" s="4083"/>
      <c r="J806" s="4548"/>
      <c r="K806" s="2183"/>
      <c r="L806" s="4548"/>
      <c r="M806" s="4549"/>
      <c r="N806" s="4548"/>
      <c r="O806" s="4549"/>
      <c r="P806" s="4172"/>
      <c r="Q806" s="4839"/>
    </row>
    <row r="807" spans="1:17" s="2070" customFormat="1" ht="15.05">
      <c r="A807" s="4048"/>
      <c r="B807" s="4048"/>
      <c r="C807" s="4048"/>
      <c r="D807" s="4048"/>
      <c r="E807" s="4048"/>
      <c r="F807" s="4049"/>
      <c r="G807" s="4183" t="s">
        <v>404</v>
      </c>
      <c r="H807" s="4173" t="s">
        <v>405</v>
      </c>
      <c r="I807" s="4173"/>
      <c r="J807" s="4595">
        <v>0</v>
      </c>
      <c r="K807" s="4594">
        <v>0</v>
      </c>
      <c r="L807" s="4595">
        <f>SUM(L809)</f>
        <v>0</v>
      </c>
      <c r="M807" s="4595">
        <f>SUM(K807:L807)</f>
        <v>0</v>
      </c>
      <c r="N807" s="4595">
        <v>0</v>
      </c>
      <c r="O807" s="4519">
        <f>M807-J807</f>
        <v>0</v>
      </c>
      <c r="P807" s="4044">
        <v>0</v>
      </c>
      <c r="Q807" s="4839"/>
    </row>
    <row r="808" spans="1:17" s="2070" customFormat="1" ht="5.35" customHeight="1">
      <c r="A808" s="4048"/>
      <c r="B808" s="4048"/>
      <c r="C808" s="4048"/>
      <c r="D808" s="4048"/>
      <c r="E808" s="4048"/>
      <c r="F808" s="4049"/>
      <c r="G808" s="4036"/>
      <c r="H808" s="4131"/>
      <c r="I808" s="4131"/>
      <c r="J808" s="2499"/>
      <c r="K808" s="2500"/>
      <c r="L808" s="2499"/>
      <c r="M808" s="2501"/>
      <c r="N808" s="2499"/>
      <c r="O808" s="2501"/>
      <c r="P808" s="4244"/>
      <c r="Q808" s="4839"/>
    </row>
    <row r="809" spans="1:17" s="2070" customFormat="1">
      <c r="A809" s="4065">
        <v>4</v>
      </c>
      <c r="B809" s="4065">
        <v>1</v>
      </c>
      <c r="C809" s="4065">
        <v>4</v>
      </c>
      <c r="D809" s="4048"/>
      <c r="E809" s="4048"/>
      <c r="F809" s="4049">
        <v>3</v>
      </c>
      <c r="G809" s="4080"/>
      <c r="H809" s="4068" t="s">
        <v>71</v>
      </c>
      <c r="I809" s="4068"/>
      <c r="J809" s="2466">
        <v>0</v>
      </c>
      <c r="K809" s="2159">
        <v>0</v>
      </c>
      <c r="L809" s="2466">
        <f>SUM(L810:L814)</f>
        <v>0</v>
      </c>
      <c r="M809" s="4253">
        <f t="shared" ref="M809:M814" si="123">SUM(K809:L809)</f>
        <v>0</v>
      </c>
      <c r="N809" s="2466">
        <v>0</v>
      </c>
      <c r="O809" s="4254">
        <f t="shared" ref="O809:O814" si="124">M809-J809</f>
        <v>0</v>
      </c>
      <c r="P809" s="4061">
        <v>0</v>
      </c>
      <c r="Q809" s="4839"/>
    </row>
    <row r="810" spans="1:17" s="2070" customFormat="1">
      <c r="A810" s="4065">
        <v>4</v>
      </c>
      <c r="B810" s="4065">
        <v>1</v>
      </c>
      <c r="C810" s="4065">
        <v>4</v>
      </c>
      <c r="D810" s="4065" t="s">
        <v>441</v>
      </c>
      <c r="E810" s="4048"/>
      <c r="F810" s="4049"/>
      <c r="G810" s="4080"/>
      <c r="H810" s="4131" t="s">
        <v>50</v>
      </c>
      <c r="I810" s="4060" t="s">
        <v>72</v>
      </c>
      <c r="J810" s="1964">
        <v>0</v>
      </c>
      <c r="K810" s="2159">
        <v>0</v>
      </c>
      <c r="L810" s="2160">
        <f>'[2]ALL BULAN'!E753</f>
        <v>0</v>
      </c>
      <c r="M810" s="4253">
        <f t="shared" si="123"/>
        <v>0</v>
      </c>
      <c r="N810" s="1964">
        <v>0</v>
      </c>
      <c r="O810" s="4254">
        <f t="shared" si="124"/>
        <v>0</v>
      </c>
      <c r="P810" s="4061">
        <v>0</v>
      </c>
      <c r="Q810" s="4839"/>
    </row>
    <row r="811" spans="1:17" s="2070" customFormat="1">
      <c r="A811" s="4074">
        <v>4</v>
      </c>
      <c r="B811" s="4074">
        <v>1</v>
      </c>
      <c r="C811" s="4074" t="s">
        <v>443</v>
      </c>
      <c r="D811" s="4074" t="s">
        <v>444</v>
      </c>
      <c r="E811" s="4074" t="s">
        <v>440</v>
      </c>
      <c r="F811" s="4049"/>
      <c r="G811" s="4080"/>
      <c r="H811" s="4131" t="s">
        <v>50</v>
      </c>
      <c r="I811" s="4060" t="s">
        <v>73</v>
      </c>
      <c r="J811" s="1964">
        <v>0</v>
      </c>
      <c r="K811" s="2159">
        <v>0</v>
      </c>
      <c r="L811" s="2160">
        <f>'[2]ALL BULAN'!E754</f>
        <v>0</v>
      </c>
      <c r="M811" s="4253">
        <f t="shared" si="123"/>
        <v>0</v>
      </c>
      <c r="N811" s="1964">
        <v>0</v>
      </c>
      <c r="O811" s="4254">
        <f t="shared" si="124"/>
        <v>0</v>
      </c>
      <c r="P811" s="4061">
        <v>0</v>
      </c>
      <c r="Q811" s="4839"/>
    </row>
    <row r="812" spans="1:17" s="2070" customFormat="1">
      <c r="A812" s="4069">
        <v>4</v>
      </c>
      <c r="B812" s="4069">
        <v>1</v>
      </c>
      <c r="C812" s="4069" t="s">
        <v>443</v>
      </c>
      <c r="D812" s="4069" t="s">
        <v>444</v>
      </c>
      <c r="E812" s="4070" t="s">
        <v>445</v>
      </c>
      <c r="F812" s="4049"/>
      <c r="G812" s="4080"/>
      <c r="H812" s="4131" t="s">
        <v>50</v>
      </c>
      <c r="I812" s="4060" t="s">
        <v>74</v>
      </c>
      <c r="J812" s="1964">
        <v>0</v>
      </c>
      <c r="K812" s="2159">
        <v>0</v>
      </c>
      <c r="L812" s="2160">
        <f>'[2]ALL BULAN'!E755</f>
        <v>0</v>
      </c>
      <c r="M812" s="4253">
        <f t="shared" si="123"/>
        <v>0</v>
      </c>
      <c r="N812" s="1964">
        <v>0</v>
      </c>
      <c r="O812" s="4254">
        <f t="shared" si="124"/>
        <v>0</v>
      </c>
      <c r="P812" s="4061">
        <v>0</v>
      </c>
      <c r="Q812" s="4839"/>
    </row>
    <row r="813" spans="1:17" s="2070" customFormat="1">
      <c r="A813" s="4101">
        <v>4</v>
      </c>
      <c r="B813" s="4101">
        <v>1</v>
      </c>
      <c r="C813" s="4101" t="s">
        <v>443</v>
      </c>
      <c r="D813" s="4101" t="s">
        <v>444</v>
      </c>
      <c r="E813" s="4101" t="s">
        <v>441</v>
      </c>
      <c r="F813" s="4049"/>
      <c r="G813" s="4080"/>
      <c r="H813" s="4060" t="s">
        <v>308</v>
      </c>
      <c r="I813" s="4060" t="s">
        <v>75</v>
      </c>
      <c r="J813" s="1964">
        <v>0</v>
      </c>
      <c r="K813" s="2159">
        <v>0</v>
      </c>
      <c r="L813" s="2160">
        <f>'[2]ALL BULAN'!E756</f>
        <v>0</v>
      </c>
      <c r="M813" s="4253">
        <f t="shared" si="123"/>
        <v>0</v>
      </c>
      <c r="N813" s="1964">
        <v>0</v>
      </c>
      <c r="O813" s="4254">
        <f t="shared" si="124"/>
        <v>0</v>
      </c>
      <c r="P813" s="4061">
        <v>0</v>
      </c>
      <c r="Q813" s="4839"/>
    </row>
    <row r="814" spans="1:17" s="2070" customFormat="1">
      <c r="A814" s="4079">
        <v>4</v>
      </c>
      <c r="B814" s="4079">
        <v>1</v>
      </c>
      <c r="C814" s="4079" t="s">
        <v>443</v>
      </c>
      <c r="D814" s="4079" t="s">
        <v>447</v>
      </c>
      <c r="E814" s="4093" t="s">
        <v>437</v>
      </c>
      <c r="F814" s="4049"/>
      <c r="G814" s="4080"/>
      <c r="H814" s="4181" t="s">
        <v>50</v>
      </c>
      <c r="I814" s="4060" t="s">
        <v>85</v>
      </c>
      <c r="J814" s="1964">
        <v>0</v>
      </c>
      <c r="K814" s="2159">
        <v>0</v>
      </c>
      <c r="L814" s="2160">
        <f>'[2]ALL BULAN'!E757</f>
        <v>0</v>
      </c>
      <c r="M814" s="4253">
        <f t="shared" si="123"/>
        <v>0</v>
      </c>
      <c r="N814" s="1964">
        <v>0</v>
      </c>
      <c r="O814" s="4254">
        <f t="shared" si="124"/>
        <v>0</v>
      </c>
      <c r="P814" s="4061">
        <v>0</v>
      </c>
      <c r="Q814" s="4839"/>
    </row>
    <row r="815" spans="1:17" s="2070" customFormat="1" ht="6.75" customHeight="1">
      <c r="A815" s="4048"/>
      <c r="B815" s="4048"/>
      <c r="C815" s="4048"/>
      <c r="D815" s="4048"/>
      <c r="E815" s="4048"/>
      <c r="F815" s="4049"/>
      <c r="G815" s="4080"/>
      <c r="H815" s="4151"/>
      <c r="I815" s="4151"/>
      <c r="J815" s="2503"/>
      <c r="K815" s="2504"/>
      <c r="L815" s="2503"/>
      <c r="M815" s="2505"/>
      <c r="N815" s="2503"/>
      <c r="O815" s="2505"/>
      <c r="P815" s="4245"/>
      <c r="Q815" s="4839"/>
    </row>
    <row r="816" spans="1:17" s="2070" customFormat="1" ht="15.05">
      <c r="A816" s="4048"/>
      <c r="B816" s="4048"/>
      <c r="C816" s="4048"/>
      <c r="D816" s="4048"/>
      <c r="E816" s="4048"/>
      <c r="F816" s="4049"/>
      <c r="G816" s="4183" t="s">
        <v>406</v>
      </c>
      <c r="H816" s="4173" t="s">
        <v>407</v>
      </c>
      <c r="I816" s="4173"/>
      <c r="J816" s="4595">
        <v>0</v>
      </c>
      <c r="K816" s="4594">
        <v>0</v>
      </c>
      <c r="L816" s="4595">
        <f>SUM(L818)</f>
        <v>0</v>
      </c>
      <c r="M816" s="4595">
        <f>SUM(K816:L816)</f>
        <v>0</v>
      </c>
      <c r="N816" s="4595">
        <v>0</v>
      </c>
      <c r="O816" s="4519">
        <f>M816-J816</f>
        <v>0</v>
      </c>
      <c r="P816" s="4044">
        <v>0</v>
      </c>
      <c r="Q816" s="4839"/>
    </row>
    <row r="817" spans="1:17" s="2070" customFormat="1" ht="6.75" customHeight="1">
      <c r="A817" s="4048"/>
      <c r="B817" s="4048"/>
      <c r="C817" s="4048"/>
      <c r="D817" s="4048"/>
      <c r="E817" s="4048"/>
      <c r="F817" s="4049"/>
      <c r="G817" s="4036"/>
      <c r="H817" s="4131"/>
      <c r="I817" s="4131"/>
      <c r="J817" s="2499"/>
      <c r="K817" s="2500"/>
      <c r="L817" s="2499"/>
      <c r="M817" s="2501"/>
      <c r="N817" s="2499"/>
      <c r="O817" s="2501"/>
      <c r="P817" s="4244"/>
      <c r="Q817" s="4839"/>
    </row>
    <row r="818" spans="1:17" s="2070" customFormat="1">
      <c r="A818" s="4065">
        <v>4</v>
      </c>
      <c r="B818" s="4065">
        <v>1</v>
      </c>
      <c r="C818" s="4065">
        <v>4</v>
      </c>
      <c r="D818" s="4048"/>
      <c r="E818" s="4048"/>
      <c r="F818" s="4049">
        <v>3</v>
      </c>
      <c r="G818" s="4080"/>
      <c r="H818" s="4068" t="s">
        <v>71</v>
      </c>
      <c r="I818" s="4068"/>
      <c r="J818" s="2466">
        <v>0</v>
      </c>
      <c r="K818" s="2159">
        <v>0</v>
      </c>
      <c r="L818" s="2466">
        <f>SUM(L819:L823)</f>
        <v>0</v>
      </c>
      <c r="M818" s="4253">
        <f t="shared" ref="M818:M823" si="125">SUM(K818:L818)</f>
        <v>0</v>
      </c>
      <c r="N818" s="2466">
        <v>0</v>
      </c>
      <c r="O818" s="4254">
        <f t="shared" ref="O818:O823" si="126">M818-J818</f>
        <v>0</v>
      </c>
      <c r="P818" s="4061">
        <v>0</v>
      </c>
      <c r="Q818" s="4839"/>
    </row>
    <row r="819" spans="1:17" s="2070" customFormat="1">
      <c r="A819" s="4065">
        <v>4</v>
      </c>
      <c r="B819" s="4065">
        <v>1</v>
      </c>
      <c r="C819" s="4065">
        <v>4</v>
      </c>
      <c r="D819" s="4065" t="s">
        <v>441</v>
      </c>
      <c r="E819" s="4048"/>
      <c r="F819" s="4049"/>
      <c r="G819" s="4080"/>
      <c r="H819" s="4131" t="s">
        <v>50</v>
      </c>
      <c r="I819" s="4060" t="s">
        <v>72</v>
      </c>
      <c r="J819" s="1964">
        <v>0</v>
      </c>
      <c r="K819" s="2159">
        <v>0</v>
      </c>
      <c r="L819" s="2160">
        <f>'[2]ALL BULAN'!E762</f>
        <v>0</v>
      </c>
      <c r="M819" s="4253">
        <f t="shared" si="125"/>
        <v>0</v>
      </c>
      <c r="N819" s="1964">
        <v>0</v>
      </c>
      <c r="O819" s="4254">
        <f t="shared" si="126"/>
        <v>0</v>
      </c>
      <c r="P819" s="4061">
        <v>0</v>
      </c>
      <c r="Q819" s="4839"/>
    </row>
    <row r="820" spans="1:17" s="2070" customFormat="1">
      <c r="A820" s="4074">
        <v>4</v>
      </c>
      <c r="B820" s="4074">
        <v>1</v>
      </c>
      <c r="C820" s="4074" t="s">
        <v>443</v>
      </c>
      <c r="D820" s="4074" t="s">
        <v>444</v>
      </c>
      <c r="E820" s="4074" t="s">
        <v>440</v>
      </c>
      <c r="F820" s="4049"/>
      <c r="G820" s="4080"/>
      <c r="H820" s="4131" t="s">
        <v>50</v>
      </c>
      <c r="I820" s="4060" t="s">
        <v>73</v>
      </c>
      <c r="J820" s="1964">
        <v>0</v>
      </c>
      <c r="K820" s="2159">
        <v>0</v>
      </c>
      <c r="L820" s="2160">
        <f>'[2]ALL BULAN'!E763</f>
        <v>0</v>
      </c>
      <c r="M820" s="4253">
        <f t="shared" si="125"/>
        <v>0</v>
      </c>
      <c r="N820" s="1964">
        <v>0</v>
      </c>
      <c r="O820" s="4254">
        <f t="shared" si="126"/>
        <v>0</v>
      </c>
      <c r="P820" s="4061">
        <v>0</v>
      </c>
      <c r="Q820" s="4839"/>
    </row>
    <row r="821" spans="1:17" s="2070" customFormat="1">
      <c r="A821" s="4069">
        <v>4</v>
      </c>
      <c r="B821" s="4069">
        <v>1</v>
      </c>
      <c r="C821" s="4069" t="s">
        <v>443</v>
      </c>
      <c r="D821" s="4069" t="s">
        <v>444</v>
      </c>
      <c r="E821" s="4070" t="s">
        <v>445</v>
      </c>
      <c r="F821" s="4049"/>
      <c r="G821" s="4080"/>
      <c r="H821" s="4131" t="s">
        <v>50</v>
      </c>
      <c r="I821" s="4060" t="s">
        <v>74</v>
      </c>
      <c r="J821" s="1964">
        <v>0</v>
      </c>
      <c r="K821" s="2159">
        <v>0</v>
      </c>
      <c r="L821" s="2160">
        <f>'[2]ALL BULAN'!E764</f>
        <v>0</v>
      </c>
      <c r="M821" s="4253">
        <f t="shared" si="125"/>
        <v>0</v>
      </c>
      <c r="N821" s="1964">
        <v>0</v>
      </c>
      <c r="O821" s="4254">
        <f t="shared" si="126"/>
        <v>0</v>
      </c>
      <c r="P821" s="4061">
        <v>0</v>
      </c>
      <c r="Q821" s="4839"/>
    </row>
    <row r="822" spans="1:17" s="2070" customFormat="1">
      <c r="A822" s="4101">
        <v>4</v>
      </c>
      <c r="B822" s="4101">
        <v>1</v>
      </c>
      <c r="C822" s="4101" t="s">
        <v>443</v>
      </c>
      <c r="D822" s="4101" t="s">
        <v>444</v>
      </c>
      <c r="E822" s="4101" t="s">
        <v>441</v>
      </c>
      <c r="F822" s="4049"/>
      <c r="G822" s="4080"/>
      <c r="H822" s="4060" t="s">
        <v>308</v>
      </c>
      <c r="I822" s="4060" t="s">
        <v>75</v>
      </c>
      <c r="J822" s="1964">
        <v>0</v>
      </c>
      <c r="K822" s="2159">
        <v>0</v>
      </c>
      <c r="L822" s="2160">
        <f>'[2]ALL BULAN'!E765</f>
        <v>0</v>
      </c>
      <c r="M822" s="4253">
        <f t="shared" si="125"/>
        <v>0</v>
      </c>
      <c r="N822" s="1964">
        <v>0</v>
      </c>
      <c r="O822" s="4254">
        <f t="shared" si="126"/>
        <v>0</v>
      </c>
      <c r="P822" s="4061">
        <v>0</v>
      </c>
      <c r="Q822" s="4839"/>
    </row>
    <row r="823" spans="1:17" s="2070" customFormat="1">
      <c r="A823" s="4079">
        <v>4</v>
      </c>
      <c r="B823" s="4079">
        <v>1</v>
      </c>
      <c r="C823" s="4079" t="s">
        <v>443</v>
      </c>
      <c r="D823" s="4079" t="s">
        <v>447</v>
      </c>
      <c r="E823" s="4093" t="s">
        <v>437</v>
      </c>
      <c r="F823" s="4049"/>
      <c r="G823" s="4080"/>
      <c r="H823" s="4181" t="s">
        <v>50</v>
      </c>
      <c r="I823" s="4060" t="s">
        <v>85</v>
      </c>
      <c r="J823" s="1964">
        <v>0</v>
      </c>
      <c r="K823" s="2159">
        <v>0</v>
      </c>
      <c r="L823" s="2160">
        <f>'[2]ALL BULAN'!E766</f>
        <v>0</v>
      </c>
      <c r="M823" s="4253">
        <f t="shared" si="125"/>
        <v>0</v>
      </c>
      <c r="N823" s="1964">
        <v>0</v>
      </c>
      <c r="O823" s="4254">
        <f t="shared" si="126"/>
        <v>0</v>
      </c>
      <c r="P823" s="4061">
        <v>0</v>
      </c>
      <c r="Q823" s="4839"/>
    </row>
    <row r="824" spans="1:17" s="2070" customFormat="1" ht="6.75" customHeight="1">
      <c r="A824" s="4048"/>
      <c r="B824" s="4048"/>
      <c r="C824" s="4048"/>
      <c r="D824" s="4048"/>
      <c r="E824" s="4048"/>
      <c r="F824" s="4049"/>
      <c r="G824" s="4080"/>
      <c r="H824" s="4151"/>
      <c r="I824" s="4151"/>
      <c r="J824" s="2503"/>
      <c r="K824" s="2504"/>
      <c r="L824" s="2503"/>
      <c r="M824" s="2505"/>
      <c r="N824" s="2503"/>
      <c r="O824" s="2505"/>
      <c r="P824" s="4245"/>
      <c r="Q824" s="4839"/>
    </row>
    <row r="825" spans="1:17" s="2070" customFormat="1" ht="15.05">
      <c r="A825" s="4048"/>
      <c r="B825" s="4048"/>
      <c r="C825" s="4048"/>
      <c r="D825" s="4048"/>
      <c r="E825" s="4048"/>
      <c r="F825" s="4049"/>
      <c r="G825" s="4183" t="s">
        <v>408</v>
      </c>
      <c r="H825" s="4173" t="s">
        <v>409</v>
      </c>
      <c r="I825" s="4173"/>
      <c r="J825" s="4595">
        <v>0</v>
      </c>
      <c r="K825" s="4594">
        <v>0</v>
      </c>
      <c r="L825" s="4595">
        <f>L827</f>
        <v>0</v>
      </c>
      <c r="M825" s="4595">
        <f>SUM(K825:L825)</f>
        <v>0</v>
      </c>
      <c r="N825" s="4595">
        <v>0</v>
      </c>
      <c r="O825" s="4519">
        <f>M825-J825</f>
        <v>0</v>
      </c>
      <c r="P825" s="4044">
        <v>0</v>
      </c>
      <c r="Q825" s="4839"/>
    </row>
    <row r="826" spans="1:17" s="2070" customFormat="1" ht="5.95" customHeight="1">
      <c r="A826" s="4048"/>
      <c r="B826" s="4048"/>
      <c r="C826" s="4048"/>
      <c r="D826" s="4048"/>
      <c r="E826" s="4048"/>
      <c r="F826" s="4049"/>
      <c r="G826" s="4036"/>
      <c r="H826" s="4131"/>
      <c r="I826" s="4131"/>
      <c r="J826" s="2499"/>
      <c r="K826" s="2500"/>
      <c r="L826" s="2499"/>
      <c r="M826" s="2501"/>
      <c r="N826" s="2499"/>
      <c r="O826" s="2501"/>
      <c r="P826" s="4244"/>
      <c r="Q826" s="4839"/>
    </row>
    <row r="827" spans="1:17" s="2070" customFormat="1">
      <c r="A827" s="4065">
        <v>4</v>
      </c>
      <c r="B827" s="4065">
        <v>1</v>
      </c>
      <c r="C827" s="4065">
        <v>4</v>
      </c>
      <c r="D827" s="4048"/>
      <c r="E827" s="4048"/>
      <c r="F827" s="4049">
        <v>3</v>
      </c>
      <c r="G827" s="4080"/>
      <c r="H827" s="4068" t="s">
        <v>71</v>
      </c>
      <c r="I827" s="4068"/>
      <c r="J827" s="2466">
        <v>0</v>
      </c>
      <c r="K827" s="2159">
        <v>0</v>
      </c>
      <c r="L827" s="2466">
        <f>SUM(L828:L832)</f>
        <v>0</v>
      </c>
      <c r="M827" s="4253">
        <f t="shared" ref="M827:M832" si="127">SUM(K827:L827)</f>
        <v>0</v>
      </c>
      <c r="N827" s="2466">
        <v>0</v>
      </c>
      <c r="O827" s="4254">
        <f t="shared" ref="O827:O832" si="128">M827-J827</f>
        <v>0</v>
      </c>
      <c r="P827" s="4061">
        <v>0</v>
      </c>
      <c r="Q827" s="4839"/>
    </row>
    <row r="828" spans="1:17" s="2070" customFormat="1">
      <c r="A828" s="4065">
        <v>4</v>
      </c>
      <c r="B828" s="4065">
        <v>1</v>
      </c>
      <c r="C828" s="4065">
        <v>4</v>
      </c>
      <c r="D828" s="4065" t="s">
        <v>441</v>
      </c>
      <c r="E828" s="4048"/>
      <c r="F828" s="4049"/>
      <c r="G828" s="4080"/>
      <c r="H828" s="4131" t="s">
        <v>50</v>
      </c>
      <c r="I828" s="4060" t="s">
        <v>72</v>
      </c>
      <c r="J828" s="1964">
        <v>0</v>
      </c>
      <c r="K828" s="2159">
        <v>0</v>
      </c>
      <c r="L828" s="2160">
        <f>'[2]ALL BULAN'!E771</f>
        <v>0</v>
      </c>
      <c r="M828" s="4253">
        <f t="shared" si="127"/>
        <v>0</v>
      </c>
      <c r="N828" s="1964">
        <v>0</v>
      </c>
      <c r="O828" s="4254">
        <f t="shared" si="128"/>
        <v>0</v>
      </c>
      <c r="P828" s="4061">
        <v>0</v>
      </c>
      <c r="Q828" s="4839"/>
    </row>
    <row r="829" spans="1:17" s="2070" customFormat="1">
      <c r="A829" s="4074">
        <v>4</v>
      </c>
      <c r="B829" s="4074">
        <v>1</v>
      </c>
      <c r="C829" s="4074" t="s">
        <v>443</v>
      </c>
      <c r="D829" s="4074" t="s">
        <v>444</v>
      </c>
      <c r="E829" s="4074" t="s">
        <v>440</v>
      </c>
      <c r="F829" s="4049"/>
      <c r="G829" s="4080"/>
      <c r="H829" s="4131" t="s">
        <v>50</v>
      </c>
      <c r="I829" s="4060" t="s">
        <v>73</v>
      </c>
      <c r="J829" s="1964">
        <v>0</v>
      </c>
      <c r="K829" s="2159">
        <v>0</v>
      </c>
      <c r="L829" s="2160">
        <f>'[2]ALL BULAN'!E772</f>
        <v>0</v>
      </c>
      <c r="M829" s="4253">
        <f t="shared" si="127"/>
        <v>0</v>
      </c>
      <c r="N829" s="1964">
        <v>0</v>
      </c>
      <c r="O829" s="4254">
        <f t="shared" si="128"/>
        <v>0</v>
      </c>
      <c r="P829" s="4061">
        <v>0</v>
      </c>
      <c r="Q829" s="4839"/>
    </row>
    <row r="830" spans="1:17" s="2070" customFormat="1">
      <c r="A830" s="4069">
        <v>4</v>
      </c>
      <c r="B830" s="4069">
        <v>1</v>
      </c>
      <c r="C830" s="4069" t="s">
        <v>443</v>
      </c>
      <c r="D830" s="4069" t="s">
        <v>444</v>
      </c>
      <c r="E830" s="4070" t="s">
        <v>445</v>
      </c>
      <c r="F830" s="4049"/>
      <c r="G830" s="4080"/>
      <c r="H830" s="4131" t="s">
        <v>50</v>
      </c>
      <c r="I830" s="4060" t="s">
        <v>74</v>
      </c>
      <c r="J830" s="1964">
        <v>0</v>
      </c>
      <c r="K830" s="2159">
        <v>0</v>
      </c>
      <c r="L830" s="2160">
        <f>'[2]ALL BULAN'!E773</f>
        <v>0</v>
      </c>
      <c r="M830" s="4253">
        <f t="shared" si="127"/>
        <v>0</v>
      </c>
      <c r="N830" s="1964">
        <v>0</v>
      </c>
      <c r="O830" s="4254">
        <f t="shared" si="128"/>
        <v>0</v>
      </c>
      <c r="P830" s="4061">
        <v>0</v>
      </c>
      <c r="Q830" s="4839"/>
    </row>
    <row r="831" spans="1:17" s="2070" customFormat="1">
      <c r="A831" s="4101">
        <v>4</v>
      </c>
      <c r="B831" s="4101">
        <v>1</v>
      </c>
      <c r="C831" s="4101" t="s">
        <v>443</v>
      </c>
      <c r="D831" s="4101" t="s">
        <v>444</v>
      </c>
      <c r="E831" s="4101" t="s">
        <v>441</v>
      </c>
      <c r="F831" s="4049"/>
      <c r="G831" s="4080"/>
      <c r="H831" s="4060" t="s">
        <v>308</v>
      </c>
      <c r="I831" s="4060" t="s">
        <v>75</v>
      </c>
      <c r="J831" s="1964">
        <v>0</v>
      </c>
      <c r="K831" s="2159">
        <v>0</v>
      </c>
      <c r="L831" s="2160">
        <f>'[2]ALL BULAN'!E774</f>
        <v>0</v>
      </c>
      <c r="M831" s="4253">
        <f t="shared" si="127"/>
        <v>0</v>
      </c>
      <c r="N831" s="1964">
        <v>0</v>
      </c>
      <c r="O831" s="4254">
        <f t="shared" si="128"/>
        <v>0</v>
      </c>
      <c r="P831" s="4061">
        <v>0</v>
      </c>
      <c r="Q831" s="4839"/>
    </row>
    <row r="832" spans="1:17" s="2070" customFormat="1">
      <c r="A832" s="4079">
        <v>4</v>
      </c>
      <c r="B832" s="4079">
        <v>1</v>
      </c>
      <c r="C832" s="4079" t="s">
        <v>443</v>
      </c>
      <c r="D832" s="4079" t="s">
        <v>447</v>
      </c>
      <c r="E832" s="4093" t="s">
        <v>437</v>
      </c>
      <c r="F832" s="4049"/>
      <c r="G832" s="4080"/>
      <c r="H832" s="4181" t="s">
        <v>50</v>
      </c>
      <c r="I832" s="4060" t="s">
        <v>85</v>
      </c>
      <c r="J832" s="1964">
        <v>0</v>
      </c>
      <c r="K832" s="2159">
        <v>0</v>
      </c>
      <c r="L832" s="2160">
        <f>'[2]ALL BULAN'!E775</f>
        <v>0</v>
      </c>
      <c r="M832" s="4253">
        <f t="shared" si="127"/>
        <v>0</v>
      </c>
      <c r="N832" s="1964">
        <v>0</v>
      </c>
      <c r="O832" s="4254">
        <f t="shared" si="128"/>
        <v>0</v>
      </c>
      <c r="P832" s="4061">
        <v>0</v>
      </c>
      <c r="Q832" s="4839"/>
    </row>
    <row r="833" spans="1:17" s="2070" customFormat="1" ht="6.75" customHeight="1">
      <c r="A833" s="4048"/>
      <c r="B833" s="4048"/>
      <c r="C833" s="4048"/>
      <c r="D833" s="4048"/>
      <c r="E833" s="4048"/>
      <c r="F833" s="4049"/>
      <c r="G833" s="4080"/>
      <c r="H833" s="4151"/>
      <c r="I833" s="4151"/>
      <c r="J833" s="2503"/>
      <c r="K833" s="2504"/>
      <c r="L833" s="2503"/>
      <c r="M833" s="2505"/>
      <c r="N833" s="2505"/>
      <c r="O833" s="2505"/>
      <c r="P833" s="4245"/>
      <c r="Q833" s="4839"/>
    </row>
    <row r="834" spans="1:17" s="2070" customFormat="1" ht="15.05">
      <c r="A834" s="4048"/>
      <c r="B834" s="4048"/>
      <c r="C834" s="4048"/>
      <c r="D834" s="4048"/>
      <c r="E834" s="4048"/>
      <c r="F834" s="4049"/>
      <c r="G834" s="4183" t="s">
        <v>410</v>
      </c>
      <c r="H834" s="4173" t="s">
        <v>411</v>
      </c>
      <c r="I834" s="4173"/>
      <c r="J834" s="4595">
        <f>J835</f>
        <v>0</v>
      </c>
      <c r="K834" s="4594">
        <v>9495000</v>
      </c>
      <c r="L834" s="4595">
        <f>L835+L839</f>
        <v>15445000</v>
      </c>
      <c r="M834" s="4595">
        <f t="shared" ref="M834:M844" si="129">SUM(K834:L834)</f>
        <v>24940000</v>
      </c>
      <c r="N834" s="4596">
        <f>N837</f>
        <v>75000000</v>
      </c>
      <c r="O834" s="4519">
        <f>N834-J834</f>
        <v>75000000</v>
      </c>
      <c r="P834" s="4044">
        <v>0</v>
      </c>
      <c r="Q834" s="4839"/>
    </row>
    <row r="835" spans="1:17" s="2070" customFormat="1">
      <c r="A835" s="4048"/>
      <c r="B835" s="4048"/>
      <c r="C835" s="4048"/>
      <c r="D835" s="4048"/>
      <c r="E835" s="4048"/>
      <c r="F835" s="4049">
        <v>1</v>
      </c>
      <c r="G835" s="4036"/>
      <c r="H835" s="4037" t="s">
        <v>412</v>
      </c>
      <c r="I835" s="4056"/>
      <c r="J835" s="2501">
        <f>J836</f>
        <v>0</v>
      </c>
      <c r="K835" s="2159">
        <v>9495000</v>
      </c>
      <c r="L835" s="2499">
        <f>L836</f>
        <v>15445000</v>
      </c>
      <c r="M835" s="4253">
        <f t="shared" si="129"/>
        <v>24940000</v>
      </c>
      <c r="N835" s="4253">
        <f>N836</f>
        <v>75000000</v>
      </c>
      <c r="O835" s="4254">
        <f>O836</f>
        <v>75000000</v>
      </c>
      <c r="P835" s="4061">
        <v>0</v>
      </c>
      <c r="Q835" s="4839"/>
    </row>
    <row r="836" spans="1:17" s="2070" customFormat="1">
      <c r="A836" s="4046">
        <v>4</v>
      </c>
      <c r="B836" s="4046">
        <v>1</v>
      </c>
      <c r="C836" s="4046">
        <v>2</v>
      </c>
      <c r="D836" s="4047" t="s">
        <v>438</v>
      </c>
      <c r="E836" s="4128"/>
      <c r="F836" s="4049"/>
      <c r="G836" s="4080"/>
      <c r="H836" s="4056" t="s">
        <v>109</v>
      </c>
      <c r="I836" s="4056"/>
      <c r="J836" s="2465">
        <f>J837</f>
        <v>0</v>
      </c>
      <c r="K836" s="2159">
        <v>9495000</v>
      </c>
      <c r="L836" s="2466">
        <f>L837</f>
        <v>15445000</v>
      </c>
      <c r="M836" s="4253">
        <f t="shared" si="129"/>
        <v>24940000</v>
      </c>
      <c r="N836" s="4253">
        <f>N837</f>
        <v>75000000</v>
      </c>
      <c r="O836" s="4254">
        <f>O837</f>
        <v>75000000</v>
      </c>
      <c r="P836" s="4061">
        <v>0</v>
      </c>
      <c r="Q836" s="4839"/>
    </row>
    <row r="837" spans="1:17" s="2070" customFormat="1">
      <c r="A837" s="4046">
        <v>4</v>
      </c>
      <c r="B837" s="4046">
        <v>1</v>
      </c>
      <c r="C837" s="4046">
        <v>2</v>
      </c>
      <c r="D837" s="4047" t="s">
        <v>438</v>
      </c>
      <c r="E837" s="4093" t="s">
        <v>437</v>
      </c>
      <c r="F837" s="4049"/>
      <c r="G837" s="4080"/>
      <c r="H837" s="4234" t="s">
        <v>50</v>
      </c>
      <c r="I837" s="4126" t="s">
        <v>413</v>
      </c>
      <c r="J837" s="1964">
        <v>0</v>
      </c>
      <c r="K837" s="2159">
        <v>9495000</v>
      </c>
      <c r="L837" s="2160">
        <f>8070000+6875000+500000</f>
        <v>15445000</v>
      </c>
      <c r="M837" s="4253">
        <f t="shared" si="129"/>
        <v>24940000</v>
      </c>
      <c r="N837" s="4248">
        <v>75000000</v>
      </c>
      <c r="O837" s="4254">
        <f>N837-J837</f>
        <v>75000000</v>
      </c>
      <c r="P837" s="4061">
        <v>0</v>
      </c>
      <c r="Q837" s="4839"/>
    </row>
    <row r="838" spans="1:17" s="2070" customFormat="1" ht="5.95" customHeight="1">
      <c r="A838" s="4048"/>
      <c r="B838" s="4048"/>
      <c r="C838" s="4048"/>
      <c r="D838" s="4048"/>
      <c r="E838" s="4048"/>
      <c r="F838" s="4049"/>
      <c r="G838" s="4080"/>
      <c r="H838" s="4151"/>
      <c r="I838" s="4151"/>
      <c r="J838" s="2466"/>
      <c r="K838" s="2159">
        <v>0</v>
      </c>
      <c r="L838" s="2466"/>
      <c r="M838" s="4253">
        <f t="shared" si="129"/>
        <v>0</v>
      </c>
      <c r="N838" s="4253"/>
      <c r="O838" s="4254">
        <f t="shared" ref="O838:O844" si="130">M838-J838</f>
        <v>0</v>
      </c>
      <c r="P838" s="4061">
        <f>O838-K838</f>
        <v>0</v>
      </c>
      <c r="Q838" s="4839"/>
    </row>
    <row r="839" spans="1:17" s="2070" customFormat="1">
      <c r="A839" s="4065">
        <v>4</v>
      </c>
      <c r="B839" s="4065">
        <v>1</v>
      </c>
      <c r="C839" s="4065">
        <v>4</v>
      </c>
      <c r="D839" s="4048"/>
      <c r="E839" s="4048"/>
      <c r="F839" s="4049">
        <v>3</v>
      </c>
      <c r="G839" s="4080"/>
      <c r="H839" s="4068" t="s">
        <v>71</v>
      </c>
      <c r="I839" s="4068"/>
      <c r="J839" s="2466">
        <v>0</v>
      </c>
      <c r="K839" s="2159">
        <v>0</v>
      </c>
      <c r="L839" s="2466">
        <f>SUM(L840:L844)</f>
        <v>0</v>
      </c>
      <c r="M839" s="4253">
        <f t="shared" si="129"/>
        <v>0</v>
      </c>
      <c r="N839" s="4253"/>
      <c r="O839" s="4254">
        <f t="shared" si="130"/>
        <v>0</v>
      </c>
      <c r="P839" s="4061">
        <v>0</v>
      </c>
      <c r="Q839" s="4839"/>
    </row>
    <row r="840" spans="1:17" s="2070" customFormat="1">
      <c r="A840" s="4065">
        <v>4</v>
      </c>
      <c r="B840" s="4065">
        <v>1</v>
      </c>
      <c r="C840" s="4065">
        <v>4</v>
      </c>
      <c r="D840" s="4065" t="s">
        <v>441</v>
      </c>
      <c r="E840" s="4048"/>
      <c r="F840" s="4049"/>
      <c r="G840" s="4080"/>
      <c r="H840" s="4131" t="s">
        <v>50</v>
      </c>
      <c r="I840" s="4060" t="s">
        <v>72</v>
      </c>
      <c r="J840" s="1964">
        <v>0</v>
      </c>
      <c r="K840" s="2159">
        <v>0</v>
      </c>
      <c r="L840" s="2160">
        <f>'[2]ALL BULAN'!E783</f>
        <v>0</v>
      </c>
      <c r="M840" s="4253">
        <f t="shared" si="129"/>
        <v>0</v>
      </c>
      <c r="N840" s="4253"/>
      <c r="O840" s="4254">
        <f t="shared" si="130"/>
        <v>0</v>
      </c>
      <c r="P840" s="4061">
        <v>0</v>
      </c>
      <c r="Q840" s="4839"/>
    </row>
    <row r="841" spans="1:17" s="2070" customFormat="1">
      <c r="A841" s="4074">
        <v>4</v>
      </c>
      <c r="B841" s="4074">
        <v>1</v>
      </c>
      <c r="C841" s="4074" t="s">
        <v>443</v>
      </c>
      <c r="D841" s="4074" t="s">
        <v>444</v>
      </c>
      <c r="E841" s="4074" t="s">
        <v>440</v>
      </c>
      <c r="F841" s="4049"/>
      <c r="G841" s="4080"/>
      <c r="H841" s="4131" t="s">
        <v>50</v>
      </c>
      <c r="I841" s="4060" t="s">
        <v>73</v>
      </c>
      <c r="J841" s="1964">
        <v>0</v>
      </c>
      <c r="K841" s="2159">
        <v>0</v>
      </c>
      <c r="L841" s="2160">
        <f>'[2]ALL BULAN'!E784</f>
        <v>0</v>
      </c>
      <c r="M841" s="4253">
        <f t="shared" si="129"/>
        <v>0</v>
      </c>
      <c r="N841" s="4253"/>
      <c r="O841" s="4254">
        <f t="shared" si="130"/>
        <v>0</v>
      </c>
      <c r="P841" s="4061">
        <v>0</v>
      </c>
      <c r="Q841" s="4839"/>
    </row>
    <row r="842" spans="1:17" s="2070" customFormat="1">
      <c r="A842" s="4069">
        <v>4</v>
      </c>
      <c r="B842" s="4069">
        <v>1</v>
      </c>
      <c r="C842" s="4069" t="s">
        <v>443</v>
      </c>
      <c r="D842" s="4069" t="s">
        <v>444</v>
      </c>
      <c r="E842" s="4070" t="s">
        <v>445</v>
      </c>
      <c r="F842" s="4049"/>
      <c r="G842" s="4080"/>
      <c r="H842" s="4131" t="s">
        <v>50</v>
      </c>
      <c r="I842" s="4060" t="s">
        <v>74</v>
      </c>
      <c r="J842" s="1964">
        <v>0</v>
      </c>
      <c r="K842" s="2159">
        <v>0</v>
      </c>
      <c r="L842" s="2160">
        <f>'[2]ALL BULAN'!E785</f>
        <v>0</v>
      </c>
      <c r="M842" s="4253">
        <f t="shared" si="129"/>
        <v>0</v>
      </c>
      <c r="N842" s="4253"/>
      <c r="O842" s="4254">
        <f t="shared" si="130"/>
        <v>0</v>
      </c>
      <c r="P842" s="4061">
        <v>0</v>
      </c>
      <c r="Q842" s="4839"/>
    </row>
    <row r="843" spans="1:17" s="2070" customFormat="1">
      <c r="A843" s="4101">
        <v>4</v>
      </c>
      <c r="B843" s="4101">
        <v>1</v>
      </c>
      <c r="C843" s="4101" t="s">
        <v>443</v>
      </c>
      <c r="D843" s="4101" t="s">
        <v>444</v>
      </c>
      <c r="E843" s="4101" t="s">
        <v>441</v>
      </c>
      <c r="F843" s="4049"/>
      <c r="G843" s="4080"/>
      <c r="H843" s="4060" t="s">
        <v>308</v>
      </c>
      <c r="I843" s="4060" t="s">
        <v>75</v>
      </c>
      <c r="J843" s="1964">
        <v>0</v>
      </c>
      <c r="K843" s="2159">
        <v>0</v>
      </c>
      <c r="L843" s="2160">
        <f>'[2]ALL BULAN'!E786</f>
        <v>0</v>
      </c>
      <c r="M843" s="4253">
        <f t="shared" si="129"/>
        <v>0</v>
      </c>
      <c r="N843" s="4253"/>
      <c r="O843" s="4254">
        <f t="shared" si="130"/>
        <v>0</v>
      </c>
      <c r="P843" s="4061">
        <v>0</v>
      </c>
      <c r="Q843" s="4839"/>
    </row>
    <row r="844" spans="1:17" s="2070" customFormat="1">
      <c r="A844" s="4079">
        <v>4</v>
      </c>
      <c r="B844" s="4079">
        <v>1</v>
      </c>
      <c r="C844" s="4079" t="s">
        <v>443</v>
      </c>
      <c r="D844" s="4079" t="s">
        <v>447</v>
      </c>
      <c r="E844" s="4093" t="s">
        <v>437</v>
      </c>
      <c r="F844" s="4049"/>
      <c r="G844" s="4080"/>
      <c r="H844" s="4181" t="s">
        <v>50</v>
      </c>
      <c r="I844" s="4060" t="s">
        <v>85</v>
      </c>
      <c r="J844" s="1964">
        <v>0</v>
      </c>
      <c r="K844" s="2159">
        <v>0</v>
      </c>
      <c r="L844" s="2160">
        <f>'[2]ALL BULAN'!E787</f>
        <v>0</v>
      </c>
      <c r="M844" s="4253">
        <f t="shared" si="129"/>
        <v>0</v>
      </c>
      <c r="N844" s="4253"/>
      <c r="O844" s="4254">
        <f t="shared" si="130"/>
        <v>0</v>
      </c>
      <c r="P844" s="4061">
        <v>0</v>
      </c>
      <c r="Q844" s="4839"/>
    </row>
    <row r="845" spans="1:17" s="2070" customFormat="1" ht="7.55" customHeight="1">
      <c r="G845" s="4102"/>
      <c r="J845" s="4548"/>
      <c r="K845" s="4548"/>
      <c r="L845" s="4548"/>
      <c r="M845" s="4549"/>
      <c r="N845" s="4549"/>
      <c r="O845" s="4549"/>
      <c r="P845" s="4172"/>
      <c r="Q845" s="4839"/>
    </row>
    <row r="846" spans="1:17" s="2070" customFormat="1" ht="21.8" customHeight="1">
      <c r="G846" s="5763" t="s">
        <v>414</v>
      </c>
      <c r="H846" s="5764"/>
      <c r="I846" s="5765"/>
      <c r="J846" s="4597">
        <f>J8</f>
        <v>4791397359569</v>
      </c>
      <c r="K846" s="4597">
        <f>K834+K825+K816+K807+K798+K789+K780+K771+K758+K725+K717+K693+K667+K659+K651+K628+K535+K524+K516+K443+K366+K358+K350+K330+K322+K314+K305+K297+K282+K272+K265+K257+K237+K214+K196+K182+K169+K154+K146+K129+K116+K104+K91+K78+K66+K54+K43+K31+K10</f>
        <v>637482475549.53003</v>
      </c>
      <c r="L846" s="4597">
        <f>L834+L825+L816+L807+L798+L789+L780+L771+L758+L725+L717+L693+L667+L659+L651+L628+L535+L524+L516+L443+L366+L358+L350+L330+L322+L314+L305+L297+L282+L272+L265+L257+L237+L214+L196+L182+L169+L154+L146+L129+L116+L104+L91+L78+L66+L54+L43+L31+L10</f>
        <v>274594075735.19</v>
      </c>
      <c r="M846" s="4597">
        <f>M834+M825+M816+M807+M798+M789+M780+M771+M758+M725+M717+M693+M667+M659+M651+M628+M535+M524+M516+M443+M366+M358+M350+M330+M322+M314+M305+M297+M282+M272+M265+M257+M237+M214+M196+M182+M169+M154+M146+M129+M116+M104+M91+M78+M66+M54+M43+M31+M10</f>
        <v>912076551284.72009</v>
      </c>
      <c r="N846" s="4598" t="e">
        <f>N8</f>
        <v>#REF!</v>
      </c>
      <c r="O846" s="4603" t="e">
        <f>N846-J846</f>
        <v>#REF!</v>
      </c>
      <c r="P846" s="4246" t="e">
        <f>O846/J846*100</f>
        <v>#REF!</v>
      </c>
      <c r="Q846" s="4839"/>
    </row>
    <row r="847" spans="1:17">
      <c r="J847" s="5306">
        <f>J472</f>
        <v>67264821900</v>
      </c>
      <c r="K847" s="5307"/>
      <c r="L847" s="5307"/>
      <c r="M847" s="5308"/>
      <c r="N847" s="5309">
        <f>N472</f>
        <v>85598457900</v>
      </c>
      <c r="O847" s="5308"/>
    </row>
    <row r="848" spans="1:17">
      <c r="J848" s="5306">
        <f>J443</f>
        <v>3222521202310</v>
      </c>
      <c r="K848" s="5307"/>
      <c r="L848" s="5307"/>
      <c r="M848" s="5308"/>
      <c r="N848" s="5309" t="e">
        <f>N443</f>
        <v>#REF!</v>
      </c>
      <c r="O848" s="5308"/>
    </row>
    <row r="849" spans="1:18">
      <c r="J849" s="5306">
        <f>SUM(J847:J848)</f>
        <v>3289786024210</v>
      </c>
      <c r="K849" s="5307" t="s">
        <v>469</v>
      </c>
      <c r="L849" s="5310">
        <f>L835+L760+L727+L694+L668+L629+L525+L368+L283+L238+L215+L197+L183+L170+L155+L130+L79+L55+L44+L32+L11</f>
        <v>1497724200</v>
      </c>
      <c r="M849" s="5308"/>
      <c r="N849" s="5309" t="e">
        <f>N9</f>
        <v>#REF!</v>
      </c>
      <c r="O849" s="5308">
        <v>1534922590076</v>
      </c>
    </row>
    <row r="850" spans="1:18">
      <c r="J850" s="5306">
        <f>J8</f>
        <v>4791397359569</v>
      </c>
      <c r="K850" s="5307" t="s">
        <v>470</v>
      </c>
      <c r="L850" s="5310">
        <f>+L839+L827+L818+L809+L800+L791+L782+L773+L764+L751+L718+L711+L686+L660+L652+L642+L567+L528+L517+L397+L359+L351+L331+L323+L315+L306+L298+L290+L273+L266+L258+L246+L223+L204+L189+L175+L161+L147+L139+L118+L106+L93+L84+L67+L59+L47+L35+L21+L11</f>
        <v>19590309935.189999</v>
      </c>
      <c r="M850" s="5308"/>
      <c r="N850" s="5311" t="e">
        <f>SUM(N849-'KOM sementara'!P10)</f>
        <v>#REF!</v>
      </c>
      <c r="O850" s="5308"/>
    </row>
    <row r="851" spans="1:18">
      <c r="J851" s="5306">
        <f>SUM(J850-J849)</f>
        <v>1501611335359</v>
      </c>
      <c r="K851" s="5307"/>
      <c r="L851" s="5310">
        <f>L850-[2]KOM!N196</f>
        <v>353236707.99999619</v>
      </c>
      <c r="M851" s="5308"/>
      <c r="N851" s="5308"/>
      <c r="O851" s="5308"/>
    </row>
    <row r="853" spans="1:18">
      <c r="K853" s="4600" t="s">
        <v>471</v>
      </c>
      <c r="L853" s="4601">
        <f>+L843+L831+L822+L813+L804+L795+L786+L777+L768+L755+L722+L714+L689+L663+L655+L645+L597+L532+L521+L426+L363+L355+L335+L327+L319+L310+L302+L294+L277+L270+L262+L250+L227+L208+L193+L179+L166+L151+L143+L126+L113+L101+L88+L75+L63+L51+L39+L25</f>
        <v>9346050</v>
      </c>
    </row>
    <row r="854" spans="1:18">
      <c r="K854" s="4600" t="s">
        <v>472</v>
      </c>
      <c r="L854" s="4601">
        <f>+L844+L832+L823+L814+L805+L796+L787+L778+L769+L756+L723+L715+L664+L657+L533+L522+L364+L356+L336+L328+L320+L311+L303+L295+L278+L271+L263+L228+L209+L194+L180+L167+L152+L144+L127+L114+L102+L89+L76+L64+L52+L41+L27</f>
        <v>1535000</v>
      </c>
    </row>
    <row r="855" spans="1:18" s="4247" customFormat="1">
      <c r="A855"/>
      <c r="B855"/>
      <c r="C855"/>
      <c r="D855"/>
      <c r="E855"/>
      <c r="F855"/>
      <c r="G855"/>
      <c r="H855"/>
      <c r="I855"/>
      <c r="J855" s="4599"/>
      <c r="K855" s="4600"/>
      <c r="L855" s="4601">
        <f>L854-[2]KOM!N393</f>
        <v>-26695620000</v>
      </c>
      <c r="M855" s="2081"/>
      <c r="N855" s="2081"/>
      <c r="O855" s="2081"/>
      <c r="Q855" s="4853"/>
      <c r="R855"/>
    </row>
    <row r="856" spans="1:18" s="4247" customFormat="1">
      <c r="A856"/>
      <c r="B856"/>
      <c r="C856"/>
      <c r="D856"/>
      <c r="E856"/>
      <c r="F856"/>
      <c r="G856"/>
      <c r="H856"/>
      <c r="I856"/>
      <c r="J856" s="4599"/>
      <c r="K856" s="4600"/>
      <c r="L856" s="4601">
        <f>L851+L855</f>
        <v>-26342383292.000004</v>
      </c>
      <c r="M856" s="2081"/>
      <c r="N856" s="2081"/>
      <c r="O856" s="2081"/>
      <c r="Q856" s="4853"/>
      <c r="R856"/>
    </row>
  </sheetData>
  <autoFilter ref="K11:M846"/>
  <mergeCells count="14">
    <mergeCell ref="A4:D5"/>
    <mergeCell ref="G2:P2"/>
    <mergeCell ref="G4:G5"/>
    <mergeCell ref="H4:I5"/>
    <mergeCell ref="J4:J5"/>
    <mergeCell ref="K4:M4"/>
    <mergeCell ref="N4:N5"/>
    <mergeCell ref="O4:O5"/>
    <mergeCell ref="P4:P5"/>
    <mergeCell ref="H6:I6"/>
    <mergeCell ref="A8:F8"/>
    <mergeCell ref="H614:I614"/>
    <mergeCell ref="H625:I625"/>
    <mergeCell ref="G846:I846"/>
  </mergeCells>
  <printOptions horizontalCentered="1"/>
  <pageMargins left="0.15748031496062992" right="0.19685039370078741" top="0.78740157480314965" bottom="0.39370078740157483" header="0.31496062992125984" footer="0.31496062992125984"/>
  <pageSetup paperSize="9" scale="84" orientation="landscape" r:id="rId1"/>
  <rowBreaks count="3" manualBreakCount="3">
    <brk id="446" max="15" man="1"/>
    <brk id="476" max="15" man="1"/>
    <brk id="846" max="15" man="1"/>
  </row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AE730"/>
  <sheetViews>
    <sheetView view="pageBreakPreview" topLeftCell="D1" zoomScaleNormal="90" zoomScaleSheetLayoutView="100" workbookViewId="0">
      <pane ySplit="6" topLeftCell="A214" activePane="bottomLeft" state="frozen"/>
      <selection pane="bottomLeft" activeCell="P222" sqref="P222"/>
    </sheetView>
  </sheetViews>
  <sheetFormatPr defaultColWidth="9.109375" defaultRowHeight="13.15"/>
  <cols>
    <col min="1" max="2" width="3.44140625" style="1843" customWidth="1"/>
    <col min="3" max="5" width="3.44140625" style="1844" customWidth="1"/>
    <col min="6" max="6" width="2.5546875" style="1845" customWidth="1"/>
    <col min="7" max="7" width="2.109375" style="1845" customWidth="1"/>
    <col min="8" max="8" width="20.6640625" style="1844" customWidth="1"/>
    <col min="9" max="9" width="19.5546875" style="1844" customWidth="1"/>
    <col min="10" max="10" width="22.5546875" style="1844" hidden="1" customWidth="1"/>
    <col min="11" max="11" width="22.44140625" style="1844" hidden="1" customWidth="1"/>
    <col min="12" max="12" width="22.5546875" style="1844" customWidth="1"/>
    <col min="13" max="13" width="20.33203125" style="1844" hidden="1" customWidth="1"/>
    <col min="14" max="14" width="20.109375" style="1844" hidden="1" customWidth="1"/>
    <col min="15" max="15" width="22.109375" style="1844" hidden="1" customWidth="1"/>
    <col min="16" max="16" width="22.44140625" style="1844" customWidth="1"/>
    <col min="17" max="17" width="21.44140625" style="1844" customWidth="1"/>
    <col min="18" max="18" width="8" style="3649" customWidth="1"/>
    <col min="19" max="19" width="18" style="2883" bestFit="1" customWidth="1"/>
    <col min="20" max="20" width="21" style="2883" bestFit="1" customWidth="1"/>
    <col min="21" max="21" width="7.44140625" style="1844" customWidth="1"/>
    <col min="22" max="22" width="21.6640625" style="1846" customWidth="1"/>
    <col min="23" max="23" width="20.33203125" style="1844" customWidth="1"/>
    <col min="24" max="16384" width="9.109375" style="1844"/>
  </cols>
  <sheetData>
    <row r="1" spans="1:22" s="1831" customFormat="1" ht="9.6999999999999993" customHeight="1">
      <c r="A1" s="1847"/>
      <c r="B1" s="1847"/>
      <c r="C1" s="1840"/>
      <c r="D1" s="1840"/>
      <c r="E1" s="1840"/>
      <c r="F1" s="1848"/>
      <c r="G1" s="1848"/>
      <c r="H1" s="1840"/>
      <c r="I1" s="1840"/>
      <c r="J1" s="1840"/>
      <c r="K1" s="1840"/>
      <c r="L1" s="1840"/>
      <c r="M1" s="1840"/>
      <c r="N1" s="1840"/>
      <c r="O1" s="1840"/>
      <c r="P1" s="1840"/>
      <c r="Q1" s="1840"/>
      <c r="R1" s="3596"/>
      <c r="S1" s="2990"/>
      <c r="T1" s="2990"/>
      <c r="U1" s="1840"/>
      <c r="V1" s="1846"/>
    </row>
    <row r="2" spans="1:22" ht="18" customHeight="1">
      <c r="A2" s="5785" t="s">
        <v>1182</v>
      </c>
      <c r="B2" s="5785"/>
      <c r="C2" s="5785"/>
      <c r="D2" s="5785"/>
      <c r="E2" s="5785"/>
      <c r="F2" s="5785"/>
      <c r="G2" s="5785"/>
      <c r="H2" s="5785"/>
      <c r="I2" s="5785"/>
      <c r="J2" s="5785"/>
      <c r="K2" s="5785"/>
      <c r="L2" s="5785"/>
      <c r="M2" s="5785"/>
      <c r="N2" s="5785"/>
      <c r="O2" s="5785"/>
      <c r="P2" s="5785"/>
      <c r="Q2" s="5785"/>
      <c r="R2" s="5785"/>
      <c r="S2" s="3891"/>
      <c r="T2" s="3891"/>
      <c r="U2" s="3891"/>
    </row>
    <row r="3" spans="1:22" ht="18" customHeight="1">
      <c r="B3" s="1849"/>
      <c r="C3" s="1849"/>
      <c r="D3" s="1849"/>
      <c r="E3" s="1849"/>
      <c r="F3" s="1849"/>
      <c r="G3" s="1849"/>
      <c r="H3" s="1840"/>
      <c r="I3" s="1864"/>
      <c r="J3" s="1864"/>
      <c r="K3" s="1864"/>
      <c r="L3" s="1849"/>
      <c r="M3" s="1865"/>
      <c r="N3" s="1849"/>
      <c r="O3" s="1849"/>
      <c r="P3" s="1849"/>
      <c r="Q3" s="1849"/>
      <c r="R3" s="3597"/>
      <c r="S3" s="2991"/>
      <c r="T3" s="2991"/>
      <c r="U3" s="1849"/>
    </row>
    <row r="4" spans="1:22" ht="18" customHeight="1">
      <c r="A4" s="1850" t="s">
        <v>473</v>
      </c>
      <c r="B4" s="1847"/>
      <c r="C4" s="1847"/>
      <c r="D4" s="1847"/>
      <c r="E4" s="1847"/>
      <c r="F4" s="1840"/>
      <c r="G4" s="1840"/>
      <c r="H4" s="1840"/>
      <c r="I4" s="1840"/>
      <c r="J4" s="1840"/>
      <c r="K4" s="1840"/>
      <c r="L4" s="1866"/>
      <c r="M4" s="1866"/>
      <c r="N4" s="1866"/>
      <c r="O4" s="1866"/>
      <c r="P4" s="1867"/>
      <c r="Q4" s="1867"/>
      <c r="R4" s="3911"/>
      <c r="S4" s="3590">
        <f>L10*0.0764+L10</f>
        <v>1616334441380.4275</v>
      </c>
      <c r="T4" s="3590">
        <f>S4/L10*100-100</f>
        <v>7.6400000000000006</v>
      </c>
      <c r="U4" s="1878"/>
    </row>
    <row r="5" spans="1:22" s="257" customFormat="1" ht="13" customHeight="1">
      <c r="A5" s="5786" t="s">
        <v>435</v>
      </c>
      <c r="B5" s="5786"/>
      <c r="C5" s="5786"/>
      <c r="D5" s="5786"/>
      <c r="E5" s="5786"/>
      <c r="F5" s="5787" t="s">
        <v>56</v>
      </c>
      <c r="G5" s="5787"/>
      <c r="H5" s="5787"/>
      <c r="I5" s="5787"/>
      <c r="J5" s="5788" t="s">
        <v>474</v>
      </c>
      <c r="K5" s="5788" t="s">
        <v>475</v>
      </c>
      <c r="L5" s="5790" t="str">
        <f>PerDinas!K5</f>
        <v>TARGET 2017</v>
      </c>
      <c r="M5" s="5791" t="s">
        <v>5</v>
      </c>
      <c r="N5" s="5792"/>
      <c r="O5" s="5793"/>
      <c r="P5" s="1869" t="s">
        <v>476</v>
      </c>
      <c r="Q5" s="5794" t="s">
        <v>477</v>
      </c>
      <c r="R5" s="5796" t="s">
        <v>6</v>
      </c>
      <c r="S5" s="5804" t="s">
        <v>1195</v>
      </c>
      <c r="T5" s="5794" t="s">
        <v>477</v>
      </c>
      <c r="U5" s="5781" t="s">
        <v>478</v>
      </c>
      <c r="V5" s="1846"/>
    </row>
    <row r="6" spans="1:22" s="257" customFormat="1" ht="13" customHeight="1">
      <c r="A6" s="5786"/>
      <c r="B6" s="5786"/>
      <c r="C6" s="5786"/>
      <c r="D6" s="5786"/>
      <c r="E6" s="5786"/>
      <c r="F6" s="5787"/>
      <c r="G6" s="5787"/>
      <c r="H6" s="5787"/>
      <c r="I6" s="5787"/>
      <c r="J6" s="5789"/>
      <c r="K6" s="5789"/>
      <c r="L6" s="5790"/>
      <c r="M6" s="1868" t="s">
        <v>479</v>
      </c>
      <c r="N6" s="1868" t="s">
        <v>433</v>
      </c>
      <c r="O6" s="1868" t="s">
        <v>480</v>
      </c>
      <c r="P6" s="1870" t="s">
        <v>481</v>
      </c>
      <c r="Q6" s="5795"/>
      <c r="R6" s="5797"/>
      <c r="S6" s="5805"/>
      <c r="T6" s="5795"/>
      <c r="U6" s="5781"/>
      <c r="V6" s="1846"/>
    </row>
    <row r="7" spans="1:22" s="257" customFormat="1" ht="12.05" customHeight="1">
      <c r="A7" s="5782" t="s">
        <v>58</v>
      </c>
      <c r="B7" s="5782"/>
      <c r="C7" s="5782"/>
      <c r="D7" s="5782"/>
      <c r="E7" s="5782"/>
      <c r="F7" s="5783" t="s">
        <v>460</v>
      </c>
      <c r="G7" s="5783"/>
      <c r="H7" s="5783"/>
      <c r="I7" s="5783"/>
      <c r="J7" s="2754" t="s">
        <v>457</v>
      </c>
      <c r="K7" s="2754" t="s">
        <v>443</v>
      </c>
      <c r="L7" s="2755" t="s">
        <v>482</v>
      </c>
      <c r="M7" s="1871" t="s">
        <v>443</v>
      </c>
      <c r="N7" s="1871" t="s">
        <v>482</v>
      </c>
      <c r="O7" s="2755" t="s">
        <v>483</v>
      </c>
      <c r="P7" s="2755" t="s">
        <v>484</v>
      </c>
      <c r="Q7" s="2755" t="s">
        <v>485</v>
      </c>
      <c r="R7" s="3912" t="s">
        <v>486</v>
      </c>
      <c r="S7" s="3767"/>
      <c r="T7" s="3814"/>
      <c r="U7" s="3769" t="s">
        <v>444</v>
      </c>
      <c r="V7" s="1879"/>
    </row>
    <row r="8" spans="1:22" s="2899" customFormat="1" ht="15.05" customHeight="1">
      <c r="A8" s="2893" t="s">
        <v>443</v>
      </c>
      <c r="B8" s="2893"/>
      <c r="C8" s="2893"/>
      <c r="D8" s="2893"/>
      <c r="E8" s="2893"/>
      <c r="F8" s="2894" t="s">
        <v>60</v>
      </c>
      <c r="G8" s="2895"/>
      <c r="H8" s="2895"/>
      <c r="I8" s="2896"/>
      <c r="J8" s="3121">
        <f t="shared" ref="J8:Q8" si="0">J10+J405+J438</f>
        <v>3802933445799</v>
      </c>
      <c r="K8" s="3121">
        <f t="shared" si="0"/>
        <v>3954156416678.9697</v>
      </c>
      <c r="L8" s="3121">
        <f t="shared" si="0"/>
        <v>4791397359569</v>
      </c>
      <c r="M8" s="3121">
        <f t="shared" si="0"/>
        <v>728312659711.53003</v>
      </c>
      <c r="N8" s="3121">
        <f t="shared" si="0"/>
        <v>274703715527.19</v>
      </c>
      <c r="O8" s="3121">
        <f t="shared" si="0"/>
        <v>1163636805856.72</v>
      </c>
      <c r="P8" s="3121">
        <f t="shared" si="0"/>
        <v>4914220642727</v>
      </c>
      <c r="Q8" s="3121">
        <f t="shared" si="0"/>
        <v>122823283158</v>
      </c>
      <c r="R8" s="3600">
        <f>+P8/L8*100-100</f>
        <v>2.5634125901227378</v>
      </c>
      <c r="S8" s="3765"/>
      <c r="T8" s="3815"/>
      <c r="U8" s="3770"/>
      <c r="V8" s="2898">
        <f>O8-L8</f>
        <v>-3627760553712.2803</v>
      </c>
    </row>
    <row r="9" spans="1:22" s="257" customFormat="1" ht="15.05" customHeight="1">
      <c r="A9" s="1855"/>
      <c r="B9" s="1855"/>
      <c r="C9" s="1855"/>
      <c r="D9" s="1855"/>
      <c r="E9" s="1855"/>
      <c r="F9" s="1856"/>
      <c r="G9" s="202"/>
      <c r="H9" s="202"/>
      <c r="I9" s="218"/>
      <c r="J9" s="3123"/>
      <c r="K9" s="3123"/>
      <c r="L9" s="3123"/>
      <c r="M9" s="3124"/>
      <c r="N9" s="3125"/>
      <c r="O9" s="3125"/>
      <c r="P9" s="3125"/>
      <c r="Q9" s="3125"/>
      <c r="R9" s="3601"/>
      <c r="S9" s="3697"/>
      <c r="T9" s="3816"/>
      <c r="U9" s="3771"/>
      <c r="V9" s="1846"/>
    </row>
    <row r="10" spans="1:22" s="2899" customFormat="1" ht="15.05" customHeight="1">
      <c r="A10" s="2893">
        <v>4</v>
      </c>
      <c r="B10" s="2893">
        <v>1</v>
      </c>
      <c r="C10" s="2893"/>
      <c r="D10" s="2893"/>
      <c r="E10" s="2893"/>
      <c r="F10" s="2900" t="s">
        <v>180</v>
      </c>
      <c r="G10" s="2901"/>
      <c r="H10" s="2895"/>
      <c r="I10" s="2896"/>
      <c r="J10" s="3127">
        <f t="shared" ref="J10:Q10" si="1">J12+J43+J216+J229</f>
        <v>1450044930319</v>
      </c>
      <c r="K10" s="3127">
        <f t="shared" si="1"/>
        <v>1348970161792.4299</v>
      </c>
      <c r="L10" s="3127">
        <f>L12+L43+L216+L229</f>
        <v>1501611335359</v>
      </c>
      <c r="M10" s="3127">
        <f t="shared" si="1"/>
        <v>124612682553.54001</v>
      </c>
      <c r="N10" s="3127">
        <f t="shared" si="1"/>
        <v>20770027427.190002</v>
      </c>
      <c r="O10" s="3127">
        <f t="shared" si="1"/>
        <v>287883140598.72998</v>
      </c>
      <c r="P10" s="3127">
        <f t="shared" si="1"/>
        <v>1617193515497</v>
      </c>
      <c r="Q10" s="3127">
        <f t="shared" si="1"/>
        <v>115582180138</v>
      </c>
      <c r="R10" s="3600">
        <f>+P10/L10*100-100</f>
        <v>7.6972101512783979</v>
      </c>
      <c r="S10" s="3698">
        <f>P10*0.0764+P10</f>
        <v>1740747100080.9707</v>
      </c>
      <c r="T10" s="3815">
        <f>S10/P10*100-100</f>
        <v>7.6400000000000006</v>
      </c>
      <c r="U10" s="3770"/>
      <c r="V10" s="2898"/>
    </row>
    <row r="11" spans="1:22" s="257" customFormat="1" ht="15.05" customHeight="1">
      <c r="A11" s="1854"/>
      <c r="B11" s="1854"/>
      <c r="C11" s="1854"/>
      <c r="D11" s="1854"/>
      <c r="E11" s="1854"/>
      <c r="F11" s="1464"/>
      <c r="G11" s="1860"/>
      <c r="H11" s="202"/>
      <c r="I11" s="218"/>
      <c r="J11" s="3128"/>
      <c r="K11" s="3128"/>
      <c r="L11" s="3123"/>
      <c r="M11" s="3129"/>
      <c r="N11" s="3123"/>
      <c r="O11" s="3123"/>
      <c r="P11" s="3123"/>
      <c r="Q11" s="3123"/>
      <c r="R11" s="3601"/>
      <c r="S11" s="3697"/>
      <c r="T11" s="3816"/>
      <c r="U11" s="3771"/>
      <c r="V11" s="1846"/>
    </row>
    <row r="12" spans="1:22" s="2905" customFormat="1" ht="15.05" customHeight="1">
      <c r="A12" s="3012" t="s">
        <v>443</v>
      </c>
      <c r="B12" s="3012" t="s">
        <v>58</v>
      </c>
      <c r="C12" s="3012" t="s">
        <v>58</v>
      </c>
      <c r="D12" s="2918"/>
      <c r="E12" s="2918"/>
      <c r="F12" s="4651" t="s">
        <v>1141</v>
      </c>
      <c r="G12" s="3014"/>
      <c r="H12" s="2919"/>
      <c r="I12" s="3015"/>
      <c r="J12" s="3130">
        <f>J13+J25+J37+J39+J41</f>
        <v>1037549599000</v>
      </c>
      <c r="K12" s="3130">
        <f t="shared" ref="K12:Q12" si="2">K13+K25+K37+K39+K41</f>
        <v>1003260953668</v>
      </c>
      <c r="L12" s="3130">
        <f>SUM(L13+L25+L37+L39+L41)</f>
        <v>1122139007935</v>
      </c>
      <c r="M12" s="3130">
        <f t="shared" si="2"/>
        <v>90900135444</v>
      </c>
      <c r="N12" s="3130">
        <f t="shared" si="2"/>
        <v>0</v>
      </c>
      <c r="O12" s="3130">
        <f t="shared" si="2"/>
        <v>233266101062</v>
      </c>
      <c r="P12" s="3130">
        <f t="shared" si="2"/>
        <v>1140499313935</v>
      </c>
      <c r="Q12" s="3130">
        <f t="shared" si="2"/>
        <v>18360306000</v>
      </c>
      <c r="R12" s="3602">
        <f>+P12/L12*100-100</f>
        <v>1.6361881968426815</v>
      </c>
      <c r="S12" s="3699"/>
      <c r="T12" s="3817"/>
      <c r="U12" s="3772"/>
      <c r="V12" s="2904"/>
    </row>
    <row r="13" spans="1:22" s="2947" customFormat="1" ht="15.05" customHeight="1">
      <c r="A13" s="3021" t="s">
        <v>443</v>
      </c>
      <c r="B13" s="3021" t="s">
        <v>58</v>
      </c>
      <c r="C13" s="3021" t="s">
        <v>58</v>
      </c>
      <c r="D13" s="3022" t="s">
        <v>437</v>
      </c>
      <c r="E13" s="3021"/>
      <c r="F13" s="4652" t="s">
        <v>1142</v>
      </c>
      <c r="G13" s="3024"/>
      <c r="H13" s="3025"/>
      <c r="I13" s="3337"/>
      <c r="J13" s="3132">
        <f t="shared" ref="J13:O13" si="3">SUM(J14:J23)</f>
        <v>248153000000</v>
      </c>
      <c r="K13" s="3132">
        <f t="shared" si="3"/>
        <v>269187973631</v>
      </c>
      <c r="L13" s="3132">
        <f>SUM(L14:L23)</f>
        <v>311893723935</v>
      </c>
      <c r="M13" s="3132">
        <f t="shared" si="3"/>
        <v>0</v>
      </c>
      <c r="N13" s="3132">
        <f t="shared" si="3"/>
        <v>0</v>
      </c>
      <c r="O13" s="3132">
        <f t="shared" si="3"/>
        <v>69415566816</v>
      </c>
      <c r="P13" s="3132">
        <f>SUM(P14:P23)</f>
        <v>311893723935</v>
      </c>
      <c r="Q13" s="3335">
        <f>P13-L13</f>
        <v>0</v>
      </c>
      <c r="R13" s="3603">
        <f>+P13/L13*100-100</f>
        <v>0</v>
      </c>
      <c r="S13" s="3700">
        <f>SUM(S14:S23)</f>
        <v>352595854908.51752</v>
      </c>
      <c r="T13" s="3818"/>
      <c r="U13" s="3773"/>
      <c r="V13" s="2944"/>
    </row>
    <row r="14" spans="1:22" s="2883" customFormat="1" ht="15.05" customHeight="1">
      <c r="A14" s="2984"/>
      <c r="B14" s="2984"/>
      <c r="C14" s="2984"/>
      <c r="D14" s="3016"/>
      <c r="E14" s="2984"/>
      <c r="F14" s="3017" t="s">
        <v>1143</v>
      </c>
      <c r="G14" s="3018"/>
      <c r="H14" s="3019"/>
      <c r="I14" s="3020"/>
      <c r="J14" s="3134">
        <v>86036572000</v>
      </c>
      <c r="K14" s="3134">
        <v>88888793805</v>
      </c>
      <c r="L14" s="3135">
        <v>103905461339</v>
      </c>
      <c r="M14" s="3136"/>
      <c r="N14" s="3135"/>
      <c r="O14" s="3135">
        <v>23394301628</v>
      </c>
      <c r="P14" s="3135">
        <v>103905461339</v>
      </c>
      <c r="Q14" s="3135">
        <f>P14-L14</f>
        <v>0</v>
      </c>
      <c r="R14" s="4008">
        <f>+P14/L14*100-100</f>
        <v>0</v>
      </c>
      <c r="S14" s="3701">
        <f>P14*13.05%+P14</f>
        <v>117465124043.7395</v>
      </c>
      <c r="T14" s="3819"/>
      <c r="U14" s="3774"/>
      <c r="V14" s="2882"/>
    </row>
    <row r="15" spans="1:22" s="2883" customFormat="1" ht="15.05" customHeight="1">
      <c r="A15" s="2875"/>
      <c r="B15" s="2875"/>
      <c r="C15" s="2875"/>
      <c r="D15" s="2876"/>
      <c r="E15" s="2875"/>
      <c r="F15" s="2877" t="s">
        <v>1144</v>
      </c>
      <c r="G15" s="2878"/>
      <c r="H15" s="2879"/>
      <c r="I15" s="2880"/>
      <c r="J15" s="3138">
        <v>28423220000</v>
      </c>
      <c r="K15" s="3138">
        <v>30126889110</v>
      </c>
      <c r="L15" s="3139">
        <v>34714931659</v>
      </c>
      <c r="M15" s="3136"/>
      <c r="N15" s="3139"/>
      <c r="O15" s="3139">
        <v>8078866798</v>
      </c>
      <c r="P15" s="3139">
        <v>34714931659</v>
      </c>
      <c r="Q15" s="3135">
        <f t="shared" ref="Q15:Q23" si="4">P15-L15</f>
        <v>0</v>
      </c>
      <c r="R15" s="4010">
        <f t="shared" ref="R15:R23" si="5">+P15/L15*100-100</f>
        <v>0</v>
      </c>
      <c r="S15" s="3701">
        <f t="shared" ref="S15:S23" si="6">P15*13.05%+P15</f>
        <v>39245230240.499496</v>
      </c>
      <c r="T15" s="3820"/>
      <c r="U15" s="3774"/>
      <c r="V15" s="2882"/>
    </row>
    <row r="16" spans="1:22" s="2883" customFormat="1" ht="15.05" customHeight="1">
      <c r="A16" s="2875"/>
      <c r="B16" s="2875"/>
      <c r="C16" s="2875"/>
      <c r="D16" s="2876"/>
      <c r="E16" s="2875"/>
      <c r="F16" s="2877" t="s">
        <v>1146</v>
      </c>
      <c r="G16" s="2878"/>
      <c r="H16" s="2879"/>
      <c r="I16" s="2880"/>
      <c r="J16" s="3138">
        <v>6651423000</v>
      </c>
      <c r="K16" s="3138">
        <v>8477225617</v>
      </c>
      <c r="L16" s="3139">
        <v>9610012775</v>
      </c>
      <c r="M16" s="3136"/>
      <c r="N16" s="3139"/>
      <c r="O16" s="3139">
        <v>2157193100</v>
      </c>
      <c r="P16" s="3139">
        <v>9610012775</v>
      </c>
      <c r="Q16" s="3135">
        <f t="shared" si="4"/>
        <v>0</v>
      </c>
      <c r="R16" s="4010">
        <f t="shared" si="5"/>
        <v>0</v>
      </c>
      <c r="S16" s="3701">
        <f t="shared" si="6"/>
        <v>10864119442.137501</v>
      </c>
      <c r="T16" s="3820"/>
      <c r="U16" s="3774"/>
      <c r="V16" s="2882"/>
    </row>
    <row r="17" spans="1:22" s="2883" customFormat="1" ht="15.05" customHeight="1">
      <c r="A17" s="2875"/>
      <c r="B17" s="2875"/>
      <c r="C17" s="2875"/>
      <c r="D17" s="2876"/>
      <c r="E17" s="2875"/>
      <c r="F17" s="2877" t="s">
        <v>1145</v>
      </c>
      <c r="G17" s="2878"/>
      <c r="H17" s="2879"/>
      <c r="I17" s="2880"/>
      <c r="J17" s="3138">
        <v>33246442000</v>
      </c>
      <c r="K17" s="3138">
        <v>37055803776</v>
      </c>
      <c r="L17" s="3139">
        <v>42614528606</v>
      </c>
      <c r="M17" s="3136"/>
      <c r="N17" s="3139"/>
      <c r="O17" s="3139">
        <v>9536539453</v>
      </c>
      <c r="P17" s="3139">
        <v>42614528606</v>
      </c>
      <c r="Q17" s="3135">
        <f t="shared" si="4"/>
        <v>0</v>
      </c>
      <c r="R17" s="4010">
        <f t="shared" si="5"/>
        <v>0</v>
      </c>
      <c r="S17" s="3701">
        <f t="shared" si="6"/>
        <v>48175724589.083</v>
      </c>
      <c r="T17" s="3820"/>
      <c r="U17" s="3774"/>
      <c r="V17" s="2882"/>
    </row>
    <row r="18" spans="1:22" s="2883" customFormat="1" ht="15.05" customHeight="1">
      <c r="A18" s="2875"/>
      <c r="B18" s="2875"/>
      <c r="C18" s="2875"/>
      <c r="D18" s="2876"/>
      <c r="E18" s="2875"/>
      <c r="F18" s="2877" t="s">
        <v>1147</v>
      </c>
      <c r="G18" s="2878"/>
      <c r="H18" s="2879"/>
      <c r="I18" s="2880"/>
      <c r="J18" s="3138">
        <v>36492414000</v>
      </c>
      <c r="K18" s="3138">
        <v>40134619809</v>
      </c>
      <c r="L18" s="3139">
        <v>45159023780</v>
      </c>
      <c r="M18" s="3136"/>
      <c r="N18" s="3139"/>
      <c r="O18" s="3139">
        <v>10944515392</v>
      </c>
      <c r="P18" s="3139">
        <v>45159023780</v>
      </c>
      <c r="Q18" s="3135">
        <f t="shared" si="4"/>
        <v>0</v>
      </c>
      <c r="R18" s="4010">
        <f t="shared" si="5"/>
        <v>0</v>
      </c>
      <c r="S18" s="3701">
        <f t="shared" si="6"/>
        <v>51052276383.290001</v>
      </c>
      <c r="T18" s="3820"/>
      <c r="U18" s="3774"/>
      <c r="V18" s="2882"/>
    </row>
    <row r="19" spans="1:22" s="2883" customFormat="1" ht="15.05" customHeight="1">
      <c r="A19" s="2875"/>
      <c r="B19" s="2875"/>
      <c r="C19" s="2875"/>
      <c r="D19" s="2876"/>
      <c r="E19" s="2875"/>
      <c r="F19" s="2877" t="s">
        <v>1149</v>
      </c>
      <c r="G19" s="2878"/>
      <c r="H19" s="2879"/>
      <c r="I19" s="2880"/>
      <c r="J19" s="3138">
        <v>19330379000</v>
      </c>
      <c r="K19" s="3138">
        <v>21077352223</v>
      </c>
      <c r="L19" s="3139">
        <v>24602495136</v>
      </c>
      <c r="M19" s="3136"/>
      <c r="N19" s="3139"/>
      <c r="O19" s="3139">
        <v>4726131862</v>
      </c>
      <c r="P19" s="3139">
        <v>24602495136</v>
      </c>
      <c r="Q19" s="3135">
        <f t="shared" si="4"/>
        <v>0</v>
      </c>
      <c r="R19" s="4010">
        <f t="shared" si="5"/>
        <v>0</v>
      </c>
      <c r="S19" s="3701">
        <f t="shared" si="6"/>
        <v>27813120751.248001</v>
      </c>
      <c r="T19" s="3820"/>
      <c r="U19" s="3774"/>
      <c r="V19" s="2882"/>
    </row>
    <row r="20" spans="1:22" s="2883" customFormat="1" ht="15.05" customHeight="1">
      <c r="A20" s="2875"/>
      <c r="B20" s="2875"/>
      <c r="C20" s="2875"/>
      <c r="D20" s="2876"/>
      <c r="E20" s="2875"/>
      <c r="F20" s="2877" t="s">
        <v>1148</v>
      </c>
      <c r="G20" s="2878"/>
      <c r="H20" s="2879"/>
      <c r="I20" s="2880"/>
      <c r="J20" s="3138">
        <v>13063598000</v>
      </c>
      <c r="K20" s="3138">
        <v>15637707858</v>
      </c>
      <c r="L20" s="3139">
        <v>19282915315</v>
      </c>
      <c r="M20" s="3136"/>
      <c r="N20" s="3139"/>
      <c r="O20" s="3139">
        <v>3363555821</v>
      </c>
      <c r="P20" s="3139">
        <v>19282915315</v>
      </c>
      <c r="Q20" s="3135">
        <f t="shared" si="4"/>
        <v>0</v>
      </c>
      <c r="R20" s="4010">
        <f t="shared" si="5"/>
        <v>0</v>
      </c>
      <c r="S20" s="3701">
        <f t="shared" si="6"/>
        <v>21799335763.607498</v>
      </c>
      <c r="T20" s="3820"/>
      <c r="U20" s="3774"/>
      <c r="V20" s="2882"/>
    </row>
    <row r="21" spans="1:22" s="2883" customFormat="1" ht="15.05" customHeight="1">
      <c r="A21" s="2875"/>
      <c r="B21" s="2875"/>
      <c r="C21" s="2875"/>
      <c r="D21" s="2876"/>
      <c r="E21" s="2875"/>
      <c r="F21" s="2877" t="s">
        <v>1150</v>
      </c>
      <c r="G21" s="2878"/>
      <c r="H21" s="2879"/>
      <c r="I21" s="2880"/>
      <c r="J21" s="3138">
        <v>7135313000</v>
      </c>
      <c r="K21" s="3138">
        <v>7530942967</v>
      </c>
      <c r="L21" s="3139">
        <v>8832161493</v>
      </c>
      <c r="M21" s="3136"/>
      <c r="N21" s="3139"/>
      <c r="O21" s="3139">
        <v>1894855705</v>
      </c>
      <c r="P21" s="3139">
        <v>8832161493</v>
      </c>
      <c r="Q21" s="3135">
        <f t="shared" si="4"/>
        <v>0</v>
      </c>
      <c r="R21" s="4010">
        <f t="shared" si="5"/>
        <v>0</v>
      </c>
      <c r="S21" s="3701">
        <f t="shared" si="6"/>
        <v>9984758567.8365002</v>
      </c>
      <c r="T21" s="3820"/>
      <c r="U21" s="3774"/>
      <c r="V21" s="2882"/>
    </row>
    <row r="22" spans="1:22" s="2883" customFormat="1" ht="15.05" customHeight="1">
      <c r="A22" s="2875"/>
      <c r="B22" s="2875"/>
      <c r="C22" s="2875"/>
      <c r="D22" s="2876"/>
      <c r="E22" s="2875"/>
      <c r="F22" s="2877" t="s">
        <v>1151</v>
      </c>
      <c r="G22" s="2878"/>
      <c r="H22" s="2879"/>
      <c r="I22" s="2880"/>
      <c r="J22" s="3138">
        <v>7455885000</v>
      </c>
      <c r="K22" s="3138">
        <v>8793651686</v>
      </c>
      <c r="L22" s="3139">
        <v>9908631964</v>
      </c>
      <c r="M22" s="3136"/>
      <c r="N22" s="3139"/>
      <c r="O22" s="3139">
        <v>1892159075</v>
      </c>
      <c r="P22" s="3139">
        <v>9908631964</v>
      </c>
      <c r="Q22" s="3135">
        <f t="shared" si="4"/>
        <v>0</v>
      </c>
      <c r="R22" s="4010">
        <f t="shared" si="5"/>
        <v>0</v>
      </c>
      <c r="S22" s="3701">
        <f t="shared" si="6"/>
        <v>11201708435.302</v>
      </c>
      <c r="T22" s="3820"/>
      <c r="U22" s="3774"/>
      <c r="V22" s="2882"/>
    </row>
    <row r="23" spans="1:22" s="2883" customFormat="1" ht="15.05" customHeight="1">
      <c r="A23" s="2875"/>
      <c r="B23" s="2875"/>
      <c r="C23" s="2875"/>
      <c r="D23" s="2876"/>
      <c r="E23" s="2875"/>
      <c r="F23" s="2877" t="s">
        <v>1152</v>
      </c>
      <c r="G23" s="2878"/>
      <c r="H23" s="2879"/>
      <c r="I23" s="2880"/>
      <c r="J23" s="3138">
        <v>10317754000</v>
      </c>
      <c r="K23" s="3138">
        <v>11464986780</v>
      </c>
      <c r="L23" s="3139">
        <v>13263561868</v>
      </c>
      <c r="M23" s="3136"/>
      <c r="N23" s="3139"/>
      <c r="O23" s="3139">
        <v>3427447982</v>
      </c>
      <c r="P23" s="3139">
        <v>13263561868</v>
      </c>
      <c r="Q23" s="3135">
        <f t="shared" si="4"/>
        <v>0</v>
      </c>
      <c r="R23" s="4010">
        <f t="shared" si="5"/>
        <v>0</v>
      </c>
      <c r="S23" s="3701">
        <f t="shared" si="6"/>
        <v>14994456691.774</v>
      </c>
      <c r="T23" s="3820"/>
      <c r="U23" s="3774"/>
      <c r="V23" s="2882"/>
    </row>
    <row r="24" spans="1:22" s="257" customFormat="1" ht="15.05" customHeight="1">
      <c r="A24" s="3027"/>
      <c r="B24" s="3027"/>
      <c r="C24" s="3027"/>
      <c r="D24" s="3028"/>
      <c r="E24" s="1902"/>
      <c r="F24" s="3029"/>
      <c r="G24" s="2831"/>
      <c r="H24" s="2322"/>
      <c r="I24" s="1907"/>
      <c r="J24" s="3141"/>
      <c r="K24" s="3141"/>
      <c r="L24" s="3142"/>
      <c r="M24" s="3129"/>
      <c r="N24" s="3142"/>
      <c r="O24" s="3142"/>
      <c r="P24" s="3142"/>
      <c r="Q24" s="3142"/>
      <c r="R24" s="4011"/>
      <c r="S24" s="3703"/>
      <c r="T24" s="3821"/>
      <c r="U24" s="3771"/>
      <c r="V24" s="1846"/>
    </row>
    <row r="25" spans="1:22" s="2947" customFormat="1" ht="15.05" customHeight="1">
      <c r="A25" s="3021" t="s">
        <v>443</v>
      </c>
      <c r="B25" s="3021" t="s">
        <v>58</v>
      </c>
      <c r="C25" s="3021" t="s">
        <v>58</v>
      </c>
      <c r="D25" s="3022" t="s">
        <v>440</v>
      </c>
      <c r="E25" s="3021"/>
      <c r="F25" s="3023" t="s">
        <v>1153</v>
      </c>
      <c r="G25" s="3024"/>
      <c r="H25" s="3025"/>
      <c r="I25" s="3026"/>
      <c r="J25" s="3132">
        <f t="shared" ref="J25:P25" si="7">SUM(J26:J35)</f>
        <v>318503155000</v>
      </c>
      <c r="K25" s="3132">
        <f t="shared" si="7"/>
        <v>322208887701</v>
      </c>
      <c r="L25" s="3132">
        <f t="shared" si="7"/>
        <v>321503155000</v>
      </c>
      <c r="M25" s="3132">
        <f t="shared" si="7"/>
        <v>0</v>
      </c>
      <c r="N25" s="3132">
        <f t="shared" si="7"/>
        <v>0</v>
      </c>
      <c r="O25" s="3132">
        <f t="shared" si="7"/>
        <v>72721445555</v>
      </c>
      <c r="P25" s="3132">
        <f t="shared" si="7"/>
        <v>299817600000</v>
      </c>
      <c r="Q25" s="3994">
        <f>P25-L25</f>
        <v>-21685555000</v>
      </c>
      <c r="R25" s="3603">
        <f>+P25/L25*100-100</f>
        <v>-6.7450520042330595</v>
      </c>
      <c r="S25" s="3700">
        <f>SUM(S26:S35)</f>
        <v>287824896000</v>
      </c>
      <c r="T25" s="3818"/>
      <c r="U25" s="3773"/>
      <c r="V25" s="2944"/>
    </row>
    <row r="26" spans="1:22" s="2883" customFormat="1" ht="15.05" customHeight="1">
      <c r="A26" s="2984"/>
      <c r="B26" s="2984"/>
      <c r="C26" s="2984"/>
      <c r="D26" s="3016"/>
      <c r="E26" s="2984"/>
      <c r="F26" s="3017" t="s">
        <v>1143</v>
      </c>
      <c r="G26" s="3018"/>
      <c r="H26" s="3019"/>
      <c r="I26" s="3020"/>
      <c r="J26" s="3134">
        <v>88217042000</v>
      </c>
      <c r="K26" s="3134">
        <v>88750043334</v>
      </c>
      <c r="L26" s="3135">
        <v>89048587600</v>
      </c>
      <c r="M26" s="3136"/>
      <c r="N26" s="3135"/>
      <c r="O26" s="3135">
        <v>21008364305</v>
      </c>
      <c r="P26" s="3135">
        <v>85210794910</v>
      </c>
      <c r="Q26" s="3135">
        <f>P26-L26</f>
        <v>-3837792690</v>
      </c>
      <c r="R26" s="4008">
        <f>+P26/L26*100-100</f>
        <v>-4.3097737914037424</v>
      </c>
      <c r="S26" s="4009">
        <f>P26-(P26*4%)</f>
        <v>81802363113.600006</v>
      </c>
      <c r="T26" s="3819"/>
      <c r="U26" s="3774"/>
      <c r="V26" s="2882"/>
    </row>
    <row r="27" spans="1:22" s="2883" customFormat="1" ht="15.05" customHeight="1">
      <c r="A27" s="2875"/>
      <c r="B27" s="2875"/>
      <c r="C27" s="2875"/>
      <c r="D27" s="2876"/>
      <c r="E27" s="2875"/>
      <c r="F27" s="2877" t="s">
        <v>1144</v>
      </c>
      <c r="G27" s="2878"/>
      <c r="H27" s="2879"/>
      <c r="I27" s="2880"/>
      <c r="J27" s="3138">
        <v>44806080000</v>
      </c>
      <c r="K27" s="3138">
        <v>58359055747</v>
      </c>
      <c r="L27" s="3139">
        <v>43050445200</v>
      </c>
      <c r="M27" s="3136"/>
      <c r="N27" s="3139"/>
      <c r="O27" s="3139">
        <v>12974559000</v>
      </c>
      <c r="P27" s="3139">
        <v>38687005933</v>
      </c>
      <c r="Q27" s="3135">
        <f t="shared" ref="Q27:Q35" si="8">P27-L27</f>
        <v>-4363439267</v>
      </c>
      <c r="R27" s="4010">
        <f t="shared" ref="R27:R35" si="9">+P27/L27*100-100</f>
        <v>-10.135642608871322</v>
      </c>
      <c r="S27" s="4009">
        <f t="shared" ref="S27:S35" si="10">P27-(P27*4%)</f>
        <v>37139525695.68</v>
      </c>
      <c r="T27" s="3820"/>
      <c r="U27" s="3774"/>
      <c r="V27" s="2882"/>
    </row>
    <row r="28" spans="1:22" s="2883" customFormat="1" ht="15.05" customHeight="1">
      <c r="A28" s="2875"/>
      <c r="B28" s="2875"/>
      <c r="C28" s="2875"/>
      <c r="D28" s="2876"/>
      <c r="E28" s="2875"/>
      <c r="F28" s="2877" t="s">
        <v>1145</v>
      </c>
      <c r="G28" s="2878"/>
      <c r="H28" s="2879"/>
      <c r="I28" s="2880"/>
      <c r="J28" s="3138">
        <v>13188012000</v>
      </c>
      <c r="K28" s="3138">
        <v>0</v>
      </c>
      <c r="L28" s="3139">
        <v>15367063100</v>
      </c>
      <c r="M28" s="3136"/>
      <c r="N28" s="3139"/>
      <c r="O28" s="3139">
        <v>0</v>
      </c>
      <c r="P28" s="3139">
        <v>15451217308</v>
      </c>
      <c r="Q28" s="3135">
        <f t="shared" si="8"/>
        <v>84154208</v>
      </c>
      <c r="R28" s="4010">
        <f t="shared" si="9"/>
        <v>0.54762713898142579</v>
      </c>
      <c r="S28" s="4009">
        <f t="shared" si="10"/>
        <v>14833168615.68</v>
      </c>
      <c r="T28" s="3820"/>
      <c r="U28" s="3774"/>
      <c r="V28" s="2882"/>
    </row>
    <row r="29" spans="1:22" s="2883" customFormat="1" ht="15.05" customHeight="1">
      <c r="A29" s="2875"/>
      <c r="B29" s="2875"/>
      <c r="C29" s="2875"/>
      <c r="D29" s="2876"/>
      <c r="E29" s="2875"/>
      <c r="F29" s="2877" t="s">
        <v>1146</v>
      </c>
      <c r="G29" s="2878"/>
      <c r="H29" s="2879"/>
      <c r="I29" s="2880"/>
      <c r="J29" s="3138">
        <v>46143610000</v>
      </c>
      <c r="K29" s="3138">
        <v>46642700157</v>
      </c>
      <c r="L29" s="3139">
        <v>46313162500</v>
      </c>
      <c r="M29" s="3136"/>
      <c r="N29" s="3139"/>
      <c r="O29" s="3139">
        <v>10590982300</v>
      </c>
      <c r="P29" s="3139">
        <v>41540262518</v>
      </c>
      <c r="Q29" s="3135">
        <f t="shared" si="8"/>
        <v>-4772899982</v>
      </c>
      <c r="R29" s="4010">
        <f t="shared" si="9"/>
        <v>-10.305709488096397</v>
      </c>
      <c r="S29" s="4009">
        <f t="shared" si="10"/>
        <v>39878652017.279999</v>
      </c>
      <c r="T29" s="3820"/>
      <c r="U29" s="3774"/>
      <c r="V29" s="2882"/>
    </row>
    <row r="30" spans="1:22" s="2883" customFormat="1" ht="15.05" customHeight="1">
      <c r="A30" s="2875"/>
      <c r="B30" s="2875"/>
      <c r="C30" s="2875"/>
      <c r="D30" s="2876"/>
      <c r="E30" s="2875"/>
      <c r="F30" s="2877" t="s">
        <v>1147</v>
      </c>
      <c r="G30" s="2878"/>
      <c r="H30" s="2879"/>
      <c r="I30" s="2880"/>
      <c r="J30" s="3138">
        <v>55404156000</v>
      </c>
      <c r="K30" s="3138">
        <v>55757219048</v>
      </c>
      <c r="L30" s="3139">
        <v>54297917400</v>
      </c>
      <c r="M30" s="3136"/>
      <c r="N30" s="3139"/>
      <c r="O30" s="3139">
        <v>13243838750</v>
      </c>
      <c r="P30" s="3139">
        <v>54925491645</v>
      </c>
      <c r="Q30" s="3135">
        <f t="shared" si="8"/>
        <v>627574245</v>
      </c>
      <c r="R30" s="4010">
        <f t="shared" si="9"/>
        <v>1.1557980030372192</v>
      </c>
      <c r="S30" s="4009">
        <f t="shared" si="10"/>
        <v>52728471979.199997</v>
      </c>
      <c r="T30" s="3820"/>
      <c r="U30" s="3774"/>
      <c r="V30" s="2882"/>
    </row>
    <row r="31" spans="1:22" s="2883" customFormat="1" ht="15.05" customHeight="1">
      <c r="A31" s="2875"/>
      <c r="B31" s="2875"/>
      <c r="C31" s="2875"/>
      <c r="D31" s="2876"/>
      <c r="E31" s="2875"/>
      <c r="F31" s="2877" t="s">
        <v>1149</v>
      </c>
      <c r="G31" s="2878"/>
      <c r="H31" s="2879"/>
      <c r="I31" s="2880"/>
      <c r="J31" s="3138">
        <v>24530826000</v>
      </c>
      <c r="K31" s="3138">
        <v>26280750366</v>
      </c>
      <c r="L31" s="3139">
        <v>26331859300</v>
      </c>
      <c r="M31" s="3136"/>
      <c r="N31" s="3139"/>
      <c r="O31" s="3139">
        <v>4970869900</v>
      </c>
      <c r="P31" s="3139">
        <v>21656173662</v>
      </c>
      <c r="Q31" s="3135">
        <f t="shared" si="8"/>
        <v>-4675685638</v>
      </c>
      <c r="R31" s="4010">
        <f t="shared" si="9"/>
        <v>-17.756762197191293</v>
      </c>
      <c r="S31" s="4009">
        <f t="shared" si="10"/>
        <v>20789926715.52</v>
      </c>
      <c r="T31" s="3820"/>
      <c r="U31" s="3774"/>
      <c r="V31" s="2882"/>
    </row>
    <row r="32" spans="1:22" s="2883" customFormat="1" ht="15.05" customHeight="1">
      <c r="A32" s="2875"/>
      <c r="B32" s="2875"/>
      <c r="C32" s="2875"/>
      <c r="D32" s="2876"/>
      <c r="E32" s="2875"/>
      <c r="F32" s="2877" t="s">
        <v>1148</v>
      </c>
      <c r="G32" s="2878"/>
      <c r="H32" s="2879"/>
      <c r="I32" s="2880"/>
      <c r="J32" s="3138">
        <v>13229500000</v>
      </c>
      <c r="K32" s="3138">
        <v>14055787009</v>
      </c>
      <c r="L32" s="3139">
        <v>14367919300</v>
      </c>
      <c r="M32" s="3136"/>
      <c r="N32" s="3139"/>
      <c r="O32" s="3139">
        <v>2888678800</v>
      </c>
      <c r="P32" s="3139">
        <v>10870384670</v>
      </c>
      <c r="Q32" s="3135">
        <f t="shared" si="8"/>
        <v>-3497534630</v>
      </c>
      <c r="R32" s="4010">
        <f t="shared" si="9"/>
        <v>-24.342666164612993</v>
      </c>
      <c r="S32" s="4009">
        <f t="shared" si="10"/>
        <v>10435569283.200001</v>
      </c>
      <c r="T32" s="3820"/>
      <c r="U32" s="3774"/>
      <c r="V32" s="2882"/>
    </row>
    <row r="33" spans="1:26" s="2883" customFormat="1" ht="15.05" customHeight="1">
      <c r="A33" s="2875"/>
      <c r="B33" s="2875"/>
      <c r="C33" s="2875"/>
      <c r="D33" s="2876"/>
      <c r="E33" s="2875"/>
      <c r="F33" s="2877" t="s">
        <v>1150</v>
      </c>
      <c r="G33" s="2878"/>
      <c r="H33" s="2879"/>
      <c r="I33" s="2880"/>
      <c r="J33" s="3138">
        <v>11200800000</v>
      </c>
      <c r="K33" s="3138">
        <v>9869342560</v>
      </c>
      <c r="L33" s="3139">
        <v>10029004300</v>
      </c>
      <c r="M33" s="3136"/>
      <c r="N33" s="3139"/>
      <c r="O33" s="3139">
        <v>1741245300</v>
      </c>
      <c r="P33" s="3139">
        <v>10682242857</v>
      </c>
      <c r="Q33" s="3135">
        <f t="shared" si="8"/>
        <v>653238557</v>
      </c>
      <c r="R33" s="4010">
        <f t="shared" si="9"/>
        <v>6.5134936376485513</v>
      </c>
      <c r="S33" s="4009">
        <f t="shared" si="10"/>
        <v>10254953142.719999</v>
      </c>
      <c r="T33" s="3820"/>
      <c r="U33" s="3774"/>
      <c r="V33" s="2882"/>
    </row>
    <row r="34" spans="1:26" s="2883" customFormat="1" ht="15.05" customHeight="1">
      <c r="A34" s="2875"/>
      <c r="B34" s="2875"/>
      <c r="C34" s="2875"/>
      <c r="D34" s="2876"/>
      <c r="E34" s="2875"/>
      <c r="F34" s="2877" t="s">
        <v>1151</v>
      </c>
      <c r="G34" s="2878"/>
      <c r="H34" s="2879"/>
      <c r="I34" s="2880"/>
      <c r="J34" s="3138">
        <v>9976046000</v>
      </c>
      <c r="K34" s="3138">
        <v>10667507201</v>
      </c>
      <c r="L34" s="3139">
        <v>10866726200</v>
      </c>
      <c r="M34" s="3136"/>
      <c r="N34" s="3139"/>
      <c r="O34" s="3139">
        <v>2296433100</v>
      </c>
      <c r="P34" s="3139">
        <v>10114515498</v>
      </c>
      <c r="Q34" s="3135">
        <f t="shared" si="8"/>
        <v>-752210702</v>
      </c>
      <c r="R34" s="4010">
        <f t="shared" si="9"/>
        <v>-6.9221464510626873</v>
      </c>
      <c r="S34" s="4009">
        <f t="shared" si="10"/>
        <v>9709934878.0799999</v>
      </c>
      <c r="T34" s="3820"/>
      <c r="U34" s="3774"/>
      <c r="V34" s="2882"/>
    </row>
    <row r="35" spans="1:26" s="2883" customFormat="1" ht="15.05" customHeight="1">
      <c r="A35" s="2875"/>
      <c r="B35" s="2875"/>
      <c r="C35" s="2875"/>
      <c r="D35" s="2876"/>
      <c r="E35" s="2875"/>
      <c r="F35" s="2877" t="s">
        <v>1152</v>
      </c>
      <c r="G35" s="2878"/>
      <c r="H35" s="2879"/>
      <c r="I35" s="2880"/>
      <c r="J35" s="3138">
        <v>11807083000</v>
      </c>
      <c r="K35" s="3138">
        <v>11826482279</v>
      </c>
      <c r="L35" s="3139">
        <v>11830470100</v>
      </c>
      <c r="M35" s="3136"/>
      <c r="N35" s="3139"/>
      <c r="O35" s="3139">
        <v>3006474100</v>
      </c>
      <c r="P35" s="3139">
        <v>10679510999</v>
      </c>
      <c r="Q35" s="3135">
        <f t="shared" si="8"/>
        <v>-1150959101</v>
      </c>
      <c r="R35" s="3606">
        <f t="shared" si="9"/>
        <v>-9.7287689438477969</v>
      </c>
      <c r="S35" s="4009">
        <f t="shared" si="10"/>
        <v>10252330559.040001</v>
      </c>
      <c r="T35" s="3820"/>
      <c r="U35" s="3774"/>
      <c r="V35" s="2882"/>
    </row>
    <row r="36" spans="1:26" s="257" customFormat="1" ht="15.05" customHeight="1">
      <c r="A36" s="3027"/>
      <c r="B36" s="3027"/>
      <c r="C36" s="3027"/>
      <c r="D36" s="3028"/>
      <c r="E36" s="1902"/>
      <c r="F36" s="3029"/>
      <c r="G36" s="2831"/>
      <c r="H36" s="2322"/>
      <c r="I36" s="1907"/>
      <c r="J36" s="3141"/>
      <c r="K36" s="3141"/>
      <c r="L36" s="3142"/>
      <c r="M36" s="3129"/>
      <c r="N36" s="3142"/>
      <c r="O36" s="3142"/>
      <c r="P36" s="3142"/>
      <c r="Q36" s="3142"/>
      <c r="R36" s="4011"/>
      <c r="S36" s="3703"/>
      <c r="T36" s="3821"/>
      <c r="U36" s="3771"/>
      <c r="V36" s="1846"/>
    </row>
    <row r="37" spans="1:26" s="2947" customFormat="1" ht="15.05" customHeight="1">
      <c r="A37" s="3021" t="s">
        <v>443</v>
      </c>
      <c r="B37" s="3021" t="s">
        <v>58</v>
      </c>
      <c r="C37" s="3021" t="s">
        <v>58</v>
      </c>
      <c r="D37" s="3022" t="s">
        <v>451</v>
      </c>
      <c r="E37" s="3021"/>
      <c r="F37" s="3023" t="s">
        <v>1154</v>
      </c>
      <c r="G37" s="3024"/>
      <c r="H37" s="3025"/>
      <c r="I37" s="3026"/>
      <c r="J37" s="3132">
        <v>192900000000</v>
      </c>
      <c r="K37" s="3132">
        <v>188945861622</v>
      </c>
      <c r="L37" s="3144">
        <v>192900000000</v>
      </c>
      <c r="M37" s="3145">
        <v>46114131883</v>
      </c>
      <c r="N37" s="3144"/>
      <c r="O37" s="3144">
        <v>46114131883</v>
      </c>
      <c r="P37" s="3144">
        <v>188945861000</v>
      </c>
      <c r="Q37" s="3334">
        <f>P37-L37</f>
        <v>-3954139000</v>
      </c>
      <c r="R37" s="3603">
        <f>+P37/L37*100-100</f>
        <v>-2.0498387765681656</v>
      </c>
      <c r="S37" s="3700"/>
      <c r="T37" s="3818"/>
      <c r="U37" s="3773"/>
      <c r="V37" s="2944"/>
      <c r="Z37" s="2947">
        <f>3+8+8+5+2+1+7+8+9</f>
        <v>51</v>
      </c>
    </row>
    <row r="38" spans="1:26" s="257" customFormat="1" ht="15.05" hidden="1" customHeight="1">
      <c r="A38" s="3031"/>
      <c r="B38" s="3031"/>
      <c r="C38" s="3031"/>
      <c r="D38" s="3032"/>
      <c r="E38" s="1725"/>
      <c r="F38" s="3033"/>
      <c r="G38" s="3034"/>
      <c r="H38" s="1318"/>
      <c r="I38" s="3035"/>
      <c r="J38" s="3146"/>
      <c r="K38" s="3146"/>
      <c r="L38" s="3147"/>
      <c r="M38" s="3129"/>
      <c r="N38" s="3147"/>
      <c r="O38" s="3147"/>
      <c r="P38" s="3147"/>
      <c r="Q38" s="3147"/>
      <c r="R38" s="3607"/>
      <c r="S38" s="3700"/>
      <c r="T38" s="3818"/>
      <c r="U38" s="3771"/>
      <c r="V38" s="1846"/>
    </row>
    <row r="39" spans="1:26" s="2947" customFormat="1" ht="15.05" customHeight="1">
      <c r="A39" s="3021" t="s">
        <v>443</v>
      </c>
      <c r="B39" s="3021" t="s">
        <v>58</v>
      </c>
      <c r="C39" s="3021" t="s">
        <v>58</v>
      </c>
      <c r="D39" s="3022" t="s">
        <v>441</v>
      </c>
      <c r="E39" s="3021"/>
      <c r="F39" s="3023" t="s">
        <v>1156</v>
      </c>
      <c r="G39" s="3024"/>
      <c r="H39" s="3025"/>
      <c r="I39" s="3026"/>
      <c r="J39" s="3149">
        <v>300000000</v>
      </c>
      <c r="K39" s="3150">
        <v>361290857</v>
      </c>
      <c r="L39" s="3144">
        <v>1000000000</v>
      </c>
      <c r="M39" s="3145"/>
      <c r="N39" s="3144"/>
      <c r="O39" s="3144">
        <v>228953247</v>
      </c>
      <c r="P39" s="3144">
        <v>1000000000</v>
      </c>
      <c r="Q39" s="3144">
        <f>P39-L39</f>
        <v>0</v>
      </c>
      <c r="R39" s="3603">
        <f>+P39/L39*100-100</f>
        <v>0</v>
      </c>
      <c r="S39" s="3700"/>
      <c r="T39" s="3818"/>
      <c r="U39" s="3773"/>
      <c r="V39" s="2944"/>
    </row>
    <row r="40" spans="1:26" s="257" customFormat="1" ht="15.05" hidden="1" customHeight="1">
      <c r="A40" s="3036"/>
      <c r="B40" s="3036"/>
      <c r="C40" s="3036"/>
      <c r="D40" s="3037"/>
      <c r="E40" s="1944"/>
      <c r="F40" s="3038"/>
      <c r="G40" s="3039"/>
      <c r="H40" s="3040"/>
      <c r="I40" s="3041"/>
      <c r="J40" s="3151"/>
      <c r="K40" s="3151"/>
      <c r="L40" s="3152"/>
      <c r="M40" s="3153"/>
      <c r="N40" s="3152"/>
      <c r="O40" s="3152"/>
      <c r="P40" s="3152"/>
      <c r="Q40" s="3152"/>
      <c r="R40" s="3603"/>
      <c r="S40" s="3700"/>
      <c r="T40" s="3818"/>
      <c r="U40" s="3771"/>
      <c r="V40" s="1846"/>
    </row>
    <row r="41" spans="1:26" s="2947" customFormat="1" ht="15.05" customHeight="1">
      <c r="A41" s="3021" t="s">
        <v>443</v>
      </c>
      <c r="B41" s="3021" t="s">
        <v>58</v>
      </c>
      <c r="C41" s="3021" t="s">
        <v>58</v>
      </c>
      <c r="D41" s="4511" t="s">
        <v>456</v>
      </c>
      <c r="E41" s="3021"/>
      <c r="F41" s="3023" t="s">
        <v>1157</v>
      </c>
      <c r="G41" s="3024"/>
      <c r="H41" s="3025"/>
      <c r="I41" s="3026"/>
      <c r="J41" s="3132">
        <v>277693444000</v>
      </c>
      <c r="K41" s="3132">
        <v>222556939857</v>
      </c>
      <c r="L41" s="3144">
        <v>294842129000</v>
      </c>
      <c r="M41" s="3145">
        <v>44786003561</v>
      </c>
      <c r="N41" s="3144"/>
      <c r="O41" s="3144">
        <v>44786003561</v>
      </c>
      <c r="P41" s="3144">
        <v>338842129000</v>
      </c>
      <c r="Q41" s="3144">
        <f>P41-L41</f>
        <v>44000000000</v>
      </c>
      <c r="R41" s="3603">
        <f>+P41/L41*100-100</f>
        <v>14.923240497968322</v>
      </c>
      <c r="S41" s="3700"/>
      <c r="T41" s="3818"/>
      <c r="U41" s="3773"/>
      <c r="V41" s="2944"/>
    </row>
    <row r="42" spans="1:26" s="257" customFormat="1" ht="15.05" customHeight="1">
      <c r="A42" s="2985"/>
      <c r="B42" s="2985"/>
      <c r="C42" s="2985"/>
      <c r="D42" s="3030"/>
      <c r="E42" s="1905"/>
      <c r="F42" s="2986"/>
      <c r="G42" s="2828"/>
      <c r="H42" s="212"/>
      <c r="I42" s="225"/>
      <c r="J42" s="3154"/>
      <c r="K42" s="3154"/>
      <c r="L42" s="3155"/>
      <c r="M42" s="3129"/>
      <c r="N42" s="3155"/>
      <c r="O42" s="3155"/>
      <c r="P42" s="3155"/>
      <c r="Q42" s="3155"/>
      <c r="R42" s="3608"/>
      <c r="S42" s="3704"/>
      <c r="T42" s="3822"/>
      <c r="U42" s="3771"/>
      <c r="V42" s="1846"/>
    </row>
    <row r="43" spans="1:26" s="2908" customFormat="1" ht="15.05" customHeight="1">
      <c r="A43" s="3042">
        <v>4</v>
      </c>
      <c r="B43" s="3042">
        <v>1</v>
      </c>
      <c r="C43" s="3042">
        <v>2</v>
      </c>
      <c r="D43" s="3042"/>
      <c r="E43" s="3042"/>
      <c r="F43" s="3043" t="s">
        <v>106</v>
      </c>
      <c r="G43" s="3044"/>
      <c r="H43" s="3045"/>
      <c r="I43" s="3046"/>
      <c r="J43" s="3157">
        <f t="shared" ref="J43:P43" si="11">J44+J55+J204</f>
        <v>29890858000</v>
      </c>
      <c r="K43" s="3157">
        <f t="shared" si="11"/>
        <v>29792038549</v>
      </c>
      <c r="L43" s="3157">
        <f t="shared" si="11"/>
        <v>18459358000</v>
      </c>
      <c r="M43" s="3157">
        <f t="shared" si="11"/>
        <v>2868914276</v>
      </c>
      <c r="N43" s="3157">
        <f t="shared" si="11"/>
        <v>1482279200</v>
      </c>
      <c r="O43" s="3157">
        <f t="shared" si="11"/>
        <v>4448558476</v>
      </c>
      <c r="P43" s="3157">
        <f t="shared" si="11"/>
        <v>18685464000</v>
      </c>
      <c r="Q43" s="3158">
        <f t="shared" ref="Q43:Q50" si="12">+P43-L43</f>
        <v>226106000</v>
      </c>
      <c r="R43" s="3609">
        <f>+P43/L43*100-100</f>
        <v>1.2248855025185605</v>
      </c>
      <c r="S43" s="3705"/>
      <c r="T43" s="3823"/>
      <c r="U43" s="3775"/>
      <c r="V43" s="2907"/>
    </row>
    <row r="44" spans="1:26" s="2947" customFormat="1" ht="15.05" customHeight="1">
      <c r="A44" s="3021">
        <v>4</v>
      </c>
      <c r="B44" s="3021">
        <v>1</v>
      </c>
      <c r="C44" s="3021">
        <v>2</v>
      </c>
      <c r="D44" s="3021" t="s">
        <v>437</v>
      </c>
      <c r="E44" s="3021"/>
      <c r="F44" s="3023" t="s">
        <v>107</v>
      </c>
      <c r="G44" s="3024"/>
      <c r="H44" s="3025"/>
      <c r="I44" s="3026"/>
      <c r="J44" s="3132">
        <f>J45+J50+J51+J53</f>
        <v>19059250000</v>
      </c>
      <c r="K44" s="3132">
        <f t="shared" ref="K44:P44" si="13">K45+K50+K51+K53</f>
        <v>19214538092</v>
      </c>
      <c r="L44" s="3132">
        <f t="shared" si="13"/>
        <v>7519250000</v>
      </c>
      <c r="M44" s="3132">
        <f t="shared" si="13"/>
        <v>1772108700</v>
      </c>
      <c r="N44" s="3132">
        <f t="shared" si="13"/>
        <v>942614200</v>
      </c>
      <c r="O44" s="3132">
        <f t="shared" si="13"/>
        <v>2714722900</v>
      </c>
      <c r="P44" s="3132">
        <f t="shared" si="13"/>
        <v>7519250000</v>
      </c>
      <c r="Q44" s="3160">
        <f t="shared" si="12"/>
        <v>0</v>
      </c>
      <c r="R44" s="3603">
        <f>+P44/L44*100-100</f>
        <v>0</v>
      </c>
      <c r="S44" s="3706"/>
      <c r="T44" s="3824"/>
      <c r="U44" s="3773"/>
      <c r="V44" s="2944"/>
    </row>
    <row r="45" spans="1:26" s="2932" customFormat="1" ht="15.05" customHeight="1">
      <c r="A45" s="3047">
        <v>4</v>
      </c>
      <c r="B45" s="3047">
        <v>1</v>
      </c>
      <c r="C45" s="3047">
        <v>2</v>
      </c>
      <c r="D45" s="3047" t="s">
        <v>437</v>
      </c>
      <c r="E45" s="3047" t="s">
        <v>437</v>
      </c>
      <c r="F45" s="3048" t="s">
        <v>84</v>
      </c>
      <c r="G45" s="3049"/>
      <c r="H45" s="3050"/>
      <c r="I45" s="3051"/>
      <c r="J45" s="3162">
        <f>SUM(J46:J49)</f>
        <v>18800000000</v>
      </c>
      <c r="K45" s="3162">
        <f t="shared" ref="K45:P45" si="14">SUM(K46:K49)</f>
        <v>18927671342</v>
      </c>
      <c r="L45" s="3162">
        <f t="shared" si="14"/>
        <v>7500000000</v>
      </c>
      <c r="M45" s="3162">
        <f t="shared" si="14"/>
        <v>1772108700</v>
      </c>
      <c r="N45" s="3162">
        <f t="shared" si="14"/>
        <v>942614200</v>
      </c>
      <c r="O45" s="3162">
        <f t="shared" si="14"/>
        <v>2714722900</v>
      </c>
      <c r="P45" s="3162">
        <f t="shared" si="14"/>
        <v>7500000000</v>
      </c>
      <c r="Q45" s="3163">
        <f t="shared" si="12"/>
        <v>0</v>
      </c>
      <c r="R45" s="3610">
        <f>+P45/L45*100-100</f>
        <v>0</v>
      </c>
      <c r="S45" s="3707"/>
      <c r="T45" s="3825"/>
      <c r="U45" s="3776"/>
      <c r="V45" s="2931"/>
    </row>
    <row r="46" spans="1:26" s="1832" customFormat="1" ht="15.05" customHeight="1">
      <c r="A46" s="1855"/>
      <c r="B46" s="1855"/>
      <c r="C46" s="1855"/>
      <c r="D46" s="1855"/>
      <c r="E46" s="1855"/>
      <c r="F46" s="1857" t="s">
        <v>82</v>
      </c>
      <c r="G46" s="1858"/>
      <c r="H46" s="200"/>
      <c r="I46" s="217"/>
      <c r="J46" s="3165">
        <v>4000000000</v>
      </c>
      <c r="K46" s="3165">
        <v>4571728000</v>
      </c>
      <c r="L46" s="3125">
        <v>4500000000</v>
      </c>
      <c r="M46" s="3124">
        <v>1633527700</v>
      </c>
      <c r="N46" s="3125">
        <v>818193200</v>
      </c>
      <c r="O46" s="3125">
        <v>2451720900</v>
      </c>
      <c r="P46" s="3125">
        <v>5500000000</v>
      </c>
      <c r="Q46" s="3125">
        <f t="shared" si="12"/>
        <v>1000000000</v>
      </c>
      <c r="R46" s="3605">
        <f>+P46/L46*100-100</f>
        <v>22.222222222222229</v>
      </c>
      <c r="S46" s="3275"/>
      <c r="T46" s="3826"/>
      <c r="U46" s="3771"/>
      <c r="V46" s="1882">
        <f t="shared" ref="V46:V107" si="15">O46*4</f>
        <v>9806883600</v>
      </c>
    </row>
    <row r="47" spans="1:26" s="1832" customFormat="1" ht="15.05" customHeight="1">
      <c r="A47" s="1855"/>
      <c r="B47" s="1855"/>
      <c r="C47" s="1855"/>
      <c r="D47" s="1855"/>
      <c r="E47" s="1855"/>
      <c r="F47" s="1857" t="s">
        <v>487</v>
      </c>
      <c r="G47" s="1858"/>
      <c r="H47" s="200"/>
      <c r="I47" s="217"/>
      <c r="J47" s="3165">
        <v>1100000000</v>
      </c>
      <c r="K47" s="3165">
        <v>1352812500</v>
      </c>
      <c r="L47" s="3125">
        <v>3000000000</v>
      </c>
      <c r="M47" s="3124">
        <v>138581000</v>
      </c>
      <c r="N47" s="3125">
        <v>124421000</v>
      </c>
      <c r="O47" s="3125">
        <v>263002000</v>
      </c>
      <c r="P47" s="3125">
        <v>2000000000</v>
      </c>
      <c r="Q47" s="3125">
        <f t="shared" si="12"/>
        <v>-1000000000</v>
      </c>
      <c r="R47" s="3605">
        <f>+P47/L47*100-100</f>
        <v>-33.333333333333343</v>
      </c>
      <c r="S47" s="3275"/>
      <c r="T47" s="3826"/>
      <c r="U47" s="3771"/>
      <c r="V47" s="1882">
        <f t="shared" si="15"/>
        <v>1052008000</v>
      </c>
    </row>
    <row r="48" spans="1:26" s="257" customFormat="1" ht="15.05" customHeight="1">
      <c r="A48" s="1855"/>
      <c r="B48" s="1855"/>
      <c r="C48" s="1855"/>
      <c r="D48" s="1855"/>
      <c r="E48" s="1855"/>
      <c r="F48" s="5274" t="s">
        <v>1158</v>
      </c>
      <c r="G48" s="5275"/>
      <c r="H48" s="5276"/>
      <c r="I48" s="5277"/>
      <c r="J48" s="3167">
        <v>200000000</v>
      </c>
      <c r="K48" s="3167">
        <v>291113500</v>
      </c>
      <c r="L48" s="3125">
        <v>0</v>
      </c>
      <c r="M48" s="3124">
        <v>0</v>
      </c>
      <c r="N48" s="3125">
        <v>0</v>
      </c>
      <c r="O48" s="3125">
        <v>0</v>
      </c>
      <c r="P48" s="3125">
        <v>0</v>
      </c>
      <c r="Q48" s="3125">
        <f t="shared" si="12"/>
        <v>0</v>
      </c>
      <c r="R48" s="3605">
        <v>0</v>
      </c>
      <c r="S48" s="3275"/>
      <c r="T48" s="3826"/>
      <c r="U48" s="3771"/>
      <c r="V48" s="1846">
        <f t="shared" si="15"/>
        <v>0</v>
      </c>
    </row>
    <row r="49" spans="1:22" s="257" customFormat="1" ht="15.05" customHeight="1">
      <c r="A49" s="1855"/>
      <c r="B49" s="1855"/>
      <c r="C49" s="1855"/>
      <c r="D49" s="1855"/>
      <c r="E49" s="1855"/>
      <c r="F49" s="5274" t="s">
        <v>1159</v>
      </c>
      <c r="G49" s="5275"/>
      <c r="H49" s="5276"/>
      <c r="I49" s="5277"/>
      <c r="J49" s="3167">
        <v>13500000000</v>
      </c>
      <c r="K49" s="3167">
        <v>12712017342</v>
      </c>
      <c r="L49" s="3125">
        <v>0</v>
      </c>
      <c r="M49" s="3124">
        <v>0</v>
      </c>
      <c r="N49" s="3125">
        <v>0</v>
      </c>
      <c r="O49" s="3125">
        <v>0</v>
      </c>
      <c r="P49" s="3125">
        <v>0</v>
      </c>
      <c r="Q49" s="3125">
        <f t="shared" si="12"/>
        <v>0</v>
      </c>
      <c r="R49" s="3605">
        <v>0</v>
      </c>
      <c r="S49" s="3275"/>
      <c r="T49" s="3826"/>
      <c r="U49" s="3771"/>
      <c r="V49" s="1846">
        <f t="shared" si="15"/>
        <v>0</v>
      </c>
    </row>
    <row r="50" spans="1:22" s="2932" customFormat="1" ht="15.05" customHeight="1">
      <c r="A50" s="2925">
        <v>4</v>
      </c>
      <c r="B50" s="2925">
        <v>1</v>
      </c>
      <c r="C50" s="2925">
        <v>2</v>
      </c>
      <c r="D50" s="2925" t="s">
        <v>437</v>
      </c>
      <c r="E50" s="2925" t="s">
        <v>445</v>
      </c>
      <c r="F50" s="2926" t="s">
        <v>488</v>
      </c>
      <c r="G50" s="2927"/>
      <c r="H50" s="2933"/>
      <c r="I50" s="2934"/>
      <c r="J50" s="3168">
        <v>240000000</v>
      </c>
      <c r="K50" s="3168">
        <v>286866750</v>
      </c>
      <c r="L50" s="3169">
        <v>0</v>
      </c>
      <c r="M50" s="3170">
        <v>0</v>
      </c>
      <c r="N50" s="3169">
        <v>0</v>
      </c>
      <c r="O50" s="3169">
        <v>0</v>
      </c>
      <c r="P50" s="3169">
        <f>MAR!N708</f>
        <v>0</v>
      </c>
      <c r="Q50" s="3169">
        <f t="shared" si="12"/>
        <v>0</v>
      </c>
      <c r="R50" s="3611">
        <v>0</v>
      </c>
      <c r="S50" s="3708"/>
      <c r="T50" s="3827"/>
      <c r="U50" s="3776"/>
      <c r="V50" s="2931">
        <f t="shared" si="15"/>
        <v>0</v>
      </c>
    </row>
    <row r="51" spans="1:22" s="2932" customFormat="1" ht="15.05" customHeight="1">
      <c r="A51" s="2925" t="s">
        <v>443</v>
      </c>
      <c r="B51" s="2925" t="s">
        <v>58</v>
      </c>
      <c r="C51" s="2925" t="s">
        <v>460</v>
      </c>
      <c r="D51" s="2925" t="s">
        <v>437</v>
      </c>
      <c r="E51" s="2925" t="s">
        <v>440</v>
      </c>
      <c r="F51" s="2926" t="s">
        <v>489</v>
      </c>
      <c r="G51" s="2927"/>
      <c r="H51" s="2928"/>
      <c r="I51" s="2934"/>
      <c r="J51" s="3168">
        <v>19250000</v>
      </c>
      <c r="K51" s="3168">
        <v>0</v>
      </c>
      <c r="L51" s="3169">
        <v>19250000</v>
      </c>
      <c r="M51" s="3170">
        <v>0</v>
      </c>
      <c r="N51" s="3169">
        <v>0</v>
      </c>
      <c r="O51" s="3169">
        <v>0</v>
      </c>
      <c r="P51" s="3169">
        <f>P52</f>
        <v>19250000</v>
      </c>
      <c r="Q51" s="3169">
        <f>+P51-L51</f>
        <v>0</v>
      </c>
      <c r="R51" s="3611">
        <f>+P51/L51*100-100</f>
        <v>0</v>
      </c>
      <c r="S51" s="3708"/>
      <c r="T51" s="3827"/>
      <c r="U51" s="3776"/>
      <c r="V51" s="2931">
        <f t="shared" si="15"/>
        <v>0</v>
      </c>
    </row>
    <row r="52" spans="1:22" s="3941" customFormat="1" ht="15.05" customHeight="1">
      <c r="A52" s="3928"/>
      <c r="B52" s="3928"/>
      <c r="C52" s="3928"/>
      <c r="D52" s="3928"/>
      <c r="E52" s="3928"/>
      <c r="F52" s="3929" t="s">
        <v>50</v>
      </c>
      <c r="G52" s="3930" t="s">
        <v>490</v>
      </c>
      <c r="H52" s="3931"/>
      <c r="I52" s="3932"/>
      <c r="J52" s="3933">
        <v>19250000</v>
      </c>
      <c r="K52" s="3933">
        <v>0</v>
      </c>
      <c r="L52" s="3934">
        <v>19250000</v>
      </c>
      <c r="M52" s="3935">
        <v>0</v>
      </c>
      <c r="N52" s="3934">
        <v>0</v>
      </c>
      <c r="O52" s="3934">
        <v>0</v>
      </c>
      <c r="P52" s="3934">
        <v>19250000</v>
      </c>
      <c r="Q52" s="3934">
        <f>+P52-L52</f>
        <v>0</v>
      </c>
      <c r="R52" s="3936">
        <f>+P52/L52*100-100</f>
        <v>0</v>
      </c>
      <c r="S52" s="3937"/>
      <c r="T52" s="3938"/>
      <c r="U52" s="3939"/>
      <c r="V52" s="3940">
        <f t="shared" si="15"/>
        <v>0</v>
      </c>
    </row>
    <row r="53" spans="1:22" s="2932" customFormat="1" ht="15.05" customHeight="1">
      <c r="A53" s="2925">
        <v>4</v>
      </c>
      <c r="B53" s="2925">
        <v>1</v>
      </c>
      <c r="C53" s="2925">
        <v>2</v>
      </c>
      <c r="D53" s="2925" t="s">
        <v>437</v>
      </c>
      <c r="E53" s="2935" t="s">
        <v>451</v>
      </c>
      <c r="F53" s="2926" t="s">
        <v>1180</v>
      </c>
      <c r="G53" s="2927"/>
      <c r="H53" s="2928"/>
      <c r="I53" s="2929"/>
      <c r="J53" s="3172"/>
      <c r="K53" s="3172">
        <v>0</v>
      </c>
      <c r="L53" s="3169">
        <v>0</v>
      </c>
      <c r="M53" s="3170">
        <v>0</v>
      </c>
      <c r="N53" s="3169">
        <v>0</v>
      </c>
      <c r="O53" s="3169">
        <v>0</v>
      </c>
      <c r="P53" s="3169">
        <f>O53-L53</f>
        <v>0</v>
      </c>
      <c r="Q53" s="3169">
        <f>+P53-L53</f>
        <v>0</v>
      </c>
      <c r="R53" s="3611" t="e">
        <f>+P53/L53*100-100</f>
        <v>#DIV/0!</v>
      </c>
      <c r="S53" s="3708"/>
      <c r="T53" s="3827"/>
      <c r="U53" s="3776"/>
      <c r="V53" s="2931">
        <f t="shared" si="15"/>
        <v>0</v>
      </c>
    </row>
    <row r="54" spans="1:22" s="257" customFormat="1" ht="15.05" customHeight="1">
      <c r="A54" s="1886"/>
      <c r="B54" s="1886"/>
      <c r="C54" s="1886"/>
      <c r="D54" s="1886"/>
      <c r="E54" s="1886"/>
      <c r="F54" s="1887"/>
      <c r="G54" s="1888"/>
      <c r="H54" s="856"/>
      <c r="I54" s="1894"/>
      <c r="J54" s="3173"/>
      <c r="K54" s="3173">
        <f>K56-3676781427</f>
        <v>0</v>
      </c>
      <c r="L54" s="3174"/>
      <c r="M54" s="3175"/>
      <c r="N54" s="3174"/>
      <c r="O54" s="3174"/>
      <c r="P54" s="3174"/>
      <c r="Q54" s="3174"/>
      <c r="R54" s="3612"/>
      <c r="S54" s="3709"/>
      <c r="T54" s="3828"/>
      <c r="U54" s="3771"/>
      <c r="V54" s="1846">
        <f t="shared" si="15"/>
        <v>0</v>
      </c>
    </row>
    <row r="55" spans="1:22" s="2947" customFormat="1" ht="15.05" customHeight="1">
      <c r="A55" s="3053">
        <v>4</v>
      </c>
      <c r="B55" s="3054">
        <v>1</v>
      </c>
      <c r="C55" s="3054">
        <v>2</v>
      </c>
      <c r="D55" s="3054" t="s">
        <v>438</v>
      </c>
      <c r="E55" s="3055"/>
      <c r="F55" s="3056" t="s">
        <v>374</v>
      </c>
      <c r="G55" s="3057"/>
      <c r="H55" s="3058"/>
      <c r="I55" s="3059"/>
      <c r="J55" s="3177">
        <f t="shared" ref="J55:P55" si="16">J56+J139+J159+J165</f>
        <v>9182718500</v>
      </c>
      <c r="K55" s="3177">
        <f t="shared" si="16"/>
        <v>8816358857</v>
      </c>
      <c r="L55" s="3177">
        <f t="shared" si="16"/>
        <v>9291218500</v>
      </c>
      <c r="M55" s="3177">
        <f t="shared" si="16"/>
        <v>773060576</v>
      </c>
      <c r="N55" s="3177">
        <f t="shared" si="16"/>
        <v>386105000</v>
      </c>
      <c r="O55" s="3177">
        <f t="shared" si="16"/>
        <v>1256530576</v>
      </c>
      <c r="P55" s="3177">
        <f t="shared" si="16"/>
        <v>9322324500</v>
      </c>
      <c r="Q55" s="3178">
        <f>+P55-L55</f>
        <v>31106000</v>
      </c>
      <c r="R55" s="3613">
        <f t="shared" ref="R55:R67" si="17">+P55/L55*100-100</f>
        <v>0.33478924212147376</v>
      </c>
      <c r="S55" s="3700"/>
      <c r="T55" s="3818"/>
      <c r="U55" s="3773"/>
      <c r="V55" s="2944">
        <f t="shared" si="15"/>
        <v>5026122304</v>
      </c>
    </row>
    <row r="56" spans="1:22" s="2932" customFormat="1" ht="15.05" customHeight="1">
      <c r="A56" s="3047">
        <v>4</v>
      </c>
      <c r="B56" s="3047">
        <v>1</v>
      </c>
      <c r="C56" s="3047">
        <v>2</v>
      </c>
      <c r="D56" s="3047" t="s">
        <v>438</v>
      </c>
      <c r="E56" s="3047" t="s">
        <v>437</v>
      </c>
      <c r="F56" s="3048" t="s">
        <v>64</v>
      </c>
      <c r="G56" s="3049"/>
      <c r="H56" s="3050"/>
      <c r="I56" s="3052"/>
      <c r="J56" s="3181">
        <f>J57+J61+J64+J66+J72+J78+J95+J112+J115+J120+J130+J133</f>
        <v>4557206500</v>
      </c>
      <c r="K56" s="3181">
        <f>K57+K61+K64+K66+K72+K78+K95+K112+K115+K120+K130+K133+K137</f>
        <v>3676781427</v>
      </c>
      <c r="L56" s="3181">
        <f t="shared" ref="L56:Q56" si="18">L57+L61+L64+L66+L72+L78+L95+L112+L115+L120+L130+L133</f>
        <v>4630706500</v>
      </c>
      <c r="M56" s="3181">
        <f t="shared" si="18"/>
        <v>285659026</v>
      </c>
      <c r="N56" s="3181">
        <f t="shared" si="18"/>
        <v>91100500</v>
      </c>
      <c r="O56" s="3181">
        <f t="shared" si="18"/>
        <v>376759526</v>
      </c>
      <c r="P56" s="3181">
        <f t="shared" si="18"/>
        <v>4311806500</v>
      </c>
      <c r="Q56" s="3163">
        <f t="shared" si="18"/>
        <v>-318900000</v>
      </c>
      <c r="R56" s="3610">
        <f t="shared" si="17"/>
        <v>-6.8866381404219794</v>
      </c>
      <c r="S56" s="3707"/>
      <c r="T56" s="3825"/>
      <c r="U56" s="3776"/>
      <c r="V56" s="2931">
        <f t="shared" si="15"/>
        <v>1507038104</v>
      </c>
    </row>
    <row r="57" spans="1:22" s="1833" customFormat="1" ht="15.05" customHeight="1">
      <c r="A57" s="1854"/>
      <c r="B57" s="1854"/>
      <c r="C57" s="1854"/>
      <c r="D57" s="1854"/>
      <c r="E57" s="1854"/>
      <c r="F57" s="1464" t="s">
        <v>62</v>
      </c>
      <c r="G57" s="1860"/>
      <c r="H57" s="202"/>
      <c r="I57" s="218"/>
      <c r="J57" s="3123">
        <f>SUM(J58:J60)</f>
        <v>89895000</v>
      </c>
      <c r="K57" s="3123">
        <f t="shared" ref="K57:P57" si="19">SUM(K58:K60)</f>
        <v>78988830</v>
      </c>
      <c r="L57" s="3123">
        <f t="shared" si="19"/>
        <v>98395000</v>
      </c>
      <c r="M57" s="3123">
        <f t="shared" si="19"/>
        <v>4949500</v>
      </c>
      <c r="N57" s="3123">
        <f t="shared" si="19"/>
        <v>4782000</v>
      </c>
      <c r="O57" s="3123">
        <f t="shared" si="19"/>
        <v>9731500</v>
      </c>
      <c r="P57" s="3123">
        <f t="shared" si="19"/>
        <v>98395000</v>
      </c>
      <c r="Q57" s="3182">
        <f t="shared" ref="Q57:Q107" si="20">+P57-L57</f>
        <v>0</v>
      </c>
      <c r="R57" s="3601">
        <f t="shared" si="17"/>
        <v>0</v>
      </c>
      <c r="S57" s="3710"/>
      <c r="T57" s="3829"/>
      <c r="U57" s="3777"/>
      <c r="V57" s="1882">
        <f t="shared" si="15"/>
        <v>38926000</v>
      </c>
    </row>
    <row r="58" spans="1:22" s="3945" customFormat="1" ht="15.05" customHeight="1">
      <c r="A58" s="3942"/>
      <c r="B58" s="3942"/>
      <c r="C58" s="3942"/>
      <c r="D58" s="3942"/>
      <c r="E58" s="3942"/>
      <c r="F58" s="3943" t="s">
        <v>50</v>
      </c>
      <c r="G58" s="3930"/>
      <c r="H58" s="3931" t="s">
        <v>1205</v>
      </c>
      <c r="I58" s="3932"/>
      <c r="J58" s="3933">
        <v>33395000</v>
      </c>
      <c r="K58" s="3933">
        <v>36456830</v>
      </c>
      <c r="L58" s="3934">
        <v>33395000</v>
      </c>
      <c r="M58" s="3935">
        <v>0</v>
      </c>
      <c r="N58" s="3934">
        <v>750000</v>
      </c>
      <c r="O58" s="3934">
        <v>750000</v>
      </c>
      <c r="P58" s="3934">
        <v>33395000</v>
      </c>
      <c r="Q58" s="3934">
        <f t="shared" si="20"/>
        <v>0</v>
      </c>
      <c r="R58" s="3936">
        <f t="shared" si="17"/>
        <v>0</v>
      </c>
      <c r="S58" s="3937"/>
      <c r="T58" s="3938"/>
      <c r="U58" s="3939"/>
      <c r="V58" s="3944">
        <f t="shared" si="15"/>
        <v>3000000</v>
      </c>
    </row>
    <row r="59" spans="1:22" s="3945" customFormat="1" ht="15.05" customHeight="1">
      <c r="A59" s="3942"/>
      <c r="B59" s="3942"/>
      <c r="C59" s="3942"/>
      <c r="D59" s="3942"/>
      <c r="E59" s="3942"/>
      <c r="F59" s="3943" t="s">
        <v>50</v>
      </c>
      <c r="G59" s="3930"/>
      <c r="H59" s="3931" t="str">
        <f>MAR!I14</f>
        <v>Aula Taman Budaya (Eks Dinas Pariwisata)</v>
      </c>
      <c r="I59" s="3932"/>
      <c r="J59" s="3933">
        <v>16500000</v>
      </c>
      <c r="K59" s="3933">
        <v>2500000</v>
      </c>
      <c r="L59" s="3934">
        <v>25000000</v>
      </c>
      <c r="M59" s="3935">
        <v>0</v>
      </c>
      <c r="N59" s="3934">
        <v>2000000</v>
      </c>
      <c r="O59" s="3934">
        <v>2000000</v>
      </c>
      <c r="P59" s="3934">
        <v>25000000</v>
      </c>
      <c r="Q59" s="3934">
        <f t="shared" si="20"/>
        <v>0</v>
      </c>
      <c r="R59" s="3936">
        <f t="shared" si="17"/>
        <v>0</v>
      </c>
      <c r="S59" s="3937"/>
      <c r="T59" s="3938"/>
      <c r="U59" s="3939"/>
      <c r="V59" s="3944">
        <f t="shared" si="15"/>
        <v>8000000</v>
      </c>
    </row>
    <row r="60" spans="1:22" s="3945" customFormat="1" ht="15.05" customHeight="1">
      <c r="A60" s="3942"/>
      <c r="B60" s="3942"/>
      <c r="C60" s="3942"/>
      <c r="D60" s="3942"/>
      <c r="E60" s="3942"/>
      <c r="F60" s="3943" t="s">
        <v>50</v>
      </c>
      <c r="G60" s="3930"/>
      <c r="H60" s="3931" t="str">
        <f>MAR!I15</f>
        <v>Museum (Eks Dinas Pariwisata)</v>
      </c>
      <c r="I60" s="3932"/>
      <c r="J60" s="3933">
        <v>40000000</v>
      </c>
      <c r="K60" s="3933">
        <v>40032000</v>
      </c>
      <c r="L60" s="3934">
        <v>40000000</v>
      </c>
      <c r="M60" s="3935">
        <v>4949500</v>
      </c>
      <c r="N60" s="3934">
        <v>2032000</v>
      </c>
      <c r="O60" s="3934">
        <v>6981500</v>
      </c>
      <c r="P60" s="3934">
        <v>40000000</v>
      </c>
      <c r="Q60" s="3934">
        <f t="shared" si="20"/>
        <v>0</v>
      </c>
      <c r="R60" s="3936">
        <f t="shared" si="17"/>
        <v>0</v>
      </c>
      <c r="S60" s="3937"/>
      <c r="T60" s="3938"/>
      <c r="U60" s="3939"/>
      <c r="V60" s="3944">
        <f t="shared" si="15"/>
        <v>27926000</v>
      </c>
    </row>
    <row r="61" spans="1:22" s="3955" customFormat="1" ht="15.05" customHeight="1">
      <c r="A61" s="3942"/>
      <c r="B61" s="3942"/>
      <c r="C61" s="3942"/>
      <c r="D61" s="3942"/>
      <c r="E61" s="3942"/>
      <c r="F61" s="2825" t="s">
        <v>491</v>
      </c>
      <c r="G61" s="3946"/>
      <c r="H61" s="3947"/>
      <c r="I61" s="3948"/>
      <c r="J61" s="3949">
        <f>SUM(J62:J63)</f>
        <v>466750000</v>
      </c>
      <c r="K61" s="3949">
        <f t="shared" ref="K61:P61" si="21">SUM(K62:K63)</f>
        <v>411360000</v>
      </c>
      <c r="L61" s="3949">
        <f t="shared" si="21"/>
        <v>466750000</v>
      </c>
      <c r="M61" s="3949">
        <f t="shared" si="21"/>
        <v>22406900</v>
      </c>
      <c r="N61" s="3949">
        <f t="shared" si="21"/>
        <v>26657500</v>
      </c>
      <c r="O61" s="3949">
        <f t="shared" si="21"/>
        <v>49064400</v>
      </c>
      <c r="P61" s="3949">
        <f t="shared" si="21"/>
        <v>466750000</v>
      </c>
      <c r="Q61" s="3950">
        <f t="shared" si="20"/>
        <v>0</v>
      </c>
      <c r="R61" s="3951">
        <f t="shared" si="17"/>
        <v>0</v>
      </c>
      <c r="S61" s="3952"/>
      <c r="T61" s="3953"/>
      <c r="U61" s="3954"/>
      <c r="V61" s="3940">
        <f t="shared" si="15"/>
        <v>196257600</v>
      </c>
    </row>
    <row r="62" spans="1:22" s="3941" customFormat="1" ht="15.05" customHeight="1">
      <c r="A62" s="3928"/>
      <c r="B62" s="3928"/>
      <c r="C62" s="3928"/>
      <c r="D62" s="3928"/>
      <c r="E62" s="3928"/>
      <c r="F62" s="3943" t="s">
        <v>50</v>
      </c>
      <c r="G62" s="3930"/>
      <c r="H62" s="3931" t="s">
        <v>492</v>
      </c>
      <c r="I62" s="3956"/>
      <c r="J62" s="3957">
        <v>216750000</v>
      </c>
      <c r="K62" s="3957">
        <v>82166000</v>
      </c>
      <c r="L62" s="3934">
        <v>216750000</v>
      </c>
      <c r="M62" s="3935">
        <v>1400000</v>
      </c>
      <c r="N62" s="3934">
        <v>0</v>
      </c>
      <c r="O62" s="3934">
        <v>1400000</v>
      </c>
      <c r="P62" s="3934">
        <v>216750000</v>
      </c>
      <c r="Q62" s="3934">
        <f t="shared" si="20"/>
        <v>0</v>
      </c>
      <c r="R62" s="3936">
        <f t="shared" si="17"/>
        <v>0</v>
      </c>
      <c r="S62" s="3937"/>
      <c r="T62" s="3938"/>
      <c r="U62" s="3939"/>
      <c r="V62" s="3940">
        <f t="shared" si="15"/>
        <v>5600000</v>
      </c>
    </row>
    <row r="63" spans="1:22" s="3941" customFormat="1" ht="15.05" customHeight="1">
      <c r="A63" s="3928"/>
      <c r="B63" s="3928"/>
      <c r="C63" s="3928"/>
      <c r="D63" s="3928"/>
      <c r="E63" s="3928"/>
      <c r="F63" s="3943" t="s">
        <v>50</v>
      </c>
      <c r="G63" s="3930"/>
      <c r="H63" s="3931" t="s">
        <v>493</v>
      </c>
      <c r="I63" s="3956"/>
      <c r="J63" s="3957">
        <v>250000000</v>
      </c>
      <c r="K63" s="3957">
        <v>329194000</v>
      </c>
      <c r="L63" s="3934">
        <v>250000000</v>
      </c>
      <c r="M63" s="3935">
        <v>21006900</v>
      </c>
      <c r="N63" s="3934">
        <v>26657500</v>
      </c>
      <c r="O63" s="3934">
        <v>47664400</v>
      </c>
      <c r="P63" s="3934">
        <v>250000000</v>
      </c>
      <c r="Q63" s="3934">
        <f t="shared" si="20"/>
        <v>0</v>
      </c>
      <c r="R63" s="3936">
        <f t="shared" si="17"/>
        <v>0</v>
      </c>
      <c r="S63" s="3937"/>
      <c r="T63" s="3938"/>
      <c r="U63" s="3939"/>
      <c r="V63" s="3940">
        <f t="shared" si="15"/>
        <v>190657600</v>
      </c>
    </row>
    <row r="64" spans="1:22" s="1318" customFormat="1" ht="15.05" customHeight="1">
      <c r="A64" s="1854"/>
      <c r="B64" s="1854"/>
      <c r="C64" s="1854"/>
      <c r="D64" s="1854"/>
      <c r="E64" s="1854"/>
      <c r="F64" s="1464" t="s">
        <v>494</v>
      </c>
      <c r="G64" s="1860"/>
      <c r="H64" s="202"/>
      <c r="I64" s="2824"/>
      <c r="J64" s="3185">
        <v>2000000</v>
      </c>
      <c r="K64" s="3185">
        <v>0</v>
      </c>
      <c r="L64" s="3182">
        <v>2000000</v>
      </c>
      <c r="M64" s="3183">
        <v>0</v>
      </c>
      <c r="N64" s="3182">
        <v>200000</v>
      </c>
      <c r="O64" s="3182">
        <v>200000</v>
      </c>
      <c r="P64" s="3182">
        <v>2000000</v>
      </c>
      <c r="Q64" s="3182">
        <f t="shared" si="20"/>
        <v>0</v>
      </c>
      <c r="R64" s="3601">
        <f t="shared" si="17"/>
        <v>0</v>
      </c>
      <c r="S64" s="3710"/>
      <c r="T64" s="3829"/>
      <c r="U64" s="3777"/>
      <c r="V64" s="1846">
        <f t="shared" si="15"/>
        <v>800000</v>
      </c>
    </row>
    <row r="65" spans="1:22" s="257" customFormat="1" ht="15.05" customHeight="1">
      <c r="A65" s="1855"/>
      <c r="B65" s="1855"/>
      <c r="C65" s="1855"/>
      <c r="D65" s="1855"/>
      <c r="E65" s="1855"/>
      <c r="F65" s="1857" t="s">
        <v>50</v>
      </c>
      <c r="G65" s="1858"/>
      <c r="H65" s="200" t="s">
        <v>495</v>
      </c>
      <c r="I65" s="217"/>
      <c r="J65" s="3171">
        <v>2000000</v>
      </c>
      <c r="K65" s="3171">
        <v>0</v>
      </c>
      <c r="L65" s="3125">
        <v>2000000</v>
      </c>
      <c r="M65" s="3124">
        <v>0</v>
      </c>
      <c r="N65" s="3125">
        <v>200000</v>
      </c>
      <c r="O65" s="3125">
        <v>200000</v>
      </c>
      <c r="P65" s="3125">
        <v>2000000</v>
      </c>
      <c r="Q65" s="3125">
        <f t="shared" si="20"/>
        <v>0</v>
      </c>
      <c r="R65" s="3605">
        <f t="shared" si="17"/>
        <v>0</v>
      </c>
      <c r="S65" s="3275"/>
      <c r="T65" s="3826"/>
      <c r="U65" s="3771"/>
      <c r="V65" s="1846">
        <f t="shared" si="15"/>
        <v>800000</v>
      </c>
    </row>
    <row r="66" spans="1:22" s="1318" customFormat="1" ht="15.05" customHeight="1">
      <c r="A66" s="1854"/>
      <c r="B66" s="1854"/>
      <c r="C66" s="1854"/>
      <c r="D66" s="1854"/>
      <c r="E66" s="1854"/>
      <c r="F66" s="1464" t="s">
        <v>496</v>
      </c>
      <c r="G66" s="1860"/>
      <c r="H66" s="202"/>
      <c r="I66" s="218"/>
      <c r="J66" s="3123">
        <v>152500000</v>
      </c>
      <c r="K66" s="3123">
        <v>41900000</v>
      </c>
      <c r="L66" s="3182">
        <v>152500000</v>
      </c>
      <c r="M66" s="3183">
        <v>2850000</v>
      </c>
      <c r="N66" s="3182">
        <v>6950000</v>
      </c>
      <c r="O66" s="3182">
        <v>9800000</v>
      </c>
      <c r="P66" s="3182">
        <f>SUM(P67)</f>
        <v>31500000</v>
      </c>
      <c r="Q66" s="3182">
        <f t="shared" si="20"/>
        <v>-121000000</v>
      </c>
      <c r="R66" s="3601">
        <f t="shared" si="17"/>
        <v>-79.344262295081961</v>
      </c>
      <c r="S66" s="3710"/>
      <c r="T66" s="3829"/>
      <c r="U66" s="3777"/>
      <c r="V66" s="1846">
        <f t="shared" si="15"/>
        <v>39200000</v>
      </c>
    </row>
    <row r="67" spans="1:22" s="257" customFormat="1" ht="15.05" customHeight="1">
      <c r="A67" s="1855"/>
      <c r="B67" s="1855"/>
      <c r="C67" s="1855"/>
      <c r="D67" s="1855"/>
      <c r="E67" s="1855"/>
      <c r="F67" s="1857" t="s">
        <v>50</v>
      </c>
      <c r="G67" s="1858"/>
      <c r="H67" s="200" t="s">
        <v>143</v>
      </c>
      <c r="I67" s="217"/>
      <c r="J67" s="3171">
        <v>152500000</v>
      </c>
      <c r="K67" s="3171">
        <v>41900000</v>
      </c>
      <c r="L67" s="3125">
        <v>152500000</v>
      </c>
      <c r="M67" s="3124">
        <v>2850000</v>
      </c>
      <c r="N67" s="3125">
        <v>6950000</v>
      </c>
      <c r="O67" s="3125">
        <v>9800000</v>
      </c>
      <c r="P67" s="3125">
        <v>31500000</v>
      </c>
      <c r="Q67" s="3125">
        <f t="shared" si="20"/>
        <v>-121000000</v>
      </c>
      <c r="R67" s="3605">
        <f t="shared" si="17"/>
        <v>-79.344262295081961</v>
      </c>
      <c r="S67" s="3275"/>
      <c r="T67" s="3826"/>
      <c r="U67" s="3771"/>
      <c r="V67" s="1846">
        <f t="shared" si="15"/>
        <v>39200000</v>
      </c>
    </row>
    <row r="68" spans="1:22" s="1318" customFormat="1" ht="15.05" hidden="1" customHeight="1">
      <c r="A68" s="1854"/>
      <c r="B68" s="1854"/>
      <c r="C68" s="1854"/>
      <c r="D68" s="1854"/>
      <c r="E68" s="1854"/>
      <c r="F68" s="1464" t="s">
        <v>497</v>
      </c>
      <c r="G68" s="1860"/>
      <c r="H68" s="202"/>
      <c r="I68" s="218"/>
      <c r="J68" s="3123">
        <v>56500000</v>
      </c>
      <c r="K68" s="3123">
        <v>42532000</v>
      </c>
      <c r="L68" s="3182">
        <v>0</v>
      </c>
      <c r="M68" s="3183">
        <v>0</v>
      </c>
      <c r="N68" s="3182">
        <v>0</v>
      </c>
      <c r="O68" s="3182">
        <v>0</v>
      </c>
      <c r="P68" s="3182">
        <v>0</v>
      </c>
      <c r="Q68" s="3182">
        <f t="shared" si="20"/>
        <v>0</v>
      </c>
      <c r="R68" s="3601">
        <v>0</v>
      </c>
      <c r="S68" s="3710"/>
      <c r="T68" s="3829"/>
      <c r="U68" s="3777"/>
      <c r="V68" s="1846">
        <f t="shared" si="15"/>
        <v>0</v>
      </c>
    </row>
    <row r="69" spans="1:22" s="257" customFormat="1" ht="15.05" hidden="1" customHeight="1">
      <c r="A69" s="1855"/>
      <c r="B69" s="1855"/>
      <c r="C69" s="1855"/>
      <c r="D69" s="1855"/>
      <c r="E69" s="1855"/>
      <c r="F69" s="2756" t="s">
        <v>50</v>
      </c>
      <c r="G69" s="1858" t="s">
        <v>498</v>
      </c>
      <c r="H69" s="200"/>
      <c r="I69" s="217"/>
      <c r="J69" s="3171">
        <v>16500000</v>
      </c>
      <c r="K69" s="3171">
        <v>2500000</v>
      </c>
      <c r="L69" s="3125">
        <v>0</v>
      </c>
      <c r="M69" s="3124">
        <v>0</v>
      </c>
      <c r="N69" s="3125">
        <v>0</v>
      </c>
      <c r="O69" s="3125">
        <v>0</v>
      </c>
      <c r="P69" s="3125">
        <v>0</v>
      </c>
      <c r="Q69" s="3125">
        <f t="shared" si="20"/>
        <v>0</v>
      </c>
      <c r="R69" s="3605">
        <v>0</v>
      </c>
      <c r="S69" s="3275"/>
      <c r="T69" s="3826"/>
      <c r="U69" s="3771"/>
      <c r="V69" s="1846">
        <f t="shared" si="15"/>
        <v>0</v>
      </c>
    </row>
    <row r="70" spans="1:22" s="257" customFormat="1" ht="15.05" hidden="1" customHeight="1">
      <c r="A70" s="1855"/>
      <c r="B70" s="1855"/>
      <c r="C70" s="1855"/>
      <c r="D70" s="1855"/>
      <c r="E70" s="1855"/>
      <c r="F70" s="2756" t="s">
        <v>50</v>
      </c>
      <c r="G70" s="1858" t="s">
        <v>499</v>
      </c>
      <c r="H70" s="200"/>
      <c r="I70" s="217"/>
      <c r="J70" s="3171">
        <v>40000000</v>
      </c>
      <c r="K70" s="3171">
        <v>40032000</v>
      </c>
      <c r="L70" s="3125">
        <v>0</v>
      </c>
      <c r="M70" s="3124">
        <v>0</v>
      </c>
      <c r="N70" s="3125">
        <v>0</v>
      </c>
      <c r="O70" s="3125">
        <v>0</v>
      </c>
      <c r="P70" s="3125">
        <v>0</v>
      </c>
      <c r="Q70" s="3125">
        <f t="shared" si="20"/>
        <v>0</v>
      </c>
      <c r="R70" s="3605">
        <v>0</v>
      </c>
      <c r="S70" s="3748"/>
      <c r="T70" s="3826"/>
      <c r="U70" s="3778">
        <f>PerDinas!Q372</f>
        <v>0</v>
      </c>
      <c r="V70" s="1846">
        <f t="shared" si="15"/>
        <v>0</v>
      </c>
    </row>
    <row r="71" spans="1:22" s="257" customFormat="1" ht="15.05" hidden="1" customHeight="1">
      <c r="A71" s="1855"/>
      <c r="B71" s="1855"/>
      <c r="C71" s="1855"/>
      <c r="D71" s="1855"/>
      <c r="E71" s="1855"/>
      <c r="F71" s="2756" t="s">
        <v>50</v>
      </c>
      <c r="G71" s="1858" t="s">
        <v>500</v>
      </c>
      <c r="H71" s="200"/>
      <c r="I71" s="217"/>
      <c r="J71" s="3171">
        <v>0</v>
      </c>
      <c r="K71" s="3171">
        <v>0</v>
      </c>
      <c r="L71" s="3125">
        <v>0</v>
      </c>
      <c r="M71" s="3124">
        <v>0</v>
      </c>
      <c r="N71" s="3125">
        <v>0</v>
      </c>
      <c r="O71" s="3125">
        <v>0</v>
      </c>
      <c r="P71" s="3125">
        <v>0</v>
      </c>
      <c r="Q71" s="3125">
        <f t="shared" si="20"/>
        <v>0</v>
      </c>
      <c r="R71" s="3605">
        <v>0</v>
      </c>
      <c r="S71" s="3275"/>
      <c r="T71" s="3826"/>
      <c r="U71" s="3778">
        <v>0</v>
      </c>
      <c r="V71" s="1846">
        <f t="shared" si="15"/>
        <v>0</v>
      </c>
    </row>
    <row r="72" spans="1:22" s="257" customFormat="1" ht="15.05" customHeight="1">
      <c r="A72" s="1855"/>
      <c r="B72" s="1855"/>
      <c r="C72" s="1855"/>
      <c r="D72" s="1855"/>
      <c r="E72" s="1855"/>
      <c r="F72" s="1901" t="s">
        <v>326</v>
      </c>
      <c r="G72" s="1858"/>
      <c r="H72" s="200"/>
      <c r="I72" s="217"/>
      <c r="J72" s="3256">
        <f t="shared" ref="J72:O72" si="22">SUM(J73:J75)</f>
        <v>100000000</v>
      </c>
      <c r="K72" s="3256">
        <f t="shared" si="22"/>
        <v>271265000</v>
      </c>
      <c r="L72" s="3256">
        <f t="shared" si="22"/>
        <v>150000000</v>
      </c>
      <c r="M72" s="3256">
        <f t="shared" si="22"/>
        <v>26950000</v>
      </c>
      <c r="N72" s="3256">
        <f t="shared" si="22"/>
        <v>10625000</v>
      </c>
      <c r="O72" s="3256">
        <f t="shared" si="22"/>
        <v>37575000</v>
      </c>
      <c r="P72" s="3256">
        <f>SUM(P73:P77)</f>
        <v>240600000</v>
      </c>
      <c r="Q72" s="3256">
        <f>SUM(Q73:Q77)</f>
        <v>90600000</v>
      </c>
      <c r="R72" s="3601">
        <f t="shared" ref="R72:R81" si="23">+P72/L72*100-100</f>
        <v>60.400000000000006</v>
      </c>
      <c r="S72" s="3710"/>
      <c r="T72" s="3829"/>
      <c r="U72" s="3771"/>
      <c r="V72" s="1846">
        <f t="shared" si="15"/>
        <v>150300000</v>
      </c>
    </row>
    <row r="73" spans="1:22" s="257" customFormat="1" ht="15.05" customHeight="1">
      <c r="A73" s="1855"/>
      <c r="B73" s="1855"/>
      <c r="C73" s="1855"/>
      <c r="D73" s="1855"/>
      <c r="E73" s="1855"/>
      <c r="F73" s="2756" t="s">
        <v>50</v>
      </c>
      <c r="G73" s="1858" t="s">
        <v>501</v>
      </c>
      <c r="H73" s="200"/>
      <c r="I73" s="217"/>
      <c r="J73" s="3171">
        <v>100000000</v>
      </c>
      <c r="K73" s="3171">
        <v>271265000</v>
      </c>
      <c r="L73" s="3125">
        <v>100000000</v>
      </c>
      <c r="M73" s="3124">
        <v>26950000</v>
      </c>
      <c r="N73" s="3125">
        <v>10625000</v>
      </c>
      <c r="O73" s="3125">
        <v>37575000</v>
      </c>
      <c r="P73" s="3125">
        <v>95000000</v>
      </c>
      <c r="Q73" s="3125">
        <f t="shared" si="20"/>
        <v>-5000000</v>
      </c>
      <c r="R73" s="3926">
        <f t="shared" si="23"/>
        <v>-5</v>
      </c>
      <c r="S73" s="3971"/>
      <c r="T73" s="3927"/>
      <c r="U73" s="3778">
        <f>MAR!P586</f>
        <v>0</v>
      </c>
      <c r="V73" s="1846">
        <f t="shared" si="15"/>
        <v>150300000</v>
      </c>
    </row>
    <row r="74" spans="1:22" s="3989" customFormat="1" ht="15.05" customHeight="1">
      <c r="A74" s="3976"/>
      <c r="B74" s="3976"/>
      <c r="C74" s="3976"/>
      <c r="D74" s="3976"/>
      <c r="E74" s="3976"/>
      <c r="F74" s="3977" t="s">
        <v>50</v>
      </c>
      <c r="G74" s="3978" t="s">
        <v>1207</v>
      </c>
      <c r="H74" s="3979"/>
      <c r="I74" s="3980"/>
      <c r="J74" s="3981"/>
      <c r="K74" s="3981"/>
      <c r="L74" s="3982"/>
      <c r="M74" s="3983"/>
      <c r="N74" s="3982"/>
      <c r="O74" s="3982"/>
      <c r="P74" s="3982">
        <v>50000000</v>
      </c>
      <c r="Q74" s="3982">
        <f t="shared" si="20"/>
        <v>50000000</v>
      </c>
      <c r="R74" s="3984" t="e">
        <f t="shared" si="23"/>
        <v>#DIV/0!</v>
      </c>
      <c r="S74" s="3985"/>
      <c r="T74" s="3986"/>
      <c r="U74" s="3987"/>
      <c r="V74" s="3988"/>
    </row>
    <row r="75" spans="1:22" s="257" customFormat="1" ht="15.05" customHeight="1">
      <c r="A75" s="1855"/>
      <c r="B75" s="1855"/>
      <c r="C75" s="1855"/>
      <c r="D75" s="1855"/>
      <c r="E75" s="1855"/>
      <c r="F75" s="2756" t="s">
        <v>50</v>
      </c>
      <c r="G75" s="1858" t="s">
        <v>502</v>
      </c>
      <c r="H75" s="200"/>
      <c r="I75" s="217"/>
      <c r="J75" s="3171">
        <v>0</v>
      </c>
      <c r="K75" s="3171">
        <v>0</v>
      </c>
      <c r="L75" s="3125">
        <v>50000000</v>
      </c>
      <c r="M75" s="3124">
        <v>0</v>
      </c>
      <c r="N75" s="3125">
        <v>0</v>
      </c>
      <c r="O75" s="3125">
        <v>0</v>
      </c>
      <c r="P75" s="3125">
        <v>85000000</v>
      </c>
      <c r="Q75" s="3125">
        <f t="shared" si="20"/>
        <v>35000000</v>
      </c>
      <c r="R75" s="3926">
        <f t="shared" si="23"/>
        <v>70</v>
      </c>
      <c r="S75" s="3274"/>
      <c r="T75" s="3927"/>
      <c r="U75" s="3778"/>
      <c r="V75" s="1846">
        <f t="shared" si="15"/>
        <v>0</v>
      </c>
    </row>
    <row r="76" spans="1:22" s="3989" customFormat="1" ht="15.05" customHeight="1">
      <c r="A76" s="3976"/>
      <c r="B76" s="3976"/>
      <c r="C76" s="3976"/>
      <c r="D76" s="3976"/>
      <c r="E76" s="3976"/>
      <c r="F76" s="3977" t="s">
        <v>50</v>
      </c>
      <c r="G76" s="3978" t="s">
        <v>1208</v>
      </c>
      <c r="H76" s="3979"/>
      <c r="I76" s="3980"/>
      <c r="J76" s="3981"/>
      <c r="K76" s="3981"/>
      <c r="L76" s="3990"/>
      <c r="M76" s="3991"/>
      <c r="N76" s="3990"/>
      <c r="O76" s="3990"/>
      <c r="P76" s="3990">
        <v>7000000</v>
      </c>
      <c r="Q76" s="3958">
        <f t="shared" si="20"/>
        <v>7000000</v>
      </c>
      <c r="R76" s="3616" t="e">
        <f t="shared" si="23"/>
        <v>#DIV/0!</v>
      </c>
      <c r="S76" s="3985"/>
      <c r="T76" s="3986"/>
      <c r="U76" s="3987"/>
      <c r="V76" s="3988"/>
    </row>
    <row r="77" spans="1:22" s="3989" customFormat="1" ht="15.05" customHeight="1">
      <c r="A77" s="3976"/>
      <c r="B77" s="3976"/>
      <c r="C77" s="3976"/>
      <c r="D77" s="3976"/>
      <c r="E77" s="3976"/>
      <c r="F77" s="3977" t="s">
        <v>50</v>
      </c>
      <c r="G77" s="3978" t="s">
        <v>1209</v>
      </c>
      <c r="H77" s="3979"/>
      <c r="I77" s="3980"/>
      <c r="J77" s="3981"/>
      <c r="K77" s="3981"/>
      <c r="L77" s="3990"/>
      <c r="M77" s="3991"/>
      <c r="N77" s="3990"/>
      <c r="O77" s="3990"/>
      <c r="P77" s="3990">
        <v>3600000</v>
      </c>
      <c r="Q77" s="3958">
        <f t="shared" si="20"/>
        <v>3600000</v>
      </c>
      <c r="R77" s="3616" t="e">
        <f t="shared" si="23"/>
        <v>#DIV/0!</v>
      </c>
      <c r="S77" s="3985"/>
      <c r="T77" s="3986"/>
      <c r="U77" s="3987"/>
      <c r="V77" s="3988"/>
    </row>
    <row r="78" spans="1:22" s="257" customFormat="1" ht="15.05" customHeight="1">
      <c r="A78" s="1855"/>
      <c r="B78" s="1855"/>
      <c r="C78" s="1855"/>
      <c r="D78" s="1855"/>
      <c r="E78" s="1855"/>
      <c r="F78" s="1464" t="s">
        <v>157</v>
      </c>
      <c r="G78" s="1860"/>
      <c r="H78" s="202"/>
      <c r="I78" s="218"/>
      <c r="J78" s="3123">
        <f>SUM(J79:J81)</f>
        <v>131250000</v>
      </c>
      <c r="K78" s="3123">
        <f t="shared" ref="K78:P78" si="24">SUM(K79:K81)</f>
        <v>45175000</v>
      </c>
      <c r="L78" s="3123">
        <f t="shared" si="24"/>
        <v>131250000</v>
      </c>
      <c r="M78" s="3123">
        <f t="shared" si="24"/>
        <v>2500000</v>
      </c>
      <c r="N78" s="3123">
        <f t="shared" si="24"/>
        <v>5500000</v>
      </c>
      <c r="O78" s="3123">
        <f t="shared" si="24"/>
        <v>8000000</v>
      </c>
      <c r="P78" s="3123">
        <f t="shared" si="24"/>
        <v>131250000</v>
      </c>
      <c r="Q78" s="3182">
        <f t="shared" si="20"/>
        <v>0</v>
      </c>
      <c r="R78" s="3601">
        <f t="shared" si="23"/>
        <v>0</v>
      </c>
      <c r="S78" s="3710"/>
      <c r="T78" s="3829"/>
      <c r="U78" s="3771"/>
      <c r="V78" s="1846">
        <f t="shared" si="15"/>
        <v>32000000</v>
      </c>
    </row>
    <row r="79" spans="1:22" s="257" customFormat="1" ht="15.05" customHeight="1">
      <c r="A79" s="1855"/>
      <c r="B79" s="1855"/>
      <c r="C79" s="1855"/>
      <c r="D79" s="1855"/>
      <c r="E79" s="1855"/>
      <c r="F79" s="1863" t="s">
        <v>50</v>
      </c>
      <c r="G79" s="200"/>
      <c r="H79" s="200" t="s">
        <v>503</v>
      </c>
      <c r="I79" s="217"/>
      <c r="J79" s="3171">
        <v>30000000</v>
      </c>
      <c r="K79" s="3171">
        <v>23400000</v>
      </c>
      <c r="L79" s="3125">
        <v>30000000</v>
      </c>
      <c r="M79" s="3124">
        <v>0</v>
      </c>
      <c r="N79" s="3125">
        <v>0</v>
      </c>
      <c r="O79" s="3125">
        <v>0</v>
      </c>
      <c r="P79" s="3125">
        <v>30000000</v>
      </c>
      <c r="Q79" s="3125">
        <f t="shared" si="20"/>
        <v>0</v>
      </c>
      <c r="R79" s="3605">
        <f t="shared" si="23"/>
        <v>0</v>
      </c>
      <c r="S79" s="3748"/>
      <c r="T79" s="3826"/>
      <c r="U79" s="3778">
        <f>MAR!P286</f>
        <v>0</v>
      </c>
      <c r="V79" s="1846">
        <f t="shared" si="15"/>
        <v>0</v>
      </c>
    </row>
    <row r="80" spans="1:22" s="257" customFormat="1" ht="15.05" customHeight="1">
      <c r="A80" s="1855"/>
      <c r="B80" s="1855"/>
      <c r="C80" s="1855"/>
      <c r="D80" s="1855"/>
      <c r="E80" s="1855"/>
      <c r="F80" s="1863" t="s">
        <v>50</v>
      </c>
      <c r="G80" s="200"/>
      <c r="H80" s="200" t="s">
        <v>504</v>
      </c>
      <c r="I80" s="217"/>
      <c r="J80" s="3171">
        <v>26250000</v>
      </c>
      <c r="K80" s="3171">
        <v>14300000</v>
      </c>
      <c r="L80" s="3125">
        <v>26250000</v>
      </c>
      <c r="M80" s="3124">
        <v>1500000</v>
      </c>
      <c r="N80" s="3125">
        <v>0</v>
      </c>
      <c r="O80" s="3125">
        <v>1500000</v>
      </c>
      <c r="P80" s="3125">
        <v>26250000</v>
      </c>
      <c r="Q80" s="3125">
        <f t="shared" si="20"/>
        <v>0</v>
      </c>
      <c r="R80" s="3605">
        <f t="shared" si="23"/>
        <v>0</v>
      </c>
      <c r="S80" s="3748"/>
      <c r="T80" s="3826"/>
      <c r="U80" s="3778">
        <f>MAR!P287</f>
        <v>0</v>
      </c>
      <c r="V80" s="1846">
        <f t="shared" si="15"/>
        <v>6000000</v>
      </c>
    </row>
    <row r="81" spans="1:22" s="257" customFormat="1" ht="15.05" customHeight="1">
      <c r="A81" s="1855"/>
      <c r="B81" s="1855"/>
      <c r="C81" s="1855"/>
      <c r="D81" s="1855"/>
      <c r="E81" s="1855"/>
      <c r="F81" s="1863" t="s">
        <v>50</v>
      </c>
      <c r="G81" s="200"/>
      <c r="H81" s="200" t="s">
        <v>505</v>
      </c>
      <c r="I81" s="217"/>
      <c r="J81" s="3171">
        <v>75000000</v>
      </c>
      <c r="K81" s="3171">
        <v>7475000</v>
      </c>
      <c r="L81" s="3125">
        <v>75000000</v>
      </c>
      <c r="M81" s="3124">
        <v>1000000</v>
      </c>
      <c r="N81" s="3125">
        <v>5500000</v>
      </c>
      <c r="O81" s="3125">
        <v>6500000</v>
      </c>
      <c r="P81" s="3125">
        <v>75000000</v>
      </c>
      <c r="Q81" s="3125">
        <f t="shared" si="20"/>
        <v>0</v>
      </c>
      <c r="R81" s="3605">
        <f t="shared" si="23"/>
        <v>0</v>
      </c>
      <c r="S81" s="3748"/>
      <c r="T81" s="3826"/>
      <c r="U81" s="3778">
        <f>MAR!P288</f>
        <v>0</v>
      </c>
      <c r="V81" s="1846">
        <f t="shared" si="15"/>
        <v>26000000</v>
      </c>
    </row>
    <row r="82" spans="1:22" s="257" customFormat="1" ht="15.05" hidden="1" customHeight="1">
      <c r="A82" s="1855"/>
      <c r="B82" s="1855"/>
      <c r="C82" s="1855"/>
      <c r="D82" s="1855"/>
      <c r="E82" s="1855"/>
      <c r="F82" s="1863" t="s">
        <v>50</v>
      </c>
      <c r="G82" s="200"/>
      <c r="H82" s="202" t="s">
        <v>182</v>
      </c>
      <c r="I82" s="217"/>
      <c r="J82" s="3171"/>
      <c r="K82" s="3171"/>
      <c r="L82" s="3125">
        <v>0</v>
      </c>
      <c r="M82" s="3124">
        <v>0</v>
      </c>
      <c r="N82" s="3125">
        <v>0</v>
      </c>
      <c r="O82" s="3125">
        <v>0</v>
      </c>
      <c r="P82" s="3125">
        <v>0</v>
      </c>
      <c r="Q82" s="3125">
        <f t="shared" si="20"/>
        <v>0</v>
      </c>
      <c r="R82" s="3605">
        <v>0</v>
      </c>
      <c r="S82" s="3275"/>
      <c r="T82" s="3826"/>
      <c r="U82" s="3771"/>
      <c r="V82" s="1846">
        <f t="shared" si="15"/>
        <v>0</v>
      </c>
    </row>
    <row r="83" spans="1:22" s="257" customFormat="1" ht="15.05" hidden="1" customHeight="1">
      <c r="A83" s="1855"/>
      <c r="B83" s="1855"/>
      <c r="C83" s="1855"/>
      <c r="D83" s="1855"/>
      <c r="E83" s="1855"/>
      <c r="F83" s="1863"/>
      <c r="G83" s="2727" t="s">
        <v>50</v>
      </c>
      <c r="H83" s="200" t="s">
        <v>506</v>
      </c>
      <c r="I83" s="217"/>
      <c r="J83" s="3171"/>
      <c r="K83" s="3171"/>
      <c r="L83" s="3125">
        <v>0</v>
      </c>
      <c r="M83" s="3124">
        <v>0</v>
      </c>
      <c r="N83" s="3125">
        <v>0</v>
      </c>
      <c r="O83" s="3125">
        <v>0</v>
      </c>
      <c r="P83" s="3125">
        <v>0</v>
      </c>
      <c r="Q83" s="3125">
        <f t="shared" si="20"/>
        <v>0</v>
      </c>
      <c r="R83" s="3605">
        <v>0</v>
      </c>
      <c r="S83" s="3275"/>
      <c r="T83" s="3826"/>
      <c r="U83" s="3771"/>
      <c r="V83" s="1846">
        <f t="shared" si="15"/>
        <v>0</v>
      </c>
    </row>
    <row r="84" spans="1:22" s="257" customFormat="1" ht="15.05" hidden="1" customHeight="1">
      <c r="A84" s="1855"/>
      <c r="B84" s="1855"/>
      <c r="C84" s="1855"/>
      <c r="D84" s="1855"/>
      <c r="E84" s="1855"/>
      <c r="F84" s="1863"/>
      <c r="G84" s="2727" t="s">
        <v>50</v>
      </c>
      <c r="H84" s="200" t="s">
        <v>182</v>
      </c>
      <c r="I84" s="217"/>
      <c r="J84" s="3171"/>
      <c r="K84" s="3171"/>
      <c r="L84" s="3125">
        <v>0</v>
      </c>
      <c r="M84" s="3124">
        <v>0</v>
      </c>
      <c r="N84" s="3125">
        <v>0</v>
      </c>
      <c r="O84" s="3125">
        <v>0</v>
      </c>
      <c r="P84" s="3125">
        <v>0</v>
      </c>
      <c r="Q84" s="3125">
        <f t="shared" si="20"/>
        <v>0</v>
      </c>
      <c r="R84" s="3605">
        <v>0</v>
      </c>
      <c r="S84" s="3275"/>
      <c r="T84" s="3826"/>
      <c r="U84" s="3771"/>
      <c r="V84" s="1846">
        <f t="shared" si="15"/>
        <v>0</v>
      </c>
    </row>
    <row r="85" spans="1:22" s="257" customFormat="1" ht="15.05" hidden="1" customHeight="1">
      <c r="A85" s="1855"/>
      <c r="B85" s="1855"/>
      <c r="C85" s="1855"/>
      <c r="D85" s="1855"/>
      <c r="E85" s="1855"/>
      <c r="F85" s="1863"/>
      <c r="G85" s="2727" t="s">
        <v>50</v>
      </c>
      <c r="H85" s="200" t="s">
        <v>185</v>
      </c>
      <c r="I85" s="217"/>
      <c r="J85" s="3171"/>
      <c r="K85" s="3171"/>
      <c r="L85" s="3125">
        <v>0</v>
      </c>
      <c r="M85" s="3124">
        <v>0</v>
      </c>
      <c r="N85" s="3125">
        <v>0</v>
      </c>
      <c r="O85" s="3125">
        <v>0</v>
      </c>
      <c r="P85" s="3125">
        <v>0</v>
      </c>
      <c r="Q85" s="3125">
        <f t="shared" si="20"/>
        <v>0</v>
      </c>
      <c r="R85" s="3605">
        <v>0</v>
      </c>
      <c r="S85" s="3275"/>
      <c r="T85" s="3826"/>
      <c r="U85" s="3771"/>
      <c r="V85" s="1846">
        <f t="shared" si="15"/>
        <v>0</v>
      </c>
    </row>
    <row r="86" spans="1:22" s="257" customFormat="1" ht="15.05" hidden="1" customHeight="1">
      <c r="A86" s="1855"/>
      <c r="B86" s="1855"/>
      <c r="C86" s="1855"/>
      <c r="D86" s="1855"/>
      <c r="E86" s="1855"/>
      <c r="F86" s="1863" t="s">
        <v>50</v>
      </c>
      <c r="G86" s="200"/>
      <c r="H86" s="202" t="s">
        <v>507</v>
      </c>
      <c r="I86" s="217"/>
      <c r="J86" s="3171"/>
      <c r="K86" s="3171"/>
      <c r="L86" s="3125">
        <v>0</v>
      </c>
      <c r="M86" s="3124">
        <v>0</v>
      </c>
      <c r="N86" s="3125">
        <v>0</v>
      </c>
      <c r="O86" s="3125">
        <v>0</v>
      </c>
      <c r="P86" s="3125">
        <v>0</v>
      </c>
      <c r="Q86" s="3125">
        <f t="shared" si="20"/>
        <v>0</v>
      </c>
      <c r="R86" s="3605">
        <v>0</v>
      </c>
      <c r="S86" s="3275"/>
      <c r="T86" s="3826"/>
      <c r="U86" s="3771"/>
      <c r="V86" s="1846">
        <f t="shared" si="15"/>
        <v>0</v>
      </c>
    </row>
    <row r="87" spans="1:22" s="257" customFormat="1" ht="15.05" hidden="1" customHeight="1">
      <c r="A87" s="1855"/>
      <c r="B87" s="1855"/>
      <c r="C87" s="1855"/>
      <c r="D87" s="1855"/>
      <c r="E87" s="1855"/>
      <c r="F87" s="1863"/>
      <c r="G87" s="2727" t="s">
        <v>50</v>
      </c>
      <c r="H87" s="200" t="s">
        <v>508</v>
      </c>
      <c r="I87" s="217"/>
      <c r="J87" s="3171"/>
      <c r="K87" s="3171"/>
      <c r="L87" s="3125">
        <v>0</v>
      </c>
      <c r="M87" s="3124">
        <v>0</v>
      </c>
      <c r="N87" s="3125">
        <v>0</v>
      </c>
      <c r="O87" s="3125">
        <v>0</v>
      </c>
      <c r="P87" s="3125">
        <v>0</v>
      </c>
      <c r="Q87" s="3125">
        <f t="shared" si="20"/>
        <v>0</v>
      </c>
      <c r="R87" s="3605">
        <v>0</v>
      </c>
      <c r="S87" s="3275"/>
      <c r="T87" s="3826"/>
      <c r="U87" s="3771"/>
      <c r="V87" s="1846">
        <f t="shared" si="15"/>
        <v>0</v>
      </c>
    </row>
    <row r="88" spans="1:22" s="257" customFormat="1" ht="15.05" hidden="1" customHeight="1">
      <c r="A88" s="1855"/>
      <c r="B88" s="1855"/>
      <c r="C88" s="1855"/>
      <c r="D88" s="1855"/>
      <c r="E88" s="1855"/>
      <c r="F88" s="1863"/>
      <c r="G88" s="2727" t="s">
        <v>50</v>
      </c>
      <c r="H88" s="200" t="s">
        <v>509</v>
      </c>
      <c r="I88" s="217"/>
      <c r="J88" s="3171"/>
      <c r="K88" s="3171"/>
      <c r="L88" s="3125">
        <v>0</v>
      </c>
      <c r="M88" s="3124">
        <v>0</v>
      </c>
      <c r="N88" s="3125">
        <v>0</v>
      </c>
      <c r="O88" s="3125">
        <v>0</v>
      </c>
      <c r="P88" s="3125">
        <v>0</v>
      </c>
      <c r="Q88" s="3125">
        <f t="shared" si="20"/>
        <v>0</v>
      </c>
      <c r="R88" s="3605">
        <v>0</v>
      </c>
      <c r="S88" s="3275"/>
      <c r="T88" s="3826"/>
      <c r="U88" s="3771"/>
      <c r="V88" s="1846">
        <f t="shared" si="15"/>
        <v>0</v>
      </c>
    </row>
    <row r="89" spans="1:22" s="257" customFormat="1" ht="15.05" hidden="1" customHeight="1">
      <c r="A89" s="1855"/>
      <c r="B89" s="1855"/>
      <c r="C89" s="1855"/>
      <c r="D89" s="1855"/>
      <c r="E89" s="1855"/>
      <c r="F89" s="1863"/>
      <c r="G89" s="2727" t="s">
        <v>50</v>
      </c>
      <c r="H89" s="200" t="s">
        <v>510</v>
      </c>
      <c r="I89" s="217"/>
      <c r="J89" s="3171"/>
      <c r="K89" s="3171"/>
      <c r="L89" s="3125">
        <v>0</v>
      </c>
      <c r="M89" s="3124">
        <v>0</v>
      </c>
      <c r="N89" s="3125">
        <v>0</v>
      </c>
      <c r="O89" s="3125">
        <v>0</v>
      </c>
      <c r="P89" s="3125">
        <v>0</v>
      </c>
      <c r="Q89" s="3125">
        <f t="shared" si="20"/>
        <v>0</v>
      </c>
      <c r="R89" s="3605">
        <v>0</v>
      </c>
      <c r="S89" s="3275"/>
      <c r="T89" s="3826"/>
      <c r="U89" s="3771"/>
      <c r="V89" s="1846">
        <f t="shared" si="15"/>
        <v>0</v>
      </c>
    </row>
    <row r="90" spans="1:22" s="257" customFormat="1" ht="15.05" hidden="1" customHeight="1">
      <c r="A90" s="1855"/>
      <c r="B90" s="1855"/>
      <c r="C90" s="1855"/>
      <c r="D90" s="1855"/>
      <c r="E90" s="1855"/>
      <c r="F90" s="1863"/>
      <c r="G90" s="2727" t="s">
        <v>50</v>
      </c>
      <c r="H90" s="200" t="s">
        <v>511</v>
      </c>
      <c r="I90" s="217"/>
      <c r="J90" s="3171"/>
      <c r="K90" s="3171"/>
      <c r="L90" s="3125">
        <v>0</v>
      </c>
      <c r="M90" s="3124">
        <v>0</v>
      </c>
      <c r="N90" s="3125">
        <v>0</v>
      </c>
      <c r="O90" s="3125">
        <v>0</v>
      </c>
      <c r="P90" s="3125">
        <v>0</v>
      </c>
      <c r="Q90" s="3125">
        <f t="shared" si="20"/>
        <v>0</v>
      </c>
      <c r="R90" s="3605">
        <v>0</v>
      </c>
      <c r="S90" s="3275"/>
      <c r="T90" s="3826"/>
      <c r="U90" s="3771"/>
      <c r="V90" s="1846">
        <f t="shared" si="15"/>
        <v>0</v>
      </c>
    </row>
    <row r="91" spans="1:22" s="257" customFormat="1" ht="15.05" hidden="1" customHeight="1">
      <c r="A91" s="1855"/>
      <c r="B91" s="1855"/>
      <c r="C91" s="1855"/>
      <c r="D91" s="1855"/>
      <c r="E91" s="1855"/>
      <c r="F91" s="1863"/>
      <c r="G91" s="2727" t="s">
        <v>50</v>
      </c>
      <c r="H91" s="200" t="s">
        <v>512</v>
      </c>
      <c r="I91" s="217"/>
      <c r="J91" s="3171"/>
      <c r="K91" s="3171"/>
      <c r="L91" s="3125">
        <v>0</v>
      </c>
      <c r="M91" s="3124">
        <v>0</v>
      </c>
      <c r="N91" s="3125">
        <v>0</v>
      </c>
      <c r="O91" s="3125">
        <v>0</v>
      </c>
      <c r="P91" s="3125">
        <v>0</v>
      </c>
      <c r="Q91" s="3125">
        <f t="shared" si="20"/>
        <v>0</v>
      </c>
      <c r="R91" s="3605">
        <v>0</v>
      </c>
      <c r="S91" s="3275"/>
      <c r="T91" s="3826"/>
      <c r="U91" s="3771"/>
      <c r="V91" s="1846">
        <f t="shared" si="15"/>
        <v>0</v>
      </c>
    </row>
    <row r="92" spans="1:22" s="257" customFormat="1" ht="15.05" hidden="1" customHeight="1">
      <c r="A92" s="1855"/>
      <c r="B92" s="1855"/>
      <c r="C92" s="1855"/>
      <c r="D92" s="1855"/>
      <c r="E92" s="1855"/>
      <c r="F92" s="2757" t="s">
        <v>50</v>
      </c>
      <c r="G92" s="202"/>
      <c r="H92" s="200" t="s">
        <v>513</v>
      </c>
      <c r="I92" s="217"/>
      <c r="J92" s="3171"/>
      <c r="K92" s="3171"/>
      <c r="L92" s="3125">
        <v>0</v>
      </c>
      <c r="M92" s="3124">
        <v>0</v>
      </c>
      <c r="N92" s="3125">
        <v>0</v>
      </c>
      <c r="O92" s="3125">
        <v>0</v>
      </c>
      <c r="P92" s="3125">
        <v>0</v>
      </c>
      <c r="Q92" s="3125">
        <f t="shared" si="20"/>
        <v>0</v>
      </c>
      <c r="R92" s="3605">
        <v>0</v>
      </c>
      <c r="S92" s="3275"/>
      <c r="T92" s="3826"/>
      <c r="U92" s="3771"/>
      <c r="V92" s="1846">
        <f t="shared" si="15"/>
        <v>0</v>
      </c>
    </row>
    <row r="93" spans="1:22" s="257" customFormat="1" ht="15.05" hidden="1" customHeight="1">
      <c r="A93" s="1855"/>
      <c r="B93" s="1855"/>
      <c r="C93" s="1855"/>
      <c r="D93" s="1855"/>
      <c r="E93" s="1855"/>
      <c r="F93" s="2757" t="s">
        <v>50</v>
      </c>
      <c r="G93" s="202"/>
      <c r="H93" s="200" t="s">
        <v>514</v>
      </c>
      <c r="I93" s="217"/>
      <c r="J93" s="3171"/>
      <c r="K93" s="3171"/>
      <c r="L93" s="3125">
        <v>0</v>
      </c>
      <c r="M93" s="3124">
        <v>0</v>
      </c>
      <c r="N93" s="3125">
        <v>0</v>
      </c>
      <c r="O93" s="3125">
        <v>0</v>
      </c>
      <c r="P93" s="3125">
        <v>0</v>
      </c>
      <c r="Q93" s="3125">
        <f t="shared" si="20"/>
        <v>0</v>
      </c>
      <c r="R93" s="3605">
        <v>0</v>
      </c>
      <c r="S93" s="3275"/>
      <c r="T93" s="3826"/>
      <c r="U93" s="3771"/>
      <c r="V93" s="1846">
        <f t="shared" si="15"/>
        <v>0</v>
      </c>
    </row>
    <row r="94" spans="1:22" s="257" customFormat="1" ht="15.05" hidden="1" customHeight="1">
      <c r="A94" s="1855"/>
      <c r="B94" s="1855"/>
      <c r="C94" s="1855"/>
      <c r="D94" s="1855"/>
      <c r="E94" s="1855"/>
      <c r="F94" s="2757" t="s">
        <v>50</v>
      </c>
      <c r="G94" s="202"/>
      <c r="H94" s="202" t="s">
        <v>515</v>
      </c>
      <c r="I94" s="218"/>
      <c r="J94" s="3123"/>
      <c r="K94" s="3123"/>
      <c r="L94" s="3182">
        <v>0</v>
      </c>
      <c r="M94" s="3183">
        <v>0</v>
      </c>
      <c r="N94" s="3182">
        <v>0</v>
      </c>
      <c r="O94" s="3182">
        <v>0</v>
      </c>
      <c r="P94" s="3182">
        <v>0</v>
      </c>
      <c r="Q94" s="3182">
        <f t="shared" si="20"/>
        <v>0</v>
      </c>
      <c r="R94" s="3601">
        <v>0</v>
      </c>
      <c r="S94" s="3710"/>
      <c r="T94" s="3829"/>
      <c r="U94" s="3779">
        <v>0</v>
      </c>
      <c r="V94" s="1846">
        <f t="shared" si="15"/>
        <v>0</v>
      </c>
    </row>
    <row r="95" spans="1:22" s="4329" customFormat="1" ht="15.05" customHeight="1">
      <c r="A95" s="4283"/>
      <c r="B95" s="4283"/>
      <c r="C95" s="4283"/>
      <c r="D95" s="4283"/>
      <c r="E95" s="4283"/>
      <c r="F95" s="1464" t="s">
        <v>516</v>
      </c>
      <c r="G95" s="1860"/>
      <c r="H95" s="202"/>
      <c r="I95" s="218"/>
      <c r="J95" s="3123">
        <f t="shared" ref="J95:P95" si="25">J96</f>
        <v>2235631500</v>
      </c>
      <c r="K95" s="3123">
        <f t="shared" si="25"/>
        <v>2302353487</v>
      </c>
      <c r="L95" s="3123">
        <f t="shared" si="25"/>
        <v>2235631500</v>
      </c>
      <c r="M95" s="3123">
        <f t="shared" si="25"/>
        <v>181908726</v>
      </c>
      <c r="N95" s="3123">
        <f t="shared" si="25"/>
        <v>0</v>
      </c>
      <c r="O95" s="3123">
        <f t="shared" si="25"/>
        <v>181908726</v>
      </c>
      <c r="P95" s="3123">
        <f t="shared" si="25"/>
        <v>2685631500</v>
      </c>
      <c r="Q95" s="3182">
        <f t="shared" si="20"/>
        <v>450000000</v>
      </c>
      <c r="R95" s="3914">
        <f t="shared" ref="R95:R106" si="26">+P95/L95*100-100</f>
        <v>20.128540861944373</v>
      </c>
      <c r="S95" s="4356"/>
      <c r="T95" s="4357"/>
      <c r="U95" s="4421">
        <v>0</v>
      </c>
      <c r="V95" s="3925">
        <f t="shared" si="15"/>
        <v>727634904</v>
      </c>
    </row>
    <row r="96" spans="1:22" s="3896" customFormat="1" ht="15.05" customHeight="1">
      <c r="A96" s="3924"/>
      <c r="B96" s="3924"/>
      <c r="C96" s="3924"/>
      <c r="D96" s="3924"/>
      <c r="E96" s="3924"/>
      <c r="F96" s="1857" t="s">
        <v>50</v>
      </c>
      <c r="G96" s="200" t="s">
        <v>517</v>
      </c>
      <c r="H96" s="257"/>
      <c r="I96" s="217"/>
      <c r="J96" s="3171">
        <f>J97+J101</f>
        <v>2235631500</v>
      </c>
      <c r="K96" s="3171">
        <f t="shared" ref="K96:P96" si="27">K97+K101</f>
        <v>2302353487</v>
      </c>
      <c r="L96" s="3171">
        <f t="shared" si="27"/>
        <v>2235631500</v>
      </c>
      <c r="M96" s="3171">
        <f t="shared" si="27"/>
        <v>181908726</v>
      </c>
      <c r="N96" s="3171">
        <f t="shared" si="27"/>
        <v>0</v>
      </c>
      <c r="O96" s="3171">
        <f t="shared" si="27"/>
        <v>181908726</v>
      </c>
      <c r="P96" s="3171">
        <f t="shared" si="27"/>
        <v>2685631500</v>
      </c>
      <c r="Q96" s="3165">
        <f t="shared" si="20"/>
        <v>450000000</v>
      </c>
      <c r="R96" s="3926">
        <f t="shared" si="26"/>
        <v>20.128540861944373</v>
      </c>
      <c r="S96" s="4335"/>
      <c r="T96" s="3922"/>
      <c r="U96" s="4353">
        <f>PerDinas!Q506</f>
        <v>0</v>
      </c>
      <c r="V96" s="3925">
        <f t="shared" si="15"/>
        <v>727634904</v>
      </c>
    </row>
    <row r="97" spans="1:22" s="3896" customFormat="1" ht="15.05" customHeight="1">
      <c r="A97" s="3924"/>
      <c r="B97" s="3924"/>
      <c r="C97" s="3924"/>
      <c r="D97" s="3924"/>
      <c r="E97" s="3924"/>
      <c r="F97" s="200"/>
      <c r="G97" s="202" t="s">
        <v>518</v>
      </c>
      <c r="H97" s="200"/>
      <c r="I97" s="217"/>
      <c r="J97" s="3171">
        <f t="shared" ref="J97:O97" si="28">SUM(J98:J100)</f>
        <v>2075381500</v>
      </c>
      <c r="K97" s="3171">
        <f t="shared" si="28"/>
        <v>2275353487</v>
      </c>
      <c r="L97" s="3171">
        <f t="shared" si="28"/>
        <v>2075381500</v>
      </c>
      <c r="M97" s="3171">
        <f t="shared" si="28"/>
        <v>142158726</v>
      </c>
      <c r="N97" s="3171">
        <f t="shared" si="28"/>
        <v>0</v>
      </c>
      <c r="O97" s="3171">
        <f t="shared" si="28"/>
        <v>142158726</v>
      </c>
      <c r="P97" s="3125">
        <f>SUM(P98:P100)</f>
        <v>2525381500</v>
      </c>
      <c r="Q97" s="3125">
        <f t="shared" si="20"/>
        <v>450000000</v>
      </c>
      <c r="R97" s="3926">
        <f t="shared" si="26"/>
        <v>21.682760494877698</v>
      </c>
      <c r="S97" s="4335"/>
      <c r="T97" s="3922"/>
      <c r="U97" s="4353">
        <f>MAR!P358</f>
        <v>0</v>
      </c>
      <c r="V97" s="3925">
        <f t="shared" si="15"/>
        <v>568634904</v>
      </c>
    </row>
    <row r="98" spans="1:22" s="3896" customFormat="1" ht="15.05" customHeight="1">
      <c r="A98" s="3924"/>
      <c r="B98" s="3924"/>
      <c r="C98" s="3924"/>
      <c r="D98" s="3924"/>
      <c r="E98" s="3924"/>
      <c r="F98" s="200"/>
      <c r="G98" s="2771" t="s">
        <v>519</v>
      </c>
      <c r="H98" s="200"/>
      <c r="I98" s="217"/>
      <c r="J98" s="3171">
        <v>1043101100</v>
      </c>
      <c r="K98" s="3171">
        <v>885184616</v>
      </c>
      <c r="L98" s="3125">
        <v>1043101100</v>
      </c>
      <c r="M98" s="3124">
        <v>6500000</v>
      </c>
      <c r="N98" s="3125">
        <v>0</v>
      </c>
      <c r="O98" s="3125">
        <v>6500000</v>
      </c>
      <c r="P98" s="3125">
        <v>1043101100</v>
      </c>
      <c r="Q98" s="3125">
        <f t="shared" si="20"/>
        <v>0</v>
      </c>
      <c r="R98" s="3926">
        <f t="shared" si="26"/>
        <v>0</v>
      </c>
      <c r="S98" s="4335"/>
      <c r="T98" s="3922"/>
      <c r="U98" s="4353">
        <f>MAR!P359</f>
        <v>0</v>
      </c>
      <c r="V98" s="3925">
        <f t="shared" si="15"/>
        <v>26000000</v>
      </c>
    </row>
    <row r="99" spans="1:22" s="3896" customFormat="1" ht="15.05" customHeight="1">
      <c r="A99" s="3924"/>
      <c r="B99" s="3924"/>
      <c r="C99" s="3924"/>
      <c r="D99" s="3924"/>
      <c r="E99" s="3924"/>
      <c r="F99" s="200"/>
      <c r="G99" s="2771" t="s">
        <v>520</v>
      </c>
      <c r="H99" s="200"/>
      <c r="I99" s="217"/>
      <c r="J99" s="3171">
        <v>532280400</v>
      </c>
      <c r="K99" s="3171">
        <v>131086220</v>
      </c>
      <c r="L99" s="3125">
        <v>532280400</v>
      </c>
      <c r="M99" s="3124">
        <v>23000000</v>
      </c>
      <c r="N99" s="3125">
        <v>0</v>
      </c>
      <c r="O99" s="3125">
        <v>23000000</v>
      </c>
      <c r="P99" s="3125">
        <v>532280400</v>
      </c>
      <c r="Q99" s="3125">
        <f t="shared" si="20"/>
        <v>0</v>
      </c>
      <c r="R99" s="3926">
        <f t="shared" si="26"/>
        <v>0</v>
      </c>
      <c r="S99" s="4335"/>
      <c r="T99" s="3922"/>
      <c r="U99" s="4353">
        <f>MAR!P360</f>
        <v>0</v>
      </c>
      <c r="V99" s="3925">
        <f t="shared" si="15"/>
        <v>92000000</v>
      </c>
    </row>
    <row r="100" spans="1:22" s="3896" customFormat="1" ht="15.05" customHeight="1">
      <c r="A100" s="3924"/>
      <c r="B100" s="3924"/>
      <c r="C100" s="3924"/>
      <c r="D100" s="3924"/>
      <c r="E100" s="3924"/>
      <c r="F100" s="3917"/>
      <c r="G100" s="4424" t="s">
        <v>521</v>
      </c>
      <c r="H100" s="3917"/>
      <c r="I100" s="4422"/>
      <c r="J100" s="3918">
        <v>500000000</v>
      </c>
      <c r="K100" s="3918">
        <v>1259082651</v>
      </c>
      <c r="L100" s="3919">
        <v>500000000</v>
      </c>
      <c r="M100" s="3265">
        <v>112658726</v>
      </c>
      <c r="N100" s="3919">
        <v>0</v>
      </c>
      <c r="O100" s="3919">
        <v>112658726</v>
      </c>
      <c r="P100" s="3919">
        <v>950000000</v>
      </c>
      <c r="Q100" s="3919">
        <f t="shared" si="20"/>
        <v>450000000</v>
      </c>
      <c r="R100" s="3920">
        <f t="shared" si="26"/>
        <v>90</v>
      </c>
      <c r="S100" s="4335"/>
      <c r="T100" s="3922"/>
      <c r="U100" s="4353">
        <f>MAR!P361</f>
        <v>0</v>
      </c>
      <c r="V100" s="3925">
        <f t="shared" si="15"/>
        <v>450634904</v>
      </c>
    </row>
    <row r="101" spans="1:22" s="3896" customFormat="1" ht="15.05" customHeight="1">
      <c r="A101" s="3924"/>
      <c r="B101" s="3924"/>
      <c r="C101" s="3924"/>
      <c r="D101" s="3924"/>
      <c r="E101" s="3924"/>
      <c r="F101" s="200"/>
      <c r="G101" s="202" t="s">
        <v>522</v>
      </c>
      <c r="H101" s="200"/>
      <c r="I101" s="217"/>
      <c r="J101" s="3171">
        <f>SUM(J102:J107)</f>
        <v>160250000</v>
      </c>
      <c r="K101" s="3171">
        <v>27000000</v>
      </c>
      <c r="L101" s="3171">
        <f>SUM(L102:L107)</f>
        <v>160250000</v>
      </c>
      <c r="M101" s="3171">
        <f>SUM(M102:M107)</f>
        <v>39750000</v>
      </c>
      <c r="N101" s="3171">
        <f>SUM(N102:N107)</f>
        <v>0</v>
      </c>
      <c r="O101" s="3171">
        <f>SUM(O102:O107)</f>
        <v>39750000</v>
      </c>
      <c r="P101" s="3171">
        <f>SUM(P102:P107)</f>
        <v>160250000</v>
      </c>
      <c r="Q101" s="3125">
        <f t="shared" si="20"/>
        <v>0</v>
      </c>
      <c r="R101" s="3926">
        <f t="shared" si="26"/>
        <v>0</v>
      </c>
      <c r="S101" s="3921"/>
      <c r="T101" s="3922"/>
      <c r="U101" s="4353"/>
      <c r="V101" s="3925">
        <f t="shared" si="15"/>
        <v>159000000</v>
      </c>
    </row>
    <row r="102" spans="1:22" s="3896" customFormat="1" ht="15.05" customHeight="1">
      <c r="A102" s="3924"/>
      <c r="B102" s="3924"/>
      <c r="C102" s="3924"/>
      <c r="D102" s="3924"/>
      <c r="E102" s="3924"/>
      <c r="F102" s="200"/>
      <c r="G102" s="2772" t="s">
        <v>187</v>
      </c>
      <c r="H102" s="200"/>
      <c r="I102" s="217"/>
      <c r="J102" s="3188">
        <v>35000000</v>
      </c>
      <c r="K102" s="3171">
        <v>0</v>
      </c>
      <c r="L102" s="3125">
        <v>35000000</v>
      </c>
      <c r="M102" s="3124">
        <v>22500000</v>
      </c>
      <c r="N102" s="3125">
        <v>0</v>
      </c>
      <c r="O102" s="3125">
        <v>22500000</v>
      </c>
      <c r="P102" s="3125">
        <v>35000000</v>
      </c>
      <c r="Q102" s="3125">
        <f t="shared" si="20"/>
        <v>0</v>
      </c>
      <c r="R102" s="3926">
        <f t="shared" si="26"/>
        <v>0</v>
      </c>
      <c r="S102" s="4335"/>
      <c r="T102" s="3922"/>
      <c r="U102" s="4353">
        <f>MAR!P363</f>
        <v>0</v>
      </c>
      <c r="V102" s="3925">
        <f t="shared" si="15"/>
        <v>90000000</v>
      </c>
    </row>
    <row r="103" spans="1:22" s="3896" customFormat="1" ht="15.05" customHeight="1">
      <c r="A103" s="3924"/>
      <c r="B103" s="3924"/>
      <c r="C103" s="3924"/>
      <c r="D103" s="3924"/>
      <c r="E103" s="3924"/>
      <c r="F103" s="200"/>
      <c r="G103" s="2772" t="s">
        <v>188</v>
      </c>
      <c r="H103" s="200"/>
      <c r="I103" s="217"/>
      <c r="J103" s="3188">
        <v>28000000</v>
      </c>
      <c r="K103" s="3171">
        <v>0</v>
      </c>
      <c r="L103" s="3125">
        <v>28000000</v>
      </c>
      <c r="M103" s="3124">
        <v>0</v>
      </c>
      <c r="N103" s="3125">
        <v>0</v>
      </c>
      <c r="O103" s="3125">
        <v>0</v>
      </c>
      <c r="P103" s="3125">
        <v>28000000</v>
      </c>
      <c r="Q103" s="3125">
        <f t="shared" si="20"/>
        <v>0</v>
      </c>
      <c r="R103" s="3926">
        <f t="shared" si="26"/>
        <v>0</v>
      </c>
      <c r="S103" s="4335"/>
      <c r="T103" s="3922"/>
      <c r="U103" s="4353">
        <f>MAR!P364</f>
        <v>0</v>
      </c>
      <c r="V103" s="3925">
        <f t="shared" si="15"/>
        <v>0</v>
      </c>
    </row>
    <row r="104" spans="1:22" s="3896" customFormat="1" ht="15.05" customHeight="1">
      <c r="A104" s="3924"/>
      <c r="B104" s="3924"/>
      <c r="C104" s="3924"/>
      <c r="D104" s="3924"/>
      <c r="E104" s="3924"/>
      <c r="F104" s="200"/>
      <c r="G104" s="2772" t="s">
        <v>189</v>
      </c>
      <c r="H104" s="200"/>
      <c r="I104" s="217"/>
      <c r="J104" s="3188">
        <v>17250000</v>
      </c>
      <c r="K104" s="3171">
        <v>0</v>
      </c>
      <c r="L104" s="3125">
        <v>17250000</v>
      </c>
      <c r="M104" s="3124">
        <v>17250000</v>
      </c>
      <c r="N104" s="3125">
        <v>0</v>
      </c>
      <c r="O104" s="3125">
        <v>17250000</v>
      </c>
      <c r="P104" s="3125">
        <v>17250000</v>
      </c>
      <c r="Q104" s="3125">
        <f t="shared" si="20"/>
        <v>0</v>
      </c>
      <c r="R104" s="3926">
        <f t="shared" si="26"/>
        <v>0</v>
      </c>
      <c r="S104" s="4335"/>
      <c r="T104" s="3922"/>
      <c r="U104" s="4353">
        <f>MAR!P365</f>
        <v>0</v>
      </c>
      <c r="V104" s="3925">
        <f t="shared" si="15"/>
        <v>69000000</v>
      </c>
    </row>
    <row r="105" spans="1:22" s="3896" customFormat="1" ht="15.05" customHeight="1">
      <c r="A105" s="3924"/>
      <c r="B105" s="3924"/>
      <c r="C105" s="3924"/>
      <c r="D105" s="3924"/>
      <c r="E105" s="3924"/>
      <c r="F105" s="202"/>
      <c r="G105" s="2772" t="s">
        <v>190</v>
      </c>
      <c r="H105" s="200"/>
      <c r="I105" s="217"/>
      <c r="J105" s="3188">
        <v>30000000</v>
      </c>
      <c r="K105" s="3171">
        <v>0</v>
      </c>
      <c r="L105" s="3125">
        <v>30000000</v>
      </c>
      <c r="M105" s="3124">
        <v>0</v>
      </c>
      <c r="N105" s="3125">
        <v>0</v>
      </c>
      <c r="O105" s="3125">
        <v>0</v>
      </c>
      <c r="P105" s="3125">
        <v>30000000</v>
      </c>
      <c r="Q105" s="3125">
        <f t="shared" si="20"/>
        <v>0</v>
      </c>
      <c r="R105" s="3926">
        <f t="shared" si="26"/>
        <v>0</v>
      </c>
      <c r="S105" s="4335"/>
      <c r="T105" s="3922"/>
      <c r="U105" s="4353">
        <f>MAR!P366</f>
        <v>0</v>
      </c>
      <c r="V105" s="3925">
        <f t="shared" si="15"/>
        <v>0</v>
      </c>
    </row>
    <row r="106" spans="1:22" s="3896" customFormat="1" ht="15.05" customHeight="1">
      <c r="A106" s="3924"/>
      <c r="B106" s="3924"/>
      <c r="C106" s="3924"/>
      <c r="D106" s="3924"/>
      <c r="E106" s="3924"/>
      <c r="F106" s="202"/>
      <c r="G106" s="2772" t="s">
        <v>191</v>
      </c>
      <c r="H106" s="200"/>
      <c r="I106" s="217"/>
      <c r="J106" s="3188">
        <v>50000000</v>
      </c>
      <c r="K106" s="3171">
        <v>0</v>
      </c>
      <c r="L106" s="3125">
        <v>50000000</v>
      </c>
      <c r="M106" s="3124">
        <v>0</v>
      </c>
      <c r="N106" s="3125">
        <v>0</v>
      </c>
      <c r="O106" s="3125">
        <v>0</v>
      </c>
      <c r="P106" s="3125">
        <v>50000000</v>
      </c>
      <c r="Q106" s="3125">
        <f t="shared" si="20"/>
        <v>0</v>
      </c>
      <c r="R106" s="3926">
        <f t="shared" si="26"/>
        <v>0</v>
      </c>
      <c r="S106" s="4335"/>
      <c r="T106" s="3922"/>
      <c r="U106" s="4353">
        <f>MAR!P367</f>
        <v>0</v>
      </c>
      <c r="V106" s="3925">
        <f t="shared" si="15"/>
        <v>0</v>
      </c>
    </row>
    <row r="107" spans="1:22" s="3896" customFormat="1" ht="15.05" customHeight="1">
      <c r="A107" s="3924"/>
      <c r="B107" s="3924"/>
      <c r="C107" s="3924"/>
      <c r="D107" s="3924"/>
      <c r="E107" s="3924"/>
      <c r="F107" s="200"/>
      <c r="G107" s="847" t="s">
        <v>192</v>
      </c>
      <c r="H107" s="200"/>
      <c r="I107" s="217"/>
      <c r="J107" s="3171"/>
      <c r="K107" s="3171"/>
      <c r="L107" s="3125">
        <v>0</v>
      </c>
      <c r="M107" s="3124">
        <v>0</v>
      </c>
      <c r="N107" s="3125">
        <v>0</v>
      </c>
      <c r="O107" s="3125">
        <v>0</v>
      </c>
      <c r="P107" s="3125">
        <v>0</v>
      </c>
      <c r="Q107" s="3125">
        <f t="shared" si="20"/>
        <v>0</v>
      </c>
      <c r="R107" s="3926">
        <v>0</v>
      </c>
      <c r="S107" s="4335"/>
      <c r="T107" s="3922"/>
      <c r="U107" s="4353">
        <f>MAR!P368</f>
        <v>0</v>
      </c>
      <c r="V107" s="3925">
        <f t="shared" si="15"/>
        <v>0</v>
      </c>
    </row>
    <row r="108" spans="1:22" s="257" customFormat="1" ht="15.05" customHeight="1">
      <c r="A108" s="1855"/>
      <c r="B108" s="1855"/>
      <c r="C108" s="1855"/>
      <c r="D108" s="1855"/>
      <c r="E108" s="1855"/>
      <c r="F108" s="200"/>
      <c r="G108" s="847"/>
      <c r="H108" s="200"/>
      <c r="I108" s="217"/>
      <c r="J108" s="3171"/>
      <c r="K108" s="3171"/>
      <c r="L108" s="3125"/>
      <c r="M108" s="3124"/>
      <c r="N108" s="3189"/>
      <c r="O108" s="3125"/>
      <c r="P108" s="3125"/>
      <c r="Q108" s="3125"/>
      <c r="R108" s="3926"/>
      <c r="S108" s="3275"/>
      <c r="T108" s="3826"/>
      <c r="U108" s="3778"/>
      <c r="V108" s="1846"/>
    </row>
    <row r="109" spans="1:22" s="257" customFormat="1" ht="15.05" hidden="1" customHeight="1">
      <c r="A109" s="1855"/>
      <c r="B109" s="1855"/>
      <c r="C109" s="1855"/>
      <c r="D109" s="1855"/>
      <c r="E109" s="1855"/>
      <c r="F109" s="1856" t="s">
        <v>411</v>
      </c>
      <c r="G109" s="847"/>
      <c r="H109" s="200"/>
      <c r="I109" s="217"/>
      <c r="J109" s="3171"/>
      <c r="K109" s="3171"/>
      <c r="L109" s="3125"/>
      <c r="M109" s="3190">
        <v>9495000</v>
      </c>
      <c r="N109" s="3191">
        <v>15445000</v>
      </c>
      <c r="O109" s="3128">
        <v>24940000</v>
      </c>
      <c r="P109" s="3128">
        <f>+P110</f>
        <v>75000000</v>
      </c>
      <c r="Q109" s="3128">
        <f>+P109-L109</f>
        <v>75000000</v>
      </c>
      <c r="R109" s="3926">
        <v>0</v>
      </c>
      <c r="S109" s="3275"/>
      <c r="T109" s="3826"/>
      <c r="U109" s="3778"/>
      <c r="V109" s="1846">
        <f t="shared" ref="V109:V173" si="29">O109*4</f>
        <v>99760000</v>
      </c>
    </row>
    <row r="110" spans="1:22" s="257" customFormat="1" ht="15.05" hidden="1" customHeight="1">
      <c r="A110" s="1855"/>
      <c r="B110" s="1855"/>
      <c r="C110" s="1855"/>
      <c r="D110" s="1855"/>
      <c r="E110" s="1855"/>
      <c r="F110" s="2744" t="s">
        <v>50</v>
      </c>
      <c r="G110" s="224" t="s">
        <v>413</v>
      </c>
      <c r="H110" s="200"/>
      <c r="I110" s="217"/>
      <c r="J110" s="3171"/>
      <c r="K110" s="3171"/>
      <c r="L110" s="3125"/>
      <c r="M110" s="3190">
        <v>9495000</v>
      </c>
      <c r="N110" s="3192">
        <v>15445000</v>
      </c>
      <c r="O110" s="3165">
        <v>24940000</v>
      </c>
      <c r="P110" s="3165">
        <v>75000000</v>
      </c>
      <c r="Q110" s="3165">
        <f>+P110-L110</f>
        <v>75000000</v>
      </c>
      <c r="R110" s="3926">
        <v>0</v>
      </c>
      <c r="S110" s="3275"/>
      <c r="T110" s="3826"/>
      <c r="U110" s="3778"/>
      <c r="V110" s="1846">
        <f t="shared" si="29"/>
        <v>99760000</v>
      </c>
    </row>
    <row r="111" spans="1:22" s="257" customFormat="1" ht="15.05" hidden="1" customHeight="1">
      <c r="A111" s="1855"/>
      <c r="B111" s="1855"/>
      <c r="C111" s="1855"/>
      <c r="D111" s="1855"/>
      <c r="E111" s="1855"/>
      <c r="F111" s="1857"/>
      <c r="G111" s="1858"/>
      <c r="H111" s="200"/>
      <c r="I111" s="217"/>
      <c r="J111" s="3171"/>
      <c r="K111" s="3171"/>
      <c r="L111" s="3125"/>
      <c r="M111" s="3124"/>
      <c r="N111" s="3125"/>
      <c r="O111" s="3125"/>
      <c r="P111" s="3125"/>
      <c r="Q111" s="3125"/>
      <c r="R111" s="3926"/>
      <c r="S111" s="3275"/>
      <c r="T111" s="3826"/>
      <c r="U111" s="3778"/>
      <c r="V111" s="1846">
        <f t="shared" si="29"/>
        <v>0</v>
      </c>
    </row>
    <row r="112" spans="1:22" s="1318" customFormat="1" ht="15.05" customHeight="1">
      <c r="A112" s="1854"/>
      <c r="B112" s="1854"/>
      <c r="C112" s="1854"/>
      <c r="D112" s="1854"/>
      <c r="E112" s="1854"/>
      <c r="F112" s="1464" t="s">
        <v>523</v>
      </c>
      <c r="G112" s="1860"/>
      <c r="H112" s="202"/>
      <c r="I112" s="218"/>
      <c r="J112" s="3123">
        <f>SUM(J113:J114)</f>
        <v>0</v>
      </c>
      <c r="K112" s="3123">
        <f t="shared" ref="K112:P112" si="30">SUM(K113:K114)</f>
        <v>10063750</v>
      </c>
      <c r="L112" s="3123">
        <f t="shared" si="30"/>
        <v>0</v>
      </c>
      <c r="M112" s="3123">
        <f t="shared" si="30"/>
        <v>0</v>
      </c>
      <c r="N112" s="3123">
        <f t="shared" si="30"/>
        <v>0</v>
      </c>
      <c r="O112" s="3123">
        <f t="shared" si="30"/>
        <v>0</v>
      </c>
      <c r="P112" s="3123">
        <f t="shared" si="30"/>
        <v>0</v>
      </c>
      <c r="Q112" s="3182">
        <f t="shared" ref="Q112:Q136" si="31">+P112-L112</f>
        <v>0</v>
      </c>
      <c r="R112" s="3914">
        <v>0</v>
      </c>
      <c r="S112" s="3710"/>
      <c r="T112" s="3829"/>
      <c r="U112" s="3777"/>
      <c r="V112" s="1846">
        <f t="shared" si="29"/>
        <v>0</v>
      </c>
    </row>
    <row r="113" spans="1:22" s="257" customFormat="1" ht="15.05" customHeight="1">
      <c r="A113" s="1855"/>
      <c r="B113" s="1855"/>
      <c r="C113" s="1855"/>
      <c r="D113" s="1855"/>
      <c r="E113" s="1855"/>
      <c r="F113" s="1857" t="s">
        <v>50</v>
      </c>
      <c r="G113" s="1858"/>
      <c r="H113" s="200" t="s">
        <v>524</v>
      </c>
      <c r="I113" s="217"/>
      <c r="J113" s="3171">
        <v>0</v>
      </c>
      <c r="K113" s="3171">
        <v>0</v>
      </c>
      <c r="L113" s="3125"/>
      <c r="M113" s="3124"/>
      <c r="N113" s="3125"/>
      <c r="O113" s="3125"/>
      <c r="P113" s="3125"/>
      <c r="Q113" s="3125">
        <f t="shared" si="31"/>
        <v>0</v>
      </c>
      <c r="R113" s="3926">
        <v>0</v>
      </c>
      <c r="S113" s="3275"/>
      <c r="T113" s="3826"/>
      <c r="U113" s="3771"/>
      <c r="V113" s="1846">
        <f t="shared" si="29"/>
        <v>0</v>
      </c>
    </row>
    <row r="114" spans="1:22" s="257" customFormat="1" ht="15.05" customHeight="1">
      <c r="A114" s="1855"/>
      <c r="B114" s="1855"/>
      <c r="C114" s="1855"/>
      <c r="D114" s="1855"/>
      <c r="E114" s="1855"/>
      <c r="F114" s="1857" t="s">
        <v>50</v>
      </c>
      <c r="G114" s="1858"/>
      <c r="H114" s="200" t="s">
        <v>525</v>
      </c>
      <c r="I114" s="217"/>
      <c r="J114" s="3171">
        <v>0</v>
      </c>
      <c r="K114" s="3171">
        <v>10063750</v>
      </c>
      <c r="L114" s="3125"/>
      <c r="M114" s="3124"/>
      <c r="N114" s="3125"/>
      <c r="O114" s="3125"/>
      <c r="P114" s="3125"/>
      <c r="Q114" s="3125">
        <f t="shared" si="31"/>
        <v>0</v>
      </c>
      <c r="R114" s="3926">
        <v>0</v>
      </c>
      <c r="S114" s="3275"/>
      <c r="T114" s="3826"/>
      <c r="U114" s="3771"/>
      <c r="V114" s="1846">
        <f t="shared" si="29"/>
        <v>0</v>
      </c>
    </row>
    <row r="115" spans="1:22" s="1318" customFormat="1" ht="15.05" customHeight="1">
      <c r="A115" s="1854"/>
      <c r="B115" s="1854"/>
      <c r="C115" s="1854"/>
      <c r="D115" s="1854"/>
      <c r="E115" s="1854"/>
      <c r="F115" s="1464" t="s">
        <v>356</v>
      </c>
      <c r="G115" s="1860"/>
      <c r="H115" s="202"/>
      <c r="I115" s="218"/>
      <c r="J115" s="3123">
        <f t="shared" ref="J115:P115" si="32">SUM(J116:J119)</f>
        <v>785500000</v>
      </c>
      <c r="K115" s="3123">
        <f t="shared" si="32"/>
        <v>69752160</v>
      </c>
      <c r="L115" s="3123">
        <f t="shared" si="32"/>
        <v>785500000</v>
      </c>
      <c r="M115" s="3123">
        <f t="shared" si="32"/>
        <v>13303900</v>
      </c>
      <c r="N115" s="3123">
        <f t="shared" si="32"/>
        <v>120000</v>
      </c>
      <c r="O115" s="3123">
        <f t="shared" si="32"/>
        <v>13423900</v>
      </c>
      <c r="P115" s="3182">
        <f t="shared" si="32"/>
        <v>72000000</v>
      </c>
      <c r="Q115" s="3182">
        <f t="shared" si="31"/>
        <v>-713500000</v>
      </c>
      <c r="R115" s="3601">
        <f>+P115/L115*100-100</f>
        <v>-90.833863781031198</v>
      </c>
      <c r="S115" s="3710"/>
      <c r="T115" s="3829"/>
      <c r="U115" s="3777"/>
      <c r="V115" s="1846">
        <f t="shared" si="29"/>
        <v>53695600</v>
      </c>
    </row>
    <row r="116" spans="1:22" s="257" customFormat="1" ht="15.05" customHeight="1">
      <c r="A116" s="1855"/>
      <c r="B116" s="1855"/>
      <c r="C116" s="1855"/>
      <c r="D116" s="1855"/>
      <c r="E116" s="1855"/>
      <c r="F116" s="1857" t="s">
        <v>50</v>
      </c>
      <c r="G116" s="1858"/>
      <c r="H116" s="200" t="s">
        <v>1206</v>
      </c>
      <c r="I116" s="217"/>
      <c r="J116" s="3171">
        <v>40000000</v>
      </c>
      <c r="K116" s="3171">
        <v>31988660</v>
      </c>
      <c r="L116" s="3125">
        <v>40000000</v>
      </c>
      <c r="M116" s="3124">
        <v>7487600</v>
      </c>
      <c r="N116" s="3125">
        <v>0</v>
      </c>
      <c r="O116" s="3125">
        <v>7487600</v>
      </c>
      <c r="P116" s="3125">
        <v>45000000</v>
      </c>
      <c r="Q116" s="3125">
        <f t="shared" si="31"/>
        <v>5000000</v>
      </c>
      <c r="R116" s="3605">
        <f>+P116/L116*100-100</f>
        <v>12.5</v>
      </c>
      <c r="S116" s="3748"/>
      <c r="T116" s="3826"/>
      <c r="U116" s="3778">
        <f>MAR!P643</f>
        <v>0</v>
      </c>
      <c r="V116" s="1846">
        <f t="shared" si="29"/>
        <v>29950400</v>
      </c>
    </row>
    <row r="117" spans="1:22" s="5290" customFormat="1" ht="15.05" customHeight="1">
      <c r="A117" s="5278"/>
      <c r="B117" s="5278"/>
      <c r="C117" s="5278"/>
      <c r="D117" s="5278"/>
      <c r="E117" s="5278"/>
      <c r="F117" s="5274" t="s">
        <v>50</v>
      </c>
      <c r="G117" s="5279"/>
      <c r="H117" s="5280" t="s">
        <v>526</v>
      </c>
      <c r="I117" s="5281"/>
      <c r="J117" s="5282">
        <v>23000000</v>
      </c>
      <c r="K117" s="5282">
        <v>17749500</v>
      </c>
      <c r="L117" s="5283">
        <v>23000000</v>
      </c>
      <c r="M117" s="5284">
        <v>2276300</v>
      </c>
      <c r="N117" s="5283">
        <v>0</v>
      </c>
      <c r="O117" s="5283">
        <v>2276300</v>
      </c>
      <c r="P117" s="5283">
        <v>0</v>
      </c>
      <c r="Q117" s="5283">
        <f t="shared" si="31"/>
        <v>-23000000</v>
      </c>
      <c r="R117" s="5285">
        <f>+P117/L117*100-100</f>
        <v>-100</v>
      </c>
      <c r="S117" s="5286"/>
      <c r="T117" s="5287"/>
      <c r="U117" s="5288">
        <f>MAR!P644</f>
        <v>0</v>
      </c>
      <c r="V117" s="5289">
        <f t="shared" si="29"/>
        <v>9105200</v>
      </c>
    </row>
    <row r="118" spans="1:22" s="257" customFormat="1" ht="15.05" customHeight="1">
      <c r="A118" s="1855"/>
      <c r="B118" s="1855"/>
      <c r="C118" s="1855"/>
      <c r="D118" s="1855"/>
      <c r="E118" s="1855"/>
      <c r="F118" s="1857" t="s">
        <v>50</v>
      </c>
      <c r="G118" s="1858"/>
      <c r="H118" s="200" t="s">
        <v>527</v>
      </c>
      <c r="I118" s="217"/>
      <c r="J118" s="3171">
        <v>722500000</v>
      </c>
      <c r="K118" s="3171">
        <v>19497000</v>
      </c>
      <c r="L118" s="3125">
        <v>722500000</v>
      </c>
      <c r="M118" s="3124">
        <v>0</v>
      </c>
      <c r="N118" s="3125">
        <v>120000</v>
      </c>
      <c r="O118" s="3125">
        <v>120000</v>
      </c>
      <c r="P118" s="3125">
        <v>27000000</v>
      </c>
      <c r="Q118" s="3125">
        <f t="shared" si="31"/>
        <v>-695500000</v>
      </c>
      <c r="R118" s="3605">
        <f>+P118/L118*100-100</f>
        <v>-96.262975778546718</v>
      </c>
      <c r="S118" s="3748"/>
      <c r="T118" s="3826"/>
      <c r="U118" s="3778">
        <f>MAR!P645</f>
        <v>0</v>
      </c>
      <c r="V118" s="1846">
        <f t="shared" si="29"/>
        <v>480000</v>
      </c>
    </row>
    <row r="119" spans="1:22" s="257" customFormat="1" ht="15.05" customHeight="1">
      <c r="A119" s="1855"/>
      <c r="B119" s="1855"/>
      <c r="C119" s="1855"/>
      <c r="D119" s="1855"/>
      <c r="E119" s="1855"/>
      <c r="F119" s="1857" t="s">
        <v>50</v>
      </c>
      <c r="G119" s="1858"/>
      <c r="H119" s="200" t="s">
        <v>360</v>
      </c>
      <c r="I119" s="217"/>
      <c r="J119" s="3171">
        <v>0</v>
      </c>
      <c r="K119" s="3171">
        <v>517000</v>
      </c>
      <c r="L119" s="3125">
        <v>0</v>
      </c>
      <c r="M119" s="3124">
        <v>3540000</v>
      </c>
      <c r="N119" s="3125">
        <v>0</v>
      </c>
      <c r="O119" s="3125">
        <v>3540000</v>
      </c>
      <c r="P119" s="3125">
        <v>0</v>
      </c>
      <c r="Q119" s="3125">
        <f t="shared" si="31"/>
        <v>0</v>
      </c>
      <c r="R119" s="3605">
        <v>0</v>
      </c>
      <c r="S119" s="3748"/>
      <c r="T119" s="3826"/>
      <c r="U119" s="3778">
        <f>MAR!P646</f>
        <v>0</v>
      </c>
      <c r="V119" s="1846">
        <f t="shared" si="29"/>
        <v>14160000</v>
      </c>
    </row>
    <row r="120" spans="1:22" s="1318" customFormat="1" ht="15.05" customHeight="1">
      <c r="A120" s="1854"/>
      <c r="B120" s="1854"/>
      <c r="C120" s="1854"/>
      <c r="D120" s="1854"/>
      <c r="E120" s="1854"/>
      <c r="F120" s="1464" t="s">
        <v>528</v>
      </c>
      <c r="G120" s="1860"/>
      <c r="H120" s="202"/>
      <c r="I120" s="218"/>
      <c r="J120" s="3123">
        <f t="shared" ref="J120:P120" si="33">SUM(J121:J129)</f>
        <v>518680000</v>
      </c>
      <c r="K120" s="3123">
        <f t="shared" si="33"/>
        <v>348421200</v>
      </c>
      <c r="L120" s="3123">
        <f>SUM(L121:L129)</f>
        <v>518680000</v>
      </c>
      <c r="M120" s="3123">
        <f t="shared" si="33"/>
        <v>26025000</v>
      </c>
      <c r="N120" s="3123">
        <f t="shared" si="33"/>
        <v>27371000</v>
      </c>
      <c r="O120" s="3123">
        <f t="shared" si="33"/>
        <v>53396000</v>
      </c>
      <c r="P120" s="3182">
        <f t="shared" si="33"/>
        <v>443680000</v>
      </c>
      <c r="Q120" s="3182">
        <f t="shared" si="31"/>
        <v>-75000000</v>
      </c>
      <c r="R120" s="3601">
        <f t="shared" ref="R120:R125" si="34">+P120/L120*100-100</f>
        <v>-14.459782524870818</v>
      </c>
      <c r="S120" s="3710"/>
      <c r="T120" s="3829"/>
      <c r="U120" s="3777"/>
      <c r="V120" s="1846">
        <f t="shared" si="29"/>
        <v>213584000</v>
      </c>
    </row>
    <row r="121" spans="1:22" s="257" customFormat="1" ht="15.05" customHeight="1">
      <c r="A121" s="1855"/>
      <c r="B121" s="1855"/>
      <c r="C121" s="1855"/>
      <c r="D121" s="1855"/>
      <c r="E121" s="1855"/>
      <c r="F121" s="1857" t="s">
        <v>50</v>
      </c>
      <c r="G121" s="1858"/>
      <c r="H121" s="200" t="s">
        <v>375</v>
      </c>
      <c r="I121" s="217"/>
      <c r="J121" s="3171">
        <v>328430000</v>
      </c>
      <c r="K121" s="3171">
        <v>166841200</v>
      </c>
      <c r="L121" s="3125">
        <v>328430000</v>
      </c>
      <c r="M121" s="3124">
        <v>11650000</v>
      </c>
      <c r="N121" s="3125">
        <v>13471000</v>
      </c>
      <c r="O121" s="3125">
        <v>25121000</v>
      </c>
      <c r="P121" s="3125">
        <v>328430000</v>
      </c>
      <c r="Q121" s="3125">
        <f t="shared" si="31"/>
        <v>0</v>
      </c>
      <c r="R121" s="3605">
        <f t="shared" si="34"/>
        <v>0</v>
      </c>
      <c r="S121" s="3748"/>
      <c r="T121" s="3826"/>
      <c r="U121" s="3778">
        <f>MAR!P677</f>
        <v>0</v>
      </c>
      <c r="V121" s="1846">
        <f t="shared" si="29"/>
        <v>100484000</v>
      </c>
    </row>
    <row r="122" spans="1:22" s="257" customFormat="1" ht="15.05" customHeight="1">
      <c r="A122" s="1855"/>
      <c r="B122" s="1855"/>
      <c r="C122" s="1855"/>
      <c r="D122" s="1855"/>
      <c r="E122" s="1855"/>
      <c r="F122" s="1857" t="s">
        <v>50</v>
      </c>
      <c r="G122" s="1858"/>
      <c r="H122" s="200" t="s">
        <v>376</v>
      </c>
      <c r="I122" s="217"/>
      <c r="J122" s="3171">
        <v>15000000</v>
      </c>
      <c r="K122" s="3171">
        <v>16000000</v>
      </c>
      <c r="L122" s="3125">
        <v>15000000</v>
      </c>
      <c r="M122" s="3124">
        <v>2000000</v>
      </c>
      <c r="N122" s="3125">
        <v>0</v>
      </c>
      <c r="O122" s="3125">
        <v>2000000</v>
      </c>
      <c r="P122" s="3125">
        <v>15000000</v>
      </c>
      <c r="Q122" s="3125">
        <f t="shared" si="31"/>
        <v>0</v>
      </c>
      <c r="R122" s="3605">
        <f t="shared" si="34"/>
        <v>0</v>
      </c>
      <c r="S122" s="3748"/>
      <c r="T122" s="3826"/>
      <c r="U122" s="3778">
        <f>MAR!P678</f>
        <v>0</v>
      </c>
      <c r="V122" s="1846">
        <f t="shared" si="29"/>
        <v>8000000</v>
      </c>
    </row>
    <row r="123" spans="1:22" s="257" customFormat="1" ht="15.05" customHeight="1">
      <c r="A123" s="1855"/>
      <c r="B123" s="1855"/>
      <c r="C123" s="1855"/>
      <c r="D123" s="1855"/>
      <c r="E123" s="1855"/>
      <c r="F123" s="1857" t="s">
        <v>50</v>
      </c>
      <c r="G123" s="1858"/>
      <c r="H123" s="200" t="s">
        <v>377</v>
      </c>
      <c r="I123" s="217"/>
      <c r="J123" s="3171">
        <v>50000000</v>
      </c>
      <c r="K123" s="3171">
        <v>54930000</v>
      </c>
      <c r="L123" s="3125">
        <v>50000000</v>
      </c>
      <c r="M123" s="3124">
        <v>0</v>
      </c>
      <c r="N123" s="3125">
        <v>1500000</v>
      </c>
      <c r="O123" s="3125">
        <v>1500000</v>
      </c>
      <c r="P123" s="3125">
        <v>25000000</v>
      </c>
      <c r="Q123" s="3125">
        <f t="shared" si="31"/>
        <v>-25000000</v>
      </c>
      <c r="R123" s="3605">
        <f t="shared" si="34"/>
        <v>-50</v>
      </c>
      <c r="S123" s="3748"/>
      <c r="T123" s="3826"/>
      <c r="U123" s="3778">
        <f>MAR!P679</f>
        <v>0</v>
      </c>
      <c r="V123" s="1846">
        <f t="shared" si="29"/>
        <v>6000000</v>
      </c>
    </row>
    <row r="124" spans="1:22" s="257" customFormat="1" ht="15.05" customHeight="1">
      <c r="A124" s="1855"/>
      <c r="B124" s="1855"/>
      <c r="C124" s="1855"/>
      <c r="D124" s="1855"/>
      <c r="E124" s="1855"/>
      <c r="F124" s="1857" t="s">
        <v>50</v>
      </c>
      <c r="G124" s="1858"/>
      <c r="H124" s="200" t="s">
        <v>378</v>
      </c>
      <c r="I124" s="217"/>
      <c r="J124" s="3171">
        <v>40250000</v>
      </c>
      <c r="K124" s="3171">
        <v>33200000</v>
      </c>
      <c r="L124" s="3125">
        <v>40250000</v>
      </c>
      <c r="M124" s="3124">
        <v>1375000</v>
      </c>
      <c r="N124" s="3125">
        <v>0</v>
      </c>
      <c r="O124" s="3125">
        <v>1375000</v>
      </c>
      <c r="P124" s="3125">
        <v>40250000</v>
      </c>
      <c r="Q124" s="3125">
        <f t="shared" si="31"/>
        <v>0</v>
      </c>
      <c r="R124" s="3605">
        <f t="shared" si="34"/>
        <v>0</v>
      </c>
      <c r="S124" s="3748"/>
      <c r="T124" s="3826"/>
      <c r="U124" s="3778">
        <f>MAR!P680</f>
        <v>0</v>
      </c>
      <c r="V124" s="1846">
        <f t="shared" si="29"/>
        <v>5500000</v>
      </c>
    </row>
    <row r="125" spans="1:22" s="257" customFormat="1" ht="15.05" customHeight="1">
      <c r="A125" s="1855"/>
      <c r="B125" s="1855"/>
      <c r="C125" s="1855"/>
      <c r="D125" s="1855"/>
      <c r="E125" s="1855"/>
      <c r="F125" s="1857" t="s">
        <v>50</v>
      </c>
      <c r="G125" s="1858"/>
      <c r="H125" s="200" t="s">
        <v>379</v>
      </c>
      <c r="I125" s="217"/>
      <c r="J125" s="3171">
        <v>25000000</v>
      </c>
      <c r="K125" s="3171">
        <v>50450000</v>
      </c>
      <c r="L125" s="3125">
        <v>25000000</v>
      </c>
      <c r="M125" s="3124">
        <v>10000000</v>
      </c>
      <c r="N125" s="3125">
        <v>10900000</v>
      </c>
      <c r="O125" s="3125">
        <v>20900000</v>
      </c>
      <c r="P125" s="3125">
        <v>5000000</v>
      </c>
      <c r="Q125" s="3125">
        <f t="shared" si="31"/>
        <v>-20000000</v>
      </c>
      <c r="R125" s="3605">
        <f t="shared" si="34"/>
        <v>-80</v>
      </c>
      <c r="S125" s="3748"/>
      <c r="T125" s="3826"/>
      <c r="U125" s="3778">
        <f>MAR!P681</f>
        <v>0</v>
      </c>
      <c r="V125" s="1846">
        <f t="shared" si="29"/>
        <v>83600000</v>
      </c>
    </row>
    <row r="126" spans="1:22" s="257" customFormat="1" ht="15.05" customHeight="1">
      <c r="A126" s="1855"/>
      <c r="B126" s="1855"/>
      <c r="C126" s="1855"/>
      <c r="D126" s="1855"/>
      <c r="E126" s="1855"/>
      <c r="F126" s="1857" t="s">
        <v>50</v>
      </c>
      <c r="G126" s="1858"/>
      <c r="H126" s="200" t="s">
        <v>380</v>
      </c>
      <c r="I126" s="217"/>
      <c r="J126" s="3171">
        <v>0</v>
      </c>
      <c r="K126" s="3171">
        <v>0</v>
      </c>
      <c r="L126" s="3125">
        <v>0</v>
      </c>
      <c r="M126" s="3124">
        <v>0</v>
      </c>
      <c r="N126" s="3125">
        <v>0</v>
      </c>
      <c r="O126" s="3125">
        <v>0</v>
      </c>
      <c r="P126" s="3125">
        <v>0</v>
      </c>
      <c r="Q126" s="3125">
        <f t="shared" si="31"/>
        <v>0</v>
      </c>
      <c r="R126" s="3605">
        <v>0</v>
      </c>
      <c r="S126" s="3748"/>
      <c r="T126" s="3826"/>
      <c r="U126" s="3778">
        <f>MAR!P682</f>
        <v>0</v>
      </c>
      <c r="V126" s="1846">
        <f t="shared" si="29"/>
        <v>0</v>
      </c>
    </row>
    <row r="127" spans="1:22" s="257" customFormat="1" ht="15.05" customHeight="1">
      <c r="A127" s="1855"/>
      <c r="B127" s="1855"/>
      <c r="C127" s="1855"/>
      <c r="D127" s="1855"/>
      <c r="E127" s="1855"/>
      <c r="F127" s="1857" t="s">
        <v>50</v>
      </c>
      <c r="G127" s="1858"/>
      <c r="H127" s="200" t="s">
        <v>381</v>
      </c>
      <c r="I127" s="217"/>
      <c r="J127" s="3171">
        <v>60000000</v>
      </c>
      <c r="K127" s="3193">
        <v>27000000</v>
      </c>
      <c r="L127" s="3125">
        <v>60000000</v>
      </c>
      <c r="M127" s="3124">
        <v>1000000</v>
      </c>
      <c r="N127" s="3125">
        <v>1500000</v>
      </c>
      <c r="O127" s="3125">
        <v>2500000</v>
      </c>
      <c r="P127" s="3125">
        <v>30000000</v>
      </c>
      <c r="Q127" s="3125">
        <f t="shared" si="31"/>
        <v>-30000000</v>
      </c>
      <c r="R127" s="3605">
        <f>+P127/L127*100-100</f>
        <v>-50</v>
      </c>
      <c r="S127" s="3748"/>
      <c r="T127" s="3826"/>
      <c r="U127" s="3778">
        <f>MAR!P683</f>
        <v>0</v>
      </c>
      <c r="V127" s="1846">
        <f t="shared" si="29"/>
        <v>10000000</v>
      </c>
    </row>
    <row r="128" spans="1:22" s="257" customFormat="1" ht="15.05" customHeight="1">
      <c r="A128" s="1855"/>
      <c r="B128" s="1855"/>
      <c r="C128" s="1855"/>
      <c r="D128" s="1855"/>
      <c r="E128" s="1855"/>
      <c r="F128" s="1857" t="s">
        <v>50</v>
      </c>
      <c r="G128" s="1858"/>
      <c r="H128" s="200" t="s">
        <v>382</v>
      </c>
      <c r="I128" s="217"/>
      <c r="J128" s="3193">
        <v>0</v>
      </c>
      <c r="K128" s="3193">
        <v>0</v>
      </c>
      <c r="L128" s="3125">
        <v>0</v>
      </c>
      <c r="M128" s="3124">
        <v>0</v>
      </c>
      <c r="N128" s="3125">
        <v>0</v>
      </c>
      <c r="O128" s="3125">
        <v>0</v>
      </c>
      <c r="P128" s="3125">
        <v>0</v>
      </c>
      <c r="Q128" s="3125">
        <f t="shared" si="31"/>
        <v>0</v>
      </c>
      <c r="R128" s="3605">
        <v>0</v>
      </c>
      <c r="S128" s="3748"/>
      <c r="T128" s="3826"/>
      <c r="U128" s="3778">
        <f>MAR!P684</f>
        <v>0</v>
      </c>
      <c r="V128" s="1846">
        <f t="shared" si="29"/>
        <v>0</v>
      </c>
    </row>
    <row r="129" spans="1:22" s="257" customFormat="1" ht="15.05" customHeight="1">
      <c r="A129" s="1855"/>
      <c r="B129" s="1855"/>
      <c r="C129" s="1855"/>
      <c r="D129" s="1855"/>
      <c r="E129" s="1855"/>
      <c r="F129" s="1857" t="s">
        <v>50</v>
      </c>
      <c r="G129" s="1858"/>
      <c r="H129" s="200" t="s">
        <v>383</v>
      </c>
      <c r="I129" s="217"/>
      <c r="J129" s="3193">
        <v>0</v>
      </c>
      <c r="K129" s="3193">
        <v>0</v>
      </c>
      <c r="L129" s="3125">
        <v>0</v>
      </c>
      <c r="M129" s="3124">
        <v>0</v>
      </c>
      <c r="N129" s="3125">
        <v>0</v>
      </c>
      <c r="O129" s="3125">
        <v>0</v>
      </c>
      <c r="P129" s="3125">
        <v>0</v>
      </c>
      <c r="Q129" s="3125">
        <f t="shared" si="31"/>
        <v>0</v>
      </c>
      <c r="R129" s="3605">
        <v>0</v>
      </c>
      <c r="S129" s="3748"/>
      <c r="T129" s="3826"/>
      <c r="U129" s="3778">
        <f>MAR!P685</f>
        <v>0</v>
      </c>
      <c r="V129" s="1846">
        <f t="shared" si="29"/>
        <v>0</v>
      </c>
    </row>
    <row r="130" spans="1:22" s="1318" customFormat="1" ht="15.05" customHeight="1">
      <c r="A130" s="1854"/>
      <c r="B130" s="1854"/>
      <c r="C130" s="1854"/>
      <c r="D130" s="1854"/>
      <c r="E130" s="1854"/>
      <c r="F130" s="1464" t="s">
        <v>529</v>
      </c>
      <c r="G130" s="1860"/>
      <c r="H130" s="202"/>
      <c r="I130" s="218"/>
      <c r="J130" s="3123">
        <v>0</v>
      </c>
      <c r="K130" s="3123">
        <v>39252000</v>
      </c>
      <c r="L130" s="3182">
        <v>0</v>
      </c>
      <c r="M130" s="3183">
        <v>4765000</v>
      </c>
      <c r="N130" s="3182">
        <v>8895000</v>
      </c>
      <c r="O130" s="3182">
        <v>13660000</v>
      </c>
      <c r="P130" s="3182">
        <f>SUM(P131:P132)</f>
        <v>50000000</v>
      </c>
      <c r="Q130" s="3182">
        <f t="shared" si="31"/>
        <v>50000000</v>
      </c>
      <c r="R130" s="3601">
        <v>0</v>
      </c>
      <c r="S130" s="3710"/>
      <c r="T130" s="3829"/>
      <c r="U130" s="3777"/>
      <c r="V130" s="1846">
        <f t="shared" si="29"/>
        <v>54640000</v>
      </c>
    </row>
    <row r="131" spans="1:22" s="257" customFormat="1" ht="15.05" customHeight="1">
      <c r="A131" s="1855"/>
      <c r="B131" s="1855"/>
      <c r="C131" s="1855"/>
      <c r="D131" s="1855"/>
      <c r="E131" s="1855"/>
      <c r="F131" s="1857" t="s">
        <v>50</v>
      </c>
      <c r="G131" s="1858"/>
      <c r="H131" s="200" t="s">
        <v>185</v>
      </c>
      <c r="I131" s="217"/>
      <c r="J131" s="3171">
        <v>0</v>
      </c>
      <c r="K131" s="3171"/>
      <c r="L131" s="3125">
        <v>0</v>
      </c>
      <c r="M131" s="3124">
        <v>0</v>
      </c>
      <c r="N131" s="3125">
        <v>0</v>
      </c>
      <c r="O131" s="3125">
        <v>0</v>
      </c>
      <c r="P131" s="3125">
        <v>0</v>
      </c>
      <c r="Q131" s="3125">
        <f t="shared" si="31"/>
        <v>0</v>
      </c>
      <c r="R131" s="3605">
        <v>0</v>
      </c>
      <c r="S131" s="3748"/>
      <c r="T131" s="3826"/>
      <c r="U131" s="3778">
        <v>0</v>
      </c>
      <c r="V131" s="1846">
        <f t="shared" si="29"/>
        <v>0</v>
      </c>
    </row>
    <row r="132" spans="1:22" s="257" customFormat="1" ht="15.05" customHeight="1">
      <c r="A132" s="1855"/>
      <c r="B132" s="1855"/>
      <c r="C132" s="1855"/>
      <c r="D132" s="1855"/>
      <c r="E132" s="1855"/>
      <c r="F132" s="1857" t="s">
        <v>50</v>
      </c>
      <c r="G132" s="1860"/>
      <c r="H132" s="200" t="s">
        <v>530</v>
      </c>
      <c r="I132" s="218"/>
      <c r="J132" s="3123">
        <v>0</v>
      </c>
      <c r="K132" s="3123"/>
      <c r="L132" s="3125">
        <v>0</v>
      </c>
      <c r="M132" s="3124">
        <v>4765000</v>
      </c>
      <c r="N132" s="3125">
        <v>8895000</v>
      </c>
      <c r="O132" s="3125">
        <v>13660000</v>
      </c>
      <c r="P132" s="3125">
        <v>50000000</v>
      </c>
      <c r="Q132" s="3125">
        <f t="shared" si="31"/>
        <v>50000000</v>
      </c>
      <c r="R132" s="3605">
        <v>0</v>
      </c>
      <c r="S132" s="3748"/>
      <c r="T132" s="3826"/>
      <c r="U132" s="3778">
        <f>MAR!P217</f>
        <v>0</v>
      </c>
      <c r="V132" s="1846">
        <f t="shared" si="29"/>
        <v>54640000</v>
      </c>
    </row>
    <row r="133" spans="1:22" s="1318" customFormat="1" ht="15.05" customHeight="1">
      <c r="A133" s="1854"/>
      <c r="B133" s="1854"/>
      <c r="C133" s="1854"/>
      <c r="D133" s="1854"/>
      <c r="E133" s="1854"/>
      <c r="F133" s="1464" t="s">
        <v>531</v>
      </c>
      <c r="G133" s="1860"/>
      <c r="H133" s="202"/>
      <c r="I133" s="218"/>
      <c r="J133" s="3123">
        <v>75000000</v>
      </c>
      <c r="K133" s="3123">
        <f>K134</f>
        <v>45800000</v>
      </c>
      <c r="L133" s="3182">
        <f>L134</f>
        <v>90000000</v>
      </c>
      <c r="M133" s="3183">
        <v>0</v>
      </c>
      <c r="N133" s="3182">
        <v>0</v>
      </c>
      <c r="O133" s="3182">
        <v>0</v>
      </c>
      <c r="P133" s="3182">
        <v>90000000</v>
      </c>
      <c r="Q133" s="3182">
        <f t="shared" si="31"/>
        <v>0</v>
      </c>
      <c r="R133" s="3601">
        <f>+P133/L133*100-100</f>
        <v>0</v>
      </c>
      <c r="S133" s="3710"/>
      <c r="T133" s="3829"/>
      <c r="U133" s="3781"/>
      <c r="V133" s="1846">
        <f t="shared" si="29"/>
        <v>0</v>
      </c>
    </row>
    <row r="134" spans="1:22" s="257" customFormat="1" ht="15.05" customHeight="1">
      <c r="A134" s="1855"/>
      <c r="B134" s="1855"/>
      <c r="C134" s="1855"/>
      <c r="D134" s="1855"/>
      <c r="E134" s="1855"/>
      <c r="F134" s="1857" t="s">
        <v>50</v>
      </c>
      <c r="G134" s="2826"/>
      <c r="H134" s="200" t="s">
        <v>532</v>
      </c>
      <c r="I134" s="217"/>
      <c r="J134" s="3171"/>
      <c r="K134" s="3171">
        <v>45800000</v>
      </c>
      <c r="L134" s="3125">
        <v>90000000</v>
      </c>
      <c r="M134" s="3124">
        <v>0</v>
      </c>
      <c r="N134" s="3125">
        <v>0</v>
      </c>
      <c r="O134" s="3125">
        <v>0</v>
      </c>
      <c r="P134" s="3125">
        <v>90000000</v>
      </c>
      <c r="Q134" s="3125">
        <f t="shared" si="31"/>
        <v>0</v>
      </c>
      <c r="R134" s="3605">
        <f>+P134/L134*100-100</f>
        <v>0</v>
      </c>
      <c r="S134" s="3748"/>
      <c r="T134" s="3826"/>
      <c r="U134" s="3778">
        <f>MAR!P80</f>
        <v>0</v>
      </c>
      <c r="V134" s="1846">
        <f t="shared" si="29"/>
        <v>0</v>
      </c>
    </row>
    <row r="135" spans="1:22" s="1318" customFormat="1" ht="15.05" hidden="1" customHeight="1">
      <c r="A135" s="1885" t="s">
        <v>443</v>
      </c>
      <c r="B135" s="1885">
        <v>1</v>
      </c>
      <c r="C135" s="1885">
        <v>2</v>
      </c>
      <c r="D135" s="1885" t="s">
        <v>438</v>
      </c>
      <c r="E135" s="1885"/>
      <c r="F135" s="1856" t="str">
        <f>MAR!H169</f>
        <v>DINAS LINGKUNGAN HIDUP DAN KEHUTANAN</v>
      </c>
      <c r="G135" s="1860"/>
      <c r="H135" s="202"/>
      <c r="I135" s="218"/>
      <c r="J135" s="3123"/>
      <c r="K135" s="3123"/>
      <c r="L135" s="3182">
        <v>0</v>
      </c>
      <c r="M135" s="3183">
        <v>72425000</v>
      </c>
      <c r="N135" s="3182">
        <v>0</v>
      </c>
      <c r="O135" s="3182">
        <v>72425000</v>
      </c>
      <c r="P135" s="3182">
        <f>P136</f>
        <v>300000000</v>
      </c>
      <c r="Q135" s="3182">
        <f t="shared" si="31"/>
        <v>300000000</v>
      </c>
      <c r="R135" s="3601">
        <v>0</v>
      </c>
      <c r="S135" s="3710"/>
      <c r="T135" s="3829"/>
      <c r="U135" s="3781"/>
      <c r="V135" s="1846">
        <f t="shared" si="29"/>
        <v>289700000</v>
      </c>
    </row>
    <row r="136" spans="1:22" s="257" customFormat="1" ht="15.05" hidden="1" customHeight="1">
      <c r="A136" s="3875">
        <v>4</v>
      </c>
      <c r="B136" s="3875">
        <v>1</v>
      </c>
      <c r="C136" s="3875">
        <v>2</v>
      </c>
      <c r="D136" s="3875" t="s">
        <v>438</v>
      </c>
      <c r="E136" s="1885" t="s">
        <v>440</v>
      </c>
      <c r="F136" s="2214" t="str">
        <f>MAR!I173</f>
        <v>- TEMPAT WISATA DAN OLAH RAGA</v>
      </c>
      <c r="G136" s="200"/>
      <c r="H136" s="200"/>
      <c r="I136" s="217"/>
      <c r="J136" s="3171"/>
      <c r="K136" s="3171"/>
      <c r="L136" s="3125">
        <v>0</v>
      </c>
      <c r="M136" s="3124">
        <v>72425000</v>
      </c>
      <c r="N136" s="3125">
        <v>0</v>
      </c>
      <c r="O136" s="3125">
        <v>72425000</v>
      </c>
      <c r="P136" s="3125">
        <v>300000000</v>
      </c>
      <c r="Q136" s="3125">
        <f t="shared" si="31"/>
        <v>300000000</v>
      </c>
      <c r="R136" s="3605">
        <v>0</v>
      </c>
      <c r="S136" s="3748"/>
      <c r="T136" s="3826"/>
      <c r="U136" s="3778">
        <f>MAR!P618</f>
        <v>0</v>
      </c>
      <c r="V136" s="1846">
        <f t="shared" si="29"/>
        <v>289700000</v>
      </c>
    </row>
    <row r="137" spans="1:22" s="2920" customFormat="1" ht="15.05" customHeight="1">
      <c r="A137" s="3594"/>
      <c r="B137" s="3594"/>
      <c r="C137" s="3594"/>
      <c r="D137" s="3594"/>
      <c r="E137" s="3457"/>
      <c r="F137" s="3458" t="s">
        <v>1189</v>
      </c>
      <c r="G137" s="3459"/>
      <c r="H137" s="3459"/>
      <c r="I137" s="3460"/>
      <c r="J137" s="3461"/>
      <c r="K137" s="3461">
        <v>12450000</v>
      </c>
      <c r="L137" s="3291"/>
      <c r="M137" s="3462"/>
      <c r="N137" s="3291"/>
      <c r="O137" s="3291"/>
      <c r="P137" s="3291"/>
      <c r="Q137" s="3291"/>
      <c r="R137" s="3606"/>
      <c r="S137" s="3711"/>
      <c r="T137" s="3830"/>
      <c r="U137" s="3782"/>
      <c r="V137" s="2923"/>
    </row>
    <row r="138" spans="1:22" s="257" customFormat="1" ht="15.05" customHeight="1">
      <c r="A138" s="1886"/>
      <c r="B138" s="1886"/>
      <c r="C138" s="1886"/>
      <c r="D138" s="1886"/>
      <c r="E138" s="1886"/>
      <c r="F138" s="3456" t="s">
        <v>50</v>
      </c>
      <c r="G138" s="1888"/>
      <c r="H138" s="3455" t="s">
        <v>1190</v>
      </c>
      <c r="I138" s="1894"/>
      <c r="J138" s="3173"/>
      <c r="K138" s="3173">
        <v>12450000</v>
      </c>
      <c r="L138" s="3174"/>
      <c r="M138" s="3175">
        <v>0</v>
      </c>
      <c r="N138" s="3174"/>
      <c r="O138" s="3174"/>
      <c r="P138" s="3174"/>
      <c r="Q138" s="3174"/>
      <c r="R138" s="3612"/>
      <c r="S138" s="3712"/>
      <c r="T138" s="3831"/>
      <c r="U138" s="1899"/>
      <c r="V138" s="1846">
        <f t="shared" si="29"/>
        <v>0</v>
      </c>
    </row>
    <row r="139" spans="1:22" s="2932" customFormat="1" ht="15.05" customHeight="1">
      <c r="A139" s="3060">
        <v>4</v>
      </c>
      <c r="B139" s="3060">
        <v>1</v>
      </c>
      <c r="C139" s="3060">
        <v>2</v>
      </c>
      <c r="D139" s="3060" t="s">
        <v>438</v>
      </c>
      <c r="E139" s="3060" t="s">
        <v>440</v>
      </c>
      <c r="F139" s="3061" t="s">
        <v>304</v>
      </c>
      <c r="G139" s="3061"/>
      <c r="H139" s="3062"/>
      <c r="I139" s="3062"/>
      <c r="J139" s="3195">
        <v>2512125000</v>
      </c>
      <c r="K139" s="3195">
        <f t="shared" ref="K139:P139" si="35">K140+K143+K145+K147+K151+K153+K156</f>
        <v>2733928400</v>
      </c>
      <c r="L139" s="3195">
        <f t="shared" si="35"/>
        <v>2547125000</v>
      </c>
      <c r="M139" s="3195">
        <f t="shared" si="35"/>
        <v>174860000</v>
      </c>
      <c r="N139" s="3195">
        <f t="shared" si="35"/>
        <v>136900000</v>
      </c>
      <c r="O139" s="3195">
        <f t="shared" si="35"/>
        <v>311760000</v>
      </c>
      <c r="P139" s="3195">
        <f t="shared" si="35"/>
        <v>2643500000</v>
      </c>
      <c r="Q139" s="3196">
        <f t="shared" ref="Q139:Q157" si="36">+P139-L139</f>
        <v>96375000</v>
      </c>
      <c r="R139" s="3614">
        <f t="shared" ref="R139:R148" si="37">+P139/L139*100-100</f>
        <v>3.7836776758109636</v>
      </c>
      <c r="S139" s="3766"/>
      <c r="T139" s="3196"/>
      <c r="U139" s="3783"/>
      <c r="V139" s="2931">
        <f t="shared" si="29"/>
        <v>1247040000</v>
      </c>
    </row>
    <row r="140" spans="1:22" s="257" customFormat="1" ht="15.05" customHeight="1">
      <c r="A140" s="1889"/>
      <c r="B140" s="1889"/>
      <c r="C140" s="1889"/>
      <c r="D140" s="1889"/>
      <c r="E140" s="1889"/>
      <c r="F140" s="2827" t="s">
        <v>62</v>
      </c>
      <c r="G140" s="2828"/>
      <c r="H140" s="212"/>
      <c r="I140" s="225"/>
      <c r="J140" s="3155">
        <f>SUM(J141:J142)</f>
        <v>63500000</v>
      </c>
      <c r="K140" s="3155">
        <f t="shared" ref="K140:P140" si="38">SUM(K141:K142)</f>
        <v>66678400</v>
      </c>
      <c r="L140" s="3155">
        <f>SUM(L141:L142)</f>
        <v>63500000</v>
      </c>
      <c r="M140" s="3155">
        <f t="shared" si="38"/>
        <v>3480000</v>
      </c>
      <c r="N140" s="3155">
        <f t="shared" si="38"/>
        <v>0</v>
      </c>
      <c r="O140" s="3155">
        <f t="shared" si="38"/>
        <v>3480000</v>
      </c>
      <c r="P140" s="3155">
        <f t="shared" si="38"/>
        <v>68500000</v>
      </c>
      <c r="Q140" s="3197">
        <f t="shared" si="36"/>
        <v>5000000</v>
      </c>
      <c r="R140" s="3608">
        <f t="shared" si="37"/>
        <v>7.8740157480315105</v>
      </c>
      <c r="S140" s="3713"/>
      <c r="T140" s="3832"/>
      <c r="U140" s="1900"/>
      <c r="V140" s="1846">
        <f t="shared" si="29"/>
        <v>13920000</v>
      </c>
    </row>
    <row r="141" spans="1:22" s="257" customFormat="1" ht="15.05" customHeight="1">
      <c r="A141" s="1855"/>
      <c r="B141" s="1855"/>
      <c r="C141" s="1855"/>
      <c r="D141" s="1855"/>
      <c r="E141" s="1855"/>
      <c r="F141" s="1857" t="s">
        <v>50</v>
      </c>
      <c r="G141" s="1858"/>
      <c r="H141" s="200" t="str">
        <f>MAR!I18</f>
        <v>Wisma Seruni</v>
      </c>
      <c r="I141" s="217"/>
      <c r="J141" s="3171">
        <v>60000000</v>
      </c>
      <c r="K141" s="3171">
        <v>66678400</v>
      </c>
      <c r="L141" s="3125">
        <v>60000000</v>
      </c>
      <c r="M141" s="3124">
        <v>3480000</v>
      </c>
      <c r="N141" s="3125">
        <v>0</v>
      </c>
      <c r="O141" s="3125">
        <v>3480000</v>
      </c>
      <c r="P141" s="3125">
        <v>65000000</v>
      </c>
      <c r="Q141" s="3125">
        <f t="shared" si="36"/>
        <v>5000000</v>
      </c>
      <c r="R141" s="3605">
        <f t="shared" si="37"/>
        <v>8.3333333333333286</v>
      </c>
      <c r="S141" s="3275"/>
      <c r="T141" s="3826"/>
      <c r="U141" s="3771"/>
      <c r="V141" s="1846">
        <f t="shared" si="29"/>
        <v>13920000</v>
      </c>
    </row>
    <row r="142" spans="1:22" s="257" customFormat="1" ht="15.05" customHeight="1">
      <c r="A142" s="1855"/>
      <c r="B142" s="1855"/>
      <c r="C142" s="1855"/>
      <c r="D142" s="1855"/>
      <c r="E142" s="1855"/>
      <c r="F142" s="1857" t="s">
        <v>50</v>
      </c>
      <c r="G142" s="1858"/>
      <c r="H142" s="200" t="str">
        <f>MAR!I19</f>
        <v>Penginapan Taman Budaya (Eks Dinas Pariwisata)</v>
      </c>
      <c r="I142" s="217"/>
      <c r="J142" s="3171">
        <v>3500000</v>
      </c>
      <c r="K142" s="3171"/>
      <c r="L142" s="3125">
        <v>3500000</v>
      </c>
      <c r="M142" s="3124">
        <v>0</v>
      </c>
      <c r="N142" s="3125">
        <v>0</v>
      </c>
      <c r="O142" s="3125">
        <v>0</v>
      </c>
      <c r="P142" s="3125">
        <v>3500000</v>
      </c>
      <c r="Q142" s="3125">
        <f t="shared" si="36"/>
        <v>0</v>
      </c>
      <c r="R142" s="3605">
        <f t="shared" si="37"/>
        <v>0</v>
      </c>
      <c r="S142" s="3275"/>
      <c r="T142" s="3826"/>
      <c r="U142" s="3771"/>
      <c r="V142" s="1846">
        <f t="shared" si="29"/>
        <v>0</v>
      </c>
    </row>
    <row r="143" spans="1:22" s="257" customFormat="1" ht="15.05" customHeight="1">
      <c r="A143" s="1855"/>
      <c r="B143" s="1855"/>
      <c r="C143" s="1855"/>
      <c r="D143" s="1855"/>
      <c r="E143" s="1855"/>
      <c r="F143" s="1464" t="s">
        <v>531</v>
      </c>
      <c r="G143" s="1860"/>
      <c r="H143" s="202"/>
      <c r="I143" s="218"/>
      <c r="J143" s="3123">
        <v>175000000</v>
      </c>
      <c r="K143" s="3123">
        <v>148775000</v>
      </c>
      <c r="L143" s="3182">
        <v>210000000</v>
      </c>
      <c r="M143" s="3183">
        <v>0</v>
      </c>
      <c r="N143" s="3182">
        <v>0</v>
      </c>
      <c r="O143" s="3182">
        <v>0</v>
      </c>
      <c r="P143" s="3182">
        <v>210000000</v>
      </c>
      <c r="Q143" s="3182">
        <f t="shared" si="36"/>
        <v>0</v>
      </c>
      <c r="R143" s="3601">
        <f t="shared" si="37"/>
        <v>0</v>
      </c>
      <c r="S143" s="3710"/>
      <c r="T143" s="3829"/>
      <c r="U143" s="3771"/>
      <c r="V143" s="1846">
        <f t="shared" si="29"/>
        <v>0</v>
      </c>
    </row>
    <row r="144" spans="1:22" s="257" customFormat="1" ht="15.05" customHeight="1">
      <c r="A144" s="1855"/>
      <c r="B144" s="1855"/>
      <c r="C144" s="1855"/>
      <c r="D144" s="1855"/>
      <c r="E144" s="1855"/>
      <c r="F144" s="1857" t="s">
        <v>50</v>
      </c>
      <c r="G144" s="1858"/>
      <c r="H144" s="200" t="str">
        <f>PerDinas!G115</f>
        <v>Retribusi Tempat Penginapan/Pesanggrahan/Villa</v>
      </c>
      <c r="I144" s="217"/>
      <c r="J144" s="3171">
        <v>175000000</v>
      </c>
      <c r="K144" s="3171">
        <v>148775000</v>
      </c>
      <c r="L144" s="3125">
        <v>210000000</v>
      </c>
      <c r="M144" s="3124">
        <v>0</v>
      </c>
      <c r="N144" s="3125">
        <v>0</v>
      </c>
      <c r="O144" s="3125">
        <v>0</v>
      </c>
      <c r="P144" s="3125">
        <v>210000000</v>
      </c>
      <c r="Q144" s="3125">
        <f t="shared" si="36"/>
        <v>0</v>
      </c>
      <c r="R144" s="3605">
        <f t="shared" si="37"/>
        <v>0</v>
      </c>
      <c r="S144" s="3275"/>
      <c r="T144" s="3826"/>
      <c r="U144" s="3771"/>
      <c r="V144" s="1846">
        <f t="shared" si="29"/>
        <v>0</v>
      </c>
    </row>
    <row r="145" spans="1:22" s="257" customFormat="1" ht="15.05" customHeight="1">
      <c r="A145" s="1855"/>
      <c r="B145" s="1855"/>
      <c r="C145" s="1855"/>
      <c r="D145" s="1855"/>
      <c r="E145" s="1855"/>
      <c r="F145" s="1464" t="s">
        <v>133</v>
      </c>
      <c r="G145" s="1860"/>
      <c r="H145" s="202"/>
      <c r="I145" s="218"/>
      <c r="J145" s="3123">
        <v>75000000</v>
      </c>
      <c r="K145" s="3123">
        <v>83250000</v>
      </c>
      <c r="L145" s="3182">
        <v>75000000</v>
      </c>
      <c r="M145" s="3183">
        <v>9880000</v>
      </c>
      <c r="N145" s="3182">
        <v>0</v>
      </c>
      <c r="O145" s="3182">
        <v>9880000</v>
      </c>
      <c r="P145" s="3182">
        <v>75000000</v>
      </c>
      <c r="Q145" s="3182">
        <f t="shared" si="36"/>
        <v>0</v>
      </c>
      <c r="R145" s="3601">
        <f t="shared" si="37"/>
        <v>0</v>
      </c>
      <c r="S145" s="3710"/>
      <c r="T145" s="3829"/>
      <c r="U145" s="3771"/>
      <c r="V145" s="1846">
        <f t="shared" si="29"/>
        <v>39520000</v>
      </c>
    </row>
    <row r="146" spans="1:22" s="257" customFormat="1" ht="15.05" customHeight="1">
      <c r="A146" s="1855"/>
      <c r="B146" s="1855"/>
      <c r="C146" s="1855"/>
      <c r="D146" s="1855"/>
      <c r="E146" s="1855"/>
      <c r="F146" s="1857" t="s">
        <v>50</v>
      </c>
      <c r="G146" s="1858"/>
      <c r="H146" s="200" t="s">
        <v>533</v>
      </c>
      <c r="I146" s="217"/>
      <c r="J146" s="3171">
        <v>75000000</v>
      </c>
      <c r="K146" s="3171">
        <v>83250000</v>
      </c>
      <c r="L146" s="3125">
        <v>75000000</v>
      </c>
      <c r="M146" s="3124">
        <v>9880000</v>
      </c>
      <c r="N146" s="3125">
        <v>0</v>
      </c>
      <c r="O146" s="3125">
        <v>9880000</v>
      </c>
      <c r="P146" s="3125">
        <v>75000000</v>
      </c>
      <c r="Q146" s="3125">
        <f t="shared" si="36"/>
        <v>0</v>
      </c>
      <c r="R146" s="3605">
        <f t="shared" si="37"/>
        <v>0</v>
      </c>
      <c r="S146" s="3275"/>
      <c r="T146" s="3826"/>
      <c r="U146" s="3771"/>
      <c r="V146" s="1846">
        <f t="shared" si="29"/>
        <v>39520000</v>
      </c>
    </row>
    <row r="147" spans="1:22" s="3896" customFormat="1" ht="15.05" customHeight="1">
      <c r="A147" s="3924"/>
      <c r="B147" s="3924"/>
      <c r="C147" s="3924"/>
      <c r="D147" s="3924"/>
      <c r="E147" s="3924"/>
      <c r="F147" s="2865" t="s">
        <v>496</v>
      </c>
      <c r="G147" s="4284"/>
      <c r="H147" s="4285"/>
      <c r="I147" s="4420"/>
      <c r="J147" s="4348">
        <v>348625000</v>
      </c>
      <c r="K147" s="4348">
        <v>494000000</v>
      </c>
      <c r="L147" s="4288">
        <v>348625000</v>
      </c>
      <c r="M147" s="4289">
        <v>16500000</v>
      </c>
      <c r="N147" s="4288">
        <v>67100000</v>
      </c>
      <c r="O147" s="4288">
        <v>83600000</v>
      </c>
      <c r="P147" s="4288">
        <f>P148</f>
        <v>325000000</v>
      </c>
      <c r="Q147" s="4288">
        <f t="shared" si="36"/>
        <v>-23625000</v>
      </c>
      <c r="R147" s="4290">
        <f t="shared" si="37"/>
        <v>-6.7766224453208963</v>
      </c>
      <c r="S147" s="4356"/>
      <c r="T147" s="4357"/>
      <c r="U147" s="3923"/>
      <c r="V147" s="3925">
        <f t="shared" si="29"/>
        <v>334400000</v>
      </c>
    </row>
    <row r="148" spans="1:22" s="3896" customFormat="1" ht="15.05" customHeight="1">
      <c r="A148" s="3924"/>
      <c r="B148" s="3924"/>
      <c r="C148" s="3924"/>
      <c r="D148" s="3924"/>
      <c r="E148" s="3924"/>
      <c r="F148" s="4388" t="s">
        <v>50</v>
      </c>
      <c r="G148" s="2826"/>
      <c r="H148" s="3917" t="s">
        <v>144</v>
      </c>
      <c r="I148" s="4422"/>
      <c r="J148" s="3918">
        <v>348625000</v>
      </c>
      <c r="K148" s="3918">
        <v>494000000</v>
      </c>
      <c r="L148" s="3919">
        <v>348625000</v>
      </c>
      <c r="M148" s="3265">
        <v>16500000</v>
      </c>
      <c r="N148" s="3919">
        <v>67100000</v>
      </c>
      <c r="O148" s="3919">
        <v>83600000</v>
      </c>
      <c r="P148" s="3919">
        <v>325000000</v>
      </c>
      <c r="Q148" s="3919">
        <f t="shared" si="36"/>
        <v>-23625000</v>
      </c>
      <c r="R148" s="3920">
        <f t="shared" si="37"/>
        <v>-6.7766224453208963</v>
      </c>
      <c r="S148" s="4335"/>
      <c r="T148" s="3922"/>
      <c r="U148" s="4353">
        <f>PerDinas!Q348</f>
        <v>0</v>
      </c>
      <c r="V148" s="3925">
        <f t="shared" si="29"/>
        <v>334400000</v>
      </c>
    </row>
    <row r="149" spans="1:22" s="257" customFormat="1" ht="15.05" hidden="1" customHeight="1">
      <c r="A149" s="1855"/>
      <c r="B149" s="1855"/>
      <c r="C149" s="1855"/>
      <c r="D149" s="1855"/>
      <c r="E149" s="1855"/>
      <c r="F149" s="1464" t="s">
        <v>534</v>
      </c>
      <c r="G149" s="1860"/>
      <c r="H149" s="202"/>
      <c r="I149" s="218"/>
      <c r="J149" s="3123" t="s">
        <v>50</v>
      </c>
      <c r="K149" s="3123"/>
      <c r="L149" s="3182">
        <v>0</v>
      </c>
      <c r="M149" s="3183">
        <v>0</v>
      </c>
      <c r="N149" s="3182">
        <v>0</v>
      </c>
      <c r="O149" s="3182">
        <v>0</v>
      </c>
      <c r="P149" s="3182">
        <v>0</v>
      </c>
      <c r="Q149" s="3182">
        <f t="shared" si="36"/>
        <v>0</v>
      </c>
      <c r="R149" s="3601">
        <v>0</v>
      </c>
      <c r="S149" s="3710"/>
      <c r="T149" s="3829"/>
      <c r="U149" s="3771"/>
      <c r="V149" s="1846">
        <f t="shared" si="29"/>
        <v>0</v>
      </c>
    </row>
    <row r="150" spans="1:22" s="257" customFormat="1" ht="15.05" hidden="1" customHeight="1">
      <c r="A150" s="1855"/>
      <c r="B150" s="1855"/>
      <c r="C150" s="1855"/>
      <c r="D150" s="1855"/>
      <c r="E150" s="1855"/>
      <c r="F150" s="1857" t="s">
        <v>50</v>
      </c>
      <c r="G150" s="1858"/>
      <c r="H150" s="200" t="s">
        <v>500</v>
      </c>
      <c r="I150" s="217"/>
      <c r="J150" s="3171">
        <v>3500000</v>
      </c>
      <c r="K150" s="3171">
        <v>0</v>
      </c>
      <c r="L150" s="3125">
        <v>0</v>
      </c>
      <c r="M150" s="3124">
        <v>0</v>
      </c>
      <c r="N150" s="3125">
        <v>0</v>
      </c>
      <c r="O150" s="3125">
        <v>0</v>
      </c>
      <c r="P150" s="3125">
        <v>0</v>
      </c>
      <c r="Q150" s="3125">
        <f t="shared" si="36"/>
        <v>0</v>
      </c>
      <c r="R150" s="3605">
        <v>0</v>
      </c>
      <c r="S150" s="3748"/>
      <c r="T150" s="3826"/>
      <c r="U150" s="3778">
        <f>PerDinas!Q375</f>
        <v>0</v>
      </c>
      <c r="V150" s="1846">
        <f t="shared" si="29"/>
        <v>0</v>
      </c>
    </row>
    <row r="151" spans="1:22" s="257" customFormat="1" ht="15.05" customHeight="1">
      <c r="A151" s="1855"/>
      <c r="B151" s="1855"/>
      <c r="C151" s="1855"/>
      <c r="D151" s="1855"/>
      <c r="E151" s="1855"/>
      <c r="F151" s="1464" t="s">
        <v>535</v>
      </c>
      <c r="G151" s="1860"/>
      <c r="H151" s="202"/>
      <c r="I151" s="218"/>
      <c r="J151" s="3123">
        <v>1500000000</v>
      </c>
      <c r="K151" s="3123">
        <v>1073900000</v>
      </c>
      <c r="L151" s="3182">
        <v>1500000000</v>
      </c>
      <c r="M151" s="3183">
        <v>131950000</v>
      </c>
      <c r="N151" s="3182">
        <v>69400000</v>
      </c>
      <c r="O151" s="3182">
        <v>201350000</v>
      </c>
      <c r="P151" s="3182">
        <v>1500000000</v>
      </c>
      <c r="Q151" s="3182">
        <f t="shared" si="36"/>
        <v>0</v>
      </c>
      <c r="R151" s="3601">
        <f t="shared" ref="R151:R157" si="39">+P151/L151*100-100</f>
        <v>0</v>
      </c>
      <c r="S151" s="3710"/>
      <c r="T151" s="3829"/>
      <c r="U151" s="3771"/>
      <c r="V151" s="1846">
        <f t="shared" si="29"/>
        <v>805400000</v>
      </c>
    </row>
    <row r="152" spans="1:22" s="257" customFormat="1" ht="15.05" customHeight="1">
      <c r="A152" s="1855"/>
      <c r="B152" s="1855"/>
      <c r="C152" s="1855"/>
      <c r="D152" s="1855"/>
      <c r="E152" s="1855"/>
      <c r="F152" s="1857" t="s">
        <v>50</v>
      </c>
      <c r="G152" s="1858"/>
      <c r="H152" s="200" t="str">
        <f>PerDinas!G645</f>
        <v xml:space="preserve">KANTOR PENGHUBUNG PROVINSI NTB  </v>
      </c>
      <c r="I152" s="217"/>
      <c r="J152" s="3171">
        <v>1500000000</v>
      </c>
      <c r="K152" s="3171">
        <v>1073900000</v>
      </c>
      <c r="L152" s="3125">
        <v>1500000000</v>
      </c>
      <c r="M152" s="3124">
        <v>131950000</v>
      </c>
      <c r="N152" s="3125">
        <v>69400000</v>
      </c>
      <c r="O152" s="3125">
        <v>201350000</v>
      </c>
      <c r="P152" s="3125">
        <v>1500000000</v>
      </c>
      <c r="Q152" s="3125">
        <f t="shared" si="36"/>
        <v>0</v>
      </c>
      <c r="R152" s="3605">
        <f t="shared" si="39"/>
        <v>0</v>
      </c>
      <c r="S152" s="3275"/>
      <c r="T152" s="3826"/>
      <c r="U152" s="3771"/>
      <c r="V152" s="1846">
        <f t="shared" si="29"/>
        <v>805400000</v>
      </c>
    </row>
    <row r="153" spans="1:22" s="257" customFormat="1" ht="15.05" customHeight="1">
      <c r="A153" s="1855"/>
      <c r="B153" s="1855"/>
      <c r="C153" s="1855"/>
      <c r="D153" s="1855"/>
      <c r="E153" s="1855"/>
      <c r="F153" s="1464" t="s">
        <v>326</v>
      </c>
      <c r="G153" s="1860"/>
      <c r="H153" s="202"/>
      <c r="I153" s="218"/>
      <c r="J153" s="3123">
        <f>J154</f>
        <v>150000000</v>
      </c>
      <c r="K153" s="3123">
        <f>K154</f>
        <v>534475000</v>
      </c>
      <c r="L153" s="3182">
        <f t="shared" ref="L153:Q153" si="40">SUM(L154:L155)</f>
        <v>150000000</v>
      </c>
      <c r="M153" s="3182">
        <f t="shared" si="40"/>
        <v>13050000</v>
      </c>
      <c r="N153" s="3182">
        <f t="shared" si="40"/>
        <v>0</v>
      </c>
      <c r="O153" s="3182">
        <f t="shared" si="40"/>
        <v>13050000</v>
      </c>
      <c r="P153" s="3182">
        <f t="shared" si="40"/>
        <v>265000000</v>
      </c>
      <c r="Q153" s="3182">
        <f t="shared" si="40"/>
        <v>115000000</v>
      </c>
      <c r="R153" s="3601">
        <f t="shared" si="39"/>
        <v>76.666666666666657</v>
      </c>
      <c r="S153" s="3710"/>
      <c r="T153" s="3829"/>
      <c r="U153" s="3771"/>
      <c r="V153" s="1846">
        <f t="shared" si="29"/>
        <v>52200000</v>
      </c>
    </row>
    <row r="154" spans="1:22" s="257" customFormat="1" ht="15.05" customHeight="1">
      <c r="A154" s="1855"/>
      <c r="B154" s="1855"/>
      <c r="C154" s="1855"/>
      <c r="D154" s="1855"/>
      <c r="E154" s="1855"/>
      <c r="F154" s="1857" t="s">
        <v>50</v>
      </c>
      <c r="G154" s="1858"/>
      <c r="H154" s="200" t="s">
        <v>1210</v>
      </c>
      <c r="I154" s="217"/>
      <c r="J154" s="3171">
        <v>150000000</v>
      </c>
      <c r="K154" s="3171">
        <v>534475000</v>
      </c>
      <c r="L154" s="3125">
        <v>125000000</v>
      </c>
      <c r="M154" s="3124">
        <v>13050000</v>
      </c>
      <c r="N154" s="3125">
        <v>0</v>
      </c>
      <c r="O154" s="3125">
        <v>13050000</v>
      </c>
      <c r="P154" s="3125">
        <v>265000000</v>
      </c>
      <c r="Q154" s="3125">
        <f t="shared" si="36"/>
        <v>140000000</v>
      </c>
      <c r="R154" s="3605">
        <f t="shared" si="39"/>
        <v>112</v>
      </c>
      <c r="S154" s="3275"/>
      <c r="T154" s="3826"/>
      <c r="U154" s="3771"/>
      <c r="V154" s="1846">
        <f t="shared" si="29"/>
        <v>52200000</v>
      </c>
    </row>
    <row r="155" spans="1:22" s="257" customFormat="1" ht="15.05" customHeight="1">
      <c r="A155" s="1855"/>
      <c r="B155" s="1855"/>
      <c r="C155" s="1855"/>
      <c r="D155" s="1855"/>
      <c r="E155" s="1855"/>
      <c r="F155" s="1857" t="s">
        <v>50</v>
      </c>
      <c r="G155" s="1858"/>
      <c r="H155" s="200" t="s">
        <v>1211</v>
      </c>
      <c r="I155" s="3959"/>
      <c r="J155" s="3960"/>
      <c r="K155" s="3960"/>
      <c r="L155" s="3125">
        <v>25000000</v>
      </c>
      <c r="M155" s="3124"/>
      <c r="N155" s="3125"/>
      <c r="O155" s="3125"/>
      <c r="P155" s="3125">
        <v>0</v>
      </c>
      <c r="Q155" s="3125">
        <f t="shared" si="36"/>
        <v>-25000000</v>
      </c>
      <c r="R155" s="3605">
        <f t="shared" si="39"/>
        <v>-100</v>
      </c>
      <c r="S155" s="3275"/>
      <c r="T155" s="3826"/>
      <c r="U155" s="3771"/>
      <c r="V155" s="1846"/>
    </row>
    <row r="156" spans="1:22" s="257" customFormat="1" ht="15.05" customHeight="1">
      <c r="A156" s="1855"/>
      <c r="B156" s="1855"/>
      <c r="C156" s="1855"/>
      <c r="D156" s="1855"/>
      <c r="E156" s="1855"/>
      <c r="F156" s="1464" t="s">
        <v>463</v>
      </c>
      <c r="G156" s="1860"/>
      <c r="H156" s="202"/>
      <c r="I156" s="218"/>
      <c r="J156" s="3123">
        <f>J157</f>
        <v>200000000</v>
      </c>
      <c r="K156" s="3123">
        <f>K157</f>
        <v>332850000</v>
      </c>
      <c r="L156" s="3182">
        <v>200000000</v>
      </c>
      <c r="M156" s="3183">
        <v>0</v>
      </c>
      <c r="N156" s="3182">
        <v>400000</v>
      </c>
      <c r="O156" s="3182">
        <v>400000</v>
      </c>
      <c r="P156" s="3182">
        <v>200000000</v>
      </c>
      <c r="Q156" s="3182">
        <f t="shared" si="36"/>
        <v>0</v>
      </c>
      <c r="R156" s="3601">
        <f t="shared" si="39"/>
        <v>0</v>
      </c>
      <c r="S156" s="3710"/>
      <c r="T156" s="3829"/>
      <c r="U156" s="3771"/>
      <c r="V156" s="1846">
        <f t="shared" si="29"/>
        <v>1600000</v>
      </c>
    </row>
    <row r="157" spans="1:22" s="257" customFormat="1" ht="15.05" customHeight="1">
      <c r="A157" s="1855"/>
      <c r="B157" s="1855"/>
      <c r="C157" s="1855"/>
      <c r="D157" s="1855"/>
      <c r="E157" s="1855"/>
      <c r="F157" s="1857" t="s">
        <v>50</v>
      </c>
      <c r="G157" s="1858"/>
      <c r="H157" s="200" t="s">
        <v>536</v>
      </c>
      <c r="I157" s="217"/>
      <c r="J157" s="3171">
        <v>200000000</v>
      </c>
      <c r="K157" s="3171">
        <v>332850000</v>
      </c>
      <c r="L157" s="3125">
        <v>200000000</v>
      </c>
      <c r="M157" s="3124">
        <v>0</v>
      </c>
      <c r="N157" s="3125">
        <v>400000</v>
      </c>
      <c r="O157" s="3125">
        <v>400000</v>
      </c>
      <c r="P157" s="3125">
        <v>200000000</v>
      </c>
      <c r="Q157" s="3125">
        <f t="shared" si="36"/>
        <v>0</v>
      </c>
      <c r="R157" s="3605">
        <f t="shared" si="39"/>
        <v>0</v>
      </c>
      <c r="S157" s="3748"/>
      <c r="T157" s="3826"/>
      <c r="U157" s="3778">
        <f>PerDinas!Q1017</f>
        <v>0</v>
      </c>
      <c r="V157" s="1846">
        <f t="shared" si="29"/>
        <v>1600000</v>
      </c>
    </row>
    <row r="158" spans="1:22" s="257" customFormat="1" ht="15.05" customHeight="1">
      <c r="A158" s="1855"/>
      <c r="B158" s="1855"/>
      <c r="C158" s="1855"/>
      <c r="D158" s="1855"/>
      <c r="E158" s="1855"/>
      <c r="F158" s="1901"/>
      <c r="G158" s="1858"/>
      <c r="H158" s="200"/>
      <c r="I158" s="217"/>
      <c r="J158" s="3171"/>
      <c r="K158" s="3171"/>
      <c r="L158" s="3182"/>
      <c r="M158" s="3183">
        <v>0</v>
      </c>
      <c r="N158" s="3182">
        <v>0</v>
      </c>
      <c r="O158" s="3182">
        <v>0</v>
      </c>
      <c r="P158" s="3182"/>
      <c r="Q158" s="3182"/>
      <c r="R158" s="3601"/>
      <c r="S158" s="3710"/>
      <c r="T158" s="3829"/>
      <c r="U158" s="3771"/>
      <c r="V158" s="1846">
        <f t="shared" si="29"/>
        <v>0</v>
      </c>
    </row>
    <row r="159" spans="1:22" s="2936" customFormat="1" ht="15.05" customHeight="1">
      <c r="A159" s="3047" t="s">
        <v>443</v>
      </c>
      <c r="B159" s="3047" t="s">
        <v>58</v>
      </c>
      <c r="C159" s="3047" t="s">
        <v>460</v>
      </c>
      <c r="D159" s="3878" t="s">
        <v>438</v>
      </c>
      <c r="E159" s="3878" t="s">
        <v>451</v>
      </c>
      <c r="F159" s="2926" t="s">
        <v>1179</v>
      </c>
      <c r="H159" s="2927"/>
      <c r="I159" s="2929"/>
      <c r="J159" s="3172">
        <f>J160+J162</f>
        <v>0</v>
      </c>
      <c r="K159" s="3172">
        <f>K160+K162</f>
        <v>0</v>
      </c>
      <c r="L159" s="3172">
        <f>L160+L162</f>
        <v>0</v>
      </c>
      <c r="M159" s="3170">
        <v>0</v>
      </c>
      <c r="N159" s="3169">
        <v>0</v>
      </c>
      <c r="O159" s="3169">
        <f>O160+O162</f>
        <v>97365000</v>
      </c>
      <c r="P159" s="3169">
        <f>P160+P162</f>
        <v>375000000</v>
      </c>
      <c r="Q159" s="3169">
        <f>Q160+Q162</f>
        <v>375000000</v>
      </c>
      <c r="R159" s="3611">
        <v>0</v>
      </c>
      <c r="S159" s="3708"/>
      <c r="T159" s="3827"/>
      <c r="U159" s="3784"/>
      <c r="V159" s="2938">
        <f t="shared" si="29"/>
        <v>389460000</v>
      </c>
    </row>
    <row r="160" spans="1:22" s="257" customFormat="1" ht="15.05" customHeight="1">
      <c r="A160" s="2875"/>
      <c r="B160" s="2875"/>
      <c r="C160" s="2875"/>
      <c r="D160" s="2876"/>
      <c r="E160" s="2876"/>
      <c r="F160" s="1856" t="s">
        <v>411</v>
      </c>
      <c r="G160" s="847"/>
      <c r="H160" s="200"/>
      <c r="I160" s="217"/>
      <c r="J160" s="3171"/>
      <c r="K160" s="3171"/>
      <c r="L160" s="3125">
        <v>0</v>
      </c>
      <c r="M160" s="3190">
        <v>9495000</v>
      </c>
      <c r="N160" s="3191">
        <v>15445000</v>
      </c>
      <c r="O160" s="3128">
        <v>24940000</v>
      </c>
      <c r="P160" s="3128">
        <f>+P161</f>
        <v>75000000</v>
      </c>
      <c r="Q160" s="3128">
        <f>+P160-L160</f>
        <v>75000000</v>
      </c>
      <c r="R160" s="3605">
        <v>0</v>
      </c>
      <c r="S160" s="3275"/>
      <c r="T160" s="3826"/>
      <c r="U160" s="3778"/>
      <c r="V160" s="1846"/>
    </row>
    <row r="161" spans="1:22" s="257" customFormat="1" ht="15.05" customHeight="1">
      <c r="A161" s="2875"/>
      <c r="B161" s="2875"/>
      <c r="C161" s="2875"/>
      <c r="D161" s="2876"/>
      <c r="E161" s="2876"/>
      <c r="F161" s="2744" t="s">
        <v>50</v>
      </c>
      <c r="G161" s="224" t="s">
        <v>1239</v>
      </c>
      <c r="H161" s="200"/>
      <c r="I161" s="217"/>
      <c r="J161" s="3171"/>
      <c r="K161" s="3171"/>
      <c r="L161" s="3125">
        <v>0</v>
      </c>
      <c r="M161" s="3190">
        <v>9495000</v>
      </c>
      <c r="N161" s="3192">
        <v>15445000</v>
      </c>
      <c r="O161" s="3165">
        <v>24940000</v>
      </c>
      <c r="P161" s="3165">
        <v>75000000</v>
      </c>
      <c r="Q161" s="3165">
        <f>+P161-L161</f>
        <v>75000000</v>
      </c>
      <c r="R161" s="3605">
        <v>0</v>
      </c>
      <c r="S161" s="3275"/>
      <c r="T161" s="3826"/>
      <c r="U161" s="3778"/>
      <c r="V161" s="1846"/>
    </row>
    <row r="162" spans="1:22" s="257" customFormat="1" ht="14.1" customHeight="1">
      <c r="A162" s="1855"/>
      <c r="B162" s="1855"/>
      <c r="C162" s="1855"/>
      <c r="D162" s="4020"/>
      <c r="E162" s="4020"/>
      <c r="F162" s="1856" t="s">
        <v>122</v>
      </c>
      <c r="G162" s="1860"/>
      <c r="H162" s="202"/>
      <c r="I162" s="218"/>
      <c r="J162" s="3123"/>
      <c r="K162" s="3123"/>
      <c r="L162" s="3182">
        <v>0</v>
      </c>
      <c r="M162" s="3183">
        <v>72425000</v>
      </c>
      <c r="N162" s="3182">
        <v>0</v>
      </c>
      <c r="O162" s="3182">
        <v>72425000</v>
      </c>
      <c r="P162" s="3182">
        <f>P163</f>
        <v>300000000</v>
      </c>
      <c r="Q162" s="3182">
        <f>Q163</f>
        <v>300000000</v>
      </c>
      <c r="R162" s="3914">
        <v>0</v>
      </c>
      <c r="S162" s="3915"/>
      <c r="T162" s="3916"/>
      <c r="U162" s="3781"/>
      <c r="V162" s="1846"/>
    </row>
    <row r="163" spans="1:22" s="257" customFormat="1" ht="15.05" customHeight="1">
      <c r="A163" s="1855"/>
      <c r="B163" s="1855"/>
      <c r="C163" s="1855"/>
      <c r="D163" s="4020"/>
      <c r="E163" s="4020"/>
      <c r="F163" s="2744" t="s">
        <v>50</v>
      </c>
      <c r="G163" s="224" t="s">
        <v>413</v>
      </c>
      <c r="H163" s="200"/>
      <c r="I163" s="217"/>
      <c r="J163" s="3171"/>
      <c r="K163" s="3171"/>
      <c r="L163" s="3125">
        <v>0</v>
      </c>
      <c r="M163" s="3124">
        <v>72425000</v>
      </c>
      <c r="N163" s="3125">
        <v>0</v>
      </c>
      <c r="O163" s="3125">
        <v>72425000</v>
      </c>
      <c r="P163" s="3125">
        <v>300000000</v>
      </c>
      <c r="Q163" s="3125">
        <v>300000000</v>
      </c>
      <c r="R163" s="3926">
        <v>0</v>
      </c>
      <c r="S163" s="3971"/>
      <c r="T163" s="3927"/>
      <c r="U163" s="3778">
        <v>0</v>
      </c>
      <c r="V163" s="1846"/>
    </row>
    <row r="164" spans="1:22" s="257" customFormat="1" ht="15.05" customHeight="1">
      <c r="A164" s="1855"/>
      <c r="B164" s="1855"/>
      <c r="C164" s="1855"/>
      <c r="D164" s="1855"/>
      <c r="E164" s="1855"/>
      <c r="F164" s="1857"/>
      <c r="G164" s="1858"/>
      <c r="H164" s="200"/>
      <c r="I164" s="217"/>
      <c r="J164" s="3171"/>
      <c r="K164" s="3171"/>
      <c r="L164" s="3125"/>
      <c r="M164" s="3124">
        <v>0</v>
      </c>
      <c r="N164" s="3125"/>
      <c r="O164" s="3125">
        <v>0</v>
      </c>
      <c r="P164" s="3125"/>
      <c r="Q164" s="3125"/>
      <c r="R164" s="3605"/>
      <c r="S164" s="3702"/>
      <c r="T164" s="3820"/>
      <c r="U164" s="3771"/>
      <c r="V164" s="1846">
        <f t="shared" si="29"/>
        <v>0</v>
      </c>
    </row>
    <row r="165" spans="1:22" s="2932" customFormat="1" ht="15.05" customHeight="1">
      <c r="A165" s="2925">
        <v>4</v>
      </c>
      <c r="B165" s="2925">
        <v>1</v>
      </c>
      <c r="C165" s="2925">
        <v>2</v>
      </c>
      <c r="D165" s="2925" t="s">
        <v>438</v>
      </c>
      <c r="E165" s="2925" t="s">
        <v>448</v>
      </c>
      <c r="F165" s="2926" t="s">
        <v>361</v>
      </c>
      <c r="G165" s="2927"/>
      <c r="H165" s="2933"/>
      <c r="I165" s="2934"/>
      <c r="J165" s="3172">
        <f t="shared" ref="J165:P165" si="41">J166+J168+J180+J182+J187+J195</f>
        <v>2113387000</v>
      </c>
      <c r="K165" s="3172">
        <f t="shared" si="41"/>
        <v>2405649030</v>
      </c>
      <c r="L165" s="3172">
        <f t="shared" si="41"/>
        <v>2113387000</v>
      </c>
      <c r="M165" s="3172">
        <f t="shared" si="41"/>
        <v>312541550</v>
      </c>
      <c r="N165" s="3172">
        <f t="shared" si="41"/>
        <v>158104500</v>
      </c>
      <c r="O165" s="3172">
        <f t="shared" si="41"/>
        <v>470646050</v>
      </c>
      <c r="P165" s="3172">
        <f t="shared" si="41"/>
        <v>1992018000</v>
      </c>
      <c r="Q165" s="3169">
        <f>+P165-L165</f>
        <v>-121369000</v>
      </c>
      <c r="R165" s="3611">
        <f t="shared" ref="R165:R171" si="42">+P165/L165*100-100</f>
        <v>-5.7428667820896067</v>
      </c>
      <c r="S165" s="3708"/>
      <c r="T165" s="3827"/>
      <c r="U165" s="3776"/>
      <c r="V165" s="2931">
        <f t="shared" si="29"/>
        <v>1882584200</v>
      </c>
    </row>
    <row r="166" spans="1:22" s="257" customFormat="1" ht="15.05" customHeight="1">
      <c r="A166" s="1855"/>
      <c r="B166" s="1855"/>
      <c r="C166" s="1855"/>
      <c r="D166" s="1855"/>
      <c r="E166" s="1855"/>
      <c r="F166" s="1464" t="s">
        <v>537</v>
      </c>
      <c r="G166" s="1860"/>
      <c r="H166" s="202"/>
      <c r="I166" s="218"/>
      <c r="J166" s="3200">
        <f>J167</f>
        <v>0</v>
      </c>
      <c r="K166" s="3123">
        <v>0</v>
      </c>
      <c r="L166" s="3182">
        <v>0</v>
      </c>
      <c r="M166" s="3183">
        <v>0</v>
      </c>
      <c r="N166" s="3182">
        <v>0</v>
      </c>
      <c r="O166" s="3182">
        <v>0</v>
      </c>
      <c r="P166" s="3182">
        <v>0</v>
      </c>
      <c r="Q166" s="3182">
        <f t="shared" ref="Q166:Q202" si="43">+P166-L166</f>
        <v>0</v>
      </c>
      <c r="R166" s="3601">
        <v>0</v>
      </c>
      <c r="S166" s="3710"/>
      <c r="T166" s="3829"/>
      <c r="U166" s="3771"/>
      <c r="V166" s="1846">
        <f t="shared" si="29"/>
        <v>0</v>
      </c>
    </row>
    <row r="167" spans="1:22" s="257" customFormat="1" ht="15.05" customHeight="1">
      <c r="A167" s="1855"/>
      <c r="B167" s="1855"/>
      <c r="C167" s="1855"/>
      <c r="D167" s="1855"/>
      <c r="E167" s="1855"/>
      <c r="F167" s="1857" t="s">
        <v>50</v>
      </c>
      <c r="G167" s="1858"/>
      <c r="H167" s="200" t="s">
        <v>538</v>
      </c>
      <c r="I167" s="217"/>
      <c r="J167" s="3193">
        <v>0</v>
      </c>
      <c r="K167" s="3171">
        <v>0</v>
      </c>
      <c r="L167" s="3125">
        <v>0</v>
      </c>
      <c r="M167" s="3124">
        <v>0</v>
      </c>
      <c r="N167" s="3125">
        <v>0</v>
      </c>
      <c r="O167" s="3125">
        <v>0</v>
      </c>
      <c r="P167" s="3125">
        <v>0</v>
      </c>
      <c r="Q167" s="3125">
        <f t="shared" si="43"/>
        <v>0</v>
      </c>
      <c r="R167" s="3605">
        <v>0</v>
      </c>
      <c r="S167" s="3275"/>
      <c r="T167" s="3826"/>
      <c r="U167" s="3771"/>
      <c r="V167" s="1846">
        <f t="shared" si="29"/>
        <v>0</v>
      </c>
    </row>
    <row r="168" spans="1:22" s="257" customFormat="1" ht="15.05" customHeight="1">
      <c r="A168" s="1855"/>
      <c r="B168" s="1855"/>
      <c r="C168" s="1855"/>
      <c r="D168" s="1855"/>
      <c r="E168" s="1855"/>
      <c r="F168" s="1464" t="s">
        <v>463</v>
      </c>
      <c r="G168" s="1860"/>
      <c r="H168" s="202"/>
      <c r="I168" s="218"/>
      <c r="J168" s="3200">
        <f t="shared" ref="J168:P168" si="44">SUM(J169:J179)</f>
        <v>1064387000</v>
      </c>
      <c r="K168" s="3200">
        <f t="shared" si="44"/>
        <v>969658000</v>
      </c>
      <c r="L168" s="3200">
        <f t="shared" si="44"/>
        <v>1074387000</v>
      </c>
      <c r="M168" s="3200">
        <f t="shared" si="44"/>
        <v>256284000</v>
      </c>
      <c r="N168" s="3200">
        <f t="shared" si="44"/>
        <v>37860000</v>
      </c>
      <c r="O168" s="3200">
        <f t="shared" si="44"/>
        <v>294144000</v>
      </c>
      <c r="P168" s="3200">
        <f t="shared" si="44"/>
        <v>953018000</v>
      </c>
      <c r="Q168" s="3182">
        <f t="shared" si="43"/>
        <v>-121369000</v>
      </c>
      <c r="R168" s="3601">
        <f t="shared" si="42"/>
        <v>-11.296581213287197</v>
      </c>
      <c r="S168" s="3710"/>
      <c r="T168" s="3829"/>
      <c r="U168" s="3771"/>
      <c r="V168" s="1846">
        <f t="shared" si="29"/>
        <v>1176576000</v>
      </c>
    </row>
    <row r="169" spans="1:22" s="257" customFormat="1" ht="15.05" customHeight="1">
      <c r="A169" s="1855"/>
      <c r="B169" s="1855"/>
      <c r="C169" s="1855"/>
      <c r="D169" s="1855"/>
      <c r="E169" s="1855"/>
      <c r="F169" s="1857" t="s">
        <v>50</v>
      </c>
      <c r="G169" s="1858"/>
      <c r="H169" s="200" t="str">
        <f>MAR!I621</f>
        <v>UPB Peninjauan</v>
      </c>
      <c r="I169" s="217"/>
      <c r="J169" s="3193">
        <v>259229500</v>
      </c>
      <c r="K169" s="3171">
        <v>410279000</v>
      </c>
      <c r="L169" s="3125">
        <v>259229500</v>
      </c>
      <c r="M169" s="3124">
        <v>133580000</v>
      </c>
      <c r="N169" s="3125">
        <v>11430000</v>
      </c>
      <c r="O169" s="3125">
        <v>145010000</v>
      </c>
      <c r="P169" s="3125">
        <v>281240000</v>
      </c>
      <c r="Q169" s="3125">
        <f t="shared" si="43"/>
        <v>22010500</v>
      </c>
      <c r="R169" s="3605">
        <f t="shared" si="42"/>
        <v>8.4907389012438728</v>
      </c>
      <c r="S169" s="3275"/>
      <c r="T169" s="3826"/>
      <c r="U169" s="3771"/>
      <c r="V169" s="1846">
        <f t="shared" si="29"/>
        <v>580040000</v>
      </c>
    </row>
    <row r="170" spans="1:22" s="257" customFormat="1" ht="15.05" customHeight="1">
      <c r="A170" s="1855"/>
      <c r="B170" s="1855"/>
      <c r="C170" s="1855"/>
      <c r="D170" s="1855"/>
      <c r="E170" s="1855"/>
      <c r="F170" s="1857" t="s">
        <v>50</v>
      </c>
      <c r="G170" s="1858"/>
      <c r="H170" s="200" t="str">
        <f>MAR!I622</f>
        <v>UPB Puyung</v>
      </c>
      <c r="I170" s="217"/>
      <c r="J170" s="3193">
        <v>374739500</v>
      </c>
      <c r="K170" s="3171">
        <v>210010000</v>
      </c>
      <c r="L170" s="3125">
        <v>374739500</v>
      </c>
      <c r="M170" s="3124">
        <v>28650000</v>
      </c>
      <c r="N170" s="3125">
        <v>2310000</v>
      </c>
      <c r="O170" s="3125">
        <v>30960000</v>
      </c>
      <c r="P170" s="3125">
        <v>246440000</v>
      </c>
      <c r="Q170" s="3125">
        <f t="shared" si="43"/>
        <v>-128299500</v>
      </c>
      <c r="R170" s="3605">
        <f t="shared" si="42"/>
        <v>-34.236983291059516</v>
      </c>
      <c r="S170" s="3275"/>
      <c r="T170" s="3826"/>
      <c r="U170" s="3771"/>
      <c r="V170" s="1846">
        <f t="shared" si="29"/>
        <v>123840000</v>
      </c>
    </row>
    <row r="171" spans="1:22" s="257" customFormat="1" ht="15.05" customHeight="1">
      <c r="A171" s="1855"/>
      <c r="B171" s="1855"/>
      <c r="C171" s="1855"/>
      <c r="D171" s="1855"/>
      <c r="E171" s="1855"/>
      <c r="F171" s="1857" t="s">
        <v>50</v>
      </c>
      <c r="G171" s="1858"/>
      <c r="H171" s="200" t="str">
        <f>MAR!I623</f>
        <v>UPB Uthan</v>
      </c>
      <c r="I171" s="217"/>
      <c r="J171" s="3193">
        <v>271618000</v>
      </c>
      <c r="K171" s="3171">
        <v>193340000</v>
      </c>
      <c r="L171" s="3125">
        <v>271618000</v>
      </c>
      <c r="M171" s="3124">
        <v>32440000</v>
      </c>
      <c r="N171" s="3125">
        <v>0</v>
      </c>
      <c r="O171" s="3125">
        <v>32440000</v>
      </c>
      <c r="P171" s="3125">
        <v>271985000</v>
      </c>
      <c r="Q171" s="3125">
        <f t="shared" si="43"/>
        <v>367000</v>
      </c>
      <c r="R171" s="3605">
        <f t="shared" si="42"/>
        <v>0.13511622941042845</v>
      </c>
      <c r="S171" s="3275"/>
      <c r="T171" s="3826"/>
      <c r="U171" s="3771"/>
      <c r="V171" s="1846">
        <f t="shared" si="29"/>
        <v>129760000</v>
      </c>
    </row>
    <row r="172" spans="1:22" s="257" customFormat="1" ht="15.05" customHeight="1">
      <c r="A172" s="1855"/>
      <c r="B172" s="1855"/>
      <c r="C172" s="1855"/>
      <c r="D172" s="1855"/>
      <c r="E172" s="1855"/>
      <c r="F172" s="1857" t="s">
        <v>50</v>
      </c>
      <c r="G172" s="1858"/>
      <c r="H172" s="200" t="str">
        <f>MAR!I624</f>
        <v>BKUT Kotaraja</v>
      </c>
      <c r="I172" s="217"/>
      <c r="J172" s="3193" t="s">
        <v>50</v>
      </c>
      <c r="K172" s="3171" t="s">
        <v>50</v>
      </c>
      <c r="L172" s="3125">
        <v>0</v>
      </c>
      <c r="M172" s="3124">
        <v>0</v>
      </c>
      <c r="N172" s="3125">
        <v>0</v>
      </c>
      <c r="O172" s="3125">
        <v>0</v>
      </c>
      <c r="P172" s="3125">
        <v>0</v>
      </c>
      <c r="Q172" s="3125">
        <f t="shared" si="43"/>
        <v>0</v>
      </c>
      <c r="R172" s="3605">
        <v>0</v>
      </c>
      <c r="S172" s="3275"/>
      <c r="T172" s="3826"/>
      <c r="U172" s="3771"/>
      <c r="V172" s="1846">
        <f t="shared" si="29"/>
        <v>0</v>
      </c>
    </row>
    <row r="173" spans="1:22" s="257" customFormat="1" ht="15.05" customHeight="1">
      <c r="A173" s="1855"/>
      <c r="B173" s="1855"/>
      <c r="C173" s="1855"/>
      <c r="D173" s="1855"/>
      <c r="E173" s="1855"/>
      <c r="F173" s="1857" t="s">
        <v>50</v>
      </c>
      <c r="G173" s="1858"/>
      <c r="H173" s="200" t="str">
        <f>MAR!I625</f>
        <v>UPB Kesik</v>
      </c>
      <c r="I173" s="217"/>
      <c r="J173" s="3193" t="s">
        <v>50</v>
      </c>
      <c r="K173" s="3171" t="s">
        <v>50</v>
      </c>
      <c r="L173" s="3125">
        <v>0</v>
      </c>
      <c r="M173" s="3124">
        <v>0</v>
      </c>
      <c r="N173" s="3125">
        <v>0</v>
      </c>
      <c r="O173" s="3125">
        <v>0</v>
      </c>
      <c r="P173" s="3125">
        <v>0</v>
      </c>
      <c r="Q173" s="3125">
        <f t="shared" si="43"/>
        <v>0</v>
      </c>
      <c r="R173" s="3605">
        <v>0</v>
      </c>
      <c r="S173" s="3275"/>
      <c r="T173" s="3826"/>
      <c r="U173" s="3771"/>
      <c r="V173" s="1846">
        <f t="shared" si="29"/>
        <v>0</v>
      </c>
    </row>
    <row r="174" spans="1:22" s="257" customFormat="1" ht="15.05" customHeight="1">
      <c r="A174" s="1855"/>
      <c r="B174" s="1855"/>
      <c r="C174" s="1855"/>
      <c r="D174" s="1855"/>
      <c r="E174" s="1855"/>
      <c r="F174" s="1857" t="s">
        <v>50</v>
      </c>
      <c r="G174" s="1858"/>
      <c r="H174" s="200" t="str">
        <f>MAR!I626</f>
        <v>UPB Sedau</v>
      </c>
      <c r="I174" s="217"/>
      <c r="J174" s="3193">
        <v>46200000</v>
      </c>
      <c r="K174" s="3171">
        <v>46600000</v>
      </c>
      <c r="L174" s="3125">
        <v>46200000</v>
      </c>
      <c r="M174" s="3124">
        <v>29700000</v>
      </c>
      <c r="N174" s="3125">
        <v>0</v>
      </c>
      <c r="O174" s="3125">
        <v>29700000</v>
      </c>
      <c r="P174" s="3125">
        <v>50200000</v>
      </c>
      <c r="Q174" s="3125">
        <f t="shared" si="43"/>
        <v>4000000</v>
      </c>
      <c r="R174" s="3605">
        <f>+P174/L174*100-100</f>
        <v>8.6580086580086544</v>
      </c>
      <c r="S174" s="3275"/>
      <c r="T174" s="3826"/>
      <c r="U174" s="3771"/>
      <c r="V174" s="1846">
        <f t="shared" ref="V174:V214" si="45">O174*4</f>
        <v>118800000</v>
      </c>
    </row>
    <row r="175" spans="1:22" s="257" customFormat="1" ht="15.05" customHeight="1">
      <c r="A175" s="1855"/>
      <c r="B175" s="1855"/>
      <c r="C175" s="1855"/>
      <c r="D175" s="1855"/>
      <c r="E175" s="1855"/>
      <c r="F175" s="1857" t="s">
        <v>50</v>
      </c>
      <c r="G175" s="1858"/>
      <c r="H175" s="200" t="str">
        <f>MAR!I627</f>
        <v>UPB Santong</v>
      </c>
      <c r="I175" s="217"/>
      <c r="J175" s="3193">
        <v>88200000</v>
      </c>
      <c r="K175" s="3171">
        <v>74940000</v>
      </c>
      <c r="L175" s="3125">
        <v>88200000</v>
      </c>
      <c r="M175" s="3124">
        <v>16920000</v>
      </c>
      <c r="N175" s="3125">
        <v>24120000</v>
      </c>
      <c r="O175" s="3125">
        <v>41040000</v>
      </c>
      <c r="P175" s="3125">
        <v>68200000</v>
      </c>
      <c r="Q175" s="3125">
        <f t="shared" si="43"/>
        <v>-20000000</v>
      </c>
      <c r="R175" s="3605">
        <f>+P175/L175*100-100</f>
        <v>-22.675736961451236</v>
      </c>
      <c r="S175" s="3275"/>
      <c r="T175" s="3826"/>
      <c r="U175" s="3771"/>
      <c r="V175" s="1846">
        <f t="shared" si="45"/>
        <v>164160000</v>
      </c>
    </row>
    <row r="176" spans="1:22" s="257" customFormat="1" ht="15.05" customHeight="1">
      <c r="A176" s="1855"/>
      <c r="B176" s="1855"/>
      <c r="C176" s="1855"/>
      <c r="D176" s="1855"/>
      <c r="E176" s="1855"/>
      <c r="F176" s="1857" t="s">
        <v>50</v>
      </c>
      <c r="G176" s="1858"/>
      <c r="H176" s="200" t="str">
        <f>MAR!I628</f>
        <v>Kebun Timbanuh</v>
      </c>
      <c r="I176" s="217"/>
      <c r="J176" s="3193">
        <v>24400000</v>
      </c>
      <c r="K176" s="3171">
        <v>24453000</v>
      </c>
      <c r="L176" s="3125">
        <v>24400000</v>
      </c>
      <c r="M176" s="3124">
        <v>14994000</v>
      </c>
      <c r="N176" s="3125">
        <v>0</v>
      </c>
      <c r="O176" s="3125">
        <v>14994000</v>
      </c>
      <c r="P176" s="3125">
        <v>24453000</v>
      </c>
      <c r="Q176" s="3125">
        <f t="shared" si="43"/>
        <v>53000</v>
      </c>
      <c r="R176" s="3605">
        <f>+P176/L176*100-100</f>
        <v>0.21721311475408811</v>
      </c>
      <c r="S176" s="3275"/>
      <c r="T176" s="3826"/>
      <c r="U176" s="3771"/>
      <c r="V176" s="1846">
        <f t="shared" si="45"/>
        <v>59976000</v>
      </c>
    </row>
    <row r="177" spans="1:22" s="257" customFormat="1" ht="15.05" customHeight="1">
      <c r="A177" s="1855"/>
      <c r="B177" s="1855"/>
      <c r="C177" s="1855"/>
      <c r="D177" s="1855"/>
      <c r="E177" s="1855"/>
      <c r="F177" s="1857" t="s">
        <v>50</v>
      </c>
      <c r="G177" s="1858"/>
      <c r="H177" s="200" t="str">
        <f>MAR!I629</f>
        <v>Kerjasama dengan penangkar</v>
      </c>
      <c r="I177" s="217"/>
      <c r="J177" s="3193" t="s">
        <v>50</v>
      </c>
      <c r="K177" s="3171">
        <v>10036000</v>
      </c>
      <c r="L177" s="3125">
        <v>0</v>
      </c>
      <c r="M177" s="3124">
        <v>0</v>
      </c>
      <c r="N177" s="3125">
        <v>0</v>
      </c>
      <c r="O177" s="3125">
        <v>0</v>
      </c>
      <c r="P177" s="3125">
        <v>0</v>
      </c>
      <c r="Q177" s="3125">
        <f t="shared" si="43"/>
        <v>0</v>
      </c>
      <c r="R177" s="3605">
        <v>0</v>
      </c>
      <c r="S177" s="3275"/>
      <c r="T177" s="3826"/>
      <c r="U177" s="3771"/>
      <c r="V177" s="1846">
        <f t="shared" si="45"/>
        <v>0</v>
      </c>
    </row>
    <row r="178" spans="1:22" s="257" customFormat="1" ht="15.05" customHeight="1">
      <c r="A178" s="1855"/>
      <c r="B178" s="1855"/>
      <c r="C178" s="1855"/>
      <c r="D178" s="1855"/>
      <c r="E178" s="1855"/>
      <c r="F178" s="1857" t="s">
        <v>50</v>
      </c>
      <c r="G178" s="1858"/>
      <c r="H178" s="200" t="str">
        <f>MAR!I630</f>
        <v>Hasil Kebun (SPPN Mataram)</v>
      </c>
      <c r="I178" s="217"/>
      <c r="J178" s="3171"/>
      <c r="K178" s="3171"/>
      <c r="L178" s="3125">
        <v>0</v>
      </c>
      <c r="M178" s="3124">
        <v>0</v>
      </c>
      <c r="N178" s="3125">
        <v>0</v>
      </c>
      <c r="O178" s="3125">
        <v>0</v>
      </c>
      <c r="P178" s="3125">
        <v>0</v>
      </c>
      <c r="Q178" s="3125">
        <f t="shared" si="43"/>
        <v>0</v>
      </c>
      <c r="R178" s="3605">
        <v>0</v>
      </c>
      <c r="S178" s="3275"/>
      <c r="T178" s="3826"/>
      <c r="U178" s="3771"/>
      <c r="V178" s="1846">
        <f t="shared" si="45"/>
        <v>0</v>
      </c>
    </row>
    <row r="179" spans="1:22" s="257" customFormat="1" ht="15.05" customHeight="1">
      <c r="A179" s="1855"/>
      <c r="B179" s="1855"/>
      <c r="C179" s="1855"/>
      <c r="D179" s="1855"/>
      <c r="E179" s="1855"/>
      <c r="F179" s="1857" t="s">
        <v>50</v>
      </c>
      <c r="G179" s="1858"/>
      <c r="H179" s="200" t="str">
        <f>MAR!I631</f>
        <v>Lain-lain (Sertifikasi Benih)</v>
      </c>
      <c r="I179" s="217"/>
      <c r="J179" s="3171"/>
      <c r="K179" s="3171"/>
      <c r="L179" s="3125">
        <v>10000000</v>
      </c>
      <c r="M179" s="3124">
        <v>0</v>
      </c>
      <c r="N179" s="3125">
        <v>0</v>
      </c>
      <c r="O179" s="3125">
        <v>0</v>
      </c>
      <c r="P179" s="3125">
        <v>10500000</v>
      </c>
      <c r="Q179" s="3125">
        <f t="shared" si="43"/>
        <v>500000</v>
      </c>
      <c r="R179" s="3605">
        <f>+P179/L179*100-100</f>
        <v>5</v>
      </c>
      <c r="S179" s="3275"/>
      <c r="T179" s="3826"/>
      <c r="U179" s="3771"/>
      <c r="V179" s="1846">
        <f t="shared" si="45"/>
        <v>0</v>
      </c>
    </row>
    <row r="180" spans="1:22" s="257" customFormat="1" ht="15.05" customHeight="1">
      <c r="A180" s="1855"/>
      <c r="B180" s="1855"/>
      <c r="C180" s="1855"/>
      <c r="D180" s="1855"/>
      <c r="E180" s="1855"/>
      <c r="F180" s="1464" t="s">
        <v>463</v>
      </c>
      <c r="G180" s="1858"/>
      <c r="H180" s="200"/>
      <c r="I180" s="217"/>
      <c r="J180" s="3171"/>
      <c r="K180" s="3171"/>
      <c r="L180" s="3125">
        <v>0</v>
      </c>
      <c r="M180" s="3124">
        <v>0</v>
      </c>
      <c r="N180" s="3125">
        <v>0</v>
      </c>
      <c r="O180" s="3125">
        <v>0</v>
      </c>
      <c r="P180" s="3125">
        <v>0</v>
      </c>
      <c r="Q180" s="3125">
        <f t="shared" si="43"/>
        <v>0</v>
      </c>
      <c r="R180" s="3605">
        <v>0</v>
      </c>
      <c r="S180" s="3275"/>
      <c r="T180" s="3826"/>
      <c r="U180" s="3771"/>
      <c r="V180" s="1846">
        <f t="shared" si="45"/>
        <v>0</v>
      </c>
    </row>
    <row r="181" spans="1:22" s="257" customFormat="1" ht="15.05" customHeight="1">
      <c r="A181" s="1855"/>
      <c r="B181" s="1855"/>
      <c r="C181" s="1855"/>
      <c r="D181" s="1855"/>
      <c r="E181" s="1855"/>
      <c r="F181" s="1857" t="s">
        <v>50</v>
      </c>
      <c r="G181" s="1858"/>
      <c r="H181" s="200" t="s">
        <v>539</v>
      </c>
      <c r="I181" s="217"/>
      <c r="J181" s="3171"/>
      <c r="K181" s="3171"/>
      <c r="L181" s="3125">
        <v>0</v>
      </c>
      <c r="M181" s="3124">
        <v>0</v>
      </c>
      <c r="N181" s="3125">
        <v>0</v>
      </c>
      <c r="O181" s="3125">
        <v>0</v>
      </c>
      <c r="P181" s="3125">
        <v>0</v>
      </c>
      <c r="Q181" s="3125">
        <f t="shared" si="43"/>
        <v>0</v>
      </c>
      <c r="R181" s="3605">
        <v>0</v>
      </c>
      <c r="S181" s="3275"/>
      <c r="T181" s="3826"/>
      <c r="U181" s="3771"/>
      <c r="V181" s="1846">
        <f t="shared" si="45"/>
        <v>0</v>
      </c>
    </row>
    <row r="182" spans="1:22" s="257" customFormat="1" ht="15.05" customHeight="1">
      <c r="A182" s="1855"/>
      <c r="B182" s="1855"/>
      <c r="C182" s="1855"/>
      <c r="D182" s="1855"/>
      <c r="E182" s="1855"/>
      <c r="F182" s="1464" t="s">
        <v>523</v>
      </c>
      <c r="G182" s="1860"/>
      <c r="H182" s="202"/>
      <c r="I182" s="218"/>
      <c r="J182" s="3123">
        <f>SUM(J183:J186)</f>
        <v>10000000</v>
      </c>
      <c r="K182" s="3123">
        <f t="shared" ref="K182:P182" si="46">SUM(K183:K186)</f>
        <v>42289500</v>
      </c>
      <c r="L182" s="3123">
        <f t="shared" si="46"/>
        <v>0</v>
      </c>
      <c r="M182" s="3123">
        <f t="shared" si="46"/>
        <v>0</v>
      </c>
      <c r="N182" s="3123">
        <f t="shared" si="46"/>
        <v>0</v>
      </c>
      <c r="O182" s="3123">
        <f t="shared" si="46"/>
        <v>0</v>
      </c>
      <c r="P182" s="3123">
        <f t="shared" si="46"/>
        <v>0</v>
      </c>
      <c r="Q182" s="3182">
        <f t="shared" si="43"/>
        <v>0</v>
      </c>
      <c r="R182" s="3601">
        <v>0</v>
      </c>
      <c r="S182" s="3710"/>
      <c r="T182" s="3829"/>
      <c r="U182" s="3771"/>
      <c r="V182" s="1846">
        <f t="shared" si="45"/>
        <v>0</v>
      </c>
    </row>
    <row r="183" spans="1:22" s="257" customFormat="1" ht="15.05" customHeight="1">
      <c r="A183" s="1855"/>
      <c r="B183" s="1855"/>
      <c r="C183" s="1855"/>
      <c r="D183" s="1855"/>
      <c r="E183" s="1855"/>
      <c r="F183" s="1857" t="s">
        <v>50</v>
      </c>
      <c r="G183" s="1858"/>
      <c r="H183" s="200" t="s">
        <v>540</v>
      </c>
      <c r="I183" s="217"/>
      <c r="J183" s="3193" t="s">
        <v>50</v>
      </c>
      <c r="K183" s="3193" t="s">
        <v>50</v>
      </c>
      <c r="L183" s="3125">
        <v>0</v>
      </c>
      <c r="M183" s="3124">
        <v>0</v>
      </c>
      <c r="N183" s="3125">
        <v>0</v>
      </c>
      <c r="O183" s="3125">
        <v>0</v>
      </c>
      <c r="P183" s="3125">
        <v>0</v>
      </c>
      <c r="Q183" s="3125">
        <f t="shared" si="43"/>
        <v>0</v>
      </c>
      <c r="R183" s="3605">
        <v>0</v>
      </c>
      <c r="S183" s="3275"/>
      <c r="T183" s="3826"/>
      <c r="U183" s="3771"/>
      <c r="V183" s="1846">
        <f t="shared" si="45"/>
        <v>0</v>
      </c>
    </row>
    <row r="184" spans="1:22" s="257" customFormat="1" ht="15.05" customHeight="1">
      <c r="A184" s="1855"/>
      <c r="B184" s="1855"/>
      <c r="C184" s="1855"/>
      <c r="D184" s="1855"/>
      <c r="E184" s="1855"/>
      <c r="F184" s="1857" t="s">
        <v>50</v>
      </c>
      <c r="G184" s="1858"/>
      <c r="H184" s="200" t="s">
        <v>541</v>
      </c>
      <c r="I184" s="217"/>
      <c r="J184" s="3193" t="s">
        <v>50</v>
      </c>
      <c r="K184" s="3193" t="s">
        <v>50</v>
      </c>
      <c r="L184" s="3125">
        <v>0</v>
      </c>
      <c r="M184" s="3124">
        <v>0</v>
      </c>
      <c r="N184" s="3125">
        <v>0</v>
      </c>
      <c r="O184" s="3125">
        <v>0</v>
      </c>
      <c r="P184" s="3125">
        <v>0</v>
      </c>
      <c r="Q184" s="3125">
        <f t="shared" si="43"/>
        <v>0</v>
      </c>
      <c r="R184" s="3605">
        <v>0</v>
      </c>
      <c r="S184" s="3275"/>
      <c r="T184" s="3826"/>
      <c r="U184" s="3771"/>
      <c r="V184" s="1846">
        <f t="shared" si="45"/>
        <v>0</v>
      </c>
    </row>
    <row r="185" spans="1:22" s="257" customFormat="1" ht="15.05" customHeight="1">
      <c r="A185" s="1855"/>
      <c r="B185" s="1855"/>
      <c r="C185" s="1855"/>
      <c r="D185" s="1855"/>
      <c r="E185" s="1855"/>
      <c r="F185" s="1857" t="s">
        <v>50</v>
      </c>
      <c r="G185" s="1858"/>
      <c r="H185" s="200" t="s">
        <v>542</v>
      </c>
      <c r="I185" s="217"/>
      <c r="J185" s="3193" t="s">
        <v>50</v>
      </c>
      <c r="K185" s="3193" t="s">
        <v>50</v>
      </c>
      <c r="L185" s="3125">
        <v>0</v>
      </c>
      <c r="M185" s="3124">
        <v>0</v>
      </c>
      <c r="N185" s="3125">
        <v>0</v>
      </c>
      <c r="O185" s="3125">
        <v>0</v>
      </c>
      <c r="P185" s="3125">
        <v>0</v>
      </c>
      <c r="Q185" s="3125">
        <f t="shared" si="43"/>
        <v>0</v>
      </c>
      <c r="R185" s="3605">
        <v>0</v>
      </c>
      <c r="S185" s="3275"/>
      <c r="T185" s="3826"/>
      <c r="U185" s="3771"/>
      <c r="V185" s="1846">
        <f t="shared" si="45"/>
        <v>0</v>
      </c>
    </row>
    <row r="186" spans="1:22" s="257" customFormat="1" ht="15.05" customHeight="1">
      <c r="A186" s="1855"/>
      <c r="B186" s="1855"/>
      <c r="C186" s="1855"/>
      <c r="D186" s="1855"/>
      <c r="E186" s="1855"/>
      <c r="F186" s="1857" t="s">
        <v>50</v>
      </c>
      <c r="G186" s="1858"/>
      <c r="H186" s="200" t="s">
        <v>543</v>
      </c>
      <c r="I186" s="217"/>
      <c r="J186" s="3193">
        <v>10000000</v>
      </c>
      <c r="K186" s="3193">
        <v>42289500</v>
      </c>
      <c r="L186" s="3125">
        <v>0</v>
      </c>
      <c r="M186" s="3124">
        <v>0</v>
      </c>
      <c r="N186" s="3125">
        <v>0</v>
      </c>
      <c r="O186" s="3125">
        <v>0</v>
      </c>
      <c r="P186" s="3125">
        <v>0</v>
      </c>
      <c r="Q186" s="3125">
        <f t="shared" si="43"/>
        <v>0</v>
      </c>
      <c r="R186" s="3605">
        <v>0</v>
      </c>
      <c r="S186" s="3275"/>
      <c r="T186" s="3826"/>
      <c r="U186" s="3771"/>
      <c r="V186" s="1846">
        <f t="shared" si="45"/>
        <v>0</v>
      </c>
    </row>
    <row r="187" spans="1:22" s="257" customFormat="1" ht="15.05" customHeight="1">
      <c r="A187" s="1855"/>
      <c r="B187" s="1855"/>
      <c r="C187" s="1855"/>
      <c r="D187" s="1855"/>
      <c r="E187" s="1855"/>
      <c r="F187" s="1464" t="s">
        <v>544</v>
      </c>
      <c r="G187" s="1860"/>
      <c r="H187" s="202"/>
      <c r="I187" s="218"/>
      <c r="J187" s="3123">
        <f t="shared" ref="J187:P187" si="47">SUM(J188:J194)</f>
        <v>219000000</v>
      </c>
      <c r="K187" s="3123">
        <f t="shared" si="47"/>
        <v>502760530</v>
      </c>
      <c r="L187" s="3123">
        <f t="shared" si="47"/>
        <v>219000000</v>
      </c>
      <c r="M187" s="3123">
        <f t="shared" si="47"/>
        <v>858050</v>
      </c>
      <c r="N187" s="3123">
        <f t="shared" si="47"/>
        <v>0</v>
      </c>
      <c r="O187" s="3123">
        <f t="shared" si="47"/>
        <v>858050</v>
      </c>
      <c r="P187" s="3123">
        <f t="shared" si="47"/>
        <v>219000000</v>
      </c>
      <c r="Q187" s="3182">
        <f t="shared" si="43"/>
        <v>0</v>
      </c>
      <c r="R187" s="3601">
        <f>+P187/L187*100-100</f>
        <v>0</v>
      </c>
      <c r="S187" s="3710"/>
      <c r="T187" s="3829"/>
      <c r="U187" s="3771"/>
      <c r="V187" s="1846">
        <f t="shared" si="45"/>
        <v>3432200</v>
      </c>
    </row>
    <row r="188" spans="1:22" s="1538" customFormat="1" ht="15.05" customHeight="1">
      <c r="A188" s="1855"/>
      <c r="B188" s="1855"/>
      <c r="C188" s="1855"/>
      <c r="D188" s="1855"/>
      <c r="E188" s="1855"/>
      <c r="F188" s="1857" t="s">
        <v>50</v>
      </c>
      <c r="G188" s="1858"/>
      <c r="H188" s="200" t="str">
        <f>MAR!I649</f>
        <v>Penj. Sapi fetening</v>
      </c>
      <c r="I188" s="217"/>
      <c r="J188" s="3171">
        <v>0</v>
      </c>
      <c r="K188" s="3171">
        <v>777000</v>
      </c>
      <c r="L188" s="3125">
        <v>0</v>
      </c>
      <c r="M188" s="3124">
        <v>0</v>
      </c>
      <c r="N188" s="3125">
        <v>0</v>
      </c>
      <c r="O188" s="3125">
        <v>0</v>
      </c>
      <c r="P188" s="3125">
        <v>0</v>
      </c>
      <c r="Q188" s="3125">
        <f t="shared" si="43"/>
        <v>0</v>
      </c>
      <c r="R188" s="3605">
        <v>0</v>
      </c>
      <c r="S188" s="3275"/>
      <c r="T188" s="3826"/>
      <c r="U188" s="3771"/>
      <c r="V188" s="1846">
        <f t="shared" si="45"/>
        <v>0</v>
      </c>
    </row>
    <row r="189" spans="1:22" s="1538" customFormat="1" ht="15.05" customHeight="1">
      <c r="A189" s="1855"/>
      <c r="B189" s="1855"/>
      <c r="C189" s="1855"/>
      <c r="D189" s="1855"/>
      <c r="E189" s="1855"/>
      <c r="F189" s="1857" t="s">
        <v>50</v>
      </c>
      <c r="G189" s="1858"/>
      <c r="H189" s="200" t="str">
        <f>MAR!I650</f>
        <v>Inseminasi buatan BLPKH Banyumulek</v>
      </c>
      <c r="I189" s="217"/>
      <c r="J189" s="3171">
        <v>75000000</v>
      </c>
      <c r="K189" s="3171">
        <v>76523650</v>
      </c>
      <c r="L189" s="3125">
        <v>75000000</v>
      </c>
      <c r="M189" s="3124">
        <v>858050</v>
      </c>
      <c r="N189" s="3125">
        <v>0</v>
      </c>
      <c r="O189" s="3125">
        <v>858050</v>
      </c>
      <c r="P189" s="3125">
        <v>75000000</v>
      </c>
      <c r="Q189" s="3125">
        <f t="shared" si="43"/>
        <v>0</v>
      </c>
      <c r="R189" s="3605">
        <f>+P189/L189*100-100</f>
        <v>0</v>
      </c>
      <c r="S189" s="3275"/>
      <c r="T189" s="3826"/>
      <c r="U189" s="3771"/>
      <c r="V189" s="1846">
        <f t="shared" si="45"/>
        <v>3432200</v>
      </c>
    </row>
    <row r="190" spans="1:22" s="1538" customFormat="1" ht="15.05" customHeight="1">
      <c r="A190" s="1855"/>
      <c r="B190" s="1855"/>
      <c r="C190" s="1855"/>
      <c r="D190" s="1855"/>
      <c r="E190" s="1855"/>
      <c r="F190" s="1857" t="s">
        <v>50</v>
      </c>
      <c r="G190" s="1858"/>
      <c r="H190" s="200" t="str">
        <f>MAR!I651</f>
        <v>Penj. HMT BPTHMT Serading Sumbawa</v>
      </c>
      <c r="I190" s="217"/>
      <c r="J190" s="3171">
        <v>19000000</v>
      </c>
      <c r="K190" s="3171">
        <v>58119880</v>
      </c>
      <c r="L190" s="3125">
        <v>19000000</v>
      </c>
      <c r="M190" s="3124">
        <v>0</v>
      </c>
      <c r="N190" s="3125">
        <v>0</v>
      </c>
      <c r="O190" s="3125">
        <v>0</v>
      </c>
      <c r="P190" s="3125">
        <v>19000000</v>
      </c>
      <c r="Q190" s="3125">
        <f t="shared" si="43"/>
        <v>0</v>
      </c>
      <c r="R190" s="3605">
        <f>+P190/L190*100-100</f>
        <v>0</v>
      </c>
      <c r="S190" s="3275"/>
      <c r="T190" s="3826"/>
      <c r="U190" s="3771"/>
      <c r="V190" s="1846">
        <f t="shared" si="45"/>
        <v>0</v>
      </c>
    </row>
    <row r="191" spans="1:22" s="1538" customFormat="1" ht="15.05" customHeight="1">
      <c r="A191" s="1855"/>
      <c r="B191" s="1855"/>
      <c r="C191" s="1855"/>
      <c r="D191" s="1855"/>
      <c r="E191" s="1855"/>
      <c r="F191" s="1857" t="s">
        <v>50</v>
      </c>
      <c r="G191" s="1858"/>
      <c r="H191" s="200" t="str">
        <f>MAR!I652</f>
        <v>Penj.Ternak tdk layak bibit Serading</v>
      </c>
      <c r="I191" s="217"/>
      <c r="J191" s="3171">
        <v>125000000</v>
      </c>
      <c r="K191" s="3171">
        <v>367340000</v>
      </c>
      <c r="L191" s="3125">
        <v>125000000</v>
      </c>
      <c r="M191" s="3124">
        <v>0</v>
      </c>
      <c r="N191" s="3125">
        <v>0</v>
      </c>
      <c r="O191" s="3125">
        <v>0</v>
      </c>
      <c r="P191" s="3125">
        <v>125000000</v>
      </c>
      <c r="Q191" s="3125">
        <f t="shared" si="43"/>
        <v>0</v>
      </c>
      <c r="R191" s="3605">
        <f>+P191/L191*100-100</f>
        <v>0</v>
      </c>
      <c r="S191" s="3275"/>
      <c r="T191" s="3826"/>
      <c r="U191" s="3771"/>
      <c r="V191" s="1846">
        <f t="shared" si="45"/>
        <v>0</v>
      </c>
    </row>
    <row r="192" spans="1:22" s="1538" customFormat="1" ht="15.05" customHeight="1">
      <c r="A192" s="1855"/>
      <c r="B192" s="1855"/>
      <c r="C192" s="1855"/>
      <c r="D192" s="1855"/>
      <c r="E192" s="1855"/>
      <c r="F192" s="1857" t="s">
        <v>50</v>
      </c>
      <c r="G192" s="1858"/>
      <c r="H192" s="200" t="str">
        <f>MAR!I653</f>
        <v xml:space="preserve">Penj. Susu &amp; Sapi perah non produktif BIB </v>
      </c>
      <c r="I192" s="217"/>
      <c r="J192" s="3193" t="s">
        <v>50</v>
      </c>
      <c r="K192" s="3193" t="s">
        <v>50</v>
      </c>
      <c r="L192" s="3125">
        <v>0</v>
      </c>
      <c r="M192" s="3124">
        <v>0</v>
      </c>
      <c r="N192" s="3125">
        <v>0</v>
      </c>
      <c r="O192" s="3125">
        <v>0</v>
      </c>
      <c r="P192" s="3125">
        <v>0</v>
      </c>
      <c r="Q192" s="3125">
        <f t="shared" si="43"/>
        <v>0</v>
      </c>
      <c r="R192" s="3605">
        <v>0</v>
      </c>
      <c r="S192" s="3275"/>
      <c r="T192" s="3826"/>
      <c r="U192" s="3771"/>
      <c r="V192" s="1846">
        <f t="shared" si="45"/>
        <v>0</v>
      </c>
    </row>
    <row r="193" spans="1:22" s="1538" customFormat="1" ht="15.05" customHeight="1">
      <c r="A193" s="1855"/>
      <c r="B193" s="1855"/>
      <c r="C193" s="1855"/>
      <c r="D193" s="1855"/>
      <c r="E193" s="1855"/>
      <c r="F193" s="1857" t="s">
        <v>50</v>
      </c>
      <c r="G193" s="1858"/>
      <c r="H193" s="200" t="str">
        <f>MAR!I654</f>
        <v>Penj. Ayam Pedaging BIB Banyumulek</v>
      </c>
      <c r="I193" s="217"/>
      <c r="J193" s="3193" t="s">
        <v>50</v>
      </c>
      <c r="K193" s="3193" t="s">
        <v>50</v>
      </c>
      <c r="L193" s="3125">
        <v>0</v>
      </c>
      <c r="M193" s="3124">
        <v>0</v>
      </c>
      <c r="N193" s="3125">
        <v>0</v>
      </c>
      <c r="O193" s="3125">
        <v>0</v>
      </c>
      <c r="P193" s="3125">
        <v>0</v>
      </c>
      <c r="Q193" s="3125">
        <f t="shared" si="43"/>
        <v>0</v>
      </c>
      <c r="R193" s="3605">
        <v>0</v>
      </c>
      <c r="S193" s="3275"/>
      <c r="T193" s="3826"/>
      <c r="U193" s="3771"/>
      <c r="V193" s="1846">
        <f t="shared" si="45"/>
        <v>0</v>
      </c>
    </row>
    <row r="194" spans="1:22" s="1538" customFormat="1" ht="15.05" customHeight="1">
      <c r="A194" s="1855"/>
      <c r="B194" s="1855"/>
      <c r="C194" s="1855"/>
      <c r="D194" s="1855"/>
      <c r="E194" s="1855"/>
      <c r="F194" s="1857" t="s">
        <v>50</v>
      </c>
      <c r="G194" s="1858"/>
      <c r="H194" s="200" t="str">
        <f>MAR!I655</f>
        <v>Penj. Daging RPH Banyumulek</v>
      </c>
      <c r="I194" s="217"/>
      <c r="J194" s="3193" t="s">
        <v>50</v>
      </c>
      <c r="K194" s="3193" t="s">
        <v>50</v>
      </c>
      <c r="L194" s="3125">
        <v>0</v>
      </c>
      <c r="M194" s="3124">
        <v>0</v>
      </c>
      <c r="N194" s="3125">
        <v>0</v>
      </c>
      <c r="O194" s="3125">
        <v>0</v>
      </c>
      <c r="P194" s="3125">
        <v>0</v>
      </c>
      <c r="Q194" s="3125">
        <f t="shared" si="43"/>
        <v>0</v>
      </c>
      <c r="R194" s="3605">
        <v>0</v>
      </c>
      <c r="S194" s="3275"/>
      <c r="T194" s="3826"/>
      <c r="U194" s="3771"/>
      <c r="V194" s="1846">
        <f t="shared" si="45"/>
        <v>0</v>
      </c>
    </row>
    <row r="195" spans="1:22" s="1538" customFormat="1" ht="15.05" customHeight="1">
      <c r="A195" s="1855"/>
      <c r="B195" s="1855"/>
      <c r="C195" s="1855"/>
      <c r="D195" s="1855"/>
      <c r="E195" s="1855"/>
      <c r="F195" s="1464" t="s">
        <v>528</v>
      </c>
      <c r="G195" s="1860"/>
      <c r="H195" s="202"/>
      <c r="I195" s="218"/>
      <c r="J195" s="3123">
        <f>SUM(J196:J202)</f>
        <v>820000000</v>
      </c>
      <c r="K195" s="3123">
        <f t="shared" ref="K195:P195" si="48">SUM(K196:K202)</f>
        <v>890941000</v>
      </c>
      <c r="L195" s="3123">
        <f>SUM(L196:L202)</f>
        <v>820000000</v>
      </c>
      <c r="M195" s="3123">
        <f t="shared" si="48"/>
        <v>55399500</v>
      </c>
      <c r="N195" s="3123">
        <f t="shared" si="48"/>
        <v>120244500</v>
      </c>
      <c r="O195" s="3123">
        <f t="shared" si="48"/>
        <v>175644000</v>
      </c>
      <c r="P195" s="3123">
        <f t="shared" si="48"/>
        <v>820000000</v>
      </c>
      <c r="Q195" s="3182">
        <f t="shared" si="43"/>
        <v>0</v>
      </c>
      <c r="R195" s="3601">
        <f>+P195/L195*100-100</f>
        <v>0</v>
      </c>
      <c r="S195" s="3731"/>
      <c r="T195" s="3829"/>
      <c r="U195" s="3781">
        <f>SUM(U196:U202)</f>
        <v>0</v>
      </c>
      <c r="V195" s="1846">
        <f t="shared" si="45"/>
        <v>702576000</v>
      </c>
    </row>
    <row r="196" spans="1:22" s="1538" customFormat="1" ht="15.05" customHeight="1">
      <c r="A196" s="1855"/>
      <c r="B196" s="1855"/>
      <c r="C196" s="1855"/>
      <c r="D196" s="1855"/>
      <c r="E196" s="1855"/>
      <c r="F196" s="1857" t="s">
        <v>50</v>
      </c>
      <c r="G196" s="1858"/>
      <c r="H196" s="200" t="str">
        <f>MAR!I688</f>
        <v>BPBIAT Aikmel</v>
      </c>
      <c r="I196" s="217"/>
      <c r="J196" s="3171">
        <v>190000000</v>
      </c>
      <c r="K196" s="3171">
        <v>185000000</v>
      </c>
      <c r="L196" s="3125">
        <v>190000000</v>
      </c>
      <c r="M196" s="3124">
        <v>30000000</v>
      </c>
      <c r="N196" s="3125">
        <v>19500000</v>
      </c>
      <c r="O196" s="3125">
        <v>49500000</v>
      </c>
      <c r="P196" s="3125">
        <v>190000000</v>
      </c>
      <c r="Q196" s="3125">
        <f t="shared" si="43"/>
        <v>0</v>
      </c>
      <c r="R196" s="3605">
        <f>+P196/L196*100-100</f>
        <v>0</v>
      </c>
      <c r="S196" s="3275"/>
      <c r="T196" s="3826"/>
      <c r="U196" s="3771"/>
      <c r="V196" s="1846">
        <f t="shared" si="45"/>
        <v>198000000</v>
      </c>
    </row>
    <row r="197" spans="1:22" s="1538" customFormat="1" ht="15.05" customHeight="1">
      <c r="A197" s="1855"/>
      <c r="B197" s="1855"/>
      <c r="C197" s="1855"/>
      <c r="D197" s="1855"/>
      <c r="E197" s="1855"/>
      <c r="F197" s="1857" t="s">
        <v>50</v>
      </c>
      <c r="G197" s="1858"/>
      <c r="H197" s="200" t="str">
        <f>MAR!I689</f>
        <v>BBI Batu kumbung</v>
      </c>
      <c r="I197" s="217"/>
      <c r="J197" s="3171">
        <v>160000000</v>
      </c>
      <c r="K197" s="3171">
        <v>160153500</v>
      </c>
      <c r="L197" s="3125">
        <v>160000000</v>
      </c>
      <c r="M197" s="3124">
        <v>6528500</v>
      </c>
      <c r="N197" s="3125">
        <v>15425500</v>
      </c>
      <c r="O197" s="3125">
        <v>21954000</v>
      </c>
      <c r="P197" s="3125">
        <v>160000000</v>
      </c>
      <c r="Q197" s="3125">
        <f t="shared" si="43"/>
        <v>0</v>
      </c>
      <c r="R197" s="3605">
        <f>+P197/L197*100-100</f>
        <v>0</v>
      </c>
      <c r="S197" s="3275"/>
      <c r="T197" s="3826"/>
      <c r="U197" s="3771"/>
      <c r="V197" s="1846">
        <f t="shared" si="45"/>
        <v>87816000</v>
      </c>
    </row>
    <row r="198" spans="1:22" s="1538" customFormat="1" ht="15.05" customHeight="1">
      <c r="A198" s="1855"/>
      <c r="B198" s="1855"/>
      <c r="C198" s="1855"/>
      <c r="D198" s="1855"/>
      <c r="E198" s="1855"/>
      <c r="F198" s="1857" t="s">
        <v>50</v>
      </c>
      <c r="G198" s="1858"/>
      <c r="H198" s="200" t="str">
        <f>MAR!I690</f>
        <v>BBI Lingsar</v>
      </c>
      <c r="I198" s="217"/>
      <c r="J198" s="3171">
        <v>90000000</v>
      </c>
      <c r="K198" s="3171">
        <v>90772500</v>
      </c>
      <c r="L198" s="3125">
        <v>90000000</v>
      </c>
      <c r="M198" s="3124">
        <v>16191000</v>
      </c>
      <c r="N198" s="3125">
        <v>11950000</v>
      </c>
      <c r="O198" s="3125">
        <v>28141000</v>
      </c>
      <c r="P198" s="3125">
        <v>90000000</v>
      </c>
      <c r="Q198" s="3125">
        <f t="shared" si="43"/>
        <v>0</v>
      </c>
      <c r="R198" s="3605">
        <f>+P198/L198*100-100</f>
        <v>0</v>
      </c>
      <c r="S198" s="3275"/>
      <c r="T198" s="3826"/>
      <c r="U198" s="3771"/>
      <c r="V198" s="1846">
        <f t="shared" si="45"/>
        <v>112564000</v>
      </c>
    </row>
    <row r="199" spans="1:22" s="1538" customFormat="1" ht="15.05" customHeight="1">
      <c r="A199" s="1855"/>
      <c r="B199" s="1855"/>
      <c r="C199" s="1855"/>
      <c r="D199" s="1855"/>
      <c r="E199" s="1855"/>
      <c r="F199" s="1857" t="s">
        <v>50</v>
      </c>
      <c r="G199" s="1858"/>
      <c r="H199" s="200" t="str">
        <f>MAR!I691</f>
        <v>Matua</v>
      </c>
      <c r="I199" s="217"/>
      <c r="J199" s="3193" t="s">
        <v>50</v>
      </c>
      <c r="K199" s="3193" t="s">
        <v>50</v>
      </c>
      <c r="L199" s="3125">
        <v>0</v>
      </c>
      <c r="M199" s="3124">
        <v>0</v>
      </c>
      <c r="N199" s="3125">
        <v>0</v>
      </c>
      <c r="O199" s="3125">
        <v>0</v>
      </c>
      <c r="P199" s="3125">
        <v>0</v>
      </c>
      <c r="Q199" s="3125">
        <f t="shared" si="43"/>
        <v>0</v>
      </c>
      <c r="R199" s="3605">
        <v>0</v>
      </c>
      <c r="S199" s="3275"/>
      <c r="T199" s="3826"/>
      <c r="U199" s="3771"/>
      <c r="V199" s="1846">
        <f t="shared" si="45"/>
        <v>0</v>
      </c>
    </row>
    <row r="200" spans="1:22" s="1538" customFormat="1" ht="15.05" customHeight="1">
      <c r="A200" s="1855"/>
      <c r="B200" s="1855"/>
      <c r="C200" s="1855"/>
      <c r="D200" s="1855"/>
      <c r="E200" s="1855"/>
      <c r="F200" s="1857" t="s">
        <v>50</v>
      </c>
      <c r="G200" s="1858"/>
      <c r="H200" s="200" t="str">
        <f>MAR!I692</f>
        <v>BBI Rade Bima</v>
      </c>
      <c r="I200" s="217"/>
      <c r="J200" s="3171">
        <v>15000000</v>
      </c>
      <c r="K200" s="3193">
        <v>15000000</v>
      </c>
      <c r="L200" s="3125">
        <v>15000000</v>
      </c>
      <c r="M200" s="3124">
        <v>1200000</v>
      </c>
      <c r="N200" s="3125">
        <v>1400000</v>
      </c>
      <c r="O200" s="3125">
        <v>2600000</v>
      </c>
      <c r="P200" s="3125">
        <v>15000000</v>
      </c>
      <c r="Q200" s="3125">
        <f t="shared" si="43"/>
        <v>0</v>
      </c>
      <c r="R200" s="3605">
        <f>+P200/L200*100-100</f>
        <v>0</v>
      </c>
      <c r="S200" s="3275"/>
      <c r="T200" s="3826"/>
      <c r="U200" s="3771"/>
      <c r="V200" s="1846">
        <f t="shared" si="45"/>
        <v>10400000</v>
      </c>
    </row>
    <row r="201" spans="1:22" s="1538" customFormat="1" ht="15.05" customHeight="1">
      <c r="A201" s="1855"/>
      <c r="B201" s="1855"/>
      <c r="C201" s="1855"/>
      <c r="D201" s="1855"/>
      <c r="E201" s="1855"/>
      <c r="F201" s="1857" t="s">
        <v>50</v>
      </c>
      <c r="G201" s="1858"/>
      <c r="H201" s="200" t="str">
        <f>MAR!I693</f>
        <v>BBI Taliwang</v>
      </c>
      <c r="I201" s="217"/>
      <c r="J201" s="3171">
        <v>30000000</v>
      </c>
      <c r="K201" s="3193">
        <v>4000000</v>
      </c>
      <c r="L201" s="3125">
        <v>30000000</v>
      </c>
      <c r="M201" s="3124">
        <v>1480000</v>
      </c>
      <c r="N201" s="3125">
        <v>569000</v>
      </c>
      <c r="O201" s="3125">
        <v>2049000</v>
      </c>
      <c r="P201" s="3125">
        <v>30000000</v>
      </c>
      <c r="Q201" s="3125">
        <f t="shared" si="43"/>
        <v>0</v>
      </c>
      <c r="R201" s="3605">
        <f>+P201/L201*100-100</f>
        <v>0</v>
      </c>
      <c r="S201" s="3275"/>
      <c r="T201" s="3826"/>
      <c r="U201" s="3771"/>
      <c r="V201" s="1846">
        <f t="shared" si="45"/>
        <v>8196000</v>
      </c>
    </row>
    <row r="202" spans="1:22" s="1538" customFormat="1" ht="15.05" customHeight="1">
      <c r="A202" s="1855"/>
      <c r="B202" s="1855"/>
      <c r="C202" s="1855"/>
      <c r="D202" s="1855"/>
      <c r="E202" s="1855"/>
      <c r="F202" s="1857" t="s">
        <v>50</v>
      </c>
      <c r="G202" s="1858"/>
      <c r="H202" s="200" t="str">
        <f>MAR!I694</f>
        <v>BPBPP Sekotong</v>
      </c>
      <c r="I202" s="217"/>
      <c r="J202" s="3171">
        <v>335000000</v>
      </c>
      <c r="K202" s="3193">
        <v>436015000</v>
      </c>
      <c r="L202" s="3125">
        <v>335000000</v>
      </c>
      <c r="M202" s="3124">
        <v>0</v>
      </c>
      <c r="N202" s="3125">
        <v>71400000</v>
      </c>
      <c r="O202" s="3125">
        <v>71400000</v>
      </c>
      <c r="P202" s="3125">
        <v>335000000</v>
      </c>
      <c r="Q202" s="3125">
        <f t="shared" si="43"/>
        <v>0</v>
      </c>
      <c r="R202" s="3605">
        <f>+P202/L202*100-100</f>
        <v>0</v>
      </c>
      <c r="S202" s="3748"/>
      <c r="T202" s="3826"/>
      <c r="U202" s="3778">
        <f>PerDinas!Q947</f>
        <v>0</v>
      </c>
      <c r="V202" s="1846">
        <f t="shared" si="45"/>
        <v>285600000</v>
      </c>
    </row>
    <row r="203" spans="1:22" s="1538" customFormat="1" ht="15.05" customHeight="1">
      <c r="A203" s="3573"/>
      <c r="B203" s="3573"/>
      <c r="C203" s="3573"/>
      <c r="D203" s="3573"/>
      <c r="E203" s="3573"/>
      <c r="F203" s="3574"/>
      <c r="G203" s="3581"/>
      <c r="H203" s="3575"/>
      <c r="I203" s="3582"/>
      <c r="J203" s="3577"/>
      <c r="K203" s="3583"/>
      <c r="L203" s="3578"/>
      <c r="M203" s="3579"/>
      <c r="N203" s="3578"/>
      <c r="O203" s="3578"/>
      <c r="P203" s="3578"/>
      <c r="Q203" s="3578"/>
      <c r="R203" s="3615"/>
      <c r="S203" s="3709"/>
      <c r="T203" s="3828"/>
      <c r="U203" s="3771"/>
      <c r="V203" s="1846">
        <f t="shared" si="45"/>
        <v>0</v>
      </c>
    </row>
    <row r="204" spans="1:22" s="2945" customFormat="1" ht="15.05" customHeight="1">
      <c r="A204" s="3053">
        <v>4</v>
      </c>
      <c r="B204" s="3054">
        <v>1</v>
      </c>
      <c r="C204" s="3054">
        <v>2</v>
      </c>
      <c r="D204" s="3054" t="s">
        <v>440</v>
      </c>
      <c r="E204" s="3054"/>
      <c r="F204" s="3056" t="s">
        <v>545</v>
      </c>
      <c r="G204" s="3057"/>
      <c r="H204" s="3064"/>
      <c r="I204" s="3065"/>
      <c r="J204" s="3202">
        <f>+J205+J210+J213</f>
        <v>1648889500</v>
      </c>
      <c r="K204" s="3202">
        <f>+K205+K210+K213</f>
        <v>1761141600</v>
      </c>
      <c r="L204" s="3178">
        <f>+L205+L210+L213</f>
        <v>1648889500</v>
      </c>
      <c r="M204" s="3179">
        <v>323745000</v>
      </c>
      <c r="N204" s="3178">
        <f>+N205+N210+N213</f>
        <v>153560000</v>
      </c>
      <c r="O204" s="3178">
        <f>+O205+O210+O213</f>
        <v>477305000</v>
      </c>
      <c r="P204" s="3178">
        <f>+P205+P210+P213</f>
        <v>1843889500</v>
      </c>
      <c r="Q204" s="3178">
        <f>+Q205+Q210+Q213</f>
        <v>195000000</v>
      </c>
      <c r="R204" s="3613">
        <f>+P204/L204*100-100</f>
        <v>11.826141169556848</v>
      </c>
      <c r="S204" s="3700"/>
      <c r="T204" s="3818"/>
      <c r="U204" s="3773"/>
      <c r="V204" s="2944">
        <f t="shared" si="45"/>
        <v>1909220000</v>
      </c>
    </row>
    <row r="205" spans="1:22" s="2932" customFormat="1" ht="15.05" customHeight="1">
      <c r="A205" s="3047">
        <v>4</v>
      </c>
      <c r="B205" s="3047">
        <v>1</v>
      </c>
      <c r="C205" s="3047">
        <v>2</v>
      </c>
      <c r="D205" s="3047" t="s">
        <v>440</v>
      </c>
      <c r="E205" s="3047" t="s">
        <v>437</v>
      </c>
      <c r="F205" s="3048" t="s">
        <v>117</v>
      </c>
      <c r="G205" s="3049"/>
      <c r="H205" s="3050"/>
      <c r="I205" s="3051"/>
      <c r="J205" s="3441">
        <f>SUM(J206:J208)</f>
        <v>193889500</v>
      </c>
      <c r="K205" s="3442">
        <f>SUM(K206:K208)</f>
        <v>122160000</v>
      </c>
      <c r="L205" s="3163">
        <f>SUM(L206:L209)</f>
        <v>193889500</v>
      </c>
      <c r="M205" s="3164">
        <v>3165000</v>
      </c>
      <c r="N205" s="3163">
        <f>SUM(N206:N209)</f>
        <v>25400000</v>
      </c>
      <c r="O205" s="3163">
        <f>N205+M205</f>
        <v>28565000</v>
      </c>
      <c r="P205" s="3163">
        <f>SUM(P206:P208)</f>
        <v>193889500</v>
      </c>
      <c r="Q205" s="3163">
        <f>+P205-L205</f>
        <v>0</v>
      </c>
      <c r="R205" s="3610">
        <f>+P205/L205*100-100</f>
        <v>0</v>
      </c>
      <c r="S205" s="3714"/>
      <c r="T205" s="3833"/>
      <c r="U205" s="3784"/>
      <c r="V205" s="2931">
        <f t="shared" si="45"/>
        <v>114260000</v>
      </c>
    </row>
    <row r="206" spans="1:22" s="1538" customFormat="1" ht="15.05" customHeight="1">
      <c r="A206" s="1855"/>
      <c r="B206" s="1855"/>
      <c r="C206" s="1855"/>
      <c r="D206" s="1855"/>
      <c r="E206" s="1855"/>
      <c r="F206" s="1857" t="s">
        <v>50</v>
      </c>
      <c r="G206" s="1858"/>
      <c r="H206" s="200" t="s">
        <v>546</v>
      </c>
      <c r="I206" s="217"/>
      <c r="J206" s="3171">
        <v>103889500</v>
      </c>
      <c r="K206" s="3193">
        <v>75250000</v>
      </c>
      <c r="L206" s="3125">
        <f>MAR!J158</f>
        <v>103889500</v>
      </c>
      <c r="M206" s="3124">
        <v>230000</v>
      </c>
      <c r="N206" s="3125">
        <f>MAR!L158</f>
        <v>24900000</v>
      </c>
      <c r="O206" s="3125">
        <f>MAR!M158</f>
        <v>25130000</v>
      </c>
      <c r="P206" s="3125">
        <v>103889500</v>
      </c>
      <c r="Q206" s="3125">
        <f>+P206-L206</f>
        <v>0</v>
      </c>
      <c r="R206" s="3605">
        <f>+P206/L206*100-100</f>
        <v>0</v>
      </c>
      <c r="S206" s="3275"/>
      <c r="T206" s="3826"/>
      <c r="U206" s="3771"/>
      <c r="V206" s="1846">
        <f t="shared" si="45"/>
        <v>100520000</v>
      </c>
    </row>
    <row r="207" spans="1:22" s="1538" customFormat="1" ht="15.05" customHeight="1">
      <c r="A207" s="1855"/>
      <c r="B207" s="1855"/>
      <c r="C207" s="1855"/>
      <c r="D207" s="1855"/>
      <c r="E207" s="1855"/>
      <c r="F207" s="1857" t="s">
        <v>50</v>
      </c>
      <c r="G207" s="1858"/>
      <c r="H207" s="200" t="s">
        <v>547</v>
      </c>
      <c r="I207" s="217"/>
      <c r="J207" s="3171">
        <v>90000000</v>
      </c>
      <c r="K207" s="3193" t="s">
        <v>50</v>
      </c>
      <c r="L207" s="3125">
        <f>MAR!J159</f>
        <v>90000000</v>
      </c>
      <c r="M207" s="3124">
        <v>0</v>
      </c>
      <c r="N207" s="3125">
        <f>MAR!L159</f>
        <v>0</v>
      </c>
      <c r="O207" s="3125">
        <f>MAR!M159</f>
        <v>0</v>
      </c>
      <c r="P207" s="3125">
        <v>90000000</v>
      </c>
      <c r="Q207" s="3125">
        <f>+P207-L207</f>
        <v>0</v>
      </c>
      <c r="R207" s="3605">
        <f>+P207/L207*100-100</f>
        <v>0</v>
      </c>
      <c r="S207" s="3275"/>
      <c r="T207" s="3826"/>
      <c r="U207" s="3771"/>
      <c r="V207" s="1846">
        <f t="shared" si="45"/>
        <v>0</v>
      </c>
    </row>
    <row r="208" spans="1:22" s="1538" customFormat="1" ht="15.05" customHeight="1">
      <c r="A208" s="1855"/>
      <c r="B208" s="1855"/>
      <c r="C208" s="1855"/>
      <c r="D208" s="1855"/>
      <c r="E208" s="1855"/>
      <c r="F208" s="1857" t="s">
        <v>50</v>
      </c>
      <c r="G208" s="1858"/>
      <c r="H208" s="200" t="s">
        <v>548</v>
      </c>
      <c r="I208" s="217"/>
      <c r="J208" s="3193" t="s">
        <v>50</v>
      </c>
      <c r="K208" s="3171">
        <v>46910000</v>
      </c>
      <c r="L208" s="3125">
        <f>MAR!J185</f>
        <v>0</v>
      </c>
      <c r="M208" s="3124">
        <v>2935000</v>
      </c>
      <c r="N208" s="3125">
        <f>MAR!L185</f>
        <v>500000</v>
      </c>
      <c r="O208" s="3125">
        <f>MAR!M185</f>
        <v>3435000</v>
      </c>
      <c r="P208" s="3125">
        <v>0</v>
      </c>
      <c r="Q208" s="3125">
        <f>+P208-L208</f>
        <v>0</v>
      </c>
      <c r="R208" s="3605">
        <v>0</v>
      </c>
      <c r="S208" s="3275"/>
      <c r="T208" s="3826"/>
      <c r="U208" s="3771"/>
      <c r="V208" s="1846">
        <f t="shared" si="45"/>
        <v>13740000</v>
      </c>
    </row>
    <row r="209" spans="1:22" s="1538" customFormat="1" ht="15.05" customHeight="1">
      <c r="A209" s="1855"/>
      <c r="B209" s="1855"/>
      <c r="C209" s="1855"/>
      <c r="D209" s="1855"/>
      <c r="E209" s="1855"/>
      <c r="F209" s="1857"/>
      <c r="G209" s="1858"/>
      <c r="H209" s="200"/>
      <c r="I209" s="217"/>
      <c r="J209" s="3171"/>
      <c r="K209" s="3171"/>
      <c r="L209" s="3125"/>
      <c r="M209" s="3124"/>
      <c r="N209" s="3125"/>
      <c r="O209" s="3125"/>
      <c r="P209" s="3125"/>
      <c r="Q209" s="3125"/>
      <c r="R209" s="3605"/>
      <c r="S209" s="3702"/>
      <c r="T209" s="3820"/>
      <c r="U209" s="3771"/>
      <c r="V209" s="1846">
        <f t="shared" si="45"/>
        <v>0</v>
      </c>
    </row>
    <row r="210" spans="1:22" s="2932" customFormat="1" ht="15.05" customHeight="1">
      <c r="A210" s="2925">
        <v>4</v>
      </c>
      <c r="B210" s="2925">
        <v>1</v>
      </c>
      <c r="C210" s="2925">
        <v>2</v>
      </c>
      <c r="D210" s="2925" t="s">
        <v>440</v>
      </c>
      <c r="E210" s="2925" t="s">
        <v>438</v>
      </c>
      <c r="F210" s="2926" t="s">
        <v>391</v>
      </c>
      <c r="G210" s="2927"/>
      <c r="H210" s="2928"/>
      <c r="I210" s="2929"/>
      <c r="J210" s="3444">
        <f>+J211</f>
        <v>0</v>
      </c>
      <c r="K210" s="3444">
        <f>+K211</f>
        <v>16404000</v>
      </c>
      <c r="L210" s="3169">
        <f>SUM(L211:L212)</f>
        <v>0</v>
      </c>
      <c r="M210" s="3170">
        <v>0</v>
      </c>
      <c r="N210" s="3169">
        <f>SUM(N211:N212)</f>
        <v>0</v>
      </c>
      <c r="O210" s="3169">
        <f>N210+M210</f>
        <v>0</v>
      </c>
      <c r="P210" s="3169">
        <f>+P211</f>
        <v>0</v>
      </c>
      <c r="Q210" s="3169">
        <f>+P210-L210</f>
        <v>0</v>
      </c>
      <c r="R210" s="3616">
        <v>0</v>
      </c>
      <c r="S210" s="3715"/>
      <c r="T210" s="3834"/>
      <c r="U210" s="3760"/>
      <c r="V210" s="2931">
        <f t="shared" si="45"/>
        <v>0</v>
      </c>
    </row>
    <row r="211" spans="1:22" s="1538" customFormat="1" ht="15.05" customHeight="1">
      <c r="A211" s="1854"/>
      <c r="B211" s="1854"/>
      <c r="C211" s="1854"/>
      <c r="D211" s="1854"/>
      <c r="E211" s="1854"/>
      <c r="F211" s="2829" t="s">
        <v>50</v>
      </c>
      <c r="G211" s="1860"/>
      <c r="H211" s="200" t="s">
        <v>549</v>
      </c>
      <c r="I211" s="218"/>
      <c r="J211" s="3200"/>
      <c r="K211" s="3171">
        <v>16404000</v>
      </c>
      <c r="L211" s="3125">
        <f>MAR!J695</f>
        <v>0</v>
      </c>
      <c r="M211" s="3124">
        <v>0</v>
      </c>
      <c r="N211" s="3125">
        <f>MAR!L695</f>
        <v>0</v>
      </c>
      <c r="O211" s="3125">
        <f>MAR!M695</f>
        <v>0</v>
      </c>
      <c r="P211" s="3125">
        <v>0</v>
      </c>
      <c r="Q211" s="3125">
        <f>+P211-L211</f>
        <v>0</v>
      </c>
      <c r="R211" s="3605">
        <v>0</v>
      </c>
      <c r="S211" s="3275"/>
      <c r="T211" s="3835"/>
      <c r="U211" s="3785"/>
      <c r="V211" s="1846">
        <f t="shared" si="45"/>
        <v>0</v>
      </c>
    </row>
    <row r="212" spans="1:22" s="1538" customFormat="1" ht="15.05" customHeight="1">
      <c r="A212" s="1902"/>
      <c r="B212" s="1902"/>
      <c r="C212" s="1902"/>
      <c r="D212" s="1902"/>
      <c r="E212" s="1902"/>
      <c r="F212" s="2830"/>
      <c r="G212" s="2831"/>
      <c r="H212" s="200"/>
      <c r="I212" s="1907"/>
      <c r="J212" s="3203"/>
      <c r="K212" s="3142"/>
      <c r="L212" s="3174"/>
      <c r="M212" s="3175"/>
      <c r="N212" s="3174"/>
      <c r="O212" s="3174"/>
      <c r="P212" s="3174"/>
      <c r="Q212" s="3174"/>
      <c r="R212" s="3612"/>
      <c r="S212" s="3741"/>
      <c r="T212" s="3828"/>
      <c r="U212" s="3786"/>
      <c r="V212" s="1846">
        <f t="shared" si="45"/>
        <v>0</v>
      </c>
    </row>
    <row r="213" spans="1:22" s="2932" customFormat="1" ht="15.05" customHeight="1">
      <c r="A213" s="3446"/>
      <c r="B213" s="3446"/>
      <c r="C213" s="3446"/>
      <c r="D213" s="3446"/>
      <c r="E213" s="3447" t="s">
        <v>440</v>
      </c>
      <c r="F213" s="3448" t="s">
        <v>550</v>
      </c>
      <c r="G213" s="3448"/>
      <c r="H213" s="3449"/>
      <c r="I213" s="3450"/>
      <c r="J213" s="3451">
        <f>+J214</f>
        <v>1455000000</v>
      </c>
      <c r="K213" s="3451">
        <f>+K214</f>
        <v>1622577600</v>
      </c>
      <c r="L213" s="3452">
        <f>L214</f>
        <v>1455000000</v>
      </c>
      <c r="M213" s="3453">
        <v>320580000</v>
      </c>
      <c r="N213" s="3452">
        <f t="shared" ref="N213:U213" si="49">N214</f>
        <v>128160000</v>
      </c>
      <c r="O213" s="3452">
        <f t="shared" si="49"/>
        <v>448740000</v>
      </c>
      <c r="P213" s="3452">
        <f t="shared" si="49"/>
        <v>1650000000</v>
      </c>
      <c r="Q213" s="3452">
        <f>+P213-L213</f>
        <v>195000000</v>
      </c>
      <c r="R213" s="3617">
        <f>+P213/L213*100-100</f>
        <v>13.402061855670098</v>
      </c>
      <c r="S213" s="3742"/>
      <c r="T213" s="3452"/>
      <c r="U213" s="3787">
        <f t="shared" si="49"/>
        <v>0</v>
      </c>
      <c r="V213" s="2931">
        <f t="shared" si="45"/>
        <v>1794960000</v>
      </c>
    </row>
    <row r="214" spans="1:22" s="1538" customFormat="1" ht="15.05" customHeight="1">
      <c r="A214" s="1902"/>
      <c r="B214" s="1902"/>
      <c r="C214" s="1902"/>
      <c r="D214" s="1902"/>
      <c r="E214" s="2832"/>
      <c r="F214" s="2833" t="s">
        <v>50</v>
      </c>
      <c r="G214" s="2834"/>
      <c r="H214" s="206" t="s">
        <v>551</v>
      </c>
      <c r="I214" s="2835"/>
      <c r="J214" s="3204">
        <v>1455000000</v>
      </c>
      <c r="K214" s="3204">
        <v>1622577600</v>
      </c>
      <c r="L214" s="3205">
        <f>MAR!J221</f>
        <v>1455000000</v>
      </c>
      <c r="M214" s="3205">
        <v>320580000</v>
      </c>
      <c r="N214" s="3205">
        <f>MAR!L221</f>
        <v>128160000</v>
      </c>
      <c r="O214" s="3205">
        <f>MAR!M221</f>
        <v>448740000</v>
      </c>
      <c r="P214" s="3205">
        <v>1650000000</v>
      </c>
      <c r="Q214" s="3205">
        <f>+P214-L214</f>
        <v>195000000</v>
      </c>
      <c r="R214" s="3618">
        <f>+P214/L214*100-100</f>
        <v>13.402061855670098</v>
      </c>
      <c r="S214" s="3743"/>
      <c r="T214" s="3206"/>
      <c r="U214" s="3788">
        <f>PerDinas!Q316</f>
        <v>0</v>
      </c>
      <c r="V214" s="1846">
        <f t="shared" si="45"/>
        <v>1794960000</v>
      </c>
    </row>
    <row r="215" spans="1:22" s="1538" customFormat="1" ht="15.05" customHeight="1">
      <c r="A215" s="3876"/>
      <c r="B215" s="3876"/>
      <c r="C215" s="3876"/>
      <c r="D215" s="3876"/>
      <c r="E215" s="3876"/>
      <c r="F215" s="2836"/>
      <c r="G215" s="2837"/>
      <c r="H215" s="2127"/>
      <c r="I215" s="2838"/>
      <c r="J215" s="3207"/>
      <c r="K215" s="3207"/>
      <c r="L215" s="3208"/>
      <c r="M215" s="3208"/>
      <c r="N215" s="3208"/>
      <c r="O215" s="3208"/>
      <c r="P215" s="3208"/>
      <c r="Q215" s="3208"/>
      <c r="R215" s="3619"/>
      <c r="S215" s="3744"/>
      <c r="T215" s="3836"/>
      <c r="U215" s="3789"/>
      <c r="V215" s="1846"/>
    </row>
    <row r="216" spans="1:22" s="2955" customFormat="1" ht="15.05" customHeight="1">
      <c r="A216" s="2949">
        <v>4</v>
      </c>
      <c r="B216" s="2949">
        <v>1</v>
      </c>
      <c r="C216" s="2949">
        <v>3</v>
      </c>
      <c r="D216" s="2949"/>
      <c r="E216" s="2949"/>
      <c r="F216" s="2950" t="s">
        <v>552</v>
      </c>
      <c r="G216" s="2951"/>
      <c r="H216" s="2952"/>
      <c r="I216" s="2952"/>
      <c r="J216" s="3210">
        <f>+J217</f>
        <v>157964885190</v>
      </c>
      <c r="K216" s="3210">
        <f>+K217</f>
        <v>72827611744</v>
      </c>
      <c r="L216" s="3211">
        <f>+L217+L226</f>
        <v>92558485190</v>
      </c>
      <c r="M216" s="3211">
        <f>+M217+M226</f>
        <v>0</v>
      </c>
      <c r="N216" s="3211">
        <f>+N217+N226</f>
        <v>0</v>
      </c>
      <c r="O216" s="3211">
        <f>+O217+O226</f>
        <v>0</v>
      </c>
      <c r="P216" s="3211">
        <f>+P217+P226</f>
        <v>166202468137</v>
      </c>
      <c r="Q216" s="3867">
        <f>P216-L216</f>
        <v>73643982947</v>
      </c>
      <c r="R216" s="3620">
        <f>+P216/L216*100-100</f>
        <v>79.564810072060766</v>
      </c>
      <c r="S216" s="3745"/>
      <c r="T216" s="3837"/>
      <c r="U216" s="3117"/>
      <c r="V216" s="2954">
        <f t="shared" ref="V216:V279" si="50">O216*4</f>
        <v>0</v>
      </c>
    </row>
    <row r="217" spans="1:22" s="2956" customFormat="1" ht="15.05" customHeight="1">
      <c r="A217" s="3053">
        <v>4</v>
      </c>
      <c r="B217" s="3054">
        <v>1</v>
      </c>
      <c r="C217" s="3054">
        <v>3</v>
      </c>
      <c r="D217" s="3054" t="s">
        <v>437</v>
      </c>
      <c r="E217" s="3054"/>
      <c r="F217" s="3056" t="s">
        <v>553</v>
      </c>
      <c r="G217" s="3057"/>
      <c r="H217" s="3064"/>
      <c r="I217" s="3064"/>
      <c r="J217" s="3212">
        <f>+J218</f>
        <v>157964885190</v>
      </c>
      <c r="K217" s="3212">
        <f>+K218</f>
        <v>72827611744</v>
      </c>
      <c r="L217" s="3178">
        <f>SUM(L218)</f>
        <v>90558485190</v>
      </c>
      <c r="M217" s="3179">
        <v>0</v>
      </c>
      <c r="N217" s="3178">
        <f>SUM(N218)</f>
        <v>0</v>
      </c>
      <c r="O217" s="3178">
        <f>SUM(O218)</f>
        <v>0</v>
      </c>
      <c r="P217" s="3178">
        <f>P218</f>
        <v>164202468137</v>
      </c>
      <c r="Q217" s="3866">
        <f t="shared" ref="Q217:Q227" si="51">+P217-L217</f>
        <v>73643982947</v>
      </c>
      <c r="R217" s="3621">
        <f t="shared" ref="R217:R222" si="52">+P217/L217*100-100</f>
        <v>81.322012832357103</v>
      </c>
      <c r="S217" s="3716"/>
      <c r="T217" s="3838"/>
      <c r="U217" s="3066"/>
      <c r="V217" s="2944">
        <f t="shared" si="50"/>
        <v>0</v>
      </c>
    </row>
    <row r="218" spans="1:22" s="1834" customFormat="1" ht="15.05" customHeight="1">
      <c r="A218" s="1905">
        <v>4</v>
      </c>
      <c r="B218" s="1905">
        <v>1</v>
      </c>
      <c r="C218" s="1905">
        <v>3</v>
      </c>
      <c r="D218" s="1905" t="s">
        <v>437</v>
      </c>
      <c r="E218" s="1905" t="s">
        <v>437</v>
      </c>
      <c r="F218" s="2827" t="s">
        <v>554</v>
      </c>
      <c r="G218" s="2828"/>
      <c r="H218" s="212"/>
      <c r="I218" s="212"/>
      <c r="J218" s="3214">
        <f>SUM(J219:J227)</f>
        <v>157964885190</v>
      </c>
      <c r="K218" s="3214">
        <f>SUM(K219:K227)</f>
        <v>72827611744</v>
      </c>
      <c r="L218" s="3197">
        <f>SUM(L219:L225)</f>
        <v>90558485190</v>
      </c>
      <c r="M218" s="3198">
        <v>0</v>
      </c>
      <c r="N218" s="3197">
        <f>SUM(N219:N225)</f>
        <v>0</v>
      </c>
      <c r="O218" s="3197">
        <f>N218+M218</f>
        <v>0</v>
      </c>
      <c r="P218" s="3197">
        <f>SUM(P219:P225)</f>
        <v>164202468137</v>
      </c>
      <c r="Q218" s="3865">
        <f t="shared" si="51"/>
        <v>73643982947</v>
      </c>
      <c r="R218" s="3608">
        <f t="shared" si="52"/>
        <v>81.322012832357103</v>
      </c>
      <c r="S218" s="3704"/>
      <c r="T218" s="3822"/>
      <c r="U218" s="1911"/>
      <c r="V218" s="1846">
        <f t="shared" si="50"/>
        <v>0</v>
      </c>
    </row>
    <row r="219" spans="1:22" s="1538" customFormat="1" ht="15.05" customHeight="1">
      <c r="A219" s="1855"/>
      <c r="B219" s="1855"/>
      <c r="C219" s="1855"/>
      <c r="D219" s="1855"/>
      <c r="E219" s="1855"/>
      <c r="F219" s="1857" t="s">
        <v>50</v>
      </c>
      <c r="G219" s="200" t="str">
        <f>MAR!I373</f>
        <v>PD. BPR NTB</v>
      </c>
      <c r="H219" s="1906"/>
      <c r="I219" s="200"/>
      <c r="J219" s="3215">
        <v>11374571865</v>
      </c>
      <c r="K219" s="3216">
        <v>11631764969</v>
      </c>
      <c r="L219" s="3125">
        <v>13374571865</v>
      </c>
      <c r="M219" s="3124">
        <v>0</v>
      </c>
      <c r="N219" s="3125">
        <v>0</v>
      </c>
      <c r="O219" s="3125">
        <v>0</v>
      </c>
      <c r="P219" s="3125">
        <v>11305220112</v>
      </c>
      <c r="Q219" s="3696">
        <f t="shared" si="51"/>
        <v>-2069351753</v>
      </c>
      <c r="R219" s="3605">
        <f t="shared" si="52"/>
        <v>-15.472284076735946</v>
      </c>
      <c r="S219" s="3275">
        <v>13601303170</v>
      </c>
      <c r="T219" s="3826">
        <f>S219-P219</f>
        <v>2296083058</v>
      </c>
      <c r="U219" s="3771"/>
      <c r="V219" s="1846">
        <f t="shared" si="50"/>
        <v>0</v>
      </c>
    </row>
    <row r="220" spans="1:22" s="1538" customFormat="1" ht="15.05" customHeight="1">
      <c r="A220" s="1855"/>
      <c r="B220" s="1855"/>
      <c r="C220" s="1855"/>
      <c r="D220" s="1855"/>
      <c r="E220" s="1855"/>
      <c r="F220" s="1857" t="s">
        <v>50</v>
      </c>
      <c r="G220" s="200" t="str">
        <f>MAR!I374</f>
        <v>Bank NTB/Deviden</v>
      </c>
      <c r="H220" s="1906"/>
      <c r="I220" s="2839"/>
      <c r="J220" s="3217">
        <v>59958450102</v>
      </c>
      <c r="K220" s="3186">
        <v>59958510102</v>
      </c>
      <c r="L220" s="3125">
        <v>59958450102</v>
      </c>
      <c r="M220" s="3124">
        <v>0</v>
      </c>
      <c r="N220" s="3125">
        <v>0</v>
      </c>
      <c r="O220" s="3125">
        <v>0</v>
      </c>
      <c r="P220" s="3125">
        <v>62065732074</v>
      </c>
      <c r="Q220" s="3125">
        <f t="shared" si="51"/>
        <v>2107281972</v>
      </c>
      <c r="R220" s="3605">
        <f t="shared" si="52"/>
        <v>3.5145704540646676</v>
      </c>
      <c r="S220" s="3275">
        <v>60000000000</v>
      </c>
      <c r="T220" s="3826">
        <f t="shared" ref="T220:T225" si="53">S220-P220</f>
        <v>-2065732074</v>
      </c>
      <c r="U220" s="3771"/>
      <c r="V220" s="1846">
        <f t="shared" si="50"/>
        <v>0</v>
      </c>
    </row>
    <row r="221" spans="1:22" s="1538" customFormat="1" ht="15.05" customHeight="1">
      <c r="A221" s="1855"/>
      <c r="B221" s="1855"/>
      <c r="C221" s="1855"/>
      <c r="D221" s="1855"/>
      <c r="E221" s="1855"/>
      <c r="F221" s="1857" t="s">
        <v>50</v>
      </c>
      <c r="G221" s="200" t="str">
        <f>MAR!I375</f>
        <v>PT. Gerbang NTB Emas</v>
      </c>
      <c r="H221" s="1906"/>
      <c r="I221" s="2839"/>
      <c r="J221" s="3217">
        <v>1000000000</v>
      </c>
      <c r="K221" s="3186">
        <v>1000000000</v>
      </c>
      <c r="L221" s="3125">
        <v>1000000000</v>
      </c>
      <c r="M221" s="3124">
        <v>0</v>
      </c>
      <c r="N221" s="3125">
        <v>0</v>
      </c>
      <c r="O221" s="3125">
        <v>0</v>
      </c>
      <c r="P221" s="3125">
        <v>1100000000</v>
      </c>
      <c r="Q221" s="3125">
        <f t="shared" si="51"/>
        <v>100000000</v>
      </c>
      <c r="R221" s="3605">
        <f t="shared" si="52"/>
        <v>10.000000000000014</v>
      </c>
      <c r="S221" s="3275">
        <v>1100000000</v>
      </c>
      <c r="T221" s="3826">
        <f t="shared" si="53"/>
        <v>0</v>
      </c>
      <c r="U221" s="3771"/>
      <c r="V221" s="1846">
        <f t="shared" si="50"/>
        <v>0</v>
      </c>
    </row>
    <row r="222" spans="1:22" s="3896" customFormat="1" ht="15.05" customHeight="1">
      <c r="A222" s="3924"/>
      <c r="B222" s="3924"/>
      <c r="C222" s="3924"/>
      <c r="D222" s="3924"/>
      <c r="E222" s="3924"/>
      <c r="F222" s="4388" t="s">
        <v>50</v>
      </c>
      <c r="G222" s="3917" t="str">
        <f>MAR!I376</f>
        <v>PT. Daerah Mandiri Bersaing (DMB)</v>
      </c>
      <c r="H222" s="3917"/>
      <c r="I222" s="5291"/>
      <c r="J222" s="5292">
        <v>85406400000</v>
      </c>
      <c r="K222" s="4295">
        <v>0</v>
      </c>
      <c r="L222" s="3919">
        <v>16000000000</v>
      </c>
      <c r="M222" s="3265">
        <v>0</v>
      </c>
      <c r="N222" s="3919">
        <v>0</v>
      </c>
      <c r="O222" s="3919">
        <v>0</v>
      </c>
      <c r="P222" s="3919">
        <f>89188168000</f>
        <v>89188168000</v>
      </c>
      <c r="Q222" s="3919">
        <f t="shared" si="51"/>
        <v>73188168000</v>
      </c>
      <c r="R222" s="3920">
        <f t="shared" si="52"/>
        <v>457.42605000000003</v>
      </c>
      <c r="S222" s="3921">
        <v>16000000000</v>
      </c>
      <c r="T222" s="3922">
        <f t="shared" si="53"/>
        <v>-73188168000</v>
      </c>
      <c r="U222" s="3923"/>
      <c r="V222" s="3925">
        <f t="shared" si="50"/>
        <v>0</v>
      </c>
    </row>
    <row r="223" spans="1:22" s="1538" customFormat="1" ht="15.05" customHeight="1">
      <c r="A223" s="1855"/>
      <c r="B223" s="1855"/>
      <c r="C223" s="1855"/>
      <c r="D223" s="1855"/>
      <c r="E223" s="1855"/>
      <c r="F223" s="1857" t="s">
        <v>50</v>
      </c>
      <c r="G223" s="200" t="str">
        <f>MAR!I377</f>
        <v>Deviden PT. Suara Nusa Media Pratama</v>
      </c>
      <c r="H223" s="1906"/>
      <c r="I223" s="2823"/>
      <c r="J223" s="3218" t="s">
        <v>50</v>
      </c>
      <c r="K223" s="3186">
        <v>0</v>
      </c>
      <c r="L223" s="3125">
        <v>0</v>
      </c>
      <c r="M223" s="3124">
        <v>0</v>
      </c>
      <c r="N223" s="3125">
        <v>0</v>
      </c>
      <c r="O223" s="3125">
        <v>0</v>
      </c>
      <c r="P223" s="3125">
        <v>0</v>
      </c>
      <c r="Q223" s="3125">
        <f t="shared" si="51"/>
        <v>0</v>
      </c>
      <c r="R223" s="3605">
        <v>0</v>
      </c>
      <c r="S223" s="3275"/>
      <c r="T223" s="3826">
        <f t="shared" si="53"/>
        <v>0</v>
      </c>
      <c r="U223" s="3771"/>
      <c r="V223" s="1846">
        <f t="shared" si="50"/>
        <v>0</v>
      </c>
    </row>
    <row r="224" spans="1:22" s="1538" customFormat="1" ht="15.05" customHeight="1">
      <c r="A224" s="1855"/>
      <c r="B224" s="1855"/>
      <c r="C224" s="1855"/>
      <c r="D224" s="1855"/>
      <c r="E224" s="1855"/>
      <c r="F224" s="1857" t="s">
        <v>50</v>
      </c>
      <c r="G224" s="200" t="str">
        <f>MAR!I378</f>
        <v>PT. Jam Krida</v>
      </c>
      <c r="H224" s="1906"/>
      <c r="I224" s="2823"/>
      <c r="J224" s="3186">
        <v>136702012</v>
      </c>
      <c r="K224" s="3186">
        <v>136702012</v>
      </c>
      <c r="L224" s="3125">
        <v>136702012</v>
      </c>
      <c r="M224" s="3124">
        <v>0</v>
      </c>
      <c r="N224" s="3125">
        <v>0</v>
      </c>
      <c r="O224" s="3125">
        <v>0</v>
      </c>
      <c r="P224" s="3125">
        <v>437998804</v>
      </c>
      <c r="Q224" s="3125">
        <f t="shared" si="51"/>
        <v>301296792</v>
      </c>
      <c r="R224" s="3605">
        <f>+P224/L224*100-100</f>
        <v>220.40406545003884</v>
      </c>
      <c r="S224" s="3275">
        <v>692000000</v>
      </c>
      <c r="T224" s="3826">
        <f t="shared" si="53"/>
        <v>254001196</v>
      </c>
      <c r="U224" s="3771"/>
      <c r="V224" s="1846">
        <f t="shared" si="50"/>
        <v>0</v>
      </c>
    </row>
    <row r="225" spans="1:23" s="3896" customFormat="1" ht="15.05" customHeight="1">
      <c r="A225" s="4364"/>
      <c r="B225" s="4364"/>
      <c r="C225" s="4364"/>
      <c r="D225" s="4364"/>
      <c r="E225" s="4364"/>
      <c r="F225" s="5270" t="s">
        <v>50</v>
      </c>
      <c r="G225" s="4367" t="str">
        <f>MAR!I379</f>
        <v>PT. Bangun Askrida</v>
      </c>
      <c r="H225" s="4367"/>
      <c r="I225" s="5271"/>
      <c r="J225" s="5272">
        <v>88761211</v>
      </c>
      <c r="K225" s="5272">
        <v>100634661</v>
      </c>
      <c r="L225" s="4370">
        <v>88761211</v>
      </c>
      <c r="M225" s="4371">
        <v>0</v>
      </c>
      <c r="N225" s="4370">
        <v>0</v>
      </c>
      <c r="O225" s="4370">
        <v>0</v>
      </c>
      <c r="P225" s="4370">
        <v>105349147</v>
      </c>
      <c r="Q225" s="4370">
        <f t="shared" si="51"/>
        <v>16587936</v>
      </c>
      <c r="R225" s="4372">
        <f>+P225/L225*100-100</f>
        <v>18.688271389176975</v>
      </c>
      <c r="S225" s="4373">
        <v>100634661</v>
      </c>
      <c r="T225" s="3922">
        <f t="shared" si="53"/>
        <v>-4714486</v>
      </c>
      <c r="U225" s="5273"/>
      <c r="V225" s="3925">
        <f t="shared" si="50"/>
        <v>0</v>
      </c>
    </row>
    <row r="226" spans="1:23" s="4406" customFormat="1" ht="16" customHeight="1">
      <c r="A226" s="5207" t="s">
        <v>443</v>
      </c>
      <c r="B226" s="5207">
        <v>1</v>
      </c>
      <c r="C226" s="5207">
        <v>3</v>
      </c>
      <c r="D226" s="5208" t="s">
        <v>438</v>
      </c>
      <c r="E226" s="5207"/>
      <c r="F226" s="5209" t="s">
        <v>203</v>
      </c>
      <c r="G226" s="5210"/>
      <c r="H226" s="5211"/>
      <c r="I226" s="5212"/>
      <c r="J226" s="5213" t="s">
        <v>50</v>
      </c>
      <c r="K226" s="5213" t="s">
        <v>50</v>
      </c>
      <c r="L226" s="5214">
        <v>2000000000</v>
      </c>
      <c r="M226" s="5215">
        <v>0</v>
      </c>
      <c r="N226" s="5214">
        <v>0</v>
      </c>
      <c r="O226" s="5214">
        <v>0</v>
      </c>
      <c r="P226" s="5214">
        <v>2000000000</v>
      </c>
      <c r="Q226" s="5214">
        <f t="shared" si="51"/>
        <v>0</v>
      </c>
      <c r="R226" s="5216">
        <f>+P226/L226*100-100</f>
        <v>0</v>
      </c>
      <c r="S226" s="4403"/>
      <c r="T226" s="4404"/>
      <c r="U226" s="4405"/>
      <c r="V226" s="4269">
        <f t="shared" si="50"/>
        <v>0</v>
      </c>
    </row>
    <row r="227" spans="1:23" s="4419" customFormat="1" ht="15.05" customHeight="1">
      <c r="A227" s="3069">
        <v>4</v>
      </c>
      <c r="B227" s="3069">
        <v>1</v>
      </c>
      <c r="C227" s="3069">
        <v>3</v>
      </c>
      <c r="D227" s="3070" t="s">
        <v>438</v>
      </c>
      <c r="E227" s="3070" t="s">
        <v>437</v>
      </c>
      <c r="F227" s="3071" t="s">
        <v>555</v>
      </c>
      <c r="G227" s="3072"/>
      <c r="H227" s="3073"/>
      <c r="I227" s="3074"/>
      <c r="J227" s="3223" t="s">
        <v>50</v>
      </c>
      <c r="K227" s="3223" t="s">
        <v>50</v>
      </c>
      <c r="L227" s="3224">
        <v>2000000000</v>
      </c>
      <c r="M227" s="3225">
        <v>0</v>
      </c>
      <c r="N227" s="3224">
        <v>0</v>
      </c>
      <c r="O227" s="3224">
        <v>0</v>
      </c>
      <c r="P227" s="3224">
        <v>2000000000</v>
      </c>
      <c r="Q227" s="3224">
        <f t="shared" si="51"/>
        <v>0</v>
      </c>
      <c r="R227" s="5217">
        <f>+P227/L227*100-100</f>
        <v>0</v>
      </c>
      <c r="S227" s="4416"/>
      <c r="T227" s="4417"/>
      <c r="U227" s="4418"/>
      <c r="V227" s="3925">
        <f t="shared" si="50"/>
        <v>0</v>
      </c>
    </row>
    <row r="228" spans="1:23" s="1538" customFormat="1" ht="15.05" customHeight="1">
      <c r="A228" s="1913"/>
      <c r="B228" s="1913"/>
      <c r="C228" s="1913"/>
      <c r="D228" s="1913"/>
      <c r="E228" s="1913"/>
      <c r="F228" s="1942"/>
      <c r="G228" s="1943"/>
      <c r="H228" s="238"/>
      <c r="I228" s="2840"/>
      <c r="J228" s="3227"/>
      <c r="K228" s="3227"/>
      <c r="L228" s="3228"/>
      <c r="M228" s="3229"/>
      <c r="N228" s="3228"/>
      <c r="O228" s="3228"/>
      <c r="P228" s="3228"/>
      <c r="Q228" s="3228"/>
      <c r="R228" s="5218"/>
      <c r="S228" s="3719"/>
      <c r="T228" s="3841"/>
      <c r="U228" s="3790"/>
      <c r="V228" s="1846">
        <f t="shared" si="50"/>
        <v>0</v>
      </c>
    </row>
    <row r="229" spans="1:23" s="2916" customFormat="1" ht="15.05" customHeight="1">
      <c r="A229" s="2909">
        <v>4</v>
      </c>
      <c r="B229" s="2909">
        <v>1</v>
      </c>
      <c r="C229" s="2909">
        <v>4</v>
      </c>
      <c r="D229" s="2909"/>
      <c r="E229" s="2909"/>
      <c r="F229" s="2910" t="s">
        <v>71</v>
      </c>
      <c r="G229" s="2911"/>
      <c r="H229" s="2912"/>
      <c r="I229" s="2913"/>
      <c r="J229" s="3231">
        <v>224639588129</v>
      </c>
      <c r="K229" s="3231">
        <v>243089557831.42999</v>
      </c>
      <c r="L229" s="3231">
        <f>L230+L237+L243+L246+L250+L268+L291+L299+L373+L380+L366+L395</f>
        <v>268454484234</v>
      </c>
      <c r="M229" s="3231">
        <f>M230+M237+M243+M246+M250+M268+M291+M299+M373+M380+M366+M395</f>
        <v>30843632833.540001</v>
      </c>
      <c r="N229" s="3231">
        <f>N230+N237+N243+N246+N250+N268+N291+N299+N373+N380+N366+N395</f>
        <v>19287748227.190002</v>
      </c>
      <c r="O229" s="3231">
        <f>O230+O237+O243+O246+O250+O268+O291+O299+O373+O380+O366+O395</f>
        <v>50168481060.729996</v>
      </c>
      <c r="P229" s="3231">
        <f>P230+P237+P243+P246+P250+P268+P291+P299+P373+P380+P366+P395</f>
        <v>291806269425</v>
      </c>
      <c r="Q229" s="3231">
        <f t="shared" ref="Q229:Q235" si="54">+P229-L229</f>
        <v>23351785191</v>
      </c>
      <c r="R229" s="5219">
        <f>+P229/L229*100-100</f>
        <v>8.6986012759784188</v>
      </c>
      <c r="S229" s="3746"/>
      <c r="T229" s="3842"/>
      <c r="U229" s="2914"/>
      <c r="V229" s="2904">
        <f t="shared" si="50"/>
        <v>200673924242.91998</v>
      </c>
      <c r="W229" s="2915">
        <f>+O229-REKAPOK!N43</f>
        <v>160175000</v>
      </c>
    </row>
    <row r="230" spans="1:23" s="4270" customFormat="1" ht="15.05" customHeight="1">
      <c r="A230" s="5220">
        <v>4</v>
      </c>
      <c r="B230" s="5221">
        <v>1</v>
      </c>
      <c r="C230" s="5221">
        <v>4</v>
      </c>
      <c r="D230" s="5221" t="s">
        <v>437</v>
      </c>
      <c r="E230" s="5221"/>
      <c r="F230" s="5222" t="s">
        <v>206</v>
      </c>
      <c r="G230" s="5223"/>
      <c r="H230" s="5224"/>
      <c r="I230" s="5225"/>
      <c r="J230" s="5226">
        <f>SUM(J231:J235)</f>
        <v>250000000</v>
      </c>
      <c r="K230" s="5226">
        <f>SUM(K231:K235)</f>
        <v>25364000</v>
      </c>
      <c r="L230" s="5227">
        <f>SUM(L231:L235)</f>
        <v>250000000</v>
      </c>
      <c r="M230" s="5215">
        <v>0</v>
      </c>
      <c r="N230" s="5227">
        <f>SUM(N231:N235)</f>
        <v>0</v>
      </c>
      <c r="O230" s="5227">
        <f>N230+M230</f>
        <v>0</v>
      </c>
      <c r="P230" s="5227">
        <f>SUM(P231:P235)</f>
        <v>250000000</v>
      </c>
      <c r="Q230" s="5227">
        <f t="shared" si="54"/>
        <v>0</v>
      </c>
      <c r="R230" s="5228">
        <f>+P230/L230*100-100</f>
        <v>0</v>
      </c>
      <c r="S230" s="4266"/>
      <c r="T230" s="4267"/>
      <c r="U230" s="4268"/>
      <c r="V230" s="4269">
        <f t="shared" si="50"/>
        <v>0</v>
      </c>
    </row>
    <row r="231" spans="1:23" s="3896" customFormat="1" ht="15.05" customHeight="1">
      <c r="A231" s="1889">
        <v>4</v>
      </c>
      <c r="B231" s="1889">
        <v>1</v>
      </c>
      <c r="C231" s="1889">
        <v>4</v>
      </c>
      <c r="D231" s="1889" t="s">
        <v>437</v>
      </c>
      <c r="E231" s="1889" t="s">
        <v>437</v>
      </c>
      <c r="F231" s="3083" t="str">
        <f>MAR!I386</f>
        <v>Pelepasan Hak Atas Tanah</v>
      </c>
      <c r="G231" s="3084"/>
      <c r="H231" s="224"/>
      <c r="I231" s="3085"/>
      <c r="J231" s="3233">
        <v>0</v>
      </c>
      <c r="K231" s="3233">
        <v>0</v>
      </c>
      <c r="L231" s="3234">
        <v>0</v>
      </c>
      <c r="M231" s="3225">
        <v>0</v>
      </c>
      <c r="N231" s="3234">
        <v>0</v>
      </c>
      <c r="O231" s="3234">
        <v>0</v>
      </c>
      <c r="P231" s="3234">
        <v>0</v>
      </c>
      <c r="Q231" s="3234">
        <f t="shared" si="54"/>
        <v>0</v>
      </c>
      <c r="R231" s="5229">
        <v>0</v>
      </c>
      <c r="S231" s="4392"/>
      <c r="T231" s="4310"/>
      <c r="U231" s="4353">
        <f>PerDinas!Q534</f>
        <v>0</v>
      </c>
      <c r="V231" s="3925">
        <f t="shared" si="50"/>
        <v>0</v>
      </c>
    </row>
    <row r="232" spans="1:23" s="3896" customFormat="1" ht="15.05" customHeight="1">
      <c r="A232" s="1855">
        <v>4</v>
      </c>
      <c r="B232" s="1855">
        <v>1</v>
      </c>
      <c r="C232" s="1855">
        <v>4</v>
      </c>
      <c r="D232" s="1855" t="s">
        <v>437</v>
      </c>
      <c r="E232" s="1855" t="s">
        <v>438</v>
      </c>
      <c r="F232" s="2842" t="str">
        <f>MAR!I387</f>
        <v>Penjualan Peralatan/Perlengkapan Kantor Tdk Terpakai</v>
      </c>
      <c r="G232" s="1858"/>
      <c r="H232" s="200"/>
      <c r="I232" s="2823"/>
      <c r="J232" s="3186">
        <v>50000000</v>
      </c>
      <c r="K232" s="3186">
        <v>0</v>
      </c>
      <c r="L232" s="3125">
        <v>50000000</v>
      </c>
      <c r="M232" s="3124">
        <v>0</v>
      </c>
      <c r="N232" s="3125">
        <v>0</v>
      </c>
      <c r="O232" s="3125">
        <v>0</v>
      </c>
      <c r="P232" s="3125">
        <v>50000000</v>
      </c>
      <c r="Q232" s="3125">
        <f t="shared" si="54"/>
        <v>0</v>
      </c>
      <c r="R232" s="3926">
        <f>+P232/L232*100-100</f>
        <v>0</v>
      </c>
      <c r="S232" s="3921"/>
      <c r="T232" s="3922"/>
      <c r="U232" s="3923"/>
      <c r="V232" s="3925">
        <f t="shared" si="50"/>
        <v>0</v>
      </c>
    </row>
    <row r="233" spans="1:23" s="3896" customFormat="1" ht="15.05" customHeight="1">
      <c r="A233" s="1855">
        <v>4</v>
      </c>
      <c r="B233" s="1855">
        <v>1</v>
      </c>
      <c r="C233" s="1855">
        <v>4</v>
      </c>
      <c r="D233" s="1855" t="s">
        <v>437</v>
      </c>
      <c r="E233" s="1855" t="s">
        <v>440</v>
      </c>
      <c r="F233" s="2842" t="str">
        <f>MAR!I388</f>
        <v>Penjualan Mesin/Alat Berat Tidak Terpakai</v>
      </c>
      <c r="G233" s="1858"/>
      <c r="H233" s="200"/>
      <c r="I233" s="2823"/>
      <c r="J233" s="3186"/>
      <c r="K233" s="3186"/>
      <c r="L233" s="3125">
        <v>0</v>
      </c>
      <c r="M233" s="3124">
        <v>0</v>
      </c>
      <c r="N233" s="3125">
        <v>0</v>
      </c>
      <c r="O233" s="3125">
        <v>0</v>
      </c>
      <c r="P233" s="3125">
        <v>0</v>
      </c>
      <c r="Q233" s="3125">
        <f t="shared" si="54"/>
        <v>0</v>
      </c>
      <c r="R233" s="3926">
        <v>0</v>
      </c>
      <c r="S233" s="3921"/>
      <c r="T233" s="3922"/>
      <c r="U233" s="3923"/>
      <c r="V233" s="3925">
        <f t="shared" si="50"/>
        <v>0</v>
      </c>
    </row>
    <row r="234" spans="1:23" s="3896" customFormat="1" ht="15.05" customHeight="1">
      <c r="A234" s="1855">
        <v>4</v>
      </c>
      <c r="B234" s="1855">
        <v>1</v>
      </c>
      <c r="C234" s="1855">
        <v>4</v>
      </c>
      <c r="D234" s="1855" t="s">
        <v>437</v>
      </c>
      <c r="E234" s="1855" t="s">
        <v>445</v>
      </c>
      <c r="F234" s="2842" t="str">
        <f>MAR!I389</f>
        <v>Penjualan Rumah Jabatan/Rumah Dinas</v>
      </c>
      <c r="G234" s="1858"/>
      <c r="H234" s="200"/>
      <c r="I234" s="2823"/>
      <c r="J234" s="3186"/>
      <c r="K234" s="3186"/>
      <c r="L234" s="3125">
        <v>0</v>
      </c>
      <c r="M234" s="3124">
        <v>0</v>
      </c>
      <c r="N234" s="3125">
        <v>0</v>
      </c>
      <c r="O234" s="3125">
        <v>0</v>
      </c>
      <c r="P234" s="3125">
        <v>0</v>
      </c>
      <c r="Q234" s="3125">
        <f t="shared" si="54"/>
        <v>0</v>
      </c>
      <c r="R234" s="3926">
        <v>0</v>
      </c>
      <c r="S234" s="3921"/>
      <c r="T234" s="3922"/>
      <c r="U234" s="3923"/>
      <c r="V234" s="3925">
        <f t="shared" si="50"/>
        <v>0</v>
      </c>
    </row>
    <row r="235" spans="1:23" s="3896" customFormat="1" ht="15.05" customHeight="1">
      <c r="A235" s="1855">
        <v>4</v>
      </c>
      <c r="B235" s="1855">
        <v>1</v>
      </c>
      <c r="C235" s="1855">
        <v>4</v>
      </c>
      <c r="D235" s="1855" t="s">
        <v>437</v>
      </c>
      <c r="E235" s="1855" t="s">
        <v>444</v>
      </c>
      <c r="F235" s="2842" t="str">
        <f>MAR!I390</f>
        <v>Penjualan Bahan-Bahan Bekas bangunan</v>
      </c>
      <c r="G235" s="1858"/>
      <c r="H235" s="200"/>
      <c r="I235" s="2823"/>
      <c r="J235" s="3186">
        <v>200000000</v>
      </c>
      <c r="K235" s="3186">
        <v>25364000</v>
      </c>
      <c r="L235" s="3125">
        <v>200000000</v>
      </c>
      <c r="M235" s="3124">
        <v>0</v>
      </c>
      <c r="N235" s="3125">
        <v>0</v>
      </c>
      <c r="O235" s="3125">
        <v>0</v>
      </c>
      <c r="P235" s="3125">
        <v>200000000</v>
      </c>
      <c r="Q235" s="3125">
        <f t="shared" si="54"/>
        <v>0</v>
      </c>
      <c r="R235" s="3926">
        <f t="shared" ref="R235:R240" si="55">+P235/L235*100-100</f>
        <v>0</v>
      </c>
      <c r="S235" s="3921"/>
      <c r="T235" s="3922"/>
      <c r="U235" s="3923"/>
      <c r="V235" s="3925">
        <f t="shared" si="50"/>
        <v>0</v>
      </c>
    </row>
    <row r="236" spans="1:23" s="1538" customFormat="1" ht="15.05" customHeight="1">
      <c r="A236" s="1886"/>
      <c r="B236" s="1886"/>
      <c r="C236" s="1886"/>
      <c r="D236" s="1886"/>
      <c r="E236" s="1886"/>
      <c r="F236" s="2356"/>
      <c r="G236" s="1888"/>
      <c r="H236" s="856"/>
      <c r="I236" s="3068"/>
      <c r="J236" s="3219"/>
      <c r="K236" s="3219"/>
      <c r="L236" s="3174"/>
      <c r="M236" s="3175"/>
      <c r="N236" s="3174"/>
      <c r="O236" s="3174"/>
      <c r="P236" s="3174"/>
      <c r="Q236" s="3174"/>
      <c r="R236" s="5230"/>
      <c r="S236" s="3712"/>
      <c r="T236" s="3831"/>
      <c r="U236" s="3771"/>
      <c r="V236" s="1846">
        <f t="shared" si="50"/>
        <v>0</v>
      </c>
    </row>
    <row r="237" spans="1:23" s="4270" customFormat="1" ht="15.05" customHeight="1">
      <c r="A237" s="5220">
        <v>4</v>
      </c>
      <c r="B237" s="5221">
        <v>1</v>
      </c>
      <c r="C237" s="5221">
        <v>4</v>
      </c>
      <c r="D237" s="5221" t="s">
        <v>438</v>
      </c>
      <c r="E237" s="5221"/>
      <c r="F237" s="5222" t="s">
        <v>212</v>
      </c>
      <c r="G237" s="5223"/>
      <c r="H237" s="5224"/>
      <c r="I237" s="5225"/>
      <c r="J237" s="5226">
        <f>SUM(J238:J239)</f>
        <v>4500000000</v>
      </c>
      <c r="K237" s="5226">
        <f t="shared" ref="K237:P237" si="56">SUM(K238:K239)</f>
        <v>12549664258.33</v>
      </c>
      <c r="L237" s="5226">
        <f t="shared" si="56"/>
        <v>4500000000</v>
      </c>
      <c r="M237" s="5226">
        <f t="shared" si="56"/>
        <v>3094595763</v>
      </c>
      <c r="N237" s="5226">
        <f t="shared" si="56"/>
        <v>532884</v>
      </c>
      <c r="O237" s="5226">
        <f t="shared" si="56"/>
        <v>3095128647</v>
      </c>
      <c r="P237" s="5226">
        <f t="shared" si="56"/>
        <v>7037000000</v>
      </c>
      <c r="Q237" s="5227">
        <f>+P237-L237</f>
        <v>2537000000</v>
      </c>
      <c r="R237" s="5228">
        <f t="shared" si="55"/>
        <v>56.377777777777766</v>
      </c>
      <c r="S237" s="4266"/>
      <c r="T237" s="4267"/>
      <c r="U237" s="4268"/>
      <c r="V237" s="4269">
        <f t="shared" si="50"/>
        <v>12380514588</v>
      </c>
    </row>
    <row r="238" spans="1:23" s="3896" customFormat="1" ht="15.05" customHeight="1">
      <c r="A238" s="1905">
        <v>4</v>
      </c>
      <c r="B238" s="1905">
        <v>1</v>
      </c>
      <c r="C238" s="1905">
        <v>4</v>
      </c>
      <c r="D238" s="1905" t="s">
        <v>438</v>
      </c>
      <c r="E238" s="1905" t="s">
        <v>437</v>
      </c>
      <c r="F238" s="2827" t="s">
        <v>214</v>
      </c>
      <c r="G238" s="2828"/>
      <c r="H238" s="212"/>
      <c r="I238" s="2841"/>
      <c r="J238" s="3236">
        <v>0</v>
      </c>
      <c r="K238" s="3236">
        <v>0</v>
      </c>
      <c r="L238" s="3197">
        <v>0</v>
      </c>
      <c r="M238" s="3198">
        <v>36875929</v>
      </c>
      <c r="N238" s="3197">
        <v>496972</v>
      </c>
      <c r="O238" s="3197">
        <v>37372901</v>
      </c>
      <c r="P238" s="3197">
        <v>37000000</v>
      </c>
      <c r="Q238" s="3197">
        <f>+P238-L238</f>
        <v>37000000</v>
      </c>
      <c r="R238" s="5093">
        <v>0</v>
      </c>
      <c r="S238" s="4280"/>
      <c r="T238" s="4281"/>
      <c r="U238" s="4282"/>
      <c r="V238" s="3925">
        <f t="shared" si="50"/>
        <v>149491604</v>
      </c>
    </row>
    <row r="239" spans="1:23" s="3896" customFormat="1" ht="15.05" customHeight="1">
      <c r="A239" s="1854">
        <v>4</v>
      </c>
      <c r="B239" s="1854">
        <v>1</v>
      </c>
      <c r="C239" s="1854">
        <v>4</v>
      </c>
      <c r="D239" s="1854" t="s">
        <v>438</v>
      </c>
      <c r="E239" s="1854" t="s">
        <v>438</v>
      </c>
      <c r="F239" s="1464" t="s">
        <v>213</v>
      </c>
      <c r="G239" s="1860"/>
      <c r="H239" s="202"/>
      <c r="I239" s="2824"/>
      <c r="J239" s="3185">
        <v>4500000000</v>
      </c>
      <c r="K239" s="3185">
        <v>12549664258.33</v>
      </c>
      <c r="L239" s="3182">
        <v>4500000000</v>
      </c>
      <c r="M239" s="3183">
        <v>3057719834</v>
      </c>
      <c r="N239" s="3182">
        <v>35912</v>
      </c>
      <c r="O239" s="3182">
        <v>3057755746</v>
      </c>
      <c r="P239" s="3182">
        <f>+P240</f>
        <v>7000000000</v>
      </c>
      <c r="Q239" s="3182">
        <f>+P239-L239</f>
        <v>2500000000</v>
      </c>
      <c r="R239" s="3914">
        <f t="shared" si="55"/>
        <v>55.555555555555571</v>
      </c>
      <c r="S239" s="4291"/>
      <c r="T239" s="4292"/>
      <c r="U239" s="4282"/>
      <c r="V239" s="3925">
        <f t="shared" si="50"/>
        <v>12231022984</v>
      </c>
    </row>
    <row r="240" spans="1:23" s="3896" customFormat="1" ht="15.05" customHeight="1">
      <c r="A240" s="1855"/>
      <c r="B240" s="1855"/>
      <c r="C240" s="1855"/>
      <c r="D240" s="1855"/>
      <c r="E240" s="1855"/>
      <c r="F240" s="2756" t="s">
        <v>50</v>
      </c>
      <c r="G240" s="1858" t="s">
        <v>223</v>
      </c>
      <c r="H240" s="200"/>
      <c r="I240" s="2823"/>
      <c r="J240" s="3186">
        <v>4500000000</v>
      </c>
      <c r="K240" s="3186">
        <v>12549664258.33</v>
      </c>
      <c r="L240" s="3125">
        <v>4500000000</v>
      </c>
      <c r="M240" s="3124">
        <v>3057719834</v>
      </c>
      <c r="N240" s="3125">
        <v>35912</v>
      </c>
      <c r="O240" s="3125">
        <v>3057755746</v>
      </c>
      <c r="P240" s="3125">
        <v>7000000000</v>
      </c>
      <c r="Q240" s="3125">
        <f>+P240-L240</f>
        <v>2500000000</v>
      </c>
      <c r="R240" s="3926">
        <f t="shared" si="55"/>
        <v>55.555555555555571</v>
      </c>
      <c r="S240" s="3921"/>
      <c r="T240" s="3922"/>
      <c r="U240" s="3923"/>
      <c r="V240" s="3925">
        <f t="shared" si="50"/>
        <v>12231022984</v>
      </c>
    </row>
    <row r="241" spans="1:22" s="1538" customFormat="1" ht="15.05" hidden="1" customHeight="1">
      <c r="A241" s="1855"/>
      <c r="B241" s="1855"/>
      <c r="C241" s="1855"/>
      <c r="D241" s="1855"/>
      <c r="E241" s="1855"/>
      <c r="F241" s="1857"/>
      <c r="G241" s="1858"/>
      <c r="H241" s="200"/>
      <c r="I241" s="2823"/>
      <c r="J241" s="3186"/>
      <c r="K241" s="3186"/>
      <c r="L241" s="3125"/>
      <c r="M241" s="3124"/>
      <c r="N241" s="3125"/>
      <c r="O241" s="3125"/>
      <c r="P241" s="3125"/>
      <c r="Q241" s="3125"/>
      <c r="R241" s="3926"/>
      <c r="S241" s="3702"/>
      <c r="T241" s="3820"/>
      <c r="U241" s="3771"/>
      <c r="V241" s="1846">
        <f t="shared" si="50"/>
        <v>0</v>
      </c>
    </row>
    <row r="242" spans="1:22" s="1538" customFormat="1" ht="15.05" customHeight="1">
      <c r="A242" s="1886"/>
      <c r="B242" s="1886"/>
      <c r="C242" s="1886"/>
      <c r="D242" s="1886"/>
      <c r="E242" s="1886"/>
      <c r="F242" s="1887"/>
      <c r="G242" s="1888"/>
      <c r="H242" s="856"/>
      <c r="I242" s="3068"/>
      <c r="J242" s="3219"/>
      <c r="K242" s="3219"/>
      <c r="L242" s="3174"/>
      <c r="M242" s="3175"/>
      <c r="N242" s="3174"/>
      <c r="O242" s="3174"/>
      <c r="P242" s="3174"/>
      <c r="Q242" s="3174"/>
      <c r="R242" s="5230"/>
      <c r="S242" s="3712"/>
      <c r="T242" s="3831"/>
      <c r="U242" s="1899"/>
      <c r="V242" s="1846">
        <f t="shared" si="50"/>
        <v>0</v>
      </c>
    </row>
    <row r="243" spans="1:22" s="4270" customFormat="1" ht="15.05" customHeight="1">
      <c r="A243" s="5220">
        <v>4</v>
      </c>
      <c r="B243" s="5221">
        <v>1</v>
      </c>
      <c r="C243" s="5221">
        <v>4</v>
      </c>
      <c r="D243" s="5221" t="s">
        <v>440</v>
      </c>
      <c r="E243" s="5221"/>
      <c r="F243" s="5222" t="s">
        <v>215</v>
      </c>
      <c r="G243" s="5223"/>
      <c r="H243" s="5224"/>
      <c r="I243" s="5225"/>
      <c r="J243" s="5226">
        <f>+J244</f>
        <v>6875000000</v>
      </c>
      <c r="K243" s="5226">
        <f t="shared" ref="K243:P243" si="57">+K244</f>
        <v>9375000000</v>
      </c>
      <c r="L243" s="5226">
        <f t="shared" si="57"/>
        <v>6875000000</v>
      </c>
      <c r="M243" s="5226">
        <f t="shared" si="57"/>
        <v>0</v>
      </c>
      <c r="N243" s="5226">
        <f t="shared" si="57"/>
        <v>875000000</v>
      </c>
      <c r="O243" s="5226">
        <f t="shared" si="57"/>
        <v>875000000</v>
      </c>
      <c r="P243" s="5227">
        <f t="shared" si="57"/>
        <v>7000000000</v>
      </c>
      <c r="Q243" s="5227">
        <f t="shared" ref="Q243:Q248" si="58">+P243-L243</f>
        <v>125000000</v>
      </c>
      <c r="R243" s="5231">
        <f t="shared" ref="R243:R248" si="59">+P243/L243*100-100</f>
        <v>1.818181818181813</v>
      </c>
      <c r="S243" s="4297"/>
      <c r="T243" s="4298"/>
      <c r="U243" s="4299"/>
      <c r="V243" s="4269">
        <f t="shared" si="50"/>
        <v>3500000000</v>
      </c>
    </row>
    <row r="244" spans="1:22" s="3896" customFormat="1" ht="15.05" customHeight="1">
      <c r="A244" s="1889">
        <v>4</v>
      </c>
      <c r="B244" s="1889">
        <v>1</v>
      </c>
      <c r="C244" s="1889">
        <v>4</v>
      </c>
      <c r="D244" s="1889" t="s">
        <v>440</v>
      </c>
      <c r="E244" s="1889" t="s">
        <v>437</v>
      </c>
      <c r="F244" s="3087" t="s">
        <v>216</v>
      </c>
      <c r="G244" s="3084"/>
      <c r="H244" s="224"/>
      <c r="I244" s="3088"/>
      <c r="J244" s="3237">
        <v>6875000000</v>
      </c>
      <c r="K244" s="3237">
        <v>9375000000</v>
      </c>
      <c r="L244" s="3234">
        <v>6875000000</v>
      </c>
      <c r="M244" s="3225">
        <v>0</v>
      </c>
      <c r="N244" s="3234">
        <v>875000000</v>
      </c>
      <c r="O244" s="3234">
        <v>875000000</v>
      </c>
      <c r="P244" s="3234">
        <v>7000000000</v>
      </c>
      <c r="Q244" s="3234">
        <f t="shared" si="58"/>
        <v>125000000</v>
      </c>
      <c r="R244" s="5229">
        <f t="shared" si="59"/>
        <v>1.818181818181813</v>
      </c>
      <c r="S244" s="4309"/>
      <c r="T244" s="4310"/>
      <c r="U244" s="4311"/>
      <c r="V244" s="3925">
        <f t="shared" si="50"/>
        <v>3500000000</v>
      </c>
    </row>
    <row r="245" spans="1:22" s="257" customFormat="1" ht="15.05" customHeight="1">
      <c r="A245" s="1886"/>
      <c r="B245" s="1886"/>
      <c r="C245" s="1886"/>
      <c r="D245" s="1886"/>
      <c r="E245" s="1886"/>
      <c r="F245" s="1887"/>
      <c r="G245" s="1888"/>
      <c r="H245" s="856"/>
      <c r="I245" s="1894"/>
      <c r="J245" s="3173"/>
      <c r="K245" s="3173"/>
      <c r="L245" s="3174"/>
      <c r="M245" s="3175">
        <v>0</v>
      </c>
      <c r="N245" s="3174"/>
      <c r="O245" s="3174">
        <f>+N245+M245</f>
        <v>0</v>
      </c>
      <c r="P245" s="3174" t="s">
        <v>556</v>
      </c>
      <c r="Q245" s="3174"/>
      <c r="R245" s="5230"/>
      <c r="S245" s="3712"/>
      <c r="T245" s="3831"/>
      <c r="U245" s="3771"/>
      <c r="V245" s="1846">
        <f t="shared" si="50"/>
        <v>0</v>
      </c>
    </row>
    <row r="246" spans="1:22" s="4270" customFormat="1" ht="15.05" customHeight="1">
      <c r="A246" s="5220">
        <v>4</v>
      </c>
      <c r="B246" s="5221">
        <v>1</v>
      </c>
      <c r="C246" s="5221">
        <v>4</v>
      </c>
      <c r="D246" s="5221" t="s">
        <v>445</v>
      </c>
      <c r="E246" s="5221"/>
      <c r="F246" s="5222" t="s">
        <v>217</v>
      </c>
      <c r="G246" s="5223"/>
      <c r="H246" s="5224"/>
      <c r="I246" s="5232"/>
      <c r="J246" s="5233">
        <f t="shared" ref="J246:P246" si="60">SUM(J247:J248)</f>
        <v>1205211975</v>
      </c>
      <c r="K246" s="5233">
        <f t="shared" si="60"/>
        <v>354139064.23000002</v>
      </c>
      <c r="L246" s="5233">
        <f t="shared" si="60"/>
        <v>1205211975</v>
      </c>
      <c r="M246" s="5233">
        <f t="shared" si="60"/>
        <v>200000</v>
      </c>
      <c r="N246" s="5233">
        <f t="shared" si="60"/>
        <v>0</v>
      </c>
      <c r="O246" s="5233">
        <f t="shared" si="60"/>
        <v>200000</v>
      </c>
      <c r="P246" s="5227">
        <f t="shared" si="60"/>
        <v>1205211975</v>
      </c>
      <c r="Q246" s="5227">
        <f t="shared" si="58"/>
        <v>0</v>
      </c>
      <c r="R246" s="5228">
        <f t="shared" si="59"/>
        <v>0</v>
      </c>
      <c r="S246" s="4266"/>
      <c r="T246" s="4267"/>
      <c r="U246" s="4268"/>
      <c r="V246" s="4269">
        <f t="shared" si="50"/>
        <v>800000</v>
      </c>
    </row>
    <row r="247" spans="1:22" s="3896" customFormat="1" ht="15.05" customHeight="1">
      <c r="A247" s="1889">
        <v>4</v>
      </c>
      <c r="B247" s="1889">
        <v>1</v>
      </c>
      <c r="C247" s="1889">
        <v>4</v>
      </c>
      <c r="D247" s="1889" t="s">
        <v>445</v>
      </c>
      <c r="E247" s="1889" t="s">
        <v>437</v>
      </c>
      <c r="F247" s="3087" t="s">
        <v>218</v>
      </c>
      <c r="G247" s="3084"/>
      <c r="H247" s="224"/>
      <c r="I247" s="3088"/>
      <c r="J247" s="3237">
        <v>1190211975</v>
      </c>
      <c r="K247" s="3237">
        <v>340768064.23000002</v>
      </c>
      <c r="L247" s="3234">
        <v>1190211975</v>
      </c>
      <c r="M247" s="3225">
        <v>0</v>
      </c>
      <c r="N247" s="3234">
        <v>0</v>
      </c>
      <c r="O247" s="3234">
        <v>0</v>
      </c>
      <c r="P247" s="3234">
        <v>1190211975</v>
      </c>
      <c r="Q247" s="3234">
        <f t="shared" si="58"/>
        <v>0</v>
      </c>
      <c r="R247" s="5229">
        <f t="shared" si="59"/>
        <v>0</v>
      </c>
      <c r="S247" s="4309"/>
      <c r="T247" s="4310"/>
      <c r="U247" s="3923"/>
      <c r="V247" s="3925">
        <f t="shared" si="50"/>
        <v>0</v>
      </c>
    </row>
    <row r="248" spans="1:22" s="3896" customFormat="1" ht="15.05" customHeight="1">
      <c r="A248" s="1855">
        <v>4</v>
      </c>
      <c r="B248" s="1855">
        <v>1</v>
      </c>
      <c r="C248" s="1855">
        <v>4</v>
      </c>
      <c r="D248" s="1855" t="s">
        <v>445</v>
      </c>
      <c r="E248" s="1855" t="s">
        <v>438</v>
      </c>
      <c r="F248" s="1857" t="s">
        <v>219</v>
      </c>
      <c r="G248" s="1858"/>
      <c r="H248" s="200"/>
      <c r="I248" s="200"/>
      <c r="J248" s="3215">
        <v>15000000</v>
      </c>
      <c r="K248" s="3171">
        <v>13371000</v>
      </c>
      <c r="L248" s="3125">
        <v>15000000</v>
      </c>
      <c r="M248" s="3124">
        <v>200000</v>
      </c>
      <c r="N248" s="3125">
        <v>0</v>
      </c>
      <c r="O248" s="3125">
        <v>200000</v>
      </c>
      <c r="P248" s="3125">
        <v>15000000</v>
      </c>
      <c r="Q248" s="3125">
        <f t="shared" si="58"/>
        <v>0</v>
      </c>
      <c r="R248" s="3926">
        <f t="shared" si="59"/>
        <v>0</v>
      </c>
      <c r="S248" s="3921"/>
      <c r="T248" s="3922"/>
      <c r="U248" s="3923"/>
      <c r="V248" s="3925">
        <f t="shared" si="50"/>
        <v>800000</v>
      </c>
    </row>
    <row r="249" spans="1:22" s="257" customFormat="1" ht="15.05" customHeight="1">
      <c r="A249" s="1886"/>
      <c r="B249" s="1886"/>
      <c r="C249" s="1886"/>
      <c r="D249" s="1886"/>
      <c r="E249" s="1886"/>
      <c r="F249" s="1887"/>
      <c r="G249" s="1888"/>
      <c r="H249" s="856"/>
      <c r="I249" s="856"/>
      <c r="J249" s="3238"/>
      <c r="K249" s="3173"/>
      <c r="L249" s="3174"/>
      <c r="M249" s="3175"/>
      <c r="N249" s="3174"/>
      <c r="O249" s="3174"/>
      <c r="P249" s="3174"/>
      <c r="Q249" s="3174"/>
      <c r="R249" s="5230"/>
      <c r="S249" s="3712"/>
      <c r="T249" s="3831"/>
      <c r="U249" s="1899"/>
      <c r="V249" s="1846">
        <f t="shared" si="50"/>
        <v>0</v>
      </c>
    </row>
    <row r="250" spans="1:22" s="4270" customFormat="1" ht="15.05" customHeight="1">
      <c r="A250" s="5220">
        <v>4</v>
      </c>
      <c r="B250" s="5221">
        <v>1</v>
      </c>
      <c r="C250" s="5221">
        <v>4</v>
      </c>
      <c r="D250" s="5221" t="s">
        <v>441</v>
      </c>
      <c r="E250" s="5221"/>
      <c r="F250" s="5234" t="s">
        <v>557</v>
      </c>
      <c r="G250" s="5224"/>
      <c r="H250" s="5224"/>
      <c r="I250" s="5224"/>
      <c r="J250" s="5235">
        <v>0</v>
      </c>
      <c r="K250" s="5236">
        <f t="shared" ref="K250:P250" si="61">K251</f>
        <v>810940665.47000003</v>
      </c>
      <c r="L250" s="5236">
        <f t="shared" si="61"/>
        <v>0</v>
      </c>
      <c r="M250" s="5236">
        <f t="shared" si="61"/>
        <v>81048456.790000007</v>
      </c>
      <c r="N250" s="5236">
        <f t="shared" si="61"/>
        <v>73760000</v>
      </c>
      <c r="O250" s="5236">
        <f t="shared" si="61"/>
        <v>82408456.790000007</v>
      </c>
      <c r="P250" s="5236">
        <f t="shared" si="61"/>
        <v>82408000</v>
      </c>
      <c r="Q250" s="5237">
        <f t="shared" ref="Q250:Q266" si="62">+P250-L250</f>
        <v>82408000</v>
      </c>
      <c r="R250" s="5238">
        <v>0</v>
      </c>
      <c r="S250" s="4317"/>
      <c r="T250" s="4318"/>
      <c r="U250" s="4319"/>
      <c r="V250" s="4269">
        <f t="shared" si="50"/>
        <v>329633827.16000003</v>
      </c>
    </row>
    <row r="251" spans="1:22" s="4329" customFormat="1" ht="15.05" customHeight="1">
      <c r="A251" s="1905">
        <v>4</v>
      </c>
      <c r="B251" s="1905">
        <v>1</v>
      </c>
      <c r="C251" s="1905">
        <v>4</v>
      </c>
      <c r="D251" s="1905" t="s">
        <v>441</v>
      </c>
      <c r="E251" s="1905" t="s">
        <v>437</v>
      </c>
      <c r="F251" s="3089" t="s">
        <v>72</v>
      </c>
      <c r="G251" s="212"/>
      <c r="H251" s="212"/>
      <c r="I251" s="212"/>
      <c r="J251" s="3243" t="s">
        <v>50</v>
      </c>
      <c r="K251" s="3244">
        <f>SUM(K252:K266)</f>
        <v>810940665.47000003</v>
      </c>
      <c r="L251" s="3245">
        <v>0</v>
      </c>
      <c r="M251" s="3246">
        <v>81048456.790000007</v>
      </c>
      <c r="N251" s="3245">
        <v>73760000</v>
      </c>
      <c r="O251" s="3245">
        <v>82408456.790000007</v>
      </c>
      <c r="P251" s="3245">
        <f>SUM(P252:P266)</f>
        <v>82408000</v>
      </c>
      <c r="Q251" s="3245">
        <f t="shared" si="62"/>
        <v>82408000</v>
      </c>
      <c r="R251" s="5239">
        <v>0</v>
      </c>
      <c r="S251" s="4326"/>
      <c r="T251" s="4327"/>
      <c r="U251" s="4328"/>
      <c r="V251" s="3925">
        <f t="shared" si="50"/>
        <v>329633827.16000003</v>
      </c>
    </row>
    <row r="252" spans="1:22" s="3896" customFormat="1" ht="15.05" customHeight="1">
      <c r="A252" s="1855"/>
      <c r="B252" s="1855"/>
      <c r="C252" s="1855"/>
      <c r="D252" s="1855"/>
      <c r="E252" s="1855"/>
      <c r="F252" s="2359" t="s">
        <v>50</v>
      </c>
      <c r="G252" s="200" t="s">
        <v>558</v>
      </c>
      <c r="H252" s="200"/>
      <c r="I252" s="200"/>
      <c r="J252" s="3248" t="s">
        <v>50</v>
      </c>
      <c r="K252" s="3216">
        <v>188674021.74000001</v>
      </c>
      <c r="L252" s="3249">
        <v>0</v>
      </c>
      <c r="M252" s="3250">
        <v>81048456.790000007</v>
      </c>
      <c r="N252" s="3249">
        <v>1360000</v>
      </c>
      <c r="O252" s="3249">
        <v>82408456.790000007</v>
      </c>
      <c r="P252" s="3249">
        <v>82408000</v>
      </c>
      <c r="Q252" s="3249">
        <f t="shared" si="62"/>
        <v>82408000</v>
      </c>
      <c r="R252" s="3926">
        <v>0</v>
      </c>
      <c r="S252" s="4335"/>
      <c r="T252" s="3922"/>
      <c r="U252" s="4336"/>
      <c r="V252" s="3925">
        <f t="shared" si="50"/>
        <v>329633827.16000003</v>
      </c>
    </row>
    <row r="253" spans="1:22" s="257" customFormat="1" ht="15.05" hidden="1" customHeight="1">
      <c r="A253" s="1855"/>
      <c r="B253" s="1855"/>
      <c r="C253" s="1855"/>
      <c r="D253" s="1855"/>
      <c r="E253" s="1855"/>
      <c r="F253" s="2359" t="s">
        <v>50</v>
      </c>
      <c r="G253" s="200" t="s">
        <v>559</v>
      </c>
      <c r="H253" s="200"/>
      <c r="I253" s="200"/>
      <c r="J253" s="3248" t="s">
        <v>50</v>
      </c>
      <c r="K253" s="3216">
        <v>0</v>
      </c>
      <c r="L253" s="3249"/>
      <c r="M253" s="3250"/>
      <c r="N253" s="3249">
        <v>72400000</v>
      </c>
      <c r="O253" s="3249"/>
      <c r="P253" s="3249"/>
      <c r="Q253" s="3249">
        <f t="shared" si="62"/>
        <v>0</v>
      </c>
      <c r="R253" s="3926">
        <v>0</v>
      </c>
      <c r="S253" s="3748"/>
      <c r="T253" s="3826"/>
      <c r="U253" s="3794"/>
      <c r="V253" s="1846">
        <f t="shared" si="50"/>
        <v>0</v>
      </c>
    </row>
    <row r="254" spans="1:22" s="257" customFormat="1" ht="15.05" hidden="1" customHeight="1">
      <c r="A254" s="1855"/>
      <c r="B254" s="1855"/>
      <c r="C254" s="1855"/>
      <c r="D254" s="1855"/>
      <c r="E254" s="1855"/>
      <c r="F254" s="2359" t="s">
        <v>50</v>
      </c>
      <c r="G254" s="253" t="s">
        <v>1160</v>
      </c>
      <c r="H254" s="253"/>
      <c r="I254" s="200"/>
      <c r="J254" s="3248" t="s">
        <v>50</v>
      </c>
      <c r="K254" s="3216">
        <v>7295582</v>
      </c>
      <c r="L254" s="3249"/>
      <c r="M254" s="3250"/>
      <c r="N254" s="3249"/>
      <c r="O254" s="3249"/>
      <c r="P254" s="3249"/>
      <c r="Q254" s="3249">
        <f t="shared" si="62"/>
        <v>0</v>
      </c>
      <c r="R254" s="3926">
        <v>0</v>
      </c>
      <c r="S254" s="3748"/>
      <c r="T254" s="3826"/>
      <c r="U254" s="3794"/>
      <c r="V254" s="1846">
        <f t="shared" si="50"/>
        <v>0</v>
      </c>
    </row>
    <row r="255" spans="1:22" s="257" customFormat="1" ht="15.05" hidden="1" customHeight="1">
      <c r="A255" s="1855"/>
      <c r="B255" s="1855"/>
      <c r="C255" s="1855"/>
      <c r="D255" s="1855"/>
      <c r="E255" s="1855"/>
      <c r="F255" s="2359" t="s">
        <v>50</v>
      </c>
      <c r="G255" s="200" t="s">
        <v>1161</v>
      </c>
      <c r="H255" s="2329"/>
      <c r="I255" s="200"/>
      <c r="J255" s="3248" t="s">
        <v>50</v>
      </c>
      <c r="K255" s="3216">
        <v>0</v>
      </c>
      <c r="L255" s="3249"/>
      <c r="M255" s="3250"/>
      <c r="N255" s="3249"/>
      <c r="O255" s="3249"/>
      <c r="P255" s="3249"/>
      <c r="Q255" s="3249">
        <f t="shared" si="62"/>
        <v>0</v>
      </c>
      <c r="R255" s="3926">
        <v>0</v>
      </c>
      <c r="S255" s="3748"/>
      <c r="T255" s="3826"/>
      <c r="U255" s="3794"/>
      <c r="V255" s="1846">
        <f t="shared" si="50"/>
        <v>0</v>
      </c>
    </row>
    <row r="256" spans="1:22" s="257" customFormat="1" ht="15.05" hidden="1" customHeight="1">
      <c r="A256" s="1855"/>
      <c r="B256" s="1855"/>
      <c r="C256" s="1855"/>
      <c r="D256" s="1855"/>
      <c r="E256" s="1855"/>
      <c r="F256" s="2359" t="s">
        <v>50</v>
      </c>
      <c r="G256" s="200" t="s">
        <v>681</v>
      </c>
      <c r="H256" s="200"/>
      <c r="I256" s="200"/>
      <c r="J256" s="3248" t="s">
        <v>50</v>
      </c>
      <c r="K256" s="3216">
        <v>164498989</v>
      </c>
      <c r="L256" s="3249"/>
      <c r="M256" s="3250"/>
      <c r="N256" s="3249"/>
      <c r="O256" s="3249"/>
      <c r="P256" s="3249"/>
      <c r="Q256" s="3249">
        <f t="shared" si="62"/>
        <v>0</v>
      </c>
      <c r="R256" s="3926">
        <v>0</v>
      </c>
      <c r="S256" s="3275"/>
      <c r="T256" s="3826"/>
      <c r="U256" s="3794"/>
      <c r="V256" s="1846">
        <f t="shared" si="50"/>
        <v>0</v>
      </c>
    </row>
    <row r="257" spans="1:22" s="257" customFormat="1" ht="15.05" hidden="1" customHeight="1">
      <c r="A257" s="1855"/>
      <c r="B257" s="1855"/>
      <c r="C257" s="1855"/>
      <c r="D257" s="1855"/>
      <c r="E257" s="1855"/>
      <c r="F257" s="2359" t="s">
        <v>50</v>
      </c>
      <c r="G257" s="200" t="s">
        <v>1162</v>
      </c>
      <c r="H257" s="200"/>
      <c r="I257" s="200"/>
      <c r="J257" s="3248" t="s">
        <v>50</v>
      </c>
      <c r="K257" s="3216">
        <v>19560365.73</v>
      </c>
      <c r="L257" s="3249"/>
      <c r="M257" s="3250"/>
      <c r="N257" s="3249"/>
      <c r="O257" s="3249"/>
      <c r="P257" s="3249"/>
      <c r="Q257" s="3249">
        <f t="shared" si="62"/>
        <v>0</v>
      </c>
      <c r="R257" s="3926">
        <v>0</v>
      </c>
      <c r="S257" s="3748"/>
      <c r="T257" s="3826"/>
      <c r="U257" s="3794"/>
      <c r="V257" s="1846">
        <f t="shared" si="50"/>
        <v>0</v>
      </c>
    </row>
    <row r="258" spans="1:22" s="257" customFormat="1" ht="15.05" hidden="1" customHeight="1">
      <c r="A258" s="1855"/>
      <c r="B258" s="1855"/>
      <c r="C258" s="1855"/>
      <c r="D258" s="1855"/>
      <c r="E258" s="1855"/>
      <c r="F258" s="2359" t="s">
        <v>50</v>
      </c>
      <c r="G258" s="200" t="s">
        <v>544</v>
      </c>
      <c r="H258" s="200"/>
      <c r="I258" s="200"/>
      <c r="J258" s="3248" t="s">
        <v>50</v>
      </c>
      <c r="K258" s="3216">
        <v>11790410</v>
      </c>
      <c r="L258" s="3249"/>
      <c r="M258" s="3250"/>
      <c r="N258" s="3249"/>
      <c r="O258" s="3249"/>
      <c r="P258" s="3249"/>
      <c r="Q258" s="3249">
        <f t="shared" si="62"/>
        <v>0</v>
      </c>
      <c r="R258" s="3926">
        <v>0</v>
      </c>
      <c r="S258" s="3748"/>
      <c r="T258" s="3826"/>
      <c r="U258" s="3794"/>
      <c r="V258" s="1846">
        <f t="shared" si="50"/>
        <v>0</v>
      </c>
    </row>
    <row r="259" spans="1:22" s="257" customFormat="1" ht="15.05" hidden="1" customHeight="1">
      <c r="A259" s="1855"/>
      <c r="B259" s="1855"/>
      <c r="C259" s="1855"/>
      <c r="D259" s="1855"/>
      <c r="E259" s="1855"/>
      <c r="F259" s="2359" t="s">
        <v>50</v>
      </c>
      <c r="G259" s="200" t="s">
        <v>1163</v>
      </c>
      <c r="H259" s="2329"/>
      <c r="I259" s="200"/>
      <c r="J259" s="3248" t="s">
        <v>50</v>
      </c>
      <c r="K259" s="3216">
        <v>90692121</v>
      </c>
      <c r="L259" s="3249"/>
      <c r="M259" s="3250"/>
      <c r="N259" s="3249"/>
      <c r="O259" s="3249"/>
      <c r="P259" s="3249"/>
      <c r="Q259" s="3249">
        <f t="shared" si="62"/>
        <v>0</v>
      </c>
      <c r="R259" s="3926">
        <v>0</v>
      </c>
      <c r="S259" s="3748"/>
      <c r="T259" s="3826"/>
      <c r="U259" s="3794"/>
      <c r="V259" s="1846">
        <f t="shared" si="50"/>
        <v>0</v>
      </c>
    </row>
    <row r="260" spans="1:22" s="257" customFormat="1" ht="15.05" hidden="1" customHeight="1">
      <c r="A260" s="1855"/>
      <c r="B260" s="1855"/>
      <c r="C260" s="1855"/>
      <c r="D260" s="1855"/>
      <c r="E260" s="1855"/>
      <c r="F260" s="2359" t="s">
        <v>50</v>
      </c>
      <c r="G260" s="200" t="s">
        <v>1164</v>
      </c>
      <c r="H260" s="2329"/>
      <c r="I260" s="200"/>
      <c r="J260" s="3248" t="s">
        <v>50</v>
      </c>
      <c r="K260" s="3216">
        <v>126061400</v>
      </c>
      <c r="L260" s="3249"/>
      <c r="M260" s="3250"/>
      <c r="N260" s="3249"/>
      <c r="O260" s="3249"/>
      <c r="P260" s="3249"/>
      <c r="Q260" s="3249">
        <f t="shared" si="62"/>
        <v>0</v>
      </c>
      <c r="R260" s="3926">
        <v>0</v>
      </c>
      <c r="S260" s="3748"/>
      <c r="T260" s="3826"/>
      <c r="U260" s="3794"/>
      <c r="V260" s="1846">
        <f t="shared" si="50"/>
        <v>0</v>
      </c>
    </row>
    <row r="261" spans="1:22" s="257" customFormat="1" ht="15.05" hidden="1" customHeight="1">
      <c r="A261" s="1855"/>
      <c r="B261" s="1855"/>
      <c r="C261" s="1855"/>
      <c r="D261" s="1855"/>
      <c r="E261" s="1855"/>
      <c r="F261" s="2359" t="s">
        <v>50</v>
      </c>
      <c r="G261" s="200" t="s">
        <v>1165</v>
      </c>
      <c r="H261" s="200"/>
      <c r="I261" s="200"/>
      <c r="J261" s="3248" t="s">
        <v>50</v>
      </c>
      <c r="K261" s="3216">
        <v>1835685</v>
      </c>
      <c r="L261" s="3249"/>
      <c r="M261" s="3250"/>
      <c r="N261" s="3249"/>
      <c r="O261" s="3249"/>
      <c r="P261" s="3249"/>
      <c r="Q261" s="3249">
        <f t="shared" si="62"/>
        <v>0</v>
      </c>
      <c r="R261" s="3926">
        <v>0</v>
      </c>
      <c r="S261" s="3748"/>
      <c r="T261" s="3826"/>
      <c r="U261" s="3794"/>
      <c r="V261" s="1846">
        <f t="shared" si="50"/>
        <v>0</v>
      </c>
    </row>
    <row r="262" spans="1:22" s="257" customFormat="1" ht="15.05" hidden="1" customHeight="1">
      <c r="A262" s="1855"/>
      <c r="B262" s="1855"/>
      <c r="C262" s="1855"/>
      <c r="D262" s="1855"/>
      <c r="E262" s="1855"/>
      <c r="F262" s="2359" t="s">
        <v>50</v>
      </c>
      <c r="G262" s="200" t="s">
        <v>924</v>
      </c>
      <c r="H262" s="2329"/>
      <c r="I262" s="200"/>
      <c r="J262" s="3248" t="s">
        <v>50</v>
      </c>
      <c r="K262" s="3216">
        <v>0</v>
      </c>
      <c r="L262" s="3249"/>
      <c r="M262" s="3250"/>
      <c r="N262" s="3249"/>
      <c r="O262" s="3249"/>
      <c r="P262" s="3249"/>
      <c r="Q262" s="3249">
        <f t="shared" si="62"/>
        <v>0</v>
      </c>
      <c r="R262" s="3926">
        <v>0</v>
      </c>
      <c r="S262" s="3748"/>
      <c r="T262" s="3826"/>
      <c r="U262" s="3794"/>
      <c r="V262" s="1846">
        <f t="shared" si="50"/>
        <v>0</v>
      </c>
    </row>
    <row r="263" spans="1:22" s="257" customFormat="1" ht="15.05" hidden="1" customHeight="1">
      <c r="A263" s="1855"/>
      <c r="B263" s="1855"/>
      <c r="C263" s="1855"/>
      <c r="D263" s="1855"/>
      <c r="E263" s="1855"/>
      <c r="F263" s="2359" t="s">
        <v>50</v>
      </c>
      <c r="G263" s="200" t="s">
        <v>1166</v>
      </c>
      <c r="H263" s="2329"/>
      <c r="I263" s="200"/>
      <c r="J263" s="3248" t="s">
        <v>50</v>
      </c>
      <c r="K263" s="3216">
        <v>21802000</v>
      </c>
      <c r="L263" s="3249"/>
      <c r="M263" s="3250"/>
      <c r="N263" s="3249"/>
      <c r="O263" s="3249"/>
      <c r="P263" s="3249"/>
      <c r="Q263" s="3249">
        <f t="shared" si="62"/>
        <v>0</v>
      </c>
      <c r="R263" s="3926">
        <v>0</v>
      </c>
      <c r="S263" s="3748"/>
      <c r="T263" s="3826"/>
      <c r="U263" s="3794"/>
      <c r="V263" s="1846">
        <f t="shared" si="50"/>
        <v>0</v>
      </c>
    </row>
    <row r="264" spans="1:22" s="257" customFormat="1" ht="15.05" hidden="1" customHeight="1">
      <c r="A264" s="1855"/>
      <c r="B264" s="1855"/>
      <c r="C264" s="1855"/>
      <c r="D264" s="1855"/>
      <c r="E264" s="1855"/>
      <c r="F264" s="2359" t="s">
        <v>50</v>
      </c>
      <c r="G264" s="200" t="s">
        <v>1167</v>
      </c>
      <c r="H264" s="2329"/>
      <c r="I264" s="200"/>
      <c r="J264" s="3248" t="s">
        <v>50</v>
      </c>
      <c r="K264" s="3216">
        <v>415440</v>
      </c>
      <c r="L264" s="3249"/>
      <c r="M264" s="3250"/>
      <c r="N264" s="3249"/>
      <c r="O264" s="3249"/>
      <c r="P264" s="3249"/>
      <c r="Q264" s="3249">
        <f t="shared" si="62"/>
        <v>0</v>
      </c>
      <c r="R264" s="3926">
        <v>0</v>
      </c>
      <c r="S264" s="3748"/>
      <c r="T264" s="3826"/>
      <c r="U264" s="3794"/>
      <c r="V264" s="1846">
        <f t="shared" si="50"/>
        <v>0</v>
      </c>
    </row>
    <row r="265" spans="1:22" s="257" customFormat="1" ht="15.05" hidden="1" customHeight="1">
      <c r="A265" s="1855"/>
      <c r="B265" s="1855"/>
      <c r="C265" s="1855"/>
      <c r="D265" s="1855"/>
      <c r="E265" s="1855"/>
      <c r="F265" s="2359" t="s">
        <v>50</v>
      </c>
      <c r="G265" s="200" t="s">
        <v>99</v>
      </c>
      <c r="H265" s="2329"/>
      <c r="I265" s="200"/>
      <c r="J265" s="3248" t="s">
        <v>50</v>
      </c>
      <c r="K265" s="3216">
        <v>178187151</v>
      </c>
      <c r="L265" s="3249"/>
      <c r="M265" s="3250"/>
      <c r="N265" s="3249"/>
      <c r="O265" s="3249"/>
      <c r="P265" s="3249"/>
      <c r="Q265" s="3249">
        <f t="shared" si="62"/>
        <v>0</v>
      </c>
      <c r="R265" s="3926">
        <v>0</v>
      </c>
      <c r="S265" s="3748"/>
      <c r="T265" s="3826"/>
      <c r="U265" s="3794"/>
      <c r="V265" s="1846">
        <f t="shared" si="50"/>
        <v>0</v>
      </c>
    </row>
    <row r="266" spans="1:22" s="257" customFormat="1" ht="15.05" hidden="1" customHeight="1">
      <c r="A266" s="1855"/>
      <c r="B266" s="1855"/>
      <c r="C266" s="1855"/>
      <c r="D266" s="1855"/>
      <c r="E266" s="1855"/>
      <c r="F266" s="2359" t="s">
        <v>50</v>
      </c>
      <c r="G266" s="200" t="s">
        <v>1168</v>
      </c>
      <c r="H266" s="2329"/>
      <c r="I266" s="200"/>
      <c r="J266" s="3215"/>
      <c r="K266" s="3216">
        <v>127500</v>
      </c>
      <c r="L266" s="3249"/>
      <c r="M266" s="3250"/>
      <c r="N266" s="3249"/>
      <c r="O266" s="3249"/>
      <c r="P266" s="3249"/>
      <c r="Q266" s="3249">
        <f t="shared" si="62"/>
        <v>0</v>
      </c>
      <c r="R266" s="3926">
        <v>0</v>
      </c>
      <c r="S266" s="3275"/>
      <c r="T266" s="3826"/>
      <c r="U266" s="3794"/>
      <c r="V266" s="1846">
        <f t="shared" si="50"/>
        <v>0</v>
      </c>
    </row>
    <row r="267" spans="1:22" s="257" customFormat="1" ht="15.05" customHeight="1">
      <c r="A267" s="1886"/>
      <c r="B267" s="1886"/>
      <c r="C267" s="1886"/>
      <c r="D267" s="1886"/>
      <c r="E267" s="1886"/>
      <c r="F267" s="2843"/>
      <c r="G267" s="2844"/>
      <c r="H267" s="856"/>
      <c r="I267" s="856"/>
      <c r="J267" s="3238"/>
      <c r="K267" s="3251"/>
      <c r="L267" s="3252"/>
      <c r="M267" s="3253"/>
      <c r="N267" s="3252"/>
      <c r="O267" s="3252"/>
      <c r="P267" s="3174"/>
      <c r="Q267" s="3174"/>
      <c r="R267" s="5230"/>
      <c r="S267" s="3712"/>
      <c r="T267" s="3831"/>
      <c r="U267" s="1899"/>
      <c r="V267" s="1846">
        <f t="shared" si="50"/>
        <v>0</v>
      </c>
    </row>
    <row r="268" spans="1:22" s="2947" customFormat="1" ht="15.05" customHeight="1">
      <c r="A268" s="5220">
        <v>4</v>
      </c>
      <c r="B268" s="5221">
        <v>1</v>
      </c>
      <c r="C268" s="5221">
        <v>4</v>
      </c>
      <c r="D268" s="5221" t="s">
        <v>456</v>
      </c>
      <c r="E268" s="5221"/>
      <c r="F268" s="5222" t="s">
        <v>307</v>
      </c>
      <c r="G268" s="5223"/>
      <c r="H268" s="5224"/>
      <c r="I268" s="5224"/>
      <c r="J268" s="5240">
        <f>J269+J280</f>
        <v>18548560000</v>
      </c>
      <c r="K268" s="5240">
        <f t="shared" ref="K268:P268" si="63">K269+K280</f>
        <v>19634060483</v>
      </c>
      <c r="L268" s="5240">
        <f>L269+L280</f>
        <v>18548560000</v>
      </c>
      <c r="M268" s="5240">
        <f t="shared" si="63"/>
        <v>3186070400</v>
      </c>
      <c r="N268" s="5240">
        <f t="shared" si="63"/>
        <v>2296646661</v>
      </c>
      <c r="O268" s="5240">
        <f t="shared" si="63"/>
        <v>5482717061</v>
      </c>
      <c r="P268" s="5240">
        <f t="shared" si="63"/>
        <v>18798560000</v>
      </c>
      <c r="Q268" s="5227">
        <f t="shared" ref="Q268:Q294" si="64">+P268-L268</f>
        <v>250000000</v>
      </c>
      <c r="R268" s="5231">
        <f>+P268/L268*100-100</f>
        <v>1.3478135229904638</v>
      </c>
      <c r="S268" s="3716"/>
      <c r="T268" s="3838"/>
      <c r="U268" s="3066"/>
      <c r="V268" s="2944">
        <f t="shared" si="50"/>
        <v>21930868244</v>
      </c>
    </row>
    <row r="269" spans="1:22" s="257" customFormat="1" ht="15.05" customHeight="1">
      <c r="A269" s="1889">
        <v>4</v>
      </c>
      <c r="B269" s="1889">
        <v>1</v>
      </c>
      <c r="C269" s="1889">
        <v>4</v>
      </c>
      <c r="D269" s="1889" t="s">
        <v>456</v>
      </c>
      <c r="E269" s="1889" t="s">
        <v>437</v>
      </c>
      <c r="F269" s="3087" t="s">
        <v>309</v>
      </c>
      <c r="G269" s="3084"/>
      <c r="H269" s="224"/>
      <c r="I269" s="224"/>
      <c r="J269" s="3254">
        <v>18448560000</v>
      </c>
      <c r="K269" s="3237">
        <v>19268531170</v>
      </c>
      <c r="L269" s="3234">
        <v>18448560000</v>
      </c>
      <c r="M269" s="3225">
        <v>3064125447</v>
      </c>
      <c r="N269" s="3234">
        <v>2223238906</v>
      </c>
      <c r="O269" s="3234">
        <v>5287364353</v>
      </c>
      <c r="P269" s="3234">
        <v>18448560000</v>
      </c>
      <c r="Q269" s="3234">
        <f t="shared" si="64"/>
        <v>0</v>
      </c>
      <c r="R269" s="5229">
        <f>+P269/L269*100-100</f>
        <v>0</v>
      </c>
      <c r="S269" s="3701"/>
      <c r="T269" s="3819"/>
      <c r="U269" s="1900"/>
      <c r="V269" s="1846">
        <f t="shared" si="50"/>
        <v>21149457412</v>
      </c>
    </row>
    <row r="270" spans="1:22" s="257" customFormat="1" ht="15.05" hidden="1" customHeight="1">
      <c r="A270" s="1855"/>
      <c r="B270" s="1855"/>
      <c r="C270" s="1855"/>
      <c r="D270" s="1855"/>
      <c r="E270" s="1855"/>
      <c r="F270" s="2359" t="s">
        <v>50</v>
      </c>
      <c r="G270" s="213"/>
      <c r="H270" s="200" t="str">
        <f>MAR!I523</f>
        <v>Samsat Mataram</v>
      </c>
      <c r="I270" s="200"/>
      <c r="J270" s="3215">
        <v>18448560000</v>
      </c>
      <c r="K270" s="3171">
        <v>5900994481</v>
      </c>
      <c r="L270" s="3125">
        <v>0</v>
      </c>
      <c r="M270" s="3124">
        <v>950178232</v>
      </c>
      <c r="N270" s="3125">
        <v>483669403</v>
      </c>
      <c r="O270" s="3125">
        <v>1433847635</v>
      </c>
      <c r="P270" s="3125">
        <v>0</v>
      </c>
      <c r="Q270" s="3125">
        <f t="shared" si="64"/>
        <v>0</v>
      </c>
      <c r="R270" s="3926">
        <v>0</v>
      </c>
      <c r="S270" s="3275"/>
      <c r="T270" s="3826"/>
      <c r="U270" s="3771"/>
      <c r="V270" s="1846">
        <f t="shared" si="50"/>
        <v>5735390540</v>
      </c>
    </row>
    <row r="271" spans="1:22" s="257" customFormat="1" ht="15.05" hidden="1" customHeight="1">
      <c r="A271" s="1855"/>
      <c r="B271" s="1855"/>
      <c r="C271" s="1855"/>
      <c r="D271" s="1855"/>
      <c r="E271" s="1855"/>
      <c r="F271" s="2359" t="s">
        <v>50</v>
      </c>
      <c r="G271" s="213"/>
      <c r="H271" s="200" t="str">
        <f>MAR!I524</f>
        <v>Samsat Praya</v>
      </c>
      <c r="I271" s="200"/>
      <c r="J271" s="3215"/>
      <c r="K271" s="3171">
        <v>2780920166</v>
      </c>
      <c r="L271" s="3125">
        <v>0</v>
      </c>
      <c r="M271" s="3124">
        <v>464483071</v>
      </c>
      <c r="N271" s="3125">
        <v>700930596</v>
      </c>
      <c r="O271" s="3125">
        <v>1165413667</v>
      </c>
      <c r="P271" s="3125">
        <v>0</v>
      </c>
      <c r="Q271" s="3125">
        <f t="shared" si="64"/>
        <v>0</v>
      </c>
      <c r="R271" s="3926">
        <v>0</v>
      </c>
      <c r="S271" s="3275"/>
      <c r="T271" s="3826"/>
      <c r="U271" s="3771"/>
      <c r="V271" s="1846">
        <f t="shared" si="50"/>
        <v>4661654668</v>
      </c>
    </row>
    <row r="272" spans="1:22" s="257" customFormat="1" ht="15.05" hidden="1" customHeight="1">
      <c r="A272" s="1855"/>
      <c r="B272" s="1855"/>
      <c r="C272" s="1855"/>
      <c r="D272" s="1855"/>
      <c r="E272" s="1855"/>
      <c r="F272" s="2359" t="s">
        <v>50</v>
      </c>
      <c r="G272" s="213"/>
      <c r="H272" s="200" t="str">
        <f>MAR!I525</f>
        <v>Samsat Selong</v>
      </c>
      <c r="I272" s="200"/>
      <c r="J272" s="3215"/>
      <c r="K272" s="3171">
        <v>334374917</v>
      </c>
      <c r="L272" s="3125">
        <v>0</v>
      </c>
      <c r="M272" s="3124">
        <v>526640801</v>
      </c>
      <c r="N272" s="3125">
        <v>257640400</v>
      </c>
      <c r="O272" s="3125">
        <v>784281201</v>
      </c>
      <c r="P272" s="3125">
        <v>0</v>
      </c>
      <c r="Q272" s="3125">
        <f t="shared" si="64"/>
        <v>0</v>
      </c>
      <c r="R272" s="3926">
        <v>0</v>
      </c>
      <c r="S272" s="3275"/>
      <c r="T272" s="3826"/>
      <c r="U272" s="3771"/>
      <c r="V272" s="1846">
        <f t="shared" si="50"/>
        <v>3137124804</v>
      </c>
    </row>
    <row r="273" spans="1:22" s="257" customFormat="1" ht="15.05" hidden="1" customHeight="1">
      <c r="A273" s="1855"/>
      <c r="B273" s="1855"/>
      <c r="C273" s="1855"/>
      <c r="D273" s="1855"/>
      <c r="E273" s="1855"/>
      <c r="F273" s="2359" t="s">
        <v>50</v>
      </c>
      <c r="G273" s="213"/>
      <c r="H273" s="200" t="str">
        <f>MAR!I526</f>
        <v>Samsat Sumbawa</v>
      </c>
      <c r="I273" s="200"/>
      <c r="J273" s="3215"/>
      <c r="K273" s="3171">
        <v>1616126594</v>
      </c>
      <c r="L273" s="3125">
        <v>0</v>
      </c>
      <c r="M273" s="3124">
        <v>210189810</v>
      </c>
      <c r="N273" s="3125">
        <v>117317727</v>
      </c>
      <c r="O273" s="3125">
        <v>327507537</v>
      </c>
      <c r="P273" s="3125">
        <v>0</v>
      </c>
      <c r="Q273" s="3125">
        <f t="shared" si="64"/>
        <v>0</v>
      </c>
      <c r="R273" s="3926">
        <v>0</v>
      </c>
      <c r="S273" s="3275"/>
      <c r="T273" s="3826"/>
      <c r="U273" s="3771"/>
      <c r="V273" s="1846">
        <f t="shared" si="50"/>
        <v>1310030148</v>
      </c>
    </row>
    <row r="274" spans="1:22" s="257" customFormat="1" ht="15.05" hidden="1" customHeight="1">
      <c r="A274" s="1855"/>
      <c r="B274" s="1855"/>
      <c r="C274" s="1855"/>
      <c r="D274" s="1855"/>
      <c r="E274" s="1855"/>
      <c r="F274" s="2359" t="s">
        <v>50</v>
      </c>
      <c r="G274" s="213"/>
      <c r="H274" s="200" t="str">
        <f>MAR!I527</f>
        <v>Samsat Kota Bima</v>
      </c>
      <c r="I274" s="200"/>
      <c r="J274" s="3215"/>
      <c r="K274" s="3171">
        <v>154003162</v>
      </c>
      <c r="L274" s="3125">
        <v>0</v>
      </c>
      <c r="M274" s="3124">
        <v>198751703</v>
      </c>
      <c r="N274" s="3125">
        <v>92358050</v>
      </c>
      <c r="O274" s="3125">
        <v>291109753</v>
      </c>
      <c r="P274" s="3125">
        <v>0</v>
      </c>
      <c r="Q274" s="3125">
        <f t="shared" si="64"/>
        <v>0</v>
      </c>
      <c r="R274" s="3926">
        <v>0</v>
      </c>
      <c r="S274" s="3275"/>
      <c r="T274" s="3826"/>
      <c r="U274" s="3771"/>
      <c r="V274" s="1846">
        <f t="shared" si="50"/>
        <v>1164439012</v>
      </c>
    </row>
    <row r="275" spans="1:22" s="257" customFormat="1" ht="15.05" hidden="1" customHeight="1">
      <c r="A275" s="1855"/>
      <c r="B275" s="1855"/>
      <c r="C275" s="1855"/>
      <c r="D275" s="1855"/>
      <c r="E275" s="1855"/>
      <c r="F275" s="2359"/>
      <c r="G275" s="213"/>
      <c r="H275" s="200" t="str">
        <f>MAR!I528</f>
        <v>Samsat Kab. Bima</v>
      </c>
      <c r="I275" s="200"/>
      <c r="J275" s="3215"/>
      <c r="K275" s="3193">
        <v>0</v>
      </c>
      <c r="L275" s="3125"/>
      <c r="M275" s="3124">
        <v>96723700</v>
      </c>
      <c r="N275" s="3125">
        <v>51092666</v>
      </c>
      <c r="O275" s="3125">
        <v>147816366</v>
      </c>
      <c r="P275" s="3125"/>
      <c r="Q275" s="3125">
        <f t="shared" si="64"/>
        <v>0</v>
      </c>
      <c r="R275" s="3926">
        <v>0</v>
      </c>
      <c r="S275" s="3275"/>
      <c r="T275" s="3826"/>
      <c r="U275" s="3771"/>
      <c r="V275" s="1846">
        <f t="shared" si="50"/>
        <v>591265464</v>
      </c>
    </row>
    <row r="276" spans="1:22" s="257" customFormat="1" ht="15.05" hidden="1" customHeight="1">
      <c r="A276" s="1855"/>
      <c r="B276" s="1855"/>
      <c r="C276" s="1855"/>
      <c r="D276" s="1855"/>
      <c r="E276" s="1855"/>
      <c r="F276" s="2359" t="s">
        <v>50</v>
      </c>
      <c r="G276" s="213"/>
      <c r="H276" s="200" t="str">
        <f>MAR!I529</f>
        <v>Samsat Dompu</v>
      </c>
      <c r="I276" s="200"/>
      <c r="J276" s="3215"/>
      <c r="K276" s="3171">
        <v>602053236</v>
      </c>
      <c r="L276" s="3125">
        <v>0</v>
      </c>
      <c r="M276" s="3124">
        <v>94411077</v>
      </c>
      <c r="N276" s="3125">
        <v>45850047</v>
      </c>
      <c r="O276" s="3125">
        <v>140261124</v>
      </c>
      <c r="P276" s="3125">
        <v>0</v>
      </c>
      <c r="Q276" s="3125">
        <f t="shared" si="64"/>
        <v>0</v>
      </c>
      <c r="R276" s="3926">
        <v>0</v>
      </c>
      <c r="S276" s="3275"/>
      <c r="T276" s="3826"/>
      <c r="U276" s="3771"/>
      <c r="V276" s="1846">
        <f t="shared" si="50"/>
        <v>561044496</v>
      </c>
    </row>
    <row r="277" spans="1:22" s="257" customFormat="1" ht="15.05" hidden="1" customHeight="1">
      <c r="A277" s="1855"/>
      <c r="B277" s="1855"/>
      <c r="C277" s="1855"/>
      <c r="D277" s="1855"/>
      <c r="E277" s="1855"/>
      <c r="F277" s="2359" t="s">
        <v>50</v>
      </c>
      <c r="G277" s="213"/>
      <c r="H277" s="200" t="str">
        <f>MAR!I530</f>
        <v>Samsat Lombok Barat</v>
      </c>
      <c r="I277" s="200"/>
      <c r="J277" s="3215"/>
      <c r="K277" s="3171">
        <v>1924735337</v>
      </c>
      <c r="L277" s="3125">
        <v>0</v>
      </c>
      <c r="M277" s="3124">
        <v>310303928</v>
      </c>
      <c r="N277" s="3125">
        <v>180694105</v>
      </c>
      <c r="O277" s="3125">
        <v>490998033</v>
      </c>
      <c r="P277" s="3125">
        <v>0</v>
      </c>
      <c r="Q277" s="3125">
        <f t="shared" si="64"/>
        <v>0</v>
      </c>
      <c r="R277" s="3926">
        <v>0</v>
      </c>
      <c r="S277" s="3275"/>
      <c r="T277" s="3826"/>
      <c r="U277" s="3771"/>
      <c r="V277" s="1846">
        <f t="shared" si="50"/>
        <v>1963992132</v>
      </c>
    </row>
    <row r="278" spans="1:22" s="257" customFormat="1" ht="15.05" hidden="1" customHeight="1">
      <c r="A278" s="1855"/>
      <c r="B278" s="1855"/>
      <c r="C278" s="1855"/>
      <c r="D278" s="1855"/>
      <c r="E278" s="1855"/>
      <c r="F278" s="2359" t="s">
        <v>50</v>
      </c>
      <c r="G278" s="213"/>
      <c r="H278" s="200" t="str">
        <f>MAR!I531</f>
        <v>Samsat Sumbawa Barat</v>
      </c>
      <c r="I278" s="200"/>
      <c r="J278" s="3215"/>
      <c r="K278" s="3171">
        <v>1005251893</v>
      </c>
      <c r="L278" s="3125">
        <v>0</v>
      </c>
      <c r="M278" s="3124">
        <v>107538725</v>
      </c>
      <c r="N278" s="3125">
        <v>242828712</v>
      </c>
      <c r="O278" s="3125">
        <v>350367437</v>
      </c>
      <c r="P278" s="3125">
        <v>0</v>
      </c>
      <c r="Q278" s="3125">
        <f t="shared" si="64"/>
        <v>0</v>
      </c>
      <c r="R278" s="3926">
        <v>0</v>
      </c>
      <c r="S278" s="3275"/>
      <c r="T278" s="3826"/>
      <c r="U278" s="3771"/>
      <c r="V278" s="1846">
        <f t="shared" si="50"/>
        <v>1401469748</v>
      </c>
    </row>
    <row r="279" spans="1:22" s="257" customFormat="1" ht="15.05" hidden="1" customHeight="1">
      <c r="A279" s="1855"/>
      <c r="B279" s="1855"/>
      <c r="C279" s="1855"/>
      <c r="D279" s="1855"/>
      <c r="E279" s="1855"/>
      <c r="F279" s="2359" t="s">
        <v>50</v>
      </c>
      <c r="G279" s="213"/>
      <c r="H279" s="200" t="str">
        <f>MAR!I532</f>
        <v>Samsat Kab.Lombok Utara</v>
      </c>
      <c r="I279" s="200"/>
      <c r="J279" s="3215"/>
      <c r="K279" s="3171">
        <v>657351848</v>
      </c>
      <c r="L279" s="3125">
        <v>0</v>
      </c>
      <c r="M279" s="3124">
        <v>104904400</v>
      </c>
      <c r="N279" s="3125">
        <v>50857200</v>
      </c>
      <c r="O279" s="3125">
        <v>155761600</v>
      </c>
      <c r="P279" s="3125">
        <v>0</v>
      </c>
      <c r="Q279" s="3125">
        <f t="shared" si="64"/>
        <v>0</v>
      </c>
      <c r="R279" s="3926">
        <v>0</v>
      </c>
      <c r="S279" s="3275"/>
      <c r="T279" s="3826"/>
      <c r="U279" s="3771"/>
      <c r="V279" s="1846">
        <f t="shared" si="50"/>
        <v>623046400</v>
      </c>
    </row>
    <row r="280" spans="1:22" s="2883" customFormat="1" ht="15.05" customHeight="1">
      <c r="A280" s="1854">
        <v>4</v>
      </c>
      <c r="B280" s="1854">
        <v>1</v>
      </c>
      <c r="C280" s="1854">
        <v>4</v>
      </c>
      <c r="D280" s="1854" t="s">
        <v>456</v>
      </c>
      <c r="E280" s="1854" t="s">
        <v>438</v>
      </c>
      <c r="F280" s="1464" t="s">
        <v>319</v>
      </c>
      <c r="G280" s="1860"/>
      <c r="H280" s="202"/>
      <c r="I280" s="202"/>
      <c r="J280" s="3259">
        <v>100000000</v>
      </c>
      <c r="K280" s="3123">
        <f>SUM(K281:K290)</f>
        <v>365529313</v>
      </c>
      <c r="L280" s="3182">
        <v>100000000</v>
      </c>
      <c r="M280" s="3183">
        <v>121944953</v>
      </c>
      <c r="N280" s="3182">
        <v>73407755</v>
      </c>
      <c r="O280" s="3182">
        <f>SUM(O281:O290)</f>
        <v>195352708</v>
      </c>
      <c r="P280" s="3182">
        <v>350000000</v>
      </c>
      <c r="Q280" s="3182">
        <f t="shared" si="64"/>
        <v>250000000</v>
      </c>
      <c r="R280" s="3914">
        <f>+P280/L280*100-100</f>
        <v>250</v>
      </c>
      <c r="S280" s="3697"/>
      <c r="T280" s="3816"/>
      <c r="U280" s="3795"/>
      <c r="V280" s="2882">
        <f t="shared" ref="V280:V343" si="65">O280*4</f>
        <v>781410832</v>
      </c>
    </row>
    <row r="281" spans="1:22" s="257" customFormat="1" ht="15.05" hidden="1" customHeight="1">
      <c r="A281" s="1855"/>
      <c r="B281" s="1855"/>
      <c r="C281" s="1855"/>
      <c r="D281" s="1855"/>
      <c r="E281" s="1855"/>
      <c r="F281" s="2359" t="s">
        <v>50</v>
      </c>
      <c r="G281" s="213"/>
      <c r="H281" s="200" t="str">
        <f>MAR!I535</f>
        <v>Samsat Mataram</v>
      </c>
      <c r="I281" s="200"/>
      <c r="J281" s="3215"/>
      <c r="K281" s="3171">
        <v>126307796</v>
      </c>
      <c r="L281" s="3125">
        <v>0</v>
      </c>
      <c r="M281" s="3124">
        <v>51221268</v>
      </c>
      <c r="N281" s="3125">
        <v>9587463</v>
      </c>
      <c r="O281" s="3125">
        <v>60808731</v>
      </c>
      <c r="P281" s="3125">
        <v>0</v>
      </c>
      <c r="Q281" s="3125">
        <f t="shared" si="64"/>
        <v>0</v>
      </c>
      <c r="R281" s="3926">
        <v>0</v>
      </c>
      <c r="S281" s="3275"/>
      <c r="T281" s="3826"/>
      <c r="U281" s="3771"/>
      <c r="V281" s="1846">
        <f t="shared" si="65"/>
        <v>243234924</v>
      </c>
    </row>
    <row r="282" spans="1:22" s="257" customFormat="1" ht="15.05" hidden="1" customHeight="1">
      <c r="A282" s="1855"/>
      <c r="B282" s="1855"/>
      <c r="C282" s="1855"/>
      <c r="D282" s="1855"/>
      <c r="E282" s="1855"/>
      <c r="F282" s="2359" t="s">
        <v>50</v>
      </c>
      <c r="G282" s="213"/>
      <c r="H282" s="200" t="str">
        <f>MAR!I536</f>
        <v>Samsat Praya</v>
      </c>
      <c r="I282" s="200"/>
      <c r="J282" s="3215"/>
      <c r="K282" s="3171">
        <v>48957177</v>
      </c>
      <c r="L282" s="3125">
        <v>0</v>
      </c>
      <c r="M282" s="3124">
        <v>14910125</v>
      </c>
      <c r="N282" s="3125">
        <v>23481425</v>
      </c>
      <c r="O282" s="3125">
        <v>38391550</v>
      </c>
      <c r="P282" s="3125">
        <v>0</v>
      </c>
      <c r="Q282" s="3125">
        <f t="shared" si="64"/>
        <v>0</v>
      </c>
      <c r="R282" s="3926">
        <v>0</v>
      </c>
      <c r="S282" s="3275"/>
      <c r="T282" s="3826"/>
      <c r="U282" s="3771"/>
      <c r="V282" s="1846">
        <f t="shared" si="65"/>
        <v>153566200</v>
      </c>
    </row>
    <row r="283" spans="1:22" s="257" customFormat="1" ht="15.05" hidden="1" customHeight="1">
      <c r="A283" s="1855"/>
      <c r="B283" s="1855"/>
      <c r="C283" s="1855"/>
      <c r="D283" s="1855"/>
      <c r="E283" s="1855"/>
      <c r="F283" s="2359" t="s">
        <v>50</v>
      </c>
      <c r="G283" s="213"/>
      <c r="H283" s="200" t="str">
        <f>MAR!I537</f>
        <v>Samsat Selong</v>
      </c>
      <c r="I283" s="200"/>
      <c r="J283" s="3215"/>
      <c r="K283" s="3171">
        <v>41943963</v>
      </c>
      <c r="L283" s="3125">
        <v>0</v>
      </c>
      <c r="M283" s="3124">
        <v>11853570</v>
      </c>
      <c r="N283" s="3125">
        <v>8988200</v>
      </c>
      <c r="O283" s="3125">
        <v>20841770</v>
      </c>
      <c r="P283" s="3125">
        <v>0</v>
      </c>
      <c r="Q283" s="3125">
        <f t="shared" si="64"/>
        <v>0</v>
      </c>
      <c r="R283" s="3926">
        <v>0</v>
      </c>
      <c r="S283" s="3275"/>
      <c r="T283" s="3826"/>
      <c r="U283" s="3771"/>
      <c r="V283" s="1846">
        <f t="shared" si="65"/>
        <v>83367080</v>
      </c>
    </row>
    <row r="284" spans="1:22" s="257" customFormat="1" ht="15.05" hidden="1" customHeight="1">
      <c r="A284" s="1855"/>
      <c r="B284" s="1855"/>
      <c r="C284" s="1855"/>
      <c r="D284" s="1855"/>
      <c r="E284" s="1855"/>
      <c r="F284" s="2359" t="s">
        <v>50</v>
      </c>
      <c r="G284" s="213"/>
      <c r="H284" s="200" t="str">
        <f>MAR!I538</f>
        <v>Samsat Sumbawa</v>
      </c>
      <c r="I284" s="200"/>
      <c r="J284" s="3215"/>
      <c r="K284" s="3171">
        <v>20483190</v>
      </c>
      <c r="L284" s="3125">
        <v>0</v>
      </c>
      <c r="M284" s="3124">
        <v>8483975</v>
      </c>
      <c r="N284" s="3125">
        <v>4618600</v>
      </c>
      <c r="O284" s="3125">
        <v>13102575</v>
      </c>
      <c r="P284" s="3125">
        <v>0</v>
      </c>
      <c r="Q284" s="3125">
        <f t="shared" si="64"/>
        <v>0</v>
      </c>
      <c r="R284" s="3926">
        <v>0</v>
      </c>
      <c r="S284" s="3275"/>
      <c r="T284" s="3826"/>
      <c r="U284" s="3771"/>
      <c r="V284" s="1846">
        <f t="shared" si="65"/>
        <v>52410300</v>
      </c>
    </row>
    <row r="285" spans="1:22" s="257" customFormat="1" ht="15.05" hidden="1" customHeight="1">
      <c r="A285" s="1855"/>
      <c r="B285" s="1855"/>
      <c r="C285" s="1855"/>
      <c r="D285" s="1855"/>
      <c r="E285" s="1855"/>
      <c r="F285" s="2359" t="s">
        <v>50</v>
      </c>
      <c r="G285" s="213"/>
      <c r="H285" s="200" t="str">
        <f>MAR!I539</f>
        <v>Samsat Kota Bima</v>
      </c>
      <c r="I285" s="200"/>
      <c r="J285" s="3215"/>
      <c r="K285" s="3171">
        <v>44694173</v>
      </c>
      <c r="L285" s="3125">
        <v>0</v>
      </c>
      <c r="M285" s="3124">
        <v>10865555</v>
      </c>
      <c r="N285" s="3125">
        <v>3584900</v>
      </c>
      <c r="O285" s="3125">
        <v>14450455</v>
      </c>
      <c r="P285" s="3125">
        <v>0</v>
      </c>
      <c r="Q285" s="3125">
        <f t="shared" si="64"/>
        <v>0</v>
      </c>
      <c r="R285" s="3926">
        <v>0</v>
      </c>
      <c r="S285" s="3275"/>
      <c r="T285" s="3826"/>
      <c r="U285" s="3771"/>
      <c r="V285" s="1846">
        <f t="shared" si="65"/>
        <v>57801820</v>
      </c>
    </row>
    <row r="286" spans="1:22" s="257" customFormat="1" ht="15.05" hidden="1" customHeight="1">
      <c r="A286" s="1855"/>
      <c r="B286" s="1855"/>
      <c r="C286" s="1855"/>
      <c r="D286" s="1855"/>
      <c r="E286" s="1855"/>
      <c r="F286" s="2359" t="s">
        <v>50</v>
      </c>
      <c r="G286" s="213"/>
      <c r="H286" s="200" t="str">
        <f>MAR!I540</f>
        <v>Samsat Kab. Bima</v>
      </c>
      <c r="I286" s="200"/>
      <c r="J286" s="3215"/>
      <c r="K286" s="3193">
        <v>0</v>
      </c>
      <c r="L286" s="3125">
        <v>0</v>
      </c>
      <c r="M286" s="3124">
        <v>3475300</v>
      </c>
      <c r="N286" s="3125">
        <v>7300390</v>
      </c>
      <c r="O286" s="3125">
        <v>10775690</v>
      </c>
      <c r="P286" s="3125">
        <v>0</v>
      </c>
      <c r="Q286" s="3125">
        <f t="shared" si="64"/>
        <v>0</v>
      </c>
      <c r="R286" s="3926">
        <v>0</v>
      </c>
      <c r="S286" s="3275"/>
      <c r="T286" s="3826"/>
      <c r="U286" s="3771"/>
      <c r="V286" s="1846">
        <f t="shared" si="65"/>
        <v>43102760</v>
      </c>
    </row>
    <row r="287" spans="1:22" s="257" customFormat="1" ht="15.05" hidden="1" customHeight="1">
      <c r="A287" s="1855"/>
      <c r="B287" s="1855"/>
      <c r="C287" s="1855"/>
      <c r="D287" s="1855"/>
      <c r="E287" s="1855"/>
      <c r="F287" s="2359" t="s">
        <v>50</v>
      </c>
      <c r="G287" s="213"/>
      <c r="H287" s="200" t="str">
        <f>MAR!I541</f>
        <v>Samsat Dompu</v>
      </c>
      <c r="I287" s="200"/>
      <c r="J287" s="3215"/>
      <c r="K287" s="3171">
        <v>6311971</v>
      </c>
      <c r="L287" s="3125">
        <v>0</v>
      </c>
      <c r="M287" s="3124">
        <v>4177145</v>
      </c>
      <c r="N287" s="3125">
        <v>2170250</v>
      </c>
      <c r="O287" s="3125">
        <v>6347395</v>
      </c>
      <c r="P287" s="3125">
        <v>0</v>
      </c>
      <c r="Q287" s="3125">
        <f t="shared" si="64"/>
        <v>0</v>
      </c>
      <c r="R287" s="3926">
        <v>0</v>
      </c>
      <c r="S287" s="3275"/>
      <c r="T287" s="3826"/>
      <c r="U287" s="3771"/>
      <c r="V287" s="1846">
        <f t="shared" si="65"/>
        <v>25389580</v>
      </c>
    </row>
    <row r="288" spans="1:22" s="257" customFormat="1" ht="15.05" hidden="1" customHeight="1">
      <c r="A288" s="1886"/>
      <c r="B288" s="1886"/>
      <c r="C288" s="1886"/>
      <c r="D288" s="1886"/>
      <c r="E288" s="1886"/>
      <c r="F288" s="2843" t="s">
        <v>50</v>
      </c>
      <c r="G288" s="2844"/>
      <c r="H288" s="200" t="str">
        <f>MAR!I542</f>
        <v>Samsat Lombok Barat</v>
      </c>
      <c r="I288" s="856"/>
      <c r="J288" s="3238"/>
      <c r="K288" s="3173">
        <v>35215672</v>
      </c>
      <c r="L288" s="3125">
        <v>0</v>
      </c>
      <c r="M288" s="3124">
        <v>12073539</v>
      </c>
      <c r="N288" s="3125">
        <v>9903007</v>
      </c>
      <c r="O288" s="3125">
        <v>21976546</v>
      </c>
      <c r="P288" s="3125">
        <v>0</v>
      </c>
      <c r="Q288" s="3125">
        <f t="shared" si="64"/>
        <v>0</v>
      </c>
      <c r="R288" s="3926">
        <v>0</v>
      </c>
      <c r="S288" s="3709"/>
      <c r="T288" s="3828"/>
      <c r="U288" s="1899"/>
      <c r="V288" s="1846">
        <f t="shared" si="65"/>
        <v>87906184</v>
      </c>
    </row>
    <row r="289" spans="1:22" s="257" customFormat="1" ht="15.05" hidden="1" customHeight="1">
      <c r="A289" s="1919"/>
      <c r="B289" s="1919"/>
      <c r="C289" s="1919"/>
      <c r="D289" s="1919"/>
      <c r="E289" s="1919"/>
      <c r="F289" s="2845" t="s">
        <v>50</v>
      </c>
      <c r="G289" s="1945"/>
      <c r="H289" s="200" t="str">
        <f>MAR!I543</f>
        <v>Samsat Sumbawa Barat</v>
      </c>
      <c r="J289" s="3257"/>
      <c r="K289" s="3258">
        <v>41615371</v>
      </c>
      <c r="L289" s="3125">
        <v>0</v>
      </c>
      <c r="M289" s="3124">
        <v>2760945</v>
      </c>
      <c r="N289" s="3125">
        <v>2402495</v>
      </c>
      <c r="O289" s="3125">
        <v>5163440</v>
      </c>
      <c r="P289" s="3125">
        <v>0</v>
      </c>
      <c r="Q289" s="3125">
        <f t="shared" si="64"/>
        <v>0</v>
      </c>
      <c r="R289" s="3926">
        <v>0</v>
      </c>
      <c r="S289" s="3723"/>
      <c r="T289" s="3845"/>
      <c r="U289" s="3796"/>
      <c r="V289" s="1846">
        <f t="shared" si="65"/>
        <v>20653760</v>
      </c>
    </row>
    <row r="290" spans="1:22" s="257" customFormat="1" ht="15.05" hidden="1" customHeight="1">
      <c r="A290" s="3573"/>
      <c r="B290" s="3573"/>
      <c r="C290" s="3573"/>
      <c r="D290" s="3573"/>
      <c r="E290" s="3573"/>
      <c r="F290" s="3588" t="s">
        <v>50</v>
      </c>
      <c r="G290" s="3589"/>
      <c r="H290" s="3575" t="str">
        <f>MAR!I544</f>
        <v>Samsat Kab.Lombok Utara</v>
      </c>
      <c r="I290" s="3575"/>
      <c r="J290" s="3576"/>
      <c r="K290" s="3583">
        <v>0</v>
      </c>
      <c r="L290" s="3578">
        <v>0</v>
      </c>
      <c r="M290" s="3579">
        <v>2123531</v>
      </c>
      <c r="N290" s="3578">
        <v>1371025</v>
      </c>
      <c r="O290" s="3578">
        <v>3494556</v>
      </c>
      <c r="P290" s="3578">
        <v>0</v>
      </c>
      <c r="Q290" s="3578">
        <f t="shared" si="64"/>
        <v>0</v>
      </c>
      <c r="R290" s="5241">
        <v>0</v>
      </c>
      <c r="S290" s="3709"/>
      <c r="T290" s="3828"/>
      <c r="U290" s="1899"/>
      <c r="V290" s="1846">
        <f t="shared" si="65"/>
        <v>13978224</v>
      </c>
    </row>
    <row r="291" spans="1:22" s="4270" customFormat="1" ht="15.05" customHeight="1">
      <c r="A291" s="5220">
        <v>4</v>
      </c>
      <c r="B291" s="5221">
        <v>1</v>
      </c>
      <c r="C291" s="5221">
        <v>4</v>
      </c>
      <c r="D291" s="5221" t="s">
        <v>448</v>
      </c>
      <c r="E291" s="5221"/>
      <c r="F291" s="5222" t="s">
        <v>220</v>
      </c>
      <c r="G291" s="5223"/>
      <c r="H291" s="5224"/>
      <c r="I291" s="5224"/>
      <c r="J291" s="5240">
        <f>J292+J293</f>
        <v>235536159</v>
      </c>
      <c r="K291" s="5240">
        <f t="shared" ref="K291:P291" si="66">K292+K293</f>
        <v>12930312</v>
      </c>
      <c r="L291" s="5240">
        <f t="shared" si="66"/>
        <v>235536159</v>
      </c>
      <c r="M291" s="5240">
        <f t="shared" si="66"/>
        <v>558496</v>
      </c>
      <c r="N291" s="5240">
        <f t="shared" si="66"/>
        <v>695000</v>
      </c>
      <c r="O291" s="5240">
        <f t="shared" si="66"/>
        <v>1253496</v>
      </c>
      <c r="P291" s="5240">
        <f t="shared" si="66"/>
        <v>31000000</v>
      </c>
      <c r="Q291" s="5227">
        <f t="shared" si="64"/>
        <v>-204536159</v>
      </c>
      <c r="R291" s="5231">
        <f>+P291/L291*100-100</f>
        <v>-86.838538875892937</v>
      </c>
      <c r="S291" s="4297"/>
      <c r="T291" s="4298"/>
      <c r="U291" s="4299"/>
      <c r="V291" s="4269">
        <f t="shared" si="65"/>
        <v>5013984</v>
      </c>
    </row>
    <row r="292" spans="1:22" s="3896" customFormat="1" ht="15.05" customHeight="1">
      <c r="A292" s="1889">
        <v>4</v>
      </c>
      <c r="B292" s="1889">
        <v>1</v>
      </c>
      <c r="C292" s="1889">
        <v>4</v>
      </c>
      <c r="D292" s="1889" t="s">
        <v>448</v>
      </c>
      <c r="E292" s="1889" t="s">
        <v>438</v>
      </c>
      <c r="F292" s="2358" t="s">
        <v>50</v>
      </c>
      <c r="G292" s="3084" t="s">
        <v>1266</v>
      </c>
      <c r="H292" s="212"/>
      <c r="I292" s="212"/>
      <c r="J292" s="3214">
        <v>217536159</v>
      </c>
      <c r="K292" s="3155">
        <v>12930312</v>
      </c>
      <c r="L292" s="3234">
        <v>217536159</v>
      </c>
      <c r="M292" s="3225">
        <v>558496</v>
      </c>
      <c r="N292" s="3234">
        <v>0</v>
      </c>
      <c r="O292" s="3234">
        <v>558496</v>
      </c>
      <c r="P292" s="3234">
        <v>13000000</v>
      </c>
      <c r="Q292" s="3234">
        <f t="shared" si="64"/>
        <v>-204536159</v>
      </c>
      <c r="R292" s="5229">
        <f>+P292/L292*100-100</f>
        <v>-94.023982008434743</v>
      </c>
      <c r="S292" s="4309"/>
      <c r="T292" s="4310"/>
      <c r="U292" s="4341"/>
      <c r="V292" s="3925">
        <f t="shared" si="65"/>
        <v>2233984</v>
      </c>
    </row>
    <row r="293" spans="1:22" s="257" customFormat="1" ht="15.05" customHeight="1">
      <c r="A293" s="1854">
        <v>4</v>
      </c>
      <c r="B293" s="1854">
        <v>1</v>
      </c>
      <c r="C293" s="1854">
        <v>4</v>
      </c>
      <c r="D293" s="1854" t="s">
        <v>448</v>
      </c>
      <c r="E293" s="1854" t="s">
        <v>440</v>
      </c>
      <c r="F293" s="1464" t="s">
        <v>561</v>
      </c>
      <c r="G293" s="1860"/>
      <c r="H293" s="202"/>
      <c r="I293" s="202"/>
      <c r="J293" s="3259">
        <v>18000000</v>
      </c>
      <c r="K293" s="3123">
        <v>0</v>
      </c>
      <c r="L293" s="3182">
        <v>18000000</v>
      </c>
      <c r="M293" s="3183">
        <v>0</v>
      </c>
      <c r="N293" s="3182">
        <v>695000</v>
      </c>
      <c r="O293" s="3182">
        <v>695000</v>
      </c>
      <c r="P293" s="3182">
        <v>18000000</v>
      </c>
      <c r="Q293" s="3182">
        <f t="shared" si="64"/>
        <v>0</v>
      </c>
      <c r="R293" s="3601">
        <f>+P293/L293*100-100</f>
        <v>0</v>
      </c>
      <c r="S293" s="3697"/>
      <c r="T293" s="3816"/>
      <c r="U293" s="3777"/>
      <c r="V293" s="1846">
        <f t="shared" si="65"/>
        <v>2780000</v>
      </c>
    </row>
    <row r="294" spans="1:22" s="257" customFormat="1" ht="15.05" customHeight="1">
      <c r="A294" s="1855">
        <v>4</v>
      </c>
      <c r="B294" s="1855">
        <v>1</v>
      </c>
      <c r="C294" s="1855">
        <v>4</v>
      </c>
      <c r="D294" s="1855" t="s">
        <v>448</v>
      </c>
      <c r="E294" s="1855" t="s">
        <v>440</v>
      </c>
      <c r="F294" s="1857" t="s">
        <v>50</v>
      </c>
      <c r="G294" s="200" t="s">
        <v>562</v>
      </c>
      <c r="I294" s="200"/>
      <c r="J294" s="3215">
        <v>18000000</v>
      </c>
      <c r="K294" s="3171">
        <v>0</v>
      </c>
      <c r="L294" s="3125">
        <v>18000000</v>
      </c>
      <c r="M294" s="3124">
        <v>0</v>
      </c>
      <c r="N294" s="3125">
        <v>695000</v>
      </c>
      <c r="O294" s="3125">
        <v>695000</v>
      </c>
      <c r="P294" s="3125">
        <v>18000000</v>
      </c>
      <c r="Q294" s="3125">
        <f t="shared" si="64"/>
        <v>0</v>
      </c>
      <c r="R294" s="3605">
        <f>+P294/L294*100-100</f>
        <v>0</v>
      </c>
      <c r="S294" s="3275"/>
      <c r="T294" s="3826"/>
      <c r="U294" s="3771"/>
      <c r="V294" s="1846">
        <f t="shared" si="65"/>
        <v>2780000</v>
      </c>
    </row>
    <row r="295" spans="1:22" s="257" customFormat="1" ht="15.05" customHeight="1">
      <c r="A295" s="1886"/>
      <c r="B295" s="1886"/>
      <c r="C295" s="1886"/>
      <c r="D295" s="1886"/>
      <c r="E295" s="1886"/>
      <c r="F295" s="1887"/>
      <c r="G295" s="1888"/>
      <c r="H295" s="856"/>
      <c r="I295" s="856"/>
      <c r="J295" s="3238"/>
      <c r="K295" s="3173"/>
      <c r="L295" s="3174"/>
      <c r="M295" s="3175"/>
      <c r="N295" s="3174"/>
      <c r="O295" s="3174"/>
      <c r="P295" s="3174"/>
      <c r="Q295" s="3174"/>
      <c r="R295" s="3612"/>
      <c r="S295" s="3712"/>
      <c r="T295" s="3831"/>
      <c r="U295" s="1899"/>
      <c r="V295" s="1846">
        <f t="shared" si="65"/>
        <v>0</v>
      </c>
    </row>
    <row r="296" spans="1:22" s="2947" customFormat="1" ht="14.4" hidden="1" customHeight="1">
      <c r="A296" s="3053">
        <v>4</v>
      </c>
      <c r="B296" s="3054">
        <v>1</v>
      </c>
      <c r="C296" s="3054">
        <v>4</v>
      </c>
      <c r="D296" s="3054" t="s">
        <v>563</v>
      </c>
      <c r="E296" s="3054"/>
      <c r="F296" s="3056" t="s">
        <v>564</v>
      </c>
      <c r="G296" s="3057"/>
      <c r="H296" s="3064"/>
      <c r="I296" s="3064"/>
      <c r="J296" s="3212" t="e">
        <f>+#REF!</f>
        <v>#REF!</v>
      </c>
      <c r="K296" s="3202" t="e">
        <f>+#REF!</f>
        <v>#REF!</v>
      </c>
      <c r="L296" s="3178">
        <f>SUM(L297)</f>
        <v>0</v>
      </c>
      <c r="M296" s="3179">
        <v>0</v>
      </c>
      <c r="N296" s="3178">
        <f>SUM(N297)</f>
        <v>0</v>
      </c>
      <c r="O296" s="3178">
        <f>+N296+M296</f>
        <v>0</v>
      </c>
      <c r="P296" s="3178">
        <v>0</v>
      </c>
      <c r="Q296" s="3178">
        <f>+P296-L296</f>
        <v>0</v>
      </c>
      <c r="R296" s="3621">
        <v>0</v>
      </c>
      <c r="S296" s="3716"/>
      <c r="T296" s="3838"/>
      <c r="U296" s="3066"/>
      <c r="V296" s="2944">
        <f t="shared" si="65"/>
        <v>0</v>
      </c>
    </row>
    <row r="297" spans="1:22" s="257" customFormat="1" ht="15.05" hidden="1" customHeight="1">
      <c r="A297" s="1889">
        <v>4</v>
      </c>
      <c r="B297" s="1889">
        <v>1</v>
      </c>
      <c r="C297" s="1889">
        <v>4</v>
      </c>
      <c r="D297" s="1905" t="s">
        <v>563</v>
      </c>
      <c r="E297" s="1889" t="s">
        <v>437</v>
      </c>
      <c r="F297" s="3087" t="s">
        <v>50</v>
      </c>
      <c r="G297" s="3084" t="s">
        <v>565</v>
      </c>
      <c r="H297" s="224"/>
      <c r="I297" s="224"/>
      <c r="J297" s="3254" t="e">
        <f>+#REF!</f>
        <v>#REF!</v>
      </c>
      <c r="K297" s="3237" t="e">
        <f>+#REF!</f>
        <v>#REF!</v>
      </c>
      <c r="L297" s="3234">
        <v>0</v>
      </c>
      <c r="M297" s="3225">
        <v>0</v>
      </c>
      <c r="N297" s="3234">
        <v>0</v>
      </c>
      <c r="O297" s="3234">
        <v>0</v>
      </c>
      <c r="P297" s="3234">
        <v>0</v>
      </c>
      <c r="Q297" s="3234">
        <f>+P297-L297</f>
        <v>0</v>
      </c>
      <c r="R297" s="3604">
        <v>0</v>
      </c>
      <c r="S297" s="3747"/>
      <c r="T297" s="3835"/>
      <c r="U297" s="3797">
        <f>PerDinas!Q167</f>
        <v>0</v>
      </c>
      <c r="V297" s="1846">
        <f t="shared" si="65"/>
        <v>0</v>
      </c>
    </row>
    <row r="298" spans="1:22" s="257" customFormat="1" ht="15.05" hidden="1" customHeight="1">
      <c r="A298" s="1886"/>
      <c r="B298" s="1886"/>
      <c r="C298" s="1886"/>
      <c r="D298" s="1886"/>
      <c r="E298" s="1886"/>
      <c r="F298" s="1887"/>
      <c r="G298" s="1888"/>
      <c r="H298" s="856"/>
      <c r="I298" s="856"/>
      <c r="J298" s="3238"/>
      <c r="K298" s="3173"/>
      <c r="L298" s="3174"/>
      <c r="M298" s="3175"/>
      <c r="N298" s="3174"/>
      <c r="O298" s="3174"/>
      <c r="P298" s="3174"/>
      <c r="Q298" s="3174"/>
      <c r="R298" s="3612"/>
      <c r="S298" s="3712"/>
      <c r="T298" s="3831"/>
      <c r="U298" s="3771"/>
      <c r="V298" s="1846">
        <f t="shared" si="65"/>
        <v>0</v>
      </c>
    </row>
    <row r="299" spans="1:22" s="4343" customFormat="1" ht="15.05" customHeight="1">
      <c r="A299" s="5220">
        <v>4</v>
      </c>
      <c r="B299" s="5221">
        <v>1</v>
      </c>
      <c r="C299" s="5221">
        <v>4</v>
      </c>
      <c r="D299" s="5221" t="s">
        <v>444</v>
      </c>
      <c r="E299" s="5221"/>
      <c r="F299" s="5234" t="s">
        <v>1246</v>
      </c>
      <c r="G299" s="5224"/>
      <c r="H299" s="5224"/>
      <c r="I299" s="5224"/>
      <c r="J299" s="5240">
        <f>J300+J304+J312+J316</f>
        <v>68944925050</v>
      </c>
      <c r="K299" s="5240">
        <f t="shared" ref="K299:P299" si="67">K300+K304+K312+K316</f>
        <v>62912738507.940002</v>
      </c>
      <c r="L299" s="5240">
        <f t="shared" si="67"/>
        <v>73939763650</v>
      </c>
      <c r="M299" s="5240">
        <f t="shared" si="67"/>
        <v>29397490</v>
      </c>
      <c r="N299" s="5240">
        <f t="shared" si="67"/>
        <v>20809650</v>
      </c>
      <c r="O299" s="5240">
        <f t="shared" si="67"/>
        <v>50207140</v>
      </c>
      <c r="P299" s="5240">
        <f t="shared" si="67"/>
        <v>73954763650</v>
      </c>
      <c r="Q299" s="5227">
        <f t="shared" ref="Q299:Q314" si="68">+P299-L299</f>
        <v>15000000</v>
      </c>
      <c r="R299" s="5228">
        <f>+P299/L299*100-100</f>
        <v>2.0286783808231235E-2</v>
      </c>
      <c r="S299" s="4266"/>
      <c r="T299" s="4267"/>
      <c r="U299" s="4268"/>
      <c r="V299" s="4342">
        <f t="shared" si="65"/>
        <v>200828560</v>
      </c>
    </row>
    <row r="300" spans="1:22" s="3917" customFormat="1" ht="15.05" customHeight="1">
      <c r="A300" s="1889">
        <v>4</v>
      </c>
      <c r="B300" s="1889">
        <v>1</v>
      </c>
      <c r="C300" s="1889">
        <v>4</v>
      </c>
      <c r="D300" s="1889" t="s">
        <v>444</v>
      </c>
      <c r="E300" s="1905" t="s">
        <v>438</v>
      </c>
      <c r="F300" s="3089" t="s">
        <v>567</v>
      </c>
      <c r="G300" s="224"/>
      <c r="H300" s="224"/>
      <c r="I300" s="212"/>
      <c r="J300" s="3214">
        <v>0</v>
      </c>
      <c r="K300" s="3155">
        <v>0</v>
      </c>
      <c r="L300" s="3234">
        <v>0</v>
      </c>
      <c r="M300" s="3225">
        <v>0</v>
      </c>
      <c r="N300" s="3234">
        <v>0</v>
      </c>
      <c r="O300" s="3234">
        <v>0</v>
      </c>
      <c r="P300" s="3234">
        <v>0</v>
      </c>
      <c r="Q300" s="3234">
        <f t="shared" si="68"/>
        <v>0</v>
      </c>
      <c r="R300" s="5093">
        <v>0</v>
      </c>
      <c r="S300" s="4344"/>
      <c r="T300" s="4345"/>
      <c r="U300" s="4282"/>
      <c r="V300" s="4346">
        <f t="shared" si="65"/>
        <v>0</v>
      </c>
    </row>
    <row r="301" spans="1:22" s="4350" customFormat="1" ht="15.05" hidden="1" customHeight="1">
      <c r="A301" s="1854"/>
      <c r="B301" s="1854"/>
      <c r="C301" s="1854"/>
      <c r="D301" s="1854"/>
      <c r="E301" s="1854"/>
      <c r="F301" s="2214" t="s">
        <v>50</v>
      </c>
      <c r="G301" s="200"/>
      <c r="H301" s="200" t="s">
        <v>568</v>
      </c>
      <c r="I301" s="202"/>
      <c r="J301" s="3259"/>
      <c r="K301" s="3123"/>
      <c r="L301" s="3125">
        <v>0</v>
      </c>
      <c r="M301" s="3124">
        <v>0</v>
      </c>
      <c r="N301" s="3125">
        <v>0</v>
      </c>
      <c r="O301" s="3125">
        <v>0</v>
      </c>
      <c r="P301" s="3125">
        <v>0</v>
      </c>
      <c r="Q301" s="3125">
        <f t="shared" si="68"/>
        <v>0</v>
      </c>
      <c r="R301" s="3914" t="e">
        <f>+P301/L301*100-100</f>
        <v>#DIV/0!</v>
      </c>
      <c r="S301" s="4291"/>
      <c r="T301" s="4292"/>
      <c r="U301" s="4282"/>
      <c r="V301" s="4349">
        <f t="shared" si="65"/>
        <v>0</v>
      </c>
    </row>
    <row r="302" spans="1:22" s="3917" customFormat="1" ht="15.05" hidden="1" customHeight="1">
      <c r="A302" s="1854"/>
      <c r="B302" s="1854"/>
      <c r="C302" s="1854"/>
      <c r="D302" s="1854"/>
      <c r="E302" s="1854"/>
      <c r="F302" s="1856"/>
      <c r="G302" s="202"/>
      <c r="H302" s="202"/>
      <c r="I302" s="202"/>
      <c r="J302" s="3259"/>
      <c r="K302" s="3123"/>
      <c r="L302" s="3182"/>
      <c r="M302" s="3183"/>
      <c r="N302" s="3182"/>
      <c r="O302" s="3182"/>
      <c r="P302" s="3182"/>
      <c r="Q302" s="3182">
        <f t="shared" si="68"/>
        <v>0</v>
      </c>
      <c r="R302" s="3914" t="e">
        <f>+P302/L302*100-100</f>
        <v>#DIV/0!</v>
      </c>
      <c r="S302" s="4291"/>
      <c r="T302" s="4292"/>
      <c r="U302" s="4282"/>
      <c r="V302" s="4346">
        <f t="shared" si="65"/>
        <v>0</v>
      </c>
    </row>
    <row r="303" spans="1:22" s="3917" customFormat="1" ht="15.05" hidden="1" customHeight="1">
      <c r="A303" s="1854"/>
      <c r="B303" s="1854"/>
      <c r="C303" s="1854"/>
      <c r="D303" s="1854"/>
      <c r="E303" s="1854"/>
      <c r="F303" s="1856"/>
      <c r="G303" s="202"/>
      <c r="H303" s="202"/>
      <c r="I303" s="202"/>
      <c r="J303" s="3259"/>
      <c r="K303" s="3123"/>
      <c r="L303" s="3182"/>
      <c r="M303" s="3183"/>
      <c r="N303" s="3182"/>
      <c r="O303" s="3182"/>
      <c r="P303" s="3182"/>
      <c r="Q303" s="3182">
        <f t="shared" si="68"/>
        <v>0</v>
      </c>
      <c r="R303" s="3914" t="e">
        <f>+P303/L303*100-100</f>
        <v>#DIV/0!</v>
      </c>
      <c r="S303" s="4291"/>
      <c r="T303" s="4292"/>
      <c r="U303" s="4282"/>
      <c r="V303" s="4346">
        <f t="shared" si="65"/>
        <v>0</v>
      </c>
    </row>
    <row r="304" spans="1:22" s="3896" customFormat="1" ht="15.05" customHeight="1">
      <c r="A304" s="1855">
        <v>4</v>
      </c>
      <c r="B304" s="1855">
        <v>1</v>
      </c>
      <c r="C304" s="1855">
        <v>4</v>
      </c>
      <c r="D304" s="1855" t="s">
        <v>444</v>
      </c>
      <c r="E304" s="1854" t="s">
        <v>440</v>
      </c>
      <c r="F304" s="1856" t="s">
        <v>569</v>
      </c>
      <c r="G304" s="202"/>
      <c r="H304" s="202"/>
      <c r="I304" s="202"/>
      <c r="J304" s="3259">
        <v>0</v>
      </c>
      <c r="K304" s="3123">
        <v>30600000</v>
      </c>
      <c r="L304" s="3182">
        <v>0</v>
      </c>
      <c r="M304" s="3183">
        <v>0</v>
      </c>
      <c r="N304" s="3182">
        <v>11463600</v>
      </c>
      <c r="O304" s="3182">
        <v>11463600</v>
      </c>
      <c r="P304" s="3182">
        <f>+P305</f>
        <v>15000000</v>
      </c>
      <c r="Q304" s="3182">
        <f t="shared" si="68"/>
        <v>15000000</v>
      </c>
      <c r="R304" s="3914">
        <v>0</v>
      </c>
      <c r="S304" s="4291"/>
      <c r="T304" s="4292"/>
      <c r="U304" s="3923"/>
      <c r="V304" s="3925">
        <f t="shared" si="65"/>
        <v>45854400</v>
      </c>
    </row>
    <row r="305" spans="1:22" s="3896" customFormat="1" ht="15.05" customHeight="1">
      <c r="A305" s="1855"/>
      <c r="B305" s="1855"/>
      <c r="C305" s="1855"/>
      <c r="D305" s="1855"/>
      <c r="E305" s="1855"/>
      <c r="F305" s="2732" t="s">
        <v>50</v>
      </c>
      <c r="G305" s="200" t="s">
        <v>570</v>
      </c>
      <c r="H305" s="200"/>
      <c r="I305" s="200"/>
      <c r="J305" s="3215"/>
      <c r="K305" s="3171"/>
      <c r="L305" s="3125">
        <v>0</v>
      </c>
      <c r="M305" s="3124"/>
      <c r="N305" s="3124">
        <v>11463600</v>
      </c>
      <c r="O305" s="3124">
        <v>11463600</v>
      </c>
      <c r="P305" s="3125">
        <v>15000000</v>
      </c>
      <c r="Q305" s="3125">
        <f t="shared" si="68"/>
        <v>15000000</v>
      </c>
      <c r="R305" s="3926">
        <v>0</v>
      </c>
      <c r="S305" s="3921"/>
      <c r="T305" s="3922"/>
      <c r="U305" s="3923"/>
      <c r="V305" s="3925">
        <f t="shared" si="65"/>
        <v>45854400</v>
      </c>
    </row>
    <row r="306" spans="1:22" s="3896" customFormat="1" ht="15.05" hidden="1" customHeight="1">
      <c r="A306" s="1855"/>
      <c r="B306" s="1855"/>
      <c r="C306" s="1855"/>
      <c r="D306" s="1855"/>
      <c r="E306" s="1855"/>
      <c r="F306" s="2732" t="s">
        <v>50</v>
      </c>
      <c r="G306" s="200"/>
      <c r="H306" s="200" t="s">
        <v>570</v>
      </c>
      <c r="I306" s="200"/>
      <c r="J306" s="3215"/>
      <c r="K306" s="3171"/>
      <c r="L306" s="3125">
        <v>0</v>
      </c>
      <c r="M306" s="3124">
        <v>0</v>
      </c>
      <c r="N306" s="3125">
        <v>0</v>
      </c>
      <c r="O306" s="3125">
        <v>0</v>
      </c>
      <c r="P306" s="3125">
        <v>0</v>
      </c>
      <c r="Q306" s="3125">
        <f t="shared" si="68"/>
        <v>0</v>
      </c>
      <c r="R306" s="3926" t="e">
        <f>+P306/L306*100-100</f>
        <v>#DIV/0!</v>
      </c>
      <c r="S306" s="3921"/>
      <c r="T306" s="3922"/>
      <c r="U306" s="3923"/>
      <c r="V306" s="3925">
        <f t="shared" si="65"/>
        <v>0</v>
      </c>
    </row>
    <row r="307" spans="1:22" s="3896" customFormat="1" ht="15.05" hidden="1" customHeight="1">
      <c r="A307" s="1855"/>
      <c r="B307" s="1855"/>
      <c r="C307" s="1855"/>
      <c r="D307" s="1855"/>
      <c r="E307" s="1855"/>
      <c r="F307" s="2732" t="s">
        <v>50</v>
      </c>
      <c r="G307" s="200"/>
      <c r="H307" s="200" t="s">
        <v>571</v>
      </c>
      <c r="I307" s="200"/>
      <c r="J307" s="3215"/>
      <c r="K307" s="3171"/>
      <c r="L307" s="3125">
        <f>PerDinas!K208</f>
        <v>0</v>
      </c>
      <c r="M307" s="3124">
        <v>0</v>
      </c>
      <c r="N307" s="3125">
        <f>PerDinas!M208</f>
        <v>0</v>
      </c>
      <c r="O307" s="3125">
        <f>PerDinas!N208</f>
        <v>0</v>
      </c>
      <c r="P307" s="3125">
        <v>0</v>
      </c>
      <c r="Q307" s="3125">
        <f t="shared" si="68"/>
        <v>0</v>
      </c>
      <c r="R307" s="3926" t="e">
        <f>+P307/L307*100-100</f>
        <v>#DIV/0!</v>
      </c>
      <c r="S307" s="4335"/>
      <c r="T307" s="3922"/>
      <c r="U307" s="4353">
        <f>PerDinas!Q208</f>
        <v>0</v>
      </c>
      <c r="V307" s="3925">
        <f t="shared" si="65"/>
        <v>0</v>
      </c>
    </row>
    <row r="308" spans="1:22" s="3896" customFormat="1" ht="15.05" customHeight="1">
      <c r="A308" s="1855">
        <v>4</v>
      </c>
      <c r="B308" s="1855">
        <v>1</v>
      </c>
      <c r="C308" s="1855">
        <v>4</v>
      </c>
      <c r="D308" s="1855" t="s">
        <v>444</v>
      </c>
      <c r="E308" s="1854" t="s">
        <v>445</v>
      </c>
      <c r="F308" s="1856" t="s">
        <v>572</v>
      </c>
      <c r="G308" s="202"/>
      <c r="H308" s="202"/>
      <c r="I308" s="202"/>
      <c r="J308" s="3259"/>
      <c r="K308" s="3123"/>
      <c r="L308" s="3182">
        <f>SUM(L309:L311)</f>
        <v>0</v>
      </c>
      <c r="M308" s="3183">
        <v>0</v>
      </c>
      <c r="N308" s="3182">
        <f>SUM(N309:N311)</f>
        <v>0</v>
      </c>
      <c r="O308" s="3182">
        <f>SUM(O309:O311)</f>
        <v>0</v>
      </c>
      <c r="P308" s="3182">
        <v>0</v>
      </c>
      <c r="Q308" s="3182">
        <f t="shared" si="68"/>
        <v>0</v>
      </c>
      <c r="R308" s="3914">
        <v>0</v>
      </c>
      <c r="S308" s="4291"/>
      <c r="T308" s="4292"/>
      <c r="U308" s="4282"/>
      <c r="V308" s="3925">
        <f t="shared" si="65"/>
        <v>0</v>
      </c>
    </row>
    <row r="309" spans="1:22" s="3896" customFormat="1" ht="15.05" hidden="1" customHeight="1">
      <c r="A309" s="1855"/>
      <c r="B309" s="1855"/>
      <c r="C309" s="1855"/>
      <c r="D309" s="1855"/>
      <c r="E309" s="1855"/>
      <c r="F309" s="2214"/>
      <c r="G309" s="200"/>
      <c r="H309" s="200"/>
      <c r="I309" s="200"/>
      <c r="J309" s="3215"/>
      <c r="K309" s="3171"/>
      <c r="L309" s="3125"/>
      <c r="M309" s="3124"/>
      <c r="N309" s="3125"/>
      <c r="O309" s="3125"/>
      <c r="P309" s="3125"/>
      <c r="Q309" s="3125">
        <f t="shared" si="68"/>
        <v>0</v>
      </c>
      <c r="R309" s="3926" t="e">
        <f t="shared" ref="R309:R314" si="69">+P309/L309*100-100</f>
        <v>#DIV/0!</v>
      </c>
      <c r="S309" s="3921"/>
      <c r="T309" s="3922"/>
      <c r="U309" s="3923"/>
      <c r="V309" s="3925">
        <f t="shared" si="65"/>
        <v>0</v>
      </c>
    </row>
    <row r="310" spans="1:22" s="3896" customFormat="1" ht="15.05" hidden="1" customHeight="1">
      <c r="A310" s="1855"/>
      <c r="B310" s="1855"/>
      <c r="C310" s="1855"/>
      <c r="D310" s="1855"/>
      <c r="E310" s="1855"/>
      <c r="F310" s="2214" t="s">
        <v>50</v>
      </c>
      <c r="G310" s="200"/>
      <c r="H310" s="200" t="s">
        <v>570</v>
      </c>
      <c r="I310" s="200"/>
      <c r="J310" s="3215"/>
      <c r="K310" s="3171"/>
      <c r="L310" s="3125">
        <v>0</v>
      </c>
      <c r="M310" s="3124">
        <v>0</v>
      </c>
      <c r="N310" s="3125">
        <v>0</v>
      </c>
      <c r="O310" s="3125">
        <v>0</v>
      </c>
      <c r="P310" s="3125">
        <v>0</v>
      </c>
      <c r="Q310" s="3125">
        <f t="shared" si="68"/>
        <v>0</v>
      </c>
      <c r="R310" s="3926" t="e">
        <f t="shared" si="69"/>
        <v>#DIV/0!</v>
      </c>
      <c r="S310" s="4354"/>
      <c r="T310" s="4355"/>
      <c r="U310" s="3923"/>
      <c r="V310" s="3925">
        <f t="shared" si="65"/>
        <v>0</v>
      </c>
    </row>
    <row r="311" spans="1:22" s="3896" customFormat="1" ht="15.05" hidden="1" customHeight="1">
      <c r="A311" s="1855"/>
      <c r="B311" s="1855"/>
      <c r="C311" s="1855"/>
      <c r="D311" s="1855"/>
      <c r="E311" s="1855"/>
      <c r="F311" s="2214" t="s">
        <v>50</v>
      </c>
      <c r="G311" s="200"/>
      <c r="H311" s="200" t="s">
        <v>573</v>
      </c>
      <c r="I311" s="200"/>
      <c r="J311" s="3215"/>
      <c r="K311" s="3171"/>
      <c r="L311" s="3125">
        <f>PerDinas!K253</f>
        <v>0</v>
      </c>
      <c r="M311" s="3124">
        <v>0</v>
      </c>
      <c r="N311" s="3125">
        <f>PerDinas!M253</f>
        <v>0</v>
      </c>
      <c r="O311" s="3125">
        <f>PerDinas!N253</f>
        <v>0</v>
      </c>
      <c r="P311" s="3125">
        <v>0</v>
      </c>
      <c r="Q311" s="3125">
        <f t="shared" si="68"/>
        <v>0</v>
      </c>
      <c r="R311" s="3926" t="e">
        <f t="shared" si="69"/>
        <v>#DIV/0!</v>
      </c>
      <c r="S311" s="4335"/>
      <c r="T311" s="3922"/>
      <c r="U311" s="4353">
        <f>PerDinas!Q253</f>
        <v>0</v>
      </c>
      <c r="V311" s="3925">
        <f t="shared" si="65"/>
        <v>0</v>
      </c>
    </row>
    <row r="312" spans="1:22" s="3896" customFormat="1" ht="15.05" customHeight="1">
      <c r="A312" s="1855">
        <v>4</v>
      </c>
      <c r="B312" s="1855">
        <v>1</v>
      </c>
      <c r="C312" s="1855">
        <v>4</v>
      </c>
      <c r="D312" s="1855" t="s">
        <v>444</v>
      </c>
      <c r="E312" s="1854" t="s">
        <v>456</v>
      </c>
      <c r="F312" s="202" t="s">
        <v>574</v>
      </c>
      <c r="G312" s="202"/>
      <c r="H312" s="202"/>
      <c r="I312" s="202"/>
      <c r="J312" s="3259">
        <f>+J313</f>
        <v>65944925050</v>
      </c>
      <c r="K312" s="3259">
        <f>+K313</f>
        <v>60557314220</v>
      </c>
      <c r="L312" s="3259">
        <f>+L313</f>
        <v>70939763650</v>
      </c>
      <c r="M312" s="3183">
        <v>0</v>
      </c>
      <c r="N312" s="3182">
        <f>SUM(N313:N315)</f>
        <v>0</v>
      </c>
      <c r="O312" s="3182">
        <f>SUM(O313:O315)</f>
        <v>0</v>
      </c>
      <c r="P312" s="3182">
        <v>70939763650</v>
      </c>
      <c r="Q312" s="3182">
        <f t="shared" si="68"/>
        <v>0</v>
      </c>
      <c r="R312" s="3914">
        <f t="shared" si="69"/>
        <v>0</v>
      </c>
      <c r="S312" s="4356"/>
      <c r="T312" s="4357"/>
      <c r="U312" s="4282"/>
      <c r="V312" s="3925">
        <f t="shared" si="65"/>
        <v>0</v>
      </c>
    </row>
    <row r="313" spans="1:22" s="3896" customFormat="1" ht="15.05" customHeight="1">
      <c r="A313" s="1855"/>
      <c r="B313" s="1855"/>
      <c r="C313" s="1855"/>
      <c r="D313" s="1855"/>
      <c r="E313" s="1855"/>
      <c r="F313" s="2214" t="s">
        <v>50</v>
      </c>
      <c r="G313" s="200" t="e">
        <f>+#REF!</f>
        <v>#REF!</v>
      </c>
      <c r="H313" s="200"/>
      <c r="I313" s="200"/>
      <c r="J313" s="3215">
        <v>65944925050</v>
      </c>
      <c r="K313" s="3171">
        <v>60557314220</v>
      </c>
      <c r="L313" s="3125">
        <v>70939763650</v>
      </c>
      <c r="M313" s="3124">
        <v>0</v>
      </c>
      <c r="N313" s="3125">
        <v>0</v>
      </c>
      <c r="O313" s="3125">
        <v>0</v>
      </c>
      <c r="P313" s="3125">
        <v>70939763650</v>
      </c>
      <c r="Q313" s="3125">
        <f t="shared" si="68"/>
        <v>0</v>
      </c>
      <c r="R313" s="3926">
        <f t="shared" si="69"/>
        <v>0</v>
      </c>
      <c r="S313" s="3921"/>
      <c r="T313" s="3922"/>
      <c r="U313" s="3923"/>
      <c r="V313" s="3925">
        <f t="shared" si="65"/>
        <v>0</v>
      </c>
    </row>
    <row r="314" spans="1:22" s="3896" customFormat="1" ht="15.05" customHeight="1">
      <c r="A314" s="1855"/>
      <c r="B314" s="1855"/>
      <c r="C314" s="1855"/>
      <c r="D314" s="1855"/>
      <c r="E314" s="1855"/>
      <c r="F314" s="2214"/>
      <c r="G314" s="200" t="str">
        <f>[3]MAR!I416</f>
        <v>- Insentif Prem Indi Fase I</v>
      </c>
      <c r="H314" s="200"/>
      <c r="I314" s="200"/>
      <c r="J314" s="3215"/>
      <c r="K314" s="3171"/>
      <c r="L314" s="3125">
        <f>MAR!J416</f>
        <v>0</v>
      </c>
      <c r="M314" s="3124">
        <v>0</v>
      </c>
      <c r="N314" s="3125">
        <f>MAR!L416</f>
        <v>0</v>
      </c>
      <c r="O314" s="3125">
        <f>MAR!M416</f>
        <v>0</v>
      </c>
      <c r="P314" s="3125">
        <v>0</v>
      </c>
      <c r="Q314" s="3125">
        <f t="shared" si="68"/>
        <v>0</v>
      </c>
      <c r="R314" s="3926" t="e">
        <f t="shared" si="69"/>
        <v>#DIV/0!</v>
      </c>
      <c r="S314" s="3921"/>
      <c r="T314" s="3922"/>
      <c r="U314" s="3923"/>
      <c r="V314" s="3925">
        <f t="shared" si="65"/>
        <v>0</v>
      </c>
    </row>
    <row r="315" spans="1:22" s="3896" customFormat="1" ht="15.05" customHeight="1">
      <c r="A315" s="1855"/>
      <c r="B315" s="1855"/>
      <c r="C315" s="1855"/>
      <c r="D315" s="1855"/>
      <c r="E315" s="1855"/>
      <c r="F315" s="2214"/>
      <c r="G315" s="200" t="str">
        <f>MAR!I417</f>
        <v>- Kekurangan Fase I</v>
      </c>
      <c r="H315" s="200"/>
      <c r="I315" s="200"/>
      <c r="J315" s="3215"/>
      <c r="K315" s="3171"/>
      <c r="L315" s="3125"/>
      <c r="M315" s="3124"/>
      <c r="N315" s="3125"/>
      <c r="O315" s="3125"/>
      <c r="P315" s="3125"/>
      <c r="Q315" s="3125"/>
      <c r="R315" s="3926"/>
      <c r="S315" s="3921"/>
      <c r="T315" s="3922"/>
      <c r="U315" s="3923"/>
      <c r="V315" s="3925">
        <f t="shared" si="65"/>
        <v>0</v>
      </c>
    </row>
    <row r="316" spans="1:22" s="3896" customFormat="1" ht="15.05" customHeight="1">
      <c r="A316" s="1855">
        <v>4</v>
      </c>
      <c r="B316" s="1855">
        <v>1</v>
      </c>
      <c r="C316" s="1855">
        <v>4</v>
      </c>
      <c r="D316" s="1855" t="s">
        <v>444</v>
      </c>
      <c r="E316" s="1854" t="s">
        <v>441</v>
      </c>
      <c r="F316" s="1856" t="s">
        <v>75</v>
      </c>
      <c r="G316" s="202"/>
      <c r="H316" s="202"/>
      <c r="I316" s="202"/>
      <c r="J316" s="3259">
        <v>3000000000</v>
      </c>
      <c r="K316" s="3123">
        <v>2324824287.9400001</v>
      </c>
      <c r="L316" s="3182">
        <f>SUM(L317:L364)</f>
        <v>3000000000</v>
      </c>
      <c r="M316" s="3183">
        <v>29397490</v>
      </c>
      <c r="N316" s="3182">
        <f>SUM(N317:N364)</f>
        <v>9346050</v>
      </c>
      <c r="O316" s="3182">
        <f>SUM(O317:O364)</f>
        <v>38743540</v>
      </c>
      <c r="P316" s="3182">
        <v>3000000000</v>
      </c>
      <c r="Q316" s="3182">
        <f t="shared" ref="Q316:Q377" si="70">+P316-L316</f>
        <v>0</v>
      </c>
      <c r="R316" s="3914">
        <f>+P316/L316*100-100</f>
        <v>0</v>
      </c>
      <c r="S316" s="4291"/>
      <c r="T316" s="4292"/>
      <c r="U316" s="3923"/>
      <c r="V316" s="3925">
        <f t="shared" si="65"/>
        <v>154974160</v>
      </c>
    </row>
    <row r="317" spans="1:22" s="3896" customFormat="1" ht="15.05" customHeight="1">
      <c r="A317" s="1855"/>
      <c r="B317" s="1855"/>
      <c r="C317" s="1855"/>
      <c r="D317" s="1855"/>
      <c r="E317" s="1855"/>
      <c r="F317" s="2214" t="s">
        <v>50</v>
      </c>
      <c r="G317" s="200" t="s">
        <v>1169</v>
      </c>
      <c r="H317" s="200"/>
      <c r="I317" s="200"/>
      <c r="J317" s="3215"/>
      <c r="K317" s="3171">
        <v>51341175</v>
      </c>
      <c r="L317" s="3125">
        <v>3000000000</v>
      </c>
      <c r="M317" s="3124">
        <v>0</v>
      </c>
      <c r="N317" s="3125">
        <v>0</v>
      </c>
      <c r="O317" s="3125">
        <v>0</v>
      </c>
      <c r="P317" s="3125">
        <v>3000000000</v>
      </c>
      <c r="Q317" s="3125">
        <f t="shared" si="70"/>
        <v>0</v>
      </c>
      <c r="R317" s="3926">
        <f>+P317/L317*100-100</f>
        <v>0</v>
      </c>
      <c r="S317" s="3921"/>
      <c r="T317" s="3922"/>
      <c r="U317" s="3923"/>
      <c r="V317" s="3925">
        <f t="shared" si="65"/>
        <v>0</v>
      </c>
    </row>
    <row r="318" spans="1:22" s="3896" customFormat="1" ht="15.05" hidden="1" customHeight="1">
      <c r="A318" s="3924"/>
      <c r="B318" s="3924"/>
      <c r="C318" s="3924"/>
      <c r="D318" s="3924"/>
      <c r="E318" s="3924"/>
      <c r="F318" s="3992" t="s">
        <v>50</v>
      </c>
      <c r="G318" s="3917" t="s">
        <v>1170</v>
      </c>
      <c r="H318" s="3917"/>
      <c r="I318" s="3917"/>
      <c r="J318" s="3993"/>
      <c r="K318" s="3918">
        <v>9703356.2599999998</v>
      </c>
      <c r="L318" s="3919">
        <v>0</v>
      </c>
      <c r="M318" s="3265">
        <v>0</v>
      </c>
      <c r="N318" s="3919">
        <v>0</v>
      </c>
      <c r="O318" s="3919">
        <v>0</v>
      </c>
      <c r="P318" s="3919">
        <v>0</v>
      </c>
      <c r="Q318" s="3919">
        <f t="shared" si="70"/>
        <v>0</v>
      </c>
      <c r="R318" s="3920">
        <v>0</v>
      </c>
      <c r="S318" s="3921"/>
      <c r="T318" s="3922"/>
      <c r="U318" s="3923"/>
      <c r="V318" s="3925">
        <f t="shared" si="65"/>
        <v>0</v>
      </c>
    </row>
    <row r="319" spans="1:22" s="3896" customFormat="1" ht="15.05" hidden="1" customHeight="1">
      <c r="A319" s="3924"/>
      <c r="B319" s="3924"/>
      <c r="C319" s="3924"/>
      <c r="D319" s="3924"/>
      <c r="E319" s="3924"/>
      <c r="F319" s="3992" t="s">
        <v>50</v>
      </c>
      <c r="G319" s="3917" t="s">
        <v>1171</v>
      </c>
      <c r="H319" s="3917"/>
      <c r="I319" s="3917"/>
      <c r="J319" s="3993"/>
      <c r="K319" s="3918">
        <v>50998000</v>
      </c>
      <c r="L319" s="3919">
        <v>0</v>
      </c>
      <c r="M319" s="3265">
        <v>0</v>
      </c>
      <c r="N319" s="3919">
        <v>0</v>
      </c>
      <c r="O319" s="3919">
        <v>0</v>
      </c>
      <c r="P319" s="3919">
        <v>0</v>
      </c>
      <c r="Q319" s="3919">
        <f t="shared" si="70"/>
        <v>0</v>
      </c>
      <c r="R319" s="3920">
        <v>0</v>
      </c>
      <c r="S319" s="3921"/>
      <c r="T319" s="3922"/>
      <c r="U319" s="3923"/>
      <c r="V319" s="3925">
        <f t="shared" si="65"/>
        <v>0</v>
      </c>
    </row>
    <row r="320" spans="1:22" s="3896" customFormat="1" ht="15.05" hidden="1" customHeight="1">
      <c r="A320" s="3924"/>
      <c r="B320" s="3924"/>
      <c r="C320" s="3924"/>
      <c r="D320" s="3924"/>
      <c r="E320" s="3924"/>
      <c r="F320" s="3992" t="s">
        <v>50</v>
      </c>
      <c r="G320" s="3917" t="s">
        <v>1172</v>
      </c>
      <c r="H320" s="3917"/>
      <c r="I320" s="3917"/>
      <c r="J320" s="3993"/>
      <c r="K320" s="3918">
        <v>3088075</v>
      </c>
      <c r="L320" s="3919">
        <v>0</v>
      </c>
      <c r="M320" s="3265">
        <v>0</v>
      </c>
      <c r="N320" s="3919">
        <v>0</v>
      </c>
      <c r="O320" s="3919">
        <v>0</v>
      </c>
      <c r="P320" s="3919">
        <v>0</v>
      </c>
      <c r="Q320" s="3919">
        <f t="shared" si="70"/>
        <v>0</v>
      </c>
      <c r="R320" s="3920">
        <v>0</v>
      </c>
      <c r="S320" s="3921"/>
      <c r="T320" s="3922"/>
      <c r="U320" s="3923"/>
      <c r="V320" s="3925">
        <f t="shared" si="65"/>
        <v>0</v>
      </c>
    </row>
    <row r="321" spans="1:22" s="3896" customFormat="1" ht="15.05" hidden="1" customHeight="1">
      <c r="A321" s="3924"/>
      <c r="B321" s="3924"/>
      <c r="C321" s="3924"/>
      <c r="D321" s="3924"/>
      <c r="E321" s="3924"/>
      <c r="F321" s="3992" t="s">
        <v>50</v>
      </c>
      <c r="G321" s="3917" t="s">
        <v>571</v>
      </c>
      <c r="H321" s="3917"/>
      <c r="I321" s="3917"/>
      <c r="J321" s="3993"/>
      <c r="K321" s="3918">
        <v>633797511.37</v>
      </c>
      <c r="L321" s="3919">
        <v>0</v>
      </c>
      <c r="M321" s="3265">
        <v>0</v>
      </c>
      <c r="N321" s="3919">
        <v>0</v>
      </c>
      <c r="O321" s="3919">
        <v>0</v>
      </c>
      <c r="P321" s="3919">
        <v>0</v>
      </c>
      <c r="Q321" s="3919">
        <f t="shared" si="70"/>
        <v>0</v>
      </c>
      <c r="R321" s="3920">
        <v>0</v>
      </c>
      <c r="S321" s="3921"/>
      <c r="T321" s="4358"/>
      <c r="U321" s="4359"/>
      <c r="V321" s="3925">
        <f t="shared" si="65"/>
        <v>0</v>
      </c>
    </row>
    <row r="322" spans="1:22" s="3896" customFormat="1" ht="15.05" hidden="1" customHeight="1">
      <c r="A322" s="3924"/>
      <c r="B322" s="3924"/>
      <c r="C322" s="3924"/>
      <c r="D322" s="3924"/>
      <c r="E322" s="3924"/>
      <c r="F322" s="3992" t="s">
        <v>50</v>
      </c>
      <c r="G322" s="3917" t="s">
        <v>1173</v>
      </c>
      <c r="H322" s="4360"/>
      <c r="I322" s="4360"/>
      <c r="J322" s="4361"/>
      <c r="K322" s="4348">
        <v>23739197</v>
      </c>
      <c r="L322" s="4288">
        <v>0</v>
      </c>
      <c r="M322" s="4289">
        <v>0</v>
      </c>
      <c r="N322" s="4288">
        <v>0</v>
      </c>
      <c r="O322" s="4288">
        <v>0</v>
      </c>
      <c r="P322" s="4288">
        <v>0</v>
      </c>
      <c r="Q322" s="4288">
        <f t="shared" si="70"/>
        <v>0</v>
      </c>
      <c r="R322" s="3920">
        <v>0</v>
      </c>
      <c r="S322" s="4335"/>
      <c r="T322" s="4310"/>
      <c r="U322" s="4362">
        <f>PerDinas!Q655</f>
        <v>0</v>
      </c>
      <c r="V322" s="3925">
        <f t="shared" si="65"/>
        <v>0</v>
      </c>
    </row>
    <row r="323" spans="1:22" s="3896" customFormat="1" ht="15.05" hidden="1" customHeight="1">
      <c r="A323" s="3924"/>
      <c r="B323" s="3924"/>
      <c r="C323" s="3924"/>
      <c r="D323" s="3924"/>
      <c r="E323" s="3924"/>
      <c r="F323" s="3992" t="s">
        <v>50</v>
      </c>
      <c r="G323" s="3917" t="s">
        <v>1174</v>
      </c>
      <c r="H323" s="3917"/>
      <c r="I323" s="3917"/>
      <c r="J323" s="3993"/>
      <c r="K323" s="3918">
        <v>32297000</v>
      </c>
      <c r="L323" s="3919">
        <v>0</v>
      </c>
      <c r="M323" s="3265">
        <v>855000</v>
      </c>
      <c r="N323" s="3919">
        <v>0</v>
      </c>
      <c r="O323" s="3919">
        <v>855000</v>
      </c>
      <c r="P323" s="3919">
        <v>0</v>
      </c>
      <c r="Q323" s="3919">
        <f t="shared" si="70"/>
        <v>0</v>
      </c>
      <c r="R323" s="3920">
        <v>0</v>
      </c>
      <c r="S323" s="3921"/>
      <c r="T323" s="3922"/>
      <c r="U323" s="3923"/>
      <c r="V323" s="3925">
        <f t="shared" si="65"/>
        <v>3420000</v>
      </c>
    </row>
    <row r="324" spans="1:22" s="3896" customFormat="1" ht="15.05" hidden="1" customHeight="1">
      <c r="A324" s="3924"/>
      <c r="B324" s="3924"/>
      <c r="C324" s="3924"/>
      <c r="D324" s="3924"/>
      <c r="E324" s="3924"/>
      <c r="F324" s="3992" t="s">
        <v>50</v>
      </c>
      <c r="G324" s="3917" t="s">
        <v>1175</v>
      </c>
      <c r="H324" s="3917"/>
      <c r="I324" s="3917"/>
      <c r="J324" s="3993"/>
      <c r="K324" s="3918">
        <v>26480806</v>
      </c>
      <c r="L324" s="3919">
        <v>0</v>
      </c>
      <c r="M324" s="3265">
        <v>0</v>
      </c>
      <c r="N324" s="3919">
        <v>0</v>
      </c>
      <c r="O324" s="3919">
        <v>0</v>
      </c>
      <c r="P324" s="3919">
        <v>0</v>
      </c>
      <c r="Q324" s="3919">
        <f t="shared" si="70"/>
        <v>0</v>
      </c>
      <c r="R324" s="3920">
        <v>0</v>
      </c>
      <c r="S324" s="3921"/>
      <c r="T324" s="3922"/>
      <c r="U324" s="3923"/>
      <c r="V324" s="3925">
        <f t="shared" si="65"/>
        <v>0</v>
      </c>
    </row>
    <row r="325" spans="1:22" s="3896" customFormat="1" ht="15.05" hidden="1" customHeight="1">
      <c r="A325" s="3924"/>
      <c r="B325" s="3924"/>
      <c r="C325" s="3924"/>
      <c r="D325" s="3924"/>
      <c r="E325" s="3924"/>
      <c r="F325" s="3992" t="s">
        <v>50</v>
      </c>
      <c r="G325" s="3917" t="s">
        <v>1176</v>
      </c>
      <c r="H325" s="3917"/>
      <c r="I325" s="3917"/>
      <c r="J325" s="3993"/>
      <c r="K325" s="3918">
        <v>33995946.960000001</v>
      </c>
      <c r="L325" s="3919">
        <v>0</v>
      </c>
      <c r="M325" s="3265">
        <v>0</v>
      </c>
      <c r="N325" s="3919">
        <v>0</v>
      </c>
      <c r="O325" s="3919">
        <v>0</v>
      </c>
      <c r="P325" s="3919">
        <v>0</v>
      </c>
      <c r="Q325" s="3919">
        <f t="shared" si="70"/>
        <v>0</v>
      </c>
      <c r="R325" s="3920">
        <v>0</v>
      </c>
      <c r="S325" s="3921"/>
      <c r="T325" s="3922"/>
      <c r="U325" s="3923"/>
      <c r="V325" s="3925">
        <f t="shared" si="65"/>
        <v>0</v>
      </c>
    </row>
    <row r="326" spans="1:22" s="3896" customFormat="1" ht="15.05" hidden="1" customHeight="1">
      <c r="A326" s="3924"/>
      <c r="B326" s="3924"/>
      <c r="C326" s="3924"/>
      <c r="D326" s="3924"/>
      <c r="E326" s="3924"/>
      <c r="F326" s="3992" t="s">
        <v>50</v>
      </c>
      <c r="G326" s="3917" t="s">
        <v>1177</v>
      </c>
      <c r="H326" s="3917"/>
      <c r="I326" s="3917"/>
      <c r="J326" s="3993"/>
      <c r="K326" s="3918">
        <v>110487727</v>
      </c>
      <c r="L326" s="3919">
        <v>0</v>
      </c>
      <c r="M326" s="3265">
        <v>0</v>
      </c>
      <c r="N326" s="3919">
        <v>0</v>
      </c>
      <c r="O326" s="3919">
        <v>0</v>
      </c>
      <c r="P326" s="3919">
        <v>0</v>
      </c>
      <c r="Q326" s="3919">
        <f t="shared" si="70"/>
        <v>0</v>
      </c>
      <c r="R326" s="3920">
        <v>0</v>
      </c>
      <c r="S326" s="3921"/>
      <c r="T326" s="3922"/>
      <c r="U326" s="3923"/>
      <c r="V326" s="3925">
        <f t="shared" si="65"/>
        <v>0</v>
      </c>
    </row>
    <row r="327" spans="1:22" s="3896" customFormat="1" ht="15.05" hidden="1" customHeight="1">
      <c r="A327" s="3924"/>
      <c r="B327" s="3924"/>
      <c r="C327" s="3924"/>
      <c r="D327" s="3924"/>
      <c r="E327" s="3924"/>
      <c r="F327" s="3992" t="s">
        <v>50</v>
      </c>
      <c r="G327" s="3917" t="s">
        <v>643</v>
      </c>
      <c r="H327" s="3917"/>
      <c r="I327" s="3917"/>
      <c r="J327" s="3993"/>
      <c r="K327" s="3918">
        <v>6650000</v>
      </c>
      <c r="L327" s="3919">
        <v>0</v>
      </c>
      <c r="M327" s="3265">
        <v>0</v>
      </c>
      <c r="N327" s="3919">
        <v>0</v>
      </c>
      <c r="O327" s="3919">
        <v>0</v>
      </c>
      <c r="P327" s="3919">
        <v>0</v>
      </c>
      <c r="Q327" s="3919">
        <f t="shared" si="70"/>
        <v>0</v>
      </c>
      <c r="R327" s="3920">
        <v>0</v>
      </c>
      <c r="S327" s="3921"/>
      <c r="T327" s="3922"/>
      <c r="U327" s="3923"/>
      <c r="V327" s="3925">
        <f t="shared" si="65"/>
        <v>0</v>
      </c>
    </row>
    <row r="328" spans="1:22" s="3896" customFormat="1" ht="15.05" hidden="1" customHeight="1">
      <c r="A328" s="3924"/>
      <c r="B328" s="3924"/>
      <c r="C328" s="3924"/>
      <c r="D328" s="3924"/>
      <c r="E328" s="3924"/>
      <c r="F328" s="3992" t="s">
        <v>50</v>
      </c>
      <c r="G328" s="3917" t="s">
        <v>224</v>
      </c>
      <c r="H328" s="3917"/>
      <c r="I328" s="3917"/>
      <c r="J328" s="3993"/>
      <c r="K328" s="3918">
        <v>19604200</v>
      </c>
      <c r="L328" s="3919">
        <v>0</v>
      </c>
      <c r="M328" s="3265">
        <v>0</v>
      </c>
      <c r="N328" s="3919">
        <v>0</v>
      </c>
      <c r="O328" s="3919">
        <v>0</v>
      </c>
      <c r="P328" s="3919">
        <v>0</v>
      </c>
      <c r="Q328" s="3919">
        <f t="shared" si="70"/>
        <v>0</v>
      </c>
      <c r="R328" s="3920">
        <v>0</v>
      </c>
      <c r="S328" s="3921"/>
      <c r="T328" s="3922"/>
      <c r="U328" s="3923"/>
      <c r="V328" s="3925">
        <f t="shared" si="65"/>
        <v>0</v>
      </c>
    </row>
    <row r="329" spans="1:22" s="3896" customFormat="1" ht="15.05" hidden="1" customHeight="1">
      <c r="A329" s="3924"/>
      <c r="B329" s="3924"/>
      <c r="C329" s="3924"/>
      <c r="D329" s="3924"/>
      <c r="E329" s="3924"/>
      <c r="F329" s="3992" t="s">
        <v>50</v>
      </c>
      <c r="G329" s="3917" t="s">
        <v>1178</v>
      </c>
      <c r="H329" s="3917"/>
      <c r="I329" s="3917"/>
      <c r="J329" s="3993"/>
      <c r="K329" s="3918">
        <v>33004350</v>
      </c>
      <c r="L329" s="3919">
        <v>0</v>
      </c>
      <c r="M329" s="3265">
        <v>0</v>
      </c>
      <c r="N329" s="3919">
        <v>0</v>
      </c>
      <c r="O329" s="3919">
        <v>0</v>
      </c>
      <c r="P329" s="3919">
        <v>0</v>
      </c>
      <c r="Q329" s="3919">
        <f t="shared" si="70"/>
        <v>0</v>
      </c>
      <c r="R329" s="3920">
        <v>0</v>
      </c>
      <c r="S329" s="3921"/>
      <c r="T329" s="3922"/>
      <c r="U329" s="3923"/>
      <c r="V329" s="3925">
        <f t="shared" si="65"/>
        <v>0</v>
      </c>
    </row>
    <row r="330" spans="1:22" s="3896" customFormat="1" ht="15.05" hidden="1" customHeight="1">
      <c r="A330" s="3924"/>
      <c r="B330" s="3924"/>
      <c r="C330" s="3924"/>
      <c r="D330" s="3924"/>
      <c r="E330" s="3924"/>
      <c r="F330" s="3992" t="s">
        <v>50</v>
      </c>
      <c r="G330" s="1814" t="s">
        <v>575</v>
      </c>
      <c r="H330" s="3917"/>
      <c r="I330" s="3917"/>
      <c r="J330" s="3993"/>
      <c r="K330" s="3918">
        <v>17971900</v>
      </c>
      <c r="L330" s="3919">
        <v>0</v>
      </c>
      <c r="M330" s="3265">
        <v>7967600</v>
      </c>
      <c r="N330" s="3919">
        <v>0</v>
      </c>
      <c r="O330" s="3919">
        <v>7967600</v>
      </c>
      <c r="P330" s="3919">
        <v>0</v>
      </c>
      <c r="Q330" s="3919">
        <f t="shared" si="70"/>
        <v>0</v>
      </c>
      <c r="R330" s="3920">
        <v>0</v>
      </c>
      <c r="S330" s="4335"/>
      <c r="T330" s="3922"/>
      <c r="U330" s="4353"/>
      <c r="V330" s="3925">
        <f t="shared" si="65"/>
        <v>31870400</v>
      </c>
    </row>
    <row r="331" spans="1:22" s="3896" customFormat="1" ht="15.05" hidden="1" customHeight="1">
      <c r="A331" s="3924"/>
      <c r="B331" s="3924"/>
      <c r="C331" s="3924"/>
      <c r="D331" s="3924"/>
      <c r="E331" s="3924"/>
      <c r="F331" s="3992" t="s">
        <v>50</v>
      </c>
      <c r="G331" s="1814" t="s">
        <v>576</v>
      </c>
      <c r="H331" s="3917"/>
      <c r="I331" s="3917"/>
      <c r="J331" s="3993"/>
      <c r="K331" s="3918">
        <v>131995452.15000001</v>
      </c>
      <c r="L331" s="3919">
        <v>0</v>
      </c>
      <c r="M331" s="3265">
        <v>0</v>
      </c>
      <c r="N331" s="3919">
        <v>0</v>
      </c>
      <c r="O331" s="3919">
        <v>0</v>
      </c>
      <c r="P331" s="3919">
        <v>0</v>
      </c>
      <c r="Q331" s="3919">
        <f t="shared" si="70"/>
        <v>0</v>
      </c>
      <c r="R331" s="3920">
        <v>0</v>
      </c>
      <c r="S331" s="3921"/>
      <c r="T331" s="3922"/>
      <c r="U331" s="3923"/>
      <c r="V331" s="3925">
        <f t="shared" si="65"/>
        <v>0</v>
      </c>
    </row>
    <row r="332" spans="1:22" s="3896" customFormat="1" ht="15.05" hidden="1" customHeight="1">
      <c r="A332" s="3924"/>
      <c r="B332" s="3924"/>
      <c r="C332" s="3924"/>
      <c r="D332" s="3924"/>
      <c r="E332" s="3924"/>
      <c r="F332" s="3992" t="s">
        <v>50</v>
      </c>
      <c r="G332" s="1814" t="s">
        <v>577</v>
      </c>
      <c r="H332" s="3917"/>
      <c r="I332" s="4285"/>
      <c r="J332" s="4347"/>
      <c r="K332" s="4348">
        <v>80279296.019999996</v>
      </c>
      <c r="L332" s="3919">
        <v>0</v>
      </c>
      <c r="M332" s="3265">
        <v>0</v>
      </c>
      <c r="N332" s="3919">
        <v>0</v>
      </c>
      <c r="O332" s="3919">
        <v>0</v>
      </c>
      <c r="P332" s="3919">
        <v>0</v>
      </c>
      <c r="Q332" s="3919">
        <f t="shared" si="70"/>
        <v>0</v>
      </c>
      <c r="R332" s="3920">
        <v>0</v>
      </c>
      <c r="S332" s="3921"/>
      <c r="T332" s="3922"/>
      <c r="U332" s="3923"/>
      <c r="V332" s="3925">
        <f t="shared" si="65"/>
        <v>0</v>
      </c>
    </row>
    <row r="333" spans="1:22" s="3896" customFormat="1" ht="15.05" hidden="1" customHeight="1">
      <c r="A333" s="3924"/>
      <c r="B333" s="3924"/>
      <c r="C333" s="3924"/>
      <c r="D333" s="3924"/>
      <c r="E333" s="3924"/>
      <c r="F333" s="3992" t="s">
        <v>50</v>
      </c>
      <c r="G333" s="1814" t="s">
        <v>578</v>
      </c>
      <c r="H333" s="3917"/>
      <c r="I333" s="3917"/>
      <c r="J333" s="3993"/>
      <c r="K333" s="3918">
        <v>6724929</v>
      </c>
      <c r="L333" s="3919">
        <v>0</v>
      </c>
      <c r="M333" s="3265">
        <v>2220000</v>
      </c>
      <c r="N333" s="3919">
        <v>0</v>
      </c>
      <c r="O333" s="3919">
        <v>2220000</v>
      </c>
      <c r="P333" s="3919">
        <v>0</v>
      </c>
      <c r="Q333" s="3919">
        <f t="shared" si="70"/>
        <v>0</v>
      </c>
      <c r="R333" s="3920">
        <v>0</v>
      </c>
      <c r="S333" s="3921"/>
      <c r="T333" s="3922"/>
      <c r="U333" s="3923"/>
      <c r="V333" s="3925">
        <f t="shared" si="65"/>
        <v>8880000</v>
      </c>
    </row>
    <row r="334" spans="1:22" s="3896" customFormat="1" ht="15.05" hidden="1" customHeight="1">
      <c r="A334" s="3924"/>
      <c r="B334" s="3924"/>
      <c r="C334" s="3924"/>
      <c r="D334" s="3924"/>
      <c r="E334" s="3924"/>
      <c r="F334" s="3992" t="s">
        <v>50</v>
      </c>
      <c r="G334" s="1814" t="s">
        <v>579</v>
      </c>
      <c r="H334" s="3917"/>
      <c r="I334" s="3917"/>
      <c r="J334" s="3993"/>
      <c r="K334" s="3918">
        <v>9604597</v>
      </c>
      <c r="L334" s="3919">
        <v>0</v>
      </c>
      <c r="M334" s="3265">
        <v>0</v>
      </c>
      <c r="N334" s="3919">
        <v>0</v>
      </c>
      <c r="O334" s="3919">
        <v>0</v>
      </c>
      <c r="P334" s="3919">
        <v>0</v>
      </c>
      <c r="Q334" s="3919">
        <f t="shared" si="70"/>
        <v>0</v>
      </c>
      <c r="R334" s="3920">
        <v>0</v>
      </c>
      <c r="S334" s="3921"/>
      <c r="T334" s="3922"/>
      <c r="U334" s="3923"/>
      <c r="V334" s="3925">
        <f t="shared" si="65"/>
        <v>0</v>
      </c>
    </row>
    <row r="335" spans="1:22" s="3896" customFormat="1" ht="15.05" hidden="1" customHeight="1">
      <c r="A335" s="3924"/>
      <c r="B335" s="3924"/>
      <c r="C335" s="3924"/>
      <c r="D335" s="3924"/>
      <c r="E335" s="3924"/>
      <c r="F335" s="3992" t="s">
        <v>50</v>
      </c>
      <c r="G335" s="1814" t="s">
        <v>580</v>
      </c>
      <c r="H335" s="3917"/>
      <c r="I335" s="3917"/>
      <c r="J335" s="3993"/>
      <c r="K335" s="3918">
        <v>5840000</v>
      </c>
      <c r="L335" s="3919">
        <v>0</v>
      </c>
      <c r="M335" s="3265">
        <v>0</v>
      </c>
      <c r="N335" s="3919">
        <v>0</v>
      </c>
      <c r="O335" s="3919">
        <v>0</v>
      </c>
      <c r="P335" s="3919">
        <v>0</v>
      </c>
      <c r="Q335" s="3919">
        <f t="shared" si="70"/>
        <v>0</v>
      </c>
      <c r="R335" s="3920">
        <v>0</v>
      </c>
      <c r="S335" s="3921"/>
      <c r="T335" s="3922"/>
      <c r="U335" s="3923"/>
      <c r="V335" s="3925">
        <f t="shared" si="65"/>
        <v>0</v>
      </c>
    </row>
    <row r="336" spans="1:22" s="3896" customFormat="1" ht="15.05" hidden="1" customHeight="1">
      <c r="A336" s="3924"/>
      <c r="B336" s="3924"/>
      <c r="C336" s="3924"/>
      <c r="D336" s="3924"/>
      <c r="E336" s="3924"/>
      <c r="F336" s="3992" t="s">
        <v>50</v>
      </c>
      <c r="G336" s="1814" t="s">
        <v>581</v>
      </c>
      <c r="H336" s="3917"/>
      <c r="I336" s="3917"/>
      <c r="J336" s="3993"/>
      <c r="K336" s="3918">
        <v>75598294</v>
      </c>
      <c r="L336" s="3919">
        <v>0</v>
      </c>
      <c r="M336" s="3265">
        <v>0</v>
      </c>
      <c r="N336" s="3919">
        <v>0</v>
      </c>
      <c r="O336" s="3919">
        <v>0</v>
      </c>
      <c r="P336" s="3919">
        <v>0</v>
      </c>
      <c r="Q336" s="3919">
        <f t="shared" si="70"/>
        <v>0</v>
      </c>
      <c r="R336" s="3920">
        <v>0</v>
      </c>
      <c r="S336" s="3921"/>
      <c r="T336" s="3922"/>
      <c r="U336" s="3923"/>
      <c r="V336" s="3925">
        <f t="shared" si="65"/>
        <v>0</v>
      </c>
    </row>
    <row r="337" spans="1:22" s="3896" customFormat="1" ht="15.05" hidden="1" customHeight="1">
      <c r="A337" s="3924"/>
      <c r="B337" s="3924"/>
      <c r="C337" s="3924"/>
      <c r="D337" s="3924"/>
      <c r="E337" s="3924"/>
      <c r="F337" s="3992" t="s">
        <v>50</v>
      </c>
      <c r="G337" s="1814" t="s">
        <v>582</v>
      </c>
      <c r="H337" s="3917"/>
      <c r="I337" s="4285"/>
      <c r="J337" s="4347"/>
      <c r="K337" s="4348">
        <v>118736055.84</v>
      </c>
      <c r="L337" s="3919">
        <v>0</v>
      </c>
      <c r="M337" s="3265">
        <v>0</v>
      </c>
      <c r="N337" s="3919">
        <v>0</v>
      </c>
      <c r="O337" s="3919">
        <v>0</v>
      </c>
      <c r="P337" s="3919">
        <v>0</v>
      </c>
      <c r="Q337" s="3919">
        <f t="shared" si="70"/>
        <v>0</v>
      </c>
      <c r="R337" s="3920">
        <v>0</v>
      </c>
      <c r="S337" s="3921"/>
      <c r="T337" s="3922"/>
      <c r="U337" s="3923"/>
      <c r="V337" s="3925">
        <f t="shared" si="65"/>
        <v>0</v>
      </c>
    </row>
    <row r="338" spans="1:22" s="3896" customFormat="1" ht="15.05" hidden="1" customHeight="1">
      <c r="A338" s="3924"/>
      <c r="B338" s="3924"/>
      <c r="C338" s="3924"/>
      <c r="D338" s="3924"/>
      <c r="E338" s="3924"/>
      <c r="F338" s="3992" t="s">
        <v>50</v>
      </c>
      <c r="G338" s="1814" t="s">
        <v>583</v>
      </c>
      <c r="H338" s="3917"/>
      <c r="I338" s="4285"/>
      <c r="J338" s="4347"/>
      <c r="K338" s="4348">
        <v>3882000</v>
      </c>
      <c r="L338" s="3919">
        <v>0</v>
      </c>
      <c r="M338" s="3265">
        <v>18154890</v>
      </c>
      <c r="N338" s="3919">
        <v>0</v>
      </c>
      <c r="O338" s="3919">
        <v>18154890</v>
      </c>
      <c r="P338" s="3919">
        <v>0</v>
      </c>
      <c r="Q338" s="3919">
        <f t="shared" si="70"/>
        <v>0</v>
      </c>
      <c r="R338" s="3920">
        <v>0</v>
      </c>
      <c r="S338" s="3921"/>
      <c r="T338" s="3922"/>
      <c r="U338" s="3923"/>
      <c r="V338" s="3925">
        <f t="shared" si="65"/>
        <v>72619560</v>
      </c>
    </row>
    <row r="339" spans="1:22" s="3896" customFormat="1" ht="15.05" hidden="1" customHeight="1">
      <c r="A339" s="3924"/>
      <c r="B339" s="3924"/>
      <c r="C339" s="3924"/>
      <c r="D339" s="3924"/>
      <c r="E339" s="3924"/>
      <c r="F339" s="3992" t="s">
        <v>50</v>
      </c>
      <c r="G339" s="1814" t="s">
        <v>584</v>
      </c>
      <c r="H339" s="3917"/>
      <c r="I339" s="4285"/>
      <c r="J339" s="4347"/>
      <c r="K339" s="4348">
        <v>22520000</v>
      </c>
      <c r="L339" s="3919">
        <v>0</v>
      </c>
      <c r="M339" s="3265">
        <v>0</v>
      </c>
      <c r="N339" s="3919">
        <v>0</v>
      </c>
      <c r="O339" s="3919">
        <v>0</v>
      </c>
      <c r="P339" s="3919">
        <v>0</v>
      </c>
      <c r="Q339" s="3919">
        <f t="shared" si="70"/>
        <v>0</v>
      </c>
      <c r="R339" s="3920">
        <v>0</v>
      </c>
      <c r="S339" s="4335"/>
      <c r="T339" s="3922"/>
      <c r="U339" s="4353"/>
      <c r="V339" s="3925">
        <f t="shared" si="65"/>
        <v>0</v>
      </c>
    </row>
    <row r="340" spans="1:22" s="3896" customFormat="1" ht="15.05" hidden="1" customHeight="1">
      <c r="A340" s="3924"/>
      <c r="B340" s="3924"/>
      <c r="C340" s="3924"/>
      <c r="D340" s="3924"/>
      <c r="E340" s="3924"/>
      <c r="F340" s="3992" t="s">
        <v>50</v>
      </c>
      <c r="G340" s="1814" t="s">
        <v>585</v>
      </c>
      <c r="H340" s="3917"/>
      <c r="I340" s="4285"/>
      <c r="J340" s="4347"/>
      <c r="K340" s="4348">
        <v>0</v>
      </c>
      <c r="L340" s="3919">
        <v>0</v>
      </c>
      <c r="M340" s="3265">
        <v>0</v>
      </c>
      <c r="N340" s="3919">
        <v>0</v>
      </c>
      <c r="O340" s="3919">
        <v>0</v>
      </c>
      <c r="P340" s="3919">
        <v>0</v>
      </c>
      <c r="Q340" s="3919">
        <f t="shared" si="70"/>
        <v>0</v>
      </c>
      <c r="R340" s="3920">
        <v>0</v>
      </c>
      <c r="S340" s="3921"/>
      <c r="T340" s="3922"/>
      <c r="U340" s="4353"/>
      <c r="V340" s="3925">
        <f t="shared" si="65"/>
        <v>0</v>
      </c>
    </row>
    <row r="341" spans="1:22" s="3896" customFormat="1" ht="15.05" hidden="1" customHeight="1">
      <c r="A341" s="3924"/>
      <c r="B341" s="3924"/>
      <c r="C341" s="3924"/>
      <c r="D341" s="3924"/>
      <c r="E341" s="3924"/>
      <c r="F341" s="3992" t="s">
        <v>50</v>
      </c>
      <c r="G341" s="1814" t="s">
        <v>586</v>
      </c>
      <c r="H341" s="3917"/>
      <c r="I341" s="3917"/>
      <c r="J341" s="3993"/>
      <c r="K341" s="3918">
        <v>11699500</v>
      </c>
      <c r="L341" s="3919">
        <v>0</v>
      </c>
      <c r="M341" s="3265">
        <v>0</v>
      </c>
      <c r="N341" s="3919">
        <v>0</v>
      </c>
      <c r="O341" s="3919">
        <v>0</v>
      </c>
      <c r="P341" s="3919">
        <v>0</v>
      </c>
      <c r="Q341" s="3919">
        <f t="shared" si="70"/>
        <v>0</v>
      </c>
      <c r="R341" s="3920">
        <v>0</v>
      </c>
      <c r="S341" s="4335"/>
      <c r="T341" s="3922"/>
      <c r="U341" s="4353"/>
      <c r="V341" s="3925">
        <f t="shared" si="65"/>
        <v>0</v>
      </c>
    </row>
    <row r="342" spans="1:22" s="3896" customFormat="1" ht="15.05" hidden="1" customHeight="1">
      <c r="A342" s="3924"/>
      <c r="B342" s="3924"/>
      <c r="C342" s="3924"/>
      <c r="D342" s="3924"/>
      <c r="E342" s="3924"/>
      <c r="F342" s="3992" t="s">
        <v>50</v>
      </c>
      <c r="G342" s="1814" t="s">
        <v>587</v>
      </c>
      <c r="H342" s="3917"/>
      <c r="I342" s="3917"/>
      <c r="J342" s="4363"/>
      <c r="K342" s="4305">
        <v>66970818</v>
      </c>
      <c r="L342" s="4306">
        <v>0</v>
      </c>
      <c r="M342" s="4307">
        <v>0</v>
      </c>
      <c r="N342" s="4306">
        <v>0</v>
      </c>
      <c r="O342" s="4306">
        <v>0</v>
      </c>
      <c r="P342" s="4306">
        <v>0</v>
      </c>
      <c r="Q342" s="4306">
        <f t="shared" si="70"/>
        <v>0</v>
      </c>
      <c r="R342" s="3920">
        <v>0</v>
      </c>
      <c r="S342" s="3921"/>
      <c r="T342" s="3922"/>
      <c r="U342" s="3923"/>
      <c r="V342" s="3925">
        <f t="shared" si="65"/>
        <v>0</v>
      </c>
    </row>
    <row r="343" spans="1:22" s="3896" customFormat="1" ht="15.05" hidden="1" customHeight="1">
      <c r="A343" s="3924"/>
      <c r="B343" s="3924"/>
      <c r="C343" s="3924"/>
      <c r="D343" s="3924"/>
      <c r="E343" s="3924"/>
      <c r="F343" s="3992" t="s">
        <v>50</v>
      </c>
      <c r="G343" s="1814" t="s">
        <v>588</v>
      </c>
      <c r="H343" s="3917"/>
      <c r="I343" s="4285"/>
      <c r="J343" s="4347"/>
      <c r="K343" s="4348">
        <v>57329525</v>
      </c>
      <c r="L343" s="3919">
        <v>0</v>
      </c>
      <c r="M343" s="3265">
        <v>0</v>
      </c>
      <c r="N343" s="3919">
        <v>9346050</v>
      </c>
      <c r="O343" s="3919">
        <v>9346050</v>
      </c>
      <c r="P343" s="3919">
        <v>0</v>
      </c>
      <c r="Q343" s="3919">
        <f t="shared" si="70"/>
        <v>0</v>
      </c>
      <c r="R343" s="3920">
        <v>0</v>
      </c>
      <c r="S343" s="3921"/>
      <c r="T343" s="3922"/>
      <c r="U343" s="3923"/>
      <c r="V343" s="3925">
        <f t="shared" si="65"/>
        <v>37384200</v>
      </c>
    </row>
    <row r="344" spans="1:22" s="3896" customFormat="1" ht="15.05" hidden="1" customHeight="1">
      <c r="A344" s="3924"/>
      <c r="B344" s="3924"/>
      <c r="C344" s="3924"/>
      <c r="D344" s="3924"/>
      <c r="E344" s="3924"/>
      <c r="F344" s="3992" t="s">
        <v>50</v>
      </c>
      <c r="G344" s="1814" t="s">
        <v>284</v>
      </c>
      <c r="H344" s="3917"/>
      <c r="I344" s="3917"/>
      <c r="J344" s="3993"/>
      <c r="K344" s="3918">
        <v>25644269</v>
      </c>
      <c r="L344" s="3919">
        <v>0</v>
      </c>
      <c r="M344" s="3265">
        <v>200000</v>
      </c>
      <c r="N344" s="3919">
        <v>0</v>
      </c>
      <c r="O344" s="3919">
        <v>200000</v>
      </c>
      <c r="P344" s="3919">
        <v>0</v>
      </c>
      <c r="Q344" s="3919">
        <f t="shared" si="70"/>
        <v>0</v>
      </c>
      <c r="R344" s="3920">
        <v>0</v>
      </c>
      <c r="S344" s="3921"/>
      <c r="T344" s="3922"/>
      <c r="U344" s="3923"/>
      <c r="V344" s="3925">
        <f t="shared" ref="V344:V420" si="71">O344*4</f>
        <v>800000</v>
      </c>
    </row>
    <row r="345" spans="1:22" s="3896" customFormat="1" ht="15.05" hidden="1" customHeight="1">
      <c r="A345" s="3924"/>
      <c r="B345" s="3924"/>
      <c r="C345" s="3924"/>
      <c r="D345" s="3924"/>
      <c r="E345" s="3924"/>
      <c r="F345" s="3992" t="s">
        <v>50</v>
      </c>
      <c r="G345" s="1814" t="s">
        <v>589</v>
      </c>
      <c r="H345" s="3917"/>
      <c r="I345" s="3917"/>
      <c r="J345" s="3993"/>
      <c r="K345" s="3918">
        <v>141645590</v>
      </c>
      <c r="L345" s="3919">
        <v>0</v>
      </c>
      <c r="M345" s="3265">
        <v>0</v>
      </c>
      <c r="N345" s="3919">
        <v>0</v>
      </c>
      <c r="O345" s="3919">
        <v>0</v>
      </c>
      <c r="P345" s="3919">
        <v>0</v>
      </c>
      <c r="Q345" s="3919">
        <f t="shared" si="70"/>
        <v>0</v>
      </c>
      <c r="R345" s="3920">
        <v>0</v>
      </c>
      <c r="S345" s="3921"/>
      <c r="T345" s="3922"/>
      <c r="U345" s="3923"/>
      <c r="V345" s="3925">
        <f t="shared" si="71"/>
        <v>0</v>
      </c>
    </row>
    <row r="346" spans="1:22" s="3896" customFormat="1" ht="15.05" hidden="1" customHeight="1">
      <c r="A346" s="4364"/>
      <c r="B346" s="4364"/>
      <c r="C346" s="4364"/>
      <c r="D346" s="4364"/>
      <c r="E346" s="4364"/>
      <c r="F346" s="4365" t="s">
        <v>50</v>
      </c>
      <c r="G346" s="4366" t="s">
        <v>590</v>
      </c>
      <c r="H346" s="4367"/>
      <c r="J346" s="4368"/>
      <c r="K346" s="4369">
        <v>15952424</v>
      </c>
      <c r="L346" s="4370">
        <v>0</v>
      </c>
      <c r="M346" s="4371">
        <v>0</v>
      </c>
      <c r="N346" s="4370">
        <v>0</v>
      </c>
      <c r="O346" s="4370">
        <v>0</v>
      </c>
      <c r="P346" s="4370">
        <v>0</v>
      </c>
      <c r="Q346" s="4370">
        <f t="shared" si="70"/>
        <v>0</v>
      </c>
      <c r="R346" s="4372">
        <v>0</v>
      </c>
      <c r="S346" s="4373"/>
      <c r="T346" s="4358"/>
      <c r="U346" s="3923"/>
      <c r="V346" s="3925">
        <f t="shared" si="71"/>
        <v>0</v>
      </c>
    </row>
    <row r="347" spans="1:22" s="3896" customFormat="1" ht="15.05" hidden="1" customHeight="1">
      <c r="A347" s="4300"/>
      <c r="B347" s="4300"/>
      <c r="C347" s="4300"/>
      <c r="D347" s="4300"/>
      <c r="E347" s="4300"/>
      <c r="F347" s="4374" t="s">
        <v>50</v>
      </c>
      <c r="G347" s="4375" t="s">
        <v>591</v>
      </c>
      <c r="H347" s="4303"/>
      <c r="I347" s="4303"/>
      <c r="J347" s="4363"/>
      <c r="K347" s="4305">
        <v>92270821.590000004</v>
      </c>
      <c r="L347" s="4306">
        <v>0</v>
      </c>
      <c r="M347" s="4307">
        <v>0</v>
      </c>
      <c r="N347" s="4306">
        <v>0</v>
      </c>
      <c r="O347" s="4306">
        <v>0</v>
      </c>
      <c r="P347" s="4306">
        <v>0</v>
      </c>
      <c r="Q347" s="4306">
        <f t="shared" si="70"/>
        <v>0</v>
      </c>
      <c r="R347" s="4308">
        <v>0</v>
      </c>
      <c r="S347" s="4309"/>
      <c r="T347" s="4310"/>
      <c r="U347" s="3923"/>
      <c r="V347" s="3925">
        <f t="shared" si="71"/>
        <v>0</v>
      </c>
    </row>
    <row r="348" spans="1:22" s="3896" customFormat="1" ht="15.05" hidden="1" customHeight="1">
      <c r="A348" s="3924"/>
      <c r="B348" s="3924"/>
      <c r="C348" s="3924"/>
      <c r="D348" s="3924"/>
      <c r="E348" s="3924"/>
      <c r="F348" s="3992" t="s">
        <v>50</v>
      </c>
      <c r="G348" s="1814" t="s">
        <v>592</v>
      </c>
      <c r="H348" s="3917"/>
      <c r="I348" s="4285"/>
      <c r="J348" s="4347"/>
      <c r="K348" s="4348">
        <v>29684250</v>
      </c>
      <c r="L348" s="3919">
        <v>0</v>
      </c>
      <c r="M348" s="3265">
        <v>0</v>
      </c>
      <c r="N348" s="3919">
        <v>0</v>
      </c>
      <c r="O348" s="3919">
        <v>0</v>
      </c>
      <c r="P348" s="3919">
        <v>0</v>
      </c>
      <c r="Q348" s="3919">
        <f t="shared" si="70"/>
        <v>0</v>
      </c>
      <c r="R348" s="3920">
        <v>0</v>
      </c>
      <c r="S348" s="3921"/>
      <c r="T348" s="3922"/>
      <c r="U348" s="3923"/>
      <c r="V348" s="3925">
        <f t="shared" si="71"/>
        <v>0</v>
      </c>
    </row>
    <row r="349" spans="1:22" s="3896" customFormat="1" ht="15.05" hidden="1" customHeight="1">
      <c r="A349" s="3924"/>
      <c r="B349" s="3924"/>
      <c r="C349" s="3924"/>
      <c r="D349" s="3924"/>
      <c r="E349" s="3924"/>
      <c r="F349" s="3992" t="s">
        <v>50</v>
      </c>
      <c r="G349" s="1814" t="s">
        <v>593</v>
      </c>
      <c r="H349" s="3917"/>
      <c r="I349" s="3917"/>
      <c r="J349" s="3993"/>
      <c r="K349" s="3918">
        <v>28727627</v>
      </c>
      <c r="L349" s="3919">
        <v>0</v>
      </c>
      <c r="M349" s="3265">
        <v>0</v>
      </c>
      <c r="N349" s="3919">
        <v>0</v>
      </c>
      <c r="O349" s="3919">
        <v>0</v>
      </c>
      <c r="P349" s="3919">
        <v>0</v>
      </c>
      <c r="Q349" s="3919">
        <f t="shared" si="70"/>
        <v>0</v>
      </c>
      <c r="R349" s="3920">
        <v>0</v>
      </c>
      <c r="S349" s="3921"/>
      <c r="T349" s="3922"/>
      <c r="U349" s="3923"/>
      <c r="V349" s="3925">
        <f t="shared" si="71"/>
        <v>0</v>
      </c>
    </row>
    <row r="350" spans="1:22" s="3896" customFormat="1" ht="15.05" hidden="1" customHeight="1">
      <c r="A350" s="3924"/>
      <c r="B350" s="3924"/>
      <c r="C350" s="3924"/>
      <c r="D350" s="3924"/>
      <c r="E350" s="3924"/>
      <c r="F350" s="3992" t="s">
        <v>50</v>
      </c>
      <c r="G350" s="4366" t="s">
        <v>594</v>
      </c>
      <c r="H350" s="3917"/>
      <c r="I350" s="3917"/>
      <c r="J350" s="3993"/>
      <c r="K350" s="3918">
        <v>1710000</v>
      </c>
      <c r="L350" s="3919">
        <v>0</v>
      </c>
      <c r="M350" s="3265">
        <v>0</v>
      </c>
      <c r="N350" s="3919">
        <v>0</v>
      </c>
      <c r="O350" s="3919">
        <v>0</v>
      </c>
      <c r="P350" s="3919">
        <v>0</v>
      </c>
      <c r="Q350" s="3919">
        <f t="shared" si="70"/>
        <v>0</v>
      </c>
      <c r="R350" s="3920">
        <v>0</v>
      </c>
      <c r="S350" s="3921"/>
      <c r="T350" s="3922"/>
      <c r="U350" s="3923"/>
      <c r="V350" s="3925">
        <f t="shared" si="71"/>
        <v>0</v>
      </c>
    </row>
    <row r="351" spans="1:22" s="3896" customFormat="1" ht="15.05" hidden="1" customHeight="1">
      <c r="A351" s="4364"/>
      <c r="B351" s="4364"/>
      <c r="C351" s="4364"/>
      <c r="D351" s="4364"/>
      <c r="E351" s="4364"/>
      <c r="F351" s="4365" t="s">
        <v>50</v>
      </c>
      <c r="G351" s="4366" t="s">
        <v>595</v>
      </c>
      <c r="H351" s="4367"/>
      <c r="I351" s="4367"/>
      <c r="J351" s="4376"/>
      <c r="K351" s="4377">
        <v>380300</v>
      </c>
      <c r="L351" s="4370">
        <v>0</v>
      </c>
      <c r="M351" s="4371">
        <v>0</v>
      </c>
      <c r="N351" s="4370">
        <v>0</v>
      </c>
      <c r="O351" s="4370">
        <v>0</v>
      </c>
      <c r="P351" s="4370">
        <v>0</v>
      </c>
      <c r="Q351" s="4370">
        <f t="shared" si="70"/>
        <v>0</v>
      </c>
      <c r="R351" s="3920">
        <v>0</v>
      </c>
      <c r="S351" s="4378"/>
      <c r="T351" s="4358"/>
      <c r="U351" s="4379"/>
      <c r="V351" s="3925">
        <f t="shared" si="71"/>
        <v>0</v>
      </c>
    </row>
    <row r="352" spans="1:22" s="3896" customFormat="1" ht="15.05" hidden="1" customHeight="1">
      <c r="A352" s="4364"/>
      <c r="B352" s="4364"/>
      <c r="C352" s="4364"/>
      <c r="D352" s="4364"/>
      <c r="E352" s="4364"/>
      <c r="F352" s="4365" t="s">
        <v>50</v>
      </c>
      <c r="G352" s="1814" t="s">
        <v>596</v>
      </c>
      <c r="H352" s="4367"/>
      <c r="I352" s="4367"/>
      <c r="J352" s="4376"/>
      <c r="K352" s="4377">
        <v>61619698</v>
      </c>
      <c r="L352" s="4370">
        <v>0</v>
      </c>
      <c r="M352" s="4371">
        <v>0</v>
      </c>
      <c r="N352" s="4370">
        <v>0</v>
      </c>
      <c r="O352" s="4370">
        <v>0</v>
      </c>
      <c r="P352" s="4370">
        <v>0</v>
      </c>
      <c r="Q352" s="4370">
        <f t="shared" si="70"/>
        <v>0</v>
      </c>
      <c r="R352" s="3920">
        <v>0</v>
      </c>
      <c r="S352" s="4378"/>
      <c r="T352" s="4358"/>
      <c r="U352" s="4379"/>
      <c r="V352" s="3925">
        <f t="shared" si="71"/>
        <v>0</v>
      </c>
    </row>
    <row r="353" spans="1:22" s="3896" customFormat="1" ht="15.05" hidden="1" customHeight="1">
      <c r="A353" s="3924"/>
      <c r="B353" s="3924"/>
      <c r="C353" s="3924"/>
      <c r="D353" s="3924"/>
      <c r="E353" s="3924"/>
      <c r="F353" s="3992" t="s">
        <v>50</v>
      </c>
      <c r="G353" s="1814" t="s">
        <v>597</v>
      </c>
      <c r="H353" s="3917"/>
      <c r="I353" s="3917"/>
      <c r="J353" s="3993"/>
      <c r="K353" s="3918">
        <v>1427500</v>
      </c>
      <c r="L353" s="3919">
        <v>0</v>
      </c>
      <c r="M353" s="3265">
        <v>0</v>
      </c>
      <c r="N353" s="3919">
        <v>0</v>
      </c>
      <c r="O353" s="3919">
        <v>0</v>
      </c>
      <c r="P353" s="3919">
        <v>0</v>
      </c>
      <c r="Q353" s="3919">
        <f t="shared" si="70"/>
        <v>0</v>
      </c>
      <c r="R353" s="3920">
        <v>0</v>
      </c>
      <c r="S353" s="3921"/>
      <c r="T353" s="3922"/>
      <c r="U353" s="3923"/>
      <c r="V353" s="3925">
        <f t="shared" si="71"/>
        <v>0</v>
      </c>
    </row>
    <row r="354" spans="1:22" s="3896" customFormat="1" ht="15.05" hidden="1" customHeight="1">
      <c r="A354" s="3924"/>
      <c r="B354" s="3924"/>
      <c r="C354" s="3924"/>
      <c r="D354" s="3924"/>
      <c r="E354" s="3924"/>
      <c r="F354" s="3992" t="s">
        <v>50</v>
      </c>
      <c r="G354" s="1814" t="s">
        <v>598</v>
      </c>
      <c r="H354" s="4285"/>
      <c r="I354" s="3917"/>
      <c r="J354" s="3993"/>
      <c r="K354" s="3918">
        <v>4059015</v>
      </c>
      <c r="L354" s="3919">
        <v>0</v>
      </c>
      <c r="M354" s="3265">
        <v>0</v>
      </c>
      <c r="N354" s="3919">
        <v>0</v>
      </c>
      <c r="O354" s="3919">
        <v>0</v>
      </c>
      <c r="P354" s="3919">
        <v>0</v>
      </c>
      <c r="Q354" s="3919">
        <f t="shared" si="70"/>
        <v>0</v>
      </c>
      <c r="R354" s="3920">
        <v>0</v>
      </c>
      <c r="S354" s="4335"/>
      <c r="T354" s="3922"/>
      <c r="U354" s="4353"/>
      <c r="V354" s="3925">
        <f t="shared" si="71"/>
        <v>0</v>
      </c>
    </row>
    <row r="355" spans="1:22" s="3896" customFormat="1" ht="15.05" hidden="1" customHeight="1">
      <c r="A355" s="3924"/>
      <c r="B355" s="3924"/>
      <c r="C355" s="3924"/>
      <c r="D355" s="3924"/>
      <c r="E355" s="3924"/>
      <c r="F355" s="3992" t="s">
        <v>50</v>
      </c>
      <c r="G355" s="1814" t="s">
        <v>599</v>
      </c>
      <c r="H355" s="3917"/>
      <c r="I355" s="3917"/>
      <c r="J355" s="3993"/>
      <c r="K355" s="3918">
        <v>2000000</v>
      </c>
      <c r="L355" s="3919">
        <v>0</v>
      </c>
      <c r="M355" s="3265">
        <v>0</v>
      </c>
      <c r="N355" s="3919">
        <v>0</v>
      </c>
      <c r="O355" s="3919">
        <v>0</v>
      </c>
      <c r="P355" s="3919">
        <v>0</v>
      </c>
      <c r="Q355" s="3919">
        <f t="shared" si="70"/>
        <v>0</v>
      </c>
      <c r="R355" s="3920">
        <v>0</v>
      </c>
      <c r="S355" s="4335"/>
      <c r="T355" s="3922"/>
      <c r="U355" s="4353"/>
      <c r="V355" s="3925">
        <f t="shared" si="71"/>
        <v>0</v>
      </c>
    </row>
    <row r="356" spans="1:22" s="3896" customFormat="1" ht="15.05" hidden="1" customHeight="1">
      <c r="A356" s="3924"/>
      <c r="B356" s="3924"/>
      <c r="C356" s="3924"/>
      <c r="D356" s="3924"/>
      <c r="E356" s="3924"/>
      <c r="F356" s="3992" t="s">
        <v>50</v>
      </c>
      <c r="G356" s="1814" t="s">
        <v>600</v>
      </c>
      <c r="H356" s="3917"/>
      <c r="I356" s="3917"/>
      <c r="J356" s="3993"/>
      <c r="K356" s="3918">
        <v>222626765</v>
      </c>
      <c r="L356" s="3919">
        <v>0</v>
      </c>
      <c r="M356" s="3265">
        <v>0</v>
      </c>
      <c r="N356" s="3919">
        <v>0</v>
      </c>
      <c r="O356" s="3919">
        <v>0</v>
      </c>
      <c r="P356" s="3919">
        <v>0</v>
      </c>
      <c r="Q356" s="3919">
        <f t="shared" si="70"/>
        <v>0</v>
      </c>
      <c r="R356" s="3920">
        <v>0</v>
      </c>
      <c r="S356" s="4335"/>
      <c r="T356" s="3922"/>
      <c r="U356" s="4353"/>
      <c r="V356" s="3925">
        <f t="shared" si="71"/>
        <v>0</v>
      </c>
    </row>
    <row r="357" spans="1:22" s="3896" customFormat="1" ht="15.05" hidden="1" customHeight="1">
      <c r="A357" s="3924"/>
      <c r="B357" s="3924"/>
      <c r="C357" s="3924"/>
      <c r="D357" s="3924"/>
      <c r="E357" s="3924"/>
      <c r="F357" s="3992" t="s">
        <v>50</v>
      </c>
      <c r="G357" s="3917" t="str">
        <f>MAR!H780</f>
        <v>DINAS PEMUDA DAN OLAH RAGA</v>
      </c>
      <c r="H357" s="3917"/>
      <c r="I357" s="3917"/>
      <c r="J357" s="3993"/>
      <c r="K357" s="3918"/>
      <c r="L357" s="3919">
        <f>MAR!J789</f>
        <v>0</v>
      </c>
      <c r="M357" s="3265">
        <v>0</v>
      </c>
      <c r="N357" s="3919">
        <f>MAR!L789</f>
        <v>0</v>
      </c>
      <c r="O357" s="3919">
        <f>MAR!M789</f>
        <v>0</v>
      </c>
      <c r="P357" s="3919">
        <v>0</v>
      </c>
      <c r="Q357" s="3919">
        <f t="shared" si="70"/>
        <v>0</v>
      </c>
      <c r="R357" s="3920">
        <v>0</v>
      </c>
      <c r="S357" s="4335"/>
      <c r="T357" s="3922"/>
      <c r="U357" s="4353"/>
      <c r="V357" s="3925">
        <f t="shared" si="71"/>
        <v>0</v>
      </c>
    </row>
    <row r="358" spans="1:22" s="3896" customFormat="1" ht="15.05" hidden="1" customHeight="1">
      <c r="A358" s="3924"/>
      <c r="B358" s="3924"/>
      <c r="C358" s="3924"/>
      <c r="D358" s="3924"/>
      <c r="E358" s="3924"/>
      <c r="F358" s="3992" t="s">
        <v>50</v>
      </c>
      <c r="G358" s="3896" t="str">
        <f>MAR!I282</f>
        <v>BIRO UMUM</v>
      </c>
      <c r="H358" s="3917"/>
      <c r="I358" s="3917"/>
      <c r="J358" s="3993"/>
      <c r="K358" s="3918"/>
      <c r="L358" s="3919">
        <f>MAR!J294</f>
        <v>0</v>
      </c>
      <c r="M358" s="3265">
        <v>0</v>
      </c>
      <c r="N358" s="3919">
        <f>MAR!L294</f>
        <v>0</v>
      </c>
      <c r="O358" s="3919">
        <f>MAR!M294</f>
        <v>0</v>
      </c>
      <c r="P358" s="3919">
        <v>0</v>
      </c>
      <c r="Q358" s="3919">
        <f t="shared" si="70"/>
        <v>0</v>
      </c>
      <c r="R358" s="3920">
        <v>0</v>
      </c>
      <c r="S358" s="4335"/>
      <c r="T358" s="3922"/>
      <c r="U358" s="4353"/>
      <c r="V358" s="3925">
        <f t="shared" si="71"/>
        <v>0</v>
      </c>
    </row>
    <row r="359" spans="1:22" s="3896" customFormat="1" ht="15.05" hidden="1" customHeight="1">
      <c r="A359" s="3924"/>
      <c r="B359" s="3924"/>
      <c r="C359" s="3924"/>
      <c r="D359" s="3924"/>
      <c r="E359" s="3924"/>
      <c r="F359" s="3992" t="s">
        <v>50</v>
      </c>
      <c r="G359" s="3917" t="str">
        <f>MAR!I297</f>
        <v>BIRO PEMERINTAHAN</v>
      </c>
      <c r="H359" s="3917"/>
      <c r="I359" s="3917"/>
      <c r="J359" s="3993"/>
      <c r="K359" s="3918"/>
      <c r="L359" s="3919">
        <f>MAR!J302</f>
        <v>0</v>
      </c>
      <c r="M359" s="3265">
        <v>0</v>
      </c>
      <c r="N359" s="3919">
        <f>MAR!L302</f>
        <v>0</v>
      </c>
      <c r="O359" s="3919">
        <f>MAR!M302</f>
        <v>0</v>
      </c>
      <c r="P359" s="3919">
        <v>0</v>
      </c>
      <c r="Q359" s="3919">
        <f t="shared" si="70"/>
        <v>0</v>
      </c>
      <c r="R359" s="3920">
        <v>0</v>
      </c>
      <c r="S359" s="4335"/>
      <c r="T359" s="3922"/>
      <c r="U359" s="4353"/>
      <c r="V359" s="3925">
        <f t="shared" si="71"/>
        <v>0</v>
      </c>
    </row>
    <row r="360" spans="1:22" s="3896" customFormat="1" ht="15.05" hidden="1" customHeight="1">
      <c r="A360" s="3924"/>
      <c r="B360" s="3924"/>
      <c r="C360" s="3924"/>
      <c r="D360" s="3924"/>
      <c r="E360" s="3924"/>
      <c r="F360" s="3992" t="s">
        <v>50</v>
      </c>
      <c r="G360" s="3917" t="str">
        <f>MAR!I305</f>
        <v>BIRO KESEJAHTERAAN RAKYAT</v>
      </c>
      <c r="H360" s="3917"/>
      <c r="I360" s="3917"/>
      <c r="J360" s="3993"/>
      <c r="K360" s="3918"/>
      <c r="L360" s="3919">
        <f>MAR!J310</f>
        <v>0</v>
      </c>
      <c r="M360" s="3265">
        <v>0</v>
      </c>
      <c r="N360" s="3919">
        <f>MAR!L310</f>
        <v>0</v>
      </c>
      <c r="O360" s="3919">
        <f>MAR!M310</f>
        <v>0</v>
      </c>
      <c r="P360" s="3919">
        <v>0</v>
      </c>
      <c r="Q360" s="3919">
        <f t="shared" si="70"/>
        <v>0</v>
      </c>
      <c r="R360" s="3920">
        <v>0</v>
      </c>
      <c r="S360" s="4335"/>
      <c r="T360" s="3922"/>
      <c r="U360" s="4353"/>
      <c r="V360" s="3925">
        <f t="shared" si="71"/>
        <v>0</v>
      </c>
    </row>
    <row r="361" spans="1:22" s="3896" customFormat="1" ht="15.05" hidden="1" customHeight="1">
      <c r="A361" s="3924"/>
      <c r="B361" s="3924"/>
      <c r="C361" s="3924"/>
      <c r="D361" s="3924"/>
      <c r="E361" s="3924"/>
      <c r="F361" s="3992" t="s">
        <v>50</v>
      </c>
      <c r="G361" s="3917" t="str">
        <f>MAR!I313</f>
        <v>BIRO ADMINISTRASI PENGENDALIAN PEMBANGUNAN &amp; LPBJP</v>
      </c>
      <c r="H361" s="3917"/>
      <c r="I361" s="3917"/>
      <c r="J361" s="3993"/>
      <c r="K361" s="3918"/>
      <c r="L361" s="3919">
        <f>MAR!J318</f>
        <v>0</v>
      </c>
      <c r="M361" s="3265">
        <v>0</v>
      </c>
      <c r="N361" s="3919">
        <f>MAR!L318</f>
        <v>0</v>
      </c>
      <c r="O361" s="3919">
        <f>MAR!M318</f>
        <v>0</v>
      </c>
      <c r="P361" s="3919">
        <v>0</v>
      </c>
      <c r="Q361" s="3919">
        <f t="shared" si="70"/>
        <v>0</v>
      </c>
      <c r="R361" s="3920">
        <v>0</v>
      </c>
      <c r="S361" s="4335"/>
      <c r="T361" s="3922"/>
      <c r="U361" s="4353"/>
      <c r="V361" s="3925">
        <f t="shared" si="71"/>
        <v>0</v>
      </c>
    </row>
    <row r="362" spans="1:22" s="3896" customFormat="1" ht="15.05" hidden="1" customHeight="1">
      <c r="A362" s="3924"/>
      <c r="B362" s="3924"/>
      <c r="C362" s="3924"/>
      <c r="D362" s="3924"/>
      <c r="E362" s="3924"/>
      <c r="F362" s="3992" t="s">
        <v>50</v>
      </c>
      <c r="G362" s="3917" t="str">
        <f>MAR!I321</f>
        <v>BIRO ORGANISASI</v>
      </c>
      <c r="H362" s="3917"/>
      <c r="I362" s="3917"/>
      <c r="J362" s="3993"/>
      <c r="K362" s="3918"/>
      <c r="L362" s="3919">
        <f>MAR!J325</f>
        <v>0</v>
      </c>
      <c r="M362" s="3265">
        <v>0</v>
      </c>
      <c r="N362" s="3919">
        <f>MAR!L325</f>
        <v>0</v>
      </c>
      <c r="O362" s="3919">
        <f>MAR!M325</f>
        <v>0</v>
      </c>
      <c r="P362" s="3919">
        <v>0</v>
      </c>
      <c r="Q362" s="3919">
        <f t="shared" si="70"/>
        <v>0</v>
      </c>
      <c r="R362" s="3920">
        <v>0</v>
      </c>
      <c r="S362" s="4335"/>
      <c r="T362" s="3922"/>
      <c r="U362" s="4353"/>
      <c r="V362" s="3925">
        <f t="shared" si="71"/>
        <v>0</v>
      </c>
    </row>
    <row r="363" spans="1:22" s="3896" customFormat="1" ht="15.05" hidden="1" customHeight="1">
      <c r="A363" s="3924"/>
      <c r="B363" s="3924"/>
      <c r="C363" s="3924"/>
      <c r="D363" s="3924"/>
      <c r="E363" s="3924"/>
      <c r="F363" s="3992" t="s">
        <v>50</v>
      </c>
      <c r="G363" s="3917" t="str">
        <f>MAR!I329</f>
        <v>BIRO PEREKONOMIAN</v>
      </c>
      <c r="H363" s="3917"/>
      <c r="I363" s="3917"/>
      <c r="J363" s="3993"/>
      <c r="K363" s="3918"/>
      <c r="L363" s="3919">
        <f>MAR!J334</f>
        <v>0</v>
      </c>
      <c r="M363" s="3265">
        <v>0</v>
      </c>
      <c r="N363" s="3919">
        <f>MAR!L334</f>
        <v>0</v>
      </c>
      <c r="O363" s="3919">
        <f>MAR!M334</f>
        <v>0</v>
      </c>
      <c r="P363" s="3919">
        <v>0</v>
      </c>
      <c r="Q363" s="3919">
        <f t="shared" si="70"/>
        <v>0</v>
      </c>
      <c r="R363" s="3920">
        <v>0</v>
      </c>
      <c r="S363" s="4335"/>
      <c r="T363" s="3922"/>
      <c r="U363" s="4353"/>
      <c r="V363" s="3925">
        <f t="shared" si="71"/>
        <v>0</v>
      </c>
    </row>
    <row r="364" spans="1:22" s="3896" customFormat="1" ht="15.05" hidden="1" customHeight="1">
      <c r="A364" s="3924"/>
      <c r="B364" s="3924"/>
      <c r="C364" s="3924"/>
      <c r="D364" s="3924"/>
      <c r="E364" s="3924"/>
      <c r="F364" s="3992" t="s">
        <v>50</v>
      </c>
      <c r="G364" s="3917" t="str">
        <f>MAR!I337</f>
        <v>BIRO HUMAS DAN PROTOKOL</v>
      </c>
      <c r="H364" s="4285"/>
      <c r="I364" s="4285"/>
      <c r="J364" s="4347"/>
      <c r="K364" s="4348"/>
      <c r="L364" s="4288">
        <f>MAR!J342</f>
        <v>0</v>
      </c>
      <c r="M364" s="4289">
        <v>0</v>
      </c>
      <c r="N364" s="4288">
        <f>MAR!L342</f>
        <v>0</v>
      </c>
      <c r="O364" s="4288">
        <f>MAR!M342</f>
        <v>0</v>
      </c>
      <c r="P364" s="4288">
        <v>0</v>
      </c>
      <c r="Q364" s="4288">
        <f t="shared" si="70"/>
        <v>0</v>
      </c>
      <c r="R364" s="3920">
        <v>0</v>
      </c>
      <c r="S364" s="4335"/>
      <c r="T364" s="3922"/>
      <c r="U364" s="4380"/>
      <c r="V364" s="3925">
        <f t="shared" si="71"/>
        <v>0</v>
      </c>
    </row>
    <row r="365" spans="1:22" s="3896" customFormat="1" ht="15.05" customHeight="1">
      <c r="A365" s="4364"/>
      <c r="B365" s="4364"/>
      <c r="C365" s="4364"/>
      <c r="D365" s="4364"/>
      <c r="E365" s="4364"/>
      <c r="F365" s="4365"/>
      <c r="G365" s="4367"/>
      <c r="H365" s="4497"/>
      <c r="I365" s="4497"/>
      <c r="J365" s="4498"/>
      <c r="K365" s="4499"/>
      <c r="L365" s="4500"/>
      <c r="M365" s="4501"/>
      <c r="N365" s="4500"/>
      <c r="O365" s="4500"/>
      <c r="P365" s="4500"/>
      <c r="Q365" s="4500"/>
      <c r="R365" s="4372"/>
      <c r="S365" s="4373"/>
      <c r="T365" s="4358"/>
      <c r="U365" s="4503"/>
      <c r="V365" s="3925"/>
    </row>
    <row r="366" spans="1:22" s="3896" customFormat="1" ht="15.05" customHeight="1">
      <c r="A366" s="5262" t="s">
        <v>443</v>
      </c>
      <c r="B366" s="5262" t="s">
        <v>58</v>
      </c>
      <c r="C366" s="5262" t="s">
        <v>443</v>
      </c>
      <c r="D366" s="5262" t="s">
        <v>563</v>
      </c>
      <c r="E366" s="5262" t="s">
        <v>445</v>
      </c>
      <c r="F366" s="5263" t="s">
        <v>1245</v>
      </c>
      <c r="G366" s="5264"/>
      <c r="H366" s="5264"/>
      <c r="I366" s="5264"/>
      <c r="J366" s="5265">
        <f>J367</f>
        <v>7805834000</v>
      </c>
      <c r="K366" s="5265">
        <f>K367</f>
        <v>7177429000</v>
      </c>
      <c r="L366" s="5266">
        <f>SUM(L367:L369)</f>
        <v>4392225000</v>
      </c>
      <c r="M366" s="5267">
        <v>0</v>
      </c>
      <c r="N366" s="5266">
        <f>SUM(N367:N369)</f>
        <v>50675000</v>
      </c>
      <c r="O366" s="5266">
        <f>SUM(O367:O369)</f>
        <v>160175000</v>
      </c>
      <c r="P366" s="5266">
        <f>P367</f>
        <v>6086425000</v>
      </c>
      <c r="Q366" s="5266">
        <f>+P366-L366</f>
        <v>1694200000</v>
      </c>
      <c r="R366" s="5268">
        <f>+P366/L366*100-100</f>
        <v>38.572705177899593</v>
      </c>
      <c r="S366" s="4373"/>
      <c r="T366" s="4358"/>
      <c r="U366" s="4503"/>
      <c r="V366" s="3925"/>
    </row>
    <row r="367" spans="1:22" s="3896" customFormat="1" ht="15.05" customHeight="1">
      <c r="A367" s="3924"/>
      <c r="B367" s="3924"/>
      <c r="C367" s="3924"/>
      <c r="D367" s="3924"/>
      <c r="E367" s="3924"/>
      <c r="F367" s="3992" t="s">
        <v>50</v>
      </c>
      <c r="G367" s="5269" t="s">
        <v>1244</v>
      </c>
      <c r="H367" s="3917"/>
      <c r="I367" s="3917"/>
      <c r="J367" s="3993">
        <v>7805834000</v>
      </c>
      <c r="K367" s="3993">
        <v>7177429000</v>
      </c>
      <c r="L367" s="3919">
        <v>4392225000</v>
      </c>
      <c r="M367" s="3265">
        <v>0</v>
      </c>
      <c r="N367" s="3919">
        <f>MAR!L572</f>
        <v>6250000</v>
      </c>
      <c r="O367" s="3919">
        <f>MAR!M572</f>
        <v>19250000</v>
      </c>
      <c r="P367" s="3919">
        <f>4392225000+1694200000</f>
        <v>6086425000</v>
      </c>
      <c r="Q367" s="3919">
        <f>+P367-L367</f>
        <v>1694200000</v>
      </c>
      <c r="R367" s="3920">
        <f>+P367/L367*100-100</f>
        <v>38.572705177899593</v>
      </c>
      <c r="S367" s="4373"/>
      <c r="T367" s="4358"/>
      <c r="U367" s="4503"/>
      <c r="V367" s="3925"/>
    </row>
    <row r="368" spans="1:22" s="3896" customFormat="1" ht="15.05" customHeight="1">
      <c r="A368" s="1855"/>
      <c r="B368" s="1855"/>
      <c r="C368" s="1855"/>
      <c r="D368" s="1855"/>
      <c r="E368" s="1855"/>
      <c r="F368" s="2214" t="s">
        <v>50</v>
      </c>
      <c r="G368" s="200" t="s">
        <v>331</v>
      </c>
      <c r="H368" s="200"/>
      <c r="I368" s="200"/>
      <c r="J368" s="3215"/>
      <c r="K368" s="3171"/>
      <c r="L368" s="3125">
        <f>MAR!J573</f>
        <v>0</v>
      </c>
      <c r="M368" s="3124">
        <v>0</v>
      </c>
      <c r="N368" s="3125">
        <f>MAR!L573</f>
        <v>3550000</v>
      </c>
      <c r="O368" s="3125">
        <f>MAR!M573</f>
        <v>14325000</v>
      </c>
      <c r="P368" s="3125">
        <v>0</v>
      </c>
      <c r="Q368" s="3125">
        <f>+P368-L368</f>
        <v>0</v>
      </c>
      <c r="R368" s="3605">
        <v>0</v>
      </c>
      <c r="S368" s="4373"/>
      <c r="T368" s="4358"/>
      <c r="U368" s="4502"/>
      <c r="V368" s="3925"/>
    </row>
    <row r="369" spans="1:22" s="257" customFormat="1" ht="15.05" customHeight="1">
      <c r="A369" s="1855"/>
      <c r="B369" s="1855"/>
      <c r="C369" s="1855"/>
      <c r="D369" s="1855"/>
      <c r="E369" s="1855"/>
      <c r="F369" s="2214" t="s">
        <v>50</v>
      </c>
      <c r="G369" s="200" t="s">
        <v>332</v>
      </c>
      <c r="H369" s="200"/>
      <c r="I369" s="200"/>
      <c r="J369" s="3215"/>
      <c r="K369" s="3171"/>
      <c r="L369" s="3125">
        <f>MAR!J574</f>
        <v>0</v>
      </c>
      <c r="M369" s="3124">
        <v>0</v>
      </c>
      <c r="N369" s="3125">
        <f>MAR!L574</f>
        <v>40875000</v>
      </c>
      <c r="O369" s="3125">
        <f>MAR!M574</f>
        <v>126600000</v>
      </c>
      <c r="P369" s="3125">
        <v>0</v>
      </c>
      <c r="Q369" s="3125">
        <f>+P369-L369</f>
        <v>0</v>
      </c>
      <c r="R369" s="3605">
        <v>0</v>
      </c>
      <c r="S369" s="3709"/>
      <c r="T369" s="3828"/>
      <c r="U369" s="3803"/>
      <c r="V369" s="1846"/>
    </row>
    <row r="370" spans="1:22" s="257" customFormat="1" ht="15.05" hidden="1" customHeight="1">
      <c r="A370" s="1886"/>
      <c r="B370" s="1886"/>
      <c r="C370" s="1886"/>
      <c r="D370" s="1886"/>
      <c r="E370" s="1886"/>
      <c r="F370" s="2356"/>
      <c r="G370" s="856"/>
      <c r="H370" s="2322"/>
      <c r="I370" s="2322"/>
      <c r="J370" s="3272"/>
      <c r="K370" s="3142"/>
      <c r="L370" s="3289"/>
      <c r="M370" s="3290"/>
      <c r="N370" s="3289"/>
      <c r="O370" s="3289"/>
      <c r="P370" s="3289"/>
      <c r="Q370" s="3289"/>
      <c r="R370" s="3612"/>
      <c r="S370" s="3709"/>
      <c r="T370" s="3828"/>
      <c r="U370" s="3803"/>
      <c r="V370" s="1846"/>
    </row>
    <row r="371" spans="1:22" s="257" customFormat="1" ht="15.65" hidden="1" customHeight="1">
      <c r="A371" s="1886"/>
      <c r="B371" s="1886"/>
      <c r="C371" s="1886"/>
      <c r="D371" s="1886"/>
      <c r="E371" s="1886"/>
      <c r="F371" s="2356" t="s">
        <v>50</v>
      </c>
      <c r="G371" s="856"/>
      <c r="H371" s="856"/>
      <c r="I371" s="2322"/>
      <c r="J371" s="3272"/>
      <c r="K371" s="3142"/>
      <c r="L371" s="3174"/>
      <c r="M371" s="3175"/>
      <c r="N371" s="3174"/>
      <c r="O371" s="3174"/>
      <c r="P371" s="3174"/>
      <c r="Q371" s="3174">
        <f t="shared" si="70"/>
        <v>0</v>
      </c>
      <c r="R371" s="3612">
        <v>0</v>
      </c>
      <c r="S371" s="3709"/>
      <c r="T371" s="3828"/>
      <c r="U371" s="1899"/>
      <c r="V371" s="1846">
        <f t="shared" si="71"/>
        <v>0</v>
      </c>
    </row>
    <row r="372" spans="1:22" s="257" customFormat="1" ht="15.65" customHeight="1">
      <c r="A372" s="2559"/>
      <c r="B372" s="1919"/>
      <c r="C372" s="1919"/>
      <c r="D372" s="1919"/>
      <c r="E372" s="1919"/>
      <c r="F372" s="2853"/>
      <c r="I372" s="1318"/>
      <c r="J372" s="3295"/>
      <c r="K372" s="3147"/>
      <c r="L372" s="3282"/>
      <c r="M372" s="3283"/>
      <c r="N372" s="3282"/>
      <c r="O372" s="3282"/>
      <c r="P372" s="3282"/>
      <c r="Q372" s="3282"/>
      <c r="R372" s="3628"/>
      <c r="S372" s="3723"/>
      <c r="T372" s="4504"/>
      <c r="U372" s="3796"/>
      <c r="V372" s="1846"/>
    </row>
    <row r="373" spans="1:22" s="4270" customFormat="1" ht="15.05" customHeight="1">
      <c r="A373" s="5220">
        <v>4</v>
      </c>
      <c r="B373" s="5221">
        <v>1</v>
      </c>
      <c r="C373" s="5221">
        <v>4</v>
      </c>
      <c r="D373" s="5221" t="s">
        <v>459</v>
      </c>
      <c r="E373" s="5221"/>
      <c r="F373" s="5234" t="s">
        <v>230</v>
      </c>
      <c r="G373" s="5224"/>
      <c r="H373" s="5224"/>
      <c r="I373" s="5224"/>
      <c r="J373" s="5240">
        <f>+J375</f>
        <v>77234295</v>
      </c>
      <c r="K373" s="5242">
        <f>K375</f>
        <v>0</v>
      </c>
      <c r="L373" s="5227">
        <f>+L374+L375</f>
        <v>60900800</v>
      </c>
      <c r="M373" s="5215">
        <v>0</v>
      </c>
      <c r="N373" s="5227">
        <f>+N374+N375</f>
        <v>0</v>
      </c>
      <c r="O373" s="5227">
        <f>N373+M373</f>
        <v>0</v>
      </c>
      <c r="P373" s="5227">
        <v>60900800</v>
      </c>
      <c r="Q373" s="5227">
        <f t="shared" si="70"/>
        <v>0</v>
      </c>
      <c r="R373" s="5231">
        <f>+P373/L373*100-100</f>
        <v>0</v>
      </c>
      <c r="S373" s="4297"/>
      <c r="T373" s="4298"/>
      <c r="U373" s="4299"/>
      <c r="V373" s="4269">
        <f t="shared" si="71"/>
        <v>0</v>
      </c>
    </row>
    <row r="374" spans="1:22" s="3896" customFormat="1" ht="15.05" customHeight="1">
      <c r="A374" s="1889">
        <v>4</v>
      </c>
      <c r="B374" s="1889">
        <v>1</v>
      </c>
      <c r="C374" s="1889">
        <v>4</v>
      </c>
      <c r="D374" s="1889" t="s">
        <v>459</v>
      </c>
      <c r="E374" s="1905" t="s">
        <v>437</v>
      </c>
      <c r="F374" s="3089" t="s">
        <v>231</v>
      </c>
      <c r="G374" s="212"/>
      <c r="H374" s="3088"/>
      <c r="I374" s="212"/>
      <c r="J374" s="3243" t="s">
        <v>50</v>
      </c>
      <c r="K374" s="3155"/>
      <c r="L374" s="3197">
        <v>12035600</v>
      </c>
      <c r="M374" s="3198">
        <v>0</v>
      </c>
      <c r="N374" s="3197">
        <v>0</v>
      </c>
      <c r="O374" s="3197">
        <v>0</v>
      </c>
      <c r="P374" s="3197">
        <v>12035600</v>
      </c>
      <c r="Q374" s="3197">
        <f t="shared" si="70"/>
        <v>0</v>
      </c>
      <c r="R374" s="5093">
        <f>+P374/L374*100-100</f>
        <v>0</v>
      </c>
      <c r="S374" s="4383"/>
      <c r="T374" s="4281"/>
      <c r="U374" s="4362">
        <f>PerDinas!Q573</f>
        <v>0</v>
      </c>
      <c r="V374" s="3925">
        <f t="shared" si="71"/>
        <v>0</v>
      </c>
    </row>
    <row r="375" spans="1:22" s="3896" customFormat="1" ht="15.05" customHeight="1">
      <c r="A375" s="1855">
        <v>4</v>
      </c>
      <c r="B375" s="1855">
        <v>1</v>
      </c>
      <c r="C375" s="1855">
        <v>4</v>
      </c>
      <c r="D375" s="1855" t="s">
        <v>459</v>
      </c>
      <c r="E375" s="1854" t="s">
        <v>438</v>
      </c>
      <c r="F375" s="1856" t="s">
        <v>601</v>
      </c>
      <c r="G375" s="202"/>
      <c r="H375" s="202"/>
      <c r="I375" s="202"/>
      <c r="J375" s="3259">
        <v>77234295</v>
      </c>
      <c r="K375" s="3200">
        <v>0</v>
      </c>
      <c r="L375" s="3182">
        <f>SUM(L376:L377)</f>
        <v>48865200</v>
      </c>
      <c r="M375" s="3183">
        <v>0</v>
      </c>
      <c r="N375" s="3182">
        <f>SUM(N376:N377)</f>
        <v>0</v>
      </c>
      <c r="O375" s="3182">
        <f>SUM(O376:O377)</f>
        <v>0</v>
      </c>
      <c r="P375" s="3182">
        <v>48865200</v>
      </c>
      <c r="Q375" s="3182">
        <f t="shared" si="70"/>
        <v>0</v>
      </c>
      <c r="R375" s="3914">
        <f>+P375/L375*100-100</f>
        <v>0</v>
      </c>
      <c r="S375" s="4385"/>
      <c r="T375" s="4357"/>
      <c r="U375" s="4380">
        <f>PerDinas!Q574</f>
        <v>0</v>
      </c>
      <c r="V375" s="3925">
        <f t="shared" si="71"/>
        <v>0</v>
      </c>
    </row>
    <row r="376" spans="1:22" s="3896" customFormat="1" ht="15.05" customHeight="1">
      <c r="A376" s="1855"/>
      <c r="B376" s="1855"/>
      <c r="C376" s="1855"/>
      <c r="D376" s="1855"/>
      <c r="E376" s="1855"/>
      <c r="F376" s="2214" t="s">
        <v>50</v>
      </c>
      <c r="G376" s="200"/>
      <c r="H376" s="200" t="s">
        <v>234</v>
      </c>
      <c r="I376" s="200"/>
      <c r="J376" s="3215"/>
      <c r="K376" s="3171"/>
      <c r="L376" s="3125">
        <v>4492800</v>
      </c>
      <c r="M376" s="3124">
        <v>0</v>
      </c>
      <c r="N376" s="3125">
        <v>0</v>
      </c>
      <c r="O376" s="3125">
        <v>0</v>
      </c>
      <c r="P376" s="3125">
        <v>4492800</v>
      </c>
      <c r="Q376" s="3125">
        <f t="shared" si="70"/>
        <v>0</v>
      </c>
      <c r="R376" s="3926">
        <f>+P376/L376*100-100</f>
        <v>0</v>
      </c>
      <c r="S376" s="3921"/>
      <c r="T376" s="3922"/>
      <c r="U376" s="3923"/>
      <c r="V376" s="3925">
        <f t="shared" si="71"/>
        <v>0</v>
      </c>
    </row>
    <row r="377" spans="1:22" s="3896" customFormat="1" ht="15.05" customHeight="1">
      <c r="A377" s="1855"/>
      <c r="B377" s="1855"/>
      <c r="C377" s="1855"/>
      <c r="D377" s="1855"/>
      <c r="E377" s="1855"/>
      <c r="F377" s="2214" t="s">
        <v>50</v>
      </c>
      <c r="G377" s="200"/>
      <c r="H377" s="200" t="s">
        <v>235</v>
      </c>
      <c r="I377" s="200"/>
      <c r="J377" s="3215"/>
      <c r="K377" s="3171"/>
      <c r="L377" s="3125">
        <v>44372400</v>
      </c>
      <c r="M377" s="3124">
        <v>0</v>
      </c>
      <c r="N377" s="3125">
        <v>0</v>
      </c>
      <c r="O377" s="3125">
        <v>0</v>
      </c>
      <c r="P377" s="3125">
        <v>44372400</v>
      </c>
      <c r="Q377" s="3125">
        <f t="shared" si="70"/>
        <v>0</v>
      </c>
      <c r="R377" s="3926">
        <f>+P377/L377*100-100</f>
        <v>0</v>
      </c>
      <c r="S377" s="3921"/>
      <c r="T377" s="3922"/>
      <c r="U377" s="3923"/>
      <c r="V377" s="3925">
        <f t="shared" si="71"/>
        <v>0</v>
      </c>
    </row>
    <row r="378" spans="1:22" s="257" customFormat="1" ht="15.05" hidden="1" customHeight="1">
      <c r="A378" s="1855"/>
      <c r="B378" s="1855"/>
      <c r="C378" s="1855"/>
      <c r="D378" s="1855"/>
      <c r="E378" s="1855"/>
      <c r="F378" s="2214"/>
      <c r="G378" s="200"/>
      <c r="H378" s="200"/>
      <c r="I378" s="200"/>
      <c r="J378" s="3215"/>
      <c r="K378" s="3171"/>
      <c r="L378" s="3125"/>
      <c r="M378" s="3124"/>
      <c r="N378" s="3125"/>
      <c r="O378" s="3125"/>
      <c r="P378" s="3125"/>
      <c r="Q378" s="3125"/>
      <c r="R378" s="3926"/>
      <c r="S378" s="3275"/>
      <c r="T378" s="3826"/>
      <c r="U378" s="3771"/>
      <c r="V378" s="1846">
        <f t="shared" si="71"/>
        <v>0</v>
      </c>
    </row>
    <row r="379" spans="1:22" s="257" customFormat="1" ht="15.05" customHeight="1">
      <c r="A379" s="1855"/>
      <c r="B379" s="1855"/>
      <c r="C379" s="1855"/>
      <c r="D379" s="1855"/>
      <c r="E379" s="1855"/>
      <c r="F379" s="2214"/>
      <c r="G379" s="200"/>
      <c r="H379" s="200"/>
      <c r="I379" s="200"/>
      <c r="J379" s="3215"/>
      <c r="K379" s="3216"/>
      <c r="L379" s="3274"/>
      <c r="M379" s="3189"/>
      <c r="N379" s="3274"/>
      <c r="O379" s="3274"/>
      <c r="P379" s="3274"/>
      <c r="Q379" s="3274"/>
      <c r="R379" s="5243"/>
      <c r="S379" s="3275"/>
      <c r="T379" s="3826"/>
      <c r="U379" s="3771"/>
      <c r="V379" s="1846"/>
    </row>
    <row r="380" spans="1:22" s="3115" customFormat="1" ht="15.05" customHeight="1">
      <c r="A380" s="4496" t="s">
        <v>443</v>
      </c>
      <c r="B380" s="4496" t="s">
        <v>58</v>
      </c>
      <c r="C380" s="4496" t="s">
        <v>443</v>
      </c>
      <c r="D380" s="4496" t="s">
        <v>449</v>
      </c>
      <c r="E380" s="4496"/>
      <c r="F380" s="4505" t="str">
        <f>F381</f>
        <v>Pendapatan BLUD</v>
      </c>
      <c r="G380" s="5244"/>
      <c r="H380" s="5244"/>
      <c r="I380" s="5244"/>
      <c r="J380" s="5245">
        <f>J381</f>
        <v>116197286650</v>
      </c>
      <c r="K380" s="5245">
        <f t="shared" ref="K380:U380" si="72">K381</f>
        <v>130237291540.46001</v>
      </c>
      <c r="L380" s="5245">
        <f t="shared" si="72"/>
        <v>158447286650</v>
      </c>
      <c r="M380" s="5245">
        <f t="shared" si="72"/>
        <v>24449662227.75</v>
      </c>
      <c r="N380" s="5245">
        <f t="shared" si="72"/>
        <v>15968594032.190001</v>
      </c>
      <c r="O380" s="5245">
        <f t="shared" si="72"/>
        <v>40418256259.939995</v>
      </c>
      <c r="P380" s="5245">
        <f t="shared" si="72"/>
        <v>177300000000</v>
      </c>
      <c r="Q380" s="5245">
        <f t="shared" si="72"/>
        <v>18852713350</v>
      </c>
      <c r="R380" s="5246">
        <f t="shared" si="72"/>
        <v>11.89841350306267</v>
      </c>
      <c r="S380" s="3751"/>
      <c r="T380" s="3849"/>
      <c r="U380" s="3804">
        <f t="shared" si="72"/>
        <v>0</v>
      </c>
      <c r="V380" s="3114"/>
    </row>
    <row r="381" spans="1:22" s="257" customFormat="1" ht="15.05" customHeight="1">
      <c r="A381" s="1854" t="s">
        <v>443</v>
      </c>
      <c r="B381" s="1854" t="s">
        <v>58</v>
      </c>
      <c r="C381" s="1854" t="s">
        <v>443</v>
      </c>
      <c r="D381" s="1854" t="s">
        <v>449</v>
      </c>
      <c r="E381" s="1854" t="s">
        <v>437</v>
      </c>
      <c r="F381" s="1856" t="s">
        <v>89</v>
      </c>
      <c r="G381" s="202"/>
      <c r="H381" s="202"/>
      <c r="I381" s="202"/>
      <c r="J381" s="3259">
        <f>SUM(J382:J386)</f>
        <v>116197286650</v>
      </c>
      <c r="K381" s="3259">
        <f t="shared" ref="K381:P381" si="73">SUM(K382:K386)</f>
        <v>130237291540.46001</v>
      </c>
      <c r="L381" s="3259">
        <f t="shared" si="73"/>
        <v>158447286650</v>
      </c>
      <c r="M381" s="3259">
        <f t="shared" si="73"/>
        <v>24449662227.75</v>
      </c>
      <c r="N381" s="3259">
        <f t="shared" si="73"/>
        <v>15968594032.190001</v>
      </c>
      <c r="O381" s="3259">
        <f t="shared" si="73"/>
        <v>40418256259.939995</v>
      </c>
      <c r="P381" s="3259">
        <f t="shared" si="73"/>
        <v>177300000000</v>
      </c>
      <c r="Q381" s="3182">
        <f t="shared" ref="Q381:Q386" si="74">+P381-L381</f>
        <v>18852713350</v>
      </c>
      <c r="R381" s="3914">
        <f t="shared" ref="R381:R386" si="75">+P381/L381*100-100</f>
        <v>11.89841350306267</v>
      </c>
      <c r="S381" s="3710"/>
      <c r="T381" s="3829"/>
      <c r="U381" s="3771"/>
      <c r="V381" s="1846">
        <f t="shared" si="71"/>
        <v>161673025039.75998</v>
      </c>
    </row>
    <row r="382" spans="1:22" s="257" customFormat="1" ht="15.05" customHeight="1">
      <c r="A382" s="1855"/>
      <c r="B382" s="1855"/>
      <c r="C382" s="1855"/>
      <c r="D382" s="1855"/>
      <c r="E382" s="1855"/>
      <c r="F382" s="2214" t="s">
        <v>50</v>
      </c>
      <c r="G382" s="200"/>
      <c r="H382" s="200" t="s">
        <v>602</v>
      </c>
      <c r="I382" s="200"/>
      <c r="J382" s="3215">
        <v>100000000000</v>
      </c>
      <c r="K382" s="3171">
        <v>115413370353.46001</v>
      </c>
      <c r="L382" s="3125">
        <v>125000000000</v>
      </c>
      <c r="M382" s="3124">
        <v>19046122482.029999</v>
      </c>
      <c r="N382" s="3125">
        <v>12944839389.030001</v>
      </c>
      <c r="O382" s="3125">
        <v>31990961871.060001</v>
      </c>
      <c r="P382" s="3125">
        <v>141100000000</v>
      </c>
      <c r="Q382" s="3125">
        <f t="shared" si="74"/>
        <v>16100000000</v>
      </c>
      <c r="R382" s="3926">
        <f t="shared" si="75"/>
        <v>12.879999999999995</v>
      </c>
      <c r="S382" s="3275"/>
      <c r="T382" s="3826"/>
      <c r="U382" s="3771"/>
      <c r="V382" s="1846">
        <f t="shared" si="71"/>
        <v>127963847484.24001</v>
      </c>
    </row>
    <row r="383" spans="1:22" s="257" customFormat="1" ht="15.05" customHeight="1">
      <c r="A383" s="1855"/>
      <c r="B383" s="1855"/>
      <c r="C383" s="1855"/>
      <c r="D383" s="1855"/>
      <c r="E383" s="1855"/>
      <c r="F383" s="2214" t="s">
        <v>50</v>
      </c>
      <c r="G383" s="200"/>
      <c r="H383" s="200" t="s">
        <v>88</v>
      </c>
      <c r="I383" s="200"/>
      <c r="J383" s="3215">
        <v>2197286650</v>
      </c>
      <c r="K383" s="3171">
        <v>1770995732</v>
      </c>
      <c r="L383" s="3125">
        <v>2197286650</v>
      </c>
      <c r="M383" s="3124">
        <v>258576041</v>
      </c>
      <c r="N383" s="3125">
        <v>105214667</v>
      </c>
      <c r="O383" s="3125">
        <v>363790708</v>
      </c>
      <c r="P383" s="3125">
        <v>2200000000</v>
      </c>
      <c r="Q383" s="3125">
        <f t="shared" si="74"/>
        <v>2713350</v>
      </c>
      <c r="R383" s="3926">
        <f t="shared" si="75"/>
        <v>0.1234863917277238</v>
      </c>
      <c r="S383" s="3275"/>
      <c r="T383" s="3826"/>
      <c r="U383" s="3771"/>
      <c r="V383" s="1846">
        <f t="shared" si="71"/>
        <v>1455162832</v>
      </c>
    </row>
    <row r="384" spans="1:22" s="3941" customFormat="1" ht="15.05" customHeight="1">
      <c r="A384" s="1855"/>
      <c r="B384" s="1855"/>
      <c r="C384" s="1855"/>
      <c r="D384" s="1855"/>
      <c r="E384" s="1855"/>
      <c r="F384" s="2214" t="s">
        <v>50</v>
      </c>
      <c r="G384" s="200"/>
      <c r="H384" s="200" t="s">
        <v>603</v>
      </c>
      <c r="I384" s="200"/>
      <c r="J384" s="3215">
        <v>14000000000</v>
      </c>
      <c r="K384" s="3171">
        <v>13052925455</v>
      </c>
      <c r="L384" s="3125">
        <v>15000000000</v>
      </c>
      <c r="M384" s="3124">
        <v>2493831376</v>
      </c>
      <c r="N384" s="3125">
        <v>1671690063</v>
      </c>
      <c r="O384" s="3125">
        <v>4165521439</v>
      </c>
      <c r="P384" s="3125">
        <v>15000000000</v>
      </c>
      <c r="Q384" s="3125">
        <f t="shared" si="74"/>
        <v>0</v>
      </c>
      <c r="R384" s="3926">
        <f t="shared" si="75"/>
        <v>0</v>
      </c>
      <c r="S384" s="3937"/>
      <c r="T384" s="3938"/>
      <c r="U384" s="3939"/>
      <c r="V384" s="3940">
        <f t="shared" si="71"/>
        <v>16662085756</v>
      </c>
    </row>
    <row r="385" spans="1:22" s="257" customFormat="1" ht="15.05" customHeight="1">
      <c r="A385" s="1855"/>
      <c r="B385" s="1855"/>
      <c r="C385" s="1855"/>
      <c r="D385" s="1855"/>
      <c r="E385" s="1855"/>
      <c r="F385" s="2214" t="s">
        <v>50</v>
      </c>
      <c r="G385" s="200"/>
      <c r="H385" s="200" t="str">
        <f>MAR!H91</f>
        <v>RUMAH SAKIT UMUM H.L MANAMBAI ABDUL KADIR</v>
      </c>
      <c r="I385" s="200"/>
      <c r="J385" s="3215"/>
      <c r="K385" s="3193">
        <v>0</v>
      </c>
      <c r="L385" s="3125">
        <v>16000000000</v>
      </c>
      <c r="M385" s="3124">
        <v>2651132328.7199998</v>
      </c>
      <c r="N385" s="3125">
        <v>1246849913.1600001</v>
      </c>
      <c r="O385" s="3125">
        <v>3897982241.8800001</v>
      </c>
      <c r="P385" s="3125">
        <v>19000000000</v>
      </c>
      <c r="Q385" s="3125">
        <f t="shared" si="74"/>
        <v>3000000000</v>
      </c>
      <c r="R385" s="3926">
        <f t="shared" si="75"/>
        <v>18.75</v>
      </c>
      <c r="S385" s="3275"/>
      <c r="T385" s="3826"/>
      <c r="U385" s="3771"/>
      <c r="V385" s="1846">
        <f t="shared" si="71"/>
        <v>15591928967.52</v>
      </c>
    </row>
    <row r="386" spans="1:22" s="257" customFormat="1" ht="15.05" customHeight="1">
      <c r="A386" s="1855"/>
      <c r="B386" s="1855"/>
      <c r="C386" s="1855"/>
      <c r="D386" s="1855"/>
      <c r="E386" s="1855"/>
      <c r="F386" s="2214" t="s">
        <v>50</v>
      </c>
      <c r="G386" s="200"/>
      <c r="H386" s="200" t="s">
        <v>1212</v>
      </c>
      <c r="I386" s="200"/>
      <c r="J386" s="3215"/>
      <c r="K386" s="3193">
        <v>0</v>
      </c>
      <c r="L386" s="3125">
        <v>250000000</v>
      </c>
      <c r="M386" s="3124">
        <v>0</v>
      </c>
      <c r="N386" s="3125">
        <v>0</v>
      </c>
      <c r="O386" s="3125">
        <v>0</v>
      </c>
      <c r="P386" s="3125">
        <v>0</v>
      </c>
      <c r="Q386" s="3125">
        <f t="shared" si="74"/>
        <v>-250000000</v>
      </c>
      <c r="R386" s="3926">
        <f t="shared" si="75"/>
        <v>-100</v>
      </c>
      <c r="S386" s="3275"/>
      <c r="T386" s="3826"/>
      <c r="U386" s="3771"/>
      <c r="V386" s="1846">
        <f t="shared" si="71"/>
        <v>0</v>
      </c>
    </row>
    <row r="387" spans="1:22" s="257" customFormat="1" ht="15.05" hidden="1" customHeight="1">
      <c r="A387" s="1855"/>
      <c r="B387" s="1855"/>
      <c r="C387" s="1855"/>
      <c r="D387" s="1855"/>
      <c r="E387" s="1855"/>
      <c r="F387" s="2214"/>
      <c r="G387" s="200"/>
      <c r="H387" s="200"/>
      <c r="I387" s="200"/>
      <c r="J387" s="3215"/>
      <c r="K387" s="3171"/>
      <c r="L387" s="3125"/>
      <c r="M387" s="3124"/>
      <c r="N387" s="3125"/>
      <c r="O387" s="3125"/>
      <c r="P387" s="3125"/>
      <c r="Q387" s="3125"/>
      <c r="R387" s="3605"/>
      <c r="S387" s="3702"/>
      <c r="T387" s="3820"/>
      <c r="U387" s="3771"/>
      <c r="V387" s="1846">
        <f t="shared" si="71"/>
        <v>0</v>
      </c>
    </row>
    <row r="388" spans="1:22" s="257" customFormat="1" ht="15.05" customHeight="1">
      <c r="A388" s="1855"/>
      <c r="B388" s="1855"/>
      <c r="C388" s="1855"/>
      <c r="D388" s="1855"/>
      <c r="E388" s="1855"/>
      <c r="F388" s="2214"/>
      <c r="G388" s="200"/>
      <c r="H388" s="200"/>
      <c r="I388" s="200"/>
      <c r="J388" s="3215"/>
      <c r="K388" s="3216"/>
      <c r="L388" s="3125"/>
      <c r="M388" s="3124"/>
      <c r="N388" s="3125"/>
      <c r="O388" s="3125"/>
      <c r="P388" s="3125"/>
      <c r="Q388" s="3125"/>
      <c r="R388" s="3605"/>
      <c r="S388" s="3702"/>
      <c r="T388" s="3820"/>
      <c r="U388" s="3771"/>
      <c r="V388" s="1846"/>
    </row>
    <row r="389" spans="1:22" s="3115" customFormat="1" ht="15.05" hidden="1" customHeight="1">
      <c r="A389" s="2939" t="s">
        <v>443</v>
      </c>
      <c r="B389" s="2939" t="s">
        <v>58</v>
      </c>
      <c r="C389" s="2939" t="s">
        <v>443</v>
      </c>
      <c r="D389" s="4496" t="s">
        <v>563</v>
      </c>
      <c r="E389" s="2939" t="s">
        <v>1155</v>
      </c>
      <c r="F389" s="2959" t="s">
        <v>1181</v>
      </c>
      <c r="G389" s="2946"/>
      <c r="H389" s="2946"/>
      <c r="I389" s="2946"/>
      <c r="J389" s="3276">
        <f>J390</f>
        <v>7805834000</v>
      </c>
      <c r="K389" s="3276">
        <f>K390</f>
        <v>7177429000</v>
      </c>
      <c r="L389" s="3277">
        <f>SUM(L390:L392)</f>
        <v>4392225000</v>
      </c>
      <c r="M389" s="3278">
        <v>0</v>
      </c>
      <c r="N389" s="3277">
        <f>SUM(N390:N392)</f>
        <v>0</v>
      </c>
      <c r="O389" s="3277">
        <f>SUM(O390:O392)</f>
        <v>0</v>
      </c>
      <c r="P389" s="3277">
        <v>4392225000</v>
      </c>
      <c r="Q389" s="3277">
        <f>+P389-L389</f>
        <v>0</v>
      </c>
      <c r="R389" s="3633">
        <f>+P389/L389*100-100</f>
        <v>0</v>
      </c>
      <c r="S389" s="3752"/>
      <c r="T389" s="3850"/>
      <c r="U389" s="3805">
        <f>PerDinas!Q750</f>
        <v>0</v>
      </c>
      <c r="V389" s="2944">
        <f t="shared" si="71"/>
        <v>0</v>
      </c>
    </row>
    <row r="390" spans="1:22" s="257" customFormat="1" ht="15.05" hidden="1" customHeight="1">
      <c r="A390" s="1855"/>
      <c r="B390" s="1855"/>
      <c r="C390" s="1855"/>
      <c r="D390" s="1855"/>
      <c r="E390" s="1855"/>
      <c r="F390" s="2214" t="s">
        <v>50</v>
      </c>
      <c r="G390" s="200" t="str">
        <f>MAR!I594</f>
        <v>- Diklat PIM III dan IV</v>
      </c>
      <c r="H390" s="200"/>
      <c r="I390" s="200"/>
      <c r="J390" s="3215">
        <v>7805834000</v>
      </c>
      <c r="K390" s="3215">
        <v>7177429000</v>
      </c>
      <c r="L390" s="3125">
        <f>MAR!J594</f>
        <v>4392225000</v>
      </c>
      <c r="M390" s="3124">
        <v>0</v>
      </c>
      <c r="N390" s="3125">
        <f>MAR!L594</f>
        <v>0</v>
      </c>
      <c r="O390" s="3125">
        <f>MAR!M594</f>
        <v>0</v>
      </c>
      <c r="P390" s="3125">
        <v>4392225000</v>
      </c>
      <c r="Q390" s="3125">
        <f>+P390-L390</f>
        <v>0</v>
      </c>
      <c r="R390" s="3605">
        <f>+P390/L390*100-100</f>
        <v>0</v>
      </c>
      <c r="S390" s="3275"/>
      <c r="T390" s="3826"/>
      <c r="U390" s="3771"/>
      <c r="V390" s="1846">
        <f t="shared" si="71"/>
        <v>0</v>
      </c>
    </row>
    <row r="391" spans="1:22" s="257" customFormat="1" ht="15.05" hidden="1" customHeight="1">
      <c r="A391" s="1855"/>
      <c r="B391" s="1855"/>
      <c r="C391" s="1855"/>
      <c r="D391" s="1855"/>
      <c r="E391" s="1855"/>
      <c r="F391" s="2214" t="s">
        <v>50</v>
      </c>
      <c r="G391" s="200" t="str">
        <f>MAR!I595</f>
        <v>- Diklat Prajabatan</v>
      </c>
      <c r="H391" s="200"/>
      <c r="I391" s="200"/>
      <c r="J391" s="3215"/>
      <c r="K391" s="3171"/>
      <c r="L391" s="3125">
        <f>MAR!J595</f>
        <v>0</v>
      </c>
      <c r="M391" s="3124">
        <v>0</v>
      </c>
      <c r="N391" s="3125">
        <f>MAR!L595</f>
        <v>0</v>
      </c>
      <c r="O391" s="3125">
        <f>MAR!M595</f>
        <v>0</v>
      </c>
      <c r="P391" s="3125">
        <v>0</v>
      </c>
      <c r="Q391" s="3125">
        <f>+P391-L391</f>
        <v>0</v>
      </c>
      <c r="R391" s="3605">
        <v>0</v>
      </c>
      <c r="S391" s="3275"/>
      <c r="T391" s="3826"/>
      <c r="U391" s="3771"/>
      <c r="V391" s="1846">
        <f t="shared" si="71"/>
        <v>0</v>
      </c>
    </row>
    <row r="392" spans="1:22" s="257" customFormat="1" ht="15.05" hidden="1" customHeight="1">
      <c r="A392" s="1855"/>
      <c r="B392" s="1855"/>
      <c r="C392" s="1855"/>
      <c r="D392" s="1855"/>
      <c r="E392" s="1855"/>
      <c r="F392" s="2214" t="s">
        <v>50</v>
      </c>
      <c r="G392" s="200" t="str">
        <f>MAR!I596</f>
        <v>- Diklat Pembentukan Arsiparis Ahli Kab/Kota</v>
      </c>
      <c r="H392" s="200"/>
      <c r="I392" s="200"/>
      <c r="J392" s="3215"/>
      <c r="K392" s="3171"/>
      <c r="L392" s="3125">
        <f>MAR!J596</f>
        <v>0</v>
      </c>
      <c r="M392" s="3124">
        <v>0</v>
      </c>
      <c r="N392" s="3125">
        <f>MAR!L596</f>
        <v>0</v>
      </c>
      <c r="O392" s="3125">
        <f>MAR!M596</f>
        <v>0</v>
      </c>
      <c r="P392" s="3125">
        <v>0</v>
      </c>
      <c r="Q392" s="3125">
        <f>+P392-L392</f>
        <v>0</v>
      </c>
      <c r="R392" s="3605">
        <v>0</v>
      </c>
      <c r="S392" s="3275"/>
      <c r="T392" s="3826"/>
      <c r="U392" s="3771"/>
      <c r="V392" s="1846">
        <f t="shared" si="71"/>
        <v>0</v>
      </c>
    </row>
    <row r="393" spans="1:22" s="257" customFormat="1" ht="15.05" hidden="1" customHeight="1">
      <c r="A393" s="1855"/>
      <c r="B393" s="1855"/>
      <c r="C393" s="1855"/>
      <c r="D393" s="1855"/>
      <c r="E393" s="1855"/>
      <c r="G393" s="200"/>
      <c r="H393" s="200"/>
      <c r="I393" s="200"/>
      <c r="J393" s="3215"/>
      <c r="K393" s="3171"/>
      <c r="L393" s="3125"/>
      <c r="M393" s="3124"/>
      <c r="N393" s="3125"/>
      <c r="O393" s="3125"/>
      <c r="P393" s="3125"/>
      <c r="Q393" s="3125"/>
      <c r="R393" s="3605"/>
      <c r="S393" s="3275"/>
      <c r="T393" s="3826"/>
      <c r="U393" s="3771"/>
      <c r="V393" s="1846">
        <f t="shared" si="71"/>
        <v>0</v>
      </c>
    </row>
    <row r="394" spans="1:22" s="257" customFormat="1" ht="15.05" hidden="1" customHeight="1">
      <c r="A394" s="1855"/>
      <c r="B394" s="1855"/>
      <c r="C394" s="1855"/>
      <c r="D394" s="1855"/>
      <c r="E394" s="1855"/>
      <c r="G394" s="200"/>
      <c r="H394" s="200"/>
      <c r="I394" s="200"/>
      <c r="J394" s="3215"/>
      <c r="K394" s="3216"/>
      <c r="L394" s="3125"/>
      <c r="M394" s="3124"/>
      <c r="N394" s="3125"/>
      <c r="O394" s="3125"/>
      <c r="P394" s="3125"/>
      <c r="Q394" s="3125"/>
      <c r="R394" s="3605"/>
      <c r="S394" s="3275"/>
      <c r="T394" s="3826"/>
      <c r="U394" s="3771"/>
      <c r="V394" s="1846"/>
    </row>
    <row r="395" spans="1:22" s="2947" customFormat="1" ht="15.05" customHeight="1">
      <c r="A395" s="2948" t="s">
        <v>443</v>
      </c>
      <c r="B395" s="2948" t="s">
        <v>58</v>
      </c>
      <c r="C395" s="2948" t="s">
        <v>443</v>
      </c>
      <c r="D395" s="4513" t="s">
        <v>447</v>
      </c>
      <c r="E395" s="2948" t="s">
        <v>437</v>
      </c>
      <c r="F395" s="2959" t="s">
        <v>605</v>
      </c>
      <c r="G395" s="2940"/>
      <c r="H395" s="2940"/>
      <c r="I395" s="2940"/>
      <c r="J395" s="3279">
        <v>0</v>
      </c>
      <c r="K395" s="3279">
        <v>0</v>
      </c>
      <c r="L395" s="3280">
        <f>SUM(L396:L403)</f>
        <v>0</v>
      </c>
      <c r="M395" s="3281">
        <v>2100000</v>
      </c>
      <c r="N395" s="3280">
        <f>SUM(N396:N403)</f>
        <v>1035000</v>
      </c>
      <c r="O395" s="3280">
        <f>N395+M395</f>
        <v>3135000</v>
      </c>
      <c r="P395" s="3280">
        <v>0</v>
      </c>
      <c r="Q395" s="3280">
        <f t="shared" ref="Q395:Q403" si="76">+P395-L395</f>
        <v>0</v>
      </c>
      <c r="R395" s="3634">
        <v>0</v>
      </c>
      <c r="S395" s="3753"/>
      <c r="T395" s="3851"/>
      <c r="U395" s="3806">
        <f>PerDinas!Q752</f>
        <v>0</v>
      </c>
      <c r="V395" s="2944">
        <f t="shared" si="71"/>
        <v>12540000</v>
      </c>
    </row>
    <row r="396" spans="1:22" s="257" customFormat="1" ht="15.05" customHeight="1">
      <c r="A396" s="1855"/>
      <c r="B396" s="1855"/>
      <c r="C396" s="1855"/>
      <c r="D396" s="1855"/>
      <c r="E396" s="1855"/>
      <c r="F396" s="2732" t="s">
        <v>50</v>
      </c>
      <c r="G396" s="200"/>
      <c r="H396" s="2849" t="s">
        <v>606</v>
      </c>
      <c r="I396" s="200"/>
      <c r="J396" s="3215"/>
      <c r="K396" s="3171"/>
      <c r="L396" s="3125">
        <v>0</v>
      </c>
      <c r="M396" s="3124">
        <v>0</v>
      </c>
      <c r="N396" s="3125">
        <v>0</v>
      </c>
      <c r="O396" s="3125">
        <v>0</v>
      </c>
      <c r="P396" s="3125">
        <v>0</v>
      </c>
      <c r="Q396" s="3125">
        <f t="shared" si="76"/>
        <v>0</v>
      </c>
      <c r="R396" s="3605" t="e">
        <f t="shared" ref="R396:R403" si="77">+P396/L396*100-100</f>
        <v>#DIV/0!</v>
      </c>
      <c r="S396" s="3702"/>
      <c r="T396" s="3820"/>
      <c r="U396" s="3771"/>
      <c r="V396" s="1846">
        <f t="shared" si="71"/>
        <v>0</v>
      </c>
    </row>
    <row r="397" spans="1:22" s="257" customFormat="1" ht="15.05" customHeight="1">
      <c r="A397" s="1855"/>
      <c r="B397" s="1855"/>
      <c r="C397" s="1855"/>
      <c r="D397" s="1855"/>
      <c r="E397" s="1855"/>
      <c r="F397" s="2732" t="s">
        <v>50</v>
      </c>
      <c r="G397" s="200"/>
      <c r="H397" s="2849" t="s">
        <v>607</v>
      </c>
      <c r="I397" s="200"/>
      <c r="J397" s="3215"/>
      <c r="K397" s="3171"/>
      <c r="L397" s="3125">
        <f>PerDinas!K106</f>
        <v>0</v>
      </c>
      <c r="M397" s="3124">
        <v>0</v>
      </c>
      <c r="N397" s="3125">
        <v>0</v>
      </c>
      <c r="O397" s="3125">
        <v>0</v>
      </c>
      <c r="P397" s="3125">
        <v>0</v>
      </c>
      <c r="Q397" s="3125">
        <f t="shared" si="76"/>
        <v>0</v>
      </c>
      <c r="R397" s="3605" t="e">
        <f t="shared" si="77"/>
        <v>#DIV/0!</v>
      </c>
      <c r="S397" s="3702"/>
      <c r="T397" s="3820"/>
      <c r="U397" s="3771"/>
      <c r="V397" s="1846">
        <f t="shared" si="71"/>
        <v>0</v>
      </c>
    </row>
    <row r="398" spans="1:22" s="257" customFormat="1" ht="15.05" customHeight="1">
      <c r="A398" s="1855"/>
      <c r="B398" s="1855"/>
      <c r="C398" s="1855"/>
      <c r="D398" s="1855"/>
      <c r="E398" s="1855"/>
      <c r="F398" s="2732" t="s">
        <v>50</v>
      </c>
      <c r="G398" s="200"/>
      <c r="H398" s="2849" t="s">
        <v>608</v>
      </c>
      <c r="I398" s="200"/>
      <c r="J398" s="3215"/>
      <c r="K398" s="3171"/>
      <c r="L398" s="3125">
        <v>0</v>
      </c>
      <c r="M398" s="3124">
        <v>2100000</v>
      </c>
      <c r="N398" s="3125">
        <v>0</v>
      </c>
      <c r="O398" s="3125">
        <v>2100000</v>
      </c>
      <c r="P398" s="3125">
        <v>0</v>
      </c>
      <c r="Q398" s="3125">
        <f t="shared" si="76"/>
        <v>0</v>
      </c>
      <c r="R398" s="3605">
        <v>0</v>
      </c>
      <c r="S398" s="3702"/>
      <c r="T398" s="3820"/>
      <c r="U398" s="3771"/>
      <c r="V398" s="1846">
        <f t="shared" si="71"/>
        <v>8400000</v>
      </c>
    </row>
    <row r="399" spans="1:22" s="257" customFormat="1" ht="15.05" customHeight="1">
      <c r="A399" s="1855"/>
      <c r="B399" s="1855"/>
      <c r="C399" s="1855"/>
      <c r="D399" s="1855"/>
      <c r="E399" s="1855"/>
      <c r="F399" s="2732" t="s">
        <v>50</v>
      </c>
      <c r="G399" s="200"/>
      <c r="H399" s="2849" t="s">
        <v>609</v>
      </c>
      <c r="I399" s="200"/>
      <c r="J399" s="3215"/>
      <c r="K399" s="3171"/>
      <c r="L399" s="3125">
        <v>0</v>
      </c>
      <c r="M399" s="3124">
        <v>0</v>
      </c>
      <c r="N399" s="3125">
        <v>1035000</v>
      </c>
      <c r="O399" s="3125">
        <v>1035000</v>
      </c>
      <c r="P399" s="3125">
        <v>0</v>
      </c>
      <c r="Q399" s="3125">
        <f t="shared" si="76"/>
        <v>0</v>
      </c>
      <c r="R399" s="3605">
        <v>0</v>
      </c>
      <c r="S399" s="3702"/>
      <c r="T399" s="3820"/>
      <c r="U399" s="3771"/>
      <c r="V399" s="1846">
        <f t="shared" si="71"/>
        <v>4140000</v>
      </c>
    </row>
    <row r="400" spans="1:22" s="257" customFormat="1" ht="15.05" hidden="1" customHeight="1">
      <c r="A400" s="1855"/>
      <c r="B400" s="1855"/>
      <c r="C400" s="1855"/>
      <c r="D400" s="1855"/>
      <c r="E400" s="1855"/>
      <c r="F400" s="2732" t="s">
        <v>50</v>
      </c>
      <c r="G400" s="200"/>
      <c r="H400" s="2849"/>
      <c r="I400" s="200"/>
      <c r="J400" s="3215"/>
      <c r="K400" s="3171"/>
      <c r="L400" s="3125">
        <f>PerDinas!K359</f>
        <v>0</v>
      </c>
      <c r="M400" s="3124">
        <v>0</v>
      </c>
      <c r="N400" s="3125">
        <f>PerDinas!M359</f>
        <v>0</v>
      </c>
      <c r="O400" s="3125">
        <f>N400+M400</f>
        <v>0</v>
      </c>
      <c r="P400" s="3125">
        <v>0</v>
      </c>
      <c r="Q400" s="3125">
        <f t="shared" si="76"/>
        <v>0</v>
      </c>
      <c r="R400" s="3605" t="e">
        <f t="shared" si="77"/>
        <v>#DIV/0!</v>
      </c>
      <c r="S400" s="3702"/>
      <c r="T400" s="3820"/>
      <c r="U400" s="3771"/>
      <c r="V400" s="1846">
        <f t="shared" si="71"/>
        <v>0</v>
      </c>
    </row>
    <row r="401" spans="1:22" s="257" customFormat="1" ht="15.05" hidden="1" customHeight="1">
      <c r="A401" s="1855"/>
      <c r="B401" s="1855"/>
      <c r="C401" s="1855"/>
      <c r="D401" s="1855"/>
      <c r="E401" s="1855"/>
      <c r="F401" s="2732" t="s">
        <v>50</v>
      </c>
      <c r="G401" s="200"/>
      <c r="H401" s="2849"/>
      <c r="I401" s="200"/>
      <c r="J401" s="3215"/>
      <c r="K401" s="3171"/>
      <c r="L401" s="3125">
        <f>PerDinas!K870</f>
        <v>0</v>
      </c>
      <c r="M401" s="3124">
        <v>0</v>
      </c>
      <c r="N401" s="3125">
        <f>PerDinas!M870</f>
        <v>0</v>
      </c>
      <c r="O401" s="3125">
        <f>N401+M401</f>
        <v>0</v>
      </c>
      <c r="P401" s="3125">
        <v>0</v>
      </c>
      <c r="Q401" s="3125">
        <f t="shared" si="76"/>
        <v>0</v>
      </c>
      <c r="R401" s="3605" t="e">
        <f t="shared" si="77"/>
        <v>#DIV/0!</v>
      </c>
      <c r="S401" s="3702"/>
      <c r="T401" s="3820"/>
      <c r="U401" s="3771"/>
      <c r="V401" s="1846">
        <f t="shared" si="71"/>
        <v>0</v>
      </c>
    </row>
    <row r="402" spans="1:22" s="257" customFormat="1" ht="15.05" hidden="1" customHeight="1">
      <c r="A402" s="1886"/>
      <c r="B402" s="1886"/>
      <c r="C402" s="1886"/>
      <c r="D402" s="1886"/>
      <c r="E402" s="1886"/>
      <c r="F402" s="2850" t="s">
        <v>50</v>
      </c>
      <c r="G402" s="856"/>
      <c r="H402" s="2851"/>
      <c r="I402" s="856"/>
      <c r="J402" s="3238"/>
      <c r="K402" s="3173"/>
      <c r="L402" s="3174">
        <f>PerDinas!K953</f>
        <v>0</v>
      </c>
      <c r="M402" s="3175">
        <v>0</v>
      </c>
      <c r="N402" s="3174">
        <f>PerDinas!M953</f>
        <v>0</v>
      </c>
      <c r="O402" s="3174">
        <f>N402+M402</f>
        <v>0</v>
      </c>
      <c r="P402" s="3174">
        <v>0</v>
      </c>
      <c r="Q402" s="3174">
        <f t="shared" si="76"/>
        <v>0</v>
      </c>
      <c r="R402" s="3605" t="e">
        <f t="shared" si="77"/>
        <v>#DIV/0!</v>
      </c>
      <c r="S402" s="3712"/>
      <c r="T402" s="3831"/>
      <c r="U402" s="1899"/>
      <c r="V402" s="1846">
        <f t="shared" si="71"/>
        <v>0</v>
      </c>
    </row>
    <row r="403" spans="1:22" s="257" customFormat="1" ht="15.05" hidden="1" customHeight="1">
      <c r="A403" s="1855"/>
      <c r="B403" s="1855"/>
      <c r="C403" s="1855"/>
      <c r="D403" s="1855"/>
      <c r="E403" s="1855"/>
      <c r="F403" s="2732" t="s">
        <v>50</v>
      </c>
      <c r="G403" s="200"/>
      <c r="H403" s="2852"/>
      <c r="I403" s="200"/>
      <c r="J403" s="3215"/>
      <c r="K403" s="3171"/>
      <c r="L403" s="3125">
        <f>PerDinas!K765</f>
        <v>0</v>
      </c>
      <c r="M403" s="3124">
        <v>0</v>
      </c>
      <c r="N403" s="3125">
        <f>PerDinas!M765</f>
        <v>0</v>
      </c>
      <c r="O403" s="3125">
        <f>N403+M403</f>
        <v>0</v>
      </c>
      <c r="P403" s="3125">
        <v>0</v>
      </c>
      <c r="Q403" s="3125">
        <f t="shared" si="76"/>
        <v>0</v>
      </c>
      <c r="R403" s="3605" t="e">
        <f t="shared" si="77"/>
        <v>#DIV/0!</v>
      </c>
      <c r="S403" s="3702"/>
      <c r="T403" s="3820"/>
      <c r="U403" s="3771"/>
      <c r="V403" s="1846">
        <f t="shared" si="71"/>
        <v>0</v>
      </c>
    </row>
    <row r="404" spans="1:22" s="257" customFormat="1" ht="15.05" customHeight="1">
      <c r="A404" s="3573"/>
      <c r="B404" s="3573"/>
      <c r="C404" s="3573"/>
      <c r="D404" s="3573"/>
      <c r="E404" s="3573"/>
      <c r="F404" s="3536"/>
      <c r="G404" s="3537"/>
      <c r="H404" s="3565"/>
      <c r="I404" s="3537"/>
      <c r="J404" s="3566"/>
      <c r="K404" s="3567"/>
      <c r="L404" s="3568"/>
      <c r="M404" s="3569"/>
      <c r="N404" s="3568"/>
      <c r="O404" s="3568"/>
      <c r="P404" s="3568"/>
      <c r="Q404" s="3568"/>
      <c r="R404" s="3635"/>
      <c r="S404" s="3727"/>
      <c r="T404" s="3852"/>
      <c r="U404" s="3796"/>
      <c r="V404" s="1846">
        <f t="shared" si="71"/>
        <v>0</v>
      </c>
    </row>
    <row r="405" spans="1:22" s="2965" customFormat="1" ht="15.05" customHeight="1">
      <c r="A405" s="3870" t="s">
        <v>443</v>
      </c>
      <c r="B405" s="3870" t="s">
        <v>460</v>
      </c>
      <c r="C405" s="3870"/>
      <c r="D405" s="3870"/>
      <c r="E405" s="3870"/>
      <c r="F405" s="3558" t="s">
        <v>236</v>
      </c>
      <c r="G405" s="3559"/>
      <c r="H405" s="3560"/>
      <c r="I405" s="3559"/>
      <c r="J405" s="3561">
        <f>J406+J420+J425</f>
        <v>2333604004580</v>
      </c>
      <c r="K405" s="3561">
        <f>K406+K420+K425</f>
        <v>2587184362905</v>
      </c>
      <c r="L405" s="3561">
        <f>L406+L420+L425</f>
        <v>3222521202310</v>
      </c>
      <c r="M405" s="3562">
        <v>602895773311</v>
      </c>
      <c r="N405" s="3561">
        <f>N406+N420+N425</f>
        <v>226813668600</v>
      </c>
      <c r="O405" s="3561">
        <f>N405+M405</f>
        <v>829709441911</v>
      </c>
      <c r="P405" s="3561">
        <f>P406+P420+P425</f>
        <v>3211428669330</v>
      </c>
      <c r="Q405" s="3561">
        <f t="shared" ref="Q405:Q423" si="78">+P405-L405</f>
        <v>-11092532980</v>
      </c>
      <c r="R405" s="3636">
        <f>+P405/L405*100-100</f>
        <v>-0.34421908448727834</v>
      </c>
      <c r="S405" s="3728"/>
      <c r="T405" s="3853"/>
      <c r="U405" s="3807"/>
      <c r="V405" s="2964">
        <f t="shared" si="71"/>
        <v>3318837767644</v>
      </c>
    </row>
    <row r="406" spans="1:22" s="2917" customFormat="1" ht="15.05" customHeight="1">
      <c r="A406" s="3108" t="s">
        <v>443</v>
      </c>
      <c r="B406" s="3108" t="s">
        <v>460</v>
      </c>
      <c r="C406" s="3108" t="s">
        <v>58</v>
      </c>
      <c r="D406" s="3108"/>
      <c r="E406" s="3108"/>
      <c r="F406" s="3109" t="str">
        <f>MAR!H427</f>
        <v>DANA BAGI HASIL PAJAK/BAGI HASIL BUKAN PAJAK</v>
      </c>
      <c r="G406" s="3110"/>
      <c r="H406" s="3111"/>
      <c r="I406" s="3110"/>
      <c r="J406" s="3284">
        <f>J407+J415</f>
        <v>247954406000</v>
      </c>
      <c r="K406" s="3285">
        <f>K407+K415</f>
        <v>375036424549</v>
      </c>
      <c r="L406" s="3285">
        <f>L407+L415</f>
        <v>353125684600</v>
      </c>
      <c r="M406" s="3286">
        <v>77134449311</v>
      </c>
      <c r="N406" s="3284">
        <f>N407+N415</f>
        <v>43645442600</v>
      </c>
      <c r="O406" s="3284">
        <f>O407+O415</f>
        <v>120779891911</v>
      </c>
      <c r="P406" s="3284">
        <f>P407+P415</f>
        <v>328125684600</v>
      </c>
      <c r="Q406" s="3284">
        <f t="shared" si="78"/>
        <v>-25000000000</v>
      </c>
      <c r="R406" s="3637">
        <f>+P406/L406*100-100</f>
        <v>-7.0796322924849022</v>
      </c>
      <c r="S406" s="3729"/>
      <c r="T406" s="3854"/>
      <c r="U406" s="3808"/>
      <c r="V406" s="2904">
        <f t="shared" si="71"/>
        <v>483119567644</v>
      </c>
    </row>
    <row r="407" spans="1:22" s="1318" customFormat="1" ht="15.05" customHeight="1">
      <c r="A407" s="1905"/>
      <c r="B407" s="1905"/>
      <c r="C407" s="1905"/>
      <c r="D407" s="1905"/>
      <c r="E407" s="1905"/>
      <c r="F407" s="3089"/>
      <c r="G407" s="212" t="str">
        <f>MAR!H428</f>
        <v>Bagi Hasil Pajak</v>
      </c>
      <c r="H407" s="3098"/>
      <c r="I407" s="212"/>
      <c r="J407" s="3197">
        <f>SUM(J408:J414)</f>
        <v>165277884000</v>
      </c>
      <c r="K407" s="3288">
        <f>SUM(K408:K414)</f>
        <v>165676022293</v>
      </c>
      <c r="L407" s="3288">
        <f>SUM(L408:L414)</f>
        <v>185190481600</v>
      </c>
      <c r="M407" s="3198">
        <v>15220097700</v>
      </c>
      <c r="N407" s="3197">
        <f>SUM(N408:N414)</f>
        <v>43568767100</v>
      </c>
      <c r="O407" s="3197">
        <f>SUM(O408:O414)</f>
        <v>58788864800</v>
      </c>
      <c r="P407" s="3197">
        <f>SUM(P408+P412+P414)</f>
        <v>176690481600</v>
      </c>
      <c r="Q407" s="3197">
        <f t="shared" si="78"/>
        <v>-8500000000</v>
      </c>
      <c r="R407" s="3608">
        <f>+P407/L407*100-100</f>
        <v>-4.5898687268168885</v>
      </c>
      <c r="S407" s="3713"/>
      <c r="T407" s="3832"/>
      <c r="U407" s="1911"/>
      <c r="V407" s="1846">
        <f t="shared" si="71"/>
        <v>235155459200</v>
      </c>
    </row>
    <row r="408" spans="1:22" s="257" customFormat="1" ht="15.05" customHeight="1">
      <c r="A408" s="1855"/>
      <c r="B408" s="1855"/>
      <c r="C408" s="1855"/>
      <c r="D408" s="1855"/>
      <c r="E408" s="1855"/>
      <c r="F408" s="2214"/>
      <c r="G408" s="2727" t="s">
        <v>50</v>
      </c>
      <c r="H408" s="2852" t="str">
        <f>MAR!I429</f>
        <v>Bagi Hasil Pajak Bumi dan Bangunan</v>
      </c>
      <c r="I408" s="200"/>
      <c r="J408" s="3215">
        <v>13045670000</v>
      </c>
      <c r="K408" s="3171">
        <v>15360944277</v>
      </c>
      <c r="L408" s="3125">
        <v>10416269000</v>
      </c>
      <c r="M408" s="3124">
        <v>2542990867</v>
      </c>
      <c r="N408" s="3125">
        <v>2000213850</v>
      </c>
      <c r="O408" s="3125">
        <v>4543204717</v>
      </c>
      <c r="P408" s="3125">
        <v>10416269000</v>
      </c>
      <c r="Q408" s="3125">
        <f t="shared" si="78"/>
        <v>0</v>
      </c>
      <c r="R408" s="3605">
        <f>+P408/L408*100-100</f>
        <v>0</v>
      </c>
      <c r="S408" s="3275"/>
      <c r="T408" s="3826"/>
      <c r="U408" s="3771"/>
      <c r="V408" s="1846">
        <f t="shared" si="71"/>
        <v>18172818868</v>
      </c>
    </row>
    <row r="409" spans="1:22" s="257" customFormat="1" ht="15.05" hidden="1" customHeight="1">
      <c r="A409" s="1855"/>
      <c r="B409" s="1855"/>
      <c r="C409" s="1855"/>
      <c r="D409" s="1855"/>
      <c r="E409" s="1855"/>
      <c r="F409" s="2214"/>
      <c r="G409" s="2727" t="s">
        <v>50</v>
      </c>
      <c r="H409" s="2852" t="str">
        <f>MAR!I430</f>
        <v>Bagi Hasil dari Bea Perolehan Hak Atas Tanah dan Bangunan</v>
      </c>
      <c r="I409" s="200"/>
      <c r="J409" s="3248" t="s">
        <v>50</v>
      </c>
      <c r="K409" s="3193" t="s">
        <v>50</v>
      </c>
      <c r="L409" s="3125">
        <v>0</v>
      </c>
      <c r="M409" s="3124">
        <v>0</v>
      </c>
      <c r="N409" s="3125">
        <v>0</v>
      </c>
      <c r="O409" s="3125">
        <v>0</v>
      </c>
      <c r="P409" s="3125">
        <v>0</v>
      </c>
      <c r="Q409" s="3125">
        <f t="shared" si="78"/>
        <v>0</v>
      </c>
      <c r="R409" s="3605">
        <v>0</v>
      </c>
      <c r="S409" s="3275"/>
      <c r="T409" s="3826"/>
      <c r="U409" s="3771"/>
      <c r="V409" s="1846">
        <f t="shared" si="71"/>
        <v>0</v>
      </c>
    </row>
    <row r="410" spans="1:22" s="257" customFormat="1" ht="15.05" customHeight="1">
      <c r="A410" s="1855"/>
      <c r="B410" s="1855"/>
      <c r="C410" s="1855"/>
      <c r="D410" s="1855"/>
      <c r="E410" s="1855"/>
      <c r="F410" s="2214"/>
      <c r="G410" s="2727"/>
      <c r="H410" s="3904" t="s">
        <v>1204</v>
      </c>
      <c r="I410" s="3905"/>
      <c r="J410" s="3906"/>
      <c r="K410" s="3907"/>
      <c r="L410" s="3908"/>
      <c r="M410" s="3909"/>
      <c r="N410" s="3908"/>
      <c r="O410" s="3908"/>
      <c r="P410" s="3908">
        <v>10134749000</v>
      </c>
      <c r="Q410" s="3125"/>
      <c r="R410" s="3605"/>
      <c r="S410" s="3275"/>
      <c r="T410" s="3826"/>
      <c r="U410" s="3771"/>
      <c r="V410" s="1846"/>
    </row>
    <row r="411" spans="1:22" s="257" customFormat="1" ht="15.05" customHeight="1">
      <c r="A411" s="1855"/>
      <c r="B411" s="1855"/>
      <c r="C411" s="1855"/>
      <c r="D411" s="1855"/>
      <c r="E411" s="1855"/>
      <c r="F411" s="2214"/>
      <c r="G411" s="2727"/>
      <c r="H411" s="3904" t="s">
        <v>1203</v>
      </c>
      <c r="I411" s="3905"/>
      <c r="J411" s="3910"/>
      <c r="K411" s="3907"/>
      <c r="L411" s="3908"/>
      <c r="M411" s="3909"/>
      <c r="N411" s="3908"/>
      <c r="O411" s="3908"/>
      <c r="P411" s="3908">
        <v>281520000</v>
      </c>
      <c r="Q411" s="3125"/>
      <c r="R411" s="3605"/>
      <c r="S411" s="3275"/>
      <c r="T411" s="3826"/>
      <c r="U411" s="3771"/>
      <c r="V411" s="1846"/>
    </row>
    <row r="412" spans="1:22" s="257" customFormat="1" ht="15.05" customHeight="1">
      <c r="A412" s="1855"/>
      <c r="B412" s="1855"/>
      <c r="C412" s="1855"/>
      <c r="D412" s="1855"/>
      <c r="E412" s="1855"/>
      <c r="F412" s="2214"/>
      <c r="G412" s="2727" t="s">
        <v>50</v>
      </c>
      <c r="H412" s="2852" t="str">
        <f>MAR!I431</f>
        <v>Bagi Hasil dari Pajak Penghasilan (PPh) Pasal 25 dan Pasal 29</v>
      </c>
      <c r="I412" s="200"/>
      <c r="J412" s="3215">
        <v>78835708000</v>
      </c>
      <c r="K412" s="3171">
        <v>75733342003</v>
      </c>
      <c r="L412" s="3125">
        <v>104034902000</v>
      </c>
      <c r="M412" s="3124">
        <v>12576808932</v>
      </c>
      <c r="N412" s="3125">
        <v>23883725500</v>
      </c>
      <c r="O412" s="3125">
        <v>36460534432</v>
      </c>
      <c r="P412" s="3125">
        <v>95534902000</v>
      </c>
      <c r="Q412" s="3125">
        <f t="shared" si="78"/>
        <v>-8500000000</v>
      </c>
      <c r="R412" s="3605">
        <f t="shared" ref="R412:R418" si="79">+P412/L412*100-100</f>
        <v>-8.1703349900786151</v>
      </c>
      <c r="S412" s="3275"/>
      <c r="T412" s="3826"/>
      <c r="U412" s="3771"/>
      <c r="V412" s="1846">
        <f t="shared" si="71"/>
        <v>145842137728</v>
      </c>
    </row>
    <row r="413" spans="1:22" s="257" customFormat="1" ht="15.05" customHeight="1">
      <c r="A413" s="1855"/>
      <c r="B413" s="1855"/>
      <c r="C413" s="1855"/>
      <c r="D413" s="1855"/>
      <c r="E413" s="1855"/>
      <c r="F413" s="2214"/>
      <c r="G413" s="2727" t="s">
        <v>50</v>
      </c>
      <c r="H413" s="2852" t="str">
        <f>MAR!I432</f>
        <v>wajb pajak orang pribadi dalam negeri dan PPh Pasal 21</v>
      </c>
      <c r="I413" s="200"/>
      <c r="J413" s="3215"/>
      <c r="K413" s="3171"/>
      <c r="L413" s="3125">
        <f>MAR!J432</f>
        <v>0</v>
      </c>
      <c r="M413" s="3124">
        <v>0</v>
      </c>
      <c r="N413" s="3125">
        <f>MAR!L432</f>
        <v>0</v>
      </c>
      <c r="O413" s="3125">
        <f>MAR!M432</f>
        <v>0</v>
      </c>
      <c r="P413" s="3125">
        <v>0</v>
      </c>
      <c r="Q413" s="3125">
        <f t="shared" si="78"/>
        <v>0</v>
      </c>
      <c r="R413" s="3605">
        <v>0</v>
      </c>
      <c r="S413" s="3275"/>
      <c r="T413" s="3826"/>
      <c r="U413" s="3771"/>
      <c r="V413" s="1846">
        <f t="shared" si="71"/>
        <v>0</v>
      </c>
    </row>
    <row r="414" spans="1:22" s="257" customFormat="1" ht="15.05" customHeight="1">
      <c r="A414" s="1855"/>
      <c r="B414" s="1855"/>
      <c r="C414" s="1855"/>
      <c r="D414" s="1855"/>
      <c r="E414" s="1855"/>
      <c r="F414" s="2214"/>
      <c r="G414" s="2727" t="s">
        <v>50</v>
      </c>
      <c r="H414" s="2852" t="str">
        <f>MAR!I433</f>
        <v>Bagi Hasil Cukai Tembakau</v>
      </c>
      <c r="I414" s="200"/>
      <c r="J414" s="3215">
        <v>73396506000</v>
      </c>
      <c r="K414" s="3171">
        <v>74581736013</v>
      </c>
      <c r="L414" s="3125">
        <v>70739310600</v>
      </c>
      <c r="M414" s="3124">
        <v>100297901</v>
      </c>
      <c r="N414" s="3125">
        <v>17684827750</v>
      </c>
      <c r="O414" s="3125">
        <v>17785125651</v>
      </c>
      <c r="P414" s="3125">
        <v>70739310600</v>
      </c>
      <c r="Q414" s="3125">
        <f t="shared" si="78"/>
        <v>0</v>
      </c>
      <c r="R414" s="3605">
        <f t="shared" si="79"/>
        <v>0</v>
      </c>
      <c r="S414" s="3275"/>
      <c r="T414" s="3826"/>
      <c r="U414" s="3771"/>
      <c r="V414" s="1846">
        <f t="shared" si="71"/>
        <v>71140502604</v>
      </c>
    </row>
    <row r="415" spans="1:22" s="1318" customFormat="1" ht="15.05" customHeight="1">
      <c r="A415" s="1902"/>
      <c r="B415" s="1902"/>
      <c r="C415" s="1902"/>
      <c r="D415" s="1902"/>
      <c r="E415" s="1902"/>
      <c r="F415" s="1856"/>
      <c r="G415" s="2728" t="str">
        <f>MAR!H435</f>
        <v>Bagi Hasil Bukan Pajak/Sumber Daya Alam</v>
      </c>
      <c r="H415" s="2854"/>
      <c r="I415" s="2322"/>
      <c r="J415" s="3272">
        <f>SUM(J416:J418)</f>
        <v>82676522000</v>
      </c>
      <c r="K415" s="3272">
        <f>SUM(K416:K418)</f>
        <v>209360402256</v>
      </c>
      <c r="L415" s="3289">
        <f>SUM(L416:L418)</f>
        <v>167935203000</v>
      </c>
      <c r="M415" s="3290">
        <v>61914351611</v>
      </c>
      <c r="N415" s="3289">
        <f>SUM(N416:N419)</f>
        <v>76675500</v>
      </c>
      <c r="O415" s="3289">
        <f>SUM(O416:O419)</f>
        <v>61991027111</v>
      </c>
      <c r="P415" s="3289">
        <f>SUM(P416:P418)</f>
        <v>151435203000</v>
      </c>
      <c r="Q415" s="3289">
        <f t="shared" si="78"/>
        <v>-16500000000</v>
      </c>
      <c r="R415" s="3606">
        <f t="shared" si="79"/>
        <v>-9.8252181229685362</v>
      </c>
      <c r="S415" s="3711"/>
      <c r="T415" s="3830"/>
      <c r="U415" s="1936"/>
      <c r="V415" s="1846">
        <f t="shared" si="71"/>
        <v>247964108444</v>
      </c>
    </row>
    <row r="416" spans="1:22" s="257" customFormat="1" ht="15.05" customHeight="1">
      <c r="A416" s="1886"/>
      <c r="B416" s="1886"/>
      <c r="C416" s="1886"/>
      <c r="D416" s="1886"/>
      <c r="E416" s="1886"/>
      <c r="F416" s="2214"/>
      <c r="G416" s="2727" t="s">
        <v>50</v>
      </c>
      <c r="H416" s="2852" t="str">
        <f>MAR!I436</f>
        <v>Bagi Hasil dari Iuran Hak Pengusahaan Hutan</v>
      </c>
      <c r="I416" s="856"/>
      <c r="J416" s="3238">
        <v>13941000</v>
      </c>
      <c r="K416" s="3173">
        <v>28170635</v>
      </c>
      <c r="L416" s="3174">
        <v>511170000</v>
      </c>
      <c r="M416" s="3175">
        <v>0</v>
      </c>
      <c r="N416" s="3174">
        <v>66556500</v>
      </c>
      <c r="O416" s="3174">
        <v>66556500</v>
      </c>
      <c r="P416" s="3174">
        <v>511170000</v>
      </c>
      <c r="Q416" s="3174">
        <f t="shared" si="78"/>
        <v>0</v>
      </c>
      <c r="R416" s="3612">
        <f t="shared" si="79"/>
        <v>0</v>
      </c>
      <c r="S416" s="3709"/>
      <c r="T416" s="3828"/>
      <c r="U416" s="1899"/>
      <c r="V416" s="1846">
        <f t="shared" si="71"/>
        <v>266226000</v>
      </c>
    </row>
    <row r="417" spans="1:22" s="257" customFormat="1" ht="15.05" customHeight="1">
      <c r="A417" s="1886"/>
      <c r="B417" s="1886"/>
      <c r="C417" s="1886"/>
      <c r="D417" s="1886"/>
      <c r="E417" s="1886"/>
      <c r="F417" s="2214"/>
      <c r="G417" s="2727" t="s">
        <v>50</v>
      </c>
      <c r="H417" s="2852" t="str">
        <f>MAR!I437</f>
        <v>Bagi Hasil dari Iuran Tetap (Land-Rent)</v>
      </c>
      <c r="I417" s="856"/>
      <c r="J417" s="3238">
        <v>4202581000</v>
      </c>
      <c r="K417" s="3173">
        <v>2669992293</v>
      </c>
      <c r="L417" s="3174">
        <v>4168131000</v>
      </c>
      <c r="M417" s="3175">
        <v>1232728624</v>
      </c>
      <c r="N417" s="3174">
        <v>0</v>
      </c>
      <c r="O417" s="3174">
        <v>1232728624</v>
      </c>
      <c r="P417" s="3174">
        <v>4168131000</v>
      </c>
      <c r="Q417" s="3174">
        <f t="shared" si="78"/>
        <v>0</v>
      </c>
      <c r="R417" s="3612">
        <f t="shared" si="79"/>
        <v>0</v>
      </c>
      <c r="S417" s="3709"/>
      <c r="T417" s="3828"/>
      <c r="U417" s="1899"/>
      <c r="V417" s="1846">
        <f t="shared" si="71"/>
        <v>4930914496</v>
      </c>
    </row>
    <row r="418" spans="1:22" s="257" customFormat="1" ht="15.05" customHeight="1">
      <c r="A418" s="1886"/>
      <c r="B418" s="1886"/>
      <c r="C418" s="1886"/>
      <c r="D418" s="1886"/>
      <c r="E418" s="1886"/>
      <c r="F418" s="2214"/>
      <c r="G418" s="2727" t="s">
        <v>50</v>
      </c>
      <c r="H418" s="2852" t="str">
        <f>MAR!I438</f>
        <v>Bagi Hasil dari Iuran Eksplorasi dan Iuran Eksploitasi (Royalty)</v>
      </c>
      <c r="I418" s="856"/>
      <c r="J418" s="3238">
        <v>78460000000</v>
      </c>
      <c r="K418" s="3173">
        <v>206662239328</v>
      </c>
      <c r="L418" s="3174">
        <v>163255902000</v>
      </c>
      <c r="M418" s="3175">
        <v>60654372288</v>
      </c>
      <c r="N418" s="3174">
        <v>0</v>
      </c>
      <c r="O418" s="3174">
        <v>60654372288</v>
      </c>
      <c r="P418" s="3174">
        <v>146755902000</v>
      </c>
      <c r="Q418" s="3174">
        <f t="shared" si="78"/>
        <v>-16500000000</v>
      </c>
      <c r="R418" s="3612">
        <f t="shared" si="79"/>
        <v>-10.1068321560589</v>
      </c>
      <c r="S418" s="3709"/>
      <c r="T418" s="3828"/>
      <c r="U418" s="1899"/>
      <c r="V418" s="1846">
        <f t="shared" si="71"/>
        <v>242617489152</v>
      </c>
    </row>
    <row r="419" spans="1:22" s="257" customFormat="1" ht="15.05" customHeight="1">
      <c r="A419" s="1886"/>
      <c r="B419" s="1886"/>
      <c r="C419" s="1886"/>
      <c r="D419" s="1886"/>
      <c r="E419" s="1886"/>
      <c r="F419" s="856"/>
      <c r="G419" s="2729" t="s">
        <v>50</v>
      </c>
      <c r="H419" s="2858" t="s">
        <v>461</v>
      </c>
      <c r="I419" s="856"/>
      <c r="J419" s="3238"/>
      <c r="K419" s="3173"/>
      <c r="L419" s="3174"/>
      <c r="M419" s="3175">
        <v>27250699</v>
      </c>
      <c r="N419" s="3174">
        <f>MAR!L439</f>
        <v>10119000</v>
      </c>
      <c r="O419" s="3174">
        <f>MAR!M439</f>
        <v>37369699</v>
      </c>
      <c r="P419" s="3174"/>
      <c r="Q419" s="3174">
        <f t="shared" si="78"/>
        <v>0</v>
      </c>
      <c r="R419" s="3612">
        <v>0</v>
      </c>
      <c r="S419" s="3709"/>
      <c r="T419" s="3828"/>
      <c r="U419" s="1899"/>
      <c r="V419" s="1846">
        <f t="shared" si="71"/>
        <v>149478796</v>
      </c>
    </row>
    <row r="420" spans="1:22" s="2917" customFormat="1" ht="15.05" customHeight="1">
      <c r="A420" s="3100" t="s">
        <v>443</v>
      </c>
      <c r="B420" s="3101" t="s">
        <v>460</v>
      </c>
      <c r="C420" s="3101" t="s">
        <v>460</v>
      </c>
      <c r="D420" s="3101"/>
      <c r="E420" s="3101"/>
      <c r="F420" s="3106" t="str">
        <f>MAR!H440</f>
        <v>DANA ALOKASI UMUM</v>
      </c>
      <c r="G420" s="3103"/>
      <c r="H420" s="3104"/>
      <c r="I420" s="3103"/>
      <c r="J420" s="3292">
        <f>J421</f>
        <v>955792513580</v>
      </c>
      <c r="K420" s="3292">
        <f>K421</f>
        <v>1117691709000</v>
      </c>
      <c r="L420" s="3292">
        <f>L421</f>
        <v>1496972549710</v>
      </c>
      <c r="M420" s="3293">
        <v>354005724000</v>
      </c>
      <c r="N420" s="3292">
        <f>N421</f>
        <v>118001908000</v>
      </c>
      <c r="O420" s="3292">
        <f>O421</f>
        <v>472007632000</v>
      </c>
      <c r="P420" s="3292">
        <f>P421</f>
        <v>1491522952000</v>
      </c>
      <c r="Q420" s="3292">
        <f t="shared" si="78"/>
        <v>-5449597710</v>
      </c>
      <c r="R420" s="3638">
        <f>+P420/L420*100-100</f>
        <v>-0.36404125854249969</v>
      </c>
      <c r="S420" s="3730"/>
      <c r="T420" s="3837"/>
      <c r="U420" s="3105"/>
      <c r="V420" s="2904">
        <f t="shared" si="71"/>
        <v>1888030528000</v>
      </c>
    </row>
    <row r="421" spans="1:22" s="1318" customFormat="1" ht="15.05" customHeight="1">
      <c r="A421" s="1725"/>
      <c r="B421" s="1725"/>
      <c r="C421" s="1725"/>
      <c r="D421" s="1725"/>
      <c r="E421" s="1725"/>
      <c r="F421" s="3089"/>
      <c r="G421" s="2744" t="str">
        <f>MAR!H441</f>
        <v>Dana Alokai Umum</v>
      </c>
      <c r="H421" s="3098"/>
      <c r="J421" s="3295">
        <v>955792513580</v>
      </c>
      <c r="K421" s="3147">
        <v>1117691709000</v>
      </c>
      <c r="L421" s="3296">
        <f>SUM(L422:L423)</f>
        <v>1496972549710</v>
      </c>
      <c r="M421" s="3297">
        <v>354005724000</v>
      </c>
      <c r="N421" s="3296">
        <f>SUM(N422:N423)</f>
        <v>118001908000</v>
      </c>
      <c r="O421" s="3296">
        <f>SUM(O422:O423)</f>
        <v>472007632000</v>
      </c>
      <c r="P421" s="3296">
        <f>P422</f>
        <v>1491522952000</v>
      </c>
      <c r="Q421" s="3296">
        <f t="shared" si="78"/>
        <v>-5449597710</v>
      </c>
      <c r="R421" s="3607">
        <f>+P421/L421*100-100</f>
        <v>-0.36404125854249969</v>
      </c>
      <c r="S421" s="3700"/>
      <c r="T421" s="3818"/>
      <c r="U421" s="3099"/>
      <c r="V421" s="1846">
        <f t="shared" ref="V421:V432" si="80">O421*4</f>
        <v>1888030528000</v>
      </c>
    </row>
    <row r="422" spans="1:22" s="257" customFormat="1" ht="15.05" customHeight="1">
      <c r="A422" s="1886"/>
      <c r="B422" s="1886"/>
      <c r="C422" s="1886"/>
      <c r="D422" s="1886"/>
      <c r="E422" s="1886"/>
      <c r="F422" s="2214"/>
      <c r="G422" s="2727" t="s">
        <v>50</v>
      </c>
      <c r="H422" s="2852" t="str">
        <f>MAR!I442</f>
        <v>DAU Murni</v>
      </c>
      <c r="I422" s="856"/>
      <c r="J422" s="3238"/>
      <c r="K422" s="3173"/>
      <c r="L422" s="3174">
        <v>1416022952000</v>
      </c>
      <c r="M422" s="3175">
        <v>354005724000</v>
      </c>
      <c r="N422" s="3174">
        <v>118001908000</v>
      </c>
      <c r="O422" s="3174">
        <v>472007632000</v>
      </c>
      <c r="P422" s="3174">
        <v>1491522952000</v>
      </c>
      <c r="Q422" s="3174">
        <f t="shared" si="78"/>
        <v>75500000000</v>
      </c>
      <c r="R422" s="3612">
        <f>+P422/L422*100-100</f>
        <v>5.3318344800388502</v>
      </c>
      <c r="S422" s="3709"/>
      <c r="T422" s="3828"/>
      <c r="U422" s="1899"/>
      <c r="V422" s="1846">
        <f t="shared" si="80"/>
        <v>1888030528000</v>
      </c>
    </row>
    <row r="423" spans="1:22" s="257" customFormat="1" ht="15.05" customHeight="1">
      <c r="A423" s="1886"/>
      <c r="B423" s="1886"/>
      <c r="C423" s="1886"/>
      <c r="D423" s="1886"/>
      <c r="E423" s="1886"/>
      <c r="F423" s="2214"/>
      <c r="G423" s="2727" t="s">
        <v>50</v>
      </c>
      <c r="H423" s="2852" t="str">
        <f>MAR!I443</f>
        <v>Penambahan DAU Akibat Penundaan</v>
      </c>
      <c r="I423" s="856"/>
      <c r="J423" s="3238"/>
      <c r="K423" s="3173"/>
      <c r="L423" s="3174">
        <v>80949597710</v>
      </c>
      <c r="M423" s="3175">
        <v>0</v>
      </c>
      <c r="N423" s="3174">
        <v>0</v>
      </c>
      <c r="O423" s="3174">
        <v>0</v>
      </c>
      <c r="P423" s="3174">
        <v>0</v>
      </c>
      <c r="Q423" s="3174">
        <f t="shared" si="78"/>
        <v>-80949597710</v>
      </c>
      <c r="R423" s="3612">
        <f>+P423/L423*100-100</f>
        <v>-100</v>
      </c>
      <c r="S423" s="3709"/>
      <c r="T423" s="3828"/>
      <c r="U423" s="1899"/>
      <c r="V423" s="1846">
        <f t="shared" si="80"/>
        <v>0</v>
      </c>
    </row>
    <row r="424" spans="1:22" s="257" customFormat="1" ht="15.05" customHeight="1">
      <c r="A424" s="1886"/>
      <c r="B424" s="1886"/>
      <c r="C424" s="1886"/>
      <c r="D424" s="1886"/>
      <c r="E424" s="1886"/>
      <c r="F424" s="2356"/>
      <c r="G424" s="856"/>
      <c r="H424" s="2858"/>
      <c r="I424" s="856"/>
      <c r="J424" s="3238"/>
      <c r="K424" s="3173"/>
      <c r="L424" s="3174"/>
      <c r="M424" s="3175"/>
      <c r="N424" s="3174"/>
      <c r="O424" s="3174"/>
      <c r="P424" s="3174"/>
      <c r="Q424" s="3174"/>
      <c r="R424" s="3612"/>
      <c r="S424" s="3712"/>
      <c r="T424" s="3831"/>
      <c r="U424" s="1899"/>
      <c r="V424" s="1846">
        <f t="shared" si="80"/>
        <v>0</v>
      </c>
    </row>
    <row r="425" spans="1:22" s="2917" customFormat="1" ht="15.05" customHeight="1">
      <c r="A425" s="3100" t="s">
        <v>443</v>
      </c>
      <c r="B425" s="3101" t="s">
        <v>460</v>
      </c>
      <c r="C425" s="3101" t="s">
        <v>457</v>
      </c>
      <c r="D425" s="3101"/>
      <c r="E425" s="3101"/>
      <c r="F425" s="3102" t="str">
        <f>MAR!H445</f>
        <v>DANA ALOKASI KHUSUS</v>
      </c>
      <c r="G425" s="3103"/>
      <c r="H425" s="3104"/>
      <c r="I425" s="3103"/>
      <c r="J425" s="3292">
        <f>J426</f>
        <v>1129857085000</v>
      </c>
      <c r="K425" s="3292">
        <f>K426</f>
        <v>1094456229356</v>
      </c>
      <c r="L425" s="3292">
        <f>L426</f>
        <v>1372422968000</v>
      </c>
      <c r="M425" s="3293">
        <v>171755600000</v>
      </c>
      <c r="N425" s="3292">
        <f>N426</f>
        <v>65166318000</v>
      </c>
      <c r="O425" s="3292">
        <f>O426</f>
        <v>236921918000</v>
      </c>
      <c r="P425" s="3292">
        <f>P426</f>
        <v>1391780032730</v>
      </c>
      <c r="Q425" s="3292">
        <f t="shared" ref="Q425:Q432" si="81">+P425-L425</f>
        <v>19357064730</v>
      </c>
      <c r="R425" s="3638">
        <f t="shared" ref="R425:R432" si="82">+P425/L425*100-100</f>
        <v>1.4104299608311379</v>
      </c>
      <c r="S425" s="3730"/>
      <c r="T425" s="3837"/>
      <c r="U425" s="3105"/>
      <c r="V425" s="2904">
        <f t="shared" si="80"/>
        <v>947687672000</v>
      </c>
    </row>
    <row r="426" spans="1:22" s="1318" customFormat="1" ht="15.05" customHeight="1">
      <c r="A426" s="1725"/>
      <c r="B426" s="1725"/>
      <c r="C426" s="1725"/>
      <c r="D426" s="1725"/>
      <c r="E426" s="1725"/>
      <c r="F426" s="3089"/>
      <c r="G426" s="2744" t="str">
        <f>MAR!H446</f>
        <v>Dana Alokasi Khusus</v>
      </c>
      <c r="H426" s="3098"/>
      <c r="J426" s="3296">
        <f>J427+J435</f>
        <v>1129857085000</v>
      </c>
      <c r="K426" s="3296">
        <f>K427+K435</f>
        <v>1094456229356</v>
      </c>
      <c r="L426" s="3296">
        <f>L427+L435</f>
        <v>1372422968000</v>
      </c>
      <c r="M426" s="3297">
        <v>171755600000</v>
      </c>
      <c r="N426" s="3296">
        <f>N427+N435</f>
        <v>65166318000</v>
      </c>
      <c r="O426" s="3296">
        <f>O427+O435</f>
        <v>236921918000</v>
      </c>
      <c r="P426" s="3296">
        <f>P427+P435</f>
        <v>1391780032730</v>
      </c>
      <c r="Q426" s="3296">
        <f t="shared" si="81"/>
        <v>19357064730</v>
      </c>
      <c r="R426" s="3607">
        <f t="shared" si="82"/>
        <v>1.4104299608311379</v>
      </c>
      <c r="S426" s="3706"/>
      <c r="T426" s="3824"/>
      <c r="U426" s="3099"/>
      <c r="V426" s="1846">
        <f t="shared" si="80"/>
        <v>947687672000</v>
      </c>
    </row>
    <row r="427" spans="1:22" s="1318" customFormat="1" ht="15.05" customHeight="1">
      <c r="A427" s="1902"/>
      <c r="B427" s="1902"/>
      <c r="C427" s="1902"/>
      <c r="D427" s="1902"/>
      <c r="E427" s="1902"/>
      <c r="F427" s="1856"/>
      <c r="G427" s="202"/>
      <c r="H427" s="2854" t="str">
        <f>MAR!I447</f>
        <v>DAK Murni Non Fisik</v>
      </c>
      <c r="I427" s="2322"/>
      <c r="J427" s="3289">
        <f>SUM(J428:J434)</f>
        <v>625147065000</v>
      </c>
      <c r="K427" s="3289">
        <f>SUM(K428:K434)</f>
        <v>840054801000</v>
      </c>
      <c r="L427" s="3289">
        <f>SUM(L428:L434)</f>
        <v>1074923968000</v>
      </c>
      <c r="M427" s="3290">
        <v>171755600000</v>
      </c>
      <c r="N427" s="3289">
        <f>SUM(N428:N432)</f>
        <v>65166318000</v>
      </c>
      <c r="O427" s="3289">
        <f>SUM(O428:O432)</f>
        <v>236921918000</v>
      </c>
      <c r="P427" s="3289">
        <v>1074923968000</v>
      </c>
      <c r="Q427" s="3289">
        <f t="shared" si="81"/>
        <v>0</v>
      </c>
      <c r="R427" s="3606">
        <f t="shared" si="82"/>
        <v>0</v>
      </c>
      <c r="S427" s="3711"/>
      <c r="T427" s="3830"/>
      <c r="U427" s="1936"/>
      <c r="V427" s="1846">
        <f t="shared" si="80"/>
        <v>947687672000</v>
      </c>
    </row>
    <row r="428" spans="1:22" s="257" customFormat="1" ht="15.05" customHeight="1">
      <c r="A428" s="1886"/>
      <c r="B428" s="1886"/>
      <c r="C428" s="1886"/>
      <c r="D428" s="1886"/>
      <c r="E428" s="1886"/>
      <c r="F428" s="2214"/>
      <c r="G428" s="200"/>
      <c r="H428" s="2852" t="str">
        <f>MAR!I448</f>
        <v>- BOS</v>
      </c>
      <c r="I428" s="856"/>
      <c r="J428" s="3238">
        <v>619824550000</v>
      </c>
      <c r="K428" s="3173">
        <v>826042895000</v>
      </c>
      <c r="L428" s="3174">
        <v>858778000000</v>
      </c>
      <c r="M428" s="3175">
        <v>171755600000</v>
      </c>
      <c r="N428" s="3174">
        <v>0</v>
      </c>
      <c r="O428" s="3174">
        <v>171755600000</v>
      </c>
      <c r="P428" s="3174">
        <v>858778000000</v>
      </c>
      <c r="Q428" s="3174">
        <f t="shared" si="81"/>
        <v>0</v>
      </c>
      <c r="R428" s="3612">
        <f t="shared" si="82"/>
        <v>0</v>
      </c>
      <c r="S428" s="3709"/>
      <c r="T428" s="3828"/>
      <c r="U428" s="1899"/>
      <c r="V428" s="1846">
        <f t="shared" si="80"/>
        <v>687022400000</v>
      </c>
    </row>
    <row r="429" spans="1:22" s="257" customFormat="1" ht="15.05" customHeight="1">
      <c r="A429" s="1886"/>
      <c r="B429" s="1886"/>
      <c r="C429" s="1886"/>
      <c r="D429" s="1886"/>
      <c r="E429" s="1886"/>
      <c r="F429" s="2214"/>
      <c r="G429" s="200"/>
      <c r="H429" s="2852" t="str">
        <f>MAR!I449</f>
        <v>- Tunjangan Profesi Guru</v>
      </c>
      <c r="I429" s="856"/>
      <c r="J429" s="3238"/>
      <c r="K429" s="3173"/>
      <c r="L429" s="3174">
        <v>207376785000</v>
      </c>
      <c r="M429" s="3175">
        <v>0</v>
      </c>
      <c r="N429" s="3174">
        <v>62213035000</v>
      </c>
      <c r="O429" s="3174">
        <v>62213035000</v>
      </c>
      <c r="P429" s="3174">
        <v>207376785000</v>
      </c>
      <c r="Q429" s="3174">
        <f t="shared" si="81"/>
        <v>0</v>
      </c>
      <c r="R429" s="3612">
        <f t="shared" si="82"/>
        <v>0</v>
      </c>
      <c r="S429" s="3709"/>
      <c r="T429" s="3828"/>
      <c r="U429" s="1899"/>
      <c r="V429" s="1846">
        <f t="shared" si="80"/>
        <v>248852140000</v>
      </c>
    </row>
    <row r="430" spans="1:22" s="257" customFormat="1" ht="15.05" customHeight="1">
      <c r="A430" s="1886"/>
      <c r="B430" s="1886"/>
      <c r="C430" s="1886"/>
      <c r="D430" s="1886"/>
      <c r="E430" s="1886"/>
      <c r="F430" s="2214"/>
      <c r="G430" s="200"/>
      <c r="H430" s="2852" t="str">
        <f>MAR!I450</f>
        <v>- Tambahan Penghasilan</v>
      </c>
      <c r="I430" s="856"/>
      <c r="J430" s="3238"/>
      <c r="K430" s="3173"/>
      <c r="L430" s="3174">
        <v>4737000000</v>
      </c>
      <c r="M430" s="3175">
        <v>0</v>
      </c>
      <c r="N430" s="3174">
        <v>1421100000</v>
      </c>
      <c r="O430" s="3174">
        <v>1421100000</v>
      </c>
      <c r="P430" s="3174">
        <v>4737000000</v>
      </c>
      <c r="Q430" s="3174">
        <f t="shared" si="81"/>
        <v>0</v>
      </c>
      <c r="R430" s="3612">
        <f t="shared" si="82"/>
        <v>0</v>
      </c>
      <c r="S430" s="3709"/>
      <c r="T430" s="3828"/>
      <c r="U430" s="1899"/>
      <c r="V430" s="1846">
        <f t="shared" si="80"/>
        <v>5684400000</v>
      </c>
    </row>
    <row r="431" spans="1:22" s="257" customFormat="1" ht="15.05" customHeight="1">
      <c r="A431" s="1886"/>
      <c r="B431" s="1886"/>
      <c r="C431" s="1886"/>
      <c r="D431" s="1886"/>
      <c r="E431" s="1886"/>
      <c r="F431" s="2214"/>
      <c r="G431" s="200"/>
      <c r="H431" s="2852" t="str">
        <f>MAR!I451</f>
        <v>- Koperasi UKM</v>
      </c>
      <c r="I431" s="856"/>
      <c r="J431" s="3238">
        <v>2500000000</v>
      </c>
      <c r="K431" s="3173">
        <v>5000000000</v>
      </c>
      <c r="L431" s="3174">
        <v>2500000000</v>
      </c>
      <c r="M431" s="3175">
        <v>0</v>
      </c>
      <c r="N431" s="3174">
        <v>1532183000</v>
      </c>
      <c r="O431" s="3174">
        <v>1532183000</v>
      </c>
      <c r="P431" s="3174">
        <v>2500000000</v>
      </c>
      <c r="Q431" s="3174">
        <f t="shared" si="81"/>
        <v>0</v>
      </c>
      <c r="R431" s="3612">
        <f t="shared" si="82"/>
        <v>0</v>
      </c>
      <c r="S431" s="3709"/>
      <c r="T431" s="3828"/>
      <c r="U431" s="1899"/>
      <c r="V431" s="1846">
        <f t="shared" si="80"/>
        <v>6128732000</v>
      </c>
    </row>
    <row r="432" spans="1:22" s="257" customFormat="1" ht="15.05" customHeight="1">
      <c r="A432" s="1886"/>
      <c r="B432" s="1886"/>
      <c r="C432" s="1886"/>
      <c r="D432" s="1886"/>
      <c r="E432" s="1886"/>
      <c r="F432" s="2214"/>
      <c r="G432" s="200"/>
      <c r="H432" s="2852" t="str">
        <f>MAR!I452</f>
        <v>- Dinas Sosial Kependudukan</v>
      </c>
      <c r="I432" s="856"/>
      <c r="J432" s="3238">
        <v>0</v>
      </c>
      <c r="K432" s="3173">
        <v>4151773000</v>
      </c>
      <c r="L432" s="3174">
        <v>1532183000</v>
      </c>
      <c r="M432" s="3175">
        <v>0</v>
      </c>
      <c r="N432" s="3174">
        <v>0</v>
      </c>
      <c r="O432" s="3174">
        <v>0</v>
      </c>
      <c r="P432" s="3174">
        <v>1532183000</v>
      </c>
      <c r="Q432" s="3174">
        <f t="shared" si="81"/>
        <v>0</v>
      </c>
      <c r="R432" s="3612">
        <f t="shared" si="82"/>
        <v>0</v>
      </c>
      <c r="S432" s="3709"/>
      <c r="T432" s="3828"/>
      <c r="U432" s="1899"/>
      <c r="V432" s="1846">
        <f t="shared" si="80"/>
        <v>0</v>
      </c>
    </row>
    <row r="433" spans="1:22" s="257" customFormat="1" ht="15.05" customHeight="1">
      <c r="A433" s="1886"/>
      <c r="B433" s="1886"/>
      <c r="C433" s="1886"/>
      <c r="D433" s="1886"/>
      <c r="E433" s="1886"/>
      <c r="F433" s="2214"/>
      <c r="G433" s="200"/>
      <c r="H433" s="2855" t="s">
        <v>610</v>
      </c>
      <c r="I433" s="856"/>
      <c r="J433" s="3238">
        <v>708360000</v>
      </c>
      <c r="K433" s="3173">
        <v>708360000</v>
      </c>
      <c r="L433" s="3174"/>
      <c r="M433" s="3175"/>
      <c r="N433" s="3174"/>
      <c r="O433" s="3182">
        <f>L461+L462</f>
        <v>51419400</v>
      </c>
      <c r="P433" s="3174"/>
      <c r="Q433" s="3174"/>
      <c r="R433" s="3612"/>
      <c r="S433" s="3709"/>
      <c r="T433" s="3828"/>
      <c r="U433" s="1899"/>
      <c r="V433" s="1846"/>
    </row>
    <row r="434" spans="1:22" s="257" customFormat="1" ht="15.05" customHeight="1">
      <c r="A434" s="1886"/>
      <c r="B434" s="1886"/>
      <c r="C434" s="1886"/>
      <c r="D434" s="1886"/>
      <c r="E434" s="1886"/>
      <c r="F434" s="2214"/>
      <c r="G434" s="200"/>
      <c r="H434" s="2855" t="s">
        <v>611</v>
      </c>
      <c r="I434" s="856"/>
      <c r="J434" s="3238">
        <v>2114155000</v>
      </c>
      <c r="K434" s="3173">
        <v>4151773000</v>
      </c>
      <c r="L434" s="3174"/>
      <c r="M434" s="3175"/>
      <c r="N434" s="3174"/>
      <c r="O434" s="3174"/>
      <c r="P434" s="3174"/>
      <c r="Q434" s="3174"/>
      <c r="R434" s="3612"/>
      <c r="S434" s="3709"/>
      <c r="T434" s="3828"/>
      <c r="U434" s="1899"/>
      <c r="V434" s="1846"/>
    </row>
    <row r="435" spans="1:22" s="1318" customFormat="1" ht="15.05" customHeight="1">
      <c r="A435" s="1902"/>
      <c r="B435" s="1902"/>
      <c r="C435" s="1902"/>
      <c r="D435" s="1902"/>
      <c r="E435" s="1902"/>
      <c r="F435" s="1856"/>
      <c r="G435" s="202"/>
      <c r="H435" s="2854" t="str">
        <f>MAR!I453</f>
        <v>DAK Fisik</v>
      </c>
      <c r="I435" s="2322"/>
      <c r="J435" s="3272">
        <f>504710020000</f>
        <v>504710020000</v>
      </c>
      <c r="K435" s="3142">
        <f>10319496286+1625920000+1450931000+28095350000+184689298167+18179605000+10040827903</f>
        <v>254401428356</v>
      </c>
      <c r="L435" s="3174">
        <f>MAR!J453</f>
        <v>297499000000</v>
      </c>
      <c r="M435" s="3175">
        <v>0</v>
      </c>
      <c r="N435" s="3174">
        <f>MAR!L453</f>
        <v>0</v>
      </c>
      <c r="O435" s="3174">
        <f>MAR!M453</f>
        <v>0</v>
      </c>
      <c r="P435" s="3174">
        <v>316856064730</v>
      </c>
      <c r="Q435" s="3174">
        <f>+P435-L435</f>
        <v>19357064730</v>
      </c>
      <c r="R435" s="3612">
        <f>+P435/L435*100-100</f>
        <v>6.5065982507504145</v>
      </c>
      <c r="S435" s="3709"/>
      <c r="T435" s="3828"/>
      <c r="U435" s="1936"/>
      <c r="V435" s="1846">
        <f>O435*4</f>
        <v>0</v>
      </c>
    </row>
    <row r="436" spans="1:22" s="1318" customFormat="1" ht="15.05" hidden="1" customHeight="1">
      <c r="A436" s="1902"/>
      <c r="B436" s="1902"/>
      <c r="C436" s="1902"/>
      <c r="D436" s="1902"/>
      <c r="E436" s="1902"/>
      <c r="F436" s="2856"/>
      <c r="G436" s="2322"/>
      <c r="H436" s="2857"/>
      <c r="I436" s="2322"/>
      <c r="J436" s="3272"/>
      <c r="K436" s="3142"/>
      <c r="L436" s="3174"/>
      <c r="M436" s="3175"/>
      <c r="N436" s="3174"/>
      <c r="O436" s="3174"/>
      <c r="P436" s="3174"/>
      <c r="Q436" s="3174"/>
      <c r="R436" s="3612"/>
      <c r="S436" s="3709"/>
      <c r="T436" s="3828"/>
      <c r="U436" s="1936"/>
      <c r="V436" s="1846"/>
    </row>
    <row r="437" spans="1:22" s="257" customFormat="1" ht="15.05" customHeight="1">
      <c r="A437" s="1886"/>
      <c r="B437" s="1886"/>
      <c r="C437" s="1886"/>
      <c r="D437" s="1886"/>
      <c r="E437" s="1886"/>
      <c r="F437" s="2356"/>
      <c r="G437" s="856"/>
      <c r="H437" s="2858"/>
      <c r="I437" s="856"/>
      <c r="J437" s="3238">
        <f>13870510900-J439</f>
        <v>0</v>
      </c>
      <c r="K437" s="3173">
        <f>13001891981.54-K439</f>
        <v>0</v>
      </c>
      <c r="L437" s="3174"/>
      <c r="M437" s="3175"/>
      <c r="N437" s="3174"/>
      <c r="O437" s="3174"/>
      <c r="P437" s="3174"/>
      <c r="Q437" s="3174"/>
      <c r="R437" s="3612"/>
      <c r="S437" s="3712"/>
      <c r="T437" s="3831"/>
      <c r="U437" s="1899"/>
      <c r="V437" s="1846">
        <f t="shared" ref="V437:V467" si="83">O437*4</f>
        <v>0</v>
      </c>
    </row>
    <row r="438" spans="1:22" s="2971" customFormat="1" ht="15.05" customHeight="1">
      <c r="A438" s="2966">
        <v>4</v>
      </c>
      <c r="B438" s="2966" t="s">
        <v>457</v>
      </c>
      <c r="C438" s="2966"/>
      <c r="D438" s="2966"/>
      <c r="E438" s="2966"/>
      <c r="F438" s="2967" t="s">
        <v>612</v>
      </c>
      <c r="G438" s="2968"/>
      <c r="H438" s="2969"/>
      <c r="I438" s="2969"/>
      <c r="J438" s="3299">
        <f t="shared" ref="J438:Q438" si="84">+J439+J573</f>
        <v>19284510900</v>
      </c>
      <c r="K438" s="3299">
        <f t="shared" si="84"/>
        <v>18001891981.540001</v>
      </c>
      <c r="L438" s="3299">
        <f t="shared" si="84"/>
        <v>67264821900</v>
      </c>
      <c r="M438" s="3299">
        <f t="shared" si="84"/>
        <v>804203846.99000001</v>
      </c>
      <c r="N438" s="3299">
        <f t="shared" si="84"/>
        <v>27120019500</v>
      </c>
      <c r="O438" s="3299">
        <f t="shared" si="84"/>
        <v>46044223346.990005</v>
      </c>
      <c r="P438" s="3299">
        <f t="shared" si="84"/>
        <v>85598457900</v>
      </c>
      <c r="Q438" s="3299">
        <f t="shared" si="84"/>
        <v>18333636000</v>
      </c>
      <c r="R438" s="3439">
        <f>+P438/L438*100-100</f>
        <v>27.255905066181413</v>
      </c>
      <c r="S438" s="3754"/>
      <c r="T438" s="3855"/>
      <c r="U438" s="3809"/>
      <c r="V438" s="2964">
        <f t="shared" si="83"/>
        <v>184176893387.96002</v>
      </c>
    </row>
    <row r="439" spans="1:22" s="3119" customFormat="1" ht="15.05" customHeight="1">
      <c r="A439" s="3116">
        <v>4</v>
      </c>
      <c r="B439" s="3093" t="s">
        <v>457</v>
      </c>
      <c r="C439" s="3093" t="s">
        <v>58</v>
      </c>
      <c r="D439" s="3093"/>
      <c r="E439" s="3093"/>
      <c r="F439" s="3094" t="s">
        <v>613</v>
      </c>
      <c r="G439" s="3095"/>
      <c r="H439" s="3096"/>
      <c r="I439" s="3097"/>
      <c r="J439" s="3300">
        <f>J440+J441</f>
        <v>13870510900</v>
      </c>
      <c r="K439" s="3300">
        <f t="shared" ref="K439:P439" si="85">K440+K441</f>
        <v>13001891981.540001</v>
      </c>
      <c r="L439" s="3300">
        <f>L440+L441</f>
        <v>13870510900</v>
      </c>
      <c r="M439" s="3300">
        <f t="shared" si="85"/>
        <v>804203846.99000001</v>
      </c>
      <c r="N439" s="3300">
        <f t="shared" si="85"/>
        <v>422864500</v>
      </c>
      <c r="O439" s="3300">
        <f t="shared" si="85"/>
        <v>19347068346.990002</v>
      </c>
      <c r="P439" s="3300">
        <f t="shared" si="85"/>
        <v>32204146900</v>
      </c>
      <c r="Q439" s="3294">
        <f t="shared" ref="Q439:Q467" si="86">+P439-L439</f>
        <v>18333636000</v>
      </c>
      <c r="R439" s="3638">
        <f>+P439/L439*100-100</f>
        <v>132.17707791859348</v>
      </c>
      <c r="S439" s="3730"/>
      <c r="T439" s="3837"/>
      <c r="U439" s="3117"/>
      <c r="V439" s="3118">
        <f t="shared" si="83"/>
        <v>77388273387.960007</v>
      </c>
    </row>
    <row r="440" spans="1:22" s="257" customFormat="1" ht="15.05" customHeight="1">
      <c r="A440" s="1889">
        <v>4</v>
      </c>
      <c r="B440" s="1889" t="s">
        <v>457</v>
      </c>
      <c r="C440" s="1889" t="s">
        <v>58</v>
      </c>
      <c r="D440" s="1889" t="s">
        <v>457</v>
      </c>
      <c r="E440" s="1905" t="s">
        <v>58</v>
      </c>
      <c r="F440" s="2827" t="s">
        <v>267</v>
      </c>
      <c r="G440" s="2828"/>
      <c r="H440" s="212"/>
      <c r="I440" s="2859"/>
      <c r="J440" s="3214"/>
      <c r="K440" s="3155"/>
      <c r="L440" s="3234">
        <v>0</v>
      </c>
      <c r="M440" s="3198"/>
      <c r="N440" s="3234"/>
      <c r="O440" s="3197"/>
      <c r="P440" s="3234">
        <f>MAR!N457</f>
        <v>0</v>
      </c>
      <c r="Q440" s="3197">
        <f t="shared" si="86"/>
        <v>0</v>
      </c>
      <c r="R440" s="3608">
        <v>0</v>
      </c>
      <c r="S440" s="3713"/>
      <c r="T440" s="3832"/>
      <c r="U440" s="1900"/>
      <c r="V440" s="1846">
        <f t="shared" si="83"/>
        <v>0</v>
      </c>
    </row>
    <row r="441" spans="1:22" s="2920" customFormat="1" ht="15.05" customHeight="1">
      <c r="A441" s="2985">
        <v>4</v>
      </c>
      <c r="B441" s="2985" t="s">
        <v>457</v>
      </c>
      <c r="C441" s="2985" t="s">
        <v>58</v>
      </c>
      <c r="D441" s="2985" t="s">
        <v>457</v>
      </c>
      <c r="E441" s="2985" t="s">
        <v>460</v>
      </c>
      <c r="F441" s="2986" t="s">
        <v>269</v>
      </c>
      <c r="G441" s="2987"/>
      <c r="H441" s="2988"/>
      <c r="I441" s="2989"/>
      <c r="J441" s="3199">
        <f t="shared" ref="J441:P441" si="87">J442+J460+J457+J463+J469+J474+J479+J496+J499+J502+J505+J508+J511+J514+J517+J520+J522+J525+J527+J529+J531+J533+J537+J539+J543+J545+J548+J550+J552+J554+J556+J558+J560+J562+J565+J567+J569+J571</f>
        <v>13870510900</v>
      </c>
      <c r="K441" s="3199">
        <f t="shared" si="87"/>
        <v>13001891981.540001</v>
      </c>
      <c r="L441" s="3199">
        <f t="shared" si="87"/>
        <v>13870510900</v>
      </c>
      <c r="M441" s="3199">
        <f t="shared" si="87"/>
        <v>804203846.99000001</v>
      </c>
      <c r="N441" s="3199">
        <f t="shared" si="87"/>
        <v>422864500</v>
      </c>
      <c r="O441" s="3199">
        <f t="shared" si="87"/>
        <v>19347068346.990002</v>
      </c>
      <c r="P441" s="3199">
        <f t="shared" si="87"/>
        <v>32204146900</v>
      </c>
      <c r="Q441" s="3199">
        <f t="shared" si="86"/>
        <v>18333636000</v>
      </c>
      <c r="R441" s="3608">
        <f>+P441/L441*100-100</f>
        <v>132.17707791859348</v>
      </c>
      <c r="S441" s="3713"/>
      <c r="T441" s="3832"/>
      <c r="U441" s="3120"/>
      <c r="V441" s="2923">
        <f t="shared" si="83"/>
        <v>77388273387.960007</v>
      </c>
    </row>
    <row r="442" spans="1:22" s="3896" customFormat="1" ht="15.05" customHeight="1">
      <c r="A442" s="1855"/>
      <c r="B442" s="1855"/>
      <c r="C442" s="1855"/>
      <c r="D442" s="1855"/>
      <c r="E442" s="1855"/>
      <c r="F442" s="1464" t="s">
        <v>614</v>
      </c>
      <c r="G442" s="1860"/>
      <c r="H442" s="202"/>
      <c r="I442" s="202"/>
      <c r="J442" s="3259">
        <f>+J443</f>
        <v>4625000</v>
      </c>
      <c r="K442" s="3200">
        <v>0</v>
      </c>
      <c r="L442" s="3182">
        <f>SUM(L443:L444)</f>
        <v>4625000</v>
      </c>
      <c r="M442" s="3183">
        <v>0</v>
      </c>
      <c r="N442" s="3182">
        <f>SUM(N443:N444)</f>
        <v>0</v>
      </c>
      <c r="O442" s="3182">
        <f>N442+M442</f>
        <v>0</v>
      </c>
      <c r="P442" s="3182">
        <v>4625000</v>
      </c>
      <c r="Q442" s="3182">
        <f t="shared" si="86"/>
        <v>0</v>
      </c>
      <c r="R442" s="3914">
        <f>+P442/L442*100-100</f>
        <v>0</v>
      </c>
      <c r="S442" s="4356"/>
      <c r="T442" s="4357"/>
      <c r="U442" s="4282"/>
      <c r="V442" s="3925">
        <f t="shared" si="83"/>
        <v>0</v>
      </c>
    </row>
    <row r="443" spans="1:22" s="3896" customFormat="1" ht="15.05" customHeight="1">
      <c r="A443" s="1855"/>
      <c r="B443" s="1855"/>
      <c r="C443" s="1855"/>
      <c r="D443" s="1855"/>
      <c r="E443" s="1855"/>
      <c r="F443" s="1857" t="s">
        <v>50</v>
      </c>
      <c r="G443" s="1858"/>
      <c r="H443" s="200" t="s">
        <v>615</v>
      </c>
      <c r="I443" s="200"/>
      <c r="J443" s="3215">
        <v>4625000</v>
      </c>
      <c r="K443" s="3301">
        <v>0</v>
      </c>
      <c r="L443" s="3125">
        <v>4625000</v>
      </c>
      <c r="M443" s="3124">
        <v>0</v>
      </c>
      <c r="N443" s="3125">
        <v>0</v>
      </c>
      <c r="O443" s="3125">
        <v>0</v>
      </c>
      <c r="P443" s="3125">
        <v>4625000</v>
      </c>
      <c r="Q443" s="3125">
        <f t="shared" si="86"/>
        <v>0</v>
      </c>
      <c r="R443" s="3926">
        <f>+P443/L443*100-100</f>
        <v>0</v>
      </c>
      <c r="S443" s="4335"/>
      <c r="T443" s="3922"/>
      <c r="U443" s="4353">
        <f>PerDinas!Q637</f>
        <v>0</v>
      </c>
      <c r="V443" s="3925">
        <f t="shared" si="83"/>
        <v>0</v>
      </c>
    </row>
    <row r="444" spans="1:22" s="257" customFormat="1" ht="15.05" customHeight="1">
      <c r="A444" s="1855"/>
      <c r="B444" s="1855"/>
      <c r="C444" s="1855"/>
      <c r="D444" s="1855"/>
      <c r="E444" s="1855"/>
      <c r="F444" s="1857" t="s">
        <v>50</v>
      </c>
      <c r="G444" s="1858"/>
      <c r="H444" s="200" t="s">
        <v>85</v>
      </c>
      <c r="I444" s="200"/>
      <c r="J444" s="3215" t="s">
        <v>700</v>
      </c>
      <c r="K444" s="3302"/>
      <c r="L444" s="3125">
        <f>MAR!J485</f>
        <v>0</v>
      </c>
      <c r="M444" s="3124">
        <v>0</v>
      </c>
      <c r="N444" s="3125">
        <f>MAR!L485</f>
        <v>0</v>
      </c>
      <c r="O444" s="3125">
        <f>MAR!M485</f>
        <v>0</v>
      </c>
      <c r="P444" s="3125">
        <v>0</v>
      </c>
      <c r="Q444" s="3125">
        <f t="shared" si="86"/>
        <v>0</v>
      </c>
      <c r="R444" s="3926">
        <v>0</v>
      </c>
      <c r="S444" s="3748"/>
      <c r="T444" s="3826"/>
      <c r="U444" s="3778">
        <f>PerDinas!Q638</f>
        <v>0</v>
      </c>
      <c r="V444" s="1846">
        <f t="shared" si="83"/>
        <v>0</v>
      </c>
    </row>
    <row r="445" spans="1:22" s="257" customFormat="1" ht="15.05" hidden="1" customHeight="1">
      <c r="A445" s="1855"/>
      <c r="B445" s="1855"/>
      <c r="C445" s="1855"/>
      <c r="D445" s="1855"/>
      <c r="E445" s="1855"/>
      <c r="F445" s="1464" t="s">
        <v>616</v>
      </c>
      <c r="G445" s="1860"/>
      <c r="H445" s="202"/>
      <c r="I445" s="202"/>
      <c r="J445" s="3259"/>
      <c r="K445" s="3302"/>
      <c r="L445" s="3182">
        <f>L446+L447</f>
        <v>0</v>
      </c>
      <c r="M445" s="3183">
        <v>0</v>
      </c>
      <c r="N445" s="3182">
        <f>N446+N447</f>
        <v>0</v>
      </c>
      <c r="O445" s="3182">
        <f>N445+M445</f>
        <v>0</v>
      </c>
      <c r="P445" s="3182">
        <v>0</v>
      </c>
      <c r="Q445" s="3182">
        <f t="shared" si="86"/>
        <v>0</v>
      </c>
      <c r="R445" s="3914" t="e">
        <f t="shared" ref="R445:R461" si="88">+P445/L445*100-100</f>
        <v>#DIV/0!</v>
      </c>
      <c r="S445" s="3710"/>
      <c r="T445" s="3829"/>
      <c r="U445" s="3777"/>
      <c r="V445" s="1846">
        <f t="shared" si="83"/>
        <v>0</v>
      </c>
    </row>
    <row r="446" spans="1:22" s="257" customFormat="1" ht="15.05" hidden="1" customHeight="1">
      <c r="A446" s="1855"/>
      <c r="B446" s="1855"/>
      <c r="C446" s="1855"/>
      <c r="D446" s="1855"/>
      <c r="E446" s="1855"/>
      <c r="F446" s="1857" t="s">
        <v>50</v>
      </c>
      <c r="G446" s="1858"/>
      <c r="H446" s="200" t="s">
        <v>85</v>
      </c>
      <c r="I446" s="200"/>
      <c r="J446" s="3215"/>
      <c r="K446" s="3302"/>
      <c r="L446" s="3125">
        <f>MAR!J127</f>
        <v>0</v>
      </c>
      <c r="M446" s="3124">
        <v>0</v>
      </c>
      <c r="N446" s="3125">
        <f>MAR!L127</f>
        <v>0</v>
      </c>
      <c r="O446" s="3125">
        <f>MAR!M127</f>
        <v>0</v>
      </c>
      <c r="P446" s="3125">
        <v>0</v>
      </c>
      <c r="Q446" s="3125">
        <f t="shared" si="86"/>
        <v>0</v>
      </c>
      <c r="R446" s="3926" t="e">
        <f t="shared" si="88"/>
        <v>#DIV/0!</v>
      </c>
      <c r="S446" s="3748"/>
      <c r="T446" s="3826"/>
      <c r="U446" s="3778">
        <f>PerDinas!Q583</f>
        <v>0</v>
      </c>
      <c r="V446" s="1846">
        <f t="shared" si="83"/>
        <v>0</v>
      </c>
    </row>
    <row r="447" spans="1:22" s="257" customFormat="1" ht="15.05" hidden="1" customHeight="1">
      <c r="A447" s="1855"/>
      <c r="B447" s="1855"/>
      <c r="C447" s="1855"/>
      <c r="D447" s="1855"/>
      <c r="E447" s="1855"/>
      <c r="F447" s="1857"/>
      <c r="G447" s="1858"/>
      <c r="H447" s="200"/>
      <c r="I447" s="200"/>
      <c r="J447" s="3215"/>
      <c r="K447" s="3302"/>
      <c r="L447" s="3125"/>
      <c r="M447" s="3124"/>
      <c r="N447" s="3125"/>
      <c r="O447" s="3125"/>
      <c r="P447" s="3125"/>
      <c r="Q447" s="3125">
        <f t="shared" si="86"/>
        <v>0</v>
      </c>
      <c r="R447" s="3926" t="e">
        <f t="shared" si="88"/>
        <v>#DIV/0!</v>
      </c>
      <c r="S447" s="3275"/>
      <c r="T447" s="3826"/>
      <c r="U447" s="3771"/>
      <c r="V447" s="1846">
        <f t="shared" si="83"/>
        <v>0</v>
      </c>
    </row>
    <row r="448" spans="1:22" s="257" customFormat="1" ht="15.05" hidden="1" customHeight="1">
      <c r="A448" s="1855"/>
      <c r="B448" s="1855"/>
      <c r="C448" s="1855"/>
      <c r="D448" s="1855"/>
      <c r="E448" s="1855"/>
      <c r="F448" s="1464" t="s">
        <v>617</v>
      </c>
      <c r="G448" s="1860"/>
      <c r="H448" s="202"/>
      <c r="I448" s="202"/>
      <c r="J448" s="3259"/>
      <c r="K448" s="3302"/>
      <c r="L448" s="3182">
        <f>L449</f>
        <v>0</v>
      </c>
      <c r="M448" s="3183">
        <v>0</v>
      </c>
      <c r="N448" s="3182">
        <f>N449</f>
        <v>0</v>
      </c>
      <c r="O448" s="3182">
        <f>N448+M448</f>
        <v>0</v>
      </c>
      <c r="P448" s="3182">
        <v>0</v>
      </c>
      <c r="Q448" s="3182">
        <f t="shared" si="86"/>
        <v>0</v>
      </c>
      <c r="R448" s="3914" t="e">
        <f t="shared" si="88"/>
        <v>#DIV/0!</v>
      </c>
      <c r="S448" s="3710"/>
      <c r="T448" s="3829"/>
      <c r="U448" s="3777"/>
      <c r="V448" s="1846">
        <f t="shared" si="83"/>
        <v>0</v>
      </c>
    </row>
    <row r="449" spans="1:22" s="257" customFormat="1" ht="15.05" hidden="1" customHeight="1">
      <c r="A449" s="1855"/>
      <c r="B449" s="1855"/>
      <c r="C449" s="1855"/>
      <c r="D449" s="1855"/>
      <c r="E449" s="1855"/>
      <c r="F449" s="1857" t="s">
        <v>50</v>
      </c>
      <c r="G449" s="1858"/>
      <c r="H449" s="200" t="s">
        <v>85</v>
      </c>
      <c r="I449" s="200"/>
      <c r="J449" s="3215"/>
      <c r="K449" s="3302"/>
      <c r="L449" s="3125">
        <f>MAR!J114</f>
        <v>0</v>
      </c>
      <c r="M449" s="3124">
        <v>0</v>
      </c>
      <c r="N449" s="3125">
        <f>MAR!L114</f>
        <v>0</v>
      </c>
      <c r="O449" s="3125">
        <f>MAR!M114</f>
        <v>0</v>
      </c>
      <c r="P449" s="3125">
        <v>0</v>
      </c>
      <c r="Q449" s="3125">
        <f t="shared" si="86"/>
        <v>0</v>
      </c>
      <c r="R449" s="3926" t="e">
        <f t="shared" si="88"/>
        <v>#DIV/0!</v>
      </c>
      <c r="S449" s="3275"/>
      <c r="T449" s="3826"/>
      <c r="U449" s="3771"/>
      <c r="V449" s="1846">
        <f t="shared" si="83"/>
        <v>0</v>
      </c>
    </row>
    <row r="450" spans="1:22" s="257" customFormat="1" ht="15.05" hidden="1" customHeight="1">
      <c r="A450" s="1855"/>
      <c r="B450" s="1855"/>
      <c r="C450" s="1855"/>
      <c r="D450" s="1855"/>
      <c r="E450" s="1855"/>
      <c r="F450" s="1857"/>
      <c r="G450" s="1858"/>
      <c r="H450" s="2860"/>
      <c r="I450" s="200"/>
      <c r="J450" s="3215"/>
      <c r="K450" s="3302"/>
      <c r="L450" s="3125"/>
      <c r="M450" s="3124"/>
      <c r="N450" s="3125"/>
      <c r="O450" s="3125"/>
      <c r="P450" s="3125"/>
      <c r="Q450" s="3125">
        <f t="shared" si="86"/>
        <v>0</v>
      </c>
      <c r="R450" s="3926" t="e">
        <f t="shared" si="88"/>
        <v>#DIV/0!</v>
      </c>
      <c r="S450" s="3275"/>
      <c r="T450" s="3826"/>
      <c r="U450" s="3771"/>
      <c r="V450" s="1846">
        <f t="shared" si="83"/>
        <v>0</v>
      </c>
    </row>
    <row r="451" spans="1:22" s="257" customFormat="1" ht="15.05" hidden="1" customHeight="1">
      <c r="A451" s="1855"/>
      <c r="B451" s="1855"/>
      <c r="C451" s="1855"/>
      <c r="D451" s="1855"/>
      <c r="E451" s="1855"/>
      <c r="F451" s="1464" t="s">
        <v>618</v>
      </c>
      <c r="G451" s="1860"/>
      <c r="H451" s="202"/>
      <c r="I451" s="202"/>
      <c r="J451" s="3259"/>
      <c r="K451" s="3302"/>
      <c r="L451" s="3182">
        <f>L452</f>
        <v>0</v>
      </c>
      <c r="M451" s="3183">
        <v>0</v>
      </c>
      <c r="N451" s="3182">
        <f>N452</f>
        <v>0</v>
      </c>
      <c r="O451" s="3182">
        <f>N451+M451</f>
        <v>0</v>
      </c>
      <c r="P451" s="3182">
        <v>0</v>
      </c>
      <c r="Q451" s="3182">
        <f t="shared" si="86"/>
        <v>0</v>
      </c>
      <c r="R451" s="3914" t="e">
        <f t="shared" si="88"/>
        <v>#DIV/0!</v>
      </c>
      <c r="S451" s="3710"/>
      <c r="T451" s="3829"/>
      <c r="U451" s="3777"/>
      <c r="V451" s="1846">
        <f t="shared" si="83"/>
        <v>0</v>
      </c>
    </row>
    <row r="452" spans="1:22" s="257" customFormat="1" ht="15.05" hidden="1" customHeight="1">
      <c r="A452" s="1855"/>
      <c r="B452" s="1855"/>
      <c r="C452" s="1855"/>
      <c r="D452" s="1855"/>
      <c r="E452" s="1855"/>
      <c r="F452" s="1857" t="s">
        <v>50</v>
      </c>
      <c r="G452" s="1858"/>
      <c r="H452" s="2860" t="s">
        <v>85</v>
      </c>
      <c r="I452" s="200"/>
      <c r="J452" s="3215"/>
      <c r="K452" s="3302"/>
      <c r="L452" s="3125">
        <f>MAR!J76</f>
        <v>0</v>
      </c>
      <c r="M452" s="3124">
        <v>0</v>
      </c>
      <c r="N452" s="3125">
        <f>MAR!L76</f>
        <v>0</v>
      </c>
      <c r="O452" s="3125">
        <f>MAR!M76</f>
        <v>0</v>
      </c>
      <c r="P452" s="3125">
        <v>0</v>
      </c>
      <c r="Q452" s="3125">
        <f t="shared" si="86"/>
        <v>0</v>
      </c>
      <c r="R452" s="3926" t="e">
        <f t="shared" si="88"/>
        <v>#DIV/0!</v>
      </c>
      <c r="S452" s="3748"/>
      <c r="T452" s="3826"/>
      <c r="U452" s="3778">
        <f>PerDinas!Q138</f>
        <v>0</v>
      </c>
      <c r="V452" s="1846">
        <f t="shared" si="83"/>
        <v>0</v>
      </c>
    </row>
    <row r="453" spans="1:22" s="257" customFormat="1" ht="15.05" hidden="1" customHeight="1">
      <c r="A453" s="1855"/>
      <c r="B453" s="1855"/>
      <c r="C453" s="1855"/>
      <c r="D453" s="1855"/>
      <c r="E453" s="1855"/>
      <c r="F453" s="1857"/>
      <c r="G453" s="1858"/>
      <c r="H453" s="2860"/>
      <c r="I453" s="200"/>
      <c r="J453" s="3215"/>
      <c r="K453" s="3302"/>
      <c r="L453" s="3125"/>
      <c r="M453" s="3124"/>
      <c r="N453" s="3125"/>
      <c r="O453" s="3125"/>
      <c r="P453" s="3125"/>
      <c r="Q453" s="3125">
        <f t="shared" si="86"/>
        <v>0</v>
      </c>
      <c r="R453" s="3926" t="e">
        <f t="shared" si="88"/>
        <v>#DIV/0!</v>
      </c>
      <c r="S453" s="3275"/>
      <c r="T453" s="3826"/>
      <c r="U453" s="3771"/>
      <c r="V453" s="1846">
        <f t="shared" si="83"/>
        <v>0</v>
      </c>
    </row>
    <row r="454" spans="1:22" s="257" customFormat="1" ht="15.05" hidden="1" customHeight="1">
      <c r="A454" s="1855"/>
      <c r="B454" s="1855"/>
      <c r="C454" s="1855"/>
      <c r="D454" s="1855"/>
      <c r="E454" s="1855"/>
      <c r="F454" s="1464" t="s">
        <v>619</v>
      </c>
      <c r="G454" s="1860"/>
      <c r="H454" s="202"/>
      <c r="I454" s="202"/>
      <c r="J454" s="3259"/>
      <c r="K454" s="3302"/>
      <c r="L454" s="3182">
        <f>L455</f>
        <v>0</v>
      </c>
      <c r="M454" s="3183">
        <v>0</v>
      </c>
      <c r="N454" s="3182">
        <f>N455</f>
        <v>0</v>
      </c>
      <c r="O454" s="3182">
        <f>O455</f>
        <v>0</v>
      </c>
      <c r="P454" s="3182">
        <v>0</v>
      </c>
      <c r="Q454" s="3182">
        <f t="shared" si="86"/>
        <v>0</v>
      </c>
      <c r="R454" s="3914" t="e">
        <f t="shared" si="88"/>
        <v>#DIV/0!</v>
      </c>
      <c r="S454" s="3731"/>
      <c r="T454" s="3829"/>
      <c r="U454" s="3781">
        <f>U455</f>
        <v>0</v>
      </c>
      <c r="V454" s="1846">
        <f t="shared" si="83"/>
        <v>0</v>
      </c>
    </row>
    <row r="455" spans="1:22" s="257" customFormat="1" ht="15.05" hidden="1" customHeight="1">
      <c r="A455" s="1855"/>
      <c r="B455" s="1855"/>
      <c r="C455" s="1855"/>
      <c r="D455" s="1855"/>
      <c r="E455" s="1855"/>
      <c r="F455" s="1857" t="s">
        <v>50</v>
      </c>
      <c r="G455" s="1858"/>
      <c r="H455" s="2860" t="s">
        <v>472</v>
      </c>
      <c r="I455" s="200"/>
      <c r="J455" s="3215"/>
      <c r="K455" s="3302"/>
      <c r="L455" s="3125">
        <f>MAR!J194</f>
        <v>0</v>
      </c>
      <c r="M455" s="3124">
        <v>0</v>
      </c>
      <c r="N455" s="3125">
        <f>MAR!L194</f>
        <v>0</v>
      </c>
      <c r="O455" s="3125">
        <f>MAR!M194</f>
        <v>0</v>
      </c>
      <c r="P455" s="3125">
        <v>0</v>
      </c>
      <c r="Q455" s="3125">
        <f t="shared" si="86"/>
        <v>0</v>
      </c>
      <c r="R455" s="3926" t="e">
        <f t="shared" si="88"/>
        <v>#DIV/0!</v>
      </c>
      <c r="S455" s="3748"/>
      <c r="T455" s="3826"/>
      <c r="U455" s="3778">
        <f>PerDinas!Q1090</f>
        <v>0</v>
      </c>
      <c r="V455" s="1846">
        <f t="shared" si="83"/>
        <v>0</v>
      </c>
    </row>
    <row r="456" spans="1:22" s="257" customFormat="1" ht="15.05" hidden="1" customHeight="1">
      <c r="A456" s="1855"/>
      <c r="B456" s="1855"/>
      <c r="C456" s="1855"/>
      <c r="D456" s="1855"/>
      <c r="E456" s="1855"/>
      <c r="F456" s="1857"/>
      <c r="G456" s="1858"/>
      <c r="H456" s="2860"/>
      <c r="I456" s="200"/>
      <c r="J456" s="3215"/>
      <c r="K456" s="3302"/>
      <c r="L456" s="3125"/>
      <c r="M456" s="3124"/>
      <c r="N456" s="3125"/>
      <c r="O456" s="3125"/>
      <c r="P456" s="3125"/>
      <c r="Q456" s="3125">
        <f t="shared" si="86"/>
        <v>0</v>
      </c>
      <c r="R456" s="3926" t="e">
        <f t="shared" si="88"/>
        <v>#DIV/0!</v>
      </c>
      <c r="S456" s="3275"/>
      <c r="T456" s="3826"/>
      <c r="U456" s="3771"/>
      <c r="V456" s="1846">
        <f t="shared" si="83"/>
        <v>0</v>
      </c>
    </row>
    <row r="457" spans="1:22" s="257" customFormat="1" ht="15.05" customHeight="1">
      <c r="A457" s="1855"/>
      <c r="B457" s="1855"/>
      <c r="C457" s="1855"/>
      <c r="D457" s="1855"/>
      <c r="E457" s="1855"/>
      <c r="F457" s="1464" t="s">
        <v>620</v>
      </c>
      <c r="G457" s="1860"/>
      <c r="H457" s="202"/>
      <c r="I457" s="202"/>
      <c r="J457" s="3259"/>
      <c r="K457" s="5094">
        <f>+K458</f>
        <v>20225025</v>
      </c>
      <c r="L457" s="3182">
        <f>L458+L459</f>
        <v>0</v>
      </c>
      <c r="M457" s="3183">
        <v>0</v>
      </c>
      <c r="N457" s="3182">
        <f>N458+N459</f>
        <v>0</v>
      </c>
      <c r="O457" s="3182">
        <f>N457+M457</f>
        <v>0</v>
      </c>
      <c r="P457" s="3182">
        <v>0</v>
      </c>
      <c r="Q457" s="3182">
        <f t="shared" si="86"/>
        <v>0</v>
      </c>
      <c r="R457" s="3914" t="e">
        <f t="shared" si="88"/>
        <v>#DIV/0!</v>
      </c>
      <c r="S457" s="3710"/>
      <c r="T457" s="3829"/>
      <c r="U457" s="3777"/>
      <c r="V457" s="1846">
        <f t="shared" si="83"/>
        <v>0</v>
      </c>
    </row>
    <row r="458" spans="1:22" s="257" customFormat="1" ht="15.05" customHeight="1">
      <c r="A458" s="1855"/>
      <c r="B458" s="1855"/>
      <c r="C458" s="1855"/>
      <c r="D458" s="1855"/>
      <c r="E458" s="1855"/>
      <c r="F458" s="1857" t="s">
        <v>50</v>
      </c>
      <c r="G458" s="1858"/>
      <c r="H458" s="200" t="s">
        <v>85</v>
      </c>
      <c r="I458" s="200"/>
      <c r="J458" s="3215"/>
      <c r="K458" s="3303">
        <v>20225025</v>
      </c>
      <c r="L458" s="3125">
        <v>0</v>
      </c>
      <c r="M458" s="3124">
        <v>0</v>
      </c>
      <c r="N458" s="3125">
        <v>0</v>
      </c>
      <c r="O458" s="3125">
        <v>0</v>
      </c>
      <c r="P458" s="3125">
        <v>0</v>
      </c>
      <c r="Q458" s="3125">
        <f t="shared" si="86"/>
        <v>0</v>
      </c>
      <c r="R458" s="3926" t="e">
        <f t="shared" si="88"/>
        <v>#DIV/0!</v>
      </c>
      <c r="S458" s="3748"/>
      <c r="T458" s="3826"/>
      <c r="U458" s="3778">
        <f>PerDinas!Q586</f>
        <v>0</v>
      </c>
      <c r="V458" s="1846">
        <f t="shared" si="83"/>
        <v>0</v>
      </c>
    </row>
    <row r="459" spans="1:22" s="257" customFormat="1" ht="15.05" hidden="1" customHeight="1">
      <c r="A459" s="1855"/>
      <c r="B459" s="1855"/>
      <c r="C459" s="1855"/>
      <c r="D459" s="1855"/>
      <c r="E459" s="1855"/>
      <c r="F459" s="1857"/>
      <c r="G459" s="1858"/>
      <c r="H459" s="200"/>
      <c r="I459" s="200"/>
      <c r="J459" s="3215"/>
      <c r="K459" s="3302"/>
      <c r="L459" s="3125"/>
      <c r="M459" s="3124"/>
      <c r="N459" s="3125"/>
      <c r="O459" s="3125"/>
      <c r="P459" s="3125"/>
      <c r="Q459" s="3125">
        <f t="shared" si="86"/>
        <v>0</v>
      </c>
      <c r="R459" s="3926" t="e">
        <f t="shared" si="88"/>
        <v>#DIV/0!</v>
      </c>
      <c r="S459" s="3275"/>
      <c r="T459" s="3826"/>
      <c r="U459" s="3771"/>
      <c r="V459" s="1846">
        <f t="shared" si="83"/>
        <v>0</v>
      </c>
    </row>
    <row r="460" spans="1:22" s="3896" customFormat="1" ht="15.05" customHeight="1">
      <c r="A460" s="1855"/>
      <c r="B460" s="1855"/>
      <c r="C460" s="1855"/>
      <c r="D460" s="1855"/>
      <c r="E460" s="1855"/>
      <c r="F460" s="1464" t="s">
        <v>621</v>
      </c>
      <c r="G460" s="1860"/>
      <c r="H460" s="202"/>
      <c r="I460" s="202"/>
      <c r="J460" s="3182">
        <f>J461+J462</f>
        <v>51419400</v>
      </c>
      <c r="K460" s="3182">
        <f>K461+K462</f>
        <v>0</v>
      </c>
      <c r="L460" s="3271">
        <f>L461</f>
        <v>51419400</v>
      </c>
      <c r="M460" s="3183">
        <v>0</v>
      </c>
      <c r="N460" s="3182">
        <f>N461+N462</f>
        <v>0</v>
      </c>
      <c r="O460" s="3182">
        <f>N460+M460</f>
        <v>0</v>
      </c>
      <c r="P460" s="3182">
        <v>51419400</v>
      </c>
      <c r="Q460" s="3182">
        <f>+P460-O433</f>
        <v>0</v>
      </c>
      <c r="R460" s="3914">
        <f>+P460/O433*100-100</f>
        <v>0</v>
      </c>
      <c r="S460" s="4356"/>
      <c r="T460" s="4357"/>
      <c r="U460" s="4282"/>
      <c r="V460" s="3925">
        <f t="shared" si="83"/>
        <v>0</v>
      </c>
    </row>
    <row r="461" spans="1:22" s="3896" customFormat="1" ht="15.05" customHeight="1">
      <c r="A461" s="1855"/>
      <c r="B461" s="1855"/>
      <c r="C461" s="1855"/>
      <c r="D461" s="1855"/>
      <c r="E461" s="1855"/>
      <c r="F461" s="1857" t="s">
        <v>50</v>
      </c>
      <c r="G461" s="1858"/>
      <c r="H461" s="200" t="s">
        <v>622</v>
      </c>
      <c r="I461" s="200"/>
      <c r="J461" s="3215">
        <v>51419400</v>
      </c>
      <c r="K461" s="3301">
        <v>0</v>
      </c>
      <c r="L461" s="3125">
        <v>51419400</v>
      </c>
      <c r="M461" s="3124">
        <v>0</v>
      </c>
      <c r="N461" s="3125">
        <v>0</v>
      </c>
      <c r="O461" s="3125">
        <v>0</v>
      </c>
      <c r="P461" s="3125">
        <v>51419400</v>
      </c>
      <c r="Q461" s="3125">
        <f t="shared" si="86"/>
        <v>0</v>
      </c>
      <c r="R461" s="3926">
        <f t="shared" si="88"/>
        <v>0</v>
      </c>
      <c r="S461" s="4335"/>
      <c r="T461" s="3922"/>
      <c r="U461" s="4353">
        <f>PerDinas!Q589</f>
        <v>0</v>
      </c>
      <c r="V461" s="3925">
        <f t="shared" si="83"/>
        <v>0</v>
      </c>
    </row>
    <row r="462" spans="1:22" s="257" customFormat="1" ht="15.05" customHeight="1">
      <c r="A462" s="1855"/>
      <c r="B462" s="1855"/>
      <c r="C462" s="1855"/>
      <c r="D462" s="1855"/>
      <c r="E462" s="1855"/>
      <c r="F462" s="1857" t="s">
        <v>50</v>
      </c>
      <c r="G462" s="1858"/>
      <c r="H462" s="200" t="s">
        <v>85</v>
      </c>
      <c r="I462" s="200"/>
      <c r="J462" s="3248">
        <v>0</v>
      </c>
      <c r="K462" s="3301">
        <v>0</v>
      </c>
      <c r="L462" s="3125">
        <f>MAR!J209</f>
        <v>0</v>
      </c>
      <c r="M462" s="3124">
        <v>0</v>
      </c>
      <c r="N462" s="3125">
        <f>MAR!L209</f>
        <v>0</v>
      </c>
      <c r="O462" s="3125">
        <f>MAR!M209</f>
        <v>0</v>
      </c>
      <c r="P462" s="3125">
        <v>0</v>
      </c>
      <c r="Q462" s="3125">
        <f t="shared" si="86"/>
        <v>0</v>
      </c>
      <c r="R462" s="3926">
        <v>0</v>
      </c>
      <c r="S462" s="3275"/>
      <c r="T462" s="3826"/>
      <c r="U462" s="3771"/>
      <c r="V462" s="1846">
        <f t="shared" si="83"/>
        <v>0</v>
      </c>
    </row>
    <row r="463" spans="1:22" s="3896" customFormat="1" ht="15.05" customHeight="1">
      <c r="A463" s="1855"/>
      <c r="B463" s="1855"/>
      <c r="C463" s="1855"/>
      <c r="D463" s="1855"/>
      <c r="E463" s="1855"/>
      <c r="F463" s="1464" t="s">
        <v>273</v>
      </c>
      <c r="G463" s="1860"/>
      <c r="H463" s="202"/>
      <c r="I463" s="202"/>
      <c r="J463" s="3259">
        <f>SUM(J464:J467)</f>
        <v>335291000</v>
      </c>
      <c r="K463" s="3259">
        <f>SUM(K464:K467)</f>
        <v>42721830</v>
      </c>
      <c r="L463" s="3259">
        <f>SUM(L464:L467)</f>
        <v>335291000</v>
      </c>
      <c r="M463" s="3183">
        <v>0</v>
      </c>
      <c r="N463" s="3182">
        <f>SUM(N464:N468)</f>
        <v>0</v>
      </c>
      <c r="O463" s="3182">
        <f>N463+M463</f>
        <v>0</v>
      </c>
      <c r="P463" s="3182">
        <v>335291000</v>
      </c>
      <c r="Q463" s="3182">
        <f t="shared" si="86"/>
        <v>0</v>
      </c>
      <c r="R463" s="3914">
        <f>+P463/L463*100-100</f>
        <v>0</v>
      </c>
      <c r="S463" s="4356"/>
      <c r="T463" s="4357"/>
      <c r="U463" s="4282"/>
      <c r="V463" s="3925">
        <f t="shared" si="83"/>
        <v>0</v>
      </c>
    </row>
    <row r="464" spans="1:22" s="3896" customFormat="1" ht="15.05" customHeight="1">
      <c r="A464" s="1855"/>
      <c r="B464" s="1855"/>
      <c r="C464" s="1855"/>
      <c r="D464" s="1855"/>
      <c r="E464" s="1855"/>
      <c r="F464" s="1857" t="s">
        <v>50</v>
      </c>
      <c r="G464" s="1858"/>
      <c r="H464" s="200" t="str">
        <f>MAR!I231</f>
        <v>Jasa Pengiriman TKI</v>
      </c>
      <c r="I464" s="5095"/>
      <c r="J464" s="5096">
        <v>55355000</v>
      </c>
      <c r="K464" s="5097">
        <v>4705830</v>
      </c>
      <c r="L464" s="3125">
        <v>55355000</v>
      </c>
      <c r="M464" s="3124">
        <v>0</v>
      </c>
      <c r="N464" s="3125">
        <v>0</v>
      </c>
      <c r="O464" s="3125">
        <v>0</v>
      </c>
      <c r="P464" s="3125">
        <v>55355000</v>
      </c>
      <c r="Q464" s="3125">
        <f t="shared" si="86"/>
        <v>0</v>
      </c>
      <c r="R464" s="3926">
        <f>+P464/L464*100-100</f>
        <v>0</v>
      </c>
      <c r="S464" s="4335"/>
      <c r="T464" s="3922"/>
      <c r="U464" s="4353">
        <f>PerDinas!Q591</f>
        <v>0</v>
      </c>
      <c r="V464" s="3925">
        <f t="shared" si="83"/>
        <v>0</v>
      </c>
    </row>
    <row r="465" spans="1:22" s="3896" customFormat="1" ht="15.05" customHeight="1">
      <c r="A465" s="1855"/>
      <c r="B465" s="1855"/>
      <c r="C465" s="1855"/>
      <c r="D465" s="1855"/>
      <c r="E465" s="1855"/>
      <c r="F465" s="1857" t="s">
        <v>50</v>
      </c>
      <c r="G465" s="1858"/>
      <c r="H465" s="847" t="str">
        <f>MAR!I232</f>
        <v>Hibah Pihak Ketiga</v>
      </c>
      <c r="I465" s="1937"/>
      <c r="J465" s="5096">
        <v>57136000</v>
      </c>
      <c r="K465" s="3304">
        <v>0</v>
      </c>
      <c r="L465" s="3125">
        <v>57136000</v>
      </c>
      <c r="M465" s="3124">
        <v>0</v>
      </c>
      <c r="N465" s="3125">
        <v>0</v>
      </c>
      <c r="O465" s="3125">
        <v>0</v>
      </c>
      <c r="P465" s="3125">
        <v>57136000</v>
      </c>
      <c r="Q465" s="3125">
        <f t="shared" si="86"/>
        <v>0</v>
      </c>
      <c r="R465" s="3926">
        <f>+P465/L465*100-100</f>
        <v>0</v>
      </c>
      <c r="S465" s="4335"/>
      <c r="T465" s="3922"/>
      <c r="U465" s="4353">
        <f>PerDinas!Q592</f>
        <v>0</v>
      </c>
      <c r="V465" s="3925">
        <f t="shared" si="83"/>
        <v>0</v>
      </c>
    </row>
    <row r="466" spans="1:22" s="3896" customFormat="1" ht="15.05" customHeight="1">
      <c r="A466" s="1855"/>
      <c r="B466" s="1855"/>
      <c r="C466" s="1855"/>
      <c r="D466" s="1855"/>
      <c r="E466" s="1855"/>
      <c r="F466" s="1857" t="s">
        <v>50</v>
      </c>
      <c r="G466" s="1858"/>
      <c r="H466" s="847" t="str">
        <f>MAR!I233</f>
        <v>Lain-lain Pendapatan yang sah (BLK)</v>
      </c>
      <c r="I466" s="1937"/>
      <c r="J466" s="5096">
        <v>24760000</v>
      </c>
      <c r="K466" s="5097">
        <v>9600000</v>
      </c>
      <c r="L466" s="3125">
        <v>24760000</v>
      </c>
      <c r="M466" s="3124">
        <v>0</v>
      </c>
      <c r="N466" s="3125">
        <v>0</v>
      </c>
      <c r="O466" s="3125">
        <v>0</v>
      </c>
      <c r="P466" s="3125">
        <v>24760000</v>
      </c>
      <c r="Q466" s="3125">
        <f t="shared" si="86"/>
        <v>0</v>
      </c>
      <c r="R466" s="3926">
        <f>+P466/L466*100-100</f>
        <v>0</v>
      </c>
      <c r="S466" s="4335"/>
      <c r="T466" s="3922"/>
      <c r="U466" s="4353">
        <f>PerDinas!Q593</f>
        <v>0</v>
      </c>
      <c r="V466" s="3925">
        <f t="shared" si="83"/>
        <v>0</v>
      </c>
    </row>
    <row r="467" spans="1:22" s="3896" customFormat="1" ht="15.05" customHeight="1">
      <c r="A467" s="1855"/>
      <c r="B467" s="1855"/>
      <c r="C467" s="1855"/>
      <c r="D467" s="1855"/>
      <c r="E467" s="1855"/>
      <c r="F467" s="1857"/>
      <c r="G467" s="1858"/>
      <c r="H467" s="847" t="str">
        <f>MAR!I234</f>
        <v>Jasa Pelayanan TKI</v>
      </c>
      <c r="I467" s="1938"/>
      <c r="J467" s="5098">
        <v>198040000</v>
      </c>
      <c r="K467" s="5099">
        <v>28416000</v>
      </c>
      <c r="L467" s="3125">
        <v>198040000</v>
      </c>
      <c r="M467" s="3124">
        <v>0</v>
      </c>
      <c r="N467" s="3125">
        <v>0</v>
      </c>
      <c r="O467" s="3125">
        <v>0</v>
      </c>
      <c r="P467" s="3125">
        <v>198040000</v>
      </c>
      <c r="Q467" s="3125">
        <f t="shared" si="86"/>
        <v>0</v>
      </c>
      <c r="R467" s="3926">
        <f>+P467/L467*100-100</f>
        <v>0</v>
      </c>
      <c r="S467" s="4335"/>
      <c r="T467" s="3922"/>
      <c r="U467" s="4353">
        <v>0</v>
      </c>
      <c r="V467" s="3925">
        <f t="shared" si="83"/>
        <v>0</v>
      </c>
    </row>
    <row r="468" spans="1:22" s="257" customFormat="1" ht="15.05" hidden="1" customHeight="1">
      <c r="A468" s="1855"/>
      <c r="B468" s="1855"/>
      <c r="C468" s="1855"/>
      <c r="D468" s="1855"/>
      <c r="E468" s="1855"/>
      <c r="F468" s="1857"/>
      <c r="G468" s="1858"/>
      <c r="H468" s="847"/>
      <c r="I468" s="1937"/>
      <c r="J468" s="3305"/>
      <c r="K468" s="3304"/>
      <c r="L468" s="3125"/>
      <c r="M468" s="3124"/>
      <c r="N468" s="3125"/>
      <c r="O468" s="3125"/>
      <c r="P468" s="3125"/>
      <c r="Q468" s="3125"/>
      <c r="R468" s="3926"/>
      <c r="S468" s="3748"/>
      <c r="T468" s="3826"/>
      <c r="U468" s="3778"/>
      <c r="V468" s="1846"/>
    </row>
    <row r="469" spans="1:22" s="2069" customFormat="1" ht="15.05" customHeight="1">
      <c r="A469" s="1855"/>
      <c r="B469" s="1855"/>
      <c r="C469" s="1855"/>
      <c r="D469" s="1855"/>
      <c r="E469" s="1855"/>
      <c r="F469" s="1464" t="s">
        <v>224</v>
      </c>
      <c r="G469" s="1860"/>
      <c r="H469" s="202"/>
      <c r="I469" s="202"/>
      <c r="J469" s="3259">
        <f t="shared" ref="J469:P469" si="89">SUM(J470:J472)</f>
        <v>400714300</v>
      </c>
      <c r="K469" s="3259">
        <f t="shared" si="89"/>
        <v>115089700</v>
      </c>
      <c r="L469" s="3259">
        <f t="shared" si="89"/>
        <v>400714300</v>
      </c>
      <c r="M469" s="3259">
        <f t="shared" si="89"/>
        <v>44168718</v>
      </c>
      <c r="N469" s="3259">
        <f t="shared" si="89"/>
        <v>10589500</v>
      </c>
      <c r="O469" s="3259">
        <f t="shared" si="89"/>
        <v>54758218</v>
      </c>
      <c r="P469" s="3259">
        <f t="shared" si="89"/>
        <v>400714300</v>
      </c>
      <c r="Q469" s="3182">
        <f>+P469-L469</f>
        <v>0</v>
      </c>
      <c r="R469" s="3914">
        <f>+P469/L469*100-100</f>
        <v>0</v>
      </c>
      <c r="S469" s="4356"/>
      <c r="T469" s="4357"/>
      <c r="U469" s="4282"/>
      <c r="V469" s="3925">
        <f t="shared" ref="V469:V532" si="90">O469*4</f>
        <v>219032872</v>
      </c>
    </row>
    <row r="470" spans="1:22" s="2069" customFormat="1" ht="15.05" customHeight="1">
      <c r="A470" s="1855"/>
      <c r="B470" s="1855"/>
      <c r="C470" s="1855"/>
      <c r="D470" s="1855"/>
      <c r="E470" s="1855"/>
      <c r="F470" s="1857" t="s">
        <v>50</v>
      </c>
      <c r="G470" s="1860"/>
      <c r="H470" s="847" t="str">
        <f>MAR!I252</f>
        <v>Hibah Pihak III</v>
      </c>
      <c r="I470" s="200"/>
      <c r="J470" s="3215">
        <v>63698000</v>
      </c>
      <c r="K470" s="3171">
        <v>27842400</v>
      </c>
      <c r="L470" s="3125">
        <v>63698000</v>
      </c>
      <c r="M470" s="3124">
        <v>4835000</v>
      </c>
      <c r="N470" s="3125">
        <v>0</v>
      </c>
      <c r="O470" s="3125">
        <v>4835000</v>
      </c>
      <c r="P470" s="3125">
        <v>63698000</v>
      </c>
      <c r="Q470" s="3125">
        <f>+P470-L470</f>
        <v>0</v>
      </c>
      <c r="R470" s="3926">
        <f>+P470/L470*100-100</f>
        <v>0</v>
      </c>
      <c r="S470" s="4335"/>
      <c r="T470" s="3922"/>
      <c r="U470" s="4353">
        <f>PerDinas!Q596</f>
        <v>0</v>
      </c>
      <c r="V470" s="3925">
        <f t="shared" si="90"/>
        <v>19340000</v>
      </c>
    </row>
    <row r="471" spans="1:22" s="2069" customFormat="1" ht="15.05" customHeight="1">
      <c r="A471" s="1855"/>
      <c r="B471" s="1855"/>
      <c r="C471" s="1855"/>
      <c r="D471" s="1855"/>
      <c r="E471" s="1855"/>
      <c r="F471" s="1857" t="s">
        <v>50</v>
      </c>
      <c r="G471" s="1858"/>
      <c r="H471" s="847" t="str">
        <f>MAR!I253</f>
        <v>Jasa Pelayanan Koperasi</v>
      </c>
      <c r="I471" s="200"/>
      <c r="J471" s="3215">
        <v>285233000</v>
      </c>
      <c r="K471" s="3171">
        <v>23875000</v>
      </c>
      <c r="L471" s="3125">
        <v>285233000</v>
      </c>
      <c r="M471" s="3124">
        <v>6750000</v>
      </c>
      <c r="N471" s="3125">
        <v>0</v>
      </c>
      <c r="O471" s="3125">
        <v>6750000</v>
      </c>
      <c r="P471" s="3125">
        <v>285233000</v>
      </c>
      <c r="Q471" s="3125">
        <f>+P471-L471</f>
        <v>0</v>
      </c>
      <c r="R471" s="3926">
        <f>+P471/L471*100-100</f>
        <v>0</v>
      </c>
      <c r="S471" s="4335"/>
      <c r="T471" s="3922"/>
      <c r="U471" s="4353">
        <f>PerDinas!Q597</f>
        <v>0</v>
      </c>
      <c r="V471" s="3925">
        <f t="shared" si="90"/>
        <v>27000000</v>
      </c>
    </row>
    <row r="472" spans="1:22" s="2069" customFormat="1" ht="15.05" customHeight="1">
      <c r="A472" s="1855"/>
      <c r="B472" s="1855"/>
      <c r="C472" s="1855"/>
      <c r="D472" s="1855"/>
      <c r="E472" s="1855"/>
      <c r="F472" s="1857" t="s">
        <v>50</v>
      </c>
      <c r="G472" s="1858"/>
      <c r="H472" s="847" t="str">
        <f>MAR!I254</f>
        <v>Dana Pembangunan Daerah Kerja</v>
      </c>
      <c r="I472" s="200"/>
      <c r="J472" s="3215">
        <v>51783300</v>
      </c>
      <c r="K472" s="3171">
        <v>63372300</v>
      </c>
      <c r="L472" s="3125">
        <v>51783300</v>
      </c>
      <c r="M472" s="3124">
        <v>32583718</v>
      </c>
      <c r="N472" s="3125">
        <v>10589500</v>
      </c>
      <c r="O472" s="3125">
        <v>43173218</v>
      </c>
      <c r="P472" s="3125">
        <v>51783300</v>
      </c>
      <c r="Q472" s="3125">
        <f>+P472-L472</f>
        <v>0</v>
      </c>
      <c r="R472" s="3926">
        <f>+P472/L472*100-100</f>
        <v>0</v>
      </c>
      <c r="S472" s="4335"/>
      <c r="T472" s="3922"/>
      <c r="U472" s="4353">
        <f>PerDinas!Q598</f>
        <v>0</v>
      </c>
      <c r="V472" s="3925">
        <f t="shared" si="90"/>
        <v>172692872</v>
      </c>
    </row>
    <row r="473" spans="1:22" s="2069" customFormat="1" ht="15.05" hidden="1" customHeight="1">
      <c r="A473" s="1855"/>
      <c r="B473" s="1855"/>
      <c r="C473" s="1855"/>
      <c r="D473" s="1855"/>
      <c r="E473" s="1855"/>
      <c r="F473" s="1857"/>
      <c r="G473" s="1858"/>
      <c r="H473" s="847"/>
      <c r="I473" s="200"/>
      <c r="J473" s="3215"/>
      <c r="K473" s="3171"/>
      <c r="L473" s="3125"/>
      <c r="M473" s="3124"/>
      <c r="N473" s="3125"/>
      <c r="O473" s="3125"/>
      <c r="P473" s="3125"/>
      <c r="Q473" s="3125"/>
      <c r="R473" s="3926"/>
      <c r="S473" s="4335"/>
      <c r="T473" s="3922"/>
      <c r="U473" s="4353"/>
      <c r="V473" s="3925">
        <f t="shared" si="90"/>
        <v>0</v>
      </c>
    </row>
    <row r="474" spans="1:22" s="2069" customFormat="1" ht="15.05" customHeight="1">
      <c r="A474" s="1855"/>
      <c r="B474" s="1855"/>
      <c r="C474" s="1855"/>
      <c r="D474" s="1855"/>
      <c r="E474" s="1855"/>
      <c r="F474" s="1464" t="s">
        <v>623</v>
      </c>
      <c r="G474" s="1860"/>
      <c r="H474" s="202"/>
      <c r="I474" s="202"/>
      <c r="J474" s="3259">
        <f>SUM(J475:J477)</f>
        <v>6980745800</v>
      </c>
      <c r="K474" s="3259">
        <f>SUM(K475:K477)</f>
        <v>4930803205</v>
      </c>
      <c r="L474" s="3259">
        <f>SUM(L475:L477)</f>
        <v>6980745800</v>
      </c>
      <c r="M474" s="3183">
        <v>0</v>
      </c>
      <c r="N474" s="3182">
        <f>SUM(N475:N478)</f>
        <v>0</v>
      </c>
      <c r="O474" s="3182">
        <f>N474+M474</f>
        <v>0</v>
      </c>
      <c r="P474" s="3182">
        <v>6980745800</v>
      </c>
      <c r="Q474" s="3182">
        <f>+P474-L474</f>
        <v>0</v>
      </c>
      <c r="R474" s="3914">
        <f>+P474/L474*100-100</f>
        <v>0</v>
      </c>
      <c r="S474" s="4356"/>
      <c r="T474" s="4357"/>
      <c r="U474" s="4282"/>
      <c r="V474" s="3925">
        <f t="shared" si="90"/>
        <v>0</v>
      </c>
    </row>
    <row r="475" spans="1:22" s="2069" customFormat="1" ht="15.05" customHeight="1">
      <c r="A475" s="1855"/>
      <c r="B475" s="1855"/>
      <c r="C475" s="1855"/>
      <c r="D475" s="1855"/>
      <c r="E475" s="1855"/>
      <c r="F475" s="2861" t="s">
        <v>50</v>
      </c>
      <c r="G475" s="2862"/>
      <c r="H475" s="847" t="s">
        <v>1191</v>
      </c>
      <c r="I475" s="847"/>
      <c r="J475" s="3306">
        <v>3688800000</v>
      </c>
      <c r="K475" s="3307">
        <v>2120189000</v>
      </c>
      <c r="L475" s="3125">
        <v>3688800000</v>
      </c>
      <c r="M475" s="3124">
        <v>0</v>
      </c>
      <c r="N475" s="3125">
        <v>0</v>
      </c>
      <c r="O475" s="3125">
        <v>0</v>
      </c>
      <c r="P475" s="3125">
        <v>3688800000</v>
      </c>
      <c r="Q475" s="3125">
        <f>+P475-L475</f>
        <v>0</v>
      </c>
      <c r="R475" s="3926">
        <f>+P475/L475*100-100</f>
        <v>0</v>
      </c>
      <c r="S475" s="3921"/>
      <c r="T475" s="3922"/>
      <c r="U475" s="3923"/>
      <c r="V475" s="3925">
        <f t="shared" si="90"/>
        <v>0</v>
      </c>
    </row>
    <row r="476" spans="1:22" s="2069" customFormat="1" ht="15.05" customHeight="1">
      <c r="A476" s="1855"/>
      <c r="B476" s="1855"/>
      <c r="C476" s="1855"/>
      <c r="D476" s="1855"/>
      <c r="E476" s="1855"/>
      <c r="F476" s="2861" t="s">
        <v>50</v>
      </c>
      <c r="G476" s="2862"/>
      <c r="H476" s="5784" t="s">
        <v>85</v>
      </c>
      <c r="I476" s="5784"/>
      <c r="J476" s="3305">
        <v>0</v>
      </c>
      <c r="K476" s="3438">
        <v>1967138126</v>
      </c>
      <c r="L476" s="3125">
        <v>3291945800</v>
      </c>
      <c r="M476" s="3124">
        <v>0</v>
      </c>
      <c r="N476" s="3125">
        <v>0</v>
      </c>
      <c r="O476" s="3125">
        <v>0</v>
      </c>
      <c r="P476" s="3125">
        <v>3291945800</v>
      </c>
      <c r="Q476" s="3125">
        <f>+P476-L476</f>
        <v>0</v>
      </c>
      <c r="R476" s="3926">
        <f>+P476/L476*100-100</f>
        <v>0</v>
      </c>
      <c r="S476" s="3921"/>
      <c r="T476" s="3922"/>
      <c r="U476" s="3923"/>
      <c r="V476" s="3925">
        <f t="shared" si="90"/>
        <v>0</v>
      </c>
    </row>
    <row r="477" spans="1:22" s="3475" customFormat="1" ht="15.05" customHeight="1">
      <c r="A477" s="1855"/>
      <c r="B477" s="1855"/>
      <c r="C477" s="1855"/>
      <c r="D477" s="1855"/>
      <c r="E477" s="1855"/>
      <c r="F477" s="2861" t="s">
        <v>50</v>
      </c>
      <c r="G477" s="2862"/>
      <c r="H477" s="1938" t="s">
        <v>624</v>
      </c>
      <c r="I477" s="1938"/>
      <c r="J477" s="3305">
        <v>3291945800</v>
      </c>
      <c r="K477" s="3438">
        <v>843476079</v>
      </c>
      <c r="L477" s="3125"/>
      <c r="M477" s="3124"/>
      <c r="N477" s="3125"/>
      <c r="O477" s="3125"/>
      <c r="P477" s="3125"/>
      <c r="Q477" s="3125">
        <f>+P477-L477</f>
        <v>0</v>
      </c>
      <c r="R477" s="3926">
        <v>0</v>
      </c>
      <c r="S477" s="3755"/>
      <c r="T477" s="3856"/>
      <c r="U477" s="3810">
        <f>PerDinas!Q587</f>
        <v>0</v>
      </c>
      <c r="V477" s="3474">
        <f t="shared" si="90"/>
        <v>0</v>
      </c>
    </row>
    <row r="478" spans="1:22" ht="15.05" hidden="1" customHeight="1">
      <c r="A478" s="1855"/>
      <c r="B478" s="1855"/>
      <c r="C478" s="1855"/>
      <c r="D478" s="1855"/>
      <c r="E478" s="1855"/>
      <c r="F478" s="2861"/>
      <c r="G478" s="2862"/>
      <c r="H478" s="200"/>
      <c r="I478" s="200"/>
      <c r="J478" s="3215"/>
      <c r="K478" s="3171"/>
      <c r="L478" s="3125"/>
      <c r="M478" s="3124"/>
      <c r="N478" s="3125"/>
      <c r="O478" s="3125"/>
      <c r="P478" s="3125"/>
      <c r="Q478" s="3125"/>
      <c r="R478" s="3926"/>
      <c r="S478" s="3748"/>
      <c r="T478" s="3826"/>
      <c r="U478" s="3778"/>
      <c r="V478" s="1846">
        <f t="shared" si="90"/>
        <v>0</v>
      </c>
    </row>
    <row r="479" spans="1:22" ht="15.05" customHeight="1">
      <c r="A479" s="1855"/>
      <c r="B479" s="1855"/>
      <c r="C479" s="1855"/>
      <c r="D479" s="1855"/>
      <c r="E479" s="1855"/>
      <c r="F479" s="1464" t="s">
        <v>625</v>
      </c>
      <c r="G479" s="1860"/>
      <c r="H479" s="202"/>
      <c r="I479" s="202"/>
      <c r="J479" s="3259">
        <f>J480</f>
        <v>4562382400</v>
      </c>
      <c r="K479" s="3259">
        <f t="shared" ref="K479:P479" si="91">K480</f>
        <v>4736422507.3400002</v>
      </c>
      <c r="L479" s="3259">
        <f t="shared" si="91"/>
        <v>4562382400</v>
      </c>
      <c r="M479" s="3259">
        <f t="shared" si="91"/>
        <v>733425000</v>
      </c>
      <c r="N479" s="3259">
        <f t="shared" si="91"/>
        <v>411775000</v>
      </c>
      <c r="O479" s="3259">
        <f t="shared" si="91"/>
        <v>1145200000</v>
      </c>
      <c r="P479" s="3259">
        <f t="shared" si="91"/>
        <v>4776018400</v>
      </c>
      <c r="Q479" s="3182">
        <f t="shared" ref="Q479:Q492" si="92">+P479-L479</f>
        <v>213636000</v>
      </c>
      <c r="R479" s="3914">
        <f>+P479/L479*100-100</f>
        <v>4.6825535711342354</v>
      </c>
      <c r="S479" s="3697"/>
      <c r="T479" s="3816"/>
      <c r="U479" s="3777"/>
      <c r="V479" s="1846">
        <f t="shared" si="90"/>
        <v>4580800000</v>
      </c>
    </row>
    <row r="480" spans="1:22" ht="15.05" customHeight="1">
      <c r="A480" s="1855"/>
      <c r="B480" s="1855"/>
      <c r="C480" s="1855"/>
      <c r="D480" s="1855"/>
      <c r="E480" s="1855"/>
      <c r="F480" s="2830" t="s">
        <v>626</v>
      </c>
      <c r="G480" s="2831"/>
      <c r="H480" s="2322"/>
      <c r="I480" s="2322"/>
      <c r="J480" s="3272">
        <f>J481+J482+J494</f>
        <v>4562382400</v>
      </c>
      <c r="K480" s="3272">
        <f>K481+K482+K494</f>
        <v>4736422507.3400002</v>
      </c>
      <c r="L480" s="3272">
        <f>L481+L482+L494</f>
        <v>4562382400</v>
      </c>
      <c r="M480" s="3272">
        <f>M481+M482+M494</f>
        <v>733425000</v>
      </c>
      <c r="N480" s="3272">
        <f>N481+N482+N494</f>
        <v>411775000</v>
      </c>
      <c r="O480" s="3272">
        <f>O481+O482</f>
        <v>1145200000</v>
      </c>
      <c r="P480" s="3272">
        <f>P481+P482+P494</f>
        <v>4776018400</v>
      </c>
      <c r="Q480" s="3182">
        <f t="shared" si="92"/>
        <v>213636000</v>
      </c>
      <c r="R480" s="3914">
        <f>+P480/L480*100-100</f>
        <v>4.6825535711342354</v>
      </c>
      <c r="S480" s="3697"/>
      <c r="T480" s="3816"/>
      <c r="U480" s="3771"/>
      <c r="V480" s="1846">
        <f t="shared" si="90"/>
        <v>4580800000</v>
      </c>
    </row>
    <row r="481" spans="1:22" ht="15.05" customHeight="1">
      <c r="A481" s="1855"/>
      <c r="B481" s="1855"/>
      <c r="C481" s="1855"/>
      <c r="D481" s="1855"/>
      <c r="E481" s="1855"/>
      <c r="F481" s="2863"/>
      <c r="G481" s="1858"/>
      <c r="H481" s="2864" t="s">
        <v>627</v>
      </c>
      <c r="I481" s="200"/>
      <c r="J481" s="3215">
        <v>1439364000</v>
      </c>
      <c r="K481" s="3171">
        <v>1630820507.3399999</v>
      </c>
      <c r="L481" s="3125">
        <v>1439364000</v>
      </c>
      <c r="M481" s="3124">
        <v>0</v>
      </c>
      <c r="N481" s="3125">
        <v>0</v>
      </c>
      <c r="O481" s="3125">
        <v>413250000</v>
      </c>
      <c r="P481" s="3125">
        <v>1653000000</v>
      </c>
      <c r="Q481" s="3125">
        <f t="shared" si="92"/>
        <v>213636000</v>
      </c>
      <c r="R481" s="3926">
        <f>+P481/L481*100-100</f>
        <v>14.842388721685424</v>
      </c>
      <c r="S481" s="3748"/>
      <c r="T481" s="3826"/>
      <c r="U481" s="3778">
        <f>PerDinas!Q610</f>
        <v>0</v>
      </c>
      <c r="V481" s="1846">
        <f t="shared" si="90"/>
        <v>1653000000</v>
      </c>
    </row>
    <row r="482" spans="1:22" s="1839" customFormat="1" ht="15.05" customHeight="1">
      <c r="A482" s="1854"/>
      <c r="B482" s="1854"/>
      <c r="C482" s="1854"/>
      <c r="D482" s="1854"/>
      <c r="E482" s="1854"/>
      <c r="F482" s="1464" t="s">
        <v>50</v>
      </c>
      <c r="G482" s="1860"/>
      <c r="H482" s="202" t="s">
        <v>628</v>
      </c>
      <c r="I482" s="202"/>
      <c r="J482" s="3215">
        <v>3123018400</v>
      </c>
      <c r="K482" s="3123">
        <f>SUM(K483:K492)</f>
        <v>3105602000</v>
      </c>
      <c r="L482" s="3182">
        <v>3123018400</v>
      </c>
      <c r="M482" s="3183">
        <v>457925000</v>
      </c>
      <c r="N482" s="3182">
        <v>274025000</v>
      </c>
      <c r="O482" s="3123">
        <f>SUM(O483:O492)</f>
        <v>731950000</v>
      </c>
      <c r="P482" s="3182">
        <v>3123018400</v>
      </c>
      <c r="Q482" s="3182">
        <f t="shared" si="92"/>
        <v>0</v>
      </c>
      <c r="R482" s="3914">
        <f>+P482/L482*100-100</f>
        <v>0</v>
      </c>
      <c r="S482" s="3697"/>
      <c r="T482" s="3816"/>
      <c r="U482" s="3777"/>
      <c r="V482" s="1846">
        <f t="shared" si="90"/>
        <v>2927800000</v>
      </c>
    </row>
    <row r="483" spans="1:22" ht="15.05" hidden="1" customHeight="1">
      <c r="A483" s="1855"/>
      <c r="B483" s="1855"/>
      <c r="C483" s="1855"/>
      <c r="D483" s="1855"/>
      <c r="E483" s="1855"/>
      <c r="F483" s="2359"/>
      <c r="G483" s="213"/>
      <c r="H483" s="200" t="str">
        <f>MAR!I567</f>
        <v>Samsat Mataram</v>
      </c>
      <c r="I483" s="200"/>
      <c r="J483" s="3215">
        <v>0</v>
      </c>
      <c r="K483" s="3171">
        <v>687375100</v>
      </c>
      <c r="L483" s="3125">
        <v>0</v>
      </c>
      <c r="M483" s="3124">
        <v>98675000</v>
      </c>
      <c r="N483" s="3125">
        <v>46375000</v>
      </c>
      <c r="O483" s="3125">
        <v>145050000</v>
      </c>
      <c r="P483" s="3125">
        <v>0</v>
      </c>
      <c r="Q483" s="3125">
        <f t="shared" si="92"/>
        <v>0</v>
      </c>
      <c r="R483" s="3914" t="e">
        <f>+P483/L483*100-100</f>
        <v>#DIV/0!</v>
      </c>
      <c r="S483" s="3756"/>
      <c r="T483" s="3816"/>
      <c r="U483" s="3778">
        <f>PerDinas!Q612</f>
        <v>0</v>
      </c>
      <c r="V483" s="1846">
        <f t="shared" si="90"/>
        <v>580200000</v>
      </c>
    </row>
    <row r="484" spans="1:22" ht="15.05" hidden="1" customHeight="1">
      <c r="A484" s="1855"/>
      <c r="B484" s="1855"/>
      <c r="C484" s="1855"/>
      <c r="D484" s="1855"/>
      <c r="E484" s="1855"/>
      <c r="F484" s="2359"/>
      <c r="G484" s="213"/>
      <c r="H484" s="200" t="str">
        <f>MAR!I568</f>
        <v>Samsat Praya</v>
      </c>
      <c r="I484" s="200"/>
      <c r="J484" s="3215">
        <v>0</v>
      </c>
      <c r="K484" s="3171">
        <v>492200000</v>
      </c>
      <c r="L484" s="3125"/>
      <c r="M484" s="3124">
        <v>70250000</v>
      </c>
      <c r="N484" s="3125">
        <v>103425000</v>
      </c>
      <c r="O484" s="3125">
        <v>173675000</v>
      </c>
      <c r="P484" s="3125"/>
      <c r="Q484" s="3125">
        <f t="shared" si="92"/>
        <v>0</v>
      </c>
      <c r="R484" s="3914">
        <v>0</v>
      </c>
      <c r="S484" s="3756"/>
      <c r="T484" s="3816"/>
      <c r="U484" s="3778">
        <f>PerDinas!Q613</f>
        <v>0</v>
      </c>
      <c r="V484" s="1846">
        <f t="shared" si="90"/>
        <v>694700000</v>
      </c>
    </row>
    <row r="485" spans="1:22" ht="15.05" hidden="1" customHeight="1">
      <c r="A485" s="1855"/>
      <c r="B485" s="1855"/>
      <c r="C485" s="1855"/>
      <c r="D485" s="1855"/>
      <c r="E485" s="1855"/>
      <c r="F485" s="2359"/>
      <c r="G485" s="213"/>
      <c r="H485" s="200" t="str">
        <f>MAR!I569</f>
        <v>Samsat Selong</v>
      </c>
      <c r="I485" s="200"/>
      <c r="J485" s="3215">
        <v>0</v>
      </c>
      <c r="K485" s="3171">
        <v>636475000</v>
      </c>
      <c r="L485" s="3125"/>
      <c r="M485" s="3124">
        <v>95350000</v>
      </c>
      <c r="N485" s="3125">
        <v>42725000</v>
      </c>
      <c r="O485" s="3125">
        <v>138075000</v>
      </c>
      <c r="P485" s="3125"/>
      <c r="Q485" s="3125">
        <f t="shared" si="92"/>
        <v>0</v>
      </c>
      <c r="R485" s="3914">
        <v>0</v>
      </c>
      <c r="S485" s="3756"/>
      <c r="T485" s="3816"/>
      <c r="U485" s="3778">
        <f>PerDinas!Q614</f>
        <v>0</v>
      </c>
      <c r="V485" s="1846">
        <f t="shared" si="90"/>
        <v>552300000</v>
      </c>
    </row>
    <row r="486" spans="1:22" ht="15.05" hidden="1" customHeight="1">
      <c r="A486" s="1855"/>
      <c r="B486" s="1855"/>
      <c r="C486" s="1855"/>
      <c r="D486" s="1855"/>
      <c r="E486" s="1855"/>
      <c r="F486" s="2359"/>
      <c r="G486" s="213"/>
      <c r="H486" s="200" t="str">
        <f>MAR!I570</f>
        <v>Samsat Sumbawa</v>
      </c>
      <c r="I486" s="200"/>
      <c r="J486" s="3215">
        <v>0</v>
      </c>
      <c r="K486" s="3171">
        <v>262551900</v>
      </c>
      <c r="L486" s="3125"/>
      <c r="M486" s="3124">
        <v>49650000</v>
      </c>
      <c r="N486" s="3125">
        <v>14725000</v>
      </c>
      <c r="O486" s="3125">
        <v>64375000</v>
      </c>
      <c r="P486" s="3125"/>
      <c r="Q486" s="3125">
        <f t="shared" si="92"/>
        <v>0</v>
      </c>
      <c r="R486" s="3914">
        <v>0</v>
      </c>
      <c r="S486" s="3756"/>
      <c r="T486" s="3816"/>
      <c r="U486" s="3778">
        <f>PerDinas!Q615</f>
        <v>0</v>
      </c>
      <c r="V486" s="1846">
        <f t="shared" si="90"/>
        <v>257500000</v>
      </c>
    </row>
    <row r="487" spans="1:22" ht="15.05" hidden="1" customHeight="1">
      <c r="A487" s="1855"/>
      <c r="B487" s="1855"/>
      <c r="C487" s="1855"/>
      <c r="D487" s="1855"/>
      <c r="E487" s="1855"/>
      <c r="F487" s="2359"/>
      <c r="G487" s="213"/>
      <c r="H487" s="200" t="str">
        <f>MAR!I571</f>
        <v>Samsat Kota Bima</v>
      </c>
      <c r="I487" s="200"/>
      <c r="J487" s="3215">
        <v>0</v>
      </c>
      <c r="K487" s="3171">
        <v>223325000</v>
      </c>
      <c r="L487" s="3125"/>
      <c r="M487" s="3124">
        <v>16975000</v>
      </c>
      <c r="N487" s="3125">
        <v>8525000</v>
      </c>
      <c r="O487" s="3125">
        <v>25500000</v>
      </c>
      <c r="P487" s="3125"/>
      <c r="Q487" s="3125">
        <f t="shared" si="92"/>
        <v>0</v>
      </c>
      <c r="R487" s="3914">
        <v>0</v>
      </c>
      <c r="S487" s="3756"/>
      <c r="T487" s="3816"/>
      <c r="U487" s="3778">
        <f>PerDinas!Q616</f>
        <v>0</v>
      </c>
      <c r="V487" s="1846">
        <f t="shared" si="90"/>
        <v>102000000</v>
      </c>
    </row>
    <row r="488" spans="1:22" ht="15.05" hidden="1" customHeight="1">
      <c r="A488" s="1855"/>
      <c r="B488" s="1855"/>
      <c r="C488" s="1855"/>
      <c r="D488" s="1855"/>
      <c r="E488" s="1855"/>
      <c r="F488" s="2359"/>
      <c r="G488" s="213"/>
      <c r="H488" s="200" t="str">
        <f>MAR!I572</f>
        <v>Samsat Kab. Bima</v>
      </c>
      <c r="I488" s="200"/>
      <c r="J488" s="3215">
        <v>0</v>
      </c>
      <c r="K488" s="3193">
        <v>0</v>
      </c>
      <c r="L488" s="3125"/>
      <c r="M488" s="3124">
        <v>13000000</v>
      </c>
      <c r="N488" s="3125">
        <v>6250000</v>
      </c>
      <c r="O488" s="3125">
        <v>19250000</v>
      </c>
      <c r="P488" s="3125"/>
      <c r="Q488" s="3125">
        <f t="shared" si="92"/>
        <v>0</v>
      </c>
      <c r="R488" s="3914">
        <v>0</v>
      </c>
      <c r="S488" s="3756"/>
      <c r="T488" s="3816"/>
      <c r="U488" s="3778">
        <f>PerDinas!Q617</f>
        <v>0</v>
      </c>
      <c r="V488" s="1846">
        <f t="shared" si="90"/>
        <v>77000000</v>
      </c>
    </row>
    <row r="489" spans="1:22" ht="15.05" hidden="1" customHeight="1">
      <c r="A489" s="1855"/>
      <c r="B489" s="1855"/>
      <c r="C489" s="1855"/>
      <c r="D489" s="1855"/>
      <c r="E489" s="1855"/>
      <c r="F489" s="2359"/>
      <c r="G489" s="213"/>
      <c r="H489" s="200" t="str">
        <f>MAR!I573</f>
        <v>Samsat Dompu</v>
      </c>
      <c r="I489" s="200"/>
      <c r="J489" s="3215">
        <v>0</v>
      </c>
      <c r="K489" s="3171">
        <v>93625000</v>
      </c>
      <c r="L489" s="3125"/>
      <c r="M489" s="3124">
        <v>10775000</v>
      </c>
      <c r="N489" s="3125">
        <v>3550000</v>
      </c>
      <c r="O489" s="3125">
        <v>14325000</v>
      </c>
      <c r="P489" s="3125"/>
      <c r="Q489" s="3125">
        <f t="shared" si="92"/>
        <v>0</v>
      </c>
      <c r="R489" s="3914">
        <v>0</v>
      </c>
      <c r="S489" s="3756"/>
      <c r="T489" s="3816"/>
      <c r="U489" s="3778">
        <f>PerDinas!Q617</f>
        <v>0</v>
      </c>
      <c r="V489" s="1846">
        <f t="shared" si="90"/>
        <v>57300000</v>
      </c>
    </row>
    <row r="490" spans="1:22" ht="15.05" hidden="1" customHeight="1">
      <c r="A490" s="1855"/>
      <c r="B490" s="1855"/>
      <c r="C490" s="1855"/>
      <c r="D490" s="1855"/>
      <c r="E490" s="1855"/>
      <c r="F490" s="2359"/>
      <c r="G490" s="213"/>
      <c r="H490" s="200" t="str">
        <f>MAR!I574</f>
        <v>Samsat Lombok Barat</v>
      </c>
      <c r="I490" s="200"/>
      <c r="J490" s="3215">
        <v>0</v>
      </c>
      <c r="K490" s="3171">
        <v>609400000</v>
      </c>
      <c r="L490" s="3125"/>
      <c r="M490" s="3124">
        <v>85725000</v>
      </c>
      <c r="N490" s="3125">
        <v>40875000</v>
      </c>
      <c r="O490" s="3125">
        <v>126600000</v>
      </c>
      <c r="P490" s="3125"/>
      <c r="Q490" s="3125">
        <f t="shared" si="92"/>
        <v>0</v>
      </c>
      <c r="R490" s="3914">
        <v>0</v>
      </c>
      <c r="S490" s="3756"/>
      <c r="T490" s="3816"/>
      <c r="U490" s="3778">
        <f>PerDinas!Q618</f>
        <v>0</v>
      </c>
      <c r="V490" s="1846">
        <f t="shared" si="90"/>
        <v>506400000</v>
      </c>
    </row>
    <row r="491" spans="1:22" ht="15.05" hidden="1" customHeight="1">
      <c r="A491" s="1855"/>
      <c r="B491" s="1855"/>
      <c r="C491" s="1855"/>
      <c r="D491" s="1855"/>
      <c r="E491" s="1855"/>
      <c r="F491" s="2359"/>
      <c r="G491" s="213"/>
      <c r="H491" s="200" t="str">
        <f>MAR!I575</f>
        <v>Samsat Sumbawa Barat</v>
      </c>
      <c r="I491" s="200"/>
      <c r="J491" s="3215">
        <v>0</v>
      </c>
      <c r="K491" s="3171">
        <v>100650000</v>
      </c>
      <c r="L491" s="3125"/>
      <c r="M491" s="3124">
        <v>17525000</v>
      </c>
      <c r="N491" s="3125">
        <v>7575000</v>
      </c>
      <c r="O491" s="3125">
        <v>25100000</v>
      </c>
      <c r="P491" s="3125"/>
      <c r="Q491" s="3125">
        <f t="shared" si="92"/>
        <v>0</v>
      </c>
      <c r="R491" s="3914">
        <v>0</v>
      </c>
      <c r="S491" s="3756"/>
      <c r="T491" s="3816"/>
      <c r="U491" s="3778">
        <f>PerDinas!Q619</f>
        <v>0</v>
      </c>
      <c r="V491" s="1846">
        <f t="shared" si="90"/>
        <v>100400000</v>
      </c>
    </row>
    <row r="492" spans="1:22" ht="15.05" hidden="1" customHeight="1">
      <c r="A492" s="1855"/>
      <c r="B492" s="1855"/>
      <c r="C492" s="1855"/>
      <c r="D492" s="1855"/>
      <c r="E492" s="1855"/>
      <c r="F492" s="2359"/>
      <c r="G492" s="213"/>
      <c r="H492" s="200" t="str">
        <f>MAR!I576</f>
        <v>Samsat Kab.Lombok Utara</v>
      </c>
      <c r="I492" s="200"/>
      <c r="J492" s="3215">
        <v>0</v>
      </c>
      <c r="K492" s="3193">
        <v>0</v>
      </c>
      <c r="L492" s="3125"/>
      <c r="M492" s="3124">
        <v>0</v>
      </c>
      <c r="N492" s="3125">
        <v>0</v>
      </c>
      <c r="O492" s="3125">
        <v>0</v>
      </c>
      <c r="P492" s="3125"/>
      <c r="Q492" s="3125">
        <f t="shared" si="92"/>
        <v>0</v>
      </c>
      <c r="R492" s="3914">
        <v>0</v>
      </c>
      <c r="S492" s="3756"/>
      <c r="T492" s="3816"/>
      <c r="U492" s="3778">
        <f>PerDinas!Q620</f>
        <v>0</v>
      </c>
      <c r="V492" s="1846">
        <f t="shared" si="90"/>
        <v>0</v>
      </c>
    </row>
    <row r="493" spans="1:22" ht="15.05" hidden="1" customHeight="1">
      <c r="A493" s="1855"/>
      <c r="B493" s="1855"/>
      <c r="C493" s="1855"/>
      <c r="D493" s="1855"/>
      <c r="E493" s="1855"/>
      <c r="F493" s="2359"/>
      <c r="G493" s="213"/>
      <c r="H493" s="200"/>
      <c r="I493" s="200"/>
      <c r="J493" s="3215"/>
      <c r="K493" s="3171"/>
      <c r="L493" s="3125"/>
      <c r="M493" s="3124"/>
      <c r="N493" s="3125"/>
      <c r="O493" s="3125"/>
      <c r="P493" s="3125"/>
      <c r="Q493" s="3125"/>
      <c r="R493" s="3926"/>
      <c r="S493" s="3275"/>
      <c r="T493" s="3826"/>
      <c r="U493" s="3771"/>
      <c r="V493" s="1846">
        <f t="shared" si="90"/>
        <v>0</v>
      </c>
    </row>
    <row r="494" spans="1:22" s="1839" customFormat="1" ht="15.05" hidden="1" customHeight="1">
      <c r="A494" s="1854"/>
      <c r="B494" s="1854"/>
      <c r="C494" s="1854"/>
      <c r="D494" s="1854"/>
      <c r="E494" s="1854"/>
      <c r="F494" s="1464" t="s">
        <v>50</v>
      </c>
      <c r="G494" s="1860"/>
      <c r="H494" s="202" t="s">
        <v>85</v>
      </c>
      <c r="I494" s="202"/>
      <c r="J494" s="3259"/>
      <c r="K494" s="3123"/>
      <c r="L494" s="3182">
        <f>L495</f>
        <v>0</v>
      </c>
      <c r="M494" s="3183">
        <v>275500000</v>
      </c>
      <c r="N494" s="3182">
        <f>N495</f>
        <v>137750000</v>
      </c>
      <c r="O494" s="3182">
        <f>O495</f>
        <v>413250000</v>
      </c>
      <c r="P494" s="3182">
        <v>0</v>
      </c>
      <c r="Q494" s="3182">
        <f t="shared" ref="Q494:Q557" si="93">+P494-L494</f>
        <v>0</v>
      </c>
      <c r="R494" s="3914">
        <v>0</v>
      </c>
      <c r="S494" s="3710"/>
      <c r="T494" s="3829"/>
      <c r="U494" s="3777"/>
      <c r="V494" s="1846">
        <f t="shared" si="90"/>
        <v>1653000000</v>
      </c>
    </row>
    <row r="495" spans="1:22" ht="15.05" hidden="1" customHeight="1">
      <c r="A495" s="1855"/>
      <c r="B495" s="1855"/>
      <c r="C495" s="1855"/>
      <c r="D495" s="1855"/>
      <c r="E495" s="1855"/>
      <c r="F495" s="2359"/>
      <c r="G495" s="213"/>
      <c r="H495" s="200" t="s">
        <v>629</v>
      </c>
      <c r="I495" s="200"/>
      <c r="J495" s="3215"/>
      <c r="K495" s="3171"/>
      <c r="L495" s="3125">
        <f>MAR!J562</f>
        <v>0</v>
      </c>
      <c r="M495" s="3124">
        <v>275500000</v>
      </c>
      <c r="N495" s="3125">
        <f>MAR!L562</f>
        <v>137750000</v>
      </c>
      <c r="O495" s="3125">
        <f>MAR!M562</f>
        <v>413250000</v>
      </c>
      <c r="P495" s="3125">
        <v>0</v>
      </c>
      <c r="Q495" s="3125">
        <f t="shared" si="93"/>
        <v>0</v>
      </c>
      <c r="R495" s="3926">
        <v>0</v>
      </c>
      <c r="S495" s="3275"/>
      <c r="T495" s="3826"/>
      <c r="U495" s="3771"/>
      <c r="V495" s="1846">
        <f t="shared" si="90"/>
        <v>1653000000</v>
      </c>
    </row>
    <row r="496" spans="1:22" s="2069" customFormat="1" ht="15.05" customHeight="1">
      <c r="A496" s="1855"/>
      <c r="B496" s="1855"/>
      <c r="C496" s="1855"/>
      <c r="D496" s="1855"/>
      <c r="E496" s="1855"/>
      <c r="F496" s="1464" t="s">
        <v>630</v>
      </c>
      <c r="G496" s="1860"/>
      <c r="H496" s="202"/>
      <c r="I496" s="202"/>
      <c r="J496" s="3259">
        <v>1508491400</v>
      </c>
      <c r="K496" s="3123">
        <v>37289625</v>
      </c>
      <c r="L496" s="3182">
        <v>1508491400</v>
      </c>
      <c r="M496" s="3183">
        <v>0</v>
      </c>
      <c r="N496" s="3182">
        <v>0</v>
      </c>
      <c r="O496" s="3182">
        <v>0</v>
      </c>
      <c r="P496" s="3182">
        <v>1508491400</v>
      </c>
      <c r="Q496" s="3182">
        <f t="shared" si="93"/>
        <v>0</v>
      </c>
      <c r="R496" s="3914">
        <f t="shared" ref="R496:R501" si="94">+P496/L496*100-100</f>
        <v>0</v>
      </c>
      <c r="S496" s="4356"/>
      <c r="T496" s="4357"/>
      <c r="U496" s="4282"/>
      <c r="V496" s="3925">
        <f t="shared" si="90"/>
        <v>0</v>
      </c>
    </row>
    <row r="497" spans="1:31" s="2069" customFormat="1" ht="15.05" customHeight="1">
      <c r="A497" s="1855"/>
      <c r="B497" s="1855"/>
      <c r="C497" s="1855"/>
      <c r="D497" s="1855"/>
      <c r="E497" s="1855"/>
      <c r="F497" s="1857" t="s">
        <v>50</v>
      </c>
      <c r="G497" s="1858"/>
      <c r="H497" s="200" t="s">
        <v>85</v>
      </c>
      <c r="I497" s="200"/>
      <c r="J497" s="3215"/>
      <c r="K497" s="3171"/>
      <c r="L497" s="3125">
        <v>1508491400</v>
      </c>
      <c r="M497" s="3124">
        <v>0</v>
      </c>
      <c r="N497" s="3125">
        <v>0</v>
      </c>
      <c r="O497" s="3125">
        <v>0</v>
      </c>
      <c r="P497" s="3125">
        <v>1508491400</v>
      </c>
      <c r="Q497" s="3125">
        <f t="shared" si="93"/>
        <v>0</v>
      </c>
      <c r="R497" s="3926">
        <f t="shared" si="94"/>
        <v>0</v>
      </c>
      <c r="S497" s="3921"/>
      <c r="T497" s="3922"/>
      <c r="U497" s="3923"/>
      <c r="V497" s="3925">
        <f t="shared" si="90"/>
        <v>0</v>
      </c>
    </row>
    <row r="498" spans="1:31" s="2069" customFormat="1" ht="15.05" hidden="1" customHeight="1">
      <c r="A498" s="1855"/>
      <c r="B498" s="1855"/>
      <c r="C498" s="1855"/>
      <c r="D498" s="1855"/>
      <c r="E498" s="1855"/>
      <c r="F498" s="1857"/>
      <c r="G498" s="1858"/>
      <c r="H498" s="200"/>
      <c r="I498" s="200"/>
      <c r="J498" s="3215"/>
      <c r="K498" s="3171"/>
      <c r="L498" s="3125"/>
      <c r="M498" s="3124"/>
      <c r="N498" s="3125"/>
      <c r="O498" s="3125"/>
      <c r="P498" s="3125"/>
      <c r="Q498" s="3125">
        <f t="shared" si="93"/>
        <v>0</v>
      </c>
      <c r="R498" s="3926" t="e">
        <f t="shared" si="94"/>
        <v>#DIV/0!</v>
      </c>
      <c r="S498" s="3921"/>
      <c r="T498" s="3922"/>
      <c r="U498" s="3923"/>
      <c r="V498" s="3925">
        <f t="shared" si="90"/>
        <v>0</v>
      </c>
      <c r="AE498" s="4442"/>
    </row>
    <row r="499" spans="1:31" s="2069" customFormat="1" ht="15.05" customHeight="1">
      <c r="A499" s="1855"/>
      <c r="B499" s="1855"/>
      <c r="C499" s="1855"/>
      <c r="D499" s="1855"/>
      <c r="E499" s="1855"/>
      <c r="F499" s="1464" t="s">
        <v>279</v>
      </c>
      <c r="G499" s="1860"/>
      <c r="H499" s="200"/>
      <c r="I499" s="200"/>
      <c r="J499" s="3259">
        <f>J500</f>
        <v>25741600</v>
      </c>
      <c r="K499" s="3123">
        <f>K500</f>
        <v>3610507</v>
      </c>
      <c r="L499" s="3182">
        <v>25741600</v>
      </c>
      <c r="M499" s="3183">
        <v>0</v>
      </c>
      <c r="N499" s="3182">
        <v>0</v>
      </c>
      <c r="O499" s="3182">
        <v>0</v>
      </c>
      <c r="P499" s="3182">
        <v>25741600</v>
      </c>
      <c r="Q499" s="3182">
        <f t="shared" si="93"/>
        <v>0</v>
      </c>
      <c r="R499" s="3914">
        <f t="shared" si="94"/>
        <v>0</v>
      </c>
      <c r="S499" s="4356"/>
      <c r="T499" s="4357"/>
      <c r="U499" s="3923"/>
      <c r="V499" s="3925">
        <f t="shared" si="90"/>
        <v>0</v>
      </c>
    </row>
    <row r="500" spans="1:31" s="2069" customFormat="1" ht="15.05" customHeight="1">
      <c r="A500" s="1855"/>
      <c r="B500" s="1855"/>
      <c r="C500" s="1855"/>
      <c r="D500" s="1855"/>
      <c r="E500" s="1855"/>
      <c r="F500" s="2756" t="s">
        <v>50</v>
      </c>
      <c r="G500" s="1858" t="s">
        <v>631</v>
      </c>
      <c r="H500" s="200"/>
      <c r="I500" s="200"/>
      <c r="J500" s="3215">
        <v>25741600</v>
      </c>
      <c r="K500" s="3171">
        <v>3610507</v>
      </c>
      <c r="L500" s="3125">
        <v>25741600</v>
      </c>
      <c r="M500" s="3124">
        <v>0</v>
      </c>
      <c r="N500" s="3125">
        <v>0</v>
      </c>
      <c r="O500" s="3125">
        <v>0</v>
      </c>
      <c r="P500" s="3125">
        <v>25741600</v>
      </c>
      <c r="Q500" s="3125">
        <f t="shared" si="93"/>
        <v>0</v>
      </c>
      <c r="R500" s="3926">
        <f t="shared" si="94"/>
        <v>0</v>
      </c>
      <c r="S500" s="3921"/>
      <c r="T500" s="3922"/>
      <c r="U500" s="3923"/>
      <c r="V500" s="3925">
        <f t="shared" si="90"/>
        <v>0</v>
      </c>
    </row>
    <row r="501" spans="1:31" ht="15.05" hidden="1" customHeight="1">
      <c r="A501" s="1855"/>
      <c r="B501" s="1855"/>
      <c r="C501" s="1855"/>
      <c r="D501" s="1855"/>
      <c r="E501" s="1855"/>
      <c r="F501" s="1857"/>
      <c r="G501" s="1858"/>
      <c r="H501" s="200"/>
      <c r="I501" s="200"/>
      <c r="J501" s="3215"/>
      <c r="K501" s="3171"/>
      <c r="L501" s="3125"/>
      <c r="M501" s="3124"/>
      <c r="N501" s="3125"/>
      <c r="O501" s="3125"/>
      <c r="P501" s="3125"/>
      <c r="Q501" s="3125">
        <f t="shared" si="93"/>
        <v>0</v>
      </c>
      <c r="R501" s="3926" t="e">
        <f t="shared" si="94"/>
        <v>#DIV/0!</v>
      </c>
      <c r="S501" s="3748"/>
      <c r="T501" s="3826"/>
      <c r="U501" s="3778"/>
      <c r="V501" s="1846">
        <f t="shared" si="90"/>
        <v>0</v>
      </c>
    </row>
    <row r="502" spans="1:31" ht="15.05" hidden="1" customHeight="1">
      <c r="A502" s="1855"/>
      <c r="B502" s="1855"/>
      <c r="C502" s="1855"/>
      <c r="D502" s="1855"/>
      <c r="E502" s="1855"/>
      <c r="F502" s="1464" t="s">
        <v>122</v>
      </c>
      <c r="G502" s="1860"/>
      <c r="H502" s="202"/>
      <c r="I502" s="202"/>
      <c r="J502" s="3259"/>
      <c r="K502" s="3123">
        <f>K503</f>
        <v>10539168</v>
      </c>
      <c r="L502" s="3182">
        <v>0</v>
      </c>
      <c r="M502" s="3183">
        <v>140000</v>
      </c>
      <c r="N502" s="3182">
        <v>0</v>
      </c>
      <c r="O502" s="3182">
        <v>140000</v>
      </c>
      <c r="P502" s="3182">
        <v>0</v>
      </c>
      <c r="Q502" s="3182">
        <f t="shared" si="93"/>
        <v>0</v>
      </c>
      <c r="R502" s="3914">
        <v>0</v>
      </c>
      <c r="S502" s="3710"/>
      <c r="T502" s="3829"/>
      <c r="U502" s="3777"/>
      <c r="V502" s="1846">
        <f t="shared" si="90"/>
        <v>560000</v>
      </c>
    </row>
    <row r="503" spans="1:31" s="1840" customFormat="1" ht="15.05" hidden="1" customHeight="1">
      <c r="A503" s="1855"/>
      <c r="B503" s="1855"/>
      <c r="C503" s="1855"/>
      <c r="D503" s="1855"/>
      <c r="E503" s="1855"/>
      <c r="F503" s="1857" t="s">
        <v>50</v>
      </c>
      <c r="G503" s="1858"/>
      <c r="H503" s="200" t="s">
        <v>632</v>
      </c>
      <c r="I503" s="200"/>
      <c r="J503" s="3215"/>
      <c r="K503" s="3171">
        <v>10539168</v>
      </c>
      <c r="L503" s="3125">
        <v>0</v>
      </c>
      <c r="M503" s="3124">
        <v>140000</v>
      </c>
      <c r="N503" s="3125">
        <v>0</v>
      </c>
      <c r="O503" s="3125">
        <v>140000</v>
      </c>
      <c r="P503" s="3125">
        <v>0</v>
      </c>
      <c r="Q503" s="3125">
        <f t="shared" si="93"/>
        <v>0</v>
      </c>
      <c r="R503" s="3914">
        <v>0</v>
      </c>
      <c r="S503" s="3731"/>
      <c r="T503" s="3829"/>
      <c r="U503" s="3778">
        <f>PerDinas!Q628</f>
        <v>0</v>
      </c>
      <c r="V503" s="1882">
        <f t="shared" si="90"/>
        <v>560000</v>
      </c>
    </row>
    <row r="504" spans="1:31" ht="15.05" hidden="1" customHeight="1">
      <c r="A504" s="1855"/>
      <c r="B504" s="1855"/>
      <c r="C504" s="1855"/>
      <c r="D504" s="1855"/>
      <c r="E504" s="1855"/>
      <c r="F504" s="1857"/>
      <c r="G504" s="1858"/>
      <c r="H504" s="200"/>
      <c r="I504" s="200"/>
      <c r="J504" s="3215"/>
      <c r="K504" s="3171"/>
      <c r="L504" s="3125"/>
      <c r="M504" s="3124"/>
      <c r="N504" s="3125"/>
      <c r="O504" s="3125"/>
      <c r="P504" s="3125"/>
      <c r="Q504" s="3125">
        <f t="shared" si="93"/>
        <v>0</v>
      </c>
      <c r="R504" s="3914">
        <v>0</v>
      </c>
      <c r="S504" s="3710"/>
      <c r="T504" s="3829"/>
      <c r="U504" s="3771"/>
      <c r="V504" s="1846">
        <f t="shared" si="90"/>
        <v>0</v>
      </c>
    </row>
    <row r="505" spans="1:31" ht="15.05" hidden="1" customHeight="1">
      <c r="A505" s="1855"/>
      <c r="B505" s="1855"/>
      <c r="C505" s="1855"/>
      <c r="D505" s="1855"/>
      <c r="E505" s="1855"/>
      <c r="F505" s="1464" t="s">
        <v>1192</v>
      </c>
      <c r="G505" s="1860"/>
      <c r="H505" s="200"/>
      <c r="I505" s="200"/>
      <c r="J505" s="3215"/>
      <c r="K505" s="3171">
        <f>K506</f>
        <v>4907140</v>
      </c>
      <c r="L505" s="3182">
        <v>0</v>
      </c>
      <c r="M505" s="3183">
        <v>0</v>
      </c>
      <c r="N505" s="3182">
        <v>0</v>
      </c>
      <c r="O505" s="3182">
        <v>0</v>
      </c>
      <c r="P505" s="3182">
        <v>0</v>
      </c>
      <c r="Q505" s="3182">
        <f t="shared" si="93"/>
        <v>0</v>
      </c>
      <c r="R505" s="3914">
        <v>0</v>
      </c>
      <c r="S505" s="3710"/>
      <c r="T505" s="3829"/>
      <c r="U505" s="3771"/>
      <c r="V505" s="1846">
        <f t="shared" si="90"/>
        <v>0</v>
      </c>
    </row>
    <row r="506" spans="1:31" ht="15.05" hidden="1" customHeight="1">
      <c r="A506" s="1855"/>
      <c r="B506" s="1855"/>
      <c r="C506" s="1855"/>
      <c r="D506" s="1855"/>
      <c r="E506" s="1855"/>
      <c r="F506" s="1857" t="s">
        <v>50</v>
      </c>
      <c r="G506" s="1858"/>
      <c r="H506" s="200" t="s">
        <v>85</v>
      </c>
      <c r="I506" s="200"/>
      <c r="J506" s="3215"/>
      <c r="K506" s="3171">
        <v>4907140</v>
      </c>
      <c r="L506" s="3125">
        <v>0</v>
      </c>
      <c r="M506" s="3124">
        <v>0</v>
      </c>
      <c r="N506" s="3125">
        <v>0</v>
      </c>
      <c r="O506" s="3125">
        <v>0</v>
      </c>
      <c r="P506" s="3125">
        <v>0</v>
      </c>
      <c r="Q506" s="3125">
        <f t="shared" si="93"/>
        <v>0</v>
      </c>
      <c r="R506" s="3914">
        <v>0</v>
      </c>
      <c r="S506" s="3710"/>
      <c r="T506" s="3829"/>
      <c r="U506" s="3771"/>
      <c r="V506" s="1846">
        <f t="shared" si="90"/>
        <v>0</v>
      </c>
    </row>
    <row r="507" spans="1:31" ht="15.05" hidden="1" customHeight="1">
      <c r="A507" s="1855"/>
      <c r="B507" s="1855"/>
      <c r="C507" s="1855"/>
      <c r="D507" s="1855"/>
      <c r="E507" s="1855"/>
      <c r="F507" s="1857"/>
      <c r="G507" s="1858"/>
      <c r="H507" s="202"/>
      <c r="I507" s="202"/>
      <c r="J507" s="3259"/>
      <c r="K507" s="3123"/>
      <c r="L507" s="3308"/>
      <c r="M507" s="3309"/>
      <c r="N507" s="3308"/>
      <c r="O507" s="3308"/>
      <c r="P507" s="3308"/>
      <c r="Q507" s="3308">
        <f t="shared" si="93"/>
        <v>0</v>
      </c>
      <c r="R507" s="3914">
        <v>0</v>
      </c>
      <c r="S507" s="3710"/>
      <c r="T507" s="3829"/>
      <c r="U507" s="3771"/>
      <c r="V507" s="1846">
        <f t="shared" si="90"/>
        <v>0</v>
      </c>
    </row>
    <row r="508" spans="1:31" ht="15.05" hidden="1" customHeight="1">
      <c r="A508" s="1855"/>
      <c r="B508" s="1855"/>
      <c r="C508" s="1855"/>
      <c r="D508" s="1855"/>
      <c r="E508" s="1855"/>
      <c r="F508" s="1464" t="s">
        <v>591</v>
      </c>
      <c r="G508" s="1860"/>
      <c r="H508" s="202"/>
      <c r="I508" s="202"/>
      <c r="J508" s="3259">
        <v>0</v>
      </c>
      <c r="K508" s="3123">
        <v>5742894</v>
      </c>
      <c r="L508" s="3182">
        <v>0</v>
      </c>
      <c r="M508" s="3183">
        <v>0</v>
      </c>
      <c r="N508" s="3182">
        <v>0</v>
      </c>
      <c r="O508" s="3182">
        <v>0</v>
      </c>
      <c r="P508" s="3182">
        <v>0</v>
      </c>
      <c r="Q508" s="3182">
        <f t="shared" si="93"/>
        <v>0</v>
      </c>
      <c r="R508" s="3914">
        <v>0</v>
      </c>
      <c r="S508" s="3710"/>
      <c r="T508" s="3829"/>
      <c r="U508" s="3777"/>
      <c r="V508" s="1846">
        <f t="shared" si="90"/>
        <v>0</v>
      </c>
    </row>
    <row r="509" spans="1:31" s="1840" customFormat="1" ht="15.05" hidden="1" customHeight="1">
      <c r="A509" s="1855"/>
      <c r="B509" s="1855"/>
      <c r="C509" s="1855"/>
      <c r="D509" s="1855"/>
      <c r="E509" s="1855"/>
      <c r="F509" s="1857" t="s">
        <v>50</v>
      </c>
      <c r="G509" s="1858"/>
      <c r="H509" s="200" t="s">
        <v>632</v>
      </c>
      <c r="I509" s="200"/>
      <c r="J509" s="3215">
        <v>0</v>
      </c>
      <c r="K509" s="3171">
        <v>5742894</v>
      </c>
      <c r="L509" s="3125">
        <v>0</v>
      </c>
      <c r="M509" s="3124">
        <v>0</v>
      </c>
      <c r="N509" s="3125">
        <v>0</v>
      </c>
      <c r="O509" s="3125">
        <v>0</v>
      </c>
      <c r="P509" s="3125">
        <v>0</v>
      </c>
      <c r="Q509" s="3125">
        <f t="shared" si="93"/>
        <v>0</v>
      </c>
      <c r="R509" s="3914">
        <v>0</v>
      </c>
      <c r="S509" s="3731"/>
      <c r="T509" s="3829"/>
      <c r="U509" s="3778">
        <f>PerDinas!Q630</f>
        <v>0</v>
      </c>
      <c r="V509" s="1882">
        <f t="shared" si="90"/>
        <v>0</v>
      </c>
    </row>
    <row r="510" spans="1:31" ht="15.05" hidden="1" customHeight="1">
      <c r="A510" s="1855"/>
      <c r="B510" s="1855"/>
      <c r="C510" s="1855"/>
      <c r="D510" s="1855"/>
      <c r="E510" s="1855"/>
      <c r="F510" s="1857"/>
      <c r="G510" s="1858"/>
      <c r="H510" s="2329"/>
      <c r="I510" s="200"/>
      <c r="J510" s="3215"/>
      <c r="K510" s="3171"/>
      <c r="L510" s="3125"/>
      <c r="M510" s="3124"/>
      <c r="N510" s="3125"/>
      <c r="O510" s="3125"/>
      <c r="P510" s="3125"/>
      <c r="Q510" s="3125">
        <f t="shared" si="93"/>
        <v>0</v>
      </c>
      <c r="R510" s="3914">
        <v>0</v>
      </c>
      <c r="S510" s="3710"/>
      <c r="T510" s="3829"/>
      <c r="U510" s="3771"/>
      <c r="V510" s="1846">
        <f t="shared" si="90"/>
        <v>0</v>
      </c>
    </row>
    <row r="511" spans="1:31" ht="15.05" hidden="1" customHeight="1">
      <c r="A511" s="1855"/>
      <c r="B511" s="1855"/>
      <c r="C511" s="1855"/>
      <c r="D511" s="1855"/>
      <c r="E511" s="1855"/>
      <c r="F511" s="1464" t="s">
        <v>1193</v>
      </c>
      <c r="G511" s="1860"/>
      <c r="H511" s="202"/>
      <c r="I511" s="202"/>
      <c r="J511" s="3259">
        <v>0</v>
      </c>
      <c r="K511" s="3200">
        <f>K512</f>
        <v>32700000</v>
      </c>
      <c r="L511" s="3182">
        <v>0</v>
      </c>
      <c r="M511" s="3183">
        <v>0</v>
      </c>
      <c r="N511" s="3182">
        <v>0</v>
      </c>
      <c r="O511" s="3182">
        <v>0</v>
      </c>
      <c r="P511" s="3182">
        <v>0</v>
      </c>
      <c r="Q511" s="3182">
        <f t="shared" si="93"/>
        <v>0</v>
      </c>
      <c r="R511" s="3914">
        <v>0</v>
      </c>
      <c r="S511" s="3710"/>
      <c r="T511" s="3829"/>
      <c r="U511" s="3777"/>
      <c r="V511" s="1846">
        <f t="shared" si="90"/>
        <v>0</v>
      </c>
    </row>
    <row r="512" spans="1:31" ht="15.05" hidden="1" customHeight="1">
      <c r="A512" s="1855"/>
      <c r="B512" s="1855"/>
      <c r="C512" s="1855"/>
      <c r="D512" s="1855"/>
      <c r="E512" s="1855"/>
      <c r="F512" s="1857" t="s">
        <v>50</v>
      </c>
      <c r="G512" s="1858"/>
      <c r="H512" s="200" t="s">
        <v>632</v>
      </c>
      <c r="I512" s="200"/>
      <c r="J512" s="3215">
        <v>0</v>
      </c>
      <c r="K512" s="3193">
        <v>32700000</v>
      </c>
      <c r="L512" s="3125">
        <v>0</v>
      </c>
      <c r="M512" s="3124">
        <v>0</v>
      </c>
      <c r="N512" s="3125">
        <v>0</v>
      </c>
      <c r="O512" s="3125">
        <v>0</v>
      </c>
      <c r="P512" s="3125">
        <v>0</v>
      </c>
      <c r="Q512" s="3125">
        <f t="shared" si="93"/>
        <v>0</v>
      </c>
      <c r="R512" s="3914">
        <v>0</v>
      </c>
      <c r="S512" s="3731"/>
      <c r="T512" s="3829"/>
      <c r="U512" s="3778">
        <f>PerDinas!Q631</f>
        <v>0</v>
      </c>
      <c r="V512" s="1846">
        <f t="shared" si="90"/>
        <v>0</v>
      </c>
    </row>
    <row r="513" spans="1:22" ht="15.05" hidden="1" customHeight="1">
      <c r="A513" s="1855"/>
      <c r="B513" s="1855"/>
      <c r="C513" s="1855"/>
      <c r="D513" s="1855"/>
      <c r="E513" s="1855"/>
      <c r="F513" s="1857"/>
      <c r="G513" s="1858"/>
      <c r="H513" s="200"/>
      <c r="I513" s="200"/>
      <c r="J513" s="3215"/>
      <c r="K513" s="3171"/>
      <c r="L513" s="3125"/>
      <c r="M513" s="3124"/>
      <c r="N513" s="3125"/>
      <c r="O513" s="3125"/>
      <c r="P513" s="3125"/>
      <c r="Q513" s="3125">
        <f t="shared" si="93"/>
        <v>0</v>
      </c>
      <c r="R513" s="3914">
        <v>0</v>
      </c>
      <c r="S513" s="3731"/>
      <c r="T513" s="3829"/>
      <c r="U513" s="3778"/>
      <c r="V513" s="1846">
        <f t="shared" si="90"/>
        <v>0</v>
      </c>
    </row>
    <row r="514" spans="1:22" ht="15.05" hidden="1" customHeight="1">
      <c r="A514" s="1855"/>
      <c r="B514" s="1855"/>
      <c r="C514" s="1855"/>
      <c r="D514" s="1855"/>
      <c r="E514" s="1855"/>
      <c r="F514" s="1464" t="s">
        <v>633</v>
      </c>
      <c r="G514" s="1860"/>
      <c r="H514" s="202"/>
      <c r="I514" s="202"/>
      <c r="J514" s="3259">
        <v>0</v>
      </c>
      <c r="K514" s="3123">
        <v>46795750</v>
      </c>
      <c r="L514" s="3182">
        <v>0</v>
      </c>
      <c r="M514" s="3183">
        <v>720000</v>
      </c>
      <c r="N514" s="3182">
        <v>0</v>
      </c>
      <c r="O514" s="3182">
        <v>720000</v>
      </c>
      <c r="P514" s="3182">
        <v>0</v>
      </c>
      <c r="Q514" s="3182">
        <f t="shared" si="93"/>
        <v>0</v>
      </c>
      <c r="R514" s="3914">
        <v>0</v>
      </c>
      <c r="S514" s="3710"/>
      <c r="T514" s="3829"/>
      <c r="U514" s="3777"/>
      <c r="V514" s="1846">
        <f t="shared" si="90"/>
        <v>2880000</v>
      </c>
    </row>
    <row r="515" spans="1:22" s="1840" customFormat="1" ht="15.05" hidden="1" customHeight="1">
      <c r="A515" s="1855"/>
      <c r="B515" s="1855"/>
      <c r="C515" s="1855"/>
      <c r="D515" s="1855"/>
      <c r="E515" s="1855"/>
      <c r="F515" s="1857" t="s">
        <v>50</v>
      </c>
      <c r="G515" s="1858"/>
      <c r="H515" s="200" t="s">
        <v>85</v>
      </c>
      <c r="I515" s="200"/>
      <c r="J515" s="3215">
        <v>0</v>
      </c>
      <c r="K515" s="3171">
        <v>46795750</v>
      </c>
      <c r="L515" s="3125">
        <v>0</v>
      </c>
      <c r="M515" s="3124">
        <v>720000</v>
      </c>
      <c r="N515" s="3125">
        <v>0</v>
      </c>
      <c r="O515" s="3125">
        <v>720000</v>
      </c>
      <c r="P515" s="3125">
        <v>0</v>
      </c>
      <c r="Q515" s="3125">
        <f t="shared" si="93"/>
        <v>0</v>
      </c>
      <c r="R515" s="3914">
        <v>0</v>
      </c>
      <c r="S515" s="3731"/>
      <c r="T515" s="3829"/>
      <c r="U515" s="3778">
        <f>PerDinas!Q624</f>
        <v>0</v>
      </c>
      <c r="V515" s="1882">
        <f t="shared" si="90"/>
        <v>2880000</v>
      </c>
    </row>
    <row r="516" spans="1:22" ht="15.05" hidden="1" customHeight="1">
      <c r="A516" s="1855"/>
      <c r="B516" s="1855"/>
      <c r="C516" s="1855"/>
      <c r="D516" s="1855"/>
      <c r="E516" s="1855"/>
      <c r="F516" s="1857"/>
      <c r="G516" s="1858"/>
      <c r="H516" s="2329"/>
      <c r="I516" s="200"/>
      <c r="J516" s="3215"/>
      <c r="K516" s="3171"/>
      <c r="L516" s="3125"/>
      <c r="M516" s="3124"/>
      <c r="N516" s="3125"/>
      <c r="O516" s="3125"/>
      <c r="P516" s="3125"/>
      <c r="Q516" s="3125">
        <f t="shared" si="93"/>
        <v>0</v>
      </c>
      <c r="R516" s="3914">
        <v>0</v>
      </c>
      <c r="S516" s="3710"/>
      <c r="T516" s="3829"/>
      <c r="U516" s="3771"/>
      <c r="V516" s="1846">
        <f t="shared" si="90"/>
        <v>0</v>
      </c>
    </row>
    <row r="517" spans="1:22" ht="15.05" hidden="1" customHeight="1">
      <c r="A517" s="1855"/>
      <c r="B517" s="1855"/>
      <c r="C517" s="1855"/>
      <c r="D517" s="1855"/>
      <c r="E517" s="1855"/>
      <c r="F517" s="1464" t="s">
        <v>634</v>
      </c>
      <c r="G517" s="1860"/>
      <c r="H517" s="202"/>
      <c r="I517" s="202"/>
      <c r="J517" s="3259">
        <v>0</v>
      </c>
      <c r="K517" s="3123">
        <v>6050000</v>
      </c>
      <c r="L517" s="3182">
        <v>0</v>
      </c>
      <c r="M517" s="3183">
        <v>0</v>
      </c>
      <c r="N517" s="3182">
        <v>0</v>
      </c>
      <c r="O517" s="3182">
        <v>0</v>
      </c>
      <c r="P517" s="3182">
        <v>0</v>
      </c>
      <c r="Q517" s="3182">
        <f t="shared" si="93"/>
        <v>0</v>
      </c>
      <c r="R517" s="3914">
        <v>0</v>
      </c>
      <c r="S517" s="3710"/>
      <c r="T517" s="3829"/>
      <c r="U517" s="3777"/>
      <c r="V517" s="1846">
        <f t="shared" si="90"/>
        <v>0</v>
      </c>
    </row>
    <row r="518" spans="1:22" s="1840" customFormat="1" ht="15.05" hidden="1" customHeight="1">
      <c r="A518" s="1855"/>
      <c r="B518" s="1855"/>
      <c r="C518" s="1855"/>
      <c r="D518" s="1855"/>
      <c r="E518" s="1855"/>
      <c r="F518" s="1857" t="s">
        <v>50</v>
      </c>
      <c r="G518" s="1858"/>
      <c r="H518" s="200" t="s">
        <v>635</v>
      </c>
      <c r="I518" s="200"/>
      <c r="J518" s="3215">
        <v>0</v>
      </c>
      <c r="K518" s="3171">
        <v>6050000</v>
      </c>
      <c r="L518" s="3125">
        <v>0</v>
      </c>
      <c r="M518" s="3124">
        <v>0</v>
      </c>
      <c r="N518" s="3125">
        <v>0</v>
      </c>
      <c r="O518" s="3125">
        <v>0</v>
      </c>
      <c r="P518" s="3125">
        <v>0</v>
      </c>
      <c r="Q518" s="3125">
        <f t="shared" si="93"/>
        <v>0</v>
      </c>
      <c r="R518" s="3914">
        <v>0</v>
      </c>
      <c r="S518" s="3731"/>
      <c r="T518" s="3829"/>
      <c r="U518" s="3778">
        <f>PerDinas!Q626</f>
        <v>0</v>
      </c>
      <c r="V518" s="1882">
        <f t="shared" si="90"/>
        <v>0</v>
      </c>
    </row>
    <row r="519" spans="1:22" ht="15.05" hidden="1" customHeight="1">
      <c r="A519" s="1855"/>
      <c r="B519" s="1855"/>
      <c r="C519" s="1855"/>
      <c r="D519" s="1855"/>
      <c r="E519" s="1855"/>
      <c r="F519" s="1857" t="s">
        <v>50</v>
      </c>
      <c r="G519" s="1858"/>
      <c r="H519" s="200" t="s">
        <v>85</v>
      </c>
      <c r="I519" s="200"/>
      <c r="J519" s="3215">
        <v>0</v>
      </c>
      <c r="K519" s="3171">
        <v>0</v>
      </c>
      <c r="L519" s="3125">
        <v>0</v>
      </c>
      <c r="M519" s="3124">
        <v>0</v>
      </c>
      <c r="N519" s="3125">
        <v>0</v>
      </c>
      <c r="O519" s="3125">
        <v>0</v>
      </c>
      <c r="P519" s="3125">
        <v>0</v>
      </c>
      <c r="Q519" s="3125">
        <f t="shared" si="93"/>
        <v>0</v>
      </c>
      <c r="R519" s="3914">
        <v>0</v>
      </c>
      <c r="S519" s="3710"/>
      <c r="T519" s="3829"/>
      <c r="U519" s="3771"/>
      <c r="V519" s="1846">
        <f t="shared" si="90"/>
        <v>0</v>
      </c>
    </row>
    <row r="520" spans="1:22" ht="15.05" hidden="1" customHeight="1">
      <c r="A520" s="1855"/>
      <c r="B520" s="1855"/>
      <c r="C520" s="1855"/>
      <c r="D520" s="1855"/>
      <c r="E520" s="1855"/>
      <c r="F520" s="1464" t="s">
        <v>579</v>
      </c>
      <c r="G520" s="1860"/>
      <c r="H520" s="202"/>
      <c r="I520" s="202"/>
      <c r="J520" s="3259">
        <v>0</v>
      </c>
      <c r="K520" s="3123">
        <v>0</v>
      </c>
      <c r="L520" s="3182">
        <v>0</v>
      </c>
      <c r="M520" s="3183">
        <v>0</v>
      </c>
      <c r="N520" s="3182">
        <v>0</v>
      </c>
      <c r="O520" s="3182">
        <v>0</v>
      </c>
      <c r="P520" s="3182">
        <v>0</v>
      </c>
      <c r="Q520" s="3182">
        <f t="shared" si="93"/>
        <v>0</v>
      </c>
      <c r="R520" s="3914">
        <v>0</v>
      </c>
      <c r="S520" s="3710"/>
      <c r="T520" s="3829"/>
      <c r="U520" s="3777"/>
      <c r="V520" s="1846">
        <f t="shared" si="90"/>
        <v>0</v>
      </c>
    </row>
    <row r="521" spans="1:22" ht="12.05" hidden="1" customHeight="1">
      <c r="A521" s="1855"/>
      <c r="B521" s="1855"/>
      <c r="C521" s="1855"/>
      <c r="D521" s="1855"/>
      <c r="E521" s="1855"/>
      <c r="F521" s="1857" t="s">
        <v>50</v>
      </c>
      <c r="G521" s="1858"/>
      <c r="H521" s="200" t="s">
        <v>85</v>
      </c>
      <c r="I521" s="200"/>
      <c r="J521" s="3215">
        <v>0</v>
      </c>
      <c r="K521" s="3171">
        <v>0</v>
      </c>
      <c r="L521" s="3125">
        <v>0</v>
      </c>
      <c r="M521" s="3124">
        <v>0</v>
      </c>
      <c r="N521" s="3125">
        <v>0</v>
      </c>
      <c r="O521" s="3125">
        <v>0</v>
      </c>
      <c r="P521" s="3125">
        <v>0</v>
      </c>
      <c r="Q521" s="3125">
        <f t="shared" si="93"/>
        <v>0</v>
      </c>
      <c r="R521" s="3914">
        <v>0</v>
      </c>
      <c r="S521" s="3731"/>
      <c r="T521" s="3829"/>
      <c r="U521" s="3778">
        <f>PerDinas!Q1066</f>
        <v>0</v>
      </c>
      <c r="V521" s="1846">
        <f t="shared" si="90"/>
        <v>0</v>
      </c>
    </row>
    <row r="522" spans="1:22" ht="15.05" hidden="1" customHeight="1">
      <c r="A522" s="1855"/>
      <c r="B522" s="1855"/>
      <c r="C522" s="1855"/>
      <c r="D522" s="1855"/>
      <c r="E522" s="1855"/>
      <c r="F522" s="1464" t="s">
        <v>570</v>
      </c>
      <c r="G522" s="1860"/>
      <c r="H522" s="202"/>
      <c r="I522" s="202"/>
      <c r="J522" s="3259">
        <v>0</v>
      </c>
      <c r="K522" s="3123">
        <v>90592600</v>
      </c>
      <c r="L522" s="3182">
        <v>0</v>
      </c>
      <c r="M522" s="3183">
        <v>10809500</v>
      </c>
      <c r="N522" s="3182">
        <v>0</v>
      </c>
      <c r="O522" s="3182">
        <v>10809500</v>
      </c>
      <c r="P522" s="3182">
        <v>0</v>
      </c>
      <c r="Q522" s="3182">
        <f t="shared" si="93"/>
        <v>0</v>
      </c>
      <c r="R522" s="3914">
        <v>0</v>
      </c>
      <c r="S522" s="3710"/>
      <c r="T522" s="3829"/>
      <c r="U522" s="3777"/>
      <c r="V522" s="1846">
        <f t="shared" si="90"/>
        <v>43238000</v>
      </c>
    </row>
    <row r="523" spans="1:22" s="1840" customFormat="1" ht="15.05" hidden="1" customHeight="1">
      <c r="A523" s="1855"/>
      <c r="B523" s="1855"/>
      <c r="C523" s="1855"/>
      <c r="D523" s="1855"/>
      <c r="E523" s="1855"/>
      <c r="F523" s="1857" t="s">
        <v>50</v>
      </c>
      <c r="G523" s="1858"/>
      <c r="H523" s="200" t="s">
        <v>85</v>
      </c>
      <c r="I523" s="200"/>
      <c r="J523" s="3215">
        <v>0</v>
      </c>
      <c r="K523" s="3171">
        <v>90592600</v>
      </c>
      <c r="L523" s="3125">
        <v>0</v>
      </c>
      <c r="M523" s="3124">
        <v>10809500</v>
      </c>
      <c r="N523" s="3125">
        <v>0</v>
      </c>
      <c r="O523" s="3125">
        <v>10809500</v>
      </c>
      <c r="P523" s="3125">
        <v>0</v>
      </c>
      <c r="Q523" s="3125">
        <f t="shared" si="93"/>
        <v>0</v>
      </c>
      <c r="R523" s="3914">
        <v>0</v>
      </c>
      <c r="S523" s="3731"/>
      <c r="T523" s="3829"/>
      <c r="U523" s="3778">
        <f>PerDinas!Q633</f>
        <v>0</v>
      </c>
      <c r="V523" s="1882">
        <f t="shared" si="90"/>
        <v>43238000</v>
      </c>
    </row>
    <row r="524" spans="1:22" ht="15.05" hidden="1" customHeight="1">
      <c r="A524" s="1855"/>
      <c r="B524" s="1855"/>
      <c r="C524" s="1855"/>
      <c r="D524" s="1855"/>
      <c r="E524" s="1855"/>
      <c r="F524" s="1857"/>
      <c r="G524" s="1858"/>
      <c r="H524" s="200"/>
      <c r="I524" s="200"/>
      <c r="J524" s="3215"/>
      <c r="K524" s="3171"/>
      <c r="L524" s="3125"/>
      <c r="M524" s="3124"/>
      <c r="N524" s="3125"/>
      <c r="O524" s="3125"/>
      <c r="P524" s="3125"/>
      <c r="Q524" s="3125">
        <f t="shared" si="93"/>
        <v>0</v>
      </c>
      <c r="R524" s="3914">
        <v>0</v>
      </c>
      <c r="S524" s="3710"/>
      <c r="T524" s="3829"/>
      <c r="U524" s="3771"/>
      <c r="V524" s="1846">
        <f t="shared" si="90"/>
        <v>0</v>
      </c>
    </row>
    <row r="525" spans="1:22" ht="15.05" hidden="1" customHeight="1">
      <c r="A525" s="1855"/>
      <c r="B525" s="1855"/>
      <c r="C525" s="1855"/>
      <c r="D525" s="1855"/>
      <c r="E525" s="1855"/>
      <c r="F525" s="1464" t="s">
        <v>636</v>
      </c>
      <c r="G525" s="1860"/>
      <c r="H525" s="202"/>
      <c r="I525" s="202"/>
      <c r="J525" s="3259"/>
      <c r="K525" s="3123"/>
      <c r="L525" s="3182">
        <v>0</v>
      </c>
      <c r="M525" s="3183">
        <v>0</v>
      </c>
      <c r="N525" s="3182">
        <v>0</v>
      </c>
      <c r="O525" s="3182">
        <v>0</v>
      </c>
      <c r="P525" s="3182">
        <v>0</v>
      </c>
      <c r="Q525" s="3182">
        <f t="shared" si="93"/>
        <v>0</v>
      </c>
      <c r="R525" s="3914">
        <v>0</v>
      </c>
      <c r="S525" s="3710"/>
      <c r="T525" s="3829"/>
      <c r="U525" s="3777"/>
      <c r="V525" s="1846">
        <f t="shared" si="90"/>
        <v>0</v>
      </c>
    </row>
    <row r="526" spans="1:22" ht="15.05" hidden="1" customHeight="1">
      <c r="A526" s="1855"/>
      <c r="B526" s="1855"/>
      <c r="C526" s="1855"/>
      <c r="D526" s="1855"/>
      <c r="E526" s="1855"/>
      <c r="F526" s="1857" t="s">
        <v>50</v>
      </c>
      <c r="G526" s="1858"/>
      <c r="H526" s="200" t="s">
        <v>631</v>
      </c>
      <c r="I526" s="200"/>
      <c r="J526" s="3215"/>
      <c r="K526" s="3171"/>
      <c r="L526" s="3125">
        <v>0</v>
      </c>
      <c r="M526" s="3124">
        <v>0</v>
      </c>
      <c r="N526" s="3125">
        <v>0</v>
      </c>
      <c r="O526" s="3125">
        <v>0</v>
      </c>
      <c r="P526" s="3125">
        <v>0</v>
      </c>
      <c r="Q526" s="3125">
        <f t="shared" si="93"/>
        <v>0</v>
      </c>
      <c r="R526" s="3914">
        <v>0</v>
      </c>
      <c r="S526" s="3731"/>
      <c r="T526" s="3829"/>
      <c r="U526" s="3778">
        <f>PerDinas!Q56</f>
        <v>0</v>
      </c>
      <c r="V526" s="1846">
        <f t="shared" si="90"/>
        <v>0</v>
      </c>
    </row>
    <row r="527" spans="1:22" ht="15.05" hidden="1" customHeight="1">
      <c r="A527" s="1855"/>
      <c r="B527" s="1855"/>
      <c r="C527" s="1855"/>
      <c r="D527" s="1855"/>
      <c r="E527" s="1855"/>
      <c r="F527" s="1464" t="s">
        <v>637</v>
      </c>
      <c r="G527" s="1860"/>
      <c r="H527" s="202"/>
      <c r="I527" s="202"/>
      <c r="J527" s="3259"/>
      <c r="K527" s="3123"/>
      <c r="L527" s="3182">
        <v>0</v>
      </c>
      <c r="M527" s="3183">
        <v>0</v>
      </c>
      <c r="N527" s="3182">
        <v>0</v>
      </c>
      <c r="O527" s="3182">
        <v>0</v>
      </c>
      <c r="P527" s="3182">
        <v>0</v>
      </c>
      <c r="Q527" s="3182">
        <f t="shared" si="93"/>
        <v>0</v>
      </c>
      <c r="R527" s="3914">
        <v>0</v>
      </c>
      <c r="S527" s="3710"/>
      <c r="T527" s="3829"/>
      <c r="U527" s="3777"/>
      <c r="V527" s="1846">
        <f t="shared" si="90"/>
        <v>0</v>
      </c>
    </row>
    <row r="528" spans="1:22" ht="15.05" hidden="1" customHeight="1">
      <c r="A528" s="1855"/>
      <c r="B528" s="1855"/>
      <c r="C528" s="1855"/>
      <c r="D528" s="1855"/>
      <c r="E528" s="1855"/>
      <c r="F528" s="1857" t="s">
        <v>50</v>
      </c>
      <c r="G528" s="1858"/>
      <c r="H528" s="200" t="s">
        <v>85</v>
      </c>
      <c r="I528" s="200"/>
      <c r="J528" s="3215"/>
      <c r="K528" s="3171"/>
      <c r="L528" s="3125">
        <v>0</v>
      </c>
      <c r="M528" s="3124">
        <v>0</v>
      </c>
      <c r="N528" s="3125">
        <v>0</v>
      </c>
      <c r="O528" s="3125">
        <v>0</v>
      </c>
      <c r="P528" s="3125">
        <v>0</v>
      </c>
      <c r="Q528" s="3125">
        <f t="shared" si="93"/>
        <v>0</v>
      </c>
      <c r="R528" s="3914">
        <v>0</v>
      </c>
      <c r="S528" s="3710"/>
      <c r="T528" s="3829"/>
      <c r="U528" s="3771"/>
      <c r="V528" s="1846">
        <f t="shared" si="90"/>
        <v>0</v>
      </c>
    </row>
    <row r="529" spans="1:22" ht="15.05" hidden="1" customHeight="1">
      <c r="A529" s="1855"/>
      <c r="B529" s="1855"/>
      <c r="C529" s="1855"/>
      <c r="D529" s="1855"/>
      <c r="E529" s="1855"/>
      <c r="F529" s="1464" t="s">
        <v>638</v>
      </c>
      <c r="G529" s="1860"/>
      <c r="H529" s="202"/>
      <c r="I529" s="202"/>
      <c r="J529" s="3259"/>
      <c r="K529" s="3123"/>
      <c r="L529" s="3182">
        <v>0</v>
      </c>
      <c r="M529" s="3183">
        <v>0</v>
      </c>
      <c r="N529" s="3182">
        <v>0</v>
      </c>
      <c r="O529" s="3182">
        <v>0</v>
      </c>
      <c r="P529" s="3182">
        <v>0</v>
      </c>
      <c r="Q529" s="3182">
        <f t="shared" si="93"/>
        <v>0</v>
      </c>
      <c r="R529" s="3914">
        <v>0</v>
      </c>
      <c r="S529" s="3710"/>
      <c r="T529" s="3829"/>
      <c r="U529" s="3777"/>
      <c r="V529" s="1846">
        <f t="shared" si="90"/>
        <v>0</v>
      </c>
    </row>
    <row r="530" spans="1:22" ht="15.05" hidden="1" customHeight="1">
      <c r="A530" s="1855"/>
      <c r="B530" s="1855"/>
      <c r="C530" s="1855"/>
      <c r="D530" s="1855"/>
      <c r="E530" s="1855"/>
      <c r="F530" s="1857" t="s">
        <v>50</v>
      </c>
      <c r="G530" s="1858"/>
      <c r="H530" s="200" t="s">
        <v>85</v>
      </c>
      <c r="I530" s="200"/>
      <c r="J530" s="3215"/>
      <c r="K530" s="3171"/>
      <c r="L530" s="3125"/>
      <c r="M530" s="3124"/>
      <c r="N530" s="3125"/>
      <c r="O530" s="3125"/>
      <c r="P530" s="3125"/>
      <c r="Q530" s="3125">
        <f t="shared" si="93"/>
        <v>0</v>
      </c>
      <c r="R530" s="3914">
        <v>0</v>
      </c>
      <c r="S530" s="3710"/>
      <c r="T530" s="3829"/>
      <c r="U530" s="3771"/>
      <c r="V530" s="1846">
        <f t="shared" si="90"/>
        <v>0</v>
      </c>
    </row>
    <row r="531" spans="1:22" ht="15.05" hidden="1" customHeight="1">
      <c r="A531" s="1855"/>
      <c r="B531" s="1855"/>
      <c r="C531" s="1855"/>
      <c r="D531" s="1855"/>
      <c r="E531" s="1855"/>
      <c r="F531" s="1464" t="s">
        <v>639</v>
      </c>
      <c r="G531" s="1860"/>
      <c r="H531" s="202"/>
      <c r="I531" s="202"/>
      <c r="J531" s="3259"/>
      <c r="K531" s="3123"/>
      <c r="L531" s="3182">
        <v>0</v>
      </c>
      <c r="M531" s="3183">
        <v>0</v>
      </c>
      <c r="N531" s="3182">
        <v>0</v>
      </c>
      <c r="O531" s="3182">
        <v>0</v>
      </c>
      <c r="P531" s="3182">
        <v>0</v>
      </c>
      <c r="Q531" s="3182">
        <f t="shared" si="93"/>
        <v>0</v>
      </c>
      <c r="R531" s="3914">
        <v>0</v>
      </c>
      <c r="S531" s="3710"/>
      <c r="T531" s="3829"/>
      <c r="U531" s="3777"/>
      <c r="V531" s="1846">
        <f t="shared" si="90"/>
        <v>0</v>
      </c>
    </row>
    <row r="532" spans="1:22" ht="15.05" hidden="1" customHeight="1">
      <c r="A532" s="1855"/>
      <c r="B532" s="1855"/>
      <c r="C532" s="1855"/>
      <c r="D532" s="1855"/>
      <c r="E532" s="1855"/>
      <c r="F532" s="1857" t="s">
        <v>50</v>
      </c>
      <c r="G532" s="1858"/>
      <c r="H532" s="200" t="s">
        <v>640</v>
      </c>
      <c r="I532" s="200"/>
      <c r="J532" s="3215"/>
      <c r="K532" s="3171"/>
      <c r="L532" s="3125">
        <v>0</v>
      </c>
      <c r="M532" s="3124">
        <v>0</v>
      </c>
      <c r="N532" s="3125">
        <v>0</v>
      </c>
      <c r="O532" s="3125">
        <v>0</v>
      </c>
      <c r="P532" s="3125">
        <v>0</v>
      </c>
      <c r="Q532" s="3125">
        <f t="shared" si="93"/>
        <v>0</v>
      </c>
      <c r="R532" s="3914">
        <v>0</v>
      </c>
      <c r="S532" s="3731"/>
      <c r="T532" s="3829"/>
      <c r="U532" s="3778">
        <f>PerDinas!Q606</f>
        <v>0</v>
      </c>
      <c r="V532" s="1846">
        <f t="shared" si="90"/>
        <v>0</v>
      </c>
    </row>
    <row r="533" spans="1:22" ht="15.05" hidden="1" customHeight="1">
      <c r="A533" s="1855"/>
      <c r="B533" s="1855"/>
      <c r="C533" s="1855"/>
      <c r="D533" s="1855"/>
      <c r="E533" s="1855"/>
      <c r="F533" s="1464" t="s">
        <v>641</v>
      </c>
      <c r="G533" s="1860"/>
      <c r="H533" s="202"/>
      <c r="I533" s="202"/>
      <c r="J533" s="3259"/>
      <c r="K533" s="3123"/>
      <c r="L533" s="3182">
        <v>0</v>
      </c>
      <c r="M533" s="3183">
        <v>0</v>
      </c>
      <c r="N533" s="3182">
        <v>0</v>
      </c>
      <c r="O533" s="3182">
        <v>0</v>
      </c>
      <c r="P533" s="3182">
        <v>0</v>
      </c>
      <c r="Q533" s="3182">
        <f t="shared" si="93"/>
        <v>0</v>
      </c>
      <c r="R533" s="3914">
        <v>0</v>
      </c>
      <c r="S533" s="3710"/>
      <c r="T533" s="3829"/>
      <c r="U533" s="3777"/>
      <c r="V533" s="1846">
        <f t="shared" ref="V533:V582" si="95">O533*4</f>
        <v>0</v>
      </c>
    </row>
    <row r="534" spans="1:22" ht="15.05" hidden="1" customHeight="1">
      <c r="A534" s="1855"/>
      <c r="B534" s="1855"/>
      <c r="C534" s="1855"/>
      <c r="D534" s="1855"/>
      <c r="E534" s="1855"/>
      <c r="F534" s="1857" t="s">
        <v>50</v>
      </c>
      <c r="G534" s="1858"/>
      <c r="H534" s="200" t="s">
        <v>85</v>
      </c>
      <c r="I534" s="200"/>
      <c r="J534" s="3215"/>
      <c r="K534" s="3171"/>
      <c r="L534" s="3125">
        <v>0</v>
      </c>
      <c r="M534" s="3124">
        <v>0</v>
      </c>
      <c r="N534" s="3125">
        <v>0</v>
      </c>
      <c r="O534" s="3125">
        <v>0</v>
      </c>
      <c r="P534" s="3125">
        <v>0</v>
      </c>
      <c r="Q534" s="3125">
        <f t="shared" si="93"/>
        <v>0</v>
      </c>
      <c r="R534" s="3914">
        <v>0</v>
      </c>
      <c r="S534" s="3710"/>
      <c r="T534" s="3829"/>
      <c r="U534" s="3771"/>
      <c r="V534" s="1846">
        <f t="shared" si="95"/>
        <v>0</v>
      </c>
    </row>
    <row r="535" spans="1:22" ht="15.05" hidden="1" customHeight="1">
      <c r="A535" s="1855"/>
      <c r="B535" s="1855"/>
      <c r="C535" s="1855"/>
      <c r="D535" s="1855"/>
      <c r="E535" s="1855"/>
      <c r="F535" s="1464" t="s">
        <v>642</v>
      </c>
      <c r="G535" s="1860"/>
      <c r="H535" s="202"/>
      <c r="I535" s="202"/>
      <c r="J535" s="3259"/>
      <c r="K535" s="3123"/>
      <c r="L535" s="3182">
        <v>0</v>
      </c>
      <c r="M535" s="3183">
        <v>0</v>
      </c>
      <c r="N535" s="3182">
        <v>0</v>
      </c>
      <c r="O535" s="3182">
        <v>0</v>
      </c>
      <c r="P535" s="3182">
        <v>0</v>
      </c>
      <c r="Q535" s="3182">
        <f t="shared" si="93"/>
        <v>0</v>
      </c>
      <c r="R535" s="3914">
        <v>0</v>
      </c>
      <c r="S535" s="3710"/>
      <c r="T535" s="3829"/>
      <c r="U535" s="3777"/>
      <c r="V535" s="1846">
        <f t="shared" si="95"/>
        <v>0</v>
      </c>
    </row>
    <row r="536" spans="1:22" ht="15.05" hidden="1" customHeight="1">
      <c r="A536" s="1855"/>
      <c r="B536" s="1855"/>
      <c r="C536" s="1855"/>
      <c r="D536" s="1855"/>
      <c r="E536" s="1855"/>
      <c r="F536" s="1857"/>
      <c r="G536" s="1858"/>
      <c r="H536" s="200"/>
      <c r="I536" s="200"/>
      <c r="J536" s="3215"/>
      <c r="K536" s="3171"/>
      <c r="L536" s="3125"/>
      <c r="M536" s="3124"/>
      <c r="N536" s="3125"/>
      <c r="O536" s="3125"/>
      <c r="P536" s="3125"/>
      <c r="Q536" s="3125">
        <f t="shared" si="93"/>
        <v>0</v>
      </c>
      <c r="R536" s="3914">
        <v>0</v>
      </c>
      <c r="S536" s="3710"/>
      <c r="T536" s="3829"/>
      <c r="U536" s="3771"/>
      <c r="V536" s="1846">
        <f t="shared" si="95"/>
        <v>0</v>
      </c>
    </row>
    <row r="537" spans="1:22" s="2069" customFormat="1" ht="15.05" customHeight="1">
      <c r="A537" s="1855"/>
      <c r="B537" s="1855"/>
      <c r="C537" s="1855"/>
      <c r="D537" s="1855"/>
      <c r="E537" s="1855"/>
      <c r="F537" s="1464" t="s">
        <v>643</v>
      </c>
      <c r="G537" s="1860"/>
      <c r="H537" s="202"/>
      <c r="I537" s="202"/>
      <c r="J537" s="3259">
        <v>1100000</v>
      </c>
      <c r="K537" s="3123">
        <v>0</v>
      </c>
      <c r="L537" s="3182">
        <v>1100000</v>
      </c>
      <c r="M537" s="3183">
        <v>0</v>
      </c>
      <c r="N537" s="3182">
        <v>0</v>
      </c>
      <c r="O537" s="3182">
        <v>0</v>
      </c>
      <c r="P537" s="3182">
        <v>1100000</v>
      </c>
      <c r="Q537" s="3182">
        <f t="shared" si="93"/>
        <v>0</v>
      </c>
      <c r="R537" s="3914">
        <v>0</v>
      </c>
      <c r="S537" s="4356"/>
      <c r="T537" s="4357"/>
      <c r="U537" s="4282"/>
      <c r="V537" s="3925">
        <f t="shared" si="95"/>
        <v>0</v>
      </c>
    </row>
    <row r="538" spans="1:22" s="4444" customFormat="1" ht="15.05" customHeight="1">
      <c r="A538" s="1855"/>
      <c r="B538" s="1855"/>
      <c r="C538" s="1855"/>
      <c r="D538" s="1855"/>
      <c r="E538" s="1855"/>
      <c r="F538" s="1857" t="s">
        <v>50</v>
      </c>
      <c r="G538" s="1858"/>
      <c r="H538" s="200" t="s">
        <v>85</v>
      </c>
      <c r="I538" s="200"/>
      <c r="J538" s="3215">
        <v>1100000</v>
      </c>
      <c r="K538" s="3171">
        <v>0</v>
      </c>
      <c r="L538" s="3125">
        <v>1100000</v>
      </c>
      <c r="M538" s="3124">
        <v>0</v>
      </c>
      <c r="N538" s="3125">
        <v>0</v>
      </c>
      <c r="O538" s="3125">
        <v>0</v>
      </c>
      <c r="P538" s="3125">
        <v>1100000</v>
      </c>
      <c r="Q538" s="3125">
        <f t="shared" si="93"/>
        <v>0</v>
      </c>
      <c r="R538" s="3914">
        <v>0</v>
      </c>
      <c r="S538" s="4385"/>
      <c r="T538" s="4357"/>
      <c r="U538" s="4353">
        <f>PerDinas!Q601</f>
        <v>0</v>
      </c>
      <c r="V538" s="4443">
        <f t="shared" si="95"/>
        <v>0</v>
      </c>
    </row>
    <row r="539" spans="1:22" ht="15.05" hidden="1" customHeight="1">
      <c r="A539" s="1855"/>
      <c r="B539" s="1855"/>
      <c r="C539" s="1855"/>
      <c r="D539" s="1855"/>
      <c r="E539" s="1855"/>
      <c r="F539" s="1464" t="s">
        <v>62</v>
      </c>
      <c r="G539" s="1860"/>
      <c r="H539" s="202"/>
      <c r="I539" s="202"/>
      <c r="J539" s="3259"/>
      <c r="K539" s="3123"/>
      <c r="L539" s="3182">
        <v>0</v>
      </c>
      <c r="M539" s="3183">
        <v>0</v>
      </c>
      <c r="N539" s="3182">
        <v>0</v>
      </c>
      <c r="O539" s="3182">
        <v>0</v>
      </c>
      <c r="P539" s="3182">
        <v>0</v>
      </c>
      <c r="Q539" s="3182">
        <f t="shared" si="93"/>
        <v>0</v>
      </c>
      <c r="R539" s="3914">
        <v>0</v>
      </c>
      <c r="S539" s="3710"/>
      <c r="T539" s="3829"/>
      <c r="U539" s="3777"/>
      <c r="V539" s="1846">
        <f t="shared" si="95"/>
        <v>0</v>
      </c>
    </row>
    <row r="540" spans="1:22" ht="15.05" hidden="1" customHeight="1">
      <c r="A540" s="1855"/>
      <c r="B540" s="1855"/>
      <c r="C540" s="1855"/>
      <c r="D540" s="1855"/>
      <c r="E540" s="1855"/>
      <c r="F540" s="1857" t="s">
        <v>50</v>
      </c>
      <c r="G540" s="1858"/>
      <c r="H540" s="200" t="s">
        <v>85</v>
      </c>
      <c r="I540" s="200"/>
      <c r="J540" s="3215"/>
      <c r="K540" s="3171"/>
      <c r="L540" s="3125">
        <v>0</v>
      </c>
      <c r="M540" s="3124">
        <v>0</v>
      </c>
      <c r="N540" s="3125">
        <v>0</v>
      </c>
      <c r="O540" s="3125">
        <v>0</v>
      </c>
      <c r="P540" s="3125">
        <v>0</v>
      </c>
      <c r="Q540" s="3125">
        <f t="shared" si="93"/>
        <v>0</v>
      </c>
      <c r="R540" s="3914">
        <v>0</v>
      </c>
      <c r="S540" s="3731"/>
      <c r="T540" s="3829"/>
      <c r="U540" s="3778">
        <f>PerDinas!Q600</f>
        <v>0</v>
      </c>
      <c r="V540" s="1846">
        <f t="shared" si="95"/>
        <v>0</v>
      </c>
    </row>
    <row r="541" spans="1:22" ht="15.05" hidden="1" customHeight="1">
      <c r="A541" s="1855"/>
      <c r="B541" s="1855"/>
      <c r="C541" s="1855"/>
      <c r="D541" s="1855"/>
      <c r="E541" s="1855"/>
      <c r="F541" s="1857" t="s">
        <v>50</v>
      </c>
      <c r="G541" s="1858"/>
      <c r="H541" s="200"/>
      <c r="I541" s="1939"/>
      <c r="J541" s="3310"/>
      <c r="K541" s="3311"/>
      <c r="L541" s="3125"/>
      <c r="M541" s="3124"/>
      <c r="N541" s="3125"/>
      <c r="O541" s="3125"/>
      <c r="P541" s="3125"/>
      <c r="Q541" s="3125">
        <f t="shared" si="93"/>
        <v>0</v>
      </c>
      <c r="R541" s="3914">
        <v>0</v>
      </c>
      <c r="S541" s="3731"/>
      <c r="T541" s="3829"/>
      <c r="U541" s="3778">
        <f>PerDinas!Q388</f>
        <v>0</v>
      </c>
      <c r="V541" s="1846">
        <f t="shared" si="95"/>
        <v>0</v>
      </c>
    </row>
    <row r="542" spans="1:22" ht="15.05" hidden="1" customHeight="1">
      <c r="A542" s="1855"/>
      <c r="B542" s="1855"/>
      <c r="C542" s="1855"/>
      <c r="D542" s="1855"/>
      <c r="E542" s="1855"/>
      <c r="F542" s="1857"/>
      <c r="G542" s="1858"/>
      <c r="H542" s="200"/>
      <c r="I542" s="1939"/>
      <c r="J542" s="3310"/>
      <c r="K542" s="3311"/>
      <c r="L542" s="3125"/>
      <c r="M542" s="3124"/>
      <c r="N542" s="3125"/>
      <c r="O542" s="3125"/>
      <c r="P542" s="3125"/>
      <c r="Q542" s="3125">
        <f t="shared" si="93"/>
        <v>0</v>
      </c>
      <c r="R542" s="3914">
        <v>0</v>
      </c>
      <c r="S542" s="3710"/>
      <c r="T542" s="3829"/>
      <c r="U542" s="3778"/>
      <c r="V542" s="1846">
        <f t="shared" si="95"/>
        <v>0</v>
      </c>
    </row>
    <row r="543" spans="1:22" ht="15.05" hidden="1" customHeight="1">
      <c r="A543" s="1855"/>
      <c r="B543" s="1855"/>
      <c r="C543" s="1855"/>
      <c r="D543" s="1855"/>
      <c r="E543" s="1855"/>
      <c r="F543" s="1464" t="s">
        <v>580</v>
      </c>
      <c r="G543" s="1860"/>
      <c r="H543" s="202"/>
      <c r="I543" s="202"/>
      <c r="J543" s="3259"/>
      <c r="K543" s="3123"/>
      <c r="L543" s="3182">
        <v>0</v>
      </c>
      <c r="M543" s="3183">
        <v>0</v>
      </c>
      <c r="N543" s="3182">
        <v>0</v>
      </c>
      <c r="O543" s="3182">
        <v>0</v>
      </c>
      <c r="P543" s="3182">
        <v>0</v>
      </c>
      <c r="Q543" s="3182">
        <f t="shared" si="93"/>
        <v>0</v>
      </c>
      <c r="R543" s="3914">
        <v>0</v>
      </c>
      <c r="S543" s="3710"/>
      <c r="T543" s="3829"/>
      <c r="U543" s="3777"/>
      <c r="V543" s="1846">
        <f t="shared" si="95"/>
        <v>0</v>
      </c>
    </row>
    <row r="544" spans="1:22" ht="15.05" hidden="1" customHeight="1">
      <c r="A544" s="1855"/>
      <c r="B544" s="1855"/>
      <c r="C544" s="1855"/>
      <c r="D544" s="1855"/>
      <c r="E544" s="1855"/>
      <c r="F544" s="1857" t="s">
        <v>50</v>
      </c>
      <c r="G544" s="1858"/>
      <c r="H544" s="200" t="s">
        <v>85</v>
      </c>
      <c r="I544" s="200"/>
      <c r="J544" s="3215"/>
      <c r="K544" s="3171"/>
      <c r="L544" s="3125">
        <v>0</v>
      </c>
      <c r="M544" s="3124">
        <v>0</v>
      </c>
      <c r="N544" s="3125">
        <v>0</v>
      </c>
      <c r="O544" s="3125">
        <v>0</v>
      </c>
      <c r="P544" s="3125">
        <v>0</v>
      </c>
      <c r="Q544" s="3125">
        <f t="shared" si="93"/>
        <v>0</v>
      </c>
      <c r="R544" s="3914">
        <v>0</v>
      </c>
      <c r="S544" s="3731"/>
      <c r="T544" s="3829"/>
      <c r="U544" s="3778">
        <f>PerDinas!Q607</f>
        <v>0</v>
      </c>
      <c r="V544" s="1846">
        <f t="shared" si="95"/>
        <v>0</v>
      </c>
    </row>
    <row r="545" spans="1:22" ht="15.05" hidden="1" customHeight="1">
      <c r="A545" s="1855"/>
      <c r="B545" s="1855"/>
      <c r="C545" s="1855"/>
      <c r="D545" s="1855"/>
      <c r="E545" s="1855"/>
      <c r="F545" s="1464" t="s">
        <v>644</v>
      </c>
      <c r="G545" s="1860"/>
      <c r="H545" s="202"/>
      <c r="I545" s="202"/>
      <c r="J545" s="3259">
        <v>0</v>
      </c>
      <c r="K545" s="3123">
        <v>13894000</v>
      </c>
      <c r="L545" s="3182">
        <v>0</v>
      </c>
      <c r="M545" s="3183">
        <v>0</v>
      </c>
      <c r="N545" s="3182">
        <v>0</v>
      </c>
      <c r="O545" s="3182">
        <v>0</v>
      </c>
      <c r="P545" s="3182">
        <v>0</v>
      </c>
      <c r="Q545" s="3182">
        <f t="shared" si="93"/>
        <v>0</v>
      </c>
      <c r="R545" s="3914">
        <v>0</v>
      </c>
      <c r="S545" s="3710"/>
      <c r="T545" s="3829"/>
      <c r="U545" s="3777"/>
      <c r="V545" s="1846">
        <f t="shared" si="95"/>
        <v>0</v>
      </c>
    </row>
    <row r="546" spans="1:22" s="1840" customFormat="1" ht="15.05" hidden="1" customHeight="1">
      <c r="A546" s="1855"/>
      <c r="B546" s="1855"/>
      <c r="C546" s="1855"/>
      <c r="D546" s="1855"/>
      <c r="E546" s="1855"/>
      <c r="F546" s="1857" t="s">
        <v>50</v>
      </c>
      <c r="G546" s="1858" t="s">
        <v>624</v>
      </c>
      <c r="H546" s="200"/>
      <c r="I546" s="200"/>
      <c r="J546" s="3215">
        <v>0</v>
      </c>
      <c r="K546" s="3171">
        <v>13894000</v>
      </c>
      <c r="L546" s="3125"/>
      <c r="M546" s="3124"/>
      <c r="N546" s="3125"/>
      <c r="O546" s="3125"/>
      <c r="P546" s="3125"/>
      <c r="Q546" s="3125">
        <f t="shared" si="93"/>
        <v>0</v>
      </c>
      <c r="R546" s="3914">
        <v>0</v>
      </c>
      <c r="S546" s="3731"/>
      <c r="T546" s="3829"/>
      <c r="U546" s="3778"/>
      <c r="V546" s="1882">
        <f t="shared" si="95"/>
        <v>0</v>
      </c>
    </row>
    <row r="547" spans="1:22" ht="15.05" hidden="1" customHeight="1">
      <c r="A547" s="1855"/>
      <c r="B547" s="1855"/>
      <c r="C547" s="1855"/>
      <c r="D547" s="1855"/>
      <c r="E547" s="1855"/>
      <c r="F547" s="1857"/>
      <c r="G547" s="1858"/>
      <c r="H547" s="200"/>
      <c r="I547" s="200"/>
      <c r="J547" s="3215"/>
      <c r="K547" s="3171"/>
      <c r="L547" s="3125"/>
      <c r="M547" s="3124"/>
      <c r="N547" s="3125"/>
      <c r="O547" s="3125"/>
      <c r="P547" s="3125"/>
      <c r="Q547" s="3125">
        <f t="shared" si="93"/>
        <v>0</v>
      </c>
      <c r="R547" s="3914">
        <v>0</v>
      </c>
      <c r="S547" s="3710"/>
      <c r="T547" s="3829"/>
      <c r="U547" s="3771"/>
      <c r="V547" s="1846">
        <f t="shared" si="95"/>
        <v>0</v>
      </c>
    </row>
    <row r="548" spans="1:22" ht="15.05" hidden="1" customHeight="1">
      <c r="A548" s="1855"/>
      <c r="B548" s="1855"/>
      <c r="C548" s="1855"/>
      <c r="D548" s="1855"/>
      <c r="E548" s="1855"/>
      <c r="F548" s="1464" t="s">
        <v>571</v>
      </c>
      <c r="G548" s="1860"/>
      <c r="H548" s="202"/>
      <c r="I548" s="202"/>
      <c r="J548" s="3259">
        <v>0</v>
      </c>
      <c r="K548" s="3123">
        <v>99530000</v>
      </c>
      <c r="L548" s="3182">
        <v>0</v>
      </c>
      <c r="M548" s="3183">
        <v>14027628.99</v>
      </c>
      <c r="N548" s="3182">
        <v>500000</v>
      </c>
      <c r="O548" s="3182">
        <v>14527628.99</v>
      </c>
      <c r="P548" s="3182">
        <v>0</v>
      </c>
      <c r="Q548" s="3182">
        <f t="shared" si="93"/>
        <v>0</v>
      </c>
      <c r="R548" s="3914">
        <v>0</v>
      </c>
      <c r="S548" s="3710"/>
      <c r="T548" s="3829"/>
      <c r="U548" s="3777"/>
      <c r="V548" s="1846">
        <f t="shared" si="95"/>
        <v>58110515.960000001</v>
      </c>
    </row>
    <row r="549" spans="1:22" s="1840" customFormat="1" ht="15.05" hidden="1" customHeight="1">
      <c r="A549" s="1855"/>
      <c r="B549" s="1855"/>
      <c r="C549" s="1855"/>
      <c r="D549" s="1855"/>
      <c r="E549" s="1855"/>
      <c r="F549" s="1857" t="s">
        <v>50</v>
      </c>
      <c r="G549" s="1858"/>
      <c r="H549" s="200" t="s">
        <v>85</v>
      </c>
      <c r="I549" s="200"/>
      <c r="J549" s="3215">
        <v>0</v>
      </c>
      <c r="K549" s="3171">
        <v>99530000</v>
      </c>
      <c r="L549" s="3125">
        <v>0</v>
      </c>
      <c r="M549" s="3124">
        <v>14027628.99</v>
      </c>
      <c r="N549" s="3125">
        <v>500000</v>
      </c>
      <c r="O549" s="3125">
        <v>14527628.99</v>
      </c>
      <c r="P549" s="3125">
        <v>0</v>
      </c>
      <c r="Q549" s="3125">
        <f t="shared" si="93"/>
        <v>0</v>
      </c>
      <c r="R549" s="3914">
        <v>0</v>
      </c>
      <c r="S549" s="3731"/>
      <c r="T549" s="3829"/>
      <c r="U549" s="3778">
        <f>PerDinas!Q584</f>
        <v>0</v>
      </c>
      <c r="V549" s="1882">
        <f t="shared" si="95"/>
        <v>58110515.960000001</v>
      </c>
    </row>
    <row r="550" spans="1:22" ht="15.05" hidden="1" customHeight="1">
      <c r="A550" s="1855"/>
      <c r="B550" s="1855"/>
      <c r="C550" s="1855"/>
      <c r="D550" s="1855"/>
      <c r="E550" s="1855"/>
      <c r="F550" s="1464" t="s">
        <v>645</v>
      </c>
      <c r="G550" s="1860"/>
      <c r="H550" s="202"/>
      <c r="I550" s="202"/>
      <c r="J550" s="3259">
        <v>0</v>
      </c>
      <c r="K550" s="3123">
        <v>0</v>
      </c>
      <c r="L550" s="3182">
        <v>0</v>
      </c>
      <c r="M550" s="3183">
        <v>0</v>
      </c>
      <c r="N550" s="3182">
        <v>0</v>
      </c>
      <c r="O550" s="3182">
        <v>0</v>
      </c>
      <c r="P550" s="3182">
        <v>0</v>
      </c>
      <c r="Q550" s="3182">
        <f t="shared" si="93"/>
        <v>0</v>
      </c>
      <c r="R550" s="3914">
        <v>0</v>
      </c>
      <c r="S550" s="3710"/>
      <c r="T550" s="3829"/>
      <c r="U550" s="3777"/>
      <c r="V550" s="1846">
        <f t="shared" si="95"/>
        <v>0</v>
      </c>
    </row>
    <row r="551" spans="1:22" ht="15.05" hidden="1" customHeight="1">
      <c r="A551" s="1855"/>
      <c r="B551" s="1855"/>
      <c r="C551" s="1855"/>
      <c r="D551" s="1855"/>
      <c r="E551" s="1855"/>
      <c r="F551" s="1857" t="s">
        <v>50</v>
      </c>
      <c r="G551" s="1858"/>
      <c r="H551" s="200" t="s">
        <v>85</v>
      </c>
      <c r="I551" s="200"/>
      <c r="J551" s="3215">
        <v>0</v>
      </c>
      <c r="K551" s="3171">
        <v>0</v>
      </c>
      <c r="L551" s="3125">
        <v>0</v>
      </c>
      <c r="M551" s="3124">
        <v>0</v>
      </c>
      <c r="N551" s="3125">
        <v>0</v>
      </c>
      <c r="O551" s="3125">
        <v>0</v>
      </c>
      <c r="P551" s="3125">
        <v>0</v>
      </c>
      <c r="Q551" s="3125">
        <f t="shared" si="93"/>
        <v>0</v>
      </c>
      <c r="R551" s="3914">
        <v>0</v>
      </c>
      <c r="S551" s="3710"/>
      <c r="T551" s="3829"/>
      <c r="U551" s="3771"/>
      <c r="V551" s="1846">
        <f t="shared" si="95"/>
        <v>0</v>
      </c>
    </row>
    <row r="552" spans="1:22" ht="15.05" hidden="1" customHeight="1">
      <c r="A552" s="1855"/>
      <c r="B552" s="1855"/>
      <c r="C552" s="1855"/>
      <c r="D552" s="1855"/>
      <c r="E552" s="1855"/>
      <c r="F552" s="1464" t="s">
        <v>113</v>
      </c>
      <c r="G552" s="1860"/>
      <c r="H552" s="202"/>
      <c r="I552" s="202"/>
      <c r="J552" s="3259">
        <v>0</v>
      </c>
      <c r="K552" s="3123">
        <v>3588000</v>
      </c>
      <c r="L552" s="3182">
        <v>0</v>
      </c>
      <c r="M552" s="3183">
        <v>0</v>
      </c>
      <c r="N552" s="3182">
        <v>0</v>
      </c>
      <c r="O552" s="3182">
        <v>0</v>
      </c>
      <c r="P552" s="3182">
        <v>0</v>
      </c>
      <c r="Q552" s="3182">
        <f t="shared" si="93"/>
        <v>0</v>
      </c>
      <c r="R552" s="3914">
        <v>0</v>
      </c>
      <c r="S552" s="3710"/>
      <c r="T552" s="3829"/>
      <c r="U552" s="3777"/>
      <c r="V552" s="1846">
        <f t="shared" si="95"/>
        <v>0</v>
      </c>
    </row>
    <row r="553" spans="1:22" s="1840" customFormat="1" ht="15.05" hidden="1" customHeight="1">
      <c r="A553" s="1855"/>
      <c r="B553" s="1855"/>
      <c r="C553" s="1855"/>
      <c r="D553" s="1855"/>
      <c r="E553" s="1855"/>
      <c r="F553" s="1857" t="s">
        <v>50</v>
      </c>
      <c r="G553" s="1858"/>
      <c r="H553" s="200" t="s">
        <v>85</v>
      </c>
      <c r="I553" s="200"/>
      <c r="J553" s="3215">
        <v>0</v>
      </c>
      <c r="K553" s="3171">
        <v>3588000</v>
      </c>
      <c r="L553" s="3125">
        <v>0</v>
      </c>
      <c r="M553" s="3124">
        <v>0</v>
      </c>
      <c r="N553" s="3125">
        <v>0</v>
      </c>
      <c r="O553" s="3125">
        <v>0</v>
      </c>
      <c r="P553" s="3125">
        <v>0</v>
      </c>
      <c r="Q553" s="3125">
        <f t="shared" si="93"/>
        <v>0</v>
      </c>
      <c r="R553" s="3914">
        <v>0</v>
      </c>
      <c r="S553" s="3710"/>
      <c r="T553" s="3829"/>
      <c r="U553" s="3771"/>
      <c r="V553" s="1882">
        <f t="shared" si="95"/>
        <v>0</v>
      </c>
    </row>
    <row r="554" spans="1:22" ht="15.05" hidden="1" customHeight="1">
      <c r="A554" s="1855"/>
      <c r="B554" s="1855"/>
      <c r="C554" s="1855"/>
      <c r="D554" s="1855"/>
      <c r="E554" s="1855"/>
      <c r="F554" s="1464" t="s">
        <v>646</v>
      </c>
      <c r="G554" s="1860"/>
      <c r="H554" s="202"/>
      <c r="I554" s="202"/>
      <c r="J554" s="3259">
        <v>0</v>
      </c>
      <c r="K554" s="3123">
        <v>1860517553</v>
      </c>
      <c r="L554" s="3182">
        <v>0</v>
      </c>
      <c r="M554" s="3183">
        <v>0</v>
      </c>
      <c r="N554" s="3182">
        <v>0</v>
      </c>
      <c r="O554" s="3182">
        <v>0</v>
      </c>
      <c r="P554" s="3182">
        <v>0</v>
      </c>
      <c r="Q554" s="3182">
        <f t="shared" si="93"/>
        <v>0</v>
      </c>
      <c r="R554" s="3914">
        <v>0</v>
      </c>
      <c r="S554" s="3731"/>
      <c r="T554" s="3829"/>
      <c r="U554" s="3781">
        <f>U555</f>
        <v>0</v>
      </c>
      <c r="V554" s="1846">
        <f t="shared" si="95"/>
        <v>0</v>
      </c>
    </row>
    <row r="555" spans="1:22" ht="15.05" hidden="1" customHeight="1">
      <c r="A555" s="1855"/>
      <c r="B555" s="1855"/>
      <c r="C555" s="1855"/>
      <c r="D555" s="1855"/>
      <c r="E555" s="1855"/>
      <c r="F555" s="1857" t="s">
        <v>50</v>
      </c>
      <c r="G555" s="1858" t="s">
        <v>85</v>
      </c>
      <c r="H555" s="200"/>
      <c r="I555" s="200"/>
      <c r="J555" s="3215">
        <v>0</v>
      </c>
      <c r="K555" s="3171">
        <v>1860517553</v>
      </c>
      <c r="L555" s="3125"/>
      <c r="M555" s="3124"/>
      <c r="N555" s="3125"/>
      <c r="O555" s="3125"/>
      <c r="P555" s="3125"/>
      <c r="Q555" s="3125">
        <f t="shared" si="93"/>
        <v>0</v>
      </c>
      <c r="R555" s="3914">
        <v>0</v>
      </c>
      <c r="S555" s="3731"/>
      <c r="T555" s="3829"/>
      <c r="U555" s="3778"/>
      <c r="V555" s="1846">
        <f t="shared" si="95"/>
        <v>0</v>
      </c>
    </row>
    <row r="556" spans="1:22" ht="15.05" hidden="1" customHeight="1">
      <c r="A556" s="1855"/>
      <c r="B556" s="1855"/>
      <c r="C556" s="1855"/>
      <c r="D556" s="1855"/>
      <c r="E556" s="1855"/>
      <c r="F556" s="1464" t="s">
        <v>326</v>
      </c>
      <c r="G556" s="1860"/>
      <c r="H556" s="202"/>
      <c r="I556" s="202"/>
      <c r="J556" s="3259">
        <v>0</v>
      </c>
      <c r="K556" s="3123">
        <v>26080582.199999999</v>
      </c>
      <c r="L556" s="3182">
        <v>0</v>
      </c>
      <c r="M556" s="3183">
        <v>0</v>
      </c>
      <c r="N556" s="3182">
        <v>0</v>
      </c>
      <c r="O556" s="3182">
        <v>0</v>
      </c>
      <c r="P556" s="3182">
        <v>0</v>
      </c>
      <c r="Q556" s="3182">
        <f t="shared" si="93"/>
        <v>0</v>
      </c>
      <c r="R556" s="3914">
        <v>0</v>
      </c>
      <c r="S556" s="3710"/>
      <c r="T556" s="3829"/>
      <c r="U556" s="3777"/>
      <c r="V556" s="1846">
        <f t="shared" si="95"/>
        <v>0</v>
      </c>
    </row>
    <row r="557" spans="1:22" s="1840" customFormat="1" ht="15.05" hidden="1" customHeight="1">
      <c r="A557" s="1855"/>
      <c r="B557" s="1855"/>
      <c r="C557" s="1855"/>
      <c r="D557" s="1855"/>
      <c r="E557" s="1855"/>
      <c r="F557" s="1857" t="s">
        <v>50</v>
      </c>
      <c r="G557" s="1858"/>
      <c r="H557" s="200" t="s">
        <v>85</v>
      </c>
      <c r="I557" s="200"/>
      <c r="J557" s="3215">
        <v>0</v>
      </c>
      <c r="K557" s="3171">
        <v>26080582.199999999</v>
      </c>
      <c r="L557" s="3125">
        <v>0</v>
      </c>
      <c r="M557" s="3124">
        <v>0</v>
      </c>
      <c r="N557" s="3125">
        <v>0</v>
      </c>
      <c r="O557" s="3125">
        <v>0</v>
      </c>
      <c r="P557" s="3125">
        <v>0</v>
      </c>
      <c r="Q557" s="3125">
        <f t="shared" si="93"/>
        <v>0</v>
      </c>
      <c r="R557" s="3914">
        <v>0</v>
      </c>
      <c r="S557" s="3731"/>
      <c r="T557" s="3829"/>
      <c r="U557" s="3778">
        <f>PerDinas!Q749</f>
        <v>0</v>
      </c>
      <c r="V557" s="1882">
        <f t="shared" si="95"/>
        <v>0</v>
      </c>
    </row>
    <row r="558" spans="1:22" ht="15.05" hidden="1" customHeight="1">
      <c r="A558" s="1855"/>
      <c r="B558" s="1855"/>
      <c r="C558" s="1855"/>
      <c r="D558" s="1855"/>
      <c r="E558" s="1855"/>
      <c r="F558" s="1464" t="s">
        <v>647</v>
      </c>
      <c r="G558" s="1860"/>
      <c r="H558" s="202"/>
      <c r="I558" s="202"/>
      <c r="J558" s="3259">
        <v>0</v>
      </c>
      <c r="K558" s="3123">
        <v>2183500</v>
      </c>
      <c r="L558" s="3182">
        <v>0</v>
      </c>
      <c r="M558" s="3183">
        <v>0</v>
      </c>
      <c r="N558" s="3182">
        <v>0</v>
      </c>
      <c r="O558" s="3182">
        <v>0</v>
      </c>
      <c r="P558" s="3182">
        <v>0</v>
      </c>
      <c r="Q558" s="3182">
        <f t="shared" ref="Q558:Q580" si="96">+P558-L558</f>
        <v>0</v>
      </c>
      <c r="R558" s="3914">
        <v>0</v>
      </c>
      <c r="S558" s="3710"/>
      <c r="T558" s="3829"/>
      <c r="U558" s="3777"/>
      <c r="V558" s="1846">
        <f t="shared" si="95"/>
        <v>0</v>
      </c>
    </row>
    <row r="559" spans="1:22" s="1840" customFormat="1" ht="15.05" hidden="1" customHeight="1">
      <c r="A559" s="1855"/>
      <c r="B559" s="1855"/>
      <c r="C559" s="1855"/>
      <c r="D559" s="1855"/>
      <c r="E559" s="1855"/>
      <c r="F559" s="1857" t="s">
        <v>50</v>
      </c>
      <c r="G559" s="1858"/>
      <c r="H559" s="200" t="s">
        <v>85</v>
      </c>
      <c r="I559" s="200"/>
      <c r="J559" s="3215">
        <v>0</v>
      </c>
      <c r="K559" s="3171">
        <v>2183500</v>
      </c>
      <c r="L559" s="3125"/>
      <c r="M559" s="3124"/>
      <c r="N559" s="3125"/>
      <c r="O559" s="3125"/>
      <c r="P559" s="3125"/>
      <c r="Q559" s="3125">
        <f t="shared" si="96"/>
        <v>0</v>
      </c>
      <c r="R559" s="3914">
        <v>0</v>
      </c>
      <c r="S559" s="3710"/>
      <c r="T559" s="3829"/>
      <c r="U559" s="3771"/>
      <c r="V559" s="1882">
        <f t="shared" si="95"/>
        <v>0</v>
      </c>
    </row>
    <row r="560" spans="1:22" ht="15.05" hidden="1" customHeight="1">
      <c r="A560" s="1855"/>
      <c r="B560" s="1855"/>
      <c r="C560" s="1855"/>
      <c r="D560" s="1855"/>
      <c r="E560" s="1855"/>
      <c r="F560" s="1464" t="s">
        <v>648</v>
      </c>
      <c r="G560" s="1860"/>
      <c r="H560" s="202"/>
      <c r="I560" s="202"/>
      <c r="J560" s="3259">
        <v>0</v>
      </c>
      <c r="K560" s="3123">
        <v>889503495</v>
      </c>
      <c r="L560" s="3182">
        <v>0</v>
      </c>
      <c r="M560" s="3183">
        <v>0</v>
      </c>
      <c r="N560" s="3182">
        <v>0</v>
      </c>
      <c r="O560" s="3182">
        <v>0</v>
      </c>
      <c r="P560" s="3182">
        <v>0</v>
      </c>
      <c r="Q560" s="3182">
        <f t="shared" si="96"/>
        <v>0</v>
      </c>
      <c r="R560" s="3914">
        <v>0</v>
      </c>
      <c r="S560" s="3710"/>
      <c r="T560" s="3829"/>
      <c r="U560" s="3777"/>
      <c r="V560" s="1846">
        <f t="shared" si="95"/>
        <v>0</v>
      </c>
    </row>
    <row r="561" spans="1:22" s="1840" customFormat="1" ht="15.05" hidden="1" customHeight="1">
      <c r="A561" s="1855"/>
      <c r="B561" s="1855"/>
      <c r="C561" s="1855"/>
      <c r="D561" s="1855"/>
      <c r="E561" s="1855"/>
      <c r="F561" s="1857" t="s">
        <v>50</v>
      </c>
      <c r="G561" s="1858"/>
      <c r="H561" s="200" t="s">
        <v>85</v>
      </c>
      <c r="I561" s="200"/>
      <c r="J561" s="3215">
        <v>0</v>
      </c>
      <c r="K561" s="3171">
        <v>889503495</v>
      </c>
      <c r="L561" s="3125">
        <v>0</v>
      </c>
      <c r="M561" s="3124">
        <v>0</v>
      </c>
      <c r="N561" s="3125">
        <v>0</v>
      </c>
      <c r="O561" s="3125">
        <v>0</v>
      </c>
      <c r="P561" s="3125">
        <v>0</v>
      </c>
      <c r="Q561" s="3125">
        <f t="shared" si="96"/>
        <v>0</v>
      </c>
      <c r="R561" s="3914">
        <v>0</v>
      </c>
      <c r="S561" s="3731"/>
      <c r="T561" s="3829"/>
      <c r="U561" s="3778">
        <f>PerDinas!Q622</f>
        <v>0</v>
      </c>
      <c r="V561" s="1882">
        <f t="shared" si="95"/>
        <v>0</v>
      </c>
    </row>
    <row r="562" spans="1:22" ht="15.05" hidden="1" customHeight="1">
      <c r="A562" s="1855"/>
      <c r="B562" s="1855"/>
      <c r="C562" s="1855"/>
      <c r="D562" s="1855"/>
      <c r="E562" s="1855"/>
      <c r="F562" s="1464" t="s">
        <v>568</v>
      </c>
      <c r="G562" s="1860"/>
      <c r="H562" s="202"/>
      <c r="I562" s="202"/>
      <c r="J562" s="3259">
        <v>0</v>
      </c>
      <c r="K562" s="3123">
        <v>2839900</v>
      </c>
      <c r="L562" s="3182">
        <v>0</v>
      </c>
      <c r="M562" s="3183">
        <v>913000</v>
      </c>
      <c r="N562" s="3182">
        <v>0</v>
      </c>
      <c r="O562" s="3182">
        <v>913000</v>
      </c>
      <c r="P562" s="3182">
        <v>0</v>
      </c>
      <c r="Q562" s="3182">
        <f t="shared" si="96"/>
        <v>0</v>
      </c>
      <c r="R562" s="3914">
        <v>0</v>
      </c>
      <c r="S562" s="3710"/>
      <c r="T562" s="3829"/>
      <c r="U562" s="3777"/>
      <c r="V562" s="1846">
        <f t="shared" si="95"/>
        <v>3652000</v>
      </c>
    </row>
    <row r="563" spans="1:22" s="1840" customFormat="1" ht="15.05" hidden="1" customHeight="1">
      <c r="A563" s="1855"/>
      <c r="B563" s="1855"/>
      <c r="C563" s="1855"/>
      <c r="D563" s="1855"/>
      <c r="E563" s="1855"/>
      <c r="F563" s="1857" t="s">
        <v>50</v>
      </c>
      <c r="G563" s="1858"/>
      <c r="H563" s="200" t="s">
        <v>85</v>
      </c>
      <c r="I563" s="200"/>
      <c r="J563" s="3215">
        <v>0</v>
      </c>
      <c r="K563" s="3171">
        <v>2839900</v>
      </c>
      <c r="L563" s="3125">
        <v>0</v>
      </c>
      <c r="M563" s="3124">
        <v>913000</v>
      </c>
      <c r="N563" s="3125">
        <v>0</v>
      </c>
      <c r="O563" s="3125">
        <v>913000</v>
      </c>
      <c r="P563" s="3125">
        <v>0</v>
      </c>
      <c r="Q563" s="3125">
        <f t="shared" si="96"/>
        <v>0</v>
      </c>
      <c r="R563" s="3914">
        <v>0</v>
      </c>
      <c r="S563" s="3731"/>
      <c r="T563" s="3829"/>
      <c r="U563" s="3778">
        <f>PerDinas!Q608</f>
        <v>0</v>
      </c>
      <c r="V563" s="1882">
        <f t="shared" si="95"/>
        <v>3652000</v>
      </c>
    </row>
    <row r="564" spans="1:22" ht="15.05" hidden="1" customHeight="1">
      <c r="A564" s="1855"/>
      <c r="B564" s="1855"/>
      <c r="C564" s="1855"/>
      <c r="D564" s="1855"/>
      <c r="E564" s="1855"/>
      <c r="F564" s="1857" t="s">
        <v>50</v>
      </c>
      <c r="G564" s="1858"/>
      <c r="H564" s="200"/>
      <c r="I564" s="200"/>
      <c r="J564" s="3215">
        <v>0</v>
      </c>
      <c r="K564" s="3171"/>
      <c r="L564" s="3125">
        <v>0</v>
      </c>
      <c r="M564" s="3124">
        <v>0</v>
      </c>
      <c r="N564" s="3125">
        <v>0</v>
      </c>
      <c r="O564" s="3125">
        <v>0</v>
      </c>
      <c r="P564" s="3125">
        <v>0</v>
      </c>
      <c r="Q564" s="3125">
        <f t="shared" si="96"/>
        <v>0</v>
      </c>
      <c r="R564" s="3914">
        <v>0</v>
      </c>
      <c r="S564" s="3710"/>
      <c r="T564" s="3829"/>
      <c r="U564" s="3771"/>
      <c r="V564" s="1846">
        <f t="shared" si="95"/>
        <v>0</v>
      </c>
    </row>
    <row r="565" spans="1:22" ht="15.05" hidden="1" customHeight="1">
      <c r="A565" s="1855"/>
      <c r="B565" s="1855"/>
      <c r="C565" s="1855"/>
      <c r="D565" s="1855"/>
      <c r="E565" s="1855"/>
      <c r="F565" s="1464" t="s">
        <v>649</v>
      </c>
      <c r="G565" s="1860"/>
      <c r="H565" s="202"/>
      <c r="I565" s="202"/>
      <c r="J565" s="3259">
        <v>0</v>
      </c>
      <c r="K565" s="3123">
        <v>0</v>
      </c>
      <c r="L565" s="3182">
        <v>0</v>
      </c>
      <c r="M565" s="3183">
        <v>0</v>
      </c>
      <c r="N565" s="3182">
        <v>0</v>
      </c>
      <c r="O565" s="3182">
        <v>0</v>
      </c>
      <c r="P565" s="3182">
        <v>0</v>
      </c>
      <c r="Q565" s="3182">
        <f t="shared" si="96"/>
        <v>0</v>
      </c>
      <c r="R565" s="3914">
        <v>0</v>
      </c>
      <c r="S565" s="3710"/>
      <c r="T565" s="3829"/>
      <c r="U565" s="3777"/>
      <c r="V565" s="1846">
        <f t="shared" si="95"/>
        <v>0</v>
      </c>
    </row>
    <row r="566" spans="1:22" ht="11.3" hidden="1" customHeight="1">
      <c r="A566" s="1855"/>
      <c r="B566" s="1855"/>
      <c r="C566" s="1855"/>
      <c r="D566" s="1855"/>
      <c r="E566" s="1855"/>
      <c r="F566" s="1857" t="s">
        <v>50</v>
      </c>
      <c r="G566" s="1858"/>
      <c r="H566" s="200" t="s">
        <v>85</v>
      </c>
      <c r="I566" s="200"/>
      <c r="J566" s="3215">
        <v>0</v>
      </c>
      <c r="K566" s="3171">
        <v>0</v>
      </c>
      <c r="L566" s="3125">
        <v>0</v>
      </c>
      <c r="M566" s="3124">
        <v>0</v>
      </c>
      <c r="N566" s="3125">
        <v>0</v>
      </c>
      <c r="O566" s="3125">
        <v>0</v>
      </c>
      <c r="P566" s="3125">
        <v>0</v>
      </c>
      <c r="Q566" s="3125">
        <f t="shared" si="96"/>
        <v>0</v>
      </c>
      <c r="R566" s="3914">
        <v>0</v>
      </c>
      <c r="S566" s="3731"/>
      <c r="T566" s="3829"/>
      <c r="U566" s="3778">
        <f>PerDinas!Q582</f>
        <v>0</v>
      </c>
      <c r="V566" s="1846">
        <f t="shared" si="95"/>
        <v>0</v>
      </c>
    </row>
    <row r="567" spans="1:22" ht="15.05" hidden="1" customHeight="1">
      <c r="A567" s="1855"/>
      <c r="B567" s="1855"/>
      <c r="C567" s="1855"/>
      <c r="D567" s="1855"/>
      <c r="E567" s="1855"/>
      <c r="F567" s="1464" t="s">
        <v>650</v>
      </c>
      <c r="G567" s="1860"/>
      <c r="H567" s="202"/>
      <c r="I567" s="202"/>
      <c r="J567" s="3259">
        <v>0</v>
      </c>
      <c r="K567" s="3995">
        <v>0</v>
      </c>
      <c r="L567" s="3996">
        <v>0</v>
      </c>
      <c r="M567" s="3313">
        <v>0</v>
      </c>
      <c r="N567" s="3312">
        <v>0</v>
      </c>
      <c r="O567" s="3312">
        <v>0</v>
      </c>
      <c r="P567" s="3312">
        <v>0</v>
      </c>
      <c r="Q567" s="3312">
        <f t="shared" si="96"/>
        <v>0</v>
      </c>
      <c r="R567" s="3914">
        <v>0</v>
      </c>
      <c r="S567" s="3710"/>
      <c r="T567" s="3829"/>
      <c r="U567" s="3777"/>
      <c r="V567" s="1846">
        <f t="shared" si="95"/>
        <v>0</v>
      </c>
    </row>
    <row r="568" spans="1:22" ht="15.05" hidden="1" customHeight="1">
      <c r="A568" s="1855"/>
      <c r="B568" s="1855"/>
      <c r="C568" s="1855"/>
      <c r="D568" s="1855"/>
      <c r="E568" s="1855"/>
      <c r="F568" s="1857" t="s">
        <v>50</v>
      </c>
      <c r="G568" s="1858"/>
      <c r="H568" s="200" t="s">
        <v>76</v>
      </c>
      <c r="I568" s="200"/>
      <c r="J568" s="3215">
        <v>0</v>
      </c>
      <c r="K568" s="3216">
        <v>0</v>
      </c>
      <c r="L568" s="3997">
        <v>0</v>
      </c>
      <c r="M568" s="3315">
        <v>0</v>
      </c>
      <c r="N568" s="3314">
        <v>0</v>
      </c>
      <c r="O568" s="3314">
        <v>0</v>
      </c>
      <c r="P568" s="3314">
        <v>0</v>
      </c>
      <c r="Q568" s="3314">
        <f t="shared" si="96"/>
        <v>0</v>
      </c>
      <c r="R568" s="3914">
        <v>0</v>
      </c>
      <c r="S568" s="3710"/>
      <c r="T568" s="3829"/>
      <c r="U568" s="3778">
        <f>PerDinas!Q656</f>
        <v>0</v>
      </c>
      <c r="V568" s="1846">
        <f t="shared" si="95"/>
        <v>0</v>
      </c>
    </row>
    <row r="569" spans="1:22" ht="15.05" hidden="1" customHeight="1">
      <c r="A569" s="1855"/>
      <c r="B569" s="1855"/>
      <c r="C569" s="1855"/>
      <c r="D569" s="1855"/>
      <c r="E569" s="1855"/>
      <c r="F569" s="1464" t="s">
        <v>651</v>
      </c>
      <c r="G569" s="1860"/>
      <c r="H569" s="202"/>
      <c r="I569" s="202"/>
      <c r="J569" s="3259">
        <v>0</v>
      </c>
      <c r="K569" s="3995">
        <v>20265000</v>
      </c>
      <c r="L569" s="3996">
        <v>0</v>
      </c>
      <c r="M569" s="3313">
        <v>0</v>
      </c>
      <c r="N569" s="3312">
        <v>0</v>
      </c>
      <c r="O569" s="3312">
        <v>0</v>
      </c>
      <c r="P569" s="3312">
        <v>0</v>
      </c>
      <c r="Q569" s="3312">
        <f t="shared" si="96"/>
        <v>0</v>
      </c>
      <c r="R569" s="3914">
        <v>0</v>
      </c>
      <c r="S569" s="3710"/>
      <c r="T569" s="3829"/>
      <c r="U569" s="3777"/>
      <c r="V569" s="1846">
        <f t="shared" si="95"/>
        <v>0</v>
      </c>
    </row>
    <row r="570" spans="1:22" s="1840" customFormat="1" ht="15.05" hidden="1" customHeight="1">
      <c r="A570" s="1886"/>
      <c r="B570" s="1886"/>
      <c r="C570" s="1886"/>
      <c r="D570" s="1886"/>
      <c r="E570" s="1886"/>
      <c r="F570" s="1887" t="s">
        <v>50</v>
      </c>
      <c r="G570" s="1888"/>
      <c r="H570" s="856" t="s">
        <v>85</v>
      </c>
      <c r="I570" s="856"/>
      <c r="J570" s="3238">
        <v>0</v>
      </c>
      <c r="K570" s="3251">
        <v>20265000</v>
      </c>
      <c r="L570" s="3998">
        <v>0</v>
      </c>
      <c r="M570" s="3317">
        <v>0</v>
      </c>
      <c r="N570" s="3316">
        <v>0</v>
      </c>
      <c r="O570" s="3316">
        <v>0</v>
      </c>
      <c r="P570" s="3316">
        <v>0</v>
      </c>
      <c r="Q570" s="3316">
        <f t="shared" si="96"/>
        <v>0</v>
      </c>
      <c r="R570" s="5100">
        <v>0</v>
      </c>
      <c r="S570" s="3711"/>
      <c r="T570" s="3830"/>
      <c r="U570" s="3786">
        <f>PerDinas!Q632</f>
        <v>0</v>
      </c>
      <c r="V570" s="1882">
        <f t="shared" si="95"/>
        <v>0</v>
      </c>
    </row>
    <row r="571" spans="1:22" s="4456" customFormat="1" ht="15.05" customHeight="1">
      <c r="A571" s="2627"/>
      <c r="B571" s="2627"/>
      <c r="C571" s="2627"/>
      <c r="D571" s="2627"/>
      <c r="E571" s="2627"/>
      <c r="F571" s="3034" t="s">
        <v>1201</v>
      </c>
      <c r="G571" s="3034"/>
      <c r="H571" s="1318"/>
      <c r="I571" s="1318"/>
      <c r="J571" s="3295"/>
      <c r="K571" s="3129"/>
      <c r="L571" s="3897"/>
      <c r="M571" s="3897"/>
      <c r="N571" s="3897"/>
      <c r="O571" s="3897">
        <f>O572</f>
        <v>18120000000</v>
      </c>
      <c r="P571" s="3897">
        <f>P572</f>
        <v>18120000000</v>
      </c>
      <c r="Q571" s="3903">
        <f t="shared" si="96"/>
        <v>18120000000</v>
      </c>
      <c r="R571" s="5100">
        <v>0</v>
      </c>
      <c r="S571" s="4452"/>
      <c r="T571" s="4453"/>
      <c r="U571" s="4454"/>
      <c r="V571" s="4455"/>
    </row>
    <row r="572" spans="1:22" s="4444" customFormat="1" ht="15.05" customHeight="1">
      <c r="A572" s="5247"/>
      <c r="B572" s="5247"/>
      <c r="C572" s="5247"/>
      <c r="D572" s="5247"/>
      <c r="E572" s="5247"/>
      <c r="F572" s="5101" t="s">
        <v>50</v>
      </c>
      <c r="G572" s="5102"/>
      <c r="H572" s="2326" t="s">
        <v>1202</v>
      </c>
      <c r="I572" s="2326"/>
      <c r="J572" s="3566"/>
      <c r="K572" s="5103"/>
      <c r="L572" s="5104"/>
      <c r="M572" s="5104"/>
      <c r="N572" s="5104"/>
      <c r="O572" s="5104">
        <v>18120000000</v>
      </c>
      <c r="P572" s="5104">
        <v>18120000000</v>
      </c>
      <c r="Q572" s="5105">
        <f t="shared" si="96"/>
        <v>18120000000</v>
      </c>
      <c r="R572" s="5106">
        <v>0</v>
      </c>
      <c r="S572" s="4452"/>
      <c r="T572" s="4453"/>
      <c r="U572" s="4466"/>
      <c r="V572" s="4443"/>
    </row>
    <row r="573" spans="1:22" s="2955" customFormat="1" ht="15.05" customHeight="1">
      <c r="A573" s="5248" t="s">
        <v>443</v>
      </c>
      <c r="B573" s="5248" t="s">
        <v>457</v>
      </c>
      <c r="C573" s="5249" t="s">
        <v>443</v>
      </c>
      <c r="D573" s="5249"/>
      <c r="E573" s="5249"/>
      <c r="F573" s="5107" t="s">
        <v>652</v>
      </c>
      <c r="G573" s="5108"/>
      <c r="H573" s="5109"/>
      <c r="I573" s="5109"/>
      <c r="J573" s="5110">
        <f>+J574</f>
        <v>5414000000</v>
      </c>
      <c r="K573" s="5110">
        <f>+K574</f>
        <v>5000000000</v>
      </c>
      <c r="L573" s="5111">
        <f>L574</f>
        <v>53394311000</v>
      </c>
      <c r="M573" s="5112">
        <v>0</v>
      </c>
      <c r="N573" s="5111">
        <f>N574</f>
        <v>26697155000</v>
      </c>
      <c r="O573" s="5111">
        <f>N573+M573</f>
        <v>26697155000</v>
      </c>
      <c r="P573" s="5111">
        <f>P574</f>
        <v>53394311000</v>
      </c>
      <c r="Q573" s="5111">
        <f t="shared" si="96"/>
        <v>0</v>
      </c>
      <c r="R573" s="5113">
        <f>+P573/L573*100-100</f>
        <v>0</v>
      </c>
      <c r="S573" s="3757"/>
      <c r="T573" s="3857"/>
      <c r="U573" s="3811"/>
      <c r="V573" s="2954">
        <f t="shared" si="95"/>
        <v>106788620000</v>
      </c>
    </row>
    <row r="574" spans="1:22" s="2947" customFormat="1" ht="15.05" customHeight="1">
      <c r="A574" s="5250" t="s">
        <v>443</v>
      </c>
      <c r="B574" s="5250" t="s">
        <v>457</v>
      </c>
      <c r="C574" s="5251" t="s">
        <v>443</v>
      </c>
      <c r="D574" s="5251" t="s">
        <v>445</v>
      </c>
      <c r="E574" s="5251"/>
      <c r="F574" s="5114" t="s">
        <v>293</v>
      </c>
      <c r="G574" s="5115"/>
      <c r="H574" s="5116"/>
      <c r="I574" s="5116"/>
      <c r="J574" s="5117">
        <f>+J576</f>
        <v>5414000000</v>
      </c>
      <c r="K574" s="5117">
        <f>+K576</f>
        <v>5000000000</v>
      </c>
      <c r="L574" s="5118">
        <f t="shared" ref="L574:O575" si="97">L575</f>
        <v>53394311000</v>
      </c>
      <c r="M574" s="5119">
        <v>0</v>
      </c>
      <c r="N574" s="5118">
        <f t="shared" si="97"/>
        <v>26697155000</v>
      </c>
      <c r="O574" s="5118">
        <f t="shared" si="97"/>
        <v>26697155000</v>
      </c>
      <c r="P574" s="5118">
        <f>P575</f>
        <v>53394311000</v>
      </c>
      <c r="Q574" s="5118">
        <f t="shared" si="96"/>
        <v>0</v>
      </c>
      <c r="R574" s="5120">
        <f>+P574/L574*100-100</f>
        <v>0</v>
      </c>
      <c r="S574" s="3758"/>
      <c r="T574" s="3858"/>
      <c r="U574" s="3812"/>
      <c r="V574" s="2944">
        <f t="shared" si="95"/>
        <v>106788620000</v>
      </c>
    </row>
    <row r="575" spans="1:22" ht="15.05" customHeight="1">
      <c r="A575" s="2867" t="s">
        <v>443</v>
      </c>
      <c r="B575" s="2867" t="s">
        <v>457</v>
      </c>
      <c r="C575" s="2868" t="s">
        <v>443</v>
      </c>
      <c r="D575" s="2868" t="s">
        <v>445</v>
      </c>
      <c r="E575" s="2868" t="s">
        <v>437</v>
      </c>
      <c r="F575" s="84" t="s">
        <v>653</v>
      </c>
      <c r="G575" s="84"/>
      <c r="H575" s="224"/>
      <c r="I575" s="224"/>
      <c r="J575" s="3324"/>
      <c r="K575" s="3324"/>
      <c r="L575" s="3325">
        <f t="shared" si="97"/>
        <v>53394311000</v>
      </c>
      <c r="M575" s="3326">
        <v>0</v>
      </c>
      <c r="N575" s="3327">
        <f t="shared" si="97"/>
        <v>26697155000</v>
      </c>
      <c r="O575" s="3327">
        <f t="shared" si="97"/>
        <v>26697155000</v>
      </c>
      <c r="P575" s="3327">
        <f>P578</f>
        <v>53394311000</v>
      </c>
      <c r="Q575" s="3327">
        <f t="shared" si="96"/>
        <v>0</v>
      </c>
      <c r="R575" s="3642">
        <f>+P575/L575*100-100</f>
        <v>0</v>
      </c>
      <c r="S575" s="3732"/>
      <c r="T575" s="3859"/>
      <c r="U575" s="3797"/>
      <c r="V575" s="1846">
        <f t="shared" si="95"/>
        <v>106788620000</v>
      </c>
    </row>
    <row r="576" spans="1:22" s="2069" customFormat="1" ht="15.05" customHeight="1">
      <c r="A576" s="4467"/>
      <c r="B576" s="4467"/>
      <c r="C576" s="4468"/>
      <c r="D576" s="4468"/>
      <c r="E576" s="4468"/>
      <c r="F576" s="2871" t="s">
        <v>654</v>
      </c>
      <c r="G576" s="2872"/>
      <c r="H576" s="200"/>
      <c r="I576" s="200"/>
      <c r="J576" s="3329">
        <f>SUM(J577:J578)</f>
        <v>5414000000</v>
      </c>
      <c r="K576" s="3329">
        <f>+K578</f>
        <v>5000000000</v>
      </c>
      <c r="L576" s="5122">
        <f>SUM(L577:L578)</f>
        <v>53394311000</v>
      </c>
      <c r="M576" s="5123">
        <v>0</v>
      </c>
      <c r="N576" s="5122">
        <f>SUM(N577:N578)</f>
        <v>26697155000</v>
      </c>
      <c r="O576" s="5122">
        <f>SUM(O577:O578)</f>
        <v>26697155000</v>
      </c>
      <c r="P576" s="5122">
        <v>53394311000</v>
      </c>
      <c r="Q576" s="5122">
        <f t="shared" si="96"/>
        <v>0</v>
      </c>
      <c r="R576" s="5124">
        <f>+P576/L576*100-100</f>
        <v>0</v>
      </c>
      <c r="S576" s="5252"/>
      <c r="T576" s="4476"/>
      <c r="U576" s="4353"/>
      <c r="V576" s="3925">
        <f t="shared" si="95"/>
        <v>106788620000</v>
      </c>
    </row>
    <row r="577" spans="1:31" s="2069" customFormat="1" ht="15.05" customHeight="1">
      <c r="A577" s="4467"/>
      <c r="B577" s="4467"/>
      <c r="C577" s="4468"/>
      <c r="D577" s="4468"/>
      <c r="E577" s="4468"/>
      <c r="F577" s="2871" t="s">
        <v>50</v>
      </c>
      <c r="G577" s="2872" t="s">
        <v>655</v>
      </c>
      <c r="H577" s="200"/>
      <c r="I577" s="200"/>
      <c r="J577" s="3329">
        <v>414000000</v>
      </c>
      <c r="K577" s="3332"/>
      <c r="L577" s="3192">
        <f>MAR!J493</f>
        <v>0</v>
      </c>
      <c r="M577" s="3333">
        <v>0</v>
      </c>
      <c r="N577" s="3192">
        <f>MAR!L493</f>
        <v>0</v>
      </c>
      <c r="O577" s="3192">
        <f>MAR!M493</f>
        <v>0</v>
      </c>
      <c r="P577" s="3192">
        <v>0</v>
      </c>
      <c r="Q577" s="3192">
        <f t="shared" si="96"/>
        <v>0</v>
      </c>
      <c r="R577" s="5125">
        <v>0</v>
      </c>
      <c r="S577" s="3883"/>
      <c r="T577" s="4482"/>
      <c r="U577" s="4353"/>
      <c r="V577" s="3925">
        <f t="shared" si="95"/>
        <v>0</v>
      </c>
    </row>
    <row r="578" spans="1:31" s="2069" customFormat="1" ht="15.05" customHeight="1">
      <c r="A578" s="4467"/>
      <c r="B578" s="4467"/>
      <c r="C578" s="4468"/>
      <c r="D578" s="4468"/>
      <c r="E578" s="4468"/>
      <c r="F578" s="2871" t="s">
        <v>50</v>
      </c>
      <c r="G578" s="2872" t="s">
        <v>656</v>
      </c>
      <c r="H578" s="200"/>
      <c r="I578" s="200"/>
      <c r="J578" s="3329">
        <v>5000000000</v>
      </c>
      <c r="K578" s="3329">
        <v>5000000000</v>
      </c>
      <c r="L578" s="3192">
        <v>53394311000</v>
      </c>
      <c r="M578" s="3333">
        <v>0</v>
      </c>
      <c r="N578" s="3192">
        <v>26697155000</v>
      </c>
      <c r="O578" s="3192">
        <v>26697155000</v>
      </c>
      <c r="P578" s="3192">
        <v>53394311000</v>
      </c>
      <c r="Q578" s="3192">
        <f t="shared" si="96"/>
        <v>0</v>
      </c>
      <c r="R578" s="5125">
        <f>+P578/L578*100-100</f>
        <v>0</v>
      </c>
      <c r="S578" s="3883"/>
      <c r="T578" s="4482"/>
      <c r="U578" s="4353"/>
      <c r="V578" s="3925">
        <f t="shared" si="95"/>
        <v>106788620000</v>
      </c>
    </row>
    <row r="579" spans="1:31" s="2069" customFormat="1" ht="15.05" customHeight="1">
      <c r="A579" s="4467"/>
      <c r="B579" s="4467"/>
      <c r="C579" s="4468"/>
      <c r="D579" s="4468"/>
      <c r="E579" s="4468"/>
      <c r="F579" s="2871" t="s">
        <v>298</v>
      </c>
      <c r="G579" s="2872"/>
      <c r="H579" s="200"/>
      <c r="I579" s="200"/>
      <c r="J579" s="3329"/>
      <c r="K579" s="3332"/>
      <c r="L579" s="3192">
        <f>MAR!J495</f>
        <v>0</v>
      </c>
      <c r="M579" s="3333">
        <v>0</v>
      </c>
      <c r="N579" s="3192">
        <f>MAR!L495</f>
        <v>0</v>
      </c>
      <c r="O579" s="3192">
        <f>MAR!M495</f>
        <v>0</v>
      </c>
      <c r="P579" s="3192">
        <f>MAR!N495</f>
        <v>0</v>
      </c>
      <c r="Q579" s="3192">
        <f t="shared" si="96"/>
        <v>0</v>
      </c>
      <c r="R579" s="5125">
        <v>0</v>
      </c>
      <c r="S579" s="3883"/>
      <c r="T579" s="4482"/>
      <c r="U579" s="4353"/>
      <c r="V579" s="3925">
        <f t="shared" si="95"/>
        <v>0</v>
      </c>
    </row>
    <row r="580" spans="1:31" s="2069" customFormat="1" ht="15.05" customHeight="1" thickBot="1">
      <c r="A580" s="5204"/>
      <c r="B580" s="5204"/>
      <c r="C580" s="5205"/>
      <c r="D580" s="5205"/>
      <c r="E580" s="5205"/>
      <c r="F580" s="5253" t="s">
        <v>50</v>
      </c>
      <c r="G580" s="5254" t="s">
        <v>657</v>
      </c>
      <c r="H580" s="5255"/>
      <c r="I580" s="5255"/>
      <c r="J580" s="5256"/>
      <c r="K580" s="5257"/>
      <c r="L580" s="5258">
        <f>MAR!J496</f>
        <v>0</v>
      </c>
      <c r="M580" s="5259">
        <v>0</v>
      </c>
      <c r="N580" s="5258">
        <f>MAR!L496</f>
        <v>0</v>
      </c>
      <c r="O580" s="5258">
        <f>MAR!M496</f>
        <v>0</v>
      </c>
      <c r="P580" s="5258">
        <f>MAR!N496</f>
        <v>0</v>
      </c>
      <c r="Q580" s="5258">
        <f t="shared" si="96"/>
        <v>0</v>
      </c>
      <c r="R580" s="5260">
        <v>0</v>
      </c>
      <c r="S580" s="3883"/>
      <c r="T580" s="4482"/>
      <c r="U580" s="4493"/>
      <c r="V580" s="3925">
        <f t="shared" si="95"/>
        <v>0</v>
      </c>
    </row>
    <row r="581" spans="1:31" ht="15.05" hidden="1" customHeight="1">
      <c r="A581" s="3872"/>
      <c r="B581" s="3872"/>
      <c r="C581" s="3872"/>
      <c r="D581" s="3872"/>
      <c r="E581" s="3872"/>
      <c r="F581" s="3543"/>
      <c r="G581" s="3544"/>
      <c r="H581" s="3545"/>
      <c r="I581" s="3545"/>
      <c r="J581" s="3546"/>
      <c r="K581" s="3547"/>
      <c r="L581" s="3548"/>
      <c r="M581" s="3548"/>
      <c r="N581" s="3548"/>
      <c r="O581" s="3548"/>
      <c r="P581" s="3548"/>
      <c r="Q581" s="3548"/>
      <c r="R581" s="3913"/>
      <c r="S581" s="3768"/>
      <c r="T581" s="3764"/>
      <c r="U581" s="3761"/>
      <c r="V581" s="1846">
        <f t="shared" si="95"/>
        <v>0</v>
      </c>
    </row>
    <row r="582" spans="1:31" ht="12.05" hidden="1" customHeight="1">
      <c r="A582" s="5798"/>
      <c r="B582" s="5798"/>
      <c r="C582" s="5798"/>
      <c r="D582" s="5798"/>
      <c r="E582" s="5798"/>
      <c r="F582" s="5798"/>
      <c r="G582" s="5798"/>
      <c r="H582" s="5798"/>
      <c r="I582" s="5799"/>
      <c r="J582" s="1965"/>
      <c r="K582" s="1966"/>
      <c r="L582" s="1967">
        <f>L229+L216+L43+L438</f>
        <v>446737149324</v>
      </c>
      <c r="M582" s="1967">
        <f>M229+M216+M43+M438</f>
        <v>34516750956.529999</v>
      </c>
      <c r="N582" s="1967">
        <f>N229+N216+N43+N438</f>
        <v>47890046927.190002</v>
      </c>
      <c r="O582" s="1967">
        <f>O229+O216+O43+O438</f>
        <v>100661262883.72</v>
      </c>
      <c r="P582" s="1968">
        <f>+O582-L582</f>
        <v>-346075886440.28003</v>
      </c>
      <c r="Q582" s="1968">
        <f>+P582-L582</f>
        <v>-792813035764.28003</v>
      </c>
      <c r="R582" s="3647">
        <f>+P582/L582*100-100</f>
        <v>-177.4674519376685</v>
      </c>
      <c r="S582" s="3763"/>
      <c r="T582" s="3763"/>
      <c r="U582" s="2005"/>
      <c r="V582" s="1846">
        <f t="shared" si="95"/>
        <v>402645051534.88</v>
      </c>
    </row>
    <row r="583" spans="1:31" ht="13.5" customHeight="1" thickTop="1">
      <c r="A583" s="1904"/>
      <c r="B583" s="1904"/>
      <c r="C583" s="1904"/>
      <c r="D583" s="1904"/>
      <c r="E583" s="1904"/>
      <c r="F583" s="1904"/>
      <c r="G583" s="1904"/>
      <c r="H583" s="1904"/>
      <c r="I583" s="1904"/>
      <c r="J583" s="1904"/>
      <c r="K583" s="1904"/>
      <c r="L583" s="1969"/>
      <c r="M583" s="1969"/>
      <c r="N583" s="1969"/>
      <c r="O583" s="1969"/>
      <c r="P583" s="1969"/>
      <c r="Q583" s="1969"/>
      <c r="R583" s="3648"/>
      <c r="S583" s="2993"/>
      <c r="T583" s="2993"/>
      <c r="U583" s="1924"/>
    </row>
    <row r="584" spans="1:31" ht="13.5" customHeight="1">
      <c r="A584" s="4012"/>
      <c r="B584" s="257"/>
      <c r="C584" s="257"/>
      <c r="D584" s="1945"/>
      <c r="E584" s="1945"/>
      <c r="F584" s="1945"/>
      <c r="G584" s="1945"/>
      <c r="H584" s="1945"/>
      <c r="I584" s="1945"/>
      <c r="J584" s="1945"/>
      <c r="K584" s="1945"/>
      <c r="L584" s="1971"/>
      <c r="M584" s="1971"/>
      <c r="N584" s="1971"/>
      <c r="O584" s="1971"/>
      <c r="R584" s="4013"/>
      <c r="S584" s="2994"/>
      <c r="T584" s="2994"/>
      <c r="U584" s="2006"/>
    </row>
    <row r="585" spans="1:31" ht="13.5" customHeight="1">
      <c r="A585" s="257"/>
      <c r="B585" s="257"/>
      <c r="C585" s="257"/>
      <c r="D585" s="1945"/>
      <c r="E585" s="1945"/>
      <c r="F585" s="1945"/>
      <c r="G585" s="1945"/>
      <c r="H585" s="1945"/>
      <c r="I585" s="1945"/>
      <c r="J585" s="1945"/>
      <c r="K585" s="1945"/>
      <c r="M585" s="1973"/>
      <c r="N585" s="1971"/>
      <c r="O585" s="1971"/>
      <c r="P585" s="4015" t="s">
        <v>1267</v>
      </c>
      <c r="Q585" s="1974"/>
      <c r="R585" s="4013"/>
      <c r="S585" s="2994"/>
      <c r="T585" s="2994"/>
      <c r="U585" s="2006"/>
    </row>
    <row r="586" spans="1:31" s="1846" customFormat="1" ht="13.5" customHeight="1">
      <c r="A586" s="257"/>
      <c r="B586" s="257"/>
      <c r="C586" s="257"/>
      <c r="D586" s="1945"/>
      <c r="E586" s="1945"/>
      <c r="F586" s="1945"/>
      <c r="G586" s="1945"/>
      <c r="H586" s="1945"/>
      <c r="I586" s="1945"/>
      <c r="J586" s="1945"/>
      <c r="K586" s="1945"/>
      <c r="M586" s="1976"/>
      <c r="N586" s="1844"/>
      <c r="O586" s="1971"/>
      <c r="P586" s="4016" t="s">
        <v>660</v>
      </c>
      <c r="Q586" s="1977"/>
      <c r="R586" s="4013"/>
      <c r="S586" s="2994"/>
      <c r="T586" s="2994"/>
      <c r="U586" s="2006"/>
      <c r="W586" s="1844"/>
      <c r="X586" s="1844"/>
      <c r="Y586" s="1844"/>
      <c r="Z586" s="1844"/>
      <c r="AA586" s="1844"/>
      <c r="AB586" s="1844"/>
      <c r="AC586" s="1844"/>
      <c r="AD586" s="1844"/>
      <c r="AE586" s="1844"/>
    </row>
    <row r="587" spans="1:31" s="1846" customFormat="1" ht="13.5" customHeight="1">
      <c r="A587" s="257"/>
      <c r="B587" s="257"/>
      <c r="C587" s="257"/>
      <c r="D587" s="1945"/>
      <c r="E587" s="1945"/>
      <c r="F587" s="1945"/>
      <c r="G587" s="1945"/>
      <c r="H587" s="1945"/>
      <c r="I587" s="1945"/>
      <c r="J587" s="1945"/>
      <c r="K587" s="1945"/>
      <c r="M587" s="1844"/>
      <c r="N587" s="1844"/>
      <c r="O587" s="1971"/>
      <c r="P587" s="4017" t="s">
        <v>1213</v>
      </c>
      <c r="Q587" s="1977"/>
      <c r="R587" s="4013"/>
      <c r="S587" s="2994"/>
      <c r="T587" s="2994"/>
      <c r="U587" s="2006"/>
      <c r="W587" s="1844"/>
      <c r="X587" s="1844"/>
      <c r="Y587" s="1844"/>
      <c r="Z587" s="1844"/>
      <c r="AA587" s="1844"/>
      <c r="AB587" s="1844"/>
      <c r="AC587" s="1844"/>
      <c r="AD587" s="1844"/>
      <c r="AE587" s="1844"/>
    </row>
    <row r="588" spans="1:31" s="1846" customFormat="1" ht="13.5" customHeight="1">
      <c r="A588" s="1945"/>
      <c r="B588" s="1945"/>
      <c r="C588" s="1945"/>
      <c r="D588" s="1945"/>
      <c r="E588" s="1945"/>
      <c r="F588" s="1945"/>
      <c r="G588" s="1945"/>
      <c r="H588" s="1844"/>
      <c r="I588" s="257"/>
      <c r="J588" s="257"/>
      <c r="K588" s="257"/>
      <c r="M588" s="1844"/>
      <c r="N588" s="1844"/>
      <c r="O588" s="1971"/>
      <c r="P588" s="4017" t="s">
        <v>929</v>
      </c>
      <c r="Q588" s="1977"/>
      <c r="R588" s="4013"/>
      <c r="S588" s="2994"/>
      <c r="T588" s="2994"/>
      <c r="U588" s="2006"/>
      <c r="W588" s="1844"/>
      <c r="X588" s="1844"/>
      <c r="Y588" s="1844"/>
      <c r="Z588" s="1844"/>
      <c r="AA588" s="1844"/>
      <c r="AB588" s="1844"/>
      <c r="AC588" s="1844"/>
      <c r="AD588" s="1844"/>
      <c r="AE588" s="1844"/>
    </row>
    <row r="589" spans="1:31" s="1846" customFormat="1" ht="13.5" customHeight="1">
      <c r="A589" s="1945"/>
      <c r="B589" s="1945"/>
      <c r="C589" s="1945"/>
      <c r="D589" s="1945"/>
      <c r="E589" s="1946"/>
      <c r="F589" s="1946"/>
      <c r="G589" s="1946"/>
      <c r="H589" s="1844"/>
      <c r="I589" s="1973"/>
      <c r="J589" s="1973"/>
      <c r="K589" s="1973"/>
      <c r="M589" s="1844"/>
      <c r="N589" s="1844"/>
      <c r="O589" s="1971"/>
      <c r="P589" s="4016"/>
      <c r="Q589" s="1977"/>
      <c r="R589" s="4013"/>
      <c r="S589" s="2994"/>
      <c r="T589" s="2994"/>
      <c r="U589" s="2006"/>
      <c r="W589" s="1844"/>
      <c r="X589" s="1844"/>
      <c r="Y589" s="1844"/>
      <c r="Z589" s="1844"/>
      <c r="AA589" s="1844"/>
      <c r="AB589" s="1844"/>
      <c r="AC589" s="1844"/>
      <c r="AD589" s="1844"/>
      <c r="AE589" s="1844"/>
    </row>
    <row r="590" spans="1:31" s="1846" customFormat="1" ht="13.5" customHeight="1">
      <c r="A590" s="1945"/>
      <c r="B590" s="1945"/>
      <c r="C590" s="1945"/>
      <c r="D590" s="1945"/>
      <c r="E590" s="1946"/>
      <c r="F590" s="1946"/>
      <c r="G590" s="1946"/>
      <c r="H590" s="1844"/>
      <c r="I590" s="1973"/>
      <c r="J590" s="1973"/>
      <c r="K590" s="1973"/>
      <c r="M590" s="1844"/>
      <c r="N590" s="1844"/>
      <c r="O590" s="1971"/>
      <c r="P590" s="4016"/>
      <c r="Q590" s="1977"/>
      <c r="R590" s="4013"/>
      <c r="S590" s="2994"/>
      <c r="T590" s="2994"/>
      <c r="U590" s="2006"/>
      <c r="W590" s="1844"/>
      <c r="X590" s="1844"/>
      <c r="Y590" s="1844"/>
      <c r="Z590" s="1844"/>
      <c r="AA590" s="1844"/>
      <c r="AB590" s="1844"/>
      <c r="AC590" s="1844"/>
      <c r="AD590" s="1844"/>
      <c r="AE590" s="1844"/>
    </row>
    <row r="591" spans="1:31" s="1846" customFormat="1" ht="13.5" customHeight="1">
      <c r="A591" s="1945"/>
      <c r="B591" s="1945"/>
      <c r="C591" s="1945"/>
      <c r="D591" s="1945"/>
      <c r="E591" s="1946"/>
      <c r="F591" s="1946"/>
      <c r="G591" s="1946"/>
      <c r="H591" s="1844"/>
      <c r="I591" s="1973"/>
      <c r="J591" s="1973"/>
      <c r="K591" s="1973"/>
      <c r="M591" s="1844"/>
      <c r="N591" s="1844"/>
      <c r="O591" s="1971"/>
      <c r="P591" s="4016"/>
      <c r="Q591" s="1977"/>
      <c r="R591" s="4013"/>
      <c r="S591" s="2994"/>
      <c r="T591" s="2994"/>
      <c r="U591" s="2006"/>
      <c r="W591" s="1844"/>
      <c r="X591" s="1844"/>
      <c r="Y591" s="1844"/>
      <c r="Z591" s="1844"/>
      <c r="AA591" s="1844"/>
      <c r="AB591" s="1844"/>
      <c r="AC591" s="1844"/>
      <c r="AD591" s="1844"/>
      <c r="AE591" s="1844"/>
    </row>
    <row r="592" spans="1:31" s="1846" customFormat="1" ht="13.5" customHeight="1">
      <c r="A592" s="1945"/>
      <c r="B592" s="1945"/>
      <c r="C592" s="1945"/>
      <c r="D592" s="1945"/>
      <c r="E592" s="1946"/>
      <c r="F592" s="1946"/>
      <c r="G592" s="1946"/>
      <c r="H592" s="1844"/>
      <c r="I592" s="1978"/>
      <c r="J592" s="1978"/>
      <c r="K592" s="1978"/>
      <c r="M592" s="1844"/>
      <c r="N592" s="1844"/>
      <c r="O592" s="1971"/>
      <c r="P592" s="4017"/>
      <c r="Q592" s="1980"/>
      <c r="R592" s="4013"/>
      <c r="S592" s="2994"/>
      <c r="T592" s="2994"/>
      <c r="U592" s="2006"/>
      <c r="W592" s="1844"/>
      <c r="X592" s="1844"/>
      <c r="Y592" s="1844"/>
      <c r="Z592" s="1844"/>
      <c r="AA592" s="1844"/>
      <c r="AB592" s="1844"/>
      <c r="AC592" s="1844"/>
      <c r="AD592" s="1844"/>
      <c r="AE592" s="1844"/>
    </row>
    <row r="593" spans="1:31" s="1846" customFormat="1" ht="13.5" customHeight="1">
      <c r="A593" s="257"/>
      <c r="B593" s="257"/>
      <c r="C593" s="257"/>
      <c r="D593" s="257"/>
      <c r="E593" s="1947"/>
      <c r="F593" s="257"/>
      <c r="G593" s="257"/>
      <c r="H593" s="1844"/>
      <c r="I593" s="257"/>
      <c r="J593" s="257"/>
      <c r="K593" s="257"/>
      <c r="M593" s="1844"/>
      <c r="N593" s="1844"/>
      <c r="O593" s="1971"/>
      <c r="P593" s="4018" t="s">
        <v>1214</v>
      </c>
      <c r="Q593" s="1977"/>
      <c r="R593" s="4013"/>
      <c r="S593" s="2994"/>
      <c r="T593" s="2994"/>
      <c r="U593" s="2006"/>
      <c r="W593" s="1844"/>
      <c r="X593" s="1844"/>
      <c r="Y593" s="1844"/>
      <c r="Z593" s="1844"/>
      <c r="AA593" s="1844"/>
      <c r="AB593" s="1844"/>
      <c r="AC593" s="1844"/>
      <c r="AD593" s="1844"/>
      <c r="AE593" s="1844"/>
    </row>
    <row r="594" spans="1:31" s="1846" customFormat="1" ht="15.05">
      <c r="A594" s="1843"/>
      <c r="B594" s="1843"/>
      <c r="C594" s="1844"/>
      <c r="D594" s="1844"/>
      <c r="E594" s="1844"/>
      <c r="F594" s="1845"/>
      <c r="G594" s="1845"/>
      <c r="H594" s="1844"/>
      <c r="I594" s="1844"/>
      <c r="J594" s="1844"/>
      <c r="K594" s="1844"/>
      <c r="L594" s="1844"/>
      <c r="M594" s="1844"/>
      <c r="N594" s="1844"/>
      <c r="O594" s="1844"/>
      <c r="P594" s="4019" t="s">
        <v>1215</v>
      </c>
      <c r="Q594" s="1977"/>
      <c r="R594" s="4014"/>
      <c r="S594" s="2883"/>
      <c r="T594" s="2883"/>
      <c r="U594" s="1844"/>
      <c r="W594" s="1844"/>
      <c r="X594" s="1844"/>
      <c r="Y594" s="1844"/>
      <c r="Z594" s="1844"/>
      <c r="AA594" s="1844"/>
      <c r="AB594" s="1844"/>
      <c r="AC594" s="1844"/>
      <c r="AD594" s="1844"/>
      <c r="AE594" s="1844"/>
    </row>
    <row r="595" spans="1:31">
      <c r="R595" s="4014"/>
    </row>
    <row r="596" spans="1:31">
      <c r="R596" s="4014"/>
    </row>
    <row r="604" spans="1:31" s="1846" customFormat="1">
      <c r="A604" s="1843"/>
      <c r="B604" s="1843"/>
      <c r="C604" s="1844"/>
      <c r="D604" s="1844"/>
      <c r="E604" s="1844"/>
      <c r="F604" s="1845"/>
      <c r="G604" s="1845"/>
      <c r="H604" s="1844"/>
      <c r="I604" s="1844"/>
      <c r="J604" s="1844"/>
      <c r="K604" s="1844"/>
      <c r="L604" s="1982" t="s">
        <v>665</v>
      </c>
      <c r="M604" s="1982"/>
      <c r="N604" s="1982" t="s">
        <v>666</v>
      </c>
      <c r="O604" s="1844"/>
      <c r="P604" s="1844"/>
      <c r="Q604" s="1844"/>
      <c r="R604" s="3649"/>
      <c r="S604" s="2883"/>
      <c r="T604" s="2883"/>
      <c r="U604" s="1844"/>
      <c r="W604" s="1844"/>
      <c r="X604" s="1844"/>
      <c r="Y604" s="1844"/>
      <c r="Z604" s="1844"/>
      <c r="AA604" s="1844"/>
      <c r="AB604" s="1844"/>
      <c r="AC604" s="1844"/>
      <c r="AD604" s="1844"/>
      <c r="AE604" s="1844"/>
    </row>
    <row r="605" spans="1:31" s="1846" customFormat="1" ht="17.25" customHeight="1">
      <c r="A605" s="1948"/>
      <c r="B605" s="1948"/>
      <c r="C605" s="1949"/>
      <c r="D605" s="1949"/>
      <c r="E605" s="1949"/>
      <c r="F605" s="1950"/>
      <c r="G605" s="1950"/>
      <c r="H605" s="5800" t="s">
        <v>667</v>
      </c>
      <c r="I605" s="5801"/>
      <c r="J605" s="1983"/>
      <c r="K605" s="1983"/>
      <c r="L605" s="1984">
        <f>SUM(L606:L631)</f>
        <v>199095000</v>
      </c>
      <c r="M605" s="1985">
        <f>SUM(M606:M631)</f>
        <v>20635628.990000002</v>
      </c>
      <c r="N605" s="1985">
        <f>SUM(N606:N631)</f>
        <v>500000</v>
      </c>
      <c r="O605" s="1985">
        <f>N605+M605</f>
        <v>21135628.990000002</v>
      </c>
      <c r="P605" s="1985">
        <f>SUM(P606:P631)</f>
        <v>1707586400</v>
      </c>
      <c r="Q605" s="1985"/>
      <c r="R605" s="3650">
        <f>O605/L605*100</f>
        <v>10.615851221778549</v>
      </c>
      <c r="S605" s="3734"/>
      <c r="T605" s="3734"/>
      <c r="U605" s="2007"/>
      <c r="W605" s="1844"/>
      <c r="X605" s="1844"/>
      <c r="Y605" s="1844"/>
      <c r="Z605" s="1844"/>
      <c r="AA605" s="1844"/>
      <c r="AB605" s="1844"/>
      <c r="AC605" s="1844"/>
      <c r="AD605" s="1844"/>
      <c r="AE605" s="1844"/>
    </row>
    <row r="606" spans="1:31" s="1846" customFormat="1">
      <c r="A606" s="1951"/>
      <c r="B606" s="1951"/>
      <c r="C606" s="1952"/>
      <c r="D606" s="1952"/>
      <c r="E606" s="1952"/>
      <c r="F606" s="1953" t="s">
        <v>50</v>
      </c>
      <c r="G606" s="1953"/>
      <c r="H606" s="1954" t="s">
        <v>668</v>
      </c>
      <c r="I606" s="1986"/>
      <c r="J606" s="1987"/>
      <c r="K606" s="1987"/>
      <c r="L606" s="1988">
        <f>L465</f>
        <v>57136000</v>
      </c>
      <c r="M606" s="1988">
        <f>M465</f>
        <v>0</v>
      </c>
      <c r="N606" s="1988">
        <f>N465</f>
        <v>0</v>
      </c>
      <c r="O606" s="1988">
        <f>O465</f>
        <v>0</v>
      </c>
      <c r="P606" s="1988">
        <f>P465</f>
        <v>57136000</v>
      </c>
      <c r="Q606" s="1988"/>
      <c r="R606" s="3651">
        <f>R465</f>
        <v>0</v>
      </c>
      <c r="S606" s="2996"/>
      <c r="T606" s="2996"/>
      <c r="U606" s="1952"/>
      <c r="W606" s="1844"/>
      <c r="X606" s="1844"/>
      <c r="Y606" s="1844"/>
      <c r="Z606" s="1844"/>
      <c r="AA606" s="1844"/>
      <c r="AB606" s="1844"/>
      <c r="AC606" s="1844"/>
      <c r="AD606" s="1844"/>
      <c r="AE606" s="1844"/>
    </row>
    <row r="607" spans="1:31" s="1846" customFormat="1">
      <c r="A607" s="1951"/>
      <c r="B607" s="1951"/>
      <c r="C607" s="1952"/>
      <c r="D607" s="1952"/>
      <c r="E607" s="1952"/>
      <c r="F607" s="1953" t="s">
        <v>50</v>
      </c>
      <c r="G607" s="1953"/>
      <c r="H607" s="1955" t="s">
        <v>669</v>
      </c>
      <c r="I607" s="1989"/>
      <c r="J607" s="1989"/>
      <c r="K607" s="1989"/>
      <c r="L607" s="1988">
        <f>L470</f>
        <v>63698000</v>
      </c>
      <c r="M607" s="1988">
        <f>M470</f>
        <v>4835000</v>
      </c>
      <c r="N607" s="1988">
        <f>N470</f>
        <v>0</v>
      </c>
      <c r="O607" s="1988">
        <f>O470</f>
        <v>4835000</v>
      </c>
      <c r="P607" s="1988">
        <f>P470</f>
        <v>63698000</v>
      </c>
      <c r="Q607" s="1988"/>
      <c r="R607" s="3651">
        <f>R470</f>
        <v>0</v>
      </c>
      <c r="S607" s="2996"/>
      <c r="T607" s="2996"/>
      <c r="U607" s="1988">
        <f>U470</f>
        <v>0</v>
      </c>
      <c r="W607" s="1844"/>
      <c r="X607" s="1844"/>
      <c r="Y607" s="1844"/>
      <c r="Z607" s="1844"/>
      <c r="AA607" s="1844"/>
      <c r="AB607" s="1844"/>
      <c r="AC607" s="1844"/>
      <c r="AD607" s="1844"/>
      <c r="AE607" s="1844"/>
    </row>
    <row r="608" spans="1:31" s="1846" customFormat="1">
      <c r="A608" s="1951"/>
      <c r="B608" s="1951"/>
      <c r="C608" s="1952"/>
      <c r="D608" s="1952"/>
      <c r="E608" s="1952"/>
      <c r="F608" s="1953" t="s">
        <v>50</v>
      </c>
      <c r="G608" s="1953"/>
      <c r="H608" s="1955" t="s">
        <v>670</v>
      </c>
      <c r="I608" s="1989"/>
      <c r="J608" s="1989"/>
      <c r="K608" s="1989"/>
      <c r="L608" s="1988">
        <f t="shared" ref="L608:R608" si="98">L519</f>
        <v>0</v>
      </c>
      <c r="M608" s="1988">
        <f t="shared" si="98"/>
        <v>0</v>
      </c>
      <c r="N608" s="1988">
        <f t="shared" si="98"/>
        <v>0</v>
      </c>
      <c r="O608" s="1988">
        <f t="shared" si="98"/>
        <v>0</v>
      </c>
      <c r="P608" s="1988">
        <f t="shared" si="98"/>
        <v>0</v>
      </c>
      <c r="Q608" s="1988"/>
      <c r="R608" s="3651">
        <f t="shared" si="98"/>
        <v>0</v>
      </c>
      <c r="S608" s="2996"/>
      <c r="T608" s="2996"/>
      <c r="U608" s="1952"/>
      <c r="W608" s="1844"/>
      <c r="X608" s="1844"/>
      <c r="Y608" s="1844"/>
      <c r="Z608" s="1844"/>
      <c r="AA608" s="1844"/>
      <c r="AB608" s="1844"/>
      <c r="AC608" s="1844"/>
      <c r="AD608" s="1844"/>
      <c r="AE608" s="1844"/>
    </row>
    <row r="609" spans="1:31" s="1846" customFormat="1">
      <c r="A609" s="1951"/>
      <c r="B609" s="1951"/>
      <c r="C609" s="1952"/>
      <c r="D609" s="1952"/>
      <c r="E609" s="1952"/>
      <c r="F609" s="1953" t="s">
        <v>50</v>
      </c>
      <c r="G609" s="1953"/>
      <c r="H609" s="1955" t="s">
        <v>279</v>
      </c>
      <c r="I609" s="1989"/>
      <c r="J609" s="1989"/>
      <c r="K609" s="1989"/>
      <c r="L609" s="1988">
        <f>L500</f>
        <v>25741600</v>
      </c>
      <c r="M609" s="1988">
        <f t="shared" ref="M609:R609" si="99">M500</f>
        <v>0</v>
      </c>
      <c r="N609" s="1988">
        <f t="shared" si="99"/>
        <v>0</v>
      </c>
      <c r="O609" s="1988">
        <f t="shared" si="99"/>
        <v>0</v>
      </c>
      <c r="P609" s="1988">
        <f t="shared" si="99"/>
        <v>25741600</v>
      </c>
      <c r="Q609" s="1988"/>
      <c r="R609" s="3651">
        <f t="shared" si="99"/>
        <v>0</v>
      </c>
      <c r="S609" s="2996"/>
      <c r="T609" s="2996"/>
      <c r="U609" s="1952"/>
      <c r="W609" s="1844"/>
      <c r="X609" s="1844"/>
      <c r="Y609" s="1844"/>
      <c r="Z609" s="1844"/>
      <c r="AA609" s="1844"/>
      <c r="AB609" s="1844"/>
      <c r="AC609" s="1844"/>
      <c r="AD609" s="1844"/>
      <c r="AE609" s="1844"/>
    </row>
    <row r="610" spans="1:31" s="1846" customFormat="1" ht="15.05">
      <c r="A610" s="1951"/>
      <c r="B610" s="1951"/>
      <c r="C610" s="1952"/>
      <c r="D610" s="1952"/>
      <c r="E610" s="1952"/>
      <c r="F610" s="1953" t="s">
        <v>50</v>
      </c>
      <c r="G610" s="1953"/>
      <c r="H610" s="1956" t="s">
        <v>671</v>
      </c>
      <c r="I610" s="1989"/>
      <c r="J610" s="1990"/>
      <c r="K610" s="1990"/>
      <c r="L610" s="1991">
        <f>L546</f>
        <v>0</v>
      </c>
      <c r="M610" s="1992">
        <f>M546</f>
        <v>0</v>
      </c>
      <c r="N610" s="1992">
        <f>N546</f>
        <v>0</v>
      </c>
      <c r="O610" s="1993">
        <f>O546</f>
        <v>0</v>
      </c>
      <c r="P610" s="1988">
        <f>O610-L610</f>
        <v>0</v>
      </c>
      <c r="Q610" s="2008"/>
      <c r="R610" s="3652" t="e">
        <f>#REF!</f>
        <v>#REF!</v>
      </c>
      <c r="S610" s="2997"/>
      <c r="T610" s="2997"/>
      <c r="U610" s="2009"/>
      <c r="W610" s="1844"/>
      <c r="X610" s="1844"/>
      <c r="Y610" s="1844"/>
      <c r="Z610" s="1844"/>
      <c r="AA610" s="1844"/>
      <c r="AB610" s="1844"/>
      <c r="AC610" s="1844"/>
      <c r="AD610" s="1844"/>
      <c r="AE610" s="1844"/>
    </row>
    <row r="611" spans="1:31" s="1846" customFormat="1" ht="15.05">
      <c r="A611" s="1951"/>
      <c r="B611" s="1951"/>
      <c r="C611" s="1952"/>
      <c r="D611" s="1952"/>
      <c r="E611" s="1952"/>
      <c r="F611" s="1953" t="s">
        <v>50</v>
      </c>
      <c r="G611" s="1953"/>
      <c r="H611" s="1957" t="s">
        <v>287</v>
      </c>
      <c r="I611" s="1989"/>
      <c r="J611" s="1994"/>
      <c r="K611" s="1994"/>
      <c r="L611" s="1995">
        <f>L444</f>
        <v>0</v>
      </c>
      <c r="M611" s="1996">
        <f>M444</f>
        <v>0</v>
      </c>
      <c r="N611" s="1996">
        <f>N444</f>
        <v>0</v>
      </c>
      <c r="O611" s="1996">
        <f>O444</f>
        <v>0</v>
      </c>
      <c r="P611" s="1996">
        <f>P444</f>
        <v>0</v>
      </c>
      <c r="Q611" s="1996"/>
      <c r="R611" s="3653">
        <f>R444</f>
        <v>0</v>
      </c>
      <c r="S611" s="2998"/>
      <c r="T611" s="2998"/>
      <c r="U611" s="2009" t="e">
        <f>#REF!</f>
        <v>#REF!</v>
      </c>
      <c r="W611" s="1844"/>
      <c r="X611" s="1844"/>
      <c r="Y611" s="1844"/>
      <c r="Z611" s="1844"/>
      <c r="AA611" s="1844"/>
      <c r="AB611" s="1844"/>
      <c r="AC611" s="1844"/>
      <c r="AD611" s="1844"/>
      <c r="AE611" s="1844"/>
    </row>
    <row r="612" spans="1:31" s="1846" customFormat="1" ht="15.05">
      <c r="A612" s="1951"/>
      <c r="B612" s="1951"/>
      <c r="C612" s="1952"/>
      <c r="D612" s="1952"/>
      <c r="E612" s="1952"/>
      <c r="F612" s="1953" t="s">
        <v>50</v>
      </c>
      <c r="G612" s="1953"/>
      <c r="H612" s="1957" t="s">
        <v>672</v>
      </c>
      <c r="I612" s="1989"/>
      <c r="J612" s="1994"/>
      <c r="K612" s="1994"/>
      <c r="L612" s="1995">
        <f t="shared" ref="L612:R612" si="100">L566</f>
        <v>0</v>
      </c>
      <c r="M612" s="1996">
        <f t="shared" si="100"/>
        <v>0</v>
      </c>
      <c r="N612" s="1996">
        <f t="shared" si="100"/>
        <v>0</v>
      </c>
      <c r="O612" s="1996">
        <f t="shared" si="100"/>
        <v>0</v>
      </c>
      <c r="P612" s="1996">
        <f t="shared" si="100"/>
        <v>0</v>
      </c>
      <c r="Q612" s="1996"/>
      <c r="R612" s="3653">
        <f t="shared" si="100"/>
        <v>0</v>
      </c>
      <c r="S612" s="2998"/>
      <c r="T612" s="2998"/>
      <c r="U612" s="2009" t="e">
        <f>#REF!</f>
        <v>#REF!</v>
      </c>
      <c r="W612" s="1844"/>
      <c r="X612" s="1844"/>
      <c r="Y612" s="1844"/>
      <c r="Z612" s="1844"/>
      <c r="AA612" s="1844"/>
      <c r="AB612" s="1844"/>
      <c r="AC612" s="1844"/>
      <c r="AD612" s="1844"/>
      <c r="AE612" s="1844"/>
    </row>
    <row r="613" spans="1:31" s="1846" customFormat="1" ht="15.05">
      <c r="A613" s="1951"/>
      <c r="B613" s="1951"/>
      <c r="C613" s="1952"/>
      <c r="D613" s="1952"/>
      <c r="E613" s="1952"/>
      <c r="F613" s="1953" t="s">
        <v>50</v>
      </c>
      <c r="G613" s="1953"/>
      <c r="H613" s="1957" t="s">
        <v>673</v>
      </c>
      <c r="I613" s="1989"/>
      <c r="J613" s="1994"/>
      <c r="K613" s="1994"/>
      <c r="L613" s="1995">
        <f>L446</f>
        <v>0</v>
      </c>
      <c r="M613" s="1996">
        <f>M446</f>
        <v>0</v>
      </c>
      <c r="N613" s="1996">
        <f>N446</f>
        <v>0</v>
      </c>
      <c r="O613" s="1996">
        <f>O446</f>
        <v>0</v>
      </c>
      <c r="P613" s="1996">
        <f>P446</f>
        <v>0</v>
      </c>
      <c r="Q613" s="1996"/>
      <c r="R613" s="3653" t="e">
        <f>R446</f>
        <v>#DIV/0!</v>
      </c>
      <c r="S613" s="2998"/>
      <c r="T613" s="2998"/>
      <c r="U613" s="2009" t="e">
        <f>#REF!</f>
        <v>#REF!</v>
      </c>
      <c r="W613" s="1844"/>
      <c r="X613" s="1844"/>
      <c r="Y613" s="1844"/>
      <c r="Z613" s="1844"/>
      <c r="AA613" s="1844"/>
      <c r="AB613" s="1844"/>
      <c r="AC613" s="1844"/>
      <c r="AD613" s="1844"/>
      <c r="AE613" s="1844"/>
    </row>
    <row r="614" spans="1:31" s="1846" customFormat="1" ht="15.05">
      <c r="A614" s="1951"/>
      <c r="B614" s="1951"/>
      <c r="C614" s="1952"/>
      <c r="D614" s="1952"/>
      <c r="E614" s="1952"/>
      <c r="F614" s="1953"/>
      <c r="G614" s="1953"/>
      <c r="H614" s="1957" t="s">
        <v>571</v>
      </c>
      <c r="I614" s="1989"/>
      <c r="J614" s="1994"/>
      <c r="K614" s="1994"/>
      <c r="L614" s="1995">
        <f t="shared" ref="L614:R614" si="101">L549</f>
        <v>0</v>
      </c>
      <c r="M614" s="1996">
        <f t="shared" si="101"/>
        <v>14027628.99</v>
      </c>
      <c r="N614" s="1996">
        <f t="shared" si="101"/>
        <v>500000</v>
      </c>
      <c r="O614" s="1997">
        <f t="shared" si="101"/>
        <v>14527628.99</v>
      </c>
      <c r="P614" s="1996">
        <f t="shared" si="101"/>
        <v>0</v>
      </c>
      <c r="Q614" s="1996"/>
      <c r="R614" s="3653">
        <f t="shared" si="101"/>
        <v>0</v>
      </c>
      <c r="S614" s="2998"/>
      <c r="T614" s="2998"/>
      <c r="U614" s="2009" t="e">
        <f>#REF!</f>
        <v>#REF!</v>
      </c>
      <c r="W614" s="1844"/>
      <c r="X614" s="1844"/>
      <c r="Y614" s="1844"/>
      <c r="Z614" s="1844"/>
      <c r="AA614" s="1844"/>
      <c r="AB614" s="1844"/>
      <c r="AC614" s="1844"/>
      <c r="AD614" s="1844"/>
      <c r="AE614" s="1844"/>
    </row>
    <row r="615" spans="1:31" ht="15.05">
      <c r="A615" s="1951"/>
      <c r="B615" s="1951"/>
      <c r="C615" s="1952"/>
      <c r="D615" s="1952"/>
      <c r="E615" s="1952"/>
      <c r="F615" s="1953"/>
      <c r="G615" s="1953"/>
      <c r="H615" s="1957" t="s">
        <v>674</v>
      </c>
      <c r="I615" s="1989"/>
      <c r="J615" s="1994"/>
      <c r="K615" s="1994"/>
      <c r="L615" s="1995">
        <f t="shared" ref="L615:R615" si="102">L553</f>
        <v>0</v>
      </c>
      <c r="M615" s="1996">
        <f t="shared" si="102"/>
        <v>0</v>
      </c>
      <c r="N615" s="1996">
        <f t="shared" si="102"/>
        <v>0</v>
      </c>
      <c r="O615" s="1996">
        <f t="shared" si="102"/>
        <v>0</v>
      </c>
      <c r="P615" s="1996">
        <f t="shared" si="102"/>
        <v>0</v>
      </c>
      <c r="Q615" s="1996"/>
      <c r="R615" s="3653">
        <f t="shared" si="102"/>
        <v>0</v>
      </c>
      <c r="S615" s="2998"/>
      <c r="T615" s="2998"/>
      <c r="U615" s="2009" t="e">
        <f>#REF!</f>
        <v>#REF!</v>
      </c>
    </row>
    <row r="616" spans="1:31">
      <c r="A616" s="1951"/>
      <c r="B616" s="1951"/>
      <c r="C616" s="1952"/>
      <c r="D616" s="1952"/>
      <c r="E616" s="1952"/>
      <c r="F616" s="1953"/>
      <c r="G616" s="1953"/>
      <c r="H616" s="1958" t="s">
        <v>675</v>
      </c>
      <c r="I616" s="1998"/>
      <c r="J616" s="1999"/>
      <c r="K616" s="1999"/>
      <c r="L616" s="1958">
        <f>L458</f>
        <v>0</v>
      </c>
      <c r="M616" s="1958">
        <f>M458</f>
        <v>0</v>
      </c>
      <c r="N616" s="1958">
        <f>N458</f>
        <v>0</v>
      </c>
      <c r="O616" s="2000">
        <f>O458</f>
        <v>0</v>
      </c>
      <c r="P616" s="1958">
        <f>P458</f>
        <v>0</v>
      </c>
      <c r="Q616" s="1958"/>
      <c r="R616" s="3652" t="e">
        <f>#REF!</f>
        <v>#REF!</v>
      </c>
      <c r="S616" s="2997"/>
      <c r="T616" s="2997"/>
      <c r="U616" s="2009" t="e">
        <f>#REF!</f>
        <v>#REF!</v>
      </c>
    </row>
    <row r="617" spans="1:31" ht="15.05">
      <c r="A617" s="1951"/>
      <c r="B617" s="1951"/>
      <c r="C617" s="1952"/>
      <c r="D617" s="1952"/>
      <c r="E617" s="1952"/>
      <c r="F617" s="1953"/>
      <c r="G617" s="1953"/>
      <c r="H617" s="1959" t="s">
        <v>271</v>
      </c>
      <c r="I617" s="1990"/>
      <c r="J617" s="1994"/>
      <c r="K617" s="1994"/>
      <c r="L617" s="1995">
        <f>L461</f>
        <v>51419400</v>
      </c>
      <c r="M617" s="1995">
        <f>M461</f>
        <v>0</v>
      </c>
      <c r="N617" s="1995">
        <f>N461</f>
        <v>0</v>
      </c>
      <c r="O617" s="1995">
        <f>O461</f>
        <v>0</v>
      </c>
      <c r="P617" s="1995">
        <f>P461</f>
        <v>51419400</v>
      </c>
      <c r="Q617" s="1995"/>
      <c r="R617" s="3654">
        <f>R461</f>
        <v>0</v>
      </c>
      <c r="S617" s="2999"/>
      <c r="T617" s="2999"/>
      <c r="U617" s="2009" t="e">
        <f>#REF!</f>
        <v>#REF!</v>
      </c>
    </row>
    <row r="618" spans="1:31" ht="15.05">
      <c r="A618" s="1951"/>
      <c r="B618" s="1951"/>
      <c r="C618" s="1952"/>
      <c r="D618" s="1952"/>
      <c r="E618" s="1952"/>
      <c r="F618" s="1953"/>
      <c r="G618" s="1953"/>
      <c r="H618" s="1960" t="s">
        <v>676</v>
      </c>
      <c r="I618" s="1989"/>
      <c r="J618" s="1989"/>
      <c r="K618" s="1989"/>
      <c r="L618" s="1988">
        <f t="shared" ref="L618:R618" si="103">L539</f>
        <v>0</v>
      </c>
      <c r="M618" s="1988">
        <f t="shared" si="103"/>
        <v>0</v>
      </c>
      <c r="N618" s="1988">
        <f t="shared" si="103"/>
        <v>0</v>
      </c>
      <c r="O618" s="2001">
        <f t="shared" si="103"/>
        <v>0</v>
      </c>
      <c r="P618" s="1988">
        <f t="shared" si="103"/>
        <v>0</v>
      </c>
      <c r="Q618" s="1988"/>
      <c r="R618" s="3651">
        <f t="shared" si="103"/>
        <v>0</v>
      </c>
      <c r="S618" s="2996"/>
      <c r="T618" s="2996"/>
      <c r="U618" s="2009" t="e">
        <f>#REF!</f>
        <v>#REF!</v>
      </c>
    </row>
    <row r="619" spans="1:31" ht="15.05">
      <c r="A619" s="1951"/>
      <c r="B619" s="1951"/>
      <c r="C619" s="1952"/>
      <c r="D619" s="1952"/>
      <c r="E619" s="1952"/>
      <c r="F619" s="1953"/>
      <c r="G619" s="1953"/>
      <c r="H619" s="1960" t="s">
        <v>280</v>
      </c>
      <c r="I619" s="1989"/>
      <c r="J619" s="1989"/>
      <c r="K619" s="1989"/>
      <c r="L619" s="1988">
        <f t="shared" ref="L619:R619" si="104">L538</f>
        <v>1100000</v>
      </c>
      <c r="M619" s="1988">
        <f t="shared" si="104"/>
        <v>0</v>
      </c>
      <c r="N619" s="1988">
        <f t="shared" si="104"/>
        <v>0</v>
      </c>
      <c r="O619" s="1988">
        <f t="shared" si="104"/>
        <v>0</v>
      </c>
      <c r="P619" s="1988">
        <f t="shared" si="104"/>
        <v>1100000</v>
      </c>
      <c r="Q619" s="1988"/>
      <c r="R619" s="3651">
        <f t="shared" si="104"/>
        <v>0</v>
      </c>
      <c r="S619" s="2996"/>
      <c r="T619" s="2996"/>
      <c r="U619" s="2009" t="e">
        <f>#REF!</f>
        <v>#REF!</v>
      </c>
    </row>
    <row r="620" spans="1:31">
      <c r="A620" s="1951"/>
      <c r="B620" s="1951"/>
      <c r="C620" s="1952"/>
      <c r="D620" s="1952"/>
      <c r="E620" s="1952"/>
      <c r="F620" s="1953"/>
      <c r="G620" s="1953"/>
      <c r="H620" s="1958" t="s">
        <v>595</v>
      </c>
      <c r="I620" s="1998"/>
      <c r="J620" s="1999"/>
      <c r="K620" s="1999"/>
      <c r="L620" s="1958">
        <f>L559</f>
        <v>0</v>
      </c>
      <c r="M620" s="1958">
        <f t="shared" ref="M620:U620" si="105">M559</f>
        <v>0</v>
      </c>
      <c r="N620" s="1958">
        <f t="shared" si="105"/>
        <v>0</v>
      </c>
      <c r="O620" s="1958">
        <f t="shared" si="105"/>
        <v>0</v>
      </c>
      <c r="P620" s="1958">
        <f t="shared" si="105"/>
        <v>0</v>
      </c>
      <c r="Q620" s="1958"/>
      <c r="R620" s="3652">
        <f t="shared" si="105"/>
        <v>0</v>
      </c>
      <c r="S620" s="2997"/>
      <c r="T620" s="2997"/>
      <c r="U620" s="2009">
        <f t="shared" si="105"/>
        <v>0</v>
      </c>
    </row>
    <row r="621" spans="1:31">
      <c r="A621" s="1951"/>
      <c r="B621" s="1951"/>
      <c r="C621" s="1952"/>
      <c r="D621" s="1952"/>
      <c r="E621" s="1952"/>
      <c r="F621" s="1953"/>
      <c r="G621" s="1953"/>
      <c r="H621" s="1958" t="s">
        <v>677</v>
      </c>
      <c r="I621" s="1998"/>
      <c r="J621" s="1999"/>
      <c r="K621" s="1999"/>
      <c r="L621" s="1958">
        <f>L449</f>
        <v>0</v>
      </c>
      <c r="M621" s="1958">
        <f>M449</f>
        <v>0</v>
      </c>
      <c r="N621" s="1958">
        <f>N449</f>
        <v>0</v>
      </c>
      <c r="O621" s="1958">
        <f>O449</f>
        <v>0</v>
      </c>
      <c r="P621" s="1958">
        <f>P449</f>
        <v>0</v>
      </c>
      <c r="Q621" s="1958"/>
      <c r="R621" s="3652" t="e">
        <f>R449</f>
        <v>#DIV/0!</v>
      </c>
      <c r="S621" s="2997"/>
      <c r="T621" s="2997"/>
      <c r="U621" s="2009" t="e">
        <f>#REF!</f>
        <v>#REF!</v>
      </c>
    </row>
    <row r="622" spans="1:31" ht="15.05">
      <c r="A622" s="1951"/>
      <c r="B622" s="1951"/>
      <c r="C622" s="1952"/>
      <c r="D622" s="1952"/>
      <c r="E622" s="1952"/>
      <c r="F622" s="1953"/>
      <c r="G622" s="1953"/>
      <c r="H622" s="2010" t="str">
        <f>F454</f>
        <v>BADAN PENANAMAN MODAL TERPADU</v>
      </c>
      <c r="I622" s="2040"/>
      <c r="J622" s="2041"/>
      <c r="K622" s="2041"/>
      <c r="L622" s="2042">
        <f>L454</f>
        <v>0</v>
      </c>
      <c r="M622" s="2042">
        <f>M454</f>
        <v>0</v>
      </c>
      <c r="N622" s="2042">
        <f>N454</f>
        <v>0</v>
      </c>
      <c r="O622" s="2042">
        <f>O454</f>
        <v>0</v>
      </c>
      <c r="P622" s="2042">
        <f>P454</f>
        <v>0</v>
      </c>
      <c r="Q622" s="2042"/>
      <c r="R622" s="3655" t="e">
        <f>R454</f>
        <v>#DIV/0!</v>
      </c>
      <c r="S622" s="3000"/>
      <c r="T622" s="3000"/>
      <c r="U622" s="2042">
        <f>U454</f>
        <v>0</v>
      </c>
    </row>
    <row r="623" spans="1:31" s="1841" customFormat="1">
      <c r="A623" s="1951"/>
      <c r="B623" s="1951"/>
      <c r="C623" s="1952"/>
      <c r="D623" s="1952"/>
      <c r="E623" s="1952"/>
      <c r="F623" s="2011"/>
      <c r="G623" s="2011"/>
      <c r="H623" s="2012" t="s">
        <v>678</v>
      </c>
      <c r="I623" s="2043"/>
      <c r="J623" s="2044"/>
      <c r="K623" s="2044"/>
      <c r="L623" s="2045">
        <f>L557</f>
        <v>0</v>
      </c>
      <c r="M623" s="2045">
        <f t="shared" ref="M623:R623" si="106">M557</f>
        <v>0</v>
      </c>
      <c r="N623" s="2045">
        <f t="shared" si="106"/>
        <v>0</v>
      </c>
      <c r="O623" s="2046">
        <f t="shared" si="106"/>
        <v>0</v>
      </c>
      <c r="P623" s="2045">
        <f t="shared" si="106"/>
        <v>0</v>
      </c>
      <c r="Q623" s="2045"/>
      <c r="R623" s="3656">
        <f t="shared" si="106"/>
        <v>0</v>
      </c>
      <c r="S623" s="3001"/>
      <c r="T623" s="3001"/>
      <c r="U623" s="2066" t="e">
        <f>#REF!</f>
        <v>#REF!</v>
      </c>
      <c r="V623" s="2067"/>
    </row>
    <row r="624" spans="1:31" ht="15.65">
      <c r="A624" s="1951"/>
      <c r="B624" s="1951"/>
      <c r="C624" s="1952"/>
      <c r="D624" s="1952"/>
      <c r="E624" s="1952"/>
      <c r="F624" s="1953"/>
      <c r="G624" s="1953"/>
      <c r="H624" s="2013" t="s">
        <v>679</v>
      </c>
      <c r="I624" s="1998"/>
      <c r="J624" s="1999"/>
      <c r="K624" s="1999"/>
      <c r="L624" s="1958">
        <f>L526</f>
        <v>0</v>
      </c>
      <c r="M624" s="1958">
        <f t="shared" ref="M624:U624" si="107">M526</f>
        <v>0</v>
      </c>
      <c r="N624" s="1958">
        <f t="shared" si="107"/>
        <v>0</v>
      </c>
      <c r="O624" s="1958">
        <f t="shared" si="107"/>
        <v>0</v>
      </c>
      <c r="P624" s="1958">
        <f t="shared" si="107"/>
        <v>0</v>
      </c>
      <c r="Q624" s="1958"/>
      <c r="R624" s="3652">
        <f t="shared" si="107"/>
        <v>0</v>
      </c>
      <c r="S624" s="2997"/>
      <c r="T624" s="2997"/>
      <c r="U624" s="2009">
        <f t="shared" si="107"/>
        <v>0</v>
      </c>
    </row>
    <row r="625" spans="1:31" ht="15.05">
      <c r="A625" s="1951"/>
      <c r="B625" s="1951"/>
      <c r="C625" s="1952"/>
      <c r="D625" s="1952"/>
      <c r="E625" s="1952"/>
      <c r="F625" s="1953" t="s">
        <v>50</v>
      </c>
      <c r="G625" s="1953"/>
      <c r="H625" s="1960" t="s">
        <v>568</v>
      </c>
      <c r="I625" s="1989"/>
      <c r="J625" s="1989"/>
      <c r="K625" s="1989"/>
      <c r="L625" s="1988">
        <f t="shared" ref="L625:R625" si="108">L563</f>
        <v>0</v>
      </c>
      <c r="M625" s="1988">
        <f t="shared" si="108"/>
        <v>913000</v>
      </c>
      <c r="N625" s="1988">
        <f t="shared" si="108"/>
        <v>0</v>
      </c>
      <c r="O625" s="2001">
        <f t="shared" si="108"/>
        <v>913000</v>
      </c>
      <c r="P625" s="1988">
        <f t="shared" si="108"/>
        <v>0</v>
      </c>
      <c r="Q625" s="1988"/>
      <c r="R625" s="3651">
        <f t="shared" si="108"/>
        <v>0</v>
      </c>
      <c r="S625" s="2996"/>
      <c r="T625" s="2996"/>
      <c r="U625" s="2009" t="e">
        <f>#REF!</f>
        <v>#REF!</v>
      </c>
    </row>
    <row r="626" spans="1:31" ht="15.05">
      <c r="A626" s="1951"/>
      <c r="B626" s="1951"/>
      <c r="C626" s="1952"/>
      <c r="D626" s="1952"/>
      <c r="E626" s="1952"/>
      <c r="F626" s="1953"/>
      <c r="G626" s="1953"/>
      <c r="H626" s="1960" t="s">
        <v>680</v>
      </c>
      <c r="I626" s="1989"/>
      <c r="J626" s="1989"/>
      <c r="K626" s="1989"/>
      <c r="L626" s="1988">
        <f t="shared" ref="L626:R626" si="109">L515</f>
        <v>0</v>
      </c>
      <c r="M626" s="1988">
        <f t="shared" si="109"/>
        <v>720000</v>
      </c>
      <c r="N626" s="1988">
        <f t="shared" si="109"/>
        <v>0</v>
      </c>
      <c r="O626" s="1988">
        <f t="shared" si="109"/>
        <v>720000</v>
      </c>
      <c r="P626" s="1988">
        <f t="shared" si="109"/>
        <v>0</v>
      </c>
      <c r="Q626" s="1988"/>
      <c r="R626" s="3651">
        <f t="shared" si="109"/>
        <v>0</v>
      </c>
      <c r="S626" s="2996"/>
      <c r="T626" s="2996"/>
      <c r="U626" s="2009" t="e">
        <f>#REF!</f>
        <v>#REF!</v>
      </c>
    </row>
    <row r="627" spans="1:31" ht="15.05">
      <c r="A627" s="1951"/>
      <c r="B627" s="1951"/>
      <c r="C627" s="1952"/>
      <c r="D627" s="1952"/>
      <c r="E627" s="1952"/>
      <c r="F627" s="1953" t="s">
        <v>50</v>
      </c>
      <c r="G627" s="1953"/>
      <c r="H627" s="1960" t="s">
        <v>589</v>
      </c>
      <c r="I627" s="1989"/>
      <c r="J627" s="1989"/>
      <c r="K627" s="1989"/>
      <c r="L627" s="1988">
        <f t="shared" ref="L627:R627" si="110">L503</f>
        <v>0</v>
      </c>
      <c r="M627" s="1988">
        <f t="shared" si="110"/>
        <v>140000</v>
      </c>
      <c r="N627" s="1988">
        <f t="shared" si="110"/>
        <v>0</v>
      </c>
      <c r="O627" s="1988">
        <f t="shared" si="110"/>
        <v>140000</v>
      </c>
      <c r="P627" s="1988">
        <f t="shared" si="110"/>
        <v>0</v>
      </c>
      <c r="Q627" s="1988"/>
      <c r="R627" s="3651">
        <f t="shared" si="110"/>
        <v>0</v>
      </c>
      <c r="S627" s="2996"/>
      <c r="T627" s="2996"/>
      <c r="U627" s="2009" t="e">
        <f>#REF!</f>
        <v>#REF!</v>
      </c>
    </row>
    <row r="628" spans="1:31" ht="15.05">
      <c r="A628" s="1951"/>
      <c r="B628" s="1951"/>
      <c r="C628" s="1952"/>
      <c r="D628" s="1952"/>
      <c r="E628" s="1952"/>
      <c r="F628" s="1953" t="s">
        <v>50</v>
      </c>
      <c r="G628" s="1953"/>
      <c r="H628" s="1960" t="s">
        <v>681</v>
      </c>
      <c r="I628" s="1989"/>
      <c r="J628" s="1989"/>
      <c r="K628" s="1989"/>
      <c r="L628" s="1988">
        <f t="shared" ref="L628:R628" si="111">L506</f>
        <v>0</v>
      </c>
      <c r="M628" s="1988">
        <f t="shared" si="111"/>
        <v>0</v>
      </c>
      <c r="N628" s="1988">
        <f t="shared" si="111"/>
        <v>0</v>
      </c>
      <c r="O628" s="2001">
        <f t="shared" si="111"/>
        <v>0</v>
      </c>
      <c r="P628" s="1988">
        <f t="shared" si="111"/>
        <v>0</v>
      </c>
      <c r="Q628" s="1988"/>
      <c r="R628" s="3651">
        <f t="shared" si="111"/>
        <v>0</v>
      </c>
      <c r="S628" s="2996"/>
      <c r="T628" s="2996"/>
      <c r="U628" s="2009" t="e">
        <f>#REF!</f>
        <v>#REF!</v>
      </c>
    </row>
    <row r="629" spans="1:31" ht="15.05">
      <c r="A629" s="1951"/>
      <c r="B629" s="1951"/>
      <c r="C629" s="1952"/>
      <c r="D629" s="1952"/>
      <c r="E629" s="1952"/>
      <c r="F629" s="1953"/>
      <c r="G629" s="1953"/>
      <c r="H629" s="1960" t="s">
        <v>609</v>
      </c>
      <c r="I629" s="1989"/>
      <c r="J629" s="1989"/>
      <c r="K629" s="1989"/>
      <c r="L629" s="1988">
        <f t="shared" ref="L629:R629" si="112">L509</f>
        <v>0</v>
      </c>
      <c r="M629" s="1988">
        <f t="shared" si="112"/>
        <v>0</v>
      </c>
      <c r="N629" s="1988">
        <f t="shared" si="112"/>
        <v>0</v>
      </c>
      <c r="O629" s="2001">
        <f t="shared" si="112"/>
        <v>0</v>
      </c>
      <c r="P629" s="1988">
        <f t="shared" si="112"/>
        <v>0</v>
      </c>
      <c r="Q629" s="1988"/>
      <c r="R629" s="3651">
        <f t="shared" si="112"/>
        <v>0</v>
      </c>
      <c r="S629" s="2996"/>
      <c r="T629" s="2996"/>
      <c r="U629" s="2009" t="e">
        <f>#REF!</f>
        <v>#REF!</v>
      </c>
    </row>
    <row r="630" spans="1:31" ht="15.05">
      <c r="A630" s="1951"/>
      <c r="B630" s="1951"/>
      <c r="C630" s="1952"/>
      <c r="D630" s="1952"/>
      <c r="E630" s="1952"/>
      <c r="F630" s="1953" t="s">
        <v>50</v>
      </c>
      <c r="G630" s="1953"/>
      <c r="H630" s="2014" t="s">
        <v>682</v>
      </c>
      <c r="I630" s="1998"/>
      <c r="J630" s="1998"/>
      <c r="K630" s="1998"/>
      <c r="L630" s="2009"/>
      <c r="M630" s="2009">
        <f t="shared" ref="M630:U630" si="113">M497</f>
        <v>0</v>
      </c>
      <c r="N630" s="2009">
        <f t="shared" si="113"/>
        <v>0</v>
      </c>
      <c r="O630" s="2009">
        <f t="shared" si="113"/>
        <v>0</v>
      </c>
      <c r="P630" s="2009">
        <f t="shared" si="113"/>
        <v>1508491400</v>
      </c>
      <c r="Q630" s="2009"/>
      <c r="R630" s="3657">
        <f t="shared" si="113"/>
        <v>0</v>
      </c>
      <c r="S630" s="3002"/>
      <c r="T630" s="3002"/>
      <c r="U630" s="2009">
        <f t="shared" si="113"/>
        <v>0</v>
      </c>
    </row>
    <row r="631" spans="1:31" s="1846" customFormat="1" ht="12.55">
      <c r="A631" s="2015"/>
      <c r="B631" s="2015"/>
      <c r="C631" s="2016"/>
      <c r="D631" s="2016"/>
      <c r="E631" s="2016"/>
      <c r="F631" s="2017" t="s">
        <v>50</v>
      </c>
      <c r="G631" s="2017"/>
      <c r="H631" s="2018"/>
      <c r="I631" s="2047"/>
      <c r="J631" s="2047"/>
      <c r="K631" s="2047"/>
      <c r="L631" s="2048"/>
      <c r="M631" s="2048"/>
      <c r="N631" s="2048"/>
      <c r="O631" s="2048"/>
      <c r="P631" s="2048"/>
      <c r="Q631" s="2048"/>
      <c r="R631" s="3658"/>
      <c r="S631" s="3003"/>
      <c r="T631" s="3003"/>
      <c r="U631" s="2048"/>
      <c r="W631" s="1844"/>
      <c r="X631" s="1844"/>
      <c r="Y631" s="1844"/>
      <c r="Z631" s="1844"/>
      <c r="AA631" s="1844"/>
      <c r="AB631" s="1844"/>
      <c r="AC631" s="1844"/>
      <c r="AD631" s="1844"/>
      <c r="AE631" s="1844"/>
    </row>
    <row r="632" spans="1:31" s="1846" customFormat="1">
      <c r="A632" s="1843"/>
      <c r="B632" s="1843"/>
      <c r="C632" s="1844"/>
      <c r="D632" s="1844"/>
      <c r="E632" s="1844"/>
      <c r="F632" s="2019"/>
      <c r="G632" s="2019"/>
      <c r="H632" s="1843"/>
      <c r="I632" s="1844"/>
      <c r="J632" s="1844"/>
      <c r="K632" s="1844"/>
      <c r="L632" s="1844"/>
      <c r="M632" s="1844"/>
      <c r="N632" s="1844"/>
      <c r="O632" s="1844"/>
      <c r="P632" s="1844"/>
      <c r="Q632" s="1844"/>
      <c r="R632" s="3649"/>
      <c r="S632" s="2883"/>
      <c r="T632" s="2883"/>
      <c r="U632" s="1844"/>
      <c r="W632" s="1844"/>
      <c r="X632" s="1844"/>
      <c r="Y632" s="1844"/>
      <c r="Z632" s="1844"/>
      <c r="AA632" s="1844"/>
      <c r="AB632" s="1844"/>
      <c r="AC632" s="1844"/>
      <c r="AD632" s="1844"/>
      <c r="AE632" s="1844"/>
    </row>
    <row r="633" spans="1:31" s="1846" customFormat="1">
      <c r="A633" s="1843"/>
      <c r="B633" s="1843"/>
      <c r="C633" s="1844"/>
      <c r="D633" s="1844"/>
      <c r="E633" s="1844"/>
      <c r="F633" s="2019"/>
      <c r="G633" s="2019"/>
      <c r="H633" s="1843"/>
      <c r="I633" s="1844"/>
      <c r="J633" s="1844"/>
      <c r="K633" s="1844"/>
      <c r="L633" s="1982" t="s">
        <v>665</v>
      </c>
      <c r="M633" s="1982"/>
      <c r="N633" s="1982" t="s">
        <v>666</v>
      </c>
      <c r="O633" s="1844"/>
      <c r="P633" s="1844"/>
      <c r="Q633" s="1844"/>
      <c r="R633" s="3649"/>
      <c r="S633" s="2883"/>
      <c r="T633" s="2883"/>
      <c r="U633" s="1844"/>
      <c r="W633" s="1844"/>
      <c r="X633" s="1844"/>
      <c r="Y633" s="1844"/>
      <c r="Z633" s="1844"/>
      <c r="AA633" s="1844"/>
      <c r="AB633" s="1844"/>
      <c r="AC633" s="1844"/>
      <c r="AD633" s="1844"/>
      <c r="AE633" s="1844"/>
    </row>
    <row r="634" spans="1:31" s="1846" customFormat="1" ht="16.45" customHeight="1">
      <c r="A634" s="2020"/>
      <c r="B634" s="2020"/>
      <c r="C634" s="2021"/>
      <c r="D634" s="2021"/>
      <c r="E634" s="2021"/>
      <c r="F634" s="2022"/>
      <c r="G634" s="2022"/>
      <c r="H634" s="5802" t="s">
        <v>683</v>
      </c>
      <c r="I634" s="5803"/>
      <c r="J634" s="2049"/>
      <c r="K634" s="2049"/>
      <c r="L634" s="2050">
        <f>SUM(L635:L646)</f>
        <v>0</v>
      </c>
      <c r="M634" s="2050">
        <f>SUM(M635:M646)</f>
        <v>10809500</v>
      </c>
      <c r="N634" s="2050">
        <f>SUM(N635:N646)</f>
        <v>0</v>
      </c>
      <c r="O634" s="2050">
        <f>N634+M634</f>
        <v>10809500</v>
      </c>
      <c r="P634" s="2050" t="e">
        <f>P635+#REF!+P637+P639+P642+P645+P646+P643</f>
        <v>#REF!</v>
      </c>
      <c r="Q634" s="2050"/>
      <c r="R634" s="3659" t="e">
        <f>R635+#REF!+R637+R639+R642+R645+R646</f>
        <v>#REF!</v>
      </c>
      <c r="S634" s="3735"/>
      <c r="T634" s="3735"/>
      <c r="U634" s="1831"/>
      <c r="W634" s="1844"/>
      <c r="X634" s="1844"/>
      <c r="Y634" s="1844"/>
      <c r="Z634" s="1844"/>
      <c r="AA634" s="1844"/>
      <c r="AB634" s="1844"/>
      <c r="AC634" s="1844"/>
      <c r="AD634" s="1844"/>
      <c r="AE634" s="1844"/>
    </row>
    <row r="635" spans="1:31" s="1846" customFormat="1">
      <c r="A635" s="2023"/>
      <c r="B635" s="2023"/>
      <c r="C635" s="2007"/>
      <c r="D635" s="2007"/>
      <c r="E635" s="2007"/>
      <c r="F635" s="2024" t="s">
        <v>50</v>
      </c>
      <c r="G635" s="2025"/>
      <c r="H635" s="2026" t="s">
        <v>684</v>
      </c>
      <c r="I635" s="2051"/>
      <c r="J635" s="2051"/>
      <c r="K635" s="2051"/>
      <c r="L635" s="2052">
        <f>L468</f>
        <v>0</v>
      </c>
      <c r="M635" s="2052">
        <f>M468</f>
        <v>0</v>
      </c>
      <c r="N635" s="2052">
        <f>N468</f>
        <v>0</v>
      </c>
      <c r="O635" s="2052">
        <f>O468</f>
        <v>0</v>
      </c>
      <c r="P635" s="2052">
        <f>P468</f>
        <v>0</v>
      </c>
      <c r="Q635" s="2052"/>
      <c r="R635" s="3660">
        <f>R468</f>
        <v>0</v>
      </c>
      <c r="S635" s="2998"/>
      <c r="T635" s="2998"/>
      <c r="U635" s="1996">
        <f>U468</f>
        <v>0</v>
      </c>
      <c r="W635" s="1844"/>
      <c r="X635" s="1844"/>
      <c r="Y635" s="1844"/>
      <c r="Z635" s="1844"/>
      <c r="AA635" s="1844"/>
      <c r="AB635" s="1844"/>
      <c r="AC635" s="1844"/>
      <c r="AD635" s="1844"/>
      <c r="AE635" s="1844"/>
    </row>
    <row r="636" spans="1:31" s="1846" customFormat="1">
      <c r="A636" s="2027"/>
      <c r="B636" s="2027"/>
      <c r="C636" s="2028"/>
      <c r="D636" s="2028"/>
      <c r="E636" s="2028"/>
      <c r="F636" s="1953" t="s">
        <v>50</v>
      </c>
      <c r="G636" s="2029"/>
      <c r="H636" s="2030" t="s">
        <v>685</v>
      </c>
      <c r="I636" s="2053"/>
      <c r="J636" s="2053"/>
      <c r="K636" s="2053"/>
      <c r="L636" s="2054">
        <v>0</v>
      </c>
      <c r="M636" s="2054">
        <f>M467</f>
        <v>0</v>
      </c>
      <c r="N636" s="2054">
        <f>N467</f>
        <v>0</v>
      </c>
      <c r="O636" s="2054">
        <f>O467</f>
        <v>0</v>
      </c>
      <c r="P636" s="2054">
        <f>P467</f>
        <v>198040000</v>
      </c>
      <c r="Q636" s="2054"/>
      <c r="R636" s="3661">
        <f>R467</f>
        <v>0</v>
      </c>
      <c r="S636" s="3736"/>
      <c r="T636" s="3736"/>
      <c r="U636" s="1996"/>
      <c r="W636" s="1844"/>
      <c r="X636" s="1844"/>
      <c r="Y636" s="1844"/>
      <c r="Z636" s="1844"/>
      <c r="AA636" s="1844"/>
      <c r="AB636" s="1844"/>
      <c r="AC636" s="1844"/>
      <c r="AD636" s="1844"/>
      <c r="AE636" s="1844"/>
    </row>
    <row r="637" spans="1:31" s="1846" customFormat="1" ht="15.05">
      <c r="A637" s="1951"/>
      <c r="B637" s="1951"/>
      <c r="C637" s="1952"/>
      <c r="D637" s="1952"/>
      <c r="E637" s="1952"/>
      <c r="F637" s="1953" t="s">
        <v>50</v>
      </c>
      <c r="G637" s="1953"/>
      <c r="H637" s="1960" t="s">
        <v>570</v>
      </c>
      <c r="I637" s="1989"/>
      <c r="J637" s="1989"/>
      <c r="K637" s="1989"/>
      <c r="L637" s="1988">
        <f t="shared" ref="L637:R637" si="114">L523</f>
        <v>0</v>
      </c>
      <c r="M637" s="1988">
        <f t="shared" si="114"/>
        <v>10809500</v>
      </c>
      <c r="N637" s="1988">
        <f t="shared" si="114"/>
        <v>0</v>
      </c>
      <c r="O637" s="1988">
        <f t="shared" si="114"/>
        <v>10809500</v>
      </c>
      <c r="P637" s="1988">
        <f t="shared" si="114"/>
        <v>0</v>
      </c>
      <c r="Q637" s="1988"/>
      <c r="R637" s="3651">
        <f t="shared" si="114"/>
        <v>0</v>
      </c>
      <c r="S637" s="2998"/>
      <c r="T637" s="2998"/>
      <c r="U637" s="1996"/>
      <c r="W637" s="1844"/>
      <c r="X637" s="1844"/>
      <c r="Y637" s="1844"/>
      <c r="Z637" s="1844"/>
      <c r="AA637" s="1844"/>
      <c r="AB637" s="1844"/>
      <c r="AC637" s="1844"/>
      <c r="AD637" s="1844"/>
      <c r="AE637" s="1844"/>
    </row>
    <row r="638" spans="1:31" s="1846" customFormat="1" ht="15.05">
      <c r="A638" s="1951"/>
      <c r="B638" s="1951"/>
      <c r="C638" s="1952"/>
      <c r="D638" s="1952"/>
      <c r="E638" s="1952"/>
      <c r="F638" s="1953" t="s">
        <v>50</v>
      </c>
      <c r="G638" s="2031"/>
      <c r="H638" s="1960" t="s">
        <v>686</v>
      </c>
      <c r="I638" s="1989"/>
      <c r="J638" s="1989"/>
      <c r="K638" s="1989"/>
      <c r="L638" s="1988">
        <f>L516</f>
        <v>0</v>
      </c>
      <c r="M638" s="1988">
        <f t="shared" ref="M638:U638" si="115">M516</f>
        <v>0</v>
      </c>
      <c r="N638" s="1988">
        <f t="shared" si="115"/>
        <v>0</v>
      </c>
      <c r="O638" s="1988">
        <f t="shared" si="115"/>
        <v>0</v>
      </c>
      <c r="P638" s="1988">
        <f t="shared" si="115"/>
        <v>0</v>
      </c>
      <c r="Q638" s="1988"/>
      <c r="R638" s="3651">
        <f t="shared" si="115"/>
        <v>0</v>
      </c>
      <c r="S638" s="2996"/>
      <c r="T638" s="2996"/>
      <c r="U638" s="1988">
        <f t="shared" si="115"/>
        <v>0</v>
      </c>
      <c r="W638" s="1844"/>
      <c r="X638" s="1844"/>
      <c r="Y638" s="1844"/>
      <c r="Z638" s="1844"/>
      <c r="AA638" s="1844"/>
      <c r="AB638" s="1844"/>
      <c r="AC638" s="1844"/>
      <c r="AD638" s="1844"/>
      <c r="AE638" s="1844"/>
    </row>
    <row r="639" spans="1:31" s="1846" customFormat="1">
      <c r="A639" s="1951"/>
      <c r="B639" s="1951"/>
      <c r="C639" s="1952"/>
      <c r="D639" s="1952"/>
      <c r="E639" s="1952"/>
      <c r="F639" s="1953" t="s">
        <v>50</v>
      </c>
      <c r="G639" s="2031"/>
      <c r="H639" s="2032" t="s">
        <v>687</v>
      </c>
      <c r="I639" s="1989"/>
      <c r="J639" s="1989"/>
      <c r="K639" s="1989"/>
      <c r="L639" s="1988">
        <f>L518</f>
        <v>0</v>
      </c>
      <c r="M639" s="1988">
        <f t="shared" ref="M639:U639" si="116">M518</f>
        <v>0</v>
      </c>
      <c r="N639" s="1988">
        <f t="shared" si="116"/>
        <v>0</v>
      </c>
      <c r="O639" s="1988">
        <f t="shared" si="116"/>
        <v>0</v>
      </c>
      <c r="P639" s="1988">
        <f t="shared" si="116"/>
        <v>0</v>
      </c>
      <c r="Q639" s="1988"/>
      <c r="R639" s="3651">
        <f t="shared" si="116"/>
        <v>0</v>
      </c>
      <c r="S639" s="2998"/>
      <c r="T639" s="2998"/>
      <c r="U639" s="1996">
        <f t="shared" si="116"/>
        <v>0</v>
      </c>
      <c r="W639" s="1844"/>
      <c r="X639" s="1844"/>
      <c r="Y639" s="1844"/>
      <c r="Z639" s="1844"/>
      <c r="AA639" s="1844"/>
      <c r="AB639" s="1844"/>
      <c r="AC639" s="1844"/>
      <c r="AD639" s="1844"/>
      <c r="AE639" s="1844"/>
    </row>
    <row r="640" spans="1:31" s="1846" customFormat="1" ht="15.05">
      <c r="A640" s="1951"/>
      <c r="B640" s="1951"/>
      <c r="C640" s="1952"/>
      <c r="D640" s="1952"/>
      <c r="E640" s="1952"/>
      <c r="F640" s="1953"/>
      <c r="G640" s="2031"/>
      <c r="H640" s="1960" t="s">
        <v>688</v>
      </c>
      <c r="I640" s="1989"/>
      <c r="J640" s="1989"/>
      <c r="K640" s="1989"/>
      <c r="L640" s="1988">
        <f>L510</f>
        <v>0</v>
      </c>
      <c r="M640" s="1988">
        <f t="shared" ref="M640:R640" si="117">M510</f>
        <v>0</v>
      </c>
      <c r="N640" s="1988">
        <f t="shared" si="117"/>
        <v>0</v>
      </c>
      <c r="O640" s="1988">
        <f t="shared" si="117"/>
        <v>0</v>
      </c>
      <c r="P640" s="1988">
        <f t="shared" si="117"/>
        <v>0</v>
      </c>
      <c r="Q640" s="1988"/>
      <c r="R640" s="3651">
        <f t="shared" si="117"/>
        <v>0</v>
      </c>
      <c r="S640" s="2998"/>
      <c r="T640" s="2998"/>
      <c r="U640" s="1996"/>
      <c r="W640" s="1844"/>
      <c r="X640" s="1844"/>
      <c r="Y640" s="1844"/>
      <c r="Z640" s="1844"/>
      <c r="AA640" s="1844"/>
      <c r="AB640" s="1844"/>
      <c r="AC640" s="1844"/>
      <c r="AD640" s="1844"/>
      <c r="AE640" s="1844"/>
    </row>
    <row r="641" spans="1:31" s="1846" customFormat="1" ht="15.05">
      <c r="A641" s="1951"/>
      <c r="B641" s="1951"/>
      <c r="C641" s="1952"/>
      <c r="D641" s="1952"/>
      <c r="E641" s="1952"/>
      <c r="F641" s="1953" t="s">
        <v>50</v>
      </c>
      <c r="G641" s="2031"/>
      <c r="H641" s="1960" t="s">
        <v>689</v>
      </c>
      <c r="I641" s="1989"/>
      <c r="J641" s="1989"/>
      <c r="K641" s="1989"/>
      <c r="L641" s="1988">
        <f>L512</f>
        <v>0</v>
      </c>
      <c r="M641" s="1988">
        <f t="shared" ref="M641:U641" si="118">M512</f>
        <v>0</v>
      </c>
      <c r="N641" s="1988">
        <f t="shared" si="118"/>
        <v>0</v>
      </c>
      <c r="O641" s="1988">
        <f t="shared" si="118"/>
        <v>0</v>
      </c>
      <c r="P641" s="1988">
        <f t="shared" si="118"/>
        <v>0</v>
      </c>
      <c r="Q641" s="1988"/>
      <c r="R641" s="3651">
        <f t="shared" si="118"/>
        <v>0</v>
      </c>
      <c r="S641" s="2998"/>
      <c r="T641" s="2998"/>
      <c r="U641" s="1996">
        <f t="shared" si="118"/>
        <v>0</v>
      </c>
      <c r="W641" s="1844"/>
      <c r="X641" s="1844"/>
      <c r="Y641" s="1844"/>
      <c r="Z641" s="1844"/>
      <c r="AA641" s="1844"/>
      <c r="AB641" s="1844"/>
      <c r="AC641" s="1844"/>
      <c r="AD641" s="1844"/>
      <c r="AE641" s="1844"/>
    </row>
    <row r="642" spans="1:31" s="1846" customFormat="1" ht="15.05">
      <c r="A642" s="1951"/>
      <c r="B642" s="1951"/>
      <c r="C642" s="1952"/>
      <c r="D642" s="1952"/>
      <c r="E642" s="1952"/>
      <c r="F642" s="1953"/>
      <c r="G642" s="2031"/>
      <c r="H642" s="1960" t="s">
        <v>690</v>
      </c>
      <c r="I642" s="1989"/>
      <c r="J642" s="1989"/>
      <c r="K642" s="1989"/>
      <c r="L642" s="1988">
        <f>L551</f>
        <v>0</v>
      </c>
      <c r="M642" s="1988">
        <f t="shared" ref="M642:U642" si="119">M551</f>
        <v>0</v>
      </c>
      <c r="N642" s="1988">
        <f t="shared" si="119"/>
        <v>0</v>
      </c>
      <c r="O642" s="1988">
        <f t="shared" si="119"/>
        <v>0</v>
      </c>
      <c r="P642" s="1988">
        <f t="shared" si="119"/>
        <v>0</v>
      </c>
      <c r="Q642" s="1988"/>
      <c r="R642" s="3651">
        <f t="shared" si="119"/>
        <v>0</v>
      </c>
      <c r="S642" s="2998"/>
      <c r="T642" s="2998"/>
      <c r="U642" s="1996">
        <f t="shared" si="119"/>
        <v>0</v>
      </c>
      <c r="W642" s="1844"/>
      <c r="X642" s="1844"/>
      <c r="Y642" s="1844"/>
      <c r="Z642" s="1844"/>
      <c r="AA642" s="1844"/>
      <c r="AB642" s="1844"/>
      <c r="AC642" s="1844"/>
      <c r="AD642" s="1844"/>
      <c r="AE642" s="1844"/>
    </row>
    <row r="643" spans="1:31" s="1846" customFormat="1" ht="15.05">
      <c r="A643" s="1951"/>
      <c r="B643" s="1951"/>
      <c r="C643" s="1952"/>
      <c r="D643" s="1952"/>
      <c r="E643" s="1952"/>
      <c r="F643" s="1953"/>
      <c r="G643" s="2031"/>
      <c r="H643" s="1960" t="s">
        <v>691</v>
      </c>
      <c r="I643" s="1989"/>
      <c r="J643" s="1989"/>
      <c r="K643" s="1989"/>
      <c r="L643" s="1988">
        <f>L555</f>
        <v>0</v>
      </c>
      <c r="M643" s="1988">
        <f t="shared" ref="M643:R643" si="120">M555</f>
        <v>0</v>
      </c>
      <c r="N643" s="1988">
        <f t="shared" si="120"/>
        <v>0</v>
      </c>
      <c r="O643" s="1988">
        <f t="shared" si="120"/>
        <v>0</v>
      </c>
      <c r="P643" s="1988">
        <f t="shared" si="120"/>
        <v>0</v>
      </c>
      <c r="Q643" s="1988"/>
      <c r="R643" s="3651">
        <f t="shared" si="120"/>
        <v>0</v>
      </c>
      <c r="S643" s="2998"/>
      <c r="T643" s="2998"/>
      <c r="U643" s="1996"/>
      <c r="W643" s="1844"/>
      <c r="X643" s="1844"/>
      <c r="Y643" s="1844"/>
      <c r="Z643" s="1844"/>
      <c r="AA643" s="1844"/>
      <c r="AB643" s="1844"/>
      <c r="AC643" s="1844"/>
      <c r="AD643" s="1844"/>
      <c r="AE643" s="1844"/>
    </row>
    <row r="644" spans="1:31" s="1846" customFormat="1" ht="15.05">
      <c r="A644" s="1951"/>
      <c r="B644" s="1951"/>
      <c r="C644" s="1952"/>
      <c r="D644" s="1952"/>
      <c r="E644" s="1952"/>
      <c r="F644" s="1953"/>
      <c r="G644" s="2031"/>
      <c r="H644" s="1960" t="s">
        <v>651</v>
      </c>
      <c r="I644" s="1989"/>
      <c r="J644" s="1989"/>
      <c r="K644" s="1989"/>
      <c r="L644" s="1988">
        <f t="shared" ref="L644:R644" si="121">L570</f>
        <v>0</v>
      </c>
      <c r="M644" s="1988">
        <f t="shared" si="121"/>
        <v>0</v>
      </c>
      <c r="N644" s="1988">
        <f t="shared" si="121"/>
        <v>0</v>
      </c>
      <c r="O644" s="1988">
        <f t="shared" si="121"/>
        <v>0</v>
      </c>
      <c r="P644" s="1988">
        <f t="shared" si="121"/>
        <v>0</v>
      </c>
      <c r="Q644" s="1988"/>
      <c r="R644" s="3651">
        <f t="shared" si="121"/>
        <v>0</v>
      </c>
      <c r="S644" s="2998"/>
      <c r="T644" s="2998"/>
      <c r="U644" s="1996"/>
      <c r="W644" s="1844"/>
      <c r="X644" s="1844"/>
      <c r="Y644" s="1844"/>
      <c r="Z644" s="1844"/>
      <c r="AA644" s="1844"/>
      <c r="AB644" s="1844"/>
      <c r="AC644" s="1844"/>
      <c r="AD644" s="1844"/>
      <c r="AE644" s="1844"/>
    </row>
    <row r="645" spans="1:31" s="1846" customFormat="1" ht="15.05">
      <c r="A645" s="1951"/>
      <c r="B645" s="1951"/>
      <c r="C645" s="1952"/>
      <c r="D645" s="1952"/>
      <c r="E645" s="1952"/>
      <c r="F645" s="2758" t="s">
        <v>50</v>
      </c>
      <c r="G645" s="2031"/>
      <c r="H645" s="2033" t="s">
        <v>692</v>
      </c>
      <c r="I645" s="1989"/>
      <c r="J645" s="1989"/>
      <c r="K645" s="1989"/>
      <c r="L645" s="2055">
        <f>L477</f>
        <v>0</v>
      </c>
      <c r="M645" s="2055">
        <f>M477</f>
        <v>0</v>
      </c>
      <c r="N645" s="2055">
        <f>N477</f>
        <v>0</v>
      </c>
      <c r="O645" s="2055">
        <f>O477</f>
        <v>0</v>
      </c>
      <c r="P645" s="2055">
        <f>P477</f>
        <v>0</v>
      </c>
      <c r="Q645" s="2055"/>
      <c r="R645" s="3651">
        <f>R477</f>
        <v>0</v>
      </c>
      <c r="S645" s="2998"/>
      <c r="T645" s="2998"/>
      <c r="U645" s="2068">
        <f>U477</f>
        <v>0</v>
      </c>
      <c r="W645" s="1844"/>
      <c r="X645" s="1844"/>
      <c r="Y645" s="1844"/>
      <c r="Z645" s="1844"/>
      <c r="AA645" s="1844"/>
      <c r="AB645" s="1844"/>
      <c r="AC645" s="1844"/>
      <c r="AD645" s="1844"/>
      <c r="AE645" s="1844"/>
    </row>
    <row r="646" spans="1:31" s="1846" customFormat="1" ht="15.05">
      <c r="A646" s="2015"/>
      <c r="B646" s="2015"/>
      <c r="C646" s="2016"/>
      <c r="D646" s="2016"/>
      <c r="E646" s="2016"/>
      <c r="F646" s="2017" t="s">
        <v>50</v>
      </c>
      <c r="G646" s="2034"/>
      <c r="H646" s="2035" t="s">
        <v>693</v>
      </c>
      <c r="I646" s="2056"/>
      <c r="J646" s="2056"/>
      <c r="K646" s="2056"/>
      <c r="L646" s="2057">
        <f t="shared" ref="L646:R646" si="122">L561</f>
        <v>0</v>
      </c>
      <c r="M646" s="2057">
        <f t="shared" si="122"/>
        <v>0</v>
      </c>
      <c r="N646" s="2057">
        <f t="shared" si="122"/>
        <v>0</v>
      </c>
      <c r="O646" s="2057">
        <f t="shared" si="122"/>
        <v>0</v>
      </c>
      <c r="P646" s="2057">
        <f t="shared" si="122"/>
        <v>0</v>
      </c>
      <c r="Q646" s="2057"/>
      <c r="R646" s="3662">
        <f t="shared" si="122"/>
        <v>0</v>
      </c>
      <c r="S646" s="3737"/>
      <c r="T646" s="3737"/>
      <c r="U646" s="1844"/>
      <c r="W646" s="1844"/>
      <c r="X646" s="1844"/>
      <c r="Y646" s="1844"/>
      <c r="Z646" s="1844"/>
      <c r="AA646" s="1844"/>
      <c r="AB646" s="1844"/>
      <c r="AC646" s="1844"/>
      <c r="AD646" s="1844"/>
      <c r="AE646" s="1844"/>
    </row>
    <row r="647" spans="1:31" s="1846" customFormat="1">
      <c r="A647" s="1843"/>
      <c r="B647" s="1843"/>
      <c r="C647" s="1844"/>
      <c r="D647" s="1844"/>
      <c r="E647" s="1844"/>
      <c r="F647" s="1845"/>
      <c r="G647" s="1845"/>
      <c r="H647" s="1844"/>
      <c r="I647" s="1844"/>
      <c r="J647" s="1844"/>
      <c r="K647" s="1844"/>
      <c r="L647" s="1844"/>
      <c r="M647" s="1844"/>
      <c r="N647" s="1844"/>
      <c r="O647" s="1844"/>
      <c r="P647" s="1844"/>
      <c r="Q647" s="1844"/>
      <c r="R647" s="3649"/>
      <c r="S647" s="2883"/>
      <c r="T647" s="2883"/>
      <c r="U647" s="2069" t="s">
        <v>694</v>
      </c>
      <c r="W647" s="1844"/>
      <c r="X647" s="1844"/>
      <c r="Y647" s="1844"/>
      <c r="Z647" s="1844"/>
      <c r="AA647" s="1844"/>
      <c r="AB647" s="1844"/>
      <c r="AC647" s="1844"/>
      <c r="AD647" s="1844"/>
      <c r="AE647" s="1844"/>
    </row>
    <row r="648" spans="1:31" s="1846" customFormat="1" ht="15.05">
      <c r="A648" s="2020"/>
      <c r="B648" s="2020"/>
      <c r="C648" s="2021"/>
      <c r="D648" s="2021"/>
      <c r="E648" s="2021"/>
      <c r="F648" s="2036"/>
      <c r="G648" s="2036"/>
      <c r="H648" s="2036" t="s">
        <v>695</v>
      </c>
      <c r="I648" s="2058"/>
      <c r="J648" s="2058"/>
      <c r="K648" s="2058"/>
      <c r="L648" s="2059" t="e">
        <f>SUM(L649:L651)</f>
        <v>#REF!</v>
      </c>
      <c r="M648" s="2059" t="e">
        <f>SUM(M649:M651)</f>
        <v>#REF!</v>
      </c>
      <c r="N648" s="2059" t="e">
        <f>SUM(N649:N651)</f>
        <v>#REF!</v>
      </c>
      <c r="O648" s="2059" t="e">
        <f>N648+M648</f>
        <v>#REF!</v>
      </c>
      <c r="P648" s="2059" t="e">
        <f>SUM(P649:P650)</f>
        <v>#REF!</v>
      </c>
      <c r="Q648" s="2059"/>
      <c r="R648" s="3663" t="e">
        <f>O648/L648*100</f>
        <v>#REF!</v>
      </c>
      <c r="S648" s="3738"/>
      <c r="T648" s="3738"/>
      <c r="U648" s="1844"/>
      <c r="W648" s="1844"/>
      <c r="X648" s="1844"/>
      <c r="Y648" s="1844"/>
      <c r="Z648" s="1844"/>
      <c r="AA648" s="1844"/>
      <c r="AB648" s="1844"/>
      <c r="AC648" s="1844"/>
      <c r="AD648" s="1844"/>
      <c r="AE648" s="1844"/>
    </row>
    <row r="649" spans="1:31" s="1846" customFormat="1">
      <c r="A649" s="1951"/>
      <c r="B649" s="1951"/>
      <c r="C649" s="1952"/>
      <c r="D649" s="1952"/>
      <c r="E649" s="1952"/>
      <c r="F649" s="1953" t="s">
        <v>50</v>
      </c>
      <c r="G649" s="1953"/>
      <c r="H649" s="2032" t="s">
        <v>696</v>
      </c>
      <c r="I649" s="1989"/>
      <c r="J649" s="1989"/>
      <c r="K649" s="1989"/>
      <c r="L649" s="1988">
        <f>L382</f>
        <v>125000000000</v>
      </c>
      <c r="M649" s="1988">
        <f>M382</f>
        <v>19046122482.029999</v>
      </c>
      <c r="N649" s="1988">
        <f>N382</f>
        <v>12944839389.030001</v>
      </c>
      <c r="O649" s="2060">
        <f>O382</f>
        <v>31990961871.060001</v>
      </c>
      <c r="P649" s="1988">
        <f>P382</f>
        <v>141100000000</v>
      </c>
      <c r="Q649" s="1988"/>
      <c r="R649" s="3664">
        <f>O649/L649*100</f>
        <v>25.592769496848</v>
      </c>
      <c r="S649" s="3739"/>
      <c r="T649" s="3739"/>
      <c r="U649" s="1844"/>
      <c r="W649" s="1844"/>
      <c r="X649" s="1844"/>
      <c r="Y649" s="1844"/>
      <c r="Z649" s="1844"/>
      <c r="AA649" s="1844"/>
      <c r="AB649" s="1844"/>
      <c r="AC649" s="1844"/>
      <c r="AD649" s="1844"/>
      <c r="AE649" s="1844"/>
    </row>
    <row r="650" spans="1:31" s="1846" customFormat="1">
      <c r="A650" s="1951"/>
      <c r="B650" s="1951"/>
      <c r="C650" s="1952"/>
      <c r="D650" s="1952"/>
      <c r="E650" s="1952"/>
      <c r="F650" s="1953"/>
      <c r="G650" s="1953"/>
      <c r="H650" s="2032" t="s">
        <v>697</v>
      </c>
      <c r="I650" s="1989"/>
      <c r="J650" s="1989"/>
      <c r="K650" s="1989"/>
      <c r="L650" s="1988" t="e">
        <f>#REF!</f>
        <v>#REF!</v>
      </c>
      <c r="M650" s="1988" t="e">
        <f>#REF!</f>
        <v>#REF!</v>
      </c>
      <c r="N650" s="1988" t="e">
        <f>#REF!</f>
        <v>#REF!</v>
      </c>
      <c r="O650" s="1988" t="e">
        <f>#REF!</f>
        <v>#REF!</v>
      </c>
      <c r="P650" s="1988" t="e">
        <f>#REF!</f>
        <v>#REF!</v>
      </c>
      <c r="Q650" s="1988"/>
      <c r="R650" s="3651" t="e">
        <f>O650/L650*100</f>
        <v>#REF!</v>
      </c>
      <c r="S650" s="3737"/>
      <c r="T650" s="3737"/>
      <c r="U650" s="1844"/>
      <c r="W650" s="1844"/>
      <c r="X650" s="1844"/>
      <c r="Y650" s="1844"/>
      <c r="Z650" s="1844"/>
      <c r="AA650" s="1844"/>
      <c r="AB650" s="1844"/>
      <c r="AC650" s="1844"/>
      <c r="AD650" s="1844"/>
      <c r="AE650" s="1844"/>
    </row>
    <row r="651" spans="1:31" s="1846" customFormat="1">
      <c r="A651" s="2015"/>
      <c r="B651" s="2015"/>
      <c r="C651" s="2016"/>
      <c r="D651" s="2016"/>
      <c r="E651" s="2016"/>
      <c r="F651" s="2017" t="s">
        <v>50</v>
      </c>
      <c r="G651" s="2034"/>
      <c r="H651" s="2037" t="s">
        <v>88</v>
      </c>
      <c r="I651" s="2056"/>
      <c r="J651" s="2056"/>
      <c r="K651" s="2056"/>
      <c r="L651" s="2057" t="e">
        <f>#REF!</f>
        <v>#REF!</v>
      </c>
      <c r="M651" s="2057" t="e">
        <f>#REF!</f>
        <v>#REF!</v>
      </c>
      <c r="N651" s="2057" t="e">
        <f>#REF!</f>
        <v>#REF!</v>
      </c>
      <c r="O651" s="2061" t="e">
        <f>#REF!</f>
        <v>#REF!</v>
      </c>
      <c r="P651" s="2061" t="e">
        <f>#REF!</f>
        <v>#REF!</v>
      </c>
      <c r="Q651" s="2061"/>
      <c r="R651" s="3665"/>
      <c r="S651" s="2883"/>
      <c r="T651" s="2883"/>
      <c r="U651" s="1844"/>
      <c r="W651" s="1844"/>
      <c r="X651" s="1844"/>
      <c r="Y651" s="1844"/>
      <c r="Z651" s="1844"/>
      <c r="AA651" s="1844"/>
      <c r="AB651" s="1844"/>
      <c r="AC651" s="1844"/>
      <c r="AD651" s="1844"/>
      <c r="AE651" s="1844"/>
    </row>
    <row r="653" spans="1:31" s="1846" customFormat="1" ht="15.05">
      <c r="A653" s="2020"/>
      <c r="B653" s="2020"/>
      <c r="C653" s="2021"/>
      <c r="D653" s="2021"/>
      <c r="E653" s="2021"/>
      <c r="F653" s="2038"/>
      <c r="G653" s="2038"/>
      <c r="H653" s="2038" t="s">
        <v>698</v>
      </c>
      <c r="I653" s="2062"/>
      <c r="J653" s="2062"/>
      <c r="K653" s="2062"/>
      <c r="L653" s="2063">
        <f>SUM(L654:L655)</f>
        <v>3123018400</v>
      </c>
      <c r="M653" s="2063">
        <f>SUM(M654:M655)</f>
        <v>457925000</v>
      </c>
      <c r="N653" s="2063">
        <f>SUM(N654:N655)</f>
        <v>274025000</v>
      </c>
      <c r="O653" s="2063">
        <f>N653+M653</f>
        <v>731950000</v>
      </c>
      <c r="P653" s="2063">
        <f>SUM(P654:P655)</f>
        <v>3123018400</v>
      </c>
      <c r="Q653" s="2063"/>
      <c r="R653" s="3666">
        <f>SUM(R654:R655)</f>
        <v>23.437261848985582</v>
      </c>
      <c r="S653" s="3740"/>
      <c r="T653" s="3740"/>
      <c r="U653" s="1844"/>
      <c r="W653" s="1844"/>
      <c r="X653" s="1844"/>
      <c r="Y653" s="1844"/>
      <c r="Z653" s="1844"/>
      <c r="AA653" s="1844"/>
      <c r="AB653" s="1844"/>
      <c r="AC653" s="1844"/>
      <c r="AD653" s="1844"/>
      <c r="AE653" s="1844"/>
    </row>
    <row r="654" spans="1:31" s="1846" customFormat="1">
      <c r="A654" s="1951"/>
      <c r="B654" s="1951"/>
      <c r="C654" s="1952"/>
      <c r="D654" s="1952"/>
      <c r="E654" s="1952"/>
      <c r="F654" s="1953" t="s">
        <v>50</v>
      </c>
      <c r="G654" s="1953"/>
      <c r="H654" s="2032" t="s">
        <v>699</v>
      </c>
      <c r="I654" s="1989"/>
      <c r="J654" s="1989"/>
      <c r="K654" s="1989"/>
      <c r="L654" s="1988">
        <f>L482</f>
        <v>3123018400</v>
      </c>
      <c r="M654" s="1988">
        <f>M482</f>
        <v>457925000</v>
      </c>
      <c r="N654" s="1988">
        <f>N482</f>
        <v>274025000</v>
      </c>
      <c r="O654" s="1988">
        <f>O482</f>
        <v>731950000</v>
      </c>
      <c r="P654" s="1988">
        <f>P482</f>
        <v>3123018400</v>
      </c>
      <c r="Q654" s="1988"/>
      <c r="R654" s="3651">
        <f>O654/L654*100</f>
        <v>23.437261848985582</v>
      </c>
      <c r="S654" s="3737"/>
      <c r="T654" s="3737"/>
      <c r="U654" s="1844"/>
      <c r="W654" s="1844"/>
      <c r="X654" s="1844"/>
      <c r="Y654" s="1844"/>
      <c r="Z654" s="1844"/>
      <c r="AA654" s="1844"/>
      <c r="AB654" s="1844"/>
      <c r="AC654" s="1844"/>
      <c r="AD654" s="1844"/>
      <c r="AE654" s="1844"/>
    </row>
    <row r="655" spans="1:31" s="1846" customFormat="1">
      <c r="A655" s="2015"/>
      <c r="B655" s="2015"/>
      <c r="C655" s="2016"/>
      <c r="D655" s="2016"/>
      <c r="E655" s="2016"/>
      <c r="F655" s="2017" t="s">
        <v>50</v>
      </c>
      <c r="G655" s="2034"/>
      <c r="H655" s="2039"/>
      <c r="I655" s="2064"/>
      <c r="J655" s="2064"/>
      <c r="K655" s="2064"/>
      <c r="L655" s="2061"/>
      <c r="M655" s="2061"/>
      <c r="N655" s="2061"/>
      <c r="O655" s="2061"/>
      <c r="P655" s="2061"/>
      <c r="Q655" s="2061"/>
      <c r="R655" s="3662"/>
      <c r="S655" s="3737"/>
      <c r="T655" s="3737"/>
      <c r="U655" s="1844"/>
      <c r="W655" s="1844"/>
      <c r="X655" s="1844"/>
      <c r="Y655" s="1844"/>
      <c r="Z655" s="1844"/>
      <c r="AA655" s="1844"/>
      <c r="AB655" s="1844"/>
      <c r="AC655" s="1844"/>
      <c r="AD655" s="1844"/>
      <c r="AE655" s="1844"/>
    </row>
    <row r="658" spans="1:31" s="1846" customFormat="1">
      <c r="A658" s="1843"/>
      <c r="B658" s="1843"/>
      <c r="C658" s="1844"/>
      <c r="D658" s="1844"/>
      <c r="E658" s="1844"/>
      <c r="F658" s="1845"/>
      <c r="G658" s="1845"/>
      <c r="H658" s="1844"/>
      <c r="I658" s="1844"/>
      <c r="J658" s="1844"/>
      <c r="K658" s="1844"/>
      <c r="L658" s="1844"/>
      <c r="M658" s="1844"/>
      <c r="N658" s="1844"/>
      <c r="O658" s="1844"/>
      <c r="P658" s="2065"/>
      <c r="Q658" s="2065"/>
      <c r="R658" s="3649"/>
      <c r="S658" s="2883"/>
      <c r="T658" s="2883"/>
      <c r="U658" s="1844"/>
      <c r="W658" s="1844"/>
      <c r="X658" s="1844"/>
      <c r="Y658" s="1844"/>
      <c r="Z658" s="1844"/>
      <c r="AA658" s="1844"/>
      <c r="AB658" s="1844"/>
      <c r="AC658" s="1844"/>
      <c r="AD658" s="1844"/>
      <c r="AE658" s="1844"/>
    </row>
    <row r="660" spans="1:31" s="1846" customFormat="1">
      <c r="A660" s="1843"/>
      <c r="B660" s="1843"/>
      <c r="C660" s="1844"/>
      <c r="D660" s="1844"/>
      <c r="E660" s="1844"/>
      <c r="F660" s="1845"/>
      <c r="G660" s="1845"/>
      <c r="H660" s="1844"/>
      <c r="I660" s="1844"/>
      <c r="J660" s="1844"/>
      <c r="K660" s="1844"/>
      <c r="L660" s="2065"/>
      <c r="M660" s="1844"/>
      <c r="N660" s="1844"/>
      <c r="O660" s="1844"/>
      <c r="P660" s="1844"/>
      <c r="Q660" s="1844"/>
      <c r="R660" s="3649"/>
      <c r="S660" s="2883"/>
      <c r="T660" s="2883"/>
      <c r="U660" s="1844"/>
      <c r="W660" s="1844"/>
      <c r="X660" s="1844"/>
      <c r="Y660" s="1844"/>
      <c r="Z660" s="1844"/>
      <c r="AA660" s="1844"/>
      <c r="AB660" s="1844"/>
      <c r="AC660" s="1844"/>
      <c r="AD660" s="1844"/>
      <c r="AE660" s="1844"/>
    </row>
    <row r="674" spans="1:22" s="1842" customFormat="1">
      <c r="A674" s="1843"/>
      <c r="B674" s="1843"/>
      <c r="C674" s="1844"/>
      <c r="D674" s="1844"/>
      <c r="E674" s="1844"/>
      <c r="F674" s="1845"/>
      <c r="G674" s="1845"/>
      <c r="H674" s="1844"/>
      <c r="I674" s="1844"/>
      <c r="J674" s="1844"/>
      <c r="K674" s="1844"/>
      <c r="L674" s="1844"/>
      <c r="M674" s="1844"/>
      <c r="N674" s="1844"/>
      <c r="O674" s="1844"/>
      <c r="P674" s="1844"/>
      <c r="Q674" s="1844"/>
      <c r="R674" s="3649"/>
      <c r="S674" s="2883"/>
      <c r="T674" s="2883"/>
      <c r="U674" s="1844"/>
      <c r="V674" s="1846"/>
    </row>
    <row r="675" spans="1:22" s="1842" customFormat="1">
      <c r="A675" s="1843"/>
      <c r="B675" s="1843"/>
      <c r="C675" s="1844"/>
      <c r="D675" s="1844"/>
      <c r="E675" s="1844"/>
      <c r="F675" s="1845"/>
      <c r="G675" s="1845"/>
      <c r="H675" s="1844"/>
      <c r="I675" s="1844"/>
      <c r="J675" s="1844"/>
      <c r="K675" s="1844"/>
      <c r="L675" s="1844"/>
      <c r="M675" s="1844"/>
      <c r="N675" s="1844"/>
      <c r="O675" s="1844"/>
      <c r="P675" s="1844"/>
      <c r="Q675" s="1844"/>
      <c r="R675" s="3649"/>
      <c r="S675" s="2883"/>
      <c r="T675" s="2883"/>
      <c r="U675" s="1844"/>
      <c r="V675" s="1846"/>
    </row>
    <row r="676" spans="1:22" s="1842" customFormat="1">
      <c r="A676" s="1843"/>
      <c r="B676" s="1843"/>
      <c r="C676" s="1844"/>
      <c r="D676" s="1844"/>
      <c r="E676" s="1844"/>
      <c r="F676" s="1845"/>
      <c r="G676" s="1845"/>
      <c r="H676" s="1844"/>
      <c r="I676" s="1844"/>
      <c r="J676" s="1844"/>
      <c r="K676" s="1844"/>
      <c r="L676" s="1844"/>
      <c r="M676" s="1844"/>
      <c r="N676" s="1844"/>
      <c r="O676" s="1844"/>
      <c r="P676" s="1844"/>
      <c r="Q676" s="1844"/>
      <c r="R676" s="3649"/>
      <c r="S676" s="2883"/>
      <c r="T676" s="2883"/>
      <c r="U676" s="1844"/>
      <c r="V676" s="1846"/>
    </row>
    <row r="677" spans="1:22" s="1842" customFormat="1">
      <c r="A677" s="1843"/>
      <c r="B677" s="1843"/>
      <c r="C677" s="1844"/>
      <c r="D677" s="1844"/>
      <c r="E677" s="1844"/>
      <c r="F677" s="1845"/>
      <c r="G677" s="1845"/>
      <c r="H677" s="1844"/>
      <c r="I677" s="1844"/>
      <c r="J677" s="1844"/>
      <c r="K677" s="1844"/>
      <c r="L677" s="1844"/>
      <c r="M677" s="1844"/>
      <c r="N677" s="1844"/>
      <c r="O677" s="1844"/>
      <c r="P677" s="1844"/>
      <c r="Q677" s="1844"/>
      <c r="R677" s="3649"/>
      <c r="S677" s="2883"/>
      <c r="T677" s="2883"/>
      <c r="U677" s="1844"/>
      <c r="V677" s="1846"/>
    </row>
    <row r="678" spans="1:22" s="1842" customFormat="1">
      <c r="A678" s="1843"/>
      <c r="B678" s="1843"/>
      <c r="C678" s="1844"/>
      <c r="D678" s="1844"/>
      <c r="E678" s="1844"/>
      <c r="F678" s="1845"/>
      <c r="G678" s="1845"/>
      <c r="H678" s="1844"/>
      <c r="I678" s="1844"/>
      <c r="J678" s="1844"/>
      <c r="K678" s="1844"/>
      <c r="L678" s="1844"/>
      <c r="M678" s="1844"/>
      <c r="N678" s="1844"/>
      <c r="O678" s="1844"/>
      <c r="P678" s="1844"/>
      <c r="Q678" s="1844"/>
      <c r="R678" s="3649"/>
      <c r="S678" s="2883"/>
      <c r="T678" s="2883"/>
      <c r="U678" s="1844"/>
      <c r="V678" s="1846"/>
    </row>
    <row r="679" spans="1:22" s="1842" customFormat="1">
      <c r="A679" s="1843"/>
      <c r="B679" s="1843"/>
      <c r="C679" s="1844"/>
      <c r="D679" s="1844"/>
      <c r="E679" s="1844"/>
      <c r="F679" s="1845"/>
      <c r="G679" s="1845"/>
      <c r="H679" s="1844"/>
      <c r="I679" s="1844"/>
      <c r="J679" s="1844"/>
      <c r="K679" s="1844"/>
      <c r="L679" s="1844"/>
      <c r="M679" s="1844"/>
      <c r="N679" s="1844"/>
      <c r="O679" s="1844"/>
      <c r="P679" s="1844"/>
      <c r="Q679" s="1844"/>
      <c r="R679" s="3649"/>
      <c r="S679" s="2883"/>
      <c r="T679" s="2883"/>
      <c r="U679" s="1844"/>
      <c r="V679" s="1846"/>
    </row>
    <row r="680" spans="1:22" s="1842" customFormat="1">
      <c r="A680" s="1843"/>
      <c r="B680" s="1843"/>
      <c r="C680" s="1844"/>
      <c r="D680" s="1844"/>
      <c r="E680" s="1844"/>
      <c r="F680" s="1845"/>
      <c r="G680" s="1845"/>
      <c r="H680" s="1844"/>
      <c r="I680" s="1844"/>
      <c r="J680" s="1844"/>
      <c r="K680" s="1844"/>
      <c r="L680" s="1844"/>
      <c r="M680" s="1844"/>
      <c r="N680" s="1844"/>
      <c r="O680" s="1844"/>
      <c r="P680" s="1844"/>
      <c r="Q680" s="1844"/>
      <c r="R680" s="3649"/>
      <c r="S680" s="2883"/>
      <c r="T680" s="2883"/>
      <c r="U680" s="1844"/>
      <c r="V680" s="1846"/>
    </row>
    <row r="681" spans="1:22" s="1842" customFormat="1">
      <c r="A681" s="1843"/>
      <c r="B681" s="1843"/>
      <c r="C681" s="1844"/>
      <c r="D681" s="1844"/>
      <c r="E681" s="1844"/>
      <c r="F681" s="1845"/>
      <c r="G681" s="1845"/>
      <c r="H681" s="1844"/>
      <c r="I681" s="1844"/>
      <c r="J681" s="1844"/>
      <c r="K681" s="1844"/>
      <c r="L681" s="1844"/>
      <c r="M681" s="1844"/>
      <c r="N681" s="1844"/>
      <c r="O681" s="1844"/>
      <c r="P681" s="1844"/>
      <c r="Q681" s="1844"/>
      <c r="R681" s="3649"/>
      <c r="S681" s="2883"/>
      <c r="T681" s="2883"/>
      <c r="U681" s="1844"/>
      <c r="V681" s="1846"/>
    </row>
    <row r="682" spans="1:22" s="1842" customFormat="1">
      <c r="A682" s="1843"/>
      <c r="B682" s="1843"/>
      <c r="C682" s="1844"/>
      <c r="D682" s="1844"/>
      <c r="E682" s="1844"/>
      <c r="F682" s="1845"/>
      <c r="G682" s="1845"/>
      <c r="H682" s="1844"/>
      <c r="I682" s="1844"/>
      <c r="J682" s="1844"/>
      <c r="K682" s="1844"/>
      <c r="L682" s="1844"/>
      <c r="M682" s="1844"/>
      <c r="N682" s="1844"/>
      <c r="O682" s="1844"/>
      <c r="P682" s="1844"/>
      <c r="Q682" s="1844"/>
      <c r="R682" s="3649"/>
      <c r="S682" s="2883"/>
      <c r="T682" s="2883"/>
      <c r="U682" s="1844"/>
      <c r="V682" s="1846"/>
    </row>
    <row r="683" spans="1:22" s="1842" customFormat="1">
      <c r="A683" s="1843"/>
      <c r="B683" s="1843"/>
      <c r="C683" s="1844"/>
      <c r="D683" s="1844"/>
      <c r="E683" s="1844"/>
      <c r="F683" s="1845"/>
      <c r="G683" s="1845"/>
      <c r="H683" s="1844"/>
      <c r="I683" s="1844"/>
      <c r="J683" s="1844"/>
      <c r="K683" s="1844"/>
      <c r="L683" s="1844"/>
      <c r="M683" s="1844"/>
      <c r="N683" s="1844"/>
      <c r="O683" s="1844"/>
      <c r="P683" s="1844"/>
      <c r="Q683" s="1844"/>
      <c r="R683" s="3649"/>
      <c r="S683" s="2883"/>
      <c r="T683" s="2883"/>
      <c r="U683" s="1844"/>
      <c r="V683" s="1846"/>
    </row>
    <row r="684" spans="1:22" s="1842" customFormat="1">
      <c r="A684" s="1843"/>
      <c r="B684" s="1843"/>
      <c r="C684" s="1844"/>
      <c r="D684" s="1844"/>
      <c r="E684" s="1844"/>
      <c r="F684" s="1845"/>
      <c r="G684" s="1845"/>
      <c r="H684" s="1844"/>
      <c r="I684" s="1844"/>
      <c r="J684" s="1844"/>
      <c r="K684" s="1844"/>
      <c r="L684" s="1844"/>
      <c r="M684" s="1844"/>
      <c r="N684" s="1844"/>
      <c r="O684" s="1844"/>
      <c r="P684" s="1844"/>
      <c r="Q684" s="1844"/>
      <c r="R684" s="3649"/>
      <c r="S684" s="2883"/>
      <c r="T684" s="2883"/>
      <c r="U684" s="1844"/>
      <c r="V684" s="1846"/>
    </row>
    <row r="685" spans="1:22" s="1842" customFormat="1">
      <c r="A685" s="1843"/>
      <c r="B685" s="1843"/>
      <c r="C685" s="1844"/>
      <c r="D685" s="1844"/>
      <c r="E685" s="1844"/>
      <c r="F685" s="1845"/>
      <c r="G685" s="1845"/>
      <c r="H685" s="1844"/>
      <c r="I685" s="1844"/>
      <c r="J685" s="1844"/>
      <c r="K685" s="1844"/>
      <c r="L685" s="1844"/>
      <c r="M685" s="1844"/>
      <c r="N685" s="1844"/>
      <c r="O685" s="1844"/>
      <c r="P685" s="1844"/>
      <c r="Q685" s="1844"/>
      <c r="R685" s="3649"/>
      <c r="S685" s="2883"/>
      <c r="T685" s="2883"/>
      <c r="U685" s="1844"/>
      <c r="V685" s="1846"/>
    </row>
    <row r="686" spans="1:22" s="1842" customFormat="1">
      <c r="A686" s="1843"/>
      <c r="B686" s="1843"/>
      <c r="C686" s="1844"/>
      <c r="D686" s="1844"/>
      <c r="E686" s="1844"/>
      <c r="F686" s="1845"/>
      <c r="G686" s="1845"/>
      <c r="H686" s="1844"/>
      <c r="I686" s="1844"/>
      <c r="J686" s="1844"/>
      <c r="K686" s="1844"/>
      <c r="L686" s="1844"/>
      <c r="M686" s="1844"/>
      <c r="N686" s="1844"/>
      <c r="O686" s="1844"/>
      <c r="P686" s="1844"/>
      <c r="Q686" s="1844"/>
      <c r="R686" s="3649"/>
      <c r="S686" s="2883"/>
      <c r="T686" s="2883"/>
      <c r="U686" s="1844"/>
      <c r="V686" s="1846"/>
    </row>
    <row r="687" spans="1:22" s="1842" customFormat="1">
      <c r="A687" s="1843"/>
      <c r="B687" s="1843"/>
      <c r="C687" s="1844"/>
      <c r="D687" s="1844"/>
      <c r="E687" s="1844"/>
      <c r="F687" s="1845"/>
      <c r="G687" s="1845"/>
      <c r="H687" s="1844"/>
      <c r="I687" s="1844"/>
      <c r="J687" s="1844"/>
      <c r="K687" s="1844"/>
      <c r="L687" s="1844"/>
      <c r="M687" s="1844"/>
      <c r="N687" s="1844"/>
      <c r="O687" s="1844"/>
      <c r="P687" s="1844"/>
      <c r="Q687" s="1844"/>
      <c r="R687" s="3649"/>
      <c r="S687" s="2883"/>
      <c r="T687" s="2883"/>
      <c r="U687" s="1844"/>
      <c r="V687" s="1846"/>
    </row>
    <row r="688" spans="1:22" s="1842" customFormat="1">
      <c r="A688" s="1843"/>
      <c r="B688" s="1843"/>
      <c r="C688" s="1844"/>
      <c r="D688" s="1844"/>
      <c r="E688" s="1844"/>
      <c r="F688" s="1845"/>
      <c r="G688" s="1845"/>
      <c r="H688" s="1844"/>
      <c r="I688" s="1844"/>
      <c r="J688" s="1844"/>
      <c r="K688" s="1844"/>
      <c r="L688" s="1844"/>
      <c r="M688" s="1844"/>
      <c r="N688" s="1844"/>
      <c r="O688" s="1844"/>
      <c r="P688" s="1844"/>
      <c r="Q688" s="1844"/>
      <c r="R688" s="3649"/>
      <c r="S688" s="2883"/>
      <c r="T688" s="2883"/>
      <c r="U688" s="1844"/>
      <c r="V688" s="1846"/>
    </row>
    <row r="689" spans="1:22" s="1842" customFormat="1">
      <c r="A689" s="1843"/>
      <c r="B689" s="1843"/>
      <c r="C689" s="1844"/>
      <c r="D689" s="1844"/>
      <c r="E689" s="1844"/>
      <c r="F689" s="1845"/>
      <c r="G689" s="1845"/>
      <c r="H689" s="1844"/>
      <c r="I689" s="1844"/>
      <c r="J689" s="1844"/>
      <c r="K689" s="1844"/>
      <c r="L689" s="1844"/>
      <c r="M689" s="1844"/>
      <c r="N689" s="1844"/>
      <c r="O689" s="1844"/>
      <c r="P689" s="1844"/>
      <c r="Q689" s="1844"/>
      <c r="R689" s="3649"/>
      <c r="S689" s="2883"/>
      <c r="T689" s="2883"/>
      <c r="U689" s="1844"/>
      <c r="V689" s="1846"/>
    </row>
    <row r="690" spans="1:22" s="1842" customFormat="1">
      <c r="A690" s="1843"/>
      <c r="B690" s="1843"/>
      <c r="C690" s="1844"/>
      <c r="D690" s="1844"/>
      <c r="E690" s="1844"/>
      <c r="F690" s="1845"/>
      <c r="G690" s="1845"/>
      <c r="H690" s="1844"/>
      <c r="I690" s="1844"/>
      <c r="J690" s="1844"/>
      <c r="K690" s="1844"/>
      <c r="L690" s="1844"/>
      <c r="M690" s="1844"/>
      <c r="N690" s="1844"/>
      <c r="O690" s="1844"/>
      <c r="P690" s="1844"/>
      <c r="Q690" s="1844"/>
      <c r="R690" s="3649"/>
      <c r="S690" s="2883"/>
      <c r="T690" s="2883"/>
      <c r="U690" s="1844"/>
      <c r="V690" s="1846"/>
    </row>
    <row r="691" spans="1:22" s="1842" customFormat="1">
      <c r="A691" s="1843"/>
      <c r="B691" s="1843"/>
      <c r="C691" s="1844"/>
      <c r="D691" s="1844"/>
      <c r="E691" s="1844"/>
      <c r="F691" s="1845"/>
      <c r="G691" s="1845"/>
      <c r="H691" s="1844"/>
      <c r="I691" s="1844"/>
      <c r="J691" s="1844"/>
      <c r="K691" s="1844"/>
      <c r="L691" s="1844"/>
      <c r="M691" s="1844"/>
      <c r="N691" s="1844"/>
      <c r="O691" s="1844"/>
      <c r="P691" s="1844"/>
      <c r="Q691" s="1844"/>
      <c r="R691" s="3649"/>
      <c r="S691" s="2883"/>
      <c r="T691" s="2883"/>
      <c r="U691" s="1844"/>
      <c r="V691" s="1846"/>
    </row>
    <row r="692" spans="1:22" s="1842" customFormat="1">
      <c r="A692" s="1843"/>
      <c r="B692" s="1843"/>
      <c r="C692" s="1844"/>
      <c r="D692" s="1844"/>
      <c r="E692" s="1844"/>
      <c r="F692" s="1845"/>
      <c r="G692" s="1845"/>
      <c r="H692" s="1844"/>
      <c r="I692" s="1844"/>
      <c r="J692" s="1844"/>
      <c r="K692" s="1844"/>
      <c r="L692" s="1844"/>
      <c r="M692" s="1844"/>
      <c r="N692" s="1844"/>
      <c r="O692" s="1844"/>
      <c r="P692" s="1844"/>
      <c r="Q692" s="1844"/>
      <c r="R692" s="3649"/>
      <c r="S692" s="2883"/>
      <c r="T692" s="2883"/>
      <c r="U692" s="1844"/>
      <c r="V692" s="1846"/>
    </row>
    <row r="693" spans="1:22" s="1842" customFormat="1">
      <c r="A693" s="1843"/>
      <c r="B693" s="1843"/>
      <c r="C693" s="1844"/>
      <c r="D693" s="1844"/>
      <c r="E693" s="1844"/>
      <c r="F693" s="1845"/>
      <c r="G693" s="1845"/>
      <c r="H693" s="1844"/>
      <c r="I693" s="1844"/>
      <c r="J693" s="1844"/>
      <c r="K693" s="1844"/>
      <c r="L693" s="1844"/>
      <c r="M693" s="1844"/>
      <c r="N693" s="1844"/>
      <c r="O693" s="1844"/>
      <c r="P693" s="1844"/>
      <c r="Q693" s="1844"/>
      <c r="R693" s="3649"/>
      <c r="S693" s="2883"/>
      <c r="T693" s="2883"/>
      <c r="U693" s="1844"/>
      <c r="V693" s="1846"/>
    </row>
    <row r="694" spans="1:22" s="1842" customFormat="1">
      <c r="A694" s="1843"/>
      <c r="B694" s="1843"/>
      <c r="C694" s="1844"/>
      <c r="D694" s="1844"/>
      <c r="E694" s="1844"/>
      <c r="F694" s="1845"/>
      <c r="G694" s="1845"/>
      <c r="H694" s="1844"/>
      <c r="I694" s="1844"/>
      <c r="J694" s="1844"/>
      <c r="K694" s="1844"/>
      <c r="L694" s="1844"/>
      <c r="M694" s="1844"/>
      <c r="N694" s="1844"/>
      <c r="O694" s="1844"/>
      <c r="P694" s="1844"/>
      <c r="Q694" s="1844"/>
      <c r="R694" s="3649"/>
      <c r="S694" s="2883"/>
      <c r="T694" s="2883"/>
      <c r="U694" s="1844"/>
      <c r="V694" s="1846"/>
    </row>
    <row r="695" spans="1:22" s="1842" customFormat="1">
      <c r="A695" s="1843"/>
      <c r="B695" s="1843"/>
      <c r="C695" s="1844"/>
      <c r="D695" s="1844"/>
      <c r="E695" s="1844"/>
      <c r="F695" s="1845"/>
      <c r="G695" s="1845"/>
      <c r="H695" s="1844"/>
      <c r="I695" s="1844"/>
      <c r="J695" s="1844"/>
      <c r="K695" s="1844"/>
      <c r="L695" s="1844"/>
      <c r="M695" s="1844"/>
      <c r="N695" s="1844"/>
      <c r="O695" s="1844"/>
      <c r="P695" s="1844"/>
      <c r="Q695" s="1844"/>
      <c r="R695" s="3649"/>
      <c r="S695" s="2883"/>
      <c r="T695" s="2883"/>
      <c r="U695" s="1844"/>
      <c r="V695" s="1846"/>
    </row>
    <row r="696" spans="1:22" s="1842" customFormat="1">
      <c r="A696" s="1843"/>
      <c r="B696" s="1843"/>
      <c r="C696" s="1844"/>
      <c r="D696" s="1844"/>
      <c r="E696" s="1844"/>
      <c r="F696" s="1845"/>
      <c r="G696" s="1845"/>
      <c r="H696" s="1844"/>
      <c r="I696" s="1844"/>
      <c r="J696" s="1844"/>
      <c r="K696" s="1844"/>
      <c r="L696" s="1844"/>
      <c r="M696" s="1844"/>
      <c r="N696" s="1844"/>
      <c r="O696" s="1844"/>
      <c r="P696" s="1844"/>
      <c r="Q696" s="1844"/>
      <c r="R696" s="3649"/>
      <c r="S696" s="2883"/>
      <c r="T696" s="2883"/>
      <c r="U696" s="1844"/>
      <c r="V696" s="1846"/>
    </row>
    <row r="697" spans="1:22" s="1842" customFormat="1">
      <c r="A697" s="1843"/>
      <c r="B697" s="1843"/>
      <c r="C697" s="1844"/>
      <c r="D697" s="1844"/>
      <c r="E697" s="1844"/>
      <c r="F697" s="1845"/>
      <c r="G697" s="1845"/>
      <c r="H697" s="1844"/>
      <c r="I697" s="1844"/>
      <c r="J697" s="1844"/>
      <c r="K697" s="1844"/>
      <c r="L697" s="1844"/>
      <c r="M697" s="1844"/>
      <c r="N697" s="1844"/>
      <c r="O697" s="1844"/>
      <c r="P697" s="1844"/>
      <c r="Q697" s="1844"/>
      <c r="R697" s="3649"/>
      <c r="S697" s="2883"/>
      <c r="T697" s="2883"/>
      <c r="U697" s="1844"/>
      <c r="V697" s="1846"/>
    </row>
    <row r="698" spans="1:22" s="1842" customFormat="1">
      <c r="A698" s="1843"/>
      <c r="B698" s="1843"/>
      <c r="C698" s="1844"/>
      <c r="D698" s="1844"/>
      <c r="E698" s="1844"/>
      <c r="F698" s="1845"/>
      <c r="G698" s="1845"/>
      <c r="H698" s="1844"/>
      <c r="I698" s="1844"/>
      <c r="J698" s="1844"/>
      <c r="K698" s="1844"/>
      <c r="L698" s="1844"/>
      <c r="M698" s="1844"/>
      <c r="N698" s="1844"/>
      <c r="O698" s="1844"/>
      <c r="P698" s="1844"/>
      <c r="Q698" s="1844"/>
      <c r="R698" s="3649"/>
      <c r="S698" s="2883"/>
      <c r="T698" s="2883"/>
      <c r="U698" s="1844"/>
      <c r="V698" s="1846"/>
    </row>
    <row r="699" spans="1:22" s="1842" customFormat="1">
      <c r="A699" s="1843"/>
      <c r="B699" s="1843"/>
      <c r="C699" s="1844"/>
      <c r="D699" s="1844"/>
      <c r="E699" s="1844"/>
      <c r="F699" s="1845"/>
      <c r="G699" s="1845"/>
      <c r="H699" s="1844"/>
      <c r="I699" s="1844"/>
      <c r="J699" s="1844"/>
      <c r="K699" s="1844"/>
      <c r="L699" s="1844"/>
      <c r="M699" s="1844"/>
      <c r="N699" s="1844"/>
      <c r="O699" s="1844"/>
      <c r="P699" s="1844"/>
      <c r="Q699" s="1844"/>
      <c r="R699" s="3649"/>
      <c r="S699" s="2883"/>
      <c r="T699" s="2883"/>
      <c r="U699" s="1844"/>
      <c r="V699" s="1846"/>
    </row>
    <row r="700" spans="1:22" s="1842" customFormat="1">
      <c r="A700" s="1843"/>
      <c r="B700" s="1843"/>
      <c r="C700" s="1844"/>
      <c r="D700" s="1844"/>
      <c r="E700" s="1844"/>
      <c r="F700" s="1845"/>
      <c r="G700" s="1845"/>
      <c r="H700" s="1844"/>
      <c r="I700" s="1844"/>
      <c r="J700" s="1844"/>
      <c r="K700" s="1844"/>
      <c r="L700" s="1844"/>
      <c r="M700" s="1844"/>
      <c r="N700" s="1844"/>
      <c r="O700" s="1844"/>
      <c r="P700" s="1844"/>
      <c r="Q700" s="1844"/>
      <c r="R700" s="3649"/>
      <c r="S700" s="2883"/>
      <c r="T700" s="2883"/>
      <c r="U700" s="1844"/>
      <c r="V700" s="1846"/>
    </row>
    <row r="701" spans="1:22" s="1842" customFormat="1">
      <c r="A701" s="1843"/>
      <c r="B701" s="1843"/>
      <c r="C701" s="1844"/>
      <c r="D701" s="1844"/>
      <c r="E701" s="1844"/>
      <c r="F701" s="1845"/>
      <c r="G701" s="1845"/>
      <c r="H701" s="1844"/>
      <c r="I701" s="1844"/>
      <c r="J701" s="1844"/>
      <c r="K701" s="1844"/>
      <c r="L701" s="1844"/>
      <c r="M701" s="1844"/>
      <c r="N701" s="1844"/>
      <c r="O701" s="1844"/>
      <c r="P701" s="1844"/>
      <c r="Q701" s="1844"/>
      <c r="R701" s="3649"/>
      <c r="S701" s="2883"/>
      <c r="T701" s="2883"/>
      <c r="U701" s="1844"/>
      <c r="V701" s="1846"/>
    </row>
    <row r="702" spans="1:22" s="1842" customFormat="1">
      <c r="A702" s="1843"/>
      <c r="B702" s="1843"/>
      <c r="C702" s="1844"/>
      <c r="D702" s="1844"/>
      <c r="E702" s="1844"/>
      <c r="F702" s="1845"/>
      <c r="G702" s="1845"/>
      <c r="H702" s="1844"/>
      <c r="I702" s="1844"/>
      <c r="J702" s="1844"/>
      <c r="K702" s="1844"/>
      <c r="L702" s="1844"/>
      <c r="M702" s="1844"/>
      <c r="N702" s="1844"/>
      <c r="O702" s="1844"/>
      <c r="P702" s="1844"/>
      <c r="Q702" s="1844"/>
      <c r="R702" s="3649"/>
      <c r="S702" s="2883"/>
      <c r="T702" s="2883"/>
      <c r="U702" s="1844"/>
      <c r="V702" s="1846"/>
    </row>
    <row r="703" spans="1:22" s="1842" customFormat="1">
      <c r="A703" s="1843"/>
      <c r="B703" s="1843"/>
      <c r="C703" s="1844"/>
      <c r="D703" s="1844"/>
      <c r="E703" s="1844"/>
      <c r="F703" s="1845"/>
      <c r="G703" s="1845"/>
      <c r="H703" s="1844"/>
      <c r="I703" s="1844"/>
      <c r="J703" s="1844"/>
      <c r="K703" s="1844"/>
      <c r="L703" s="1844"/>
      <c r="M703" s="1844"/>
      <c r="N703" s="1844"/>
      <c r="O703" s="1844"/>
      <c r="P703" s="1844"/>
      <c r="Q703" s="1844"/>
      <c r="R703" s="3649"/>
      <c r="S703" s="2883"/>
      <c r="T703" s="2883"/>
      <c r="U703" s="1844"/>
      <c r="V703" s="1846"/>
    </row>
    <row r="704" spans="1:22" s="1842" customFormat="1">
      <c r="A704" s="1843"/>
      <c r="B704" s="1843"/>
      <c r="C704" s="1844"/>
      <c r="D704" s="1844"/>
      <c r="E704" s="1844"/>
      <c r="F704" s="1845"/>
      <c r="G704" s="1845"/>
      <c r="H704" s="1844"/>
      <c r="I704" s="1844"/>
      <c r="J704" s="1844"/>
      <c r="K704" s="1844"/>
      <c r="L704" s="1844"/>
      <c r="M704" s="1844"/>
      <c r="N704" s="1844"/>
      <c r="O704" s="1844"/>
      <c r="P704" s="1844"/>
      <c r="Q704" s="1844"/>
      <c r="R704" s="3649"/>
      <c r="S704" s="2883"/>
      <c r="T704" s="2883"/>
      <c r="U704" s="1844"/>
      <c r="V704" s="1846"/>
    </row>
    <row r="705" spans="1:22" s="1842" customFormat="1">
      <c r="A705" s="1843"/>
      <c r="B705" s="1843"/>
      <c r="C705" s="1844"/>
      <c r="D705" s="1844"/>
      <c r="E705" s="1844"/>
      <c r="F705" s="1845"/>
      <c r="G705" s="1845"/>
      <c r="H705" s="1844"/>
      <c r="I705" s="1844"/>
      <c r="J705" s="1844"/>
      <c r="K705" s="1844"/>
      <c r="L705" s="1844"/>
      <c r="M705" s="1844"/>
      <c r="N705" s="1844"/>
      <c r="O705" s="1844"/>
      <c r="P705" s="1844"/>
      <c r="Q705" s="1844"/>
      <c r="R705" s="3649"/>
      <c r="S705" s="2883"/>
      <c r="T705" s="2883"/>
      <c r="U705" s="1844"/>
      <c r="V705" s="1846"/>
    </row>
    <row r="706" spans="1:22" s="1842" customFormat="1">
      <c r="A706" s="1843"/>
      <c r="B706" s="1843"/>
      <c r="C706" s="1844"/>
      <c r="D706" s="1844"/>
      <c r="E706" s="1844"/>
      <c r="F706" s="1845"/>
      <c r="G706" s="1845"/>
      <c r="H706" s="1844"/>
      <c r="I706" s="1844"/>
      <c r="J706" s="1844"/>
      <c r="K706" s="1844"/>
      <c r="L706" s="1844"/>
      <c r="M706" s="1844"/>
      <c r="N706" s="1844"/>
      <c r="O706" s="1844"/>
      <c r="P706" s="1844"/>
      <c r="Q706" s="1844"/>
      <c r="R706" s="3649"/>
      <c r="S706" s="2883"/>
      <c r="T706" s="2883"/>
      <c r="U706" s="1844"/>
      <c r="V706" s="1846"/>
    </row>
    <row r="707" spans="1:22" s="1842" customFormat="1">
      <c r="A707" s="1843"/>
      <c r="B707" s="1843"/>
      <c r="C707" s="1844"/>
      <c r="D707" s="1844"/>
      <c r="E707" s="1844"/>
      <c r="F707" s="1845"/>
      <c r="G707" s="1845"/>
      <c r="H707" s="1844"/>
      <c r="I707" s="1844"/>
      <c r="J707" s="1844"/>
      <c r="K707" s="1844"/>
      <c r="L707" s="1844"/>
      <c r="M707" s="1844"/>
      <c r="N707" s="1844"/>
      <c r="O707" s="1844"/>
      <c r="P707" s="1844"/>
      <c r="Q707" s="1844"/>
      <c r="R707" s="3649"/>
      <c r="S707" s="2883"/>
      <c r="T707" s="2883"/>
      <c r="U707" s="1844"/>
      <c r="V707" s="1846"/>
    </row>
    <row r="708" spans="1:22" s="1842" customFormat="1">
      <c r="A708" s="1843"/>
      <c r="B708" s="1843"/>
      <c r="C708" s="1844"/>
      <c r="D708" s="1844"/>
      <c r="E708" s="1844"/>
      <c r="F708" s="1845"/>
      <c r="G708" s="1845"/>
      <c r="H708" s="1844"/>
      <c r="I708" s="1844"/>
      <c r="J708" s="1844"/>
      <c r="K708" s="1844"/>
      <c r="L708" s="1844"/>
      <c r="M708" s="1844"/>
      <c r="N708" s="1844"/>
      <c r="O708" s="1844"/>
      <c r="P708" s="1844"/>
      <c r="Q708" s="1844"/>
      <c r="R708" s="3649"/>
      <c r="S708" s="2883"/>
      <c r="T708" s="2883"/>
      <c r="U708" s="1844"/>
      <c r="V708" s="1846"/>
    </row>
    <row r="709" spans="1:22" s="1842" customFormat="1">
      <c r="A709" s="1843"/>
      <c r="B709" s="1843"/>
      <c r="C709" s="1844"/>
      <c r="D709" s="1844"/>
      <c r="E709" s="1844"/>
      <c r="F709" s="1845"/>
      <c r="G709" s="1845"/>
      <c r="H709" s="1844"/>
      <c r="I709" s="1844"/>
      <c r="J709" s="1844"/>
      <c r="K709" s="1844"/>
      <c r="L709" s="1844"/>
      <c r="M709" s="1844"/>
      <c r="N709" s="1844"/>
      <c r="O709" s="1844"/>
      <c r="P709" s="1844"/>
      <c r="Q709" s="1844"/>
      <c r="R709" s="3649"/>
      <c r="S709" s="2883"/>
      <c r="T709" s="2883"/>
      <c r="U709" s="1844"/>
      <c r="V709" s="1846"/>
    </row>
    <row r="710" spans="1:22" s="1842" customFormat="1">
      <c r="A710" s="1843"/>
      <c r="B710" s="1843"/>
      <c r="C710" s="1844"/>
      <c r="D710" s="1844"/>
      <c r="E710" s="1844"/>
      <c r="F710" s="1845"/>
      <c r="G710" s="1845"/>
      <c r="H710" s="1844"/>
      <c r="I710" s="1844"/>
      <c r="J710" s="1844"/>
      <c r="K710" s="1844"/>
      <c r="L710" s="1844"/>
      <c r="M710" s="1844"/>
      <c r="N710" s="1844"/>
      <c r="O710" s="1844"/>
      <c r="P710" s="1844"/>
      <c r="Q710" s="1844"/>
      <c r="R710" s="3649"/>
      <c r="S710" s="2883"/>
      <c r="T710" s="2883"/>
      <c r="U710" s="1844"/>
      <c r="V710" s="1846"/>
    </row>
    <row r="711" spans="1:22" s="1842" customFormat="1">
      <c r="A711" s="1843"/>
      <c r="B711" s="1843"/>
      <c r="C711" s="1844"/>
      <c r="D711" s="1844"/>
      <c r="E711" s="1844"/>
      <c r="F711" s="1845"/>
      <c r="G711" s="1845"/>
      <c r="H711" s="1844"/>
      <c r="I711" s="1844"/>
      <c r="J711" s="1844"/>
      <c r="K711" s="1844"/>
      <c r="L711" s="1844"/>
      <c r="M711" s="1844"/>
      <c r="N711" s="1844"/>
      <c r="O711" s="1844"/>
      <c r="P711" s="1844"/>
      <c r="Q711" s="1844"/>
      <c r="R711" s="3649"/>
      <c r="S711" s="2883"/>
      <c r="T711" s="2883"/>
      <c r="U711" s="1844"/>
      <c r="V711" s="1846"/>
    </row>
    <row r="712" spans="1:22" s="1842" customFormat="1">
      <c r="A712" s="1843"/>
      <c r="B712" s="1843"/>
      <c r="C712" s="1844"/>
      <c r="D712" s="1844"/>
      <c r="E712" s="1844"/>
      <c r="F712" s="1845"/>
      <c r="G712" s="1845"/>
      <c r="H712" s="1844"/>
      <c r="I712" s="1844"/>
      <c r="J712" s="1844"/>
      <c r="K712" s="1844"/>
      <c r="L712" s="1844"/>
      <c r="M712" s="1844"/>
      <c r="N712" s="1844"/>
      <c r="O712" s="1844"/>
      <c r="P712" s="1844"/>
      <c r="Q712" s="1844"/>
      <c r="R712" s="3649"/>
      <c r="S712" s="2883"/>
      <c r="T712" s="2883"/>
      <c r="U712" s="1844"/>
      <c r="V712" s="1846"/>
    </row>
    <row r="713" spans="1:22" s="1842" customFormat="1">
      <c r="A713" s="1843"/>
      <c r="B713" s="1843"/>
      <c r="C713" s="1844"/>
      <c r="D713" s="1844"/>
      <c r="E713" s="1844"/>
      <c r="F713" s="1845"/>
      <c r="G713" s="1845"/>
      <c r="H713" s="1844"/>
      <c r="I713" s="1844"/>
      <c r="J713" s="1844"/>
      <c r="K713" s="1844"/>
      <c r="L713" s="1844"/>
      <c r="M713" s="1844"/>
      <c r="N713" s="1844"/>
      <c r="O713" s="1844"/>
      <c r="P713" s="1844"/>
      <c r="Q713" s="1844"/>
      <c r="R713" s="3649"/>
      <c r="S713" s="2883"/>
      <c r="T713" s="2883"/>
      <c r="U713" s="1844"/>
      <c r="V713" s="1846"/>
    </row>
    <row r="714" spans="1:22" s="1842" customFormat="1">
      <c r="A714" s="1843"/>
      <c r="B714" s="1843"/>
      <c r="C714" s="1844"/>
      <c r="D714" s="1844"/>
      <c r="E714" s="1844"/>
      <c r="F714" s="1845"/>
      <c r="G714" s="1845"/>
      <c r="H714" s="1844"/>
      <c r="I714" s="1844"/>
      <c r="J714" s="1844"/>
      <c r="K714" s="1844"/>
      <c r="L714" s="1844"/>
      <c r="M714" s="1844"/>
      <c r="N714" s="1844"/>
      <c r="O714" s="1844"/>
      <c r="P714" s="1844"/>
      <c r="Q714" s="1844"/>
      <c r="R714" s="3649"/>
      <c r="S714" s="2883"/>
      <c r="T714" s="2883"/>
      <c r="U714" s="1844"/>
      <c r="V714" s="1846"/>
    </row>
    <row r="715" spans="1:22" s="1842" customFormat="1">
      <c r="A715" s="1843"/>
      <c r="B715" s="1843"/>
      <c r="C715" s="1844"/>
      <c r="D715" s="1844"/>
      <c r="E715" s="1844"/>
      <c r="F715" s="1845"/>
      <c r="G715" s="1845"/>
      <c r="H715" s="1844"/>
      <c r="I715" s="1844"/>
      <c r="J715" s="1844"/>
      <c r="K715" s="1844"/>
      <c r="L715" s="1844"/>
      <c r="M715" s="1844"/>
      <c r="N715" s="1844"/>
      <c r="O715" s="1844"/>
      <c r="P715" s="1844"/>
      <c r="Q715" s="1844"/>
      <c r="R715" s="3649"/>
      <c r="S715" s="2883"/>
      <c r="T715" s="2883"/>
      <c r="U715" s="1844"/>
      <c r="V715" s="1846"/>
    </row>
    <row r="716" spans="1:22" s="1842" customFormat="1">
      <c r="A716" s="1843"/>
      <c r="B716" s="1843"/>
      <c r="C716" s="1844"/>
      <c r="D716" s="1844"/>
      <c r="E716" s="1844"/>
      <c r="F716" s="1845"/>
      <c r="G716" s="1845"/>
      <c r="H716" s="1844"/>
      <c r="I716" s="1844"/>
      <c r="J716" s="1844"/>
      <c r="K716" s="1844"/>
      <c r="L716" s="1844"/>
      <c r="M716" s="1844"/>
      <c r="N716" s="1844"/>
      <c r="O716" s="1844"/>
      <c r="P716" s="1844"/>
      <c r="Q716" s="1844"/>
      <c r="R716" s="3649"/>
      <c r="S716" s="2883"/>
      <c r="T716" s="2883"/>
      <c r="U716" s="1844"/>
      <c r="V716" s="1846"/>
    </row>
    <row r="717" spans="1:22" s="1842" customFormat="1">
      <c r="A717" s="1843"/>
      <c r="B717" s="1843"/>
      <c r="C717" s="1844"/>
      <c r="D717" s="1844"/>
      <c r="E717" s="1844"/>
      <c r="F717" s="1845"/>
      <c r="G717" s="1845"/>
      <c r="H717" s="1844"/>
      <c r="I717" s="1844"/>
      <c r="J717" s="1844"/>
      <c r="K717" s="1844"/>
      <c r="L717" s="1844"/>
      <c r="M717" s="1844"/>
      <c r="N717" s="1844"/>
      <c r="O717" s="1844"/>
      <c r="P717" s="1844"/>
      <c r="Q717" s="1844"/>
      <c r="R717" s="3649"/>
      <c r="S717" s="2883"/>
      <c r="T717" s="2883"/>
      <c r="U717" s="1844"/>
      <c r="V717" s="1846"/>
    </row>
    <row r="718" spans="1:22" s="1842" customFormat="1">
      <c r="A718" s="1843"/>
      <c r="B718" s="1843"/>
      <c r="C718" s="1844"/>
      <c r="D718" s="1844"/>
      <c r="E718" s="1844"/>
      <c r="F718" s="1845"/>
      <c r="G718" s="1845"/>
      <c r="H718" s="1844"/>
      <c r="I718" s="1844"/>
      <c r="J718" s="1844"/>
      <c r="K718" s="1844"/>
      <c r="L718" s="1844"/>
      <c r="M718" s="1844"/>
      <c r="N718" s="1844"/>
      <c r="O718" s="1844"/>
      <c r="P718" s="1844"/>
      <c r="Q718" s="1844"/>
      <c r="R718" s="3649"/>
      <c r="S718" s="2883"/>
      <c r="T718" s="2883"/>
      <c r="U718" s="1844"/>
      <c r="V718" s="1846"/>
    </row>
    <row r="719" spans="1:22" s="1842" customFormat="1">
      <c r="A719" s="1843"/>
      <c r="B719" s="1843"/>
      <c r="C719" s="1844"/>
      <c r="D719" s="1844"/>
      <c r="E719" s="1844"/>
      <c r="F719" s="1845"/>
      <c r="G719" s="1845"/>
      <c r="H719" s="1844"/>
      <c r="I719" s="1844"/>
      <c r="J719" s="1844"/>
      <c r="K719" s="1844"/>
      <c r="L719" s="1844"/>
      <c r="M719" s="1844"/>
      <c r="N719" s="1844"/>
      <c r="O719" s="1844"/>
      <c r="P719" s="1844"/>
      <c r="Q719" s="1844"/>
      <c r="R719" s="3649"/>
      <c r="S719" s="2883"/>
      <c r="T719" s="2883"/>
      <c r="U719" s="1844"/>
      <c r="V719" s="1846"/>
    </row>
    <row r="720" spans="1:22" s="1842" customFormat="1">
      <c r="A720" s="1843"/>
      <c r="B720" s="1843"/>
      <c r="C720" s="1844"/>
      <c r="D720" s="1844"/>
      <c r="E720" s="1844"/>
      <c r="F720" s="1845"/>
      <c r="G720" s="1845"/>
      <c r="H720" s="1844"/>
      <c r="I720" s="1844"/>
      <c r="J720" s="1844"/>
      <c r="K720" s="1844"/>
      <c r="L720" s="1844"/>
      <c r="M720" s="1844"/>
      <c r="N720" s="1844"/>
      <c r="O720" s="1844"/>
      <c r="P720" s="1844"/>
      <c r="Q720" s="1844"/>
      <c r="R720" s="3649"/>
      <c r="S720" s="2883"/>
      <c r="T720" s="2883"/>
      <c r="U720" s="1844"/>
      <c r="V720" s="1846"/>
    </row>
    <row r="721" spans="1:22" s="1842" customFormat="1">
      <c r="A721" s="1843"/>
      <c r="B721" s="1843"/>
      <c r="C721" s="1844"/>
      <c r="D721" s="1844"/>
      <c r="E721" s="1844"/>
      <c r="F721" s="1845"/>
      <c r="G721" s="1845"/>
      <c r="H721" s="1844"/>
      <c r="I721" s="1844"/>
      <c r="J721" s="1844"/>
      <c r="K721" s="1844"/>
      <c r="L721" s="1844"/>
      <c r="M721" s="1844"/>
      <c r="N721" s="1844"/>
      <c r="O721" s="1844"/>
      <c r="P721" s="1844"/>
      <c r="Q721" s="1844"/>
      <c r="R721" s="3649"/>
      <c r="S721" s="2883"/>
      <c r="T721" s="2883"/>
      <c r="U721" s="1844"/>
      <c r="V721" s="1846"/>
    </row>
    <row r="722" spans="1:22" s="1842" customFormat="1">
      <c r="A722" s="1843"/>
      <c r="B722" s="1843"/>
      <c r="C722" s="1844"/>
      <c r="D722" s="1844"/>
      <c r="E722" s="1844"/>
      <c r="F722" s="1845"/>
      <c r="G722" s="1845"/>
      <c r="H722" s="1844"/>
      <c r="I722" s="1844"/>
      <c r="J722" s="1844"/>
      <c r="K722" s="1844"/>
      <c r="L722" s="1844"/>
      <c r="M722" s="1844"/>
      <c r="N722" s="1844"/>
      <c r="O722" s="1844"/>
      <c r="P722" s="1844"/>
      <c r="Q722" s="1844"/>
      <c r="R722" s="3649"/>
      <c r="S722" s="2883"/>
      <c r="T722" s="2883"/>
      <c r="U722" s="1844"/>
      <c r="V722" s="1846"/>
    </row>
    <row r="723" spans="1:22" s="1842" customFormat="1">
      <c r="A723" s="1843"/>
      <c r="B723" s="1843"/>
      <c r="C723" s="1844"/>
      <c r="D723" s="1844"/>
      <c r="E723" s="1844"/>
      <c r="F723" s="1845"/>
      <c r="G723" s="1845"/>
      <c r="H723" s="1844"/>
      <c r="I723" s="1844"/>
      <c r="J723" s="1844"/>
      <c r="K723" s="1844"/>
      <c r="L723" s="1844"/>
      <c r="M723" s="1844"/>
      <c r="N723" s="1844"/>
      <c r="O723" s="1844"/>
      <c r="P723" s="1844"/>
      <c r="Q723" s="1844"/>
      <c r="R723" s="3649"/>
      <c r="S723" s="2883"/>
      <c r="T723" s="2883"/>
      <c r="U723" s="1844"/>
      <c r="V723" s="1846"/>
    </row>
    <row r="724" spans="1:22" s="1842" customFormat="1">
      <c r="A724" s="1843"/>
      <c r="B724" s="1843"/>
      <c r="C724" s="1844"/>
      <c r="D724" s="1844"/>
      <c r="E724" s="1844"/>
      <c r="F724" s="1845"/>
      <c r="G724" s="1845"/>
      <c r="H724" s="1844"/>
      <c r="I724" s="1844"/>
      <c r="J724" s="1844"/>
      <c r="K724" s="1844"/>
      <c r="L724" s="1844"/>
      <c r="M724" s="1844"/>
      <c r="N724" s="1844"/>
      <c r="O724" s="1844"/>
      <c r="P724" s="1844"/>
      <c r="Q724" s="1844"/>
      <c r="R724" s="3649"/>
      <c r="S724" s="2883"/>
      <c r="T724" s="2883"/>
      <c r="U724" s="1844"/>
      <c r="V724" s="1846"/>
    </row>
    <row r="725" spans="1:22" s="1842" customFormat="1">
      <c r="A725" s="1843"/>
      <c r="B725" s="1843"/>
      <c r="C725" s="1844"/>
      <c r="D725" s="1844"/>
      <c r="E725" s="1844"/>
      <c r="F725" s="1845"/>
      <c r="G725" s="1845"/>
      <c r="H725" s="1844"/>
      <c r="I725" s="1844"/>
      <c r="J725" s="1844"/>
      <c r="K725" s="1844"/>
      <c r="L725" s="1844"/>
      <c r="M725" s="1844"/>
      <c r="N725" s="1844"/>
      <c r="O725" s="1844"/>
      <c r="P725" s="1844"/>
      <c r="Q725" s="1844"/>
      <c r="R725" s="3649"/>
      <c r="S725" s="2883"/>
      <c r="T725" s="2883"/>
      <c r="U725" s="1844"/>
      <c r="V725" s="1846"/>
    </row>
    <row r="726" spans="1:22" s="1842" customFormat="1">
      <c r="A726" s="1843"/>
      <c r="B726" s="1843"/>
      <c r="C726" s="1844"/>
      <c r="D726" s="1844"/>
      <c r="E726" s="1844"/>
      <c r="F726" s="1845"/>
      <c r="G726" s="1845"/>
      <c r="H726" s="1844"/>
      <c r="I726" s="1844"/>
      <c r="J726" s="1844"/>
      <c r="K726" s="1844"/>
      <c r="L726" s="1844"/>
      <c r="M726" s="1844"/>
      <c r="N726" s="1844"/>
      <c r="O726" s="1844"/>
      <c r="P726" s="1844"/>
      <c r="Q726" s="1844"/>
      <c r="R726" s="3649"/>
      <c r="S726" s="2883"/>
      <c r="T726" s="2883"/>
      <c r="U726" s="1844"/>
      <c r="V726" s="1846"/>
    </row>
    <row r="727" spans="1:22" s="1842" customFormat="1">
      <c r="A727" s="1843"/>
      <c r="B727" s="1843"/>
      <c r="C727" s="1844"/>
      <c r="D727" s="1844"/>
      <c r="E727" s="1844"/>
      <c r="F727" s="1845"/>
      <c r="G727" s="1845"/>
      <c r="H727" s="1844"/>
      <c r="I727" s="1844"/>
      <c r="J727" s="1844"/>
      <c r="K727" s="1844"/>
      <c r="L727" s="1844"/>
      <c r="M727" s="1844"/>
      <c r="N727" s="1844"/>
      <c r="O727" s="1844"/>
      <c r="P727" s="1844"/>
      <c r="Q727" s="1844"/>
      <c r="R727" s="3649"/>
      <c r="S727" s="2883"/>
      <c r="T727" s="2883"/>
      <c r="U727" s="1844"/>
      <c r="V727" s="1846"/>
    </row>
    <row r="728" spans="1:22" s="1842" customFormat="1">
      <c r="A728" s="1843"/>
      <c r="B728" s="1843"/>
      <c r="C728" s="1844"/>
      <c r="D728" s="1844"/>
      <c r="E728" s="1844"/>
      <c r="F728" s="1845"/>
      <c r="G728" s="1845"/>
      <c r="H728" s="1844"/>
      <c r="I728" s="1844"/>
      <c r="J728" s="1844"/>
      <c r="K728" s="1844"/>
      <c r="L728" s="1844"/>
      <c r="M728" s="1844"/>
      <c r="N728" s="1844"/>
      <c r="O728" s="1844"/>
      <c r="P728" s="1844"/>
      <c r="Q728" s="1844"/>
      <c r="R728" s="3649"/>
      <c r="S728" s="2883"/>
      <c r="T728" s="2883"/>
      <c r="U728" s="1844"/>
      <c r="V728" s="1846"/>
    </row>
    <row r="729" spans="1:22" s="1842" customFormat="1">
      <c r="A729" s="1843"/>
      <c r="B729" s="1843"/>
      <c r="C729" s="1844"/>
      <c r="D729" s="1844"/>
      <c r="E729" s="1844"/>
      <c r="F729" s="1845"/>
      <c r="G729" s="1845"/>
      <c r="H729" s="1844"/>
      <c r="I729" s="1844"/>
      <c r="J729" s="1844"/>
      <c r="K729" s="1844"/>
      <c r="L729" s="1844"/>
      <c r="M729" s="1844"/>
      <c r="N729" s="1844"/>
      <c r="O729" s="1844"/>
      <c r="P729" s="1844"/>
      <c r="Q729" s="1844"/>
      <c r="R729" s="3649"/>
      <c r="S729" s="2883"/>
      <c r="T729" s="2883"/>
      <c r="U729" s="1844"/>
      <c r="V729" s="1846"/>
    </row>
    <row r="730" spans="1:22" s="1842" customFormat="1">
      <c r="A730" s="1843"/>
      <c r="B730" s="1843"/>
      <c r="C730" s="1844"/>
      <c r="D730" s="1844"/>
      <c r="E730" s="1844"/>
      <c r="F730" s="1845"/>
      <c r="G730" s="1845"/>
      <c r="H730" s="1844"/>
      <c r="I730" s="1844"/>
      <c r="J730" s="1844"/>
      <c r="K730" s="1844"/>
      <c r="L730" s="1844"/>
      <c r="M730" s="1844"/>
      <c r="N730" s="1844"/>
      <c r="O730" s="1844"/>
      <c r="P730" s="1844"/>
      <c r="Q730" s="1844"/>
      <c r="R730" s="3649"/>
      <c r="S730" s="2883"/>
      <c r="T730" s="2883"/>
      <c r="U730" s="1844"/>
      <c r="V730" s="1846"/>
    </row>
  </sheetData>
  <sheetProtection selectLockedCells="1" selectUnlockedCells="1"/>
  <autoFilter ref="L8:O582"/>
  <mergeCells count="18">
    <mergeCell ref="A582:I582"/>
    <mergeCell ref="H605:I605"/>
    <mergeCell ref="H634:I634"/>
    <mergeCell ref="S5:S6"/>
    <mergeCell ref="T5:T6"/>
    <mergeCell ref="U5:U6"/>
    <mergeCell ref="A7:E7"/>
    <mergeCell ref="F7:I7"/>
    <mergeCell ref="H476:I476"/>
    <mergeCell ref="A2:R2"/>
    <mergeCell ref="A5:E6"/>
    <mergeCell ref="F5:I6"/>
    <mergeCell ref="J5:J6"/>
    <mergeCell ref="K5:K6"/>
    <mergeCell ref="L5:L6"/>
    <mergeCell ref="M5:O5"/>
    <mergeCell ref="Q5:Q6"/>
    <mergeCell ref="R5:R6"/>
  </mergeCells>
  <pageMargins left="0.51181102362204722" right="0.15748031496062992" top="0.31496062992125984" bottom="0.55118110236220474" header="0.31496062992125984" footer="0.27559055118110237"/>
  <pageSetup paperSize="9" scale="70" orientation="portrait" useFirstPageNumber="1" r:id="rId1"/>
  <headerFooter alignWithMargins="0">
    <oddHeader>Page &amp;P</oddHeader>
    <oddFooter>&amp;L&amp;8Rencana Perubahan Target Tahun 2017 - BAPPENDA NTB&amp;C&amp;7&amp;K02-047&amp;F&amp;D&amp;T&amp;RHal. &amp;P</oddFooter>
  </headerFooter>
  <rowBreaks count="4" manualBreakCount="4">
    <brk id="77" max="17" man="1"/>
    <brk id="236" max="17" man="1"/>
    <brk id="404" max="17" man="1"/>
    <brk id="536" max="17" man="1"/>
  </row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L90"/>
  <sheetViews>
    <sheetView view="pageBreakPreview" topLeftCell="A4" zoomScale="98" zoomScaleNormal="120" zoomScaleSheetLayoutView="98" workbookViewId="0">
      <pane ySplit="4" topLeftCell="A8" activePane="bottomLeft" state="frozen"/>
      <selection activeCell="A4" sqref="A4"/>
      <selection pane="bottomLeft" activeCell="O38" sqref="O38"/>
    </sheetView>
  </sheetViews>
  <sheetFormatPr defaultColWidth="9.109375" defaultRowHeight="13.15"/>
  <cols>
    <col min="1" max="1" width="6.44140625" style="189" customWidth="1"/>
    <col min="2" max="7" width="2.6640625" style="193" customWidth="1"/>
    <col min="8" max="8" width="2.33203125" style="189" customWidth="1"/>
    <col min="9" max="9" width="6" style="189" customWidth="1"/>
    <col min="10" max="10" width="32.109375" style="189" customWidth="1"/>
    <col min="11" max="11" width="20.109375" style="189" hidden="1" customWidth="1"/>
    <col min="12" max="12" width="20" style="189" hidden="1" customWidth="1"/>
    <col min="13" max="13" width="19.5546875" style="189" customWidth="1"/>
    <col min="14" max="14" width="18.6640625" style="189" hidden="1" customWidth="1"/>
    <col min="15" max="15" width="20.44140625" style="189" customWidth="1"/>
    <col min="16" max="16" width="17.33203125" style="189" customWidth="1"/>
    <col min="17" max="17" width="8" style="189" customWidth="1"/>
    <col min="18" max="18" width="7.5546875" style="189" customWidth="1"/>
    <col min="19" max="19" width="20.109375" style="189" customWidth="1"/>
    <col min="20" max="20" width="17.5546875" style="189" bestFit="1" customWidth="1"/>
    <col min="21" max="16384" width="9.109375" style="189"/>
  </cols>
  <sheetData>
    <row r="1" spans="1:21" ht="18.2">
      <c r="A1" s="5808" t="s">
        <v>1184</v>
      </c>
      <c r="B1" s="5809"/>
      <c r="C1" s="5809"/>
      <c r="D1" s="5809"/>
      <c r="E1" s="5809"/>
      <c r="F1" s="5809"/>
      <c r="G1" s="5809"/>
      <c r="H1" s="5809"/>
      <c r="I1" s="5809"/>
      <c r="J1" s="5809"/>
      <c r="K1" s="5809"/>
      <c r="L1" s="5809"/>
      <c r="M1" s="5809"/>
      <c r="N1" s="5809"/>
      <c r="O1" s="5809"/>
      <c r="P1" s="5809"/>
      <c r="Q1" s="5809"/>
      <c r="R1" s="5809"/>
    </row>
    <row r="2" spans="1:21" ht="18.2">
      <c r="A2" s="5809" t="s">
        <v>1077</v>
      </c>
      <c r="B2" s="5809"/>
      <c r="C2" s="5809"/>
      <c r="D2" s="5809"/>
      <c r="E2" s="5809"/>
      <c r="F2" s="5809"/>
      <c r="G2" s="5809"/>
      <c r="H2" s="5809"/>
      <c r="I2" s="5809"/>
      <c r="J2" s="5809"/>
      <c r="K2" s="5809"/>
      <c r="L2" s="5809"/>
      <c r="M2" s="5809"/>
      <c r="N2" s="5809"/>
      <c r="O2" s="5809"/>
      <c r="P2" s="5809"/>
      <c r="Q2" s="5809"/>
      <c r="R2" s="5809"/>
    </row>
    <row r="3" spans="1:21">
      <c r="A3" s="194"/>
      <c r="B3" s="195"/>
      <c r="C3" s="195"/>
      <c r="D3" s="195"/>
      <c r="E3" s="195"/>
      <c r="F3" s="195"/>
      <c r="G3" s="195"/>
      <c r="H3" s="194"/>
      <c r="I3" s="194"/>
      <c r="J3" s="194"/>
      <c r="K3" s="194"/>
      <c r="L3" s="194"/>
      <c r="M3" s="194"/>
      <c r="N3" s="194"/>
      <c r="O3" s="194"/>
      <c r="P3" s="194"/>
      <c r="Q3" s="5810"/>
      <c r="R3" s="5810"/>
    </row>
    <row r="4" spans="1:21" ht="15.85" customHeight="1">
      <c r="A4" s="196" t="s">
        <v>937</v>
      </c>
      <c r="B4" s="5811" t="s">
        <v>938</v>
      </c>
      <c r="C4" s="5812"/>
      <c r="D4" s="5812"/>
      <c r="E4" s="5812"/>
      <c r="F4" s="5812"/>
      <c r="G4" s="5813"/>
      <c r="H4" s="5817" t="s">
        <v>56</v>
      </c>
      <c r="I4" s="5817"/>
      <c r="J4" s="5817"/>
      <c r="K4" s="5818" t="s">
        <v>474</v>
      </c>
      <c r="L4" s="5818" t="s">
        <v>475</v>
      </c>
      <c r="M4" s="5818" t="s">
        <v>416</v>
      </c>
      <c r="N4" s="5820" t="s">
        <v>1078</v>
      </c>
      <c r="O4" s="214" t="s">
        <v>476</v>
      </c>
      <c r="P4" s="5821" t="s">
        <v>477</v>
      </c>
      <c r="Q4" s="5823" t="s">
        <v>6</v>
      </c>
      <c r="R4" s="5747" t="s">
        <v>704</v>
      </c>
    </row>
    <row r="5" spans="1:21" ht="14.25" customHeight="1">
      <c r="A5" s="197" t="s">
        <v>942</v>
      </c>
      <c r="B5" s="5814"/>
      <c r="C5" s="5815"/>
      <c r="D5" s="5815"/>
      <c r="E5" s="5815"/>
      <c r="F5" s="5815"/>
      <c r="G5" s="5816"/>
      <c r="H5" s="5824" t="s">
        <v>1080</v>
      </c>
      <c r="I5" s="5824"/>
      <c r="J5" s="5824"/>
      <c r="K5" s="5819"/>
      <c r="L5" s="5819"/>
      <c r="M5" s="5819"/>
      <c r="N5" s="5820"/>
      <c r="O5" s="215" t="s">
        <v>481</v>
      </c>
      <c r="P5" s="5822"/>
      <c r="Q5" s="5823"/>
      <c r="R5" s="5748"/>
    </row>
    <row r="6" spans="1:21" ht="12.7" customHeight="1">
      <c r="A6" s="198">
        <v>1</v>
      </c>
      <c r="B6" s="5806">
        <v>2</v>
      </c>
      <c r="C6" s="5806"/>
      <c r="D6" s="5806"/>
      <c r="E6" s="5806"/>
      <c r="F6" s="5806"/>
      <c r="G6" s="5806"/>
      <c r="H6" s="5807">
        <v>3</v>
      </c>
      <c r="I6" s="5807"/>
      <c r="J6" s="5807"/>
      <c r="K6" s="198">
        <v>4</v>
      </c>
      <c r="L6" s="198">
        <v>5</v>
      </c>
      <c r="M6" s="198">
        <v>6</v>
      </c>
      <c r="N6" s="198">
        <v>7</v>
      </c>
      <c r="O6" s="2777" t="s">
        <v>485</v>
      </c>
      <c r="P6" s="2777" t="s">
        <v>486</v>
      </c>
      <c r="Q6" s="2777" t="s">
        <v>444</v>
      </c>
      <c r="R6" s="2777" t="s">
        <v>969</v>
      </c>
      <c r="S6" s="3483"/>
      <c r="T6" s="226"/>
      <c r="U6" s="226"/>
    </row>
    <row r="7" spans="1:21" s="3433" customFormat="1" ht="15.85" customHeight="1">
      <c r="A7" s="3424"/>
      <c r="B7" s="3425">
        <v>6</v>
      </c>
      <c r="C7" s="3425">
        <v>1</v>
      </c>
      <c r="D7" s="3425">
        <v>1</v>
      </c>
      <c r="E7" s="3425" t="s">
        <v>445</v>
      </c>
      <c r="F7" s="3425" t="s">
        <v>440</v>
      </c>
      <c r="G7" s="3426"/>
      <c r="H7" s="3427" t="s">
        <v>1081</v>
      </c>
      <c r="I7" s="3428"/>
      <c r="J7" s="3429"/>
      <c r="K7" s="3519">
        <f t="shared" ref="K7:P7" si="0">K8+K55+K61</f>
        <v>3794636377504</v>
      </c>
      <c r="L7" s="3519">
        <f t="shared" si="0"/>
        <v>3946978987678.9697</v>
      </c>
      <c r="M7" s="3519">
        <f t="shared" si="0"/>
        <v>4791397359569</v>
      </c>
      <c r="N7" s="3519">
        <f t="shared" si="0"/>
        <v>1163476630856.72</v>
      </c>
      <c r="O7" s="3519">
        <f t="shared" si="0"/>
        <v>4914220642727</v>
      </c>
      <c r="P7" s="3999">
        <f t="shared" si="0"/>
        <v>122823283158</v>
      </c>
      <c r="Q7" s="3430">
        <f>O7/M7*100-100</f>
        <v>2.5634125901227378</v>
      </c>
      <c r="R7" s="3431"/>
      <c r="S7" s="436">
        <f>+O7-M7</f>
        <v>122823283158</v>
      </c>
      <c r="T7" s="3432">
        <f>+S7-P7</f>
        <v>0</v>
      </c>
    </row>
    <row r="8" spans="1:21" s="3408" customFormat="1" ht="17.100000000000001" customHeight="1">
      <c r="A8" s="3417" t="s">
        <v>61</v>
      </c>
      <c r="B8" s="3418"/>
      <c r="C8" s="3418"/>
      <c r="D8" s="3418"/>
      <c r="E8" s="3418"/>
      <c r="F8" s="3418"/>
      <c r="G8" s="3419"/>
      <c r="H8" s="4495" t="s">
        <v>180</v>
      </c>
      <c r="I8" s="3420"/>
      <c r="J8" s="3421"/>
      <c r="K8" s="3520">
        <f>K9+K15+K31+K42</f>
        <v>1442161862024</v>
      </c>
      <c r="L8" s="3520">
        <f>L9+L15+L31+L42</f>
        <v>1341792732792.4299</v>
      </c>
      <c r="M8" s="3520">
        <f>M9+M15+M31+M42</f>
        <v>1501611335359</v>
      </c>
      <c r="N8" s="3520">
        <f>N9+N15+N31+N42</f>
        <v>287722965598.72998</v>
      </c>
      <c r="O8" s="3520">
        <f>O9+O15+O31+O42</f>
        <v>1617193515497</v>
      </c>
      <c r="P8" s="4000">
        <f>O8-M8</f>
        <v>115582180138</v>
      </c>
      <c r="Q8" s="3406">
        <f t="shared" ref="Q8:Q67" si="1">O8/M8*100-100</f>
        <v>7.6972101512783979</v>
      </c>
      <c r="R8" s="3422"/>
      <c r="S8" s="436">
        <f>+O8-M8</f>
        <v>115582180138</v>
      </c>
      <c r="T8" s="3407">
        <f>+S8-P8</f>
        <v>0</v>
      </c>
    </row>
    <row r="9" spans="1:21" s="3493" customFormat="1" ht="17.100000000000001" customHeight="1">
      <c r="A9" s="3484" t="s">
        <v>1185</v>
      </c>
      <c r="B9" s="3485">
        <v>4</v>
      </c>
      <c r="C9" s="3485">
        <v>1</v>
      </c>
      <c r="D9" s="3485">
        <v>1</v>
      </c>
      <c r="E9" s="3485"/>
      <c r="F9" s="3485"/>
      <c r="G9" s="3486" t="s">
        <v>1082</v>
      </c>
      <c r="H9" s="3496" t="s">
        <v>1141</v>
      </c>
      <c r="I9" s="3488"/>
      <c r="J9" s="3489"/>
      <c r="K9" s="3521">
        <f t="shared" ref="K9:P9" si="2">SUM(K10:K14)</f>
        <v>1037549599000</v>
      </c>
      <c r="L9" s="3521">
        <f t="shared" si="2"/>
        <v>1003260953668</v>
      </c>
      <c r="M9" s="3521">
        <f t="shared" si="2"/>
        <v>1122139007935</v>
      </c>
      <c r="N9" s="3521">
        <f t="shared" si="2"/>
        <v>233266101062</v>
      </c>
      <c r="O9" s="3521">
        <f t="shared" si="2"/>
        <v>1140499313935</v>
      </c>
      <c r="P9" s="4001">
        <f t="shared" si="2"/>
        <v>18360306000</v>
      </c>
      <c r="Q9" s="3490">
        <f t="shared" si="1"/>
        <v>1.6361881968426815</v>
      </c>
      <c r="R9" s="3491"/>
      <c r="S9" s="436"/>
      <c r="T9" s="3492"/>
    </row>
    <row r="10" spans="1:21" ht="17.100000000000001" customHeight="1">
      <c r="A10" s="3340"/>
      <c r="B10" s="3667">
        <v>4</v>
      </c>
      <c r="C10" s="3667">
        <v>1</v>
      </c>
      <c r="D10" s="3667">
        <v>1</v>
      </c>
      <c r="E10" s="3668" t="s">
        <v>437</v>
      </c>
      <c r="F10" s="3667"/>
      <c r="G10" s="3350"/>
      <c r="H10" s="3669" t="s">
        <v>1142</v>
      </c>
      <c r="I10" s="2113"/>
      <c r="J10" s="3670"/>
      <c r="K10" s="3504">
        <f>'KOM opsi 1'!J14</f>
        <v>248153000000</v>
      </c>
      <c r="L10" s="3504">
        <f>'KOM opsi 1'!K14</f>
        <v>269187973631</v>
      </c>
      <c r="M10" s="3504">
        <f>'KOM opsi 1'!L14</f>
        <v>311893723935</v>
      </c>
      <c r="N10" s="3504">
        <f>'KOM opsi 1'!O14</f>
        <v>69415566816</v>
      </c>
      <c r="O10" s="4007">
        <f>'KOM revisi stlh KUA'!P13</f>
        <v>311893723935</v>
      </c>
      <c r="P10" s="3864">
        <f>O10-M10</f>
        <v>0</v>
      </c>
      <c r="Q10" s="3673">
        <f t="shared" si="1"/>
        <v>0</v>
      </c>
      <c r="R10" s="3674"/>
      <c r="S10" s="436"/>
      <c r="T10" s="436"/>
    </row>
    <row r="11" spans="1:21" ht="17.100000000000001" customHeight="1">
      <c r="A11" s="3343"/>
      <c r="B11" s="3343">
        <v>4</v>
      </c>
      <c r="C11" s="3343">
        <v>1</v>
      </c>
      <c r="D11" s="3343">
        <v>1</v>
      </c>
      <c r="E11" s="3675" t="s">
        <v>440</v>
      </c>
      <c r="F11" s="3343"/>
      <c r="G11" s="3352"/>
      <c r="H11" s="3676" t="s">
        <v>1153</v>
      </c>
      <c r="I11" s="202"/>
      <c r="J11" s="218"/>
      <c r="K11" s="3506">
        <f>'KOM opsi 1'!J26</f>
        <v>318503155000</v>
      </c>
      <c r="L11" s="3506">
        <f>'KOM opsi 1'!K26</f>
        <v>322208887701</v>
      </c>
      <c r="M11" s="3506">
        <f>'KOM opsi 1'!L26</f>
        <v>321503155000</v>
      </c>
      <c r="N11" s="3506">
        <f>'KOM opsi 1'!O26</f>
        <v>72721445555</v>
      </c>
      <c r="O11" s="3506">
        <f>'KOM sementara'!P25</f>
        <v>299817600000</v>
      </c>
      <c r="P11" s="4002">
        <f>O11-M11</f>
        <v>-21685555000</v>
      </c>
      <c r="Q11" s="3678">
        <f t="shared" si="1"/>
        <v>-6.7450520042330595</v>
      </c>
      <c r="R11" s="3679"/>
      <c r="S11" s="436"/>
      <c r="T11" s="436"/>
    </row>
    <row r="12" spans="1:21" ht="17.100000000000001" customHeight="1">
      <c r="A12" s="3343"/>
      <c r="B12" s="3343">
        <v>4</v>
      </c>
      <c r="C12" s="3343">
        <v>1</v>
      </c>
      <c r="D12" s="3343">
        <v>1</v>
      </c>
      <c r="E12" s="3675" t="s">
        <v>451</v>
      </c>
      <c r="F12" s="3343"/>
      <c r="G12" s="3352"/>
      <c r="H12" s="3676" t="s">
        <v>1154</v>
      </c>
      <c r="I12" s="202"/>
      <c r="J12" s="218"/>
      <c r="K12" s="3506">
        <f>'KOM opsi 1'!J38</f>
        <v>192900000000</v>
      </c>
      <c r="L12" s="3506">
        <f>'KOM opsi 1'!K38</f>
        <v>188945861622</v>
      </c>
      <c r="M12" s="3506">
        <f>'KOM opsi 1'!L38</f>
        <v>192900000000</v>
      </c>
      <c r="N12" s="3506">
        <f>'KOM opsi 1'!O38</f>
        <v>46114131883</v>
      </c>
      <c r="O12" s="3506">
        <f>'KOM sementara'!P37</f>
        <v>188945861000</v>
      </c>
      <c r="P12" s="4002">
        <f>O12-M12</f>
        <v>-3954139000</v>
      </c>
      <c r="Q12" s="3678">
        <f t="shared" si="1"/>
        <v>-2.0498387765681656</v>
      </c>
      <c r="R12" s="3679"/>
      <c r="S12" s="436"/>
      <c r="T12" s="436"/>
    </row>
    <row r="13" spans="1:21" ht="15.85" customHeight="1">
      <c r="A13" s="3343"/>
      <c r="B13" s="3343">
        <v>4</v>
      </c>
      <c r="C13" s="3343">
        <v>1</v>
      </c>
      <c r="D13" s="3343">
        <v>1</v>
      </c>
      <c r="E13" s="3675" t="s">
        <v>441</v>
      </c>
      <c r="F13" s="3343"/>
      <c r="G13" s="3352"/>
      <c r="H13" s="3676" t="s">
        <v>1156</v>
      </c>
      <c r="I13" s="202"/>
      <c r="J13" s="218"/>
      <c r="K13" s="3506">
        <f>'KOM opsi 1'!J40</f>
        <v>300000000</v>
      </c>
      <c r="L13" s="3506">
        <f>'KOM opsi 1'!K40</f>
        <v>361290857</v>
      </c>
      <c r="M13" s="3506">
        <f>'KOM opsi 1'!L40</f>
        <v>1000000000</v>
      </c>
      <c r="N13" s="3506">
        <f>'KOM opsi 1'!O40</f>
        <v>228953247</v>
      </c>
      <c r="O13" s="3506">
        <f>'KOM sementara'!P39</f>
        <v>1000000000</v>
      </c>
      <c r="P13" s="3677">
        <f>O13-M13</f>
        <v>0</v>
      </c>
      <c r="Q13" s="3678">
        <f t="shared" si="1"/>
        <v>0</v>
      </c>
      <c r="R13" s="3679"/>
      <c r="S13" s="436"/>
      <c r="T13" s="436"/>
    </row>
    <row r="14" spans="1:21" ht="15.85" customHeight="1">
      <c r="A14" s="3680"/>
      <c r="B14" s="3680">
        <v>4</v>
      </c>
      <c r="C14" s="3680">
        <v>1</v>
      </c>
      <c r="D14" s="3680">
        <v>1</v>
      </c>
      <c r="E14" s="4512" t="s">
        <v>456</v>
      </c>
      <c r="F14" s="3680"/>
      <c r="G14" s="3682"/>
      <c r="H14" s="3683" t="s">
        <v>1157</v>
      </c>
      <c r="I14" s="3684"/>
      <c r="J14" s="3685"/>
      <c r="K14" s="3686">
        <f>'KOM opsi 1'!J42</f>
        <v>277693444000</v>
      </c>
      <c r="L14" s="3686">
        <f>'KOM opsi 1'!K42</f>
        <v>222556939857</v>
      </c>
      <c r="M14" s="3686">
        <f>'KOM opsi 1'!L42</f>
        <v>294842129000</v>
      </c>
      <c r="N14" s="3686">
        <f>'KOM opsi 1'!O42</f>
        <v>44786003561</v>
      </c>
      <c r="O14" s="3686">
        <f>'KOM sementara'!P41</f>
        <v>338842129000</v>
      </c>
      <c r="P14" s="3687">
        <f>O14-M14</f>
        <v>44000000000</v>
      </c>
      <c r="Q14" s="3688">
        <f t="shared" si="1"/>
        <v>14.923240497968322</v>
      </c>
      <c r="R14" s="3689"/>
      <c r="S14" s="436"/>
      <c r="T14" s="436"/>
    </row>
    <row r="15" spans="1:21" s="3493" customFormat="1" ht="16.45" customHeight="1">
      <c r="A15" s="3494" t="s">
        <v>1186</v>
      </c>
      <c r="B15" s="3485">
        <v>4</v>
      </c>
      <c r="C15" s="3485">
        <v>1</v>
      </c>
      <c r="D15" s="3485">
        <v>2</v>
      </c>
      <c r="E15" s="3485"/>
      <c r="F15" s="3485"/>
      <c r="G15" s="3495" t="s">
        <v>1082</v>
      </c>
      <c r="H15" s="3496" t="s">
        <v>106</v>
      </c>
      <c r="I15" s="3488"/>
      <c r="J15" s="3497"/>
      <c r="K15" s="3503">
        <f>SUM(K16:K30)-K16-K21-K27</f>
        <v>29890858000</v>
      </c>
      <c r="L15" s="3503">
        <f>SUM(L16:L30)-L16-L21-L27</f>
        <v>29792038549</v>
      </c>
      <c r="M15" s="3503">
        <f>SUM(M16:M30)-M16-M21-M27</f>
        <v>18459358000</v>
      </c>
      <c r="N15" s="3503">
        <f>SUM(N16:N30)-N16-N21-N27</f>
        <v>4448558476</v>
      </c>
      <c r="O15" s="3503">
        <f>O16+O21+O27</f>
        <v>18685464000</v>
      </c>
      <c r="P15" s="3863">
        <f>SUM(P16:P30)-P16-P21-P27</f>
        <v>226106000</v>
      </c>
      <c r="Q15" s="3490">
        <f t="shared" si="1"/>
        <v>1.2248855025185605</v>
      </c>
      <c r="R15" s="3491"/>
      <c r="S15" s="436">
        <f t="shared" ref="S15:S69" si="3">+O15-M15</f>
        <v>226106000</v>
      </c>
      <c r="T15" s="3492">
        <f t="shared" ref="T15:T69" si="4">+S15-P15</f>
        <v>0</v>
      </c>
    </row>
    <row r="16" spans="1:21">
      <c r="A16" s="3339"/>
      <c r="B16" s="3340">
        <v>4</v>
      </c>
      <c r="C16" s="3340">
        <v>1</v>
      </c>
      <c r="D16" s="3340">
        <v>2</v>
      </c>
      <c r="E16" s="3340" t="s">
        <v>437</v>
      </c>
      <c r="F16" s="3340"/>
      <c r="G16" s="3341"/>
      <c r="H16" s="3089" t="s">
        <v>107</v>
      </c>
      <c r="I16" s="212"/>
      <c r="J16" s="3088"/>
      <c r="K16" s="3504">
        <f>SUM(K17:K19)</f>
        <v>19059250000</v>
      </c>
      <c r="L16" s="3504">
        <f>SUM(L17:L19)</f>
        <v>19214538092</v>
      </c>
      <c r="M16" s="3504">
        <f>SUM(M17:M19)</f>
        <v>7519250000</v>
      </c>
      <c r="N16" s="3504">
        <f>SUM(N17:N19)</f>
        <v>2714722900</v>
      </c>
      <c r="O16" s="3504">
        <f>SUM(O17:O19)</f>
        <v>7519250000</v>
      </c>
      <c r="P16" s="3504">
        <f>O16-M16</f>
        <v>0</v>
      </c>
      <c r="Q16" s="3690">
        <f t="shared" si="1"/>
        <v>0</v>
      </c>
      <c r="R16" s="3083"/>
      <c r="S16" s="436">
        <f t="shared" si="3"/>
        <v>0</v>
      </c>
      <c r="T16" s="436">
        <f t="shared" si="4"/>
        <v>0</v>
      </c>
    </row>
    <row r="17" spans="1:20" ht="12.7" customHeight="1">
      <c r="A17" s="3342"/>
      <c r="B17" s="3343">
        <v>4</v>
      </c>
      <c r="C17" s="3343">
        <v>1</v>
      </c>
      <c r="D17" s="3343">
        <v>2</v>
      </c>
      <c r="E17" s="3343" t="s">
        <v>437</v>
      </c>
      <c r="F17" s="3343" t="s">
        <v>437</v>
      </c>
      <c r="G17" s="3344">
        <v>1</v>
      </c>
      <c r="H17" s="2214" t="s">
        <v>1083</v>
      </c>
      <c r="I17" s="200"/>
      <c r="J17" s="217"/>
      <c r="K17" s="3505">
        <f>+'KOM opsi 1'!J46</f>
        <v>18800000000</v>
      </c>
      <c r="L17" s="3505">
        <f>+'KOM opsi 1'!K46</f>
        <v>18927671342</v>
      </c>
      <c r="M17" s="3505">
        <f>+'KOM opsi 1'!L46</f>
        <v>7500000000</v>
      </c>
      <c r="N17" s="3505">
        <f>'KOM opsi 1'!O46</f>
        <v>2714722900</v>
      </c>
      <c r="O17" s="3505">
        <f>'KOM sementara'!P45</f>
        <v>7500000000</v>
      </c>
      <c r="P17" s="3505">
        <f>O17-M17</f>
        <v>0</v>
      </c>
      <c r="Q17" s="3691">
        <f t="shared" si="1"/>
        <v>0</v>
      </c>
      <c r="R17" s="2842"/>
      <c r="S17" s="436">
        <f t="shared" si="3"/>
        <v>0</v>
      </c>
      <c r="T17" s="436">
        <f t="shared" si="4"/>
        <v>0</v>
      </c>
    </row>
    <row r="18" spans="1:20">
      <c r="A18" s="3342"/>
      <c r="B18" s="3343">
        <v>4</v>
      </c>
      <c r="C18" s="3343">
        <v>1</v>
      </c>
      <c r="D18" s="3343">
        <v>2</v>
      </c>
      <c r="E18" s="3343" t="s">
        <v>437</v>
      </c>
      <c r="F18" s="3343" t="s">
        <v>445</v>
      </c>
      <c r="G18" s="3344">
        <v>2</v>
      </c>
      <c r="H18" s="2214" t="s">
        <v>1084</v>
      </c>
      <c r="I18" s="200"/>
      <c r="J18" s="217"/>
      <c r="K18" s="3505">
        <f>+'KOM opsi 1'!J51</f>
        <v>240000000</v>
      </c>
      <c r="L18" s="3505">
        <f>+'KOM opsi 1'!K51</f>
        <v>286866750</v>
      </c>
      <c r="M18" s="3505">
        <f>+'KOM opsi 1'!L51</f>
        <v>0</v>
      </c>
      <c r="N18" s="3505">
        <f>'KOM opsi 1'!P51</f>
        <v>0</v>
      </c>
      <c r="O18" s="3505">
        <f>'KOM sementara'!P50</f>
        <v>0</v>
      </c>
      <c r="P18" s="3505">
        <f>O18-M18</f>
        <v>0</v>
      </c>
      <c r="Q18" s="3691"/>
      <c r="R18" s="2842"/>
      <c r="S18" s="436">
        <f t="shared" si="3"/>
        <v>0</v>
      </c>
      <c r="T18" s="436">
        <f t="shared" si="4"/>
        <v>0</v>
      </c>
    </row>
    <row r="19" spans="1:20">
      <c r="A19" s="3342"/>
      <c r="B19" s="3343">
        <v>4</v>
      </c>
      <c r="C19" s="3343">
        <v>1</v>
      </c>
      <c r="D19" s="3343">
        <v>2</v>
      </c>
      <c r="E19" s="3343" t="s">
        <v>437</v>
      </c>
      <c r="F19" s="3343" t="s">
        <v>445</v>
      </c>
      <c r="G19" s="3344">
        <v>3</v>
      </c>
      <c r="H19" s="2214" t="s">
        <v>1011</v>
      </c>
      <c r="I19" s="200"/>
      <c r="J19" s="217"/>
      <c r="K19" s="3505">
        <f>+'KOM opsi 1'!J52</f>
        <v>19250000</v>
      </c>
      <c r="L19" s="3505">
        <f>+'KOM opsi 1'!K52</f>
        <v>0</v>
      </c>
      <c r="M19" s="3505">
        <f>+'KOM opsi 1'!L52</f>
        <v>19250000</v>
      </c>
      <c r="N19" s="3505">
        <f>'KOM opsi 1'!P52</f>
        <v>0</v>
      </c>
      <c r="O19" s="3505">
        <f>'KOM sementara'!P51</f>
        <v>19250000</v>
      </c>
      <c r="P19" s="3862">
        <f>O19-M19</f>
        <v>0</v>
      </c>
      <c r="Q19" s="3691">
        <f t="shared" si="1"/>
        <v>0</v>
      </c>
      <c r="R19" s="2842"/>
      <c r="S19" s="436">
        <f t="shared" si="3"/>
        <v>0</v>
      </c>
      <c r="T19" s="436">
        <f t="shared" si="4"/>
        <v>0</v>
      </c>
    </row>
    <row r="20" spans="1:20" ht="6.75" customHeight="1">
      <c r="A20" s="3342"/>
      <c r="B20" s="3343"/>
      <c r="C20" s="3343"/>
      <c r="D20" s="3343"/>
      <c r="E20" s="3343"/>
      <c r="F20" s="3343"/>
      <c r="G20" s="3344"/>
      <c r="H20" s="2214"/>
      <c r="I20" s="200"/>
      <c r="J20" s="217"/>
      <c r="K20" s="3505"/>
      <c r="L20" s="3505"/>
      <c r="M20" s="3505"/>
      <c r="N20" s="3505"/>
      <c r="O20" s="3505"/>
      <c r="P20" s="3500"/>
      <c r="Q20" s="3692"/>
      <c r="R20" s="2842"/>
      <c r="S20" s="436">
        <f t="shared" si="3"/>
        <v>0</v>
      </c>
      <c r="T20" s="436">
        <f t="shared" si="4"/>
        <v>0</v>
      </c>
    </row>
    <row r="21" spans="1:20">
      <c r="A21" s="3342"/>
      <c r="B21" s="3343">
        <v>4</v>
      </c>
      <c r="C21" s="3343">
        <v>1</v>
      </c>
      <c r="D21" s="3343">
        <v>2</v>
      </c>
      <c r="E21" s="3343" t="s">
        <v>438</v>
      </c>
      <c r="F21" s="3343"/>
      <c r="G21" s="3344"/>
      <c r="H21" s="1856" t="s">
        <v>109</v>
      </c>
      <c r="I21" s="202"/>
      <c r="J21" s="217"/>
      <c r="K21" s="3506">
        <f>SUM(K22:K25)</f>
        <v>9182718500</v>
      </c>
      <c r="L21" s="3506">
        <f>SUM(L22:L25)</f>
        <v>8816358857</v>
      </c>
      <c r="M21" s="3506">
        <f>SUM(M22:M25)</f>
        <v>9291218500</v>
      </c>
      <c r="N21" s="3506">
        <f>SUM(N22:N25)</f>
        <v>1256530576</v>
      </c>
      <c r="O21" s="3506">
        <f>SUM(O22:O25)</f>
        <v>9322324500</v>
      </c>
      <c r="P21" s="3524">
        <f>O21-M21</f>
        <v>31106000</v>
      </c>
      <c r="Q21" s="3692">
        <f t="shared" si="1"/>
        <v>0.33478924212147376</v>
      </c>
      <c r="R21" s="2842"/>
      <c r="S21" s="436">
        <f t="shared" si="3"/>
        <v>31106000</v>
      </c>
      <c r="T21" s="436">
        <f t="shared" si="4"/>
        <v>0</v>
      </c>
    </row>
    <row r="22" spans="1:20">
      <c r="A22" s="3342"/>
      <c r="B22" s="3343">
        <v>4</v>
      </c>
      <c r="C22" s="3343">
        <v>1</v>
      </c>
      <c r="D22" s="3343">
        <v>2</v>
      </c>
      <c r="E22" s="3343" t="s">
        <v>438</v>
      </c>
      <c r="F22" s="3343" t="s">
        <v>437</v>
      </c>
      <c r="G22" s="3344">
        <v>1</v>
      </c>
      <c r="H22" s="2214" t="s">
        <v>986</v>
      </c>
      <c r="I22" s="200"/>
      <c r="J22" s="217"/>
      <c r="K22" s="3505">
        <f>+'KOM opsi 1'!J57</f>
        <v>4557206500</v>
      </c>
      <c r="L22" s="3505">
        <f>+'KOM opsi 1'!K57</f>
        <v>3676781427</v>
      </c>
      <c r="M22" s="3505">
        <f>+'KOM opsi 1'!L57</f>
        <v>4630706500</v>
      </c>
      <c r="N22" s="3505">
        <f>'KOM opsi 1'!O57</f>
        <v>376759526</v>
      </c>
      <c r="O22" s="3890">
        <f>'KOM revisi stlh KUA'!P56</f>
        <v>4311806500</v>
      </c>
      <c r="P22" s="3500">
        <f>O22-M22</f>
        <v>-318900000</v>
      </c>
      <c r="Q22" s="3691">
        <f t="shared" si="1"/>
        <v>-6.8866381404219794</v>
      </c>
      <c r="R22" s="2842"/>
      <c r="S22" s="436"/>
      <c r="T22" s="436">
        <f t="shared" si="4"/>
        <v>318900000</v>
      </c>
    </row>
    <row r="23" spans="1:20">
      <c r="A23" s="3342"/>
      <c r="B23" s="3343">
        <v>4</v>
      </c>
      <c r="C23" s="3343">
        <v>1</v>
      </c>
      <c r="D23" s="3343">
        <v>2</v>
      </c>
      <c r="E23" s="3343" t="s">
        <v>438</v>
      </c>
      <c r="F23" s="3343" t="s">
        <v>440</v>
      </c>
      <c r="G23" s="3344">
        <v>2</v>
      </c>
      <c r="H23" s="2214" t="s">
        <v>1085</v>
      </c>
      <c r="I23" s="200"/>
      <c r="J23" s="217"/>
      <c r="K23" s="3505">
        <f>+'KOM opsi 1'!J137</f>
        <v>2512125000</v>
      </c>
      <c r="L23" s="3505">
        <f>+'KOM opsi 1'!K137</f>
        <v>2733928400</v>
      </c>
      <c r="M23" s="3505">
        <f>+'KOM opsi 1'!L137</f>
        <v>2547125000</v>
      </c>
      <c r="N23" s="3505">
        <f>'KOM opsi 1'!O137</f>
        <v>311760000</v>
      </c>
      <c r="O23" s="3890">
        <f>'KOM revisi stlh KUA'!P139</f>
        <v>2643500000</v>
      </c>
      <c r="P23" s="3500">
        <f>O23-M23</f>
        <v>96375000</v>
      </c>
      <c r="Q23" s="3691">
        <f t="shared" si="1"/>
        <v>3.7836776758109636</v>
      </c>
      <c r="R23" s="2842"/>
      <c r="S23" s="436">
        <f t="shared" si="3"/>
        <v>96375000</v>
      </c>
      <c r="T23" s="436">
        <f t="shared" si="4"/>
        <v>0</v>
      </c>
    </row>
    <row r="24" spans="1:20">
      <c r="A24" s="3342"/>
      <c r="B24" s="3343">
        <v>4</v>
      </c>
      <c r="C24" s="3343">
        <v>1</v>
      </c>
      <c r="D24" s="3343">
        <v>2</v>
      </c>
      <c r="E24" s="3343" t="s">
        <v>438</v>
      </c>
      <c r="F24" s="3345" t="s">
        <v>451</v>
      </c>
      <c r="G24" s="3344"/>
      <c r="H24" s="2214" t="s">
        <v>1086</v>
      </c>
      <c r="I24" s="200"/>
      <c r="J24" s="217"/>
      <c r="K24" s="3505"/>
      <c r="L24" s="3505"/>
      <c r="M24" s="3505">
        <v>0</v>
      </c>
      <c r="N24" s="3505">
        <f>'KOM opsi 1'!O156</f>
        <v>97365000</v>
      </c>
      <c r="O24" s="3505">
        <f>'KOM sementara'!P159</f>
        <v>375000000</v>
      </c>
      <c r="P24" s="3500">
        <f>O24-M24</f>
        <v>375000000</v>
      </c>
      <c r="Q24" s="3691" t="e">
        <f t="shared" si="1"/>
        <v>#DIV/0!</v>
      </c>
      <c r="R24" s="2842"/>
      <c r="S24" s="436">
        <f t="shared" si="3"/>
        <v>375000000</v>
      </c>
      <c r="T24" s="436">
        <f t="shared" si="4"/>
        <v>0</v>
      </c>
    </row>
    <row r="25" spans="1:20">
      <c r="A25" s="3342"/>
      <c r="B25" s="3343">
        <v>4</v>
      </c>
      <c r="C25" s="3343">
        <v>1</v>
      </c>
      <c r="D25" s="3343">
        <v>2</v>
      </c>
      <c r="E25" s="3343" t="s">
        <v>438</v>
      </c>
      <c r="F25" s="3343" t="s">
        <v>448</v>
      </c>
      <c r="G25" s="3344">
        <v>3</v>
      </c>
      <c r="H25" s="2214" t="s">
        <v>1087</v>
      </c>
      <c r="I25" s="200"/>
      <c r="J25" s="217"/>
      <c r="K25" s="3505">
        <f>+'KOM opsi 1'!J162</f>
        <v>2113387000</v>
      </c>
      <c r="L25" s="3505">
        <f>+'KOM opsi 1'!K162</f>
        <v>2405649030</v>
      </c>
      <c r="M25" s="3505">
        <f>+'KOM opsi 1'!L162</f>
        <v>2113387000</v>
      </c>
      <c r="N25" s="3505">
        <f>'KOM opsi 1'!O162</f>
        <v>470646050</v>
      </c>
      <c r="O25" s="3505">
        <f>'KOM sementara'!P165</f>
        <v>1992018000</v>
      </c>
      <c r="P25" s="3500">
        <f>O25-M25</f>
        <v>-121369000</v>
      </c>
      <c r="Q25" s="3691">
        <f t="shared" si="1"/>
        <v>-5.7428667820896067</v>
      </c>
      <c r="R25" s="2842"/>
      <c r="S25" s="436">
        <f t="shared" si="3"/>
        <v>-121369000</v>
      </c>
      <c r="T25" s="436">
        <f t="shared" si="4"/>
        <v>0</v>
      </c>
    </row>
    <row r="26" spans="1:20" ht="6.75" customHeight="1">
      <c r="A26" s="3342"/>
      <c r="B26" s="3343"/>
      <c r="C26" s="3343"/>
      <c r="D26" s="3343"/>
      <c r="E26" s="3343"/>
      <c r="F26" s="3343"/>
      <c r="G26" s="3344"/>
      <c r="H26" s="2214"/>
      <c r="I26" s="200"/>
      <c r="J26" s="217"/>
      <c r="K26" s="3505"/>
      <c r="L26" s="3505"/>
      <c r="M26" s="3505"/>
      <c r="N26" s="3505"/>
      <c r="O26" s="3505"/>
      <c r="P26" s="3505"/>
      <c r="Q26" s="3691"/>
      <c r="R26" s="2842"/>
      <c r="S26" s="436">
        <f t="shared" si="3"/>
        <v>0</v>
      </c>
      <c r="T26" s="436">
        <f t="shared" si="4"/>
        <v>0</v>
      </c>
    </row>
    <row r="27" spans="1:20">
      <c r="A27" s="3342"/>
      <c r="B27" s="3343">
        <v>4</v>
      </c>
      <c r="C27" s="3343">
        <v>1</v>
      </c>
      <c r="D27" s="3343">
        <v>2</v>
      </c>
      <c r="E27" s="3343" t="s">
        <v>440</v>
      </c>
      <c r="F27" s="3343"/>
      <c r="G27" s="3344"/>
      <c r="H27" s="1856" t="s">
        <v>116</v>
      </c>
      <c r="I27" s="202"/>
      <c r="J27" s="218"/>
      <c r="K27" s="3506">
        <f>SUM(K28:K30)</f>
        <v>1648889500</v>
      </c>
      <c r="L27" s="3506">
        <f>SUM(L28:L30)</f>
        <v>1761141600</v>
      </c>
      <c r="M27" s="3506">
        <f>SUM(M28:M30)</f>
        <v>1648889500</v>
      </c>
      <c r="N27" s="3506">
        <f>SUM(N28:N30)</f>
        <v>477305000</v>
      </c>
      <c r="O27" s="3506">
        <f>SUM(O28:O30)</f>
        <v>1843889500</v>
      </c>
      <c r="P27" s="3506">
        <f t="shared" ref="P27:P33" si="5">O27-M27</f>
        <v>195000000</v>
      </c>
      <c r="Q27" s="3692">
        <f t="shared" si="1"/>
        <v>11.826141169556848</v>
      </c>
      <c r="R27" s="2842"/>
      <c r="S27" s="436">
        <f t="shared" si="3"/>
        <v>195000000</v>
      </c>
      <c r="T27" s="436">
        <f t="shared" si="4"/>
        <v>0</v>
      </c>
    </row>
    <row r="28" spans="1:20">
      <c r="A28" s="3342"/>
      <c r="B28" s="3343">
        <v>4</v>
      </c>
      <c r="C28" s="3343">
        <v>1</v>
      </c>
      <c r="D28" s="3343">
        <v>2</v>
      </c>
      <c r="E28" s="3343" t="s">
        <v>440</v>
      </c>
      <c r="F28" s="3343" t="s">
        <v>437</v>
      </c>
      <c r="G28" s="3344">
        <v>1</v>
      </c>
      <c r="H28" s="2214" t="s">
        <v>1088</v>
      </c>
      <c r="I28" s="202"/>
      <c r="J28" s="218"/>
      <c r="K28" s="3505">
        <f>+'KOM opsi 1'!J202</f>
        <v>193889500</v>
      </c>
      <c r="L28" s="3505">
        <f>+'KOM opsi 1'!K202</f>
        <v>122160000</v>
      </c>
      <c r="M28" s="3505">
        <f>+'KOM opsi 1'!L202</f>
        <v>193889500</v>
      </c>
      <c r="N28" s="3505">
        <f>+'KOM opsi 1'!O202</f>
        <v>28565000</v>
      </c>
      <c r="O28" s="3505">
        <f>'KOM sementara'!P205</f>
        <v>193889500</v>
      </c>
      <c r="P28" s="3507">
        <f t="shared" si="5"/>
        <v>0</v>
      </c>
      <c r="Q28" s="3691">
        <f t="shared" si="1"/>
        <v>0</v>
      </c>
      <c r="R28" s="2842"/>
      <c r="S28" s="436">
        <f t="shared" si="3"/>
        <v>0</v>
      </c>
      <c r="T28" s="436">
        <f t="shared" si="4"/>
        <v>0</v>
      </c>
    </row>
    <row r="29" spans="1:20">
      <c r="A29" s="3342"/>
      <c r="B29" s="3343">
        <v>4</v>
      </c>
      <c r="C29" s="3343">
        <v>1</v>
      </c>
      <c r="D29" s="3343">
        <v>2</v>
      </c>
      <c r="E29" s="3343" t="s">
        <v>440</v>
      </c>
      <c r="F29" s="3343">
        <v>2</v>
      </c>
      <c r="G29" s="3344">
        <v>2</v>
      </c>
      <c r="H29" s="199" t="s">
        <v>1089</v>
      </c>
      <c r="I29" s="202"/>
      <c r="J29" s="218"/>
      <c r="K29" s="3505">
        <f>+'KOM opsi 1'!J207</f>
        <v>0</v>
      </c>
      <c r="L29" s="3505">
        <f>+'KOM opsi 1'!K207</f>
        <v>16404000</v>
      </c>
      <c r="M29" s="3505">
        <f>+'KOM opsi 1'!L207</f>
        <v>0</v>
      </c>
      <c r="N29" s="3505">
        <f>+'KOM opsi 1'!O207</f>
        <v>0</v>
      </c>
      <c r="O29" s="3505">
        <f>'KOM sementara'!P210</f>
        <v>0</v>
      </c>
      <c r="P29" s="3507">
        <f t="shared" si="5"/>
        <v>0</v>
      </c>
      <c r="Q29" s="3691" t="e">
        <f t="shared" si="1"/>
        <v>#DIV/0!</v>
      </c>
      <c r="R29" s="2842"/>
      <c r="S29" s="436">
        <f t="shared" si="3"/>
        <v>0</v>
      </c>
      <c r="T29" s="436">
        <f t="shared" si="4"/>
        <v>0</v>
      </c>
    </row>
    <row r="30" spans="1:20">
      <c r="A30" s="3346"/>
      <c r="B30" s="3343">
        <v>4</v>
      </c>
      <c r="C30" s="3343">
        <v>1</v>
      </c>
      <c r="D30" s="3343">
        <v>2</v>
      </c>
      <c r="E30" s="3343" t="s">
        <v>437</v>
      </c>
      <c r="F30" s="3343">
        <v>16</v>
      </c>
      <c r="G30" s="3344">
        <v>4</v>
      </c>
      <c r="H30" s="2214" t="s">
        <v>971</v>
      </c>
      <c r="I30" s="200"/>
      <c r="J30" s="217"/>
      <c r="K30" s="3505">
        <f>+'KOM opsi 1'!J210</f>
        <v>1455000000</v>
      </c>
      <c r="L30" s="3505">
        <f>+'KOM opsi 1'!K210</f>
        <v>1622577600</v>
      </c>
      <c r="M30" s="3505">
        <f>+'KOM opsi 1'!L210</f>
        <v>1455000000</v>
      </c>
      <c r="N30" s="3505">
        <f>+'KOM opsi 1'!O210</f>
        <v>448740000</v>
      </c>
      <c r="O30" s="3505">
        <f>'KOM sementara'!P213</f>
        <v>1650000000</v>
      </c>
      <c r="P30" s="3507">
        <f t="shared" si="5"/>
        <v>195000000</v>
      </c>
      <c r="Q30" s="5199">
        <f t="shared" si="1"/>
        <v>13.402061855670098</v>
      </c>
      <c r="R30" s="2842"/>
      <c r="S30" s="436">
        <f t="shared" si="3"/>
        <v>195000000</v>
      </c>
      <c r="T30" s="436">
        <f t="shared" si="4"/>
        <v>0</v>
      </c>
    </row>
    <row r="31" spans="1:20" s="3493" customFormat="1" ht="16.45" customHeight="1">
      <c r="A31" s="3498" t="s">
        <v>78</v>
      </c>
      <c r="B31" s="3485">
        <v>4</v>
      </c>
      <c r="C31" s="3485">
        <v>1</v>
      </c>
      <c r="D31" s="3485">
        <v>3</v>
      </c>
      <c r="E31" s="3485"/>
      <c r="F31" s="3485"/>
      <c r="G31" s="3495" t="s">
        <v>1082</v>
      </c>
      <c r="H31" s="3496" t="str">
        <f>'Rekap Kua PPAS'!H33</f>
        <v>HSL PENGELOLAAN KEKAYAAN DRH YG DIPISAHKAN</v>
      </c>
      <c r="I31" s="3488"/>
      <c r="J31" s="3489"/>
      <c r="K31" s="3503">
        <f>K32+K40</f>
        <v>157964885190</v>
      </c>
      <c r="L31" s="3503">
        <f>L32+L40</f>
        <v>72827611744</v>
      </c>
      <c r="M31" s="3503">
        <f>M32+M40</f>
        <v>92558485190</v>
      </c>
      <c r="N31" s="3503">
        <f>N32+N40</f>
        <v>0</v>
      </c>
      <c r="O31" s="3503">
        <f>O32+O40</f>
        <v>166202468137</v>
      </c>
      <c r="P31" s="3863">
        <f t="shared" si="5"/>
        <v>73643982947</v>
      </c>
      <c r="Q31" s="5293">
        <f t="shared" si="1"/>
        <v>79.564810072060766</v>
      </c>
      <c r="R31" s="3499"/>
      <c r="S31" s="436">
        <f t="shared" si="3"/>
        <v>73643982947</v>
      </c>
      <c r="T31" s="3492">
        <f t="shared" si="4"/>
        <v>0</v>
      </c>
    </row>
    <row r="32" spans="1:20">
      <c r="A32" s="3339"/>
      <c r="B32" s="3340">
        <v>4</v>
      </c>
      <c r="C32" s="3340">
        <v>1</v>
      </c>
      <c r="D32" s="3340">
        <v>3</v>
      </c>
      <c r="E32" s="3340" t="s">
        <v>437</v>
      </c>
      <c r="F32" s="3340"/>
      <c r="G32" s="3350"/>
      <c r="H32" s="3089" t="s">
        <v>1091</v>
      </c>
      <c r="I32" s="212"/>
      <c r="J32" s="225"/>
      <c r="K32" s="3504">
        <f>SUM(K33:K39)</f>
        <v>157964885190</v>
      </c>
      <c r="L32" s="3504">
        <f>SUM(L33:L39)</f>
        <v>72827611744</v>
      </c>
      <c r="M32" s="3504">
        <f>SUM(M33:M39)</f>
        <v>90558485190</v>
      </c>
      <c r="N32" s="3504">
        <f>SUM(N33:N39)</f>
        <v>0</v>
      </c>
      <c r="O32" s="3504">
        <f>SUM(O33:O39)</f>
        <v>164202468137</v>
      </c>
      <c r="P32" s="3864">
        <f t="shared" si="5"/>
        <v>73643982947</v>
      </c>
      <c r="Q32" s="3690">
        <f t="shared" si="1"/>
        <v>81.322012832357103</v>
      </c>
      <c r="R32" s="3351"/>
      <c r="S32" s="436">
        <f t="shared" si="3"/>
        <v>73643982947</v>
      </c>
      <c r="T32" s="436">
        <f t="shared" si="4"/>
        <v>0</v>
      </c>
    </row>
    <row r="33" spans="1:20">
      <c r="A33" s="3342"/>
      <c r="B33" s="3343"/>
      <c r="C33" s="3343"/>
      <c r="D33" s="3343"/>
      <c r="E33" s="3343"/>
      <c r="F33" s="3343"/>
      <c r="G33" s="3352">
        <v>1</v>
      </c>
      <c r="H33" s="199" t="s">
        <v>197</v>
      </c>
      <c r="I33" s="200"/>
      <c r="J33" s="217"/>
      <c r="K33" s="3505">
        <f>+'KOM opsi 1'!J217</f>
        <v>59958450102</v>
      </c>
      <c r="L33" s="3505">
        <f>+'KOM opsi 1'!K217</f>
        <v>59958510102</v>
      </c>
      <c r="M33" s="3505">
        <f>+'KOM opsi 1'!L217</f>
        <v>59958450102</v>
      </c>
      <c r="N33" s="3505">
        <f>+'KOM opsi 1'!O217</f>
        <v>0</v>
      </c>
      <c r="O33" s="3505">
        <f>'KOM sementara'!P220</f>
        <v>62065732074</v>
      </c>
      <c r="P33" s="3505">
        <f t="shared" si="5"/>
        <v>2107281972</v>
      </c>
      <c r="Q33" s="3692">
        <f t="shared" si="1"/>
        <v>3.5145704540646676</v>
      </c>
      <c r="R33" s="3353"/>
      <c r="S33" s="436">
        <f t="shared" si="3"/>
        <v>2107281972</v>
      </c>
      <c r="T33" s="436">
        <f t="shared" si="4"/>
        <v>0</v>
      </c>
    </row>
    <row r="34" spans="1:20">
      <c r="A34" s="3342"/>
      <c r="B34" s="3343"/>
      <c r="C34" s="3343"/>
      <c r="D34" s="3343"/>
      <c r="E34" s="3343"/>
      <c r="F34" s="3343"/>
      <c r="G34" s="3352">
        <v>2</v>
      </c>
      <c r="H34" s="199" t="s">
        <v>1092</v>
      </c>
      <c r="I34" s="200"/>
      <c r="J34" s="217"/>
      <c r="K34" s="3505">
        <f>+'KOM opsi 1'!J216</f>
        <v>11374571865</v>
      </c>
      <c r="L34" s="3505">
        <f>+'KOM opsi 1'!K216</f>
        <v>11631764969</v>
      </c>
      <c r="M34" s="3505">
        <f>+'KOM opsi 1'!L216</f>
        <v>13374571865</v>
      </c>
      <c r="N34" s="3505">
        <f>+'KOM opsi 1'!O216</f>
        <v>0</v>
      </c>
      <c r="O34" s="3505">
        <f>'KOM sementara'!P219</f>
        <v>11305220112</v>
      </c>
      <c r="P34" s="3862">
        <f t="shared" ref="P34:P40" si="6">O34-M34</f>
        <v>-2069351753</v>
      </c>
      <c r="Q34" s="3692">
        <f t="shared" si="1"/>
        <v>-15.472284076735946</v>
      </c>
      <c r="R34" s="3353"/>
      <c r="S34" s="436">
        <f t="shared" si="3"/>
        <v>-2069351753</v>
      </c>
      <c r="T34" s="436">
        <f t="shared" si="4"/>
        <v>0</v>
      </c>
    </row>
    <row r="35" spans="1:20">
      <c r="A35" s="3342"/>
      <c r="B35" s="3343"/>
      <c r="C35" s="3343"/>
      <c r="D35" s="3343"/>
      <c r="E35" s="3343"/>
      <c r="F35" s="3343"/>
      <c r="G35" s="3352">
        <v>3</v>
      </c>
      <c r="H35" s="199" t="s">
        <v>769</v>
      </c>
      <c r="I35" s="200"/>
      <c r="J35" s="217"/>
      <c r="K35" s="3505">
        <f>+'KOM opsi 1'!J218</f>
        <v>1000000000</v>
      </c>
      <c r="L35" s="3505">
        <f>+'KOM opsi 1'!K218</f>
        <v>1000000000</v>
      </c>
      <c r="M35" s="3505">
        <f>+'KOM opsi 1'!L218</f>
        <v>1000000000</v>
      </c>
      <c r="N35" s="3505">
        <f>+'KOM opsi 1'!O218</f>
        <v>0</v>
      </c>
      <c r="O35" s="3505">
        <f>'KOM sementara'!P221</f>
        <v>1100000000</v>
      </c>
      <c r="P35" s="3505">
        <f t="shared" si="6"/>
        <v>100000000</v>
      </c>
      <c r="Q35" s="3692">
        <f t="shared" si="1"/>
        <v>10.000000000000014</v>
      </c>
      <c r="R35" s="3353"/>
      <c r="S35" s="436">
        <f t="shared" si="3"/>
        <v>100000000</v>
      </c>
      <c r="T35" s="436">
        <f t="shared" si="4"/>
        <v>0</v>
      </c>
    </row>
    <row r="36" spans="1:20">
      <c r="A36" s="3342"/>
      <c r="B36" s="3343"/>
      <c r="C36" s="3343"/>
      <c r="D36" s="3343"/>
      <c r="E36" s="3343"/>
      <c r="F36" s="3343"/>
      <c r="G36" s="3352">
        <v>4</v>
      </c>
      <c r="H36" s="199" t="s">
        <v>199</v>
      </c>
      <c r="I36" s="200"/>
      <c r="J36" s="217"/>
      <c r="K36" s="3505">
        <f>+'KOM opsi 1'!J219</f>
        <v>85406400000</v>
      </c>
      <c r="L36" s="3505">
        <f>+'KOM opsi 1'!K219</f>
        <v>0</v>
      </c>
      <c r="M36" s="3505">
        <f>+'KOM opsi 1'!L219</f>
        <v>16000000000</v>
      </c>
      <c r="N36" s="3505">
        <f>+'KOM opsi 1'!O219</f>
        <v>0</v>
      </c>
      <c r="O36" s="3890">
        <f>'KOM revisi stlh KUA'!P222</f>
        <v>89188168000</v>
      </c>
      <c r="P36" s="3505">
        <f t="shared" si="6"/>
        <v>73188168000</v>
      </c>
      <c r="Q36" s="3692">
        <f t="shared" si="1"/>
        <v>457.42605000000003</v>
      </c>
      <c r="R36" s="3353"/>
      <c r="S36" s="436">
        <f t="shared" si="3"/>
        <v>73188168000</v>
      </c>
      <c r="T36" s="436">
        <f t="shared" si="4"/>
        <v>0</v>
      </c>
    </row>
    <row r="37" spans="1:20">
      <c r="A37" s="3342"/>
      <c r="B37" s="3343"/>
      <c r="C37" s="3343"/>
      <c r="D37" s="3343"/>
      <c r="E37" s="3343"/>
      <c r="F37" s="3343"/>
      <c r="G37" s="3352">
        <v>5</v>
      </c>
      <c r="H37" s="199" t="s">
        <v>200</v>
      </c>
      <c r="I37" s="200"/>
      <c r="J37" s="217"/>
      <c r="K37" s="3505" t="str">
        <f>+'KOM opsi 1'!J220</f>
        <v>-</v>
      </c>
      <c r="L37" s="3505">
        <f>+'KOM opsi 1'!K220</f>
        <v>0</v>
      </c>
      <c r="M37" s="3505">
        <f>+'KOM opsi 1'!L220</f>
        <v>0</v>
      </c>
      <c r="N37" s="3505">
        <f>+'KOM opsi 1'!O220</f>
        <v>0</v>
      </c>
      <c r="O37" s="3505">
        <f>'KOM opsi 2'!P219</f>
        <v>0</v>
      </c>
      <c r="P37" s="3505">
        <f t="shared" si="6"/>
        <v>0</v>
      </c>
      <c r="Q37" s="3692"/>
      <c r="R37" s="3353"/>
      <c r="S37" s="436">
        <f t="shared" si="3"/>
        <v>0</v>
      </c>
      <c r="T37" s="436">
        <f t="shared" si="4"/>
        <v>0</v>
      </c>
    </row>
    <row r="38" spans="1:20">
      <c r="A38" s="3342"/>
      <c r="B38" s="3343"/>
      <c r="C38" s="3343"/>
      <c r="D38" s="3343"/>
      <c r="E38" s="3343"/>
      <c r="F38" s="3343"/>
      <c r="G38" s="3352">
        <v>6</v>
      </c>
      <c r="H38" s="199" t="s">
        <v>1093</v>
      </c>
      <c r="I38" s="200"/>
      <c r="J38" s="217"/>
      <c r="K38" s="3505">
        <f>+'KOM opsi 1'!J221</f>
        <v>136702012</v>
      </c>
      <c r="L38" s="3505">
        <f>+'KOM opsi 1'!K221</f>
        <v>136702012</v>
      </c>
      <c r="M38" s="3505">
        <f>+'KOM opsi 1'!L221</f>
        <v>136702012</v>
      </c>
      <c r="N38" s="3505">
        <f>+'KOM opsi 1'!O221</f>
        <v>0</v>
      </c>
      <c r="O38" s="3505">
        <f>'KOM sementara'!P224</f>
        <v>437998804</v>
      </c>
      <c r="P38" s="3505">
        <f t="shared" si="6"/>
        <v>301296792</v>
      </c>
      <c r="Q38" s="3692">
        <f t="shared" si="1"/>
        <v>220.40406545003884</v>
      </c>
      <c r="R38" s="3353"/>
      <c r="S38" s="436">
        <f t="shared" si="3"/>
        <v>301296792</v>
      </c>
      <c r="T38" s="436">
        <f t="shared" si="4"/>
        <v>0</v>
      </c>
    </row>
    <row r="39" spans="1:20">
      <c r="A39" s="3342"/>
      <c r="B39" s="3343"/>
      <c r="C39" s="3343"/>
      <c r="D39" s="3343"/>
      <c r="E39" s="3343"/>
      <c r="F39" s="3343"/>
      <c r="G39" s="3352">
        <v>7</v>
      </c>
      <c r="H39" s="199" t="s">
        <v>770</v>
      </c>
      <c r="I39" s="200"/>
      <c r="J39" s="217"/>
      <c r="K39" s="3505">
        <f>+'KOM opsi 1'!J222</f>
        <v>88761211</v>
      </c>
      <c r="L39" s="3505">
        <f>+'KOM opsi 1'!K222</f>
        <v>100634661</v>
      </c>
      <c r="M39" s="3505">
        <f>+'KOM opsi 1'!L222</f>
        <v>88761211</v>
      </c>
      <c r="N39" s="3505">
        <f>+'KOM opsi 1'!O222</f>
        <v>0</v>
      </c>
      <c r="O39" s="3890">
        <f>'KOM revisi stlh KUA'!P225</f>
        <v>105349147</v>
      </c>
      <c r="P39" s="3505">
        <f t="shared" si="6"/>
        <v>16587936</v>
      </c>
      <c r="Q39" s="3692">
        <f t="shared" si="1"/>
        <v>18.688271389176975</v>
      </c>
      <c r="R39" s="3353"/>
      <c r="S39" s="436">
        <f t="shared" si="3"/>
        <v>16587936</v>
      </c>
      <c r="T39" s="436">
        <f t="shared" si="4"/>
        <v>0</v>
      </c>
    </row>
    <row r="40" spans="1:20" s="190" customFormat="1">
      <c r="A40" s="3342"/>
      <c r="B40" s="3343">
        <v>4</v>
      </c>
      <c r="C40" s="3343">
        <v>1</v>
      </c>
      <c r="D40" s="3343">
        <v>3</v>
      </c>
      <c r="E40" s="3345" t="s">
        <v>438</v>
      </c>
      <c r="F40" s="3343"/>
      <c r="G40" s="3344"/>
      <c r="H40" s="1856" t="s">
        <v>203</v>
      </c>
      <c r="I40" s="202"/>
      <c r="J40" s="218"/>
      <c r="K40" s="3506">
        <v>0</v>
      </c>
      <c r="L40" s="3506">
        <v>0</v>
      </c>
      <c r="M40" s="3506">
        <f>+'KOM opsi 1'!L224</f>
        <v>2000000000</v>
      </c>
      <c r="N40" s="3506">
        <f>+'KOM opsi 1'!O224</f>
        <v>0</v>
      </c>
      <c r="O40" s="3506">
        <f>'KOM sementara'!P226</f>
        <v>2000000000</v>
      </c>
      <c r="P40" s="3506">
        <f t="shared" si="6"/>
        <v>0</v>
      </c>
      <c r="Q40" s="3692">
        <f t="shared" si="1"/>
        <v>0</v>
      </c>
      <c r="R40" s="3354"/>
      <c r="S40" s="3389">
        <f t="shared" si="3"/>
        <v>0</v>
      </c>
      <c r="T40" s="3389">
        <f t="shared" si="4"/>
        <v>0</v>
      </c>
    </row>
    <row r="41" spans="1:20" ht="7.55" customHeight="1">
      <c r="A41" s="3533"/>
      <c r="B41" s="3534"/>
      <c r="C41" s="3534"/>
      <c r="D41" s="3534"/>
      <c r="E41" s="3534"/>
      <c r="F41" s="3534"/>
      <c r="G41" s="3535"/>
      <c r="H41" s="3536"/>
      <c r="I41" s="3537"/>
      <c r="J41" s="3538"/>
      <c r="K41" s="3539"/>
      <c r="L41" s="3539"/>
      <c r="M41" s="3539"/>
      <c r="N41" s="3539"/>
      <c r="O41" s="3539"/>
      <c r="P41" s="3539"/>
      <c r="Q41" s="3540"/>
      <c r="R41" s="3541"/>
      <c r="S41" s="436">
        <f t="shared" si="3"/>
        <v>0</v>
      </c>
      <c r="T41" s="436">
        <f t="shared" si="4"/>
        <v>0</v>
      </c>
    </row>
    <row r="42" spans="1:20" s="3493" customFormat="1" ht="16.45" customHeight="1">
      <c r="A42" s="3526" t="s">
        <v>100</v>
      </c>
      <c r="B42" s="3527">
        <v>4</v>
      </c>
      <c r="C42" s="3527">
        <v>1</v>
      </c>
      <c r="D42" s="3527">
        <v>4</v>
      </c>
      <c r="E42" s="3527"/>
      <c r="F42" s="3527"/>
      <c r="G42" s="3528" t="s">
        <v>1082</v>
      </c>
      <c r="H42" s="3529" t="s">
        <v>71</v>
      </c>
      <c r="I42" s="3530"/>
      <c r="J42" s="3531"/>
      <c r="K42" s="3521">
        <f>SUM(K43:K54)</f>
        <v>216756519834</v>
      </c>
      <c r="L42" s="3521">
        <f>SUM(L43:L54)</f>
        <v>235912128831.42999</v>
      </c>
      <c r="M42" s="3521">
        <f>SUM(M43:M54)</f>
        <v>268454484234</v>
      </c>
      <c r="N42" s="3521">
        <f>SUM(N43:N54)</f>
        <v>50008306060.729996</v>
      </c>
      <c r="O42" s="3521">
        <f>SUM(O43:O54)</f>
        <v>291806269425</v>
      </c>
      <c r="P42" s="3521">
        <f>O42-M42</f>
        <v>23351785191</v>
      </c>
      <c r="Q42" s="3490">
        <f t="shared" si="1"/>
        <v>8.6986012759784188</v>
      </c>
      <c r="R42" s="3532"/>
      <c r="S42" s="436">
        <f t="shared" si="3"/>
        <v>23351785191</v>
      </c>
      <c r="T42" s="3492">
        <f t="shared" si="4"/>
        <v>0</v>
      </c>
    </row>
    <row r="43" spans="1:20">
      <c r="A43" s="3355"/>
      <c r="B43" s="3356">
        <v>4</v>
      </c>
      <c r="C43" s="3356">
        <v>1</v>
      </c>
      <c r="D43" s="3356">
        <v>4</v>
      </c>
      <c r="E43" s="3356" t="s">
        <v>437</v>
      </c>
      <c r="F43" s="3356"/>
      <c r="G43" s="3356"/>
      <c r="H43" s="224" t="s">
        <v>1094</v>
      </c>
      <c r="I43" s="224"/>
      <c r="J43" s="3088"/>
      <c r="K43" s="3509">
        <f>+'KOM opsi 1'!J227</f>
        <v>250000000</v>
      </c>
      <c r="L43" s="3509">
        <f>+'KOM opsi 1'!K227</f>
        <v>25364000</v>
      </c>
      <c r="M43" s="3509">
        <f>+'KOM opsi 1'!L227</f>
        <v>250000000</v>
      </c>
      <c r="N43" s="3509">
        <f>+'KOM opsi 1'!O227</f>
        <v>0</v>
      </c>
      <c r="O43" s="3509">
        <f>'KOM sementara'!P230</f>
        <v>250000000</v>
      </c>
      <c r="P43" s="3505">
        <f t="shared" ref="P43:P54" si="7">O43-M43</f>
        <v>0</v>
      </c>
      <c r="Q43" s="3693">
        <f t="shared" si="1"/>
        <v>0</v>
      </c>
      <c r="R43" s="3357"/>
      <c r="S43" s="436">
        <f t="shared" si="3"/>
        <v>0</v>
      </c>
      <c r="T43" s="436">
        <f t="shared" si="4"/>
        <v>0</v>
      </c>
    </row>
    <row r="44" spans="1:20">
      <c r="A44" s="3358"/>
      <c r="B44" s="3359">
        <v>4</v>
      </c>
      <c r="C44" s="3359">
        <v>1</v>
      </c>
      <c r="D44" s="3359">
        <v>4</v>
      </c>
      <c r="E44" s="3359" t="s">
        <v>438</v>
      </c>
      <c r="F44" s="3359"/>
      <c r="G44" s="3359"/>
      <c r="H44" s="200" t="s">
        <v>212</v>
      </c>
      <c r="I44" s="200"/>
      <c r="J44" s="217"/>
      <c r="K44" s="3505">
        <f>+'KOM opsi 1'!J234</f>
        <v>4500000000</v>
      </c>
      <c r="L44" s="3505">
        <f>+'KOM opsi 1'!K234</f>
        <v>12549664258.33</v>
      </c>
      <c r="M44" s="3505">
        <f>+'KOM opsi 1'!L234</f>
        <v>4500000000</v>
      </c>
      <c r="N44" s="3505">
        <f>+'KOM opsi 1'!O234</f>
        <v>3095128647</v>
      </c>
      <c r="O44" s="3505">
        <f>'KOM sementara'!P237</f>
        <v>7037000000</v>
      </c>
      <c r="P44" s="3505">
        <f t="shared" si="7"/>
        <v>2537000000</v>
      </c>
      <c r="Q44" s="3691">
        <f t="shared" si="1"/>
        <v>56.377777777777766</v>
      </c>
      <c r="R44" s="3353"/>
      <c r="S44" s="436">
        <f t="shared" si="3"/>
        <v>2537000000</v>
      </c>
      <c r="T44" s="436">
        <f t="shared" si="4"/>
        <v>0</v>
      </c>
    </row>
    <row r="45" spans="1:20">
      <c r="A45" s="3358"/>
      <c r="B45" s="3359">
        <v>4</v>
      </c>
      <c r="C45" s="3359">
        <v>1</v>
      </c>
      <c r="D45" s="3359">
        <v>4</v>
      </c>
      <c r="E45" s="3359" t="s">
        <v>440</v>
      </c>
      <c r="F45" s="3359"/>
      <c r="G45" s="3359"/>
      <c r="H45" s="200" t="s">
        <v>1095</v>
      </c>
      <c r="I45" s="200"/>
      <c r="J45" s="217"/>
      <c r="K45" s="3505">
        <f>+'KOM opsi 1'!J240</f>
        <v>6875000000</v>
      </c>
      <c r="L45" s="3505">
        <f>+'KOM opsi 1'!K240</f>
        <v>9375000000</v>
      </c>
      <c r="M45" s="3505">
        <f>+'KOM opsi 1'!L240</f>
        <v>6875000000</v>
      </c>
      <c r="N45" s="3505">
        <f>+'KOM opsi 1'!O240</f>
        <v>875000000</v>
      </c>
      <c r="O45" s="3505">
        <f>'KOM sementara'!P243</f>
        <v>7000000000</v>
      </c>
      <c r="P45" s="3505">
        <f t="shared" si="7"/>
        <v>125000000</v>
      </c>
      <c r="Q45" s="3691">
        <f t="shared" si="1"/>
        <v>1.818181818181813</v>
      </c>
      <c r="R45" s="3353"/>
      <c r="S45" s="436">
        <f t="shared" si="3"/>
        <v>125000000</v>
      </c>
      <c r="T45" s="436">
        <f t="shared" si="4"/>
        <v>0</v>
      </c>
    </row>
    <row r="46" spans="1:20">
      <c r="A46" s="3358"/>
      <c r="B46" s="3359">
        <v>4</v>
      </c>
      <c r="C46" s="3359">
        <v>1</v>
      </c>
      <c r="D46" s="3359">
        <v>4</v>
      </c>
      <c r="E46" s="3359" t="s">
        <v>445</v>
      </c>
      <c r="F46" s="3359"/>
      <c r="G46" s="3359"/>
      <c r="H46" s="200" t="s">
        <v>1096</v>
      </c>
      <c r="I46" s="200"/>
      <c r="J46" s="217"/>
      <c r="K46" s="3505">
        <f>+'KOM opsi 1'!J243</f>
        <v>1205211975</v>
      </c>
      <c r="L46" s="3505">
        <f>+'KOM opsi 1'!K243</f>
        <v>354139064.23000002</v>
      </c>
      <c r="M46" s="3505">
        <f>+'KOM opsi 1'!L243</f>
        <v>1205211975</v>
      </c>
      <c r="N46" s="3505">
        <f>+'KOM opsi 1'!O243</f>
        <v>200000</v>
      </c>
      <c r="O46" s="3505">
        <f>'KOM sementara'!P246</f>
        <v>1205211975</v>
      </c>
      <c r="P46" s="3505">
        <f t="shared" si="7"/>
        <v>0</v>
      </c>
      <c r="Q46" s="3691">
        <f t="shared" si="1"/>
        <v>0</v>
      </c>
      <c r="R46" s="3353"/>
      <c r="S46" s="436">
        <f t="shared" si="3"/>
        <v>0</v>
      </c>
      <c r="T46" s="436">
        <f t="shared" si="4"/>
        <v>0</v>
      </c>
    </row>
    <row r="47" spans="1:20">
      <c r="A47" s="3358"/>
      <c r="B47" s="3359">
        <v>4</v>
      </c>
      <c r="C47" s="3359">
        <v>1</v>
      </c>
      <c r="D47" s="3359">
        <v>4</v>
      </c>
      <c r="E47" s="3359" t="s">
        <v>441</v>
      </c>
      <c r="F47" s="3359"/>
      <c r="G47" s="3359"/>
      <c r="H47" s="200" t="s">
        <v>1097</v>
      </c>
      <c r="I47" s="200"/>
      <c r="J47" s="218"/>
      <c r="K47" s="3505">
        <f>+'KOM opsi 1'!J247</f>
        <v>0</v>
      </c>
      <c r="L47" s="3505">
        <f>+'KOM opsi 1'!K247</f>
        <v>810940665.47000003</v>
      </c>
      <c r="M47" s="3505">
        <f>+'KOM opsi 1'!L247</f>
        <v>0</v>
      </c>
      <c r="N47" s="3505">
        <f>+'KOM opsi 1'!O247</f>
        <v>82408456.790000007</v>
      </c>
      <c r="O47" s="3505">
        <f>'KOM sementara'!P250</f>
        <v>82408000</v>
      </c>
      <c r="P47" s="3505">
        <f t="shared" si="7"/>
        <v>82408000</v>
      </c>
      <c r="Q47" s="3691"/>
      <c r="R47" s="3353"/>
      <c r="S47" s="436">
        <f t="shared" si="3"/>
        <v>82408000</v>
      </c>
      <c r="T47" s="436">
        <f t="shared" si="4"/>
        <v>0</v>
      </c>
    </row>
    <row r="48" spans="1:20">
      <c r="A48" s="3358"/>
      <c r="B48" s="3359">
        <v>4</v>
      </c>
      <c r="C48" s="3359">
        <v>1</v>
      </c>
      <c r="D48" s="3359">
        <v>4</v>
      </c>
      <c r="E48" s="3359" t="s">
        <v>456</v>
      </c>
      <c r="F48" s="3359"/>
      <c r="G48" s="3359"/>
      <c r="H48" s="200" t="s">
        <v>1098</v>
      </c>
      <c r="I48" s="200"/>
      <c r="J48" s="218"/>
      <c r="K48" s="3505">
        <f>+'KOM opsi 1'!J265</f>
        <v>18548560000</v>
      </c>
      <c r="L48" s="3505">
        <f>+'KOM opsi 1'!K265</f>
        <v>19634060483</v>
      </c>
      <c r="M48" s="3505">
        <f>+'KOM opsi 1'!L265</f>
        <v>18548560000</v>
      </c>
      <c r="N48" s="3505">
        <f>+'KOM opsi 1'!O265</f>
        <v>5482717061</v>
      </c>
      <c r="O48" s="3505">
        <f>'KOM sementara'!P268</f>
        <v>18798560000</v>
      </c>
      <c r="P48" s="3505">
        <f t="shared" si="7"/>
        <v>250000000</v>
      </c>
      <c r="Q48" s="3691">
        <f t="shared" si="1"/>
        <v>1.3478135229904638</v>
      </c>
      <c r="R48" s="3353"/>
      <c r="S48" s="436">
        <f t="shared" si="3"/>
        <v>250000000</v>
      </c>
      <c r="T48" s="436">
        <f t="shared" si="4"/>
        <v>0</v>
      </c>
    </row>
    <row r="49" spans="1:38">
      <c r="A49" s="3358"/>
      <c r="B49" s="3359">
        <v>4</v>
      </c>
      <c r="C49" s="3359">
        <v>1</v>
      </c>
      <c r="D49" s="3359">
        <v>4</v>
      </c>
      <c r="E49" s="3359" t="s">
        <v>448</v>
      </c>
      <c r="F49" s="3359"/>
      <c r="G49" s="3359"/>
      <c r="H49" s="200" t="s">
        <v>1070</v>
      </c>
      <c r="I49" s="200"/>
      <c r="J49" s="218"/>
      <c r="K49" s="3505">
        <f>+'KOM opsi 1'!J288</f>
        <v>235536159</v>
      </c>
      <c r="L49" s="3505">
        <f>+'KOM opsi 1'!K288</f>
        <v>12930312</v>
      </c>
      <c r="M49" s="3505">
        <f>+'KOM opsi 1'!L288</f>
        <v>235536159</v>
      </c>
      <c r="N49" s="3505">
        <f>+'KOM opsi 1'!O288</f>
        <v>1253496</v>
      </c>
      <c r="O49" s="3505">
        <f>'KOM sementara'!P291</f>
        <v>31000000</v>
      </c>
      <c r="P49" s="3505">
        <f t="shared" si="7"/>
        <v>-204536159</v>
      </c>
      <c r="Q49" s="3691">
        <f t="shared" si="1"/>
        <v>-86.838538875892937</v>
      </c>
      <c r="R49" s="3353"/>
      <c r="S49" s="436">
        <f t="shared" si="3"/>
        <v>-204536159</v>
      </c>
      <c r="T49" s="436">
        <f t="shared" si="4"/>
        <v>0</v>
      </c>
    </row>
    <row r="50" spans="1:38">
      <c r="A50" s="4506"/>
      <c r="B50" s="4507">
        <v>4</v>
      </c>
      <c r="C50" s="4507">
        <v>1</v>
      </c>
      <c r="D50" s="4507">
        <v>4</v>
      </c>
      <c r="E50" s="4507">
        <v>10</v>
      </c>
      <c r="F50" s="4507"/>
      <c r="G50" s="4507"/>
      <c r="H50" s="200" t="str">
        <f>'KOM sementara'!F299</f>
        <v>Pendapatan dari pengembalian</v>
      </c>
      <c r="I50" s="200"/>
      <c r="J50" s="4508"/>
      <c r="K50" s="4509"/>
      <c r="L50" s="4509"/>
      <c r="M50" s="4509">
        <f>'KOM sementara'!L299</f>
        <v>73939763650</v>
      </c>
      <c r="N50" s="4509"/>
      <c r="O50" s="4509">
        <f>'KOM sementara'!P299</f>
        <v>73954763650</v>
      </c>
      <c r="P50" s="3505">
        <f t="shared" si="7"/>
        <v>15000000</v>
      </c>
      <c r="Q50" s="3691">
        <f t="shared" si="1"/>
        <v>2.0286783808231235E-2</v>
      </c>
      <c r="R50" s="4510"/>
      <c r="S50" s="436"/>
      <c r="T50" s="436"/>
    </row>
    <row r="51" spans="1:38">
      <c r="A51" s="3358"/>
      <c r="B51" s="3359">
        <v>4</v>
      </c>
      <c r="C51" s="3359">
        <v>1</v>
      </c>
      <c r="D51" s="3359">
        <v>4</v>
      </c>
      <c r="E51" s="3359">
        <v>12</v>
      </c>
      <c r="F51" s="3359"/>
      <c r="G51" s="3359"/>
      <c r="H51" s="200" t="str">
        <f>'KOM sementara'!F366</f>
        <v>Pendapatan dari penyelenggaraan pendidikan</v>
      </c>
      <c r="I51" s="200"/>
      <c r="J51" s="218"/>
      <c r="K51" s="3505">
        <f>'KOM opsi 1'!L293</f>
        <v>0</v>
      </c>
      <c r="L51" s="3505">
        <f>'KOM opsi 1'!M293</f>
        <v>0</v>
      </c>
      <c r="M51" s="3505">
        <f>'KOM sementara'!L366</f>
        <v>4392225000</v>
      </c>
      <c r="N51" s="3505">
        <f>'KOM opsi 1'!P293</f>
        <v>0</v>
      </c>
      <c r="O51" s="3890">
        <f>'KOM revisi stlh KUA'!P366</f>
        <v>6086425000</v>
      </c>
      <c r="P51" s="3505">
        <f t="shared" si="7"/>
        <v>1694200000</v>
      </c>
      <c r="Q51" s="3691"/>
      <c r="R51" s="3353"/>
      <c r="S51" s="436">
        <f t="shared" si="3"/>
        <v>1694200000</v>
      </c>
      <c r="T51" s="436">
        <f t="shared" si="4"/>
        <v>0</v>
      </c>
    </row>
    <row r="52" spans="1:38" s="191" customFormat="1">
      <c r="A52" s="3358"/>
      <c r="B52" s="3359">
        <v>4</v>
      </c>
      <c r="C52" s="3359">
        <v>1</v>
      </c>
      <c r="D52" s="3359">
        <v>4</v>
      </c>
      <c r="E52" s="3359">
        <v>13</v>
      </c>
      <c r="F52" s="3359"/>
      <c r="G52" s="3359"/>
      <c r="H52" s="200" t="str">
        <f>'KOM sementara'!F373</f>
        <v>Pendapatan dari Angsuran/Cicilan Penjualan</v>
      </c>
      <c r="I52" s="200"/>
      <c r="J52" s="218"/>
      <c r="K52" s="3505">
        <f>+'KOM opsi 1'!J296</f>
        <v>68944925050</v>
      </c>
      <c r="L52" s="3505">
        <f>+'KOM opsi 1'!K296</f>
        <v>62912738507.940002</v>
      </c>
      <c r="M52" s="3505">
        <f>'KOM sementara'!L373</f>
        <v>60900800</v>
      </c>
      <c r="N52" s="3505">
        <f>+'KOM opsi 1'!O296</f>
        <v>50207140</v>
      </c>
      <c r="O52" s="3505">
        <f>'KOM sementara'!P373</f>
        <v>60900800</v>
      </c>
      <c r="P52" s="3505">
        <f t="shared" si="7"/>
        <v>0</v>
      </c>
      <c r="Q52" s="3691">
        <f t="shared" si="1"/>
        <v>0</v>
      </c>
      <c r="R52" s="3360"/>
      <c r="S52" s="436">
        <f t="shared" si="3"/>
        <v>0</v>
      </c>
      <c r="T52" s="436">
        <f t="shared" si="4"/>
        <v>0</v>
      </c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</row>
    <row r="53" spans="1:38" ht="14.25" customHeight="1">
      <c r="A53" s="4004"/>
      <c r="B53" s="3359">
        <v>4</v>
      </c>
      <c r="C53" s="3359">
        <v>1</v>
      </c>
      <c r="D53" s="3359">
        <v>4</v>
      </c>
      <c r="E53" s="3359">
        <v>15</v>
      </c>
      <c r="F53" s="3359"/>
      <c r="G53" s="3361" t="s">
        <v>437</v>
      </c>
      <c r="H53" s="200" t="s">
        <v>1100</v>
      </c>
      <c r="I53" s="200"/>
      <c r="J53" s="217"/>
      <c r="K53" s="3505">
        <f>+'KOM opsi 1'!J387</f>
        <v>0</v>
      </c>
      <c r="L53" s="3505">
        <f>+'KOM opsi 1'!K387</f>
        <v>0</v>
      </c>
      <c r="M53" s="3505">
        <f>+'KOM opsi 1'!L387</f>
        <v>0</v>
      </c>
      <c r="N53" s="3505">
        <f>+'KOM opsi 1'!O387</f>
        <v>3135000</v>
      </c>
      <c r="O53" s="3505">
        <f>+'KOM opsi 1'!P387</f>
        <v>0</v>
      </c>
      <c r="P53" s="3505">
        <f t="shared" si="7"/>
        <v>0</v>
      </c>
      <c r="Q53" s="4003"/>
      <c r="R53" s="3353"/>
      <c r="S53" s="436">
        <f t="shared" si="3"/>
        <v>0</v>
      </c>
      <c r="T53" s="436">
        <f t="shared" si="4"/>
        <v>0</v>
      </c>
    </row>
    <row r="54" spans="1:38" ht="18.8" customHeight="1">
      <c r="A54" s="3362"/>
      <c r="B54" s="3363">
        <v>4</v>
      </c>
      <c r="C54" s="3363">
        <v>1</v>
      </c>
      <c r="D54" s="3363">
        <v>4</v>
      </c>
      <c r="E54" s="3363">
        <v>16</v>
      </c>
      <c r="F54" s="3363"/>
      <c r="G54" s="3364" t="s">
        <v>437</v>
      </c>
      <c r="H54" s="203" t="s">
        <v>89</v>
      </c>
      <c r="I54" s="203"/>
      <c r="J54" s="219"/>
      <c r="K54" s="3510">
        <f>+'KOM opsi 1'!J373</f>
        <v>116197286650</v>
      </c>
      <c r="L54" s="3510">
        <f>+'KOM opsi 1'!K373</f>
        <v>130237291540.46001</v>
      </c>
      <c r="M54" s="3510">
        <f>+'KOM opsi 1'!L373</f>
        <v>158447286650</v>
      </c>
      <c r="N54" s="3510">
        <f>+'KOM opsi 1'!O373</f>
        <v>40418256259.939995</v>
      </c>
      <c r="O54" s="3510">
        <f>'KOM sementara'!P380</f>
        <v>177300000000</v>
      </c>
      <c r="P54" s="3505">
        <f t="shared" si="7"/>
        <v>18852713350</v>
      </c>
      <c r="Q54" s="5199">
        <f t="shared" si="1"/>
        <v>11.89841350306267</v>
      </c>
      <c r="R54" s="3365"/>
      <c r="S54" s="436">
        <f t="shared" si="3"/>
        <v>18852713350</v>
      </c>
      <c r="T54" s="436">
        <f>SUM(P43:P54)</f>
        <v>23351785191</v>
      </c>
    </row>
    <row r="55" spans="1:38" s="3416" customFormat="1" ht="16.45" customHeight="1">
      <c r="A55" s="3409" t="s">
        <v>78</v>
      </c>
      <c r="B55" s="3410" t="s">
        <v>443</v>
      </c>
      <c r="C55" s="3410" t="s">
        <v>460</v>
      </c>
      <c r="D55" s="3410"/>
      <c r="E55" s="3410"/>
      <c r="F55" s="3411"/>
      <c r="G55" s="3412"/>
      <c r="H55" s="3413" t="s">
        <v>236</v>
      </c>
      <c r="I55" s="3414"/>
      <c r="J55" s="3414"/>
      <c r="K55" s="3511">
        <f>K56+K59+K60</f>
        <v>2333604004580</v>
      </c>
      <c r="L55" s="3511">
        <f>L56+L59+L60</f>
        <v>2587184362905</v>
      </c>
      <c r="M55" s="3511">
        <f>M56+M59+M60</f>
        <v>3222521202310</v>
      </c>
      <c r="N55" s="3511">
        <f>N56+N59+N60</f>
        <v>829709441911</v>
      </c>
      <c r="O55" s="3511">
        <f>O56+O59+O60</f>
        <v>3211428669330</v>
      </c>
      <c r="P55" s="4005">
        <f t="shared" ref="P55:P61" si="8">O55-M55</f>
        <v>-11092532980</v>
      </c>
      <c r="Q55" s="5261">
        <f t="shared" si="1"/>
        <v>-0.34421908448727834</v>
      </c>
      <c r="R55" s="3415"/>
      <c r="S55" s="436">
        <f t="shared" si="3"/>
        <v>-11092532980</v>
      </c>
      <c r="T55" s="3407">
        <f t="shared" si="4"/>
        <v>0</v>
      </c>
    </row>
    <row r="56" spans="1:38">
      <c r="A56" s="3368"/>
      <c r="B56" s="3369">
        <v>4</v>
      </c>
      <c r="C56" s="3369">
        <v>2</v>
      </c>
      <c r="D56" s="3369">
        <v>1</v>
      </c>
      <c r="E56" s="3369"/>
      <c r="F56" s="3369"/>
      <c r="G56" s="3370"/>
      <c r="H56" s="204" t="s">
        <v>1102</v>
      </c>
      <c r="I56" s="204"/>
      <c r="J56" s="220"/>
      <c r="K56" s="3512">
        <f>SUM(K57:K58)</f>
        <v>247954406000</v>
      </c>
      <c r="L56" s="3512">
        <f>SUM(L57:L58)</f>
        <v>375036424549</v>
      </c>
      <c r="M56" s="3512">
        <f>SUM(M57:M58)</f>
        <v>353125684600</v>
      </c>
      <c r="N56" s="3512">
        <f>SUM(N57:N58)</f>
        <v>120779891911</v>
      </c>
      <c r="O56" s="3512">
        <f>SUM(O57:O58)</f>
        <v>328125684600</v>
      </c>
      <c r="P56" s="3862">
        <f t="shared" si="8"/>
        <v>-25000000000</v>
      </c>
      <c r="Q56" s="3693">
        <f t="shared" si="1"/>
        <v>-7.0796322924849022</v>
      </c>
      <c r="R56" s="3371"/>
      <c r="S56" s="436">
        <f t="shared" si="3"/>
        <v>-25000000000</v>
      </c>
      <c r="T56" s="436">
        <f t="shared" si="4"/>
        <v>0</v>
      </c>
    </row>
    <row r="57" spans="1:38">
      <c r="A57" s="3372"/>
      <c r="B57" s="3373"/>
      <c r="C57" s="3373"/>
      <c r="D57" s="3373"/>
      <c r="E57" s="3373"/>
      <c r="F57" s="3373"/>
      <c r="G57" s="3374"/>
      <c r="H57" s="2740" t="s">
        <v>50</v>
      </c>
      <c r="I57" s="205" t="s">
        <v>1103</v>
      </c>
      <c r="J57" s="221"/>
      <c r="K57" s="3513">
        <f>+'KOM opsi 1'!J399</f>
        <v>165277884000</v>
      </c>
      <c r="L57" s="3513">
        <f>+'KOM opsi 1'!K399</f>
        <v>165676022293</v>
      </c>
      <c r="M57" s="3513">
        <f>+'KOM opsi 1'!L399</f>
        <v>185190481600</v>
      </c>
      <c r="N57" s="3513">
        <f>+'KOM opsi 1'!O399</f>
        <v>58788864800</v>
      </c>
      <c r="O57" s="3513">
        <f>'KOM sementara'!P407</f>
        <v>176690481600</v>
      </c>
      <c r="P57" s="3862">
        <f t="shared" si="8"/>
        <v>-8500000000</v>
      </c>
      <c r="Q57" s="3691">
        <f t="shared" si="1"/>
        <v>-4.5898687268168885</v>
      </c>
      <c r="R57" s="3375"/>
      <c r="S57" s="436">
        <f t="shared" si="3"/>
        <v>-8500000000</v>
      </c>
      <c r="T57" s="436">
        <f t="shared" si="4"/>
        <v>0</v>
      </c>
    </row>
    <row r="58" spans="1:38">
      <c r="A58" s="3372"/>
      <c r="B58" s="3373"/>
      <c r="C58" s="3373"/>
      <c r="D58" s="3373"/>
      <c r="E58" s="3373"/>
      <c r="F58" s="3373"/>
      <c r="G58" s="3374"/>
      <c r="H58" s="2740" t="s">
        <v>50</v>
      </c>
      <c r="I58" s="205" t="s">
        <v>1104</v>
      </c>
      <c r="J58" s="221"/>
      <c r="K58" s="3514">
        <f>+'KOM opsi 1'!J405</f>
        <v>82676522000</v>
      </c>
      <c r="L58" s="3514">
        <f>+'KOM opsi 1'!K405</f>
        <v>209360402256</v>
      </c>
      <c r="M58" s="3514">
        <f>+'KOM opsi 1'!L405</f>
        <v>167935203000</v>
      </c>
      <c r="N58" s="3514">
        <f>+'KOM opsi 1'!O405</f>
        <v>61991027111</v>
      </c>
      <c r="O58" s="3514">
        <f>'KOM sementara'!P415</f>
        <v>151435203000</v>
      </c>
      <c r="P58" s="3862">
        <f t="shared" si="8"/>
        <v>-16500000000</v>
      </c>
      <c r="Q58" s="3691">
        <f t="shared" si="1"/>
        <v>-9.8252181229685362</v>
      </c>
      <c r="R58" s="3375"/>
      <c r="S58" s="436">
        <f t="shared" si="3"/>
        <v>-16500000000</v>
      </c>
      <c r="T58" s="436">
        <f t="shared" si="4"/>
        <v>0</v>
      </c>
    </row>
    <row r="59" spans="1:38">
      <c r="A59" s="3376"/>
      <c r="B59" s="3377">
        <v>4</v>
      </c>
      <c r="C59" s="3377">
        <v>2</v>
      </c>
      <c r="D59" s="3377">
        <v>2</v>
      </c>
      <c r="E59" s="3377"/>
      <c r="F59" s="3377"/>
      <c r="G59" s="3378"/>
      <c r="H59" s="206" t="s">
        <v>1105</v>
      </c>
      <c r="I59" s="206"/>
      <c r="J59" s="222"/>
      <c r="K59" s="3515">
        <f>+'KOM opsi 1'!J410</f>
        <v>955792513580</v>
      </c>
      <c r="L59" s="3515">
        <f>+'KOM opsi 1'!K410</f>
        <v>1117691709000</v>
      </c>
      <c r="M59" s="3515">
        <f>+'KOM opsi 1'!L410</f>
        <v>1496972549710</v>
      </c>
      <c r="N59" s="3515">
        <f>+'KOM opsi 1'!O410</f>
        <v>472007632000</v>
      </c>
      <c r="O59" s="3515">
        <f>'KOM revisi stlh KUA'!P420</f>
        <v>1491522952000</v>
      </c>
      <c r="P59" s="3862">
        <f t="shared" si="8"/>
        <v>-5449597710</v>
      </c>
      <c r="Q59" s="3691">
        <f t="shared" si="1"/>
        <v>-0.36404125854249969</v>
      </c>
      <c r="R59" s="3379"/>
      <c r="S59" s="436">
        <f t="shared" si="3"/>
        <v>-5449597710</v>
      </c>
      <c r="T59" s="436">
        <f t="shared" si="4"/>
        <v>0</v>
      </c>
    </row>
    <row r="60" spans="1:38">
      <c r="A60" s="3376"/>
      <c r="B60" s="3377">
        <v>4</v>
      </c>
      <c r="C60" s="3377">
        <v>2</v>
      </c>
      <c r="D60" s="3377">
        <v>3</v>
      </c>
      <c r="E60" s="3377"/>
      <c r="F60" s="3377"/>
      <c r="G60" s="3378"/>
      <c r="H60" s="206" t="s">
        <v>256</v>
      </c>
      <c r="I60" s="206"/>
      <c r="J60" s="222"/>
      <c r="K60" s="3515">
        <f>+'KOM opsi 1'!J415</f>
        <v>1129857085000</v>
      </c>
      <c r="L60" s="3515">
        <f>+'KOM opsi 1'!K415</f>
        <v>1094456229356</v>
      </c>
      <c r="M60" s="3515">
        <f>+'KOM opsi 1'!L415</f>
        <v>1372422968000</v>
      </c>
      <c r="N60" s="3515">
        <f>+'KOM opsi 1'!O415</f>
        <v>236921918000</v>
      </c>
      <c r="O60" s="3515">
        <f>'KOM revisi stlh KUA'!P425</f>
        <v>1391780032730</v>
      </c>
      <c r="P60" s="3862">
        <f t="shared" si="8"/>
        <v>19357064730</v>
      </c>
      <c r="Q60" s="5199">
        <f t="shared" si="1"/>
        <v>1.4104299608311379</v>
      </c>
      <c r="R60" s="3379"/>
      <c r="S60" s="436">
        <f t="shared" si="3"/>
        <v>19357064730</v>
      </c>
      <c r="T60" s="436">
        <f t="shared" si="4"/>
        <v>0</v>
      </c>
    </row>
    <row r="61" spans="1:38" s="3408" customFormat="1" ht="16.45" customHeight="1">
      <c r="A61" s="3400" t="s">
        <v>100</v>
      </c>
      <c r="B61" s="3401">
        <v>4</v>
      </c>
      <c r="C61" s="3401">
        <v>3</v>
      </c>
      <c r="D61" s="3401"/>
      <c r="E61" s="3401"/>
      <c r="F61" s="3401"/>
      <c r="G61" s="3401"/>
      <c r="H61" s="3402" t="s">
        <v>265</v>
      </c>
      <c r="I61" s="3403"/>
      <c r="J61" s="3404"/>
      <c r="K61" s="3522">
        <f>K62+K67</f>
        <v>18870510900</v>
      </c>
      <c r="L61" s="3522">
        <f>L62+L67</f>
        <v>18001891981.540001</v>
      </c>
      <c r="M61" s="3522">
        <f>M62+M67</f>
        <v>67264821900</v>
      </c>
      <c r="N61" s="3522">
        <f>N62+N67</f>
        <v>46044223346.990005</v>
      </c>
      <c r="O61" s="3522">
        <f>O62+O67</f>
        <v>85598457900</v>
      </c>
      <c r="P61" s="3522">
        <f t="shared" si="8"/>
        <v>18333636000</v>
      </c>
      <c r="Q61" s="5201">
        <f t="shared" si="1"/>
        <v>27.255905066181413</v>
      </c>
      <c r="R61" s="3405"/>
      <c r="S61" s="436">
        <f t="shared" si="3"/>
        <v>18333636000</v>
      </c>
      <c r="T61" s="3407">
        <f t="shared" si="4"/>
        <v>0</v>
      </c>
    </row>
    <row r="62" spans="1:38" ht="15.05" customHeight="1">
      <c r="A62" s="211"/>
      <c r="B62" s="3356">
        <v>4</v>
      </c>
      <c r="C62" s="3356">
        <v>3</v>
      </c>
      <c r="D62" s="3356">
        <v>1</v>
      </c>
      <c r="E62" s="3356"/>
      <c r="F62" s="3356"/>
      <c r="G62" s="3340"/>
      <c r="H62" s="212" t="s">
        <v>1106</v>
      </c>
      <c r="I62" s="224"/>
      <c r="J62" s="225"/>
      <c r="K62" s="3504">
        <f t="shared" ref="K62:P62" si="9">SUM(K63:K65)</f>
        <v>13870510900</v>
      </c>
      <c r="L62" s="3504">
        <f t="shared" si="9"/>
        <v>13001891981.540001</v>
      </c>
      <c r="M62" s="3504">
        <f t="shared" si="9"/>
        <v>13870510900</v>
      </c>
      <c r="N62" s="3504">
        <f t="shared" si="9"/>
        <v>19347068346.990002</v>
      </c>
      <c r="O62" s="3504">
        <f t="shared" si="9"/>
        <v>32204146900</v>
      </c>
      <c r="P62" s="3504">
        <f t="shared" si="9"/>
        <v>18333636000</v>
      </c>
      <c r="Q62" s="3690">
        <f t="shared" si="1"/>
        <v>132.17707791859348</v>
      </c>
      <c r="R62" s="3351"/>
      <c r="S62" s="436">
        <f t="shared" si="3"/>
        <v>18333636000</v>
      </c>
      <c r="T62" s="436">
        <f t="shared" si="4"/>
        <v>0</v>
      </c>
    </row>
    <row r="63" spans="1:38">
      <c r="A63" s="3380"/>
      <c r="B63" s="3359"/>
      <c r="C63" s="3359"/>
      <c r="D63" s="3359"/>
      <c r="E63" s="3359"/>
      <c r="F63" s="3359"/>
      <c r="G63" s="3343"/>
      <c r="H63" s="2778" t="s">
        <v>50</v>
      </c>
      <c r="I63" s="2727" t="s">
        <v>267</v>
      </c>
      <c r="J63" s="218"/>
      <c r="K63" s="3505">
        <f>'KOM opsi 1'!L430</f>
        <v>0</v>
      </c>
      <c r="L63" s="3505">
        <f>'KOM opsi 1'!M430</f>
        <v>0</v>
      </c>
      <c r="M63" s="3505">
        <f>'KOM opsi 1'!N430</f>
        <v>0</v>
      </c>
      <c r="N63" s="3505">
        <f>'KOM opsi 1'!P430</f>
        <v>0</v>
      </c>
      <c r="O63" s="3505">
        <f>'KOM opsi 2'!P431</f>
        <v>0</v>
      </c>
      <c r="P63" s="3505">
        <f>'KOM opsi 1'!R430</f>
        <v>0</v>
      </c>
      <c r="Q63" s="3692"/>
      <c r="R63" s="3353"/>
      <c r="S63" s="436">
        <f t="shared" si="3"/>
        <v>0</v>
      </c>
      <c r="T63" s="436">
        <f t="shared" si="4"/>
        <v>0</v>
      </c>
    </row>
    <row r="64" spans="1:38">
      <c r="A64" s="3381"/>
      <c r="B64" s="3359"/>
      <c r="C64" s="3359"/>
      <c r="D64" s="3359"/>
      <c r="E64" s="3359"/>
      <c r="F64" s="3359"/>
      <c r="G64" s="3343"/>
      <c r="H64" s="2778" t="s">
        <v>50</v>
      </c>
      <c r="I64" s="200" t="s">
        <v>1107</v>
      </c>
      <c r="J64" s="218"/>
      <c r="K64" s="3505">
        <f>+'KOM opsi 1'!J429</f>
        <v>13870510900</v>
      </c>
      <c r="L64" s="3505">
        <f>+'KOM opsi 1'!K429</f>
        <v>13001891981.540001</v>
      </c>
      <c r="M64" s="3505">
        <f>+'KOM opsi 1'!L429</f>
        <v>13870510900</v>
      </c>
      <c r="N64" s="3505">
        <f>'KOM opsi 2'!O432</f>
        <v>19347068346.990002</v>
      </c>
      <c r="O64" s="4514">
        <f>'KOM sementara'!P439</f>
        <v>32204146900</v>
      </c>
      <c r="P64" s="3505">
        <f>'KOM opsi 2'!Q432</f>
        <v>18333636000</v>
      </c>
      <c r="Q64" s="3691">
        <f t="shared" si="1"/>
        <v>132.17707791859348</v>
      </c>
      <c r="R64" s="3353"/>
      <c r="S64" s="436">
        <f>+O64-M64</f>
        <v>18333636000</v>
      </c>
      <c r="T64" s="436">
        <f t="shared" si="4"/>
        <v>0</v>
      </c>
    </row>
    <row r="65" spans="1:20">
      <c r="A65" s="3381"/>
      <c r="B65" s="3359"/>
      <c r="C65" s="3359"/>
      <c r="D65" s="3359"/>
      <c r="E65" s="3359"/>
      <c r="F65" s="3359"/>
      <c r="G65" s="3343"/>
      <c r="H65" s="213"/>
      <c r="I65" s="200" t="s">
        <v>1108</v>
      </c>
      <c r="J65" s="218"/>
      <c r="K65" s="3505"/>
      <c r="L65" s="3505"/>
      <c r="M65" s="3505"/>
      <c r="N65" s="3505"/>
      <c r="O65" s="3505"/>
      <c r="P65" s="3505"/>
      <c r="Q65" s="3692"/>
      <c r="R65" s="3353"/>
      <c r="S65" s="436">
        <f t="shared" si="3"/>
        <v>0</v>
      </c>
      <c r="T65" s="436">
        <f t="shared" si="4"/>
        <v>0</v>
      </c>
    </row>
    <row r="66" spans="1:20" ht="9.1" customHeight="1">
      <c r="A66" s="3382"/>
      <c r="B66" s="3383"/>
      <c r="C66" s="3383"/>
      <c r="D66" s="3383"/>
      <c r="E66" s="3383"/>
      <c r="F66" s="3383"/>
      <c r="G66" s="3384"/>
      <c r="H66" s="2844"/>
      <c r="I66" s="856"/>
      <c r="J66" s="1907"/>
      <c r="K66" s="3517"/>
      <c r="L66" s="3517"/>
      <c r="M66" s="3517"/>
      <c r="N66" s="3517"/>
      <c r="O66" s="3517"/>
      <c r="P66" s="3517"/>
      <c r="Q66" s="3692"/>
      <c r="R66" s="3385"/>
      <c r="S66" s="436">
        <f t="shared" si="3"/>
        <v>0</v>
      </c>
      <c r="T66" s="436">
        <f t="shared" si="4"/>
        <v>0</v>
      </c>
    </row>
    <row r="67" spans="1:20" s="190" customFormat="1" ht="12.7" customHeight="1">
      <c r="A67" s="228"/>
      <c r="B67" s="228" t="s">
        <v>443</v>
      </c>
      <c r="C67" s="228" t="s">
        <v>457</v>
      </c>
      <c r="D67" s="228" t="s">
        <v>443</v>
      </c>
      <c r="E67" s="228"/>
      <c r="F67" s="229"/>
      <c r="G67" s="230"/>
      <c r="H67" s="231" t="s">
        <v>652</v>
      </c>
      <c r="I67" s="202"/>
      <c r="J67" s="218"/>
      <c r="K67" s="3506">
        <f t="shared" ref="K67:P67" si="10">SUM(K68)</f>
        <v>5000000000</v>
      </c>
      <c r="L67" s="3506">
        <f t="shared" si="10"/>
        <v>5000000000</v>
      </c>
      <c r="M67" s="3506">
        <f t="shared" si="10"/>
        <v>53394311000</v>
      </c>
      <c r="N67" s="3506">
        <f t="shared" si="10"/>
        <v>26697155000</v>
      </c>
      <c r="O67" s="3506">
        <f t="shared" si="10"/>
        <v>53394311000</v>
      </c>
      <c r="P67" s="3506">
        <f t="shared" si="10"/>
        <v>0</v>
      </c>
      <c r="Q67" s="3692">
        <f t="shared" si="1"/>
        <v>0</v>
      </c>
      <c r="R67" s="3354"/>
      <c r="S67" s="436">
        <f t="shared" si="3"/>
        <v>0</v>
      </c>
      <c r="T67" s="436">
        <f t="shared" si="4"/>
        <v>0</v>
      </c>
    </row>
    <row r="68" spans="1:20" ht="12.7" customHeight="1">
      <c r="A68" s="232"/>
      <c r="B68" s="232"/>
      <c r="C68" s="232"/>
      <c r="D68" s="232"/>
      <c r="E68" s="232"/>
      <c r="F68" s="232"/>
      <c r="G68" s="230"/>
      <c r="H68" s="233" t="s">
        <v>293</v>
      </c>
      <c r="I68" s="200"/>
      <c r="J68" s="218"/>
      <c r="K68" s="3505">
        <f>+'KOM opsi 1'!J566</f>
        <v>5000000000</v>
      </c>
      <c r="L68" s="3505">
        <f>+'KOM opsi 1'!K566</f>
        <v>5000000000</v>
      </c>
      <c r="M68" s="3505">
        <f>+'KOM opsi 1'!L566</f>
        <v>53394311000</v>
      </c>
      <c r="N68" s="3505">
        <f>+'KOM opsi 1'!O562</f>
        <v>26697155000</v>
      </c>
      <c r="O68" s="3505">
        <f>'KOM sementara'!P574</f>
        <v>53394311000</v>
      </c>
      <c r="P68" s="3505">
        <f>+'KOM opsi 1'!Q562</f>
        <v>0</v>
      </c>
      <c r="Q68" s="5202">
        <f>O68/M68*100-100</f>
        <v>0</v>
      </c>
      <c r="R68" s="3353"/>
      <c r="S68" s="436">
        <f t="shared" si="3"/>
        <v>0</v>
      </c>
      <c r="T68" s="436">
        <f t="shared" si="4"/>
        <v>0</v>
      </c>
    </row>
    <row r="69" spans="1:20" s="3433" customFormat="1" ht="17.25" customHeight="1">
      <c r="A69" s="3434"/>
      <c r="B69" s="3435"/>
      <c r="C69" s="3435"/>
      <c r="D69" s="3435"/>
      <c r="E69" s="3435"/>
      <c r="F69" s="3435"/>
      <c r="G69" s="3435"/>
      <c r="H69" s="3436" t="s">
        <v>1109</v>
      </c>
      <c r="I69" s="3428"/>
      <c r="J69" s="3429"/>
      <c r="K69" s="3523">
        <f t="shared" ref="K69:P69" si="11">K61+K55+K8</f>
        <v>3794636377504</v>
      </c>
      <c r="L69" s="3523">
        <f t="shared" si="11"/>
        <v>3946978987678.9697</v>
      </c>
      <c r="M69" s="3523">
        <f t="shared" si="11"/>
        <v>4791397359569</v>
      </c>
      <c r="N69" s="3523">
        <f t="shared" si="11"/>
        <v>1163476630856.72</v>
      </c>
      <c r="O69" s="3523">
        <f t="shared" si="11"/>
        <v>4914220642727</v>
      </c>
      <c r="P69" s="4006">
        <f t="shared" si="11"/>
        <v>122823283158</v>
      </c>
      <c r="Q69" s="5203">
        <f>O69/M69*100-100</f>
        <v>2.5634125901227378</v>
      </c>
      <c r="R69" s="3437"/>
      <c r="S69" s="436">
        <f t="shared" si="3"/>
        <v>122823283158</v>
      </c>
      <c r="T69" s="3432">
        <f t="shared" si="4"/>
        <v>0</v>
      </c>
    </row>
    <row r="70" spans="1:20" ht="12.7" customHeight="1">
      <c r="J70" s="436"/>
      <c r="K70" s="3387"/>
      <c r="L70" s="3387"/>
      <c r="M70" s="3387"/>
      <c r="N70" s="240"/>
      <c r="O70" s="240"/>
      <c r="P70" s="240"/>
      <c r="R70" s="3388"/>
    </row>
    <row r="71" spans="1:20" ht="15.05">
      <c r="K71" s="3389"/>
      <c r="L71" s="3389"/>
      <c r="M71" s="1142"/>
      <c r="N71" s="1142"/>
      <c r="O71" s="4015" t="str">
        <f>'KOM revisi stlh KUA'!P585</f>
        <v>Mataram,         Juli  2017</v>
      </c>
      <c r="P71" s="1142"/>
    </row>
    <row r="72" spans="1:20" ht="15.05">
      <c r="K72" s="436"/>
      <c r="L72" s="436"/>
      <c r="M72" s="436"/>
      <c r="N72" s="422"/>
      <c r="O72" s="4017" t="s">
        <v>1213</v>
      </c>
      <c r="P72" s="422"/>
      <c r="Q72" s="422"/>
    </row>
    <row r="73" spans="1:20" ht="15.05">
      <c r="H73" s="819"/>
      <c r="I73" s="819"/>
      <c r="N73" s="422"/>
      <c r="O73" s="4017" t="s">
        <v>929</v>
      </c>
      <c r="P73" s="422"/>
      <c r="Q73" s="422"/>
    </row>
    <row r="74" spans="1:20" ht="15.05">
      <c r="J74" s="190"/>
      <c r="K74" s="3391"/>
      <c r="L74" s="3391"/>
      <c r="M74" s="3391"/>
      <c r="N74" s="3391"/>
      <c r="O74" s="4016"/>
      <c r="P74" s="3391"/>
    </row>
    <row r="75" spans="1:20" ht="15.05">
      <c r="H75" s="3393"/>
      <c r="I75" s="3393"/>
      <c r="N75" s="1829"/>
      <c r="O75" s="4016"/>
      <c r="P75" s="1829"/>
      <c r="Q75" s="1829"/>
    </row>
    <row r="76" spans="1:20" ht="15.05">
      <c r="H76" s="3394"/>
      <c r="I76" s="3394"/>
      <c r="N76" s="3395"/>
      <c r="O76" s="4017"/>
      <c r="P76" s="3395"/>
      <c r="Q76" s="3395"/>
    </row>
    <row r="77" spans="1:20" ht="15.05">
      <c r="O77" s="4018" t="s">
        <v>1214</v>
      </c>
    </row>
    <row r="78" spans="1:20" ht="15.05">
      <c r="J78" s="3396"/>
      <c r="K78" s="3389"/>
      <c r="L78" s="3389"/>
      <c r="M78" s="3389"/>
      <c r="N78" s="3389"/>
      <c r="O78" s="4019" t="s">
        <v>1215</v>
      </c>
      <c r="P78" s="3389"/>
      <c r="Q78" s="3397"/>
    </row>
    <row r="81" spans="10:13">
      <c r="K81" s="3398"/>
      <c r="L81" s="3398"/>
      <c r="M81" s="3398"/>
    </row>
    <row r="90" spans="10:13">
      <c r="J90" s="63"/>
    </row>
  </sheetData>
  <sheetProtection selectLockedCells="1" selectUnlockedCells="1"/>
  <mergeCells count="15">
    <mergeCell ref="B6:G6"/>
    <mergeCell ref="H6:J6"/>
    <mergeCell ref="A1:R1"/>
    <mergeCell ref="A2:R2"/>
    <mergeCell ref="Q3:R3"/>
    <mergeCell ref="B4:G5"/>
    <mergeCell ref="H4:J4"/>
    <mergeCell ref="K4:K5"/>
    <mergeCell ref="L4:L5"/>
    <mergeCell ref="M4:M5"/>
    <mergeCell ref="N4:N5"/>
    <mergeCell ref="P4:P5"/>
    <mergeCell ref="Q4:Q5"/>
    <mergeCell ref="R4:R5"/>
    <mergeCell ref="H5:J5"/>
  </mergeCells>
  <pageMargins left="0.54" right="0.15748031496062992" top="0.28999999999999998" bottom="0.43" header="0.2" footer="0.19"/>
  <pageSetup paperSize="9" scale="70" orientation="portrait" useFirstPageNumber="1" horizontalDpi="1200" verticalDpi="1200" r:id="rId1"/>
  <headerFooter alignWithMargins="0">
    <oddFooter>&amp;LRekapitulasi Rencana Perubahan Target Pendapatan TA 2017 - BAPPENDA PROVINSI NTB&amp;RHal. 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E732"/>
  <sheetViews>
    <sheetView view="pageBreakPreview" zoomScaleNormal="90" zoomScaleSheetLayoutView="100" workbookViewId="0">
      <pane ySplit="6" topLeftCell="A226" activePane="bottomLeft" state="frozen"/>
      <selection pane="bottomLeft" activeCell="Q234" sqref="Q234"/>
    </sheetView>
  </sheetViews>
  <sheetFormatPr defaultColWidth="9.109375" defaultRowHeight="13.15"/>
  <cols>
    <col min="1" max="2" width="3.44140625" style="1843" customWidth="1"/>
    <col min="3" max="5" width="3.44140625" style="1844" customWidth="1"/>
    <col min="6" max="6" width="2.5546875" style="1845" customWidth="1"/>
    <col min="7" max="7" width="2.109375" style="1845" customWidth="1"/>
    <col min="8" max="8" width="20.6640625" style="1844" customWidth="1"/>
    <col min="9" max="9" width="19.5546875" style="1844" customWidth="1"/>
    <col min="10" max="10" width="22.5546875" style="1844" hidden="1" customWidth="1"/>
    <col min="11" max="11" width="22.44140625" style="1844" hidden="1" customWidth="1"/>
    <col min="12" max="12" width="22.5546875" style="1844" customWidth="1"/>
    <col min="13" max="13" width="20.33203125" style="1844" hidden="1" customWidth="1"/>
    <col min="14" max="14" width="20.109375" style="1844" hidden="1" customWidth="1"/>
    <col min="15" max="15" width="22.109375" style="1844" hidden="1" customWidth="1"/>
    <col min="16" max="16" width="22.44140625" style="1844" customWidth="1"/>
    <col min="17" max="17" width="21.44140625" style="1844" customWidth="1"/>
    <col min="18" max="18" width="8" style="3649" customWidth="1"/>
    <col min="19" max="19" width="15.5546875" style="2883" customWidth="1"/>
    <col min="20" max="20" width="21" style="2883" bestFit="1" customWidth="1"/>
    <col min="21" max="21" width="7.44140625" style="1844" customWidth="1"/>
    <col min="22" max="22" width="21.6640625" style="1846" customWidth="1"/>
    <col min="23" max="23" width="20.33203125" style="1844" customWidth="1"/>
    <col min="24" max="16384" width="9.109375" style="1844"/>
  </cols>
  <sheetData>
    <row r="1" spans="1:22" s="1831" customFormat="1" ht="9.6999999999999993" customHeight="1">
      <c r="A1" s="1847"/>
      <c r="B1" s="1847"/>
      <c r="C1" s="1840"/>
      <c r="D1" s="1840"/>
      <c r="E1" s="1840"/>
      <c r="F1" s="1848"/>
      <c r="G1" s="1848"/>
      <c r="H1" s="1840"/>
      <c r="I1" s="1840"/>
      <c r="J1" s="1840"/>
      <c r="K1" s="1840"/>
      <c r="L1" s="1840"/>
      <c r="M1" s="1840"/>
      <c r="N1" s="1840"/>
      <c r="O1" s="1840"/>
      <c r="P1" s="1840"/>
      <c r="Q1" s="1840"/>
      <c r="R1" s="3596"/>
      <c r="S1" s="2990"/>
      <c r="T1" s="2990"/>
      <c r="U1" s="1840"/>
      <c r="V1" s="1846"/>
    </row>
    <row r="2" spans="1:22" ht="18" customHeight="1">
      <c r="A2" s="5785" t="s">
        <v>1182</v>
      </c>
      <c r="B2" s="5785"/>
      <c r="C2" s="5785"/>
      <c r="D2" s="5785"/>
      <c r="E2" s="5785"/>
      <c r="F2" s="5785"/>
      <c r="G2" s="5785"/>
      <c r="H2" s="5785"/>
      <c r="I2" s="5785"/>
      <c r="J2" s="5785"/>
      <c r="K2" s="5785"/>
      <c r="L2" s="5785"/>
      <c r="M2" s="5785"/>
      <c r="N2" s="5785"/>
      <c r="O2" s="5785"/>
      <c r="P2" s="5785"/>
      <c r="Q2" s="5785"/>
      <c r="R2" s="5785"/>
      <c r="S2" s="3891"/>
      <c r="T2" s="3891"/>
      <c r="U2" s="3891"/>
    </row>
    <row r="3" spans="1:22" ht="18" customHeight="1">
      <c r="A3" s="5825" t="s">
        <v>1265</v>
      </c>
      <c r="B3" s="5825"/>
      <c r="C3" s="5825"/>
      <c r="D3" s="5825"/>
      <c r="E3" s="5825"/>
      <c r="F3" s="5825"/>
      <c r="G3" s="5825"/>
      <c r="H3" s="5825"/>
      <c r="I3" s="5825"/>
      <c r="J3" s="5825"/>
      <c r="K3" s="5825"/>
      <c r="L3" s="5825"/>
      <c r="M3" s="5825"/>
      <c r="N3" s="5825"/>
      <c r="O3" s="5825"/>
      <c r="P3" s="5825"/>
      <c r="Q3" s="5825"/>
      <c r="R3" s="5825"/>
      <c r="S3" s="2991"/>
      <c r="T3" s="2991"/>
      <c r="U3" s="1849"/>
    </row>
    <row r="4" spans="1:22" ht="18" customHeight="1">
      <c r="A4" s="1850" t="s">
        <v>473</v>
      </c>
      <c r="B4" s="1847"/>
      <c r="C4" s="1847"/>
      <c r="D4" s="1847"/>
      <c r="E4" s="1847"/>
      <c r="F4" s="1840"/>
      <c r="G4" s="1840"/>
      <c r="H4" s="1840"/>
      <c r="I4" s="1840"/>
      <c r="J4" s="1840"/>
      <c r="K4" s="1840"/>
      <c r="L4" s="1866"/>
      <c r="M4" s="1866"/>
      <c r="N4" s="1866"/>
      <c r="O4" s="1866"/>
      <c r="P4" s="1867"/>
      <c r="Q4" s="1867">
        <f>1391780032730-P427</f>
        <v>0</v>
      </c>
      <c r="R4" s="3911"/>
      <c r="S4" s="3590"/>
      <c r="T4" s="3590"/>
      <c r="U4" s="1878"/>
    </row>
    <row r="5" spans="1:22" s="257" customFormat="1" ht="13" customHeight="1">
      <c r="A5" s="5786" t="s">
        <v>435</v>
      </c>
      <c r="B5" s="5786"/>
      <c r="C5" s="5786"/>
      <c r="D5" s="5786"/>
      <c r="E5" s="5786"/>
      <c r="F5" s="5787" t="s">
        <v>56</v>
      </c>
      <c r="G5" s="5787"/>
      <c r="H5" s="5787"/>
      <c r="I5" s="5787"/>
      <c r="J5" s="5788" t="s">
        <v>474</v>
      </c>
      <c r="K5" s="5788" t="s">
        <v>475</v>
      </c>
      <c r="L5" s="5790" t="str">
        <f>PerDinas!K5</f>
        <v>TARGET 2017</v>
      </c>
      <c r="M5" s="5791" t="s">
        <v>5</v>
      </c>
      <c r="N5" s="5792"/>
      <c r="O5" s="5793"/>
      <c r="P5" s="1869" t="s">
        <v>476</v>
      </c>
      <c r="Q5" s="5794" t="s">
        <v>477</v>
      </c>
      <c r="R5" s="5796" t="s">
        <v>6</v>
      </c>
      <c r="S5" s="5804" t="s">
        <v>1195</v>
      </c>
      <c r="T5" s="5794" t="s">
        <v>477</v>
      </c>
      <c r="U5" s="5781" t="s">
        <v>478</v>
      </c>
      <c r="V5" s="1846"/>
    </row>
    <row r="6" spans="1:22" s="257" customFormat="1" ht="13" customHeight="1">
      <c r="A6" s="5786"/>
      <c r="B6" s="5786"/>
      <c r="C6" s="5786"/>
      <c r="D6" s="5786"/>
      <c r="E6" s="5786"/>
      <c r="F6" s="5787"/>
      <c r="G6" s="5787"/>
      <c r="H6" s="5787"/>
      <c r="I6" s="5787"/>
      <c r="J6" s="5789"/>
      <c r="K6" s="5789"/>
      <c r="L6" s="5790"/>
      <c r="M6" s="1868" t="s">
        <v>479</v>
      </c>
      <c r="N6" s="1868" t="s">
        <v>433</v>
      </c>
      <c r="O6" s="1868" t="s">
        <v>480</v>
      </c>
      <c r="P6" s="1870" t="s">
        <v>481</v>
      </c>
      <c r="Q6" s="5795"/>
      <c r="R6" s="5797"/>
      <c r="S6" s="5805"/>
      <c r="T6" s="5795"/>
      <c r="U6" s="5781"/>
      <c r="V6" s="1846"/>
    </row>
    <row r="7" spans="1:22" s="257" customFormat="1" ht="12.05" customHeight="1">
      <c r="A7" s="5782" t="s">
        <v>58</v>
      </c>
      <c r="B7" s="5782"/>
      <c r="C7" s="5782"/>
      <c r="D7" s="5782"/>
      <c r="E7" s="5782"/>
      <c r="F7" s="5783" t="s">
        <v>460</v>
      </c>
      <c r="G7" s="5783"/>
      <c r="H7" s="5783"/>
      <c r="I7" s="5783"/>
      <c r="J7" s="2754" t="s">
        <v>457</v>
      </c>
      <c r="K7" s="2754" t="s">
        <v>443</v>
      </c>
      <c r="L7" s="2755" t="s">
        <v>482</v>
      </c>
      <c r="M7" s="1871" t="s">
        <v>443</v>
      </c>
      <c r="N7" s="1871" t="s">
        <v>482</v>
      </c>
      <c r="O7" s="2755" t="s">
        <v>483</v>
      </c>
      <c r="P7" s="2755" t="s">
        <v>484</v>
      </c>
      <c r="Q7" s="2755" t="s">
        <v>485</v>
      </c>
      <c r="R7" s="3912" t="s">
        <v>486</v>
      </c>
      <c r="S7" s="3767"/>
      <c r="T7" s="3814"/>
      <c r="U7" s="3769" t="s">
        <v>444</v>
      </c>
      <c r="V7" s="1879"/>
    </row>
    <row r="8" spans="1:22" s="2899" customFormat="1" ht="15.05" customHeight="1">
      <c r="A8" s="2893" t="s">
        <v>443</v>
      </c>
      <c r="B8" s="2893"/>
      <c r="C8" s="2893"/>
      <c r="D8" s="2893"/>
      <c r="E8" s="2893"/>
      <c r="F8" s="2894" t="s">
        <v>60</v>
      </c>
      <c r="G8" s="2895"/>
      <c r="H8" s="2895"/>
      <c r="I8" s="2896"/>
      <c r="J8" s="3121">
        <f t="shared" ref="J8:Q8" si="0">J10+J407+J440</f>
        <v>3802933445799</v>
      </c>
      <c r="K8" s="3121">
        <f t="shared" si="0"/>
        <v>3954156416678.9697</v>
      </c>
      <c r="L8" s="3121">
        <f t="shared" si="0"/>
        <v>4791397359569</v>
      </c>
      <c r="M8" s="3121">
        <f t="shared" si="0"/>
        <v>728312659711.53003</v>
      </c>
      <c r="N8" s="3121">
        <f t="shared" si="0"/>
        <v>274703715527.19</v>
      </c>
      <c r="O8" s="3121">
        <f t="shared" si="0"/>
        <v>1163636805856.72</v>
      </c>
      <c r="P8" s="3121">
        <f t="shared" si="0"/>
        <v>4838907185241</v>
      </c>
      <c r="Q8" s="3121">
        <f t="shared" si="0"/>
        <v>47509825672</v>
      </c>
      <c r="R8" s="3600">
        <f>+P8/L8*100-100</f>
        <v>0.99156513448247097</v>
      </c>
      <c r="S8" s="3765"/>
      <c r="T8" s="3815"/>
      <c r="U8" s="3770"/>
      <c r="V8" s="2898">
        <f>O8-L8</f>
        <v>-3627760553712.2803</v>
      </c>
    </row>
    <row r="9" spans="1:22" s="257" customFormat="1" ht="15.05" customHeight="1">
      <c r="A9" s="1855"/>
      <c r="B9" s="1855"/>
      <c r="C9" s="1855"/>
      <c r="D9" s="1855"/>
      <c r="E9" s="1855"/>
      <c r="F9" s="1856"/>
      <c r="G9" s="202"/>
      <c r="H9" s="202"/>
      <c r="I9" s="218"/>
      <c r="J9" s="3123"/>
      <c r="K9" s="3123"/>
      <c r="L9" s="3123"/>
      <c r="M9" s="3124"/>
      <c r="N9" s="3125"/>
      <c r="O9" s="3125"/>
      <c r="P9" s="3125"/>
      <c r="Q9" s="3125"/>
      <c r="R9" s="3601"/>
      <c r="S9" s="3697"/>
      <c r="T9" s="3816"/>
      <c r="U9" s="3771"/>
      <c r="V9" s="1846"/>
    </row>
    <row r="10" spans="1:22" s="2899" customFormat="1" ht="15.05" customHeight="1">
      <c r="A10" s="2893">
        <v>4</v>
      </c>
      <c r="B10" s="2893">
        <v>1</v>
      </c>
      <c r="C10" s="2893"/>
      <c r="D10" s="2893"/>
      <c r="E10" s="2893"/>
      <c r="F10" s="2900" t="s">
        <v>180</v>
      </c>
      <c r="G10" s="2901"/>
      <c r="H10" s="2895"/>
      <c r="I10" s="2896"/>
      <c r="J10" s="3127">
        <f t="shared" ref="J10:Q10" si="1">J12+J43+J217+J230</f>
        <v>1450044930319</v>
      </c>
      <c r="K10" s="3127">
        <f t="shared" si="1"/>
        <v>1348970161792.4299</v>
      </c>
      <c r="L10" s="3127">
        <f>L12+L43+L217+L230</f>
        <v>1501611335359</v>
      </c>
      <c r="M10" s="3127">
        <f t="shared" si="1"/>
        <v>124612682553.54001</v>
      </c>
      <c r="N10" s="3127">
        <f t="shared" si="1"/>
        <v>20770027427.190002</v>
      </c>
      <c r="O10" s="3127">
        <f t="shared" si="1"/>
        <v>287883140598.72998</v>
      </c>
      <c r="P10" s="3127">
        <f t="shared" si="1"/>
        <v>1541880058011</v>
      </c>
      <c r="Q10" s="3127">
        <f t="shared" si="1"/>
        <v>40268722652</v>
      </c>
      <c r="R10" s="3600">
        <f>+P10/L10*100-100</f>
        <v>2.6817007639578634</v>
      </c>
      <c r="S10" s="3698"/>
      <c r="T10" s="3815"/>
      <c r="U10" s="3770"/>
      <c r="V10" s="2898"/>
    </row>
    <row r="11" spans="1:22" s="257" customFormat="1" ht="15.05" customHeight="1">
      <c r="A11" s="1854"/>
      <c r="B11" s="1854"/>
      <c r="C11" s="1854"/>
      <c r="D11" s="1854"/>
      <c r="E11" s="1854"/>
      <c r="F11" s="1464"/>
      <c r="G11" s="1860"/>
      <c r="H11" s="202"/>
      <c r="I11" s="218"/>
      <c r="J11" s="3128"/>
      <c r="K11" s="3128"/>
      <c r="L11" s="3123"/>
      <c r="M11" s="3129"/>
      <c r="N11" s="3123"/>
      <c r="O11" s="3123"/>
      <c r="P11" s="3123"/>
      <c r="Q11" s="3123"/>
      <c r="R11" s="3601"/>
      <c r="S11" s="3697"/>
      <c r="T11" s="3816"/>
      <c r="U11" s="3771"/>
      <c r="V11" s="1846"/>
    </row>
    <row r="12" spans="1:22" s="2905" customFormat="1" ht="15.05" customHeight="1">
      <c r="A12" s="3012" t="s">
        <v>443</v>
      </c>
      <c r="B12" s="3012" t="s">
        <v>58</v>
      </c>
      <c r="C12" s="3012" t="s">
        <v>58</v>
      </c>
      <c r="D12" s="2918"/>
      <c r="E12" s="2918"/>
      <c r="F12" s="4651" t="s">
        <v>1141</v>
      </c>
      <c r="G12" s="3014"/>
      <c r="H12" s="2919"/>
      <c r="I12" s="3015"/>
      <c r="J12" s="3130">
        <f>J13+J25+J37+J39+J41</f>
        <v>1037549599000</v>
      </c>
      <c r="K12" s="3130">
        <f t="shared" ref="K12:Q12" si="2">K13+K25+K37+K39+K41</f>
        <v>1003260953668</v>
      </c>
      <c r="L12" s="3130">
        <f>SUM(L13+L25+L37+L39+L41)</f>
        <v>1122139007935</v>
      </c>
      <c r="M12" s="3130">
        <f t="shared" si="2"/>
        <v>90900135444</v>
      </c>
      <c r="N12" s="3130">
        <f t="shared" si="2"/>
        <v>0</v>
      </c>
      <c r="O12" s="3130">
        <f t="shared" si="2"/>
        <v>233266101062</v>
      </c>
      <c r="P12" s="3130">
        <f t="shared" si="2"/>
        <v>1140499313935</v>
      </c>
      <c r="Q12" s="3130">
        <f t="shared" si="2"/>
        <v>18360306000</v>
      </c>
      <c r="R12" s="3602">
        <f>+P12/L12*100-100</f>
        <v>1.6361881968426815</v>
      </c>
      <c r="S12" s="3699"/>
      <c r="T12" s="3817"/>
      <c r="U12" s="3772"/>
      <c r="V12" s="2904"/>
    </row>
    <row r="13" spans="1:22" s="2947" customFormat="1" ht="15.05" customHeight="1">
      <c r="A13" s="3021" t="s">
        <v>443</v>
      </c>
      <c r="B13" s="3021" t="s">
        <v>58</v>
      </c>
      <c r="C13" s="3021" t="s">
        <v>58</v>
      </c>
      <c r="D13" s="3022" t="s">
        <v>437</v>
      </c>
      <c r="E13" s="3021"/>
      <c r="F13" s="4652" t="s">
        <v>1142</v>
      </c>
      <c r="G13" s="3024"/>
      <c r="H13" s="3025"/>
      <c r="I13" s="3337"/>
      <c r="J13" s="3132">
        <f t="shared" ref="J13:O13" si="3">SUM(J14:J23)</f>
        <v>248153000000</v>
      </c>
      <c r="K13" s="3132">
        <f t="shared" si="3"/>
        <v>269187973631</v>
      </c>
      <c r="L13" s="3132">
        <f>SUM(L14:L23)</f>
        <v>311893723935</v>
      </c>
      <c r="M13" s="3132">
        <f t="shared" si="3"/>
        <v>0</v>
      </c>
      <c r="N13" s="3132">
        <f t="shared" si="3"/>
        <v>0</v>
      </c>
      <c r="O13" s="3132">
        <f t="shared" si="3"/>
        <v>69415566816</v>
      </c>
      <c r="P13" s="3132">
        <f>SUM(P14:P23)</f>
        <v>311893723935</v>
      </c>
      <c r="Q13" s="3335">
        <f>P13-L13</f>
        <v>0</v>
      </c>
      <c r="R13" s="3603">
        <f>+P13/L13*100-100</f>
        <v>0</v>
      </c>
      <c r="S13" s="3700">
        <f>SUM(S14:S23)</f>
        <v>352595854908.51752</v>
      </c>
      <c r="T13" s="3818"/>
      <c r="U13" s="3773"/>
      <c r="V13" s="2944"/>
    </row>
    <row r="14" spans="1:22" s="2883" customFormat="1" ht="15.05" customHeight="1">
      <c r="A14" s="2984"/>
      <c r="B14" s="2984"/>
      <c r="C14" s="2984"/>
      <c r="D14" s="3016"/>
      <c r="E14" s="2984"/>
      <c r="F14" s="3017" t="s">
        <v>1143</v>
      </c>
      <c r="G14" s="3018"/>
      <c r="H14" s="3019"/>
      <c r="I14" s="3020"/>
      <c r="J14" s="3134">
        <v>86036572000</v>
      </c>
      <c r="K14" s="3134">
        <v>88888793805</v>
      </c>
      <c r="L14" s="3135">
        <v>103905461339</v>
      </c>
      <c r="M14" s="3136"/>
      <c r="N14" s="3135"/>
      <c r="O14" s="3135">
        <v>23394301628</v>
      </c>
      <c r="P14" s="3135">
        <v>103905461339</v>
      </c>
      <c r="Q14" s="3135">
        <f>P14-L14</f>
        <v>0</v>
      </c>
      <c r="R14" s="4008">
        <f>+P14/L14*100-100</f>
        <v>0</v>
      </c>
      <c r="S14" s="3701">
        <f>P14*13.05%+P14</f>
        <v>117465124043.7395</v>
      </c>
      <c r="T14" s="3819"/>
      <c r="U14" s="3774"/>
      <c r="V14" s="2882"/>
    </row>
    <row r="15" spans="1:22" s="2883" customFormat="1" ht="15.05" customHeight="1">
      <c r="A15" s="2875"/>
      <c r="B15" s="2875"/>
      <c r="C15" s="2875"/>
      <c r="D15" s="2876"/>
      <c r="E15" s="2875"/>
      <c r="F15" s="2877" t="s">
        <v>1144</v>
      </c>
      <c r="G15" s="2878"/>
      <c r="H15" s="2879"/>
      <c r="I15" s="2880"/>
      <c r="J15" s="3138">
        <v>28423220000</v>
      </c>
      <c r="K15" s="3138">
        <v>30126889110</v>
      </c>
      <c r="L15" s="3139">
        <v>34714931659</v>
      </c>
      <c r="M15" s="3136"/>
      <c r="N15" s="3139"/>
      <c r="O15" s="3139">
        <v>8078866798</v>
      </c>
      <c r="P15" s="3139">
        <v>34714931659</v>
      </c>
      <c r="Q15" s="3135">
        <f t="shared" ref="Q15:Q23" si="4">P15-L15</f>
        <v>0</v>
      </c>
      <c r="R15" s="4010">
        <f t="shared" ref="R15:R23" si="5">+P15/L15*100-100</f>
        <v>0</v>
      </c>
      <c r="S15" s="3701">
        <f t="shared" ref="S15:S23" si="6">P15*13.05%+P15</f>
        <v>39245230240.499496</v>
      </c>
      <c r="T15" s="3820"/>
      <c r="U15" s="3774"/>
      <c r="V15" s="2882"/>
    </row>
    <row r="16" spans="1:22" s="2883" customFormat="1" ht="15.05" customHeight="1">
      <c r="A16" s="2875"/>
      <c r="B16" s="2875"/>
      <c r="C16" s="2875"/>
      <c r="D16" s="2876"/>
      <c r="E16" s="2875"/>
      <c r="F16" s="2877" t="s">
        <v>1146</v>
      </c>
      <c r="G16" s="2878"/>
      <c r="H16" s="2879"/>
      <c r="I16" s="2880"/>
      <c r="J16" s="3138">
        <v>6651423000</v>
      </c>
      <c r="K16" s="3138">
        <v>8477225617</v>
      </c>
      <c r="L16" s="3139">
        <v>9610012775</v>
      </c>
      <c r="M16" s="3136"/>
      <c r="N16" s="3139"/>
      <c r="O16" s="3139">
        <v>2157193100</v>
      </c>
      <c r="P16" s="3139">
        <v>9610012775</v>
      </c>
      <c r="Q16" s="3135">
        <f t="shared" si="4"/>
        <v>0</v>
      </c>
      <c r="R16" s="4010">
        <f t="shared" si="5"/>
        <v>0</v>
      </c>
      <c r="S16" s="3701">
        <f t="shared" si="6"/>
        <v>10864119442.137501</v>
      </c>
      <c r="T16" s="3820"/>
      <c r="U16" s="3774"/>
      <c r="V16" s="2882"/>
    </row>
    <row r="17" spans="1:22" s="2883" customFormat="1" ht="15.05" customHeight="1">
      <c r="A17" s="2875"/>
      <c r="B17" s="2875"/>
      <c r="C17" s="2875"/>
      <c r="D17" s="2876"/>
      <c r="E17" s="2875"/>
      <c r="F17" s="2877" t="s">
        <v>1145</v>
      </c>
      <c r="G17" s="2878"/>
      <c r="H17" s="2879"/>
      <c r="I17" s="2880"/>
      <c r="J17" s="3138">
        <v>33246442000</v>
      </c>
      <c r="K17" s="3138">
        <v>37055803776</v>
      </c>
      <c r="L17" s="3139">
        <v>42614528606</v>
      </c>
      <c r="M17" s="3136"/>
      <c r="N17" s="3139"/>
      <c r="O17" s="3139">
        <v>9536539453</v>
      </c>
      <c r="P17" s="3139">
        <v>42614528606</v>
      </c>
      <c r="Q17" s="3135">
        <f t="shared" si="4"/>
        <v>0</v>
      </c>
      <c r="R17" s="4010">
        <f t="shared" si="5"/>
        <v>0</v>
      </c>
      <c r="S17" s="3701">
        <f t="shared" si="6"/>
        <v>48175724589.083</v>
      </c>
      <c r="T17" s="3820"/>
      <c r="U17" s="3774"/>
      <c r="V17" s="2882"/>
    </row>
    <row r="18" spans="1:22" s="2883" customFormat="1" ht="15.05" customHeight="1">
      <c r="A18" s="2875"/>
      <c r="B18" s="2875"/>
      <c r="C18" s="2875"/>
      <c r="D18" s="2876"/>
      <c r="E18" s="2875"/>
      <c r="F18" s="2877" t="s">
        <v>1147</v>
      </c>
      <c r="G18" s="2878"/>
      <c r="H18" s="2879"/>
      <c r="I18" s="2880"/>
      <c r="J18" s="3138">
        <v>36492414000</v>
      </c>
      <c r="K18" s="3138">
        <v>40134619809</v>
      </c>
      <c r="L18" s="3139">
        <v>45159023780</v>
      </c>
      <c r="M18" s="3136"/>
      <c r="N18" s="3139"/>
      <c r="O18" s="3139">
        <v>10944515392</v>
      </c>
      <c r="P18" s="3139">
        <v>45159023780</v>
      </c>
      <c r="Q18" s="3135">
        <f t="shared" si="4"/>
        <v>0</v>
      </c>
      <c r="R18" s="4010">
        <f t="shared" si="5"/>
        <v>0</v>
      </c>
      <c r="S18" s="3701">
        <f t="shared" si="6"/>
        <v>51052276383.290001</v>
      </c>
      <c r="T18" s="3820"/>
      <c r="U18" s="3774"/>
      <c r="V18" s="2882"/>
    </row>
    <row r="19" spans="1:22" s="2883" customFormat="1" ht="15.05" customHeight="1">
      <c r="A19" s="2875"/>
      <c r="B19" s="2875"/>
      <c r="C19" s="2875"/>
      <c r="D19" s="2876"/>
      <c r="E19" s="2875"/>
      <c r="F19" s="2877" t="s">
        <v>1149</v>
      </c>
      <c r="G19" s="2878"/>
      <c r="H19" s="2879"/>
      <c r="I19" s="2880"/>
      <c r="J19" s="3138">
        <v>19330379000</v>
      </c>
      <c r="K19" s="3138">
        <v>21077352223</v>
      </c>
      <c r="L19" s="3139">
        <v>24602495136</v>
      </c>
      <c r="M19" s="3136"/>
      <c r="N19" s="3139"/>
      <c r="O19" s="3139">
        <v>4726131862</v>
      </c>
      <c r="P19" s="3139">
        <v>24602495136</v>
      </c>
      <c r="Q19" s="3135">
        <f t="shared" si="4"/>
        <v>0</v>
      </c>
      <c r="R19" s="4010">
        <f t="shared" si="5"/>
        <v>0</v>
      </c>
      <c r="S19" s="3701">
        <f t="shared" si="6"/>
        <v>27813120751.248001</v>
      </c>
      <c r="T19" s="3820"/>
      <c r="U19" s="3774"/>
      <c r="V19" s="2882"/>
    </row>
    <row r="20" spans="1:22" s="2883" customFormat="1" ht="15.05" customHeight="1">
      <c r="A20" s="2875"/>
      <c r="B20" s="2875"/>
      <c r="C20" s="2875"/>
      <c r="D20" s="2876"/>
      <c r="E20" s="2875"/>
      <c r="F20" s="2877" t="s">
        <v>1148</v>
      </c>
      <c r="G20" s="2878"/>
      <c r="H20" s="2879"/>
      <c r="I20" s="2880"/>
      <c r="J20" s="3138">
        <v>13063598000</v>
      </c>
      <c r="K20" s="3138">
        <v>15637707858</v>
      </c>
      <c r="L20" s="3139">
        <v>19282915315</v>
      </c>
      <c r="M20" s="3136"/>
      <c r="N20" s="3139"/>
      <c r="O20" s="3139">
        <v>3363555821</v>
      </c>
      <c r="P20" s="3139">
        <v>19282915315</v>
      </c>
      <c r="Q20" s="3135">
        <f t="shared" si="4"/>
        <v>0</v>
      </c>
      <c r="R20" s="4010">
        <f t="shared" si="5"/>
        <v>0</v>
      </c>
      <c r="S20" s="3701">
        <f t="shared" si="6"/>
        <v>21799335763.607498</v>
      </c>
      <c r="T20" s="3820"/>
      <c r="U20" s="3774"/>
      <c r="V20" s="2882"/>
    </row>
    <row r="21" spans="1:22" s="2883" customFormat="1" ht="15.05" customHeight="1">
      <c r="A21" s="2875"/>
      <c r="B21" s="2875"/>
      <c r="C21" s="2875"/>
      <c r="D21" s="2876"/>
      <c r="E21" s="2875"/>
      <c r="F21" s="2877" t="s">
        <v>1150</v>
      </c>
      <c r="G21" s="2878"/>
      <c r="H21" s="2879"/>
      <c r="I21" s="2880"/>
      <c r="J21" s="3138">
        <v>7135313000</v>
      </c>
      <c r="K21" s="3138">
        <v>7530942967</v>
      </c>
      <c r="L21" s="3139">
        <v>8832161493</v>
      </c>
      <c r="M21" s="3136"/>
      <c r="N21" s="3139"/>
      <c r="O21" s="3139">
        <v>1894855705</v>
      </c>
      <c r="P21" s="3139">
        <v>8832161493</v>
      </c>
      <c r="Q21" s="3135">
        <f t="shared" si="4"/>
        <v>0</v>
      </c>
      <c r="R21" s="4010">
        <f t="shared" si="5"/>
        <v>0</v>
      </c>
      <c r="S21" s="3701">
        <f t="shared" si="6"/>
        <v>9984758567.8365002</v>
      </c>
      <c r="T21" s="3820"/>
      <c r="U21" s="3774"/>
      <c r="V21" s="2882"/>
    </row>
    <row r="22" spans="1:22" s="2883" customFormat="1" ht="15.05" customHeight="1">
      <c r="A22" s="2875"/>
      <c r="B22" s="2875"/>
      <c r="C22" s="2875"/>
      <c r="D22" s="2876"/>
      <c r="E22" s="2875"/>
      <c r="F22" s="2877" t="s">
        <v>1151</v>
      </c>
      <c r="G22" s="2878"/>
      <c r="H22" s="2879"/>
      <c r="I22" s="2880"/>
      <c r="J22" s="3138">
        <v>7455885000</v>
      </c>
      <c r="K22" s="3138">
        <v>8793651686</v>
      </c>
      <c r="L22" s="3139">
        <v>9908631964</v>
      </c>
      <c r="M22" s="3136"/>
      <c r="N22" s="3139"/>
      <c r="O22" s="3139">
        <v>1892159075</v>
      </c>
      <c r="P22" s="3139">
        <v>9908631964</v>
      </c>
      <c r="Q22" s="3135">
        <f t="shared" si="4"/>
        <v>0</v>
      </c>
      <c r="R22" s="4010">
        <f t="shared" si="5"/>
        <v>0</v>
      </c>
      <c r="S22" s="3701">
        <f t="shared" si="6"/>
        <v>11201708435.302</v>
      </c>
      <c r="T22" s="3820"/>
      <c r="U22" s="3774"/>
      <c r="V22" s="2882"/>
    </row>
    <row r="23" spans="1:22" s="2883" customFormat="1" ht="15.05" customHeight="1">
      <c r="A23" s="2875"/>
      <c r="B23" s="2875"/>
      <c r="C23" s="2875"/>
      <c r="D23" s="2876"/>
      <c r="E23" s="2875"/>
      <c r="F23" s="2877" t="s">
        <v>1152</v>
      </c>
      <c r="G23" s="2878"/>
      <c r="H23" s="2879"/>
      <c r="I23" s="2880"/>
      <c r="J23" s="3138">
        <v>10317754000</v>
      </c>
      <c r="K23" s="3138">
        <v>11464986780</v>
      </c>
      <c r="L23" s="3139">
        <v>13263561868</v>
      </c>
      <c r="M23" s="3136"/>
      <c r="N23" s="3139"/>
      <c r="O23" s="3139">
        <v>3427447982</v>
      </c>
      <c r="P23" s="3139">
        <v>13263561868</v>
      </c>
      <c r="Q23" s="3135">
        <f t="shared" si="4"/>
        <v>0</v>
      </c>
      <c r="R23" s="4010">
        <f t="shared" si="5"/>
        <v>0</v>
      </c>
      <c r="S23" s="3701">
        <f t="shared" si="6"/>
        <v>14994456691.774</v>
      </c>
      <c r="T23" s="3820"/>
      <c r="U23" s="3774"/>
      <c r="V23" s="2882"/>
    </row>
    <row r="24" spans="1:22" s="257" customFormat="1" ht="15.05" customHeight="1">
      <c r="A24" s="3027"/>
      <c r="B24" s="3027"/>
      <c r="C24" s="3027"/>
      <c r="D24" s="3028"/>
      <c r="E24" s="1902"/>
      <c r="F24" s="3029"/>
      <c r="G24" s="2831"/>
      <c r="H24" s="2322"/>
      <c r="I24" s="1907"/>
      <c r="J24" s="3141"/>
      <c r="K24" s="3141"/>
      <c r="L24" s="3142"/>
      <c r="M24" s="3129"/>
      <c r="N24" s="3142"/>
      <c r="O24" s="3142"/>
      <c r="P24" s="3142"/>
      <c r="Q24" s="3142"/>
      <c r="R24" s="4011"/>
      <c r="S24" s="3703"/>
      <c r="T24" s="3821"/>
      <c r="U24" s="3771"/>
      <c r="V24" s="1846"/>
    </row>
    <row r="25" spans="1:22" s="2947" customFormat="1" ht="15.05" customHeight="1">
      <c r="A25" s="3021" t="s">
        <v>443</v>
      </c>
      <c r="B25" s="3021" t="s">
        <v>58</v>
      </c>
      <c r="C25" s="3021" t="s">
        <v>58</v>
      </c>
      <c r="D25" s="3022" t="s">
        <v>440</v>
      </c>
      <c r="E25" s="3021"/>
      <c r="F25" s="3023" t="s">
        <v>1153</v>
      </c>
      <c r="G25" s="3024"/>
      <c r="H25" s="3025"/>
      <c r="I25" s="3026"/>
      <c r="J25" s="3132">
        <f t="shared" ref="J25:P25" si="7">SUM(J26:J35)</f>
        <v>318503155000</v>
      </c>
      <c r="K25" s="3132">
        <f t="shared" si="7"/>
        <v>322208887701</v>
      </c>
      <c r="L25" s="3132">
        <f t="shared" si="7"/>
        <v>321503155000</v>
      </c>
      <c r="M25" s="3132">
        <f t="shared" si="7"/>
        <v>0</v>
      </c>
      <c r="N25" s="3132">
        <f t="shared" si="7"/>
        <v>0</v>
      </c>
      <c r="O25" s="3132">
        <f t="shared" si="7"/>
        <v>72721445555</v>
      </c>
      <c r="P25" s="3132">
        <f t="shared" si="7"/>
        <v>299817600000</v>
      </c>
      <c r="Q25" s="3994">
        <f>P25-L25</f>
        <v>-21685555000</v>
      </c>
      <c r="R25" s="3603">
        <f>+P25/L25*100-100</f>
        <v>-6.7450520042330595</v>
      </c>
      <c r="S25" s="3700">
        <f>SUM(S26:S35)</f>
        <v>287824896000</v>
      </c>
      <c r="T25" s="3818"/>
      <c r="U25" s="3773"/>
      <c r="V25" s="2944"/>
    </row>
    <row r="26" spans="1:22" s="2883" customFormat="1" ht="15.05" customHeight="1">
      <c r="A26" s="2984"/>
      <c r="B26" s="2984"/>
      <c r="C26" s="2984"/>
      <c r="D26" s="3016"/>
      <c r="E26" s="2984"/>
      <c r="F26" s="3017" t="s">
        <v>1143</v>
      </c>
      <c r="G26" s="3018"/>
      <c r="H26" s="3019"/>
      <c r="I26" s="3020"/>
      <c r="J26" s="3134">
        <v>88217042000</v>
      </c>
      <c r="K26" s="3134">
        <v>88750043334</v>
      </c>
      <c r="L26" s="3135">
        <v>89048587600</v>
      </c>
      <c r="M26" s="3136"/>
      <c r="N26" s="3135"/>
      <c r="O26" s="3135">
        <v>21008364305</v>
      </c>
      <c r="P26" s="3135">
        <v>85210794910</v>
      </c>
      <c r="Q26" s="3135">
        <f>P26-L26</f>
        <v>-3837792690</v>
      </c>
      <c r="R26" s="4008">
        <f>+P26/L26*100-100</f>
        <v>-4.3097737914037424</v>
      </c>
      <c r="S26" s="4009">
        <f>P26-(P26*4%)</f>
        <v>81802363113.600006</v>
      </c>
      <c r="T26" s="3819"/>
      <c r="U26" s="3774"/>
      <c r="V26" s="2882"/>
    </row>
    <row r="27" spans="1:22" s="2883" customFormat="1" ht="15.05" customHeight="1">
      <c r="A27" s="2875"/>
      <c r="B27" s="2875"/>
      <c r="C27" s="2875"/>
      <c r="D27" s="2876"/>
      <c r="E27" s="2875"/>
      <c r="F27" s="2877" t="s">
        <v>1144</v>
      </c>
      <c r="G27" s="2878"/>
      <c r="H27" s="2879"/>
      <c r="I27" s="2880"/>
      <c r="J27" s="3138">
        <v>44806080000</v>
      </c>
      <c r="K27" s="3138">
        <v>58359055747</v>
      </c>
      <c r="L27" s="3139">
        <v>43050445200</v>
      </c>
      <c r="M27" s="3136"/>
      <c r="N27" s="3139"/>
      <c r="O27" s="3139">
        <v>12974559000</v>
      </c>
      <c r="P27" s="3139">
        <v>38687005933</v>
      </c>
      <c r="Q27" s="3135">
        <f t="shared" ref="Q27:Q35" si="8">P27-L27</f>
        <v>-4363439267</v>
      </c>
      <c r="R27" s="4010">
        <f t="shared" ref="R27:R35" si="9">+P27/L27*100-100</f>
        <v>-10.135642608871322</v>
      </c>
      <c r="S27" s="4009">
        <f t="shared" ref="S27:S35" si="10">P27-(P27*4%)</f>
        <v>37139525695.68</v>
      </c>
      <c r="T27" s="3820"/>
      <c r="U27" s="3774"/>
      <c r="V27" s="2882"/>
    </row>
    <row r="28" spans="1:22" s="2883" customFormat="1" ht="15.05" customHeight="1">
      <c r="A28" s="2875"/>
      <c r="B28" s="2875"/>
      <c r="C28" s="2875"/>
      <c r="D28" s="2876"/>
      <c r="E28" s="2875"/>
      <c r="F28" s="2877" t="s">
        <v>1145</v>
      </c>
      <c r="G28" s="2878"/>
      <c r="H28" s="2879"/>
      <c r="I28" s="2880"/>
      <c r="J28" s="3138">
        <v>13188012000</v>
      </c>
      <c r="K28" s="3138">
        <v>0</v>
      </c>
      <c r="L28" s="3139">
        <v>15367063100</v>
      </c>
      <c r="M28" s="3136"/>
      <c r="N28" s="3139"/>
      <c r="O28" s="3139">
        <v>0</v>
      </c>
      <c r="P28" s="3139">
        <v>15451217308</v>
      </c>
      <c r="Q28" s="3135">
        <f t="shared" si="8"/>
        <v>84154208</v>
      </c>
      <c r="R28" s="4010">
        <f t="shared" si="9"/>
        <v>0.54762713898142579</v>
      </c>
      <c r="S28" s="4009">
        <f t="shared" si="10"/>
        <v>14833168615.68</v>
      </c>
      <c r="T28" s="3820"/>
      <c r="U28" s="3774"/>
      <c r="V28" s="2882"/>
    </row>
    <row r="29" spans="1:22" s="2883" customFormat="1" ht="15.05" customHeight="1">
      <c r="A29" s="2875"/>
      <c r="B29" s="2875"/>
      <c r="C29" s="2875"/>
      <c r="D29" s="2876"/>
      <c r="E29" s="2875"/>
      <c r="F29" s="2877" t="s">
        <v>1146</v>
      </c>
      <c r="G29" s="2878"/>
      <c r="H29" s="2879"/>
      <c r="I29" s="2880"/>
      <c r="J29" s="3138">
        <v>46143610000</v>
      </c>
      <c r="K29" s="3138">
        <v>46642700157</v>
      </c>
      <c r="L29" s="3139">
        <v>46313162500</v>
      </c>
      <c r="M29" s="3136"/>
      <c r="N29" s="3139"/>
      <c r="O29" s="3139">
        <v>10590982300</v>
      </c>
      <c r="P29" s="3139">
        <v>41540262518</v>
      </c>
      <c r="Q29" s="3135">
        <f t="shared" si="8"/>
        <v>-4772899982</v>
      </c>
      <c r="R29" s="4010">
        <f t="shared" si="9"/>
        <v>-10.305709488096397</v>
      </c>
      <c r="S29" s="4009">
        <f t="shared" si="10"/>
        <v>39878652017.279999</v>
      </c>
      <c r="T29" s="3820"/>
      <c r="U29" s="3774"/>
      <c r="V29" s="2882"/>
    </row>
    <row r="30" spans="1:22" s="2883" customFormat="1" ht="15.05" customHeight="1">
      <c r="A30" s="2875"/>
      <c r="B30" s="2875"/>
      <c r="C30" s="2875"/>
      <c r="D30" s="2876"/>
      <c r="E30" s="2875"/>
      <c r="F30" s="2877" t="s">
        <v>1147</v>
      </c>
      <c r="G30" s="2878"/>
      <c r="H30" s="2879"/>
      <c r="I30" s="2880"/>
      <c r="J30" s="3138">
        <v>55404156000</v>
      </c>
      <c r="K30" s="3138">
        <v>55757219048</v>
      </c>
      <c r="L30" s="3139">
        <v>54297917400</v>
      </c>
      <c r="M30" s="3136"/>
      <c r="N30" s="3139"/>
      <c r="O30" s="3139">
        <v>13243838750</v>
      </c>
      <c r="P30" s="3139">
        <v>54925491645</v>
      </c>
      <c r="Q30" s="3135">
        <f t="shared" si="8"/>
        <v>627574245</v>
      </c>
      <c r="R30" s="4010">
        <f t="shared" si="9"/>
        <v>1.1557980030372192</v>
      </c>
      <c r="S30" s="4009">
        <f t="shared" si="10"/>
        <v>52728471979.199997</v>
      </c>
      <c r="T30" s="3820"/>
      <c r="U30" s="3774"/>
      <c r="V30" s="2882"/>
    </row>
    <row r="31" spans="1:22" s="2883" customFormat="1" ht="15.05" customHeight="1">
      <c r="A31" s="2875"/>
      <c r="B31" s="2875"/>
      <c r="C31" s="2875"/>
      <c r="D31" s="2876"/>
      <c r="E31" s="2875"/>
      <c r="F31" s="2877" t="s">
        <v>1149</v>
      </c>
      <c r="G31" s="2878"/>
      <c r="H31" s="2879"/>
      <c r="I31" s="2880"/>
      <c r="J31" s="3138">
        <v>24530826000</v>
      </c>
      <c r="K31" s="3138">
        <v>26280750366</v>
      </c>
      <c r="L31" s="3139">
        <v>26331859300</v>
      </c>
      <c r="M31" s="3136"/>
      <c r="N31" s="3139"/>
      <c r="O31" s="3139">
        <v>4970869900</v>
      </c>
      <c r="P31" s="3139">
        <v>21656173662</v>
      </c>
      <c r="Q31" s="3135">
        <f t="shared" si="8"/>
        <v>-4675685638</v>
      </c>
      <c r="R31" s="4010">
        <f t="shared" si="9"/>
        <v>-17.756762197191293</v>
      </c>
      <c r="S31" s="4009">
        <f t="shared" si="10"/>
        <v>20789926715.52</v>
      </c>
      <c r="T31" s="3820"/>
      <c r="U31" s="3774"/>
      <c r="V31" s="2882"/>
    </row>
    <row r="32" spans="1:22" s="2883" customFormat="1" ht="15.05" customHeight="1">
      <c r="A32" s="2875"/>
      <c r="B32" s="2875"/>
      <c r="C32" s="2875"/>
      <c r="D32" s="2876"/>
      <c r="E32" s="2875"/>
      <c r="F32" s="2877" t="s">
        <v>1148</v>
      </c>
      <c r="G32" s="2878"/>
      <c r="H32" s="2879"/>
      <c r="I32" s="2880"/>
      <c r="J32" s="3138">
        <v>13229500000</v>
      </c>
      <c r="K32" s="3138">
        <v>14055787009</v>
      </c>
      <c r="L32" s="3139">
        <v>14367919300</v>
      </c>
      <c r="M32" s="3136"/>
      <c r="N32" s="3139"/>
      <c r="O32" s="3139">
        <v>2888678800</v>
      </c>
      <c r="P32" s="3139">
        <v>10870384670</v>
      </c>
      <c r="Q32" s="3135">
        <f t="shared" si="8"/>
        <v>-3497534630</v>
      </c>
      <c r="R32" s="4010">
        <f t="shared" si="9"/>
        <v>-24.342666164612993</v>
      </c>
      <c r="S32" s="4009">
        <f t="shared" si="10"/>
        <v>10435569283.200001</v>
      </c>
      <c r="T32" s="3820"/>
      <c r="U32" s="3774"/>
      <c r="V32" s="2882"/>
    </row>
    <row r="33" spans="1:26" s="2883" customFormat="1" ht="15.05" customHeight="1">
      <c r="A33" s="2875"/>
      <c r="B33" s="2875"/>
      <c r="C33" s="2875"/>
      <c r="D33" s="2876"/>
      <c r="E33" s="2875"/>
      <c r="F33" s="2877" t="s">
        <v>1150</v>
      </c>
      <c r="G33" s="2878"/>
      <c r="H33" s="2879"/>
      <c r="I33" s="2880"/>
      <c r="J33" s="3138">
        <v>11200800000</v>
      </c>
      <c r="K33" s="3138">
        <v>9869342560</v>
      </c>
      <c r="L33" s="3139">
        <v>10029004300</v>
      </c>
      <c r="M33" s="3136"/>
      <c r="N33" s="3139"/>
      <c r="O33" s="3139">
        <v>1741245300</v>
      </c>
      <c r="P33" s="3139">
        <v>10682242857</v>
      </c>
      <c r="Q33" s="3135">
        <f t="shared" si="8"/>
        <v>653238557</v>
      </c>
      <c r="R33" s="4010">
        <f t="shared" si="9"/>
        <v>6.5134936376485513</v>
      </c>
      <c r="S33" s="4009">
        <f t="shared" si="10"/>
        <v>10254953142.719999</v>
      </c>
      <c r="T33" s="3820"/>
      <c r="U33" s="3774"/>
      <c r="V33" s="2882"/>
    </row>
    <row r="34" spans="1:26" s="2883" customFormat="1" ht="15.05" customHeight="1">
      <c r="A34" s="2875"/>
      <c r="B34" s="2875"/>
      <c r="C34" s="2875"/>
      <c r="D34" s="2876"/>
      <c r="E34" s="2875"/>
      <c r="F34" s="2877" t="s">
        <v>1151</v>
      </c>
      <c r="G34" s="2878"/>
      <c r="H34" s="2879"/>
      <c r="I34" s="2880"/>
      <c r="J34" s="3138">
        <v>9976046000</v>
      </c>
      <c r="K34" s="3138">
        <v>10667507201</v>
      </c>
      <c r="L34" s="3139">
        <v>10866726200</v>
      </c>
      <c r="M34" s="3136"/>
      <c r="N34" s="3139"/>
      <c r="O34" s="3139">
        <v>2296433100</v>
      </c>
      <c r="P34" s="3139">
        <v>10114515498</v>
      </c>
      <c r="Q34" s="3135">
        <f t="shared" si="8"/>
        <v>-752210702</v>
      </c>
      <c r="R34" s="4010">
        <f t="shared" si="9"/>
        <v>-6.9221464510626873</v>
      </c>
      <c r="S34" s="4009">
        <f t="shared" si="10"/>
        <v>9709934878.0799999</v>
      </c>
      <c r="T34" s="3820"/>
      <c r="U34" s="3774"/>
      <c r="V34" s="2882"/>
    </row>
    <row r="35" spans="1:26" s="2883" customFormat="1" ht="15.05" customHeight="1">
      <c r="A35" s="2875"/>
      <c r="B35" s="2875"/>
      <c r="C35" s="2875"/>
      <c r="D35" s="2876"/>
      <c r="E35" s="2875"/>
      <c r="F35" s="2877" t="s">
        <v>1152</v>
      </c>
      <c r="G35" s="2878"/>
      <c r="H35" s="2879"/>
      <c r="I35" s="2880"/>
      <c r="J35" s="3138">
        <v>11807083000</v>
      </c>
      <c r="K35" s="3138">
        <v>11826482279</v>
      </c>
      <c r="L35" s="3139">
        <v>11830470100</v>
      </c>
      <c r="M35" s="3136"/>
      <c r="N35" s="3139"/>
      <c r="O35" s="3139">
        <v>3006474100</v>
      </c>
      <c r="P35" s="3139">
        <v>10679510999</v>
      </c>
      <c r="Q35" s="3135">
        <f t="shared" si="8"/>
        <v>-1150959101</v>
      </c>
      <c r="R35" s="3606">
        <f t="shared" si="9"/>
        <v>-9.7287689438477969</v>
      </c>
      <c r="S35" s="4009">
        <f t="shared" si="10"/>
        <v>10252330559.040001</v>
      </c>
      <c r="T35" s="3820"/>
      <c r="U35" s="3774"/>
      <c r="V35" s="2882"/>
    </row>
    <row r="36" spans="1:26" s="257" customFormat="1" ht="15.05" customHeight="1">
      <c r="A36" s="3027"/>
      <c r="B36" s="3027"/>
      <c r="C36" s="3027"/>
      <c r="D36" s="3028"/>
      <c r="E36" s="1902"/>
      <c r="F36" s="3029"/>
      <c r="G36" s="2831"/>
      <c r="H36" s="2322"/>
      <c r="I36" s="1907"/>
      <c r="J36" s="3141"/>
      <c r="K36" s="3141"/>
      <c r="L36" s="3142"/>
      <c r="M36" s="3129"/>
      <c r="N36" s="3142"/>
      <c r="O36" s="3142"/>
      <c r="P36" s="3142"/>
      <c r="Q36" s="3142"/>
      <c r="R36" s="4011"/>
      <c r="S36" s="3703"/>
      <c r="T36" s="3821"/>
      <c r="U36" s="3771"/>
      <c r="V36" s="1846"/>
    </row>
    <row r="37" spans="1:26" s="2947" customFormat="1" ht="15.05" customHeight="1">
      <c r="A37" s="3021" t="s">
        <v>443</v>
      </c>
      <c r="B37" s="3021" t="s">
        <v>58</v>
      </c>
      <c r="C37" s="3021" t="s">
        <v>58</v>
      </c>
      <c r="D37" s="3022" t="s">
        <v>451</v>
      </c>
      <c r="E37" s="3021"/>
      <c r="F37" s="3023" t="s">
        <v>1154</v>
      </c>
      <c r="G37" s="3024"/>
      <c r="H37" s="3025"/>
      <c r="I37" s="3026"/>
      <c r="J37" s="3132">
        <v>192900000000</v>
      </c>
      <c r="K37" s="3132">
        <v>188945861622</v>
      </c>
      <c r="L37" s="3144">
        <v>192900000000</v>
      </c>
      <c r="M37" s="3145">
        <v>46114131883</v>
      </c>
      <c r="N37" s="3144"/>
      <c r="O37" s="3144">
        <v>46114131883</v>
      </c>
      <c r="P37" s="3144">
        <v>188945861000</v>
      </c>
      <c r="Q37" s="3334">
        <f>P37-L37</f>
        <v>-3954139000</v>
      </c>
      <c r="R37" s="3603">
        <f>+P37/L37*100-100</f>
        <v>-2.0498387765681656</v>
      </c>
      <c r="S37" s="3700"/>
      <c r="T37" s="3818"/>
      <c r="U37" s="3773"/>
      <c r="V37" s="2944"/>
      <c r="Z37" s="2947">
        <f>3+8+8+5+2+1+7+8+9</f>
        <v>51</v>
      </c>
    </row>
    <row r="38" spans="1:26" s="257" customFormat="1" ht="15.05" hidden="1" customHeight="1">
      <c r="A38" s="3031"/>
      <c r="B38" s="3031"/>
      <c r="C38" s="3031"/>
      <c r="D38" s="3032"/>
      <c r="E38" s="1725"/>
      <c r="F38" s="3033"/>
      <c r="G38" s="3034"/>
      <c r="H38" s="1318"/>
      <c r="I38" s="3035"/>
      <c r="J38" s="3146"/>
      <c r="K38" s="3146"/>
      <c r="L38" s="3147"/>
      <c r="M38" s="3129"/>
      <c r="N38" s="3147"/>
      <c r="O38" s="3147"/>
      <c r="P38" s="3147"/>
      <c r="Q38" s="3147"/>
      <c r="R38" s="3607"/>
      <c r="S38" s="3700"/>
      <c r="T38" s="3818"/>
      <c r="U38" s="3771"/>
      <c r="V38" s="1846"/>
    </row>
    <row r="39" spans="1:26" s="2947" customFormat="1" ht="15.05" customHeight="1">
      <c r="A39" s="3021" t="s">
        <v>443</v>
      </c>
      <c r="B39" s="3021" t="s">
        <v>58</v>
      </c>
      <c r="C39" s="3021" t="s">
        <v>58</v>
      </c>
      <c r="D39" s="3022" t="s">
        <v>441</v>
      </c>
      <c r="E39" s="3021"/>
      <c r="F39" s="3023" t="s">
        <v>1156</v>
      </c>
      <c r="G39" s="3024"/>
      <c r="H39" s="3025"/>
      <c r="I39" s="3026"/>
      <c r="J39" s="3149">
        <v>300000000</v>
      </c>
      <c r="K39" s="3150">
        <v>361290857</v>
      </c>
      <c r="L39" s="3144">
        <v>1000000000</v>
      </c>
      <c r="M39" s="3145"/>
      <c r="N39" s="3144"/>
      <c r="O39" s="3144">
        <v>228953247</v>
      </c>
      <c r="P39" s="3144">
        <v>1000000000</v>
      </c>
      <c r="Q39" s="3144">
        <f>P39-L39</f>
        <v>0</v>
      </c>
      <c r="R39" s="3603">
        <f>+P39/L39*100-100</f>
        <v>0</v>
      </c>
      <c r="S39" s="3700"/>
      <c r="T39" s="3818"/>
      <c r="U39" s="3773"/>
      <c r="V39" s="2944"/>
    </row>
    <row r="40" spans="1:26" s="257" customFormat="1" ht="15.05" hidden="1" customHeight="1">
      <c r="A40" s="3036"/>
      <c r="B40" s="3036"/>
      <c r="C40" s="3036"/>
      <c r="D40" s="3037"/>
      <c r="E40" s="1944"/>
      <c r="F40" s="3038"/>
      <c r="G40" s="3039"/>
      <c r="H40" s="3040"/>
      <c r="I40" s="3041"/>
      <c r="J40" s="3151"/>
      <c r="K40" s="3151"/>
      <c r="L40" s="3152"/>
      <c r="M40" s="3153"/>
      <c r="N40" s="3152"/>
      <c r="O40" s="3152"/>
      <c r="P40" s="3152"/>
      <c r="Q40" s="3152"/>
      <c r="R40" s="3603"/>
      <c r="S40" s="3700"/>
      <c r="T40" s="3818"/>
      <c r="U40" s="3771"/>
      <c r="V40" s="1846"/>
    </row>
    <row r="41" spans="1:26" s="2947" customFormat="1" ht="15.05" customHeight="1">
      <c r="A41" s="3021" t="s">
        <v>443</v>
      </c>
      <c r="B41" s="3021" t="s">
        <v>58</v>
      </c>
      <c r="C41" s="3021" t="s">
        <v>58</v>
      </c>
      <c r="D41" s="4511" t="s">
        <v>456</v>
      </c>
      <c r="E41" s="3021"/>
      <c r="F41" s="3023" t="s">
        <v>1157</v>
      </c>
      <c r="G41" s="3024"/>
      <c r="H41" s="3025"/>
      <c r="I41" s="3026"/>
      <c r="J41" s="3132">
        <v>277693444000</v>
      </c>
      <c r="K41" s="3132">
        <v>222556939857</v>
      </c>
      <c r="L41" s="3144">
        <v>294842129000</v>
      </c>
      <c r="M41" s="3145">
        <v>44786003561</v>
      </c>
      <c r="N41" s="3144"/>
      <c r="O41" s="3144">
        <v>44786003561</v>
      </c>
      <c r="P41" s="3144">
        <v>338842129000</v>
      </c>
      <c r="Q41" s="3144">
        <f>P41-L41</f>
        <v>44000000000</v>
      </c>
      <c r="R41" s="3603">
        <f>+P41/L41*100-100</f>
        <v>14.923240497968322</v>
      </c>
      <c r="S41" s="3700"/>
      <c r="T41" s="3818"/>
      <c r="U41" s="3773"/>
      <c r="V41" s="2944"/>
    </row>
    <row r="42" spans="1:26" s="257" customFormat="1" ht="15.05" customHeight="1">
      <c r="A42" s="2985"/>
      <c r="B42" s="2985"/>
      <c r="C42" s="2985"/>
      <c r="D42" s="3030"/>
      <c r="E42" s="1905"/>
      <c r="F42" s="2986"/>
      <c r="G42" s="2828"/>
      <c r="H42" s="212"/>
      <c r="I42" s="225"/>
      <c r="J42" s="3154"/>
      <c r="K42" s="3154"/>
      <c r="L42" s="3155"/>
      <c r="M42" s="3129"/>
      <c r="N42" s="3155"/>
      <c r="O42" s="3155"/>
      <c r="P42" s="3155"/>
      <c r="Q42" s="3155"/>
      <c r="R42" s="3608"/>
      <c r="S42" s="3704"/>
      <c r="T42" s="3822"/>
      <c r="U42" s="3771"/>
      <c r="V42" s="1846"/>
    </row>
    <row r="43" spans="1:26" s="2908" customFormat="1" ht="15.05" customHeight="1">
      <c r="A43" s="3042">
        <v>4</v>
      </c>
      <c r="B43" s="3042">
        <v>1</v>
      </c>
      <c r="C43" s="3042">
        <v>2</v>
      </c>
      <c r="D43" s="3042"/>
      <c r="E43" s="3042"/>
      <c r="F43" s="3043" t="s">
        <v>106</v>
      </c>
      <c r="G43" s="3044"/>
      <c r="H43" s="3045"/>
      <c r="I43" s="3046"/>
      <c r="J43" s="3157">
        <f t="shared" ref="J43:P43" si="11">J44+J55+J205</f>
        <v>29890858000</v>
      </c>
      <c r="K43" s="3157">
        <f t="shared" si="11"/>
        <v>29792038549</v>
      </c>
      <c r="L43" s="3157">
        <f t="shared" si="11"/>
        <v>18459358000</v>
      </c>
      <c r="M43" s="3157">
        <f t="shared" si="11"/>
        <v>2868914276</v>
      </c>
      <c r="N43" s="3157">
        <f t="shared" si="11"/>
        <v>1482279200</v>
      </c>
      <c r="O43" s="3157">
        <f t="shared" si="11"/>
        <v>4448558476</v>
      </c>
      <c r="P43" s="3157">
        <f t="shared" si="11"/>
        <v>18259089000</v>
      </c>
      <c r="Q43" s="3158">
        <f t="shared" ref="Q43:Q50" si="12">+P43-L43</f>
        <v>-200269000</v>
      </c>
      <c r="R43" s="3609">
        <f>+P43/L43*100-100</f>
        <v>-1.0849185545889526</v>
      </c>
      <c r="S43" s="3705"/>
      <c r="T43" s="3823"/>
      <c r="U43" s="3775"/>
      <c r="V43" s="2907"/>
    </row>
    <row r="44" spans="1:26" s="2947" customFormat="1" ht="15.05" customHeight="1">
      <c r="A44" s="3021">
        <v>4</v>
      </c>
      <c r="B44" s="3021">
        <v>1</v>
      </c>
      <c r="C44" s="3021">
        <v>2</v>
      </c>
      <c r="D44" s="3021" t="s">
        <v>437</v>
      </c>
      <c r="E44" s="3021"/>
      <c r="F44" s="3023" t="s">
        <v>107</v>
      </c>
      <c r="G44" s="3024"/>
      <c r="H44" s="3025"/>
      <c r="I44" s="3026"/>
      <c r="J44" s="3132">
        <f>J45+J50+J51+J53</f>
        <v>19059250000</v>
      </c>
      <c r="K44" s="3132">
        <f t="shared" ref="K44:P44" si="13">K45+K50+K51+K53</f>
        <v>19214538092</v>
      </c>
      <c r="L44" s="3132">
        <f t="shared" si="13"/>
        <v>7519250000</v>
      </c>
      <c r="M44" s="3132">
        <f t="shared" si="13"/>
        <v>1772108700</v>
      </c>
      <c r="N44" s="3132">
        <f t="shared" si="13"/>
        <v>942614200</v>
      </c>
      <c r="O44" s="3132">
        <f t="shared" si="13"/>
        <v>2714722900</v>
      </c>
      <c r="P44" s="3132">
        <f t="shared" si="13"/>
        <v>7519250000</v>
      </c>
      <c r="Q44" s="3160">
        <f t="shared" si="12"/>
        <v>0</v>
      </c>
      <c r="R44" s="3603">
        <f>+P44/L44*100-100</f>
        <v>0</v>
      </c>
      <c r="S44" s="3706"/>
      <c r="T44" s="3824"/>
      <c r="U44" s="3773"/>
      <c r="V44" s="2944"/>
    </row>
    <row r="45" spans="1:26" s="2932" customFormat="1" ht="15.05" customHeight="1">
      <c r="A45" s="3047">
        <v>4</v>
      </c>
      <c r="B45" s="3047">
        <v>1</v>
      </c>
      <c r="C45" s="3047">
        <v>2</v>
      </c>
      <c r="D45" s="3047" t="s">
        <v>437</v>
      </c>
      <c r="E45" s="3047" t="s">
        <v>437</v>
      </c>
      <c r="F45" s="3048" t="s">
        <v>84</v>
      </c>
      <c r="G45" s="3049"/>
      <c r="H45" s="3050"/>
      <c r="I45" s="3051"/>
      <c r="J45" s="3162">
        <f>SUM(J46:J49)</f>
        <v>18800000000</v>
      </c>
      <c r="K45" s="3162">
        <f t="shared" ref="K45:P45" si="14">SUM(K46:K49)</f>
        <v>18927671342</v>
      </c>
      <c r="L45" s="3162">
        <f t="shared" si="14"/>
        <v>7500000000</v>
      </c>
      <c r="M45" s="3162">
        <f t="shared" si="14"/>
        <v>1772108700</v>
      </c>
      <c r="N45" s="3162">
        <f t="shared" si="14"/>
        <v>942614200</v>
      </c>
      <c r="O45" s="3162">
        <f t="shared" si="14"/>
        <v>2714722900</v>
      </c>
      <c r="P45" s="3162">
        <f t="shared" si="14"/>
        <v>7500000000</v>
      </c>
      <c r="Q45" s="3163">
        <f t="shared" si="12"/>
        <v>0</v>
      </c>
      <c r="R45" s="3610">
        <f>+P45/L45*100-100</f>
        <v>0</v>
      </c>
      <c r="S45" s="3707"/>
      <c r="T45" s="3825"/>
      <c r="U45" s="3776"/>
      <c r="V45" s="2931"/>
    </row>
    <row r="46" spans="1:26" s="1832" customFormat="1" ht="15.05" customHeight="1">
      <c r="A46" s="1855"/>
      <c r="B46" s="1855"/>
      <c r="C46" s="1855"/>
      <c r="D46" s="1855"/>
      <c r="E46" s="1855"/>
      <c r="F46" s="1857" t="s">
        <v>82</v>
      </c>
      <c r="G46" s="1858"/>
      <c r="H46" s="200"/>
      <c r="I46" s="217"/>
      <c r="J46" s="3165">
        <v>4000000000</v>
      </c>
      <c r="K46" s="3165">
        <v>4571728000</v>
      </c>
      <c r="L46" s="3125">
        <v>4500000000</v>
      </c>
      <c r="M46" s="3124">
        <v>1633527700</v>
      </c>
      <c r="N46" s="3125">
        <v>818193200</v>
      </c>
      <c r="O46" s="3125">
        <v>2451720900</v>
      </c>
      <c r="P46" s="3125">
        <v>5500000000</v>
      </c>
      <c r="Q46" s="3125">
        <f t="shared" si="12"/>
        <v>1000000000</v>
      </c>
      <c r="R46" s="3605">
        <f>+P46/L46*100-100</f>
        <v>22.222222222222229</v>
      </c>
      <c r="S46" s="3275"/>
      <c r="T46" s="3826"/>
      <c r="U46" s="3771"/>
      <c r="V46" s="1882">
        <f t="shared" ref="V46:V107" si="15">O46*4</f>
        <v>9806883600</v>
      </c>
    </row>
    <row r="47" spans="1:26" s="1832" customFormat="1" ht="15.05" customHeight="1">
      <c r="A47" s="1855"/>
      <c r="B47" s="1855"/>
      <c r="C47" s="1855"/>
      <c r="D47" s="1855"/>
      <c r="E47" s="1855"/>
      <c r="F47" s="1857" t="s">
        <v>487</v>
      </c>
      <c r="G47" s="1858"/>
      <c r="H47" s="200"/>
      <c r="I47" s="217"/>
      <c r="J47" s="3165">
        <v>1100000000</v>
      </c>
      <c r="K47" s="3165">
        <v>1352812500</v>
      </c>
      <c r="L47" s="3125">
        <v>3000000000</v>
      </c>
      <c r="M47" s="3124">
        <v>138581000</v>
      </c>
      <c r="N47" s="3125">
        <v>124421000</v>
      </c>
      <c r="O47" s="3125">
        <v>263002000</v>
      </c>
      <c r="P47" s="3125">
        <v>2000000000</v>
      </c>
      <c r="Q47" s="3125">
        <f t="shared" si="12"/>
        <v>-1000000000</v>
      </c>
      <c r="R47" s="3605">
        <f>+P47/L47*100-100</f>
        <v>-33.333333333333343</v>
      </c>
      <c r="S47" s="3275"/>
      <c r="T47" s="3826"/>
      <c r="U47" s="3771"/>
      <c r="V47" s="1882">
        <f t="shared" si="15"/>
        <v>1052008000</v>
      </c>
    </row>
    <row r="48" spans="1:26" s="257" customFormat="1" ht="15.05" customHeight="1">
      <c r="A48" s="1855"/>
      <c r="B48" s="1855"/>
      <c r="C48" s="1855"/>
      <c r="D48" s="1855"/>
      <c r="E48" s="1855"/>
      <c r="F48" s="4854" t="s">
        <v>1158</v>
      </c>
      <c r="G48" s="4855"/>
      <c r="H48" s="4856"/>
      <c r="I48" s="4857"/>
      <c r="J48" s="4858">
        <v>200000000</v>
      </c>
      <c r="K48" s="4858">
        <v>291113500</v>
      </c>
      <c r="L48" s="4859">
        <v>0</v>
      </c>
      <c r="M48" s="4860">
        <v>0</v>
      </c>
      <c r="N48" s="4859">
        <v>0</v>
      </c>
      <c r="O48" s="4859">
        <v>0</v>
      </c>
      <c r="P48" s="4859">
        <v>0</v>
      </c>
      <c r="Q48" s="4859">
        <f t="shared" si="12"/>
        <v>0</v>
      </c>
      <c r="R48" s="4861">
        <v>0</v>
      </c>
      <c r="S48" s="3275"/>
      <c r="T48" s="3826"/>
      <c r="U48" s="3771"/>
      <c r="V48" s="1846">
        <f t="shared" si="15"/>
        <v>0</v>
      </c>
    </row>
    <row r="49" spans="1:22" s="257" customFormat="1" ht="15.05" customHeight="1">
      <c r="A49" s="1855"/>
      <c r="B49" s="1855"/>
      <c r="C49" s="1855"/>
      <c r="D49" s="1855"/>
      <c r="E49" s="1855"/>
      <c r="F49" s="4854" t="s">
        <v>1159</v>
      </c>
      <c r="G49" s="4855"/>
      <c r="H49" s="4856"/>
      <c r="I49" s="4857"/>
      <c r="J49" s="4858">
        <v>13500000000</v>
      </c>
      <c r="K49" s="4858">
        <v>12712017342</v>
      </c>
      <c r="L49" s="4859">
        <v>0</v>
      </c>
      <c r="M49" s="4860">
        <v>0</v>
      </c>
      <c r="N49" s="4859">
        <v>0</v>
      </c>
      <c r="O49" s="4859">
        <v>0</v>
      </c>
      <c r="P49" s="4859">
        <v>0</v>
      </c>
      <c r="Q49" s="4859">
        <f t="shared" si="12"/>
        <v>0</v>
      </c>
      <c r="R49" s="4861">
        <v>0</v>
      </c>
      <c r="S49" s="3275"/>
      <c r="T49" s="3826"/>
      <c r="U49" s="3771"/>
      <c r="V49" s="1846">
        <f t="shared" si="15"/>
        <v>0</v>
      </c>
    </row>
    <row r="50" spans="1:22" s="2932" customFormat="1" ht="15.05" customHeight="1">
      <c r="A50" s="2925">
        <v>4</v>
      </c>
      <c r="B50" s="2925">
        <v>1</v>
      </c>
      <c r="C50" s="2925">
        <v>2</v>
      </c>
      <c r="D50" s="2925" t="s">
        <v>437</v>
      </c>
      <c r="E50" s="2925" t="s">
        <v>445</v>
      </c>
      <c r="F50" s="2926" t="s">
        <v>488</v>
      </c>
      <c r="G50" s="2927"/>
      <c r="H50" s="2933"/>
      <c r="I50" s="2934"/>
      <c r="J50" s="3168">
        <v>240000000</v>
      </c>
      <c r="K50" s="3168">
        <v>286866750</v>
      </c>
      <c r="L50" s="3169">
        <v>0</v>
      </c>
      <c r="M50" s="3170">
        <v>0</v>
      </c>
      <c r="N50" s="3169">
        <v>0</v>
      </c>
      <c r="O50" s="3169">
        <v>0</v>
      </c>
      <c r="P50" s="3169">
        <f>MAR!N708</f>
        <v>0</v>
      </c>
      <c r="Q50" s="3169">
        <f t="shared" si="12"/>
        <v>0</v>
      </c>
      <c r="R50" s="3611">
        <v>0</v>
      </c>
      <c r="S50" s="3708"/>
      <c r="T50" s="3827"/>
      <c r="U50" s="3776"/>
      <c r="V50" s="2931">
        <f t="shared" si="15"/>
        <v>0</v>
      </c>
    </row>
    <row r="51" spans="1:22" s="2932" customFormat="1" ht="15.05" customHeight="1">
      <c r="A51" s="2925" t="s">
        <v>443</v>
      </c>
      <c r="B51" s="2925" t="s">
        <v>58</v>
      </c>
      <c r="C51" s="2925" t="s">
        <v>460</v>
      </c>
      <c r="D51" s="2925" t="s">
        <v>437</v>
      </c>
      <c r="E51" s="2925" t="s">
        <v>440</v>
      </c>
      <c r="F51" s="2926" t="s">
        <v>489</v>
      </c>
      <c r="G51" s="2927"/>
      <c r="H51" s="2928"/>
      <c r="I51" s="2934"/>
      <c r="J51" s="3168">
        <v>19250000</v>
      </c>
      <c r="K51" s="3168">
        <v>0</v>
      </c>
      <c r="L51" s="3169">
        <v>19250000</v>
      </c>
      <c r="M51" s="3170">
        <v>0</v>
      </c>
      <c r="N51" s="3169">
        <v>0</v>
      </c>
      <c r="O51" s="3169">
        <v>0</v>
      </c>
      <c r="P51" s="3169">
        <f>P52</f>
        <v>19250000</v>
      </c>
      <c r="Q51" s="3169">
        <f>+P51-L51</f>
        <v>0</v>
      </c>
      <c r="R51" s="3611">
        <f>+P51/L51*100-100</f>
        <v>0</v>
      </c>
      <c r="S51" s="3708"/>
      <c r="T51" s="3827"/>
      <c r="U51" s="3776"/>
      <c r="V51" s="2931">
        <f t="shared" si="15"/>
        <v>0</v>
      </c>
    </row>
    <row r="52" spans="1:22" s="3941" customFormat="1" ht="15.05" customHeight="1">
      <c r="A52" s="3928"/>
      <c r="B52" s="3928"/>
      <c r="C52" s="3928"/>
      <c r="D52" s="3928"/>
      <c r="E52" s="3928"/>
      <c r="F52" s="3929" t="s">
        <v>50</v>
      </c>
      <c r="G52" s="3930" t="s">
        <v>490</v>
      </c>
      <c r="H52" s="3931"/>
      <c r="I52" s="3932"/>
      <c r="J52" s="3933">
        <v>19250000</v>
      </c>
      <c r="K52" s="3933">
        <v>0</v>
      </c>
      <c r="L52" s="3934">
        <v>19250000</v>
      </c>
      <c r="M52" s="3935">
        <v>0</v>
      </c>
      <c r="N52" s="3934">
        <v>0</v>
      </c>
      <c r="O52" s="3934">
        <v>0</v>
      </c>
      <c r="P52" s="3934">
        <v>19250000</v>
      </c>
      <c r="Q52" s="3934">
        <f>+P52-L52</f>
        <v>0</v>
      </c>
      <c r="R52" s="3936">
        <f>+P52/L52*100-100</f>
        <v>0</v>
      </c>
      <c r="S52" s="3937"/>
      <c r="T52" s="3938"/>
      <c r="U52" s="3939"/>
      <c r="V52" s="3940">
        <f t="shared" si="15"/>
        <v>0</v>
      </c>
    </row>
    <row r="53" spans="1:22" s="2932" customFormat="1" ht="15.05" customHeight="1">
      <c r="A53" s="2925">
        <v>4</v>
      </c>
      <c r="B53" s="2925">
        <v>1</v>
      </c>
      <c r="C53" s="2925">
        <v>2</v>
      </c>
      <c r="D53" s="2925" t="s">
        <v>437</v>
      </c>
      <c r="E53" s="2935" t="s">
        <v>451</v>
      </c>
      <c r="F53" s="2926" t="s">
        <v>1180</v>
      </c>
      <c r="G53" s="2927"/>
      <c r="H53" s="2928"/>
      <c r="I53" s="2929"/>
      <c r="J53" s="3172"/>
      <c r="K53" s="3172">
        <v>0</v>
      </c>
      <c r="L53" s="3169">
        <v>0</v>
      </c>
      <c r="M53" s="3170">
        <v>0</v>
      </c>
      <c r="N53" s="3169">
        <v>0</v>
      </c>
      <c r="O53" s="3169">
        <v>0</v>
      </c>
      <c r="P53" s="3169">
        <f>O53-L53</f>
        <v>0</v>
      </c>
      <c r="Q53" s="3169">
        <f>+P53-L53</f>
        <v>0</v>
      </c>
      <c r="R53" s="3611" t="e">
        <f>+P53/L53*100-100</f>
        <v>#DIV/0!</v>
      </c>
      <c r="S53" s="3708"/>
      <c r="T53" s="3827"/>
      <c r="U53" s="3776"/>
      <c r="V53" s="2931">
        <f t="shared" si="15"/>
        <v>0</v>
      </c>
    </row>
    <row r="54" spans="1:22" s="257" customFormat="1" ht="15.05" customHeight="1">
      <c r="A54" s="1886"/>
      <c r="B54" s="1886"/>
      <c r="C54" s="1886"/>
      <c r="D54" s="1886"/>
      <c r="E54" s="1886"/>
      <c r="F54" s="1887"/>
      <c r="G54" s="1888"/>
      <c r="H54" s="856"/>
      <c r="I54" s="1894"/>
      <c r="J54" s="3173"/>
      <c r="K54" s="3173">
        <f>K56-3676781427</f>
        <v>0</v>
      </c>
      <c r="L54" s="3174"/>
      <c r="M54" s="3175"/>
      <c r="N54" s="3174"/>
      <c r="O54" s="3174"/>
      <c r="P54" s="3174"/>
      <c r="Q54" s="3174"/>
      <c r="R54" s="3612"/>
      <c r="S54" s="3709"/>
      <c r="T54" s="3828"/>
      <c r="U54" s="3771"/>
      <c r="V54" s="1846">
        <f t="shared" si="15"/>
        <v>0</v>
      </c>
    </row>
    <row r="55" spans="1:22" s="2947" customFormat="1" ht="15.05" customHeight="1">
      <c r="A55" s="3053">
        <v>4</v>
      </c>
      <c r="B55" s="3054">
        <v>1</v>
      </c>
      <c r="C55" s="3054">
        <v>2</v>
      </c>
      <c r="D55" s="3054" t="s">
        <v>438</v>
      </c>
      <c r="E55" s="3055"/>
      <c r="F55" s="3056" t="s">
        <v>374</v>
      </c>
      <c r="G55" s="3057"/>
      <c r="H55" s="3058"/>
      <c r="I55" s="3059"/>
      <c r="J55" s="3177">
        <f t="shared" ref="J55:P55" si="16">J56+J139+J159+J166</f>
        <v>9182718500</v>
      </c>
      <c r="K55" s="3177">
        <f t="shared" si="16"/>
        <v>8816358857</v>
      </c>
      <c r="L55" s="3177">
        <f t="shared" si="16"/>
        <v>9291218500</v>
      </c>
      <c r="M55" s="3177">
        <f t="shared" si="16"/>
        <v>773060576</v>
      </c>
      <c r="N55" s="3177">
        <f t="shared" si="16"/>
        <v>386105000</v>
      </c>
      <c r="O55" s="3177">
        <f t="shared" si="16"/>
        <v>1256530576</v>
      </c>
      <c r="P55" s="3177">
        <f t="shared" si="16"/>
        <v>8895949500</v>
      </c>
      <c r="Q55" s="3178">
        <f>+P55-L55</f>
        <v>-395269000</v>
      </c>
      <c r="R55" s="3613">
        <f t="shared" ref="R55:R67" si="17">+P55/L55*100-100</f>
        <v>-4.2542213381377252</v>
      </c>
      <c r="S55" s="3700"/>
      <c r="T55" s="3818"/>
      <c r="U55" s="3773"/>
      <c r="V55" s="2944">
        <f t="shared" si="15"/>
        <v>5026122304</v>
      </c>
    </row>
    <row r="56" spans="1:22" s="2932" customFormat="1" ht="15.05" customHeight="1">
      <c r="A56" s="3047">
        <v>4</v>
      </c>
      <c r="B56" s="3047">
        <v>1</v>
      </c>
      <c r="C56" s="3047">
        <v>2</v>
      </c>
      <c r="D56" s="3047" t="s">
        <v>438</v>
      </c>
      <c r="E56" s="3047" t="s">
        <v>437</v>
      </c>
      <c r="F56" s="3048" t="s">
        <v>64</v>
      </c>
      <c r="G56" s="3049"/>
      <c r="H56" s="3050"/>
      <c r="I56" s="3052"/>
      <c r="J56" s="3181">
        <f>J57+J61+J64+J66+J72+J78+J95+J112+J115+J120+J130+J133</f>
        <v>4557206500</v>
      </c>
      <c r="K56" s="3181">
        <f>K57+K61+K64+K66+K72+K78+K95+K112+K115+K120+K130+K133+K137</f>
        <v>3676781427</v>
      </c>
      <c r="L56" s="3181">
        <f t="shared" ref="L56:Q56" si="18">L57+L61+L64+L66+L72+L78+L95+L112+L115+L120+L130+L133</f>
        <v>4630706500</v>
      </c>
      <c r="M56" s="3181">
        <f t="shared" si="18"/>
        <v>285659026</v>
      </c>
      <c r="N56" s="3181">
        <f t="shared" si="18"/>
        <v>91100500</v>
      </c>
      <c r="O56" s="3181">
        <f t="shared" si="18"/>
        <v>376759526</v>
      </c>
      <c r="P56" s="3181">
        <f t="shared" si="18"/>
        <v>3861806500</v>
      </c>
      <c r="Q56" s="3163">
        <f t="shared" si="18"/>
        <v>-768900000</v>
      </c>
      <c r="R56" s="3610">
        <f t="shared" si="17"/>
        <v>-16.604377755316605</v>
      </c>
      <c r="S56" s="3707"/>
      <c r="T56" s="3825"/>
      <c r="U56" s="3776"/>
      <c r="V56" s="2931">
        <f t="shared" si="15"/>
        <v>1507038104</v>
      </c>
    </row>
    <row r="57" spans="1:22" s="1833" customFormat="1" ht="15.05" customHeight="1">
      <c r="A57" s="1854"/>
      <c r="B57" s="1854"/>
      <c r="C57" s="1854"/>
      <c r="D57" s="1854"/>
      <c r="E57" s="1854"/>
      <c r="F57" s="1464" t="s">
        <v>62</v>
      </c>
      <c r="G57" s="1860"/>
      <c r="H57" s="202"/>
      <c r="I57" s="218"/>
      <c r="J57" s="3123">
        <f>SUM(J58:J60)</f>
        <v>89895000</v>
      </c>
      <c r="K57" s="3123">
        <f t="shared" ref="K57:P57" si="19">SUM(K58:K60)</f>
        <v>78988830</v>
      </c>
      <c r="L57" s="3123">
        <f t="shared" si="19"/>
        <v>98395000</v>
      </c>
      <c r="M57" s="3123">
        <f t="shared" si="19"/>
        <v>4949500</v>
      </c>
      <c r="N57" s="3123">
        <f t="shared" si="19"/>
        <v>4782000</v>
      </c>
      <c r="O57" s="3123">
        <f t="shared" si="19"/>
        <v>9731500</v>
      </c>
      <c r="P57" s="3123">
        <f t="shared" si="19"/>
        <v>98395000</v>
      </c>
      <c r="Q57" s="3182">
        <f t="shared" ref="Q57:Q107" si="20">+P57-L57</f>
        <v>0</v>
      </c>
      <c r="R57" s="3601">
        <f t="shared" si="17"/>
        <v>0</v>
      </c>
      <c r="S57" s="3710"/>
      <c r="T57" s="3829"/>
      <c r="U57" s="3777"/>
      <c r="V57" s="1882">
        <f t="shared" si="15"/>
        <v>38926000</v>
      </c>
    </row>
    <row r="58" spans="1:22" s="3945" customFormat="1" ht="15.05" customHeight="1">
      <c r="A58" s="3942"/>
      <c r="B58" s="3942"/>
      <c r="C58" s="3942"/>
      <c r="D58" s="3942"/>
      <c r="E58" s="3942"/>
      <c r="F58" s="3943" t="s">
        <v>50</v>
      </c>
      <c r="G58" s="3930"/>
      <c r="H58" s="3931" t="s">
        <v>1205</v>
      </c>
      <c r="I58" s="3932"/>
      <c r="J58" s="3933">
        <v>33395000</v>
      </c>
      <c r="K58" s="3933">
        <v>36456830</v>
      </c>
      <c r="L58" s="3934">
        <v>33395000</v>
      </c>
      <c r="M58" s="3935">
        <v>0</v>
      </c>
      <c r="N58" s="3934">
        <v>750000</v>
      </c>
      <c r="O58" s="3934">
        <v>750000</v>
      </c>
      <c r="P58" s="3934">
        <v>33395000</v>
      </c>
      <c r="Q58" s="3934">
        <f t="shared" si="20"/>
        <v>0</v>
      </c>
      <c r="R58" s="3936">
        <f t="shared" si="17"/>
        <v>0</v>
      </c>
      <c r="S58" s="3937"/>
      <c r="T58" s="3938"/>
      <c r="U58" s="3939"/>
      <c r="V58" s="3944">
        <f t="shared" si="15"/>
        <v>3000000</v>
      </c>
    </row>
    <row r="59" spans="1:22" s="3945" customFormat="1" ht="15.05" customHeight="1">
      <c r="A59" s="3942"/>
      <c r="B59" s="3942"/>
      <c r="C59" s="3942"/>
      <c r="D59" s="3942"/>
      <c r="E59" s="3942"/>
      <c r="F59" s="3943" t="s">
        <v>50</v>
      </c>
      <c r="G59" s="3930"/>
      <c r="H59" s="3931" t="str">
        <f>MAR!I14</f>
        <v>Aula Taman Budaya (Eks Dinas Pariwisata)</v>
      </c>
      <c r="I59" s="3932"/>
      <c r="J59" s="3933">
        <v>16500000</v>
      </c>
      <c r="K59" s="3933">
        <v>2500000</v>
      </c>
      <c r="L59" s="3934">
        <v>25000000</v>
      </c>
      <c r="M59" s="3935">
        <v>0</v>
      </c>
      <c r="N59" s="3934">
        <v>2000000</v>
      </c>
      <c r="O59" s="3934">
        <v>2000000</v>
      </c>
      <c r="P59" s="3934">
        <v>25000000</v>
      </c>
      <c r="Q59" s="3934">
        <f t="shared" si="20"/>
        <v>0</v>
      </c>
      <c r="R59" s="3936">
        <f t="shared" si="17"/>
        <v>0</v>
      </c>
      <c r="S59" s="3937"/>
      <c r="T59" s="3938"/>
      <c r="U59" s="3939"/>
      <c r="V59" s="3944">
        <f t="shared" si="15"/>
        <v>8000000</v>
      </c>
    </row>
    <row r="60" spans="1:22" s="3945" customFormat="1" ht="15.05" customHeight="1">
      <c r="A60" s="3942"/>
      <c r="B60" s="3942"/>
      <c r="C60" s="3942"/>
      <c r="D60" s="3942"/>
      <c r="E60" s="3942"/>
      <c r="F60" s="3943" t="s">
        <v>50</v>
      </c>
      <c r="G60" s="3930"/>
      <c r="H60" s="3931" t="str">
        <f>MAR!I15</f>
        <v>Museum (Eks Dinas Pariwisata)</v>
      </c>
      <c r="I60" s="3932"/>
      <c r="J60" s="3933">
        <v>40000000</v>
      </c>
      <c r="K60" s="3933">
        <v>40032000</v>
      </c>
      <c r="L60" s="3934">
        <v>40000000</v>
      </c>
      <c r="M60" s="3935">
        <v>4949500</v>
      </c>
      <c r="N60" s="3934">
        <v>2032000</v>
      </c>
      <c r="O60" s="3934">
        <v>6981500</v>
      </c>
      <c r="P60" s="3934">
        <v>40000000</v>
      </c>
      <c r="Q60" s="3934">
        <f t="shared" si="20"/>
        <v>0</v>
      </c>
      <c r="R60" s="3936">
        <f t="shared" si="17"/>
        <v>0</v>
      </c>
      <c r="S60" s="3937"/>
      <c r="T60" s="3938"/>
      <c r="U60" s="3939"/>
      <c r="V60" s="3944">
        <f t="shared" si="15"/>
        <v>27926000</v>
      </c>
    </row>
    <row r="61" spans="1:22" s="3955" customFormat="1" ht="15.05" customHeight="1">
      <c r="A61" s="3942"/>
      <c r="B61" s="3942"/>
      <c r="C61" s="3942"/>
      <c r="D61" s="3942"/>
      <c r="E61" s="3942"/>
      <c r="F61" s="2825" t="s">
        <v>491</v>
      </c>
      <c r="G61" s="3946"/>
      <c r="H61" s="3947"/>
      <c r="I61" s="3948"/>
      <c r="J61" s="3949">
        <f>SUM(J62:J63)</f>
        <v>466750000</v>
      </c>
      <c r="K61" s="3949">
        <f t="shared" ref="K61:P61" si="21">SUM(K62:K63)</f>
        <v>411360000</v>
      </c>
      <c r="L61" s="3949">
        <f t="shared" si="21"/>
        <v>466750000</v>
      </c>
      <c r="M61" s="3949">
        <f t="shared" si="21"/>
        <v>22406900</v>
      </c>
      <c r="N61" s="3949">
        <f t="shared" si="21"/>
        <v>26657500</v>
      </c>
      <c r="O61" s="3949">
        <f t="shared" si="21"/>
        <v>49064400</v>
      </c>
      <c r="P61" s="3949">
        <f t="shared" si="21"/>
        <v>466750000</v>
      </c>
      <c r="Q61" s="3950">
        <f t="shared" si="20"/>
        <v>0</v>
      </c>
      <c r="R61" s="3951">
        <f t="shared" si="17"/>
        <v>0</v>
      </c>
      <c r="S61" s="3952"/>
      <c r="T61" s="3953"/>
      <c r="U61" s="3954"/>
      <c r="V61" s="3940">
        <f t="shared" si="15"/>
        <v>196257600</v>
      </c>
    </row>
    <row r="62" spans="1:22" s="3941" customFormat="1" ht="15.05" customHeight="1">
      <c r="A62" s="3928"/>
      <c r="B62" s="3928"/>
      <c r="C62" s="3928"/>
      <c r="D62" s="3928"/>
      <c r="E62" s="3928"/>
      <c r="F62" s="3943" t="s">
        <v>50</v>
      </c>
      <c r="G62" s="3930"/>
      <c r="H62" s="3931" t="s">
        <v>492</v>
      </c>
      <c r="I62" s="3956"/>
      <c r="J62" s="3957">
        <v>216750000</v>
      </c>
      <c r="K62" s="3957">
        <v>82166000</v>
      </c>
      <c r="L62" s="3934">
        <v>216750000</v>
      </c>
      <c r="M62" s="3935">
        <v>1400000</v>
      </c>
      <c r="N62" s="3934">
        <v>0</v>
      </c>
      <c r="O62" s="3934">
        <v>1400000</v>
      </c>
      <c r="P62" s="3934">
        <v>216750000</v>
      </c>
      <c r="Q62" s="3934">
        <f t="shared" si="20"/>
        <v>0</v>
      </c>
      <c r="R62" s="3936">
        <f t="shared" si="17"/>
        <v>0</v>
      </c>
      <c r="S62" s="3937"/>
      <c r="T62" s="3938"/>
      <c r="U62" s="3939"/>
      <c r="V62" s="3940">
        <f t="shared" si="15"/>
        <v>5600000</v>
      </c>
    </row>
    <row r="63" spans="1:22" s="3941" customFormat="1" ht="15.05" customHeight="1">
      <c r="A63" s="3928"/>
      <c r="B63" s="3928"/>
      <c r="C63" s="3928"/>
      <c r="D63" s="3928"/>
      <c r="E63" s="3928"/>
      <c r="F63" s="3943" t="s">
        <v>50</v>
      </c>
      <c r="G63" s="3930"/>
      <c r="H63" s="3931" t="s">
        <v>493</v>
      </c>
      <c r="I63" s="3956"/>
      <c r="J63" s="3957">
        <v>250000000</v>
      </c>
      <c r="K63" s="3957">
        <v>329194000</v>
      </c>
      <c r="L63" s="3934">
        <v>250000000</v>
      </c>
      <c r="M63" s="3935">
        <v>21006900</v>
      </c>
      <c r="N63" s="3934">
        <v>26657500</v>
      </c>
      <c r="O63" s="3934">
        <v>47664400</v>
      </c>
      <c r="P63" s="3934">
        <v>250000000</v>
      </c>
      <c r="Q63" s="3934">
        <f t="shared" si="20"/>
        <v>0</v>
      </c>
      <c r="R63" s="3936">
        <f t="shared" si="17"/>
        <v>0</v>
      </c>
      <c r="S63" s="3937"/>
      <c r="T63" s="3938"/>
      <c r="U63" s="3939"/>
      <c r="V63" s="3940">
        <f t="shared" si="15"/>
        <v>190657600</v>
      </c>
    </row>
    <row r="64" spans="1:22" s="1318" customFormat="1" ht="15.05" customHeight="1">
      <c r="A64" s="1854"/>
      <c r="B64" s="1854"/>
      <c r="C64" s="1854"/>
      <c r="D64" s="1854"/>
      <c r="E64" s="1854"/>
      <c r="F64" s="1464" t="s">
        <v>494</v>
      </c>
      <c r="G64" s="1860"/>
      <c r="H64" s="202"/>
      <c r="I64" s="2824"/>
      <c r="J64" s="3185">
        <v>2000000</v>
      </c>
      <c r="K64" s="3185">
        <v>0</v>
      </c>
      <c r="L64" s="3182">
        <v>2000000</v>
      </c>
      <c r="M64" s="3183">
        <v>0</v>
      </c>
      <c r="N64" s="3182">
        <v>200000</v>
      </c>
      <c r="O64" s="3182">
        <v>200000</v>
      </c>
      <c r="P64" s="3182">
        <v>2000000</v>
      </c>
      <c r="Q64" s="3182">
        <f t="shared" si="20"/>
        <v>0</v>
      </c>
      <c r="R64" s="3601">
        <f t="shared" si="17"/>
        <v>0</v>
      </c>
      <c r="S64" s="3710"/>
      <c r="T64" s="3829"/>
      <c r="U64" s="3777"/>
      <c r="V64" s="1846">
        <f t="shared" si="15"/>
        <v>800000</v>
      </c>
    </row>
    <row r="65" spans="1:22" s="257" customFormat="1" ht="15.05" customHeight="1">
      <c r="A65" s="1855"/>
      <c r="B65" s="1855"/>
      <c r="C65" s="1855"/>
      <c r="D65" s="1855"/>
      <c r="E65" s="1855"/>
      <c r="F65" s="1857" t="s">
        <v>50</v>
      </c>
      <c r="G65" s="1858"/>
      <c r="H65" s="200" t="s">
        <v>495</v>
      </c>
      <c r="I65" s="217"/>
      <c r="J65" s="3171">
        <v>2000000</v>
      </c>
      <c r="K65" s="3171">
        <v>0</v>
      </c>
      <c r="L65" s="3125">
        <v>2000000</v>
      </c>
      <c r="M65" s="3124">
        <v>0</v>
      </c>
      <c r="N65" s="3125">
        <v>200000</v>
      </c>
      <c r="O65" s="3125">
        <v>200000</v>
      </c>
      <c r="P65" s="3125">
        <v>2000000</v>
      </c>
      <c r="Q65" s="3125">
        <f t="shared" si="20"/>
        <v>0</v>
      </c>
      <c r="R65" s="3605">
        <f t="shared" si="17"/>
        <v>0</v>
      </c>
      <c r="S65" s="3275"/>
      <c r="T65" s="3826"/>
      <c r="U65" s="3771"/>
      <c r="V65" s="1846">
        <f t="shared" si="15"/>
        <v>800000</v>
      </c>
    </row>
    <row r="66" spans="1:22" s="1318" customFormat="1" ht="15.05" customHeight="1">
      <c r="A66" s="1854"/>
      <c r="B66" s="1854"/>
      <c r="C66" s="1854"/>
      <c r="D66" s="1854"/>
      <c r="E66" s="1854"/>
      <c r="F66" s="1464" t="s">
        <v>496</v>
      </c>
      <c r="G66" s="1860"/>
      <c r="H66" s="202"/>
      <c r="I66" s="218"/>
      <c r="J66" s="3123">
        <v>152500000</v>
      </c>
      <c r="K66" s="3123">
        <v>41900000</v>
      </c>
      <c r="L66" s="3182">
        <v>152500000</v>
      </c>
      <c r="M66" s="3183">
        <v>2850000</v>
      </c>
      <c r="N66" s="3182">
        <v>6950000</v>
      </c>
      <c r="O66" s="3182">
        <v>9800000</v>
      </c>
      <c r="P66" s="3182">
        <f>SUM(P67)</f>
        <v>31500000</v>
      </c>
      <c r="Q66" s="3182">
        <f t="shared" si="20"/>
        <v>-121000000</v>
      </c>
      <c r="R66" s="3601">
        <f t="shared" si="17"/>
        <v>-79.344262295081961</v>
      </c>
      <c r="S66" s="3710"/>
      <c r="T66" s="3829"/>
      <c r="U66" s="3777"/>
      <c r="V66" s="1846">
        <f t="shared" si="15"/>
        <v>39200000</v>
      </c>
    </row>
    <row r="67" spans="1:22" s="257" customFormat="1" ht="15.05" customHeight="1">
      <c r="A67" s="1855"/>
      <c r="B67" s="1855"/>
      <c r="C67" s="1855"/>
      <c r="D67" s="1855"/>
      <c r="E67" s="1855"/>
      <c r="F67" s="1857" t="s">
        <v>50</v>
      </c>
      <c r="G67" s="1858"/>
      <c r="H67" s="200" t="s">
        <v>143</v>
      </c>
      <c r="I67" s="217"/>
      <c r="J67" s="3171">
        <v>152500000</v>
      </c>
      <c r="K67" s="3171">
        <v>41900000</v>
      </c>
      <c r="L67" s="3125">
        <v>152500000</v>
      </c>
      <c r="M67" s="3124">
        <v>2850000</v>
      </c>
      <c r="N67" s="3125">
        <v>6950000</v>
      </c>
      <c r="O67" s="3125">
        <v>9800000</v>
      </c>
      <c r="P67" s="3125">
        <v>31500000</v>
      </c>
      <c r="Q67" s="3125">
        <f t="shared" si="20"/>
        <v>-121000000</v>
      </c>
      <c r="R67" s="3605">
        <f t="shared" si="17"/>
        <v>-79.344262295081961</v>
      </c>
      <c r="S67" s="3275"/>
      <c r="T67" s="3826"/>
      <c r="U67" s="3771"/>
      <c r="V67" s="1846">
        <f t="shared" si="15"/>
        <v>39200000</v>
      </c>
    </row>
    <row r="68" spans="1:22" s="1318" customFormat="1" ht="15.05" hidden="1" customHeight="1">
      <c r="A68" s="1854"/>
      <c r="B68" s="1854"/>
      <c r="C68" s="1854"/>
      <c r="D68" s="1854"/>
      <c r="E68" s="1854"/>
      <c r="F68" s="1464" t="s">
        <v>497</v>
      </c>
      <c r="G68" s="1860"/>
      <c r="H68" s="202"/>
      <c r="I68" s="218"/>
      <c r="J68" s="3123">
        <v>56500000</v>
      </c>
      <c r="K68" s="3123">
        <v>42532000</v>
      </c>
      <c r="L68" s="3182">
        <v>0</v>
      </c>
      <c r="M68" s="3183">
        <v>0</v>
      </c>
      <c r="N68" s="3182">
        <v>0</v>
      </c>
      <c r="O68" s="3182">
        <v>0</v>
      </c>
      <c r="P68" s="3182">
        <v>0</v>
      </c>
      <c r="Q68" s="3182">
        <f t="shared" si="20"/>
        <v>0</v>
      </c>
      <c r="R68" s="3601">
        <v>0</v>
      </c>
      <c r="S68" s="3710"/>
      <c r="T68" s="3829"/>
      <c r="U68" s="3777"/>
      <c r="V68" s="1846">
        <f t="shared" si="15"/>
        <v>0</v>
      </c>
    </row>
    <row r="69" spans="1:22" s="257" customFormat="1" ht="15.05" hidden="1" customHeight="1">
      <c r="A69" s="1855"/>
      <c r="B69" s="1855"/>
      <c r="C69" s="1855"/>
      <c r="D69" s="1855"/>
      <c r="E69" s="1855"/>
      <c r="F69" s="2756" t="s">
        <v>50</v>
      </c>
      <c r="G69" s="1858" t="s">
        <v>498</v>
      </c>
      <c r="H69" s="200"/>
      <c r="I69" s="217"/>
      <c r="J69" s="3171">
        <v>16500000</v>
      </c>
      <c r="K69" s="3171">
        <v>2500000</v>
      </c>
      <c r="L69" s="3125">
        <v>0</v>
      </c>
      <c r="M69" s="3124">
        <v>0</v>
      </c>
      <c r="N69" s="3125">
        <v>0</v>
      </c>
      <c r="O69" s="3125">
        <v>0</v>
      </c>
      <c r="P69" s="3125">
        <v>0</v>
      </c>
      <c r="Q69" s="3125">
        <f t="shared" si="20"/>
        <v>0</v>
      </c>
      <c r="R69" s="3605">
        <v>0</v>
      </c>
      <c r="S69" s="3275"/>
      <c r="T69" s="3826"/>
      <c r="U69" s="3771"/>
      <c r="V69" s="1846">
        <f t="shared" si="15"/>
        <v>0</v>
      </c>
    </row>
    <row r="70" spans="1:22" s="257" customFormat="1" ht="15.05" hidden="1" customHeight="1">
      <c r="A70" s="1855"/>
      <c r="B70" s="1855"/>
      <c r="C70" s="1855"/>
      <c r="D70" s="1855"/>
      <c r="E70" s="1855"/>
      <c r="F70" s="2756" t="s">
        <v>50</v>
      </c>
      <c r="G70" s="1858" t="s">
        <v>499</v>
      </c>
      <c r="H70" s="200"/>
      <c r="I70" s="217"/>
      <c r="J70" s="3171">
        <v>40000000</v>
      </c>
      <c r="K70" s="3171">
        <v>40032000</v>
      </c>
      <c r="L70" s="3125">
        <v>0</v>
      </c>
      <c r="M70" s="3124">
        <v>0</v>
      </c>
      <c r="N70" s="3125">
        <v>0</v>
      </c>
      <c r="O70" s="3125">
        <v>0</v>
      </c>
      <c r="P70" s="3125">
        <v>0</v>
      </c>
      <c r="Q70" s="3125">
        <f t="shared" si="20"/>
        <v>0</v>
      </c>
      <c r="R70" s="3605">
        <v>0</v>
      </c>
      <c r="S70" s="3748"/>
      <c r="T70" s="3826"/>
      <c r="U70" s="3778">
        <f>PerDinas!Q372</f>
        <v>0</v>
      </c>
      <c r="V70" s="1846">
        <f t="shared" si="15"/>
        <v>0</v>
      </c>
    </row>
    <row r="71" spans="1:22" s="257" customFormat="1" ht="15.05" hidden="1" customHeight="1">
      <c r="A71" s="1855"/>
      <c r="B71" s="1855"/>
      <c r="C71" s="1855"/>
      <c r="D71" s="1855"/>
      <c r="E71" s="1855"/>
      <c r="F71" s="2756" t="s">
        <v>50</v>
      </c>
      <c r="G71" s="1858" t="s">
        <v>500</v>
      </c>
      <c r="H71" s="200"/>
      <c r="I71" s="217"/>
      <c r="J71" s="3171">
        <v>0</v>
      </c>
      <c r="K71" s="3171">
        <v>0</v>
      </c>
      <c r="L71" s="3125">
        <v>0</v>
      </c>
      <c r="M71" s="3124">
        <v>0</v>
      </c>
      <c r="N71" s="3125">
        <v>0</v>
      </c>
      <c r="O71" s="3125">
        <v>0</v>
      </c>
      <c r="P71" s="3125">
        <v>0</v>
      </c>
      <c r="Q71" s="3125">
        <f t="shared" si="20"/>
        <v>0</v>
      </c>
      <c r="R71" s="3605">
        <v>0</v>
      </c>
      <c r="S71" s="3275"/>
      <c r="T71" s="3826"/>
      <c r="U71" s="3778">
        <v>0</v>
      </c>
      <c r="V71" s="1846">
        <f t="shared" si="15"/>
        <v>0</v>
      </c>
    </row>
    <row r="72" spans="1:22" s="257" customFormat="1" ht="15.05" customHeight="1">
      <c r="A72" s="1855"/>
      <c r="B72" s="1855"/>
      <c r="C72" s="1855"/>
      <c r="D72" s="1855"/>
      <c r="E72" s="1855"/>
      <c r="F72" s="1901" t="s">
        <v>326</v>
      </c>
      <c r="G72" s="1858"/>
      <c r="H72" s="200"/>
      <c r="I72" s="217"/>
      <c r="J72" s="3256">
        <f t="shared" ref="J72:O72" si="22">SUM(J73:J75)</f>
        <v>100000000</v>
      </c>
      <c r="K72" s="3256">
        <f t="shared" si="22"/>
        <v>271265000</v>
      </c>
      <c r="L72" s="3256">
        <f t="shared" si="22"/>
        <v>150000000</v>
      </c>
      <c r="M72" s="3256">
        <f t="shared" si="22"/>
        <v>26950000</v>
      </c>
      <c r="N72" s="3256">
        <f t="shared" si="22"/>
        <v>10625000</v>
      </c>
      <c r="O72" s="3256">
        <f t="shared" si="22"/>
        <v>37575000</v>
      </c>
      <c r="P72" s="3256">
        <f>SUM(P73:P77)</f>
        <v>240600000</v>
      </c>
      <c r="Q72" s="3256">
        <f>SUM(Q73:Q77)</f>
        <v>90600000</v>
      </c>
      <c r="R72" s="3601">
        <f t="shared" ref="R72:R81" si="23">+P72/L72*100-100</f>
        <v>60.400000000000006</v>
      </c>
      <c r="S72" s="3710"/>
      <c r="T72" s="3829"/>
      <c r="U72" s="3771"/>
      <c r="V72" s="1846">
        <f t="shared" si="15"/>
        <v>150300000</v>
      </c>
    </row>
    <row r="73" spans="1:22" s="257" customFormat="1" ht="15.05" customHeight="1">
      <c r="A73" s="1855"/>
      <c r="B73" s="1855"/>
      <c r="C73" s="1855"/>
      <c r="D73" s="1855"/>
      <c r="E73" s="1855"/>
      <c r="F73" s="2756" t="s">
        <v>50</v>
      </c>
      <c r="G73" s="1858" t="s">
        <v>501</v>
      </c>
      <c r="H73" s="200"/>
      <c r="I73" s="217"/>
      <c r="J73" s="3171">
        <v>100000000</v>
      </c>
      <c r="K73" s="3171">
        <v>271265000</v>
      </c>
      <c r="L73" s="3125">
        <v>100000000</v>
      </c>
      <c r="M73" s="3124">
        <v>26950000</v>
      </c>
      <c r="N73" s="3125">
        <v>10625000</v>
      </c>
      <c r="O73" s="3125">
        <v>37575000</v>
      </c>
      <c r="P73" s="3125">
        <v>95000000</v>
      </c>
      <c r="Q73" s="3125">
        <f t="shared" si="20"/>
        <v>-5000000</v>
      </c>
      <c r="R73" s="3926">
        <f t="shared" si="23"/>
        <v>-5</v>
      </c>
      <c r="S73" s="3971"/>
      <c r="T73" s="3927"/>
      <c r="U73" s="3778">
        <f>MAR!P586</f>
        <v>0</v>
      </c>
      <c r="V73" s="1846">
        <f t="shared" si="15"/>
        <v>150300000</v>
      </c>
    </row>
    <row r="74" spans="1:22" s="3989" customFormat="1" ht="15.05" customHeight="1">
      <c r="A74" s="3976"/>
      <c r="B74" s="3976"/>
      <c r="C74" s="3976"/>
      <c r="D74" s="3976"/>
      <c r="E74" s="3976"/>
      <c r="F74" s="3977" t="s">
        <v>50</v>
      </c>
      <c r="G74" s="3978" t="s">
        <v>1207</v>
      </c>
      <c r="H74" s="3979"/>
      <c r="I74" s="3980"/>
      <c r="J74" s="3981"/>
      <c r="K74" s="3981"/>
      <c r="L74" s="3982"/>
      <c r="M74" s="3983"/>
      <c r="N74" s="3982"/>
      <c r="O74" s="3982"/>
      <c r="P74" s="3982">
        <v>50000000</v>
      </c>
      <c r="Q74" s="3982">
        <f t="shared" si="20"/>
        <v>50000000</v>
      </c>
      <c r="R74" s="3984" t="e">
        <f t="shared" si="23"/>
        <v>#DIV/0!</v>
      </c>
      <c r="S74" s="3985"/>
      <c r="T74" s="3986"/>
      <c r="U74" s="3987"/>
      <c r="V74" s="3988"/>
    </row>
    <row r="75" spans="1:22" s="257" customFormat="1" ht="15.05" customHeight="1">
      <c r="A75" s="1855"/>
      <c r="B75" s="1855"/>
      <c r="C75" s="1855"/>
      <c r="D75" s="1855"/>
      <c r="E75" s="1855"/>
      <c r="F75" s="2756" t="s">
        <v>50</v>
      </c>
      <c r="G75" s="1858" t="s">
        <v>502</v>
      </c>
      <c r="H75" s="200"/>
      <c r="I75" s="217"/>
      <c r="J75" s="3171">
        <v>0</v>
      </c>
      <c r="K75" s="3171">
        <v>0</v>
      </c>
      <c r="L75" s="3125">
        <v>50000000</v>
      </c>
      <c r="M75" s="3124">
        <v>0</v>
      </c>
      <c r="N75" s="3125">
        <v>0</v>
      </c>
      <c r="O75" s="3125">
        <v>0</v>
      </c>
      <c r="P75" s="3125">
        <v>85000000</v>
      </c>
      <c r="Q75" s="3125">
        <f t="shared" si="20"/>
        <v>35000000</v>
      </c>
      <c r="R75" s="3926">
        <f t="shared" si="23"/>
        <v>70</v>
      </c>
      <c r="S75" s="3274"/>
      <c r="T75" s="3927"/>
      <c r="U75" s="3778"/>
      <c r="V75" s="1846">
        <f t="shared" si="15"/>
        <v>0</v>
      </c>
    </row>
    <row r="76" spans="1:22" s="3989" customFormat="1" ht="15.05" customHeight="1">
      <c r="A76" s="3976"/>
      <c r="B76" s="3976"/>
      <c r="C76" s="3976"/>
      <c r="D76" s="3976"/>
      <c r="E76" s="3976"/>
      <c r="F76" s="3977" t="s">
        <v>50</v>
      </c>
      <c r="G76" s="3978" t="s">
        <v>1208</v>
      </c>
      <c r="H76" s="3979"/>
      <c r="I76" s="3980"/>
      <c r="J76" s="3981"/>
      <c r="K76" s="3981"/>
      <c r="L76" s="3990"/>
      <c r="M76" s="3991"/>
      <c r="N76" s="3990"/>
      <c r="O76" s="3990"/>
      <c r="P76" s="3990">
        <v>7000000</v>
      </c>
      <c r="Q76" s="3958">
        <f t="shared" si="20"/>
        <v>7000000</v>
      </c>
      <c r="R76" s="3616" t="e">
        <f t="shared" si="23"/>
        <v>#DIV/0!</v>
      </c>
      <c r="S76" s="3985"/>
      <c r="T76" s="3986"/>
      <c r="U76" s="3987"/>
      <c r="V76" s="3988"/>
    </row>
    <row r="77" spans="1:22" s="3989" customFormat="1" ht="15.05" customHeight="1">
      <c r="A77" s="3976"/>
      <c r="B77" s="3976"/>
      <c r="C77" s="3976"/>
      <c r="D77" s="3976"/>
      <c r="E77" s="3976"/>
      <c r="F77" s="3977" t="s">
        <v>50</v>
      </c>
      <c r="G77" s="3978" t="s">
        <v>1209</v>
      </c>
      <c r="H77" s="3979"/>
      <c r="I77" s="3980"/>
      <c r="J77" s="3981"/>
      <c r="K77" s="3981"/>
      <c r="L77" s="3990"/>
      <c r="M77" s="3991"/>
      <c r="N77" s="3990"/>
      <c r="O77" s="3990"/>
      <c r="P77" s="3990">
        <v>3600000</v>
      </c>
      <c r="Q77" s="3958">
        <f t="shared" si="20"/>
        <v>3600000</v>
      </c>
      <c r="R77" s="3616" t="e">
        <f t="shared" si="23"/>
        <v>#DIV/0!</v>
      </c>
      <c r="S77" s="3985"/>
      <c r="T77" s="3986"/>
      <c r="U77" s="3987"/>
      <c r="V77" s="3988"/>
    </row>
    <row r="78" spans="1:22" s="257" customFormat="1" ht="15.05" customHeight="1">
      <c r="A78" s="1855"/>
      <c r="B78" s="1855"/>
      <c r="C78" s="1855"/>
      <c r="D78" s="1855"/>
      <c r="E78" s="1855"/>
      <c r="F78" s="1464" t="s">
        <v>157</v>
      </c>
      <c r="G78" s="1860"/>
      <c r="H78" s="202"/>
      <c r="I78" s="218"/>
      <c r="J78" s="3123">
        <f>SUM(J79:J81)</f>
        <v>131250000</v>
      </c>
      <c r="K78" s="3123">
        <f t="shared" ref="K78:P78" si="24">SUM(K79:K81)</f>
        <v>45175000</v>
      </c>
      <c r="L78" s="3123">
        <f t="shared" si="24"/>
        <v>131250000</v>
      </c>
      <c r="M78" s="3123">
        <f t="shared" si="24"/>
        <v>2500000</v>
      </c>
      <c r="N78" s="3123">
        <f t="shared" si="24"/>
        <v>5500000</v>
      </c>
      <c r="O78" s="3123">
        <f t="shared" si="24"/>
        <v>8000000</v>
      </c>
      <c r="P78" s="3123">
        <f t="shared" si="24"/>
        <v>131250000</v>
      </c>
      <c r="Q78" s="3182">
        <f t="shared" si="20"/>
        <v>0</v>
      </c>
      <c r="R78" s="3601">
        <f t="shared" si="23"/>
        <v>0</v>
      </c>
      <c r="S78" s="3710"/>
      <c r="T78" s="3829"/>
      <c r="U78" s="3771"/>
      <c r="V78" s="1846">
        <f t="shared" si="15"/>
        <v>32000000</v>
      </c>
    </row>
    <row r="79" spans="1:22" s="257" customFormat="1" ht="15.05" customHeight="1">
      <c r="A79" s="1855"/>
      <c r="B79" s="1855"/>
      <c r="C79" s="1855"/>
      <c r="D79" s="1855"/>
      <c r="E79" s="1855"/>
      <c r="F79" s="1863" t="s">
        <v>50</v>
      </c>
      <c r="G79" s="200"/>
      <c r="H79" s="200" t="s">
        <v>503</v>
      </c>
      <c r="I79" s="217"/>
      <c r="J79" s="3171">
        <v>30000000</v>
      </c>
      <c r="K79" s="3171">
        <v>23400000</v>
      </c>
      <c r="L79" s="3125">
        <v>30000000</v>
      </c>
      <c r="M79" s="3124">
        <v>0</v>
      </c>
      <c r="N79" s="3125">
        <v>0</v>
      </c>
      <c r="O79" s="3125">
        <v>0</v>
      </c>
      <c r="P79" s="3125">
        <v>30000000</v>
      </c>
      <c r="Q79" s="3125">
        <f t="shared" si="20"/>
        <v>0</v>
      </c>
      <c r="R79" s="3605">
        <f t="shared" si="23"/>
        <v>0</v>
      </c>
      <c r="S79" s="3748"/>
      <c r="T79" s="3826"/>
      <c r="U79" s="3778">
        <f>MAR!P286</f>
        <v>0</v>
      </c>
      <c r="V79" s="1846">
        <f t="shared" si="15"/>
        <v>0</v>
      </c>
    </row>
    <row r="80" spans="1:22" s="257" customFormat="1" ht="15.05" customHeight="1">
      <c r="A80" s="1855"/>
      <c r="B80" s="1855"/>
      <c r="C80" s="1855"/>
      <c r="D80" s="1855"/>
      <c r="E80" s="1855"/>
      <c r="F80" s="1863" t="s">
        <v>50</v>
      </c>
      <c r="G80" s="200"/>
      <c r="H80" s="200" t="s">
        <v>504</v>
      </c>
      <c r="I80" s="217"/>
      <c r="J80" s="3171">
        <v>26250000</v>
      </c>
      <c r="K80" s="3171">
        <v>14300000</v>
      </c>
      <c r="L80" s="3125">
        <v>26250000</v>
      </c>
      <c r="M80" s="3124">
        <v>1500000</v>
      </c>
      <c r="N80" s="3125">
        <v>0</v>
      </c>
      <c r="O80" s="3125">
        <v>1500000</v>
      </c>
      <c r="P80" s="3125">
        <v>26250000</v>
      </c>
      <c r="Q80" s="3125">
        <f t="shared" si="20"/>
        <v>0</v>
      </c>
      <c r="R80" s="3605">
        <f t="shared" si="23"/>
        <v>0</v>
      </c>
      <c r="S80" s="3748"/>
      <c r="T80" s="3826"/>
      <c r="U80" s="3778">
        <f>MAR!P287</f>
        <v>0</v>
      </c>
      <c r="V80" s="1846">
        <f t="shared" si="15"/>
        <v>6000000</v>
      </c>
    </row>
    <row r="81" spans="1:22" s="257" customFormat="1" ht="15.05" customHeight="1">
      <c r="A81" s="1855"/>
      <c r="B81" s="1855"/>
      <c r="C81" s="1855"/>
      <c r="D81" s="1855"/>
      <c r="E81" s="1855"/>
      <c r="F81" s="1863" t="s">
        <v>50</v>
      </c>
      <c r="G81" s="200"/>
      <c r="H81" s="200" t="s">
        <v>505</v>
      </c>
      <c r="I81" s="217"/>
      <c r="J81" s="3171">
        <v>75000000</v>
      </c>
      <c r="K81" s="3171">
        <v>7475000</v>
      </c>
      <c r="L81" s="3125">
        <v>75000000</v>
      </c>
      <c r="M81" s="3124">
        <v>1000000</v>
      </c>
      <c r="N81" s="3125">
        <v>5500000</v>
      </c>
      <c r="O81" s="3125">
        <v>6500000</v>
      </c>
      <c r="P81" s="3125">
        <v>75000000</v>
      </c>
      <c r="Q81" s="3125">
        <f t="shared" si="20"/>
        <v>0</v>
      </c>
      <c r="R81" s="3605">
        <f t="shared" si="23"/>
        <v>0</v>
      </c>
      <c r="S81" s="3748"/>
      <c r="T81" s="3826"/>
      <c r="U81" s="3778">
        <f>MAR!P288</f>
        <v>0</v>
      </c>
      <c r="V81" s="1846">
        <f t="shared" si="15"/>
        <v>26000000</v>
      </c>
    </row>
    <row r="82" spans="1:22" s="257" customFormat="1" ht="15.05" hidden="1" customHeight="1">
      <c r="A82" s="1855"/>
      <c r="B82" s="1855"/>
      <c r="C82" s="1855"/>
      <c r="D82" s="1855"/>
      <c r="E82" s="1855"/>
      <c r="F82" s="1863" t="s">
        <v>50</v>
      </c>
      <c r="G82" s="200"/>
      <c r="H82" s="202" t="s">
        <v>182</v>
      </c>
      <c r="I82" s="217"/>
      <c r="J82" s="3171"/>
      <c r="K82" s="3171"/>
      <c r="L82" s="3125">
        <v>0</v>
      </c>
      <c r="M82" s="3124">
        <v>0</v>
      </c>
      <c r="N82" s="3125">
        <v>0</v>
      </c>
      <c r="O82" s="3125">
        <v>0</v>
      </c>
      <c r="P82" s="3125">
        <v>0</v>
      </c>
      <c r="Q82" s="3125">
        <f t="shared" si="20"/>
        <v>0</v>
      </c>
      <c r="R82" s="3605">
        <v>0</v>
      </c>
      <c r="S82" s="3275"/>
      <c r="T82" s="3826"/>
      <c r="U82" s="3771"/>
      <c r="V82" s="1846">
        <f t="shared" si="15"/>
        <v>0</v>
      </c>
    </row>
    <row r="83" spans="1:22" s="257" customFormat="1" ht="15.05" hidden="1" customHeight="1">
      <c r="A83" s="1855"/>
      <c r="B83" s="1855"/>
      <c r="C83" s="1855"/>
      <c r="D83" s="1855"/>
      <c r="E83" s="1855"/>
      <c r="F83" s="1863"/>
      <c r="G83" s="2727" t="s">
        <v>50</v>
      </c>
      <c r="H83" s="200" t="s">
        <v>506</v>
      </c>
      <c r="I83" s="217"/>
      <c r="J83" s="3171"/>
      <c r="K83" s="3171"/>
      <c r="L83" s="3125">
        <v>0</v>
      </c>
      <c r="M83" s="3124">
        <v>0</v>
      </c>
      <c r="N83" s="3125">
        <v>0</v>
      </c>
      <c r="O83" s="3125">
        <v>0</v>
      </c>
      <c r="P83" s="3125">
        <v>0</v>
      </c>
      <c r="Q83" s="3125">
        <f t="shared" si="20"/>
        <v>0</v>
      </c>
      <c r="R83" s="3605">
        <v>0</v>
      </c>
      <c r="S83" s="3275"/>
      <c r="T83" s="3826"/>
      <c r="U83" s="3771"/>
      <c r="V83" s="1846">
        <f t="shared" si="15"/>
        <v>0</v>
      </c>
    </row>
    <row r="84" spans="1:22" s="257" customFormat="1" ht="15.05" hidden="1" customHeight="1">
      <c r="A84" s="1855"/>
      <c r="B84" s="1855"/>
      <c r="C84" s="1855"/>
      <c r="D84" s="1855"/>
      <c r="E84" s="1855"/>
      <c r="F84" s="1863"/>
      <c r="G84" s="2727" t="s">
        <v>50</v>
      </c>
      <c r="H84" s="200" t="s">
        <v>182</v>
      </c>
      <c r="I84" s="217"/>
      <c r="J84" s="3171"/>
      <c r="K84" s="3171"/>
      <c r="L84" s="3125">
        <v>0</v>
      </c>
      <c r="M84" s="3124">
        <v>0</v>
      </c>
      <c r="N84" s="3125">
        <v>0</v>
      </c>
      <c r="O84" s="3125">
        <v>0</v>
      </c>
      <c r="P84" s="3125">
        <v>0</v>
      </c>
      <c r="Q84" s="3125">
        <f t="shared" si="20"/>
        <v>0</v>
      </c>
      <c r="R84" s="3605">
        <v>0</v>
      </c>
      <c r="S84" s="3275"/>
      <c r="T84" s="3826"/>
      <c r="U84" s="3771"/>
      <c r="V84" s="1846">
        <f t="shared" si="15"/>
        <v>0</v>
      </c>
    </row>
    <row r="85" spans="1:22" s="257" customFormat="1" ht="15.05" hidden="1" customHeight="1">
      <c r="A85" s="1855"/>
      <c r="B85" s="1855"/>
      <c r="C85" s="1855"/>
      <c r="D85" s="1855"/>
      <c r="E85" s="1855"/>
      <c r="F85" s="1863"/>
      <c r="G85" s="2727" t="s">
        <v>50</v>
      </c>
      <c r="H85" s="200" t="s">
        <v>185</v>
      </c>
      <c r="I85" s="217"/>
      <c r="J85" s="3171"/>
      <c r="K85" s="3171"/>
      <c r="L85" s="3125">
        <v>0</v>
      </c>
      <c r="M85" s="3124">
        <v>0</v>
      </c>
      <c r="N85" s="3125">
        <v>0</v>
      </c>
      <c r="O85" s="3125">
        <v>0</v>
      </c>
      <c r="P85" s="3125">
        <v>0</v>
      </c>
      <c r="Q85" s="3125">
        <f t="shared" si="20"/>
        <v>0</v>
      </c>
      <c r="R85" s="3605">
        <v>0</v>
      </c>
      <c r="S85" s="3275"/>
      <c r="T85" s="3826"/>
      <c r="U85" s="3771"/>
      <c r="V85" s="1846">
        <f t="shared" si="15"/>
        <v>0</v>
      </c>
    </row>
    <row r="86" spans="1:22" s="257" customFormat="1" ht="15.05" hidden="1" customHeight="1">
      <c r="A86" s="1855"/>
      <c r="B86" s="1855"/>
      <c r="C86" s="1855"/>
      <c r="D86" s="1855"/>
      <c r="E86" s="1855"/>
      <c r="F86" s="1863" t="s">
        <v>50</v>
      </c>
      <c r="G86" s="200"/>
      <c r="H86" s="202" t="s">
        <v>507</v>
      </c>
      <c r="I86" s="217"/>
      <c r="J86" s="3171"/>
      <c r="K86" s="3171"/>
      <c r="L86" s="3125">
        <v>0</v>
      </c>
      <c r="M86" s="3124">
        <v>0</v>
      </c>
      <c r="N86" s="3125">
        <v>0</v>
      </c>
      <c r="O86" s="3125">
        <v>0</v>
      </c>
      <c r="P86" s="3125">
        <v>0</v>
      </c>
      <c r="Q86" s="3125">
        <f t="shared" si="20"/>
        <v>0</v>
      </c>
      <c r="R86" s="3605">
        <v>0</v>
      </c>
      <c r="S86" s="3275"/>
      <c r="T86" s="3826"/>
      <c r="U86" s="3771"/>
      <c r="V86" s="1846">
        <f t="shared" si="15"/>
        <v>0</v>
      </c>
    </row>
    <row r="87" spans="1:22" s="257" customFormat="1" ht="15.05" hidden="1" customHeight="1">
      <c r="A87" s="1855"/>
      <c r="B87" s="1855"/>
      <c r="C87" s="1855"/>
      <c r="D87" s="1855"/>
      <c r="E87" s="1855"/>
      <c r="F87" s="1863"/>
      <c r="G87" s="2727" t="s">
        <v>50</v>
      </c>
      <c r="H87" s="200" t="s">
        <v>508</v>
      </c>
      <c r="I87" s="217"/>
      <c r="J87" s="3171"/>
      <c r="K87" s="3171"/>
      <c r="L87" s="3125">
        <v>0</v>
      </c>
      <c r="M87" s="3124">
        <v>0</v>
      </c>
      <c r="N87" s="3125">
        <v>0</v>
      </c>
      <c r="O87" s="3125">
        <v>0</v>
      </c>
      <c r="P87" s="3125">
        <v>0</v>
      </c>
      <c r="Q87" s="3125">
        <f t="shared" si="20"/>
        <v>0</v>
      </c>
      <c r="R87" s="3605">
        <v>0</v>
      </c>
      <c r="S87" s="3275"/>
      <c r="T87" s="3826"/>
      <c r="U87" s="3771"/>
      <c r="V87" s="1846">
        <f t="shared" si="15"/>
        <v>0</v>
      </c>
    </row>
    <row r="88" spans="1:22" s="257" customFormat="1" ht="15.05" hidden="1" customHeight="1">
      <c r="A88" s="1855"/>
      <c r="B88" s="1855"/>
      <c r="C88" s="1855"/>
      <c r="D88" s="1855"/>
      <c r="E88" s="1855"/>
      <c r="F88" s="1863"/>
      <c r="G88" s="2727" t="s">
        <v>50</v>
      </c>
      <c r="H88" s="200" t="s">
        <v>509</v>
      </c>
      <c r="I88" s="217"/>
      <c r="J88" s="3171"/>
      <c r="K88" s="3171"/>
      <c r="L88" s="3125">
        <v>0</v>
      </c>
      <c r="M88" s="3124">
        <v>0</v>
      </c>
      <c r="N88" s="3125">
        <v>0</v>
      </c>
      <c r="O88" s="3125">
        <v>0</v>
      </c>
      <c r="P88" s="3125">
        <v>0</v>
      </c>
      <c r="Q88" s="3125">
        <f t="shared" si="20"/>
        <v>0</v>
      </c>
      <c r="R88" s="3605">
        <v>0</v>
      </c>
      <c r="S88" s="3275"/>
      <c r="T88" s="3826"/>
      <c r="U88" s="3771"/>
      <c r="V88" s="1846">
        <f t="shared" si="15"/>
        <v>0</v>
      </c>
    </row>
    <row r="89" spans="1:22" s="257" customFormat="1" ht="15.05" hidden="1" customHeight="1">
      <c r="A89" s="1855"/>
      <c r="B89" s="1855"/>
      <c r="C89" s="1855"/>
      <c r="D89" s="1855"/>
      <c r="E89" s="1855"/>
      <c r="F89" s="1863"/>
      <c r="G89" s="2727" t="s">
        <v>50</v>
      </c>
      <c r="H89" s="200" t="s">
        <v>510</v>
      </c>
      <c r="I89" s="217"/>
      <c r="J89" s="3171"/>
      <c r="K89" s="3171"/>
      <c r="L89" s="3125">
        <v>0</v>
      </c>
      <c r="M89" s="3124">
        <v>0</v>
      </c>
      <c r="N89" s="3125">
        <v>0</v>
      </c>
      <c r="O89" s="3125">
        <v>0</v>
      </c>
      <c r="P89" s="3125">
        <v>0</v>
      </c>
      <c r="Q89" s="3125">
        <f t="shared" si="20"/>
        <v>0</v>
      </c>
      <c r="R89" s="3605">
        <v>0</v>
      </c>
      <c r="S89" s="3275"/>
      <c r="T89" s="3826"/>
      <c r="U89" s="3771"/>
      <c r="V89" s="1846">
        <f t="shared" si="15"/>
        <v>0</v>
      </c>
    </row>
    <row r="90" spans="1:22" s="257" customFormat="1" ht="15.05" hidden="1" customHeight="1">
      <c r="A90" s="1855"/>
      <c r="B90" s="1855"/>
      <c r="C90" s="1855"/>
      <c r="D90" s="1855"/>
      <c r="E90" s="1855"/>
      <c r="F90" s="1863"/>
      <c r="G90" s="2727" t="s">
        <v>50</v>
      </c>
      <c r="H90" s="200" t="s">
        <v>511</v>
      </c>
      <c r="I90" s="217"/>
      <c r="J90" s="3171"/>
      <c r="K90" s="3171"/>
      <c r="L90" s="3125">
        <v>0</v>
      </c>
      <c r="M90" s="3124">
        <v>0</v>
      </c>
      <c r="N90" s="3125">
        <v>0</v>
      </c>
      <c r="O90" s="3125">
        <v>0</v>
      </c>
      <c r="P90" s="3125">
        <v>0</v>
      </c>
      <c r="Q90" s="3125">
        <f t="shared" si="20"/>
        <v>0</v>
      </c>
      <c r="R90" s="3605">
        <v>0</v>
      </c>
      <c r="S90" s="3275"/>
      <c r="T90" s="3826"/>
      <c r="U90" s="3771"/>
      <c r="V90" s="1846">
        <f t="shared" si="15"/>
        <v>0</v>
      </c>
    </row>
    <row r="91" spans="1:22" s="257" customFormat="1" ht="15.05" hidden="1" customHeight="1">
      <c r="A91" s="1855"/>
      <c r="B91" s="1855"/>
      <c r="C91" s="1855"/>
      <c r="D91" s="1855"/>
      <c r="E91" s="1855"/>
      <c r="F91" s="1863"/>
      <c r="G91" s="2727" t="s">
        <v>50</v>
      </c>
      <c r="H91" s="200" t="s">
        <v>512</v>
      </c>
      <c r="I91" s="217"/>
      <c r="J91" s="3171"/>
      <c r="K91" s="3171"/>
      <c r="L91" s="3125">
        <v>0</v>
      </c>
      <c r="M91" s="3124">
        <v>0</v>
      </c>
      <c r="N91" s="3125">
        <v>0</v>
      </c>
      <c r="O91" s="3125">
        <v>0</v>
      </c>
      <c r="P91" s="3125">
        <v>0</v>
      </c>
      <c r="Q91" s="3125">
        <f t="shared" si="20"/>
        <v>0</v>
      </c>
      <c r="R91" s="3605">
        <v>0</v>
      </c>
      <c r="S91" s="3275"/>
      <c r="T91" s="3826"/>
      <c r="U91" s="3771"/>
      <c r="V91" s="1846">
        <f t="shared" si="15"/>
        <v>0</v>
      </c>
    </row>
    <row r="92" spans="1:22" s="257" customFormat="1" ht="15.05" hidden="1" customHeight="1">
      <c r="A92" s="1855"/>
      <c r="B92" s="1855"/>
      <c r="C92" s="1855"/>
      <c r="D92" s="1855"/>
      <c r="E92" s="1855"/>
      <c r="F92" s="2757" t="s">
        <v>50</v>
      </c>
      <c r="G92" s="202"/>
      <c r="H92" s="200" t="s">
        <v>513</v>
      </c>
      <c r="I92" s="217"/>
      <c r="J92" s="3171"/>
      <c r="K92" s="3171"/>
      <c r="L92" s="3125">
        <v>0</v>
      </c>
      <c r="M92" s="3124">
        <v>0</v>
      </c>
      <c r="N92" s="3125">
        <v>0</v>
      </c>
      <c r="O92" s="3125">
        <v>0</v>
      </c>
      <c r="P92" s="3125">
        <v>0</v>
      </c>
      <c r="Q92" s="3125">
        <f t="shared" si="20"/>
        <v>0</v>
      </c>
      <c r="R92" s="3605">
        <v>0</v>
      </c>
      <c r="S92" s="3275"/>
      <c r="T92" s="3826"/>
      <c r="U92" s="3771"/>
      <c r="V92" s="1846">
        <f t="shared" si="15"/>
        <v>0</v>
      </c>
    </row>
    <row r="93" spans="1:22" s="257" customFormat="1" ht="15.05" hidden="1" customHeight="1">
      <c r="A93" s="1855"/>
      <c r="B93" s="1855"/>
      <c r="C93" s="1855"/>
      <c r="D93" s="1855"/>
      <c r="E93" s="1855"/>
      <c r="F93" s="2757" t="s">
        <v>50</v>
      </c>
      <c r="G93" s="202"/>
      <c r="H93" s="200" t="s">
        <v>514</v>
      </c>
      <c r="I93" s="217"/>
      <c r="J93" s="3171"/>
      <c r="K93" s="3171"/>
      <c r="L93" s="3125">
        <v>0</v>
      </c>
      <c r="M93" s="3124">
        <v>0</v>
      </c>
      <c r="N93" s="3125">
        <v>0</v>
      </c>
      <c r="O93" s="3125">
        <v>0</v>
      </c>
      <c r="P93" s="3125">
        <v>0</v>
      </c>
      <c r="Q93" s="3125">
        <f t="shared" si="20"/>
        <v>0</v>
      </c>
      <c r="R93" s="3605">
        <v>0</v>
      </c>
      <c r="S93" s="3275"/>
      <c r="T93" s="3826"/>
      <c r="U93" s="3771"/>
      <c r="V93" s="1846">
        <f t="shared" si="15"/>
        <v>0</v>
      </c>
    </row>
    <row r="94" spans="1:22" s="257" customFormat="1" ht="15.05" hidden="1" customHeight="1">
      <c r="A94" s="1855"/>
      <c r="B94" s="1855"/>
      <c r="C94" s="1855"/>
      <c r="D94" s="1855"/>
      <c r="E94" s="1855"/>
      <c r="F94" s="2757" t="s">
        <v>50</v>
      </c>
      <c r="G94" s="202"/>
      <c r="H94" s="202" t="s">
        <v>515</v>
      </c>
      <c r="I94" s="218"/>
      <c r="J94" s="3123"/>
      <c r="K94" s="3123"/>
      <c r="L94" s="3182">
        <v>0</v>
      </c>
      <c r="M94" s="3183">
        <v>0</v>
      </c>
      <c r="N94" s="3182">
        <v>0</v>
      </c>
      <c r="O94" s="3182">
        <v>0</v>
      </c>
      <c r="P94" s="3182">
        <v>0</v>
      </c>
      <c r="Q94" s="3182">
        <f t="shared" si="20"/>
        <v>0</v>
      </c>
      <c r="R94" s="3601">
        <v>0</v>
      </c>
      <c r="S94" s="3710"/>
      <c r="T94" s="3829"/>
      <c r="U94" s="3779">
        <v>0</v>
      </c>
      <c r="V94" s="1846">
        <f t="shared" si="15"/>
        <v>0</v>
      </c>
    </row>
    <row r="95" spans="1:22" s="4329" customFormat="1" ht="15.05" customHeight="1">
      <c r="A95" s="4283"/>
      <c r="B95" s="4283"/>
      <c r="C95" s="4283"/>
      <c r="D95" s="4283"/>
      <c r="E95" s="4283"/>
      <c r="F95" s="1464" t="s">
        <v>516</v>
      </c>
      <c r="G95" s="1860"/>
      <c r="H95" s="202"/>
      <c r="I95" s="218"/>
      <c r="J95" s="3123">
        <f t="shared" ref="J95:P95" si="25">J96</f>
        <v>2235631500</v>
      </c>
      <c r="K95" s="3123">
        <f t="shared" si="25"/>
        <v>2302353487</v>
      </c>
      <c r="L95" s="3123">
        <f t="shared" si="25"/>
        <v>2235631500</v>
      </c>
      <c r="M95" s="3123">
        <f t="shared" si="25"/>
        <v>181908726</v>
      </c>
      <c r="N95" s="3123">
        <f t="shared" si="25"/>
        <v>0</v>
      </c>
      <c r="O95" s="3123">
        <f t="shared" si="25"/>
        <v>181908726</v>
      </c>
      <c r="P95" s="3123">
        <f t="shared" si="25"/>
        <v>2235631500</v>
      </c>
      <c r="Q95" s="3182">
        <f t="shared" si="20"/>
        <v>0</v>
      </c>
      <c r="R95" s="3914">
        <f t="shared" ref="R95:R106" si="26">+P95/L95*100-100</f>
        <v>0</v>
      </c>
      <c r="S95" s="4356"/>
      <c r="T95" s="4357"/>
      <c r="U95" s="4421">
        <v>0</v>
      </c>
      <c r="V95" s="3925">
        <f t="shared" si="15"/>
        <v>727634904</v>
      </c>
    </row>
    <row r="96" spans="1:22" s="3896" customFormat="1" ht="15.05" customHeight="1">
      <c r="A96" s="3924"/>
      <c r="B96" s="3924"/>
      <c r="C96" s="3924"/>
      <c r="D96" s="3924"/>
      <c r="E96" s="3924"/>
      <c r="F96" s="1857" t="s">
        <v>50</v>
      </c>
      <c r="G96" s="200" t="s">
        <v>517</v>
      </c>
      <c r="H96" s="257"/>
      <c r="I96" s="217"/>
      <c r="J96" s="3171">
        <f>J97+J101</f>
        <v>2235631500</v>
      </c>
      <c r="K96" s="3171">
        <f t="shared" ref="K96:P96" si="27">K97+K101</f>
        <v>2302353487</v>
      </c>
      <c r="L96" s="3171">
        <f t="shared" si="27"/>
        <v>2235631500</v>
      </c>
      <c r="M96" s="3171">
        <f t="shared" si="27"/>
        <v>181908726</v>
      </c>
      <c r="N96" s="3171">
        <f t="shared" si="27"/>
        <v>0</v>
      </c>
      <c r="O96" s="3171">
        <f t="shared" si="27"/>
        <v>181908726</v>
      </c>
      <c r="P96" s="3171">
        <f t="shared" si="27"/>
        <v>2235631500</v>
      </c>
      <c r="Q96" s="3165">
        <f t="shared" si="20"/>
        <v>0</v>
      </c>
      <c r="R96" s="3926">
        <f t="shared" si="26"/>
        <v>0</v>
      </c>
      <c r="S96" s="4335"/>
      <c r="T96" s="3922"/>
      <c r="U96" s="4353">
        <f>PerDinas!Q506</f>
        <v>0</v>
      </c>
      <c r="V96" s="3925">
        <f t="shared" si="15"/>
        <v>727634904</v>
      </c>
    </row>
    <row r="97" spans="1:22" s="3896" customFormat="1" ht="15.05" customHeight="1">
      <c r="A97" s="3924"/>
      <c r="B97" s="3924"/>
      <c r="C97" s="3924"/>
      <c r="D97" s="3924"/>
      <c r="E97" s="3924"/>
      <c r="F97" s="200"/>
      <c r="G97" s="202" t="s">
        <v>518</v>
      </c>
      <c r="H97" s="200"/>
      <c r="I97" s="217"/>
      <c r="J97" s="3171">
        <f t="shared" ref="J97:O97" si="28">SUM(J98:J100)</f>
        <v>2075381500</v>
      </c>
      <c r="K97" s="3171">
        <f t="shared" si="28"/>
        <v>2275353487</v>
      </c>
      <c r="L97" s="3171">
        <f t="shared" si="28"/>
        <v>2075381500</v>
      </c>
      <c r="M97" s="3171">
        <f t="shared" si="28"/>
        <v>142158726</v>
      </c>
      <c r="N97" s="3171">
        <f t="shared" si="28"/>
        <v>0</v>
      </c>
      <c r="O97" s="3171">
        <f t="shared" si="28"/>
        <v>142158726</v>
      </c>
      <c r="P97" s="3125">
        <f>SUM(P98:P100)</f>
        <v>2075381500</v>
      </c>
      <c r="Q97" s="3125">
        <f t="shared" si="20"/>
        <v>0</v>
      </c>
      <c r="R97" s="3926">
        <f t="shared" si="26"/>
        <v>0</v>
      </c>
      <c r="S97" s="4335"/>
      <c r="T97" s="3922"/>
      <c r="U97" s="4353">
        <f>MAR!P358</f>
        <v>0</v>
      </c>
      <c r="V97" s="3925">
        <f t="shared" si="15"/>
        <v>568634904</v>
      </c>
    </row>
    <row r="98" spans="1:22" s="3896" customFormat="1" ht="15.05" customHeight="1">
      <c r="A98" s="3924"/>
      <c r="B98" s="3924"/>
      <c r="C98" s="3924"/>
      <c r="D98" s="3924"/>
      <c r="E98" s="3924"/>
      <c r="F98" s="200"/>
      <c r="G98" s="2771" t="s">
        <v>519</v>
      </c>
      <c r="H98" s="200"/>
      <c r="I98" s="217"/>
      <c r="J98" s="3171">
        <v>1043101100</v>
      </c>
      <c r="K98" s="3171">
        <v>885184616</v>
      </c>
      <c r="L98" s="3125">
        <v>1043101100</v>
      </c>
      <c r="M98" s="3124">
        <v>6500000</v>
      </c>
      <c r="N98" s="3125">
        <v>0</v>
      </c>
      <c r="O98" s="3125">
        <v>6500000</v>
      </c>
      <c r="P98" s="3125">
        <v>1043101100</v>
      </c>
      <c r="Q98" s="3125">
        <f t="shared" si="20"/>
        <v>0</v>
      </c>
      <c r="R98" s="3926">
        <f t="shared" si="26"/>
        <v>0</v>
      </c>
      <c r="S98" s="4335"/>
      <c r="T98" s="3922"/>
      <c r="U98" s="4353">
        <f>MAR!P359</f>
        <v>0</v>
      </c>
      <c r="V98" s="3925">
        <f t="shared" si="15"/>
        <v>26000000</v>
      </c>
    </row>
    <row r="99" spans="1:22" s="3896" customFormat="1" ht="15.05" customHeight="1">
      <c r="A99" s="3924"/>
      <c r="B99" s="3924"/>
      <c r="C99" s="3924"/>
      <c r="D99" s="3924"/>
      <c r="E99" s="3924"/>
      <c r="F99" s="200"/>
      <c r="G99" s="2771" t="s">
        <v>520</v>
      </c>
      <c r="H99" s="200"/>
      <c r="I99" s="217"/>
      <c r="J99" s="3171">
        <v>532280400</v>
      </c>
      <c r="K99" s="3171">
        <v>131086220</v>
      </c>
      <c r="L99" s="3125">
        <v>532280400</v>
      </c>
      <c r="M99" s="3124">
        <v>23000000</v>
      </c>
      <c r="N99" s="3125">
        <v>0</v>
      </c>
      <c r="O99" s="3125">
        <v>23000000</v>
      </c>
      <c r="P99" s="3125">
        <v>532280400</v>
      </c>
      <c r="Q99" s="3125">
        <f t="shared" si="20"/>
        <v>0</v>
      </c>
      <c r="R99" s="3926">
        <f t="shared" si="26"/>
        <v>0</v>
      </c>
      <c r="S99" s="4335"/>
      <c r="T99" s="3922"/>
      <c r="U99" s="4353">
        <f>MAR!P360</f>
        <v>0</v>
      </c>
      <c r="V99" s="3925">
        <f t="shared" si="15"/>
        <v>92000000</v>
      </c>
    </row>
    <row r="100" spans="1:22" s="3896" customFormat="1" ht="15.05" customHeight="1">
      <c r="A100" s="3924"/>
      <c r="B100" s="3924"/>
      <c r="C100" s="3924"/>
      <c r="D100" s="3924"/>
      <c r="E100" s="3924"/>
      <c r="F100" s="200"/>
      <c r="G100" s="2771" t="s">
        <v>521</v>
      </c>
      <c r="H100" s="200"/>
      <c r="I100" s="217"/>
      <c r="J100" s="3171">
        <v>500000000</v>
      </c>
      <c r="K100" s="3171">
        <v>1259082651</v>
      </c>
      <c r="L100" s="3125">
        <v>500000000</v>
      </c>
      <c r="M100" s="3124">
        <v>112658726</v>
      </c>
      <c r="N100" s="3125">
        <v>0</v>
      </c>
      <c r="O100" s="3125">
        <v>112658726</v>
      </c>
      <c r="P100" s="3125">
        <v>500000000</v>
      </c>
      <c r="Q100" s="3125">
        <f t="shared" si="20"/>
        <v>0</v>
      </c>
      <c r="R100" s="3926">
        <f t="shared" si="26"/>
        <v>0</v>
      </c>
      <c r="S100" s="4335"/>
      <c r="T100" s="3922"/>
      <c r="U100" s="4353">
        <f>MAR!P361</f>
        <v>0</v>
      </c>
      <c r="V100" s="3925">
        <f t="shared" si="15"/>
        <v>450634904</v>
      </c>
    </row>
    <row r="101" spans="1:22" s="3896" customFormat="1" ht="15.05" customHeight="1">
      <c r="A101" s="3924"/>
      <c r="B101" s="3924"/>
      <c r="C101" s="3924"/>
      <c r="D101" s="3924"/>
      <c r="E101" s="3924"/>
      <c r="F101" s="200"/>
      <c r="G101" s="202" t="s">
        <v>522</v>
      </c>
      <c r="H101" s="200"/>
      <c r="I101" s="217"/>
      <c r="J101" s="3171">
        <f>SUM(J102:J107)</f>
        <v>160250000</v>
      </c>
      <c r="K101" s="3171">
        <v>27000000</v>
      </c>
      <c r="L101" s="3171">
        <f>SUM(L102:L107)</f>
        <v>160250000</v>
      </c>
      <c r="M101" s="3171">
        <f>SUM(M102:M107)</f>
        <v>39750000</v>
      </c>
      <c r="N101" s="3171">
        <f>SUM(N102:N107)</f>
        <v>0</v>
      </c>
      <c r="O101" s="3171">
        <f>SUM(O102:O107)</f>
        <v>39750000</v>
      </c>
      <c r="P101" s="3171">
        <f>SUM(P102:P107)</f>
        <v>160250000</v>
      </c>
      <c r="Q101" s="3125">
        <f t="shared" si="20"/>
        <v>0</v>
      </c>
      <c r="R101" s="3926">
        <f t="shared" si="26"/>
        <v>0</v>
      </c>
      <c r="S101" s="3921"/>
      <c r="T101" s="3922"/>
      <c r="U101" s="4353"/>
      <c r="V101" s="3925">
        <f t="shared" si="15"/>
        <v>159000000</v>
      </c>
    </row>
    <row r="102" spans="1:22" s="3896" customFormat="1" ht="15.05" customHeight="1">
      <c r="A102" s="3924"/>
      <c r="B102" s="3924"/>
      <c r="C102" s="3924"/>
      <c r="D102" s="3924"/>
      <c r="E102" s="3924"/>
      <c r="F102" s="200"/>
      <c r="G102" s="2772" t="s">
        <v>187</v>
      </c>
      <c r="H102" s="200"/>
      <c r="I102" s="217"/>
      <c r="J102" s="3188">
        <v>35000000</v>
      </c>
      <c r="K102" s="3171">
        <v>0</v>
      </c>
      <c r="L102" s="3125">
        <v>35000000</v>
      </c>
      <c r="M102" s="3124">
        <v>22500000</v>
      </c>
      <c r="N102" s="3125">
        <v>0</v>
      </c>
      <c r="O102" s="3125">
        <v>22500000</v>
      </c>
      <c r="P102" s="3125">
        <v>35000000</v>
      </c>
      <c r="Q102" s="3125">
        <f t="shared" si="20"/>
        <v>0</v>
      </c>
      <c r="R102" s="3926">
        <f t="shared" si="26"/>
        <v>0</v>
      </c>
      <c r="S102" s="4335"/>
      <c r="T102" s="3922"/>
      <c r="U102" s="4353">
        <f>MAR!P363</f>
        <v>0</v>
      </c>
      <c r="V102" s="3925">
        <f t="shared" si="15"/>
        <v>90000000</v>
      </c>
    </row>
    <row r="103" spans="1:22" s="3896" customFormat="1" ht="15.05" customHeight="1">
      <c r="A103" s="3924"/>
      <c r="B103" s="3924"/>
      <c r="C103" s="3924"/>
      <c r="D103" s="3924"/>
      <c r="E103" s="3924"/>
      <c r="F103" s="200"/>
      <c r="G103" s="2772" t="s">
        <v>188</v>
      </c>
      <c r="H103" s="200"/>
      <c r="I103" s="217"/>
      <c r="J103" s="3188">
        <v>28000000</v>
      </c>
      <c r="K103" s="3171">
        <v>0</v>
      </c>
      <c r="L103" s="3125">
        <v>28000000</v>
      </c>
      <c r="M103" s="3124">
        <v>0</v>
      </c>
      <c r="N103" s="3125">
        <v>0</v>
      </c>
      <c r="O103" s="3125">
        <v>0</v>
      </c>
      <c r="P103" s="3125">
        <v>28000000</v>
      </c>
      <c r="Q103" s="3125">
        <f t="shared" si="20"/>
        <v>0</v>
      </c>
      <c r="R103" s="3926">
        <f t="shared" si="26"/>
        <v>0</v>
      </c>
      <c r="S103" s="4335"/>
      <c r="T103" s="3922"/>
      <c r="U103" s="4353">
        <f>MAR!P364</f>
        <v>0</v>
      </c>
      <c r="V103" s="3925">
        <f t="shared" si="15"/>
        <v>0</v>
      </c>
    </row>
    <row r="104" spans="1:22" s="3896" customFormat="1" ht="15.05" customHeight="1">
      <c r="A104" s="3924"/>
      <c r="B104" s="3924"/>
      <c r="C104" s="3924"/>
      <c r="D104" s="3924"/>
      <c r="E104" s="3924"/>
      <c r="F104" s="200"/>
      <c r="G104" s="2772" t="s">
        <v>189</v>
      </c>
      <c r="H104" s="200"/>
      <c r="I104" s="217"/>
      <c r="J104" s="3188">
        <v>17250000</v>
      </c>
      <c r="K104" s="3171">
        <v>0</v>
      </c>
      <c r="L104" s="3125">
        <v>17250000</v>
      </c>
      <c r="M104" s="3124">
        <v>17250000</v>
      </c>
      <c r="N104" s="3125">
        <v>0</v>
      </c>
      <c r="O104" s="3125">
        <v>17250000</v>
      </c>
      <c r="P104" s="3125">
        <v>17250000</v>
      </c>
      <c r="Q104" s="3125">
        <f t="shared" si="20"/>
        <v>0</v>
      </c>
      <c r="R104" s="3926">
        <f t="shared" si="26"/>
        <v>0</v>
      </c>
      <c r="S104" s="4335"/>
      <c r="T104" s="3922"/>
      <c r="U104" s="4353">
        <f>MAR!P365</f>
        <v>0</v>
      </c>
      <c r="V104" s="3925">
        <f t="shared" si="15"/>
        <v>69000000</v>
      </c>
    </row>
    <row r="105" spans="1:22" s="3896" customFormat="1" ht="15.05" customHeight="1">
      <c r="A105" s="3924"/>
      <c r="B105" s="3924"/>
      <c r="C105" s="3924"/>
      <c r="D105" s="3924"/>
      <c r="E105" s="3924"/>
      <c r="F105" s="202"/>
      <c r="G105" s="2772" t="s">
        <v>190</v>
      </c>
      <c r="H105" s="200"/>
      <c r="I105" s="217"/>
      <c r="J105" s="3188">
        <v>30000000</v>
      </c>
      <c r="K105" s="3171">
        <v>0</v>
      </c>
      <c r="L105" s="3125">
        <v>30000000</v>
      </c>
      <c r="M105" s="3124">
        <v>0</v>
      </c>
      <c r="N105" s="3125">
        <v>0</v>
      </c>
      <c r="O105" s="3125">
        <v>0</v>
      </c>
      <c r="P105" s="3125">
        <v>30000000</v>
      </c>
      <c r="Q105" s="3125">
        <f t="shared" si="20"/>
        <v>0</v>
      </c>
      <c r="R105" s="3926">
        <f t="shared" si="26"/>
        <v>0</v>
      </c>
      <c r="S105" s="4335"/>
      <c r="T105" s="3922"/>
      <c r="U105" s="4353">
        <f>MAR!P366</f>
        <v>0</v>
      </c>
      <c r="V105" s="3925">
        <f t="shared" si="15"/>
        <v>0</v>
      </c>
    </row>
    <row r="106" spans="1:22" s="3896" customFormat="1" ht="15.05" customHeight="1">
      <c r="A106" s="3924"/>
      <c r="B106" s="3924"/>
      <c r="C106" s="3924"/>
      <c r="D106" s="3924"/>
      <c r="E106" s="3924"/>
      <c r="F106" s="202"/>
      <c r="G106" s="2772" t="s">
        <v>191</v>
      </c>
      <c r="H106" s="200"/>
      <c r="I106" s="217"/>
      <c r="J106" s="3188">
        <v>50000000</v>
      </c>
      <c r="K106" s="3171">
        <v>0</v>
      </c>
      <c r="L106" s="3125">
        <v>50000000</v>
      </c>
      <c r="M106" s="3124">
        <v>0</v>
      </c>
      <c r="N106" s="3125">
        <v>0</v>
      </c>
      <c r="O106" s="3125">
        <v>0</v>
      </c>
      <c r="P106" s="3125">
        <v>50000000</v>
      </c>
      <c r="Q106" s="3125">
        <f t="shared" si="20"/>
        <v>0</v>
      </c>
      <c r="R106" s="3926">
        <f t="shared" si="26"/>
        <v>0</v>
      </c>
      <c r="S106" s="4335"/>
      <c r="T106" s="3922"/>
      <c r="U106" s="4353">
        <f>MAR!P367</f>
        <v>0</v>
      </c>
      <c r="V106" s="3925">
        <f t="shared" si="15"/>
        <v>0</v>
      </c>
    </row>
    <row r="107" spans="1:22" s="3896" customFormat="1" ht="15.05" customHeight="1">
      <c r="A107" s="3924"/>
      <c r="B107" s="3924"/>
      <c r="C107" s="3924"/>
      <c r="D107" s="3924"/>
      <c r="E107" s="3924"/>
      <c r="F107" s="200"/>
      <c r="G107" s="847" t="s">
        <v>192</v>
      </c>
      <c r="H107" s="200"/>
      <c r="I107" s="217"/>
      <c r="J107" s="3171"/>
      <c r="K107" s="3171"/>
      <c r="L107" s="3125">
        <v>0</v>
      </c>
      <c r="M107" s="3124">
        <v>0</v>
      </c>
      <c r="N107" s="3125">
        <v>0</v>
      </c>
      <c r="O107" s="3125">
        <v>0</v>
      </c>
      <c r="P107" s="3125">
        <v>0</v>
      </c>
      <c r="Q107" s="3125">
        <f t="shared" si="20"/>
        <v>0</v>
      </c>
      <c r="R107" s="3926">
        <v>0</v>
      </c>
      <c r="S107" s="4335"/>
      <c r="T107" s="3922"/>
      <c r="U107" s="4353">
        <f>MAR!P368</f>
        <v>0</v>
      </c>
      <c r="V107" s="3925">
        <f t="shared" si="15"/>
        <v>0</v>
      </c>
    </row>
    <row r="108" spans="1:22" s="257" customFormat="1" ht="15.05" customHeight="1">
      <c r="A108" s="1855"/>
      <c r="B108" s="1855"/>
      <c r="C108" s="1855"/>
      <c r="D108" s="1855"/>
      <c r="E108" s="1855"/>
      <c r="F108" s="200"/>
      <c r="G108" s="847"/>
      <c r="H108" s="200"/>
      <c r="I108" s="217"/>
      <c r="J108" s="3171"/>
      <c r="K108" s="3171"/>
      <c r="L108" s="3125"/>
      <c r="M108" s="3124"/>
      <c r="N108" s="3189"/>
      <c r="O108" s="3125"/>
      <c r="P108" s="3125"/>
      <c r="Q108" s="3125"/>
      <c r="R108" s="3605"/>
      <c r="S108" s="3275"/>
      <c r="T108" s="3826"/>
      <c r="U108" s="3778"/>
      <c r="V108" s="1846"/>
    </row>
    <row r="109" spans="1:22" s="257" customFormat="1" ht="15.05" hidden="1" customHeight="1">
      <c r="A109" s="1855"/>
      <c r="B109" s="1855"/>
      <c r="C109" s="1855"/>
      <c r="D109" s="1855"/>
      <c r="E109" s="1855"/>
      <c r="F109" s="1856" t="s">
        <v>411</v>
      </c>
      <c r="G109" s="847"/>
      <c r="H109" s="200"/>
      <c r="I109" s="217"/>
      <c r="J109" s="3171"/>
      <c r="K109" s="3171"/>
      <c r="L109" s="3125"/>
      <c r="M109" s="3190">
        <v>9495000</v>
      </c>
      <c r="N109" s="3191">
        <v>15445000</v>
      </c>
      <c r="O109" s="3128">
        <v>24940000</v>
      </c>
      <c r="P109" s="3128">
        <f>+P110</f>
        <v>75000000</v>
      </c>
      <c r="Q109" s="3128">
        <f>+P109-L109</f>
        <v>75000000</v>
      </c>
      <c r="R109" s="3605">
        <v>0</v>
      </c>
      <c r="S109" s="3275"/>
      <c r="T109" s="3826"/>
      <c r="U109" s="3778"/>
      <c r="V109" s="1846">
        <f t="shared" ref="V109:V174" si="29">O109*4</f>
        <v>99760000</v>
      </c>
    </row>
    <row r="110" spans="1:22" s="257" customFormat="1" ht="15.05" hidden="1" customHeight="1">
      <c r="A110" s="1855"/>
      <c r="B110" s="1855"/>
      <c r="C110" s="1855"/>
      <c r="D110" s="1855"/>
      <c r="E110" s="1855"/>
      <c r="F110" s="2744" t="s">
        <v>50</v>
      </c>
      <c r="G110" s="224" t="s">
        <v>413</v>
      </c>
      <c r="H110" s="200"/>
      <c r="I110" s="217"/>
      <c r="J110" s="3171"/>
      <c r="K110" s="3171"/>
      <c r="L110" s="3125"/>
      <c r="M110" s="3190">
        <v>9495000</v>
      </c>
      <c r="N110" s="3192">
        <v>15445000</v>
      </c>
      <c r="O110" s="3165">
        <v>24940000</v>
      </c>
      <c r="P110" s="3165">
        <v>75000000</v>
      </c>
      <c r="Q110" s="3165">
        <f>+P110-L110</f>
        <v>75000000</v>
      </c>
      <c r="R110" s="3605">
        <v>0</v>
      </c>
      <c r="S110" s="3275"/>
      <c r="T110" s="3826"/>
      <c r="U110" s="3778"/>
      <c r="V110" s="1846">
        <f t="shared" si="29"/>
        <v>99760000</v>
      </c>
    </row>
    <row r="111" spans="1:22" s="257" customFormat="1" ht="15.05" hidden="1" customHeight="1">
      <c r="A111" s="1855"/>
      <c r="B111" s="1855"/>
      <c r="C111" s="1855"/>
      <c r="D111" s="1855"/>
      <c r="E111" s="1855"/>
      <c r="F111" s="1857"/>
      <c r="G111" s="1858"/>
      <c r="H111" s="200"/>
      <c r="I111" s="217"/>
      <c r="J111" s="3171"/>
      <c r="K111" s="3171"/>
      <c r="L111" s="3125"/>
      <c r="M111" s="3124"/>
      <c r="N111" s="3125"/>
      <c r="O111" s="3125"/>
      <c r="P111" s="3125"/>
      <c r="Q111" s="3125"/>
      <c r="R111" s="3605"/>
      <c r="S111" s="3275"/>
      <c r="T111" s="3826"/>
      <c r="U111" s="3778"/>
      <c r="V111" s="1846">
        <f t="shared" si="29"/>
        <v>0</v>
      </c>
    </row>
    <row r="112" spans="1:22" s="1318" customFormat="1" ht="15.05" customHeight="1">
      <c r="A112" s="1854"/>
      <c r="B112" s="1854"/>
      <c r="C112" s="1854"/>
      <c r="D112" s="1854"/>
      <c r="E112" s="1854"/>
      <c r="F112" s="2825" t="s">
        <v>523</v>
      </c>
      <c r="G112" s="1860"/>
      <c r="H112" s="202"/>
      <c r="I112" s="218"/>
      <c r="J112" s="3123">
        <f>SUM(J113:J114)</f>
        <v>0</v>
      </c>
      <c r="K112" s="3123">
        <f t="shared" ref="K112:P112" si="30">SUM(K113:K114)</f>
        <v>10063750</v>
      </c>
      <c r="L112" s="3123">
        <f t="shared" si="30"/>
        <v>0</v>
      </c>
      <c r="M112" s="3123">
        <f t="shared" si="30"/>
        <v>0</v>
      </c>
      <c r="N112" s="3123">
        <f t="shared" si="30"/>
        <v>0</v>
      </c>
      <c r="O112" s="3123">
        <f t="shared" si="30"/>
        <v>0</v>
      </c>
      <c r="P112" s="3123">
        <f t="shared" si="30"/>
        <v>0</v>
      </c>
      <c r="Q112" s="3182">
        <f t="shared" ref="Q112:Q136" si="31">+P112-L112</f>
        <v>0</v>
      </c>
      <c r="R112" s="3601">
        <v>0</v>
      </c>
      <c r="S112" s="3710"/>
      <c r="T112" s="3829"/>
      <c r="U112" s="3777"/>
      <c r="V112" s="1846">
        <f t="shared" si="29"/>
        <v>0</v>
      </c>
    </row>
    <row r="113" spans="1:22" s="257" customFormat="1" ht="15.05" customHeight="1">
      <c r="A113" s="1855"/>
      <c r="B113" s="1855"/>
      <c r="C113" s="1855"/>
      <c r="D113" s="1855"/>
      <c r="E113" s="1855"/>
      <c r="F113" s="1857" t="s">
        <v>50</v>
      </c>
      <c r="G113" s="1858"/>
      <c r="H113" s="200" t="s">
        <v>524</v>
      </c>
      <c r="I113" s="217"/>
      <c r="J113" s="3171">
        <v>0</v>
      </c>
      <c r="K113" s="3171">
        <v>0</v>
      </c>
      <c r="L113" s="3125"/>
      <c r="M113" s="3124"/>
      <c r="N113" s="3125"/>
      <c r="O113" s="3125"/>
      <c r="P113" s="3125"/>
      <c r="Q113" s="3125">
        <f t="shared" si="31"/>
        <v>0</v>
      </c>
      <c r="R113" s="3605">
        <v>0</v>
      </c>
      <c r="S113" s="3275"/>
      <c r="T113" s="3826"/>
      <c r="U113" s="3771"/>
      <c r="V113" s="1846">
        <f t="shared" si="29"/>
        <v>0</v>
      </c>
    </row>
    <row r="114" spans="1:22" s="257" customFormat="1" ht="15.05" customHeight="1">
      <c r="A114" s="1855"/>
      <c r="B114" s="1855"/>
      <c r="C114" s="1855"/>
      <c r="D114" s="1855"/>
      <c r="E114" s="1855"/>
      <c r="F114" s="1857" t="s">
        <v>50</v>
      </c>
      <c r="G114" s="1858"/>
      <c r="H114" s="200" t="s">
        <v>525</v>
      </c>
      <c r="I114" s="217"/>
      <c r="J114" s="3171">
        <v>0</v>
      </c>
      <c r="K114" s="3171">
        <v>10063750</v>
      </c>
      <c r="L114" s="3125"/>
      <c r="M114" s="3124"/>
      <c r="N114" s="3125"/>
      <c r="O114" s="3125"/>
      <c r="P114" s="3125"/>
      <c r="Q114" s="3125">
        <f t="shared" si="31"/>
        <v>0</v>
      </c>
      <c r="R114" s="3605">
        <v>0</v>
      </c>
      <c r="S114" s="3275"/>
      <c r="T114" s="3826"/>
      <c r="U114" s="3771"/>
      <c r="V114" s="1846">
        <f t="shared" si="29"/>
        <v>0</v>
      </c>
    </row>
    <row r="115" spans="1:22" s="1318" customFormat="1" ht="15.05" customHeight="1">
      <c r="A115" s="1854"/>
      <c r="B115" s="1854"/>
      <c r="C115" s="1854"/>
      <c r="D115" s="1854"/>
      <c r="E115" s="1854"/>
      <c r="F115" s="1464" t="s">
        <v>356</v>
      </c>
      <c r="G115" s="1860"/>
      <c r="H115" s="202"/>
      <c r="I115" s="218"/>
      <c r="J115" s="3123">
        <f t="shared" ref="J115:P115" si="32">SUM(J116:J119)</f>
        <v>785500000</v>
      </c>
      <c r="K115" s="3123">
        <f t="shared" si="32"/>
        <v>69752160</v>
      </c>
      <c r="L115" s="3123">
        <f t="shared" si="32"/>
        <v>785500000</v>
      </c>
      <c r="M115" s="3123">
        <f t="shared" si="32"/>
        <v>13303900</v>
      </c>
      <c r="N115" s="3123">
        <f t="shared" si="32"/>
        <v>120000</v>
      </c>
      <c r="O115" s="3123">
        <f t="shared" si="32"/>
        <v>13423900</v>
      </c>
      <c r="P115" s="3182">
        <f t="shared" si="32"/>
        <v>72000000</v>
      </c>
      <c r="Q115" s="3182">
        <f t="shared" si="31"/>
        <v>-713500000</v>
      </c>
      <c r="R115" s="3601">
        <f>+P115/L115*100-100</f>
        <v>-90.833863781031198</v>
      </c>
      <c r="S115" s="3710"/>
      <c r="T115" s="3829"/>
      <c r="U115" s="3777"/>
      <c r="V115" s="1846">
        <f t="shared" si="29"/>
        <v>53695600</v>
      </c>
    </row>
    <row r="116" spans="1:22" s="257" customFormat="1" ht="15.05" customHeight="1">
      <c r="A116" s="1855"/>
      <c r="B116" s="1855"/>
      <c r="C116" s="1855"/>
      <c r="D116" s="1855"/>
      <c r="E116" s="1855"/>
      <c r="F116" s="1857" t="s">
        <v>50</v>
      </c>
      <c r="G116" s="1858"/>
      <c r="H116" s="200" t="s">
        <v>1206</v>
      </c>
      <c r="I116" s="217"/>
      <c r="J116" s="3171">
        <v>40000000</v>
      </c>
      <c r="K116" s="3171">
        <v>31988660</v>
      </c>
      <c r="L116" s="3125">
        <v>40000000</v>
      </c>
      <c r="M116" s="3124">
        <v>7487600</v>
      </c>
      <c r="N116" s="3125">
        <v>0</v>
      </c>
      <c r="O116" s="3125">
        <v>7487600</v>
      </c>
      <c r="P116" s="3125">
        <v>45000000</v>
      </c>
      <c r="Q116" s="3125">
        <f t="shared" si="31"/>
        <v>5000000</v>
      </c>
      <c r="R116" s="3605">
        <f>+P116/L116*100-100</f>
        <v>12.5</v>
      </c>
      <c r="S116" s="3748"/>
      <c r="T116" s="3826"/>
      <c r="U116" s="3778">
        <f>MAR!P643</f>
        <v>0</v>
      </c>
      <c r="V116" s="1846">
        <f t="shared" si="29"/>
        <v>29950400</v>
      </c>
    </row>
    <row r="117" spans="1:22" s="3970" customFormat="1" ht="15.05" customHeight="1">
      <c r="A117" s="3961"/>
      <c r="B117" s="3961"/>
      <c r="C117" s="3961"/>
      <c r="D117" s="3961"/>
      <c r="E117" s="3961"/>
      <c r="F117" s="3972" t="s">
        <v>50</v>
      </c>
      <c r="G117" s="3962"/>
      <c r="H117" s="3963" t="s">
        <v>526</v>
      </c>
      <c r="I117" s="3973"/>
      <c r="J117" s="3974">
        <v>23000000</v>
      </c>
      <c r="K117" s="3974">
        <v>17749500</v>
      </c>
      <c r="L117" s="3964">
        <v>23000000</v>
      </c>
      <c r="M117" s="3965">
        <v>2276300</v>
      </c>
      <c r="N117" s="3964">
        <v>0</v>
      </c>
      <c r="O117" s="3964">
        <v>2276300</v>
      </c>
      <c r="P117" s="3964">
        <v>0</v>
      </c>
      <c r="Q117" s="3964">
        <f t="shared" si="31"/>
        <v>-23000000</v>
      </c>
      <c r="R117" s="3966">
        <f>+P117/L117*100-100</f>
        <v>-100</v>
      </c>
      <c r="S117" s="3975"/>
      <c r="T117" s="3967"/>
      <c r="U117" s="3968">
        <f>MAR!P644</f>
        <v>0</v>
      </c>
      <c r="V117" s="3969">
        <f t="shared" si="29"/>
        <v>9105200</v>
      </c>
    </row>
    <row r="118" spans="1:22" s="257" customFormat="1" ht="15.05" customHeight="1">
      <c r="A118" s="1855"/>
      <c r="B118" s="1855"/>
      <c r="C118" s="1855"/>
      <c r="D118" s="1855"/>
      <c r="E118" s="1855"/>
      <c r="F118" s="1857" t="s">
        <v>50</v>
      </c>
      <c r="G118" s="1858"/>
      <c r="H118" s="200" t="s">
        <v>527</v>
      </c>
      <c r="I118" s="217"/>
      <c r="J118" s="3171">
        <v>722500000</v>
      </c>
      <c r="K118" s="3171">
        <v>19497000</v>
      </c>
      <c r="L118" s="3125">
        <v>722500000</v>
      </c>
      <c r="M118" s="3124">
        <v>0</v>
      </c>
      <c r="N118" s="3125">
        <v>120000</v>
      </c>
      <c r="O118" s="3125">
        <v>120000</v>
      </c>
      <c r="P118" s="3125">
        <v>27000000</v>
      </c>
      <c r="Q118" s="3125">
        <f t="shared" si="31"/>
        <v>-695500000</v>
      </c>
      <c r="R118" s="3605">
        <f>+P118/L118*100-100</f>
        <v>-96.262975778546718</v>
      </c>
      <c r="S118" s="3748"/>
      <c r="T118" s="3826"/>
      <c r="U118" s="3778">
        <f>MAR!P645</f>
        <v>0</v>
      </c>
      <c r="V118" s="1846">
        <f t="shared" si="29"/>
        <v>480000</v>
      </c>
    </row>
    <row r="119" spans="1:22" s="257" customFormat="1" ht="15.05" customHeight="1">
      <c r="A119" s="1855"/>
      <c r="B119" s="1855"/>
      <c r="C119" s="1855"/>
      <c r="D119" s="1855"/>
      <c r="E119" s="1855"/>
      <c r="F119" s="1857" t="s">
        <v>50</v>
      </c>
      <c r="G119" s="1858"/>
      <c r="H119" s="200" t="s">
        <v>360</v>
      </c>
      <c r="I119" s="217"/>
      <c r="J119" s="3171">
        <v>0</v>
      </c>
      <c r="K119" s="3171">
        <v>517000</v>
      </c>
      <c r="L119" s="3125">
        <v>0</v>
      </c>
      <c r="M119" s="3124">
        <v>3540000</v>
      </c>
      <c r="N119" s="3125">
        <v>0</v>
      </c>
      <c r="O119" s="3125">
        <v>3540000</v>
      </c>
      <c r="P119" s="3125">
        <v>0</v>
      </c>
      <c r="Q119" s="3125">
        <f t="shared" si="31"/>
        <v>0</v>
      </c>
      <c r="R119" s="3605">
        <v>0</v>
      </c>
      <c r="S119" s="3748"/>
      <c r="T119" s="3826"/>
      <c r="U119" s="3778">
        <f>MAR!P646</f>
        <v>0</v>
      </c>
      <c r="V119" s="1846">
        <f t="shared" si="29"/>
        <v>14160000</v>
      </c>
    </row>
    <row r="120" spans="1:22" s="1318" customFormat="1" ht="15.05" customHeight="1">
      <c r="A120" s="1854"/>
      <c r="B120" s="1854"/>
      <c r="C120" s="1854"/>
      <c r="D120" s="1854"/>
      <c r="E120" s="1854"/>
      <c r="F120" s="1464" t="s">
        <v>528</v>
      </c>
      <c r="G120" s="1860"/>
      <c r="H120" s="202"/>
      <c r="I120" s="218"/>
      <c r="J120" s="3123">
        <f t="shared" ref="J120:P120" si="33">SUM(J121:J129)</f>
        <v>518680000</v>
      </c>
      <c r="K120" s="3123">
        <f t="shared" si="33"/>
        <v>348421200</v>
      </c>
      <c r="L120" s="3123">
        <f>SUM(L121:L129)</f>
        <v>518680000</v>
      </c>
      <c r="M120" s="3123">
        <f t="shared" si="33"/>
        <v>26025000</v>
      </c>
      <c r="N120" s="3123">
        <f t="shared" si="33"/>
        <v>27371000</v>
      </c>
      <c r="O120" s="3123">
        <f t="shared" si="33"/>
        <v>53396000</v>
      </c>
      <c r="P120" s="3182">
        <f t="shared" si="33"/>
        <v>443680000</v>
      </c>
      <c r="Q120" s="3182">
        <f t="shared" si="31"/>
        <v>-75000000</v>
      </c>
      <c r="R120" s="3601">
        <f t="shared" ref="R120:R125" si="34">+P120/L120*100-100</f>
        <v>-14.459782524870818</v>
      </c>
      <c r="S120" s="3710"/>
      <c r="T120" s="3829"/>
      <c r="U120" s="3777"/>
      <c r="V120" s="1846">
        <f t="shared" si="29"/>
        <v>213584000</v>
      </c>
    </row>
    <row r="121" spans="1:22" s="257" customFormat="1" ht="15.05" customHeight="1">
      <c r="A121" s="1855"/>
      <c r="B121" s="1855"/>
      <c r="C121" s="1855"/>
      <c r="D121" s="1855"/>
      <c r="E121" s="1855"/>
      <c r="F121" s="1857" t="s">
        <v>50</v>
      </c>
      <c r="G121" s="1858"/>
      <c r="H121" s="200" t="s">
        <v>375</v>
      </c>
      <c r="I121" s="217"/>
      <c r="J121" s="3171">
        <v>328430000</v>
      </c>
      <c r="K121" s="3171">
        <v>166841200</v>
      </c>
      <c r="L121" s="3125">
        <v>328430000</v>
      </c>
      <c r="M121" s="3124">
        <v>11650000</v>
      </c>
      <c r="N121" s="3125">
        <v>13471000</v>
      </c>
      <c r="O121" s="3125">
        <v>25121000</v>
      </c>
      <c r="P121" s="3125">
        <v>328430000</v>
      </c>
      <c r="Q121" s="3125">
        <f t="shared" si="31"/>
        <v>0</v>
      </c>
      <c r="R121" s="3605">
        <f t="shared" si="34"/>
        <v>0</v>
      </c>
      <c r="S121" s="3748"/>
      <c r="T121" s="3826"/>
      <c r="U121" s="3778">
        <f>MAR!P677</f>
        <v>0</v>
      </c>
      <c r="V121" s="1846">
        <f t="shared" si="29"/>
        <v>100484000</v>
      </c>
    </row>
    <row r="122" spans="1:22" s="257" customFormat="1" ht="15.05" customHeight="1">
      <c r="A122" s="1855"/>
      <c r="B122" s="1855"/>
      <c r="C122" s="1855"/>
      <c r="D122" s="1855"/>
      <c r="E122" s="1855"/>
      <c r="F122" s="1857" t="s">
        <v>50</v>
      </c>
      <c r="G122" s="1858"/>
      <c r="H122" s="200" t="s">
        <v>376</v>
      </c>
      <c r="I122" s="217"/>
      <c r="J122" s="3171">
        <v>15000000</v>
      </c>
      <c r="K122" s="3171">
        <v>16000000</v>
      </c>
      <c r="L122" s="3125">
        <v>15000000</v>
      </c>
      <c r="M122" s="3124">
        <v>2000000</v>
      </c>
      <c r="N122" s="3125">
        <v>0</v>
      </c>
      <c r="O122" s="3125">
        <v>2000000</v>
      </c>
      <c r="P122" s="3125">
        <v>15000000</v>
      </c>
      <c r="Q122" s="3125">
        <f t="shared" si="31"/>
        <v>0</v>
      </c>
      <c r="R122" s="3605">
        <f t="shared" si="34"/>
        <v>0</v>
      </c>
      <c r="S122" s="3748"/>
      <c r="T122" s="3826"/>
      <c r="U122" s="3778">
        <f>MAR!P678</f>
        <v>0</v>
      </c>
      <c r="V122" s="1846">
        <f t="shared" si="29"/>
        <v>8000000</v>
      </c>
    </row>
    <row r="123" spans="1:22" s="257" customFormat="1" ht="15.05" customHeight="1">
      <c r="A123" s="1855"/>
      <c r="B123" s="1855"/>
      <c r="C123" s="1855"/>
      <c r="D123" s="1855"/>
      <c r="E123" s="1855"/>
      <c r="F123" s="1857" t="s">
        <v>50</v>
      </c>
      <c r="G123" s="1858"/>
      <c r="H123" s="200" t="s">
        <v>377</v>
      </c>
      <c r="I123" s="217"/>
      <c r="J123" s="3171">
        <v>50000000</v>
      </c>
      <c r="K123" s="3171">
        <v>54930000</v>
      </c>
      <c r="L123" s="3125">
        <v>50000000</v>
      </c>
      <c r="M123" s="3124">
        <v>0</v>
      </c>
      <c r="N123" s="3125">
        <v>1500000</v>
      </c>
      <c r="O123" s="3125">
        <v>1500000</v>
      </c>
      <c r="P123" s="3125">
        <v>25000000</v>
      </c>
      <c r="Q123" s="3125">
        <f t="shared" si="31"/>
        <v>-25000000</v>
      </c>
      <c r="R123" s="3605">
        <f t="shared" si="34"/>
        <v>-50</v>
      </c>
      <c r="S123" s="3748"/>
      <c r="T123" s="3826"/>
      <c r="U123" s="3778">
        <f>MAR!P679</f>
        <v>0</v>
      </c>
      <c r="V123" s="1846">
        <f t="shared" si="29"/>
        <v>6000000</v>
      </c>
    </row>
    <row r="124" spans="1:22" s="257" customFormat="1" ht="15.05" customHeight="1">
      <c r="A124" s="1855"/>
      <c r="B124" s="1855"/>
      <c r="C124" s="1855"/>
      <c r="D124" s="1855"/>
      <c r="E124" s="1855"/>
      <c r="F124" s="1857" t="s">
        <v>50</v>
      </c>
      <c r="G124" s="1858"/>
      <c r="H124" s="200" t="s">
        <v>378</v>
      </c>
      <c r="I124" s="217"/>
      <c r="J124" s="3171">
        <v>40250000</v>
      </c>
      <c r="K124" s="3171">
        <v>33200000</v>
      </c>
      <c r="L124" s="3125">
        <v>40250000</v>
      </c>
      <c r="M124" s="3124">
        <v>1375000</v>
      </c>
      <c r="N124" s="3125">
        <v>0</v>
      </c>
      <c r="O124" s="3125">
        <v>1375000</v>
      </c>
      <c r="P124" s="3125">
        <v>40250000</v>
      </c>
      <c r="Q124" s="3125">
        <f t="shared" si="31"/>
        <v>0</v>
      </c>
      <c r="R124" s="3605">
        <f t="shared" si="34"/>
        <v>0</v>
      </c>
      <c r="S124" s="3748"/>
      <c r="T124" s="3826"/>
      <c r="U124" s="3778">
        <f>MAR!P680</f>
        <v>0</v>
      </c>
      <c r="V124" s="1846">
        <f t="shared" si="29"/>
        <v>5500000</v>
      </c>
    </row>
    <row r="125" spans="1:22" s="257" customFormat="1" ht="15.05" customHeight="1">
      <c r="A125" s="1855"/>
      <c r="B125" s="1855"/>
      <c r="C125" s="1855"/>
      <c r="D125" s="1855"/>
      <c r="E125" s="1855"/>
      <c r="F125" s="1857" t="s">
        <v>50</v>
      </c>
      <c r="G125" s="1858"/>
      <c r="H125" s="200" t="s">
        <v>379</v>
      </c>
      <c r="I125" s="217"/>
      <c r="J125" s="3171">
        <v>25000000</v>
      </c>
      <c r="K125" s="3171">
        <v>50450000</v>
      </c>
      <c r="L125" s="3125">
        <v>25000000</v>
      </c>
      <c r="M125" s="3124">
        <v>10000000</v>
      </c>
      <c r="N125" s="3125">
        <v>10900000</v>
      </c>
      <c r="O125" s="3125">
        <v>20900000</v>
      </c>
      <c r="P125" s="3125">
        <v>5000000</v>
      </c>
      <c r="Q125" s="3125">
        <f t="shared" si="31"/>
        <v>-20000000</v>
      </c>
      <c r="R125" s="3605">
        <f t="shared" si="34"/>
        <v>-80</v>
      </c>
      <c r="S125" s="3748"/>
      <c r="T125" s="3826"/>
      <c r="U125" s="3778">
        <f>MAR!P681</f>
        <v>0</v>
      </c>
      <c r="V125" s="1846">
        <f t="shared" si="29"/>
        <v>83600000</v>
      </c>
    </row>
    <row r="126" spans="1:22" s="257" customFormat="1" ht="15.05" customHeight="1">
      <c r="A126" s="1855"/>
      <c r="B126" s="1855"/>
      <c r="C126" s="1855"/>
      <c r="D126" s="1855"/>
      <c r="E126" s="1855"/>
      <c r="F126" s="1857" t="s">
        <v>50</v>
      </c>
      <c r="G126" s="1858"/>
      <c r="H126" s="200" t="s">
        <v>380</v>
      </c>
      <c r="I126" s="217"/>
      <c r="J126" s="3171">
        <v>0</v>
      </c>
      <c r="K126" s="3171">
        <v>0</v>
      </c>
      <c r="L126" s="3125">
        <v>0</v>
      </c>
      <c r="M126" s="3124">
        <v>0</v>
      </c>
      <c r="N126" s="3125">
        <v>0</v>
      </c>
      <c r="O126" s="3125">
        <v>0</v>
      </c>
      <c r="P126" s="3125">
        <v>0</v>
      </c>
      <c r="Q126" s="3125">
        <f t="shared" si="31"/>
        <v>0</v>
      </c>
      <c r="R126" s="3605">
        <v>0</v>
      </c>
      <c r="S126" s="3748"/>
      <c r="T126" s="3826"/>
      <c r="U126" s="3778">
        <f>MAR!P682</f>
        <v>0</v>
      </c>
      <c r="V126" s="1846">
        <f t="shared" si="29"/>
        <v>0</v>
      </c>
    </row>
    <row r="127" spans="1:22" s="257" customFormat="1" ht="15.05" customHeight="1">
      <c r="A127" s="1855"/>
      <c r="B127" s="1855"/>
      <c r="C127" s="1855"/>
      <c r="D127" s="1855"/>
      <c r="E127" s="1855"/>
      <c r="F127" s="1857" t="s">
        <v>50</v>
      </c>
      <c r="G127" s="1858"/>
      <c r="H127" s="200" t="s">
        <v>381</v>
      </c>
      <c r="I127" s="217"/>
      <c r="J127" s="3171">
        <v>60000000</v>
      </c>
      <c r="K127" s="3193">
        <v>27000000</v>
      </c>
      <c r="L127" s="3125">
        <v>60000000</v>
      </c>
      <c r="M127" s="3124">
        <v>1000000</v>
      </c>
      <c r="N127" s="3125">
        <v>1500000</v>
      </c>
      <c r="O127" s="3125">
        <v>2500000</v>
      </c>
      <c r="P127" s="3125">
        <v>30000000</v>
      </c>
      <c r="Q127" s="3125">
        <f t="shared" si="31"/>
        <v>-30000000</v>
      </c>
      <c r="R127" s="3605">
        <f>+P127/L127*100-100</f>
        <v>-50</v>
      </c>
      <c r="S127" s="3748"/>
      <c r="T127" s="3826"/>
      <c r="U127" s="3778">
        <f>MAR!P683</f>
        <v>0</v>
      </c>
      <c r="V127" s="1846">
        <f t="shared" si="29"/>
        <v>10000000</v>
      </c>
    </row>
    <row r="128" spans="1:22" s="257" customFormat="1" ht="15.05" customHeight="1">
      <c r="A128" s="1855"/>
      <c r="B128" s="1855"/>
      <c r="C128" s="1855"/>
      <c r="D128" s="1855"/>
      <c r="E128" s="1855"/>
      <c r="F128" s="1857" t="s">
        <v>50</v>
      </c>
      <c r="G128" s="1858"/>
      <c r="H128" s="200" t="s">
        <v>382</v>
      </c>
      <c r="I128" s="217"/>
      <c r="J128" s="3193">
        <v>0</v>
      </c>
      <c r="K128" s="3193">
        <v>0</v>
      </c>
      <c r="L128" s="3125">
        <v>0</v>
      </c>
      <c r="M128" s="3124">
        <v>0</v>
      </c>
      <c r="N128" s="3125">
        <v>0</v>
      </c>
      <c r="O128" s="3125">
        <v>0</v>
      </c>
      <c r="P128" s="3125">
        <v>0</v>
      </c>
      <c r="Q128" s="3125">
        <f t="shared" si="31"/>
        <v>0</v>
      </c>
      <c r="R128" s="3605">
        <v>0</v>
      </c>
      <c r="S128" s="3748"/>
      <c r="T128" s="3826"/>
      <c r="U128" s="3778">
        <f>MAR!P684</f>
        <v>0</v>
      </c>
      <c r="V128" s="1846">
        <f t="shared" si="29"/>
        <v>0</v>
      </c>
    </row>
    <row r="129" spans="1:22" s="257" customFormat="1" ht="15.05" customHeight="1">
      <c r="A129" s="1855"/>
      <c r="B129" s="1855"/>
      <c r="C129" s="1855"/>
      <c r="D129" s="1855"/>
      <c r="E129" s="1855"/>
      <c r="F129" s="1857" t="s">
        <v>50</v>
      </c>
      <c r="G129" s="1858"/>
      <c r="H129" s="200" t="s">
        <v>383</v>
      </c>
      <c r="I129" s="217"/>
      <c r="J129" s="3193">
        <v>0</v>
      </c>
      <c r="K129" s="3193">
        <v>0</v>
      </c>
      <c r="L129" s="3125">
        <v>0</v>
      </c>
      <c r="M129" s="3124">
        <v>0</v>
      </c>
      <c r="N129" s="3125">
        <v>0</v>
      </c>
      <c r="O129" s="3125">
        <v>0</v>
      </c>
      <c r="P129" s="3125">
        <v>0</v>
      </c>
      <c r="Q129" s="3125">
        <f t="shared" si="31"/>
        <v>0</v>
      </c>
      <c r="R129" s="3605">
        <v>0</v>
      </c>
      <c r="S129" s="3748"/>
      <c r="T129" s="3826"/>
      <c r="U129" s="3778">
        <f>MAR!P685</f>
        <v>0</v>
      </c>
      <c r="V129" s="1846">
        <f t="shared" si="29"/>
        <v>0</v>
      </c>
    </row>
    <row r="130" spans="1:22" s="1318" customFormat="1" ht="15.05" customHeight="1">
      <c r="A130" s="1854"/>
      <c r="B130" s="1854"/>
      <c r="C130" s="1854"/>
      <c r="D130" s="1854"/>
      <c r="E130" s="1854"/>
      <c r="F130" s="1464" t="s">
        <v>529</v>
      </c>
      <c r="G130" s="1860"/>
      <c r="H130" s="202"/>
      <c r="I130" s="218"/>
      <c r="J130" s="3123">
        <v>0</v>
      </c>
      <c r="K130" s="3123">
        <v>39252000</v>
      </c>
      <c r="L130" s="3182">
        <v>0</v>
      </c>
      <c r="M130" s="3183">
        <v>4765000</v>
      </c>
      <c r="N130" s="3182">
        <v>8895000</v>
      </c>
      <c r="O130" s="3182">
        <v>13660000</v>
      </c>
      <c r="P130" s="3182">
        <f>SUM(P131:P132)</f>
        <v>50000000</v>
      </c>
      <c r="Q130" s="3182">
        <f t="shared" si="31"/>
        <v>50000000</v>
      </c>
      <c r="R130" s="3601">
        <v>0</v>
      </c>
      <c r="S130" s="3710"/>
      <c r="T130" s="3829"/>
      <c r="U130" s="3777"/>
      <c r="V130" s="1846">
        <f t="shared" si="29"/>
        <v>54640000</v>
      </c>
    </row>
    <row r="131" spans="1:22" s="257" customFormat="1" ht="15.05" customHeight="1">
      <c r="A131" s="1855"/>
      <c r="B131" s="1855"/>
      <c r="C131" s="1855"/>
      <c r="D131" s="1855"/>
      <c r="E131" s="1855"/>
      <c r="F131" s="1857" t="s">
        <v>50</v>
      </c>
      <c r="G131" s="1858"/>
      <c r="H131" s="200" t="s">
        <v>185</v>
      </c>
      <c r="I131" s="217"/>
      <c r="J131" s="3171">
        <v>0</v>
      </c>
      <c r="K131" s="3171"/>
      <c r="L131" s="3125">
        <v>0</v>
      </c>
      <c r="M131" s="3124">
        <v>0</v>
      </c>
      <c r="N131" s="3125">
        <v>0</v>
      </c>
      <c r="O131" s="3125">
        <v>0</v>
      </c>
      <c r="P131" s="3125">
        <v>0</v>
      </c>
      <c r="Q131" s="3125">
        <f t="shared" si="31"/>
        <v>0</v>
      </c>
      <c r="R131" s="3605">
        <v>0</v>
      </c>
      <c r="S131" s="3748"/>
      <c r="T131" s="3826"/>
      <c r="U131" s="3778">
        <v>0</v>
      </c>
      <c r="V131" s="1846">
        <f t="shared" si="29"/>
        <v>0</v>
      </c>
    </row>
    <row r="132" spans="1:22" s="257" customFormat="1" ht="15.05" customHeight="1">
      <c r="A132" s="1855"/>
      <c r="B132" s="1855"/>
      <c r="C132" s="1855"/>
      <c r="D132" s="1855"/>
      <c r="E132" s="1855"/>
      <c r="F132" s="1857" t="s">
        <v>50</v>
      </c>
      <c r="G132" s="1860"/>
      <c r="H132" s="200" t="s">
        <v>530</v>
      </c>
      <c r="I132" s="218"/>
      <c r="J132" s="3123">
        <v>0</v>
      </c>
      <c r="K132" s="3123"/>
      <c r="L132" s="3125">
        <v>0</v>
      </c>
      <c r="M132" s="3124">
        <v>4765000</v>
      </c>
      <c r="N132" s="3125">
        <v>8895000</v>
      </c>
      <c r="O132" s="3125">
        <v>13660000</v>
      </c>
      <c r="P132" s="3125">
        <v>50000000</v>
      </c>
      <c r="Q132" s="3125">
        <f t="shared" si="31"/>
        <v>50000000</v>
      </c>
      <c r="R132" s="3605">
        <v>0</v>
      </c>
      <c r="S132" s="3748"/>
      <c r="T132" s="3826"/>
      <c r="U132" s="3778">
        <f>MAR!P217</f>
        <v>0</v>
      </c>
      <c r="V132" s="1846">
        <f t="shared" si="29"/>
        <v>54640000</v>
      </c>
    </row>
    <row r="133" spans="1:22" s="1318" customFormat="1" ht="15.05" customHeight="1">
      <c r="A133" s="1854"/>
      <c r="B133" s="1854"/>
      <c r="C133" s="1854"/>
      <c r="D133" s="1854"/>
      <c r="E133" s="1854"/>
      <c r="F133" s="1464" t="s">
        <v>531</v>
      </c>
      <c r="G133" s="1860"/>
      <c r="H133" s="202"/>
      <c r="I133" s="218"/>
      <c r="J133" s="3123">
        <v>75000000</v>
      </c>
      <c r="K133" s="3123">
        <f>K134</f>
        <v>45800000</v>
      </c>
      <c r="L133" s="3182">
        <f>L134</f>
        <v>90000000</v>
      </c>
      <c r="M133" s="3183">
        <v>0</v>
      </c>
      <c r="N133" s="3182">
        <v>0</v>
      </c>
      <c r="O133" s="3182">
        <v>0</v>
      </c>
      <c r="P133" s="3182">
        <v>90000000</v>
      </c>
      <c r="Q133" s="3182">
        <f t="shared" si="31"/>
        <v>0</v>
      </c>
      <c r="R133" s="3601">
        <f>+P133/L133*100-100</f>
        <v>0</v>
      </c>
      <c r="S133" s="3710"/>
      <c r="T133" s="3829"/>
      <c r="U133" s="3781"/>
      <c r="V133" s="1846">
        <f t="shared" si="29"/>
        <v>0</v>
      </c>
    </row>
    <row r="134" spans="1:22" s="257" customFormat="1" ht="15.05" customHeight="1">
      <c r="A134" s="1855"/>
      <c r="B134" s="1855"/>
      <c r="C134" s="1855"/>
      <c r="D134" s="1855"/>
      <c r="E134" s="1855"/>
      <c r="F134" s="1857" t="s">
        <v>50</v>
      </c>
      <c r="G134" s="2826"/>
      <c r="H134" s="200" t="s">
        <v>532</v>
      </c>
      <c r="I134" s="217"/>
      <c r="J134" s="3171"/>
      <c r="K134" s="3171">
        <v>45800000</v>
      </c>
      <c r="L134" s="3125">
        <v>90000000</v>
      </c>
      <c r="M134" s="3124">
        <v>0</v>
      </c>
      <c r="N134" s="3125">
        <v>0</v>
      </c>
      <c r="O134" s="3125">
        <v>0</v>
      </c>
      <c r="P134" s="3125">
        <v>90000000</v>
      </c>
      <c r="Q134" s="3125">
        <f t="shared" si="31"/>
        <v>0</v>
      </c>
      <c r="R134" s="3605">
        <f>+P134/L134*100-100</f>
        <v>0</v>
      </c>
      <c r="S134" s="3748"/>
      <c r="T134" s="3826"/>
      <c r="U134" s="3778">
        <f>MAR!P80</f>
        <v>0</v>
      </c>
      <c r="V134" s="1846">
        <f t="shared" si="29"/>
        <v>0</v>
      </c>
    </row>
    <row r="135" spans="1:22" s="1318" customFormat="1" ht="15.05" hidden="1" customHeight="1">
      <c r="A135" s="1885" t="s">
        <v>443</v>
      </c>
      <c r="B135" s="1885">
        <v>1</v>
      </c>
      <c r="C135" s="1885">
        <v>2</v>
      </c>
      <c r="D135" s="1885" t="s">
        <v>438</v>
      </c>
      <c r="E135" s="1885"/>
      <c r="F135" s="1856" t="str">
        <f>MAR!H169</f>
        <v>DINAS LINGKUNGAN HIDUP DAN KEHUTANAN</v>
      </c>
      <c r="G135" s="1860"/>
      <c r="H135" s="202"/>
      <c r="I135" s="218"/>
      <c r="J135" s="3123"/>
      <c r="K135" s="3123"/>
      <c r="L135" s="3182">
        <v>0</v>
      </c>
      <c r="M135" s="3183">
        <v>72425000</v>
      </c>
      <c r="N135" s="3182">
        <v>0</v>
      </c>
      <c r="O135" s="3182">
        <v>72425000</v>
      </c>
      <c r="P135" s="3182">
        <f>P136</f>
        <v>300000000</v>
      </c>
      <c r="Q135" s="3182">
        <f t="shared" si="31"/>
        <v>300000000</v>
      </c>
      <c r="R135" s="3601">
        <v>0</v>
      </c>
      <c r="S135" s="3710"/>
      <c r="T135" s="3829"/>
      <c r="U135" s="3781"/>
      <c r="V135" s="1846">
        <f t="shared" si="29"/>
        <v>289700000</v>
      </c>
    </row>
    <row r="136" spans="1:22" s="257" customFormat="1" ht="15.05" hidden="1" customHeight="1">
      <c r="A136" s="3875">
        <v>4</v>
      </c>
      <c r="B136" s="3875">
        <v>1</v>
      </c>
      <c r="C136" s="3875">
        <v>2</v>
      </c>
      <c r="D136" s="3875" t="s">
        <v>438</v>
      </c>
      <c r="E136" s="1885" t="s">
        <v>440</v>
      </c>
      <c r="F136" s="2214" t="str">
        <f>MAR!I173</f>
        <v>- TEMPAT WISATA DAN OLAH RAGA</v>
      </c>
      <c r="G136" s="200"/>
      <c r="H136" s="200"/>
      <c r="I136" s="217"/>
      <c r="J136" s="3171"/>
      <c r="K136" s="3171"/>
      <c r="L136" s="3125">
        <v>0</v>
      </c>
      <c r="M136" s="3124">
        <v>72425000</v>
      </c>
      <c r="N136" s="3125">
        <v>0</v>
      </c>
      <c r="O136" s="3125">
        <v>72425000</v>
      </c>
      <c r="P136" s="3125">
        <v>300000000</v>
      </c>
      <c r="Q136" s="3125">
        <f t="shared" si="31"/>
        <v>300000000</v>
      </c>
      <c r="R136" s="3605">
        <v>0</v>
      </c>
      <c r="S136" s="3748"/>
      <c r="T136" s="3826"/>
      <c r="U136" s="3778">
        <f>MAR!P618</f>
        <v>0</v>
      </c>
      <c r="V136" s="1846">
        <f t="shared" si="29"/>
        <v>289700000</v>
      </c>
    </row>
    <row r="137" spans="1:22" s="2920" customFormat="1" ht="15.05" customHeight="1">
      <c r="A137" s="3594"/>
      <c r="B137" s="3594"/>
      <c r="C137" s="3594"/>
      <c r="D137" s="3594"/>
      <c r="E137" s="3457"/>
      <c r="F137" s="3458" t="s">
        <v>1189</v>
      </c>
      <c r="G137" s="3459"/>
      <c r="H137" s="3459"/>
      <c r="I137" s="3460"/>
      <c r="J137" s="3461"/>
      <c r="K137" s="3461">
        <v>12450000</v>
      </c>
      <c r="L137" s="3291"/>
      <c r="M137" s="3462"/>
      <c r="N137" s="3291"/>
      <c r="O137" s="3291"/>
      <c r="P137" s="3291"/>
      <c r="Q137" s="3291"/>
      <c r="R137" s="3606"/>
      <c r="S137" s="3711"/>
      <c r="T137" s="3830"/>
      <c r="U137" s="3782"/>
      <c r="V137" s="2923"/>
    </row>
    <row r="138" spans="1:22" s="257" customFormat="1" ht="15.05" customHeight="1">
      <c r="A138" s="1886"/>
      <c r="B138" s="1886"/>
      <c r="C138" s="1886"/>
      <c r="D138" s="1886"/>
      <c r="E138" s="1886"/>
      <c r="F138" s="3456" t="s">
        <v>50</v>
      </c>
      <c r="G138" s="1888"/>
      <c r="H138" s="3455" t="s">
        <v>1190</v>
      </c>
      <c r="I138" s="1894"/>
      <c r="J138" s="3173"/>
      <c r="K138" s="3173">
        <v>12450000</v>
      </c>
      <c r="L138" s="3174"/>
      <c r="M138" s="3175">
        <v>0</v>
      </c>
      <c r="N138" s="3174"/>
      <c r="O138" s="3174"/>
      <c r="P138" s="3174"/>
      <c r="Q138" s="3174"/>
      <c r="R138" s="3612"/>
      <c r="S138" s="3712"/>
      <c r="T138" s="3831"/>
      <c r="U138" s="1899"/>
      <c r="V138" s="1846">
        <f t="shared" si="29"/>
        <v>0</v>
      </c>
    </row>
    <row r="139" spans="1:22" s="2932" customFormat="1" ht="15.05" customHeight="1">
      <c r="A139" s="3060">
        <v>4</v>
      </c>
      <c r="B139" s="3060">
        <v>1</v>
      </c>
      <c r="C139" s="3060">
        <v>2</v>
      </c>
      <c r="D139" s="3060" t="s">
        <v>438</v>
      </c>
      <c r="E139" s="3060" t="s">
        <v>440</v>
      </c>
      <c r="F139" s="3061" t="s">
        <v>304</v>
      </c>
      <c r="G139" s="3061"/>
      <c r="H139" s="3062"/>
      <c r="I139" s="3062"/>
      <c r="J139" s="3195">
        <v>2512125000</v>
      </c>
      <c r="K139" s="3195">
        <f t="shared" ref="K139:P139" si="35">K140+K143+K145+K147+K151+K153+K156</f>
        <v>2733928400</v>
      </c>
      <c r="L139" s="3195">
        <f t="shared" si="35"/>
        <v>2547125000</v>
      </c>
      <c r="M139" s="3195">
        <f t="shared" si="35"/>
        <v>174860000</v>
      </c>
      <c r="N139" s="3195">
        <f t="shared" si="35"/>
        <v>136900000</v>
      </c>
      <c r="O139" s="3195">
        <f t="shared" si="35"/>
        <v>311760000</v>
      </c>
      <c r="P139" s="3195">
        <f t="shared" si="35"/>
        <v>2667125000</v>
      </c>
      <c r="Q139" s="3196">
        <f t="shared" ref="Q139:Q158" si="36">+P139-L139</f>
        <v>120000000</v>
      </c>
      <c r="R139" s="3614">
        <f t="shared" ref="R139:R148" si="37">+P139/L139*100-100</f>
        <v>4.7111939932276528</v>
      </c>
      <c r="S139" s="3766"/>
      <c r="T139" s="3196"/>
      <c r="U139" s="3783"/>
      <c r="V139" s="2931">
        <f t="shared" si="29"/>
        <v>1247040000</v>
      </c>
    </row>
    <row r="140" spans="1:22" s="257" customFormat="1" ht="15.05" customHeight="1">
      <c r="A140" s="1889"/>
      <c r="B140" s="1889"/>
      <c r="C140" s="1889"/>
      <c r="D140" s="1889"/>
      <c r="E140" s="1889"/>
      <c r="F140" s="2827" t="s">
        <v>62</v>
      </c>
      <c r="G140" s="2828"/>
      <c r="H140" s="212"/>
      <c r="I140" s="225"/>
      <c r="J140" s="3155">
        <f>SUM(J141:J142)</f>
        <v>63500000</v>
      </c>
      <c r="K140" s="3155">
        <f t="shared" ref="K140:P140" si="38">SUM(K141:K142)</f>
        <v>66678400</v>
      </c>
      <c r="L140" s="3155">
        <f>SUM(L141:L142)</f>
        <v>63500000</v>
      </c>
      <c r="M140" s="3155">
        <f t="shared" si="38"/>
        <v>3480000</v>
      </c>
      <c r="N140" s="3155">
        <f t="shared" si="38"/>
        <v>0</v>
      </c>
      <c r="O140" s="3155">
        <f t="shared" si="38"/>
        <v>3480000</v>
      </c>
      <c r="P140" s="3155">
        <f t="shared" si="38"/>
        <v>68500000</v>
      </c>
      <c r="Q140" s="3197">
        <f t="shared" si="36"/>
        <v>5000000</v>
      </c>
      <c r="R140" s="3608">
        <f t="shared" si="37"/>
        <v>7.8740157480315105</v>
      </c>
      <c r="S140" s="3713"/>
      <c r="T140" s="3832"/>
      <c r="U140" s="1900"/>
      <c r="V140" s="1846">
        <f t="shared" si="29"/>
        <v>13920000</v>
      </c>
    </row>
    <row r="141" spans="1:22" s="257" customFormat="1" ht="15.05" customHeight="1">
      <c r="A141" s="1855"/>
      <c r="B141" s="1855"/>
      <c r="C141" s="1855"/>
      <c r="D141" s="1855"/>
      <c r="E141" s="1855"/>
      <c r="F141" s="1857" t="s">
        <v>50</v>
      </c>
      <c r="G141" s="1858"/>
      <c r="H141" s="200" t="str">
        <f>MAR!I18</f>
        <v>Wisma Seruni</v>
      </c>
      <c r="I141" s="217"/>
      <c r="J141" s="3171">
        <v>60000000</v>
      </c>
      <c r="K141" s="3171">
        <v>66678400</v>
      </c>
      <c r="L141" s="3125">
        <v>60000000</v>
      </c>
      <c r="M141" s="3124">
        <v>3480000</v>
      </c>
      <c r="N141" s="3125">
        <v>0</v>
      </c>
      <c r="O141" s="3125">
        <v>3480000</v>
      </c>
      <c r="P141" s="3125">
        <v>65000000</v>
      </c>
      <c r="Q141" s="3125">
        <f t="shared" si="36"/>
        <v>5000000</v>
      </c>
      <c r="R141" s="3605">
        <f t="shared" si="37"/>
        <v>8.3333333333333286</v>
      </c>
      <c r="S141" s="3275"/>
      <c r="T141" s="3826"/>
      <c r="U141" s="3771"/>
      <c r="V141" s="1846">
        <f t="shared" si="29"/>
        <v>13920000</v>
      </c>
    </row>
    <row r="142" spans="1:22" s="257" customFormat="1" ht="15.05" customHeight="1">
      <c r="A142" s="1855"/>
      <c r="B142" s="1855"/>
      <c r="C142" s="1855"/>
      <c r="D142" s="1855"/>
      <c r="E142" s="1855"/>
      <c r="F142" s="1857" t="s">
        <v>50</v>
      </c>
      <c r="G142" s="1858"/>
      <c r="H142" s="200" t="str">
        <f>MAR!I19</f>
        <v>Penginapan Taman Budaya (Eks Dinas Pariwisata)</v>
      </c>
      <c r="I142" s="217"/>
      <c r="J142" s="3171">
        <v>3500000</v>
      </c>
      <c r="K142" s="3171"/>
      <c r="L142" s="3125">
        <v>3500000</v>
      </c>
      <c r="M142" s="3124">
        <v>0</v>
      </c>
      <c r="N142" s="3125">
        <v>0</v>
      </c>
      <c r="O142" s="3125">
        <v>0</v>
      </c>
      <c r="P142" s="3125">
        <v>3500000</v>
      </c>
      <c r="Q142" s="3125">
        <f t="shared" si="36"/>
        <v>0</v>
      </c>
      <c r="R142" s="3605">
        <f t="shared" si="37"/>
        <v>0</v>
      </c>
      <c r="S142" s="3275"/>
      <c r="T142" s="3826"/>
      <c r="U142" s="3771"/>
      <c r="V142" s="1846">
        <f t="shared" si="29"/>
        <v>0</v>
      </c>
    </row>
    <row r="143" spans="1:22" s="257" customFormat="1" ht="15.05" customHeight="1">
      <c r="A143" s="1855"/>
      <c r="B143" s="1855"/>
      <c r="C143" s="1855"/>
      <c r="D143" s="1855"/>
      <c r="E143" s="1855"/>
      <c r="F143" s="1464" t="s">
        <v>531</v>
      </c>
      <c r="G143" s="1860"/>
      <c r="H143" s="202"/>
      <c r="I143" s="218"/>
      <c r="J143" s="3123">
        <v>175000000</v>
      </c>
      <c r="K143" s="3123">
        <v>148775000</v>
      </c>
      <c r="L143" s="3182">
        <v>210000000</v>
      </c>
      <c r="M143" s="3183">
        <v>0</v>
      </c>
      <c r="N143" s="3182">
        <v>0</v>
      </c>
      <c r="O143" s="3182">
        <v>0</v>
      </c>
      <c r="P143" s="3182">
        <v>210000000</v>
      </c>
      <c r="Q143" s="3182">
        <f t="shared" si="36"/>
        <v>0</v>
      </c>
      <c r="R143" s="3601">
        <f t="shared" si="37"/>
        <v>0</v>
      </c>
      <c r="S143" s="3710"/>
      <c r="T143" s="3829"/>
      <c r="U143" s="3771"/>
      <c r="V143" s="1846">
        <f t="shared" si="29"/>
        <v>0</v>
      </c>
    </row>
    <row r="144" spans="1:22" s="257" customFormat="1" ht="15.05" customHeight="1">
      <c r="A144" s="1855"/>
      <c r="B144" s="1855"/>
      <c r="C144" s="1855"/>
      <c r="D144" s="1855"/>
      <c r="E144" s="1855"/>
      <c r="F144" s="1857" t="s">
        <v>50</v>
      </c>
      <c r="G144" s="1858"/>
      <c r="H144" s="200" t="str">
        <f>PerDinas!G115</f>
        <v>Retribusi Tempat Penginapan/Pesanggrahan/Villa</v>
      </c>
      <c r="I144" s="217"/>
      <c r="J144" s="3171">
        <v>175000000</v>
      </c>
      <c r="K144" s="3171">
        <v>148775000</v>
      </c>
      <c r="L144" s="3125">
        <v>210000000</v>
      </c>
      <c r="M144" s="3124">
        <v>0</v>
      </c>
      <c r="N144" s="3125">
        <v>0</v>
      </c>
      <c r="O144" s="3125">
        <v>0</v>
      </c>
      <c r="P144" s="3125">
        <v>210000000</v>
      </c>
      <c r="Q144" s="3125">
        <f t="shared" si="36"/>
        <v>0</v>
      </c>
      <c r="R144" s="3605">
        <f t="shared" si="37"/>
        <v>0</v>
      </c>
      <c r="S144" s="3275"/>
      <c r="T144" s="3826"/>
      <c r="U144" s="3771"/>
      <c r="V144" s="1846">
        <f t="shared" si="29"/>
        <v>0</v>
      </c>
    </row>
    <row r="145" spans="1:22" s="257" customFormat="1" ht="15.05" customHeight="1">
      <c r="A145" s="1855"/>
      <c r="B145" s="1855"/>
      <c r="C145" s="1855"/>
      <c r="D145" s="1855"/>
      <c r="E145" s="1855"/>
      <c r="F145" s="1464" t="s">
        <v>133</v>
      </c>
      <c r="G145" s="1860"/>
      <c r="H145" s="202"/>
      <c r="I145" s="218"/>
      <c r="J145" s="3123">
        <v>75000000</v>
      </c>
      <c r="K145" s="3123">
        <v>83250000</v>
      </c>
      <c r="L145" s="3182">
        <v>75000000</v>
      </c>
      <c r="M145" s="3183">
        <v>9880000</v>
      </c>
      <c r="N145" s="3182">
        <v>0</v>
      </c>
      <c r="O145" s="3182">
        <v>9880000</v>
      </c>
      <c r="P145" s="3182">
        <v>75000000</v>
      </c>
      <c r="Q145" s="3182">
        <f t="shared" si="36"/>
        <v>0</v>
      </c>
      <c r="R145" s="3601">
        <f t="shared" si="37"/>
        <v>0</v>
      </c>
      <c r="S145" s="3710"/>
      <c r="T145" s="3829"/>
      <c r="U145" s="3771"/>
      <c r="V145" s="1846">
        <f t="shared" si="29"/>
        <v>39520000</v>
      </c>
    </row>
    <row r="146" spans="1:22" s="257" customFormat="1" ht="15.05" customHeight="1">
      <c r="A146" s="1855"/>
      <c r="B146" s="1855"/>
      <c r="C146" s="1855"/>
      <c r="D146" s="1855"/>
      <c r="E146" s="1855"/>
      <c r="F146" s="1857" t="s">
        <v>50</v>
      </c>
      <c r="G146" s="1858"/>
      <c r="H146" s="200" t="s">
        <v>533</v>
      </c>
      <c r="I146" s="217"/>
      <c r="J146" s="3171">
        <v>75000000</v>
      </c>
      <c r="K146" s="3171">
        <v>83250000</v>
      </c>
      <c r="L146" s="3125">
        <v>75000000</v>
      </c>
      <c r="M146" s="3124">
        <v>9880000</v>
      </c>
      <c r="N146" s="3125">
        <v>0</v>
      </c>
      <c r="O146" s="3125">
        <v>9880000</v>
      </c>
      <c r="P146" s="3125">
        <v>75000000</v>
      </c>
      <c r="Q146" s="3125">
        <f t="shared" si="36"/>
        <v>0</v>
      </c>
      <c r="R146" s="3605">
        <f t="shared" si="37"/>
        <v>0</v>
      </c>
      <c r="S146" s="3275"/>
      <c r="T146" s="3826"/>
      <c r="U146" s="3771"/>
      <c r="V146" s="1846">
        <f t="shared" si="29"/>
        <v>39520000</v>
      </c>
    </row>
    <row r="147" spans="1:22" s="3970" customFormat="1" ht="15.05" customHeight="1">
      <c r="A147" s="3961"/>
      <c r="B147" s="3961"/>
      <c r="C147" s="3961"/>
      <c r="D147" s="3961"/>
      <c r="E147" s="3961"/>
      <c r="F147" s="5127" t="s">
        <v>496</v>
      </c>
      <c r="G147" s="5128"/>
      <c r="H147" s="5129"/>
      <c r="I147" s="5130"/>
      <c r="J147" s="5131">
        <v>348625000</v>
      </c>
      <c r="K147" s="5131">
        <v>494000000</v>
      </c>
      <c r="L147" s="5132">
        <v>348625000</v>
      </c>
      <c r="M147" s="5133">
        <v>16500000</v>
      </c>
      <c r="N147" s="5132">
        <v>67100000</v>
      </c>
      <c r="O147" s="5132">
        <v>83600000</v>
      </c>
      <c r="P147" s="5132">
        <f>P148</f>
        <v>348625000</v>
      </c>
      <c r="Q147" s="5132">
        <f t="shared" si="36"/>
        <v>0</v>
      </c>
      <c r="R147" s="5134">
        <f t="shared" si="37"/>
        <v>0</v>
      </c>
      <c r="S147" s="5135"/>
      <c r="T147" s="5136"/>
      <c r="U147" s="5137"/>
      <c r="V147" s="3969">
        <f t="shared" si="29"/>
        <v>334400000</v>
      </c>
    </row>
    <row r="148" spans="1:22" s="3970" customFormat="1" ht="15.05" customHeight="1">
      <c r="A148" s="3961"/>
      <c r="B148" s="3961"/>
      <c r="C148" s="3961"/>
      <c r="D148" s="3961"/>
      <c r="E148" s="3961"/>
      <c r="F148" s="3972" t="s">
        <v>50</v>
      </c>
      <c r="G148" s="3962"/>
      <c r="H148" s="3963" t="s">
        <v>144</v>
      </c>
      <c r="I148" s="3973"/>
      <c r="J148" s="3974">
        <v>348625000</v>
      </c>
      <c r="K148" s="3974">
        <v>494000000</v>
      </c>
      <c r="L148" s="3964">
        <v>348625000</v>
      </c>
      <c r="M148" s="3965">
        <v>16500000</v>
      </c>
      <c r="N148" s="3964">
        <v>67100000</v>
      </c>
      <c r="O148" s="3964">
        <v>83600000</v>
      </c>
      <c r="P148" s="3964">
        <v>348625000</v>
      </c>
      <c r="Q148" s="3964">
        <f t="shared" si="36"/>
        <v>0</v>
      </c>
      <c r="R148" s="3966">
        <f t="shared" si="37"/>
        <v>0</v>
      </c>
      <c r="S148" s="3975"/>
      <c r="T148" s="3967"/>
      <c r="U148" s="3968">
        <f>PerDinas!Q348</f>
        <v>0</v>
      </c>
      <c r="V148" s="3969">
        <f t="shared" si="29"/>
        <v>334400000</v>
      </c>
    </row>
    <row r="149" spans="1:22" s="257" customFormat="1" ht="15.05" hidden="1" customHeight="1">
      <c r="A149" s="1855"/>
      <c r="B149" s="1855"/>
      <c r="C149" s="1855"/>
      <c r="D149" s="1855"/>
      <c r="E149" s="1855"/>
      <c r="F149" s="1464" t="s">
        <v>534</v>
      </c>
      <c r="G149" s="1860"/>
      <c r="H149" s="202"/>
      <c r="I149" s="218"/>
      <c r="J149" s="3123" t="s">
        <v>50</v>
      </c>
      <c r="K149" s="3123"/>
      <c r="L149" s="3182">
        <v>0</v>
      </c>
      <c r="M149" s="3183">
        <v>0</v>
      </c>
      <c r="N149" s="3182">
        <v>0</v>
      </c>
      <c r="O149" s="3182">
        <v>0</v>
      </c>
      <c r="P149" s="3182">
        <v>0</v>
      </c>
      <c r="Q149" s="3182">
        <f t="shared" si="36"/>
        <v>0</v>
      </c>
      <c r="R149" s="3601">
        <v>0</v>
      </c>
      <c r="S149" s="3710"/>
      <c r="T149" s="3829"/>
      <c r="U149" s="3771"/>
      <c r="V149" s="1846">
        <f t="shared" si="29"/>
        <v>0</v>
      </c>
    </row>
    <row r="150" spans="1:22" s="257" customFormat="1" ht="15.05" hidden="1" customHeight="1">
      <c r="A150" s="1855"/>
      <c r="B150" s="1855"/>
      <c r="C150" s="1855"/>
      <c r="D150" s="1855"/>
      <c r="E150" s="1855"/>
      <c r="F150" s="1857" t="s">
        <v>50</v>
      </c>
      <c r="G150" s="1858"/>
      <c r="H150" s="200" t="s">
        <v>500</v>
      </c>
      <c r="I150" s="217"/>
      <c r="J150" s="3171">
        <v>3500000</v>
      </c>
      <c r="K150" s="3171">
        <v>0</v>
      </c>
      <c r="L150" s="3125">
        <v>0</v>
      </c>
      <c r="M150" s="3124">
        <v>0</v>
      </c>
      <c r="N150" s="3125">
        <v>0</v>
      </c>
      <c r="O150" s="3125">
        <v>0</v>
      </c>
      <c r="P150" s="3125">
        <v>0</v>
      </c>
      <c r="Q150" s="3125">
        <f t="shared" si="36"/>
        <v>0</v>
      </c>
      <c r="R150" s="3605">
        <v>0</v>
      </c>
      <c r="S150" s="3748"/>
      <c r="T150" s="3826"/>
      <c r="U150" s="3778">
        <f>PerDinas!Q375</f>
        <v>0</v>
      </c>
      <c r="V150" s="1846">
        <f t="shared" si="29"/>
        <v>0</v>
      </c>
    </row>
    <row r="151" spans="1:22" s="257" customFormat="1" ht="15.05" customHeight="1">
      <c r="A151" s="1855"/>
      <c r="B151" s="1855"/>
      <c r="C151" s="1855"/>
      <c r="D151" s="1855"/>
      <c r="E151" s="1855"/>
      <c r="F151" s="1464" t="s">
        <v>535</v>
      </c>
      <c r="G151" s="1860"/>
      <c r="H151" s="202"/>
      <c r="I151" s="218"/>
      <c r="J151" s="3123">
        <v>1500000000</v>
      </c>
      <c r="K151" s="3123">
        <v>1073900000</v>
      </c>
      <c r="L151" s="3182">
        <v>1500000000</v>
      </c>
      <c r="M151" s="3183">
        <v>131950000</v>
      </c>
      <c r="N151" s="3182">
        <v>69400000</v>
      </c>
      <c r="O151" s="3182">
        <v>201350000</v>
      </c>
      <c r="P151" s="3182">
        <v>1500000000</v>
      </c>
      <c r="Q151" s="3182">
        <f t="shared" si="36"/>
        <v>0</v>
      </c>
      <c r="R151" s="3601">
        <f t="shared" ref="R151:R157" si="39">+P151/L151*100-100</f>
        <v>0</v>
      </c>
      <c r="S151" s="3710"/>
      <c r="T151" s="3829"/>
      <c r="U151" s="3771"/>
      <c r="V151" s="1846">
        <f t="shared" si="29"/>
        <v>805400000</v>
      </c>
    </row>
    <row r="152" spans="1:22" s="257" customFormat="1" ht="15.05" customHeight="1">
      <c r="A152" s="1855"/>
      <c r="B152" s="1855"/>
      <c r="C152" s="1855"/>
      <c r="D152" s="1855"/>
      <c r="E152" s="1855"/>
      <c r="F152" s="1857" t="s">
        <v>50</v>
      </c>
      <c r="G152" s="1858"/>
      <c r="H152" s="200" t="str">
        <f>PerDinas!G645</f>
        <v xml:space="preserve">KANTOR PENGHUBUNG PROVINSI NTB  </v>
      </c>
      <c r="I152" s="217"/>
      <c r="J152" s="3171">
        <v>1500000000</v>
      </c>
      <c r="K152" s="3171">
        <v>1073900000</v>
      </c>
      <c r="L152" s="3125">
        <v>1500000000</v>
      </c>
      <c r="M152" s="3124">
        <v>131950000</v>
      </c>
      <c r="N152" s="3125">
        <v>69400000</v>
      </c>
      <c r="O152" s="3125">
        <v>201350000</v>
      </c>
      <c r="P152" s="3125">
        <v>1500000000</v>
      </c>
      <c r="Q152" s="3125">
        <f t="shared" si="36"/>
        <v>0</v>
      </c>
      <c r="R152" s="3605">
        <f t="shared" si="39"/>
        <v>0</v>
      </c>
      <c r="S152" s="3275"/>
      <c r="T152" s="3826"/>
      <c r="U152" s="3771"/>
      <c r="V152" s="1846">
        <f t="shared" si="29"/>
        <v>805400000</v>
      </c>
    </row>
    <row r="153" spans="1:22" s="257" customFormat="1" ht="15.05" customHeight="1">
      <c r="A153" s="1855"/>
      <c r="B153" s="1855"/>
      <c r="C153" s="1855"/>
      <c r="D153" s="1855"/>
      <c r="E153" s="1855"/>
      <c r="F153" s="1464" t="s">
        <v>326</v>
      </c>
      <c r="G153" s="1860"/>
      <c r="H153" s="202"/>
      <c r="I153" s="218"/>
      <c r="J153" s="3123">
        <f>J154</f>
        <v>150000000</v>
      </c>
      <c r="K153" s="3123">
        <f>K154</f>
        <v>534475000</v>
      </c>
      <c r="L153" s="3182">
        <f t="shared" ref="L153:Q153" si="40">SUM(L154:L155)</f>
        <v>150000000</v>
      </c>
      <c r="M153" s="3182">
        <f t="shared" si="40"/>
        <v>13050000</v>
      </c>
      <c r="N153" s="3182">
        <f t="shared" si="40"/>
        <v>0</v>
      </c>
      <c r="O153" s="3182">
        <f t="shared" si="40"/>
        <v>13050000</v>
      </c>
      <c r="P153" s="3182">
        <f t="shared" si="40"/>
        <v>265000000</v>
      </c>
      <c r="Q153" s="3182">
        <f t="shared" si="40"/>
        <v>115000000</v>
      </c>
      <c r="R153" s="3601">
        <f t="shared" si="39"/>
        <v>76.666666666666657</v>
      </c>
      <c r="S153" s="3710"/>
      <c r="T153" s="3829"/>
      <c r="U153" s="3771"/>
      <c r="V153" s="1846">
        <f t="shared" si="29"/>
        <v>52200000</v>
      </c>
    </row>
    <row r="154" spans="1:22" s="257" customFormat="1" ht="15.05" customHeight="1">
      <c r="A154" s="1855"/>
      <c r="B154" s="1855"/>
      <c r="C154" s="1855"/>
      <c r="D154" s="1855"/>
      <c r="E154" s="1855"/>
      <c r="F154" s="1857" t="s">
        <v>50</v>
      </c>
      <c r="G154" s="1858"/>
      <c r="H154" s="200" t="s">
        <v>1210</v>
      </c>
      <c r="I154" s="217"/>
      <c r="J154" s="3171">
        <v>150000000</v>
      </c>
      <c r="K154" s="3171">
        <v>534475000</v>
      </c>
      <c r="L154" s="3125">
        <v>125000000</v>
      </c>
      <c r="M154" s="3124">
        <v>13050000</v>
      </c>
      <c r="N154" s="3125">
        <v>0</v>
      </c>
      <c r="O154" s="3125">
        <v>13050000</v>
      </c>
      <c r="P154" s="3125">
        <v>265000000</v>
      </c>
      <c r="Q154" s="3125">
        <f t="shared" si="36"/>
        <v>140000000</v>
      </c>
      <c r="R154" s="3605">
        <f t="shared" si="39"/>
        <v>112</v>
      </c>
      <c r="S154" s="3275"/>
      <c r="T154" s="3826"/>
      <c r="U154" s="3771"/>
      <c r="V154" s="1846">
        <f t="shared" si="29"/>
        <v>52200000</v>
      </c>
    </row>
    <row r="155" spans="1:22" s="257" customFormat="1" ht="15.05" customHeight="1">
      <c r="A155" s="1855"/>
      <c r="B155" s="1855"/>
      <c r="C155" s="1855"/>
      <c r="D155" s="1855"/>
      <c r="E155" s="1855"/>
      <c r="F155" s="1857" t="s">
        <v>50</v>
      </c>
      <c r="G155" s="1858"/>
      <c r="H155" s="200" t="s">
        <v>1211</v>
      </c>
      <c r="I155" s="3959"/>
      <c r="J155" s="3960"/>
      <c r="K155" s="3960"/>
      <c r="L155" s="3125">
        <v>25000000</v>
      </c>
      <c r="M155" s="3124"/>
      <c r="N155" s="3125"/>
      <c r="O155" s="3125"/>
      <c r="P155" s="3125">
        <v>0</v>
      </c>
      <c r="Q155" s="3125">
        <f t="shared" si="36"/>
        <v>-25000000</v>
      </c>
      <c r="R155" s="3605">
        <f t="shared" si="39"/>
        <v>-100</v>
      </c>
      <c r="S155" s="3275"/>
      <c r="T155" s="3826"/>
      <c r="U155" s="3771"/>
      <c r="V155" s="1846"/>
    </row>
    <row r="156" spans="1:22" s="257" customFormat="1" ht="15.05" customHeight="1">
      <c r="A156" s="1855"/>
      <c r="B156" s="1855"/>
      <c r="C156" s="1855"/>
      <c r="D156" s="1855"/>
      <c r="E156" s="1855"/>
      <c r="F156" s="1464" t="s">
        <v>463</v>
      </c>
      <c r="G156" s="1860"/>
      <c r="H156" s="202"/>
      <c r="I156" s="218"/>
      <c r="J156" s="3123">
        <f>J157</f>
        <v>200000000</v>
      </c>
      <c r="K156" s="3123">
        <f>K157</f>
        <v>332850000</v>
      </c>
      <c r="L156" s="3182">
        <v>200000000</v>
      </c>
      <c r="M156" s="3183">
        <v>0</v>
      </c>
      <c r="N156" s="3182">
        <v>400000</v>
      </c>
      <c r="O156" s="3182">
        <v>400000</v>
      </c>
      <c r="P156" s="3182">
        <v>200000000</v>
      </c>
      <c r="Q156" s="3182">
        <f t="shared" si="36"/>
        <v>0</v>
      </c>
      <c r="R156" s="3601">
        <f t="shared" si="39"/>
        <v>0</v>
      </c>
      <c r="S156" s="3710"/>
      <c r="T156" s="3829"/>
      <c r="U156" s="3771"/>
      <c r="V156" s="1846">
        <f t="shared" si="29"/>
        <v>1600000</v>
      </c>
    </row>
    <row r="157" spans="1:22" s="257" customFormat="1" ht="15.05" customHeight="1">
      <c r="A157" s="1855"/>
      <c r="B157" s="1855"/>
      <c r="C157" s="1855"/>
      <c r="D157" s="1855"/>
      <c r="E157" s="1855"/>
      <c r="F157" s="1857" t="s">
        <v>50</v>
      </c>
      <c r="G157" s="1858"/>
      <c r="H157" s="200" t="s">
        <v>536</v>
      </c>
      <c r="I157" s="217"/>
      <c r="J157" s="3171">
        <v>200000000</v>
      </c>
      <c r="K157" s="3171">
        <v>332850000</v>
      </c>
      <c r="L157" s="3125">
        <v>200000000</v>
      </c>
      <c r="M157" s="3124">
        <v>0</v>
      </c>
      <c r="N157" s="3125">
        <v>400000</v>
      </c>
      <c r="O157" s="3125">
        <v>400000</v>
      </c>
      <c r="P157" s="3125">
        <v>200000000</v>
      </c>
      <c r="Q157" s="3125">
        <f t="shared" si="36"/>
        <v>0</v>
      </c>
      <c r="R157" s="3605">
        <f t="shared" si="39"/>
        <v>0</v>
      </c>
      <c r="S157" s="3748"/>
      <c r="T157" s="3826"/>
      <c r="U157" s="3778">
        <f>PerDinas!Q1017</f>
        <v>0</v>
      </c>
      <c r="V157" s="1846">
        <f t="shared" si="29"/>
        <v>1600000</v>
      </c>
    </row>
    <row r="158" spans="1:22" s="257" customFormat="1" ht="15.05" customHeight="1">
      <c r="A158" s="1855"/>
      <c r="B158" s="1855"/>
      <c r="C158" s="1855"/>
      <c r="D158" s="1855"/>
      <c r="E158" s="1855"/>
      <c r="F158" s="1901"/>
      <c r="G158" s="1858"/>
      <c r="H158" s="200"/>
      <c r="I158" s="217"/>
      <c r="J158" s="3171"/>
      <c r="K158" s="3171"/>
      <c r="L158" s="3182">
        <v>0</v>
      </c>
      <c r="M158" s="3183">
        <v>0</v>
      </c>
      <c r="N158" s="3182">
        <v>0</v>
      </c>
      <c r="O158" s="3182">
        <v>0</v>
      </c>
      <c r="P158" s="3182">
        <v>0</v>
      </c>
      <c r="Q158" s="3182">
        <f t="shared" si="36"/>
        <v>0</v>
      </c>
      <c r="R158" s="3601">
        <v>0</v>
      </c>
      <c r="S158" s="3710"/>
      <c r="T158" s="3829"/>
      <c r="U158" s="3771"/>
      <c r="V158" s="1846">
        <f t="shared" si="29"/>
        <v>0</v>
      </c>
    </row>
    <row r="159" spans="1:22" s="2936" customFormat="1" ht="15.05" customHeight="1">
      <c r="A159" s="3047" t="s">
        <v>443</v>
      </c>
      <c r="B159" s="3047" t="s">
        <v>58</v>
      </c>
      <c r="C159" s="3047" t="s">
        <v>460</v>
      </c>
      <c r="D159" s="3878" t="s">
        <v>438</v>
      </c>
      <c r="E159" s="3878" t="s">
        <v>451</v>
      </c>
      <c r="F159" s="2926" t="s">
        <v>1179</v>
      </c>
      <c r="H159" s="2927"/>
      <c r="I159" s="2929"/>
      <c r="J159" s="3172">
        <f>J160+J162</f>
        <v>0</v>
      </c>
      <c r="K159" s="3172">
        <f>K160+K162</f>
        <v>0</v>
      </c>
      <c r="L159" s="3172">
        <f>L160+L162</f>
        <v>0</v>
      </c>
      <c r="M159" s="3170">
        <v>0</v>
      </c>
      <c r="N159" s="3169">
        <v>0</v>
      </c>
      <c r="O159" s="3169">
        <f>O160+O162</f>
        <v>97365000</v>
      </c>
      <c r="P159" s="3169">
        <f>P160+P162</f>
        <v>375000000</v>
      </c>
      <c r="Q159" s="3169">
        <f>Q160+Q162</f>
        <v>375000000</v>
      </c>
      <c r="R159" s="3611">
        <v>0</v>
      </c>
      <c r="S159" s="3708"/>
      <c r="T159" s="3827"/>
      <c r="U159" s="3784"/>
      <c r="V159" s="2938">
        <f t="shared" si="29"/>
        <v>389460000</v>
      </c>
    </row>
    <row r="160" spans="1:22" s="257" customFormat="1" ht="15.05" customHeight="1">
      <c r="A160" s="2875"/>
      <c r="B160" s="2875"/>
      <c r="C160" s="2875"/>
      <c r="D160" s="2876"/>
      <c r="E160" s="2876"/>
      <c r="F160" s="1856" t="s">
        <v>411</v>
      </c>
      <c r="G160" s="847"/>
      <c r="H160" s="200"/>
      <c r="I160" s="217"/>
      <c r="J160" s="3171"/>
      <c r="K160" s="3171"/>
      <c r="L160" s="3125">
        <v>0</v>
      </c>
      <c r="M160" s="3190">
        <v>9495000</v>
      </c>
      <c r="N160" s="3191">
        <v>15445000</v>
      </c>
      <c r="O160" s="3128">
        <v>24940000</v>
      </c>
      <c r="P160" s="3128">
        <f>+P161</f>
        <v>75000000</v>
      </c>
      <c r="Q160" s="3128">
        <f>+P160-L160</f>
        <v>75000000</v>
      </c>
      <c r="R160" s="3605">
        <v>0</v>
      </c>
      <c r="S160" s="3275"/>
      <c r="T160" s="3826"/>
      <c r="U160" s="3778"/>
      <c r="V160" s="1846"/>
    </row>
    <row r="161" spans="1:22" s="257" customFormat="1" ht="15.05" customHeight="1">
      <c r="A161" s="2875"/>
      <c r="B161" s="2875"/>
      <c r="C161" s="2875"/>
      <c r="D161" s="2876"/>
      <c r="E161" s="2876"/>
      <c r="F161" s="2744" t="s">
        <v>50</v>
      </c>
      <c r="G161" s="224" t="s">
        <v>1239</v>
      </c>
      <c r="H161" s="200"/>
      <c r="I161" s="217"/>
      <c r="J161" s="3171"/>
      <c r="K161" s="3171"/>
      <c r="L161" s="3125">
        <v>0</v>
      </c>
      <c r="M161" s="3190">
        <v>9495000</v>
      </c>
      <c r="N161" s="3192">
        <v>15445000</v>
      </c>
      <c r="O161" s="3165">
        <v>24940000</v>
      </c>
      <c r="P161" s="3165">
        <v>75000000</v>
      </c>
      <c r="Q161" s="3165">
        <f>+P161-L161</f>
        <v>75000000</v>
      </c>
      <c r="R161" s="3605">
        <v>0</v>
      </c>
      <c r="S161" s="3275"/>
      <c r="T161" s="3826"/>
      <c r="U161" s="3778"/>
      <c r="V161" s="1846"/>
    </row>
    <row r="162" spans="1:22" s="257" customFormat="1" ht="14.1" customHeight="1">
      <c r="A162" s="1855"/>
      <c r="B162" s="1855"/>
      <c r="C162" s="1855"/>
      <c r="D162" s="4020"/>
      <c r="E162" s="4020"/>
      <c r="F162" s="1856" t="s">
        <v>122</v>
      </c>
      <c r="G162" s="1860"/>
      <c r="H162" s="202"/>
      <c r="I162" s="218"/>
      <c r="J162" s="3123"/>
      <c r="K162" s="3123"/>
      <c r="L162" s="3182">
        <v>0</v>
      </c>
      <c r="M162" s="3183">
        <v>72425000</v>
      </c>
      <c r="N162" s="3182">
        <v>0</v>
      </c>
      <c r="O162" s="3182">
        <v>72425000</v>
      </c>
      <c r="P162" s="3182">
        <f>P163</f>
        <v>300000000</v>
      </c>
      <c r="Q162" s="3182">
        <f>Q163</f>
        <v>300000000</v>
      </c>
      <c r="R162" s="3914">
        <v>0</v>
      </c>
      <c r="S162" s="3915"/>
      <c r="T162" s="3916"/>
      <c r="U162" s="3781"/>
      <c r="V162" s="1846"/>
    </row>
    <row r="163" spans="1:22" s="257" customFormat="1" ht="15.05" customHeight="1">
      <c r="A163" s="1855"/>
      <c r="B163" s="1855"/>
      <c r="C163" s="1855"/>
      <c r="D163" s="4020"/>
      <c r="E163" s="4020"/>
      <c r="F163" s="2744" t="s">
        <v>50</v>
      </c>
      <c r="G163" s="224" t="s">
        <v>413</v>
      </c>
      <c r="H163" s="200"/>
      <c r="I163" s="217"/>
      <c r="J163" s="3171"/>
      <c r="K163" s="3171"/>
      <c r="L163" s="3125">
        <v>0</v>
      </c>
      <c r="M163" s="3124">
        <v>72425000</v>
      </c>
      <c r="N163" s="3125">
        <v>0</v>
      </c>
      <c r="O163" s="3125">
        <v>72425000</v>
      </c>
      <c r="P163" s="3125">
        <v>300000000</v>
      </c>
      <c r="Q163" s="3125">
        <v>300000000</v>
      </c>
      <c r="R163" s="3926">
        <v>0</v>
      </c>
      <c r="S163" s="3971"/>
      <c r="T163" s="3927"/>
      <c r="U163" s="3778">
        <v>0</v>
      </c>
      <c r="V163" s="1846"/>
    </row>
    <row r="164" spans="1:22" s="257" customFormat="1" ht="15.05" customHeight="1">
      <c r="A164" s="5157"/>
      <c r="B164" s="5157"/>
      <c r="C164" s="5157"/>
      <c r="D164" s="5158"/>
      <c r="E164" s="5158"/>
      <c r="F164" s="2744"/>
      <c r="G164" s="224"/>
      <c r="H164" s="200"/>
      <c r="I164" s="3959"/>
      <c r="J164" s="3960"/>
      <c r="K164" s="3960"/>
      <c r="L164" s="5159"/>
      <c r="M164" s="3124"/>
      <c r="N164" s="5159"/>
      <c r="O164" s="5159"/>
      <c r="P164" s="5159"/>
      <c r="Q164" s="5159"/>
      <c r="R164" s="5160"/>
      <c r="S164" s="3274"/>
      <c r="T164" s="3927"/>
      <c r="U164" s="3778"/>
      <c r="V164" s="1846"/>
    </row>
    <row r="165" spans="1:22" s="257" customFormat="1" ht="15.05" customHeight="1">
      <c r="A165" s="1855"/>
      <c r="B165" s="1855"/>
      <c r="C165" s="1855"/>
      <c r="D165" s="1855"/>
      <c r="E165" s="1855"/>
      <c r="F165" s="1857"/>
      <c r="G165" s="1858"/>
      <c r="H165" s="200"/>
      <c r="I165" s="217"/>
      <c r="J165" s="3171"/>
      <c r="K165" s="3171"/>
      <c r="L165" s="3125"/>
      <c r="M165" s="3124">
        <v>0</v>
      </c>
      <c r="N165" s="3125"/>
      <c r="O165" s="3125">
        <v>0</v>
      </c>
      <c r="P165" s="3125"/>
      <c r="Q165" s="3125"/>
      <c r="R165" s="3605"/>
      <c r="S165" s="3702"/>
      <c r="T165" s="3820"/>
      <c r="U165" s="3771"/>
      <c r="V165" s="1846">
        <f t="shared" si="29"/>
        <v>0</v>
      </c>
    </row>
    <row r="166" spans="1:22" s="2932" customFormat="1" ht="15.05" customHeight="1">
      <c r="A166" s="2925">
        <v>4</v>
      </c>
      <c r="B166" s="2925">
        <v>1</v>
      </c>
      <c r="C166" s="2925">
        <v>2</v>
      </c>
      <c r="D166" s="2925" t="s">
        <v>438</v>
      </c>
      <c r="E166" s="2925" t="s">
        <v>448</v>
      </c>
      <c r="F166" s="2926" t="s">
        <v>361</v>
      </c>
      <c r="G166" s="2927"/>
      <c r="H166" s="2933"/>
      <c r="I166" s="2934"/>
      <c r="J166" s="3172">
        <f t="shared" ref="J166:P166" si="41">J167+J169+J181+J183+J188+J196</f>
        <v>2113387000</v>
      </c>
      <c r="K166" s="3172">
        <f t="shared" si="41"/>
        <v>2405649030</v>
      </c>
      <c r="L166" s="3172">
        <f t="shared" si="41"/>
        <v>2113387000</v>
      </c>
      <c r="M166" s="3172">
        <f t="shared" si="41"/>
        <v>312541550</v>
      </c>
      <c r="N166" s="3172">
        <f t="shared" si="41"/>
        <v>158104500</v>
      </c>
      <c r="O166" s="3172">
        <f t="shared" si="41"/>
        <v>470646050</v>
      </c>
      <c r="P166" s="3172">
        <f t="shared" si="41"/>
        <v>1992018000</v>
      </c>
      <c r="Q166" s="3169">
        <f>+P166-L166</f>
        <v>-121369000</v>
      </c>
      <c r="R166" s="3611">
        <f t="shared" ref="R166:R172" si="42">+P166/L166*100-100</f>
        <v>-5.7428667820896067</v>
      </c>
      <c r="S166" s="3708"/>
      <c r="T166" s="3827"/>
      <c r="U166" s="3776"/>
      <c r="V166" s="2931">
        <f t="shared" si="29"/>
        <v>1882584200</v>
      </c>
    </row>
    <row r="167" spans="1:22" s="257" customFormat="1" ht="15.05" customHeight="1">
      <c r="A167" s="1855"/>
      <c r="B167" s="1855"/>
      <c r="C167" s="1855"/>
      <c r="D167" s="1855"/>
      <c r="E167" s="1855"/>
      <c r="F167" s="1464" t="s">
        <v>537</v>
      </c>
      <c r="G167" s="1860"/>
      <c r="H167" s="202"/>
      <c r="I167" s="218"/>
      <c r="J167" s="3200">
        <f>J168</f>
        <v>0</v>
      </c>
      <c r="K167" s="3123">
        <v>0</v>
      </c>
      <c r="L167" s="3182">
        <v>0</v>
      </c>
      <c r="M167" s="3183">
        <v>0</v>
      </c>
      <c r="N167" s="3182">
        <v>0</v>
      </c>
      <c r="O167" s="3182">
        <v>0</v>
      </c>
      <c r="P167" s="3182">
        <v>0</v>
      </c>
      <c r="Q167" s="3182">
        <f t="shared" ref="Q167:Q203" si="43">+P167-L167</f>
        <v>0</v>
      </c>
      <c r="R167" s="3601">
        <v>0</v>
      </c>
      <c r="S167" s="3710"/>
      <c r="T167" s="3829"/>
      <c r="U167" s="3771"/>
      <c r="V167" s="1846">
        <f t="shared" si="29"/>
        <v>0</v>
      </c>
    </row>
    <row r="168" spans="1:22" s="257" customFormat="1" ht="15.05" customHeight="1">
      <c r="A168" s="1855"/>
      <c r="B168" s="1855"/>
      <c r="C168" s="1855"/>
      <c r="D168" s="1855"/>
      <c r="E168" s="1855"/>
      <c r="F168" s="1857" t="s">
        <v>50</v>
      </c>
      <c r="G168" s="1858"/>
      <c r="H168" s="200" t="s">
        <v>538</v>
      </c>
      <c r="I168" s="217"/>
      <c r="J168" s="3193">
        <v>0</v>
      </c>
      <c r="K168" s="3171">
        <v>0</v>
      </c>
      <c r="L168" s="3125">
        <v>0</v>
      </c>
      <c r="M168" s="3124">
        <v>0</v>
      </c>
      <c r="N168" s="3125">
        <v>0</v>
      </c>
      <c r="O168" s="3125">
        <v>0</v>
      </c>
      <c r="P168" s="3125">
        <v>0</v>
      </c>
      <c r="Q168" s="3125">
        <f t="shared" si="43"/>
        <v>0</v>
      </c>
      <c r="R168" s="3605">
        <v>0</v>
      </c>
      <c r="S168" s="3275"/>
      <c r="T168" s="3826"/>
      <c r="U168" s="3771"/>
      <c r="V168" s="1846">
        <f t="shared" si="29"/>
        <v>0</v>
      </c>
    </row>
    <row r="169" spans="1:22" s="257" customFormat="1" ht="15.05" customHeight="1">
      <c r="A169" s="1855"/>
      <c r="B169" s="1855"/>
      <c r="C169" s="1855"/>
      <c r="D169" s="1855"/>
      <c r="E169" s="1855"/>
      <c r="F169" s="1464" t="s">
        <v>463</v>
      </c>
      <c r="G169" s="1860"/>
      <c r="H169" s="202"/>
      <c r="I169" s="218"/>
      <c r="J169" s="3200">
        <f t="shared" ref="J169:P169" si="44">SUM(J170:J180)</f>
        <v>1064387000</v>
      </c>
      <c r="K169" s="3200">
        <f t="shared" si="44"/>
        <v>969658000</v>
      </c>
      <c r="L169" s="3200">
        <f t="shared" si="44"/>
        <v>1074387000</v>
      </c>
      <c r="M169" s="3200">
        <f t="shared" si="44"/>
        <v>256284000</v>
      </c>
      <c r="N169" s="3200">
        <f t="shared" si="44"/>
        <v>37860000</v>
      </c>
      <c r="O169" s="3200">
        <f t="shared" si="44"/>
        <v>294144000</v>
      </c>
      <c r="P169" s="3200">
        <f t="shared" si="44"/>
        <v>953018000</v>
      </c>
      <c r="Q169" s="3182">
        <f t="shared" si="43"/>
        <v>-121369000</v>
      </c>
      <c r="R169" s="3601">
        <f t="shared" si="42"/>
        <v>-11.296581213287197</v>
      </c>
      <c r="S169" s="3710"/>
      <c r="T169" s="3829"/>
      <c r="U169" s="3771"/>
      <c r="V169" s="1846">
        <f t="shared" si="29"/>
        <v>1176576000</v>
      </c>
    </row>
    <row r="170" spans="1:22" s="257" customFormat="1" ht="15.05" customHeight="1">
      <c r="A170" s="1855"/>
      <c r="B170" s="1855"/>
      <c r="C170" s="1855"/>
      <c r="D170" s="1855"/>
      <c r="E170" s="1855"/>
      <c r="F170" s="1857" t="s">
        <v>50</v>
      </c>
      <c r="G170" s="1858"/>
      <c r="H170" s="200" t="str">
        <f>MAR!I621</f>
        <v>UPB Peninjauan</v>
      </c>
      <c r="I170" s="217"/>
      <c r="J170" s="3193">
        <v>259229500</v>
      </c>
      <c r="K170" s="3171">
        <v>410279000</v>
      </c>
      <c r="L170" s="3125">
        <v>259229500</v>
      </c>
      <c r="M170" s="3124">
        <v>133580000</v>
      </c>
      <c r="N170" s="3125">
        <v>11430000</v>
      </c>
      <c r="O170" s="3125">
        <v>145010000</v>
      </c>
      <c r="P170" s="3125">
        <v>281240000</v>
      </c>
      <c r="Q170" s="3125">
        <f t="shared" si="43"/>
        <v>22010500</v>
      </c>
      <c r="R170" s="3605">
        <f t="shared" si="42"/>
        <v>8.4907389012438728</v>
      </c>
      <c r="S170" s="3275"/>
      <c r="T170" s="3826"/>
      <c r="U170" s="3771"/>
      <c r="V170" s="1846">
        <f t="shared" si="29"/>
        <v>580040000</v>
      </c>
    </row>
    <row r="171" spans="1:22" s="257" customFormat="1" ht="15.05" customHeight="1">
      <c r="A171" s="1855"/>
      <c r="B171" s="1855"/>
      <c r="C171" s="1855"/>
      <c r="D171" s="1855"/>
      <c r="E171" s="1855"/>
      <c r="F171" s="1857" t="s">
        <v>50</v>
      </c>
      <c r="G171" s="1858"/>
      <c r="H171" s="200" t="str">
        <f>MAR!I622</f>
        <v>UPB Puyung</v>
      </c>
      <c r="I171" s="217"/>
      <c r="J171" s="3193">
        <v>374739500</v>
      </c>
      <c r="K171" s="3171">
        <v>210010000</v>
      </c>
      <c r="L171" s="3125">
        <v>374739500</v>
      </c>
      <c r="M171" s="3124">
        <v>28650000</v>
      </c>
      <c r="N171" s="3125">
        <v>2310000</v>
      </c>
      <c r="O171" s="3125">
        <v>30960000</v>
      </c>
      <c r="P171" s="3125">
        <v>246440000</v>
      </c>
      <c r="Q171" s="3125">
        <f t="shared" si="43"/>
        <v>-128299500</v>
      </c>
      <c r="R171" s="3605">
        <f t="shared" si="42"/>
        <v>-34.236983291059516</v>
      </c>
      <c r="S171" s="3275"/>
      <c r="T171" s="3826"/>
      <c r="U171" s="3771"/>
      <c r="V171" s="1846">
        <f t="shared" si="29"/>
        <v>123840000</v>
      </c>
    </row>
    <row r="172" spans="1:22" s="257" customFormat="1" ht="15.05" customHeight="1">
      <c r="A172" s="1855"/>
      <c r="B172" s="1855"/>
      <c r="C172" s="1855"/>
      <c r="D172" s="1855"/>
      <c r="E172" s="1855"/>
      <c r="F172" s="1857" t="s">
        <v>50</v>
      </c>
      <c r="G172" s="1858"/>
      <c r="H172" s="200" t="str">
        <f>MAR!I623</f>
        <v>UPB Uthan</v>
      </c>
      <c r="I172" s="217"/>
      <c r="J172" s="3193">
        <v>271618000</v>
      </c>
      <c r="K172" s="3171">
        <v>193340000</v>
      </c>
      <c r="L172" s="3125">
        <v>271618000</v>
      </c>
      <c r="M172" s="3124">
        <v>32440000</v>
      </c>
      <c r="N172" s="3125">
        <v>0</v>
      </c>
      <c r="O172" s="3125">
        <v>32440000</v>
      </c>
      <c r="P172" s="3125">
        <v>271985000</v>
      </c>
      <c r="Q172" s="3125">
        <f t="shared" si="43"/>
        <v>367000</v>
      </c>
      <c r="R172" s="3605">
        <f t="shared" si="42"/>
        <v>0.13511622941042845</v>
      </c>
      <c r="S172" s="3275"/>
      <c r="T172" s="3826"/>
      <c r="U172" s="3771"/>
      <c r="V172" s="1846">
        <f t="shared" si="29"/>
        <v>129760000</v>
      </c>
    </row>
    <row r="173" spans="1:22" s="257" customFormat="1" ht="15.05" customHeight="1">
      <c r="A173" s="1855"/>
      <c r="B173" s="1855"/>
      <c r="C173" s="1855"/>
      <c r="D173" s="1855"/>
      <c r="E173" s="1855"/>
      <c r="F173" s="1857" t="s">
        <v>50</v>
      </c>
      <c r="G173" s="1858"/>
      <c r="H173" s="200" t="str">
        <f>MAR!I624</f>
        <v>BKUT Kotaraja</v>
      </c>
      <c r="I173" s="217"/>
      <c r="J173" s="3193" t="s">
        <v>50</v>
      </c>
      <c r="K173" s="3171" t="s">
        <v>50</v>
      </c>
      <c r="L173" s="3125">
        <v>0</v>
      </c>
      <c r="M173" s="3124">
        <v>0</v>
      </c>
      <c r="N173" s="3125">
        <v>0</v>
      </c>
      <c r="O173" s="3125">
        <v>0</v>
      </c>
      <c r="P173" s="3125">
        <v>0</v>
      </c>
      <c r="Q173" s="3125">
        <f t="shared" si="43"/>
        <v>0</v>
      </c>
      <c r="R173" s="3605">
        <v>0</v>
      </c>
      <c r="S173" s="3275"/>
      <c r="T173" s="3826"/>
      <c r="U173" s="3771"/>
      <c r="V173" s="1846">
        <f t="shared" si="29"/>
        <v>0</v>
      </c>
    </row>
    <row r="174" spans="1:22" s="257" customFormat="1" ht="15.05" customHeight="1">
      <c r="A174" s="1855"/>
      <c r="B174" s="1855"/>
      <c r="C174" s="1855"/>
      <c r="D174" s="1855"/>
      <c r="E174" s="1855"/>
      <c r="F174" s="1857" t="s">
        <v>50</v>
      </c>
      <c r="G174" s="1858"/>
      <c r="H174" s="200" t="str">
        <f>MAR!I625</f>
        <v>UPB Kesik</v>
      </c>
      <c r="I174" s="217"/>
      <c r="J174" s="3193" t="s">
        <v>50</v>
      </c>
      <c r="K174" s="3171" t="s">
        <v>50</v>
      </c>
      <c r="L174" s="3125">
        <v>0</v>
      </c>
      <c r="M174" s="3124">
        <v>0</v>
      </c>
      <c r="N174" s="3125">
        <v>0</v>
      </c>
      <c r="O174" s="3125">
        <v>0</v>
      </c>
      <c r="P174" s="3125">
        <v>0</v>
      </c>
      <c r="Q174" s="3125">
        <f t="shared" si="43"/>
        <v>0</v>
      </c>
      <c r="R174" s="3605">
        <v>0</v>
      </c>
      <c r="S174" s="3275"/>
      <c r="T174" s="3826"/>
      <c r="U174" s="3771"/>
      <c r="V174" s="1846">
        <f t="shared" si="29"/>
        <v>0</v>
      </c>
    </row>
    <row r="175" spans="1:22" s="257" customFormat="1" ht="15.05" customHeight="1">
      <c r="A175" s="1855"/>
      <c r="B175" s="1855"/>
      <c r="C175" s="1855"/>
      <c r="D175" s="1855"/>
      <c r="E175" s="1855"/>
      <c r="F175" s="1857" t="s">
        <v>50</v>
      </c>
      <c r="G175" s="1858"/>
      <c r="H175" s="200" t="str">
        <f>MAR!I626</f>
        <v>UPB Sedau</v>
      </c>
      <c r="I175" s="217"/>
      <c r="J175" s="3193">
        <v>46200000</v>
      </c>
      <c r="K175" s="3171">
        <v>46600000</v>
      </c>
      <c r="L175" s="3125">
        <v>46200000</v>
      </c>
      <c r="M175" s="3124">
        <v>29700000</v>
      </c>
      <c r="N175" s="3125">
        <v>0</v>
      </c>
      <c r="O175" s="3125">
        <v>29700000</v>
      </c>
      <c r="P175" s="3125">
        <v>50200000</v>
      </c>
      <c r="Q175" s="3125">
        <f t="shared" si="43"/>
        <v>4000000</v>
      </c>
      <c r="R175" s="3605">
        <f>+P175/L175*100-100</f>
        <v>8.6580086580086544</v>
      </c>
      <c r="S175" s="3275"/>
      <c r="T175" s="3826"/>
      <c r="U175" s="3771"/>
      <c r="V175" s="1846">
        <f t="shared" ref="V175:V215" si="45">O175*4</f>
        <v>118800000</v>
      </c>
    </row>
    <row r="176" spans="1:22" s="257" customFormat="1" ht="15.05" customHeight="1">
      <c r="A176" s="1855"/>
      <c r="B176" s="1855"/>
      <c r="C176" s="1855"/>
      <c r="D176" s="1855"/>
      <c r="E176" s="1855"/>
      <c r="F176" s="1857" t="s">
        <v>50</v>
      </c>
      <c r="G176" s="1858"/>
      <c r="H176" s="200" t="str">
        <f>MAR!I627</f>
        <v>UPB Santong</v>
      </c>
      <c r="I176" s="217"/>
      <c r="J176" s="3193">
        <v>88200000</v>
      </c>
      <c r="K176" s="3171">
        <v>74940000</v>
      </c>
      <c r="L176" s="3125">
        <v>88200000</v>
      </c>
      <c r="M176" s="3124">
        <v>16920000</v>
      </c>
      <c r="N176" s="3125">
        <v>24120000</v>
      </c>
      <c r="O176" s="3125">
        <v>41040000</v>
      </c>
      <c r="P176" s="3125">
        <v>68200000</v>
      </c>
      <c r="Q176" s="3125">
        <f t="shared" si="43"/>
        <v>-20000000</v>
      </c>
      <c r="R176" s="3605">
        <f>+P176/L176*100-100</f>
        <v>-22.675736961451236</v>
      </c>
      <c r="S176" s="3275"/>
      <c r="T176" s="3826"/>
      <c r="U176" s="3771"/>
      <c r="V176" s="1846">
        <f t="shared" si="45"/>
        <v>164160000</v>
      </c>
    </row>
    <row r="177" spans="1:22" s="257" customFormat="1" ht="15.05" customHeight="1">
      <c r="A177" s="1855"/>
      <c r="B177" s="1855"/>
      <c r="C177" s="1855"/>
      <c r="D177" s="1855"/>
      <c r="E177" s="1855"/>
      <c r="F177" s="1857" t="s">
        <v>50</v>
      </c>
      <c r="G177" s="1858"/>
      <c r="H177" s="200" t="str">
        <f>MAR!I628</f>
        <v>Kebun Timbanuh</v>
      </c>
      <c r="I177" s="217"/>
      <c r="J177" s="3193">
        <v>24400000</v>
      </c>
      <c r="K177" s="3171">
        <v>24453000</v>
      </c>
      <c r="L177" s="3125">
        <v>24400000</v>
      </c>
      <c r="M177" s="3124">
        <v>14994000</v>
      </c>
      <c r="N177" s="3125">
        <v>0</v>
      </c>
      <c r="O177" s="3125">
        <v>14994000</v>
      </c>
      <c r="P177" s="3125">
        <v>24453000</v>
      </c>
      <c r="Q177" s="3125">
        <f t="shared" si="43"/>
        <v>53000</v>
      </c>
      <c r="R177" s="3605">
        <f>+P177/L177*100-100</f>
        <v>0.21721311475408811</v>
      </c>
      <c r="S177" s="3275"/>
      <c r="T177" s="3826"/>
      <c r="U177" s="3771"/>
      <c r="V177" s="1846">
        <f t="shared" si="45"/>
        <v>59976000</v>
      </c>
    </row>
    <row r="178" spans="1:22" s="257" customFormat="1" ht="15.05" customHeight="1">
      <c r="A178" s="1855"/>
      <c r="B178" s="1855"/>
      <c r="C178" s="1855"/>
      <c r="D178" s="1855"/>
      <c r="E178" s="1855"/>
      <c r="F178" s="1857" t="s">
        <v>50</v>
      </c>
      <c r="G178" s="1858"/>
      <c r="H178" s="200" t="str">
        <f>MAR!I629</f>
        <v>Kerjasama dengan penangkar</v>
      </c>
      <c r="I178" s="217"/>
      <c r="J178" s="3193" t="s">
        <v>50</v>
      </c>
      <c r="K178" s="3171">
        <v>10036000</v>
      </c>
      <c r="L178" s="3125">
        <v>0</v>
      </c>
      <c r="M178" s="3124">
        <v>0</v>
      </c>
      <c r="N178" s="3125">
        <v>0</v>
      </c>
      <c r="O178" s="3125">
        <v>0</v>
      </c>
      <c r="P178" s="3125">
        <v>0</v>
      </c>
      <c r="Q178" s="3125">
        <f t="shared" si="43"/>
        <v>0</v>
      </c>
      <c r="R178" s="3605">
        <v>0</v>
      </c>
      <c r="S178" s="3275"/>
      <c r="T178" s="3826"/>
      <c r="U178" s="3771"/>
      <c r="V178" s="1846">
        <f t="shared" si="45"/>
        <v>0</v>
      </c>
    </row>
    <row r="179" spans="1:22" s="257" customFormat="1" ht="15.05" customHeight="1">
      <c r="A179" s="1855"/>
      <c r="B179" s="1855"/>
      <c r="C179" s="1855"/>
      <c r="D179" s="1855"/>
      <c r="E179" s="1855"/>
      <c r="F179" s="1857" t="s">
        <v>50</v>
      </c>
      <c r="G179" s="1858"/>
      <c r="H179" s="200" t="str">
        <f>MAR!I630</f>
        <v>Hasil Kebun (SPPN Mataram)</v>
      </c>
      <c r="I179" s="217"/>
      <c r="J179" s="3171"/>
      <c r="K179" s="3171"/>
      <c r="L179" s="3125">
        <v>0</v>
      </c>
      <c r="M179" s="3124">
        <v>0</v>
      </c>
      <c r="N179" s="3125">
        <v>0</v>
      </c>
      <c r="O179" s="3125">
        <v>0</v>
      </c>
      <c r="P179" s="3125">
        <v>0</v>
      </c>
      <c r="Q179" s="3125">
        <f t="shared" si="43"/>
        <v>0</v>
      </c>
      <c r="R179" s="3605">
        <v>0</v>
      </c>
      <c r="S179" s="3275"/>
      <c r="T179" s="3826"/>
      <c r="U179" s="3771"/>
      <c r="V179" s="1846">
        <f t="shared" si="45"/>
        <v>0</v>
      </c>
    </row>
    <row r="180" spans="1:22" s="257" customFormat="1" ht="15.05" customHeight="1">
      <c r="A180" s="1855"/>
      <c r="B180" s="1855"/>
      <c r="C180" s="1855"/>
      <c r="D180" s="1855"/>
      <c r="E180" s="1855"/>
      <c r="F180" s="1857" t="s">
        <v>50</v>
      </c>
      <c r="G180" s="1858"/>
      <c r="H180" s="200" t="str">
        <f>MAR!I631</f>
        <v>Lain-lain (Sertifikasi Benih)</v>
      </c>
      <c r="I180" s="217"/>
      <c r="J180" s="3171"/>
      <c r="K180" s="3171"/>
      <c r="L180" s="3125">
        <v>10000000</v>
      </c>
      <c r="M180" s="3124">
        <v>0</v>
      </c>
      <c r="N180" s="3125">
        <v>0</v>
      </c>
      <c r="O180" s="3125">
        <v>0</v>
      </c>
      <c r="P180" s="3125">
        <v>10500000</v>
      </c>
      <c r="Q180" s="3125">
        <f t="shared" si="43"/>
        <v>500000</v>
      </c>
      <c r="R180" s="3605">
        <f>+P180/L180*100-100</f>
        <v>5</v>
      </c>
      <c r="S180" s="3275"/>
      <c r="T180" s="3826"/>
      <c r="U180" s="3771"/>
      <c r="V180" s="1846">
        <f t="shared" si="45"/>
        <v>0</v>
      </c>
    </row>
    <row r="181" spans="1:22" s="257" customFormat="1" ht="15.05" customHeight="1">
      <c r="A181" s="1855"/>
      <c r="B181" s="1855"/>
      <c r="C181" s="1855"/>
      <c r="D181" s="1855"/>
      <c r="E181" s="1855"/>
      <c r="F181" s="1464" t="s">
        <v>463</v>
      </c>
      <c r="G181" s="1858"/>
      <c r="H181" s="200"/>
      <c r="I181" s="217"/>
      <c r="J181" s="3171"/>
      <c r="K181" s="3171"/>
      <c r="L181" s="3125">
        <v>0</v>
      </c>
      <c r="M181" s="3124">
        <v>0</v>
      </c>
      <c r="N181" s="3125">
        <v>0</v>
      </c>
      <c r="O181" s="3125">
        <v>0</v>
      </c>
      <c r="P181" s="3125">
        <v>0</v>
      </c>
      <c r="Q181" s="3125">
        <f t="shared" si="43"/>
        <v>0</v>
      </c>
      <c r="R181" s="3605">
        <v>0</v>
      </c>
      <c r="S181" s="3275"/>
      <c r="T181" s="3826"/>
      <c r="U181" s="3771"/>
      <c r="V181" s="1846">
        <f t="shared" si="45"/>
        <v>0</v>
      </c>
    </row>
    <row r="182" spans="1:22" s="257" customFormat="1" ht="15.05" customHeight="1">
      <c r="A182" s="1855"/>
      <c r="B182" s="1855"/>
      <c r="C182" s="1855"/>
      <c r="D182" s="1855"/>
      <c r="E182" s="1855"/>
      <c r="F182" s="1857" t="s">
        <v>50</v>
      </c>
      <c r="G182" s="1858"/>
      <c r="H182" s="200" t="s">
        <v>539</v>
      </c>
      <c r="I182" s="217"/>
      <c r="J182" s="3171"/>
      <c r="K182" s="3171"/>
      <c r="L182" s="3125">
        <v>0</v>
      </c>
      <c r="M182" s="3124">
        <v>0</v>
      </c>
      <c r="N182" s="3125">
        <v>0</v>
      </c>
      <c r="O182" s="3125">
        <v>0</v>
      </c>
      <c r="P182" s="3125">
        <v>0</v>
      </c>
      <c r="Q182" s="3125">
        <f t="shared" si="43"/>
        <v>0</v>
      </c>
      <c r="R182" s="3605">
        <v>0</v>
      </c>
      <c r="S182" s="3275"/>
      <c r="T182" s="3826"/>
      <c r="U182" s="3771"/>
      <c r="V182" s="1846">
        <f t="shared" si="45"/>
        <v>0</v>
      </c>
    </row>
    <row r="183" spans="1:22" s="257" customFormat="1" ht="15.05" customHeight="1">
      <c r="A183" s="1855"/>
      <c r="B183" s="1855"/>
      <c r="C183" s="1855"/>
      <c r="D183" s="1855"/>
      <c r="E183" s="1855"/>
      <c r="F183" s="1464" t="s">
        <v>523</v>
      </c>
      <c r="G183" s="1860"/>
      <c r="H183" s="202"/>
      <c r="I183" s="218"/>
      <c r="J183" s="3123">
        <f>SUM(J184:J187)</f>
        <v>10000000</v>
      </c>
      <c r="K183" s="3123">
        <f t="shared" ref="K183:P183" si="46">SUM(K184:K187)</f>
        <v>42289500</v>
      </c>
      <c r="L183" s="3123">
        <f t="shared" si="46"/>
        <v>0</v>
      </c>
      <c r="M183" s="3123">
        <f t="shared" si="46"/>
        <v>0</v>
      </c>
      <c r="N183" s="3123">
        <f t="shared" si="46"/>
        <v>0</v>
      </c>
      <c r="O183" s="3123">
        <f t="shared" si="46"/>
        <v>0</v>
      </c>
      <c r="P183" s="3123">
        <f t="shared" si="46"/>
        <v>0</v>
      </c>
      <c r="Q183" s="3182">
        <f t="shared" si="43"/>
        <v>0</v>
      </c>
      <c r="R183" s="3601">
        <v>0</v>
      </c>
      <c r="S183" s="3710"/>
      <c r="T183" s="3829"/>
      <c r="U183" s="3771"/>
      <c r="V183" s="1846">
        <f t="shared" si="45"/>
        <v>0</v>
      </c>
    </row>
    <row r="184" spans="1:22" s="257" customFormat="1" ht="15.05" customHeight="1">
      <c r="A184" s="1855"/>
      <c r="B184" s="1855"/>
      <c r="C184" s="1855"/>
      <c r="D184" s="1855"/>
      <c r="E184" s="1855"/>
      <c r="F184" s="1857" t="s">
        <v>50</v>
      </c>
      <c r="G184" s="1858"/>
      <c r="H184" s="200" t="s">
        <v>540</v>
      </c>
      <c r="I184" s="217"/>
      <c r="J184" s="3193" t="s">
        <v>50</v>
      </c>
      <c r="K184" s="3193" t="s">
        <v>50</v>
      </c>
      <c r="L184" s="3125">
        <v>0</v>
      </c>
      <c r="M184" s="3124">
        <v>0</v>
      </c>
      <c r="N184" s="3125">
        <v>0</v>
      </c>
      <c r="O184" s="3125">
        <v>0</v>
      </c>
      <c r="P184" s="3125">
        <v>0</v>
      </c>
      <c r="Q184" s="3125">
        <f t="shared" si="43"/>
        <v>0</v>
      </c>
      <c r="R184" s="3605">
        <v>0</v>
      </c>
      <c r="S184" s="3275"/>
      <c r="T184" s="3826"/>
      <c r="U184" s="3771"/>
      <c r="V184" s="1846">
        <f t="shared" si="45"/>
        <v>0</v>
      </c>
    </row>
    <row r="185" spans="1:22" s="257" customFormat="1" ht="15.05" customHeight="1">
      <c r="A185" s="1855"/>
      <c r="B185" s="1855"/>
      <c r="C185" s="1855"/>
      <c r="D185" s="1855"/>
      <c r="E185" s="1855"/>
      <c r="F185" s="1857" t="s">
        <v>50</v>
      </c>
      <c r="G185" s="1858"/>
      <c r="H185" s="200" t="s">
        <v>541</v>
      </c>
      <c r="I185" s="217"/>
      <c r="J185" s="3193" t="s">
        <v>50</v>
      </c>
      <c r="K185" s="3193" t="s">
        <v>50</v>
      </c>
      <c r="L185" s="3125">
        <v>0</v>
      </c>
      <c r="M185" s="3124">
        <v>0</v>
      </c>
      <c r="N185" s="3125">
        <v>0</v>
      </c>
      <c r="O185" s="3125">
        <v>0</v>
      </c>
      <c r="P185" s="3125">
        <v>0</v>
      </c>
      <c r="Q185" s="3125">
        <f t="shared" si="43"/>
        <v>0</v>
      </c>
      <c r="R185" s="3605">
        <v>0</v>
      </c>
      <c r="S185" s="3275"/>
      <c r="T185" s="3826"/>
      <c r="U185" s="3771"/>
      <c r="V185" s="1846">
        <f t="shared" si="45"/>
        <v>0</v>
      </c>
    </row>
    <row r="186" spans="1:22" s="257" customFormat="1" ht="15.05" customHeight="1">
      <c r="A186" s="1855"/>
      <c r="B186" s="1855"/>
      <c r="C186" s="1855"/>
      <c r="D186" s="1855"/>
      <c r="E186" s="1855"/>
      <c r="F186" s="1857" t="s">
        <v>50</v>
      </c>
      <c r="G186" s="1858"/>
      <c r="H186" s="200" t="s">
        <v>542</v>
      </c>
      <c r="I186" s="217"/>
      <c r="J186" s="3193" t="s">
        <v>50</v>
      </c>
      <c r="K186" s="3193" t="s">
        <v>50</v>
      </c>
      <c r="L186" s="3125">
        <v>0</v>
      </c>
      <c r="M186" s="3124">
        <v>0</v>
      </c>
      <c r="N186" s="3125">
        <v>0</v>
      </c>
      <c r="O186" s="3125">
        <v>0</v>
      </c>
      <c r="P186" s="3125">
        <v>0</v>
      </c>
      <c r="Q186" s="3125">
        <f t="shared" si="43"/>
        <v>0</v>
      </c>
      <c r="R186" s="3605">
        <v>0</v>
      </c>
      <c r="S186" s="3275"/>
      <c r="T186" s="3826"/>
      <c r="U186" s="3771"/>
      <c r="V186" s="1846">
        <f t="shared" si="45"/>
        <v>0</v>
      </c>
    </row>
    <row r="187" spans="1:22" s="257" customFormat="1" ht="15.05" customHeight="1">
      <c r="A187" s="1855"/>
      <c r="B187" s="1855"/>
      <c r="C187" s="1855"/>
      <c r="D187" s="1855"/>
      <c r="E187" s="1855"/>
      <c r="F187" s="1857" t="s">
        <v>50</v>
      </c>
      <c r="G187" s="1858"/>
      <c r="H187" s="200" t="s">
        <v>543</v>
      </c>
      <c r="I187" s="217"/>
      <c r="J187" s="3193">
        <v>10000000</v>
      </c>
      <c r="K187" s="3193">
        <v>42289500</v>
      </c>
      <c r="L187" s="3125">
        <v>0</v>
      </c>
      <c r="M187" s="3124">
        <v>0</v>
      </c>
      <c r="N187" s="3125">
        <v>0</v>
      </c>
      <c r="O187" s="3125">
        <v>0</v>
      </c>
      <c r="P187" s="3125">
        <v>0</v>
      </c>
      <c r="Q187" s="3125">
        <f t="shared" si="43"/>
        <v>0</v>
      </c>
      <c r="R187" s="3605">
        <v>0</v>
      </c>
      <c r="S187" s="3275"/>
      <c r="T187" s="3826"/>
      <c r="U187" s="3771"/>
      <c r="V187" s="1846">
        <f t="shared" si="45"/>
        <v>0</v>
      </c>
    </row>
    <row r="188" spans="1:22" s="257" customFormat="1" ht="15.05" customHeight="1">
      <c r="A188" s="1855"/>
      <c r="B188" s="1855"/>
      <c r="C188" s="1855"/>
      <c r="D188" s="1855"/>
      <c r="E188" s="1855"/>
      <c r="F188" s="1464" t="s">
        <v>544</v>
      </c>
      <c r="G188" s="1860"/>
      <c r="H188" s="202"/>
      <c r="I188" s="218"/>
      <c r="J188" s="3123">
        <f t="shared" ref="J188:P188" si="47">SUM(J189:J195)</f>
        <v>219000000</v>
      </c>
      <c r="K188" s="3123">
        <f t="shared" si="47"/>
        <v>502760530</v>
      </c>
      <c r="L188" s="3123">
        <f t="shared" si="47"/>
        <v>219000000</v>
      </c>
      <c r="M188" s="3123">
        <f t="shared" si="47"/>
        <v>858050</v>
      </c>
      <c r="N188" s="3123">
        <f t="shared" si="47"/>
        <v>0</v>
      </c>
      <c r="O188" s="3123">
        <f t="shared" si="47"/>
        <v>858050</v>
      </c>
      <c r="P188" s="3123">
        <f t="shared" si="47"/>
        <v>219000000</v>
      </c>
      <c r="Q188" s="3182">
        <f t="shared" si="43"/>
        <v>0</v>
      </c>
      <c r="R188" s="3601">
        <f>+P188/L188*100-100</f>
        <v>0</v>
      </c>
      <c r="S188" s="3710"/>
      <c r="T188" s="3829"/>
      <c r="U188" s="3771"/>
      <c r="V188" s="1846">
        <f t="shared" si="45"/>
        <v>3432200</v>
      </c>
    </row>
    <row r="189" spans="1:22" s="1538" customFormat="1" ht="15.05" customHeight="1">
      <c r="A189" s="1855"/>
      <c r="B189" s="1855"/>
      <c r="C189" s="1855"/>
      <c r="D189" s="1855"/>
      <c r="E189" s="1855"/>
      <c r="F189" s="1857" t="s">
        <v>50</v>
      </c>
      <c r="G189" s="1858"/>
      <c r="H189" s="200" t="str">
        <f>MAR!I649</f>
        <v>Penj. Sapi fetening</v>
      </c>
      <c r="I189" s="217"/>
      <c r="J189" s="3171">
        <v>0</v>
      </c>
      <c r="K189" s="3171">
        <v>777000</v>
      </c>
      <c r="L189" s="3125">
        <v>0</v>
      </c>
      <c r="M189" s="3124">
        <v>0</v>
      </c>
      <c r="N189" s="3125">
        <v>0</v>
      </c>
      <c r="O189" s="3125">
        <v>0</v>
      </c>
      <c r="P189" s="3125">
        <v>0</v>
      </c>
      <c r="Q189" s="3125">
        <f t="shared" si="43"/>
        <v>0</v>
      </c>
      <c r="R189" s="3605">
        <v>0</v>
      </c>
      <c r="S189" s="3275"/>
      <c r="T189" s="3826"/>
      <c r="U189" s="3771"/>
      <c r="V189" s="1846">
        <f t="shared" si="45"/>
        <v>0</v>
      </c>
    </row>
    <row r="190" spans="1:22" s="1538" customFormat="1" ht="15.05" customHeight="1">
      <c r="A190" s="1855"/>
      <c r="B190" s="1855"/>
      <c r="C190" s="1855"/>
      <c r="D190" s="1855"/>
      <c r="E190" s="1855"/>
      <c r="F190" s="1857" t="s">
        <v>50</v>
      </c>
      <c r="G190" s="1858"/>
      <c r="H190" s="200" t="str">
        <f>MAR!I650</f>
        <v>Inseminasi buatan BLPKH Banyumulek</v>
      </c>
      <c r="I190" s="217"/>
      <c r="J190" s="3171">
        <v>75000000</v>
      </c>
      <c r="K190" s="3171">
        <v>76523650</v>
      </c>
      <c r="L190" s="3125">
        <v>75000000</v>
      </c>
      <c r="M190" s="3124">
        <v>858050</v>
      </c>
      <c r="N190" s="3125">
        <v>0</v>
      </c>
      <c r="O190" s="3125">
        <v>858050</v>
      </c>
      <c r="P190" s="3125">
        <v>75000000</v>
      </c>
      <c r="Q190" s="3125">
        <f t="shared" si="43"/>
        <v>0</v>
      </c>
      <c r="R190" s="3605">
        <f>+P190/L190*100-100</f>
        <v>0</v>
      </c>
      <c r="S190" s="3275"/>
      <c r="T190" s="3826"/>
      <c r="U190" s="3771"/>
      <c r="V190" s="1846">
        <f t="shared" si="45"/>
        <v>3432200</v>
      </c>
    </row>
    <row r="191" spans="1:22" s="1538" customFormat="1" ht="15.05" customHeight="1">
      <c r="A191" s="1855"/>
      <c r="B191" s="1855"/>
      <c r="C191" s="1855"/>
      <c r="D191" s="1855"/>
      <c r="E191" s="1855"/>
      <c r="F191" s="1857" t="s">
        <v>50</v>
      </c>
      <c r="G191" s="1858"/>
      <c r="H191" s="200" t="str">
        <f>MAR!I651</f>
        <v>Penj. HMT BPTHMT Serading Sumbawa</v>
      </c>
      <c r="I191" s="217"/>
      <c r="J191" s="3171">
        <v>19000000</v>
      </c>
      <c r="K191" s="3171">
        <v>58119880</v>
      </c>
      <c r="L191" s="3125">
        <v>19000000</v>
      </c>
      <c r="M191" s="3124">
        <v>0</v>
      </c>
      <c r="N191" s="3125">
        <v>0</v>
      </c>
      <c r="O191" s="3125">
        <v>0</v>
      </c>
      <c r="P191" s="3125">
        <v>19000000</v>
      </c>
      <c r="Q191" s="3125">
        <f t="shared" si="43"/>
        <v>0</v>
      </c>
      <c r="R191" s="3605">
        <f>+P191/L191*100-100</f>
        <v>0</v>
      </c>
      <c r="S191" s="3275"/>
      <c r="T191" s="3826"/>
      <c r="U191" s="3771"/>
      <c r="V191" s="1846">
        <f t="shared" si="45"/>
        <v>0</v>
      </c>
    </row>
    <row r="192" spans="1:22" s="1538" customFormat="1" ht="15.05" customHeight="1">
      <c r="A192" s="1855"/>
      <c r="B192" s="1855"/>
      <c r="C192" s="1855"/>
      <c r="D192" s="1855"/>
      <c r="E192" s="1855"/>
      <c r="F192" s="1857" t="s">
        <v>50</v>
      </c>
      <c r="G192" s="1858"/>
      <c r="H192" s="200" t="str">
        <f>MAR!I652</f>
        <v>Penj.Ternak tdk layak bibit Serading</v>
      </c>
      <c r="I192" s="217"/>
      <c r="J192" s="3171">
        <v>125000000</v>
      </c>
      <c r="K192" s="3171">
        <v>367340000</v>
      </c>
      <c r="L192" s="3125">
        <v>125000000</v>
      </c>
      <c r="M192" s="3124">
        <v>0</v>
      </c>
      <c r="N192" s="3125">
        <v>0</v>
      </c>
      <c r="O192" s="3125">
        <v>0</v>
      </c>
      <c r="P192" s="3125">
        <v>125000000</v>
      </c>
      <c r="Q192" s="3125">
        <f t="shared" si="43"/>
        <v>0</v>
      </c>
      <c r="R192" s="3605">
        <f>+P192/L192*100-100</f>
        <v>0</v>
      </c>
      <c r="S192" s="3275"/>
      <c r="T192" s="3826"/>
      <c r="U192" s="3771"/>
      <c r="V192" s="1846">
        <f t="shared" si="45"/>
        <v>0</v>
      </c>
    </row>
    <row r="193" spans="1:22" s="1538" customFormat="1" ht="15.05" customHeight="1">
      <c r="A193" s="1855"/>
      <c r="B193" s="1855"/>
      <c r="C193" s="1855"/>
      <c r="D193" s="1855"/>
      <c r="E193" s="1855"/>
      <c r="F193" s="1857" t="s">
        <v>50</v>
      </c>
      <c r="G193" s="1858"/>
      <c r="H193" s="200" t="str">
        <f>MAR!I653</f>
        <v xml:space="preserve">Penj. Susu &amp; Sapi perah non produktif BIB </v>
      </c>
      <c r="I193" s="217"/>
      <c r="J193" s="3193" t="s">
        <v>50</v>
      </c>
      <c r="K193" s="3193" t="s">
        <v>50</v>
      </c>
      <c r="L193" s="3125">
        <v>0</v>
      </c>
      <c r="M193" s="3124">
        <v>0</v>
      </c>
      <c r="N193" s="3125">
        <v>0</v>
      </c>
      <c r="O193" s="3125">
        <v>0</v>
      </c>
      <c r="P193" s="3125">
        <v>0</v>
      </c>
      <c r="Q193" s="3125">
        <f t="shared" si="43"/>
        <v>0</v>
      </c>
      <c r="R193" s="3605">
        <v>0</v>
      </c>
      <c r="S193" s="3275"/>
      <c r="T193" s="3826"/>
      <c r="U193" s="3771"/>
      <c r="V193" s="1846">
        <f t="shared" si="45"/>
        <v>0</v>
      </c>
    </row>
    <row r="194" spans="1:22" s="1538" customFormat="1" ht="15.05" customHeight="1">
      <c r="A194" s="1855"/>
      <c r="B194" s="1855"/>
      <c r="C194" s="1855"/>
      <c r="D194" s="1855"/>
      <c r="E194" s="1855"/>
      <c r="F194" s="1857" t="s">
        <v>50</v>
      </c>
      <c r="G194" s="1858"/>
      <c r="H194" s="200" t="str">
        <f>MAR!I654</f>
        <v>Penj. Ayam Pedaging BIB Banyumulek</v>
      </c>
      <c r="I194" s="217"/>
      <c r="J194" s="3193" t="s">
        <v>50</v>
      </c>
      <c r="K194" s="3193" t="s">
        <v>50</v>
      </c>
      <c r="L194" s="3125">
        <v>0</v>
      </c>
      <c r="M194" s="3124">
        <v>0</v>
      </c>
      <c r="N194" s="3125">
        <v>0</v>
      </c>
      <c r="O194" s="3125">
        <v>0</v>
      </c>
      <c r="P194" s="3125">
        <v>0</v>
      </c>
      <c r="Q194" s="3125">
        <f t="shared" si="43"/>
        <v>0</v>
      </c>
      <c r="R194" s="3605">
        <v>0</v>
      </c>
      <c r="S194" s="3275"/>
      <c r="T194" s="3826"/>
      <c r="U194" s="3771"/>
      <c r="V194" s="1846">
        <f t="shared" si="45"/>
        <v>0</v>
      </c>
    </row>
    <row r="195" spans="1:22" s="1538" customFormat="1" ht="15.05" customHeight="1">
      <c r="A195" s="1855"/>
      <c r="B195" s="1855"/>
      <c r="C195" s="1855"/>
      <c r="D195" s="1855"/>
      <c r="E195" s="1855"/>
      <c r="F195" s="1857" t="s">
        <v>50</v>
      </c>
      <c r="G195" s="1858"/>
      <c r="H195" s="200" t="str">
        <f>MAR!I655</f>
        <v>Penj. Daging RPH Banyumulek</v>
      </c>
      <c r="I195" s="217"/>
      <c r="J195" s="3193" t="s">
        <v>50</v>
      </c>
      <c r="K195" s="3193" t="s">
        <v>50</v>
      </c>
      <c r="L195" s="3125">
        <v>0</v>
      </c>
      <c r="M195" s="3124">
        <v>0</v>
      </c>
      <c r="N195" s="3125">
        <v>0</v>
      </c>
      <c r="O195" s="3125">
        <v>0</v>
      </c>
      <c r="P195" s="3125">
        <v>0</v>
      </c>
      <c r="Q195" s="3125">
        <f t="shared" si="43"/>
        <v>0</v>
      </c>
      <c r="R195" s="3605">
        <v>0</v>
      </c>
      <c r="S195" s="3275"/>
      <c r="T195" s="3826"/>
      <c r="U195" s="3771"/>
      <c r="V195" s="1846">
        <f t="shared" si="45"/>
        <v>0</v>
      </c>
    </row>
    <row r="196" spans="1:22" s="1538" customFormat="1" ht="15.05" customHeight="1">
      <c r="A196" s="1855"/>
      <c r="B196" s="1855"/>
      <c r="C196" s="1855"/>
      <c r="D196" s="1855"/>
      <c r="E196" s="1855"/>
      <c r="F196" s="1464" t="s">
        <v>528</v>
      </c>
      <c r="G196" s="1860"/>
      <c r="H196" s="202"/>
      <c r="I196" s="218"/>
      <c r="J196" s="3123">
        <f>SUM(J197:J203)</f>
        <v>820000000</v>
      </c>
      <c r="K196" s="3123">
        <f t="shared" ref="K196:P196" si="48">SUM(K197:K203)</f>
        <v>890941000</v>
      </c>
      <c r="L196" s="3123">
        <f>SUM(L197:L203)</f>
        <v>820000000</v>
      </c>
      <c r="M196" s="3123">
        <f t="shared" si="48"/>
        <v>55399500</v>
      </c>
      <c r="N196" s="3123">
        <f t="shared" si="48"/>
        <v>120244500</v>
      </c>
      <c r="O196" s="3123">
        <f t="shared" si="48"/>
        <v>175644000</v>
      </c>
      <c r="P196" s="3123">
        <f t="shared" si="48"/>
        <v>820000000</v>
      </c>
      <c r="Q196" s="3182">
        <f t="shared" si="43"/>
        <v>0</v>
      </c>
      <c r="R196" s="3601">
        <f>+P196/L196*100-100</f>
        <v>0</v>
      </c>
      <c r="S196" s="3731"/>
      <c r="T196" s="3829"/>
      <c r="U196" s="3781">
        <f>SUM(U197:U203)</f>
        <v>0</v>
      </c>
      <c r="V196" s="1846">
        <f t="shared" si="45"/>
        <v>702576000</v>
      </c>
    </row>
    <row r="197" spans="1:22" s="1538" customFormat="1" ht="15.05" customHeight="1">
      <c r="A197" s="1855"/>
      <c r="B197" s="1855"/>
      <c r="C197" s="1855"/>
      <c r="D197" s="1855"/>
      <c r="E197" s="1855"/>
      <c r="F197" s="1857" t="s">
        <v>50</v>
      </c>
      <c r="G197" s="1858"/>
      <c r="H197" s="200" t="str">
        <f>MAR!I688</f>
        <v>BPBIAT Aikmel</v>
      </c>
      <c r="I197" s="217"/>
      <c r="J197" s="3171">
        <v>190000000</v>
      </c>
      <c r="K197" s="3171">
        <v>185000000</v>
      </c>
      <c r="L197" s="3125">
        <v>190000000</v>
      </c>
      <c r="M197" s="3124">
        <v>30000000</v>
      </c>
      <c r="N197" s="3125">
        <v>19500000</v>
      </c>
      <c r="O197" s="3125">
        <v>49500000</v>
      </c>
      <c r="P197" s="3125">
        <v>190000000</v>
      </c>
      <c r="Q197" s="3125">
        <f t="shared" si="43"/>
        <v>0</v>
      </c>
      <c r="R197" s="3605">
        <f>+P197/L197*100-100</f>
        <v>0</v>
      </c>
      <c r="S197" s="3275"/>
      <c r="T197" s="3826"/>
      <c r="U197" s="3771"/>
      <c r="V197" s="1846">
        <f t="shared" si="45"/>
        <v>198000000</v>
      </c>
    </row>
    <row r="198" spans="1:22" s="1538" customFormat="1" ht="15.05" customHeight="1">
      <c r="A198" s="1855"/>
      <c r="B198" s="1855"/>
      <c r="C198" s="1855"/>
      <c r="D198" s="1855"/>
      <c r="E198" s="1855"/>
      <c r="F198" s="1857" t="s">
        <v>50</v>
      </c>
      <c r="G198" s="1858"/>
      <c r="H198" s="200" t="str">
        <f>MAR!I689</f>
        <v>BBI Batu kumbung</v>
      </c>
      <c r="I198" s="217"/>
      <c r="J198" s="3171">
        <v>160000000</v>
      </c>
      <c r="K198" s="3171">
        <v>160153500</v>
      </c>
      <c r="L198" s="3125">
        <v>160000000</v>
      </c>
      <c r="M198" s="3124">
        <v>6528500</v>
      </c>
      <c r="N198" s="3125">
        <v>15425500</v>
      </c>
      <c r="O198" s="3125">
        <v>21954000</v>
      </c>
      <c r="P198" s="3125">
        <v>160000000</v>
      </c>
      <c r="Q198" s="3125">
        <f t="shared" si="43"/>
        <v>0</v>
      </c>
      <c r="R198" s="3605">
        <f>+P198/L198*100-100</f>
        <v>0</v>
      </c>
      <c r="S198" s="3275"/>
      <c r="T198" s="3826"/>
      <c r="U198" s="3771"/>
      <c r="V198" s="1846">
        <f t="shared" si="45"/>
        <v>87816000</v>
      </c>
    </row>
    <row r="199" spans="1:22" s="1538" customFormat="1" ht="15.05" customHeight="1">
      <c r="A199" s="1855"/>
      <c r="B199" s="1855"/>
      <c r="C199" s="1855"/>
      <c r="D199" s="1855"/>
      <c r="E199" s="1855"/>
      <c r="F199" s="1857" t="s">
        <v>50</v>
      </c>
      <c r="G199" s="1858"/>
      <c r="H199" s="200" t="str">
        <f>MAR!I690</f>
        <v>BBI Lingsar</v>
      </c>
      <c r="I199" s="217"/>
      <c r="J199" s="3171">
        <v>90000000</v>
      </c>
      <c r="K199" s="3171">
        <v>90772500</v>
      </c>
      <c r="L199" s="3125">
        <v>90000000</v>
      </c>
      <c r="M199" s="3124">
        <v>16191000</v>
      </c>
      <c r="N199" s="3125">
        <v>11950000</v>
      </c>
      <c r="O199" s="3125">
        <v>28141000</v>
      </c>
      <c r="P199" s="3125">
        <v>90000000</v>
      </c>
      <c r="Q199" s="3125">
        <f t="shared" si="43"/>
        <v>0</v>
      </c>
      <c r="R199" s="3605">
        <f>+P199/L199*100-100</f>
        <v>0</v>
      </c>
      <c r="S199" s="3275"/>
      <c r="T199" s="3826"/>
      <c r="U199" s="3771"/>
      <c r="V199" s="1846">
        <f t="shared" si="45"/>
        <v>112564000</v>
      </c>
    </row>
    <row r="200" spans="1:22" s="1538" customFormat="1" ht="15.05" customHeight="1">
      <c r="A200" s="1855"/>
      <c r="B200" s="1855"/>
      <c r="C200" s="1855"/>
      <c r="D200" s="1855"/>
      <c r="E200" s="1855"/>
      <c r="F200" s="1857" t="s">
        <v>50</v>
      </c>
      <c r="G200" s="1858"/>
      <c r="H200" s="200" t="str">
        <f>MAR!I691</f>
        <v>Matua</v>
      </c>
      <c r="I200" s="217"/>
      <c r="J200" s="3193" t="s">
        <v>50</v>
      </c>
      <c r="K200" s="3193" t="s">
        <v>50</v>
      </c>
      <c r="L200" s="3125">
        <v>0</v>
      </c>
      <c r="M200" s="3124">
        <v>0</v>
      </c>
      <c r="N200" s="3125">
        <v>0</v>
      </c>
      <c r="O200" s="3125">
        <v>0</v>
      </c>
      <c r="P200" s="3125">
        <v>0</v>
      </c>
      <c r="Q200" s="3125">
        <f t="shared" si="43"/>
        <v>0</v>
      </c>
      <c r="R200" s="3605">
        <v>0</v>
      </c>
      <c r="S200" s="3275"/>
      <c r="T200" s="3826"/>
      <c r="U200" s="3771"/>
      <c r="V200" s="1846">
        <f t="shared" si="45"/>
        <v>0</v>
      </c>
    </row>
    <row r="201" spans="1:22" s="1538" customFormat="1" ht="15.05" customHeight="1">
      <c r="A201" s="1855"/>
      <c r="B201" s="1855"/>
      <c r="C201" s="1855"/>
      <c r="D201" s="1855"/>
      <c r="E201" s="1855"/>
      <c r="F201" s="1857" t="s">
        <v>50</v>
      </c>
      <c r="G201" s="1858"/>
      <c r="H201" s="200" t="str">
        <f>MAR!I692</f>
        <v>BBI Rade Bima</v>
      </c>
      <c r="I201" s="217"/>
      <c r="J201" s="3171">
        <v>15000000</v>
      </c>
      <c r="K201" s="3193">
        <v>15000000</v>
      </c>
      <c r="L201" s="3125">
        <v>15000000</v>
      </c>
      <c r="M201" s="3124">
        <v>1200000</v>
      </c>
      <c r="N201" s="3125">
        <v>1400000</v>
      </c>
      <c r="O201" s="3125">
        <v>2600000</v>
      </c>
      <c r="P201" s="3125">
        <v>15000000</v>
      </c>
      <c r="Q201" s="3125">
        <f t="shared" si="43"/>
        <v>0</v>
      </c>
      <c r="R201" s="3605">
        <f>+P201/L201*100-100</f>
        <v>0</v>
      </c>
      <c r="S201" s="3275"/>
      <c r="T201" s="3826"/>
      <c r="U201" s="3771"/>
      <c r="V201" s="1846">
        <f t="shared" si="45"/>
        <v>10400000</v>
      </c>
    </row>
    <row r="202" spans="1:22" s="1538" customFormat="1" ht="15.05" customHeight="1">
      <c r="A202" s="1855"/>
      <c r="B202" s="1855"/>
      <c r="C202" s="1855"/>
      <c r="D202" s="1855"/>
      <c r="E202" s="1855"/>
      <c r="F202" s="1857" t="s">
        <v>50</v>
      </c>
      <c r="G202" s="1858"/>
      <c r="H202" s="200" t="str">
        <f>MAR!I693</f>
        <v>BBI Taliwang</v>
      </c>
      <c r="I202" s="217"/>
      <c r="J202" s="3171">
        <v>30000000</v>
      </c>
      <c r="K202" s="3193">
        <v>4000000</v>
      </c>
      <c r="L202" s="3125">
        <v>30000000</v>
      </c>
      <c r="M202" s="3124">
        <v>1480000</v>
      </c>
      <c r="N202" s="3125">
        <v>569000</v>
      </c>
      <c r="O202" s="3125">
        <v>2049000</v>
      </c>
      <c r="P202" s="3125">
        <v>30000000</v>
      </c>
      <c r="Q202" s="3125">
        <f t="shared" si="43"/>
        <v>0</v>
      </c>
      <c r="R202" s="3605">
        <f>+P202/L202*100-100</f>
        <v>0</v>
      </c>
      <c r="S202" s="3275"/>
      <c r="T202" s="3826"/>
      <c r="U202" s="3771"/>
      <c r="V202" s="1846">
        <f t="shared" si="45"/>
        <v>8196000</v>
      </c>
    </row>
    <row r="203" spans="1:22" s="1538" customFormat="1" ht="15.05" customHeight="1">
      <c r="A203" s="1855"/>
      <c r="B203" s="1855"/>
      <c r="C203" s="1855"/>
      <c r="D203" s="1855"/>
      <c r="E203" s="1855"/>
      <c r="F203" s="1857" t="s">
        <v>50</v>
      </c>
      <c r="G203" s="1858"/>
      <c r="H203" s="200" t="str">
        <f>MAR!I694</f>
        <v>BPBPP Sekotong</v>
      </c>
      <c r="I203" s="217"/>
      <c r="J203" s="3171">
        <v>335000000</v>
      </c>
      <c r="K203" s="3193">
        <v>436015000</v>
      </c>
      <c r="L203" s="3125">
        <v>335000000</v>
      </c>
      <c r="M203" s="3124">
        <v>0</v>
      </c>
      <c r="N203" s="3125">
        <v>71400000</v>
      </c>
      <c r="O203" s="3125">
        <v>71400000</v>
      </c>
      <c r="P203" s="3125">
        <v>335000000</v>
      </c>
      <c r="Q203" s="3125">
        <f t="shared" si="43"/>
        <v>0</v>
      </c>
      <c r="R203" s="3605">
        <f>+P203/L203*100-100</f>
        <v>0</v>
      </c>
      <c r="S203" s="3748"/>
      <c r="T203" s="3826"/>
      <c r="U203" s="3778">
        <f>PerDinas!Q947</f>
        <v>0</v>
      </c>
      <c r="V203" s="1846">
        <f t="shared" si="45"/>
        <v>285600000</v>
      </c>
    </row>
    <row r="204" spans="1:22" s="1538" customFormat="1" ht="15.05" customHeight="1">
      <c r="A204" s="3573"/>
      <c r="B204" s="3573"/>
      <c r="C204" s="3573"/>
      <c r="D204" s="3573"/>
      <c r="E204" s="3573"/>
      <c r="F204" s="3574"/>
      <c r="G204" s="3581"/>
      <c r="H204" s="3575"/>
      <c r="I204" s="3582"/>
      <c r="J204" s="3577"/>
      <c r="K204" s="3583"/>
      <c r="L204" s="3578"/>
      <c r="M204" s="3579"/>
      <c r="N204" s="3578"/>
      <c r="O204" s="3578"/>
      <c r="P204" s="3578"/>
      <c r="Q204" s="3578"/>
      <c r="R204" s="3615"/>
      <c r="S204" s="3709"/>
      <c r="T204" s="3828"/>
      <c r="U204" s="3771"/>
      <c r="V204" s="1846">
        <f t="shared" si="45"/>
        <v>0</v>
      </c>
    </row>
    <row r="205" spans="1:22" s="2945" customFormat="1" ht="15.05" customHeight="1">
      <c r="A205" s="3053">
        <v>4</v>
      </c>
      <c r="B205" s="3054">
        <v>1</v>
      </c>
      <c r="C205" s="3054">
        <v>2</v>
      </c>
      <c r="D205" s="3054" t="s">
        <v>440</v>
      </c>
      <c r="E205" s="3054"/>
      <c r="F205" s="3056" t="s">
        <v>545</v>
      </c>
      <c r="G205" s="3057"/>
      <c r="H205" s="3064"/>
      <c r="I205" s="3065"/>
      <c r="J205" s="3202">
        <f>+J206+J211+J214</f>
        <v>1648889500</v>
      </c>
      <c r="K205" s="3202">
        <f>+K206+K211+K214</f>
        <v>1761141600</v>
      </c>
      <c r="L205" s="3178">
        <f>+L206+L211+L214</f>
        <v>1648889500</v>
      </c>
      <c r="M205" s="3179">
        <v>323745000</v>
      </c>
      <c r="N205" s="3178">
        <f>+N206+N211+N214</f>
        <v>153560000</v>
      </c>
      <c r="O205" s="3178">
        <f>+O206+O211+O214</f>
        <v>477305000</v>
      </c>
      <c r="P205" s="3178">
        <f>+P206+P211+P214</f>
        <v>1843889500</v>
      </c>
      <c r="Q205" s="3178">
        <f>+Q206+Q211+Q214</f>
        <v>195000000</v>
      </c>
      <c r="R205" s="3613">
        <f>+P205/L205*100-100</f>
        <v>11.826141169556848</v>
      </c>
      <c r="S205" s="3700"/>
      <c r="T205" s="3818"/>
      <c r="U205" s="3773"/>
      <c r="V205" s="2944">
        <f t="shared" si="45"/>
        <v>1909220000</v>
      </c>
    </row>
    <row r="206" spans="1:22" s="2932" customFormat="1" ht="15.05" customHeight="1">
      <c r="A206" s="3047">
        <v>4</v>
      </c>
      <c r="B206" s="3047">
        <v>1</v>
      </c>
      <c r="C206" s="3047">
        <v>2</v>
      </c>
      <c r="D206" s="3047" t="s">
        <v>440</v>
      </c>
      <c r="E206" s="3047" t="s">
        <v>437</v>
      </c>
      <c r="F206" s="3048" t="s">
        <v>117</v>
      </c>
      <c r="G206" s="3049"/>
      <c r="H206" s="3050"/>
      <c r="I206" s="3051"/>
      <c r="J206" s="3441">
        <f>SUM(J207:J209)</f>
        <v>193889500</v>
      </c>
      <c r="K206" s="3442">
        <f>SUM(K207:K209)</f>
        <v>122160000</v>
      </c>
      <c r="L206" s="3163">
        <f>SUM(L207:L210)</f>
        <v>193889500</v>
      </c>
      <c r="M206" s="3164">
        <v>3165000</v>
      </c>
      <c r="N206" s="3163">
        <f>SUM(N207:N210)</f>
        <v>25400000</v>
      </c>
      <c r="O206" s="3163">
        <f>N206+M206</f>
        <v>28565000</v>
      </c>
      <c r="P206" s="3163">
        <f>SUM(P207:P209)</f>
        <v>193889500</v>
      </c>
      <c r="Q206" s="3163">
        <f>+P206-L206</f>
        <v>0</v>
      </c>
      <c r="R206" s="3610">
        <f>+P206/L206*100-100</f>
        <v>0</v>
      </c>
      <c r="S206" s="3714"/>
      <c r="T206" s="3833"/>
      <c r="U206" s="3784"/>
      <c r="V206" s="2931">
        <f t="shared" si="45"/>
        <v>114260000</v>
      </c>
    </row>
    <row r="207" spans="1:22" s="1538" customFormat="1" ht="15.05" customHeight="1">
      <c r="A207" s="1855"/>
      <c r="B207" s="1855"/>
      <c r="C207" s="1855"/>
      <c r="D207" s="1855"/>
      <c r="E207" s="1855"/>
      <c r="F207" s="1857" t="s">
        <v>50</v>
      </c>
      <c r="G207" s="1858"/>
      <c r="H207" s="200" t="s">
        <v>546</v>
      </c>
      <c r="I207" s="217"/>
      <c r="J207" s="3171">
        <v>103889500</v>
      </c>
      <c r="K207" s="3193">
        <v>75250000</v>
      </c>
      <c r="L207" s="3125">
        <f>MAR!J158</f>
        <v>103889500</v>
      </c>
      <c r="M207" s="3124">
        <v>230000</v>
      </c>
      <c r="N207" s="3125">
        <f>MAR!L158</f>
        <v>24900000</v>
      </c>
      <c r="O207" s="3125">
        <f>MAR!M158</f>
        <v>25130000</v>
      </c>
      <c r="P207" s="3125">
        <v>103889500</v>
      </c>
      <c r="Q207" s="3125">
        <f>+P207-L207</f>
        <v>0</v>
      </c>
      <c r="R207" s="3605">
        <f>+P207/L207*100-100</f>
        <v>0</v>
      </c>
      <c r="S207" s="3275"/>
      <c r="T207" s="3826"/>
      <c r="U207" s="3771"/>
      <c r="V207" s="1846">
        <f t="shared" si="45"/>
        <v>100520000</v>
      </c>
    </row>
    <row r="208" spans="1:22" s="1538" customFormat="1" ht="15.05" customHeight="1">
      <c r="A208" s="1855"/>
      <c r="B208" s="1855"/>
      <c r="C208" s="1855"/>
      <c r="D208" s="1855"/>
      <c r="E208" s="1855"/>
      <c r="F208" s="1857" t="s">
        <v>50</v>
      </c>
      <c r="G208" s="1858"/>
      <c r="H208" s="200" t="s">
        <v>547</v>
      </c>
      <c r="I208" s="217"/>
      <c r="J208" s="3171">
        <v>90000000</v>
      </c>
      <c r="K208" s="3193" t="s">
        <v>50</v>
      </c>
      <c r="L208" s="3125">
        <f>MAR!J159</f>
        <v>90000000</v>
      </c>
      <c r="M208" s="3124">
        <v>0</v>
      </c>
      <c r="N208" s="3125">
        <f>MAR!L159</f>
        <v>0</v>
      </c>
      <c r="O208" s="3125">
        <f>MAR!M159</f>
        <v>0</v>
      </c>
      <c r="P208" s="3125">
        <v>90000000</v>
      </c>
      <c r="Q208" s="3125">
        <f>+P208-L208</f>
        <v>0</v>
      </c>
      <c r="R208" s="3605">
        <f>+P208/L208*100-100</f>
        <v>0</v>
      </c>
      <c r="S208" s="3275"/>
      <c r="T208" s="3826"/>
      <c r="U208" s="3771"/>
      <c r="V208" s="1846">
        <f t="shared" si="45"/>
        <v>0</v>
      </c>
    </row>
    <row r="209" spans="1:22" s="1538" customFormat="1" ht="15.05" customHeight="1">
      <c r="A209" s="1855"/>
      <c r="B209" s="1855"/>
      <c r="C209" s="1855"/>
      <c r="D209" s="1855"/>
      <c r="E209" s="1855"/>
      <c r="F209" s="1857" t="s">
        <v>50</v>
      </c>
      <c r="G209" s="1858"/>
      <c r="H209" s="200" t="s">
        <v>548</v>
      </c>
      <c r="I209" s="217"/>
      <c r="J209" s="3193" t="s">
        <v>50</v>
      </c>
      <c r="K209" s="3171">
        <v>46910000</v>
      </c>
      <c r="L209" s="3125">
        <f>MAR!J185</f>
        <v>0</v>
      </c>
      <c r="M209" s="3124">
        <v>2935000</v>
      </c>
      <c r="N209" s="3125">
        <f>MAR!L185</f>
        <v>500000</v>
      </c>
      <c r="O209" s="3125">
        <f>MAR!M185</f>
        <v>3435000</v>
      </c>
      <c r="P209" s="3125">
        <v>0</v>
      </c>
      <c r="Q209" s="3125">
        <f>+P209-L209</f>
        <v>0</v>
      </c>
      <c r="R209" s="3605">
        <v>0</v>
      </c>
      <c r="S209" s="3275"/>
      <c r="T209" s="3826"/>
      <c r="U209" s="3771"/>
      <c r="V209" s="1846">
        <f t="shared" si="45"/>
        <v>13740000</v>
      </c>
    </row>
    <row r="210" spans="1:22" s="1538" customFormat="1" ht="15.05" customHeight="1">
      <c r="A210" s="1855"/>
      <c r="B210" s="1855"/>
      <c r="C210" s="1855"/>
      <c r="D210" s="1855"/>
      <c r="E210" s="1855"/>
      <c r="F210" s="1857"/>
      <c r="G210" s="1858"/>
      <c r="H210" s="200"/>
      <c r="I210" s="217"/>
      <c r="J210" s="3171"/>
      <c r="K210" s="3171"/>
      <c r="L210" s="3125"/>
      <c r="M210" s="3124"/>
      <c r="N210" s="3125"/>
      <c r="O210" s="3125"/>
      <c r="P210" s="3125"/>
      <c r="Q210" s="3125"/>
      <c r="R210" s="3605"/>
      <c r="S210" s="3702"/>
      <c r="T210" s="3820"/>
      <c r="U210" s="3771"/>
      <c r="V210" s="1846">
        <f t="shared" si="45"/>
        <v>0</v>
      </c>
    </row>
    <row r="211" spans="1:22" s="2932" customFormat="1" ht="15.05" customHeight="1">
      <c r="A211" s="2925">
        <v>4</v>
      </c>
      <c r="B211" s="2925">
        <v>1</v>
      </c>
      <c r="C211" s="2925">
        <v>2</v>
      </c>
      <c r="D211" s="2925" t="s">
        <v>440</v>
      </c>
      <c r="E211" s="2925" t="s">
        <v>438</v>
      </c>
      <c r="F211" s="2926" t="s">
        <v>391</v>
      </c>
      <c r="G211" s="2927"/>
      <c r="H211" s="2928"/>
      <c r="I211" s="2929"/>
      <c r="J211" s="3444">
        <f>+J212</f>
        <v>0</v>
      </c>
      <c r="K211" s="3444">
        <f>+K212</f>
        <v>16404000</v>
      </c>
      <c r="L211" s="3169">
        <f>SUM(L212:L213)</f>
        <v>0</v>
      </c>
      <c r="M211" s="3170">
        <v>0</v>
      </c>
      <c r="N211" s="3169">
        <f>SUM(N212:N213)</f>
        <v>0</v>
      </c>
      <c r="O211" s="3169">
        <f>N211+M211</f>
        <v>0</v>
      </c>
      <c r="P211" s="3169">
        <f>+P212</f>
        <v>0</v>
      </c>
      <c r="Q211" s="3169">
        <f>+P211-L211</f>
        <v>0</v>
      </c>
      <c r="R211" s="3616">
        <v>0</v>
      </c>
      <c r="S211" s="3715"/>
      <c r="T211" s="3834"/>
      <c r="U211" s="3760"/>
      <c r="V211" s="2931">
        <f t="shared" si="45"/>
        <v>0</v>
      </c>
    </row>
    <row r="212" spans="1:22" s="1538" customFormat="1" ht="15.05" customHeight="1">
      <c r="A212" s="1854"/>
      <c r="B212" s="1854"/>
      <c r="C212" s="1854"/>
      <c r="D212" s="1854"/>
      <c r="E212" s="1854"/>
      <c r="F212" s="2829" t="s">
        <v>50</v>
      </c>
      <c r="G212" s="1860"/>
      <c r="H212" s="200" t="s">
        <v>549</v>
      </c>
      <c r="I212" s="218"/>
      <c r="J212" s="3200"/>
      <c r="K212" s="3171">
        <v>16404000</v>
      </c>
      <c r="L212" s="3125">
        <f>MAR!J695</f>
        <v>0</v>
      </c>
      <c r="M212" s="3124">
        <v>0</v>
      </c>
      <c r="N212" s="3125">
        <f>MAR!L695</f>
        <v>0</v>
      </c>
      <c r="O212" s="3125">
        <f>MAR!M695</f>
        <v>0</v>
      </c>
      <c r="P212" s="3125">
        <v>0</v>
      </c>
      <c r="Q212" s="3125">
        <f>+P212-L212</f>
        <v>0</v>
      </c>
      <c r="R212" s="3605">
        <v>0</v>
      </c>
      <c r="S212" s="3275"/>
      <c r="T212" s="3835"/>
      <c r="U212" s="3785"/>
      <c r="V212" s="1846">
        <f t="shared" si="45"/>
        <v>0</v>
      </c>
    </row>
    <row r="213" spans="1:22" s="1538" customFormat="1" ht="15.05" customHeight="1">
      <c r="A213" s="1902"/>
      <c r="B213" s="1902"/>
      <c r="C213" s="1902"/>
      <c r="D213" s="1902"/>
      <c r="E213" s="1902"/>
      <c r="F213" s="2830"/>
      <c r="G213" s="2831"/>
      <c r="H213" s="200"/>
      <c r="I213" s="1907"/>
      <c r="J213" s="3203"/>
      <c r="K213" s="3142"/>
      <c r="L213" s="3174"/>
      <c r="M213" s="3175"/>
      <c r="N213" s="3174"/>
      <c r="O213" s="3174"/>
      <c r="P213" s="3174"/>
      <c r="Q213" s="3174"/>
      <c r="R213" s="3612"/>
      <c r="S213" s="3741"/>
      <c r="T213" s="3828"/>
      <c r="U213" s="3786"/>
      <c r="V213" s="1846">
        <f t="shared" si="45"/>
        <v>0</v>
      </c>
    </row>
    <row r="214" spans="1:22" s="2932" customFormat="1" ht="15.05" customHeight="1">
      <c r="A214" s="3446"/>
      <c r="B214" s="3446"/>
      <c r="C214" s="3446"/>
      <c r="D214" s="3446"/>
      <c r="E214" s="3447" t="s">
        <v>440</v>
      </c>
      <c r="F214" s="3448" t="s">
        <v>550</v>
      </c>
      <c r="G214" s="3448"/>
      <c r="H214" s="3449"/>
      <c r="I214" s="3450"/>
      <c r="J214" s="3451">
        <f>+J215</f>
        <v>1455000000</v>
      </c>
      <c r="K214" s="3451">
        <f>+K215</f>
        <v>1622577600</v>
      </c>
      <c r="L214" s="3452">
        <f>L215</f>
        <v>1455000000</v>
      </c>
      <c r="M214" s="3453">
        <v>320580000</v>
      </c>
      <c r="N214" s="3452">
        <f t="shared" ref="N214:U214" si="49">N215</f>
        <v>128160000</v>
      </c>
      <c r="O214" s="3452">
        <f t="shared" si="49"/>
        <v>448740000</v>
      </c>
      <c r="P214" s="3452">
        <f t="shared" si="49"/>
        <v>1650000000</v>
      </c>
      <c r="Q214" s="3452">
        <f>+P214-L214</f>
        <v>195000000</v>
      </c>
      <c r="R214" s="3617">
        <f>+P214/L214*100-100</f>
        <v>13.402061855670098</v>
      </c>
      <c r="S214" s="3742"/>
      <c r="T214" s="3452"/>
      <c r="U214" s="3787">
        <f t="shared" si="49"/>
        <v>0</v>
      </c>
      <c r="V214" s="2931">
        <f t="shared" si="45"/>
        <v>1794960000</v>
      </c>
    </row>
    <row r="215" spans="1:22" s="1538" customFormat="1" ht="15.05" customHeight="1">
      <c r="A215" s="1902"/>
      <c r="B215" s="1902"/>
      <c r="C215" s="1902"/>
      <c r="D215" s="1902"/>
      <c r="E215" s="2832"/>
      <c r="F215" s="2833" t="s">
        <v>50</v>
      </c>
      <c r="G215" s="2834"/>
      <c r="H215" s="206" t="s">
        <v>551</v>
      </c>
      <c r="I215" s="2835"/>
      <c r="J215" s="3204">
        <v>1455000000</v>
      </c>
      <c r="K215" s="3204">
        <v>1622577600</v>
      </c>
      <c r="L215" s="3205">
        <f>MAR!J221</f>
        <v>1455000000</v>
      </c>
      <c r="M215" s="3205">
        <v>320580000</v>
      </c>
      <c r="N215" s="3205">
        <f>MAR!L221</f>
        <v>128160000</v>
      </c>
      <c r="O215" s="3205">
        <f>MAR!M221</f>
        <v>448740000</v>
      </c>
      <c r="P215" s="3205">
        <v>1650000000</v>
      </c>
      <c r="Q215" s="3205">
        <f>+P215-L215</f>
        <v>195000000</v>
      </c>
      <c r="R215" s="3618">
        <f>+P215/L215*100-100</f>
        <v>13.402061855670098</v>
      </c>
      <c r="S215" s="3743"/>
      <c r="T215" s="3206"/>
      <c r="U215" s="3788">
        <f>PerDinas!Q316</f>
        <v>0</v>
      </c>
      <c r="V215" s="1846">
        <f t="shared" si="45"/>
        <v>1794960000</v>
      </c>
    </row>
    <row r="216" spans="1:22" s="1538" customFormat="1" ht="15.05" customHeight="1">
      <c r="A216" s="3876"/>
      <c r="B216" s="3876"/>
      <c r="C216" s="3876"/>
      <c r="D216" s="3876"/>
      <c r="E216" s="3876"/>
      <c r="F216" s="2836"/>
      <c r="G216" s="2837"/>
      <c r="H216" s="2127"/>
      <c r="I216" s="2838"/>
      <c r="J216" s="3207"/>
      <c r="K216" s="3207"/>
      <c r="L216" s="3208"/>
      <c r="M216" s="3208"/>
      <c r="N216" s="3208"/>
      <c r="O216" s="3208"/>
      <c r="P216" s="3208"/>
      <c r="Q216" s="3208"/>
      <c r="R216" s="3619"/>
      <c r="S216" s="3744"/>
      <c r="T216" s="3836"/>
      <c r="U216" s="3789"/>
      <c r="V216" s="1846"/>
    </row>
    <row r="217" spans="1:22" s="2955" customFormat="1" ht="15.05" customHeight="1">
      <c r="A217" s="2949">
        <v>4</v>
      </c>
      <c r="B217" s="2949">
        <v>1</v>
      </c>
      <c r="C217" s="2949">
        <v>3</v>
      </c>
      <c r="D217" s="2949"/>
      <c r="E217" s="2949"/>
      <c r="F217" s="2950" t="s">
        <v>552</v>
      </c>
      <c r="G217" s="2951"/>
      <c r="H217" s="2952"/>
      <c r="I217" s="2952"/>
      <c r="J217" s="3210">
        <f>+J218</f>
        <v>157964885190</v>
      </c>
      <c r="K217" s="3210">
        <f>+K218</f>
        <v>72827611744</v>
      </c>
      <c r="L217" s="3211">
        <f>+L218+L227</f>
        <v>92558485190</v>
      </c>
      <c r="M217" s="3211">
        <f>+M218+M227</f>
        <v>0</v>
      </c>
      <c r="N217" s="3211">
        <f>+N218+N227</f>
        <v>0</v>
      </c>
      <c r="O217" s="3211">
        <f>+O218+O227</f>
        <v>0</v>
      </c>
      <c r="P217" s="3211">
        <f>+P218+P227</f>
        <v>93009585651</v>
      </c>
      <c r="Q217" s="3867">
        <f>P217-L217</f>
        <v>451100461</v>
      </c>
      <c r="R217" s="3620">
        <f>+P217/L217*100-100</f>
        <v>0.48736802474024898</v>
      </c>
      <c r="S217" s="3745"/>
      <c r="T217" s="3837"/>
      <c r="U217" s="3117"/>
      <c r="V217" s="2954">
        <f t="shared" ref="V217:V280" si="50">O217*4</f>
        <v>0</v>
      </c>
    </row>
    <row r="218" spans="1:22" s="2956" customFormat="1" ht="15.05" customHeight="1">
      <c r="A218" s="3053">
        <v>4</v>
      </c>
      <c r="B218" s="3054">
        <v>1</v>
      </c>
      <c r="C218" s="3054">
        <v>3</v>
      </c>
      <c r="D218" s="3054" t="s">
        <v>437</v>
      </c>
      <c r="E218" s="3054"/>
      <c r="F218" s="3056" t="s">
        <v>553</v>
      </c>
      <c r="G218" s="3057"/>
      <c r="H218" s="3064"/>
      <c r="I218" s="3064"/>
      <c r="J218" s="3212">
        <f>+J219</f>
        <v>157964885190</v>
      </c>
      <c r="K218" s="3212">
        <f>+K219</f>
        <v>72827611744</v>
      </c>
      <c r="L218" s="3178">
        <f>SUM(L219)</f>
        <v>90558485190</v>
      </c>
      <c r="M218" s="3179">
        <v>0</v>
      </c>
      <c r="N218" s="3178">
        <f>SUM(N219)</f>
        <v>0</v>
      </c>
      <c r="O218" s="3178">
        <f>SUM(O219)</f>
        <v>0</v>
      </c>
      <c r="P218" s="3178">
        <f>P219</f>
        <v>91009585651</v>
      </c>
      <c r="Q218" s="3866">
        <f t="shared" ref="Q218:Q228" si="51">+P218-L218</f>
        <v>451100461</v>
      </c>
      <c r="R218" s="3621">
        <f t="shared" ref="R218:R223" si="52">+P218/L218*100-100</f>
        <v>0.49813163289287843</v>
      </c>
      <c r="S218" s="3716"/>
      <c r="T218" s="3838"/>
      <c r="U218" s="3066"/>
      <c r="V218" s="2944">
        <f t="shared" si="50"/>
        <v>0</v>
      </c>
    </row>
    <row r="219" spans="1:22" s="1834" customFormat="1" ht="15.05" customHeight="1">
      <c r="A219" s="1905">
        <v>4</v>
      </c>
      <c r="B219" s="1905">
        <v>1</v>
      </c>
      <c r="C219" s="1905">
        <v>3</v>
      </c>
      <c r="D219" s="1905" t="s">
        <v>437</v>
      </c>
      <c r="E219" s="1905" t="s">
        <v>437</v>
      </c>
      <c r="F219" s="2827" t="s">
        <v>554</v>
      </c>
      <c r="G219" s="2828"/>
      <c r="H219" s="212"/>
      <c r="I219" s="212"/>
      <c r="J219" s="3214">
        <f>SUM(J220:J228)</f>
        <v>157964885190</v>
      </c>
      <c r="K219" s="3214">
        <f>SUM(K220:K228)</f>
        <v>72827611744</v>
      </c>
      <c r="L219" s="3197">
        <f>SUM(L220:L226)</f>
        <v>90558485190</v>
      </c>
      <c r="M219" s="3198">
        <v>0</v>
      </c>
      <c r="N219" s="3197">
        <f>SUM(N220:N226)</f>
        <v>0</v>
      </c>
      <c r="O219" s="3197">
        <f>N219+M219</f>
        <v>0</v>
      </c>
      <c r="P219" s="3197">
        <f>SUM(P220:P226)</f>
        <v>91009585651</v>
      </c>
      <c r="Q219" s="3865">
        <f t="shared" si="51"/>
        <v>451100461</v>
      </c>
      <c r="R219" s="3608">
        <f t="shared" si="52"/>
        <v>0.49813163289287843</v>
      </c>
      <c r="S219" s="3704"/>
      <c r="T219" s="3822"/>
      <c r="U219" s="1911"/>
      <c r="V219" s="1846">
        <f t="shared" si="50"/>
        <v>0</v>
      </c>
    </row>
    <row r="220" spans="1:22" s="1538" customFormat="1" ht="15.05" customHeight="1">
      <c r="A220" s="1855"/>
      <c r="B220" s="1855"/>
      <c r="C220" s="1855"/>
      <c r="D220" s="1855"/>
      <c r="E220" s="1855"/>
      <c r="F220" s="1857" t="s">
        <v>50</v>
      </c>
      <c r="G220" s="200" t="str">
        <f>MAR!I373</f>
        <v>PD. BPR NTB</v>
      </c>
      <c r="H220" s="1906"/>
      <c r="I220" s="200"/>
      <c r="J220" s="3215">
        <v>11374571865</v>
      </c>
      <c r="K220" s="3216">
        <v>11631764969</v>
      </c>
      <c r="L220" s="3125">
        <v>13374571865</v>
      </c>
      <c r="M220" s="3124">
        <v>0</v>
      </c>
      <c r="N220" s="3125">
        <v>0</v>
      </c>
      <c r="O220" s="3125">
        <v>0</v>
      </c>
      <c r="P220" s="3125">
        <v>11305220112</v>
      </c>
      <c r="Q220" s="3696">
        <f t="shared" si="51"/>
        <v>-2069351753</v>
      </c>
      <c r="R220" s="3605">
        <f t="shared" si="52"/>
        <v>-15.472284076735946</v>
      </c>
      <c r="S220" s="3275">
        <v>13601303170</v>
      </c>
      <c r="T220" s="3826">
        <f>S220-P220</f>
        <v>2296083058</v>
      </c>
      <c r="U220" s="3771"/>
      <c r="V220" s="1846">
        <f t="shared" si="50"/>
        <v>0</v>
      </c>
    </row>
    <row r="221" spans="1:22" s="1538" customFormat="1" ht="15.05" customHeight="1">
      <c r="A221" s="1855"/>
      <c r="B221" s="1855"/>
      <c r="C221" s="1855"/>
      <c r="D221" s="1855"/>
      <c r="E221" s="1855"/>
      <c r="F221" s="1857" t="s">
        <v>50</v>
      </c>
      <c r="G221" s="200" t="str">
        <f>MAR!I374</f>
        <v>Bank NTB/Deviden</v>
      </c>
      <c r="H221" s="1906"/>
      <c r="I221" s="2839"/>
      <c r="J221" s="3217">
        <v>59958450102</v>
      </c>
      <c r="K221" s="3186">
        <v>59958510102</v>
      </c>
      <c r="L221" s="3125">
        <v>59958450102</v>
      </c>
      <c r="M221" s="3124">
        <v>0</v>
      </c>
      <c r="N221" s="3125">
        <v>0</v>
      </c>
      <c r="O221" s="3125">
        <v>0</v>
      </c>
      <c r="P221" s="3125">
        <v>62065732074</v>
      </c>
      <c r="Q221" s="3125">
        <f t="shared" si="51"/>
        <v>2107281972</v>
      </c>
      <c r="R221" s="3605">
        <f t="shared" si="52"/>
        <v>3.5145704540646676</v>
      </c>
      <c r="S221" s="3275">
        <v>60000000000</v>
      </c>
      <c r="T221" s="3826">
        <f t="shared" ref="T221:T226" si="53">S221-P221</f>
        <v>-2065732074</v>
      </c>
      <c r="U221" s="3771"/>
      <c r="V221" s="1846">
        <f t="shared" si="50"/>
        <v>0</v>
      </c>
    </row>
    <row r="222" spans="1:22" s="1538" customFormat="1" ht="15.05" customHeight="1">
      <c r="A222" s="1855"/>
      <c r="B222" s="1855"/>
      <c r="C222" s="1855"/>
      <c r="D222" s="1855"/>
      <c r="E222" s="1855"/>
      <c r="F222" s="1857" t="s">
        <v>50</v>
      </c>
      <c r="G222" s="200" t="str">
        <f>MAR!I375</f>
        <v>PT. Gerbang NTB Emas</v>
      </c>
      <c r="H222" s="1906"/>
      <c r="I222" s="2839"/>
      <c r="J222" s="3217">
        <v>1000000000</v>
      </c>
      <c r="K222" s="3186">
        <v>1000000000</v>
      </c>
      <c r="L222" s="3125">
        <v>1000000000</v>
      </c>
      <c r="M222" s="3124">
        <v>0</v>
      </c>
      <c r="N222" s="3125">
        <v>0</v>
      </c>
      <c r="O222" s="3125">
        <v>0</v>
      </c>
      <c r="P222" s="3125">
        <v>1100000000</v>
      </c>
      <c r="Q222" s="3125">
        <f t="shared" si="51"/>
        <v>100000000</v>
      </c>
      <c r="R222" s="3605">
        <f t="shared" si="52"/>
        <v>10.000000000000014</v>
      </c>
      <c r="S222" s="3275">
        <v>1100000000</v>
      </c>
      <c r="T222" s="3826">
        <f t="shared" si="53"/>
        <v>0</v>
      </c>
      <c r="U222" s="3771"/>
      <c r="V222" s="1846">
        <f t="shared" si="50"/>
        <v>0</v>
      </c>
    </row>
    <row r="223" spans="1:22" s="1538" customFormat="1" ht="15.05" customHeight="1">
      <c r="A223" s="1855"/>
      <c r="B223" s="1855"/>
      <c r="C223" s="1855"/>
      <c r="D223" s="1855"/>
      <c r="E223" s="1855"/>
      <c r="F223" s="1857" t="s">
        <v>50</v>
      </c>
      <c r="G223" s="200" t="str">
        <f>MAR!I376</f>
        <v>PT. Daerah Mandiri Bersaing (DMB)</v>
      </c>
      <c r="H223" s="1906"/>
      <c r="I223" s="2839"/>
      <c r="J223" s="3217">
        <v>85406400000</v>
      </c>
      <c r="K223" s="3186">
        <v>0</v>
      </c>
      <c r="L223" s="3125">
        <v>16000000000</v>
      </c>
      <c r="M223" s="3124">
        <v>0</v>
      </c>
      <c r="N223" s="3125">
        <v>0</v>
      </c>
      <c r="O223" s="3125">
        <v>0</v>
      </c>
      <c r="P223" s="3125">
        <v>16000000000</v>
      </c>
      <c r="Q223" s="3125">
        <f t="shared" si="51"/>
        <v>0</v>
      </c>
      <c r="R223" s="3605">
        <f t="shared" si="52"/>
        <v>0</v>
      </c>
      <c r="S223" s="3275">
        <v>16000000000</v>
      </c>
      <c r="T223" s="3826">
        <f t="shared" si="53"/>
        <v>0</v>
      </c>
      <c r="U223" s="3771"/>
      <c r="V223" s="1846">
        <f t="shared" si="50"/>
        <v>0</v>
      </c>
    </row>
    <row r="224" spans="1:22" s="1538" customFormat="1" ht="15.05" customHeight="1">
      <c r="A224" s="1855"/>
      <c r="B224" s="1855"/>
      <c r="C224" s="1855"/>
      <c r="D224" s="1855"/>
      <c r="E224" s="1855"/>
      <c r="F224" s="1857" t="s">
        <v>50</v>
      </c>
      <c r="G224" s="200" t="str">
        <f>MAR!I377</f>
        <v>Deviden PT. Suara Nusa Media Pratama</v>
      </c>
      <c r="H224" s="1906"/>
      <c r="I224" s="2823"/>
      <c r="J224" s="3218" t="s">
        <v>50</v>
      </c>
      <c r="K224" s="3186">
        <v>0</v>
      </c>
      <c r="L224" s="3125">
        <v>0</v>
      </c>
      <c r="M224" s="3124">
        <v>0</v>
      </c>
      <c r="N224" s="3125">
        <v>0</v>
      </c>
      <c r="O224" s="3125">
        <v>0</v>
      </c>
      <c r="P224" s="3125">
        <v>0</v>
      </c>
      <c r="Q224" s="3125">
        <f t="shared" si="51"/>
        <v>0</v>
      </c>
      <c r="R224" s="3605">
        <v>0</v>
      </c>
      <c r="S224" s="3275"/>
      <c r="T224" s="3826">
        <f t="shared" si="53"/>
        <v>0</v>
      </c>
      <c r="U224" s="3771"/>
      <c r="V224" s="1846">
        <f t="shared" si="50"/>
        <v>0</v>
      </c>
    </row>
    <row r="225" spans="1:23" s="1538" customFormat="1" ht="15.05" customHeight="1">
      <c r="A225" s="1855"/>
      <c r="B225" s="1855"/>
      <c r="C225" s="1855"/>
      <c r="D225" s="1855"/>
      <c r="E225" s="1855"/>
      <c r="F225" s="1857" t="s">
        <v>50</v>
      </c>
      <c r="G225" s="200" t="str">
        <f>MAR!I378</f>
        <v>PT. Jam Krida</v>
      </c>
      <c r="H225" s="1906"/>
      <c r="I225" s="2823"/>
      <c r="J225" s="3186">
        <v>136702012</v>
      </c>
      <c r="K225" s="3186">
        <v>136702012</v>
      </c>
      <c r="L225" s="3125">
        <v>136702012</v>
      </c>
      <c r="M225" s="3124">
        <v>0</v>
      </c>
      <c r="N225" s="3125">
        <v>0</v>
      </c>
      <c r="O225" s="3125">
        <v>0</v>
      </c>
      <c r="P225" s="3125">
        <v>437998804</v>
      </c>
      <c r="Q225" s="3125">
        <f t="shared" si="51"/>
        <v>301296792</v>
      </c>
      <c r="R225" s="3605">
        <f>+P225/L225*100-100</f>
        <v>220.40406545003884</v>
      </c>
      <c r="S225" s="3275">
        <v>692000000</v>
      </c>
      <c r="T225" s="3826">
        <f t="shared" si="53"/>
        <v>254001196</v>
      </c>
      <c r="U225" s="3771"/>
      <c r="V225" s="1846">
        <f t="shared" si="50"/>
        <v>0</v>
      </c>
    </row>
    <row r="226" spans="1:23" s="1538" customFormat="1" ht="15.05" customHeight="1">
      <c r="A226" s="1886"/>
      <c r="B226" s="1886"/>
      <c r="C226" s="1886"/>
      <c r="D226" s="1886"/>
      <c r="E226" s="1886"/>
      <c r="F226" s="1887" t="s">
        <v>50</v>
      </c>
      <c r="G226" s="856" t="str">
        <f>MAR!I379</f>
        <v>PT. Bangun Askrida</v>
      </c>
      <c r="H226" s="3067"/>
      <c r="I226" s="3068"/>
      <c r="J226" s="3219">
        <v>88761211</v>
      </c>
      <c r="K226" s="3219">
        <v>100634661</v>
      </c>
      <c r="L226" s="3174">
        <v>88761211</v>
      </c>
      <c r="M226" s="3175">
        <v>0</v>
      </c>
      <c r="N226" s="3174">
        <v>0</v>
      </c>
      <c r="O226" s="3174">
        <v>0</v>
      </c>
      <c r="P226" s="3174">
        <v>100634661</v>
      </c>
      <c r="Q226" s="3174">
        <f t="shared" si="51"/>
        <v>11873450</v>
      </c>
      <c r="R226" s="3612">
        <f>+P226/L226*100-100</f>
        <v>13.376845433079993</v>
      </c>
      <c r="S226" s="3709">
        <v>100634661</v>
      </c>
      <c r="T226" s="3826">
        <f t="shared" si="53"/>
        <v>0</v>
      </c>
      <c r="U226" s="1899"/>
      <c r="V226" s="1846">
        <f t="shared" si="50"/>
        <v>0</v>
      </c>
    </row>
    <row r="227" spans="1:23" s="4876" customFormat="1" ht="16" customHeight="1">
      <c r="A227" s="4862">
        <v>4</v>
      </c>
      <c r="B227" s="4862">
        <v>1</v>
      </c>
      <c r="C227" s="4862">
        <v>3</v>
      </c>
      <c r="D227" s="4863" t="s">
        <v>438</v>
      </c>
      <c r="E227" s="4862"/>
      <c r="F227" s="4864" t="s">
        <v>203</v>
      </c>
      <c r="G227" s="4865"/>
      <c r="H227" s="4866"/>
      <c r="I227" s="4867"/>
      <c r="J227" s="4868" t="s">
        <v>50</v>
      </c>
      <c r="K227" s="4868" t="s">
        <v>50</v>
      </c>
      <c r="L227" s="4869">
        <v>2000000000</v>
      </c>
      <c r="M227" s="4870">
        <v>0</v>
      </c>
      <c r="N227" s="4869">
        <v>0</v>
      </c>
      <c r="O227" s="4869">
        <v>0</v>
      </c>
      <c r="P227" s="4869">
        <v>2000000000</v>
      </c>
      <c r="Q227" s="4869">
        <f t="shared" si="51"/>
        <v>0</v>
      </c>
      <c r="R227" s="4871">
        <f>+P227/L227*100-100</f>
        <v>0</v>
      </c>
      <c r="S227" s="4872"/>
      <c r="T227" s="4873"/>
      <c r="U227" s="4874"/>
      <c r="V227" s="4875">
        <f t="shared" si="50"/>
        <v>0</v>
      </c>
    </row>
    <row r="228" spans="1:23" s="4890" customFormat="1" ht="15.05" customHeight="1">
      <c r="A228" s="4877">
        <v>4</v>
      </c>
      <c r="B228" s="4877">
        <v>1</v>
      </c>
      <c r="C228" s="4877">
        <v>3</v>
      </c>
      <c r="D228" s="4878" t="s">
        <v>438</v>
      </c>
      <c r="E228" s="4878" t="s">
        <v>437</v>
      </c>
      <c r="F228" s="4879" t="s">
        <v>555</v>
      </c>
      <c r="G228" s="4880"/>
      <c r="H228" s="4881"/>
      <c r="I228" s="4882"/>
      <c r="J228" s="4883" t="s">
        <v>50</v>
      </c>
      <c r="K228" s="4883" t="s">
        <v>50</v>
      </c>
      <c r="L228" s="4884">
        <v>2000000000</v>
      </c>
      <c r="M228" s="4885">
        <v>0</v>
      </c>
      <c r="N228" s="4884">
        <v>0</v>
      </c>
      <c r="O228" s="4884">
        <v>0</v>
      </c>
      <c r="P228" s="4884">
        <v>2000000000</v>
      </c>
      <c r="Q228" s="4884">
        <f t="shared" si="51"/>
        <v>0</v>
      </c>
      <c r="R228" s="4886">
        <f>+P228/L228*100-100</f>
        <v>0</v>
      </c>
      <c r="S228" s="4887"/>
      <c r="T228" s="4888"/>
      <c r="U228" s="4889"/>
      <c r="V228" s="3940">
        <f t="shared" si="50"/>
        <v>0</v>
      </c>
    </row>
    <row r="229" spans="1:23" s="1538" customFormat="1" ht="15.05" customHeight="1">
      <c r="A229" s="1913"/>
      <c r="B229" s="1913"/>
      <c r="C229" s="1913"/>
      <c r="D229" s="1913"/>
      <c r="E229" s="1913"/>
      <c r="F229" s="1942"/>
      <c r="G229" s="1943"/>
      <c r="H229" s="238"/>
      <c r="I229" s="2840"/>
      <c r="J229" s="3227"/>
      <c r="K229" s="3227"/>
      <c r="L229" s="3228"/>
      <c r="M229" s="3229"/>
      <c r="N229" s="3228"/>
      <c r="O229" s="3228"/>
      <c r="P229" s="3228"/>
      <c r="Q229" s="3228"/>
      <c r="R229" s="3624"/>
      <c r="S229" s="3719"/>
      <c r="T229" s="3841"/>
      <c r="U229" s="3790"/>
      <c r="V229" s="1846">
        <f t="shared" si="50"/>
        <v>0</v>
      </c>
    </row>
    <row r="230" spans="1:23" s="2916" customFormat="1" ht="15.05" customHeight="1">
      <c r="A230" s="2909">
        <v>4</v>
      </c>
      <c r="B230" s="2909">
        <v>1</v>
      </c>
      <c r="C230" s="2909">
        <v>4</v>
      </c>
      <c r="D230" s="2909"/>
      <c r="E230" s="2909"/>
      <c r="F230" s="2910" t="s">
        <v>71</v>
      </c>
      <c r="G230" s="2911"/>
      <c r="H230" s="2912"/>
      <c r="I230" s="2913"/>
      <c r="J230" s="3231">
        <v>224639588129</v>
      </c>
      <c r="K230" s="3231">
        <v>243089557831.42999</v>
      </c>
      <c r="L230" s="3231">
        <f>L231+L238+L244+L247+L251+L269+L292+L300+L374+L381+L367+L396</f>
        <v>268454484234</v>
      </c>
      <c r="M230" s="3231">
        <f>M231+M238+M244+M247+M251+M269+M292+M300+M374+M381+M367+M396</f>
        <v>30843632833.540001</v>
      </c>
      <c r="N230" s="3231">
        <f>N231+N238+N244+N247+N251+N269+N292+N300+N374+N381+N367+N396</f>
        <v>19287748227.190002</v>
      </c>
      <c r="O230" s="3231">
        <f>O231+O238+O244+O247+O251+O269+O292+O300+O374+O381+O367+O396</f>
        <v>50168481060.729996</v>
      </c>
      <c r="P230" s="3231">
        <f>P231+P238+P244+P247+P251+P269+P292+P300+P374+P381+P367+P396</f>
        <v>290112069425</v>
      </c>
      <c r="Q230" s="3231">
        <f t="shared" ref="Q230:Q236" si="54">+P230-L230</f>
        <v>21657585191</v>
      </c>
      <c r="R230" s="3625">
        <f>+P230/L230*100-100</f>
        <v>8.0675073291463661</v>
      </c>
      <c r="S230" s="3746"/>
      <c r="T230" s="3842"/>
      <c r="U230" s="2914"/>
      <c r="V230" s="2904">
        <f t="shared" si="50"/>
        <v>200673924242.91998</v>
      </c>
      <c r="W230" s="2915">
        <f>+O230-REKAPOK!N43</f>
        <v>160175000</v>
      </c>
    </row>
    <row r="231" spans="1:23" s="4903" customFormat="1" ht="15.05" customHeight="1">
      <c r="A231" s="4891">
        <v>4</v>
      </c>
      <c r="B231" s="4892">
        <v>1</v>
      </c>
      <c r="C231" s="4892">
        <v>4</v>
      </c>
      <c r="D231" s="4892" t="s">
        <v>437</v>
      </c>
      <c r="E231" s="4892"/>
      <c r="F231" s="4893" t="s">
        <v>206</v>
      </c>
      <c r="G231" s="4894"/>
      <c r="H231" s="4895"/>
      <c r="I231" s="4896"/>
      <c r="J231" s="4897">
        <f>SUM(J232:J236)</f>
        <v>250000000</v>
      </c>
      <c r="K231" s="4897">
        <f>SUM(K232:K236)</f>
        <v>25364000</v>
      </c>
      <c r="L231" s="4898">
        <f>SUM(L232:L236)</f>
        <v>250000000</v>
      </c>
      <c r="M231" s="4870">
        <v>0</v>
      </c>
      <c r="N231" s="4898">
        <f>SUM(N232:N236)</f>
        <v>0</v>
      </c>
      <c r="O231" s="4898">
        <f>N231+M231</f>
        <v>0</v>
      </c>
      <c r="P231" s="4898">
        <f>SUM(P232:P236)</f>
        <v>250000000</v>
      </c>
      <c r="Q231" s="4898">
        <f t="shared" si="54"/>
        <v>0</v>
      </c>
      <c r="R231" s="4899">
        <f>+P231/L231*100-100</f>
        <v>0</v>
      </c>
      <c r="S231" s="4900"/>
      <c r="T231" s="4901"/>
      <c r="U231" s="4902"/>
      <c r="V231" s="4875">
        <f t="shared" si="50"/>
        <v>0</v>
      </c>
    </row>
    <row r="232" spans="1:23" s="3941" customFormat="1" ht="15.05" customHeight="1">
      <c r="A232" s="4904">
        <v>4</v>
      </c>
      <c r="B232" s="4904">
        <v>1</v>
      </c>
      <c r="C232" s="4904">
        <v>4</v>
      </c>
      <c r="D232" s="4904" t="s">
        <v>437</v>
      </c>
      <c r="E232" s="4904" t="s">
        <v>437</v>
      </c>
      <c r="F232" s="4905" t="str">
        <f>MAR!I386</f>
        <v>Pelepasan Hak Atas Tanah</v>
      </c>
      <c r="G232" s="4906"/>
      <c r="H232" s="4907"/>
      <c r="I232" s="4908"/>
      <c r="J232" s="4909">
        <v>0</v>
      </c>
      <c r="K232" s="4909">
        <v>0</v>
      </c>
      <c r="L232" s="4910">
        <v>0</v>
      </c>
      <c r="M232" s="4885">
        <v>0</v>
      </c>
      <c r="N232" s="4910">
        <v>0</v>
      </c>
      <c r="O232" s="4910">
        <v>0</v>
      </c>
      <c r="P232" s="4910">
        <v>0</v>
      </c>
      <c r="Q232" s="4910">
        <f t="shared" si="54"/>
        <v>0</v>
      </c>
      <c r="R232" s="4911">
        <v>0</v>
      </c>
      <c r="S232" s="4912"/>
      <c r="T232" s="4913"/>
      <c r="U232" s="4914">
        <f>PerDinas!Q534</f>
        <v>0</v>
      </c>
      <c r="V232" s="3940">
        <f t="shared" si="50"/>
        <v>0</v>
      </c>
    </row>
    <row r="233" spans="1:23" s="3941" customFormat="1" ht="15.05" customHeight="1">
      <c r="A233" s="3928">
        <v>4</v>
      </c>
      <c r="B233" s="3928">
        <v>1</v>
      </c>
      <c r="C233" s="3928">
        <v>4</v>
      </c>
      <c r="D233" s="3928" t="s">
        <v>437</v>
      </c>
      <c r="E233" s="3928" t="s">
        <v>438</v>
      </c>
      <c r="F233" s="4915" t="str">
        <f>MAR!I387</f>
        <v>Penjualan Peralatan/Perlengkapan Kantor Tdk Terpakai</v>
      </c>
      <c r="G233" s="3930"/>
      <c r="H233" s="3931"/>
      <c r="I233" s="3956"/>
      <c r="J233" s="3957">
        <v>50000000</v>
      </c>
      <c r="K233" s="3957">
        <v>0</v>
      </c>
      <c r="L233" s="3934">
        <v>50000000</v>
      </c>
      <c r="M233" s="3935">
        <v>0</v>
      </c>
      <c r="N233" s="3934">
        <v>0</v>
      </c>
      <c r="O233" s="3934">
        <v>0</v>
      </c>
      <c r="P233" s="3934">
        <v>50000000</v>
      </c>
      <c r="Q233" s="3934">
        <f t="shared" si="54"/>
        <v>0</v>
      </c>
      <c r="R233" s="3936">
        <f>+P233/L233*100-100</f>
        <v>0</v>
      </c>
      <c r="S233" s="3937"/>
      <c r="T233" s="3938"/>
      <c r="U233" s="3939"/>
      <c r="V233" s="3940">
        <f t="shared" si="50"/>
        <v>0</v>
      </c>
    </row>
    <row r="234" spans="1:23" s="3941" customFormat="1" ht="15.05" customHeight="1">
      <c r="A234" s="3928">
        <v>4</v>
      </c>
      <c r="B234" s="3928">
        <v>1</v>
      </c>
      <c r="C234" s="3928">
        <v>4</v>
      </c>
      <c r="D234" s="3928" t="s">
        <v>437</v>
      </c>
      <c r="E234" s="3928" t="s">
        <v>440</v>
      </c>
      <c r="F234" s="4915" t="str">
        <f>MAR!I388</f>
        <v>Penjualan Mesin/Alat Berat Tidak Terpakai</v>
      </c>
      <c r="G234" s="3930"/>
      <c r="H234" s="3931"/>
      <c r="I234" s="3956"/>
      <c r="J234" s="3957"/>
      <c r="K234" s="3957"/>
      <c r="L234" s="3934">
        <v>0</v>
      </c>
      <c r="M234" s="3935">
        <v>0</v>
      </c>
      <c r="N234" s="3934">
        <v>0</v>
      </c>
      <c r="O234" s="3934">
        <v>0</v>
      </c>
      <c r="P234" s="3934">
        <v>0</v>
      </c>
      <c r="Q234" s="3934">
        <f t="shared" si="54"/>
        <v>0</v>
      </c>
      <c r="R234" s="3936">
        <v>0</v>
      </c>
      <c r="S234" s="3937"/>
      <c r="T234" s="3938"/>
      <c r="U234" s="3939"/>
      <c r="V234" s="3940">
        <f t="shared" si="50"/>
        <v>0</v>
      </c>
    </row>
    <row r="235" spans="1:23" s="3941" customFormat="1" ht="15.05" customHeight="1">
      <c r="A235" s="3928">
        <v>4</v>
      </c>
      <c r="B235" s="3928">
        <v>1</v>
      </c>
      <c r="C235" s="3928">
        <v>4</v>
      </c>
      <c r="D235" s="3928" t="s">
        <v>437</v>
      </c>
      <c r="E235" s="3928" t="s">
        <v>445</v>
      </c>
      <c r="F235" s="4915" t="str">
        <f>MAR!I389</f>
        <v>Penjualan Rumah Jabatan/Rumah Dinas</v>
      </c>
      <c r="G235" s="3930"/>
      <c r="H235" s="3931"/>
      <c r="I235" s="3956"/>
      <c r="J235" s="3957"/>
      <c r="K235" s="3957"/>
      <c r="L235" s="3934">
        <v>0</v>
      </c>
      <c r="M235" s="3935">
        <v>0</v>
      </c>
      <c r="N235" s="3934">
        <v>0</v>
      </c>
      <c r="O235" s="3934">
        <v>0</v>
      </c>
      <c r="P235" s="3934">
        <v>0</v>
      </c>
      <c r="Q235" s="3934">
        <f t="shared" si="54"/>
        <v>0</v>
      </c>
      <c r="R235" s="3936">
        <v>0</v>
      </c>
      <c r="S235" s="3937"/>
      <c r="T235" s="3938"/>
      <c r="U235" s="3939"/>
      <c r="V235" s="3940">
        <f t="shared" si="50"/>
        <v>0</v>
      </c>
    </row>
    <row r="236" spans="1:23" s="3941" customFormat="1" ht="15.05" customHeight="1">
      <c r="A236" s="3928">
        <v>4</v>
      </c>
      <c r="B236" s="3928">
        <v>1</v>
      </c>
      <c r="C236" s="3928">
        <v>4</v>
      </c>
      <c r="D236" s="3928" t="s">
        <v>437</v>
      </c>
      <c r="E236" s="3928" t="s">
        <v>444</v>
      </c>
      <c r="F236" s="4915" t="str">
        <f>MAR!I390</f>
        <v>Penjualan Bahan-Bahan Bekas bangunan</v>
      </c>
      <c r="G236" s="3930"/>
      <c r="H236" s="3931"/>
      <c r="I236" s="3956"/>
      <c r="J236" s="3957">
        <v>200000000</v>
      </c>
      <c r="K236" s="3957">
        <v>25364000</v>
      </c>
      <c r="L236" s="3934">
        <v>200000000</v>
      </c>
      <c r="M236" s="3935">
        <v>0</v>
      </c>
      <c r="N236" s="3934">
        <v>0</v>
      </c>
      <c r="O236" s="3934">
        <v>0</v>
      </c>
      <c r="P236" s="3934">
        <v>200000000</v>
      </c>
      <c r="Q236" s="3934">
        <f t="shared" si="54"/>
        <v>0</v>
      </c>
      <c r="R236" s="3936">
        <f t="shared" ref="R236:R241" si="55">+P236/L236*100-100</f>
        <v>0</v>
      </c>
      <c r="S236" s="3937"/>
      <c r="T236" s="3938"/>
      <c r="U236" s="3939"/>
      <c r="V236" s="3940">
        <f t="shared" si="50"/>
        <v>0</v>
      </c>
    </row>
    <row r="237" spans="1:23" s="3941" customFormat="1" ht="15.05" customHeight="1">
      <c r="A237" s="4916"/>
      <c r="B237" s="4916"/>
      <c r="C237" s="4916"/>
      <c r="D237" s="4916"/>
      <c r="E237" s="4916"/>
      <c r="F237" s="4917"/>
      <c r="G237" s="4918"/>
      <c r="H237" s="4919"/>
      <c r="I237" s="4920"/>
      <c r="J237" s="4921"/>
      <c r="K237" s="4921"/>
      <c r="L237" s="4922"/>
      <c r="M237" s="4923"/>
      <c r="N237" s="4922"/>
      <c r="O237" s="4922"/>
      <c r="P237" s="4922"/>
      <c r="Q237" s="4922"/>
      <c r="R237" s="4924"/>
      <c r="S237" s="4925"/>
      <c r="T237" s="4926"/>
      <c r="U237" s="3939"/>
      <c r="V237" s="3940">
        <f t="shared" si="50"/>
        <v>0</v>
      </c>
    </row>
    <row r="238" spans="1:23" s="4903" customFormat="1" ht="15.05" customHeight="1">
      <c r="A238" s="4891">
        <v>4</v>
      </c>
      <c r="B238" s="4892">
        <v>1</v>
      </c>
      <c r="C238" s="4892">
        <v>4</v>
      </c>
      <c r="D238" s="4892" t="s">
        <v>438</v>
      </c>
      <c r="E238" s="4892"/>
      <c r="F238" s="4893" t="s">
        <v>212</v>
      </c>
      <c r="G238" s="4894"/>
      <c r="H238" s="4895"/>
      <c r="I238" s="4896"/>
      <c r="J238" s="4897">
        <f>SUM(J239:J240)</f>
        <v>4500000000</v>
      </c>
      <c r="K238" s="4897">
        <f t="shared" ref="K238:P238" si="56">SUM(K239:K240)</f>
        <v>12549664258.33</v>
      </c>
      <c r="L238" s="4897">
        <f t="shared" si="56"/>
        <v>4500000000</v>
      </c>
      <c r="M238" s="4897">
        <f t="shared" si="56"/>
        <v>3094595763</v>
      </c>
      <c r="N238" s="4897">
        <f t="shared" si="56"/>
        <v>532884</v>
      </c>
      <c r="O238" s="4897">
        <f t="shared" si="56"/>
        <v>3095128647</v>
      </c>
      <c r="P238" s="4897">
        <f t="shared" si="56"/>
        <v>7037000000</v>
      </c>
      <c r="Q238" s="4898">
        <f>+P238-L238</f>
        <v>2537000000</v>
      </c>
      <c r="R238" s="4899">
        <f t="shared" si="55"/>
        <v>56.377777777777766</v>
      </c>
      <c r="S238" s="4900"/>
      <c r="T238" s="4901"/>
      <c r="U238" s="4902"/>
      <c r="V238" s="4875">
        <f t="shared" si="50"/>
        <v>12380514588</v>
      </c>
    </row>
    <row r="239" spans="1:23" s="3941" customFormat="1" ht="15.05" customHeight="1">
      <c r="A239" s="4927">
        <v>4</v>
      </c>
      <c r="B239" s="4927">
        <v>1</v>
      </c>
      <c r="C239" s="4927">
        <v>4</v>
      </c>
      <c r="D239" s="4927" t="s">
        <v>438</v>
      </c>
      <c r="E239" s="4927" t="s">
        <v>437</v>
      </c>
      <c r="F239" s="4928" t="s">
        <v>214</v>
      </c>
      <c r="G239" s="4929"/>
      <c r="H239" s="4930"/>
      <c r="I239" s="4931"/>
      <c r="J239" s="4932">
        <v>0</v>
      </c>
      <c r="K239" s="4932">
        <v>0</v>
      </c>
      <c r="L239" s="4933">
        <v>0</v>
      </c>
      <c r="M239" s="4934">
        <v>36875929</v>
      </c>
      <c r="N239" s="4933">
        <v>496972</v>
      </c>
      <c r="O239" s="4933">
        <v>37372901</v>
      </c>
      <c r="P239" s="4933">
        <v>37000000</v>
      </c>
      <c r="Q239" s="4933">
        <f>+P239-L239</f>
        <v>37000000</v>
      </c>
      <c r="R239" s="4935">
        <v>0</v>
      </c>
      <c r="S239" s="4936"/>
      <c r="T239" s="4937"/>
      <c r="U239" s="3954"/>
      <c r="V239" s="3940">
        <f t="shared" si="50"/>
        <v>149491604</v>
      </c>
    </row>
    <row r="240" spans="1:23" s="3941" customFormat="1" ht="15.05" customHeight="1">
      <c r="A240" s="3942">
        <v>4</v>
      </c>
      <c r="B240" s="3942">
        <v>1</v>
      </c>
      <c r="C240" s="3942">
        <v>4</v>
      </c>
      <c r="D240" s="3942" t="s">
        <v>438</v>
      </c>
      <c r="E240" s="3942" t="s">
        <v>438</v>
      </c>
      <c r="F240" s="2825" t="s">
        <v>213</v>
      </c>
      <c r="G240" s="3946"/>
      <c r="H240" s="3947"/>
      <c r="I240" s="3948"/>
      <c r="J240" s="3949">
        <v>4500000000</v>
      </c>
      <c r="K240" s="3949">
        <v>12549664258.33</v>
      </c>
      <c r="L240" s="3950">
        <v>4500000000</v>
      </c>
      <c r="M240" s="4938">
        <v>3057719834</v>
      </c>
      <c r="N240" s="3950">
        <v>35912</v>
      </c>
      <c r="O240" s="3950">
        <v>3057755746</v>
      </c>
      <c r="P240" s="3950">
        <f>+P241</f>
        <v>7000000000</v>
      </c>
      <c r="Q240" s="3950">
        <f>+P240-L240</f>
        <v>2500000000</v>
      </c>
      <c r="R240" s="3951">
        <f t="shared" si="55"/>
        <v>55.555555555555571</v>
      </c>
      <c r="S240" s="4939"/>
      <c r="T240" s="4940"/>
      <c r="U240" s="3954"/>
      <c r="V240" s="3940">
        <f t="shared" si="50"/>
        <v>12231022984</v>
      </c>
    </row>
    <row r="241" spans="1:22" s="3941" customFormat="1" ht="15.05" customHeight="1">
      <c r="A241" s="3928"/>
      <c r="B241" s="3928"/>
      <c r="C241" s="3928"/>
      <c r="D241" s="3928"/>
      <c r="E241" s="3928"/>
      <c r="F241" s="3929" t="s">
        <v>50</v>
      </c>
      <c r="G241" s="3930" t="s">
        <v>223</v>
      </c>
      <c r="H241" s="3931"/>
      <c r="I241" s="3956"/>
      <c r="J241" s="3957">
        <v>4500000000</v>
      </c>
      <c r="K241" s="3957">
        <v>12549664258.33</v>
      </c>
      <c r="L241" s="3934">
        <v>4500000000</v>
      </c>
      <c r="M241" s="3935">
        <v>3057719834</v>
      </c>
      <c r="N241" s="3934">
        <v>35912</v>
      </c>
      <c r="O241" s="3934">
        <v>3057755746</v>
      </c>
      <c r="P241" s="3934">
        <v>7000000000</v>
      </c>
      <c r="Q241" s="3934">
        <f>+P241-L241</f>
        <v>2500000000</v>
      </c>
      <c r="R241" s="3936">
        <f t="shared" si="55"/>
        <v>55.555555555555571</v>
      </c>
      <c r="S241" s="3937"/>
      <c r="T241" s="3938"/>
      <c r="U241" s="3939"/>
      <c r="V241" s="3940">
        <f t="shared" si="50"/>
        <v>12231022984</v>
      </c>
    </row>
    <row r="242" spans="1:22" s="3941" customFormat="1" ht="15.05" hidden="1" customHeight="1">
      <c r="A242" s="3928"/>
      <c r="B242" s="3928"/>
      <c r="C242" s="3928"/>
      <c r="D242" s="3928"/>
      <c r="E242" s="3928"/>
      <c r="F242" s="3943"/>
      <c r="G242" s="3930"/>
      <c r="H242" s="3931"/>
      <c r="I242" s="3956"/>
      <c r="J242" s="3957"/>
      <c r="K242" s="3957"/>
      <c r="L242" s="3934"/>
      <c r="M242" s="3935"/>
      <c r="N242" s="3934"/>
      <c r="O242" s="3934"/>
      <c r="P242" s="3934"/>
      <c r="Q242" s="3934"/>
      <c r="R242" s="3936"/>
      <c r="S242" s="4941"/>
      <c r="T242" s="4942"/>
      <c r="U242" s="3939"/>
      <c r="V242" s="3940">
        <f t="shared" si="50"/>
        <v>0</v>
      </c>
    </row>
    <row r="243" spans="1:22" s="3941" customFormat="1" ht="15.05" customHeight="1">
      <c r="A243" s="4916"/>
      <c r="B243" s="4916"/>
      <c r="C243" s="4916"/>
      <c r="D243" s="4916"/>
      <c r="E243" s="4916"/>
      <c r="F243" s="4943"/>
      <c r="G243" s="4918"/>
      <c r="H243" s="4919"/>
      <c r="I243" s="4920"/>
      <c r="J243" s="4921"/>
      <c r="K243" s="4921"/>
      <c r="L243" s="4922"/>
      <c r="M243" s="4923"/>
      <c r="N243" s="4922"/>
      <c r="O243" s="4922"/>
      <c r="P243" s="4922"/>
      <c r="Q243" s="4922"/>
      <c r="R243" s="4924"/>
      <c r="S243" s="4925"/>
      <c r="T243" s="4926"/>
      <c r="U243" s="4944"/>
      <c r="V243" s="3940">
        <f t="shared" si="50"/>
        <v>0</v>
      </c>
    </row>
    <row r="244" spans="1:22" s="4903" customFormat="1" ht="15.05" customHeight="1">
      <c r="A244" s="4891">
        <v>4</v>
      </c>
      <c r="B244" s="4892">
        <v>1</v>
      </c>
      <c r="C244" s="4892">
        <v>4</v>
      </c>
      <c r="D244" s="4892" t="s">
        <v>440</v>
      </c>
      <c r="E244" s="4892"/>
      <c r="F244" s="4893" t="s">
        <v>215</v>
      </c>
      <c r="G244" s="4894"/>
      <c r="H244" s="4895"/>
      <c r="I244" s="4896"/>
      <c r="J244" s="4897">
        <f>+J245</f>
        <v>6875000000</v>
      </c>
      <c r="K244" s="4897">
        <f t="shared" ref="K244:P244" si="57">+K245</f>
        <v>9375000000</v>
      </c>
      <c r="L244" s="4897">
        <f t="shared" si="57"/>
        <v>6875000000</v>
      </c>
      <c r="M244" s="4897">
        <f t="shared" si="57"/>
        <v>0</v>
      </c>
      <c r="N244" s="4897">
        <f t="shared" si="57"/>
        <v>875000000</v>
      </c>
      <c r="O244" s="4897">
        <f t="shared" si="57"/>
        <v>875000000</v>
      </c>
      <c r="P244" s="4898">
        <f t="shared" si="57"/>
        <v>7000000000</v>
      </c>
      <c r="Q244" s="4898">
        <f t="shared" ref="Q244:Q249" si="58">+P244-L244</f>
        <v>125000000</v>
      </c>
      <c r="R244" s="4945">
        <f t="shared" ref="R244:R249" si="59">+P244/L244*100-100</f>
        <v>1.818181818181813</v>
      </c>
      <c r="S244" s="4946"/>
      <c r="T244" s="4947"/>
      <c r="U244" s="4948"/>
      <c r="V244" s="4875">
        <f t="shared" si="50"/>
        <v>3500000000</v>
      </c>
    </row>
    <row r="245" spans="1:22" s="3941" customFormat="1" ht="15.05" customHeight="1">
      <c r="A245" s="4904">
        <v>4</v>
      </c>
      <c r="B245" s="4904">
        <v>1</v>
      </c>
      <c r="C245" s="4904">
        <v>4</v>
      </c>
      <c r="D245" s="4904" t="s">
        <v>440</v>
      </c>
      <c r="E245" s="4904" t="s">
        <v>437</v>
      </c>
      <c r="F245" s="4949" t="s">
        <v>216</v>
      </c>
      <c r="G245" s="4906"/>
      <c r="H245" s="4907"/>
      <c r="I245" s="4950"/>
      <c r="J245" s="4951">
        <v>6875000000</v>
      </c>
      <c r="K245" s="4951">
        <v>9375000000</v>
      </c>
      <c r="L245" s="4910">
        <v>6875000000</v>
      </c>
      <c r="M245" s="4885">
        <v>0</v>
      </c>
      <c r="N245" s="4910">
        <v>875000000</v>
      </c>
      <c r="O245" s="4910">
        <v>875000000</v>
      </c>
      <c r="P245" s="4910">
        <v>7000000000</v>
      </c>
      <c r="Q245" s="4910">
        <f t="shared" si="58"/>
        <v>125000000</v>
      </c>
      <c r="R245" s="4911">
        <f t="shared" si="59"/>
        <v>1.818181818181813</v>
      </c>
      <c r="S245" s="4952"/>
      <c r="T245" s="4913"/>
      <c r="U245" s="4953"/>
      <c r="V245" s="3940">
        <f t="shared" si="50"/>
        <v>3500000000</v>
      </c>
    </row>
    <row r="246" spans="1:22" s="3941" customFormat="1" ht="15.05" customHeight="1">
      <c r="A246" s="4916"/>
      <c r="B246" s="4916"/>
      <c r="C246" s="4916"/>
      <c r="D246" s="4916"/>
      <c r="E246" s="4916"/>
      <c r="F246" s="4943"/>
      <c r="G246" s="4918"/>
      <c r="H246" s="4919"/>
      <c r="I246" s="4954"/>
      <c r="J246" s="4955"/>
      <c r="K246" s="4955"/>
      <c r="L246" s="4922"/>
      <c r="M246" s="4923">
        <v>0</v>
      </c>
      <c r="N246" s="4922"/>
      <c r="O246" s="4922">
        <f>+N246+M246</f>
        <v>0</v>
      </c>
      <c r="P246" s="4922" t="s">
        <v>556</v>
      </c>
      <c r="Q246" s="4922"/>
      <c r="R246" s="4924"/>
      <c r="S246" s="4925"/>
      <c r="T246" s="4926"/>
      <c r="U246" s="3939"/>
      <c r="V246" s="3940">
        <f t="shared" si="50"/>
        <v>0</v>
      </c>
    </row>
    <row r="247" spans="1:22" s="4903" customFormat="1" ht="15.05" customHeight="1">
      <c r="A247" s="4891">
        <v>4</v>
      </c>
      <c r="B247" s="4892">
        <v>1</v>
      </c>
      <c r="C247" s="4892">
        <v>4</v>
      </c>
      <c r="D247" s="4892" t="s">
        <v>445</v>
      </c>
      <c r="E247" s="4892"/>
      <c r="F247" s="4893" t="s">
        <v>217</v>
      </c>
      <c r="G247" s="4894"/>
      <c r="H247" s="4895"/>
      <c r="I247" s="4956"/>
      <c r="J247" s="4957">
        <f t="shared" ref="J247:P247" si="60">SUM(J248:J249)</f>
        <v>1205211975</v>
      </c>
      <c r="K247" s="4957">
        <f t="shared" si="60"/>
        <v>354139064.23000002</v>
      </c>
      <c r="L247" s="4957">
        <f t="shared" si="60"/>
        <v>1205211975</v>
      </c>
      <c r="M247" s="4957">
        <f t="shared" si="60"/>
        <v>200000</v>
      </c>
      <c r="N247" s="4957">
        <f t="shared" si="60"/>
        <v>0</v>
      </c>
      <c r="O247" s="4957">
        <f t="shared" si="60"/>
        <v>200000</v>
      </c>
      <c r="P247" s="4898">
        <f t="shared" si="60"/>
        <v>1205211975</v>
      </c>
      <c r="Q247" s="4898">
        <f t="shared" si="58"/>
        <v>0</v>
      </c>
      <c r="R247" s="4899">
        <f t="shared" si="59"/>
        <v>0</v>
      </c>
      <c r="S247" s="4900"/>
      <c r="T247" s="4901"/>
      <c r="U247" s="4902"/>
      <c r="V247" s="4875">
        <f t="shared" si="50"/>
        <v>800000</v>
      </c>
    </row>
    <row r="248" spans="1:22" s="3941" customFormat="1" ht="15.05" customHeight="1">
      <c r="A248" s="4904">
        <v>4</v>
      </c>
      <c r="B248" s="4904">
        <v>1</v>
      </c>
      <c r="C248" s="4904">
        <v>4</v>
      </c>
      <c r="D248" s="4904" t="s">
        <v>445</v>
      </c>
      <c r="E248" s="4904" t="s">
        <v>437</v>
      </c>
      <c r="F248" s="4949" t="s">
        <v>218</v>
      </c>
      <c r="G248" s="4906"/>
      <c r="H248" s="4907"/>
      <c r="I248" s="4950"/>
      <c r="J248" s="4951">
        <v>1190211975</v>
      </c>
      <c r="K248" s="4951">
        <v>340768064.23000002</v>
      </c>
      <c r="L248" s="4910">
        <v>1190211975</v>
      </c>
      <c r="M248" s="4885">
        <v>0</v>
      </c>
      <c r="N248" s="4910">
        <v>0</v>
      </c>
      <c r="O248" s="4910">
        <v>0</v>
      </c>
      <c r="P248" s="4910">
        <v>1190211975</v>
      </c>
      <c r="Q248" s="4910">
        <f t="shared" si="58"/>
        <v>0</v>
      </c>
      <c r="R248" s="4911">
        <f t="shared" si="59"/>
        <v>0</v>
      </c>
      <c r="S248" s="4952"/>
      <c r="T248" s="4913"/>
      <c r="U248" s="3939"/>
      <c r="V248" s="3940">
        <f t="shared" si="50"/>
        <v>0</v>
      </c>
    </row>
    <row r="249" spans="1:22" s="3941" customFormat="1" ht="15.05" customHeight="1">
      <c r="A249" s="3928">
        <v>4</v>
      </c>
      <c r="B249" s="3928">
        <v>1</v>
      </c>
      <c r="C249" s="3928">
        <v>4</v>
      </c>
      <c r="D249" s="3928" t="s">
        <v>445</v>
      </c>
      <c r="E249" s="3928" t="s">
        <v>438</v>
      </c>
      <c r="F249" s="3943" t="s">
        <v>219</v>
      </c>
      <c r="G249" s="3930"/>
      <c r="H249" s="3931"/>
      <c r="I249" s="3931"/>
      <c r="J249" s="4428">
        <v>15000000</v>
      </c>
      <c r="K249" s="3933">
        <v>13371000</v>
      </c>
      <c r="L249" s="3934">
        <v>15000000</v>
      </c>
      <c r="M249" s="3935">
        <v>200000</v>
      </c>
      <c r="N249" s="3934">
        <v>0</v>
      </c>
      <c r="O249" s="3934">
        <v>200000</v>
      </c>
      <c r="P249" s="3934">
        <v>15000000</v>
      </c>
      <c r="Q249" s="3934">
        <f t="shared" si="58"/>
        <v>0</v>
      </c>
      <c r="R249" s="3936">
        <f t="shared" si="59"/>
        <v>0</v>
      </c>
      <c r="S249" s="3937"/>
      <c r="T249" s="3938"/>
      <c r="U249" s="3939"/>
      <c r="V249" s="3940">
        <f t="shared" si="50"/>
        <v>800000</v>
      </c>
    </row>
    <row r="250" spans="1:22" s="3941" customFormat="1" ht="15.05" customHeight="1">
      <c r="A250" s="4916"/>
      <c r="B250" s="4916"/>
      <c r="C250" s="4916"/>
      <c r="D250" s="4916"/>
      <c r="E250" s="4916"/>
      <c r="F250" s="4943"/>
      <c r="G250" s="4918"/>
      <c r="H250" s="4919"/>
      <c r="I250" s="4919"/>
      <c r="J250" s="4958"/>
      <c r="K250" s="4955"/>
      <c r="L250" s="4922"/>
      <c r="M250" s="4923"/>
      <c r="N250" s="4922"/>
      <c r="O250" s="4922"/>
      <c r="P250" s="4922"/>
      <c r="Q250" s="4922"/>
      <c r="R250" s="4924"/>
      <c r="S250" s="4925"/>
      <c r="T250" s="4926"/>
      <c r="U250" s="4944"/>
      <c r="V250" s="3940">
        <f t="shared" si="50"/>
        <v>0</v>
      </c>
    </row>
    <row r="251" spans="1:22" s="4903" customFormat="1" ht="15.05" customHeight="1">
      <c r="A251" s="4891">
        <v>4</v>
      </c>
      <c r="B251" s="4892">
        <v>1</v>
      </c>
      <c r="C251" s="4892">
        <v>4</v>
      </c>
      <c r="D251" s="4892" t="s">
        <v>441</v>
      </c>
      <c r="E251" s="4892"/>
      <c r="F251" s="4959" t="s">
        <v>557</v>
      </c>
      <c r="G251" s="4895"/>
      <c r="H251" s="4895"/>
      <c r="I251" s="4895"/>
      <c r="J251" s="4960">
        <v>0</v>
      </c>
      <c r="K251" s="4961">
        <f t="shared" ref="K251:P251" si="61">K252</f>
        <v>810940665.47000003</v>
      </c>
      <c r="L251" s="4961">
        <f t="shared" si="61"/>
        <v>0</v>
      </c>
      <c r="M251" s="4961">
        <f t="shared" si="61"/>
        <v>81048456.790000007</v>
      </c>
      <c r="N251" s="4961">
        <f t="shared" si="61"/>
        <v>73760000</v>
      </c>
      <c r="O251" s="4961">
        <f t="shared" si="61"/>
        <v>82408456.790000007</v>
      </c>
      <c r="P251" s="4961">
        <f t="shared" si="61"/>
        <v>82408000</v>
      </c>
      <c r="Q251" s="4962">
        <f t="shared" ref="Q251:Q267" si="62">+P251-L251</f>
        <v>82408000</v>
      </c>
      <c r="R251" s="4963">
        <v>0</v>
      </c>
      <c r="S251" s="4964"/>
      <c r="T251" s="4965"/>
      <c r="U251" s="4966"/>
      <c r="V251" s="4875">
        <f t="shared" si="50"/>
        <v>329633827.16000003</v>
      </c>
    </row>
    <row r="252" spans="1:22" s="3955" customFormat="1" ht="15.05" customHeight="1">
      <c r="A252" s="4927">
        <v>4</v>
      </c>
      <c r="B252" s="4927">
        <v>1</v>
      </c>
      <c r="C252" s="4927">
        <v>4</v>
      </c>
      <c r="D252" s="4927" t="s">
        <v>441</v>
      </c>
      <c r="E252" s="4927" t="s">
        <v>437</v>
      </c>
      <c r="F252" s="4967" t="s">
        <v>72</v>
      </c>
      <c r="G252" s="4930"/>
      <c r="H252" s="4930"/>
      <c r="I252" s="4930"/>
      <c r="J252" s="4968" t="s">
        <v>50</v>
      </c>
      <c r="K252" s="4969">
        <f>SUM(K253:K267)</f>
        <v>810940665.47000003</v>
      </c>
      <c r="L252" s="4970">
        <v>0</v>
      </c>
      <c r="M252" s="4971">
        <v>81048456.790000007</v>
      </c>
      <c r="N252" s="4970">
        <v>73760000</v>
      </c>
      <c r="O252" s="4970">
        <v>82408456.790000007</v>
      </c>
      <c r="P252" s="4970">
        <f>SUM(P253:P267)</f>
        <v>82408000</v>
      </c>
      <c r="Q252" s="4970">
        <f t="shared" si="62"/>
        <v>82408000</v>
      </c>
      <c r="R252" s="4972">
        <v>0</v>
      </c>
      <c r="S252" s="4973"/>
      <c r="T252" s="4974"/>
      <c r="U252" s="4975"/>
      <c r="V252" s="3940">
        <f t="shared" si="50"/>
        <v>329633827.16000003</v>
      </c>
    </row>
    <row r="253" spans="1:22" s="3941" customFormat="1" ht="15.05" customHeight="1">
      <c r="A253" s="3928"/>
      <c r="B253" s="3928"/>
      <c r="C253" s="3928"/>
      <c r="D253" s="3928"/>
      <c r="E253" s="3928"/>
      <c r="F253" s="4976" t="s">
        <v>50</v>
      </c>
      <c r="G253" s="3931" t="s">
        <v>558</v>
      </c>
      <c r="H253" s="3931"/>
      <c r="I253" s="3931"/>
      <c r="J253" s="4977" t="s">
        <v>50</v>
      </c>
      <c r="K253" s="4978">
        <v>188674021.74000001</v>
      </c>
      <c r="L253" s="4979">
        <v>0</v>
      </c>
      <c r="M253" s="4980">
        <v>81048456.790000007</v>
      </c>
      <c r="N253" s="4979">
        <v>1360000</v>
      </c>
      <c r="O253" s="4979">
        <v>82408456.790000007</v>
      </c>
      <c r="P253" s="4979">
        <v>82408000</v>
      </c>
      <c r="Q253" s="4979">
        <f t="shared" si="62"/>
        <v>82408000</v>
      </c>
      <c r="R253" s="3936">
        <v>0</v>
      </c>
      <c r="S253" s="4981"/>
      <c r="T253" s="3938"/>
      <c r="U253" s="4982"/>
      <c r="V253" s="3940">
        <f t="shared" si="50"/>
        <v>329633827.16000003</v>
      </c>
    </row>
    <row r="254" spans="1:22" s="257" customFormat="1" ht="15.05" hidden="1" customHeight="1">
      <c r="A254" s="1855"/>
      <c r="B254" s="1855"/>
      <c r="C254" s="1855"/>
      <c r="D254" s="1855"/>
      <c r="E254" s="1855"/>
      <c r="F254" s="2359" t="s">
        <v>50</v>
      </c>
      <c r="G254" s="200" t="s">
        <v>559</v>
      </c>
      <c r="H254" s="200"/>
      <c r="I254" s="200"/>
      <c r="J254" s="3248" t="s">
        <v>50</v>
      </c>
      <c r="K254" s="3216">
        <v>0</v>
      </c>
      <c r="L254" s="3249"/>
      <c r="M254" s="3250"/>
      <c r="N254" s="3249">
        <v>72400000</v>
      </c>
      <c r="O254" s="3249"/>
      <c r="P254" s="3249"/>
      <c r="Q254" s="3249">
        <f t="shared" si="62"/>
        <v>0</v>
      </c>
      <c r="R254" s="3605">
        <v>0</v>
      </c>
      <c r="S254" s="3748"/>
      <c r="T254" s="3826"/>
      <c r="U254" s="3794"/>
      <c r="V254" s="1846">
        <f t="shared" si="50"/>
        <v>0</v>
      </c>
    </row>
    <row r="255" spans="1:22" s="257" customFormat="1" ht="15.05" hidden="1" customHeight="1">
      <c r="A255" s="1855"/>
      <c r="B255" s="1855"/>
      <c r="C255" s="1855"/>
      <c r="D255" s="1855"/>
      <c r="E255" s="1855"/>
      <c r="F255" s="2359" t="s">
        <v>50</v>
      </c>
      <c r="G255" s="253" t="s">
        <v>1160</v>
      </c>
      <c r="H255" s="253"/>
      <c r="I255" s="200"/>
      <c r="J255" s="3248" t="s">
        <v>50</v>
      </c>
      <c r="K255" s="3216">
        <v>7295582</v>
      </c>
      <c r="L255" s="3249"/>
      <c r="M255" s="3250"/>
      <c r="N255" s="3249"/>
      <c r="O255" s="3249"/>
      <c r="P255" s="3249"/>
      <c r="Q255" s="3249">
        <f t="shared" si="62"/>
        <v>0</v>
      </c>
      <c r="R255" s="3605">
        <v>0</v>
      </c>
      <c r="S255" s="3748"/>
      <c r="T255" s="3826"/>
      <c r="U255" s="3794"/>
      <c r="V255" s="1846">
        <f t="shared" si="50"/>
        <v>0</v>
      </c>
    </row>
    <row r="256" spans="1:22" s="257" customFormat="1" ht="15.05" hidden="1" customHeight="1">
      <c r="A256" s="1855"/>
      <c r="B256" s="1855"/>
      <c r="C256" s="1855"/>
      <c r="D256" s="1855"/>
      <c r="E256" s="1855"/>
      <c r="F256" s="2359" t="s">
        <v>50</v>
      </c>
      <c r="G256" s="200" t="s">
        <v>1161</v>
      </c>
      <c r="H256" s="2329"/>
      <c r="I256" s="200"/>
      <c r="J256" s="3248" t="s">
        <v>50</v>
      </c>
      <c r="K256" s="3216">
        <v>0</v>
      </c>
      <c r="L256" s="3249"/>
      <c r="M256" s="3250"/>
      <c r="N256" s="3249"/>
      <c r="O256" s="3249"/>
      <c r="P256" s="3249"/>
      <c r="Q256" s="3249">
        <f t="shared" si="62"/>
        <v>0</v>
      </c>
      <c r="R256" s="3605">
        <v>0</v>
      </c>
      <c r="S256" s="3748"/>
      <c r="T256" s="3826"/>
      <c r="U256" s="3794"/>
      <c r="V256" s="1846">
        <f t="shared" si="50"/>
        <v>0</v>
      </c>
    </row>
    <row r="257" spans="1:22" s="257" customFormat="1" ht="15.05" hidden="1" customHeight="1">
      <c r="A257" s="1855"/>
      <c r="B257" s="1855"/>
      <c r="C257" s="1855"/>
      <c r="D257" s="1855"/>
      <c r="E257" s="1855"/>
      <c r="F257" s="2359" t="s">
        <v>50</v>
      </c>
      <c r="G257" s="200" t="s">
        <v>681</v>
      </c>
      <c r="H257" s="200"/>
      <c r="I257" s="200"/>
      <c r="J257" s="3248" t="s">
        <v>50</v>
      </c>
      <c r="K257" s="3216">
        <v>164498989</v>
      </c>
      <c r="L257" s="3249"/>
      <c r="M257" s="3250"/>
      <c r="N257" s="3249"/>
      <c r="O257" s="3249"/>
      <c r="P257" s="3249"/>
      <c r="Q257" s="3249">
        <f t="shared" si="62"/>
        <v>0</v>
      </c>
      <c r="R257" s="3605">
        <v>0</v>
      </c>
      <c r="S257" s="3275"/>
      <c r="T257" s="3826"/>
      <c r="U257" s="3794"/>
      <c r="V257" s="1846">
        <f t="shared" si="50"/>
        <v>0</v>
      </c>
    </row>
    <row r="258" spans="1:22" s="257" customFormat="1" ht="15.05" hidden="1" customHeight="1">
      <c r="A258" s="1855"/>
      <c r="B258" s="1855"/>
      <c r="C258" s="1855"/>
      <c r="D258" s="1855"/>
      <c r="E258" s="1855"/>
      <c r="F258" s="2359" t="s">
        <v>50</v>
      </c>
      <c r="G258" s="200" t="s">
        <v>1162</v>
      </c>
      <c r="H258" s="200"/>
      <c r="I258" s="200"/>
      <c r="J258" s="3248" t="s">
        <v>50</v>
      </c>
      <c r="K258" s="3216">
        <v>19560365.73</v>
      </c>
      <c r="L258" s="3249"/>
      <c r="M258" s="3250"/>
      <c r="N258" s="3249"/>
      <c r="O258" s="3249"/>
      <c r="P258" s="3249"/>
      <c r="Q258" s="3249">
        <f t="shared" si="62"/>
        <v>0</v>
      </c>
      <c r="R258" s="3605">
        <v>0</v>
      </c>
      <c r="S258" s="3748"/>
      <c r="T258" s="3826"/>
      <c r="U258" s="3794"/>
      <c r="V258" s="1846">
        <f t="shared" si="50"/>
        <v>0</v>
      </c>
    </row>
    <row r="259" spans="1:22" s="257" customFormat="1" ht="15.05" hidden="1" customHeight="1">
      <c r="A259" s="1855"/>
      <c r="B259" s="1855"/>
      <c r="C259" s="1855"/>
      <c r="D259" s="1855"/>
      <c r="E259" s="1855"/>
      <c r="F259" s="2359" t="s">
        <v>50</v>
      </c>
      <c r="G259" s="200" t="s">
        <v>544</v>
      </c>
      <c r="H259" s="200"/>
      <c r="I259" s="200"/>
      <c r="J259" s="3248" t="s">
        <v>50</v>
      </c>
      <c r="K259" s="3216">
        <v>11790410</v>
      </c>
      <c r="L259" s="3249"/>
      <c r="M259" s="3250"/>
      <c r="N259" s="3249"/>
      <c r="O259" s="3249"/>
      <c r="P259" s="3249"/>
      <c r="Q259" s="3249">
        <f t="shared" si="62"/>
        <v>0</v>
      </c>
      <c r="R259" s="3605">
        <v>0</v>
      </c>
      <c r="S259" s="3748"/>
      <c r="T259" s="3826"/>
      <c r="U259" s="3794"/>
      <c r="V259" s="1846">
        <f t="shared" si="50"/>
        <v>0</v>
      </c>
    </row>
    <row r="260" spans="1:22" s="257" customFormat="1" ht="15.05" hidden="1" customHeight="1">
      <c r="A260" s="1855"/>
      <c r="B260" s="1855"/>
      <c r="C260" s="1855"/>
      <c r="D260" s="1855"/>
      <c r="E260" s="1855"/>
      <c r="F260" s="2359" t="s">
        <v>50</v>
      </c>
      <c r="G260" s="200" t="s">
        <v>1163</v>
      </c>
      <c r="H260" s="2329"/>
      <c r="I260" s="200"/>
      <c r="J260" s="3248" t="s">
        <v>50</v>
      </c>
      <c r="K260" s="3216">
        <v>90692121</v>
      </c>
      <c r="L260" s="3249"/>
      <c r="M260" s="3250"/>
      <c r="N260" s="3249"/>
      <c r="O260" s="3249"/>
      <c r="P260" s="3249"/>
      <c r="Q260" s="3249">
        <f t="shared" si="62"/>
        <v>0</v>
      </c>
      <c r="R260" s="3605">
        <v>0</v>
      </c>
      <c r="S260" s="3748"/>
      <c r="T260" s="3826"/>
      <c r="U260" s="3794"/>
      <c r="V260" s="1846">
        <f t="shared" si="50"/>
        <v>0</v>
      </c>
    </row>
    <row r="261" spans="1:22" s="257" customFormat="1" ht="15.05" hidden="1" customHeight="1">
      <c r="A261" s="1855"/>
      <c r="B261" s="1855"/>
      <c r="C261" s="1855"/>
      <c r="D261" s="1855"/>
      <c r="E261" s="1855"/>
      <c r="F261" s="2359" t="s">
        <v>50</v>
      </c>
      <c r="G261" s="200" t="s">
        <v>1164</v>
      </c>
      <c r="H261" s="2329"/>
      <c r="I261" s="200"/>
      <c r="J261" s="3248" t="s">
        <v>50</v>
      </c>
      <c r="K261" s="3216">
        <v>126061400</v>
      </c>
      <c r="L261" s="3249"/>
      <c r="M261" s="3250"/>
      <c r="N261" s="3249"/>
      <c r="O261" s="3249"/>
      <c r="P261" s="3249"/>
      <c r="Q261" s="3249">
        <f t="shared" si="62"/>
        <v>0</v>
      </c>
      <c r="R261" s="3605">
        <v>0</v>
      </c>
      <c r="S261" s="3748"/>
      <c r="T261" s="3826"/>
      <c r="U261" s="3794"/>
      <c r="V261" s="1846">
        <f t="shared" si="50"/>
        <v>0</v>
      </c>
    </row>
    <row r="262" spans="1:22" s="257" customFormat="1" ht="15.05" hidden="1" customHeight="1">
      <c r="A262" s="1855"/>
      <c r="B262" s="1855"/>
      <c r="C262" s="1855"/>
      <c r="D262" s="1855"/>
      <c r="E262" s="1855"/>
      <c r="F262" s="2359" t="s">
        <v>50</v>
      </c>
      <c r="G262" s="200" t="s">
        <v>1165</v>
      </c>
      <c r="H262" s="200"/>
      <c r="I262" s="200"/>
      <c r="J262" s="3248" t="s">
        <v>50</v>
      </c>
      <c r="K262" s="3216">
        <v>1835685</v>
      </c>
      <c r="L262" s="3249"/>
      <c r="M262" s="3250"/>
      <c r="N262" s="3249"/>
      <c r="O262" s="3249"/>
      <c r="P262" s="3249"/>
      <c r="Q262" s="3249">
        <f t="shared" si="62"/>
        <v>0</v>
      </c>
      <c r="R262" s="3605">
        <v>0</v>
      </c>
      <c r="S262" s="3748"/>
      <c r="T262" s="3826"/>
      <c r="U262" s="3794"/>
      <c r="V262" s="1846">
        <f t="shared" si="50"/>
        <v>0</v>
      </c>
    </row>
    <row r="263" spans="1:22" s="257" customFormat="1" ht="15.05" hidden="1" customHeight="1">
      <c r="A263" s="1855"/>
      <c r="B263" s="1855"/>
      <c r="C263" s="1855"/>
      <c r="D263" s="1855"/>
      <c r="E263" s="1855"/>
      <c r="F263" s="2359" t="s">
        <v>50</v>
      </c>
      <c r="G263" s="200" t="s">
        <v>924</v>
      </c>
      <c r="H263" s="2329"/>
      <c r="I263" s="200"/>
      <c r="J263" s="3248" t="s">
        <v>50</v>
      </c>
      <c r="K263" s="3216">
        <v>0</v>
      </c>
      <c r="L263" s="3249"/>
      <c r="M263" s="3250"/>
      <c r="N263" s="3249"/>
      <c r="O263" s="3249"/>
      <c r="P263" s="3249"/>
      <c r="Q263" s="3249">
        <f t="shared" si="62"/>
        <v>0</v>
      </c>
      <c r="R263" s="3605">
        <v>0</v>
      </c>
      <c r="S263" s="3748"/>
      <c r="T263" s="3826"/>
      <c r="U263" s="3794"/>
      <c r="V263" s="1846">
        <f t="shared" si="50"/>
        <v>0</v>
      </c>
    </row>
    <row r="264" spans="1:22" s="257" customFormat="1" ht="15.05" hidden="1" customHeight="1">
      <c r="A264" s="1855"/>
      <c r="B264" s="1855"/>
      <c r="C264" s="1855"/>
      <c r="D264" s="1855"/>
      <c r="E264" s="1855"/>
      <c r="F264" s="2359" t="s">
        <v>50</v>
      </c>
      <c r="G264" s="200" t="s">
        <v>1166</v>
      </c>
      <c r="H264" s="2329"/>
      <c r="I264" s="200"/>
      <c r="J264" s="3248" t="s">
        <v>50</v>
      </c>
      <c r="K264" s="3216">
        <v>21802000</v>
      </c>
      <c r="L264" s="3249"/>
      <c r="M264" s="3250"/>
      <c r="N264" s="3249"/>
      <c r="O264" s="3249"/>
      <c r="P264" s="3249"/>
      <c r="Q264" s="3249">
        <f t="shared" si="62"/>
        <v>0</v>
      </c>
      <c r="R264" s="3605">
        <v>0</v>
      </c>
      <c r="S264" s="3748"/>
      <c r="T264" s="3826"/>
      <c r="U264" s="3794"/>
      <c r="V264" s="1846">
        <f t="shared" si="50"/>
        <v>0</v>
      </c>
    </row>
    <row r="265" spans="1:22" s="257" customFormat="1" ht="15.05" hidden="1" customHeight="1">
      <c r="A265" s="1855"/>
      <c r="B265" s="1855"/>
      <c r="C265" s="1855"/>
      <c r="D265" s="1855"/>
      <c r="E265" s="1855"/>
      <c r="F265" s="2359" t="s">
        <v>50</v>
      </c>
      <c r="G265" s="200" t="s">
        <v>1167</v>
      </c>
      <c r="H265" s="2329"/>
      <c r="I265" s="200"/>
      <c r="J265" s="3248" t="s">
        <v>50</v>
      </c>
      <c r="K265" s="3216">
        <v>415440</v>
      </c>
      <c r="L265" s="3249"/>
      <c r="M265" s="3250"/>
      <c r="N265" s="3249"/>
      <c r="O265" s="3249"/>
      <c r="P265" s="3249"/>
      <c r="Q265" s="3249">
        <f t="shared" si="62"/>
        <v>0</v>
      </c>
      <c r="R265" s="3605">
        <v>0</v>
      </c>
      <c r="S265" s="3748"/>
      <c r="T265" s="3826"/>
      <c r="U265" s="3794"/>
      <c r="V265" s="1846">
        <f t="shared" si="50"/>
        <v>0</v>
      </c>
    </row>
    <row r="266" spans="1:22" s="257" customFormat="1" ht="15.05" hidden="1" customHeight="1">
      <c r="A266" s="1855"/>
      <c r="B266" s="1855"/>
      <c r="C266" s="1855"/>
      <c r="D266" s="1855"/>
      <c r="E266" s="1855"/>
      <c r="F266" s="2359" t="s">
        <v>50</v>
      </c>
      <c r="G266" s="200" t="s">
        <v>99</v>
      </c>
      <c r="H266" s="2329"/>
      <c r="I266" s="200"/>
      <c r="J266" s="3248" t="s">
        <v>50</v>
      </c>
      <c r="K266" s="3216">
        <v>178187151</v>
      </c>
      <c r="L266" s="3249"/>
      <c r="M266" s="3250"/>
      <c r="N266" s="3249"/>
      <c r="O266" s="3249"/>
      <c r="P266" s="3249"/>
      <c r="Q266" s="3249">
        <f t="shared" si="62"/>
        <v>0</v>
      </c>
      <c r="R266" s="3605">
        <v>0</v>
      </c>
      <c r="S266" s="3748"/>
      <c r="T266" s="3826"/>
      <c r="U266" s="3794"/>
      <c r="V266" s="1846">
        <f t="shared" si="50"/>
        <v>0</v>
      </c>
    </row>
    <row r="267" spans="1:22" s="257" customFormat="1" ht="15.05" hidden="1" customHeight="1">
      <c r="A267" s="1855"/>
      <c r="B267" s="1855"/>
      <c r="C267" s="1855"/>
      <c r="D267" s="1855"/>
      <c r="E267" s="1855"/>
      <c r="F267" s="2359" t="s">
        <v>50</v>
      </c>
      <c r="G267" s="200" t="s">
        <v>1168</v>
      </c>
      <c r="H267" s="2329"/>
      <c r="I267" s="200"/>
      <c r="J267" s="3215"/>
      <c r="K267" s="3216">
        <v>127500</v>
      </c>
      <c r="L267" s="3249"/>
      <c r="M267" s="3250"/>
      <c r="N267" s="3249"/>
      <c r="O267" s="3249"/>
      <c r="P267" s="3249"/>
      <c r="Q267" s="3249">
        <f t="shared" si="62"/>
        <v>0</v>
      </c>
      <c r="R267" s="3605">
        <v>0</v>
      </c>
      <c r="S267" s="3275"/>
      <c r="T267" s="3826"/>
      <c r="U267" s="3794"/>
      <c r="V267" s="1846">
        <f t="shared" si="50"/>
        <v>0</v>
      </c>
    </row>
    <row r="268" spans="1:22" s="257" customFormat="1" ht="15.05" customHeight="1">
      <c r="A268" s="1886"/>
      <c r="B268" s="1886"/>
      <c r="C268" s="1886"/>
      <c r="D268" s="1886"/>
      <c r="E268" s="1886"/>
      <c r="F268" s="2843"/>
      <c r="G268" s="2844"/>
      <c r="H268" s="856"/>
      <c r="I268" s="856"/>
      <c r="J268" s="3238"/>
      <c r="K268" s="3251"/>
      <c r="L268" s="3252"/>
      <c r="M268" s="3253"/>
      <c r="N268" s="3252"/>
      <c r="O268" s="3252"/>
      <c r="P268" s="3174"/>
      <c r="Q268" s="3174"/>
      <c r="R268" s="3612"/>
      <c r="S268" s="3712"/>
      <c r="T268" s="3831"/>
      <c r="U268" s="1899"/>
      <c r="V268" s="1846">
        <f t="shared" si="50"/>
        <v>0</v>
      </c>
    </row>
    <row r="269" spans="1:22" s="2947" customFormat="1" ht="15.05" customHeight="1">
      <c r="A269" s="3053">
        <v>4</v>
      </c>
      <c r="B269" s="3054">
        <v>1</v>
      </c>
      <c r="C269" s="3054">
        <v>4</v>
      </c>
      <c r="D269" s="3054" t="s">
        <v>456</v>
      </c>
      <c r="E269" s="3054"/>
      <c r="F269" s="3056" t="s">
        <v>307</v>
      </c>
      <c r="G269" s="3057"/>
      <c r="H269" s="3064"/>
      <c r="I269" s="3064"/>
      <c r="J269" s="3212">
        <f>J270+J281</f>
        <v>18548560000</v>
      </c>
      <c r="K269" s="3212">
        <f t="shared" ref="K269:P269" si="63">K270+K281</f>
        <v>19634060483</v>
      </c>
      <c r="L269" s="3212">
        <f>L270+L281</f>
        <v>18548560000</v>
      </c>
      <c r="M269" s="3212">
        <f t="shared" si="63"/>
        <v>3186070400</v>
      </c>
      <c r="N269" s="3212">
        <f t="shared" si="63"/>
        <v>2296646661</v>
      </c>
      <c r="O269" s="3212">
        <f t="shared" si="63"/>
        <v>5482717061</v>
      </c>
      <c r="P269" s="3212">
        <f t="shared" si="63"/>
        <v>18798560000</v>
      </c>
      <c r="Q269" s="3178">
        <f t="shared" ref="Q269:Q295" si="64">+P269-L269</f>
        <v>250000000</v>
      </c>
      <c r="R269" s="3621">
        <f>+P269/L269*100-100</f>
        <v>1.3478135229904638</v>
      </c>
      <c r="S269" s="3716"/>
      <c r="T269" s="3838"/>
      <c r="U269" s="3066"/>
      <c r="V269" s="2944">
        <f t="shared" si="50"/>
        <v>21930868244</v>
      </c>
    </row>
    <row r="270" spans="1:22" s="257" customFormat="1" ht="15.05" customHeight="1">
      <c r="A270" s="1889">
        <v>4</v>
      </c>
      <c r="B270" s="1889">
        <v>1</v>
      </c>
      <c r="C270" s="1889">
        <v>4</v>
      </c>
      <c r="D270" s="1889" t="s">
        <v>456</v>
      </c>
      <c r="E270" s="1889" t="s">
        <v>437</v>
      </c>
      <c r="F270" s="3087" t="s">
        <v>309</v>
      </c>
      <c r="G270" s="3084"/>
      <c r="H270" s="224"/>
      <c r="I270" s="224"/>
      <c r="J270" s="3254">
        <v>18448560000</v>
      </c>
      <c r="K270" s="3237">
        <v>19268531170</v>
      </c>
      <c r="L270" s="3234">
        <v>18448560000</v>
      </c>
      <c r="M270" s="3225">
        <v>3064125447</v>
      </c>
      <c r="N270" s="3234">
        <v>2223238906</v>
      </c>
      <c r="O270" s="3234">
        <v>5287364353</v>
      </c>
      <c r="P270" s="3234">
        <v>18448560000</v>
      </c>
      <c r="Q270" s="3234">
        <f t="shared" si="64"/>
        <v>0</v>
      </c>
      <c r="R270" s="3604">
        <f>+P270/L270*100-100</f>
        <v>0</v>
      </c>
      <c r="S270" s="3701"/>
      <c r="T270" s="3819"/>
      <c r="U270" s="1900"/>
      <c r="V270" s="1846">
        <f t="shared" si="50"/>
        <v>21149457412</v>
      </c>
    </row>
    <row r="271" spans="1:22" s="257" customFormat="1" ht="15.05" hidden="1" customHeight="1">
      <c r="A271" s="1855"/>
      <c r="B271" s="1855"/>
      <c r="C271" s="1855"/>
      <c r="D271" s="1855"/>
      <c r="E271" s="1855"/>
      <c r="F271" s="2359" t="s">
        <v>50</v>
      </c>
      <c r="G271" s="213"/>
      <c r="H271" s="200" t="str">
        <f>MAR!I523</f>
        <v>Samsat Mataram</v>
      </c>
      <c r="I271" s="200"/>
      <c r="J271" s="3215">
        <v>18448560000</v>
      </c>
      <c r="K271" s="3171">
        <v>5900994481</v>
      </c>
      <c r="L271" s="3125">
        <v>0</v>
      </c>
      <c r="M271" s="3124">
        <v>950178232</v>
      </c>
      <c r="N271" s="3125">
        <v>483669403</v>
      </c>
      <c r="O271" s="3125">
        <v>1433847635</v>
      </c>
      <c r="P271" s="3125">
        <v>0</v>
      </c>
      <c r="Q271" s="3125">
        <f t="shared" si="64"/>
        <v>0</v>
      </c>
      <c r="R271" s="3605">
        <v>0</v>
      </c>
      <c r="S271" s="3275"/>
      <c r="T271" s="3826"/>
      <c r="U271" s="3771"/>
      <c r="V271" s="1846">
        <f t="shared" si="50"/>
        <v>5735390540</v>
      </c>
    </row>
    <row r="272" spans="1:22" s="257" customFormat="1" ht="15.05" hidden="1" customHeight="1">
      <c r="A272" s="1855"/>
      <c r="B272" s="1855"/>
      <c r="C272" s="1855"/>
      <c r="D272" s="1855"/>
      <c r="E272" s="1855"/>
      <c r="F272" s="2359" t="s">
        <v>50</v>
      </c>
      <c r="G272" s="213"/>
      <c r="H272" s="200" t="str">
        <f>MAR!I524</f>
        <v>Samsat Praya</v>
      </c>
      <c r="I272" s="200"/>
      <c r="J272" s="3215"/>
      <c r="K272" s="3171">
        <v>2780920166</v>
      </c>
      <c r="L272" s="3125">
        <v>0</v>
      </c>
      <c r="M272" s="3124">
        <v>464483071</v>
      </c>
      <c r="N272" s="3125">
        <v>700930596</v>
      </c>
      <c r="O272" s="3125">
        <v>1165413667</v>
      </c>
      <c r="P272" s="3125">
        <v>0</v>
      </c>
      <c r="Q272" s="3125">
        <f t="shared" si="64"/>
        <v>0</v>
      </c>
      <c r="R272" s="3605">
        <v>0</v>
      </c>
      <c r="S272" s="3275"/>
      <c r="T272" s="3826"/>
      <c r="U272" s="3771"/>
      <c r="V272" s="1846">
        <f t="shared" si="50"/>
        <v>4661654668</v>
      </c>
    </row>
    <row r="273" spans="1:22" s="257" customFormat="1" ht="15.05" hidden="1" customHeight="1">
      <c r="A273" s="1855"/>
      <c r="B273" s="1855"/>
      <c r="C273" s="1855"/>
      <c r="D273" s="1855"/>
      <c r="E273" s="1855"/>
      <c r="F273" s="2359" t="s">
        <v>50</v>
      </c>
      <c r="G273" s="213"/>
      <c r="H273" s="200" t="str">
        <f>MAR!I525</f>
        <v>Samsat Selong</v>
      </c>
      <c r="I273" s="200"/>
      <c r="J273" s="3215"/>
      <c r="K273" s="3171">
        <v>334374917</v>
      </c>
      <c r="L273" s="3125">
        <v>0</v>
      </c>
      <c r="M273" s="3124">
        <v>526640801</v>
      </c>
      <c r="N273" s="3125">
        <v>257640400</v>
      </c>
      <c r="O273" s="3125">
        <v>784281201</v>
      </c>
      <c r="P273" s="3125">
        <v>0</v>
      </c>
      <c r="Q273" s="3125">
        <f t="shared" si="64"/>
        <v>0</v>
      </c>
      <c r="R273" s="3605">
        <v>0</v>
      </c>
      <c r="S273" s="3275"/>
      <c r="T273" s="3826"/>
      <c r="U273" s="3771"/>
      <c r="V273" s="1846">
        <f t="shared" si="50"/>
        <v>3137124804</v>
      </c>
    </row>
    <row r="274" spans="1:22" s="257" customFormat="1" ht="15.05" hidden="1" customHeight="1">
      <c r="A274" s="1855"/>
      <c r="B274" s="1855"/>
      <c r="C274" s="1855"/>
      <c r="D274" s="1855"/>
      <c r="E274" s="1855"/>
      <c r="F274" s="2359" t="s">
        <v>50</v>
      </c>
      <c r="G274" s="213"/>
      <c r="H274" s="200" t="str">
        <f>MAR!I526</f>
        <v>Samsat Sumbawa</v>
      </c>
      <c r="I274" s="200"/>
      <c r="J274" s="3215"/>
      <c r="K274" s="3171">
        <v>1616126594</v>
      </c>
      <c r="L274" s="3125">
        <v>0</v>
      </c>
      <c r="M274" s="3124">
        <v>210189810</v>
      </c>
      <c r="N274" s="3125">
        <v>117317727</v>
      </c>
      <c r="O274" s="3125">
        <v>327507537</v>
      </c>
      <c r="P274" s="3125">
        <v>0</v>
      </c>
      <c r="Q274" s="3125">
        <f t="shared" si="64"/>
        <v>0</v>
      </c>
      <c r="R274" s="3605">
        <v>0</v>
      </c>
      <c r="S274" s="3275"/>
      <c r="T274" s="3826"/>
      <c r="U274" s="3771"/>
      <c r="V274" s="1846">
        <f t="shared" si="50"/>
        <v>1310030148</v>
      </c>
    </row>
    <row r="275" spans="1:22" s="257" customFormat="1" ht="15.05" hidden="1" customHeight="1">
      <c r="A275" s="1855"/>
      <c r="B275" s="1855"/>
      <c r="C275" s="1855"/>
      <c r="D275" s="1855"/>
      <c r="E275" s="1855"/>
      <c r="F275" s="2359" t="s">
        <v>50</v>
      </c>
      <c r="G275" s="213"/>
      <c r="H275" s="200" t="str">
        <f>MAR!I527</f>
        <v>Samsat Kota Bima</v>
      </c>
      <c r="I275" s="200"/>
      <c r="J275" s="3215"/>
      <c r="K275" s="3171">
        <v>154003162</v>
      </c>
      <c r="L275" s="3125">
        <v>0</v>
      </c>
      <c r="M275" s="3124">
        <v>198751703</v>
      </c>
      <c r="N275" s="3125">
        <v>92358050</v>
      </c>
      <c r="O275" s="3125">
        <v>291109753</v>
      </c>
      <c r="P275" s="3125">
        <v>0</v>
      </c>
      <c r="Q275" s="3125">
        <f t="shared" si="64"/>
        <v>0</v>
      </c>
      <c r="R275" s="3605">
        <v>0</v>
      </c>
      <c r="S275" s="3275"/>
      <c r="T275" s="3826"/>
      <c r="U275" s="3771"/>
      <c r="V275" s="1846">
        <f t="shared" si="50"/>
        <v>1164439012</v>
      </c>
    </row>
    <row r="276" spans="1:22" s="257" customFormat="1" ht="15.05" hidden="1" customHeight="1">
      <c r="A276" s="1855"/>
      <c r="B276" s="1855"/>
      <c r="C276" s="1855"/>
      <c r="D276" s="1855"/>
      <c r="E276" s="1855"/>
      <c r="F276" s="2359"/>
      <c r="G276" s="213"/>
      <c r="H276" s="200" t="str">
        <f>MAR!I528</f>
        <v>Samsat Kab. Bima</v>
      </c>
      <c r="I276" s="200"/>
      <c r="J276" s="3215"/>
      <c r="K276" s="3193">
        <v>0</v>
      </c>
      <c r="L276" s="3125"/>
      <c r="M276" s="3124">
        <v>96723700</v>
      </c>
      <c r="N276" s="3125">
        <v>51092666</v>
      </c>
      <c r="O276" s="3125">
        <v>147816366</v>
      </c>
      <c r="P276" s="3125"/>
      <c r="Q276" s="3125">
        <f t="shared" si="64"/>
        <v>0</v>
      </c>
      <c r="R276" s="3605">
        <v>0</v>
      </c>
      <c r="S276" s="3275"/>
      <c r="T276" s="3826"/>
      <c r="U276" s="3771"/>
      <c r="V276" s="1846">
        <f t="shared" si="50"/>
        <v>591265464</v>
      </c>
    </row>
    <row r="277" spans="1:22" s="257" customFormat="1" ht="15.05" hidden="1" customHeight="1">
      <c r="A277" s="1855"/>
      <c r="B277" s="1855"/>
      <c r="C277" s="1855"/>
      <c r="D277" s="1855"/>
      <c r="E277" s="1855"/>
      <c r="F277" s="2359" t="s">
        <v>50</v>
      </c>
      <c r="G277" s="213"/>
      <c r="H277" s="200" t="str">
        <f>MAR!I529</f>
        <v>Samsat Dompu</v>
      </c>
      <c r="I277" s="200"/>
      <c r="J277" s="3215"/>
      <c r="K277" s="3171">
        <v>602053236</v>
      </c>
      <c r="L277" s="3125">
        <v>0</v>
      </c>
      <c r="M277" s="3124">
        <v>94411077</v>
      </c>
      <c r="N277" s="3125">
        <v>45850047</v>
      </c>
      <c r="O277" s="3125">
        <v>140261124</v>
      </c>
      <c r="P277" s="3125">
        <v>0</v>
      </c>
      <c r="Q277" s="3125">
        <f t="shared" si="64"/>
        <v>0</v>
      </c>
      <c r="R277" s="3605">
        <v>0</v>
      </c>
      <c r="S277" s="3275"/>
      <c r="T277" s="3826"/>
      <c r="U277" s="3771"/>
      <c r="V277" s="1846">
        <f t="shared" si="50"/>
        <v>561044496</v>
      </c>
    </row>
    <row r="278" spans="1:22" s="257" customFormat="1" ht="15.05" hidden="1" customHeight="1">
      <c r="A278" s="1855"/>
      <c r="B278" s="1855"/>
      <c r="C278" s="1855"/>
      <c r="D278" s="1855"/>
      <c r="E278" s="1855"/>
      <c r="F278" s="2359" t="s">
        <v>50</v>
      </c>
      <c r="G278" s="213"/>
      <c r="H278" s="200" t="str">
        <f>MAR!I530</f>
        <v>Samsat Lombok Barat</v>
      </c>
      <c r="I278" s="200"/>
      <c r="J278" s="3215"/>
      <c r="K278" s="3171">
        <v>1924735337</v>
      </c>
      <c r="L278" s="3125">
        <v>0</v>
      </c>
      <c r="M278" s="3124">
        <v>310303928</v>
      </c>
      <c r="N278" s="3125">
        <v>180694105</v>
      </c>
      <c r="O278" s="3125">
        <v>490998033</v>
      </c>
      <c r="P278" s="3125">
        <v>0</v>
      </c>
      <c r="Q278" s="3125">
        <f t="shared" si="64"/>
        <v>0</v>
      </c>
      <c r="R278" s="3605">
        <v>0</v>
      </c>
      <c r="S278" s="3275"/>
      <c r="T278" s="3826"/>
      <c r="U278" s="3771"/>
      <c r="V278" s="1846">
        <f t="shared" si="50"/>
        <v>1963992132</v>
      </c>
    </row>
    <row r="279" spans="1:22" s="257" customFormat="1" ht="15.05" hidden="1" customHeight="1">
      <c r="A279" s="1855"/>
      <c r="B279" s="1855"/>
      <c r="C279" s="1855"/>
      <c r="D279" s="1855"/>
      <c r="E279" s="1855"/>
      <c r="F279" s="2359" t="s">
        <v>50</v>
      </c>
      <c r="G279" s="213"/>
      <c r="H279" s="200" t="str">
        <f>MAR!I531</f>
        <v>Samsat Sumbawa Barat</v>
      </c>
      <c r="I279" s="200"/>
      <c r="J279" s="3215"/>
      <c r="K279" s="3171">
        <v>1005251893</v>
      </c>
      <c r="L279" s="3125">
        <v>0</v>
      </c>
      <c r="M279" s="3124">
        <v>107538725</v>
      </c>
      <c r="N279" s="3125">
        <v>242828712</v>
      </c>
      <c r="O279" s="3125">
        <v>350367437</v>
      </c>
      <c r="P279" s="3125">
        <v>0</v>
      </c>
      <c r="Q279" s="3125">
        <f t="shared" si="64"/>
        <v>0</v>
      </c>
      <c r="R279" s="3605">
        <v>0</v>
      </c>
      <c r="S279" s="3275"/>
      <c r="T279" s="3826"/>
      <c r="U279" s="3771"/>
      <c r="V279" s="1846">
        <f t="shared" si="50"/>
        <v>1401469748</v>
      </c>
    </row>
    <row r="280" spans="1:22" s="257" customFormat="1" ht="15.05" hidden="1" customHeight="1">
      <c r="A280" s="1855"/>
      <c r="B280" s="1855"/>
      <c r="C280" s="1855"/>
      <c r="D280" s="1855"/>
      <c r="E280" s="1855"/>
      <c r="F280" s="2359" t="s">
        <v>50</v>
      </c>
      <c r="G280" s="213"/>
      <c r="H280" s="200" t="str">
        <f>MAR!I532</f>
        <v>Samsat Kab.Lombok Utara</v>
      </c>
      <c r="I280" s="200"/>
      <c r="J280" s="3215"/>
      <c r="K280" s="3171">
        <v>657351848</v>
      </c>
      <c r="L280" s="3125">
        <v>0</v>
      </c>
      <c r="M280" s="3124">
        <v>104904400</v>
      </c>
      <c r="N280" s="3125">
        <v>50857200</v>
      </c>
      <c r="O280" s="3125">
        <v>155761600</v>
      </c>
      <c r="P280" s="3125">
        <v>0</v>
      </c>
      <c r="Q280" s="3125">
        <f t="shared" si="64"/>
        <v>0</v>
      </c>
      <c r="R280" s="3605">
        <v>0</v>
      </c>
      <c r="S280" s="3275"/>
      <c r="T280" s="3826"/>
      <c r="U280" s="3771"/>
      <c r="V280" s="1846">
        <f t="shared" si="50"/>
        <v>623046400</v>
      </c>
    </row>
    <row r="281" spans="1:22" s="2883" customFormat="1" ht="15.05" customHeight="1">
      <c r="A281" s="2873">
        <v>4</v>
      </c>
      <c r="B281" s="2873">
        <v>1</v>
      </c>
      <c r="C281" s="2873">
        <v>4</v>
      </c>
      <c r="D281" s="2873" t="s">
        <v>456</v>
      </c>
      <c r="E281" s="2873" t="s">
        <v>438</v>
      </c>
      <c r="F281" s="2874" t="s">
        <v>319</v>
      </c>
      <c r="G281" s="2921"/>
      <c r="H281" s="2961"/>
      <c r="I281" s="2961"/>
      <c r="J281" s="3255">
        <v>100000000</v>
      </c>
      <c r="K281" s="3256">
        <f>SUM(K282:K291)</f>
        <v>365529313</v>
      </c>
      <c r="L281" s="3184">
        <v>100000000</v>
      </c>
      <c r="M281" s="3440">
        <v>121944953</v>
      </c>
      <c r="N281" s="3184">
        <v>73407755</v>
      </c>
      <c r="O281" s="3184">
        <f>SUM(O282:O291)</f>
        <v>195352708</v>
      </c>
      <c r="P281" s="3184">
        <v>350000000</v>
      </c>
      <c r="Q281" s="3184">
        <f t="shared" si="64"/>
        <v>250000000</v>
      </c>
      <c r="R281" s="3601">
        <f>+P281/L281*100-100</f>
        <v>250</v>
      </c>
      <c r="S281" s="3697"/>
      <c r="T281" s="3816"/>
      <c r="U281" s="3795"/>
      <c r="V281" s="2882">
        <f t="shared" ref="V281:V344" si="65">O281*4</f>
        <v>781410832</v>
      </c>
    </row>
    <row r="282" spans="1:22" s="257" customFormat="1" ht="15.05" hidden="1" customHeight="1">
      <c r="A282" s="1855"/>
      <c r="B282" s="1855"/>
      <c r="C282" s="1855"/>
      <c r="D282" s="1855"/>
      <c r="E282" s="1855"/>
      <c r="F282" s="2359" t="s">
        <v>50</v>
      </c>
      <c r="G282" s="213"/>
      <c r="H282" s="200" t="str">
        <f>MAR!I535</f>
        <v>Samsat Mataram</v>
      </c>
      <c r="I282" s="200"/>
      <c r="J282" s="3215"/>
      <c r="K282" s="3171">
        <v>126307796</v>
      </c>
      <c r="L282" s="3125">
        <v>0</v>
      </c>
      <c r="M282" s="3124">
        <v>51221268</v>
      </c>
      <c r="N282" s="3125">
        <v>9587463</v>
      </c>
      <c r="O282" s="3125">
        <v>60808731</v>
      </c>
      <c r="P282" s="3125">
        <v>0</v>
      </c>
      <c r="Q282" s="3125">
        <f t="shared" si="64"/>
        <v>0</v>
      </c>
      <c r="R282" s="3605">
        <v>0</v>
      </c>
      <c r="S282" s="3275"/>
      <c r="T282" s="3826"/>
      <c r="U282" s="3771"/>
      <c r="V282" s="1846">
        <f t="shared" si="65"/>
        <v>243234924</v>
      </c>
    </row>
    <row r="283" spans="1:22" s="257" customFormat="1" ht="15.05" hidden="1" customHeight="1">
      <c r="A283" s="1855"/>
      <c r="B283" s="1855"/>
      <c r="C283" s="1855"/>
      <c r="D283" s="1855"/>
      <c r="E283" s="1855"/>
      <c r="F283" s="2359" t="s">
        <v>50</v>
      </c>
      <c r="G283" s="213"/>
      <c r="H283" s="200" t="str">
        <f>MAR!I536</f>
        <v>Samsat Praya</v>
      </c>
      <c r="I283" s="200"/>
      <c r="J283" s="3215"/>
      <c r="K283" s="3171">
        <v>48957177</v>
      </c>
      <c r="L283" s="3125">
        <v>0</v>
      </c>
      <c r="M283" s="3124">
        <v>14910125</v>
      </c>
      <c r="N283" s="3125">
        <v>23481425</v>
      </c>
      <c r="O283" s="3125">
        <v>38391550</v>
      </c>
      <c r="P283" s="3125">
        <v>0</v>
      </c>
      <c r="Q283" s="3125">
        <f t="shared" si="64"/>
        <v>0</v>
      </c>
      <c r="R283" s="3605">
        <v>0</v>
      </c>
      <c r="S283" s="3275"/>
      <c r="T283" s="3826"/>
      <c r="U283" s="3771"/>
      <c r="V283" s="1846">
        <f t="shared" si="65"/>
        <v>153566200</v>
      </c>
    </row>
    <row r="284" spans="1:22" s="257" customFormat="1" ht="15.05" hidden="1" customHeight="1">
      <c r="A284" s="1855"/>
      <c r="B284" s="1855"/>
      <c r="C284" s="1855"/>
      <c r="D284" s="1855"/>
      <c r="E284" s="1855"/>
      <c r="F284" s="2359" t="s">
        <v>50</v>
      </c>
      <c r="G284" s="213"/>
      <c r="H284" s="200" t="str">
        <f>MAR!I537</f>
        <v>Samsat Selong</v>
      </c>
      <c r="I284" s="200"/>
      <c r="J284" s="3215"/>
      <c r="K284" s="3171">
        <v>41943963</v>
      </c>
      <c r="L284" s="3125">
        <v>0</v>
      </c>
      <c r="M284" s="3124">
        <v>11853570</v>
      </c>
      <c r="N284" s="3125">
        <v>8988200</v>
      </c>
      <c r="O284" s="3125">
        <v>20841770</v>
      </c>
      <c r="P284" s="3125">
        <v>0</v>
      </c>
      <c r="Q284" s="3125">
        <f t="shared" si="64"/>
        <v>0</v>
      </c>
      <c r="R284" s="3605">
        <v>0</v>
      </c>
      <c r="S284" s="3275"/>
      <c r="T284" s="3826"/>
      <c r="U284" s="3771"/>
      <c r="V284" s="1846">
        <f t="shared" si="65"/>
        <v>83367080</v>
      </c>
    </row>
    <row r="285" spans="1:22" s="257" customFormat="1" ht="15.05" hidden="1" customHeight="1">
      <c r="A285" s="1855"/>
      <c r="B285" s="1855"/>
      <c r="C285" s="1855"/>
      <c r="D285" s="1855"/>
      <c r="E285" s="1855"/>
      <c r="F285" s="2359" t="s">
        <v>50</v>
      </c>
      <c r="G285" s="213"/>
      <c r="H285" s="200" t="str">
        <f>MAR!I538</f>
        <v>Samsat Sumbawa</v>
      </c>
      <c r="I285" s="200"/>
      <c r="J285" s="3215"/>
      <c r="K285" s="3171">
        <v>20483190</v>
      </c>
      <c r="L285" s="3125">
        <v>0</v>
      </c>
      <c r="M285" s="3124">
        <v>8483975</v>
      </c>
      <c r="N285" s="3125">
        <v>4618600</v>
      </c>
      <c r="O285" s="3125">
        <v>13102575</v>
      </c>
      <c r="P285" s="3125">
        <v>0</v>
      </c>
      <c r="Q285" s="3125">
        <f t="shared" si="64"/>
        <v>0</v>
      </c>
      <c r="R285" s="3605">
        <v>0</v>
      </c>
      <c r="S285" s="3275"/>
      <c r="T285" s="3826"/>
      <c r="U285" s="3771"/>
      <c r="V285" s="1846">
        <f t="shared" si="65"/>
        <v>52410300</v>
      </c>
    </row>
    <row r="286" spans="1:22" s="257" customFormat="1" ht="15.05" hidden="1" customHeight="1">
      <c r="A286" s="1855"/>
      <c r="B286" s="1855"/>
      <c r="C286" s="1855"/>
      <c r="D286" s="1855"/>
      <c r="E286" s="1855"/>
      <c r="F286" s="2359" t="s">
        <v>50</v>
      </c>
      <c r="G286" s="213"/>
      <c r="H286" s="200" t="str">
        <f>MAR!I539</f>
        <v>Samsat Kota Bima</v>
      </c>
      <c r="I286" s="200"/>
      <c r="J286" s="3215"/>
      <c r="K286" s="3171">
        <v>44694173</v>
      </c>
      <c r="L286" s="3125">
        <v>0</v>
      </c>
      <c r="M286" s="3124">
        <v>10865555</v>
      </c>
      <c r="N286" s="3125">
        <v>3584900</v>
      </c>
      <c r="O286" s="3125">
        <v>14450455</v>
      </c>
      <c r="P286" s="3125">
        <v>0</v>
      </c>
      <c r="Q286" s="3125">
        <f t="shared" si="64"/>
        <v>0</v>
      </c>
      <c r="R286" s="3605">
        <v>0</v>
      </c>
      <c r="S286" s="3275"/>
      <c r="T286" s="3826"/>
      <c r="U286" s="3771"/>
      <c r="V286" s="1846">
        <f t="shared" si="65"/>
        <v>57801820</v>
      </c>
    </row>
    <row r="287" spans="1:22" s="257" customFormat="1" ht="15.05" hidden="1" customHeight="1">
      <c r="A287" s="1855"/>
      <c r="B287" s="1855"/>
      <c r="C287" s="1855"/>
      <c r="D287" s="1855"/>
      <c r="E287" s="1855"/>
      <c r="F287" s="2359" t="s">
        <v>50</v>
      </c>
      <c r="G287" s="213"/>
      <c r="H287" s="200" t="str">
        <f>MAR!I540</f>
        <v>Samsat Kab. Bima</v>
      </c>
      <c r="I287" s="200"/>
      <c r="J287" s="3215"/>
      <c r="K287" s="3193">
        <v>0</v>
      </c>
      <c r="L287" s="3125">
        <v>0</v>
      </c>
      <c r="M287" s="3124">
        <v>3475300</v>
      </c>
      <c r="N287" s="3125">
        <v>7300390</v>
      </c>
      <c r="O287" s="3125">
        <v>10775690</v>
      </c>
      <c r="P287" s="3125">
        <v>0</v>
      </c>
      <c r="Q287" s="3125">
        <f t="shared" si="64"/>
        <v>0</v>
      </c>
      <c r="R287" s="3605">
        <v>0</v>
      </c>
      <c r="S287" s="3275"/>
      <c r="T287" s="3826"/>
      <c r="U287" s="3771"/>
      <c r="V287" s="1846">
        <f t="shared" si="65"/>
        <v>43102760</v>
      </c>
    </row>
    <row r="288" spans="1:22" s="257" customFormat="1" ht="15.05" hidden="1" customHeight="1">
      <c r="A288" s="1855"/>
      <c r="B288" s="1855"/>
      <c r="C288" s="1855"/>
      <c r="D288" s="1855"/>
      <c r="E288" s="1855"/>
      <c r="F288" s="2359" t="s">
        <v>50</v>
      </c>
      <c r="G288" s="213"/>
      <c r="H288" s="200" t="str">
        <f>MAR!I541</f>
        <v>Samsat Dompu</v>
      </c>
      <c r="I288" s="200"/>
      <c r="J288" s="3215"/>
      <c r="K288" s="3171">
        <v>6311971</v>
      </c>
      <c r="L288" s="3125">
        <v>0</v>
      </c>
      <c r="M288" s="3124">
        <v>4177145</v>
      </c>
      <c r="N288" s="3125">
        <v>2170250</v>
      </c>
      <c r="O288" s="3125">
        <v>6347395</v>
      </c>
      <c r="P288" s="3125">
        <v>0</v>
      </c>
      <c r="Q288" s="3125">
        <f t="shared" si="64"/>
        <v>0</v>
      </c>
      <c r="R288" s="3605">
        <v>0</v>
      </c>
      <c r="S288" s="3275"/>
      <c r="T288" s="3826"/>
      <c r="U288" s="3771"/>
      <c r="V288" s="1846">
        <f t="shared" si="65"/>
        <v>25389580</v>
      </c>
    </row>
    <row r="289" spans="1:22" s="257" customFormat="1" ht="15.05" hidden="1" customHeight="1">
      <c r="A289" s="1886"/>
      <c r="B289" s="1886"/>
      <c r="C289" s="1886"/>
      <c r="D289" s="1886"/>
      <c r="E289" s="1886"/>
      <c r="F289" s="2843" t="s">
        <v>50</v>
      </c>
      <c r="G289" s="2844"/>
      <c r="H289" s="200" t="str">
        <f>MAR!I542</f>
        <v>Samsat Lombok Barat</v>
      </c>
      <c r="I289" s="856"/>
      <c r="J289" s="3238"/>
      <c r="K289" s="3173">
        <v>35215672</v>
      </c>
      <c r="L289" s="3125">
        <v>0</v>
      </c>
      <c r="M289" s="3124">
        <v>12073539</v>
      </c>
      <c r="N289" s="3125">
        <v>9903007</v>
      </c>
      <c r="O289" s="3125">
        <v>21976546</v>
      </c>
      <c r="P289" s="3125">
        <v>0</v>
      </c>
      <c r="Q289" s="3125">
        <f t="shared" si="64"/>
        <v>0</v>
      </c>
      <c r="R289" s="3605">
        <v>0</v>
      </c>
      <c r="S289" s="3709"/>
      <c r="T289" s="3828"/>
      <c r="U289" s="1899"/>
      <c r="V289" s="1846">
        <f t="shared" si="65"/>
        <v>87906184</v>
      </c>
    </row>
    <row r="290" spans="1:22" s="257" customFormat="1" ht="15.05" hidden="1" customHeight="1">
      <c r="A290" s="1919"/>
      <c r="B290" s="1919"/>
      <c r="C290" s="1919"/>
      <c r="D290" s="1919"/>
      <c r="E290" s="1919"/>
      <c r="F290" s="2845" t="s">
        <v>50</v>
      </c>
      <c r="G290" s="1945"/>
      <c r="H290" s="200" t="str">
        <f>MAR!I543</f>
        <v>Samsat Sumbawa Barat</v>
      </c>
      <c r="J290" s="3257"/>
      <c r="K290" s="3258">
        <v>41615371</v>
      </c>
      <c r="L290" s="3125">
        <v>0</v>
      </c>
      <c r="M290" s="3124">
        <v>2760945</v>
      </c>
      <c r="N290" s="3125">
        <v>2402495</v>
      </c>
      <c r="O290" s="3125">
        <v>5163440</v>
      </c>
      <c r="P290" s="3125">
        <v>0</v>
      </c>
      <c r="Q290" s="3125">
        <f t="shared" si="64"/>
        <v>0</v>
      </c>
      <c r="R290" s="3605">
        <v>0</v>
      </c>
      <c r="S290" s="3723"/>
      <c r="T290" s="3845"/>
      <c r="U290" s="3796"/>
      <c r="V290" s="1846">
        <f t="shared" si="65"/>
        <v>20653760</v>
      </c>
    </row>
    <row r="291" spans="1:22" s="257" customFormat="1" ht="15.05" hidden="1" customHeight="1">
      <c r="A291" s="3573"/>
      <c r="B291" s="3573"/>
      <c r="C291" s="3573"/>
      <c r="D291" s="3573"/>
      <c r="E291" s="3573"/>
      <c r="F291" s="3588" t="s">
        <v>50</v>
      </c>
      <c r="G291" s="3589"/>
      <c r="H291" s="3575" t="str">
        <f>MAR!I544</f>
        <v>Samsat Kab.Lombok Utara</v>
      </c>
      <c r="I291" s="3575"/>
      <c r="J291" s="3576"/>
      <c r="K291" s="3583">
        <v>0</v>
      </c>
      <c r="L291" s="3578">
        <v>0</v>
      </c>
      <c r="M291" s="3579">
        <v>2123531</v>
      </c>
      <c r="N291" s="3578">
        <v>1371025</v>
      </c>
      <c r="O291" s="3578">
        <v>3494556</v>
      </c>
      <c r="P291" s="3578">
        <v>0</v>
      </c>
      <c r="Q291" s="3578">
        <f t="shared" si="64"/>
        <v>0</v>
      </c>
      <c r="R291" s="3615">
        <v>0</v>
      </c>
      <c r="S291" s="3709"/>
      <c r="T291" s="3828"/>
      <c r="U291" s="1899"/>
      <c r="V291" s="1846">
        <f t="shared" si="65"/>
        <v>13978224</v>
      </c>
    </row>
    <row r="292" spans="1:22" s="4270" customFormat="1" ht="15.05" customHeight="1">
      <c r="A292" s="4891">
        <v>4</v>
      </c>
      <c r="B292" s="4892">
        <v>1</v>
      </c>
      <c r="C292" s="4892">
        <v>4</v>
      </c>
      <c r="D292" s="4892" t="s">
        <v>448</v>
      </c>
      <c r="E292" s="4892"/>
      <c r="F292" s="4893" t="s">
        <v>220</v>
      </c>
      <c r="G292" s="4894"/>
      <c r="H292" s="4895"/>
      <c r="I292" s="4895"/>
      <c r="J292" s="4983">
        <f>J293+J294</f>
        <v>235536159</v>
      </c>
      <c r="K292" s="4983">
        <f t="shared" ref="K292:P292" si="66">K293+K294</f>
        <v>12930312</v>
      </c>
      <c r="L292" s="4983">
        <f t="shared" si="66"/>
        <v>235536159</v>
      </c>
      <c r="M292" s="4983">
        <f t="shared" si="66"/>
        <v>558496</v>
      </c>
      <c r="N292" s="4983">
        <f t="shared" si="66"/>
        <v>695000</v>
      </c>
      <c r="O292" s="4983">
        <f t="shared" si="66"/>
        <v>1253496</v>
      </c>
      <c r="P292" s="4983">
        <f t="shared" si="66"/>
        <v>31000000</v>
      </c>
      <c r="Q292" s="4898">
        <f t="shared" si="64"/>
        <v>-204536159</v>
      </c>
      <c r="R292" s="4945">
        <f>+P292/L292*100-100</f>
        <v>-86.838538875892937</v>
      </c>
      <c r="S292" s="4297"/>
      <c r="T292" s="4298"/>
      <c r="U292" s="4299"/>
      <c r="V292" s="4269">
        <f t="shared" si="65"/>
        <v>5013984</v>
      </c>
    </row>
    <row r="293" spans="1:22" s="3896" customFormat="1" ht="15.05" customHeight="1">
      <c r="A293" s="4904">
        <v>4</v>
      </c>
      <c r="B293" s="4904">
        <v>1</v>
      </c>
      <c r="C293" s="4904">
        <v>4</v>
      </c>
      <c r="D293" s="4904" t="s">
        <v>448</v>
      </c>
      <c r="E293" s="4904" t="s">
        <v>438</v>
      </c>
      <c r="F293" s="4984" t="s">
        <v>50</v>
      </c>
      <c r="G293" s="4906" t="s">
        <v>1254</v>
      </c>
      <c r="H293" s="4930"/>
      <c r="I293" s="4930"/>
      <c r="J293" s="4985">
        <v>217536159</v>
      </c>
      <c r="K293" s="4986">
        <v>12930312</v>
      </c>
      <c r="L293" s="4910">
        <v>217536159</v>
      </c>
      <c r="M293" s="4885">
        <v>558496</v>
      </c>
      <c r="N293" s="4910">
        <v>0</v>
      </c>
      <c r="O293" s="4910">
        <v>558496</v>
      </c>
      <c r="P293" s="4910">
        <v>13000000</v>
      </c>
      <c r="Q293" s="4910">
        <f t="shared" si="64"/>
        <v>-204536159</v>
      </c>
      <c r="R293" s="4911">
        <f>+P293/L293*100-100</f>
        <v>-94.023982008434743</v>
      </c>
      <c r="S293" s="4309"/>
      <c r="T293" s="4310"/>
      <c r="U293" s="4341"/>
      <c r="V293" s="3925">
        <f t="shared" si="65"/>
        <v>2233984</v>
      </c>
    </row>
    <row r="294" spans="1:22" s="257" customFormat="1" ht="15.05" customHeight="1">
      <c r="A294" s="3942">
        <v>4</v>
      </c>
      <c r="B294" s="3942">
        <v>1</v>
      </c>
      <c r="C294" s="3942">
        <v>4</v>
      </c>
      <c r="D294" s="3942" t="s">
        <v>448</v>
      </c>
      <c r="E294" s="3942" t="s">
        <v>440</v>
      </c>
      <c r="F294" s="2825" t="s">
        <v>561</v>
      </c>
      <c r="G294" s="3946"/>
      <c r="H294" s="3947"/>
      <c r="I294" s="3947"/>
      <c r="J294" s="4987">
        <v>18000000</v>
      </c>
      <c r="K294" s="4988">
        <v>0</v>
      </c>
      <c r="L294" s="3950">
        <v>18000000</v>
      </c>
      <c r="M294" s="4938">
        <v>0</v>
      </c>
      <c r="N294" s="3950">
        <v>695000</v>
      </c>
      <c r="O294" s="3950">
        <v>695000</v>
      </c>
      <c r="P294" s="3950">
        <v>18000000</v>
      </c>
      <c r="Q294" s="3950">
        <f t="shared" si="64"/>
        <v>0</v>
      </c>
      <c r="R294" s="3951">
        <f>+P294/L294*100-100</f>
        <v>0</v>
      </c>
      <c r="S294" s="3697"/>
      <c r="T294" s="3816"/>
      <c r="U294" s="3777"/>
      <c r="V294" s="1846">
        <f t="shared" si="65"/>
        <v>2780000</v>
      </c>
    </row>
    <row r="295" spans="1:22" s="257" customFormat="1" ht="15.05" customHeight="1">
      <c r="A295" s="3928">
        <v>4</v>
      </c>
      <c r="B295" s="3928">
        <v>1</v>
      </c>
      <c r="C295" s="3928">
        <v>4</v>
      </c>
      <c r="D295" s="3928" t="s">
        <v>448</v>
      </c>
      <c r="E295" s="3928" t="s">
        <v>440</v>
      </c>
      <c r="F295" s="3943" t="s">
        <v>50</v>
      </c>
      <c r="G295" s="3931" t="s">
        <v>1255</v>
      </c>
      <c r="H295" s="3941"/>
      <c r="I295" s="3931"/>
      <c r="J295" s="4428">
        <v>18000000</v>
      </c>
      <c r="K295" s="3933">
        <v>0</v>
      </c>
      <c r="L295" s="3934">
        <v>18000000</v>
      </c>
      <c r="M295" s="3935">
        <v>0</v>
      </c>
      <c r="N295" s="3934">
        <v>695000</v>
      </c>
      <c r="O295" s="3934">
        <v>695000</v>
      </c>
      <c r="P295" s="3934">
        <v>18000000</v>
      </c>
      <c r="Q295" s="3934">
        <f t="shared" si="64"/>
        <v>0</v>
      </c>
      <c r="R295" s="3936">
        <f>+P295/L295*100-100</f>
        <v>0</v>
      </c>
      <c r="S295" s="3275"/>
      <c r="T295" s="3826"/>
      <c r="U295" s="3771"/>
      <c r="V295" s="1846">
        <f t="shared" si="65"/>
        <v>2780000</v>
      </c>
    </row>
    <row r="296" spans="1:22" s="257" customFormat="1" ht="15.05" customHeight="1">
      <c r="A296" s="4916"/>
      <c r="B296" s="4916"/>
      <c r="C296" s="4916"/>
      <c r="D296" s="4916"/>
      <c r="E296" s="4916"/>
      <c r="F296" s="4943"/>
      <c r="G296" s="4918"/>
      <c r="H296" s="4919"/>
      <c r="I296" s="4919"/>
      <c r="J296" s="4958"/>
      <c r="K296" s="4955"/>
      <c r="L296" s="4922"/>
      <c r="M296" s="4923"/>
      <c r="N296" s="4922"/>
      <c r="O296" s="4922"/>
      <c r="P296" s="4922"/>
      <c r="Q296" s="4922"/>
      <c r="R296" s="4924"/>
      <c r="S296" s="3712"/>
      <c r="T296" s="3831"/>
      <c r="U296" s="1899"/>
      <c r="V296" s="1846">
        <f t="shared" si="65"/>
        <v>0</v>
      </c>
    </row>
    <row r="297" spans="1:22" s="2947" customFormat="1" ht="14.4" hidden="1" customHeight="1">
      <c r="A297" s="4891">
        <v>4</v>
      </c>
      <c r="B297" s="4892">
        <v>1</v>
      </c>
      <c r="C297" s="4892">
        <v>4</v>
      </c>
      <c r="D297" s="4892" t="s">
        <v>563</v>
      </c>
      <c r="E297" s="4892"/>
      <c r="F297" s="4893" t="s">
        <v>564</v>
      </c>
      <c r="G297" s="4894"/>
      <c r="H297" s="4895"/>
      <c r="I297" s="4895"/>
      <c r="J297" s="4983" t="e">
        <f>+#REF!</f>
        <v>#REF!</v>
      </c>
      <c r="K297" s="4957" t="e">
        <f>+#REF!</f>
        <v>#REF!</v>
      </c>
      <c r="L297" s="4898">
        <f>SUM(L298)</f>
        <v>0</v>
      </c>
      <c r="M297" s="4870">
        <v>0</v>
      </c>
      <c r="N297" s="4898">
        <f>SUM(N298)</f>
        <v>0</v>
      </c>
      <c r="O297" s="4898">
        <f>+N297+M297</f>
        <v>0</v>
      </c>
      <c r="P297" s="4898">
        <v>0</v>
      </c>
      <c r="Q297" s="4898">
        <f>+P297-L297</f>
        <v>0</v>
      </c>
      <c r="R297" s="4945">
        <v>0</v>
      </c>
      <c r="S297" s="3716"/>
      <c r="T297" s="3838"/>
      <c r="U297" s="3066"/>
      <c r="V297" s="2944">
        <f t="shared" si="65"/>
        <v>0</v>
      </c>
    </row>
    <row r="298" spans="1:22" s="257" customFormat="1" ht="15.05" hidden="1" customHeight="1">
      <c r="A298" s="4904">
        <v>4</v>
      </c>
      <c r="B298" s="4904">
        <v>1</v>
      </c>
      <c r="C298" s="4904">
        <v>4</v>
      </c>
      <c r="D298" s="4927" t="s">
        <v>563</v>
      </c>
      <c r="E298" s="4904" t="s">
        <v>437</v>
      </c>
      <c r="F298" s="4949" t="s">
        <v>50</v>
      </c>
      <c r="G298" s="4906" t="s">
        <v>565</v>
      </c>
      <c r="H298" s="4907"/>
      <c r="I298" s="4907"/>
      <c r="J298" s="4989" t="e">
        <f>+#REF!</f>
        <v>#REF!</v>
      </c>
      <c r="K298" s="4951" t="e">
        <f>+#REF!</f>
        <v>#REF!</v>
      </c>
      <c r="L298" s="4910">
        <v>0</v>
      </c>
      <c r="M298" s="4885">
        <v>0</v>
      </c>
      <c r="N298" s="4910">
        <v>0</v>
      </c>
      <c r="O298" s="4910">
        <v>0</v>
      </c>
      <c r="P298" s="4910">
        <v>0</v>
      </c>
      <c r="Q298" s="4910">
        <f>+P298-L298</f>
        <v>0</v>
      </c>
      <c r="R298" s="4911">
        <v>0</v>
      </c>
      <c r="S298" s="3747"/>
      <c r="T298" s="3835"/>
      <c r="U298" s="3797">
        <f>PerDinas!Q167</f>
        <v>0</v>
      </c>
      <c r="V298" s="1846">
        <f t="shared" si="65"/>
        <v>0</v>
      </c>
    </row>
    <row r="299" spans="1:22" s="257" customFormat="1" ht="15.05" hidden="1" customHeight="1">
      <c r="A299" s="4916"/>
      <c r="B299" s="4916"/>
      <c r="C299" s="4916"/>
      <c r="D299" s="4916"/>
      <c r="E299" s="4916"/>
      <c r="F299" s="4943"/>
      <c r="G299" s="4918"/>
      <c r="H299" s="4919"/>
      <c r="I299" s="4919"/>
      <c r="J299" s="4958"/>
      <c r="K299" s="4955"/>
      <c r="L299" s="4922"/>
      <c r="M299" s="4923"/>
      <c r="N299" s="4922"/>
      <c r="O299" s="4922"/>
      <c r="P299" s="4922"/>
      <c r="Q299" s="4922"/>
      <c r="R299" s="4924"/>
      <c r="S299" s="3712"/>
      <c r="T299" s="3831"/>
      <c r="U299" s="3771"/>
      <c r="V299" s="1846">
        <f t="shared" si="65"/>
        <v>0</v>
      </c>
    </row>
    <row r="300" spans="1:22" s="4343" customFormat="1" ht="15.05" customHeight="1">
      <c r="A300" s="4891">
        <v>4</v>
      </c>
      <c r="B300" s="4892">
        <v>1</v>
      </c>
      <c r="C300" s="4892">
        <v>4</v>
      </c>
      <c r="D300" s="4892" t="s">
        <v>444</v>
      </c>
      <c r="E300" s="4892"/>
      <c r="F300" s="4959" t="s">
        <v>1246</v>
      </c>
      <c r="G300" s="4895"/>
      <c r="H300" s="4895"/>
      <c r="I300" s="4895"/>
      <c r="J300" s="4983">
        <f>J301+J305+J313+J317</f>
        <v>68944925050</v>
      </c>
      <c r="K300" s="4983">
        <f t="shared" ref="K300:P300" si="67">K301+K305+K313+K317</f>
        <v>62912738507.940002</v>
      </c>
      <c r="L300" s="4983">
        <f t="shared" si="67"/>
        <v>73939763650</v>
      </c>
      <c r="M300" s="4983">
        <f t="shared" si="67"/>
        <v>29397490</v>
      </c>
      <c r="N300" s="4983">
        <f t="shared" si="67"/>
        <v>20809650</v>
      </c>
      <c r="O300" s="4983">
        <f t="shared" si="67"/>
        <v>50207140</v>
      </c>
      <c r="P300" s="4983">
        <f t="shared" si="67"/>
        <v>73954763650</v>
      </c>
      <c r="Q300" s="4898">
        <f t="shared" ref="Q300:Q315" si="68">+P300-L300</f>
        <v>15000000</v>
      </c>
      <c r="R300" s="4899">
        <f>+P300/L300*100-100</f>
        <v>2.0286783808231235E-2</v>
      </c>
      <c r="S300" s="4266"/>
      <c r="T300" s="4267"/>
      <c r="U300" s="4268"/>
      <c r="V300" s="4342">
        <f t="shared" si="65"/>
        <v>200828560</v>
      </c>
    </row>
    <row r="301" spans="1:22" s="3917" customFormat="1" ht="15.05" customHeight="1">
      <c r="A301" s="4904">
        <v>4</v>
      </c>
      <c r="B301" s="4904">
        <v>1</v>
      </c>
      <c r="C301" s="4904">
        <v>4</v>
      </c>
      <c r="D301" s="4904" t="s">
        <v>444</v>
      </c>
      <c r="E301" s="4927" t="s">
        <v>438</v>
      </c>
      <c r="F301" s="4967" t="s">
        <v>567</v>
      </c>
      <c r="G301" s="4907"/>
      <c r="H301" s="4907"/>
      <c r="I301" s="4930"/>
      <c r="J301" s="4985">
        <v>0</v>
      </c>
      <c r="K301" s="4986">
        <v>0</v>
      </c>
      <c r="L301" s="4910">
        <v>0</v>
      </c>
      <c r="M301" s="4885">
        <v>0</v>
      </c>
      <c r="N301" s="4910">
        <v>0</v>
      </c>
      <c r="O301" s="4910">
        <v>0</v>
      </c>
      <c r="P301" s="4910">
        <v>0</v>
      </c>
      <c r="Q301" s="4910">
        <f t="shared" si="68"/>
        <v>0</v>
      </c>
      <c r="R301" s="4935">
        <v>0</v>
      </c>
      <c r="S301" s="4344"/>
      <c r="T301" s="4345"/>
      <c r="U301" s="4282"/>
      <c r="V301" s="4346">
        <f t="shared" si="65"/>
        <v>0</v>
      </c>
    </row>
    <row r="302" spans="1:22" s="4350" customFormat="1" ht="15.05" hidden="1" customHeight="1">
      <c r="A302" s="3942"/>
      <c r="B302" s="3942"/>
      <c r="C302" s="3942"/>
      <c r="D302" s="3942"/>
      <c r="E302" s="3942"/>
      <c r="F302" s="4427" t="s">
        <v>50</v>
      </c>
      <c r="G302" s="3931"/>
      <c r="H302" s="3931" t="s">
        <v>568</v>
      </c>
      <c r="I302" s="3947"/>
      <c r="J302" s="4987"/>
      <c r="K302" s="4988"/>
      <c r="L302" s="3934">
        <v>0</v>
      </c>
      <c r="M302" s="3935">
        <v>0</v>
      </c>
      <c r="N302" s="3934">
        <v>0</v>
      </c>
      <c r="O302" s="3934">
        <v>0</v>
      </c>
      <c r="P302" s="3934">
        <v>0</v>
      </c>
      <c r="Q302" s="3934">
        <f t="shared" si="68"/>
        <v>0</v>
      </c>
      <c r="R302" s="3951" t="e">
        <f>+P302/L302*100-100</f>
        <v>#DIV/0!</v>
      </c>
      <c r="S302" s="4291"/>
      <c r="T302" s="4292"/>
      <c r="U302" s="4282"/>
      <c r="V302" s="4349">
        <f t="shared" si="65"/>
        <v>0</v>
      </c>
    </row>
    <row r="303" spans="1:22" s="3917" customFormat="1" ht="15.05" hidden="1" customHeight="1">
      <c r="A303" s="3942"/>
      <c r="B303" s="3942"/>
      <c r="C303" s="3942"/>
      <c r="D303" s="3942"/>
      <c r="E303" s="3942"/>
      <c r="F303" s="4990"/>
      <c r="G303" s="3947"/>
      <c r="H303" s="3947"/>
      <c r="I303" s="3947"/>
      <c r="J303" s="4987"/>
      <c r="K303" s="4988"/>
      <c r="L303" s="3950"/>
      <c r="M303" s="4938"/>
      <c r="N303" s="3950"/>
      <c r="O303" s="3950"/>
      <c r="P303" s="3950"/>
      <c r="Q303" s="3950">
        <f t="shared" si="68"/>
        <v>0</v>
      </c>
      <c r="R303" s="3951" t="e">
        <f>+P303/L303*100-100</f>
        <v>#DIV/0!</v>
      </c>
      <c r="S303" s="4291"/>
      <c r="T303" s="4292"/>
      <c r="U303" s="4282"/>
      <c r="V303" s="4346">
        <f t="shared" si="65"/>
        <v>0</v>
      </c>
    </row>
    <row r="304" spans="1:22" s="3917" customFormat="1" ht="15.05" hidden="1" customHeight="1">
      <c r="A304" s="3942"/>
      <c r="B304" s="3942"/>
      <c r="C304" s="3942"/>
      <c r="D304" s="3942"/>
      <c r="E304" s="3942"/>
      <c r="F304" s="4990"/>
      <c r="G304" s="3947"/>
      <c r="H304" s="3947"/>
      <c r="I304" s="3947"/>
      <c r="J304" s="4987"/>
      <c r="K304" s="4988"/>
      <c r="L304" s="3950"/>
      <c r="M304" s="4938"/>
      <c r="N304" s="3950"/>
      <c r="O304" s="3950"/>
      <c r="P304" s="3950"/>
      <c r="Q304" s="3950">
        <f t="shared" si="68"/>
        <v>0</v>
      </c>
      <c r="R304" s="3951" t="e">
        <f>+P304/L304*100-100</f>
        <v>#DIV/0!</v>
      </c>
      <c r="S304" s="4291"/>
      <c r="T304" s="4292"/>
      <c r="U304" s="4282"/>
      <c r="V304" s="4346">
        <f t="shared" si="65"/>
        <v>0</v>
      </c>
    </row>
    <row r="305" spans="1:22" s="3896" customFormat="1" ht="15.05" customHeight="1">
      <c r="A305" s="3928">
        <v>4</v>
      </c>
      <c r="B305" s="3928">
        <v>1</v>
      </c>
      <c r="C305" s="3928">
        <v>4</v>
      </c>
      <c r="D305" s="3928" t="s">
        <v>444</v>
      </c>
      <c r="E305" s="3942" t="s">
        <v>440</v>
      </c>
      <c r="F305" s="4990" t="s">
        <v>569</v>
      </c>
      <c r="G305" s="3947"/>
      <c r="H305" s="3947"/>
      <c r="I305" s="3947"/>
      <c r="J305" s="4987">
        <v>0</v>
      </c>
      <c r="K305" s="4988">
        <v>30600000</v>
      </c>
      <c r="L305" s="3950">
        <v>0</v>
      </c>
      <c r="M305" s="4938">
        <v>0</v>
      </c>
      <c r="N305" s="3950">
        <v>11463600</v>
      </c>
      <c r="O305" s="3950">
        <v>11463600</v>
      </c>
      <c r="P305" s="3950">
        <f>+P306</f>
        <v>15000000</v>
      </c>
      <c r="Q305" s="3950">
        <f t="shared" si="68"/>
        <v>15000000</v>
      </c>
      <c r="R305" s="3951">
        <v>0</v>
      </c>
      <c r="S305" s="4291"/>
      <c r="T305" s="4292"/>
      <c r="U305" s="3923"/>
      <c r="V305" s="3925">
        <f t="shared" si="65"/>
        <v>45854400</v>
      </c>
    </row>
    <row r="306" spans="1:22" s="3896" customFormat="1" ht="15.05" customHeight="1">
      <c r="A306" s="3928"/>
      <c r="B306" s="3928"/>
      <c r="C306" s="3928"/>
      <c r="D306" s="3928"/>
      <c r="E306" s="3928"/>
      <c r="F306" s="4991" t="s">
        <v>50</v>
      </c>
      <c r="G306" s="3931" t="s">
        <v>570</v>
      </c>
      <c r="H306" s="3931"/>
      <c r="I306" s="3931"/>
      <c r="J306" s="4428"/>
      <c r="K306" s="3933"/>
      <c r="L306" s="3934">
        <v>0</v>
      </c>
      <c r="M306" s="3935"/>
      <c r="N306" s="3935">
        <v>11463600</v>
      </c>
      <c r="O306" s="3935">
        <v>11463600</v>
      </c>
      <c r="P306" s="3934">
        <v>15000000</v>
      </c>
      <c r="Q306" s="3934">
        <f t="shared" si="68"/>
        <v>15000000</v>
      </c>
      <c r="R306" s="3936">
        <v>0</v>
      </c>
      <c r="S306" s="3921"/>
      <c r="T306" s="3922"/>
      <c r="U306" s="3923"/>
      <c r="V306" s="3925">
        <f t="shared" si="65"/>
        <v>45854400</v>
      </c>
    </row>
    <row r="307" spans="1:22" s="3896" customFormat="1" ht="15.05" hidden="1" customHeight="1">
      <c r="A307" s="3928"/>
      <c r="B307" s="3928"/>
      <c r="C307" s="3928"/>
      <c r="D307" s="3928"/>
      <c r="E307" s="3928"/>
      <c r="F307" s="4991" t="s">
        <v>50</v>
      </c>
      <c r="G307" s="3931"/>
      <c r="H307" s="3931" t="s">
        <v>570</v>
      </c>
      <c r="I307" s="3931"/>
      <c r="J307" s="4428"/>
      <c r="K307" s="3933"/>
      <c r="L307" s="3934">
        <v>0</v>
      </c>
      <c r="M307" s="3935">
        <v>0</v>
      </c>
      <c r="N307" s="3934">
        <v>0</v>
      </c>
      <c r="O307" s="3934">
        <v>0</v>
      </c>
      <c r="P307" s="3934">
        <v>0</v>
      </c>
      <c r="Q307" s="3934">
        <f t="shared" si="68"/>
        <v>0</v>
      </c>
      <c r="R307" s="3936" t="e">
        <f>+P307/L307*100-100</f>
        <v>#DIV/0!</v>
      </c>
      <c r="S307" s="3921"/>
      <c r="T307" s="3922"/>
      <c r="U307" s="3923"/>
      <c r="V307" s="3925">
        <f t="shared" si="65"/>
        <v>0</v>
      </c>
    </row>
    <row r="308" spans="1:22" s="3896" customFormat="1" ht="15.05" hidden="1" customHeight="1">
      <c r="A308" s="3928"/>
      <c r="B308" s="3928"/>
      <c r="C308" s="3928"/>
      <c r="D308" s="3928"/>
      <c r="E308" s="3928"/>
      <c r="F308" s="4991" t="s">
        <v>50</v>
      </c>
      <c r="G308" s="3931"/>
      <c r="H308" s="3931" t="s">
        <v>571</v>
      </c>
      <c r="I308" s="3931"/>
      <c r="J308" s="4428"/>
      <c r="K308" s="3933"/>
      <c r="L308" s="3934">
        <f>PerDinas!K208</f>
        <v>0</v>
      </c>
      <c r="M308" s="3935">
        <v>0</v>
      </c>
      <c r="N308" s="3934">
        <f>PerDinas!M208</f>
        <v>0</v>
      </c>
      <c r="O308" s="3934">
        <f>PerDinas!N208</f>
        <v>0</v>
      </c>
      <c r="P308" s="3934">
        <v>0</v>
      </c>
      <c r="Q308" s="3934">
        <f t="shared" si="68"/>
        <v>0</v>
      </c>
      <c r="R308" s="3936" t="e">
        <f>+P308/L308*100-100</f>
        <v>#DIV/0!</v>
      </c>
      <c r="S308" s="4335"/>
      <c r="T308" s="3922"/>
      <c r="U308" s="4353">
        <f>PerDinas!Q208</f>
        <v>0</v>
      </c>
      <c r="V308" s="3925">
        <f t="shared" si="65"/>
        <v>0</v>
      </c>
    </row>
    <row r="309" spans="1:22" s="3896" customFormat="1" ht="15.05" customHeight="1">
      <c r="A309" s="3928">
        <v>4</v>
      </c>
      <c r="B309" s="3928">
        <v>1</v>
      </c>
      <c r="C309" s="3928">
        <v>4</v>
      </c>
      <c r="D309" s="3928" t="s">
        <v>444</v>
      </c>
      <c r="E309" s="3942" t="s">
        <v>445</v>
      </c>
      <c r="F309" s="4990" t="s">
        <v>572</v>
      </c>
      <c r="G309" s="3947"/>
      <c r="H309" s="3947"/>
      <c r="I309" s="3947"/>
      <c r="J309" s="4987"/>
      <c r="K309" s="4988"/>
      <c r="L309" s="3950">
        <f>SUM(L310:L312)</f>
        <v>0</v>
      </c>
      <c r="M309" s="4938">
        <v>0</v>
      </c>
      <c r="N309" s="3950">
        <f>SUM(N310:N312)</f>
        <v>0</v>
      </c>
      <c r="O309" s="3950">
        <f>SUM(O310:O312)</f>
        <v>0</v>
      </c>
      <c r="P309" s="3950">
        <v>0</v>
      </c>
      <c r="Q309" s="3950">
        <f t="shared" si="68"/>
        <v>0</v>
      </c>
      <c r="R309" s="3951">
        <v>0</v>
      </c>
      <c r="S309" s="4291"/>
      <c r="T309" s="4292"/>
      <c r="U309" s="4282"/>
      <c r="V309" s="3925">
        <f t="shared" si="65"/>
        <v>0</v>
      </c>
    </row>
    <row r="310" spans="1:22" s="3896" customFormat="1" ht="15.05" hidden="1" customHeight="1">
      <c r="A310" s="3928"/>
      <c r="B310" s="3928"/>
      <c r="C310" s="3928"/>
      <c r="D310" s="3928"/>
      <c r="E310" s="3928"/>
      <c r="F310" s="4427"/>
      <c r="G310" s="3931"/>
      <c r="H310" s="3931"/>
      <c r="I310" s="3931"/>
      <c r="J310" s="4428"/>
      <c r="K310" s="3933"/>
      <c r="L310" s="3934"/>
      <c r="M310" s="3935"/>
      <c r="N310" s="3934"/>
      <c r="O310" s="3934"/>
      <c r="P310" s="3934"/>
      <c r="Q310" s="3934">
        <f t="shared" si="68"/>
        <v>0</v>
      </c>
      <c r="R310" s="3936" t="e">
        <f t="shared" ref="R310:R315" si="69">+P310/L310*100-100</f>
        <v>#DIV/0!</v>
      </c>
      <c r="S310" s="3921"/>
      <c r="T310" s="3922"/>
      <c r="U310" s="3923"/>
      <c r="V310" s="3925">
        <f t="shared" si="65"/>
        <v>0</v>
      </c>
    </row>
    <row r="311" spans="1:22" s="3896" customFormat="1" ht="15.05" hidden="1" customHeight="1">
      <c r="A311" s="3928"/>
      <c r="B311" s="3928"/>
      <c r="C311" s="3928"/>
      <c r="D311" s="3928"/>
      <c r="E311" s="3928"/>
      <c r="F311" s="4427" t="s">
        <v>50</v>
      </c>
      <c r="G311" s="3931"/>
      <c r="H311" s="3931" t="s">
        <v>570</v>
      </c>
      <c r="I311" s="3931"/>
      <c r="J311" s="4428"/>
      <c r="K311" s="3933"/>
      <c r="L311" s="3934">
        <v>0</v>
      </c>
      <c r="M311" s="3935">
        <v>0</v>
      </c>
      <c r="N311" s="3934">
        <v>0</v>
      </c>
      <c r="O311" s="3934">
        <v>0</v>
      </c>
      <c r="P311" s="3934">
        <v>0</v>
      </c>
      <c r="Q311" s="3934">
        <f t="shared" si="68"/>
        <v>0</v>
      </c>
      <c r="R311" s="3936" t="e">
        <f t="shared" si="69"/>
        <v>#DIV/0!</v>
      </c>
      <c r="S311" s="4354"/>
      <c r="T311" s="4355"/>
      <c r="U311" s="3923"/>
      <c r="V311" s="3925">
        <f t="shared" si="65"/>
        <v>0</v>
      </c>
    </row>
    <row r="312" spans="1:22" s="3896" customFormat="1" ht="15.05" hidden="1" customHeight="1">
      <c r="A312" s="3928"/>
      <c r="B312" s="3928"/>
      <c r="C312" s="3928"/>
      <c r="D312" s="3928"/>
      <c r="E312" s="3928"/>
      <c r="F312" s="4427" t="s">
        <v>50</v>
      </c>
      <c r="G312" s="3931"/>
      <c r="H312" s="3931" t="s">
        <v>573</v>
      </c>
      <c r="I312" s="3931"/>
      <c r="J312" s="4428"/>
      <c r="K312" s="3933"/>
      <c r="L312" s="3934">
        <f>PerDinas!K253</f>
        <v>0</v>
      </c>
      <c r="M312" s="3935">
        <v>0</v>
      </c>
      <c r="N312" s="3934">
        <f>PerDinas!M253</f>
        <v>0</v>
      </c>
      <c r="O312" s="3934">
        <f>PerDinas!N253</f>
        <v>0</v>
      </c>
      <c r="P312" s="3934">
        <v>0</v>
      </c>
      <c r="Q312" s="3934">
        <f t="shared" si="68"/>
        <v>0</v>
      </c>
      <c r="R312" s="3936" t="e">
        <f t="shared" si="69"/>
        <v>#DIV/0!</v>
      </c>
      <c r="S312" s="4335"/>
      <c r="T312" s="3922"/>
      <c r="U312" s="4353">
        <f>PerDinas!Q253</f>
        <v>0</v>
      </c>
      <c r="V312" s="3925">
        <f t="shared" si="65"/>
        <v>0</v>
      </c>
    </row>
    <row r="313" spans="1:22" s="3896" customFormat="1" ht="15.05" customHeight="1">
      <c r="A313" s="3928">
        <v>4</v>
      </c>
      <c r="B313" s="3928">
        <v>1</v>
      </c>
      <c r="C313" s="3928">
        <v>4</v>
      </c>
      <c r="D313" s="3928" t="s">
        <v>444</v>
      </c>
      <c r="E313" s="3942" t="s">
        <v>456</v>
      </c>
      <c r="F313" s="3947" t="s">
        <v>574</v>
      </c>
      <c r="G313" s="3947"/>
      <c r="H313" s="3947"/>
      <c r="I313" s="3947"/>
      <c r="J313" s="4987">
        <f>+J314</f>
        <v>65944925050</v>
      </c>
      <c r="K313" s="4987">
        <f>+K314</f>
        <v>60557314220</v>
      </c>
      <c r="L313" s="4987">
        <f>+L314</f>
        <v>70939763650</v>
      </c>
      <c r="M313" s="4938">
        <v>0</v>
      </c>
      <c r="N313" s="3950">
        <f>SUM(N314:N316)</f>
        <v>0</v>
      </c>
      <c r="O313" s="3950">
        <f>SUM(O314:O316)</f>
        <v>0</v>
      </c>
      <c r="P313" s="3950">
        <v>70939763650</v>
      </c>
      <c r="Q313" s="3950">
        <f t="shared" si="68"/>
        <v>0</v>
      </c>
      <c r="R313" s="3951">
        <f t="shared" si="69"/>
        <v>0</v>
      </c>
      <c r="S313" s="4356"/>
      <c r="T313" s="4357"/>
      <c r="U313" s="4282"/>
      <c r="V313" s="3925">
        <f t="shared" si="65"/>
        <v>0</v>
      </c>
    </row>
    <row r="314" spans="1:22" s="3896" customFormat="1" ht="15.05" customHeight="1">
      <c r="A314" s="3928"/>
      <c r="B314" s="3928"/>
      <c r="C314" s="3928"/>
      <c r="D314" s="3928"/>
      <c r="E314" s="3928"/>
      <c r="F314" s="4427" t="s">
        <v>50</v>
      </c>
      <c r="G314" s="3931" t="e">
        <f>+#REF!</f>
        <v>#REF!</v>
      </c>
      <c r="H314" s="3931"/>
      <c r="I314" s="3931"/>
      <c r="J314" s="4428">
        <v>65944925050</v>
      </c>
      <c r="K314" s="3933">
        <v>60557314220</v>
      </c>
      <c r="L314" s="3934">
        <v>70939763650</v>
      </c>
      <c r="M314" s="3935">
        <v>0</v>
      </c>
      <c r="N314" s="3934">
        <v>0</v>
      </c>
      <c r="O314" s="3934">
        <v>0</v>
      </c>
      <c r="P314" s="3934">
        <v>70939763650</v>
      </c>
      <c r="Q314" s="3934">
        <f t="shared" si="68"/>
        <v>0</v>
      </c>
      <c r="R314" s="3936">
        <f t="shared" si="69"/>
        <v>0</v>
      </c>
      <c r="S314" s="3921"/>
      <c r="T314" s="3922"/>
      <c r="U314" s="3923"/>
      <c r="V314" s="3925">
        <f t="shared" si="65"/>
        <v>0</v>
      </c>
    </row>
    <row r="315" spans="1:22" s="3896" customFormat="1" ht="15.05" customHeight="1">
      <c r="A315" s="3928"/>
      <c r="B315" s="3928"/>
      <c r="C315" s="3928"/>
      <c r="D315" s="3928"/>
      <c r="E315" s="3928"/>
      <c r="F315" s="4427"/>
      <c r="G315" s="3931" t="str">
        <f>[3]MAR!I416</f>
        <v>- Insentif Prem Indi Fase I</v>
      </c>
      <c r="H315" s="3931"/>
      <c r="I315" s="3931"/>
      <c r="J315" s="4428"/>
      <c r="K315" s="3933"/>
      <c r="L315" s="3934">
        <f>MAR!J416</f>
        <v>0</v>
      </c>
      <c r="M315" s="3935">
        <v>0</v>
      </c>
      <c r="N315" s="3934">
        <f>MAR!L416</f>
        <v>0</v>
      </c>
      <c r="O315" s="3934">
        <f>MAR!M416</f>
        <v>0</v>
      </c>
      <c r="P315" s="3934">
        <v>0</v>
      </c>
      <c r="Q315" s="3934">
        <f t="shared" si="68"/>
        <v>0</v>
      </c>
      <c r="R315" s="3936" t="e">
        <f t="shared" si="69"/>
        <v>#DIV/0!</v>
      </c>
      <c r="S315" s="3921"/>
      <c r="T315" s="3922"/>
      <c r="U315" s="3923"/>
      <c r="V315" s="3925">
        <f t="shared" si="65"/>
        <v>0</v>
      </c>
    </row>
    <row r="316" spans="1:22" s="3896" customFormat="1" ht="15.05" customHeight="1">
      <c r="A316" s="3928"/>
      <c r="B316" s="3928"/>
      <c r="C316" s="3928"/>
      <c r="D316" s="3928"/>
      <c r="E316" s="3928"/>
      <c r="F316" s="4427"/>
      <c r="G316" s="3931" t="str">
        <f>MAR!I417</f>
        <v>- Kekurangan Fase I</v>
      </c>
      <c r="H316" s="3931"/>
      <c r="I316" s="3931"/>
      <c r="J316" s="4428"/>
      <c r="K316" s="3933"/>
      <c r="L316" s="3934"/>
      <c r="M316" s="3935"/>
      <c r="N316" s="3934"/>
      <c r="O316" s="3934"/>
      <c r="P316" s="3934"/>
      <c r="Q316" s="3934"/>
      <c r="R316" s="3936"/>
      <c r="S316" s="3921"/>
      <c r="T316" s="3922"/>
      <c r="U316" s="3923"/>
      <c r="V316" s="3925">
        <f t="shared" si="65"/>
        <v>0</v>
      </c>
    </row>
    <row r="317" spans="1:22" s="3896" customFormat="1" ht="15.05" customHeight="1">
      <c r="A317" s="3928">
        <v>4</v>
      </c>
      <c r="B317" s="3928">
        <v>1</v>
      </c>
      <c r="C317" s="3928">
        <v>4</v>
      </c>
      <c r="D317" s="3928" t="s">
        <v>444</v>
      </c>
      <c r="E317" s="3942" t="s">
        <v>441</v>
      </c>
      <c r="F317" s="4990" t="s">
        <v>75</v>
      </c>
      <c r="G317" s="3947"/>
      <c r="H317" s="3947"/>
      <c r="I317" s="3947"/>
      <c r="J317" s="4987">
        <v>3000000000</v>
      </c>
      <c r="K317" s="4988">
        <v>2324824287.9400001</v>
      </c>
      <c r="L317" s="3950">
        <f>SUM(L318:L365)</f>
        <v>3000000000</v>
      </c>
      <c r="M317" s="4938">
        <v>29397490</v>
      </c>
      <c r="N317" s="3950">
        <f>SUM(N318:N365)</f>
        <v>9346050</v>
      </c>
      <c r="O317" s="3950">
        <f>SUM(O318:O365)</f>
        <v>38743540</v>
      </c>
      <c r="P317" s="3950">
        <v>3000000000</v>
      </c>
      <c r="Q317" s="3950">
        <f t="shared" ref="Q317:Q378" si="70">+P317-L317</f>
        <v>0</v>
      </c>
      <c r="R317" s="3951">
        <f>+P317/L317*100-100</f>
        <v>0</v>
      </c>
      <c r="S317" s="4291"/>
      <c r="T317" s="4292"/>
      <c r="U317" s="3923"/>
      <c r="V317" s="3925">
        <f t="shared" si="65"/>
        <v>154974160</v>
      </c>
    </row>
    <row r="318" spans="1:22" s="3896" customFormat="1" ht="15.05" customHeight="1">
      <c r="A318" s="3928"/>
      <c r="B318" s="3928"/>
      <c r="C318" s="3928"/>
      <c r="D318" s="3928"/>
      <c r="E318" s="3928"/>
      <c r="F318" s="4427" t="s">
        <v>50</v>
      </c>
      <c r="G318" s="3931" t="s">
        <v>1169</v>
      </c>
      <c r="H318" s="3931"/>
      <c r="I318" s="3931"/>
      <c r="J318" s="4428"/>
      <c r="K318" s="3933">
        <v>51341175</v>
      </c>
      <c r="L318" s="3934">
        <v>3000000000</v>
      </c>
      <c r="M318" s="3935">
        <v>0</v>
      </c>
      <c r="N318" s="3934">
        <v>0</v>
      </c>
      <c r="O318" s="3934">
        <v>0</v>
      </c>
      <c r="P318" s="3934">
        <v>3000000000</v>
      </c>
      <c r="Q318" s="3934">
        <f t="shared" si="70"/>
        <v>0</v>
      </c>
      <c r="R318" s="3936">
        <f>+P318/L318*100-100</f>
        <v>0</v>
      </c>
      <c r="S318" s="3921"/>
      <c r="T318" s="3922"/>
      <c r="U318" s="3923"/>
      <c r="V318" s="3925">
        <f t="shared" si="65"/>
        <v>0</v>
      </c>
    </row>
    <row r="319" spans="1:22" s="3896" customFormat="1" ht="15.05" hidden="1" customHeight="1">
      <c r="A319" s="3928"/>
      <c r="B319" s="3928"/>
      <c r="C319" s="3928"/>
      <c r="D319" s="3928"/>
      <c r="E319" s="3928"/>
      <c r="F319" s="4427" t="s">
        <v>50</v>
      </c>
      <c r="G319" s="3931" t="s">
        <v>1170</v>
      </c>
      <c r="H319" s="3931"/>
      <c r="I319" s="3931"/>
      <c r="J319" s="4428"/>
      <c r="K319" s="3933">
        <v>9703356.2599999998</v>
      </c>
      <c r="L319" s="3934">
        <v>0</v>
      </c>
      <c r="M319" s="3935">
        <v>0</v>
      </c>
      <c r="N319" s="3934">
        <v>0</v>
      </c>
      <c r="O319" s="3934">
        <v>0</v>
      </c>
      <c r="P319" s="3934">
        <v>0</v>
      </c>
      <c r="Q319" s="3934">
        <f t="shared" si="70"/>
        <v>0</v>
      </c>
      <c r="R319" s="3936">
        <v>0</v>
      </c>
      <c r="S319" s="3921"/>
      <c r="T319" s="3922"/>
      <c r="U319" s="3923"/>
      <c r="V319" s="3925">
        <f t="shared" si="65"/>
        <v>0</v>
      </c>
    </row>
    <row r="320" spans="1:22" s="3896" customFormat="1" ht="15.05" hidden="1" customHeight="1">
      <c r="A320" s="3928"/>
      <c r="B320" s="3928"/>
      <c r="C320" s="3928"/>
      <c r="D320" s="3928"/>
      <c r="E320" s="3928"/>
      <c r="F320" s="4427" t="s">
        <v>50</v>
      </c>
      <c r="G320" s="3931" t="s">
        <v>1171</v>
      </c>
      <c r="H320" s="3931"/>
      <c r="I320" s="3931"/>
      <c r="J320" s="4428"/>
      <c r="K320" s="3933">
        <v>50998000</v>
      </c>
      <c r="L320" s="3934">
        <v>0</v>
      </c>
      <c r="M320" s="3935">
        <v>0</v>
      </c>
      <c r="N320" s="3934">
        <v>0</v>
      </c>
      <c r="O320" s="3934">
        <v>0</v>
      </c>
      <c r="P320" s="3934">
        <v>0</v>
      </c>
      <c r="Q320" s="3934">
        <f t="shared" si="70"/>
        <v>0</v>
      </c>
      <c r="R320" s="3936">
        <v>0</v>
      </c>
      <c r="S320" s="3921"/>
      <c r="T320" s="3922"/>
      <c r="U320" s="3923"/>
      <c r="V320" s="3925">
        <f t="shared" si="65"/>
        <v>0</v>
      </c>
    </row>
    <row r="321" spans="1:22" s="3896" customFormat="1" ht="15.05" hidden="1" customHeight="1">
      <c r="A321" s="3928"/>
      <c r="B321" s="3928"/>
      <c r="C321" s="3928"/>
      <c r="D321" s="3928"/>
      <c r="E321" s="3928"/>
      <c r="F321" s="4427" t="s">
        <v>50</v>
      </c>
      <c r="G321" s="3931" t="s">
        <v>1172</v>
      </c>
      <c r="H321" s="3931"/>
      <c r="I321" s="3931"/>
      <c r="J321" s="4428"/>
      <c r="K321" s="3933">
        <v>3088075</v>
      </c>
      <c r="L321" s="3934">
        <v>0</v>
      </c>
      <c r="M321" s="3935">
        <v>0</v>
      </c>
      <c r="N321" s="3934">
        <v>0</v>
      </c>
      <c r="O321" s="3934">
        <v>0</v>
      </c>
      <c r="P321" s="3934">
        <v>0</v>
      </c>
      <c r="Q321" s="3934">
        <f t="shared" si="70"/>
        <v>0</v>
      </c>
      <c r="R321" s="3936">
        <v>0</v>
      </c>
      <c r="S321" s="3921"/>
      <c r="T321" s="3922"/>
      <c r="U321" s="3923"/>
      <c r="V321" s="3925">
        <f t="shared" si="65"/>
        <v>0</v>
      </c>
    </row>
    <row r="322" spans="1:22" s="3896" customFormat="1" ht="15.05" hidden="1" customHeight="1">
      <c r="A322" s="3928"/>
      <c r="B322" s="3928"/>
      <c r="C322" s="3928"/>
      <c r="D322" s="3928"/>
      <c r="E322" s="3928"/>
      <c r="F322" s="4427" t="s">
        <v>50</v>
      </c>
      <c r="G322" s="3931" t="s">
        <v>571</v>
      </c>
      <c r="H322" s="3931"/>
      <c r="I322" s="3931"/>
      <c r="J322" s="4428"/>
      <c r="K322" s="3933">
        <v>633797511.37</v>
      </c>
      <c r="L322" s="3934">
        <v>0</v>
      </c>
      <c r="M322" s="3935">
        <v>0</v>
      </c>
      <c r="N322" s="3934">
        <v>0</v>
      </c>
      <c r="O322" s="3934">
        <v>0</v>
      </c>
      <c r="P322" s="3934">
        <v>0</v>
      </c>
      <c r="Q322" s="3934">
        <f t="shared" si="70"/>
        <v>0</v>
      </c>
      <c r="R322" s="3936">
        <v>0</v>
      </c>
      <c r="S322" s="3921"/>
      <c r="T322" s="4358"/>
      <c r="U322" s="4359"/>
      <c r="V322" s="3925">
        <f t="shared" si="65"/>
        <v>0</v>
      </c>
    </row>
    <row r="323" spans="1:22" s="3896" customFormat="1" ht="15.05" hidden="1" customHeight="1">
      <c r="A323" s="3928"/>
      <c r="B323" s="3928"/>
      <c r="C323" s="3928"/>
      <c r="D323" s="3928"/>
      <c r="E323" s="3928"/>
      <c r="F323" s="4427" t="s">
        <v>50</v>
      </c>
      <c r="G323" s="3931" t="s">
        <v>1173</v>
      </c>
      <c r="H323" s="4992"/>
      <c r="I323" s="4992"/>
      <c r="J323" s="4993"/>
      <c r="K323" s="4988">
        <v>23739197</v>
      </c>
      <c r="L323" s="3950">
        <v>0</v>
      </c>
      <c r="M323" s="4938">
        <v>0</v>
      </c>
      <c r="N323" s="3950">
        <v>0</v>
      </c>
      <c r="O323" s="3950">
        <v>0</v>
      </c>
      <c r="P323" s="3950">
        <v>0</v>
      </c>
      <c r="Q323" s="3950">
        <f t="shared" si="70"/>
        <v>0</v>
      </c>
      <c r="R323" s="3936">
        <v>0</v>
      </c>
      <c r="S323" s="4335"/>
      <c r="T323" s="4310"/>
      <c r="U323" s="4362">
        <f>PerDinas!Q655</f>
        <v>0</v>
      </c>
      <c r="V323" s="3925">
        <f t="shared" si="65"/>
        <v>0</v>
      </c>
    </row>
    <row r="324" spans="1:22" s="3896" customFormat="1" ht="15.05" hidden="1" customHeight="1">
      <c r="A324" s="3928"/>
      <c r="B324" s="3928"/>
      <c r="C324" s="3928"/>
      <c r="D324" s="3928"/>
      <c r="E324" s="3928"/>
      <c r="F324" s="4427" t="s">
        <v>50</v>
      </c>
      <c r="G324" s="3931" t="s">
        <v>1174</v>
      </c>
      <c r="H324" s="3931"/>
      <c r="I324" s="3931"/>
      <c r="J324" s="4428"/>
      <c r="K324" s="3933">
        <v>32297000</v>
      </c>
      <c r="L324" s="3934">
        <v>0</v>
      </c>
      <c r="M324" s="3935">
        <v>855000</v>
      </c>
      <c r="N324" s="3934">
        <v>0</v>
      </c>
      <c r="O324" s="3934">
        <v>855000</v>
      </c>
      <c r="P324" s="3934">
        <v>0</v>
      </c>
      <c r="Q324" s="3934">
        <f t="shared" si="70"/>
        <v>0</v>
      </c>
      <c r="R324" s="3936">
        <v>0</v>
      </c>
      <c r="S324" s="3921"/>
      <c r="T324" s="3922"/>
      <c r="U324" s="3923"/>
      <c r="V324" s="3925">
        <f t="shared" si="65"/>
        <v>3420000</v>
      </c>
    </row>
    <row r="325" spans="1:22" s="3896" customFormat="1" ht="15.05" hidden="1" customHeight="1">
      <c r="A325" s="3928"/>
      <c r="B325" s="3928"/>
      <c r="C325" s="3928"/>
      <c r="D325" s="3928"/>
      <c r="E325" s="3928"/>
      <c r="F325" s="4427" t="s">
        <v>50</v>
      </c>
      <c r="G325" s="3931" t="s">
        <v>1175</v>
      </c>
      <c r="H325" s="3931"/>
      <c r="I325" s="3931"/>
      <c r="J325" s="4428"/>
      <c r="K325" s="3933">
        <v>26480806</v>
      </c>
      <c r="L325" s="3934">
        <v>0</v>
      </c>
      <c r="M325" s="3935">
        <v>0</v>
      </c>
      <c r="N325" s="3934">
        <v>0</v>
      </c>
      <c r="O325" s="3934">
        <v>0</v>
      </c>
      <c r="P325" s="3934">
        <v>0</v>
      </c>
      <c r="Q325" s="3934">
        <f t="shared" si="70"/>
        <v>0</v>
      </c>
      <c r="R325" s="3936">
        <v>0</v>
      </c>
      <c r="S325" s="3921"/>
      <c r="T325" s="3922"/>
      <c r="U325" s="3923"/>
      <c r="V325" s="3925">
        <f t="shared" si="65"/>
        <v>0</v>
      </c>
    </row>
    <row r="326" spans="1:22" s="3896" customFormat="1" ht="15.05" hidden="1" customHeight="1">
      <c r="A326" s="3928"/>
      <c r="B326" s="3928"/>
      <c r="C326" s="3928"/>
      <c r="D326" s="3928"/>
      <c r="E326" s="3928"/>
      <c r="F326" s="4427" t="s">
        <v>50</v>
      </c>
      <c r="G326" s="3931" t="s">
        <v>1176</v>
      </c>
      <c r="H326" s="3931"/>
      <c r="I326" s="3931"/>
      <c r="J326" s="4428"/>
      <c r="K326" s="3933">
        <v>33995946.960000001</v>
      </c>
      <c r="L326" s="3934">
        <v>0</v>
      </c>
      <c r="M326" s="3935">
        <v>0</v>
      </c>
      <c r="N326" s="3934">
        <v>0</v>
      </c>
      <c r="O326" s="3934">
        <v>0</v>
      </c>
      <c r="P326" s="3934">
        <v>0</v>
      </c>
      <c r="Q326" s="3934">
        <f t="shared" si="70"/>
        <v>0</v>
      </c>
      <c r="R326" s="3936">
        <v>0</v>
      </c>
      <c r="S326" s="3921"/>
      <c r="T326" s="3922"/>
      <c r="U326" s="3923"/>
      <c r="V326" s="3925">
        <f t="shared" si="65"/>
        <v>0</v>
      </c>
    </row>
    <row r="327" spans="1:22" s="3896" customFormat="1" ht="15.05" hidden="1" customHeight="1">
      <c r="A327" s="3928"/>
      <c r="B327" s="3928"/>
      <c r="C327" s="3928"/>
      <c r="D327" s="3928"/>
      <c r="E327" s="3928"/>
      <c r="F327" s="4427" t="s">
        <v>50</v>
      </c>
      <c r="G327" s="3931" t="s">
        <v>1177</v>
      </c>
      <c r="H327" s="3931"/>
      <c r="I327" s="3931"/>
      <c r="J327" s="4428"/>
      <c r="K327" s="3933">
        <v>110487727</v>
      </c>
      <c r="L327" s="3934">
        <v>0</v>
      </c>
      <c r="M327" s="3935">
        <v>0</v>
      </c>
      <c r="N327" s="3934">
        <v>0</v>
      </c>
      <c r="O327" s="3934">
        <v>0</v>
      </c>
      <c r="P327" s="3934">
        <v>0</v>
      </c>
      <c r="Q327" s="3934">
        <f t="shared" si="70"/>
        <v>0</v>
      </c>
      <c r="R327" s="3936">
        <v>0</v>
      </c>
      <c r="S327" s="3921"/>
      <c r="T327" s="3922"/>
      <c r="U327" s="3923"/>
      <c r="V327" s="3925">
        <f t="shared" si="65"/>
        <v>0</v>
      </c>
    </row>
    <row r="328" spans="1:22" s="3896" customFormat="1" ht="15.05" hidden="1" customHeight="1">
      <c r="A328" s="3928"/>
      <c r="B328" s="3928"/>
      <c r="C328" s="3928"/>
      <c r="D328" s="3928"/>
      <c r="E328" s="3928"/>
      <c r="F328" s="4427" t="s">
        <v>50</v>
      </c>
      <c r="G328" s="3931" t="s">
        <v>643</v>
      </c>
      <c r="H328" s="3931"/>
      <c r="I328" s="3931"/>
      <c r="J328" s="4428"/>
      <c r="K328" s="3933">
        <v>6650000</v>
      </c>
      <c r="L328" s="3934">
        <v>0</v>
      </c>
      <c r="M328" s="3935">
        <v>0</v>
      </c>
      <c r="N328" s="3934">
        <v>0</v>
      </c>
      <c r="O328" s="3934">
        <v>0</v>
      </c>
      <c r="P328" s="3934">
        <v>0</v>
      </c>
      <c r="Q328" s="3934">
        <f t="shared" si="70"/>
        <v>0</v>
      </c>
      <c r="R328" s="3936">
        <v>0</v>
      </c>
      <c r="S328" s="3921"/>
      <c r="T328" s="3922"/>
      <c r="U328" s="3923"/>
      <c r="V328" s="3925">
        <f t="shared" si="65"/>
        <v>0</v>
      </c>
    </row>
    <row r="329" spans="1:22" s="3896" customFormat="1" ht="15.05" hidden="1" customHeight="1">
      <c r="A329" s="3928"/>
      <c r="B329" s="3928"/>
      <c r="C329" s="3928"/>
      <c r="D329" s="3928"/>
      <c r="E329" s="3928"/>
      <c r="F329" s="4427" t="s">
        <v>50</v>
      </c>
      <c r="G329" s="3931" t="s">
        <v>224</v>
      </c>
      <c r="H329" s="3931"/>
      <c r="I329" s="3931"/>
      <c r="J329" s="4428"/>
      <c r="K329" s="3933">
        <v>19604200</v>
      </c>
      <c r="L329" s="3934">
        <v>0</v>
      </c>
      <c r="M329" s="3935">
        <v>0</v>
      </c>
      <c r="N329" s="3934">
        <v>0</v>
      </c>
      <c r="O329" s="3934">
        <v>0</v>
      </c>
      <c r="P329" s="3934">
        <v>0</v>
      </c>
      <c r="Q329" s="3934">
        <f t="shared" si="70"/>
        <v>0</v>
      </c>
      <c r="R329" s="3936">
        <v>0</v>
      </c>
      <c r="S329" s="3921"/>
      <c r="T329" s="3922"/>
      <c r="U329" s="3923"/>
      <c r="V329" s="3925">
        <f t="shared" si="65"/>
        <v>0</v>
      </c>
    </row>
    <row r="330" spans="1:22" s="3896" customFormat="1" ht="15.05" hidden="1" customHeight="1">
      <c r="A330" s="3928"/>
      <c r="B330" s="3928"/>
      <c r="C330" s="3928"/>
      <c r="D330" s="3928"/>
      <c r="E330" s="3928"/>
      <c r="F330" s="4427" t="s">
        <v>50</v>
      </c>
      <c r="G330" s="3931" t="s">
        <v>1178</v>
      </c>
      <c r="H330" s="3931"/>
      <c r="I330" s="3931"/>
      <c r="J330" s="4428"/>
      <c r="K330" s="3933">
        <v>33004350</v>
      </c>
      <c r="L330" s="3934">
        <v>0</v>
      </c>
      <c r="M330" s="3935">
        <v>0</v>
      </c>
      <c r="N330" s="3934">
        <v>0</v>
      </c>
      <c r="O330" s="3934">
        <v>0</v>
      </c>
      <c r="P330" s="3934">
        <v>0</v>
      </c>
      <c r="Q330" s="3934">
        <f t="shared" si="70"/>
        <v>0</v>
      </c>
      <c r="R330" s="3936">
        <v>0</v>
      </c>
      <c r="S330" s="3921"/>
      <c r="T330" s="3922"/>
      <c r="U330" s="3923"/>
      <c r="V330" s="3925">
        <f t="shared" si="65"/>
        <v>0</v>
      </c>
    </row>
    <row r="331" spans="1:22" s="3896" customFormat="1" ht="15.05" hidden="1" customHeight="1">
      <c r="A331" s="3928"/>
      <c r="B331" s="3928"/>
      <c r="C331" s="3928"/>
      <c r="D331" s="3928"/>
      <c r="E331" s="3928"/>
      <c r="F331" s="4427" t="s">
        <v>50</v>
      </c>
      <c r="G331" s="4994" t="s">
        <v>575</v>
      </c>
      <c r="H331" s="3931"/>
      <c r="I331" s="3931"/>
      <c r="J331" s="4428"/>
      <c r="K331" s="3933">
        <v>17971900</v>
      </c>
      <c r="L331" s="3934">
        <v>0</v>
      </c>
      <c r="M331" s="3935">
        <v>7967600</v>
      </c>
      <c r="N331" s="3934">
        <v>0</v>
      </c>
      <c r="O331" s="3934">
        <v>7967600</v>
      </c>
      <c r="P331" s="3934">
        <v>0</v>
      </c>
      <c r="Q331" s="3934">
        <f t="shared" si="70"/>
        <v>0</v>
      </c>
      <c r="R331" s="3936">
        <v>0</v>
      </c>
      <c r="S331" s="4335"/>
      <c r="T331" s="3922"/>
      <c r="U331" s="4353"/>
      <c r="V331" s="3925">
        <f t="shared" si="65"/>
        <v>31870400</v>
      </c>
    </row>
    <row r="332" spans="1:22" s="3896" customFormat="1" ht="15.05" hidden="1" customHeight="1">
      <c r="A332" s="3928"/>
      <c r="B332" s="3928"/>
      <c r="C332" s="3928"/>
      <c r="D332" s="3928"/>
      <c r="E332" s="3928"/>
      <c r="F332" s="4427" t="s">
        <v>50</v>
      </c>
      <c r="G332" s="4994" t="s">
        <v>576</v>
      </c>
      <c r="H332" s="3931"/>
      <c r="I332" s="3931"/>
      <c r="J332" s="4428"/>
      <c r="K332" s="3933">
        <v>131995452.15000001</v>
      </c>
      <c r="L332" s="3934">
        <v>0</v>
      </c>
      <c r="M332" s="3935">
        <v>0</v>
      </c>
      <c r="N332" s="3934">
        <v>0</v>
      </c>
      <c r="O332" s="3934">
        <v>0</v>
      </c>
      <c r="P332" s="3934">
        <v>0</v>
      </c>
      <c r="Q332" s="3934">
        <f t="shared" si="70"/>
        <v>0</v>
      </c>
      <c r="R332" s="3936">
        <v>0</v>
      </c>
      <c r="S332" s="3921"/>
      <c r="T332" s="3922"/>
      <c r="U332" s="3923"/>
      <c r="V332" s="3925">
        <f t="shared" si="65"/>
        <v>0</v>
      </c>
    </row>
    <row r="333" spans="1:22" s="3896" customFormat="1" ht="15.05" hidden="1" customHeight="1">
      <c r="A333" s="3928"/>
      <c r="B333" s="3928"/>
      <c r="C333" s="3928"/>
      <c r="D333" s="3928"/>
      <c r="E333" s="3928"/>
      <c r="F333" s="4427" t="s">
        <v>50</v>
      </c>
      <c r="G333" s="4994" t="s">
        <v>577</v>
      </c>
      <c r="H333" s="3931"/>
      <c r="I333" s="3947"/>
      <c r="J333" s="4987"/>
      <c r="K333" s="4988">
        <v>80279296.019999996</v>
      </c>
      <c r="L333" s="3934">
        <v>0</v>
      </c>
      <c r="M333" s="3935">
        <v>0</v>
      </c>
      <c r="N333" s="3934">
        <v>0</v>
      </c>
      <c r="O333" s="3934">
        <v>0</v>
      </c>
      <c r="P333" s="3934">
        <v>0</v>
      </c>
      <c r="Q333" s="3934">
        <f t="shared" si="70"/>
        <v>0</v>
      </c>
      <c r="R333" s="3936">
        <v>0</v>
      </c>
      <c r="S333" s="3921"/>
      <c r="T333" s="3922"/>
      <c r="U333" s="3923"/>
      <c r="V333" s="3925">
        <f t="shared" si="65"/>
        <v>0</v>
      </c>
    </row>
    <row r="334" spans="1:22" s="3896" customFormat="1" ht="15.05" hidden="1" customHeight="1">
      <c r="A334" s="3928"/>
      <c r="B334" s="3928"/>
      <c r="C334" s="3928"/>
      <c r="D334" s="3928"/>
      <c r="E334" s="3928"/>
      <c r="F334" s="4427" t="s">
        <v>50</v>
      </c>
      <c r="G334" s="4994" t="s">
        <v>578</v>
      </c>
      <c r="H334" s="3931"/>
      <c r="I334" s="3931"/>
      <c r="J334" s="4428"/>
      <c r="K334" s="3933">
        <v>6724929</v>
      </c>
      <c r="L334" s="3934">
        <v>0</v>
      </c>
      <c r="M334" s="3935">
        <v>2220000</v>
      </c>
      <c r="N334" s="3934">
        <v>0</v>
      </c>
      <c r="O334" s="3934">
        <v>2220000</v>
      </c>
      <c r="P334" s="3934">
        <v>0</v>
      </c>
      <c r="Q334" s="3934">
        <f t="shared" si="70"/>
        <v>0</v>
      </c>
      <c r="R334" s="3936">
        <v>0</v>
      </c>
      <c r="S334" s="3921"/>
      <c r="T334" s="3922"/>
      <c r="U334" s="3923"/>
      <c r="V334" s="3925">
        <f t="shared" si="65"/>
        <v>8880000</v>
      </c>
    </row>
    <row r="335" spans="1:22" s="3896" customFormat="1" ht="15.05" hidden="1" customHeight="1">
      <c r="A335" s="3928"/>
      <c r="B335" s="3928"/>
      <c r="C335" s="3928"/>
      <c r="D335" s="3928"/>
      <c r="E335" s="3928"/>
      <c r="F335" s="4427" t="s">
        <v>50</v>
      </c>
      <c r="G335" s="4994" t="s">
        <v>579</v>
      </c>
      <c r="H335" s="3931"/>
      <c r="I335" s="3931"/>
      <c r="J335" s="4428"/>
      <c r="K335" s="3933">
        <v>9604597</v>
      </c>
      <c r="L335" s="3934">
        <v>0</v>
      </c>
      <c r="M335" s="3935">
        <v>0</v>
      </c>
      <c r="N335" s="3934">
        <v>0</v>
      </c>
      <c r="O335" s="3934">
        <v>0</v>
      </c>
      <c r="P335" s="3934">
        <v>0</v>
      </c>
      <c r="Q335" s="3934">
        <f t="shared" si="70"/>
        <v>0</v>
      </c>
      <c r="R335" s="3936">
        <v>0</v>
      </c>
      <c r="S335" s="3921"/>
      <c r="T335" s="3922"/>
      <c r="U335" s="3923"/>
      <c r="V335" s="3925">
        <f t="shared" si="65"/>
        <v>0</v>
      </c>
    </row>
    <row r="336" spans="1:22" s="3896" customFormat="1" ht="15.05" hidden="1" customHeight="1">
      <c r="A336" s="3928"/>
      <c r="B336" s="3928"/>
      <c r="C336" s="3928"/>
      <c r="D336" s="3928"/>
      <c r="E336" s="3928"/>
      <c r="F336" s="4427" t="s">
        <v>50</v>
      </c>
      <c r="G336" s="4994" t="s">
        <v>580</v>
      </c>
      <c r="H336" s="3931"/>
      <c r="I336" s="3931"/>
      <c r="J336" s="4428"/>
      <c r="K336" s="3933">
        <v>5840000</v>
      </c>
      <c r="L336" s="3934">
        <v>0</v>
      </c>
      <c r="M336" s="3935">
        <v>0</v>
      </c>
      <c r="N336" s="3934">
        <v>0</v>
      </c>
      <c r="O336" s="3934">
        <v>0</v>
      </c>
      <c r="P336" s="3934">
        <v>0</v>
      </c>
      <c r="Q336" s="3934">
        <f t="shared" si="70"/>
        <v>0</v>
      </c>
      <c r="R336" s="3936">
        <v>0</v>
      </c>
      <c r="S336" s="3921"/>
      <c r="T336" s="3922"/>
      <c r="U336" s="3923"/>
      <c r="V336" s="3925">
        <f t="shared" si="65"/>
        <v>0</v>
      </c>
    </row>
    <row r="337" spans="1:22" s="3896" customFormat="1" ht="15.05" hidden="1" customHeight="1">
      <c r="A337" s="3928"/>
      <c r="B337" s="3928"/>
      <c r="C337" s="3928"/>
      <c r="D337" s="3928"/>
      <c r="E337" s="3928"/>
      <c r="F337" s="4427" t="s">
        <v>50</v>
      </c>
      <c r="G337" s="4994" t="s">
        <v>581</v>
      </c>
      <c r="H337" s="3931"/>
      <c r="I337" s="3931"/>
      <c r="J337" s="4428"/>
      <c r="K337" s="3933">
        <v>75598294</v>
      </c>
      <c r="L337" s="3934">
        <v>0</v>
      </c>
      <c r="M337" s="3935">
        <v>0</v>
      </c>
      <c r="N337" s="3934">
        <v>0</v>
      </c>
      <c r="O337" s="3934">
        <v>0</v>
      </c>
      <c r="P337" s="3934">
        <v>0</v>
      </c>
      <c r="Q337" s="3934">
        <f t="shared" si="70"/>
        <v>0</v>
      </c>
      <c r="R337" s="3936">
        <v>0</v>
      </c>
      <c r="S337" s="3921"/>
      <c r="T337" s="3922"/>
      <c r="U337" s="3923"/>
      <c r="V337" s="3925">
        <f t="shared" si="65"/>
        <v>0</v>
      </c>
    </row>
    <row r="338" spans="1:22" s="3896" customFormat="1" ht="15.05" hidden="1" customHeight="1">
      <c r="A338" s="3928"/>
      <c r="B338" s="3928"/>
      <c r="C338" s="3928"/>
      <c r="D338" s="3928"/>
      <c r="E338" s="3928"/>
      <c r="F338" s="4427" t="s">
        <v>50</v>
      </c>
      <c r="G338" s="4994" t="s">
        <v>582</v>
      </c>
      <c r="H338" s="3931"/>
      <c r="I338" s="3947"/>
      <c r="J338" s="4987"/>
      <c r="K338" s="4988">
        <v>118736055.84</v>
      </c>
      <c r="L338" s="3934">
        <v>0</v>
      </c>
      <c r="M338" s="3935">
        <v>0</v>
      </c>
      <c r="N338" s="3934">
        <v>0</v>
      </c>
      <c r="O338" s="3934">
        <v>0</v>
      </c>
      <c r="P338" s="3934">
        <v>0</v>
      </c>
      <c r="Q338" s="3934">
        <f t="shared" si="70"/>
        <v>0</v>
      </c>
      <c r="R338" s="3936">
        <v>0</v>
      </c>
      <c r="S338" s="3921"/>
      <c r="T338" s="3922"/>
      <c r="U338" s="3923"/>
      <c r="V338" s="3925">
        <f t="shared" si="65"/>
        <v>0</v>
      </c>
    </row>
    <row r="339" spans="1:22" s="3896" customFormat="1" ht="15.05" hidden="1" customHeight="1">
      <c r="A339" s="3928"/>
      <c r="B339" s="3928"/>
      <c r="C339" s="3928"/>
      <c r="D339" s="3928"/>
      <c r="E339" s="3928"/>
      <c r="F339" s="4427" t="s">
        <v>50</v>
      </c>
      <c r="G339" s="4994" t="s">
        <v>583</v>
      </c>
      <c r="H339" s="3931"/>
      <c r="I339" s="3947"/>
      <c r="J339" s="4987"/>
      <c r="K339" s="4988">
        <v>3882000</v>
      </c>
      <c r="L339" s="3934">
        <v>0</v>
      </c>
      <c r="M339" s="3935">
        <v>18154890</v>
      </c>
      <c r="N339" s="3934">
        <v>0</v>
      </c>
      <c r="O339" s="3934">
        <v>18154890</v>
      </c>
      <c r="P339" s="3934">
        <v>0</v>
      </c>
      <c r="Q339" s="3934">
        <f t="shared" si="70"/>
        <v>0</v>
      </c>
      <c r="R339" s="3936">
        <v>0</v>
      </c>
      <c r="S339" s="3921"/>
      <c r="T339" s="3922"/>
      <c r="U339" s="3923"/>
      <c r="V339" s="3925">
        <f t="shared" si="65"/>
        <v>72619560</v>
      </c>
    </row>
    <row r="340" spans="1:22" s="3896" customFormat="1" ht="15.05" hidden="1" customHeight="1">
      <c r="A340" s="3928"/>
      <c r="B340" s="3928"/>
      <c r="C340" s="3928"/>
      <c r="D340" s="3928"/>
      <c r="E340" s="3928"/>
      <c r="F340" s="4427" t="s">
        <v>50</v>
      </c>
      <c r="G340" s="4994" t="s">
        <v>584</v>
      </c>
      <c r="H340" s="3931"/>
      <c r="I340" s="3947"/>
      <c r="J340" s="4987"/>
      <c r="K340" s="4988">
        <v>22520000</v>
      </c>
      <c r="L340" s="3934">
        <v>0</v>
      </c>
      <c r="M340" s="3935">
        <v>0</v>
      </c>
      <c r="N340" s="3934">
        <v>0</v>
      </c>
      <c r="O340" s="3934">
        <v>0</v>
      </c>
      <c r="P340" s="3934">
        <v>0</v>
      </c>
      <c r="Q340" s="3934">
        <f t="shared" si="70"/>
        <v>0</v>
      </c>
      <c r="R340" s="3936">
        <v>0</v>
      </c>
      <c r="S340" s="4335"/>
      <c r="T340" s="3922"/>
      <c r="U340" s="4353"/>
      <c r="V340" s="3925">
        <f t="shared" si="65"/>
        <v>0</v>
      </c>
    </row>
    <row r="341" spans="1:22" s="3896" customFormat="1" ht="15.05" hidden="1" customHeight="1">
      <c r="A341" s="3928"/>
      <c r="B341" s="3928"/>
      <c r="C341" s="3928"/>
      <c r="D341" s="3928"/>
      <c r="E341" s="3928"/>
      <c r="F341" s="4427" t="s">
        <v>50</v>
      </c>
      <c r="G341" s="4994" t="s">
        <v>585</v>
      </c>
      <c r="H341" s="3931"/>
      <c r="I341" s="3947"/>
      <c r="J341" s="4987"/>
      <c r="K341" s="4988">
        <v>0</v>
      </c>
      <c r="L341" s="3934">
        <v>0</v>
      </c>
      <c r="M341" s="3935">
        <v>0</v>
      </c>
      <c r="N341" s="3934">
        <v>0</v>
      </c>
      <c r="O341" s="3934">
        <v>0</v>
      </c>
      <c r="P341" s="3934">
        <v>0</v>
      </c>
      <c r="Q341" s="3934">
        <f t="shared" si="70"/>
        <v>0</v>
      </c>
      <c r="R341" s="3936">
        <v>0</v>
      </c>
      <c r="S341" s="3921"/>
      <c r="T341" s="3922"/>
      <c r="U341" s="4353"/>
      <c r="V341" s="3925">
        <f t="shared" si="65"/>
        <v>0</v>
      </c>
    </row>
    <row r="342" spans="1:22" s="3896" customFormat="1" ht="15.05" hidden="1" customHeight="1">
      <c r="A342" s="3928"/>
      <c r="B342" s="3928"/>
      <c r="C342" s="3928"/>
      <c r="D342" s="3928"/>
      <c r="E342" s="3928"/>
      <c r="F342" s="4427" t="s">
        <v>50</v>
      </c>
      <c r="G342" s="4994" t="s">
        <v>586</v>
      </c>
      <c r="H342" s="3931"/>
      <c r="I342" s="3931"/>
      <c r="J342" s="4428"/>
      <c r="K342" s="3933">
        <v>11699500</v>
      </c>
      <c r="L342" s="3934">
        <v>0</v>
      </c>
      <c r="M342" s="3935">
        <v>0</v>
      </c>
      <c r="N342" s="3934">
        <v>0</v>
      </c>
      <c r="O342" s="3934">
        <v>0</v>
      </c>
      <c r="P342" s="3934">
        <v>0</v>
      </c>
      <c r="Q342" s="3934">
        <f t="shared" si="70"/>
        <v>0</v>
      </c>
      <c r="R342" s="3936">
        <v>0</v>
      </c>
      <c r="S342" s="4335"/>
      <c r="T342" s="3922"/>
      <c r="U342" s="4353"/>
      <c r="V342" s="3925">
        <f t="shared" si="65"/>
        <v>0</v>
      </c>
    </row>
    <row r="343" spans="1:22" s="3896" customFormat="1" ht="15.05" hidden="1" customHeight="1">
      <c r="A343" s="3928"/>
      <c r="B343" s="3928"/>
      <c r="C343" s="3928"/>
      <c r="D343" s="3928"/>
      <c r="E343" s="3928"/>
      <c r="F343" s="4427" t="s">
        <v>50</v>
      </c>
      <c r="G343" s="4994" t="s">
        <v>587</v>
      </c>
      <c r="H343" s="3931"/>
      <c r="I343" s="3931"/>
      <c r="J343" s="4989"/>
      <c r="K343" s="4951">
        <v>66970818</v>
      </c>
      <c r="L343" s="4910">
        <v>0</v>
      </c>
      <c r="M343" s="4885">
        <v>0</v>
      </c>
      <c r="N343" s="4910">
        <v>0</v>
      </c>
      <c r="O343" s="4910">
        <v>0</v>
      </c>
      <c r="P343" s="4910">
        <v>0</v>
      </c>
      <c r="Q343" s="4910">
        <f t="shared" si="70"/>
        <v>0</v>
      </c>
      <c r="R343" s="3936">
        <v>0</v>
      </c>
      <c r="S343" s="3921"/>
      <c r="T343" s="3922"/>
      <c r="U343" s="3923"/>
      <c r="V343" s="3925">
        <f t="shared" si="65"/>
        <v>0</v>
      </c>
    </row>
    <row r="344" spans="1:22" s="3896" customFormat="1" ht="15.05" hidden="1" customHeight="1">
      <c r="A344" s="3928"/>
      <c r="B344" s="3928"/>
      <c r="C344" s="3928"/>
      <c r="D344" s="3928"/>
      <c r="E344" s="3928"/>
      <c r="F344" s="4427" t="s">
        <v>50</v>
      </c>
      <c r="G344" s="4994" t="s">
        <v>588</v>
      </c>
      <c r="H344" s="3931"/>
      <c r="I344" s="3947"/>
      <c r="J344" s="4987"/>
      <c r="K344" s="4988">
        <v>57329525</v>
      </c>
      <c r="L344" s="3934">
        <v>0</v>
      </c>
      <c r="M344" s="3935">
        <v>0</v>
      </c>
      <c r="N344" s="3934">
        <v>9346050</v>
      </c>
      <c r="O344" s="3934">
        <v>9346050</v>
      </c>
      <c r="P344" s="3934">
        <v>0</v>
      </c>
      <c r="Q344" s="3934">
        <f t="shared" si="70"/>
        <v>0</v>
      </c>
      <c r="R344" s="3936">
        <v>0</v>
      </c>
      <c r="S344" s="3921"/>
      <c r="T344" s="3922"/>
      <c r="U344" s="3923"/>
      <c r="V344" s="3925">
        <f t="shared" si="65"/>
        <v>37384200</v>
      </c>
    </row>
    <row r="345" spans="1:22" s="3896" customFormat="1" ht="15.05" hidden="1" customHeight="1">
      <c r="A345" s="3928"/>
      <c r="B345" s="3928"/>
      <c r="C345" s="3928"/>
      <c r="D345" s="3928"/>
      <c r="E345" s="3928"/>
      <c r="F345" s="4427" t="s">
        <v>50</v>
      </c>
      <c r="G345" s="4994" t="s">
        <v>284</v>
      </c>
      <c r="H345" s="3931"/>
      <c r="I345" s="3931"/>
      <c r="J345" s="4428"/>
      <c r="K345" s="3933">
        <v>25644269</v>
      </c>
      <c r="L345" s="3934">
        <v>0</v>
      </c>
      <c r="M345" s="3935">
        <v>200000</v>
      </c>
      <c r="N345" s="3934">
        <v>0</v>
      </c>
      <c r="O345" s="3934">
        <v>200000</v>
      </c>
      <c r="P345" s="3934">
        <v>0</v>
      </c>
      <c r="Q345" s="3934">
        <f t="shared" si="70"/>
        <v>0</v>
      </c>
      <c r="R345" s="3936">
        <v>0</v>
      </c>
      <c r="S345" s="3921"/>
      <c r="T345" s="3922"/>
      <c r="U345" s="3923"/>
      <c r="V345" s="3925">
        <f t="shared" ref="V345:V422" si="71">O345*4</f>
        <v>800000</v>
      </c>
    </row>
    <row r="346" spans="1:22" s="3896" customFormat="1" ht="15.05" hidden="1" customHeight="1">
      <c r="A346" s="3928"/>
      <c r="B346" s="3928"/>
      <c r="C346" s="3928"/>
      <c r="D346" s="3928"/>
      <c r="E346" s="3928"/>
      <c r="F346" s="4427" t="s">
        <v>50</v>
      </c>
      <c r="G346" s="4994" t="s">
        <v>589</v>
      </c>
      <c r="H346" s="3931"/>
      <c r="I346" s="3931"/>
      <c r="J346" s="4428"/>
      <c r="K346" s="3933">
        <v>141645590</v>
      </c>
      <c r="L346" s="3934">
        <v>0</v>
      </c>
      <c r="M346" s="3935">
        <v>0</v>
      </c>
      <c r="N346" s="3934">
        <v>0</v>
      </c>
      <c r="O346" s="3934">
        <v>0</v>
      </c>
      <c r="P346" s="3934">
        <v>0</v>
      </c>
      <c r="Q346" s="3934">
        <f t="shared" si="70"/>
        <v>0</v>
      </c>
      <c r="R346" s="3936">
        <v>0</v>
      </c>
      <c r="S346" s="3921"/>
      <c r="T346" s="3922"/>
      <c r="U346" s="3923"/>
      <c r="V346" s="3925">
        <f t="shared" si="71"/>
        <v>0</v>
      </c>
    </row>
    <row r="347" spans="1:22" s="3896" customFormat="1" ht="15.05" hidden="1" customHeight="1">
      <c r="A347" s="4916"/>
      <c r="B347" s="4916"/>
      <c r="C347" s="4916"/>
      <c r="D347" s="4916"/>
      <c r="E347" s="4916"/>
      <c r="F347" s="4917" t="s">
        <v>50</v>
      </c>
      <c r="G347" s="4995" t="s">
        <v>590</v>
      </c>
      <c r="H347" s="4919"/>
      <c r="I347" s="3941"/>
      <c r="J347" s="4996"/>
      <c r="K347" s="4997">
        <v>15952424</v>
      </c>
      <c r="L347" s="4922">
        <v>0</v>
      </c>
      <c r="M347" s="4923">
        <v>0</v>
      </c>
      <c r="N347" s="4922">
        <v>0</v>
      </c>
      <c r="O347" s="4922">
        <v>0</v>
      </c>
      <c r="P347" s="4922">
        <v>0</v>
      </c>
      <c r="Q347" s="4922">
        <f t="shared" si="70"/>
        <v>0</v>
      </c>
      <c r="R347" s="4924">
        <v>0</v>
      </c>
      <c r="S347" s="4373"/>
      <c r="T347" s="4358"/>
      <c r="U347" s="3923"/>
      <c r="V347" s="3925">
        <f t="shared" si="71"/>
        <v>0</v>
      </c>
    </row>
    <row r="348" spans="1:22" s="3896" customFormat="1" ht="15.05" hidden="1" customHeight="1">
      <c r="A348" s="4904"/>
      <c r="B348" s="4904"/>
      <c r="C348" s="4904"/>
      <c r="D348" s="4904"/>
      <c r="E348" s="4904"/>
      <c r="F348" s="4998" t="s">
        <v>50</v>
      </c>
      <c r="G348" s="4999" t="s">
        <v>591</v>
      </c>
      <c r="H348" s="4907"/>
      <c r="I348" s="4907"/>
      <c r="J348" s="4989"/>
      <c r="K348" s="4951">
        <v>92270821.590000004</v>
      </c>
      <c r="L348" s="4910">
        <v>0</v>
      </c>
      <c r="M348" s="4885">
        <v>0</v>
      </c>
      <c r="N348" s="4910">
        <v>0</v>
      </c>
      <c r="O348" s="4910">
        <v>0</v>
      </c>
      <c r="P348" s="4910">
        <v>0</v>
      </c>
      <c r="Q348" s="4910">
        <f t="shared" si="70"/>
        <v>0</v>
      </c>
      <c r="R348" s="4911">
        <v>0</v>
      </c>
      <c r="S348" s="4309"/>
      <c r="T348" s="4310"/>
      <c r="U348" s="3923"/>
      <c r="V348" s="3925">
        <f t="shared" si="71"/>
        <v>0</v>
      </c>
    </row>
    <row r="349" spans="1:22" s="3896" customFormat="1" ht="15.05" hidden="1" customHeight="1">
      <c r="A349" s="3928"/>
      <c r="B349" s="3928"/>
      <c r="C349" s="3928"/>
      <c r="D349" s="3928"/>
      <c r="E349" s="3928"/>
      <c r="F349" s="4427" t="s">
        <v>50</v>
      </c>
      <c r="G349" s="4994" t="s">
        <v>592</v>
      </c>
      <c r="H349" s="3931"/>
      <c r="I349" s="3947"/>
      <c r="J349" s="4987"/>
      <c r="K349" s="4988">
        <v>29684250</v>
      </c>
      <c r="L349" s="3934">
        <v>0</v>
      </c>
      <c r="M349" s="3935">
        <v>0</v>
      </c>
      <c r="N349" s="3934">
        <v>0</v>
      </c>
      <c r="O349" s="3934">
        <v>0</v>
      </c>
      <c r="P349" s="3934">
        <v>0</v>
      </c>
      <c r="Q349" s="3934">
        <f t="shared" si="70"/>
        <v>0</v>
      </c>
      <c r="R349" s="3936">
        <v>0</v>
      </c>
      <c r="S349" s="3921"/>
      <c r="T349" s="3922"/>
      <c r="U349" s="3923"/>
      <c r="V349" s="3925">
        <f t="shared" si="71"/>
        <v>0</v>
      </c>
    </row>
    <row r="350" spans="1:22" s="3896" customFormat="1" ht="15.05" hidden="1" customHeight="1">
      <c r="A350" s="3928"/>
      <c r="B350" s="3928"/>
      <c r="C350" s="3928"/>
      <c r="D350" s="3928"/>
      <c r="E350" s="3928"/>
      <c r="F350" s="4427" t="s">
        <v>50</v>
      </c>
      <c r="G350" s="4994" t="s">
        <v>593</v>
      </c>
      <c r="H350" s="3931"/>
      <c r="I350" s="3931"/>
      <c r="J350" s="4428"/>
      <c r="K350" s="3933">
        <v>28727627</v>
      </c>
      <c r="L350" s="3934">
        <v>0</v>
      </c>
      <c r="M350" s="3935">
        <v>0</v>
      </c>
      <c r="N350" s="3934">
        <v>0</v>
      </c>
      <c r="O350" s="3934">
        <v>0</v>
      </c>
      <c r="P350" s="3934">
        <v>0</v>
      </c>
      <c r="Q350" s="3934">
        <f t="shared" si="70"/>
        <v>0</v>
      </c>
      <c r="R350" s="3936">
        <v>0</v>
      </c>
      <c r="S350" s="3921"/>
      <c r="T350" s="3922"/>
      <c r="U350" s="3923"/>
      <c r="V350" s="3925">
        <f t="shared" si="71"/>
        <v>0</v>
      </c>
    </row>
    <row r="351" spans="1:22" s="3896" customFormat="1" ht="15.05" hidden="1" customHeight="1">
      <c r="A351" s="3928"/>
      <c r="B351" s="3928"/>
      <c r="C351" s="3928"/>
      <c r="D351" s="3928"/>
      <c r="E351" s="3928"/>
      <c r="F351" s="4427" t="s">
        <v>50</v>
      </c>
      <c r="G351" s="4995" t="s">
        <v>594</v>
      </c>
      <c r="H351" s="3931"/>
      <c r="I351" s="3931"/>
      <c r="J351" s="4428"/>
      <c r="K351" s="3933">
        <v>1710000</v>
      </c>
      <c r="L351" s="3934">
        <v>0</v>
      </c>
      <c r="M351" s="3935">
        <v>0</v>
      </c>
      <c r="N351" s="3934">
        <v>0</v>
      </c>
      <c r="O351" s="3934">
        <v>0</v>
      </c>
      <c r="P351" s="3934">
        <v>0</v>
      </c>
      <c r="Q351" s="3934">
        <f t="shared" si="70"/>
        <v>0</v>
      </c>
      <c r="R351" s="3936">
        <v>0</v>
      </c>
      <c r="S351" s="3921"/>
      <c r="T351" s="3922"/>
      <c r="U351" s="3923"/>
      <c r="V351" s="3925">
        <f t="shared" si="71"/>
        <v>0</v>
      </c>
    </row>
    <row r="352" spans="1:22" s="3896" customFormat="1" ht="15.05" hidden="1" customHeight="1">
      <c r="A352" s="4916"/>
      <c r="B352" s="4916"/>
      <c r="C352" s="4916"/>
      <c r="D352" s="4916"/>
      <c r="E352" s="4916"/>
      <c r="F352" s="4917" t="s">
        <v>50</v>
      </c>
      <c r="G352" s="4995" t="s">
        <v>595</v>
      </c>
      <c r="H352" s="4919"/>
      <c r="I352" s="4919"/>
      <c r="J352" s="4958"/>
      <c r="K352" s="4955">
        <v>380300</v>
      </c>
      <c r="L352" s="4922">
        <v>0</v>
      </c>
      <c r="M352" s="4923">
        <v>0</v>
      </c>
      <c r="N352" s="4922">
        <v>0</v>
      </c>
      <c r="O352" s="4922">
        <v>0</v>
      </c>
      <c r="P352" s="4922">
        <v>0</v>
      </c>
      <c r="Q352" s="4922">
        <f t="shared" si="70"/>
        <v>0</v>
      </c>
      <c r="R352" s="3936">
        <v>0</v>
      </c>
      <c r="S352" s="4378"/>
      <c r="T352" s="4358"/>
      <c r="U352" s="4379"/>
      <c r="V352" s="3925">
        <f t="shared" si="71"/>
        <v>0</v>
      </c>
    </row>
    <row r="353" spans="1:22" s="3896" customFormat="1" ht="15.05" hidden="1" customHeight="1">
      <c r="A353" s="4916"/>
      <c r="B353" s="4916"/>
      <c r="C353" s="4916"/>
      <c r="D353" s="4916"/>
      <c r="E353" s="4916"/>
      <c r="F353" s="4917" t="s">
        <v>50</v>
      </c>
      <c r="G353" s="4994" t="s">
        <v>596</v>
      </c>
      <c r="H353" s="4919"/>
      <c r="I353" s="4919"/>
      <c r="J353" s="4958"/>
      <c r="K353" s="4955">
        <v>61619698</v>
      </c>
      <c r="L353" s="4922">
        <v>0</v>
      </c>
      <c r="M353" s="4923">
        <v>0</v>
      </c>
      <c r="N353" s="4922">
        <v>0</v>
      </c>
      <c r="O353" s="4922">
        <v>0</v>
      </c>
      <c r="P353" s="4922">
        <v>0</v>
      </c>
      <c r="Q353" s="4922">
        <f t="shared" si="70"/>
        <v>0</v>
      </c>
      <c r="R353" s="3936">
        <v>0</v>
      </c>
      <c r="S353" s="4378"/>
      <c r="T353" s="4358"/>
      <c r="U353" s="4379"/>
      <c r="V353" s="3925">
        <f t="shared" si="71"/>
        <v>0</v>
      </c>
    </row>
    <row r="354" spans="1:22" s="3896" customFormat="1" ht="15.05" hidden="1" customHeight="1">
      <c r="A354" s="3928"/>
      <c r="B354" s="3928"/>
      <c r="C354" s="3928"/>
      <c r="D354" s="3928"/>
      <c r="E354" s="3928"/>
      <c r="F354" s="4427" t="s">
        <v>50</v>
      </c>
      <c r="G354" s="4994" t="s">
        <v>597</v>
      </c>
      <c r="H354" s="3931"/>
      <c r="I354" s="3931"/>
      <c r="J354" s="4428"/>
      <c r="K354" s="3933">
        <v>1427500</v>
      </c>
      <c r="L354" s="3934">
        <v>0</v>
      </c>
      <c r="M354" s="3935">
        <v>0</v>
      </c>
      <c r="N354" s="3934">
        <v>0</v>
      </c>
      <c r="O354" s="3934">
        <v>0</v>
      </c>
      <c r="P354" s="3934">
        <v>0</v>
      </c>
      <c r="Q354" s="3934">
        <f t="shared" si="70"/>
        <v>0</v>
      </c>
      <c r="R354" s="3936">
        <v>0</v>
      </c>
      <c r="S354" s="3921"/>
      <c r="T354" s="3922"/>
      <c r="U354" s="3923"/>
      <c r="V354" s="3925">
        <f t="shared" si="71"/>
        <v>0</v>
      </c>
    </row>
    <row r="355" spans="1:22" s="3896" customFormat="1" ht="15.05" hidden="1" customHeight="1">
      <c r="A355" s="3928"/>
      <c r="B355" s="3928"/>
      <c r="C355" s="3928"/>
      <c r="D355" s="3928"/>
      <c r="E355" s="3928"/>
      <c r="F355" s="4427" t="s">
        <v>50</v>
      </c>
      <c r="G355" s="4994" t="s">
        <v>598</v>
      </c>
      <c r="H355" s="3947"/>
      <c r="I355" s="3931"/>
      <c r="J355" s="4428"/>
      <c r="K355" s="3933">
        <v>4059015</v>
      </c>
      <c r="L355" s="3934">
        <v>0</v>
      </c>
      <c r="M355" s="3935">
        <v>0</v>
      </c>
      <c r="N355" s="3934">
        <v>0</v>
      </c>
      <c r="O355" s="3934">
        <v>0</v>
      </c>
      <c r="P355" s="3934">
        <v>0</v>
      </c>
      <c r="Q355" s="3934">
        <f t="shared" si="70"/>
        <v>0</v>
      </c>
      <c r="R355" s="3936">
        <v>0</v>
      </c>
      <c r="S355" s="4335"/>
      <c r="T355" s="3922"/>
      <c r="U355" s="4353"/>
      <c r="V355" s="3925">
        <f t="shared" si="71"/>
        <v>0</v>
      </c>
    </row>
    <row r="356" spans="1:22" s="3896" customFormat="1" ht="15.05" hidden="1" customHeight="1">
      <c r="A356" s="3928"/>
      <c r="B356" s="3928"/>
      <c r="C356" s="3928"/>
      <c r="D356" s="3928"/>
      <c r="E356" s="3928"/>
      <c r="F356" s="4427" t="s">
        <v>50</v>
      </c>
      <c r="G356" s="4994" t="s">
        <v>599</v>
      </c>
      <c r="H356" s="3931"/>
      <c r="I356" s="3931"/>
      <c r="J356" s="4428"/>
      <c r="K356" s="3933">
        <v>2000000</v>
      </c>
      <c r="L356" s="3934">
        <v>0</v>
      </c>
      <c r="M356" s="3935">
        <v>0</v>
      </c>
      <c r="N356" s="3934">
        <v>0</v>
      </c>
      <c r="O356" s="3934">
        <v>0</v>
      </c>
      <c r="P356" s="3934">
        <v>0</v>
      </c>
      <c r="Q356" s="3934">
        <f t="shared" si="70"/>
        <v>0</v>
      </c>
      <c r="R356" s="3936">
        <v>0</v>
      </c>
      <c r="S356" s="4335"/>
      <c r="T356" s="3922"/>
      <c r="U356" s="4353"/>
      <c r="V356" s="3925">
        <f t="shared" si="71"/>
        <v>0</v>
      </c>
    </row>
    <row r="357" spans="1:22" s="3896" customFormat="1" ht="15.05" hidden="1" customHeight="1">
      <c r="A357" s="3928"/>
      <c r="B357" s="3928"/>
      <c r="C357" s="3928"/>
      <c r="D357" s="3928"/>
      <c r="E357" s="3928"/>
      <c r="F357" s="4427" t="s">
        <v>50</v>
      </c>
      <c r="G357" s="4994" t="s">
        <v>600</v>
      </c>
      <c r="H357" s="3931"/>
      <c r="I357" s="3931"/>
      <c r="J357" s="4428"/>
      <c r="K357" s="3933">
        <v>222626765</v>
      </c>
      <c r="L357" s="3934">
        <v>0</v>
      </c>
      <c r="M357" s="3935">
        <v>0</v>
      </c>
      <c r="N357" s="3934">
        <v>0</v>
      </c>
      <c r="O357" s="3934">
        <v>0</v>
      </c>
      <c r="P357" s="3934">
        <v>0</v>
      </c>
      <c r="Q357" s="3934">
        <f t="shared" si="70"/>
        <v>0</v>
      </c>
      <c r="R357" s="3936">
        <v>0</v>
      </c>
      <c r="S357" s="4335"/>
      <c r="T357" s="3922"/>
      <c r="U357" s="4353"/>
      <c r="V357" s="3925">
        <f t="shared" si="71"/>
        <v>0</v>
      </c>
    </row>
    <row r="358" spans="1:22" s="3896" customFormat="1" ht="15.05" hidden="1" customHeight="1">
      <c r="A358" s="3928"/>
      <c r="B358" s="3928"/>
      <c r="C358" s="3928"/>
      <c r="D358" s="3928"/>
      <c r="E358" s="3928"/>
      <c r="F358" s="4427" t="s">
        <v>50</v>
      </c>
      <c r="G358" s="3931" t="str">
        <f>MAR!H780</f>
        <v>DINAS PEMUDA DAN OLAH RAGA</v>
      </c>
      <c r="H358" s="3931"/>
      <c r="I358" s="3931"/>
      <c r="J358" s="4428"/>
      <c r="K358" s="3933"/>
      <c r="L358" s="3934">
        <f>MAR!J789</f>
        <v>0</v>
      </c>
      <c r="M358" s="3935">
        <v>0</v>
      </c>
      <c r="N358" s="3934">
        <f>MAR!L789</f>
        <v>0</v>
      </c>
      <c r="O358" s="3934">
        <f>MAR!M789</f>
        <v>0</v>
      </c>
      <c r="P358" s="3934">
        <v>0</v>
      </c>
      <c r="Q358" s="3934">
        <f t="shared" si="70"/>
        <v>0</v>
      </c>
      <c r="R358" s="3936">
        <v>0</v>
      </c>
      <c r="S358" s="4335"/>
      <c r="T358" s="3922"/>
      <c r="U358" s="4353"/>
      <c r="V358" s="3925">
        <f t="shared" si="71"/>
        <v>0</v>
      </c>
    </row>
    <row r="359" spans="1:22" s="3896" customFormat="1" ht="15.05" hidden="1" customHeight="1">
      <c r="A359" s="3928"/>
      <c r="B359" s="3928"/>
      <c r="C359" s="3928"/>
      <c r="D359" s="3928"/>
      <c r="E359" s="3928"/>
      <c r="F359" s="4427" t="s">
        <v>50</v>
      </c>
      <c r="G359" s="3941" t="str">
        <f>MAR!I282</f>
        <v>BIRO UMUM</v>
      </c>
      <c r="H359" s="3931"/>
      <c r="I359" s="3931"/>
      <c r="J359" s="4428"/>
      <c r="K359" s="3933"/>
      <c r="L359" s="3934">
        <f>MAR!J294</f>
        <v>0</v>
      </c>
      <c r="M359" s="3935">
        <v>0</v>
      </c>
      <c r="N359" s="3934">
        <f>MAR!L294</f>
        <v>0</v>
      </c>
      <c r="O359" s="3934">
        <f>MAR!M294</f>
        <v>0</v>
      </c>
      <c r="P359" s="3934">
        <v>0</v>
      </c>
      <c r="Q359" s="3934">
        <f t="shared" si="70"/>
        <v>0</v>
      </c>
      <c r="R359" s="3936">
        <v>0</v>
      </c>
      <c r="S359" s="4335"/>
      <c r="T359" s="3922"/>
      <c r="U359" s="4353"/>
      <c r="V359" s="3925">
        <f t="shared" si="71"/>
        <v>0</v>
      </c>
    </row>
    <row r="360" spans="1:22" s="3896" customFormat="1" ht="15.05" hidden="1" customHeight="1">
      <c r="A360" s="3928"/>
      <c r="B360" s="3928"/>
      <c r="C360" s="3928"/>
      <c r="D360" s="3928"/>
      <c r="E360" s="3928"/>
      <c r="F360" s="4427" t="s">
        <v>50</v>
      </c>
      <c r="G360" s="3931" t="str">
        <f>MAR!I297</f>
        <v>BIRO PEMERINTAHAN</v>
      </c>
      <c r="H360" s="3931"/>
      <c r="I360" s="3931"/>
      <c r="J360" s="4428"/>
      <c r="K360" s="3933"/>
      <c r="L360" s="3934">
        <f>MAR!J302</f>
        <v>0</v>
      </c>
      <c r="M360" s="3935">
        <v>0</v>
      </c>
      <c r="N360" s="3934">
        <f>MAR!L302</f>
        <v>0</v>
      </c>
      <c r="O360" s="3934">
        <f>MAR!M302</f>
        <v>0</v>
      </c>
      <c r="P360" s="3934">
        <v>0</v>
      </c>
      <c r="Q360" s="3934">
        <f t="shared" si="70"/>
        <v>0</v>
      </c>
      <c r="R360" s="3936">
        <v>0</v>
      </c>
      <c r="S360" s="4335"/>
      <c r="T360" s="3922"/>
      <c r="U360" s="4353"/>
      <c r="V360" s="3925">
        <f t="shared" si="71"/>
        <v>0</v>
      </c>
    </row>
    <row r="361" spans="1:22" s="3896" customFormat="1" ht="15.05" hidden="1" customHeight="1">
      <c r="A361" s="3928"/>
      <c r="B361" s="3928"/>
      <c r="C361" s="3928"/>
      <c r="D361" s="3928"/>
      <c r="E361" s="3928"/>
      <c r="F361" s="4427" t="s">
        <v>50</v>
      </c>
      <c r="G361" s="3931" t="str">
        <f>MAR!I305</f>
        <v>BIRO KESEJAHTERAAN RAKYAT</v>
      </c>
      <c r="H361" s="3931"/>
      <c r="I361" s="3931"/>
      <c r="J361" s="4428"/>
      <c r="K361" s="3933"/>
      <c r="L361" s="3934">
        <f>MAR!J310</f>
        <v>0</v>
      </c>
      <c r="M361" s="3935">
        <v>0</v>
      </c>
      <c r="N361" s="3934">
        <f>MAR!L310</f>
        <v>0</v>
      </c>
      <c r="O361" s="3934">
        <f>MAR!M310</f>
        <v>0</v>
      </c>
      <c r="P361" s="3934">
        <v>0</v>
      </c>
      <c r="Q361" s="3934">
        <f t="shared" si="70"/>
        <v>0</v>
      </c>
      <c r="R361" s="3936">
        <v>0</v>
      </c>
      <c r="S361" s="4335"/>
      <c r="T361" s="3922"/>
      <c r="U361" s="4353"/>
      <c r="V361" s="3925">
        <f t="shared" si="71"/>
        <v>0</v>
      </c>
    </row>
    <row r="362" spans="1:22" s="3896" customFormat="1" ht="15.05" hidden="1" customHeight="1">
      <c r="A362" s="3928"/>
      <c r="B362" s="3928"/>
      <c r="C362" s="3928"/>
      <c r="D362" s="3928"/>
      <c r="E362" s="3928"/>
      <c r="F362" s="4427" t="s">
        <v>50</v>
      </c>
      <c r="G362" s="3931" t="str">
        <f>MAR!I313</f>
        <v>BIRO ADMINISTRASI PENGENDALIAN PEMBANGUNAN &amp; LPBJP</v>
      </c>
      <c r="H362" s="3931"/>
      <c r="I362" s="3931"/>
      <c r="J362" s="4428"/>
      <c r="K362" s="3933"/>
      <c r="L362" s="3934">
        <f>MAR!J318</f>
        <v>0</v>
      </c>
      <c r="M362" s="3935">
        <v>0</v>
      </c>
      <c r="N362" s="3934">
        <f>MAR!L318</f>
        <v>0</v>
      </c>
      <c r="O362" s="3934">
        <f>MAR!M318</f>
        <v>0</v>
      </c>
      <c r="P362" s="3934">
        <v>0</v>
      </c>
      <c r="Q362" s="3934">
        <f t="shared" si="70"/>
        <v>0</v>
      </c>
      <c r="R362" s="3936">
        <v>0</v>
      </c>
      <c r="S362" s="4335"/>
      <c r="T362" s="3922"/>
      <c r="U362" s="4353"/>
      <c r="V362" s="3925">
        <f t="shared" si="71"/>
        <v>0</v>
      </c>
    </row>
    <row r="363" spans="1:22" s="3896" customFormat="1" ht="15.05" hidden="1" customHeight="1">
      <c r="A363" s="3928"/>
      <c r="B363" s="3928"/>
      <c r="C363" s="3928"/>
      <c r="D363" s="3928"/>
      <c r="E363" s="3928"/>
      <c r="F363" s="4427" t="s">
        <v>50</v>
      </c>
      <c r="G363" s="3931" t="str">
        <f>MAR!I321</f>
        <v>BIRO ORGANISASI</v>
      </c>
      <c r="H363" s="3931"/>
      <c r="I363" s="3931"/>
      <c r="J363" s="4428"/>
      <c r="K363" s="3933"/>
      <c r="L363" s="3934">
        <f>MAR!J325</f>
        <v>0</v>
      </c>
      <c r="M363" s="3935">
        <v>0</v>
      </c>
      <c r="N363" s="3934">
        <f>MAR!L325</f>
        <v>0</v>
      </c>
      <c r="O363" s="3934">
        <f>MAR!M325</f>
        <v>0</v>
      </c>
      <c r="P363" s="3934">
        <v>0</v>
      </c>
      <c r="Q363" s="3934">
        <f t="shared" si="70"/>
        <v>0</v>
      </c>
      <c r="R363" s="3936">
        <v>0</v>
      </c>
      <c r="S363" s="4335"/>
      <c r="T363" s="3922"/>
      <c r="U363" s="4353"/>
      <c r="V363" s="3925">
        <f t="shared" si="71"/>
        <v>0</v>
      </c>
    </row>
    <row r="364" spans="1:22" s="3896" customFormat="1" ht="15.05" hidden="1" customHeight="1">
      <c r="A364" s="3928"/>
      <c r="B364" s="3928"/>
      <c r="C364" s="3928"/>
      <c r="D364" s="3928"/>
      <c r="E364" s="3928"/>
      <c r="F364" s="4427" t="s">
        <v>50</v>
      </c>
      <c r="G364" s="3931" t="str">
        <f>MAR!I329</f>
        <v>BIRO PEREKONOMIAN</v>
      </c>
      <c r="H364" s="3931"/>
      <c r="I364" s="3931"/>
      <c r="J364" s="4428"/>
      <c r="K364" s="3933"/>
      <c r="L364" s="3934">
        <f>MAR!J334</f>
        <v>0</v>
      </c>
      <c r="M364" s="3935">
        <v>0</v>
      </c>
      <c r="N364" s="3934">
        <f>MAR!L334</f>
        <v>0</v>
      </c>
      <c r="O364" s="3934">
        <f>MAR!M334</f>
        <v>0</v>
      </c>
      <c r="P364" s="3934">
        <v>0</v>
      </c>
      <c r="Q364" s="3934">
        <f t="shared" si="70"/>
        <v>0</v>
      </c>
      <c r="R364" s="3936">
        <v>0</v>
      </c>
      <c r="S364" s="4335"/>
      <c r="T364" s="3922"/>
      <c r="U364" s="4353"/>
      <c r="V364" s="3925">
        <f t="shared" si="71"/>
        <v>0</v>
      </c>
    </row>
    <row r="365" spans="1:22" s="3896" customFormat="1" ht="15.05" hidden="1" customHeight="1">
      <c r="A365" s="3928"/>
      <c r="B365" s="3928"/>
      <c r="C365" s="3928"/>
      <c r="D365" s="3928"/>
      <c r="E365" s="3928"/>
      <c r="F365" s="4427" t="s">
        <v>50</v>
      </c>
      <c r="G365" s="3931" t="str">
        <f>MAR!I337</f>
        <v>BIRO HUMAS DAN PROTOKOL</v>
      </c>
      <c r="H365" s="3947"/>
      <c r="I365" s="3947"/>
      <c r="J365" s="4987"/>
      <c r="K365" s="4988"/>
      <c r="L365" s="3950">
        <f>MAR!J342</f>
        <v>0</v>
      </c>
      <c r="M365" s="4938">
        <v>0</v>
      </c>
      <c r="N365" s="3950">
        <f>MAR!L342</f>
        <v>0</v>
      </c>
      <c r="O365" s="3950">
        <f>MAR!M342</f>
        <v>0</v>
      </c>
      <c r="P365" s="3950">
        <v>0</v>
      </c>
      <c r="Q365" s="3950">
        <f t="shared" si="70"/>
        <v>0</v>
      </c>
      <c r="R365" s="3936">
        <v>0</v>
      </c>
      <c r="S365" s="4335"/>
      <c r="T365" s="3922"/>
      <c r="U365" s="4380"/>
      <c r="V365" s="3925">
        <f t="shared" si="71"/>
        <v>0</v>
      </c>
    </row>
    <row r="366" spans="1:22" s="3896" customFormat="1" ht="15.05" customHeight="1">
      <c r="A366" s="4916"/>
      <c r="B366" s="4916"/>
      <c r="C366" s="4916"/>
      <c r="D366" s="4916"/>
      <c r="E366" s="4916"/>
      <c r="F366" s="4917"/>
      <c r="G366" s="4919"/>
      <c r="H366" s="5000"/>
      <c r="I366" s="5000"/>
      <c r="J366" s="5001"/>
      <c r="K366" s="5002"/>
      <c r="L366" s="5003"/>
      <c r="M366" s="5004"/>
      <c r="N366" s="5003"/>
      <c r="O366" s="5003"/>
      <c r="P366" s="5003"/>
      <c r="Q366" s="5003"/>
      <c r="R366" s="4924"/>
      <c r="S366" s="4373"/>
      <c r="T366" s="4358"/>
      <c r="U366" s="4503"/>
      <c r="V366" s="3925"/>
    </row>
    <row r="367" spans="1:22" s="3896" customFormat="1" ht="15.05" customHeight="1">
      <c r="A367" s="5005" t="s">
        <v>443</v>
      </c>
      <c r="B367" s="5005" t="s">
        <v>58</v>
      </c>
      <c r="C367" s="5005" t="s">
        <v>443</v>
      </c>
      <c r="D367" s="5005" t="s">
        <v>563</v>
      </c>
      <c r="E367" s="5005" t="s">
        <v>445</v>
      </c>
      <c r="F367" s="5006" t="s">
        <v>1245</v>
      </c>
      <c r="G367" s="5007"/>
      <c r="H367" s="5007"/>
      <c r="I367" s="5007"/>
      <c r="J367" s="5008">
        <f>J368</f>
        <v>7805834000</v>
      </c>
      <c r="K367" s="5008">
        <f>K368</f>
        <v>7177429000</v>
      </c>
      <c r="L367" s="5009">
        <f>SUM(L368:L370)</f>
        <v>4392225000</v>
      </c>
      <c r="M367" s="5010">
        <v>0</v>
      </c>
      <c r="N367" s="5009">
        <f>SUM(N368:N370)</f>
        <v>50675000</v>
      </c>
      <c r="O367" s="5009">
        <f>SUM(O368:O370)</f>
        <v>160175000</v>
      </c>
      <c r="P367" s="5009">
        <f>P368</f>
        <v>4392225000</v>
      </c>
      <c r="Q367" s="5009">
        <f>+P367-L367</f>
        <v>0</v>
      </c>
      <c r="R367" s="5011">
        <f>+P367/L367*100-100</f>
        <v>0</v>
      </c>
      <c r="S367" s="4373"/>
      <c r="T367" s="4358"/>
      <c r="U367" s="4503"/>
      <c r="V367" s="3925"/>
    </row>
    <row r="368" spans="1:22" s="3896" customFormat="1" ht="15.05" customHeight="1">
      <c r="A368" s="3928"/>
      <c r="B368" s="3928"/>
      <c r="C368" s="3928"/>
      <c r="D368" s="3928"/>
      <c r="E368" s="3928"/>
      <c r="F368" s="4427" t="s">
        <v>50</v>
      </c>
      <c r="G368" s="5012" t="s">
        <v>1244</v>
      </c>
      <c r="H368" s="3931"/>
      <c r="I368" s="3931"/>
      <c r="J368" s="4428">
        <v>7805834000</v>
      </c>
      <c r="K368" s="4428">
        <v>7177429000</v>
      </c>
      <c r="L368" s="3934">
        <v>4392225000</v>
      </c>
      <c r="M368" s="3935">
        <v>0</v>
      </c>
      <c r="N368" s="3934">
        <f>MAR!L572</f>
        <v>6250000</v>
      </c>
      <c r="O368" s="3934">
        <f>MAR!M572</f>
        <v>19250000</v>
      </c>
      <c r="P368" s="3934">
        <v>4392225000</v>
      </c>
      <c r="Q368" s="3934">
        <f>+P368-L368</f>
        <v>0</v>
      </c>
      <c r="R368" s="3936">
        <f>+P368/L368*100-100</f>
        <v>0</v>
      </c>
      <c r="S368" s="4373"/>
      <c r="T368" s="4358"/>
      <c r="U368" s="4503"/>
      <c r="V368" s="3925"/>
    </row>
    <row r="369" spans="1:22" s="3896" customFormat="1" ht="15.05" customHeight="1">
      <c r="A369" s="3928"/>
      <c r="B369" s="3928"/>
      <c r="C369" s="3928"/>
      <c r="D369" s="3928"/>
      <c r="E369" s="3928"/>
      <c r="F369" s="4427" t="s">
        <v>50</v>
      </c>
      <c r="G369" s="3931" t="s">
        <v>331</v>
      </c>
      <c r="H369" s="3931"/>
      <c r="I369" s="3931"/>
      <c r="J369" s="4428"/>
      <c r="K369" s="3933"/>
      <c r="L369" s="3934">
        <f>MAR!J573</f>
        <v>0</v>
      </c>
      <c r="M369" s="3935">
        <v>0</v>
      </c>
      <c r="N369" s="3934">
        <f>MAR!L573</f>
        <v>3550000</v>
      </c>
      <c r="O369" s="3934">
        <f>MAR!M573</f>
        <v>14325000</v>
      </c>
      <c r="P369" s="3934">
        <v>0</v>
      </c>
      <c r="Q369" s="3934">
        <f>+P369-L369</f>
        <v>0</v>
      </c>
      <c r="R369" s="3936">
        <v>0</v>
      </c>
      <c r="S369" s="4373"/>
      <c r="T369" s="4358"/>
      <c r="U369" s="4502"/>
      <c r="V369" s="3925"/>
    </row>
    <row r="370" spans="1:22" s="257" customFormat="1" ht="15.05" customHeight="1">
      <c r="A370" s="3928"/>
      <c r="B370" s="3928"/>
      <c r="C370" s="3928"/>
      <c r="D370" s="3928"/>
      <c r="E370" s="3928"/>
      <c r="F370" s="4427" t="s">
        <v>50</v>
      </c>
      <c r="G370" s="3931" t="s">
        <v>332</v>
      </c>
      <c r="H370" s="3931"/>
      <c r="I370" s="3931"/>
      <c r="J370" s="4428"/>
      <c r="K370" s="3933"/>
      <c r="L370" s="3934">
        <f>MAR!J574</f>
        <v>0</v>
      </c>
      <c r="M370" s="3935">
        <v>0</v>
      </c>
      <c r="N370" s="3934">
        <f>MAR!L574</f>
        <v>40875000</v>
      </c>
      <c r="O370" s="3934">
        <f>MAR!M574</f>
        <v>126600000</v>
      </c>
      <c r="P370" s="3934">
        <v>0</v>
      </c>
      <c r="Q370" s="3934">
        <f>+P370-L370</f>
        <v>0</v>
      </c>
      <c r="R370" s="3936">
        <v>0</v>
      </c>
      <c r="S370" s="3709"/>
      <c r="T370" s="3828"/>
      <c r="U370" s="3803"/>
      <c r="V370" s="1846"/>
    </row>
    <row r="371" spans="1:22" s="257" customFormat="1" ht="15.05" hidden="1" customHeight="1">
      <c r="A371" s="4916"/>
      <c r="B371" s="4916"/>
      <c r="C371" s="4916"/>
      <c r="D371" s="4916"/>
      <c r="E371" s="4916"/>
      <c r="F371" s="4917"/>
      <c r="G371" s="4919"/>
      <c r="H371" s="5000"/>
      <c r="I371" s="5000"/>
      <c r="J371" s="5001"/>
      <c r="K371" s="5002"/>
      <c r="L371" s="5003"/>
      <c r="M371" s="5004"/>
      <c r="N371" s="5003"/>
      <c r="O371" s="5003"/>
      <c r="P371" s="5003"/>
      <c r="Q371" s="5003"/>
      <c r="R371" s="4924"/>
      <c r="S371" s="3709"/>
      <c r="T371" s="3828"/>
      <c r="U371" s="3803"/>
      <c r="V371" s="1846"/>
    </row>
    <row r="372" spans="1:22" s="257" customFormat="1" ht="15.65" hidden="1" customHeight="1">
      <c r="A372" s="4916"/>
      <c r="B372" s="4916"/>
      <c r="C372" s="4916"/>
      <c r="D372" s="4916"/>
      <c r="E372" s="4916"/>
      <c r="F372" s="4917" t="s">
        <v>50</v>
      </c>
      <c r="G372" s="4919"/>
      <c r="H372" s="4919"/>
      <c r="I372" s="5000"/>
      <c r="J372" s="5001"/>
      <c r="K372" s="5002"/>
      <c r="L372" s="4922"/>
      <c r="M372" s="4923"/>
      <c r="N372" s="4922"/>
      <c r="O372" s="4922"/>
      <c r="P372" s="4922"/>
      <c r="Q372" s="4922">
        <f t="shared" si="70"/>
        <v>0</v>
      </c>
      <c r="R372" s="4924">
        <v>0</v>
      </c>
      <c r="S372" s="3709"/>
      <c r="T372" s="3828"/>
      <c r="U372" s="1899"/>
      <c r="V372" s="1846">
        <f t="shared" si="71"/>
        <v>0</v>
      </c>
    </row>
    <row r="373" spans="1:22" s="257" customFormat="1" ht="15.65" customHeight="1">
      <c r="A373" s="5013"/>
      <c r="B373" s="5014"/>
      <c r="C373" s="5014"/>
      <c r="D373" s="5014"/>
      <c r="E373" s="5014"/>
      <c r="F373" s="5015"/>
      <c r="G373" s="3941"/>
      <c r="H373" s="3941"/>
      <c r="I373" s="3955"/>
      <c r="J373" s="5016"/>
      <c r="K373" s="5017"/>
      <c r="L373" s="5018"/>
      <c r="M373" s="5019"/>
      <c r="N373" s="5018"/>
      <c r="O373" s="5018"/>
      <c r="P373" s="5018"/>
      <c r="Q373" s="5018"/>
      <c r="R373" s="5020"/>
      <c r="S373" s="3723"/>
      <c r="T373" s="4504"/>
      <c r="U373" s="3796"/>
      <c r="V373" s="1846"/>
    </row>
    <row r="374" spans="1:22" s="4270" customFormat="1" ht="15.05" customHeight="1">
      <c r="A374" s="4891">
        <v>4</v>
      </c>
      <c r="B374" s="4892">
        <v>1</v>
      </c>
      <c r="C374" s="4892">
        <v>4</v>
      </c>
      <c r="D374" s="4892" t="s">
        <v>459</v>
      </c>
      <c r="E374" s="4892"/>
      <c r="F374" s="4959" t="s">
        <v>230</v>
      </c>
      <c r="G374" s="4895"/>
      <c r="H374" s="4895"/>
      <c r="I374" s="4895"/>
      <c r="J374" s="4983">
        <f>+J376</f>
        <v>77234295</v>
      </c>
      <c r="K374" s="5021">
        <f>K376</f>
        <v>0</v>
      </c>
      <c r="L374" s="4898">
        <f>+L375+L376</f>
        <v>60900800</v>
      </c>
      <c r="M374" s="4870">
        <v>0</v>
      </c>
      <c r="N374" s="4898">
        <f>+N375+N376</f>
        <v>0</v>
      </c>
      <c r="O374" s="4898">
        <f>N374+M374</f>
        <v>0</v>
      </c>
      <c r="P374" s="4898">
        <v>60900800</v>
      </c>
      <c r="Q374" s="4898">
        <f t="shared" si="70"/>
        <v>0</v>
      </c>
      <c r="R374" s="4945">
        <f>+P374/L374*100-100</f>
        <v>0</v>
      </c>
      <c r="S374" s="4297"/>
      <c r="T374" s="4298"/>
      <c r="U374" s="4299"/>
      <c r="V374" s="4269">
        <f t="shared" si="71"/>
        <v>0</v>
      </c>
    </row>
    <row r="375" spans="1:22" s="3896" customFormat="1" ht="15.05" customHeight="1">
      <c r="A375" s="4904">
        <v>4</v>
      </c>
      <c r="B375" s="4904">
        <v>1</v>
      </c>
      <c r="C375" s="4904">
        <v>4</v>
      </c>
      <c r="D375" s="4904" t="s">
        <v>459</v>
      </c>
      <c r="E375" s="4927" t="s">
        <v>437</v>
      </c>
      <c r="F375" s="4967" t="s">
        <v>231</v>
      </c>
      <c r="G375" s="4930"/>
      <c r="H375" s="4950"/>
      <c r="I375" s="4930"/>
      <c r="J375" s="4968" t="s">
        <v>50</v>
      </c>
      <c r="K375" s="4986"/>
      <c r="L375" s="4933">
        <v>12035600</v>
      </c>
      <c r="M375" s="4934">
        <v>0</v>
      </c>
      <c r="N375" s="4933">
        <v>0</v>
      </c>
      <c r="O375" s="4933">
        <v>0</v>
      </c>
      <c r="P375" s="4933">
        <v>12035600</v>
      </c>
      <c r="Q375" s="4933">
        <f t="shared" si="70"/>
        <v>0</v>
      </c>
      <c r="R375" s="4935">
        <f>+P375/L375*100-100</f>
        <v>0</v>
      </c>
      <c r="S375" s="4383"/>
      <c r="T375" s="4281"/>
      <c r="U375" s="4362">
        <f>PerDinas!Q573</f>
        <v>0</v>
      </c>
      <c r="V375" s="3925">
        <f t="shared" si="71"/>
        <v>0</v>
      </c>
    </row>
    <row r="376" spans="1:22" s="3896" customFormat="1" ht="15.05" customHeight="1">
      <c r="A376" s="3928">
        <v>4</v>
      </c>
      <c r="B376" s="3928">
        <v>1</v>
      </c>
      <c r="C376" s="3928">
        <v>4</v>
      </c>
      <c r="D376" s="3928" t="s">
        <v>459</v>
      </c>
      <c r="E376" s="3942" t="s">
        <v>438</v>
      </c>
      <c r="F376" s="4990" t="s">
        <v>601</v>
      </c>
      <c r="G376" s="3947"/>
      <c r="H376" s="3947"/>
      <c r="I376" s="3947"/>
      <c r="J376" s="4987">
        <v>77234295</v>
      </c>
      <c r="K376" s="5022">
        <v>0</v>
      </c>
      <c r="L376" s="3950">
        <f>SUM(L377:L378)</f>
        <v>48865200</v>
      </c>
      <c r="M376" s="4938">
        <v>0</v>
      </c>
      <c r="N376" s="3950">
        <f>SUM(N377:N378)</f>
        <v>0</v>
      </c>
      <c r="O376" s="3950">
        <f>SUM(O377:O378)</f>
        <v>0</v>
      </c>
      <c r="P376" s="3950">
        <v>48865200</v>
      </c>
      <c r="Q376" s="3950">
        <f t="shared" si="70"/>
        <v>0</v>
      </c>
      <c r="R376" s="3951">
        <f>+P376/L376*100-100</f>
        <v>0</v>
      </c>
      <c r="S376" s="4385"/>
      <c r="T376" s="4357"/>
      <c r="U376" s="4380">
        <f>PerDinas!Q574</f>
        <v>0</v>
      </c>
      <c r="V376" s="3925">
        <f t="shared" si="71"/>
        <v>0</v>
      </c>
    </row>
    <row r="377" spans="1:22" s="3896" customFormat="1" ht="15.05" customHeight="1">
      <c r="A377" s="3928"/>
      <c r="B377" s="3928"/>
      <c r="C377" s="3928"/>
      <c r="D377" s="3928"/>
      <c r="E377" s="3928"/>
      <c r="F377" s="4427" t="s">
        <v>50</v>
      </c>
      <c r="G377" s="3931"/>
      <c r="H377" s="3931" t="s">
        <v>234</v>
      </c>
      <c r="I377" s="3931"/>
      <c r="J377" s="4428"/>
      <c r="K377" s="3933"/>
      <c r="L377" s="3934">
        <v>4492800</v>
      </c>
      <c r="M377" s="3935">
        <v>0</v>
      </c>
      <c r="N377" s="3934">
        <v>0</v>
      </c>
      <c r="O377" s="3934">
        <v>0</v>
      </c>
      <c r="P377" s="3934">
        <v>4492800</v>
      </c>
      <c r="Q377" s="3934">
        <f t="shared" si="70"/>
        <v>0</v>
      </c>
      <c r="R377" s="3936">
        <f>+P377/L377*100-100</f>
        <v>0</v>
      </c>
      <c r="S377" s="3921"/>
      <c r="T377" s="3922"/>
      <c r="U377" s="3923"/>
      <c r="V377" s="3925">
        <f t="shared" si="71"/>
        <v>0</v>
      </c>
    </row>
    <row r="378" spans="1:22" s="3896" customFormat="1" ht="15.05" customHeight="1">
      <c r="A378" s="3928"/>
      <c r="B378" s="3928"/>
      <c r="C378" s="3928"/>
      <c r="D378" s="3928"/>
      <c r="E378" s="3928"/>
      <c r="F378" s="4427" t="s">
        <v>50</v>
      </c>
      <c r="G378" s="3931"/>
      <c r="H378" s="3931" t="s">
        <v>235</v>
      </c>
      <c r="I378" s="3931"/>
      <c r="J378" s="4428"/>
      <c r="K378" s="3933"/>
      <c r="L378" s="3934">
        <v>44372400</v>
      </c>
      <c r="M378" s="3935">
        <v>0</v>
      </c>
      <c r="N378" s="3934">
        <v>0</v>
      </c>
      <c r="O378" s="3934">
        <v>0</v>
      </c>
      <c r="P378" s="3934">
        <v>44372400</v>
      </c>
      <c r="Q378" s="3934">
        <f t="shared" si="70"/>
        <v>0</v>
      </c>
      <c r="R378" s="3936">
        <f>+P378/L378*100-100</f>
        <v>0</v>
      </c>
      <c r="S378" s="3921"/>
      <c r="T378" s="3922"/>
      <c r="U378" s="3923"/>
      <c r="V378" s="3925">
        <f t="shared" si="71"/>
        <v>0</v>
      </c>
    </row>
    <row r="379" spans="1:22" s="257" customFormat="1" ht="15.05" hidden="1" customHeight="1">
      <c r="A379" s="3928"/>
      <c r="B379" s="3928"/>
      <c r="C379" s="3928"/>
      <c r="D379" s="3928"/>
      <c r="E379" s="3928"/>
      <c r="F379" s="4427"/>
      <c r="G379" s="3931"/>
      <c r="H379" s="3931"/>
      <c r="I379" s="3931"/>
      <c r="J379" s="4428"/>
      <c r="K379" s="3933"/>
      <c r="L379" s="3934"/>
      <c r="M379" s="3935"/>
      <c r="N379" s="3934"/>
      <c r="O379" s="3934"/>
      <c r="P379" s="3934"/>
      <c r="Q379" s="3934"/>
      <c r="R379" s="3936"/>
      <c r="S379" s="3275"/>
      <c r="T379" s="3826"/>
      <c r="U379" s="3771"/>
      <c r="V379" s="1846">
        <f t="shared" si="71"/>
        <v>0</v>
      </c>
    </row>
    <row r="380" spans="1:22" s="257" customFormat="1" ht="15.05" customHeight="1">
      <c r="A380" s="3928"/>
      <c r="B380" s="3928"/>
      <c r="C380" s="3928"/>
      <c r="D380" s="3928"/>
      <c r="E380" s="3928"/>
      <c r="F380" s="4427"/>
      <c r="G380" s="3931"/>
      <c r="H380" s="3931"/>
      <c r="I380" s="3931"/>
      <c r="J380" s="4428"/>
      <c r="K380" s="4978"/>
      <c r="L380" s="3937"/>
      <c r="M380" s="5023"/>
      <c r="N380" s="3937"/>
      <c r="O380" s="3937"/>
      <c r="P380" s="3937"/>
      <c r="Q380" s="3937"/>
      <c r="R380" s="5024"/>
      <c r="S380" s="3275"/>
      <c r="T380" s="3826"/>
      <c r="U380" s="3771"/>
      <c r="V380" s="1846"/>
    </row>
    <row r="381" spans="1:22" s="3115" customFormat="1" ht="15.05" customHeight="1">
      <c r="A381" s="5005" t="s">
        <v>443</v>
      </c>
      <c r="B381" s="5005" t="s">
        <v>58</v>
      </c>
      <c r="C381" s="5005" t="s">
        <v>443</v>
      </c>
      <c r="D381" s="5005" t="s">
        <v>449</v>
      </c>
      <c r="E381" s="5005"/>
      <c r="F381" s="5006" t="str">
        <f>F382</f>
        <v>Pendapatan BLUD</v>
      </c>
      <c r="G381" s="5007"/>
      <c r="H381" s="5007"/>
      <c r="I381" s="5007"/>
      <c r="J381" s="5008">
        <f>J382</f>
        <v>116197286650</v>
      </c>
      <c r="K381" s="5008">
        <f t="shared" ref="K381:U381" si="72">K382</f>
        <v>130237291540.46001</v>
      </c>
      <c r="L381" s="5008">
        <f t="shared" si="72"/>
        <v>158447286650</v>
      </c>
      <c r="M381" s="5008">
        <f t="shared" si="72"/>
        <v>24449662227.75</v>
      </c>
      <c r="N381" s="5008">
        <f t="shared" si="72"/>
        <v>15968594032.190001</v>
      </c>
      <c r="O381" s="5008">
        <f t="shared" si="72"/>
        <v>40418256259.939995</v>
      </c>
      <c r="P381" s="5008">
        <f t="shared" si="72"/>
        <v>177300000000</v>
      </c>
      <c r="Q381" s="5008">
        <f t="shared" si="72"/>
        <v>18852713350</v>
      </c>
      <c r="R381" s="5025">
        <f t="shared" si="72"/>
        <v>11.89841350306267</v>
      </c>
      <c r="S381" s="3751"/>
      <c r="T381" s="3849"/>
      <c r="U381" s="3804">
        <f t="shared" si="72"/>
        <v>0</v>
      </c>
      <c r="V381" s="3114"/>
    </row>
    <row r="382" spans="1:22" s="257" customFormat="1" ht="15.05" customHeight="1">
      <c r="A382" s="3942" t="s">
        <v>443</v>
      </c>
      <c r="B382" s="3942" t="s">
        <v>58</v>
      </c>
      <c r="C382" s="3942" t="s">
        <v>443</v>
      </c>
      <c r="D382" s="3942" t="s">
        <v>449</v>
      </c>
      <c r="E382" s="3942" t="s">
        <v>437</v>
      </c>
      <c r="F382" s="4990" t="s">
        <v>89</v>
      </c>
      <c r="G382" s="3947"/>
      <c r="H382" s="3947"/>
      <c r="I382" s="3947"/>
      <c r="J382" s="4987">
        <f>SUM(J383:J387)</f>
        <v>116197286650</v>
      </c>
      <c r="K382" s="4987">
        <f t="shared" ref="K382:P382" si="73">SUM(K383:K387)</f>
        <v>130237291540.46001</v>
      </c>
      <c r="L382" s="4987">
        <f t="shared" si="73"/>
        <v>158447286650</v>
      </c>
      <c r="M382" s="4987">
        <f t="shared" si="73"/>
        <v>24449662227.75</v>
      </c>
      <c r="N382" s="4987">
        <f t="shared" si="73"/>
        <v>15968594032.190001</v>
      </c>
      <c r="O382" s="4987">
        <f t="shared" si="73"/>
        <v>40418256259.939995</v>
      </c>
      <c r="P382" s="4987">
        <f t="shared" si="73"/>
        <v>177300000000</v>
      </c>
      <c r="Q382" s="3950">
        <f t="shared" ref="Q382:Q387" si="74">+P382-L382</f>
        <v>18852713350</v>
      </c>
      <c r="R382" s="3951">
        <f t="shared" ref="R382:R387" si="75">+P382/L382*100-100</f>
        <v>11.89841350306267</v>
      </c>
      <c r="S382" s="3710"/>
      <c r="T382" s="3829"/>
      <c r="U382" s="3771"/>
      <c r="V382" s="1846">
        <f t="shared" si="71"/>
        <v>161673025039.75998</v>
      </c>
    </row>
    <row r="383" spans="1:22" s="257" customFormat="1" ht="15.05" customHeight="1">
      <c r="A383" s="3928"/>
      <c r="B383" s="3928"/>
      <c r="C383" s="3928"/>
      <c r="D383" s="3928"/>
      <c r="E383" s="3928"/>
      <c r="F383" s="4427" t="s">
        <v>50</v>
      </c>
      <c r="G383" s="3931"/>
      <c r="H383" s="3931" t="s">
        <v>602</v>
      </c>
      <c r="I383" s="3931"/>
      <c r="J383" s="4428">
        <v>100000000000</v>
      </c>
      <c r="K383" s="3933">
        <v>115413370353.46001</v>
      </c>
      <c r="L383" s="3934">
        <v>125000000000</v>
      </c>
      <c r="M383" s="3935">
        <v>19046122482.029999</v>
      </c>
      <c r="N383" s="3934">
        <v>12944839389.030001</v>
      </c>
      <c r="O383" s="3934">
        <v>31990961871.060001</v>
      </c>
      <c r="P383" s="3934">
        <v>141100000000</v>
      </c>
      <c r="Q383" s="3934">
        <f t="shared" si="74"/>
        <v>16100000000</v>
      </c>
      <c r="R383" s="3936">
        <f t="shared" si="75"/>
        <v>12.879999999999995</v>
      </c>
      <c r="S383" s="3275"/>
      <c r="T383" s="3826"/>
      <c r="U383" s="3771"/>
      <c r="V383" s="1846">
        <f t="shared" si="71"/>
        <v>127963847484.24001</v>
      </c>
    </row>
    <row r="384" spans="1:22" s="257" customFormat="1" ht="15.05" customHeight="1">
      <c r="A384" s="3928"/>
      <c r="B384" s="3928"/>
      <c r="C384" s="3928"/>
      <c r="D384" s="3928"/>
      <c r="E384" s="3928"/>
      <c r="F384" s="4427" t="s">
        <v>50</v>
      </c>
      <c r="G384" s="3931"/>
      <c r="H384" s="3931" t="s">
        <v>88</v>
      </c>
      <c r="I384" s="3931"/>
      <c r="J384" s="4428">
        <v>2197286650</v>
      </c>
      <c r="K384" s="3933">
        <v>1770995732</v>
      </c>
      <c r="L384" s="3934">
        <v>2197286650</v>
      </c>
      <c r="M384" s="3935">
        <v>258576041</v>
      </c>
      <c r="N384" s="3934">
        <v>105214667</v>
      </c>
      <c r="O384" s="3934">
        <v>363790708</v>
      </c>
      <c r="P384" s="3934">
        <v>2200000000</v>
      </c>
      <c r="Q384" s="3934">
        <f t="shared" si="74"/>
        <v>2713350</v>
      </c>
      <c r="R384" s="3936">
        <f t="shared" si="75"/>
        <v>0.1234863917277238</v>
      </c>
      <c r="S384" s="3275"/>
      <c r="T384" s="3826"/>
      <c r="U384" s="3771"/>
      <c r="V384" s="1846">
        <f t="shared" si="71"/>
        <v>1455162832</v>
      </c>
    </row>
    <row r="385" spans="1:22" s="3941" customFormat="1" ht="15.05" customHeight="1">
      <c r="A385" s="3928"/>
      <c r="B385" s="3928"/>
      <c r="C385" s="3928"/>
      <c r="D385" s="3928"/>
      <c r="E385" s="3928"/>
      <c r="F385" s="4427" t="s">
        <v>50</v>
      </c>
      <c r="G385" s="3931"/>
      <c r="H385" s="3931" t="s">
        <v>603</v>
      </c>
      <c r="I385" s="3931"/>
      <c r="J385" s="4428">
        <v>14000000000</v>
      </c>
      <c r="K385" s="3933">
        <v>13052925455</v>
      </c>
      <c r="L385" s="3934">
        <v>15000000000</v>
      </c>
      <c r="M385" s="3935">
        <v>2493831376</v>
      </c>
      <c r="N385" s="3934">
        <v>1671690063</v>
      </c>
      <c r="O385" s="3934">
        <v>4165521439</v>
      </c>
      <c r="P385" s="3934">
        <v>15000000000</v>
      </c>
      <c r="Q385" s="3934">
        <f t="shared" si="74"/>
        <v>0</v>
      </c>
      <c r="R385" s="3936">
        <f t="shared" si="75"/>
        <v>0</v>
      </c>
      <c r="S385" s="3937"/>
      <c r="T385" s="3938"/>
      <c r="U385" s="3939"/>
      <c r="V385" s="3940">
        <f t="shared" si="71"/>
        <v>16662085756</v>
      </c>
    </row>
    <row r="386" spans="1:22" s="257" customFormat="1" ht="15.05" customHeight="1">
      <c r="A386" s="3928"/>
      <c r="B386" s="3928"/>
      <c r="C386" s="3928"/>
      <c r="D386" s="3928"/>
      <c r="E386" s="3928"/>
      <c r="F386" s="4427" t="s">
        <v>50</v>
      </c>
      <c r="G386" s="3931"/>
      <c r="H386" s="3931" t="str">
        <f>MAR!H91</f>
        <v>RUMAH SAKIT UMUM H.L MANAMBAI ABDUL KADIR</v>
      </c>
      <c r="I386" s="3931"/>
      <c r="J386" s="4428"/>
      <c r="K386" s="5026">
        <v>0</v>
      </c>
      <c r="L386" s="3934">
        <v>16000000000</v>
      </c>
      <c r="M386" s="3935">
        <v>2651132328.7199998</v>
      </c>
      <c r="N386" s="3934">
        <v>1246849913.1600001</v>
      </c>
      <c r="O386" s="3934">
        <v>3897982241.8800001</v>
      </c>
      <c r="P386" s="3934">
        <v>19000000000</v>
      </c>
      <c r="Q386" s="3934">
        <f t="shared" si="74"/>
        <v>3000000000</v>
      </c>
      <c r="R386" s="3936">
        <f t="shared" si="75"/>
        <v>18.75</v>
      </c>
      <c r="S386" s="3275"/>
      <c r="T386" s="3826"/>
      <c r="U386" s="3771"/>
      <c r="V386" s="1846">
        <f t="shared" si="71"/>
        <v>15591928967.52</v>
      </c>
    </row>
    <row r="387" spans="1:22" s="257" customFormat="1" ht="15.05" customHeight="1">
      <c r="A387" s="3928"/>
      <c r="B387" s="3928"/>
      <c r="C387" s="3928"/>
      <c r="D387" s="3928"/>
      <c r="E387" s="3928"/>
      <c r="F387" s="4427" t="s">
        <v>50</v>
      </c>
      <c r="G387" s="3931"/>
      <c r="H387" s="3931" t="s">
        <v>1212</v>
      </c>
      <c r="I387" s="3931"/>
      <c r="J387" s="4428"/>
      <c r="K387" s="5026">
        <v>0</v>
      </c>
      <c r="L387" s="3934">
        <v>250000000</v>
      </c>
      <c r="M387" s="3935">
        <v>0</v>
      </c>
      <c r="N387" s="3934">
        <v>0</v>
      </c>
      <c r="O387" s="3934">
        <v>0</v>
      </c>
      <c r="P387" s="3934">
        <v>0</v>
      </c>
      <c r="Q387" s="3934">
        <f t="shared" si="74"/>
        <v>-250000000</v>
      </c>
      <c r="R387" s="3936">
        <f t="shared" si="75"/>
        <v>-100</v>
      </c>
      <c r="S387" s="3275"/>
      <c r="T387" s="3826"/>
      <c r="U387" s="3771"/>
      <c r="V387" s="1846">
        <f t="shared" si="71"/>
        <v>0</v>
      </c>
    </row>
    <row r="388" spans="1:22" s="257" customFormat="1" ht="15.05" hidden="1" customHeight="1">
      <c r="A388" s="3928"/>
      <c r="B388" s="3928"/>
      <c r="C388" s="3928"/>
      <c r="D388" s="3928"/>
      <c r="E388" s="3928"/>
      <c r="F388" s="4427"/>
      <c r="G388" s="3931"/>
      <c r="H388" s="3931"/>
      <c r="I388" s="3931"/>
      <c r="J388" s="4428"/>
      <c r="K388" s="3933"/>
      <c r="L388" s="3934"/>
      <c r="M388" s="3935"/>
      <c r="N388" s="3934"/>
      <c r="O388" s="3934"/>
      <c r="P388" s="3934"/>
      <c r="Q388" s="3934"/>
      <c r="R388" s="3936"/>
      <c r="S388" s="3702"/>
      <c r="T388" s="3820"/>
      <c r="U388" s="3771"/>
      <c r="V388" s="1846">
        <f t="shared" si="71"/>
        <v>0</v>
      </c>
    </row>
    <row r="389" spans="1:22" s="257" customFormat="1" ht="15.05" customHeight="1">
      <c r="A389" s="3928"/>
      <c r="B389" s="3928"/>
      <c r="C389" s="3928"/>
      <c r="D389" s="3928"/>
      <c r="E389" s="3928"/>
      <c r="F389" s="4427"/>
      <c r="G389" s="3931"/>
      <c r="H389" s="3931"/>
      <c r="I389" s="3931"/>
      <c r="J389" s="4428"/>
      <c r="K389" s="4978"/>
      <c r="L389" s="3934"/>
      <c r="M389" s="3935"/>
      <c r="N389" s="3934"/>
      <c r="O389" s="3934"/>
      <c r="P389" s="3934"/>
      <c r="Q389" s="3934"/>
      <c r="R389" s="3936"/>
      <c r="S389" s="3702"/>
      <c r="T389" s="3820"/>
      <c r="U389" s="3771"/>
      <c r="V389" s="1846"/>
    </row>
    <row r="390" spans="1:22" s="3115" customFormat="1" ht="15.05" hidden="1" customHeight="1">
      <c r="A390" s="5005" t="s">
        <v>443</v>
      </c>
      <c r="B390" s="5005" t="s">
        <v>58</v>
      </c>
      <c r="C390" s="5005" t="s">
        <v>443</v>
      </c>
      <c r="D390" s="5005" t="s">
        <v>563</v>
      </c>
      <c r="E390" s="5005" t="s">
        <v>1155</v>
      </c>
      <c r="F390" s="5006" t="s">
        <v>1256</v>
      </c>
      <c r="G390" s="5007"/>
      <c r="H390" s="5007"/>
      <c r="I390" s="5007"/>
      <c r="J390" s="5008">
        <f>J391</f>
        <v>7805834000</v>
      </c>
      <c r="K390" s="5008">
        <f>K391</f>
        <v>7177429000</v>
      </c>
      <c r="L390" s="5009">
        <f>SUM(L391:L393)</f>
        <v>4392225000</v>
      </c>
      <c r="M390" s="5010">
        <v>0</v>
      </c>
      <c r="N390" s="5009">
        <f>SUM(N391:N393)</f>
        <v>0</v>
      </c>
      <c r="O390" s="5009">
        <f>SUM(O391:O393)</f>
        <v>0</v>
      </c>
      <c r="P390" s="5009">
        <v>4392225000</v>
      </c>
      <c r="Q390" s="5009">
        <f>+P390-L390</f>
        <v>0</v>
      </c>
      <c r="R390" s="5011">
        <f>+P390/L390*100-100</f>
        <v>0</v>
      </c>
      <c r="S390" s="3752"/>
      <c r="T390" s="3850"/>
      <c r="U390" s="3805">
        <f>PerDinas!Q750</f>
        <v>0</v>
      </c>
      <c r="V390" s="2944">
        <f t="shared" si="71"/>
        <v>0</v>
      </c>
    </row>
    <row r="391" spans="1:22" s="257" customFormat="1" ht="15.05" hidden="1" customHeight="1">
      <c r="A391" s="3928"/>
      <c r="B391" s="3928"/>
      <c r="C391" s="3928"/>
      <c r="D391" s="3928"/>
      <c r="E391" s="3928"/>
      <c r="F391" s="4427" t="s">
        <v>50</v>
      </c>
      <c r="G391" s="3931" t="str">
        <f>MAR!I594</f>
        <v>- Diklat PIM III dan IV</v>
      </c>
      <c r="H391" s="3931"/>
      <c r="I391" s="3931"/>
      <c r="J391" s="4428">
        <v>7805834000</v>
      </c>
      <c r="K391" s="4428">
        <v>7177429000</v>
      </c>
      <c r="L391" s="3934">
        <f>MAR!J594</f>
        <v>4392225000</v>
      </c>
      <c r="M391" s="3935">
        <v>0</v>
      </c>
      <c r="N391" s="3934">
        <f>MAR!L594</f>
        <v>0</v>
      </c>
      <c r="O391" s="3934">
        <f>MAR!M594</f>
        <v>0</v>
      </c>
      <c r="P391" s="3934">
        <v>4392225000</v>
      </c>
      <c r="Q391" s="3934">
        <f>+P391-L391</f>
        <v>0</v>
      </c>
      <c r="R391" s="3936">
        <f>+P391/L391*100-100</f>
        <v>0</v>
      </c>
      <c r="S391" s="3275"/>
      <c r="T391" s="3826"/>
      <c r="U391" s="3771"/>
      <c r="V391" s="1846">
        <f t="shared" si="71"/>
        <v>0</v>
      </c>
    </row>
    <row r="392" spans="1:22" s="257" customFormat="1" ht="15.05" hidden="1" customHeight="1">
      <c r="A392" s="3928"/>
      <c r="B392" s="3928"/>
      <c r="C392" s="3928"/>
      <c r="D392" s="3928"/>
      <c r="E392" s="3928"/>
      <c r="F392" s="4427" t="s">
        <v>50</v>
      </c>
      <c r="G392" s="3931" t="str">
        <f>MAR!I595</f>
        <v>- Diklat Prajabatan</v>
      </c>
      <c r="H392" s="3931"/>
      <c r="I392" s="3931"/>
      <c r="J392" s="4428"/>
      <c r="K392" s="3933"/>
      <c r="L392" s="3934">
        <f>MAR!J595</f>
        <v>0</v>
      </c>
      <c r="M392" s="3935">
        <v>0</v>
      </c>
      <c r="N392" s="3934">
        <f>MAR!L595</f>
        <v>0</v>
      </c>
      <c r="O392" s="3934">
        <f>MAR!M595</f>
        <v>0</v>
      </c>
      <c r="P392" s="3934">
        <v>0</v>
      </c>
      <c r="Q392" s="3934">
        <f>+P392-L392</f>
        <v>0</v>
      </c>
      <c r="R392" s="3936">
        <v>0</v>
      </c>
      <c r="S392" s="3275"/>
      <c r="T392" s="3826"/>
      <c r="U392" s="3771"/>
      <c r="V392" s="1846">
        <f t="shared" si="71"/>
        <v>0</v>
      </c>
    </row>
    <row r="393" spans="1:22" s="257" customFormat="1" ht="15.05" hidden="1" customHeight="1">
      <c r="A393" s="3928"/>
      <c r="B393" s="3928"/>
      <c r="C393" s="3928"/>
      <c r="D393" s="3928"/>
      <c r="E393" s="3928"/>
      <c r="F393" s="4427" t="s">
        <v>50</v>
      </c>
      <c r="G393" s="3931" t="str">
        <f>MAR!I596</f>
        <v>- Diklat Pembentukan Arsiparis Ahli Kab/Kota</v>
      </c>
      <c r="H393" s="3931"/>
      <c r="I393" s="3931"/>
      <c r="J393" s="4428"/>
      <c r="K393" s="3933"/>
      <c r="L393" s="3934">
        <f>MAR!J596</f>
        <v>0</v>
      </c>
      <c r="M393" s="3935">
        <v>0</v>
      </c>
      <c r="N393" s="3934">
        <f>MAR!L596</f>
        <v>0</v>
      </c>
      <c r="O393" s="3934">
        <f>MAR!M596</f>
        <v>0</v>
      </c>
      <c r="P393" s="3934">
        <v>0</v>
      </c>
      <c r="Q393" s="3934">
        <f>+P393-L393</f>
        <v>0</v>
      </c>
      <c r="R393" s="3936">
        <v>0</v>
      </c>
      <c r="S393" s="3275"/>
      <c r="T393" s="3826"/>
      <c r="U393" s="3771"/>
      <c r="V393" s="1846">
        <f t="shared" si="71"/>
        <v>0</v>
      </c>
    </row>
    <row r="394" spans="1:22" s="257" customFormat="1" ht="15.05" hidden="1" customHeight="1">
      <c r="A394" s="3928"/>
      <c r="B394" s="3928"/>
      <c r="C394" s="3928"/>
      <c r="D394" s="3928"/>
      <c r="E394" s="3928"/>
      <c r="F394" s="3941"/>
      <c r="G394" s="3931"/>
      <c r="H394" s="3931"/>
      <c r="I394" s="3931"/>
      <c r="J394" s="4428"/>
      <c r="K394" s="3933"/>
      <c r="L394" s="3934"/>
      <c r="M394" s="3935"/>
      <c r="N394" s="3934"/>
      <c r="O394" s="3934"/>
      <c r="P394" s="3934"/>
      <c r="Q394" s="3934"/>
      <c r="R394" s="3936"/>
      <c r="S394" s="3275"/>
      <c r="T394" s="3826"/>
      <c r="U394" s="3771"/>
      <c r="V394" s="1846">
        <f t="shared" si="71"/>
        <v>0</v>
      </c>
    </row>
    <row r="395" spans="1:22" s="257" customFormat="1" ht="15.05" hidden="1" customHeight="1">
      <c r="A395" s="3928"/>
      <c r="B395" s="3928"/>
      <c r="C395" s="3928"/>
      <c r="D395" s="3928"/>
      <c r="E395" s="3928"/>
      <c r="F395" s="3941"/>
      <c r="G395" s="3931"/>
      <c r="H395" s="3931"/>
      <c r="I395" s="3931"/>
      <c r="J395" s="4428"/>
      <c r="K395" s="4978"/>
      <c r="L395" s="3934"/>
      <c r="M395" s="3935"/>
      <c r="N395" s="3934"/>
      <c r="O395" s="3934"/>
      <c r="P395" s="3934"/>
      <c r="Q395" s="3934"/>
      <c r="R395" s="3936"/>
      <c r="S395" s="3275"/>
      <c r="T395" s="3826"/>
      <c r="U395" s="3771"/>
      <c r="V395" s="1846"/>
    </row>
    <row r="396" spans="1:22" s="2947" customFormat="1" ht="15.05" customHeight="1">
      <c r="A396" s="5027" t="s">
        <v>443</v>
      </c>
      <c r="B396" s="5027" t="s">
        <v>58</v>
      </c>
      <c r="C396" s="5027" t="s">
        <v>443</v>
      </c>
      <c r="D396" s="5028" t="s">
        <v>447</v>
      </c>
      <c r="E396" s="5027" t="s">
        <v>437</v>
      </c>
      <c r="F396" s="5006" t="s">
        <v>605</v>
      </c>
      <c r="G396" s="5029"/>
      <c r="H396" s="5029"/>
      <c r="I396" s="5029"/>
      <c r="J396" s="5030">
        <v>0</v>
      </c>
      <c r="K396" s="5030">
        <v>0</v>
      </c>
      <c r="L396" s="5031">
        <f>SUM(L397:L405)</f>
        <v>0</v>
      </c>
      <c r="M396" s="5032">
        <v>2100000</v>
      </c>
      <c r="N396" s="5031">
        <f>SUM(N397:N405)</f>
        <v>1035000</v>
      </c>
      <c r="O396" s="5031">
        <f>N396+M396</f>
        <v>3135000</v>
      </c>
      <c r="P396" s="5031">
        <v>0</v>
      </c>
      <c r="Q396" s="5031">
        <f t="shared" ref="Q396:Q405" si="76">+P396-L396</f>
        <v>0</v>
      </c>
      <c r="R396" s="5033">
        <v>0</v>
      </c>
      <c r="S396" s="3753"/>
      <c r="T396" s="3851"/>
      <c r="U396" s="3806">
        <f>PerDinas!Q752</f>
        <v>0</v>
      </c>
      <c r="V396" s="2944">
        <f t="shared" si="71"/>
        <v>12540000</v>
      </c>
    </row>
    <row r="397" spans="1:22" s="257" customFormat="1" ht="15.05" customHeight="1">
      <c r="A397" s="3928"/>
      <c r="B397" s="3928"/>
      <c r="C397" s="3928"/>
      <c r="D397" s="3928"/>
      <c r="E397" s="3928"/>
      <c r="F397" s="4991" t="s">
        <v>50</v>
      </c>
      <c r="G397" s="3931"/>
      <c r="H397" s="5034" t="s">
        <v>606</v>
      </c>
      <c r="I397" s="3931"/>
      <c r="J397" s="4428"/>
      <c r="K397" s="3933"/>
      <c r="L397" s="3934">
        <v>0</v>
      </c>
      <c r="M397" s="3935">
        <v>0</v>
      </c>
      <c r="N397" s="3934">
        <v>0</v>
      </c>
      <c r="O397" s="3934">
        <v>0</v>
      </c>
      <c r="P397" s="3934">
        <v>0</v>
      </c>
      <c r="Q397" s="3934">
        <f t="shared" si="76"/>
        <v>0</v>
      </c>
      <c r="R397" s="3936" t="e">
        <f t="shared" ref="R397:R405" si="77">+P397/L397*100-100</f>
        <v>#DIV/0!</v>
      </c>
      <c r="S397" s="3702"/>
      <c r="T397" s="3820"/>
      <c r="U397" s="3771"/>
      <c r="V397" s="1846">
        <f t="shared" si="71"/>
        <v>0</v>
      </c>
    </row>
    <row r="398" spans="1:22" s="257" customFormat="1" ht="15.05" customHeight="1">
      <c r="A398" s="3928"/>
      <c r="B398" s="3928"/>
      <c r="C398" s="3928"/>
      <c r="D398" s="3928"/>
      <c r="E398" s="3928"/>
      <c r="F398" s="4991" t="s">
        <v>50</v>
      </c>
      <c r="G398" s="3931"/>
      <c r="H398" s="5034" t="s">
        <v>607</v>
      </c>
      <c r="I398" s="3931"/>
      <c r="J398" s="4428"/>
      <c r="K398" s="3933"/>
      <c r="L398" s="3934">
        <f>PerDinas!K106</f>
        <v>0</v>
      </c>
      <c r="M398" s="3935">
        <v>0</v>
      </c>
      <c r="N398" s="3934">
        <v>0</v>
      </c>
      <c r="O398" s="3934">
        <v>0</v>
      </c>
      <c r="P398" s="3934">
        <v>0</v>
      </c>
      <c r="Q398" s="3934">
        <f t="shared" si="76"/>
        <v>0</v>
      </c>
      <c r="R398" s="3936" t="e">
        <f t="shared" si="77"/>
        <v>#DIV/0!</v>
      </c>
      <c r="S398" s="3702"/>
      <c r="T398" s="3820"/>
      <c r="U398" s="3771"/>
      <c r="V398" s="1846">
        <f t="shared" si="71"/>
        <v>0</v>
      </c>
    </row>
    <row r="399" spans="1:22" s="257" customFormat="1" ht="15.05" customHeight="1">
      <c r="A399" s="3928"/>
      <c r="B399" s="3928"/>
      <c r="C399" s="3928"/>
      <c r="D399" s="3928"/>
      <c r="E399" s="3928"/>
      <c r="F399" s="4991" t="s">
        <v>50</v>
      </c>
      <c r="G399" s="3931"/>
      <c r="H399" s="5034" t="s">
        <v>608</v>
      </c>
      <c r="I399" s="3931"/>
      <c r="J399" s="4428"/>
      <c r="K399" s="3933"/>
      <c r="L399" s="3934">
        <v>0</v>
      </c>
      <c r="M399" s="3935">
        <v>2100000</v>
      </c>
      <c r="N399" s="3934">
        <v>0</v>
      </c>
      <c r="O399" s="3934">
        <v>2100000</v>
      </c>
      <c r="P399" s="3934">
        <v>0</v>
      </c>
      <c r="Q399" s="3934">
        <f t="shared" si="76"/>
        <v>0</v>
      </c>
      <c r="R399" s="3936">
        <v>0</v>
      </c>
      <c r="S399" s="3702"/>
      <c r="T399" s="3820"/>
      <c r="U399" s="3771"/>
      <c r="V399" s="1846">
        <f t="shared" si="71"/>
        <v>8400000</v>
      </c>
    </row>
    <row r="400" spans="1:22" s="257" customFormat="1" ht="15.05" customHeight="1">
      <c r="A400" s="3928"/>
      <c r="B400" s="3928"/>
      <c r="C400" s="3928"/>
      <c r="D400" s="3928"/>
      <c r="E400" s="3928"/>
      <c r="F400" s="4991" t="s">
        <v>50</v>
      </c>
      <c r="G400" s="3931"/>
      <c r="H400" s="5034" t="s">
        <v>609</v>
      </c>
      <c r="I400" s="3931"/>
      <c r="J400" s="4428"/>
      <c r="K400" s="3933"/>
      <c r="L400" s="3934">
        <v>0</v>
      </c>
      <c r="M400" s="3935">
        <v>0</v>
      </c>
      <c r="N400" s="3934">
        <v>1035000</v>
      </c>
      <c r="O400" s="3934">
        <v>1035000</v>
      </c>
      <c r="P400" s="3934">
        <v>0</v>
      </c>
      <c r="Q400" s="3934">
        <f t="shared" si="76"/>
        <v>0</v>
      </c>
      <c r="R400" s="3936">
        <v>0</v>
      </c>
      <c r="S400" s="3702"/>
      <c r="T400" s="3820"/>
      <c r="U400" s="3771"/>
      <c r="V400" s="1846">
        <f t="shared" si="71"/>
        <v>4140000</v>
      </c>
    </row>
    <row r="401" spans="1:22" s="257" customFormat="1" ht="15.05" hidden="1" customHeight="1">
      <c r="A401" s="3928"/>
      <c r="B401" s="3928"/>
      <c r="C401" s="3928"/>
      <c r="D401" s="3928"/>
      <c r="E401" s="3928"/>
      <c r="F401" s="4991" t="s">
        <v>50</v>
      </c>
      <c r="G401" s="3931"/>
      <c r="H401" s="5034"/>
      <c r="I401" s="3931"/>
      <c r="J401" s="4428"/>
      <c r="K401" s="3933"/>
      <c r="L401" s="3934">
        <f>PerDinas!K359</f>
        <v>0</v>
      </c>
      <c r="M401" s="3935">
        <v>0</v>
      </c>
      <c r="N401" s="3934">
        <f>PerDinas!M359</f>
        <v>0</v>
      </c>
      <c r="O401" s="3934">
        <f>N401+M401</f>
        <v>0</v>
      </c>
      <c r="P401" s="3934">
        <v>0</v>
      </c>
      <c r="Q401" s="3934">
        <f t="shared" si="76"/>
        <v>0</v>
      </c>
      <c r="R401" s="3936" t="e">
        <f t="shared" si="77"/>
        <v>#DIV/0!</v>
      </c>
      <c r="S401" s="3702"/>
      <c r="T401" s="3820"/>
      <c r="U401" s="3771"/>
      <c r="V401" s="1846">
        <f t="shared" si="71"/>
        <v>0</v>
      </c>
    </row>
    <row r="402" spans="1:22" s="257" customFormat="1" ht="15.05" hidden="1" customHeight="1">
      <c r="A402" s="3928"/>
      <c r="B402" s="3928"/>
      <c r="C402" s="3928"/>
      <c r="D402" s="3928"/>
      <c r="E402" s="3928"/>
      <c r="F402" s="4991" t="s">
        <v>50</v>
      </c>
      <c r="G402" s="3931"/>
      <c r="H402" s="5034"/>
      <c r="I402" s="3931"/>
      <c r="J402" s="4428"/>
      <c r="K402" s="3933"/>
      <c r="L402" s="3934">
        <f>PerDinas!K870</f>
        <v>0</v>
      </c>
      <c r="M402" s="3935">
        <v>0</v>
      </c>
      <c r="N402" s="3934">
        <f>PerDinas!M870</f>
        <v>0</v>
      </c>
      <c r="O402" s="3934">
        <f>N402+M402</f>
        <v>0</v>
      </c>
      <c r="P402" s="3934">
        <v>0</v>
      </c>
      <c r="Q402" s="3934">
        <f t="shared" si="76"/>
        <v>0</v>
      </c>
      <c r="R402" s="3936" t="e">
        <f t="shared" si="77"/>
        <v>#DIV/0!</v>
      </c>
      <c r="S402" s="3702"/>
      <c r="T402" s="3820"/>
      <c r="U402" s="3771"/>
      <c r="V402" s="1846">
        <f t="shared" si="71"/>
        <v>0</v>
      </c>
    </row>
    <row r="403" spans="1:22" s="257" customFormat="1" ht="15.05" hidden="1" customHeight="1">
      <c r="A403" s="4916"/>
      <c r="B403" s="4916"/>
      <c r="C403" s="4916"/>
      <c r="D403" s="4916"/>
      <c r="E403" s="4916"/>
      <c r="F403" s="5035" t="s">
        <v>50</v>
      </c>
      <c r="G403" s="4919"/>
      <c r="H403" s="5036"/>
      <c r="I403" s="4919"/>
      <c r="J403" s="4958"/>
      <c r="K403" s="4955"/>
      <c r="L403" s="4922">
        <f>PerDinas!K953</f>
        <v>0</v>
      </c>
      <c r="M403" s="4923">
        <v>0</v>
      </c>
      <c r="N403" s="4922">
        <f>PerDinas!M953</f>
        <v>0</v>
      </c>
      <c r="O403" s="4922">
        <f>N403+M403</f>
        <v>0</v>
      </c>
      <c r="P403" s="4922">
        <v>0</v>
      </c>
      <c r="Q403" s="4922">
        <f t="shared" si="76"/>
        <v>0</v>
      </c>
      <c r="R403" s="3936" t="e">
        <f t="shared" si="77"/>
        <v>#DIV/0!</v>
      </c>
      <c r="S403" s="3712"/>
      <c r="T403" s="3831"/>
      <c r="U403" s="1899"/>
      <c r="V403" s="1846">
        <f t="shared" si="71"/>
        <v>0</v>
      </c>
    </row>
    <row r="404" spans="1:22" s="257" customFormat="1" ht="15.05" customHeight="1">
      <c r="A404" s="4916"/>
      <c r="B404" s="4916"/>
      <c r="C404" s="4916"/>
      <c r="D404" s="4916"/>
      <c r="E404" s="4916"/>
      <c r="F404" s="5035"/>
      <c r="G404" s="4919"/>
      <c r="H404" s="5161"/>
      <c r="I404" s="4919"/>
      <c r="J404" s="4958"/>
      <c r="K404" s="5162"/>
      <c r="L404" s="4922"/>
      <c r="M404" s="4923"/>
      <c r="N404" s="4922"/>
      <c r="O404" s="4922"/>
      <c r="P404" s="4922"/>
      <c r="Q404" s="4922"/>
      <c r="R404" s="5163"/>
      <c r="S404" s="3712"/>
      <c r="T404" s="3831"/>
      <c r="U404" s="5164"/>
      <c r="V404" s="1846"/>
    </row>
    <row r="405" spans="1:22" s="257" customFormat="1" ht="15.05" hidden="1" customHeight="1">
      <c r="A405" s="3928"/>
      <c r="B405" s="3928"/>
      <c r="C405" s="3928"/>
      <c r="D405" s="3928"/>
      <c r="E405" s="3928"/>
      <c r="F405" s="4991" t="s">
        <v>50</v>
      </c>
      <c r="G405" s="3931"/>
      <c r="H405" s="5037"/>
      <c r="I405" s="3931"/>
      <c r="J405" s="4428"/>
      <c r="K405" s="3933"/>
      <c r="L405" s="3934">
        <f>PerDinas!K765</f>
        <v>0</v>
      </c>
      <c r="M405" s="3935">
        <v>0</v>
      </c>
      <c r="N405" s="3934">
        <f>PerDinas!M765</f>
        <v>0</v>
      </c>
      <c r="O405" s="3934">
        <f>N405+M405</f>
        <v>0</v>
      </c>
      <c r="P405" s="3934">
        <v>0</v>
      </c>
      <c r="Q405" s="3934">
        <f t="shared" si="76"/>
        <v>0</v>
      </c>
      <c r="R405" s="3936" t="e">
        <f t="shared" si="77"/>
        <v>#DIV/0!</v>
      </c>
      <c r="S405" s="3702"/>
      <c r="T405" s="3820"/>
      <c r="U405" s="3771"/>
      <c r="V405" s="1846">
        <f t="shared" si="71"/>
        <v>0</v>
      </c>
    </row>
    <row r="406" spans="1:22" s="257" customFormat="1" ht="15.05" customHeight="1">
      <c r="A406" s="5038"/>
      <c r="B406" s="5038"/>
      <c r="C406" s="5038"/>
      <c r="D406" s="5038"/>
      <c r="E406" s="5038"/>
      <c r="F406" s="5039"/>
      <c r="G406" s="5040"/>
      <c r="H406" s="5041"/>
      <c r="I406" s="5040"/>
      <c r="J406" s="5042"/>
      <c r="K406" s="5043"/>
      <c r="L406" s="5044"/>
      <c r="M406" s="5045"/>
      <c r="N406" s="5044"/>
      <c r="O406" s="5044"/>
      <c r="P406" s="5044"/>
      <c r="Q406" s="5044"/>
      <c r="R406" s="5046"/>
      <c r="S406" s="3727"/>
      <c r="T406" s="3852"/>
      <c r="U406" s="3796"/>
      <c r="V406" s="1846">
        <f t="shared" si="71"/>
        <v>0</v>
      </c>
    </row>
    <row r="407" spans="1:22" s="2965" customFormat="1" ht="15.05" customHeight="1">
      <c r="A407" s="5047" t="s">
        <v>443</v>
      </c>
      <c r="B407" s="5047" t="s">
        <v>460</v>
      </c>
      <c r="C407" s="5047"/>
      <c r="D407" s="5047"/>
      <c r="E407" s="5047"/>
      <c r="F407" s="5048" t="s">
        <v>236</v>
      </c>
      <c r="G407" s="5049"/>
      <c r="H407" s="5050"/>
      <c r="I407" s="5049"/>
      <c r="J407" s="5051">
        <f>J408+J422+J427</f>
        <v>2333604004580</v>
      </c>
      <c r="K407" s="5051">
        <f>K408+K422+K427</f>
        <v>2587184362905</v>
      </c>
      <c r="L407" s="5051">
        <f>L408+L422+L427</f>
        <v>3222521202310</v>
      </c>
      <c r="M407" s="5052">
        <v>602895773311</v>
      </c>
      <c r="N407" s="5051">
        <f>N408+N422+N427</f>
        <v>226813668600</v>
      </c>
      <c r="O407" s="5051">
        <f>N407+M407</f>
        <v>829709441911</v>
      </c>
      <c r="P407" s="5051">
        <f>P408+P422+P427</f>
        <v>3211428669330</v>
      </c>
      <c r="Q407" s="5051">
        <f t="shared" ref="Q407:Q425" si="78">+P407-L407</f>
        <v>-11092532980</v>
      </c>
      <c r="R407" s="5053">
        <f>+P407/L407*100-100</f>
        <v>-0.34421908448727834</v>
      </c>
      <c r="S407" s="3728"/>
      <c r="T407" s="3853"/>
      <c r="U407" s="3807"/>
      <c r="V407" s="2964">
        <f t="shared" si="71"/>
        <v>3318837767644</v>
      </c>
    </row>
    <row r="408" spans="1:22" s="2917" customFormat="1" ht="15.05" customHeight="1">
      <c r="A408" s="5054" t="s">
        <v>443</v>
      </c>
      <c r="B408" s="5054" t="s">
        <v>460</v>
      </c>
      <c r="C408" s="5054" t="s">
        <v>58</v>
      </c>
      <c r="D408" s="5054"/>
      <c r="E408" s="5054"/>
      <c r="F408" s="5055" t="str">
        <f>MAR!H427</f>
        <v>DANA BAGI HASIL PAJAK/BAGI HASIL BUKAN PAJAK</v>
      </c>
      <c r="G408" s="5056"/>
      <c r="H408" s="5057"/>
      <c r="I408" s="5056"/>
      <c r="J408" s="5058">
        <f>J409+J417</f>
        <v>247954406000</v>
      </c>
      <c r="K408" s="5059">
        <f>K409+K417</f>
        <v>375036424549</v>
      </c>
      <c r="L408" s="5059">
        <f>L409+L417</f>
        <v>353125684600</v>
      </c>
      <c r="M408" s="5060">
        <v>77134449311</v>
      </c>
      <c r="N408" s="5058">
        <f>N409+N417</f>
        <v>43645442600</v>
      </c>
      <c r="O408" s="5058">
        <f>O409+O417</f>
        <v>120779891911</v>
      </c>
      <c r="P408" s="5058">
        <f>P409+P417</f>
        <v>328125684600</v>
      </c>
      <c r="Q408" s="5058">
        <f t="shared" si="78"/>
        <v>-25000000000</v>
      </c>
      <c r="R408" s="5061">
        <f>+P408/L408*100-100</f>
        <v>-7.0796322924849022</v>
      </c>
      <c r="S408" s="3729"/>
      <c r="T408" s="3854"/>
      <c r="U408" s="3808"/>
      <c r="V408" s="2904">
        <f t="shared" si="71"/>
        <v>483119567644</v>
      </c>
    </row>
    <row r="409" spans="1:22" s="1318" customFormat="1" ht="15.05" customHeight="1">
      <c r="A409" s="4927"/>
      <c r="B409" s="4927"/>
      <c r="C409" s="4927"/>
      <c r="D409" s="4927"/>
      <c r="E409" s="4927"/>
      <c r="F409" s="4967"/>
      <c r="G409" s="4930" t="str">
        <f>MAR!H428</f>
        <v>Bagi Hasil Pajak</v>
      </c>
      <c r="H409" s="5062"/>
      <c r="I409" s="4930"/>
      <c r="J409" s="4933">
        <f>SUM(J410:J416)</f>
        <v>165277884000</v>
      </c>
      <c r="K409" s="5063">
        <f>SUM(K410:K416)</f>
        <v>165676022293</v>
      </c>
      <c r="L409" s="5063">
        <f>SUM(L410:L416)</f>
        <v>185190481600</v>
      </c>
      <c r="M409" s="4934">
        <v>15220097700</v>
      </c>
      <c r="N409" s="4933">
        <f>SUM(N410:N416)</f>
        <v>43568767100</v>
      </c>
      <c r="O409" s="4933">
        <f>SUM(O410:O416)</f>
        <v>58788864800</v>
      </c>
      <c r="P409" s="4933">
        <f>SUM(P410+P414+P416)</f>
        <v>176690481600</v>
      </c>
      <c r="Q409" s="4933">
        <f t="shared" si="78"/>
        <v>-8500000000</v>
      </c>
      <c r="R409" s="4935">
        <f>+P409/L409*100-100</f>
        <v>-4.5898687268168885</v>
      </c>
      <c r="S409" s="3713"/>
      <c r="T409" s="3832"/>
      <c r="U409" s="1911"/>
      <c r="V409" s="1846">
        <f t="shared" si="71"/>
        <v>235155459200</v>
      </c>
    </row>
    <row r="410" spans="1:22" s="257" customFormat="1" ht="15.05" customHeight="1">
      <c r="A410" s="3928"/>
      <c r="B410" s="3928"/>
      <c r="C410" s="3928"/>
      <c r="D410" s="3928"/>
      <c r="E410" s="3928"/>
      <c r="F410" s="4427"/>
      <c r="G410" s="5012" t="s">
        <v>50</v>
      </c>
      <c r="H410" s="5037" t="str">
        <f>MAR!I429</f>
        <v>Bagi Hasil Pajak Bumi dan Bangunan</v>
      </c>
      <c r="I410" s="3931"/>
      <c r="J410" s="4428">
        <v>13045670000</v>
      </c>
      <c r="K410" s="3933">
        <v>15360944277</v>
      </c>
      <c r="L410" s="3934">
        <v>10416269000</v>
      </c>
      <c r="M410" s="3935">
        <v>2542990867</v>
      </c>
      <c r="N410" s="3934">
        <v>2000213850</v>
      </c>
      <c r="O410" s="3934">
        <v>4543204717</v>
      </c>
      <c r="P410" s="3934">
        <v>10416269000</v>
      </c>
      <c r="Q410" s="3934">
        <f t="shared" si="78"/>
        <v>0</v>
      </c>
      <c r="R410" s="3936">
        <f>+P410/L410*100-100</f>
        <v>0</v>
      </c>
      <c r="S410" s="3275"/>
      <c r="T410" s="3826"/>
      <c r="U410" s="3771"/>
      <c r="V410" s="1846">
        <f t="shared" si="71"/>
        <v>18172818868</v>
      </c>
    </row>
    <row r="411" spans="1:22" s="257" customFormat="1" ht="15.05" hidden="1" customHeight="1">
      <c r="A411" s="3928"/>
      <c r="B411" s="3928"/>
      <c r="C411" s="3928"/>
      <c r="D411" s="3928"/>
      <c r="E411" s="3928"/>
      <c r="F411" s="4427"/>
      <c r="G411" s="5012" t="s">
        <v>50</v>
      </c>
      <c r="H411" s="5037" t="str">
        <f>MAR!I430</f>
        <v>Bagi Hasil dari Bea Perolehan Hak Atas Tanah dan Bangunan</v>
      </c>
      <c r="I411" s="3931"/>
      <c r="J411" s="4977" t="s">
        <v>50</v>
      </c>
      <c r="K411" s="5026" t="s">
        <v>50</v>
      </c>
      <c r="L411" s="3934">
        <v>0</v>
      </c>
      <c r="M411" s="3935">
        <v>0</v>
      </c>
      <c r="N411" s="3934">
        <v>0</v>
      </c>
      <c r="O411" s="3934">
        <v>0</v>
      </c>
      <c r="P411" s="3934">
        <v>0</v>
      </c>
      <c r="Q411" s="3934">
        <f t="shared" si="78"/>
        <v>0</v>
      </c>
      <c r="R411" s="3936">
        <v>0</v>
      </c>
      <c r="S411" s="3275"/>
      <c r="T411" s="3826"/>
      <c r="U411" s="3771"/>
      <c r="V411" s="1846">
        <f t="shared" si="71"/>
        <v>0</v>
      </c>
    </row>
    <row r="412" spans="1:22" s="257" customFormat="1" ht="15.05" customHeight="1">
      <c r="A412" s="3928"/>
      <c r="B412" s="3928"/>
      <c r="C412" s="3928"/>
      <c r="D412" s="3928"/>
      <c r="E412" s="3928"/>
      <c r="F412" s="4427"/>
      <c r="G412" s="5012"/>
      <c r="H412" s="5064" t="s">
        <v>1204</v>
      </c>
      <c r="I412" s="5065"/>
      <c r="J412" s="5066"/>
      <c r="K412" s="5067"/>
      <c r="L412" s="5068"/>
      <c r="M412" s="5069"/>
      <c r="N412" s="5068"/>
      <c r="O412" s="5068"/>
      <c r="P412" s="5068">
        <v>10134749000</v>
      </c>
      <c r="Q412" s="3934"/>
      <c r="R412" s="3936"/>
      <c r="S412" s="3275"/>
      <c r="T412" s="3826"/>
      <c r="U412" s="3771"/>
      <c r="V412" s="1846"/>
    </row>
    <row r="413" spans="1:22" s="257" customFormat="1" ht="15.05" customHeight="1">
      <c r="A413" s="3928"/>
      <c r="B413" s="3928"/>
      <c r="C413" s="3928"/>
      <c r="D413" s="3928"/>
      <c r="E413" s="3928"/>
      <c r="F413" s="4427"/>
      <c r="G413" s="5012"/>
      <c r="H413" s="5064" t="s">
        <v>1203</v>
      </c>
      <c r="I413" s="5065"/>
      <c r="J413" s="5070"/>
      <c r="K413" s="5067"/>
      <c r="L413" s="5068"/>
      <c r="M413" s="5069"/>
      <c r="N413" s="5068"/>
      <c r="O413" s="5068"/>
      <c r="P413" s="5068">
        <v>281520000</v>
      </c>
      <c r="Q413" s="3934"/>
      <c r="R413" s="3936"/>
      <c r="S413" s="3275"/>
      <c r="T413" s="3826"/>
      <c r="U413" s="3771"/>
      <c r="V413" s="1846"/>
    </row>
    <row r="414" spans="1:22" s="257" customFormat="1" ht="15.05" customHeight="1">
      <c r="A414" s="3928"/>
      <c r="B414" s="3928"/>
      <c r="C414" s="3928"/>
      <c r="D414" s="3928"/>
      <c r="E414" s="3928"/>
      <c r="F414" s="4427"/>
      <c r="G414" s="5012" t="s">
        <v>50</v>
      </c>
      <c r="H414" s="5037" t="str">
        <f>MAR!I431</f>
        <v>Bagi Hasil dari Pajak Penghasilan (PPh) Pasal 25 dan Pasal 29</v>
      </c>
      <c r="I414" s="3931"/>
      <c r="J414" s="4428">
        <v>78835708000</v>
      </c>
      <c r="K414" s="3933">
        <v>75733342003</v>
      </c>
      <c r="L414" s="3934">
        <v>104034902000</v>
      </c>
      <c r="M414" s="3935">
        <v>12576808932</v>
      </c>
      <c r="N414" s="3934">
        <v>23883725500</v>
      </c>
      <c r="O414" s="3934">
        <v>36460534432</v>
      </c>
      <c r="P414" s="3934">
        <v>95534902000</v>
      </c>
      <c r="Q414" s="3934">
        <f t="shared" si="78"/>
        <v>-8500000000</v>
      </c>
      <c r="R414" s="3936">
        <f t="shared" ref="R414:R420" si="79">+P414/L414*100-100</f>
        <v>-8.1703349900786151</v>
      </c>
      <c r="S414" s="3275"/>
      <c r="T414" s="3826"/>
      <c r="U414" s="3771"/>
      <c r="V414" s="1846">
        <f t="shared" si="71"/>
        <v>145842137728</v>
      </c>
    </row>
    <row r="415" spans="1:22" s="257" customFormat="1" ht="15.05" customHeight="1">
      <c r="A415" s="3928"/>
      <c r="B415" s="3928"/>
      <c r="C415" s="3928"/>
      <c r="D415" s="3928"/>
      <c r="E415" s="3928"/>
      <c r="F415" s="4427"/>
      <c r="G415" s="5012" t="s">
        <v>50</v>
      </c>
      <c r="H415" s="5037" t="str">
        <f>MAR!I432</f>
        <v>wajb pajak orang pribadi dalam negeri dan PPh Pasal 21</v>
      </c>
      <c r="I415" s="3931"/>
      <c r="J415" s="4428"/>
      <c r="K415" s="3933"/>
      <c r="L415" s="3934">
        <f>MAR!J432</f>
        <v>0</v>
      </c>
      <c r="M415" s="3935">
        <v>0</v>
      </c>
      <c r="N415" s="3934">
        <f>MAR!L432</f>
        <v>0</v>
      </c>
      <c r="O415" s="3934">
        <f>MAR!M432</f>
        <v>0</v>
      </c>
      <c r="P415" s="3934">
        <v>0</v>
      </c>
      <c r="Q415" s="3934">
        <f t="shared" si="78"/>
        <v>0</v>
      </c>
      <c r="R415" s="3936">
        <v>0</v>
      </c>
      <c r="S415" s="3275"/>
      <c r="T415" s="3826"/>
      <c r="U415" s="3771"/>
      <c r="V415" s="1846">
        <f t="shared" si="71"/>
        <v>0</v>
      </c>
    </row>
    <row r="416" spans="1:22" s="257" customFormat="1" ht="15.05" customHeight="1">
      <c r="A416" s="3928"/>
      <c r="B416" s="3928"/>
      <c r="C416" s="3928"/>
      <c r="D416" s="3928"/>
      <c r="E416" s="3928"/>
      <c r="F416" s="4427"/>
      <c r="G416" s="5012" t="s">
        <v>50</v>
      </c>
      <c r="H416" s="5037" t="str">
        <f>MAR!I433</f>
        <v>Bagi Hasil Cukai Tembakau</v>
      </c>
      <c r="I416" s="3931"/>
      <c r="J416" s="4428">
        <v>73396506000</v>
      </c>
      <c r="K416" s="3933">
        <v>74581736013</v>
      </c>
      <c r="L416" s="3934">
        <v>70739310600</v>
      </c>
      <c r="M416" s="3935">
        <v>100297901</v>
      </c>
      <c r="N416" s="3934">
        <v>17684827750</v>
      </c>
      <c r="O416" s="3934">
        <v>17785125651</v>
      </c>
      <c r="P416" s="3934">
        <v>70739310600</v>
      </c>
      <c r="Q416" s="3934">
        <f t="shared" si="78"/>
        <v>0</v>
      </c>
      <c r="R416" s="3936">
        <f t="shared" si="79"/>
        <v>0</v>
      </c>
      <c r="S416" s="3275"/>
      <c r="T416" s="3826"/>
      <c r="U416" s="3771"/>
      <c r="V416" s="1846">
        <f t="shared" si="71"/>
        <v>71140502604</v>
      </c>
    </row>
    <row r="417" spans="1:22" s="1318" customFormat="1" ht="15.05" customHeight="1">
      <c r="A417" s="5071"/>
      <c r="B417" s="5071"/>
      <c r="C417" s="5071"/>
      <c r="D417" s="5071"/>
      <c r="E417" s="5071"/>
      <c r="F417" s="4990"/>
      <c r="G417" s="5072" t="str">
        <f>MAR!H435</f>
        <v>Bagi Hasil Bukan Pajak/Sumber Daya Alam</v>
      </c>
      <c r="H417" s="5073"/>
      <c r="I417" s="5000"/>
      <c r="J417" s="5001">
        <f>SUM(J418:J420)</f>
        <v>82676522000</v>
      </c>
      <c r="K417" s="5001">
        <f>SUM(K418:K420)</f>
        <v>209360402256</v>
      </c>
      <c r="L417" s="5003">
        <f>SUM(L418:L420)</f>
        <v>167935203000</v>
      </c>
      <c r="M417" s="5004">
        <v>61914351611</v>
      </c>
      <c r="N417" s="5003">
        <f>SUM(N418:N421)</f>
        <v>76675500</v>
      </c>
      <c r="O417" s="5003">
        <f>SUM(O418:O421)</f>
        <v>61991027111</v>
      </c>
      <c r="P417" s="5003">
        <f>SUM(P418:P420)</f>
        <v>151435203000</v>
      </c>
      <c r="Q417" s="5003">
        <f t="shared" si="78"/>
        <v>-16500000000</v>
      </c>
      <c r="R417" s="5074">
        <f t="shared" si="79"/>
        <v>-9.8252181229685362</v>
      </c>
      <c r="S417" s="3711"/>
      <c r="T417" s="3830"/>
      <c r="U417" s="1936"/>
      <c r="V417" s="1846">
        <f t="shared" si="71"/>
        <v>247964108444</v>
      </c>
    </row>
    <row r="418" spans="1:22" s="257" customFormat="1" ht="15.05" customHeight="1">
      <c r="A418" s="4916"/>
      <c r="B418" s="4916"/>
      <c r="C418" s="4916"/>
      <c r="D418" s="4916"/>
      <c r="E418" s="4916"/>
      <c r="F418" s="4427"/>
      <c r="G418" s="5012" t="s">
        <v>50</v>
      </c>
      <c r="H418" s="5037" t="str">
        <f>MAR!I436</f>
        <v>Bagi Hasil dari Iuran Hak Pengusahaan Hutan</v>
      </c>
      <c r="I418" s="4919"/>
      <c r="J418" s="4958">
        <v>13941000</v>
      </c>
      <c r="K418" s="4955">
        <v>28170635</v>
      </c>
      <c r="L418" s="4922">
        <v>511170000</v>
      </c>
      <c r="M418" s="4923">
        <v>0</v>
      </c>
      <c r="N418" s="4922">
        <v>66556500</v>
      </c>
      <c r="O418" s="4922">
        <v>66556500</v>
      </c>
      <c r="P418" s="4922">
        <v>511170000</v>
      </c>
      <c r="Q418" s="4922">
        <f t="shared" si="78"/>
        <v>0</v>
      </c>
      <c r="R418" s="4924">
        <f t="shared" si="79"/>
        <v>0</v>
      </c>
      <c r="S418" s="3709"/>
      <c r="T418" s="3828"/>
      <c r="U418" s="1899"/>
      <c r="V418" s="1846">
        <f t="shared" si="71"/>
        <v>266226000</v>
      </c>
    </row>
    <row r="419" spans="1:22" s="257" customFormat="1" ht="15.05" customHeight="1">
      <c r="A419" s="4916"/>
      <c r="B419" s="4916"/>
      <c r="C419" s="4916"/>
      <c r="D419" s="4916"/>
      <c r="E419" s="4916"/>
      <c r="F419" s="4427"/>
      <c r="G419" s="5012" t="s">
        <v>50</v>
      </c>
      <c r="H419" s="5037" t="str">
        <f>MAR!I437</f>
        <v>Bagi Hasil dari Iuran Tetap (Land-Rent)</v>
      </c>
      <c r="I419" s="4919"/>
      <c r="J419" s="4958">
        <v>4202581000</v>
      </c>
      <c r="K419" s="4955">
        <v>2669992293</v>
      </c>
      <c r="L419" s="4922">
        <v>4168131000</v>
      </c>
      <c r="M419" s="4923">
        <v>1232728624</v>
      </c>
      <c r="N419" s="4922">
        <v>0</v>
      </c>
      <c r="O419" s="4922">
        <v>1232728624</v>
      </c>
      <c r="P419" s="4922">
        <v>4168131000</v>
      </c>
      <c r="Q419" s="4922">
        <f t="shared" si="78"/>
        <v>0</v>
      </c>
      <c r="R419" s="4924">
        <f t="shared" si="79"/>
        <v>0</v>
      </c>
      <c r="S419" s="3709"/>
      <c r="T419" s="3828"/>
      <c r="U419" s="1899"/>
      <c r="V419" s="1846">
        <f t="shared" si="71"/>
        <v>4930914496</v>
      </c>
    </row>
    <row r="420" spans="1:22" s="257" customFormat="1" ht="15.05" customHeight="1">
      <c r="A420" s="4916"/>
      <c r="B420" s="4916"/>
      <c r="C420" s="4916"/>
      <c r="D420" s="4916"/>
      <c r="E420" s="4916"/>
      <c r="F420" s="4427"/>
      <c r="G420" s="5012" t="s">
        <v>50</v>
      </c>
      <c r="H420" s="5037" t="str">
        <f>MAR!I438</f>
        <v>Bagi Hasil dari Iuran Eksplorasi dan Iuran Eksploitasi (Royalty)</v>
      </c>
      <c r="I420" s="4919"/>
      <c r="J420" s="4958">
        <v>78460000000</v>
      </c>
      <c r="K420" s="4955">
        <v>206662239328</v>
      </c>
      <c r="L420" s="4922">
        <v>163255902000</v>
      </c>
      <c r="M420" s="4923">
        <v>60654372288</v>
      </c>
      <c r="N420" s="4922">
        <v>0</v>
      </c>
      <c r="O420" s="4922">
        <v>60654372288</v>
      </c>
      <c r="P420" s="4922">
        <v>146755902000</v>
      </c>
      <c r="Q420" s="4922">
        <f t="shared" si="78"/>
        <v>-16500000000</v>
      </c>
      <c r="R420" s="4924">
        <f t="shared" si="79"/>
        <v>-10.1068321560589</v>
      </c>
      <c r="S420" s="3709"/>
      <c r="T420" s="3828"/>
      <c r="U420" s="1899"/>
      <c r="V420" s="1846">
        <f t="shared" si="71"/>
        <v>242617489152</v>
      </c>
    </row>
    <row r="421" spans="1:22" s="257" customFormat="1" ht="15.05" customHeight="1">
      <c r="A421" s="4916"/>
      <c r="B421" s="4916"/>
      <c r="C421" s="4916"/>
      <c r="D421" s="4916"/>
      <c r="E421" s="4916"/>
      <c r="F421" s="4919"/>
      <c r="G421" s="5075" t="s">
        <v>50</v>
      </c>
      <c r="H421" s="5076" t="s">
        <v>461</v>
      </c>
      <c r="I421" s="4919"/>
      <c r="J421" s="4958"/>
      <c r="K421" s="4955"/>
      <c r="L421" s="4922"/>
      <c r="M421" s="4923">
        <v>27250699</v>
      </c>
      <c r="N421" s="4922">
        <f>MAR!L439</f>
        <v>10119000</v>
      </c>
      <c r="O421" s="4922">
        <f>MAR!M439</f>
        <v>37369699</v>
      </c>
      <c r="P421" s="4922"/>
      <c r="Q421" s="4922">
        <f t="shared" si="78"/>
        <v>0</v>
      </c>
      <c r="R421" s="4924">
        <v>0</v>
      </c>
      <c r="S421" s="3709"/>
      <c r="T421" s="3828"/>
      <c r="U421" s="1899"/>
      <c r="V421" s="1846">
        <f t="shared" si="71"/>
        <v>149478796</v>
      </c>
    </row>
    <row r="422" spans="1:22" s="2917" customFormat="1" ht="15.05" customHeight="1">
      <c r="A422" s="5077" t="s">
        <v>443</v>
      </c>
      <c r="B422" s="5078" t="s">
        <v>460</v>
      </c>
      <c r="C422" s="5078" t="s">
        <v>460</v>
      </c>
      <c r="D422" s="5078"/>
      <c r="E422" s="5078"/>
      <c r="F422" s="5079" t="str">
        <f>MAR!H440</f>
        <v>DANA ALOKASI UMUM</v>
      </c>
      <c r="G422" s="5080"/>
      <c r="H422" s="5081"/>
      <c r="I422" s="5080"/>
      <c r="J422" s="5082">
        <f>J423</f>
        <v>955792513580</v>
      </c>
      <c r="K422" s="5082">
        <f>K423</f>
        <v>1117691709000</v>
      </c>
      <c r="L422" s="5082">
        <f>L423</f>
        <v>1496972549710</v>
      </c>
      <c r="M422" s="5083">
        <v>354005724000</v>
      </c>
      <c r="N422" s="5082">
        <f>N423</f>
        <v>118001908000</v>
      </c>
      <c r="O422" s="5082">
        <f>O423</f>
        <v>472007632000</v>
      </c>
      <c r="P422" s="5082">
        <f>P423</f>
        <v>1491522952000</v>
      </c>
      <c r="Q422" s="5082">
        <f t="shared" si="78"/>
        <v>-5449597710</v>
      </c>
      <c r="R422" s="5084">
        <f>+P422/L422*100-100</f>
        <v>-0.36404125854249969</v>
      </c>
      <c r="S422" s="3730"/>
      <c r="T422" s="3837"/>
      <c r="U422" s="3105"/>
      <c r="V422" s="2904">
        <f t="shared" si="71"/>
        <v>1888030528000</v>
      </c>
    </row>
    <row r="423" spans="1:22" s="1318" customFormat="1" ht="15.05" customHeight="1">
      <c r="A423" s="5085"/>
      <c r="B423" s="5085"/>
      <c r="C423" s="5085"/>
      <c r="D423" s="5085"/>
      <c r="E423" s="5085"/>
      <c r="F423" s="4967"/>
      <c r="G423" s="5086" t="str">
        <f>MAR!H441</f>
        <v>Dana Alokai Umum</v>
      </c>
      <c r="H423" s="5062"/>
      <c r="I423" s="3955"/>
      <c r="J423" s="5016">
        <v>955792513580</v>
      </c>
      <c r="K423" s="5017">
        <v>1117691709000</v>
      </c>
      <c r="L423" s="5087">
        <f>SUM(L424:L425)</f>
        <v>1496972549710</v>
      </c>
      <c r="M423" s="5088">
        <v>354005724000</v>
      </c>
      <c r="N423" s="5087">
        <f>SUM(N424:N425)</f>
        <v>118001908000</v>
      </c>
      <c r="O423" s="5087">
        <f>SUM(O424:O425)</f>
        <v>472007632000</v>
      </c>
      <c r="P423" s="5087">
        <f>P424</f>
        <v>1491522952000</v>
      </c>
      <c r="Q423" s="5087">
        <f t="shared" si="78"/>
        <v>-5449597710</v>
      </c>
      <c r="R423" s="5089">
        <f>+P423/L423*100-100</f>
        <v>-0.36404125854249969</v>
      </c>
      <c r="S423" s="3700"/>
      <c r="T423" s="3818"/>
      <c r="U423" s="3099"/>
      <c r="V423" s="1846">
        <f t="shared" ref="V423:V434" si="80">O423*4</f>
        <v>1888030528000</v>
      </c>
    </row>
    <row r="424" spans="1:22" s="3970" customFormat="1" ht="15.05" customHeight="1">
      <c r="A424" s="5138"/>
      <c r="B424" s="5138"/>
      <c r="C424" s="5138"/>
      <c r="D424" s="5138"/>
      <c r="E424" s="5138"/>
      <c r="F424" s="5139"/>
      <c r="G424" s="4425" t="s">
        <v>50</v>
      </c>
      <c r="H424" s="5091" t="str">
        <f>MAR!I442</f>
        <v>DAU Murni</v>
      </c>
      <c r="I424" s="4788"/>
      <c r="J424" s="5140"/>
      <c r="K424" s="5141"/>
      <c r="L424" s="5142">
        <v>1416022952000</v>
      </c>
      <c r="M424" s="5143">
        <v>354005724000</v>
      </c>
      <c r="N424" s="5142">
        <v>118001908000</v>
      </c>
      <c r="O424" s="5142">
        <v>472007632000</v>
      </c>
      <c r="P424" s="5142">
        <v>1491522952000</v>
      </c>
      <c r="Q424" s="5142">
        <f t="shared" si="78"/>
        <v>75500000000</v>
      </c>
      <c r="R424" s="5144">
        <f>+P424/L424*100-100</f>
        <v>5.3318344800388502</v>
      </c>
      <c r="S424" s="5145"/>
      <c r="T424" s="5146"/>
      <c r="U424" s="5147"/>
      <c r="V424" s="3969">
        <f t="shared" si="80"/>
        <v>1888030528000</v>
      </c>
    </row>
    <row r="425" spans="1:22" s="257" customFormat="1" ht="15.05" customHeight="1">
      <c r="A425" s="4916"/>
      <c r="B425" s="4916"/>
      <c r="C425" s="4916"/>
      <c r="D425" s="4916"/>
      <c r="E425" s="4916"/>
      <c r="F425" s="4427"/>
      <c r="G425" s="5012" t="s">
        <v>50</v>
      </c>
      <c r="H425" s="5037" t="str">
        <f>MAR!I443</f>
        <v>Penambahan DAU Akibat Penundaan</v>
      </c>
      <c r="I425" s="4919"/>
      <c r="J425" s="4958"/>
      <c r="K425" s="4955"/>
      <c r="L425" s="4922">
        <v>80949597710</v>
      </c>
      <c r="M425" s="4923">
        <v>0</v>
      </c>
      <c r="N425" s="4922">
        <v>0</v>
      </c>
      <c r="O425" s="4922">
        <v>0</v>
      </c>
      <c r="P425" s="4922">
        <v>0</v>
      </c>
      <c r="Q425" s="4922">
        <f t="shared" si="78"/>
        <v>-80949597710</v>
      </c>
      <c r="R425" s="4924">
        <f>+P425/L425*100-100</f>
        <v>-100</v>
      </c>
      <c r="S425" s="3709"/>
      <c r="T425" s="3828"/>
      <c r="U425" s="1899"/>
      <c r="V425" s="1846">
        <f t="shared" si="80"/>
        <v>0</v>
      </c>
    </row>
    <row r="426" spans="1:22" s="257" customFormat="1" ht="15.05" customHeight="1">
      <c r="A426" s="4916"/>
      <c r="B426" s="4916"/>
      <c r="C426" s="4916"/>
      <c r="D426" s="4916"/>
      <c r="E426" s="4916"/>
      <c r="F426" s="4917"/>
      <c r="G426" s="4919"/>
      <c r="H426" s="5076"/>
      <c r="I426" s="4919"/>
      <c r="J426" s="4958"/>
      <c r="K426" s="4955"/>
      <c r="L426" s="4922"/>
      <c r="M426" s="4923"/>
      <c r="N426" s="4922"/>
      <c r="O426" s="4922"/>
      <c r="P426" s="4922"/>
      <c r="Q426" s="4922"/>
      <c r="R426" s="4924"/>
      <c r="S426" s="3712"/>
      <c r="T426" s="3831"/>
      <c r="U426" s="1899"/>
      <c r="V426" s="1846">
        <f t="shared" si="80"/>
        <v>0</v>
      </c>
    </row>
    <row r="427" spans="1:22" s="2917" customFormat="1" ht="15.05" customHeight="1">
      <c r="A427" s="5077" t="s">
        <v>443</v>
      </c>
      <c r="B427" s="5078" t="s">
        <v>460</v>
      </c>
      <c r="C427" s="5078" t="s">
        <v>457</v>
      </c>
      <c r="D427" s="5078"/>
      <c r="E427" s="5078"/>
      <c r="F427" s="5090" t="str">
        <f>MAR!H445</f>
        <v>DANA ALOKASI KHUSUS</v>
      </c>
      <c r="G427" s="5080"/>
      <c r="H427" s="5081"/>
      <c r="I427" s="5080"/>
      <c r="J427" s="5082">
        <f>J428</f>
        <v>1129857085000</v>
      </c>
      <c r="K427" s="5082">
        <f>K428</f>
        <v>1094456229356</v>
      </c>
      <c r="L427" s="5082">
        <f>L428</f>
        <v>1372422968000</v>
      </c>
      <c r="M427" s="5083">
        <v>171755600000</v>
      </c>
      <c r="N427" s="5082">
        <f>N428</f>
        <v>65166318000</v>
      </c>
      <c r="O427" s="5082">
        <f>O428</f>
        <v>236921918000</v>
      </c>
      <c r="P427" s="5082">
        <f>P428</f>
        <v>1391780032730</v>
      </c>
      <c r="Q427" s="5082">
        <f t="shared" ref="Q427:Q434" si="81">+P427-L427</f>
        <v>19357064730</v>
      </c>
      <c r="R427" s="5084">
        <f t="shared" ref="R427:R434" si="82">+P427/L427*100-100</f>
        <v>1.4104299608311379</v>
      </c>
      <c r="S427" s="3730"/>
      <c r="T427" s="3837"/>
      <c r="U427" s="3105"/>
      <c r="V427" s="2904">
        <f t="shared" si="80"/>
        <v>947687672000</v>
      </c>
    </row>
    <row r="428" spans="1:22" s="1318" customFormat="1" ht="15.05" customHeight="1">
      <c r="A428" s="5085"/>
      <c r="B428" s="5085"/>
      <c r="C428" s="5085"/>
      <c r="D428" s="5085"/>
      <c r="E428" s="5085"/>
      <c r="F428" s="4967"/>
      <c r="G428" s="5086" t="str">
        <f>MAR!H446</f>
        <v>Dana Alokasi Khusus</v>
      </c>
      <c r="H428" s="5062"/>
      <c r="I428" s="3955"/>
      <c r="J428" s="5087">
        <f>J429+J437</f>
        <v>1129857085000</v>
      </c>
      <c r="K428" s="5087">
        <f>K429+K437</f>
        <v>1094456229356</v>
      </c>
      <c r="L428" s="5087">
        <f>L429+L437</f>
        <v>1372422968000</v>
      </c>
      <c r="M428" s="5088">
        <v>171755600000</v>
      </c>
      <c r="N428" s="5087">
        <f>N429+N437</f>
        <v>65166318000</v>
      </c>
      <c r="O428" s="5087">
        <f>O429+O437</f>
        <v>236921918000</v>
      </c>
      <c r="P428" s="5087">
        <f>P429+P437</f>
        <v>1391780032730</v>
      </c>
      <c r="Q428" s="5087">
        <f t="shared" si="81"/>
        <v>19357064730</v>
      </c>
      <c r="R428" s="5089">
        <f t="shared" si="82"/>
        <v>1.4104299608311379</v>
      </c>
      <c r="S428" s="3706"/>
      <c r="T428" s="3824"/>
      <c r="U428" s="3099"/>
      <c r="V428" s="1846">
        <f t="shared" si="80"/>
        <v>947687672000</v>
      </c>
    </row>
    <row r="429" spans="1:22" s="1318" customFormat="1" ht="15.05" customHeight="1">
      <c r="A429" s="5071"/>
      <c r="B429" s="5071"/>
      <c r="C429" s="5071"/>
      <c r="D429" s="5071"/>
      <c r="E429" s="5071"/>
      <c r="F429" s="4990"/>
      <c r="G429" s="3947"/>
      <c r="H429" s="5073" t="str">
        <f>MAR!I447</f>
        <v>DAK Murni Non Fisik</v>
      </c>
      <c r="I429" s="5000"/>
      <c r="J429" s="5003">
        <f>SUM(J430:J436)</f>
        <v>625147065000</v>
      </c>
      <c r="K429" s="5003">
        <f>SUM(K430:K436)</f>
        <v>840054801000</v>
      </c>
      <c r="L429" s="5003">
        <f>SUM(L430:L436)</f>
        <v>1074923968000</v>
      </c>
      <c r="M429" s="5004">
        <v>171755600000</v>
      </c>
      <c r="N429" s="5003">
        <f>SUM(N430:N434)</f>
        <v>65166318000</v>
      </c>
      <c r="O429" s="5003">
        <f>SUM(O430:O434)</f>
        <v>236921918000</v>
      </c>
      <c r="P429" s="5003">
        <v>1074923968000</v>
      </c>
      <c r="Q429" s="5003">
        <f t="shared" si="81"/>
        <v>0</v>
      </c>
      <c r="R429" s="5074">
        <f t="shared" si="82"/>
        <v>0</v>
      </c>
      <c r="S429" s="3711"/>
      <c r="T429" s="3830"/>
      <c r="U429" s="1936"/>
      <c r="V429" s="1846">
        <f t="shared" si="80"/>
        <v>947687672000</v>
      </c>
    </row>
    <row r="430" spans="1:22" s="257" customFormat="1" ht="15.05" customHeight="1">
      <c r="A430" s="4916"/>
      <c r="B430" s="4916"/>
      <c r="C430" s="4916"/>
      <c r="D430" s="4916"/>
      <c r="E430" s="4916"/>
      <c r="F430" s="4427"/>
      <c r="G430" s="3931"/>
      <c r="H430" s="5037" t="str">
        <f>MAR!I448</f>
        <v>- BOS</v>
      </c>
      <c r="I430" s="4919"/>
      <c r="J430" s="4958">
        <v>619824550000</v>
      </c>
      <c r="K430" s="4955">
        <v>826042895000</v>
      </c>
      <c r="L430" s="4922">
        <v>858778000000</v>
      </c>
      <c r="M430" s="4923">
        <v>171755600000</v>
      </c>
      <c r="N430" s="4922">
        <v>0</v>
      </c>
      <c r="O430" s="4922">
        <v>171755600000</v>
      </c>
      <c r="P430" s="4922">
        <v>858778000000</v>
      </c>
      <c r="Q430" s="4922">
        <f t="shared" si="81"/>
        <v>0</v>
      </c>
      <c r="R430" s="4924">
        <f t="shared" si="82"/>
        <v>0</v>
      </c>
      <c r="S430" s="3709"/>
      <c r="T430" s="3828"/>
      <c r="U430" s="1899"/>
      <c r="V430" s="1846">
        <f t="shared" si="80"/>
        <v>687022400000</v>
      </c>
    </row>
    <row r="431" spans="1:22" s="257" customFormat="1" ht="15.05" customHeight="1">
      <c r="A431" s="4916"/>
      <c r="B431" s="4916"/>
      <c r="C431" s="4916"/>
      <c r="D431" s="4916"/>
      <c r="E431" s="4916"/>
      <c r="F431" s="4427"/>
      <c r="G431" s="3931"/>
      <c r="H431" s="5037" t="str">
        <f>MAR!I449</f>
        <v>- Tunjangan Profesi Guru</v>
      </c>
      <c r="I431" s="4919"/>
      <c r="J431" s="4958"/>
      <c r="K431" s="4955"/>
      <c r="L431" s="4922">
        <v>207376785000</v>
      </c>
      <c r="M431" s="4923">
        <v>0</v>
      </c>
      <c r="N431" s="4922">
        <v>62213035000</v>
      </c>
      <c r="O431" s="4922">
        <v>62213035000</v>
      </c>
      <c r="P431" s="4922">
        <v>207376785000</v>
      </c>
      <c r="Q431" s="4922">
        <f t="shared" si="81"/>
        <v>0</v>
      </c>
      <c r="R431" s="4924">
        <f t="shared" si="82"/>
        <v>0</v>
      </c>
      <c r="S431" s="3709"/>
      <c r="T431" s="3828"/>
      <c r="U431" s="1899"/>
      <c r="V431" s="1846">
        <f t="shared" si="80"/>
        <v>248852140000</v>
      </c>
    </row>
    <row r="432" spans="1:22" s="257" customFormat="1" ht="15.05" customHeight="1">
      <c r="A432" s="4916"/>
      <c r="B432" s="4916"/>
      <c r="C432" s="4916"/>
      <c r="D432" s="4916"/>
      <c r="E432" s="4916"/>
      <c r="F432" s="4427"/>
      <c r="G432" s="3931"/>
      <c r="H432" s="5037" t="str">
        <f>MAR!I450</f>
        <v>- Tambahan Penghasilan</v>
      </c>
      <c r="I432" s="4919"/>
      <c r="J432" s="4958"/>
      <c r="K432" s="4955"/>
      <c r="L432" s="4922">
        <v>4737000000</v>
      </c>
      <c r="M432" s="4923">
        <v>0</v>
      </c>
      <c r="N432" s="4922">
        <v>1421100000</v>
      </c>
      <c r="O432" s="4922">
        <v>1421100000</v>
      </c>
      <c r="P432" s="4922">
        <v>4737000000</v>
      </c>
      <c r="Q432" s="4922">
        <f t="shared" si="81"/>
        <v>0</v>
      </c>
      <c r="R432" s="4924">
        <f t="shared" si="82"/>
        <v>0</v>
      </c>
      <c r="S432" s="3709"/>
      <c r="T432" s="3828"/>
      <c r="U432" s="1899"/>
      <c r="V432" s="1846">
        <f t="shared" si="80"/>
        <v>5684400000</v>
      </c>
    </row>
    <row r="433" spans="1:22" s="257" customFormat="1" ht="15.05" customHeight="1">
      <c r="A433" s="1886"/>
      <c r="B433" s="1886"/>
      <c r="C433" s="1886"/>
      <c r="D433" s="1886"/>
      <c r="E433" s="1886"/>
      <c r="F433" s="2214"/>
      <c r="G433" s="200"/>
      <c r="H433" s="2852" t="str">
        <f>MAR!I451</f>
        <v>- Koperasi UKM</v>
      </c>
      <c r="I433" s="856"/>
      <c r="J433" s="3238">
        <v>2500000000</v>
      </c>
      <c r="K433" s="3173">
        <v>5000000000</v>
      </c>
      <c r="L433" s="3174">
        <v>2500000000</v>
      </c>
      <c r="M433" s="3175">
        <v>0</v>
      </c>
      <c r="N433" s="3174">
        <v>1532183000</v>
      </c>
      <c r="O433" s="3174">
        <v>1532183000</v>
      </c>
      <c r="P433" s="3174">
        <v>2500000000</v>
      </c>
      <c r="Q433" s="3174">
        <f t="shared" si="81"/>
        <v>0</v>
      </c>
      <c r="R433" s="3612">
        <f t="shared" si="82"/>
        <v>0</v>
      </c>
      <c r="S433" s="3709"/>
      <c r="T433" s="3828"/>
      <c r="U433" s="1899"/>
      <c r="V433" s="1846">
        <f t="shared" si="80"/>
        <v>6128732000</v>
      </c>
    </row>
    <row r="434" spans="1:22" s="257" customFormat="1" ht="15.05" customHeight="1">
      <c r="A434" s="1886"/>
      <c r="B434" s="1886"/>
      <c r="C434" s="1886"/>
      <c r="D434" s="1886"/>
      <c r="E434" s="1886"/>
      <c r="F434" s="2214"/>
      <c r="G434" s="200"/>
      <c r="H434" s="2852" t="str">
        <f>MAR!I452</f>
        <v>- Dinas Sosial Kependudukan</v>
      </c>
      <c r="I434" s="856"/>
      <c r="J434" s="3238">
        <v>0</v>
      </c>
      <c r="K434" s="3173">
        <v>4151773000</v>
      </c>
      <c r="L434" s="3174">
        <v>1532183000</v>
      </c>
      <c r="M434" s="3175">
        <v>0</v>
      </c>
      <c r="N434" s="3174">
        <v>0</v>
      </c>
      <c r="O434" s="3174">
        <v>0</v>
      </c>
      <c r="P434" s="3174">
        <v>1532183000</v>
      </c>
      <c r="Q434" s="3174">
        <f t="shared" si="81"/>
        <v>0</v>
      </c>
      <c r="R434" s="3612">
        <f t="shared" si="82"/>
        <v>0</v>
      </c>
      <c r="S434" s="3709"/>
      <c r="T434" s="3828"/>
      <c r="U434" s="1899"/>
      <c r="V434" s="1846">
        <f t="shared" si="80"/>
        <v>0</v>
      </c>
    </row>
    <row r="435" spans="1:22" s="257" customFormat="1" ht="15.05" customHeight="1">
      <c r="A435" s="1886"/>
      <c r="B435" s="1886"/>
      <c r="C435" s="1886"/>
      <c r="D435" s="1886"/>
      <c r="E435" s="1886"/>
      <c r="F435" s="2214"/>
      <c r="G435" s="200"/>
      <c r="H435" s="2855" t="s">
        <v>610</v>
      </c>
      <c r="I435" s="856"/>
      <c r="J435" s="3238">
        <v>708360000</v>
      </c>
      <c r="K435" s="3173">
        <v>708360000</v>
      </c>
      <c r="L435" s="3174"/>
      <c r="M435" s="3175"/>
      <c r="N435" s="3174"/>
      <c r="O435" s="3182">
        <f>L463+L464</f>
        <v>51419400</v>
      </c>
      <c r="P435" s="3174"/>
      <c r="Q435" s="3174"/>
      <c r="R435" s="3612"/>
      <c r="S435" s="3709"/>
      <c r="T435" s="3828"/>
      <c r="U435" s="1899"/>
      <c r="V435" s="1846"/>
    </row>
    <row r="436" spans="1:22" s="257" customFormat="1" ht="15.05" customHeight="1">
      <c r="A436" s="1886"/>
      <c r="B436" s="1886"/>
      <c r="C436" s="1886"/>
      <c r="D436" s="1886"/>
      <c r="E436" s="1886"/>
      <c r="F436" s="2214"/>
      <c r="G436" s="200"/>
      <c r="H436" s="2855" t="s">
        <v>611</v>
      </c>
      <c r="I436" s="856"/>
      <c r="J436" s="3238">
        <v>2114155000</v>
      </c>
      <c r="K436" s="3173">
        <v>4151773000</v>
      </c>
      <c r="L436" s="3174"/>
      <c r="M436" s="3175"/>
      <c r="N436" s="3174"/>
      <c r="O436" s="3174"/>
      <c r="P436" s="3174"/>
      <c r="Q436" s="3174"/>
      <c r="R436" s="3612"/>
      <c r="S436" s="3709"/>
      <c r="T436" s="3828"/>
      <c r="U436" s="1899"/>
      <c r="V436" s="1846"/>
    </row>
    <row r="437" spans="1:22" s="5154" customFormat="1" ht="15.05" customHeight="1">
      <c r="A437" s="5148"/>
      <c r="B437" s="5148"/>
      <c r="C437" s="5148"/>
      <c r="D437" s="5148"/>
      <c r="E437" s="5148"/>
      <c r="F437" s="5149"/>
      <c r="G437" s="5129"/>
      <c r="H437" s="5092" t="str">
        <f>MAR!I453</f>
        <v>DAK Fisik</v>
      </c>
      <c r="I437" s="5150"/>
      <c r="J437" s="5151">
        <f>504710020000</f>
        <v>504710020000</v>
      </c>
      <c r="K437" s="5152">
        <f>10319496286+1625920000+1450931000+28095350000+184689298167+18179605000+10040827903</f>
        <v>254401428356</v>
      </c>
      <c r="L437" s="5142">
        <f>MAR!J453</f>
        <v>297499000000</v>
      </c>
      <c r="M437" s="5143">
        <v>0</v>
      </c>
      <c r="N437" s="5142">
        <f>MAR!L453</f>
        <v>0</v>
      </c>
      <c r="O437" s="5142">
        <f>MAR!M453</f>
        <v>0</v>
      </c>
      <c r="P437" s="5142">
        <f>297498304000+19357760730</f>
        <v>316856064730</v>
      </c>
      <c r="Q437" s="5142">
        <f>+P437-L437</f>
        <v>19357064730</v>
      </c>
      <c r="R437" s="5144">
        <f>+P437/L437*100-100</f>
        <v>6.5065982507504145</v>
      </c>
      <c r="S437" s="5145"/>
      <c r="T437" s="5146"/>
      <c r="U437" s="5153"/>
      <c r="V437" s="3969">
        <f>O437*4</f>
        <v>0</v>
      </c>
    </row>
    <row r="438" spans="1:22" s="1318" customFormat="1" ht="15.05" hidden="1" customHeight="1">
      <c r="A438" s="1902"/>
      <c r="B438" s="1902"/>
      <c r="C438" s="1902"/>
      <c r="D438" s="1902"/>
      <c r="E438" s="1902"/>
      <c r="F438" s="2856"/>
      <c r="G438" s="2322"/>
      <c r="H438" s="2857"/>
      <c r="I438" s="2322"/>
      <c r="J438" s="3272"/>
      <c r="K438" s="3142"/>
      <c r="L438" s="3174"/>
      <c r="M438" s="3175"/>
      <c r="N438" s="3174"/>
      <c r="O438" s="3174"/>
      <c r="P438" s="3174"/>
      <c r="Q438" s="3174"/>
      <c r="R438" s="3612"/>
      <c r="S438" s="3709"/>
      <c r="T438" s="3828"/>
      <c r="U438" s="1936"/>
      <c r="V438" s="1846"/>
    </row>
    <row r="439" spans="1:22" s="257" customFormat="1" ht="15.05" customHeight="1">
      <c r="A439" s="1886"/>
      <c r="B439" s="1886"/>
      <c r="C439" s="1886"/>
      <c r="D439" s="1886"/>
      <c r="E439" s="1886"/>
      <c r="F439" s="2356"/>
      <c r="G439" s="856"/>
      <c r="H439" s="2858"/>
      <c r="I439" s="856"/>
      <c r="J439" s="3238">
        <f>13870510900-J441</f>
        <v>0</v>
      </c>
      <c r="K439" s="3173">
        <f>13001891981.54-K441</f>
        <v>0</v>
      </c>
      <c r="L439" s="3174"/>
      <c r="M439" s="3175"/>
      <c r="N439" s="3174"/>
      <c r="O439" s="3174"/>
      <c r="P439" s="3174"/>
      <c r="Q439" s="3174"/>
      <c r="R439" s="3612"/>
      <c r="S439" s="3712"/>
      <c r="T439" s="3831"/>
      <c r="U439" s="1899"/>
      <c r="V439" s="1846">
        <f t="shared" ref="V439:V469" si="83">O439*4</f>
        <v>0</v>
      </c>
    </row>
    <row r="440" spans="1:22" s="2971" customFormat="1" ht="15.05" customHeight="1">
      <c r="A440" s="2966">
        <v>4</v>
      </c>
      <c r="B440" s="2966" t="s">
        <v>457</v>
      </c>
      <c r="C440" s="2966"/>
      <c r="D440" s="2966"/>
      <c r="E440" s="2966"/>
      <c r="F440" s="2967" t="s">
        <v>612</v>
      </c>
      <c r="G440" s="2968"/>
      <c r="H440" s="2969"/>
      <c r="I440" s="2969"/>
      <c r="J440" s="3299">
        <f t="shared" ref="J440:Q440" si="84">+J441+J575</f>
        <v>19284510900</v>
      </c>
      <c r="K440" s="3299">
        <f t="shared" si="84"/>
        <v>18001891981.540001</v>
      </c>
      <c r="L440" s="3299">
        <f t="shared" si="84"/>
        <v>67264821900</v>
      </c>
      <c r="M440" s="3299">
        <f t="shared" si="84"/>
        <v>804203846.99000001</v>
      </c>
      <c r="N440" s="3299">
        <f t="shared" si="84"/>
        <v>27120019500</v>
      </c>
      <c r="O440" s="3299">
        <f t="shared" si="84"/>
        <v>46044223346.990005</v>
      </c>
      <c r="P440" s="3299">
        <f t="shared" si="84"/>
        <v>85598457900</v>
      </c>
      <c r="Q440" s="3299">
        <f t="shared" si="84"/>
        <v>18333636000</v>
      </c>
      <c r="R440" s="3439">
        <f>+P440/L440*100-100</f>
        <v>27.255905066181413</v>
      </c>
      <c r="S440" s="3754"/>
      <c r="T440" s="3855"/>
      <c r="U440" s="3809"/>
      <c r="V440" s="2964">
        <f t="shared" si="83"/>
        <v>184176893387.96002</v>
      </c>
    </row>
    <row r="441" spans="1:22" s="3119" customFormat="1" ht="15.05" customHeight="1">
      <c r="A441" s="3116">
        <v>4</v>
      </c>
      <c r="B441" s="3093" t="s">
        <v>457</v>
      </c>
      <c r="C441" s="3093" t="s">
        <v>58</v>
      </c>
      <c r="D441" s="3093"/>
      <c r="E441" s="3093"/>
      <c r="F441" s="3094" t="s">
        <v>613</v>
      </c>
      <c r="G441" s="3095"/>
      <c r="H441" s="3096"/>
      <c r="I441" s="3097"/>
      <c r="J441" s="3300">
        <f>J442+J443</f>
        <v>13870510900</v>
      </c>
      <c r="K441" s="3300">
        <f t="shared" ref="K441:P441" si="85">K442+K443</f>
        <v>13001891981.540001</v>
      </c>
      <c r="L441" s="3300">
        <f>L442+L443</f>
        <v>13870510900</v>
      </c>
      <c r="M441" s="3300">
        <f t="shared" si="85"/>
        <v>804203846.99000001</v>
      </c>
      <c r="N441" s="3300">
        <f t="shared" si="85"/>
        <v>422864500</v>
      </c>
      <c r="O441" s="3300">
        <f t="shared" si="85"/>
        <v>19347068346.990002</v>
      </c>
      <c r="P441" s="3300">
        <f t="shared" si="85"/>
        <v>32204146900</v>
      </c>
      <c r="Q441" s="3294">
        <f t="shared" ref="Q441:Q469" si="86">+P441-L441</f>
        <v>18333636000</v>
      </c>
      <c r="R441" s="3638">
        <f>+P441/L441*100-100</f>
        <v>132.17707791859348</v>
      </c>
      <c r="S441" s="3730"/>
      <c r="T441" s="3837"/>
      <c r="U441" s="3117"/>
      <c r="V441" s="3118">
        <f t="shared" si="83"/>
        <v>77388273387.960007</v>
      </c>
    </row>
    <row r="442" spans="1:22" s="257" customFormat="1" ht="15.05" customHeight="1">
      <c r="A442" s="1889">
        <v>4</v>
      </c>
      <c r="B442" s="1889" t="s">
        <v>457</v>
      </c>
      <c r="C442" s="1889" t="s">
        <v>58</v>
      </c>
      <c r="D442" s="1889" t="s">
        <v>457</v>
      </c>
      <c r="E442" s="1905" t="s">
        <v>58</v>
      </c>
      <c r="F442" s="2827" t="s">
        <v>267</v>
      </c>
      <c r="G442" s="2828"/>
      <c r="H442" s="212"/>
      <c r="I442" s="2859"/>
      <c r="J442" s="3214"/>
      <c r="K442" s="3155"/>
      <c r="L442" s="3234">
        <v>0</v>
      </c>
      <c r="M442" s="3198"/>
      <c r="N442" s="3234"/>
      <c r="O442" s="3197"/>
      <c r="P442" s="3234">
        <f>MAR!N457</f>
        <v>0</v>
      </c>
      <c r="Q442" s="3197">
        <f t="shared" si="86"/>
        <v>0</v>
      </c>
      <c r="R442" s="5093">
        <v>0</v>
      </c>
      <c r="S442" s="3713"/>
      <c r="T442" s="3832"/>
      <c r="U442" s="1900"/>
      <c r="V442" s="1846">
        <f t="shared" si="83"/>
        <v>0</v>
      </c>
    </row>
    <row r="443" spans="1:22" s="2920" customFormat="1" ht="15.05" customHeight="1">
      <c r="A443" s="1905">
        <v>4</v>
      </c>
      <c r="B443" s="1905" t="s">
        <v>457</v>
      </c>
      <c r="C443" s="1905" t="s">
        <v>58</v>
      </c>
      <c r="D443" s="1905" t="s">
        <v>457</v>
      </c>
      <c r="E443" s="1905" t="s">
        <v>460</v>
      </c>
      <c r="F443" s="2827" t="s">
        <v>269</v>
      </c>
      <c r="G443" s="2828"/>
      <c r="H443" s="212"/>
      <c r="I443" s="2859"/>
      <c r="J443" s="3197">
        <f t="shared" ref="J443:P443" si="87">J444+J462+J459+J465+J471+J476+J481+J498+J501+J504+J507+J510+J513+J516+J519+J522+J524+J527+J529+J531+J533+J535+J539+J541+J545+J547+J550+J552+J554+J556+J558+J560+J562+J564+J567+J569+J571+J573</f>
        <v>13870510900</v>
      </c>
      <c r="K443" s="3197">
        <f t="shared" si="87"/>
        <v>13001891981.540001</v>
      </c>
      <c r="L443" s="3197">
        <f t="shared" si="87"/>
        <v>13870510900</v>
      </c>
      <c r="M443" s="3197">
        <f t="shared" si="87"/>
        <v>804203846.99000001</v>
      </c>
      <c r="N443" s="3197">
        <f t="shared" si="87"/>
        <v>422864500</v>
      </c>
      <c r="O443" s="3197">
        <f t="shared" si="87"/>
        <v>19347068346.990002</v>
      </c>
      <c r="P443" s="3197">
        <f t="shared" si="87"/>
        <v>32204146900</v>
      </c>
      <c r="Q443" s="3197">
        <f t="shared" si="86"/>
        <v>18333636000</v>
      </c>
      <c r="R443" s="5093">
        <f>+P443/L443*100-100</f>
        <v>132.17707791859348</v>
      </c>
      <c r="S443" s="3713"/>
      <c r="T443" s="3832"/>
      <c r="U443" s="3120"/>
      <c r="V443" s="2923">
        <f t="shared" si="83"/>
        <v>77388273387.960007</v>
      </c>
    </row>
    <row r="444" spans="1:22" s="3896" customFormat="1" ht="15.05" customHeight="1">
      <c r="A444" s="1855"/>
      <c r="B444" s="1855"/>
      <c r="C444" s="1855"/>
      <c r="D444" s="1855"/>
      <c r="E444" s="1855"/>
      <c r="F444" s="1464" t="s">
        <v>614</v>
      </c>
      <c r="G444" s="1860"/>
      <c r="H444" s="202"/>
      <c r="I444" s="202"/>
      <c r="J444" s="3259">
        <f>+J445</f>
        <v>4625000</v>
      </c>
      <c r="K444" s="3200">
        <v>0</v>
      </c>
      <c r="L444" s="3182">
        <f>SUM(L445:L446)</f>
        <v>4625000</v>
      </c>
      <c r="M444" s="3183">
        <v>0</v>
      </c>
      <c r="N444" s="3182">
        <f>SUM(N445:N446)</f>
        <v>0</v>
      </c>
      <c r="O444" s="3182">
        <f>N444+M444</f>
        <v>0</v>
      </c>
      <c r="P444" s="3182">
        <v>4625000</v>
      </c>
      <c r="Q444" s="3182">
        <f t="shared" si="86"/>
        <v>0</v>
      </c>
      <c r="R444" s="3914">
        <f>+P444/L444*100-100</f>
        <v>0</v>
      </c>
      <c r="S444" s="4356"/>
      <c r="T444" s="4357"/>
      <c r="U444" s="4282"/>
      <c r="V444" s="3925">
        <f t="shared" si="83"/>
        <v>0</v>
      </c>
    </row>
    <row r="445" spans="1:22" s="3896" customFormat="1" ht="15.05" customHeight="1">
      <c r="A445" s="1855"/>
      <c r="B445" s="1855"/>
      <c r="C445" s="1855"/>
      <c r="D445" s="1855"/>
      <c r="E445" s="1855"/>
      <c r="F445" s="1857" t="s">
        <v>50</v>
      </c>
      <c r="G445" s="1858"/>
      <c r="H445" s="200" t="s">
        <v>615</v>
      </c>
      <c r="I445" s="200"/>
      <c r="J445" s="3215">
        <v>4625000</v>
      </c>
      <c r="K445" s="3301">
        <v>0</v>
      </c>
      <c r="L445" s="3125">
        <v>4625000</v>
      </c>
      <c r="M445" s="3124">
        <v>0</v>
      </c>
      <c r="N445" s="3125">
        <v>0</v>
      </c>
      <c r="O445" s="3125">
        <v>0</v>
      </c>
      <c r="P445" s="3125">
        <v>4625000</v>
      </c>
      <c r="Q445" s="3125">
        <f t="shared" si="86"/>
        <v>0</v>
      </c>
      <c r="R445" s="3926">
        <f>+P445/L445*100-100</f>
        <v>0</v>
      </c>
      <c r="S445" s="4335"/>
      <c r="T445" s="3922"/>
      <c r="U445" s="4353">
        <f>PerDinas!Q637</f>
        <v>0</v>
      </c>
      <c r="V445" s="3925">
        <f t="shared" si="83"/>
        <v>0</v>
      </c>
    </row>
    <row r="446" spans="1:22" s="257" customFormat="1" ht="15.05" customHeight="1">
      <c r="A446" s="1855"/>
      <c r="B446" s="1855"/>
      <c r="C446" s="1855"/>
      <c r="D446" s="1855"/>
      <c r="E446" s="1855"/>
      <c r="F446" s="1857" t="s">
        <v>50</v>
      </c>
      <c r="G446" s="1858"/>
      <c r="H446" s="200" t="s">
        <v>85</v>
      </c>
      <c r="I446" s="200"/>
      <c r="J446" s="3215" t="s">
        <v>700</v>
      </c>
      <c r="K446" s="3302"/>
      <c r="L446" s="3125">
        <f>MAR!J485</f>
        <v>0</v>
      </c>
      <c r="M446" s="3124">
        <v>0</v>
      </c>
      <c r="N446" s="3125">
        <f>MAR!L485</f>
        <v>0</v>
      </c>
      <c r="O446" s="3125">
        <f>MAR!M485</f>
        <v>0</v>
      </c>
      <c r="P446" s="3125">
        <v>0</v>
      </c>
      <c r="Q446" s="3125">
        <f t="shared" si="86"/>
        <v>0</v>
      </c>
      <c r="R446" s="3926">
        <v>0</v>
      </c>
      <c r="S446" s="3748"/>
      <c r="T446" s="3826"/>
      <c r="U446" s="3778">
        <f>PerDinas!Q638</f>
        <v>0</v>
      </c>
      <c r="V446" s="1846">
        <f t="shared" si="83"/>
        <v>0</v>
      </c>
    </row>
    <row r="447" spans="1:22" s="257" customFormat="1" ht="15.05" hidden="1" customHeight="1">
      <c r="A447" s="1855"/>
      <c r="B447" s="1855"/>
      <c r="C447" s="1855"/>
      <c r="D447" s="1855"/>
      <c r="E447" s="1855"/>
      <c r="F447" s="1464" t="s">
        <v>616</v>
      </c>
      <c r="G447" s="1860"/>
      <c r="H447" s="202"/>
      <c r="I447" s="202"/>
      <c r="J447" s="3259"/>
      <c r="K447" s="3302"/>
      <c r="L447" s="3182">
        <f>L448+L449</f>
        <v>0</v>
      </c>
      <c r="M447" s="3183">
        <v>0</v>
      </c>
      <c r="N447" s="3182">
        <f>N448+N449</f>
        <v>0</v>
      </c>
      <c r="O447" s="3182">
        <f>N447+M447</f>
        <v>0</v>
      </c>
      <c r="P447" s="3182">
        <v>0</v>
      </c>
      <c r="Q447" s="3182">
        <f t="shared" si="86"/>
        <v>0</v>
      </c>
      <c r="R447" s="3914" t="e">
        <f t="shared" ref="R447:R463" si="88">+P447/L447*100-100</f>
        <v>#DIV/0!</v>
      </c>
      <c r="S447" s="3710"/>
      <c r="T447" s="3829"/>
      <c r="U447" s="3777"/>
      <c r="V447" s="1846">
        <f t="shared" si="83"/>
        <v>0</v>
      </c>
    </row>
    <row r="448" spans="1:22" s="257" customFormat="1" ht="15.05" hidden="1" customHeight="1">
      <c r="A448" s="1855"/>
      <c r="B448" s="1855"/>
      <c r="C448" s="1855"/>
      <c r="D448" s="1855"/>
      <c r="E448" s="1855"/>
      <c r="F448" s="1857" t="s">
        <v>50</v>
      </c>
      <c r="G448" s="1858"/>
      <c r="H448" s="200" t="s">
        <v>85</v>
      </c>
      <c r="I448" s="200"/>
      <c r="J448" s="3215"/>
      <c r="K448" s="3302"/>
      <c r="L448" s="3125">
        <f>MAR!J127</f>
        <v>0</v>
      </c>
      <c r="M448" s="3124">
        <v>0</v>
      </c>
      <c r="N448" s="3125">
        <f>MAR!L127</f>
        <v>0</v>
      </c>
      <c r="O448" s="3125">
        <f>MAR!M127</f>
        <v>0</v>
      </c>
      <c r="P448" s="3125">
        <v>0</v>
      </c>
      <c r="Q448" s="3125">
        <f t="shared" si="86"/>
        <v>0</v>
      </c>
      <c r="R448" s="3926" t="e">
        <f t="shared" si="88"/>
        <v>#DIV/0!</v>
      </c>
      <c r="S448" s="3748"/>
      <c r="T448" s="3826"/>
      <c r="U448" s="3778">
        <f>PerDinas!Q583</f>
        <v>0</v>
      </c>
      <c r="V448" s="1846">
        <f t="shared" si="83"/>
        <v>0</v>
      </c>
    </row>
    <row r="449" spans="1:22" s="257" customFormat="1" ht="15.05" hidden="1" customHeight="1">
      <c r="A449" s="1855"/>
      <c r="B449" s="1855"/>
      <c r="C449" s="1855"/>
      <c r="D449" s="1855"/>
      <c r="E449" s="1855"/>
      <c r="F449" s="1857"/>
      <c r="G449" s="1858"/>
      <c r="H449" s="200"/>
      <c r="I449" s="200"/>
      <c r="J449" s="3215"/>
      <c r="K449" s="3302"/>
      <c r="L449" s="3125"/>
      <c r="M449" s="3124"/>
      <c r="N449" s="3125"/>
      <c r="O449" s="3125"/>
      <c r="P449" s="3125"/>
      <c r="Q449" s="3125">
        <f t="shared" si="86"/>
        <v>0</v>
      </c>
      <c r="R449" s="3926" t="e">
        <f t="shared" si="88"/>
        <v>#DIV/0!</v>
      </c>
      <c r="S449" s="3275"/>
      <c r="T449" s="3826"/>
      <c r="U449" s="3771"/>
      <c r="V449" s="1846">
        <f t="shared" si="83"/>
        <v>0</v>
      </c>
    </row>
    <row r="450" spans="1:22" s="257" customFormat="1" ht="15.05" hidden="1" customHeight="1">
      <c r="A450" s="1855"/>
      <c r="B450" s="1855"/>
      <c r="C450" s="1855"/>
      <c r="D450" s="1855"/>
      <c r="E450" s="1855"/>
      <c r="F450" s="1464" t="s">
        <v>617</v>
      </c>
      <c r="G450" s="1860"/>
      <c r="H450" s="202"/>
      <c r="I450" s="202"/>
      <c r="J450" s="3259"/>
      <c r="K450" s="3302"/>
      <c r="L450" s="3182">
        <f>L451</f>
        <v>0</v>
      </c>
      <c r="M450" s="3183">
        <v>0</v>
      </c>
      <c r="N450" s="3182">
        <f>N451</f>
        <v>0</v>
      </c>
      <c r="O450" s="3182">
        <f>N450+M450</f>
        <v>0</v>
      </c>
      <c r="P450" s="3182">
        <v>0</v>
      </c>
      <c r="Q450" s="3182">
        <f t="shared" si="86"/>
        <v>0</v>
      </c>
      <c r="R450" s="3914" t="e">
        <f t="shared" si="88"/>
        <v>#DIV/0!</v>
      </c>
      <c r="S450" s="3710"/>
      <c r="T450" s="3829"/>
      <c r="U450" s="3777"/>
      <c r="V450" s="1846">
        <f t="shared" si="83"/>
        <v>0</v>
      </c>
    </row>
    <row r="451" spans="1:22" s="257" customFormat="1" ht="15.05" hidden="1" customHeight="1">
      <c r="A451" s="1855"/>
      <c r="B451" s="1855"/>
      <c r="C451" s="1855"/>
      <c r="D451" s="1855"/>
      <c r="E451" s="1855"/>
      <c r="F451" s="1857" t="s">
        <v>50</v>
      </c>
      <c r="G451" s="1858"/>
      <c r="H451" s="200" t="s">
        <v>85</v>
      </c>
      <c r="I451" s="200"/>
      <c r="J451" s="3215"/>
      <c r="K451" s="3302"/>
      <c r="L451" s="3125">
        <f>MAR!J114</f>
        <v>0</v>
      </c>
      <c r="M451" s="3124">
        <v>0</v>
      </c>
      <c r="N451" s="3125">
        <f>MAR!L114</f>
        <v>0</v>
      </c>
      <c r="O451" s="3125">
        <f>MAR!M114</f>
        <v>0</v>
      </c>
      <c r="P451" s="3125">
        <v>0</v>
      </c>
      <c r="Q451" s="3125">
        <f t="shared" si="86"/>
        <v>0</v>
      </c>
      <c r="R451" s="3926" t="e">
        <f t="shared" si="88"/>
        <v>#DIV/0!</v>
      </c>
      <c r="S451" s="3275"/>
      <c r="T451" s="3826"/>
      <c r="U451" s="3771"/>
      <c r="V451" s="1846">
        <f t="shared" si="83"/>
        <v>0</v>
      </c>
    </row>
    <row r="452" spans="1:22" s="257" customFormat="1" ht="15.05" hidden="1" customHeight="1">
      <c r="A452" s="1855"/>
      <c r="B452" s="1855"/>
      <c r="C452" s="1855"/>
      <c r="D452" s="1855"/>
      <c r="E452" s="1855"/>
      <c r="F452" s="1857"/>
      <c r="G452" s="1858"/>
      <c r="H452" s="2860"/>
      <c r="I452" s="200"/>
      <c r="J452" s="3215"/>
      <c r="K452" s="3302"/>
      <c r="L452" s="3125"/>
      <c r="M452" s="3124"/>
      <c r="N452" s="3125"/>
      <c r="O452" s="3125"/>
      <c r="P452" s="3125"/>
      <c r="Q452" s="3125">
        <f t="shared" si="86"/>
        <v>0</v>
      </c>
      <c r="R452" s="3926" t="e">
        <f t="shared" si="88"/>
        <v>#DIV/0!</v>
      </c>
      <c r="S452" s="3275"/>
      <c r="T452" s="3826"/>
      <c r="U452" s="3771"/>
      <c r="V452" s="1846">
        <f t="shared" si="83"/>
        <v>0</v>
      </c>
    </row>
    <row r="453" spans="1:22" s="257" customFormat="1" ht="15.05" hidden="1" customHeight="1">
      <c r="A453" s="1855"/>
      <c r="B453" s="1855"/>
      <c r="C453" s="1855"/>
      <c r="D453" s="1855"/>
      <c r="E453" s="1855"/>
      <c r="F453" s="1464" t="s">
        <v>618</v>
      </c>
      <c r="G453" s="1860"/>
      <c r="H453" s="202"/>
      <c r="I453" s="202"/>
      <c r="J453" s="3259"/>
      <c r="K453" s="3302"/>
      <c r="L453" s="3182">
        <f>L454</f>
        <v>0</v>
      </c>
      <c r="M453" s="3183">
        <v>0</v>
      </c>
      <c r="N453" s="3182">
        <f>N454</f>
        <v>0</v>
      </c>
      <c r="O453" s="3182">
        <f>N453+M453</f>
        <v>0</v>
      </c>
      <c r="P453" s="3182">
        <v>0</v>
      </c>
      <c r="Q453" s="3182">
        <f t="shared" si="86"/>
        <v>0</v>
      </c>
      <c r="R453" s="3914" t="e">
        <f t="shared" si="88"/>
        <v>#DIV/0!</v>
      </c>
      <c r="S453" s="3710"/>
      <c r="T453" s="3829"/>
      <c r="U453" s="3777"/>
      <c r="V453" s="1846">
        <f t="shared" si="83"/>
        <v>0</v>
      </c>
    </row>
    <row r="454" spans="1:22" s="257" customFormat="1" ht="15.05" hidden="1" customHeight="1">
      <c r="A454" s="1855"/>
      <c r="B454" s="1855"/>
      <c r="C454" s="1855"/>
      <c r="D454" s="1855"/>
      <c r="E454" s="1855"/>
      <c r="F454" s="1857" t="s">
        <v>50</v>
      </c>
      <c r="G454" s="1858"/>
      <c r="H454" s="2860" t="s">
        <v>85</v>
      </c>
      <c r="I454" s="200"/>
      <c r="J454" s="3215"/>
      <c r="K454" s="3302"/>
      <c r="L454" s="3125">
        <f>MAR!J76</f>
        <v>0</v>
      </c>
      <c r="M454" s="3124">
        <v>0</v>
      </c>
      <c r="N454" s="3125">
        <f>MAR!L76</f>
        <v>0</v>
      </c>
      <c r="O454" s="3125">
        <f>MAR!M76</f>
        <v>0</v>
      </c>
      <c r="P454" s="3125">
        <v>0</v>
      </c>
      <c r="Q454" s="3125">
        <f t="shared" si="86"/>
        <v>0</v>
      </c>
      <c r="R454" s="3926" t="e">
        <f t="shared" si="88"/>
        <v>#DIV/0!</v>
      </c>
      <c r="S454" s="3748"/>
      <c r="T454" s="3826"/>
      <c r="U454" s="3778">
        <f>PerDinas!Q138</f>
        <v>0</v>
      </c>
      <c r="V454" s="1846">
        <f t="shared" si="83"/>
        <v>0</v>
      </c>
    </row>
    <row r="455" spans="1:22" s="257" customFormat="1" ht="15.05" hidden="1" customHeight="1">
      <c r="A455" s="1855"/>
      <c r="B455" s="1855"/>
      <c r="C455" s="1855"/>
      <c r="D455" s="1855"/>
      <c r="E455" s="1855"/>
      <c r="F455" s="1857"/>
      <c r="G455" s="1858"/>
      <c r="H455" s="2860"/>
      <c r="I455" s="200"/>
      <c r="J455" s="3215"/>
      <c r="K455" s="3302"/>
      <c r="L455" s="3125"/>
      <c r="M455" s="3124"/>
      <c r="N455" s="3125"/>
      <c r="O455" s="3125"/>
      <c r="P455" s="3125"/>
      <c r="Q455" s="3125">
        <f t="shared" si="86"/>
        <v>0</v>
      </c>
      <c r="R455" s="3926" t="e">
        <f t="shared" si="88"/>
        <v>#DIV/0!</v>
      </c>
      <c r="S455" s="3275"/>
      <c r="T455" s="3826"/>
      <c r="U455" s="3771"/>
      <c r="V455" s="1846">
        <f t="shared" si="83"/>
        <v>0</v>
      </c>
    </row>
    <row r="456" spans="1:22" s="257" customFormat="1" ht="15.05" hidden="1" customHeight="1">
      <c r="A456" s="1855"/>
      <c r="B456" s="1855"/>
      <c r="C456" s="1855"/>
      <c r="D456" s="1855"/>
      <c r="E456" s="1855"/>
      <c r="F456" s="1464" t="s">
        <v>619</v>
      </c>
      <c r="G456" s="1860"/>
      <c r="H456" s="202"/>
      <c r="I456" s="202"/>
      <c r="J456" s="3259"/>
      <c r="K456" s="3302"/>
      <c r="L456" s="3182">
        <f>L457</f>
        <v>0</v>
      </c>
      <c r="M456" s="3183">
        <v>0</v>
      </c>
      <c r="N456" s="3182">
        <f>N457</f>
        <v>0</v>
      </c>
      <c r="O456" s="3182">
        <f>O457</f>
        <v>0</v>
      </c>
      <c r="P456" s="3182">
        <v>0</v>
      </c>
      <c r="Q456" s="3182">
        <f t="shared" si="86"/>
        <v>0</v>
      </c>
      <c r="R456" s="3914" t="e">
        <f t="shared" si="88"/>
        <v>#DIV/0!</v>
      </c>
      <c r="S456" s="3731"/>
      <c r="T456" s="3829"/>
      <c r="U456" s="3781">
        <f>U457</f>
        <v>0</v>
      </c>
      <c r="V456" s="1846">
        <f t="shared" si="83"/>
        <v>0</v>
      </c>
    </row>
    <row r="457" spans="1:22" s="257" customFormat="1" ht="15.05" hidden="1" customHeight="1">
      <c r="A457" s="1855"/>
      <c r="B457" s="1855"/>
      <c r="C457" s="1855"/>
      <c r="D457" s="1855"/>
      <c r="E457" s="1855"/>
      <c r="F457" s="1857" t="s">
        <v>50</v>
      </c>
      <c r="G457" s="1858"/>
      <c r="H457" s="2860" t="s">
        <v>472</v>
      </c>
      <c r="I457" s="200"/>
      <c r="J457" s="3215"/>
      <c r="K457" s="3302"/>
      <c r="L457" s="3125">
        <f>MAR!J194</f>
        <v>0</v>
      </c>
      <c r="M457" s="3124">
        <v>0</v>
      </c>
      <c r="N457" s="3125">
        <f>MAR!L194</f>
        <v>0</v>
      </c>
      <c r="O457" s="3125">
        <f>MAR!M194</f>
        <v>0</v>
      </c>
      <c r="P457" s="3125">
        <v>0</v>
      </c>
      <c r="Q457" s="3125">
        <f t="shared" si="86"/>
        <v>0</v>
      </c>
      <c r="R457" s="3926" t="e">
        <f t="shared" si="88"/>
        <v>#DIV/0!</v>
      </c>
      <c r="S457" s="3748"/>
      <c r="T457" s="3826"/>
      <c r="U457" s="3778">
        <f>PerDinas!Q1090</f>
        <v>0</v>
      </c>
      <c r="V457" s="1846">
        <f t="shared" si="83"/>
        <v>0</v>
      </c>
    </row>
    <row r="458" spans="1:22" s="257" customFormat="1" ht="15.05" hidden="1" customHeight="1">
      <c r="A458" s="1855"/>
      <c r="B458" s="1855"/>
      <c r="C458" s="1855"/>
      <c r="D458" s="1855"/>
      <c r="E458" s="1855"/>
      <c r="F458" s="1857"/>
      <c r="G458" s="1858"/>
      <c r="H458" s="2860"/>
      <c r="I458" s="200"/>
      <c r="J458" s="3215"/>
      <c r="K458" s="3302"/>
      <c r="L458" s="3125"/>
      <c r="M458" s="3124"/>
      <c r="N458" s="3125"/>
      <c r="O458" s="3125"/>
      <c r="P458" s="3125"/>
      <c r="Q458" s="3125">
        <f t="shared" si="86"/>
        <v>0</v>
      </c>
      <c r="R458" s="3926" t="e">
        <f t="shared" si="88"/>
        <v>#DIV/0!</v>
      </c>
      <c r="S458" s="3275"/>
      <c r="T458" s="3826"/>
      <c r="U458" s="3771"/>
      <c r="V458" s="1846">
        <f t="shared" si="83"/>
        <v>0</v>
      </c>
    </row>
    <row r="459" spans="1:22" s="257" customFormat="1" ht="15.05" customHeight="1">
      <c r="A459" s="1855"/>
      <c r="B459" s="1855"/>
      <c r="C459" s="1855"/>
      <c r="D459" s="1855"/>
      <c r="E459" s="1855"/>
      <c r="F459" s="1464" t="s">
        <v>620</v>
      </c>
      <c r="G459" s="1860"/>
      <c r="H459" s="202"/>
      <c r="I459" s="202"/>
      <c r="J459" s="3259"/>
      <c r="K459" s="5094">
        <f>+K460</f>
        <v>20225025</v>
      </c>
      <c r="L459" s="3182">
        <f>L460+L461</f>
        <v>0</v>
      </c>
      <c r="M459" s="3183">
        <v>0</v>
      </c>
      <c r="N459" s="3182">
        <f>N460+N461</f>
        <v>0</v>
      </c>
      <c r="O459" s="3182">
        <f>N459+M459</f>
        <v>0</v>
      </c>
      <c r="P459" s="3182">
        <v>0</v>
      </c>
      <c r="Q459" s="3182">
        <f t="shared" si="86"/>
        <v>0</v>
      </c>
      <c r="R459" s="3914" t="e">
        <f t="shared" si="88"/>
        <v>#DIV/0!</v>
      </c>
      <c r="S459" s="3710"/>
      <c r="T459" s="3829"/>
      <c r="U459" s="3777"/>
      <c r="V459" s="1846">
        <f t="shared" si="83"/>
        <v>0</v>
      </c>
    </row>
    <row r="460" spans="1:22" s="257" customFormat="1" ht="15.05" customHeight="1">
      <c r="A460" s="1855"/>
      <c r="B460" s="1855"/>
      <c r="C460" s="1855"/>
      <c r="D460" s="1855"/>
      <c r="E460" s="1855"/>
      <c r="F460" s="1857" t="s">
        <v>50</v>
      </c>
      <c r="G460" s="1858"/>
      <c r="H460" s="200" t="s">
        <v>85</v>
      </c>
      <c r="I460" s="200"/>
      <c r="J460" s="3215"/>
      <c r="K460" s="3303">
        <v>20225025</v>
      </c>
      <c r="L460" s="3125">
        <v>0</v>
      </c>
      <c r="M460" s="3124">
        <v>0</v>
      </c>
      <c r="N460" s="3125">
        <v>0</v>
      </c>
      <c r="O460" s="3125">
        <v>0</v>
      </c>
      <c r="P460" s="3125">
        <v>0</v>
      </c>
      <c r="Q460" s="3125">
        <f t="shared" si="86"/>
        <v>0</v>
      </c>
      <c r="R460" s="3926" t="e">
        <f t="shared" si="88"/>
        <v>#DIV/0!</v>
      </c>
      <c r="S460" s="3748"/>
      <c r="T460" s="3826"/>
      <c r="U460" s="3778">
        <f>PerDinas!Q586</f>
        <v>0</v>
      </c>
      <c r="V460" s="1846">
        <f t="shared" si="83"/>
        <v>0</v>
      </c>
    </row>
    <row r="461" spans="1:22" s="257" customFormat="1" ht="15.05" hidden="1" customHeight="1">
      <c r="A461" s="1855"/>
      <c r="B461" s="1855"/>
      <c r="C461" s="1855"/>
      <c r="D461" s="1855"/>
      <c r="E461" s="1855"/>
      <c r="F461" s="1857"/>
      <c r="G461" s="1858"/>
      <c r="H461" s="200"/>
      <c r="I461" s="200"/>
      <c r="J461" s="3215"/>
      <c r="K461" s="3302"/>
      <c r="L461" s="3125"/>
      <c r="M461" s="3124"/>
      <c r="N461" s="3125"/>
      <c r="O461" s="3125"/>
      <c r="P461" s="3125"/>
      <c r="Q461" s="3125">
        <f t="shared" si="86"/>
        <v>0</v>
      </c>
      <c r="R461" s="3926" t="e">
        <f t="shared" si="88"/>
        <v>#DIV/0!</v>
      </c>
      <c r="S461" s="3275"/>
      <c r="T461" s="3826"/>
      <c r="U461" s="3771"/>
      <c r="V461" s="1846">
        <f t="shared" si="83"/>
        <v>0</v>
      </c>
    </row>
    <row r="462" spans="1:22" s="3896" customFormat="1" ht="15.05" customHeight="1">
      <c r="A462" s="1855"/>
      <c r="B462" s="1855"/>
      <c r="C462" s="1855"/>
      <c r="D462" s="1855"/>
      <c r="E462" s="1855"/>
      <c r="F462" s="1464" t="s">
        <v>621</v>
      </c>
      <c r="G462" s="1860"/>
      <c r="H462" s="202"/>
      <c r="I462" s="202"/>
      <c r="J462" s="3182">
        <f>J463+J464</f>
        <v>51419400</v>
      </c>
      <c r="K462" s="3182">
        <f>K463+K464</f>
        <v>0</v>
      </c>
      <c r="L462" s="3271">
        <f>L463</f>
        <v>51419400</v>
      </c>
      <c r="M462" s="3183">
        <v>0</v>
      </c>
      <c r="N462" s="3182">
        <f>N463+N464</f>
        <v>0</v>
      </c>
      <c r="O462" s="3182">
        <f>N462+M462</f>
        <v>0</v>
      </c>
      <c r="P462" s="3182">
        <v>51419400</v>
      </c>
      <c r="Q462" s="3182">
        <f>+P462-O435</f>
        <v>0</v>
      </c>
      <c r="R462" s="3914">
        <f>+P462/O435*100-100</f>
        <v>0</v>
      </c>
      <c r="S462" s="4356"/>
      <c r="T462" s="4357"/>
      <c r="U462" s="4282"/>
      <c r="V462" s="3925">
        <f t="shared" si="83"/>
        <v>0</v>
      </c>
    </row>
    <row r="463" spans="1:22" s="3896" customFormat="1" ht="15.05" customHeight="1">
      <c r="A463" s="1855"/>
      <c r="B463" s="1855"/>
      <c r="C463" s="1855"/>
      <c r="D463" s="1855"/>
      <c r="E463" s="1855"/>
      <c r="F463" s="1857" t="s">
        <v>50</v>
      </c>
      <c r="G463" s="1858"/>
      <c r="H463" s="200" t="s">
        <v>622</v>
      </c>
      <c r="I463" s="200"/>
      <c r="J463" s="3215">
        <v>51419400</v>
      </c>
      <c r="K463" s="3301">
        <v>0</v>
      </c>
      <c r="L463" s="3125">
        <v>51419400</v>
      </c>
      <c r="M463" s="3124">
        <v>0</v>
      </c>
      <c r="N463" s="3125">
        <v>0</v>
      </c>
      <c r="O463" s="3125">
        <v>0</v>
      </c>
      <c r="P463" s="3125">
        <v>51419400</v>
      </c>
      <c r="Q463" s="3125">
        <f t="shared" si="86"/>
        <v>0</v>
      </c>
      <c r="R463" s="3926">
        <f t="shared" si="88"/>
        <v>0</v>
      </c>
      <c r="S463" s="4335"/>
      <c r="T463" s="3922"/>
      <c r="U463" s="4353">
        <f>PerDinas!Q589</f>
        <v>0</v>
      </c>
      <c r="V463" s="3925">
        <f t="shared" si="83"/>
        <v>0</v>
      </c>
    </row>
    <row r="464" spans="1:22" s="257" customFormat="1" ht="15.05" customHeight="1">
      <c r="A464" s="1855"/>
      <c r="B464" s="1855"/>
      <c r="C464" s="1855"/>
      <c r="D464" s="1855"/>
      <c r="E464" s="1855"/>
      <c r="F464" s="1857" t="s">
        <v>50</v>
      </c>
      <c r="G464" s="1858"/>
      <c r="H464" s="200" t="s">
        <v>85</v>
      </c>
      <c r="I464" s="200"/>
      <c r="J464" s="3248">
        <v>0</v>
      </c>
      <c r="K464" s="3301">
        <v>0</v>
      </c>
      <c r="L464" s="3125">
        <f>MAR!J209</f>
        <v>0</v>
      </c>
      <c r="M464" s="3124">
        <v>0</v>
      </c>
      <c r="N464" s="3125">
        <f>MAR!L209</f>
        <v>0</v>
      </c>
      <c r="O464" s="3125">
        <f>MAR!M209</f>
        <v>0</v>
      </c>
      <c r="P464" s="3125">
        <v>0</v>
      </c>
      <c r="Q464" s="3125">
        <f t="shared" si="86"/>
        <v>0</v>
      </c>
      <c r="R464" s="3926">
        <v>0</v>
      </c>
      <c r="S464" s="3275"/>
      <c r="T464" s="3826"/>
      <c r="U464" s="3771"/>
      <c r="V464" s="1846">
        <f t="shared" si="83"/>
        <v>0</v>
      </c>
    </row>
    <row r="465" spans="1:22" s="3896" customFormat="1" ht="15.05" customHeight="1">
      <c r="A465" s="1855"/>
      <c r="B465" s="1855"/>
      <c r="C465" s="1855"/>
      <c r="D465" s="1855"/>
      <c r="E465" s="1855"/>
      <c r="F465" s="1464" t="s">
        <v>273</v>
      </c>
      <c r="G465" s="1860"/>
      <c r="H465" s="202"/>
      <c r="I465" s="202"/>
      <c r="J465" s="3259">
        <f>SUM(J466:J469)</f>
        <v>335291000</v>
      </c>
      <c r="K465" s="3259">
        <f>SUM(K466:K469)</f>
        <v>42721830</v>
      </c>
      <c r="L465" s="3259">
        <f>SUM(L466:L469)</f>
        <v>335291000</v>
      </c>
      <c r="M465" s="3183">
        <v>0</v>
      </c>
      <c r="N465" s="3182">
        <f>SUM(N466:N470)</f>
        <v>0</v>
      </c>
      <c r="O465" s="3182">
        <f>N465+M465</f>
        <v>0</v>
      </c>
      <c r="P465" s="3182">
        <v>335291000</v>
      </c>
      <c r="Q465" s="3182">
        <f t="shared" si="86"/>
        <v>0</v>
      </c>
      <c r="R465" s="3914">
        <f>+P465/L465*100-100</f>
        <v>0</v>
      </c>
      <c r="S465" s="4356"/>
      <c r="T465" s="4357"/>
      <c r="U465" s="4282"/>
      <c r="V465" s="3925">
        <f t="shared" si="83"/>
        <v>0</v>
      </c>
    </row>
    <row r="466" spans="1:22" s="3896" customFormat="1" ht="15.05" customHeight="1">
      <c r="A466" s="1855"/>
      <c r="B466" s="1855"/>
      <c r="C466" s="1855"/>
      <c r="D466" s="1855"/>
      <c r="E466" s="1855"/>
      <c r="F466" s="1857" t="s">
        <v>50</v>
      </c>
      <c r="G466" s="1858"/>
      <c r="H466" s="200" t="str">
        <f>MAR!I231</f>
        <v>Jasa Pengiriman TKI</v>
      </c>
      <c r="I466" s="5095"/>
      <c r="J466" s="5096">
        <v>55355000</v>
      </c>
      <c r="K466" s="5097">
        <v>4705830</v>
      </c>
      <c r="L466" s="3125">
        <v>55355000</v>
      </c>
      <c r="M466" s="3124">
        <v>0</v>
      </c>
      <c r="N466" s="3125">
        <v>0</v>
      </c>
      <c r="O466" s="3125">
        <v>0</v>
      </c>
      <c r="P466" s="3125">
        <v>55355000</v>
      </c>
      <c r="Q466" s="3125">
        <f t="shared" si="86"/>
        <v>0</v>
      </c>
      <c r="R466" s="3926">
        <f>+P466/L466*100-100</f>
        <v>0</v>
      </c>
      <c r="S466" s="4335"/>
      <c r="T466" s="3922"/>
      <c r="U466" s="4353">
        <f>PerDinas!Q591</f>
        <v>0</v>
      </c>
      <c r="V466" s="3925">
        <f t="shared" si="83"/>
        <v>0</v>
      </c>
    </row>
    <row r="467" spans="1:22" s="3896" customFormat="1" ht="15.05" customHeight="1">
      <c r="A467" s="1855"/>
      <c r="B467" s="1855"/>
      <c r="C467" s="1855"/>
      <c r="D467" s="1855"/>
      <c r="E467" s="1855"/>
      <c r="F467" s="1857" t="s">
        <v>50</v>
      </c>
      <c r="G467" s="1858"/>
      <c r="H467" s="847" t="str">
        <f>MAR!I232</f>
        <v>Hibah Pihak Ketiga</v>
      </c>
      <c r="I467" s="1937"/>
      <c r="J467" s="5096">
        <v>57136000</v>
      </c>
      <c r="K467" s="3304">
        <v>0</v>
      </c>
      <c r="L467" s="3125">
        <v>57136000</v>
      </c>
      <c r="M467" s="3124">
        <v>0</v>
      </c>
      <c r="N467" s="3125">
        <v>0</v>
      </c>
      <c r="O467" s="3125">
        <v>0</v>
      </c>
      <c r="P467" s="3125">
        <v>57136000</v>
      </c>
      <c r="Q467" s="3125">
        <f t="shared" si="86"/>
        <v>0</v>
      </c>
      <c r="R467" s="3926">
        <f>+P467/L467*100-100</f>
        <v>0</v>
      </c>
      <c r="S467" s="4335"/>
      <c r="T467" s="3922"/>
      <c r="U467" s="4353">
        <f>PerDinas!Q592</f>
        <v>0</v>
      </c>
      <c r="V467" s="3925">
        <f t="shared" si="83"/>
        <v>0</v>
      </c>
    </row>
    <row r="468" spans="1:22" s="3896" customFormat="1" ht="15.05" customHeight="1">
      <c r="A468" s="1855"/>
      <c r="B468" s="1855"/>
      <c r="C468" s="1855"/>
      <c r="D468" s="1855"/>
      <c r="E468" s="1855"/>
      <c r="F468" s="1857" t="s">
        <v>50</v>
      </c>
      <c r="G468" s="1858"/>
      <c r="H468" s="847" t="str">
        <f>MAR!I233</f>
        <v>Lain-lain Pendapatan yang sah (BLK)</v>
      </c>
      <c r="I468" s="1937"/>
      <c r="J468" s="5096">
        <v>24760000</v>
      </c>
      <c r="K468" s="5097">
        <v>9600000</v>
      </c>
      <c r="L468" s="3125">
        <v>24760000</v>
      </c>
      <c r="M468" s="3124">
        <v>0</v>
      </c>
      <c r="N468" s="3125">
        <v>0</v>
      </c>
      <c r="O468" s="3125">
        <v>0</v>
      </c>
      <c r="P468" s="3125">
        <v>24760000</v>
      </c>
      <c r="Q468" s="3125">
        <f t="shared" si="86"/>
        <v>0</v>
      </c>
      <c r="R468" s="3926">
        <f>+P468/L468*100-100</f>
        <v>0</v>
      </c>
      <c r="S468" s="4335"/>
      <c r="T468" s="3922"/>
      <c r="U468" s="4353">
        <f>PerDinas!Q593</f>
        <v>0</v>
      </c>
      <c r="V468" s="3925">
        <f t="shared" si="83"/>
        <v>0</v>
      </c>
    </row>
    <row r="469" spans="1:22" s="3896" customFormat="1" ht="15.05" customHeight="1">
      <c r="A469" s="1855"/>
      <c r="B469" s="1855"/>
      <c r="C469" s="1855"/>
      <c r="D469" s="1855"/>
      <c r="E469" s="1855"/>
      <c r="F469" s="1857"/>
      <c r="G469" s="1858"/>
      <c r="H469" s="847" t="str">
        <f>MAR!I234</f>
        <v>Jasa Pelayanan TKI</v>
      </c>
      <c r="I469" s="1938"/>
      <c r="J469" s="5098">
        <v>198040000</v>
      </c>
      <c r="K469" s="5099">
        <v>28416000</v>
      </c>
      <c r="L469" s="3125">
        <v>198040000</v>
      </c>
      <c r="M469" s="3124">
        <v>0</v>
      </c>
      <c r="N469" s="3125">
        <v>0</v>
      </c>
      <c r="O469" s="3125">
        <v>0</v>
      </c>
      <c r="P469" s="3125">
        <v>198040000</v>
      </c>
      <c r="Q469" s="3125">
        <f t="shared" si="86"/>
        <v>0</v>
      </c>
      <c r="R469" s="3926">
        <f>+P469/L469*100-100</f>
        <v>0</v>
      </c>
      <c r="S469" s="4335"/>
      <c r="T469" s="3922"/>
      <c r="U469" s="4353">
        <v>0</v>
      </c>
      <c r="V469" s="3925">
        <f t="shared" si="83"/>
        <v>0</v>
      </c>
    </row>
    <row r="470" spans="1:22" s="257" customFormat="1" ht="15.05" hidden="1" customHeight="1">
      <c r="A470" s="1855"/>
      <c r="B470" s="1855"/>
      <c r="C470" s="1855"/>
      <c r="D470" s="1855"/>
      <c r="E470" s="1855"/>
      <c r="F470" s="1857"/>
      <c r="G470" s="1858"/>
      <c r="H470" s="847"/>
      <c r="I470" s="1937"/>
      <c r="J470" s="3305"/>
      <c r="K470" s="3304"/>
      <c r="L470" s="3125"/>
      <c r="M470" s="3124"/>
      <c r="N470" s="3125"/>
      <c r="O470" s="3125"/>
      <c r="P470" s="3125"/>
      <c r="Q470" s="3125"/>
      <c r="R470" s="3926"/>
      <c r="S470" s="3748"/>
      <c r="T470" s="3826"/>
      <c r="U470" s="3778"/>
      <c r="V470" s="1846"/>
    </row>
    <row r="471" spans="1:22" s="2069" customFormat="1" ht="15.05" customHeight="1">
      <c r="A471" s="1855"/>
      <c r="B471" s="1855"/>
      <c r="C471" s="1855"/>
      <c r="D471" s="1855"/>
      <c r="E471" s="1855"/>
      <c r="F471" s="1464" t="s">
        <v>224</v>
      </c>
      <c r="G471" s="1860"/>
      <c r="H471" s="202"/>
      <c r="I471" s="202"/>
      <c r="J471" s="3259">
        <f t="shared" ref="J471:P471" si="89">SUM(J472:J474)</f>
        <v>400714300</v>
      </c>
      <c r="K471" s="3259">
        <f t="shared" si="89"/>
        <v>115089700</v>
      </c>
      <c r="L471" s="3259">
        <f t="shared" si="89"/>
        <v>400714300</v>
      </c>
      <c r="M471" s="3259">
        <f t="shared" si="89"/>
        <v>44168718</v>
      </c>
      <c r="N471" s="3259">
        <f t="shared" si="89"/>
        <v>10589500</v>
      </c>
      <c r="O471" s="3259">
        <f t="shared" si="89"/>
        <v>54758218</v>
      </c>
      <c r="P471" s="3259">
        <f t="shared" si="89"/>
        <v>400714300</v>
      </c>
      <c r="Q471" s="3182">
        <f>+P471-L471</f>
        <v>0</v>
      </c>
      <c r="R471" s="3914">
        <f>+P471/L471*100-100</f>
        <v>0</v>
      </c>
      <c r="S471" s="4356"/>
      <c r="T471" s="4357"/>
      <c r="U471" s="4282"/>
      <c r="V471" s="3925">
        <f t="shared" ref="V471:V534" si="90">O471*4</f>
        <v>219032872</v>
      </c>
    </row>
    <row r="472" spans="1:22" s="2069" customFormat="1" ht="15.05" customHeight="1">
      <c r="A472" s="1855"/>
      <c r="B472" s="1855"/>
      <c r="C472" s="1855"/>
      <c r="D472" s="1855"/>
      <c r="E472" s="1855"/>
      <c r="F472" s="1857" t="s">
        <v>50</v>
      </c>
      <c r="G472" s="1860"/>
      <c r="H472" s="847" t="str">
        <f>MAR!I252</f>
        <v>Hibah Pihak III</v>
      </c>
      <c r="I472" s="200"/>
      <c r="J472" s="3215">
        <v>63698000</v>
      </c>
      <c r="K472" s="3171">
        <v>27842400</v>
      </c>
      <c r="L472" s="3125">
        <v>63698000</v>
      </c>
      <c r="M472" s="3124">
        <v>4835000</v>
      </c>
      <c r="N472" s="3125">
        <v>0</v>
      </c>
      <c r="O472" s="3125">
        <v>4835000</v>
      </c>
      <c r="P472" s="3125">
        <v>63698000</v>
      </c>
      <c r="Q472" s="3125">
        <f>+P472-L472</f>
        <v>0</v>
      </c>
      <c r="R472" s="3926">
        <f>+P472/L472*100-100</f>
        <v>0</v>
      </c>
      <c r="S472" s="4335"/>
      <c r="T472" s="3922"/>
      <c r="U472" s="4353">
        <f>PerDinas!Q596</f>
        <v>0</v>
      </c>
      <c r="V472" s="3925">
        <f t="shared" si="90"/>
        <v>19340000</v>
      </c>
    </row>
    <row r="473" spans="1:22" s="2069" customFormat="1" ht="15.05" customHeight="1">
      <c r="A473" s="1855"/>
      <c r="B473" s="1855"/>
      <c r="C473" s="1855"/>
      <c r="D473" s="1855"/>
      <c r="E473" s="1855"/>
      <c r="F473" s="1857" t="s">
        <v>50</v>
      </c>
      <c r="G473" s="1858"/>
      <c r="H473" s="847" t="str">
        <f>MAR!I253</f>
        <v>Jasa Pelayanan Koperasi</v>
      </c>
      <c r="I473" s="200"/>
      <c r="J473" s="3215">
        <v>285233000</v>
      </c>
      <c r="K473" s="3171">
        <v>23875000</v>
      </c>
      <c r="L473" s="3125">
        <v>285233000</v>
      </c>
      <c r="M473" s="3124">
        <v>6750000</v>
      </c>
      <c r="N473" s="3125">
        <v>0</v>
      </c>
      <c r="O473" s="3125">
        <v>6750000</v>
      </c>
      <c r="P473" s="3125">
        <v>285233000</v>
      </c>
      <c r="Q473" s="3125">
        <f>+P473-L473</f>
        <v>0</v>
      </c>
      <c r="R473" s="3926">
        <f>+P473/L473*100-100</f>
        <v>0</v>
      </c>
      <c r="S473" s="4335"/>
      <c r="T473" s="3922"/>
      <c r="U473" s="4353">
        <f>PerDinas!Q597</f>
        <v>0</v>
      </c>
      <c r="V473" s="3925">
        <f t="shared" si="90"/>
        <v>27000000</v>
      </c>
    </row>
    <row r="474" spans="1:22" s="2069" customFormat="1" ht="15.05" customHeight="1">
      <c r="A474" s="1855"/>
      <c r="B474" s="1855"/>
      <c r="C474" s="1855"/>
      <c r="D474" s="1855"/>
      <c r="E474" s="1855"/>
      <c r="F474" s="1857" t="s">
        <v>50</v>
      </c>
      <c r="G474" s="1858"/>
      <c r="H474" s="847" t="str">
        <f>MAR!I254</f>
        <v>Dana Pembangunan Daerah Kerja</v>
      </c>
      <c r="I474" s="200"/>
      <c r="J474" s="3215">
        <v>51783300</v>
      </c>
      <c r="K474" s="3171">
        <v>63372300</v>
      </c>
      <c r="L474" s="3125">
        <v>51783300</v>
      </c>
      <c r="M474" s="3124">
        <v>32583718</v>
      </c>
      <c r="N474" s="3125">
        <v>10589500</v>
      </c>
      <c r="O474" s="3125">
        <v>43173218</v>
      </c>
      <c r="P474" s="3125">
        <v>51783300</v>
      </c>
      <c r="Q474" s="3125">
        <f>+P474-L474</f>
        <v>0</v>
      </c>
      <c r="R474" s="3926">
        <f>+P474/L474*100-100</f>
        <v>0</v>
      </c>
      <c r="S474" s="4335"/>
      <c r="T474" s="3922"/>
      <c r="U474" s="4353">
        <f>PerDinas!Q598</f>
        <v>0</v>
      </c>
      <c r="V474" s="3925">
        <f t="shared" si="90"/>
        <v>172692872</v>
      </c>
    </row>
    <row r="475" spans="1:22" s="2069" customFormat="1" ht="15.05" hidden="1" customHeight="1">
      <c r="A475" s="1855"/>
      <c r="B475" s="1855"/>
      <c r="C475" s="1855"/>
      <c r="D475" s="1855"/>
      <c r="E475" s="1855"/>
      <c r="F475" s="1857"/>
      <c r="G475" s="1858"/>
      <c r="H475" s="847"/>
      <c r="I475" s="200"/>
      <c r="J475" s="3215"/>
      <c r="K475" s="3171"/>
      <c r="L475" s="3125"/>
      <c r="M475" s="3124"/>
      <c r="N475" s="3125"/>
      <c r="O475" s="3125"/>
      <c r="P475" s="3125"/>
      <c r="Q475" s="3125"/>
      <c r="R475" s="3926"/>
      <c r="S475" s="4335"/>
      <c r="T475" s="3922"/>
      <c r="U475" s="4353"/>
      <c r="V475" s="3925">
        <f t="shared" si="90"/>
        <v>0</v>
      </c>
    </row>
    <row r="476" spans="1:22" s="2069" customFormat="1" ht="15.05" customHeight="1">
      <c r="A476" s="1855"/>
      <c r="B476" s="1855"/>
      <c r="C476" s="1855"/>
      <c r="D476" s="1855"/>
      <c r="E476" s="1855"/>
      <c r="F476" s="1464" t="s">
        <v>623</v>
      </c>
      <c r="G476" s="1860"/>
      <c r="H476" s="202"/>
      <c r="I476" s="202"/>
      <c r="J476" s="3259">
        <f>SUM(J477:J479)</f>
        <v>6980745800</v>
      </c>
      <c r="K476" s="3259">
        <f>SUM(K477:K479)</f>
        <v>4930803205</v>
      </c>
      <c r="L476" s="3259">
        <f>SUM(L477:L479)</f>
        <v>6980745800</v>
      </c>
      <c r="M476" s="3183">
        <v>0</v>
      </c>
      <c r="N476" s="3182">
        <f>SUM(N477:N480)</f>
        <v>0</v>
      </c>
      <c r="O476" s="3182">
        <f>N476+M476</f>
        <v>0</v>
      </c>
      <c r="P476" s="3182">
        <v>6980745800</v>
      </c>
      <c r="Q476" s="3182">
        <f>+P476-L476</f>
        <v>0</v>
      </c>
      <c r="R476" s="3914">
        <f>+P476/L476*100-100</f>
        <v>0</v>
      </c>
      <c r="S476" s="4356"/>
      <c r="T476" s="4357"/>
      <c r="U476" s="4282"/>
      <c r="V476" s="3925">
        <f t="shared" si="90"/>
        <v>0</v>
      </c>
    </row>
    <row r="477" spans="1:22" s="2069" customFormat="1" ht="15.05" customHeight="1">
      <c r="A477" s="1855"/>
      <c r="B477" s="1855"/>
      <c r="C477" s="1855"/>
      <c r="D477" s="1855"/>
      <c r="E477" s="1855"/>
      <c r="F477" s="2861" t="s">
        <v>50</v>
      </c>
      <c r="G477" s="2862"/>
      <c r="H477" s="847" t="s">
        <v>1191</v>
      </c>
      <c r="I477" s="847"/>
      <c r="J477" s="3306">
        <v>3688800000</v>
      </c>
      <c r="K477" s="3307">
        <v>2120189000</v>
      </c>
      <c r="L477" s="3125">
        <v>3688800000</v>
      </c>
      <c r="M477" s="3124">
        <v>0</v>
      </c>
      <c r="N477" s="3125">
        <v>0</v>
      </c>
      <c r="O477" s="3125">
        <v>0</v>
      </c>
      <c r="P477" s="3125">
        <v>3688800000</v>
      </c>
      <c r="Q477" s="3125">
        <f>+P477-L477</f>
        <v>0</v>
      </c>
      <c r="R477" s="3926">
        <f>+P477/L477*100-100</f>
        <v>0</v>
      </c>
      <c r="S477" s="3921"/>
      <c r="T477" s="3922"/>
      <c r="U477" s="3923"/>
      <c r="V477" s="3925">
        <f t="shared" si="90"/>
        <v>0</v>
      </c>
    </row>
    <row r="478" spans="1:22" s="2069" customFormat="1" ht="15.05" customHeight="1">
      <c r="A478" s="1855"/>
      <c r="B478" s="1855"/>
      <c r="C478" s="1855"/>
      <c r="D478" s="1855"/>
      <c r="E478" s="1855"/>
      <c r="F478" s="2861" t="s">
        <v>50</v>
      </c>
      <c r="G478" s="2862"/>
      <c r="H478" s="5784" t="s">
        <v>85</v>
      </c>
      <c r="I478" s="5784"/>
      <c r="J478" s="3305">
        <v>0</v>
      </c>
      <c r="K478" s="3438">
        <v>1967138126</v>
      </c>
      <c r="L478" s="3125">
        <v>3291945800</v>
      </c>
      <c r="M478" s="3124">
        <v>0</v>
      </c>
      <c r="N478" s="3125">
        <v>0</v>
      </c>
      <c r="O478" s="3125">
        <v>0</v>
      </c>
      <c r="P478" s="3125">
        <v>3291945800</v>
      </c>
      <c r="Q478" s="3125">
        <f>+P478-L478</f>
        <v>0</v>
      </c>
      <c r="R478" s="3926">
        <f>+P478/L478*100-100</f>
        <v>0</v>
      </c>
      <c r="S478" s="3921"/>
      <c r="T478" s="3922"/>
      <c r="U478" s="3923"/>
      <c r="V478" s="3925">
        <f t="shared" si="90"/>
        <v>0</v>
      </c>
    </row>
    <row r="479" spans="1:22" s="3475" customFormat="1" ht="15.05" customHeight="1">
      <c r="A479" s="1855"/>
      <c r="B479" s="1855"/>
      <c r="C479" s="1855"/>
      <c r="D479" s="1855"/>
      <c r="E479" s="1855"/>
      <c r="F479" s="2861" t="s">
        <v>50</v>
      </c>
      <c r="G479" s="2862"/>
      <c r="H479" s="1938" t="s">
        <v>624</v>
      </c>
      <c r="I479" s="1938"/>
      <c r="J479" s="3305">
        <v>3291945800</v>
      </c>
      <c r="K479" s="3438">
        <v>843476079</v>
      </c>
      <c r="L479" s="3125"/>
      <c r="M479" s="3124"/>
      <c r="N479" s="3125"/>
      <c r="O479" s="3125"/>
      <c r="P479" s="3125"/>
      <c r="Q479" s="3125">
        <f>+P479-L479</f>
        <v>0</v>
      </c>
      <c r="R479" s="3926">
        <v>0</v>
      </c>
      <c r="S479" s="3755"/>
      <c r="T479" s="3856"/>
      <c r="U479" s="3810">
        <f>PerDinas!Q587</f>
        <v>0</v>
      </c>
      <c r="V479" s="3474">
        <f t="shared" si="90"/>
        <v>0</v>
      </c>
    </row>
    <row r="480" spans="1:22" ht="15.05" hidden="1" customHeight="1">
      <c r="A480" s="1855"/>
      <c r="B480" s="1855"/>
      <c r="C480" s="1855"/>
      <c r="D480" s="1855"/>
      <c r="E480" s="1855"/>
      <c r="F480" s="2861"/>
      <c r="G480" s="2862"/>
      <c r="H480" s="200"/>
      <c r="I480" s="200"/>
      <c r="J480" s="3215"/>
      <c r="K480" s="3171"/>
      <c r="L480" s="3125"/>
      <c r="M480" s="3124"/>
      <c r="N480" s="3125"/>
      <c r="O480" s="3125"/>
      <c r="P480" s="3125"/>
      <c r="Q480" s="3125"/>
      <c r="R480" s="3926"/>
      <c r="S480" s="3748"/>
      <c r="T480" s="3826"/>
      <c r="U480" s="3778"/>
      <c r="V480" s="1846">
        <f t="shared" si="90"/>
        <v>0</v>
      </c>
    </row>
    <row r="481" spans="1:22" ht="15.05" customHeight="1">
      <c r="A481" s="1855"/>
      <c r="B481" s="1855"/>
      <c r="C481" s="1855"/>
      <c r="D481" s="1855"/>
      <c r="E481" s="1855"/>
      <c r="F481" s="1464" t="s">
        <v>625</v>
      </c>
      <c r="G481" s="1860"/>
      <c r="H481" s="202"/>
      <c r="I481" s="202"/>
      <c r="J481" s="3259">
        <f>J482</f>
        <v>4562382400</v>
      </c>
      <c r="K481" s="3259">
        <f t="shared" ref="K481:P481" si="91">K482</f>
        <v>4736422507.3400002</v>
      </c>
      <c r="L481" s="3259">
        <f t="shared" si="91"/>
        <v>4562382400</v>
      </c>
      <c r="M481" s="3259">
        <f t="shared" si="91"/>
        <v>733425000</v>
      </c>
      <c r="N481" s="3259">
        <f t="shared" si="91"/>
        <v>411775000</v>
      </c>
      <c r="O481" s="3259">
        <f t="shared" si="91"/>
        <v>1145200000</v>
      </c>
      <c r="P481" s="3259">
        <f t="shared" si="91"/>
        <v>4776018400</v>
      </c>
      <c r="Q481" s="3182">
        <f t="shared" ref="Q481:Q494" si="92">+P481-L481</f>
        <v>213636000</v>
      </c>
      <c r="R481" s="3914">
        <f>+P481/L481*100-100</f>
        <v>4.6825535711342354</v>
      </c>
      <c r="S481" s="3697"/>
      <c r="T481" s="3816"/>
      <c r="U481" s="3777"/>
      <c r="V481" s="1846">
        <f t="shared" si="90"/>
        <v>4580800000</v>
      </c>
    </row>
    <row r="482" spans="1:22" ht="15.05" customHeight="1">
      <c r="A482" s="1855"/>
      <c r="B482" s="1855"/>
      <c r="C482" s="1855"/>
      <c r="D482" s="1855"/>
      <c r="E482" s="1855"/>
      <c r="F482" s="2830" t="s">
        <v>626</v>
      </c>
      <c r="G482" s="2831"/>
      <c r="H482" s="2322"/>
      <c r="I482" s="2322"/>
      <c r="J482" s="3272">
        <f>J483+J484+J496</f>
        <v>4562382400</v>
      </c>
      <c r="K482" s="3272">
        <f>K483+K484+K496</f>
        <v>4736422507.3400002</v>
      </c>
      <c r="L482" s="3272">
        <f>L483+L484+L496</f>
        <v>4562382400</v>
      </c>
      <c r="M482" s="3272">
        <f>M483+M484+M496</f>
        <v>733425000</v>
      </c>
      <c r="N482" s="3272">
        <f>N483+N484+N496</f>
        <v>411775000</v>
      </c>
      <c r="O482" s="3272">
        <f>O483+O484</f>
        <v>1145200000</v>
      </c>
      <c r="P482" s="3272">
        <f>P483+P484+P496</f>
        <v>4776018400</v>
      </c>
      <c r="Q482" s="3182">
        <f t="shared" si="92"/>
        <v>213636000</v>
      </c>
      <c r="R482" s="3914">
        <f>+P482/L482*100-100</f>
        <v>4.6825535711342354</v>
      </c>
      <c r="S482" s="3697"/>
      <c r="T482" s="3816"/>
      <c r="U482" s="3771"/>
      <c r="V482" s="1846">
        <f t="shared" si="90"/>
        <v>4580800000</v>
      </c>
    </row>
    <row r="483" spans="1:22" ht="15.05" customHeight="1">
      <c r="A483" s="1855"/>
      <c r="B483" s="1855"/>
      <c r="C483" s="1855"/>
      <c r="D483" s="1855"/>
      <c r="E483" s="1855"/>
      <c r="F483" s="2863"/>
      <c r="G483" s="1858"/>
      <c r="H483" s="2864" t="s">
        <v>627</v>
      </c>
      <c r="I483" s="200"/>
      <c r="J483" s="3215">
        <v>1439364000</v>
      </c>
      <c r="K483" s="3171">
        <v>1630820507.3399999</v>
      </c>
      <c r="L483" s="3125">
        <v>1439364000</v>
      </c>
      <c r="M483" s="3124">
        <v>0</v>
      </c>
      <c r="N483" s="3125">
        <v>0</v>
      </c>
      <c r="O483" s="3125">
        <v>413250000</v>
      </c>
      <c r="P483" s="3125">
        <v>1653000000</v>
      </c>
      <c r="Q483" s="3125">
        <f t="shared" si="92"/>
        <v>213636000</v>
      </c>
      <c r="R483" s="3926">
        <f>+P483/L483*100-100</f>
        <v>14.842388721685424</v>
      </c>
      <c r="S483" s="3748"/>
      <c r="T483" s="3826"/>
      <c r="U483" s="3778">
        <f>PerDinas!Q610</f>
        <v>0</v>
      </c>
      <c r="V483" s="1846">
        <f t="shared" si="90"/>
        <v>1653000000</v>
      </c>
    </row>
    <row r="484" spans="1:22" s="1839" customFormat="1" ht="15.05" customHeight="1">
      <c r="A484" s="1854"/>
      <c r="B484" s="1854"/>
      <c r="C484" s="1854"/>
      <c r="D484" s="1854"/>
      <c r="E484" s="1854"/>
      <c r="F484" s="1464" t="s">
        <v>50</v>
      </c>
      <c r="G484" s="1860"/>
      <c r="H484" s="202" t="s">
        <v>628</v>
      </c>
      <c r="I484" s="202"/>
      <c r="J484" s="3215">
        <v>3123018400</v>
      </c>
      <c r="K484" s="3123">
        <f>SUM(K485:K494)</f>
        <v>3105602000</v>
      </c>
      <c r="L484" s="3182">
        <v>3123018400</v>
      </c>
      <c r="M484" s="3183">
        <v>457925000</v>
      </c>
      <c r="N484" s="3182">
        <v>274025000</v>
      </c>
      <c r="O484" s="3123">
        <f>SUM(O485:O494)</f>
        <v>731950000</v>
      </c>
      <c r="P484" s="3182">
        <v>3123018400</v>
      </c>
      <c r="Q484" s="3182">
        <f t="shared" si="92"/>
        <v>0</v>
      </c>
      <c r="R484" s="3914">
        <f>+P484/L484*100-100</f>
        <v>0</v>
      </c>
      <c r="S484" s="3697"/>
      <c r="T484" s="3816"/>
      <c r="U484" s="3777"/>
      <c r="V484" s="1846">
        <f t="shared" si="90"/>
        <v>2927800000</v>
      </c>
    </row>
    <row r="485" spans="1:22" ht="15.05" hidden="1" customHeight="1">
      <c r="A485" s="1855"/>
      <c r="B485" s="1855"/>
      <c r="C485" s="1855"/>
      <c r="D485" s="1855"/>
      <c r="E485" s="1855"/>
      <c r="F485" s="2359"/>
      <c r="G485" s="213"/>
      <c r="H485" s="200" t="str">
        <f>MAR!I567</f>
        <v>Samsat Mataram</v>
      </c>
      <c r="I485" s="200"/>
      <c r="J485" s="3215">
        <v>0</v>
      </c>
      <c r="K485" s="3171">
        <v>687375100</v>
      </c>
      <c r="L485" s="3125">
        <v>0</v>
      </c>
      <c r="M485" s="3124">
        <v>98675000</v>
      </c>
      <c r="N485" s="3125">
        <v>46375000</v>
      </c>
      <c r="O485" s="3125">
        <v>145050000</v>
      </c>
      <c r="P485" s="3125">
        <v>0</v>
      </c>
      <c r="Q485" s="3125">
        <f t="shared" si="92"/>
        <v>0</v>
      </c>
      <c r="R485" s="3914" t="e">
        <f>+P485/L485*100-100</f>
        <v>#DIV/0!</v>
      </c>
      <c r="S485" s="3756"/>
      <c r="T485" s="3816"/>
      <c r="U485" s="3778">
        <f>PerDinas!Q612</f>
        <v>0</v>
      </c>
      <c r="V485" s="1846">
        <f t="shared" si="90"/>
        <v>580200000</v>
      </c>
    </row>
    <row r="486" spans="1:22" ht="15.05" hidden="1" customHeight="1">
      <c r="A486" s="1855"/>
      <c r="B486" s="1855"/>
      <c r="C486" s="1855"/>
      <c r="D486" s="1855"/>
      <c r="E486" s="1855"/>
      <c r="F486" s="2359"/>
      <c r="G486" s="213"/>
      <c r="H486" s="200" t="str">
        <f>MAR!I568</f>
        <v>Samsat Praya</v>
      </c>
      <c r="I486" s="200"/>
      <c r="J486" s="3215">
        <v>0</v>
      </c>
      <c r="K486" s="3171">
        <v>492200000</v>
      </c>
      <c r="L486" s="3125"/>
      <c r="M486" s="3124">
        <v>70250000</v>
      </c>
      <c r="N486" s="3125">
        <v>103425000</v>
      </c>
      <c r="O486" s="3125">
        <v>173675000</v>
      </c>
      <c r="P486" s="3125"/>
      <c r="Q486" s="3125">
        <f t="shared" si="92"/>
        <v>0</v>
      </c>
      <c r="R486" s="3914">
        <v>0</v>
      </c>
      <c r="S486" s="3756"/>
      <c r="T486" s="3816"/>
      <c r="U486" s="3778">
        <f>PerDinas!Q613</f>
        <v>0</v>
      </c>
      <c r="V486" s="1846">
        <f t="shared" si="90"/>
        <v>694700000</v>
      </c>
    </row>
    <row r="487" spans="1:22" ht="15.05" hidden="1" customHeight="1">
      <c r="A487" s="1855"/>
      <c r="B487" s="1855"/>
      <c r="C487" s="1855"/>
      <c r="D487" s="1855"/>
      <c r="E487" s="1855"/>
      <c r="F487" s="2359"/>
      <c r="G487" s="213"/>
      <c r="H487" s="200" t="str">
        <f>MAR!I569</f>
        <v>Samsat Selong</v>
      </c>
      <c r="I487" s="200"/>
      <c r="J487" s="3215">
        <v>0</v>
      </c>
      <c r="K487" s="3171">
        <v>636475000</v>
      </c>
      <c r="L487" s="3125"/>
      <c r="M487" s="3124">
        <v>95350000</v>
      </c>
      <c r="N487" s="3125">
        <v>42725000</v>
      </c>
      <c r="O487" s="3125">
        <v>138075000</v>
      </c>
      <c r="P487" s="3125"/>
      <c r="Q487" s="3125">
        <f t="shared" si="92"/>
        <v>0</v>
      </c>
      <c r="R487" s="3914">
        <v>0</v>
      </c>
      <c r="S487" s="3756"/>
      <c r="T487" s="3816"/>
      <c r="U487" s="3778">
        <f>PerDinas!Q614</f>
        <v>0</v>
      </c>
      <c r="V487" s="1846">
        <f t="shared" si="90"/>
        <v>552300000</v>
      </c>
    </row>
    <row r="488" spans="1:22" ht="15.05" hidden="1" customHeight="1">
      <c r="A488" s="1855"/>
      <c r="B488" s="1855"/>
      <c r="C488" s="1855"/>
      <c r="D488" s="1855"/>
      <c r="E488" s="1855"/>
      <c r="F488" s="2359"/>
      <c r="G488" s="213"/>
      <c r="H488" s="200" t="str">
        <f>MAR!I570</f>
        <v>Samsat Sumbawa</v>
      </c>
      <c r="I488" s="200"/>
      <c r="J488" s="3215">
        <v>0</v>
      </c>
      <c r="K488" s="3171">
        <v>262551900</v>
      </c>
      <c r="L488" s="3125"/>
      <c r="M488" s="3124">
        <v>49650000</v>
      </c>
      <c r="N488" s="3125">
        <v>14725000</v>
      </c>
      <c r="O488" s="3125">
        <v>64375000</v>
      </c>
      <c r="P488" s="3125"/>
      <c r="Q488" s="3125">
        <f t="shared" si="92"/>
        <v>0</v>
      </c>
      <c r="R488" s="3914">
        <v>0</v>
      </c>
      <c r="S488" s="3756"/>
      <c r="T488" s="3816"/>
      <c r="U488" s="3778">
        <f>PerDinas!Q615</f>
        <v>0</v>
      </c>
      <c r="V488" s="1846">
        <f t="shared" si="90"/>
        <v>257500000</v>
      </c>
    </row>
    <row r="489" spans="1:22" ht="15.05" hidden="1" customHeight="1">
      <c r="A489" s="1855"/>
      <c r="B489" s="1855"/>
      <c r="C489" s="1855"/>
      <c r="D489" s="1855"/>
      <c r="E489" s="1855"/>
      <c r="F489" s="2359"/>
      <c r="G489" s="213"/>
      <c r="H489" s="200" t="str">
        <f>MAR!I571</f>
        <v>Samsat Kota Bima</v>
      </c>
      <c r="I489" s="200"/>
      <c r="J489" s="3215">
        <v>0</v>
      </c>
      <c r="K489" s="3171">
        <v>223325000</v>
      </c>
      <c r="L489" s="3125"/>
      <c r="M489" s="3124">
        <v>16975000</v>
      </c>
      <c r="N489" s="3125">
        <v>8525000</v>
      </c>
      <c r="O489" s="3125">
        <v>25500000</v>
      </c>
      <c r="P489" s="3125"/>
      <c r="Q489" s="3125">
        <f t="shared" si="92"/>
        <v>0</v>
      </c>
      <c r="R489" s="3914">
        <v>0</v>
      </c>
      <c r="S489" s="3756"/>
      <c r="T489" s="3816"/>
      <c r="U489" s="3778">
        <f>PerDinas!Q616</f>
        <v>0</v>
      </c>
      <c r="V489" s="1846">
        <f t="shared" si="90"/>
        <v>102000000</v>
      </c>
    </row>
    <row r="490" spans="1:22" ht="15.05" hidden="1" customHeight="1">
      <c r="A490" s="1855"/>
      <c r="B490" s="1855"/>
      <c r="C490" s="1855"/>
      <c r="D490" s="1855"/>
      <c r="E490" s="1855"/>
      <c r="F490" s="2359"/>
      <c r="G490" s="213"/>
      <c r="H490" s="200" t="str">
        <f>MAR!I572</f>
        <v>Samsat Kab. Bima</v>
      </c>
      <c r="I490" s="200"/>
      <c r="J490" s="3215">
        <v>0</v>
      </c>
      <c r="K490" s="3193">
        <v>0</v>
      </c>
      <c r="L490" s="3125"/>
      <c r="M490" s="3124">
        <v>13000000</v>
      </c>
      <c r="N490" s="3125">
        <v>6250000</v>
      </c>
      <c r="O490" s="3125">
        <v>19250000</v>
      </c>
      <c r="P490" s="3125"/>
      <c r="Q490" s="3125">
        <f t="shared" si="92"/>
        <v>0</v>
      </c>
      <c r="R490" s="3914">
        <v>0</v>
      </c>
      <c r="S490" s="3756"/>
      <c r="T490" s="3816"/>
      <c r="U490" s="3778">
        <f>PerDinas!Q617</f>
        <v>0</v>
      </c>
      <c r="V490" s="1846">
        <f t="shared" si="90"/>
        <v>77000000</v>
      </c>
    </row>
    <row r="491" spans="1:22" ht="15.05" hidden="1" customHeight="1">
      <c r="A491" s="1855"/>
      <c r="B491" s="1855"/>
      <c r="C491" s="1855"/>
      <c r="D491" s="1855"/>
      <c r="E491" s="1855"/>
      <c r="F491" s="2359"/>
      <c r="G491" s="213"/>
      <c r="H491" s="200" t="str">
        <f>MAR!I573</f>
        <v>Samsat Dompu</v>
      </c>
      <c r="I491" s="200"/>
      <c r="J491" s="3215">
        <v>0</v>
      </c>
      <c r="K491" s="3171">
        <v>93625000</v>
      </c>
      <c r="L491" s="3125"/>
      <c r="M491" s="3124">
        <v>10775000</v>
      </c>
      <c r="N491" s="3125">
        <v>3550000</v>
      </c>
      <c r="O491" s="3125">
        <v>14325000</v>
      </c>
      <c r="P491" s="3125"/>
      <c r="Q491" s="3125">
        <f t="shared" si="92"/>
        <v>0</v>
      </c>
      <c r="R491" s="3914">
        <v>0</v>
      </c>
      <c r="S491" s="3756"/>
      <c r="T491" s="3816"/>
      <c r="U491" s="3778">
        <f>PerDinas!Q617</f>
        <v>0</v>
      </c>
      <c r="V491" s="1846">
        <f t="shared" si="90"/>
        <v>57300000</v>
      </c>
    </row>
    <row r="492" spans="1:22" ht="15.05" hidden="1" customHeight="1">
      <c r="A492" s="1855"/>
      <c r="B492" s="1855"/>
      <c r="C492" s="1855"/>
      <c r="D492" s="1855"/>
      <c r="E492" s="1855"/>
      <c r="F492" s="2359"/>
      <c r="G492" s="213"/>
      <c r="H492" s="200" t="str">
        <f>MAR!I574</f>
        <v>Samsat Lombok Barat</v>
      </c>
      <c r="I492" s="200"/>
      <c r="J492" s="3215">
        <v>0</v>
      </c>
      <c r="K492" s="3171">
        <v>609400000</v>
      </c>
      <c r="L492" s="3125"/>
      <c r="M492" s="3124">
        <v>85725000</v>
      </c>
      <c r="N492" s="3125">
        <v>40875000</v>
      </c>
      <c r="O492" s="3125">
        <v>126600000</v>
      </c>
      <c r="P492" s="3125"/>
      <c r="Q492" s="3125">
        <f t="shared" si="92"/>
        <v>0</v>
      </c>
      <c r="R492" s="3914">
        <v>0</v>
      </c>
      <c r="S492" s="3756"/>
      <c r="T492" s="3816"/>
      <c r="U492" s="3778">
        <f>PerDinas!Q618</f>
        <v>0</v>
      </c>
      <c r="V492" s="1846">
        <f t="shared" si="90"/>
        <v>506400000</v>
      </c>
    </row>
    <row r="493" spans="1:22" ht="15.05" hidden="1" customHeight="1">
      <c r="A493" s="1855"/>
      <c r="B493" s="1855"/>
      <c r="C493" s="1855"/>
      <c r="D493" s="1855"/>
      <c r="E493" s="1855"/>
      <c r="F493" s="2359"/>
      <c r="G493" s="213"/>
      <c r="H493" s="200" t="str">
        <f>MAR!I575</f>
        <v>Samsat Sumbawa Barat</v>
      </c>
      <c r="I493" s="200"/>
      <c r="J493" s="3215">
        <v>0</v>
      </c>
      <c r="K493" s="3171">
        <v>100650000</v>
      </c>
      <c r="L493" s="3125"/>
      <c r="M493" s="3124">
        <v>17525000</v>
      </c>
      <c r="N493" s="3125">
        <v>7575000</v>
      </c>
      <c r="O493" s="3125">
        <v>25100000</v>
      </c>
      <c r="P493" s="3125"/>
      <c r="Q493" s="3125">
        <f t="shared" si="92"/>
        <v>0</v>
      </c>
      <c r="R493" s="3914">
        <v>0</v>
      </c>
      <c r="S493" s="3756"/>
      <c r="T493" s="3816"/>
      <c r="U493" s="3778">
        <f>PerDinas!Q619</f>
        <v>0</v>
      </c>
      <c r="V493" s="1846">
        <f t="shared" si="90"/>
        <v>100400000</v>
      </c>
    </row>
    <row r="494" spans="1:22" ht="15.05" hidden="1" customHeight="1">
      <c r="A494" s="1855"/>
      <c r="B494" s="1855"/>
      <c r="C494" s="1855"/>
      <c r="D494" s="1855"/>
      <c r="E494" s="1855"/>
      <c r="F494" s="2359"/>
      <c r="G494" s="213"/>
      <c r="H494" s="200" t="str">
        <f>MAR!I576</f>
        <v>Samsat Kab.Lombok Utara</v>
      </c>
      <c r="I494" s="200"/>
      <c r="J494" s="3215">
        <v>0</v>
      </c>
      <c r="K494" s="3193">
        <v>0</v>
      </c>
      <c r="L494" s="3125"/>
      <c r="M494" s="3124">
        <v>0</v>
      </c>
      <c r="N494" s="3125">
        <v>0</v>
      </c>
      <c r="O494" s="3125">
        <v>0</v>
      </c>
      <c r="P494" s="3125"/>
      <c r="Q494" s="3125">
        <f t="shared" si="92"/>
        <v>0</v>
      </c>
      <c r="R494" s="3914">
        <v>0</v>
      </c>
      <c r="S494" s="3756"/>
      <c r="T494" s="3816"/>
      <c r="U494" s="3778">
        <f>PerDinas!Q620</f>
        <v>0</v>
      </c>
      <c r="V494" s="1846">
        <f t="shared" si="90"/>
        <v>0</v>
      </c>
    </row>
    <row r="495" spans="1:22" ht="15.05" hidden="1" customHeight="1">
      <c r="A495" s="1855"/>
      <c r="B495" s="1855"/>
      <c r="C495" s="1855"/>
      <c r="D495" s="1855"/>
      <c r="E495" s="1855"/>
      <c r="F495" s="2359"/>
      <c r="G495" s="213"/>
      <c r="H495" s="200"/>
      <c r="I495" s="200"/>
      <c r="J495" s="3215"/>
      <c r="K495" s="3171"/>
      <c r="L495" s="3125"/>
      <c r="M495" s="3124"/>
      <c r="N495" s="3125"/>
      <c r="O495" s="3125"/>
      <c r="P495" s="3125"/>
      <c r="Q495" s="3125"/>
      <c r="R495" s="3926"/>
      <c r="S495" s="3275"/>
      <c r="T495" s="3826"/>
      <c r="U495" s="3771"/>
      <c r="V495" s="1846">
        <f t="shared" si="90"/>
        <v>0</v>
      </c>
    </row>
    <row r="496" spans="1:22" s="1839" customFormat="1" ht="15.05" hidden="1" customHeight="1">
      <c r="A496" s="1854"/>
      <c r="B496" s="1854"/>
      <c r="C496" s="1854"/>
      <c r="D496" s="1854"/>
      <c r="E496" s="1854"/>
      <c r="F496" s="1464" t="s">
        <v>50</v>
      </c>
      <c r="G496" s="1860"/>
      <c r="H496" s="202" t="s">
        <v>85</v>
      </c>
      <c r="I496" s="202"/>
      <c r="J496" s="3259"/>
      <c r="K496" s="3123"/>
      <c r="L496" s="3182">
        <f>L497</f>
        <v>0</v>
      </c>
      <c r="M496" s="3183">
        <v>275500000</v>
      </c>
      <c r="N496" s="3182">
        <f>N497</f>
        <v>137750000</v>
      </c>
      <c r="O496" s="3182">
        <f>O497</f>
        <v>413250000</v>
      </c>
      <c r="P496" s="3182">
        <v>0</v>
      </c>
      <c r="Q496" s="3182">
        <f t="shared" ref="Q496:Q559" si="93">+P496-L496</f>
        <v>0</v>
      </c>
      <c r="R496" s="3914">
        <v>0</v>
      </c>
      <c r="S496" s="3710"/>
      <c r="T496" s="3829"/>
      <c r="U496" s="3777"/>
      <c r="V496" s="1846">
        <f t="shared" si="90"/>
        <v>1653000000</v>
      </c>
    </row>
    <row r="497" spans="1:31" ht="15.05" hidden="1" customHeight="1">
      <c r="A497" s="1855"/>
      <c r="B497" s="1855"/>
      <c r="C497" s="1855"/>
      <c r="D497" s="1855"/>
      <c r="E497" s="1855"/>
      <c r="F497" s="2359"/>
      <c r="G497" s="213"/>
      <c r="H497" s="200" t="s">
        <v>629</v>
      </c>
      <c r="I497" s="200"/>
      <c r="J497" s="3215"/>
      <c r="K497" s="3171"/>
      <c r="L497" s="3125">
        <f>MAR!J562</f>
        <v>0</v>
      </c>
      <c r="M497" s="3124">
        <v>275500000</v>
      </c>
      <c r="N497" s="3125">
        <f>MAR!L562</f>
        <v>137750000</v>
      </c>
      <c r="O497" s="3125">
        <f>MAR!M562</f>
        <v>413250000</v>
      </c>
      <c r="P497" s="3125">
        <v>0</v>
      </c>
      <c r="Q497" s="3125">
        <f t="shared" si="93"/>
        <v>0</v>
      </c>
      <c r="R497" s="3926">
        <v>0</v>
      </c>
      <c r="S497" s="3275"/>
      <c r="T497" s="3826"/>
      <c r="U497" s="3771"/>
      <c r="V497" s="1846">
        <f t="shared" si="90"/>
        <v>1653000000</v>
      </c>
    </row>
    <row r="498" spans="1:31" s="2069" customFormat="1" ht="15.05" customHeight="1">
      <c r="A498" s="1855"/>
      <c r="B498" s="1855"/>
      <c r="C498" s="1855"/>
      <c r="D498" s="1855"/>
      <c r="E498" s="1855"/>
      <c r="F498" s="1464" t="s">
        <v>630</v>
      </c>
      <c r="G498" s="1860"/>
      <c r="H498" s="202"/>
      <c r="I498" s="202"/>
      <c r="J498" s="3259">
        <v>1508491400</v>
      </c>
      <c r="K498" s="3123">
        <v>37289625</v>
      </c>
      <c r="L498" s="3182">
        <v>1508491400</v>
      </c>
      <c r="M498" s="3183">
        <v>0</v>
      </c>
      <c r="N498" s="3182">
        <v>0</v>
      </c>
      <c r="O498" s="3182">
        <v>0</v>
      </c>
      <c r="P498" s="3182">
        <v>1508491400</v>
      </c>
      <c r="Q498" s="3182">
        <f t="shared" si="93"/>
        <v>0</v>
      </c>
      <c r="R498" s="3914">
        <f t="shared" ref="R498:R503" si="94">+P498/L498*100-100</f>
        <v>0</v>
      </c>
      <c r="S498" s="4356"/>
      <c r="T498" s="4357"/>
      <c r="U498" s="4282"/>
      <c r="V498" s="3925">
        <f t="shared" si="90"/>
        <v>0</v>
      </c>
    </row>
    <row r="499" spans="1:31" s="2069" customFormat="1" ht="15.05" customHeight="1">
      <c r="A499" s="1855"/>
      <c r="B499" s="1855"/>
      <c r="C499" s="1855"/>
      <c r="D499" s="1855"/>
      <c r="E499" s="1855"/>
      <c r="F499" s="1857" t="s">
        <v>50</v>
      </c>
      <c r="G499" s="1858"/>
      <c r="H499" s="200" t="s">
        <v>85</v>
      </c>
      <c r="I499" s="200"/>
      <c r="J499" s="3215"/>
      <c r="K499" s="3171"/>
      <c r="L499" s="3125">
        <v>1508491400</v>
      </c>
      <c r="M499" s="3124">
        <v>0</v>
      </c>
      <c r="N499" s="3125">
        <v>0</v>
      </c>
      <c r="O499" s="3125">
        <v>0</v>
      </c>
      <c r="P499" s="3125">
        <v>1508491400</v>
      </c>
      <c r="Q499" s="3125">
        <f t="shared" si="93"/>
        <v>0</v>
      </c>
      <c r="R499" s="3926">
        <f t="shared" si="94"/>
        <v>0</v>
      </c>
      <c r="S499" s="3921"/>
      <c r="T499" s="3922"/>
      <c r="U499" s="3923"/>
      <c r="V499" s="3925">
        <f t="shared" si="90"/>
        <v>0</v>
      </c>
    </row>
    <row r="500" spans="1:31" s="2069" customFormat="1" ht="15.05" hidden="1" customHeight="1">
      <c r="A500" s="1855"/>
      <c r="B500" s="1855"/>
      <c r="C500" s="1855"/>
      <c r="D500" s="1855"/>
      <c r="E500" s="1855"/>
      <c r="F500" s="1857"/>
      <c r="G500" s="1858"/>
      <c r="H500" s="200"/>
      <c r="I500" s="200"/>
      <c r="J500" s="3215"/>
      <c r="K500" s="3171"/>
      <c r="L500" s="3125"/>
      <c r="M500" s="3124"/>
      <c r="N500" s="3125"/>
      <c r="O500" s="3125"/>
      <c r="P500" s="3125"/>
      <c r="Q500" s="3125">
        <f t="shared" si="93"/>
        <v>0</v>
      </c>
      <c r="R500" s="3926" t="e">
        <f t="shared" si="94"/>
        <v>#DIV/0!</v>
      </c>
      <c r="S500" s="3921"/>
      <c r="T500" s="3922"/>
      <c r="U500" s="3923"/>
      <c r="V500" s="3925">
        <f t="shared" si="90"/>
        <v>0</v>
      </c>
      <c r="AE500" s="4442"/>
    </row>
    <row r="501" spans="1:31" s="2069" customFormat="1" ht="15.05" customHeight="1">
      <c r="A501" s="1855"/>
      <c r="B501" s="1855"/>
      <c r="C501" s="1855"/>
      <c r="D501" s="1855"/>
      <c r="E501" s="1855"/>
      <c r="F501" s="1464" t="s">
        <v>279</v>
      </c>
      <c r="G501" s="1860"/>
      <c r="H501" s="200"/>
      <c r="I501" s="200"/>
      <c r="J501" s="3259">
        <f>J502</f>
        <v>25741600</v>
      </c>
      <c r="K501" s="3123">
        <f>K502</f>
        <v>3610507</v>
      </c>
      <c r="L501" s="3182">
        <v>25741600</v>
      </c>
      <c r="M501" s="3183">
        <v>0</v>
      </c>
      <c r="N501" s="3182">
        <v>0</v>
      </c>
      <c r="O501" s="3182">
        <v>0</v>
      </c>
      <c r="P501" s="3182">
        <v>25741600</v>
      </c>
      <c r="Q501" s="3182">
        <f t="shared" si="93"/>
        <v>0</v>
      </c>
      <c r="R501" s="3914">
        <f t="shared" si="94"/>
        <v>0</v>
      </c>
      <c r="S501" s="4356"/>
      <c r="T501" s="4357"/>
      <c r="U501" s="3923"/>
      <c r="V501" s="3925">
        <f t="shared" si="90"/>
        <v>0</v>
      </c>
    </row>
    <row r="502" spans="1:31" s="2069" customFormat="1" ht="15.05" customHeight="1">
      <c r="A502" s="1855"/>
      <c r="B502" s="1855"/>
      <c r="C502" s="1855"/>
      <c r="D502" s="1855"/>
      <c r="E502" s="1855"/>
      <c r="F502" s="2756" t="s">
        <v>50</v>
      </c>
      <c r="G502" s="1858" t="s">
        <v>631</v>
      </c>
      <c r="H502" s="200"/>
      <c r="I502" s="200"/>
      <c r="J502" s="3215">
        <v>25741600</v>
      </c>
      <c r="K502" s="3171">
        <v>3610507</v>
      </c>
      <c r="L502" s="3125">
        <v>25741600</v>
      </c>
      <c r="M502" s="3124">
        <v>0</v>
      </c>
      <c r="N502" s="3125">
        <v>0</v>
      </c>
      <c r="O502" s="3125">
        <v>0</v>
      </c>
      <c r="P502" s="3125">
        <v>25741600</v>
      </c>
      <c r="Q502" s="3125">
        <f t="shared" si="93"/>
        <v>0</v>
      </c>
      <c r="R502" s="3926">
        <f t="shared" si="94"/>
        <v>0</v>
      </c>
      <c r="S502" s="3921"/>
      <c r="T502" s="3922"/>
      <c r="U502" s="3923"/>
      <c r="V502" s="3925">
        <f t="shared" si="90"/>
        <v>0</v>
      </c>
    </row>
    <row r="503" spans="1:31" ht="15.05" hidden="1" customHeight="1">
      <c r="A503" s="1855"/>
      <c r="B503" s="1855"/>
      <c r="C503" s="1855"/>
      <c r="D503" s="1855"/>
      <c r="E503" s="1855"/>
      <c r="F503" s="1857"/>
      <c r="G503" s="1858"/>
      <c r="H503" s="200"/>
      <c r="I503" s="200"/>
      <c r="J503" s="3215"/>
      <c r="K503" s="3171"/>
      <c r="L503" s="3125"/>
      <c r="M503" s="3124"/>
      <c r="N503" s="3125"/>
      <c r="O503" s="3125"/>
      <c r="P503" s="3125"/>
      <c r="Q503" s="3125">
        <f t="shared" si="93"/>
        <v>0</v>
      </c>
      <c r="R503" s="3926" t="e">
        <f t="shared" si="94"/>
        <v>#DIV/0!</v>
      </c>
      <c r="S503" s="3748"/>
      <c r="T503" s="3826"/>
      <c r="U503" s="3778"/>
      <c r="V503" s="1846">
        <f t="shared" si="90"/>
        <v>0</v>
      </c>
    </row>
    <row r="504" spans="1:31" ht="15.05" hidden="1" customHeight="1">
      <c r="A504" s="1855"/>
      <c r="B504" s="1855"/>
      <c r="C504" s="1855"/>
      <c r="D504" s="1855"/>
      <c r="E504" s="1855"/>
      <c r="F504" s="1464" t="s">
        <v>122</v>
      </c>
      <c r="G504" s="1860"/>
      <c r="H504" s="202"/>
      <c r="I504" s="202"/>
      <c r="J504" s="3259"/>
      <c r="K504" s="3123">
        <f>K505</f>
        <v>10539168</v>
      </c>
      <c r="L504" s="3182">
        <v>0</v>
      </c>
      <c r="M504" s="3183">
        <v>140000</v>
      </c>
      <c r="N504" s="3182">
        <v>0</v>
      </c>
      <c r="O504" s="3182">
        <v>140000</v>
      </c>
      <c r="P504" s="3182">
        <v>0</v>
      </c>
      <c r="Q504" s="3182">
        <f t="shared" si="93"/>
        <v>0</v>
      </c>
      <c r="R504" s="3914">
        <v>0</v>
      </c>
      <c r="S504" s="3710"/>
      <c r="T504" s="3829"/>
      <c r="U504" s="3777"/>
      <c r="V504" s="1846">
        <f t="shared" si="90"/>
        <v>560000</v>
      </c>
    </row>
    <row r="505" spans="1:31" s="1840" customFormat="1" ht="15.05" hidden="1" customHeight="1">
      <c r="A505" s="1855"/>
      <c r="B505" s="1855"/>
      <c r="C505" s="1855"/>
      <c r="D505" s="1855"/>
      <c r="E505" s="1855"/>
      <c r="F505" s="1857" t="s">
        <v>50</v>
      </c>
      <c r="G505" s="1858"/>
      <c r="H505" s="200" t="s">
        <v>632</v>
      </c>
      <c r="I505" s="200"/>
      <c r="J505" s="3215"/>
      <c r="K505" s="3171">
        <v>10539168</v>
      </c>
      <c r="L505" s="3125">
        <v>0</v>
      </c>
      <c r="M505" s="3124">
        <v>140000</v>
      </c>
      <c r="N505" s="3125">
        <v>0</v>
      </c>
      <c r="O505" s="3125">
        <v>140000</v>
      </c>
      <c r="P505" s="3125">
        <v>0</v>
      </c>
      <c r="Q505" s="3125">
        <f t="shared" si="93"/>
        <v>0</v>
      </c>
      <c r="R505" s="3914">
        <v>0</v>
      </c>
      <c r="S505" s="3731"/>
      <c r="T505" s="3829"/>
      <c r="U505" s="3778">
        <f>PerDinas!Q628</f>
        <v>0</v>
      </c>
      <c r="V505" s="1882">
        <f t="shared" si="90"/>
        <v>560000</v>
      </c>
    </row>
    <row r="506" spans="1:31" ht="15.05" hidden="1" customHeight="1">
      <c r="A506" s="1855"/>
      <c r="B506" s="1855"/>
      <c r="C506" s="1855"/>
      <c r="D506" s="1855"/>
      <c r="E506" s="1855"/>
      <c r="F506" s="1857"/>
      <c r="G506" s="1858"/>
      <c r="H506" s="200"/>
      <c r="I506" s="200"/>
      <c r="J506" s="3215"/>
      <c r="K506" s="3171"/>
      <c r="L506" s="3125"/>
      <c r="M506" s="3124"/>
      <c r="N506" s="3125"/>
      <c r="O506" s="3125"/>
      <c r="P506" s="3125"/>
      <c r="Q506" s="3125">
        <f t="shared" si="93"/>
        <v>0</v>
      </c>
      <c r="R506" s="3914">
        <v>0</v>
      </c>
      <c r="S506" s="3710"/>
      <c r="T506" s="3829"/>
      <c r="U506" s="3771"/>
      <c r="V506" s="1846">
        <f t="shared" si="90"/>
        <v>0</v>
      </c>
    </row>
    <row r="507" spans="1:31" ht="15.05" hidden="1" customHeight="1">
      <c r="A507" s="1855"/>
      <c r="B507" s="1855"/>
      <c r="C507" s="1855"/>
      <c r="D507" s="1855"/>
      <c r="E507" s="1855"/>
      <c r="F507" s="1464" t="s">
        <v>1192</v>
      </c>
      <c r="G507" s="1860"/>
      <c r="H507" s="200"/>
      <c r="I507" s="200"/>
      <c r="J507" s="3215"/>
      <c r="K507" s="3171">
        <f>K508</f>
        <v>4907140</v>
      </c>
      <c r="L507" s="3182">
        <v>0</v>
      </c>
      <c r="M507" s="3183">
        <v>0</v>
      </c>
      <c r="N507" s="3182">
        <v>0</v>
      </c>
      <c r="O507" s="3182">
        <v>0</v>
      </c>
      <c r="P507" s="3182">
        <v>0</v>
      </c>
      <c r="Q507" s="3182">
        <f t="shared" si="93"/>
        <v>0</v>
      </c>
      <c r="R507" s="3914">
        <v>0</v>
      </c>
      <c r="S507" s="3710"/>
      <c r="T507" s="3829"/>
      <c r="U507" s="3771"/>
      <c r="V507" s="1846">
        <f t="shared" si="90"/>
        <v>0</v>
      </c>
    </row>
    <row r="508" spans="1:31" ht="15.05" hidden="1" customHeight="1">
      <c r="A508" s="1855"/>
      <c r="B508" s="1855"/>
      <c r="C508" s="1855"/>
      <c r="D508" s="1855"/>
      <c r="E508" s="1855"/>
      <c r="F508" s="1857" t="s">
        <v>50</v>
      </c>
      <c r="G508" s="1858"/>
      <c r="H508" s="200" t="s">
        <v>85</v>
      </c>
      <c r="I508" s="200"/>
      <c r="J508" s="3215"/>
      <c r="K508" s="3171">
        <v>4907140</v>
      </c>
      <c r="L508" s="3125">
        <v>0</v>
      </c>
      <c r="M508" s="3124">
        <v>0</v>
      </c>
      <c r="N508" s="3125">
        <v>0</v>
      </c>
      <c r="O508" s="3125">
        <v>0</v>
      </c>
      <c r="P508" s="3125">
        <v>0</v>
      </c>
      <c r="Q508" s="3125">
        <f t="shared" si="93"/>
        <v>0</v>
      </c>
      <c r="R508" s="3914">
        <v>0</v>
      </c>
      <c r="S508" s="3710"/>
      <c r="T508" s="3829"/>
      <c r="U508" s="3771"/>
      <c r="V508" s="1846">
        <f t="shared" si="90"/>
        <v>0</v>
      </c>
    </row>
    <row r="509" spans="1:31" ht="15.05" hidden="1" customHeight="1">
      <c r="A509" s="1855"/>
      <c r="B509" s="1855"/>
      <c r="C509" s="1855"/>
      <c r="D509" s="1855"/>
      <c r="E509" s="1855"/>
      <c r="F509" s="1857"/>
      <c r="G509" s="1858"/>
      <c r="H509" s="202"/>
      <c r="I509" s="202"/>
      <c r="J509" s="3259"/>
      <c r="K509" s="3123"/>
      <c r="L509" s="3308"/>
      <c r="M509" s="3309"/>
      <c r="N509" s="3308"/>
      <c r="O509" s="3308"/>
      <c r="P509" s="3308"/>
      <c r="Q509" s="3308">
        <f t="shared" si="93"/>
        <v>0</v>
      </c>
      <c r="R509" s="3914">
        <v>0</v>
      </c>
      <c r="S509" s="3710"/>
      <c r="T509" s="3829"/>
      <c r="U509" s="3771"/>
      <c r="V509" s="1846">
        <f t="shared" si="90"/>
        <v>0</v>
      </c>
    </row>
    <row r="510" spans="1:31" ht="15.05" hidden="1" customHeight="1">
      <c r="A510" s="1855"/>
      <c r="B510" s="1855"/>
      <c r="C510" s="1855"/>
      <c r="D510" s="1855"/>
      <c r="E510" s="1855"/>
      <c r="F510" s="1464" t="s">
        <v>591</v>
      </c>
      <c r="G510" s="1860"/>
      <c r="H510" s="202"/>
      <c r="I510" s="202"/>
      <c r="J510" s="3259">
        <v>0</v>
      </c>
      <c r="K510" s="3123">
        <v>5742894</v>
      </c>
      <c r="L510" s="3182">
        <v>0</v>
      </c>
      <c r="M510" s="3183">
        <v>0</v>
      </c>
      <c r="N510" s="3182">
        <v>0</v>
      </c>
      <c r="O510" s="3182">
        <v>0</v>
      </c>
      <c r="P510" s="3182">
        <v>0</v>
      </c>
      <c r="Q510" s="3182">
        <f t="shared" si="93"/>
        <v>0</v>
      </c>
      <c r="R510" s="3914">
        <v>0</v>
      </c>
      <c r="S510" s="3710"/>
      <c r="T510" s="3829"/>
      <c r="U510" s="3777"/>
      <c r="V510" s="1846">
        <f t="shared" si="90"/>
        <v>0</v>
      </c>
    </row>
    <row r="511" spans="1:31" s="1840" customFormat="1" ht="15.05" hidden="1" customHeight="1">
      <c r="A511" s="1855"/>
      <c r="B511" s="1855"/>
      <c r="C511" s="1855"/>
      <c r="D511" s="1855"/>
      <c r="E511" s="1855"/>
      <c r="F511" s="1857" t="s">
        <v>50</v>
      </c>
      <c r="G511" s="1858"/>
      <c r="H511" s="200" t="s">
        <v>632</v>
      </c>
      <c r="I511" s="200"/>
      <c r="J511" s="3215">
        <v>0</v>
      </c>
      <c r="K511" s="3171">
        <v>5742894</v>
      </c>
      <c r="L511" s="3125">
        <v>0</v>
      </c>
      <c r="M511" s="3124">
        <v>0</v>
      </c>
      <c r="N511" s="3125">
        <v>0</v>
      </c>
      <c r="O511" s="3125">
        <v>0</v>
      </c>
      <c r="P511" s="3125">
        <v>0</v>
      </c>
      <c r="Q511" s="3125">
        <f t="shared" si="93"/>
        <v>0</v>
      </c>
      <c r="R511" s="3914">
        <v>0</v>
      </c>
      <c r="S511" s="3731"/>
      <c r="T511" s="3829"/>
      <c r="U511" s="3778">
        <f>PerDinas!Q630</f>
        <v>0</v>
      </c>
      <c r="V511" s="1882">
        <f t="shared" si="90"/>
        <v>0</v>
      </c>
    </row>
    <row r="512" spans="1:31" ht="15.05" hidden="1" customHeight="1">
      <c r="A512" s="1855"/>
      <c r="B512" s="1855"/>
      <c r="C512" s="1855"/>
      <c r="D512" s="1855"/>
      <c r="E512" s="1855"/>
      <c r="F512" s="1857"/>
      <c r="G512" s="1858"/>
      <c r="H512" s="2329"/>
      <c r="I512" s="200"/>
      <c r="J512" s="3215"/>
      <c r="K512" s="3171"/>
      <c r="L512" s="3125"/>
      <c r="M512" s="3124"/>
      <c r="N512" s="3125"/>
      <c r="O512" s="3125"/>
      <c r="P512" s="3125"/>
      <c r="Q512" s="3125">
        <f t="shared" si="93"/>
        <v>0</v>
      </c>
      <c r="R512" s="3914">
        <v>0</v>
      </c>
      <c r="S512" s="3710"/>
      <c r="T512" s="3829"/>
      <c r="U512" s="3771"/>
      <c r="V512" s="1846">
        <f t="shared" si="90"/>
        <v>0</v>
      </c>
    </row>
    <row r="513" spans="1:22" ht="15.05" hidden="1" customHeight="1">
      <c r="A513" s="1855"/>
      <c r="B513" s="1855"/>
      <c r="C513" s="1855"/>
      <c r="D513" s="1855"/>
      <c r="E513" s="1855"/>
      <c r="F513" s="1464" t="s">
        <v>1193</v>
      </c>
      <c r="G513" s="1860"/>
      <c r="H513" s="202"/>
      <c r="I513" s="202"/>
      <c r="J513" s="3259">
        <v>0</v>
      </c>
      <c r="K513" s="3200">
        <f>K514</f>
        <v>32700000</v>
      </c>
      <c r="L513" s="3182">
        <v>0</v>
      </c>
      <c r="M513" s="3183">
        <v>0</v>
      </c>
      <c r="N513" s="3182">
        <v>0</v>
      </c>
      <c r="O513" s="3182">
        <v>0</v>
      </c>
      <c r="P513" s="3182">
        <v>0</v>
      </c>
      <c r="Q513" s="3182">
        <f t="shared" si="93"/>
        <v>0</v>
      </c>
      <c r="R513" s="3914">
        <v>0</v>
      </c>
      <c r="S513" s="3710"/>
      <c r="T513" s="3829"/>
      <c r="U513" s="3777"/>
      <c r="V513" s="1846">
        <f t="shared" si="90"/>
        <v>0</v>
      </c>
    </row>
    <row r="514" spans="1:22" ht="15.05" hidden="1" customHeight="1">
      <c r="A514" s="1855"/>
      <c r="B514" s="1855"/>
      <c r="C514" s="1855"/>
      <c r="D514" s="1855"/>
      <c r="E514" s="1855"/>
      <c r="F514" s="1857" t="s">
        <v>50</v>
      </c>
      <c r="G514" s="1858"/>
      <c r="H514" s="200" t="s">
        <v>632</v>
      </c>
      <c r="I514" s="200"/>
      <c r="J514" s="3215">
        <v>0</v>
      </c>
      <c r="K514" s="3193">
        <v>32700000</v>
      </c>
      <c r="L514" s="3125">
        <v>0</v>
      </c>
      <c r="M514" s="3124">
        <v>0</v>
      </c>
      <c r="N514" s="3125">
        <v>0</v>
      </c>
      <c r="O514" s="3125">
        <v>0</v>
      </c>
      <c r="P514" s="3125">
        <v>0</v>
      </c>
      <c r="Q514" s="3125">
        <f t="shared" si="93"/>
        <v>0</v>
      </c>
      <c r="R514" s="3914">
        <v>0</v>
      </c>
      <c r="S514" s="3731"/>
      <c r="T514" s="3829"/>
      <c r="U514" s="3778">
        <f>PerDinas!Q631</f>
        <v>0</v>
      </c>
      <c r="V514" s="1846">
        <f t="shared" si="90"/>
        <v>0</v>
      </c>
    </row>
    <row r="515" spans="1:22" ht="15.05" hidden="1" customHeight="1">
      <c r="A515" s="1855"/>
      <c r="B515" s="1855"/>
      <c r="C515" s="1855"/>
      <c r="D515" s="1855"/>
      <c r="E515" s="1855"/>
      <c r="F515" s="1857"/>
      <c r="G515" s="1858"/>
      <c r="H515" s="200"/>
      <c r="I515" s="200"/>
      <c r="J515" s="3215"/>
      <c r="K515" s="3171"/>
      <c r="L515" s="3125"/>
      <c r="M515" s="3124"/>
      <c r="N515" s="3125"/>
      <c r="O515" s="3125"/>
      <c r="P515" s="3125"/>
      <c r="Q515" s="3125">
        <f t="shared" si="93"/>
        <v>0</v>
      </c>
      <c r="R515" s="3914">
        <v>0</v>
      </c>
      <c r="S515" s="3731"/>
      <c r="T515" s="3829"/>
      <c r="U515" s="3778"/>
      <c r="V515" s="1846">
        <f t="shared" si="90"/>
        <v>0</v>
      </c>
    </row>
    <row r="516" spans="1:22" ht="15.05" hidden="1" customHeight="1">
      <c r="A516" s="1855"/>
      <c r="B516" s="1855"/>
      <c r="C516" s="1855"/>
      <c r="D516" s="1855"/>
      <c r="E516" s="1855"/>
      <c r="F516" s="1464" t="s">
        <v>633</v>
      </c>
      <c r="G516" s="1860"/>
      <c r="H516" s="202"/>
      <c r="I516" s="202"/>
      <c r="J516" s="3259">
        <v>0</v>
      </c>
      <c r="K516" s="3123">
        <v>46795750</v>
      </c>
      <c r="L516" s="3182">
        <v>0</v>
      </c>
      <c r="M516" s="3183">
        <v>720000</v>
      </c>
      <c r="N516" s="3182">
        <v>0</v>
      </c>
      <c r="O516" s="3182">
        <v>720000</v>
      </c>
      <c r="P516" s="3182">
        <v>0</v>
      </c>
      <c r="Q516" s="3182">
        <f t="shared" si="93"/>
        <v>0</v>
      </c>
      <c r="R516" s="3914">
        <v>0</v>
      </c>
      <c r="S516" s="3710"/>
      <c r="T516" s="3829"/>
      <c r="U516" s="3777"/>
      <c r="V516" s="1846">
        <f t="shared" si="90"/>
        <v>2880000</v>
      </c>
    </row>
    <row r="517" spans="1:22" s="1840" customFormat="1" ht="15.05" hidden="1" customHeight="1">
      <c r="A517" s="1855"/>
      <c r="B517" s="1855"/>
      <c r="C517" s="1855"/>
      <c r="D517" s="1855"/>
      <c r="E517" s="1855"/>
      <c r="F517" s="1857" t="s">
        <v>50</v>
      </c>
      <c r="G517" s="1858"/>
      <c r="H517" s="200" t="s">
        <v>85</v>
      </c>
      <c r="I517" s="200"/>
      <c r="J517" s="3215">
        <v>0</v>
      </c>
      <c r="K517" s="3171">
        <v>46795750</v>
      </c>
      <c r="L517" s="3125">
        <v>0</v>
      </c>
      <c r="M517" s="3124">
        <v>720000</v>
      </c>
      <c r="N517" s="3125">
        <v>0</v>
      </c>
      <c r="O517" s="3125">
        <v>720000</v>
      </c>
      <c r="P517" s="3125">
        <v>0</v>
      </c>
      <c r="Q517" s="3125">
        <f t="shared" si="93"/>
        <v>0</v>
      </c>
      <c r="R517" s="3914">
        <v>0</v>
      </c>
      <c r="S517" s="3731"/>
      <c r="T517" s="3829"/>
      <c r="U517" s="3778">
        <f>PerDinas!Q624</f>
        <v>0</v>
      </c>
      <c r="V517" s="1882">
        <f t="shared" si="90"/>
        <v>2880000</v>
      </c>
    </row>
    <row r="518" spans="1:22" ht="15.05" hidden="1" customHeight="1">
      <c r="A518" s="1855"/>
      <c r="B518" s="1855"/>
      <c r="C518" s="1855"/>
      <c r="D518" s="1855"/>
      <c r="E518" s="1855"/>
      <c r="F518" s="1857"/>
      <c r="G518" s="1858"/>
      <c r="H518" s="2329"/>
      <c r="I518" s="200"/>
      <c r="J518" s="3215"/>
      <c r="K518" s="3171"/>
      <c r="L518" s="3125"/>
      <c r="M518" s="3124"/>
      <c r="N518" s="3125"/>
      <c r="O518" s="3125"/>
      <c r="P518" s="3125"/>
      <c r="Q518" s="3125">
        <f t="shared" si="93"/>
        <v>0</v>
      </c>
      <c r="R518" s="3914">
        <v>0</v>
      </c>
      <c r="S518" s="3710"/>
      <c r="T518" s="3829"/>
      <c r="U518" s="3771"/>
      <c r="V518" s="1846">
        <f t="shared" si="90"/>
        <v>0</v>
      </c>
    </row>
    <row r="519" spans="1:22" ht="15.05" hidden="1" customHeight="1">
      <c r="A519" s="1855"/>
      <c r="B519" s="1855"/>
      <c r="C519" s="1855"/>
      <c r="D519" s="1855"/>
      <c r="E519" s="1855"/>
      <c r="F519" s="1464" t="s">
        <v>634</v>
      </c>
      <c r="G519" s="1860"/>
      <c r="H519" s="202"/>
      <c r="I519" s="202"/>
      <c r="J519" s="3259">
        <v>0</v>
      </c>
      <c r="K519" s="3123">
        <v>6050000</v>
      </c>
      <c r="L519" s="3182">
        <v>0</v>
      </c>
      <c r="M519" s="3183">
        <v>0</v>
      </c>
      <c r="N519" s="3182">
        <v>0</v>
      </c>
      <c r="O519" s="3182">
        <v>0</v>
      </c>
      <c r="P519" s="3182">
        <v>0</v>
      </c>
      <c r="Q519" s="3182">
        <f t="shared" si="93"/>
        <v>0</v>
      </c>
      <c r="R519" s="3914">
        <v>0</v>
      </c>
      <c r="S519" s="3710"/>
      <c r="T519" s="3829"/>
      <c r="U519" s="3777"/>
      <c r="V519" s="1846">
        <f t="shared" si="90"/>
        <v>0</v>
      </c>
    </row>
    <row r="520" spans="1:22" s="1840" customFormat="1" ht="15.05" hidden="1" customHeight="1">
      <c r="A520" s="1855"/>
      <c r="B520" s="1855"/>
      <c r="C520" s="1855"/>
      <c r="D520" s="1855"/>
      <c r="E520" s="1855"/>
      <c r="F520" s="1857" t="s">
        <v>50</v>
      </c>
      <c r="G520" s="1858"/>
      <c r="H520" s="200" t="s">
        <v>635</v>
      </c>
      <c r="I520" s="200"/>
      <c r="J520" s="3215">
        <v>0</v>
      </c>
      <c r="K520" s="3171">
        <v>6050000</v>
      </c>
      <c r="L520" s="3125">
        <v>0</v>
      </c>
      <c r="M520" s="3124">
        <v>0</v>
      </c>
      <c r="N520" s="3125">
        <v>0</v>
      </c>
      <c r="O520" s="3125">
        <v>0</v>
      </c>
      <c r="P520" s="3125">
        <v>0</v>
      </c>
      <c r="Q520" s="3125">
        <f t="shared" si="93"/>
        <v>0</v>
      </c>
      <c r="R520" s="3914">
        <v>0</v>
      </c>
      <c r="S520" s="3731"/>
      <c r="T520" s="3829"/>
      <c r="U520" s="3778">
        <f>PerDinas!Q626</f>
        <v>0</v>
      </c>
      <c r="V520" s="1882">
        <f t="shared" si="90"/>
        <v>0</v>
      </c>
    </row>
    <row r="521" spans="1:22" ht="15.05" hidden="1" customHeight="1">
      <c r="A521" s="1855"/>
      <c r="B521" s="1855"/>
      <c r="C521" s="1855"/>
      <c r="D521" s="1855"/>
      <c r="E521" s="1855"/>
      <c r="F521" s="1857" t="s">
        <v>50</v>
      </c>
      <c r="G521" s="1858"/>
      <c r="H521" s="200" t="s">
        <v>85</v>
      </c>
      <c r="I521" s="200"/>
      <c r="J521" s="3215">
        <v>0</v>
      </c>
      <c r="K521" s="3171">
        <v>0</v>
      </c>
      <c r="L521" s="3125">
        <v>0</v>
      </c>
      <c r="M521" s="3124">
        <v>0</v>
      </c>
      <c r="N521" s="3125">
        <v>0</v>
      </c>
      <c r="O521" s="3125">
        <v>0</v>
      </c>
      <c r="P521" s="3125">
        <v>0</v>
      </c>
      <c r="Q521" s="3125">
        <f t="shared" si="93"/>
        <v>0</v>
      </c>
      <c r="R521" s="3914">
        <v>0</v>
      </c>
      <c r="S521" s="3710"/>
      <c r="T521" s="3829"/>
      <c r="U521" s="3771"/>
      <c r="V521" s="1846">
        <f t="shared" si="90"/>
        <v>0</v>
      </c>
    </row>
    <row r="522" spans="1:22" ht="15.05" hidden="1" customHeight="1">
      <c r="A522" s="1855"/>
      <c r="B522" s="1855"/>
      <c r="C522" s="1855"/>
      <c r="D522" s="1855"/>
      <c r="E522" s="1855"/>
      <c r="F522" s="1464" t="s">
        <v>579</v>
      </c>
      <c r="G522" s="1860"/>
      <c r="H522" s="202"/>
      <c r="I522" s="202"/>
      <c r="J522" s="3259">
        <v>0</v>
      </c>
      <c r="K522" s="3123">
        <v>0</v>
      </c>
      <c r="L522" s="3182">
        <v>0</v>
      </c>
      <c r="M522" s="3183">
        <v>0</v>
      </c>
      <c r="N522" s="3182">
        <v>0</v>
      </c>
      <c r="O522" s="3182">
        <v>0</v>
      </c>
      <c r="P522" s="3182">
        <v>0</v>
      </c>
      <c r="Q522" s="3182">
        <f t="shared" si="93"/>
        <v>0</v>
      </c>
      <c r="R522" s="3914">
        <v>0</v>
      </c>
      <c r="S522" s="3710"/>
      <c r="T522" s="3829"/>
      <c r="U522" s="3777"/>
      <c r="V522" s="1846">
        <f t="shared" si="90"/>
        <v>0</v>
      </c>
    </row>
    <row r="523" spans="1:22" ht="12.05" hidden="1" customHeight="1">
      <c r="A523" s="1855"/>
      <c r="B523" s="1855"/>
      <c r="C523" s="1855"/>
      <c r="D523" s="1855"/>
      <c r="E523" s="1855"/>
      <c r="F523" s="1857" t="s">
        <v>50</v>
      </c>
      <c r="G523" s="1858"/>
      <c r="H523" s="200" t="s">
        <v>85</v>
      </c>
      <c r="I523" s="200"/>
      <c r="J523" s="3215">
        <v>0</v>
      </c>
      <c r="K523" s="3171">
        <v>0</v>
      </c>
      <c r="L523" s="3125">
        <v>0</v>
      </c>
      <c r="M523" s="3124">
        <v>0</v>
      </c>
      <c r="N523" s="3125">
        <v>0</v>
      </c>
      <c r="O523" s="3125">
        <v>0</v>
      </c>
      <c r="P523" s="3125">
        <v>0</v>
      </c>
      <c r="Q523" s="3125">
        <f t="shared" si="93"/>
        <v>0</v>
      </c>
      <c r="R523" s="3914">
        <v>0</v>
      </c>
      <c r="S523" s="3731"/>
      <c r="T523" s="3829"/>
      <c r="U523" s="3778">
        <f>PerDinas!Q1066</f>
        <v>0</v>
      </c>
      <c r="V523" s="1846">
        <f t="shared" si="90"/>
        <v>0</v>
      </c>
    </row>
    <row r="524" spans="1:22" ht="15.05" hidden="1" customHeight="1">
      <c r="A524" s="1855"/>
      <c r="B524" s="1855"/>
      <c r="C524" s="1855"/>
      <c r="D524" s="1855"/>
      <c r="E524" s="1855"/>
      <c r="F524" s="1464" t="s">
        <v>570</v>
      </c>
      <c r="G524" s="1860"/>
      <c r="H524" s="202"/>
      <c r="I524" s="202"/>
      <c r="J524" s="3259">
        <v>0</v>
      </c>
      <c r="K524" s="3123">
        <v>90592600</v>
      </c>
      <c r="L524" s="3182">
        <v>0</v>
      </c>
      <c r="M524" s="3183">
        <v>10809500</v>
      </c>
      <c r="N524" s="3182">
        <v>0</v>
      </c>
      <c r="O524" s="3182">
        <v>10809500</v>
      </c>
      <c r="P524" s="3182">
        <v>0</v>
      </c>
      <c r="Q524" s="3182">
        <f t="shared" si="93"/>
        <v>0</v>
      </c>
      <c r="R524" s="3914">
        <v>0</v>
      </c>
      <c r="S524" s="3710"/>
      <c r="T524" s="3829"/>
      <c r="U524" s="3777"/>
      <c r="V524" s="1846">
        <f t="shared" si="90"/>
        <v>43238000</v>
      </c>
    </row>
    <row r="525" spans="1:22" s="1840" customFormat="1" ht="15.05" hidden="1" customHeight="1">
      <c r="A525" s="1855"/>
      <c r="B525" s="1855"/>
      <c r="C525" s="1855"/>
      <c r="D525" s="1855"/>
      <c r="E525" s="1855"/>
      <c r="F525" s="1857" t="s">
        <v>50</v>
      </c>
      <c r="G525" s="1858"/>
      <c r="H525" s="200" t="s">
        <v>85</v>
      </c>
      <c r="I525" s="200"/>
      <c r="J525" s="3215">
        <v>0</v>
      </c>
      <c r="K525" s="3171">
        <v>90592600</v>
      </c>
      <c r="L525" s="3125">
        <v>0</v>
      </c>
      <c r="M525" s="3124">
        <v>10809500</v>
      </c>
      <c r="N525" s="3125">
        <v>0</v>
      </c>
      <c r="O525" s="3125">
        <v>10809500</v>
      </c>
      <c r="P525" s="3125">
        <v>0</v>
      </c>
      <c r="Q525" s="3125">
        <f t="shared" si="93"/>
        <v>0</v>
      </c>
      <c r="R525" s="3914">
        <v>0</v>
      </c>
      <c r="S525" s="3731"/>
      <c r="T525" s="3829"/>
      <c r="U525" s="3778">
        <f>PerDinas!Q633</f>
        <v>0</v>
      </c>
      <c r="V525" s="1882">
        <f t="shared" si="90"/>
        <v>43238000</v>
      </c>
    </row>
    <row r="526" spans="1:22" ht="15.05" hidden="1" customHeight="1">
      <c r="A526" s="1855"/>
      <c r="B526" s="1855"/>
      <c r="C526" s="1855"/>
      <c r="D526" s="1855"/>
      <c r="E526" s="1855"/>
      <c r="F526" s="1857"/>
      <c r="G526" s="1858"/>
      <c r="H526" s="200"/>
      <c r="I526" s="200"/>
      <c r="J526" s="3215"/>
      <c r="K526" s="3171"/>
      <c r="L526" s="3125"/>
      <c r="M526" s="3124"/>
      <c r="N526" s="3125"/>
      <c r="O526" s="3125"/>
      <c r="P526" s="3125"/>
      <c r="Q526" s="3125">
        <f t="shared" si="93"/>
        <v>0</v>
      </c>
      <c r="R526" s="3914">
        <v>0</v>
      </c>
      <c r="S526" s="3710"/>
      <c r="T526" s="3829"/>
      <c r="U526" s="3771"/>
      <c r="V526" s="1846">
        <f t="shared" si="90"/>
        <v>0</v>
      </c>
    </row>
    <row r="527" spans="1:22" ht="15.05" hidden="1" customHeight="1">
      <c r="A527" s="1855"/>
      <c r="B527" s="1855"/>
      <c r="C527" s="1855"/>
      <c r="D527" s="1855"/>
      <c r="E527" s="1855"/>
      <c r="F527" s="1464" t="s">
        <v>636</v>
      </c>
      <c r="G527" s="1860"/>
      <c r="H527" s="202"/>
      <c r="I527" s="202"/>
      <c r="J527" s="3259"/>
      <c r="K527" s="3123"/>
      <c r="L527" s="3182">
        <v>0</v>
      </c>
      <c r="M527" s="3183">
        <v>0</v>
      </c>
      <c r="N527" s="3182">
        <v>0</v>
      </c>
      <c r="O527" s="3182">
        <v>0</v>
      </c>
      <c r="P527" s="3182">
        <v>0</v>
      </c>
      <c r="Q527" s="3182">
        <f t="shared" si="93"/>
        <v>0</v>
      </c>
      <c r="R527" s="3914">
        <v>0</v>
      </c>
      <c r="S527" s="3710"/>
      <c r="T527" s="3829"/>
      <c r="U527" s="3777"/>
      <c r="V527" s="1846">
        <f t="shared" si="90"/>
        <v>0</v>
      </c>
    </row>
    <row r="528" spans="1:22" ht="15.05" hidden="1" customHeight="1">
      <c r="A528" s="1855"/>
      <c r="B528" s="1855"/>
      <c r="C528" s="1855"/>
      <c r="D528" s="1855"/>
      <c r="E528" s="1855"/>
      <c r="F528" s="1857" t="s">
        <v>50</v>
      </c>
      <c r="G528" s="1858"/>
      <c r="H528" s="200" t="s">
        <v>631</v>
      </c>
      <c r="I528" s="200"/>
      <c r="J528" s="3215"/>
      <c r="K528" s="3171"/>
      <c r="L528" s="3125">
        <v>0</v>
      </c>
      <c r="M528" s="3124">
        <v>0</v>
      </c>
      <c r="N528" s="3125">
        <v>0</v>
      </c>
      <c r="O528" s="3125">
        <v>0</v>
      </c>
      <c r="P528" s="3125">
        <v>0</v>
      </c>
      <c r="Q528" s="3125">
        <f t="shared" si="93"/>
        <v>0</v>
      </c>
      <c r="R528" s="3914">
        <v>0</v>
      </c>
      <c r="S528" s="3731"/>
      <c r="T528" s="3829"/>
      <c r="U528" s="3778">
        <f>PerDinas!Q56</f>
        <v>0</v>
      </c>
      <c r="V528" s="1846">
        <f t="shared" si="90"/>
        <v>0</v>
      </c>
    </row>
    <row r="529" spans="1:22" ht="15.05" hidden="1" customHeight="1">
      <c r="A529" s="1855"/>
      <c r="B529" s="1855"/>
      <c r="C529" s="1855"/>
      <c r="D529" s="1855"/>
      <c r="E529" s="1855"/>
      <c r="F529" s="1464" t="s">
        <v>637</v>
      </c>
      <c r="G529" s="1860"/>
      <c r="H529" s="202"/>
      <c r="I529" s="202"/>
      <c r="J529" s="3259"/>
      <c r="K529" s="3123"/>
      <c r="L529" s="3182">
        <v>0</v>
      </c>
      <c r="M529" s="3183">
        <v>0</v>
      </c>
      <c r="N529" s="3182">
        <v>0</v>
      </c>
      <c r="O529" s="3182">
        <v>0</v>
      </c>
      <c r="P529" s="3182">
        <v>0</v>
      </c>
      <c r="Q529" s="3182">
        <f t="shared" si="93"/>
        <v>0</v>
      </c>
      <c r="R529" s="3914">
        <v>0</v>
      </c>
      <c r="S529" s="3710"/>
      <c r="T529" s="3829"/>
      <c r="U529" s="3777"/>
      <c r="V529" s="1846">
        <f t="shared" si="90"/>
        <v>0</v>
      </c>
    </row>
    <row r="530" spans="1:22" ht="15.05" hidden="1" customHeight="1">
      <c r="A530" s="1855"/>
      <c r="B530" s="1855"/>
      <c r="C530" s="1855"/>
      <c r="D530" s="1855"/>
      <c r="E530" s="1855"/>
      <c r="F530" s="1857" t="s">
        <v>50</v>
      </c>
      <c r="G530" s="1858"/>
      <c r="H530" s="200" t="s">
        <v>85</v>
      </c>
      <c r="I530" s="200"/>
      <c r="J530" s="3215"/>
      <c r="K530" s="3171"/>
      <c r="L530" s="3125">
        <v>0</v>
      </c>
      <c r="M530" s="3124">
        <v>0</v>
      </c>
      <c r="N530" s="3125">
        <v>0</v>
      </c>
      <c r="O530" s="3125">
        <v>0</v>
      </c>
      <c r="P530" s="3125">
        <v>0</v>
      </c>
      <c r="Q530" s="3125">
        <f t="shared" si="93"/>
        <v>0</v>
      </c>
      <c r="R530" s="3914">
        <v>0</v>
      </c>
      <c r="S530" s="3710"/>
      <c r="T530" s="3829"/>
      <c r="U530" s="3771"/>
      <c r="V530" s="1846">
        <f t="shared" si="90"/>
        <v>0</v>
      </c>
    </row>
    <row r="531" spans="1:22" ht="15.05" hidden="1" customHeight="1">
      <c r="A531" s="1855"/>
      <c r="B531" s="1855"/>
      <c r="C531" s="1855"/>
      <c r="D531" s="1855"/>
      <c r="E531" s="1855"/>
      <c r="F531" s="1464" t="s">
        <v>638</v>
      </c>
      <c r="G531" s="1860"/>
      <c r="H531" s="202"/>
      <c r="I531" s="202"/>
      <c r="J531" s="3259"/>
      <c r="K531" s="3123"/>
      <c r="L531" s="3182">
        <v>0</v>
      </c>
      <c r="M531" s="3183">
        <v>0</v>
      </c>
      <c r="N531" s="3182">
        <v>0</v>
      </c>
      <c r="O531" s="3182">
        <v>0</v>
      </c>
      <c r="P531" s="3182">
        <v>0</v>
      </c>
      <c r="Q531" s="3182">
        <f t="shared" si="93"/>
        <v>0</v>
      </c>
      <c r="R531" s="3914">
        <v>0</v>
      </c>
      <c r="S531" s="3710"/>
      <c r="T531" s="3829"/>
      <c r="U531" s="3777"/>
      <c r="V531" s="1846">
        <f t="shared" si="90"/>
        <v>0</v>
      </c>
    </row>
    <row r="532" spans="1:22" ht="15.05" hidden="1" customHeight="1">
      <c r="A532" s="1855"/>
      <c r="B532" s="1855"/>
      <c r="C532" s="1855"/>
      <c r="D532" s="1855"/>
      <c r="E532" s="1855"/>
      <c r="F532" s="1857" t="s">
        <v>50</v>
      </c>
      <c r="G532" s="1858"/>
      <c r="H532" s="200" t="s">
        <v>85</v>
      </c>
      <c r="I532" s="200"/>
      <c r="J532" s="3215"/>
      <c r="K532" s="3171"/>
      <c r="L532" s="3125"/>
      <c r="M532" s="3124"/>
      <c r="N532" s="3125"/>
      <c r="O532" s="3125"/>
      <c r="P532" s="3125"/>
      <c r="Q532" s="3125">
        <f t="shared" si="93"/>
        <v>0</v>
      </c>
      <c r="R532" s="3914">
        <v>0</v>
      </c>
      <c r="S532" s="3710"/>
      <c r="T532" s="3829"/>
      <c r="U532" s="3771"/>
      <c r="V532" s="1846">
        <f t="shared" si="90"/>
        <v>0</v>
      </c>
    </row>
    <row r="533" spans="1:22" ht="15.05" hidden="1" customHeight="1">
      <c r="A533" s="1855"/>
      <c r="B533" s="1855"/>
      <c r="C533" s="1855"/>
      <c r="D533" s="1855"/>
      <c r="E533" s="1855"/>
      <c r="F533" s="1464" t="s">
        <v>639</v>
      </c>
      <c r="G533" s="1860"/>
      <c r="H533" s="202"/>
      <c r="I533" s="202"/>
      <c r="J533" s="3259"/>
      <c r="K533" s="3123"/>
      <c r="L533" s="3182">
        <v>0</v>
      </c>
      <c r="M533" s="3183">
        <v>0</v>
      </c>
      <c r="N533" s="3182">
        <v>0</v>
      </c>
      <c r="O533" s="3182">
        <v>0</v>
      </c>
      <c r="P533" s="3182">
        <v>0</v>
      </c>
      <c r="Q533" s="3182">
        <f t="shared" si="93"/>
        <v>0</v>
      </c>
      <c r="R533" s="3914">
        <v>0</v>
      </c>
      <c r="S533" s="3710"/>
      <c r="T533" s="3829"/>
      <c r="U533" s="3777"/>
      <c r="V533" s="1846">
        <f t="shared" si="90"/>
        <v>0</v>
      </c>
    </row>
    <row r="534" spans="1:22" ht="15.05" hidden="1" customHeight="1">
      <c r="A534" s="1855"/>
      <c r="B534" s="1855"/>
      <c r="C534" s="1855"/>
      <c r="D534" s="1855"/>
      <c r="E534" s="1855"/>
      <c r="F534" s="1857" t="s">
        <v>50</v>
      </c>
      <c r="G534" s="1858"/>
      <c r="H534" s="200" t="s">
        <v>640</v>
      </c>
      <c r="I534" s="200"/>
      <c r="J534" s="3215"/>
      <c r="K534" s="3171"/>
      <c r="L534" s="3125">
        <v>0</v>
      </c>
      <c r="M534" s="3124">
        <v>0</v>
      </c>
      <c r="N534" s="3125">
        <v>0</v>
      </c>
      <c r="O534" s="3125">
        <v>0</v>
      </c>
      <c r="P534" s="3125">
        <v>0</v>
      </c>
      <c r="Q534" s="3125">
        <f t="shared" si="93"/>
        <v>0</v>
      </c>
      <c r="R534" s="3914">
        <v>0</v>
      </c>
      <c r="S534" s="3731"/>
      <c r="T534" s="3829"/>
      <c r="U534" s="3778">
        <f>PerDinas!Q606</f>
        <v>0</v>
      </c>
      <c r="V534" s="1846">
        <f t="shared" si="90"/>
        <v>0</v>
      </c>
    </row>
    <row r="535" spans="1:22" ht="15.05" hidden="1" customHeight="1">
      <c r="A535" s="1855"/>
      <c r="B535" s="1855"/>
      <c r="C535" s="1855"/>
      <c r="D535" s="1855"/>
      <c r="E535" s="1855"/>
      <c r="F535" s="1464" t="s">
        <v>641</v>
      </c>
      <c r="G535" s="1860"/>
      <c r="H535" s="202"/>
      <c r="I535" s="202"/>
      <c r="J535" s="3259"/>
      <c r="K535" s="3123"/>
      <c r="L535" s="3182">
        <v>0</v>
      </c>
      <c r="M535" s="3183">
        <v>0</v>
      </c>
      <c r="N535" s="3182">
        <v>0</v>
      </c>
      <c r="O535" s="3182">
        <v>0</v>
      </c>
      <c r="P535" s="3182">
        <v>0</v>
      </c>
      <c r="Q535" s="3182">
        <f t="shared" si="93"/>
        <v>0</v>
      </c>
      <c r="R535" s="3914">
        <v>0</v>
      </c>
      <c r="S535" s="3710"/>
      <c r="T535" s="3829"/>
      <c r="U535" s="3777"/>
      <c r="V535" s="1846">
        <f t="shared" ref="V535:V584" si="95">O535*4</f>
        <v>0</v>
      </c>
    </row>
    <row r="536" spans="1:22" ht="15.05" hidden="1" customHeight="1">
      <c r="A536" s="1855"/>
      <c r="B536" s="1855"/>
      <c r="C536" s="1855"/>
      <c r="D536" s="1855"/>
      <c r="E536" s="1855"/>
      <c r="F536" s="1857" t="s">
        <v>50</v>
      </c>
      <c r="G536" s="1858"/>
      <c r="H536" s="200" t="s">
        <v>85</v>
      </c>
      <c r="I536" s="200"/>
      <c r="J536" s="3215"/>
      <c r="K536" s="3171"/>
      <c r="L536" s="3125">
        <v>0</v>
      </c>
      <c r="M536" s="3124">
        <v>0</v>
      </c>
      <c r="N536" s="3125">
        <v>0</v>
      </c>
      <c r="O536" s="3125">
        <v>0</v>
      </c>
      <c r="P536" s="3125">
        <v>0</v>
      </c>
      <c r="Q536" s="3125">
        <f t="shared" si="93"/>
        <v>0</v>
      </c>
      <c r="R536" s="3914">
        <v>0</v>
      </c>
      <c r="S536" s="3710"/>
      <c r="T536" s="3829"/>
      <c r="U536" s="3771"/>
      <c r="V536" s="1846">
        <f t="shared" si="95"/>
        <v>0</v>
      </c>
    </row>
    <row r="537" spans="1:22" ht="15.05" hidden="1" customHeight="1">
      <c r="A537" s="1855"/>
      <c r="B537" s="1855"/>
      <c r="C537" s="1855"/>
      <c r="D537" s="1855"/>
      <c r="E537" s="1855"/>
      <c r="F537" s="1464" t="s">
        <v>642</v>
      </c>
      <c r="G537" s="1860"/>
      <c r="H537" s="202"/>
      <c r="I537" s="202"/>
      <c r="J537" s="3259"/>
      <c r="K537" s="3123"/>
      <c r="L537" s="3182">
        <v>0</v>
      </c>
      <c r="M537" s="3183">
        <v>0</v>
      </c>
      <c r="N537" s="3182">
        <v>0</v>
      </c>
      <c r="O537" s="3182">
        <v>0</v>
      </c>
      <c r="P537" s="3182">
        <v>0</v>
      </c>
      <c r="Q537" s="3182">
        <f t="shared" si="93"/>
        <v>0</v>
      </c>
      <c r="R537" s="3914">
        <v>0</v>
      </c>
      <c r="S537" s="3710"/>
      <c r="T537" s="3829"/>
      <c r="U537" s="3777"/>
      <c r="V537" s="1846">
        <f t="shared" si="95"/>
        <v>0</v>
      </c>
    </row>
    <row r="538" spans="1:22" ht="15.05" hidden="1" customHeight="1">
      <c r="A538" s="1855"/>
      <c r="B538" s="1855"/>
      <c r="C538" s="1855"/>
      <c r="D538" s="1855"/>
      <c r="E538" s="1855"/>
      <c r="F538" s="1857"/>
      <c r="G538" s="1858"/>
      <c r="H538" s="200"/>
      <c r="I538" s="200"/>
      <c r="J538" s="3215"/>
      <c r="K538" s="3171"/>
      <c r="L538" s="3125"/>
      <c r="M538" s="3124"/>
      <c r="N538" s="3125"/>
      <c r="O538" s="3125"/>
      <c r="P538" s="3125"/>
      <c r="Q538" s="3125">
        <f t="shared" si="93"/>
        <v>0</v>
      </c>
      <c r="R538" s="3914">
        <v>0</v>
      </c>
      <c r="S538" s="3710"/>
      <c r="T538" s="3829"/>
      <c r="U538" s="3771"/>
      <c r="V538" s="1846">
        <f t="shared" si="95"/>
        <v>0</v>
      </c>
    </row>
    <row r="539" spans="1:22" s="2069" customFormat="1" ht="15.05" customHeight="1">
      <c r="A539" s="1855"/>
      <c r="B539" s="1855"/>
      <c r="C539" s="1855"/>
      <c r="D539" s="1855"/>
      <c r="E539" s="1855"/>
      <c r="F539" s="1464" t="s">
        <v>643</v>
      </c>
      <c r="G539" s="1860"/>
      <c r="H539" s="202"/>
      <c r="I539" s="202"/>
      <c r="J539" s="3259">
        <v>1100000</v>
      </c>
      <c r="K539" s="3123">
        <v>0</v>
      </c>
      <c r="L539" s="3182">
        <v>1100000</v>
      </c>
      <c r="M539" s="3183">
        <v>0</v>
      </c>
      <c r="N539" s="3182">
        <v>0</v>
      </c>
      <c r="O539" s="3182">
        <v>0</v>
      </c>
      <c r="P539" s="3182">
        <v>1100000</v>
      </c>
      <c r="Q539" s="3182">
        <f t="shared" si="93"/>
        <v>0</v>
      </c>
      <c r="R539" s="3914">
        <v>0</v>
      </c>
      <c r="S539" s="4356"/>
      <c r="T539" s="4357"/>
      <c r="U539" s="4282"/>
      <c r="V539" s="3925">
        <f t="shared" si="95"/>
        <v>0</v>
      </c>
    </row>
    <row r="540" spans="1:22" s="4444" customFormat="1" ht="15.05" customHeight="1">
      <c r="A540" s="1855"/>
      <c r="B540" s="1855"/>
      <c r="C540" s="1855"/>
      <c r="D540" s="1855"/>
      <c r="E540" s="1855"/>
      <c r="F540" s="1857" t="s">
        <v>50</v>
      </c>
      <c r="G540" s="1858"/>
      <c r="H540" s="200" t="s">
        <v>85</v>
      </c>
      <c r="I540" s="200"/>
      <c r="J540" s="3215">
        <v>1100000</v>
      </c>
      <c r="K540" s="3171">
        <v>0</v>
      </c>
      <c r="L540" s="3125">
        <v>1100000</v>
      </c>
      <c r="M540" s="3124">
        <v>0</v>
      </c>
      <c r="N540" s="3125">
        <v>0</v>
      </c>
      <c r="O540" s="3125">
        <v>0</v>
      </c>
      <c r="P540" s="3125">
        <v>1100000</v>
      </c>
      <c r="Q540" s="3125">
        <f t="shared" si="93"/>
        <v>0</v>
      </c>
      <c r="R540" s="3914">
        <v>0</v>
      </c>
      <c r="S540" s="4385"/>
      <c r="T540" s="4357"/>
      <c r="U540" s="4353">
        <f>PerDinas!Q601</f>
        <v>0</v>
      </c>
      <c r="V540" s="4443">
        <f t="shared" si="95"/>
        <v>0</v>
      </c>
    </row>
    <row r="541" spans="1:22" ht="15.05" hidden="1" customHeight="1">
      <c r="A541" s="1855"/>
      <c r="B541" s="1855"/>
      <c r="C541" s="1855"/>
      <c r="D541" s="1855"/>
      <c r="E541" s="1855"/>
      <c r="F541" s="1464" t="s">
        <v>62</v>
      </c>
      <c r="G541" s="1860"/>
      <c r="H541" s="202"/>
      <c r="I541" s="202"/>
      <c r="J541" s="3259"/>
      <c r="K541" s="3123"/>
      <c r="L541" s="3182">
        <v>0</v>
      </c>
      <c r="M541" s="3183">
        <v>0</v>
      </c>
      <c r="N541" s="3182">
        <v>0</v>
      </c>
      <c r="O541" s="3182">
        <v>0</v>
      </c>
      <c r="P541" s="3182">
        <v>0</v>
      </c>
      <c r="Q541" s="3182">
        <f t="shared" si="93"/>
        <v>0</v>
      </c>
      <c r="R541" s="3914">
        <v>0</v>
      </c>
      <c r="S541" s="3710"/>
      <c r="T541" s="3829"/>
      <c r="U541" s="3777"/>
      <c r="V541" s="1846">
        <f t="shared" si="95"/>
        <v>0</v>
      </c>
    </row>
    <row r="542" spans="1:22" ht="15.05" hidden="1" customHeight="1">
      <c r="A542" s="1855"/>
      <c r="B542" s="1855"/>
      <c r="C542" s="1855"/>
      <c r="D542" s="1855"/>
      <c r="E542" s="1855"/>
      <c r="F542" s="1857" t="s">
        <v>50</v>
      </c>
      <c r="G542" s="1858"/>
      <c r="H542" s="200" t="s">
        <v>85</v>
      </c>
      <c r="I542" s="200"/>
      <c r="J542" s="3215"/>
      <c r="K542" s="3171"/>
      <c r="L542" s="3125">
        <v>0</v>
      </c>
      <c r="M542" s="3124">
        <v>0</v>
      </c>
      <c r="N542" s="3125">
        <v>0</v>
      </c>
      <c r="O542" s="3125">
        <v>0</v>
      </c>
      <c r="P542" s="3125">
        <v>0</v>
      </c>
      <c r="Q542" s="3125">
        <f t="shared" si="93"/>
        <v>0</v>
      </c>
      <c r="R542" s="3914">
        <v>0</v>
      </c>
      <c r="S542" s="3731"/>
      <c r="T542" s="3829"/>
      <c r="U542" s="3778">
        <f>PerDinas!Q600</f>
        <v>0</v>
      </c>
      <c r="V542" s="1846">
        <f t="shared" si="95"/>
        <v>0</v>
      </c>
    </row>
    <row r="543" spans="1:22" ht="15.05" hidden="1" customHeight="1">
      <c r="A543" s="1855"/>
      <c r="B543" s="1855"/>
      <c r="C543" s="1855"/>
      <c r="D543" s="1855"/>
      <c r="E543" s="1855"/>
      <c r="F543" s="1857" t="s">
        <v>50</v>
      </c>
      <c r="G543" s="1858"/>
      <c r="H543" s="200"/>
      <c r="I543" s="1939"/>
      <c r="J543" s="3310"/>
      <c r="K543" s="3311"/>
      <c r="L543" s="3125"/>
      <c r="M543" s="3124"/>
      <c r="N543" s="3125"/>
      <c r="O543" s="3125"/>
      <c r="P543" s="3125"/>
      <c r="Q543" s="3125">
        <f t="shared" si="93"/>
        <v>0</v>
      </c>
      <c r="R543" s="3914">
        <v>0</v>
      </c>
      <c r="S543" s="3731"/>
      <c r="T543" s="3829"/>
      <c r="U543" s="3778">
        <f>PerDinas!Q388</f>
        <v>0</v>
      </c>
      <c r="V543" s="1846">
        <f t="shared" si="95"/>
        <v>0</v>
      </c>
    </row>
    <row r="544" spans="1:22" ht="15.05" hidden="1" customHeight="1">
      <c r="A544" s="1855"/>
      <c r="B544" s="1855"/>
      <c r="C544" s="1855"/>
      <c r="D544" s="1855"/>
      <c r="E544" s="1855"/>
      <c r="F544" s="1857"/>
      <c r="G544" s="1858"/>
      <c r="H544" s="200"/>
      <c r="I544" s="1939"/>
      <c r="J544" s="3310"/>
      <c r="K544" s="3311"/>
      <c r="L544" s="3125"/>
      <c r="M544" s="3124"/>
      <c r="N544" s="3125"/>
      <c r="O544" s="3125"/>
      <c r="P544" s="3125"/>
      <c r="Q544" s="3125">
        <f t="shared" si="93"/>
        <v>0</v>
      </c>
      <c r="R544" s="3914">
        <v>0</v>
      </c>
      <c r="S544" s="3710"/>
      <c r="T544" s="3829"/>
      <c r="U544" s="3778"/>
      <c r="V544" s="1846">
        <f t="shared" si="95"/>
        <v>0</v>
      </c>
    </row>
    <row r="545" spans="1:22" ht="15.05" hidden="1" customHeight="1">
      <c r="A545" s="1855"/>
      <c r="B545" s="1855"/>
      <c r="C545" s="1855"/>
      <c r="D545" s="1855"/>
      <c r="E545" s="1855"/>
      <c r="F545" s="1464" t="s">
        <v>580</v>
      </c>
      <c r="G545" s="1860"/>
      <c r="H545" s="202"/>
      <c r="I545" s="202"/>
      <c r="J545" s="3259"/>
      <c r="K545" s="3123"/>
      <c r="L545" s="3182">
        <v>0</v>
      </c>
      <c r="M545" s="3183">
        <v>0</v>
      </c>
      <c r="N545" s="3182">
        <v>0</v>
      </c>
      <c r="O545" s="3182">
        <v>0</v>
      </c>
      <c r="P545" s="3182">
        <v>0</v>
      </c>
      <c r="Q545" s="3182">
        <f t="shared" si="93"/>
        <v>0</v>
      </c>
      <c r="R545" s="3914">
        <v>0</v>
      </c>
      <c r="S545" s="3710"/>
      <c r="T545" s="3829"/>
      <c r="U545" s="3777"/>
      <c r="V545" s="1846">
        <f t="shared" si="95"/>
        <v>0</v>
      </c>
    </row>
    <row r="546" spans="1:22" ht="15.05" hidden="1" customHeight="1">
      <c r="A546" s="1855"/>
      <c r="B546" s="1855"/>
      <c r="C546" s="1855"/>
      <c r="D546" s="1855"/>
      <c r="E546" s="1855"/>
      <c r="F546" s="1857" t="s">
        <v>50</v>
      </c>
      <c r="G546" s="1858"/>
      <c r="H546" s="200" t="s">
        <v>85</v>
      </c>
      <c r="I546" s="200"/>
      <c r="J546" s="3215"/>
      <c r="K546" s="3171"/>
      <c r="L546" s="3125">
        <v>0</v>
      </c>
      <c r="M546" s="3124">
        <v>0</v>
      </c>
      <c r="N546" s="3125">
        <v>0</v>
      </c>
      <c r="O546" s="3125">
        <v>0</v>
      </c>
      <c r="P546" s="3125">
        <v>0</v>
      </c>
      <c r="Q546" s="3125">
        <f t="shared" si="93"/>
        <v>0</v>
      </c>
      <c r="R546" s="3914">
        <v>0</v>
      </c>
      <c r="S546" s="3731"/>
      <c r="T546" s="3829"/>
      <c r="U546" s="3778">
        <f>PerDinas!Q607</f>
        <v>0</v>
      </c>
      <c r="V546" s="1846">
        <f t="shared" si="95"/>
        <v>0</v>
      </c>
    </row>
    <row r="547" spans="1:22" ht="15.05" hidden="1" customHeight="1">
      <c r="A547" s="1855"/>
      <c r="B547" s="1855"/>
      <c r="C547" s="1855"/>
      <c r="D547" s="1855"/>
      <c r="E547" s="1855"/>
      <c r="F547" s="1464" t="s">
        <v>644</v>
      </c>
      <c r="G547" s="1860"/>
      <c r="H547" s="202"/>
      <c r="I547" s="202"/>
      <c r="J547" s="3259">
        <v>0</v>
      </c>
      <c r="K547" s="3123">
        <v>13894000</v>
      </c>
      <c r="L547" s="3182">
        <v>0</v>
      </c>
      <c r="M547" s="3183">
        <v>0</v>
      </c>
      <c r="N547" s="3182">
        <v>0</v>
      </c>
      <c r="O547" s="3182">
        <v>0</v>
      </c>
      <c r="P547" s="3182">
        <v>0</v>
      </c>
      <c r="Q547" s="3182">
        <f t="shared" si="93"/>
        <v>0</v>
      </c>
      <c r="R547" s="3914">
        <v>0</v>
      </c>
      <c r="S547" s="3710"/>
      <c r="T547" s="3829"/>
      <c r="U547" s="3777"/>
      <c r="V547" s="1846">
        <f t="shared" si="95"/>
        <v>0</v>
      </c>
    </row>
    <row r="548" spans="1:22" s="1840" customFormat="1" ht="15.05" hidden="1" customHeight="1">
      <c r="A548" s="1855"/>
      <c r="B548" s="1855"/>
      <c r="C548" s="1855"/>
      <c r="D548" s="1855"/>
      <c r="E548" s="1855"/>
      <c r="F548" s="1857" t="s">
        <v>50</v>
      </c>
      <c r="G548" s="1858" t="s">
        <v>624</v>
      </c>
      <c r="H548" s="200"/>
      <c r="I548" s="200"/>
      <c r="J548" s="3215">
        <v>0</v>
      </c>
      <c r="K548" s="3171">
        <v>13894000</v>
      </c>
      <c r="L548" s="3125"/>
      <c r="M548" s="3124"/>
      <c r="N548" s="3125"/>
      <c r="O548" s="3125"/>
      <c r="P548" s="3125"/>
      <c r="Q548" s="3125">
        <f t="shared" si="93"/>
        <v>0</v>
      </c>
      <c r="R548" s="3914">
        <v>0</v>
      </c>
      <c r="S548" s="3731"/>
      <c r="T548" s="3829"/>
      <c r="U548" s="3778"/>
      <c r="V548" s="1882">
        <f t="shared" si="95"/>
        <v>0</v>
      </c>
    </row>
    <row r="549" spans="1:22" ht="15.05" hidden="1" customHeight="1">
      <c r="A549" s="1855"/>
      <c r="B549" s="1855"/>
      <c r="C549" s="1855"/>
      <c r="D549" s="1855"/>
      <c r="E549" s="1855"/>
      <c r="F549" s="1857"/>
      <c r="G549" s="1858"/>
      <c r="H549" s="200"/>
      <c r="I549" s="200"/>
      <c r="J549" s="3215"/>
      <c r="K549" s="3171"/>
      <c r="L549" s="3125"/>
      <c r="M549" s="3124"/>
      <c r="N549" s="3125"/>
      <c r="O549" s="3125"/>
      <c r="P549" s="3125"/>
      <c r="Q549" s="3125">
        <f t="shared" si="93"/>
        <v>0</v>
      </c>
      <c r="R549" s="3914">
        <v>0</v>
      </c>
      <c r="S549" s="3710"/>
      <c r="T549" s="3829"/>
      <c r="U549" s="3771"/>
      <c r="V549" s="1846">
        <f t="shared" si="95"/>
        <v>0</v>
      </c>
    </row>
    <row r="550" spans="1:22" ht="15.05" hidden="1" customHeight="1">
      <c r="A550" s="1855"/>
      <c r="B550" s="1855"/>
      <c r="C550" s="1855"/>
      <c r="D550" s="1855"/>
      <c r="E550" s="1855"/>
      <c r="F550" s="1464" t="s">
        <v>571</v>
      </c>
      <c r="G550" s="1860"/>
      <c r="H550" s="202"/>
      <c r="I550" s="202"/>
      <c r="J550" s="3259">
        <v>0</v>
      </c>
      <c r="K550" s="3123">
        <v>99530000</v>
      </c>
      <c r="L550" s="3182">
        <v>0</v>
      </c>
      <c r="M550" s="3183">
        <v>14027628.99</v>
      </c>
      <c r="N550" s="3182">
        <v>500000</v>
      </c>
      <c r="O550" s="3182">
        <v>14527628.99</v>
      </c>
      <c r="P550" s="3182">
        <v>0</v>
      </c>
      <c r="Q550" s="3182">
        <f t="shared" si="93"/>
        <v>0</v>
      </c>
      <c r="R550" s="3914">
        <v>0</v>
      </c>
      <c r="S550" s="3710"/>
      <c r="T550" s="3829"/>
      <c r="U550" s="3777"/>
      <c r="V550" s="1846">
        <f t="shared" si="95"/>
        <v>58110515.960000001</v>
      </c>
    </row>
    <row r="551" spans="1:22" s="1840" customFormat="1" ht="15.05" hidden="1" customHeight="1">
      <c r="A551" s="1855"/>
      <c r="B551" s="1855"/>
      <c r="C551" s="1855"/>
      <c r="D551" s="1855"/>
      <c r="E551" s="1855"/>
      <c r="F551" s="1857" t="s">
        <v>50</v>
      </c>
      <c r="G551" s="1858"/>
      <c r="H551" s="200" t="s">
        <v>85</v>
      </c>
      <c r="I551" s="200"/>
      <c r="J551" s="3215">
        <v>0</v>
      </c>
      <c r="K551" s="3171">
        <v>99530000</v>
      </c>
      <c r="L551" s="3125">
        <v>0</v>
      </c>
      <c r="M551" s="3124">
        <v>14027628.99</v>
      </c>
      <c r="N551" s="3125">
        <v>500000</v>
      </c>
      <c r="O551" s="3125">
        <v>14527628.99</v>
      </c>
      <c r="P551" s="3125">
        <v>0</v>
      </c>
      <c r="Q551" s="3125">
        <f t="shared" si="93"/>
        <v>0</v>
      </c>
      <c r="R551" s="3914">
        <v>0</v>
      </c>
      <c r="S551" s="3731"/>
      <c r="T551" s="3829"/>
      <c r="U551" s="3778">
        <f>PerDinas!Q584</f>
        <v>0</v>
      </c>
      <c r="V551" s="1882">
        <f t="shared" si="95"/>
        <v>58110515.960000001</v>
      </c>
    </row>
    <row r="552" spans="1:22" ht="15.05" hidden="1" customHeight="1">
      <c r="A552" s="1855"/>
      <c r="B552" s="1855"/>
      <c r="C552" s="1855"/>
      <c r="D552" s="1855"/>
      <c r="E552" s="1855"/>
      <c r="F552" s="1464" t="s">
        <v>645</v>
      </c>
      <c r="G552" s="1860"/>
      <c r="H552" s="202"/>
      <c r="I552" s="202"/>
      <c r="J552" s="3259">
        <v>0</v>
      </c>
      <c r="K552" s="3123">
        <v>0</v>
      </c>
      <c r="L552" s="3182">
        <v>0</v>
      </c>
      <c r="M552" s="3183">
        <v>0</v>
      </c>
      <c r="N552" s="3182">
        <v>0</v>
      </c>
      <c r="O552" s="3182">
        <v>0</v>
      </c>
      <c r="P552" s="3182">
        <v>0</v>
      </c>
      <c r="Q552" s="3182">
        <f t="shared" si="93"/>
        <v>0</v>
      </c>
      <c r="R552" s="3914">
        <v>0</v>
      </c>
      <c r="S552" s="3710"/>
      <c r="T552" s="3829"/>
      <c r="U552" s="3777"/>
      <c r="V552" s="1846">
        <f t="shared" si="95"/>
        <v>0</v>
      </c>
    </row>
    <row r="553" spans="1:22" ht="15.05" hidden="1" customHeight="1">
      <c r="A553" s="1855"/>
      <c r="B553" s="1855"/>
      <c r="C553" s="1855"/>
      <c r="D553" s="1855"/>
      <c r="E553" s="1855"/>
      <c r="F553" s="1857" t="s">
        <v>50</v>
      </c>
      <c r="G553" s="1858"/>
      <c r="H553" s="200" t="s">
        <v>85</v>
      </c>
      <c r="I553" s="200"/>
      <c r="J553" s="3215">
        <v>0</v>
      </c>
      <c r="K553" s="3171">
        <v>0</v>
      </c>
      <c r="L553" s="3125">
        <v>0</v>
      </c>
      <c r="M553" s="3124">
        <v>0</v>
      </c>
      <c r="N553" s="3125">
        <v>0</v>
      </c>
      <c r="O553" s="3125">
        <v>0</v>
      </c>
      <c r="P553" s="3125">
        <v>0</v>
      </c>
      <c r="Q553" s="3125">
        <f t="shared" si="93"/>
        <v>0</v>
      </c>
      <c r="R553" s="3914">
        <v>0</v>
      </c>
      <c r="S553" s="3710"/>
      <c r="T553" s="3829"/>
      <c r="U553" s="3771"/>
      <c r="V553" s="1846">
        <f t="shared" si="95"/>
        <v>0</v>
      </c>
    </row>
    <row r="554" spans="1:22" ht="15.05" hidden="1" customHeight="1">
      <c r="A554" s="1855"/>
      <c r="B554" s="1855"/>
      <c r="C554" s="1855"/>
      <c r="D554" s="1855"/>
      <c r="E554" s="1855"/>
      <c r="F554" s="1464" t="s">
        <v>113</v>
      </c>
      <c r="G554" s="1860"/>
      <c r="H554" s="202"/>
      <c r="I554" s="202"/>
      <c r="J554" s="3259">
        <v>0</v>
      </c>
      <c r="K554" s="3123">
        <v>3588000</v>
      </c>
      <c r="L554" s="3182">
        <v>0</v>
      </c>
      <c r="M554" s="3183">
        <v>0</v>
      </c>
      <c r="N554" s="3182">
        <v>0</v>
      </c>
      <c r="O554" s="3182">
        <v>0</v>
      </c>
      <c r="P554" s="3182">
        <v>0</v>
      </c>
      <c r="Q554" s="3182">
        <f t="shared" si="93"/>
        <v>0</v>
      </c>
      <c r="R554" s="3914">
        <v>0</v>
      </c>
      <c r="S554" s="3710"/>
      <c r="T554" s="3829"/>
      <c r="U554" s="3777"/>
      <c r="V554" s="1846">
        <f t="shared" si="95"/>
        <v>0</v>
      </c>
    </row>
    <row r="555" spans="1:22" s="1840" customFormat="1" ht="15.05" hidden="1" customHeight="1">
      <c r="A555" s="1855"/>
      <c r="B555" s="1855"/>
      <c r="C555" s="1855"/>
      <c r="D555" s="1855"/>
      <c r="E555" s="1855"/>
      <c r="F555" s="1857" t="s">
        <v>50</v>
      </c>
      <c r="G555" s="1858"/>
      <c r="H555" s="200" t="s">
        <v>85</v>
      </c>
      <c r="I555" s="200"/>
      <c r="J555" s="3215">
        <v>0</v>
      </c>
      <c r="K555" s="3171">
        <v>3588000</v>
      </c>
      <c r="L555" s="3125">
        <v>0</v>
      </c>
      <c r="M555" s="3124">
        <v>0</v>
      </c>
      <c r="N555" s="3125">
        <v>0</v>
      </c>
      <c r="O555" s="3125">
        <v>0</v>
      </c>
      <c r="P555" s="3125">
        <v>0</v>
      </c>
      <c r="Q555" s="3125">
        <f t="shared" si="93"/>
        <v>0</v>
      </c>
      <c r="R555" s="3914">
        <v>0</v>
      </c>
      <c r="S555" s="3710"/>
      <c r="T555" s="3829"/>
      <c r="U555" s="3771"/>
      <c r="V555" s="1882">
        <f t="shared" si="95"/>
        <v>0</v>
      </c>
    </row>
    <row r="556" spans="1:22" ht="15.05" hidden="1" customHeight="1">
      <c r="A556" s="1855"/>
      <c r="B556" s="1855"/>
      <c r="C556" s="1855"/>
      <c r="D556" s="1855"/>
      <c r="E556" s="1855"/>
      <c r="F556" s="1464" t="s">
        <v>646</v>
      </c>
      <c r="G556" s="1860"/>
      <c r="H556" s="202"/>
      <c r="I556" s="202"/>
      <c r="J556" s="3259">
        <v>0</v>
      </c>
      <c r="K556" s="3123">
        <v>1860517553</v>
      </c>
      <c r="L556" s="3182">
        <v>0</v>
      </c>
      <c r="M556" s="3183">
        <v>0</v>
      </c>
      <c r="N556" s="3182">
        <v>0</v>
      </c>
      <c r="O556" s="3182">
        <v>0</v>
      </c>
      <c r="P556" s="3182">
        <v>0</v>
      </c>
      <c r="Q556" s="3182">
        <f t="shared" si="93"/>
        <v>0</v>
      </c>
      <c r="R556" s="3914">
        <v>0</v>
      </c>
      <c r="S556" s="3731"/>
      <c r="T556" s="3829"/>
      <c r="U556" s="3781">
        <f>U557</f>
        <v>0</v>
      </c>
      <c r="V556" s="1846">
        <f t="shared" si="95"/>
        <v>0</v>
      </c>
    </row>
    <row r="557" spans="1:22" ht="15.05" hidden="1" customHeight="1">
      <c r="A557" s="1855"/>
      <c r="B557" s="1855"/>
      <c r="C557" s="1855"/>
      <c r="D557" s="1855"/>
      <c r="E557" s="1855"/>
      <c r="F557" s="1857" t="s">
        <v>50</v>
      </c>
      <c r="G557" s="1858" t="s">
        <v>85</v>
      </c>
      <c r="H557" s="200"/>
      <c r="I557" s="200"/>
      <c r="J557" s="3215">
        <v>0</v>
      </c>
      <c r="K557" s="3171">
        <v>1860517553</v>
      </c>
      <c r="L557" s="3125"/>
      <c r="M557" s="3124"/>
      <c r="N557" s="3125"/>
      <c r="O557" s="3125"/>
      <c r="P557" s="3125"/>
      <c r="Q557" s="3125">
        <f t="shared" si="93"/>
        <v>0</v>
      </c>
      <c r="R557" s="3914">
        <v>0</v>
      </c>
      <c r="S557" s="3731"/>
      <c r="T557" s="3829"/>
      <c r="U557" s="3778"/>
      <c r="V557" s="1846">
        <f t="shared" si="95"/>
        <v>0</v>
      </c>
    </row>
    <row r="558" spans="1:22" ht="15.05" hidden="1" customHeight="1">
      <c r="A558" s="1855"/>
      <c r="B558" s="1855"/>
      <c r="C558" s="1855"/>
      <c r="D558" s="1855"/>
      <c r="E558" s="1855"/>
      <c r="F558" s="1464" t="s">
        <v>326</v>
      </c>
      <c r="G558" s="1860"/>
      <c r="H558" s="202"/>
      <c r="I558" s="202"/>
      <c r="J558" s="3259">
        <v>0</v>
      </c>
      <c r="K558" s="3123">
        <v>26080582.199999999</v>
      </c>
      <c r="L558" s="3182">
        <v>0</v>
      </c>
      <c r="M558" s="3183">
        <v>0</v>
      </c>
      <c r="N558" s="3182">
        <v>0</v>
      </c>
      <c r="O558" s="3182">
        <v>0</v>
      </c>
      <c r="P558" s="3182">
        <v>0</v>
      </c>
      <c r="Q558" s="3182">
        <f t="shared" si="93"/>
        <v>0</v>
      </c>
      <c r="R558" s="3914">
        <v>0</v>
      </c>
      <c r="S558" s="3710"/>
      <c r="T558" s="3829"/>
      <c r="U558" s="3777"/>
      <c r="V558" s="1846">
        <f t="shared" si="95"/>
        <v>0</v>
      </c>
    </row>
    <row r="559" spans="1:22" s="1840" customFormat="1" ht="15.05" hidden="1" customHeight="1">
      <c r="A559" s="1855"/>
      <c r="B559" s="1855"/>
      <c r="C559" s="1855"/>
      <c r="D559" s="1855"/>
      <c r="E559" s="1855"/>
      <c r="F559" s="1857" t="s">
        <v>50</v>
      </c>
      <c r="G559" s="1858"/>
      <c r="H559" s="200" t="s">
        <v>85</v>
      </c>
      <c r="I559" s="200"/>
      <c r="J559" s="3215">
        <v>0</v>
      </c>
      <c r="K559" s="3171">
        <v>26080582.199999999</v>
      </c>
      <c r="L559" s="3125">
        <v>0</v>
      </c>
      <c r="M559" s="3124">
        <v>0</v>
      </c>
      <c r="N559" s="3125">
        <v>0</v>
      </c>
      <c r="O559" s="3125">
        <v>0</v>
      </c>
      <c r="P559" s="3125">
        <v>0</v>
      </c>
      <c r="Q559" s="3125">
        <f t="shared" si="93"/>
        <v>0</v>
      </c>
      <c r="R559" s="3914">
        <v>0</v>
      </c>
      <c r="S559" s="3731"/>
      <c r="T559" s="3829"/>
      <c r="U559" s="3778">
        <f>PerDinas!Q749</f>
        <v>0</v>
      </c>
      <c r="V559" s="1882">
        <f t="shared" si="95"/>
        <v>0</v>
      </c>
    </row>
    <row r="560" spans="1:22" ht="15.05" hidden="1" customHeight="1">
      <c r="A560" s="1855"/>
      <c r="B560" s="1855"/>
      <c r="C560" s="1855"/>
      <c r="D560" s="1855"/>
      <c r="E560" s="1855"/>
      <c r="F560" s="1464" t="s">
        <v>647</v>
      </c>
      <c r="G560" s="1860"/>
      <c r="H560" s="202"/>
      <c r="I560" s="202"/>
      <c r="J560" s="3259">
        <v>0</v>
      </c>
      <c r="K560" s="3123">
        <v>2183500</v>
      </c>
      <c r="L560" s="3182">
        <v>0</v>
      </c>
      <c r="M560" s="3183">
        <v>0</v>
      </c>
      <c r="N560" s="3182">
        <v>0</v>
      </c>
      <c r="O560" s="3182">
        <v>0</v>
      </c>
      <c r="P560" s="3182">
        <v>0</v>
      </c>
      <c r="Q560" s="3182">
        <f t="shared" ref="Q560:Q582" si="96">+P560-L560</f>
        <v>0</v>
      </c>
      <c r="R560" s="3914">
        <v>0</v>
      </c>
      <c r="S560" s="3710"/>
      <c r="T560" s="3829"/>
      <c r="U560" s="3777"/>
      <c r="V560" s="1846">
        <f t="shared" si="95"/>
        <v>0</v>
      </c>
    </row>
    <row r="561" spans="1:22" s="1840" customFormat="1" ht="15.05" hidden="1" customHeight="1">
      <c r="A561" s="1855"/>
      <c r="B561" s="1855"/>
      <c r="C561" s="1855"/>
      <c r="D561" s="1855"/>
      <c r="E561" s="1855"/>
      <c r="F561" s="1857" t="s">
        <v>50</v>
      </c>
      <c r="G561" s="1858"/>
      <c r="H561" s="200" t="s">
        <v>85</v>
      </c>
      <c r="I561" s="200"/>
      <c r="J561" s="3215">
        <v>0</v>
      </c>
      <c r="K561" s="3171">
        <v>2183500</v>
      </c>
      <c r="L561" s="3125"/>
      <c r="M561" s="3124"/>
      <c r="N561" s="3125"/>
      <c r="O561" s="3125"/>
      <c r="P561" s="3125"/>
      <c r="Q561" s="3125">
        <f t="shared" si="96"/>
        <v>0</v>
      </c>
      <c r="R561" s="3914">
        <v>0</v>
      </c>
      <c r="S561" s="3710"/>
      <c r="T561" s="3829"/>
      <c r="U561" s="3771"/>
      <c r="V561" s="1882">
        <f t="shared" si="95"/>
        <v>0</v>
      </c>
    </row>
    <row r="562" spans="1:22" ht="15.05" hidden="1" customHeight="1">
      <c r="A562" s="1855"/>
      <c r="B562" s="1855"/>
      <c r="C562" s="1855"/>
      <c r="D562" s="1855"/>
      <c r="E562" s="1855"/>
      <c r="F562" s="1464" t="s">
        <v>648</v>
      </c>
      <c r="G562" s="1860"/>
      <c r="H562" s="202"/>
      <c r="I562" s="202"/>
      <c r="J562" s="3259">
        <v>0</v>
      </c>
      <c r="K562" s="3123">
        <v>889503495</v>
      </c>
      <c r="L562" s="3182">
        <v>0</v>
      </c>
      <c r="M562" s="3183">
        <v>0</v>
      </c>
      <c r="N562" s="3182">
        <v>0</v>
      </c>
      <c r="O562" s="3182">
        <v>0</v>
      </c>
      <c r="P562" s="3182">
        <v>0</v>
      </c>
      <c r="Q562" s="3182">
        <f t="shared" si="96"/>
        <v>0</v>
      </c>
      <c r="R562" s="3914">
        <v>0</v>
      </c>
      <c r="S562" s="3710"/>
      <c r="T562" s="3829"/>
      <c r="U562" s="3777"/>
      <c r="V562" s="1846">
        <f t="shared" si="95"/>
        <v>0</v>
      </c>
    </row>
    <row r="563" spans="1:22" s="1840" customFormat="1" ht="15.05" hidden="1" customHeight="1">
      <c r="A563" s="1855"/>
      <c r="B563" s="1855"/>
      <c r="C563" s="1855"/>
      <c r="D563" s="1855"/>
      <c r="E563" s="1855"/>
      <c r="F563" s="1857" t="s">
        <v>50</v>
      </c>
      <c r="G563" s="1858"/>
      <c r="H563" s="200" t="s">
        <v>85</v>
      </c>
      <c r="I563" s="200"/>
      <c r="J563" s="3215">
        <v>0</v>
      </c>
      <c r="K563" s="3171">
        <v>889503495</v>
      </c>
      <c r="L563" s="3125">
        <v>0</v>
      </c>
      <c r="M563" s="3124">
        <v>0</v>
      </c>
      <c r="N563" s="3125">
        <v>0</v>
      </c>
      <c r="O563" s="3125">
        <v>0</v>
      </c>
      <c r="P563" s="3125">
        <v>0</v>
      </c>
      <c r="Q563" s="3125">
        <f t="shared" si="96"/>
        <v>0</v>
      </c>
      <c r="R563" s="3914">
        <v>0</v>
      </c>
      <c r="S563" s="3731"/>
      <c r="T563" s="3829"/>
      <c r="U563" s="3778">
        <f>PerDinas!Q622</f>
        <v>0</v>
      </c>
      <c r="V563" s="1882">
        <f t="shared" si="95"/>
        <v>0</v>
      </c>
    </row>
    <row r="564" spans="1:22" ht="15.05" hidden="1" customHeight="1">
      <c r="A564" s="1855"/>
      <c r="B564" s="1855"/>
      <c r="C564" s="1855"/>
      <c r="D564" s="1855"/>
      <c r="E564" s="1855"/>
      <c r="F564" s="1464" t="s">
        <v>568</v>
      </c>
      <c r="G564" s="1860"/>
      <c r="H564" s="202"/>
      <c r="I564" s="202"/>
      <c r="J564" s="3259">
        <v>0</v>
      </c>
      <c r="K564" s="3123">
        <v>2839900</v>
      </c>
      <c r="L564" s="3182">
        <v>0</v>
      </c>
      <c r="M564" s="3183">
        <v>913000</v>
      </c>
      <c r="N564" s="3182">
        <v>0</v>
      </c>
      <c r="O564" s="3182">
        <v>913000</v>
      </c>
      <c r="P564" s="3182">
        <v>0</v>
      </c>
      <c r="Q564" s="3182">
        <f t="shared" si="96"/>
        <v>0</v>
      </c>
      <c r="R564" s="3914">
        <v>0</v>
      </c>
      <c r="S564" s="3710"/>
      <c r="T564" s="3829"/>
      <c r="U564" s="3777"/>
      <c r="V564" s="1846">
        <f t="shared" si="95"/>
        <v>3652000</v>
      </c>
    </row>
    <row r="565" spans="1:22" s="1840" customFormat="1" ht="15.05" hidden="1" customHeight="1">
      <c r="A565" s="1855"/>
      <c r="B565" s="1855"/>
      <c r="C565" s="1855"/>
      <c r="D565" s="1855"/>
      <c r="E565" s="1855"/>
      <c r="F565" s="1857" t="s">
        <v>50</v>
      </c>
      <c r="G565" s="1858"/>
      <c r="H565" s="200" t="s">
        <v>85</v>
      </c>
      <c r="I565" s="200"/>
      <c r="J565" s="3215">
        <v>0</v>
      </c>
      <c r="K565" s="3171">
        <v>2839900</v>
      </c>
      <c r="L565" s="3125">
        <v>0</v>
      </c>
      <c r="M565" s="3124">
        <v>913000</v>
      </c>
      <c r="N565" s="3125">
        <v>0</v>
      </c>
      <c r="O565" s="3125">
        <v>913000</v>
      </c>
      <c r="P565" s="3125">
        <v>0</v>
      </c>
      <c r="Q565" s="3125">
        <f t="shared" si="96"/>
        <v>0</v>
      </c>
      <c r="R565" s="3914">
        <v>0</v>
      </c>
      <c r="S565" s="3731"/>
      <c r="T565" s="3829"/>
      <c r="U565" s="3778">
        <f>PerDinas!Q608</f>
        <v>0</v>
      </c>
      <c r="V565" s="1882">
        <f t="shared" si="95"/>
        <v>3652000</v>
      </c>
    </row>
    <row r="566" spans="1:22" ht="15.05" hidden="1" customHeight="1">
      <c r="A566" s="1855"/>
      <c r="B566" s="1855"/>
      <c r="C566" s="1855"/>
      <c r="D566" s="1855"/>
      <c r="E566" s="1855"/>
      <c r="F566" s="1857" t="s">
        <v>50</v>
      </c>
      <c r="G566" s="1858"/>
      <c r="H566" s="200"/>
      <c r="I566" s="200"/>
      <c r="J566" s="3215">
        <v>0</v>
      </c>
      <c r="K566" s="3171"/>
      <c r="L566" s="3125">
        <v>0</v>
      </c>
      <c r="M566" s="3124">
        <v>0</v>
      </c>
      <c r="N566" s="3125">
        <v>0</v>
      </c>
      <c r="O566" s="3125">
        <v>0</v>
      </c>
      <c r="P566" s="3125">
        <v>0</v>
      </c>
      <c r="Q566" s="3125">
        <f t="shared" si="96"/>
        <v>0</v>
      </c>
      <c r="R566" s="3914">
        <v>0</v>
      </c>
      <c r="S566" s="3710"/>
      <c r="T566" s="3829"/>
      <c r="U566" s="3771"/>
      <c r="V566" s="1846">
        <f t="shared" si="95"/>
        <v>0</v>
      </c>
    </row>
    <row r="567" spans="1:22" ht="15.05" hidden="1" customHeight="1">
      <c r="A567" s="1855"/>
      <c r="B567" s="1855"/>
      <c r="C567" s="1855"/>
      <c r="D567" s="1855"/>
      <c r="E567" s="1855"/>
      <c r="F567" s="1464" t="s">
        <v>649</v>
      </c>
      <c r="G567" s="1860"/>
      <c r="H567" s="202"/>
      <c r="I567" s="202"/>
      <c r="J567" s="3259">
        <v>0</v>
      </c>
      <c r="K567" s="3123">
        <v>0</v>
      </c>
      <c r="L567" s="3182">
        <v>0</v>
      </c>
      <c r="M567" s="3183">
        <v>0</v>
      </c>
      <c r="N567" s="3182">
        <v>0</v>
      </c>
      <c r="O567" s="3182">
        <v>0</v>
      </c>
      <c r="P567" s="3182">
        <v>0</v>
      </c>
      <c r="Q567" s="3182">
        <f t="shared" si="96"/>
        <v>0</v>
      </c>
      <c r="R567" s="3914">
        <v>0</v>
      </c>
      <c r="S567" s="3710"/>
      <c r="T567" s="3829"/>
      <c r="U567" s="3777"/>
      <c r="V567" s="1846">
        <f t="shared" si="95"/>
        <v>0</v>
      </c>
    </row>
    <row r="568" spans="1:22" ht="11.3" hidden="1" customHeight="1">
      <c r="A568" s="1855"/>
      <c r="B568" s="1855"/>
      <c r="C568" s="1855"/>
      <c r="D568" s="1855"/>
      <c r="E568" s="1855"/>
      <c r="F568" s="1857" t="s">
        <v>50</v>
      </c>
      <c r="G568" s="1858"/>
      <c r="H568" s="200" t="s">
        <v>85</v>
      </c>
      <c r="I568" s="200"/>
      <c r="J568" s="3215">
        <v>0</v>
      </c>
      <c r="K568" s="3171">
        <v>0</v>
      </c>
      <c r="L568" s="3125">
        <v>0</v>
      </c>
      <c r="M568" s="3124">
        <v>0</v>
      </c>
      <c r="N568" s="3125">
        <v>0</v>
      </c>
      <c r="O568" s="3125">
        <v>0</v>
      </c>
      <c r="P568" s="3125">
        <v>0</v>
      </c>
      <c r="Q568" s="3125">
        <f t="shared" si="96"/>
        <v>0</v>
      </c>
      <c r="R568" s="3914">
        <v>0</v>
      </c>
      <c r="S568" s="3731"/>
      <c r="T568" s="3829"/>
      <c r="U568" s="3778">
        <f>PerDinas!Q582</f>
        <v>0</v>
      </c>
      <c r="V568" s="1846">
        <f t="shared" si="95"/>
        <v>0</v>
      </c>
    </row>
    <row r="569" spans="1:22" ht="15.05" hidden="1" customHeight="1">
      <c r="A569" s="1855"/>
      <c r="B569" s="1855"/>
      <c r="C569" s="1855"/>
      <c r="D569" s="1855"/>
      <c r="E569" s="1855"/>
      <c r="F569" s="1464" t="s">
        <v>650</v>
      </c>
      <c r="G569" s="1860"/>
      <c r="H569" s="202"/>
      <c r="I569" s="202"/>
      <c r="J569" s="3259">
        <v>0</v>
      </c>
      <c r="K569" s="3995">
        <v>0</v>
      </c>
      <c r="L569" s="3996">
        <v>0</v>
      </c>
      <c r="M569" s="3313">
        <v>0</v>
      </c>
      <c r="N569" s="3312">
        <v>0</v>
      </c>
      <c r="O569" s="3312">
        <v>0</v>
      </c>
      <c r="P569" s="3312">
        <v>0</v>
      </c>
      <c r="Q569" s="3312">
        <f t="shared" si="96"/>
        <v>0</v>
      </c>
      <c r="R569" s="3914">
        <v>0</v>
      </c>
      <c r="S569" s="3710"/>
      <c r="T569" s="3829"/>
      <c r="U569" s="3777"/>
      <c r="V569" s="1846">
        <f t="shared" si="95"/>
        <v>0</v>
      </c>
    </row>
    <row r="570" spans="1:22" ht="15.05" hidden="1" customHeight="1">
      <c r="A570" s="1855"/>
      <c r="B570" s="1855"/>
      <c r="C570" s="1855"/>
      <c r="D570" s="1855"/>
      <c r="E570" s="1855"/>
      <c r="F570" s="1857" t="s">
        <v>50</v>
      </c>
      <c r="G570" s="1858"/>
      <c r="H570" s="200" t="s">
        <v>76</v>
      </c>
      <c r="I570" s="200"/>
      <c r="J570" s="3215">
        <v>0</v>
      </c>
      <c r="K570" s="3216">
        <v>0</v>
      </c>
      <c r="L570" s="3997">
        <v>0</v>
      </c>
      <c r="M570" s="3315">
        <v>0</v>
      </c>
      <c r="N570" s="3314">
        <v>0</v>
      </c>
      <c r="O570" s="3314">
        <v>0</v>
      </c>
      <c r="P570" s="3314">
        <v>0</v>
      </c>
      <c r="Q570" s="3314">
        <f t="shared" si="96"/>
        <v>0</v>
      </c>
      <c r="R570" s="3601">
        <v>0</v>
      </c>
      <c r="S570" s="3710"/>
      <c r="T570" s="3829"/>
      <c r="U570" s="3778">
        <f>PerDinas!Q656</f>
        <v>0</v>
      </c>
      <c r="V570" s="1846">
        <f t="shared" si="95"/>
        <v>0</v>
      </c>
    </row>
    <row r="571" spans="1:22" ht="15.05" hidden="1" customHeight="1">
      <c r="A571" s="1855"/>
      <c r="B571" s="1855"/>
      <c r="C571" s="1855"/>
      <c r="D571" s="1855"/>
      <c r="E571" s="1855"/>
      <c r="F571" s="1464" t="s">
        <v>651</v>
      </c>
      <c r="G571" s="1860"/>
      <c r="H571" s="202"/>
      <c r="I571" s="202"/>
      <c r="J571" s="3259">
        <v>0</v>
      </c>
      <c r="K571" s="3995">
        <v>20265000</v>
      </c>
      <c r="L571" s="3996">
        <v>0</v>
      </c>
      <c r="M571" s="3313">
        <v>0</v>
      </c>
      <c r="N571" s="3312">
        <v>0</v>
      </c>
      <c r="O571" s="3312">
        <v>0</v>
      </c>
      <c r="P571" s="3312">
        <v>0</v>
      </c>
      <c r="Q571" s="3312">
        <f t="shared" si="96"/>
        <v>0</v>
      </c>
      <c r="R571" s="3601">
        <v>0</v>
      </c>
      <c r="S571" s="3710"/>
      <c r="T571" s="3829"/>
      <c r="U571" s="3777"/>
      <c r="V571" s="1846">
        <f t="shared" si="95"/>
        <v>0</v>
      </c>
    </row>
    <row r="572" spans="1:22" s="1840" customFormat="1" ht="15.05" hidden="1" customHeight="1">
      <c r="A572" s="1886"/>
      <c r="B572" s="1886"/>
      <c r="C572" s="1886"/>
      <c r="D572" s="1886"/>
      <c r="E572" s="1886"/>
      <c r="F572" s="1887" t="s">
        <v>50</v>
      </c>
      <c r="G572" s="1888"/>
      <c r="H572" s="856" t="s">
        <v>85</v>
      </c>
      <c r="I572" s="856"/>
      <c r="J572" s="3238">
        <v>0</v>
      </c>
      <c r="K572" s="3251">
        <v>20265000</v>
      </c>
      <c r="L572" s="3998">
        <v>0</v>
      </c>
      <c r="M572" s="3317">
        <v>0</v>
      </c>
      <c r="N572" s="3316">
        <v>0</v>
      </c>
      <c r="O572" s="3316">
        <v>0</v>
      </c>
      <c r="P572" s="3316">
        <v>0</v>
      </c>
      <c r="Q572" s="3316">
        <f t="shared" si="96"/>
        <v>0</v>
      </c>
      <c r="R572" s="3606">
        <v>0</v>
      </c>
      <c r="S572" s="3711"/>
      <c r="T572" s="3830"/>
      <c r="U572" s="3786">
        <f>PerDinas!Q632</f>
        <v>0</v>
      </c>
      <c r="V572" s="1882">
        <f t="shared" si="95"/>
        <v>0</v>
      </c>
    </row>
    <row r="573" spans="1:22" s="4456" customFormat="1" ht="15.05" customHeight="1">
      <c r="A573" s="4445"/>
      <c r="B573" s="4445"/>
      <c r="C573" s="4445"/>
      <c r="D573" s="4445"/>
      <c r="E573" s="4445"/>
      <c r="F573" s="3034" t="s">
        <v>1201</v>
      </c>
      <c r="G573" s="3034"/>
      <c r="H573" s="1318"/>
      <c r="I573" s="1318"/>
      <c r="J573" s="3295"/>
      <c r="K573" s="3129"/>
      <c r="L573" s="3897"/>
      <c r="M573" s="3897"/>
      <c r="N573" s="3897"/>
      <c r="O573" s="3897">
        <f>O574</f>
        <v>18120000000</v>
      </c>
      <c r="P573" s="3897">
        <f>P574</f>
        <v>18120000000</v>
      </c>
      <c r="Q573" s="3903">
        <f t="shared" si="96"/>
        <v>18120000000</v>
      </c>
      <c r="R573" s="5100">
        <v>0</v>
      </c>
      <c r="S573" s="4452"/>
      <c r="T573" s="4453"/>
      <c r="U573" s="4454"/>
      <c r="V573" s="4455"/>
    </row>
    <row r="574" spans="1:22" s="4444" customFormat="1" ht="15.05" customHeight="1">
      <c r="A574" s="4457"/>
      <c r="B574" s="4457"/>
      <c r="C574" s="4457"/>
      <c r="D574" s="4457"/>
      <c r="E574" s="4457"/>
      <c r="F574" s="5101" t="s">
        <v>50</v>
      </c>
      <c r="G574" s="5102"/>
      <c r="H574" s="2326" t="s">
        <v>1202</v>
      </c>
      <c r="I574" s="2326"/>
      <c r="J574" s="3566"/>
      <c r="K574" s="5103"/>
      <c r="L574" s="5104"/>
      <c r="M574" s="5104"/>
      <c r="N574" s="5104"/>
      <c r="O574" s="5104">
        <v>18120000000</v>
      </c>
      <c r="P574" s="5104">
        <v>18120000000</v>
      </c>
      <c r="Q574" s="5105">
        <f t="shared" si="96"/>
        <v>18120000000</v>
      </c>
      <c r="R574" s="5106">
        <v>0</v>
      </c>
      <c r="S574" s="4452"/>
      <c r="T574" s="4453"/>
      <c r="U574" s="4466"/>
      <c r="V574" s="4443"/>
    </row>
    <row r="575" spans="1:22" s="2955" customFormat="1" ht="15.05" customHeight="1">
      <c r="A575" s="2978" t="s">
        <v>443</v>
      </c>
      <c r="B575" s="2978" t="s">
        <v>457</v>
      </c>
      <c r="C575" s="2979" t="s">
        <v>443</v>
      </c>
      <c r="D575" s="2979"/>
      <c r="E575" s="2979"/>
      <c r="F575" s="5107" t="s">
        <v>652</v>
      </c>
      <c r="G575" s="5108"/>
      <c r="H575" s="5109"/>
      <c r="I575" s="5109"/>
      <c r="J575" s="5110">
        <f>+J576</f>
        <v>5414000000</v>
      </c>
      <c r="K575" s="5110">
        <f>+K576</f>
        <v>5000000000</v>
      </c>
      <c r="L575" s="5111">
        <f>L576</f>
        <v>53394311000</v>
      </c>
      <c r="M575" s="5112">
        <v>0</v>
      </c>
      <c r="N575" s="5111">
        <f>N576</f>
        <v>26697155000</v>
      </c>
      <c r="O575" s="5111">
        <f>N575+M575</f>
        <v>26697155000</v>
      </c>
      <c r="P575" s="5111">
        <f>P576</f>
        <v>53394311000</v>
      </c>
      <c r="Q575" s="5111">
        <f t="shared" si="96"/>
        <v>0</v>
      </c>
      <c r="R575" s="5113">
        <f>+P575/L575*100-100</f>
        <v>0</v>
      </c>
      <c r="S575" s="3757"/>
      <c r="T575" s="3857"/>
      <c r="U575" s="3811"/>
      <c r="V575" s="2954">
        <f t="shared" si="95"/>
        <v>106788620000</v>
      </c>
    </row>
    <row r="576" spans="1:22" s="2947" customFormat="1" ht="15.05" customHeight="1">
      <c r="A576" s="2972" t="s">
        <v>443</v>
      </c>
      <c r="B576" s="2972" t="s">
        <v>457</v>
      </c>
      <c r="C576" s="2973" t="s">
        <v>443</v>
      </c>
      <c r="D576" s="2973" t="s">
        <v>445</v>
      </c>
      <c r="E576" s="2973"/>
      <c r="F576" s="5114" t="s">
        <v>293</v>
      </c>
      <c r="G576" s="5115"/>
      <c r="H576" s="5116"/>
      <c r="I576" s="5116"/>
      <c r="J576" s="5117">
        <f>+J578</f>
        <v>5414000000</v>
      </c>
      <c r="K576" s="5117">
        <f>+K578</f>
        <v>5000000000</v>
      </c>
      <c r="L576" s="5118">
        <f t="shared" ref="L576:O577" si="97">L577</f>
        <v>53394311000</v>
      </c>
      <c r="M576" s="5119">
        <v>0</v>
      </c>
      <c r="N576" s="5118">
        <f t="shared" si="97"/>
        <v>26697155000</v>
      </c>
      <c r="O576" s="5118">
        <f t="shared" si="97"/>
        <v>26697155000</v>
      </c>
      <c r="P576" s="5118">
        <f>P577</f>
        <v>53394311000</v>
      </c>
      <c r="Q576" s="5118">
        <f t="shared" si="96"/>
        <v>0</v>
      </c>
      <c r="R576" s="5120">
        <f>+P576/L576*100-100</f>
        <v>0</v>
      </c>
      <c r="S576" s="3758"/>
      <c r="T576" s="3858"/>
      <c r="U576" s="3812"/>
      <c r="V576" s="2944">
        <f t="shared" si="95"/>
        <v>106788620000</v>
      </c>
    </row>
    <row r="577" spans="1:31" ht="15.05" customHeight="1">
      <c r="A577" s="2867" t="s">
        <v>443</v>
      </c>
      <c r="B577" s="2867" t="s">
        <v>457</v>
      </c>
      <c r="C577" s="2868" t="s">
        <v>443</v>
      </c>
      <c r="D577" s="2868" t="s">
        <v>445</v>
      </c>
      <c r="E577" s="2868" t="s">
        <v>437</v>
      </c>
      <c r="F577" s="84" t="s">
        <v>653</v>
      </c>
      <c r="G577" s="84"/>
      <c r="H577" s="224"/>
      <c r="I577" s="224"/>
      <c r="J577" s="3324"/>
      <c r="K577" s="3324"/>
      <c r="L577" s="3325">
        <f t="shared" si="97"/>
        <v>53394311000</v>
      </c>
      <c r="M577" s="3326">
        <v>0</v>
      </c>
      <c r="N577" s="3327">
        <f t="shared" si="97"/>
        <v>26697155000</v>
      </c>
      <c r="O577" s="3327">
        <f t="shared" si="97"/>
        <v>26697155000</v>
      </c>
      <c r="P577" s="3327">
        <f>P580</f>
        <v>53394311000</v>
      </c>
      <c r="Q577" s="3327">
        <f t="shared" si="96"/>
        <v>0</v>
      </c>
      <c r="R577" s="5121">
        <f>+P577/L577*100-100</f>
        <v>0</v>
      </c>
      <c r="S577" s="3732"/>
      <c r="T577" s="3859"/>
      <c r="U577" s="3797"/>
      <c r="V577" s="1846">
        <f t="shared" si="95"/>
        <v>106788620000</v>
      </c>
    </row>
    <row r="578" spans="1:31" s="2069" customFormat="1" ht="15.05" customHeight="1">
      <c r="A578" s="4467"/>
      <c r="B578" s="4467"/>
      <c r="C578" s="4468"/>
      <c r="D578" s="4468"/>
      <c r="E578" s="4468"/>
      <c r="F578" s="2871" t="s">
        <v>654</v>
      </c>
      <c r="G578" s="2872"/>
      <c r="H578" s="200"/>
      <c r="I578" s="200"/>
      <c r="J578" s="3329">
        <f>SUM(J579:J580)</f>
        <v>5414000000</v>
      </c>
      <c r="K578" s="3329">
        <f>+K580</f>
        <v>5000000000</v>
      </c>
      <c r="L578" s="5122">
        <f>SUM(L579:L580)</f>
        <v>53394311000</v>
      </c>
      <c r="M578" s="5123">
        <v>0</v>
      </c>
      <c r="N578" s="5122">
        <f>SUM(N579:N580)</f>
        <v>26697155000</v>
      </c>
      <c r="O578" s="5122">
        <f>SUM(O579:O580)</f>
        <v>26697155000</v>
      </c>
      <c r="P578" s="5122">
        <v>53394311000</v>
      </c>
      <c r="Q578" s="5122">
        <f t="shared" si="96"/>
        <v>0</v>
      </c>
      <c r="R578" s="5124">
        <f>+P578/L578*100-100</f>
        <v>0</v>
      </c>
      <c r="S578" s="4475"/>
      <c r="T578" s="4476"/>
      <c r="U578" s="4353"/>
      <c r="V578" s="3925">
        <f t="shared" si="95"/>
        <v>106788620000</v>
      </c>
    </row>
    <row r="579" spans="1:31" s="2069" customFormat="1" ht="15.05" customHeight="1">
      <c r="A579" s="4467"/>
      <c r="B579" s="4467"/>
      <c r="C579" s="4468"/>
      <c r="D579" s="4468"/>
      <c r="E579" s="4468"/>
      <c r="F579" s="2871" t="s">
        <v>50</v>
      </c>
      <c r="G579" s="2872" t="s">
        <v>655</v>
      </c>
      <c r="H579" s="200"/>
      <c r="I579" s="200"/>
      <c r="J579" s="3329">
        <v>414000000</v>
      </c>
      <c r="K579" s="3332"/>
      <c r="L579" s="3192">
        <f>MAR!J493</f>
        <v>0</v>
      </c>
      <c r="M579" s="3333">
        <v>0</v>
      </c>
      <c r="N579" s="3192">
        <f>MAR!L493</f>
        <v>0</v>
      </c>
      <c r="O579" s="3192">
        <f>MAR!M493</f>
        <v>0</v>
      </c>
      <c r="P579" s="3192">
        <v>0</v>
      </c>
      <c r="Q579" s="3192">
        <f t="shared" si="96"/>
        <v>0</v>
      </c>
      <c r="R579" s="5125">
        <v>0</v>
      </c>
      <c r="S579" s="4481"/>
      <c r="T579" s="4482"/>
      <c r="U579" s="4353"/>
      <c r="V579" s="3925">
        <f t="shared" si="95"/>
        <v>0</v>
      </c>
    </row>
    <row r="580" spans="1:31" s="2069" customFormat="1" ht="15.05" customHeight="1">
      <c r="A580" s="4467"/>
      <c r="B580" s="4467"/>
      <c r="C580" s="4468"/>
      <c r="D580" s="4468"/>
      <c r="E580" s="4468"/>
      <c r="F580" s="2871" t="s">
        <v>50</v>
      </c>
      <c r="G580" s="2872" t="s">
        <v>656</v>
      </c>
      <c r="H580" s="200"/>
      <c r="I580" s="200"/>
      <c r="J580" s="3329">
        <v>5000000000</v>
      </c>
      <c r="K580" s="3329">
        <v>5000000000</v>
      </c>
      <c r="L580" s="3192">
        <v>53394311000</v>
      </c>
      <c r="M580" s="3333">
        <v>0</v>
      </c>
      <c r="N580" s="3192">
        <v>26697155000</v>
      </c>
      <c r="O580" s="3192">
        <v>26697155000</v>
      </c>
      <c r="P580" s="3192">
        <v>53394311000</v>
      </c>
      <c r="Q580" s="3192">
        <f t="shared" si="96"/>
        <v>0</v>
      </c>
      <c r="R580" s="5125">
        <f>+P580/L580*100-100</f>
        <v>0</v>
      </c>
      <c r="S580" s="4481"/>
      <c r="T580" s="4482"/>
      <c r="U580" s="4353"/>
      <c r="V580" s="3925">
        <f t="shared" si="95"/>
        <v>106788620000</v>
      </c>
    </row>
    <row r="581" spans="1:31" s="2069" customFormat="1" ht="15.05" customHeight="1">
      <c r="A581" s="4467"/>
      <c r="B581" s="4467"/>
      <c r="C581" s="4468"/>
      <c r="D581" s="4468"/>
      <c r="E581" s="4468"/>
      <c r="F581" s="2871" t="s">
        <v>298</v>
      </c>
      <c r="G581" s="2872"/>
      <c r="H581" s="200"/>
      <c r="I581" s="200"/>
      <c r="J581" s="3329"/>
      <c r="K581" s="3332"/>
      <c r="L581" s="3192">
        <f>MAR!J495</f>
        <v>0</v>
      </c>
      <c r="M581" s="3333">
        <v>0</v>
      </c>
      <c r="N581" s="3192">
        <f>MAR!L495</f>
        <v>0</v>
      </c>
      <c r="O581" s="3192">
        <f>MAR!M495</f>
        <v>0</v>
      </c>
      <c r="P581" s="3192">
        <f>MAR!N495</f>
        <v>0</v>
      </c>
      <c r="Q581" s="3192">
        <f t="shared" si="96"/>
        <v>0</v>
      </c>
      <c r="R581" s="5125">
        <v>0</v>
      </c>
      <c r="S581" s="4481"/>
      <c r="T581" s="4482"/>
      <c r="U581" s="4353"/>
      <c r="V581" s="3925">
        <f t="shared" si="95"/>
        <v>0</v>
      </c>
    </row>
    <row r="582" spans="1:31" s="2069" customFormat="1" ht="15.05" customHeight="1">
      <c r="A582" s="5165"/>
      <c r="B582" s="5165"/>
      <c r="C582" s="5166"/>
      <c r="D582" s="5166"/>
      <c r="E582" s="5166"/>
      <c r="F582" s="3551" t="s">
        <v>50</v>
      </c>
      <c r="G582" s="3552" t="s">
        <v>657</v>
      </c>
      <c r="H582" s="5167"/>
      <c r="I582" s="5167"/>
      <c r="J582" s="5168"/>
      <c r="K582" s="3554"/>
      <c r="L582" s="5169">
        <f>MAR!J496</f>
        <v>0</v>
      </c>
      <c r="M582" s="3556">
        <v>0</v>
      </c>
      <c r="N582" s="5169">
        <f>MAR!L496</f>
        <v>0</v>
      </c>
      <c r="O582" s="5169">
        <f>MAR!M496</f>
        <v>0</v>
      </c>
      <c r="P582" s="5169">
        <f>MAR!N496</f>
        <v>0</v>
      </c>
      <c r="Q582" s="5169">
        <f t="shared" si="96"/>
        <v>0</v>
      </c>
      <c r="R582" s="5170">
        <v>0</v>
      </c>
      <c r="S582" s="4481"/>
      <c r="T582" s="4482"/>
      <c r="U582" s="4493"/>
      <c r="V582" s="3925">
        <f t="shared" si="95"/>
        <v>0</v>
      </c>
    </row>
    <row r="583" spans="1:31" ht="15.05" hidden="1" customHeight="1">
      <c r="A583" s="3872"/>
      <c r="B583" s="3872"/>
      <c r="C583" s="3872"/>
      <c r="D583" s="3872"/>
      <c r="E583" s="3872"/>
      <c r="F583" s="3543"/>
      <c r="G583" s="3544"/>
      <c r="H583" s="3545"/>
      <c r="I583" s="3545"/>
      <c r="J583" s="3546"/>
      <c r="K583" s="3547"/>
      <c r="L583" s="3548"/>
      <c r="M583" s="3548"/>
      <c r="N583" s="3548"/>
      <c r="O583" s="3548"/>
      <c r="P583" s="3548"/>
      <c r="Q583" s="3548"/>
      <c r="R583" s="5126"/>
      <c r="S583" s="3768"/>
      <c r="T583" s="3764"/>
      <c r="U583" s="3761"/>
      <c r="V583" s="1846">
        <f t="shared" si="95"/>
        <v>0</v>
      </c>
    </row>
    <row r="584" spans="1:31" ht="12.05" hidden="1" customHeight="1">
      <c r="A584" s="5798"/>
      <c r="B584" s="5798"/>
      <c r="C584" s="5798"/>
      <c r="D584" s="5798"/>
      <c r="E584" s="5798"/>
      <c r="F584" s="5798"/>
      <c r="G584" s="5798"/>
      <c r="H584" s="5798"/>
      <c r="I584" s="5799"/>
      <c r="J584" s="1965"/>
      <c r="K584" s="1966"/>
      <c r="L584" s="1967">
        <f>L230+L217+L43+L440</f>
        <v>446737149324</v>
      </c>
      <c r="M584" s="1967">
        <f>M230+M217+M43+M440</f>
        <v>34516750956.529999</v>
      </c>
      <c r="N584" s="1967">
        <f>N230+N217+N43+N440</f>
        <v>47890046927.190002</v>
      </c>
      <c r="O584" s="1967">
        <f>O230+O217+O43+O440</f>
        <v>100661262883.72</v>
      </c>
      <c r="P584" s="1968">
        <f>+O584-L584</f>
        <v>-346075886440.28003</v>
      </c>
      <c r="Q584" s="1968">
        <f>+P584-L584</f>
        <v>-792813035764.28003</v>
      </c>
      <c r="R584" s="3647">
        <f>+P584/L584*100-100</f>
        <v>-177.4674519376685</v>
      </c>
      <c r="S584" s="3763"/>
      <c r="T584" s="3763"/>
      <c r="U584" s="2005"/>
      <c r="V584" s="1846">
        <f t="shared" si="95"/>
        <v>402645051534.88</v>
      </c>
    </row>
    <row r="585" spans="1:31" ht="13.5" customHeight="1">
      <c r="A585" s="1904"/>
      <c r="B585" s="1904"/>
      <c r="C585" s="1904"/>
      <c r="D585" s="1904"/>
      <c r="E585" s="1904"/>
      <c r="F585" s="1904"/>
      <c r="G585" s="1904"/>
      <c r="H585" s="1904"/>
      <c r="I585" s="1904"/>
      <c r="J585" s="1904"/>
      <c r="K585" s="1904"/>
      <c r="L585" s="1969"/>
      <c r="M585" s="1969"/>
      <c r="N585" s="1969"/>
      <c r="O585" s="1969"/>
      <c r="P585" s="1969"/>
      <c r="Q585" s="1969"/>
      <c r="R585" s="3648"/>
      <c r="S585" s="2993"/>
      <c r="T585" s="2993"/>
      <c r="U585" s="1924"/>
    </row>
    <row r="586" spans="1:31" ht="13.5" customHeight="1">
      <c r="A586" s="4012"/>
      <c r="B586" s="257"/>
      <c r="C586" s="257"/>
      <c r="D586" s="1945"/>
      <c r="E586" s="1945"/>
      <c r="F586" s="1945"/>
      <c r="G586" s="1945"/>
      <c r="H586" s="1945"/>
      <c r="I586" s="1945"/>
      <c r="J586" s="1945"/>
      <c r="K586" s="1945"/>
      <c r="L586" s="1971"/>
      <c r="M586" s="1971"/>
      <c r="N586" s="1971"/>
      <c r="O586" s="1971"/>
      <c r="R586" s="4013"/>
      <c r="S586" s="2994"/>
      <c r="T586" s="2994"/>
      <c r="U586" s="2006"/>
    </row>
    <row r="587" spans="1:31" ht="13.5" customHeight="1">
      <c r="A587" s="257"/>
      <c r="B587" s="257"/>
      <c r="C587" s="257"/>
      <c r="D587" s="1945"/>
      <c r="E587" s="1945"/>
      <c r="F587" s="1945"/>
      <c r="G587" s="1945"/>
      <c r="H587" s="1945"/>
      <c r="I587" s="1945"/>
      <c r="J587" s="1945"/>
      <c r="K587" s="1945"/>
      <c r="M587" s="1973"/>
      <c r="N587" s="1971"/>
      <c r="O587" s="1971"/>
      <c r="P587" s="4015" t="s">
        <v>1264</v>
      </c>
      <c r="Q587" s="1974"/>
      <c r="R587" s="4013"/>
      <c r="S587" s="2994"/>
      <c r="T587" s="2994"/>
      <c r="U587" s="2006"/>
    </row>
    <row r="588" spans="1:31" s="1846" customFormat="1" ht="13.5" customHeight="1">
      <c r="A588" s="257"/>
      <c r="B588" s="257"/>
      <c r="C588" s="257"/>
      <c r="D588" s="1945"/>
      <c r="E588" s="1945"/>
      <c r="F588" s="1945"/>
      <c r="G588" s="1945"/>
      <c r="H588" s="1945"/>
      <c r="I588" s="1945"/>
      <c r="J588" s="1945"/>
      <c r="K588" s="1945"/>
      <c r="M588" s="1976"/>
      <c r="N588" s="1844"/>
      <c r="O588" s="1971"/>
      <c r="P588" s="4016" t="s">
        <v>660</v>
      </c>
      <c r="Q588" s="1977"/>
      <c r="R588" s="4013"/>
      <c r="S588" s="2994"/>
      <c r="T588" s="2994"/>
      <c r="U588" s="2006"/>
      <c r="W588" s="1844"/>
      <c r="X588" s="1844"/>
      <c r="Y588" s="1844"/>
      <c r="Z588" s="1844"/>
      <c r="AA588" s="1844"/>
      <c r="AB588" s="1844"/>
      <c r="AC588" s="1844"/>
      <c r="AD588" s="1844"/>
      <c r="AE588" s="1844"/>
    </row>
    <row r="589" spans="1:31" s="1846" customFormat="1" ht="13.5" customHeight="1">
      <c r="A589" s="257"/>
      <c r="B589" s="257"/>
      <c r="C589" s="257"/>
      <c r="D589" s="1945"/>
      <c r="E589" s="1945"/>
      <c r="F589" s="1945"/>
      <c r="G589" s="1945"/>
      <c r="H589" s="1945"/>
      <c r="I589" s="1945"/>
      <c r="J589" s="1945"/>
      <c r="K589" s="1945"/>
      <c r="M589" s="1844"/>
      <c r="N589" s="1844"/>
      <c r="O589" s="1971"/>
      <c r="P589" s="4017" t="s">
        <v>1213</v>
      </c>
      <c r="Q589" s="1977"/>
      <c r="R589" s="4013"/>
      <c r="S589" s="2994"/>
      <c r="T589" s="2994"/>
      <c r="U589" s="2006"/>
      <c r="W589" s="1844"/>
      <c r="X589" s="1844"/>
      <c r="Y589" s="1844"/>
      <c r="Z589" s="1844"/>
      <c r="AA589" s="1844"/>
      <c r="AB589" s="1844"/>
      <c r="AC589" s="1844"/>
      <c r="AD589" s="1844"/>
      <c r="AE589" s="1844"/>
    </row>
    <row r="590" spans="1:31" s="1846" customFormat="1" ht="13.5" customHeight="1">
      <c r="A590" s="1945"/>
      <c r="B590" s="1945"/>
      <c r="C590" s="1945"/>
      <c r="D590" s="1945"/>
      <c r="E590" s="1945"/>
      <c r="F590" s="1945"/>
      <c r="G590" s="1945"/>
      <c r="H590" s="1844"/>
      <c r="I590" s="257"/>
      <c r="J590" s="257"/>
      <c r="K590" s="257"/>
      <c r="M590" s="1844"/>
      <c r="N590" s="1844"/>
      <c r="O590" s="1971"/>
      <c r="P590" s="4017" t="s">
        <v>929</v>
      </c>
      <c r="Q590" s="1977"/>
      <c r="R590" s="4013"/>
      <c r="S590" s="2994"/>
      <c r="T590" s="2994"/>
      <c r="U590" s="2006"/>
      <c r="W590" s="1844"/>
      <c r="X590" s="1844"/>
      <c r="Y590" s="1844"/>
      <c r="Z590" s="1844"/>
      <c r="AA590" s="1844"/>
      <c r="AB590" s="1844"/>
      <c r="AC590" s="1844"/>
      <c r="AD590" s="1844"/>
      <c r="AE590" s="1844"/>
    </row>
    <row r="591" spans="1:31" s="1846" customFormat="1" ht="13.5" customHeight="1">
      <c r="A591" s="1945"/>
      <c r="B591" s="1945"/>
      <c r="C591" s="1945"/>
      <c r="D591" s="1945"/>
      <c r="E591" s="1946"/>
      <c r="F591" s="1946"/>
      <c r="G591" s="1946"/>
      <c r="H591" s="1844"/>
      <c r="I591" s="1973"/>
      <c r="J591" s="1973"/>
      <c r="K591" s="1973"/>
      <c r="M591" s="1844"/>
      <c r="N591" s="1844"/>
      <c r="O591" s="1971"/>
      <c r="P591" s="4016"/>
      <c r="Q591" s="1977"/>
      <c r="R591" s="4013"/>
      <c r="S591" s="2994"/>
      <c r="T591" s="2994"/>
      <c r="U591" s="2006"/>
      <c r="W591" s="1844"/>
      <c r="X591" s="1844"/>
      <c r="Y591" s="1844"/>
      <c r="Z591" s="1844"/>
      <c r="AA591" s="1844"/>
      <c r="AB591" s="1844"/>
      <c r="AC591" s="1844"/>
      <c r="AD591" s="1844"/>
      <c r="AE591" s="1844"/>
    </row>
    <row r="592" spans="1:31" s="1846" customFormat="1" ht="13.5" customHeight="1">
      <c r="A592" s="1945"/>
      <c r="B592" s="1945"/>
      <c r="C592" s="1945"/>
      <c r="D592" s="1945"/>
      <c r="E592" s="1946"/>
      <c r="F592" s="1946"/>
      <c r="G592" s="1946"/>
      <c r="H592" s="1844"/>
      <c r="I592" s="1973"/>
      <c r="J592" s="1973"/>
      <c r="K592" s="1973"/>
      <c r="M592" s="1844"/>
      <c r="N592" s="1844"/>
      <c r="O592" s="1971"/>
      <c r="P592" s="4016"/>
      <c r="Q592" s="1977"/>
      <c r="R592" s="4013"/>
      <c r="S592" s="2994"/>
      <c r="T592" s="2994"/>
      <c r="U592" s="2006"/>
      <c r="W592" s="1844"/>
      <c r="X592" s="1844"/>
      <c r="Y592" s="1844"/>
      <c r="Z592" s="1844"/>
      <c r="AA592" s="1844"/>
      <c r="AB592" s="1844"/>
      <c r="AC592" s="1844"/>
      <c r="AD592" s="1844"/>
      <c r="AE592" s="1844"/>
    </row>
    <row r="593" spans="1:31" s="1846" customFormat="1" ht="13.5" customHeight="1">
      <c r="A593" s="1945"/>
      <c r="B593" s="1945"/>
      <c r="C593" s="1945"/>
      <c r="D593" s="1945"/>
      <c r="E593" s="1946"/>
      <c r="F593" s="1946"/>
      <c r="G593" s="1946"/>
      <c r="H593" s="1844"/>
      <c r="I593" s="1973"/>
      <c r="J593" s="1973"/>
      <c r="K593" s="1973"/>
      <c r="M593" s="1844"/>
      <c r="N593" s="1844"/>
      <c r="O593" s="1971"/>
      <c r="P593" s="4016"/>
      <c r="Q593" s="1977"/>
      <c r="R593" s="4013"/>
      <c r="S593" s="2994"/>
      <c r="T593" s="2994"/>
      <c r="U593" s="2006"/>
      <c r="W593" s="1844"/>
      <c r="X593" s="1844"/>
      <c r="Y593" s="1844"/>
      <c r="Z593" s="1844"/>
      <c r="AA593" s="1844"/>
      <c r="AB593" s="1844"/>
      <c r="AC593" s="1844"/>
      <c r="AD593" s="1844"/>
      <c r="AE593" s="1844"/>
    </row>
    <row r="594" spans="1:31" s="1846" customFormat="1" ht="13.5" customHeight="1">
      <c r="A594" s="1945"/>
      <c r="B594" s="1945"/>
      <c r="C594" s="1945"/>
      <c r="D594" s="1945"/>
      <c r="E594" s="1946"/>
      <c r="F594" s="1946"/>
      <c r="G594" s="1946"/>
      <c r="H594" s="1844"/>
      <c r="I594" s="1978"/>
      <c r="J594" s="1978"/>
      <c r="K594" s="1978"/>
      <c r="M594" s="1844"/>
      <c r="N594" s="1844"/>
      <c r="O594" s="1971"/>
      <c r="P594" s="4017"/>
      <c r="Q594" s="1980"/>
      <c r="R594" s="4013"/>
      <c r="S594" s="2994"/>
      <c r="T594" s="2994"/>
      <c r="U594" s="2006"/>
      <c r="W594" s="1844"/>
      <c r="X594" s="1844"/>
      <c r="Y594" s="1844"/>
      <c r="Z594" s="1844"/>
      <c r="AA594" s="1844"/>
      <c r="AB594" s="1844"/>
      <c r="AC594" s="1844"/>
      <c r="AD594" s="1844"/>
      <c r="AE594" s="1844"/>
    </row>
    <row r="595" spans="1:31" s="1846" customFormat="1" ht="13.5" customHeight="1">
      <c r="A595" s="257"/>
      <c r="B595" s="257"/>
      <c r="C595" s="257"/>
      <c r="D595" s="257"/>
      <c r="E595" s="1947"/>
      <c r="F595" s="257"/>
      <c r="G595" s="257"/>
      <c r="H595" s="1844"/>
      <c r="I595" s="257"/>
      <c r="J595" s="257"/>
      <c r="K595" s="257"/>
      <c r="M595" s="1844"/>
      <c r="N595" s="1844"/>
      <c r="O595" s="1971"/>
      <c r="P595" s="4018" t="s">
        <v>1214</v>
      </c>
      <c r="Q595" s="1977"/>
      <c r="R595" s="4013"/>
      <c r="S595" s="2994"/>
      <c r="T595" s="2994"/>
      <c r="U595" s="2006"/>
      <c r="W595" s="1844"/>
      <c r="X595" s="1844"/>
      <c r="Y595" s="1844"/>
      <c r="Z595" s="1844"/>
      <c r="AA595" s="1844"/>
      <c r="AB595" s="1844"/>
      <c r="AC595" s="1844"/>
      <c r="AD595" s="1844"/>
      <c r="AE595" s="1844"/>
    </row>
    <row r="596" spans="1:31" s="1846" customFormat="1" ht="15.05">
      <c r="A596" s="1843"/>
      <c r="B596" s="1843"/>
      <c r="C596" s="1844"/>
      <c r="D596" s="1844"/>
      <c r="E596" s="1844"/>
      <c r="F596" s="1845"/>
      <c r="G596" s="1845"/>
      <c r="H596" s="1844"/>
      <c r="I596" s="1844"/>
      <c r="J596" s="1844"/>
      <c r="K596" s="1844"/>
      <c r="L596" s="1844"/>
      <c r="M596" s="1844"/>
      <c r="N596" s="1844"/>
      <c r="O596" s="1844"/>
      <c r="P596" s="4019" t="s">
        <v>1215</v>
      </c>
      <c r="Q596" s="1977"/>
      <c r="R596" s="4014"/>
      <c r="S596" s="2883"/>
      <c r="T596" s="2883"/>
      <c r="U596" s="1844"/>
      <c r="W596" s="1844"/>
      <c r="X596" s="1844"/>
      <c r="Y596" s="1844"/>
      <c r="Z596" s="1844"/>
      <c r="AA596" s="1844"/>
      <c r="AB596" s="1844"/>
      <c r="AC596" s="1844"/>
      <c r="AD596" s="1844"/>
      <c r="AE596" s="1844"/>
    </row>
    <row r="597" spans="1:31">
      <c r="R597" s="4014"/>
    </row>
    <row r="598" spans="1:31">
      <c r="R598" s="4014"/>
    </row>
    <row r="606" spans="1:31" s="1846" customFormat="1">
      <c r="A606" s="1843"/>
      <c r="B606" s="1843"/>
      <c r="C606" s="1844"/>
      <c r="D606" s="1844"/>
      <c r="E606" s="1844"/>
      <c r="F606" s="1845"/>
      <c r="G606" s="1845"/>
      <c r="H606" s="1844"/>
      <c r="I606" s="1844"/>
      <c r="J606" s="1844"/>
      <c r="K606" s="1844"/>
      <c r="L606" s="1982" t="s">
        <v>665</v>
      </c>
      <c r="M606" s="1982"/>
      <c r="N606" s="1982" t="s">
        <v>666</v>
      </c>
      <c r="O606" s="1844"/>
      <c r="P606" s="1844"/>
      <c r="Q606" s="1844"/>
      <c r="R606" s="3649"/>
      <c r="S606" s="2883"/>
      <c r="T606" s="2883"/>
      <c r="U606" s="1844"/>
      <c r="W606" s="1844"/>
      <c r="X606" s="1844"/>
      <c r="Y606" s="1844"/>
      <c r="Z606" s="1844"/>
      <c r="AA606" s="1844"/>
      <c r="AB606" s="1844"/>
      <c r="AC606" s="1844"/>
      <c r="AD606" s="1844"/>
      <c r="AE606" s="1844"/>
    </row>
    <row r="607" spans="1:31" s="1846" customFormat="1" ht="17.25" customHeight="1">
      <c r="A607" s="1948"/>
      <c r="B607" s="1948"/>
      <c r="C607" s="1949"/>
      <c r="D607" s="1949"/>
      <c r="E607" s="1949"/>
      <c r="F607" s="1950"/>
      <c r="G607" s="1950"/>
      <c r="H607" s="5800" t="s">
        <v>667</v>
      </c>
      <c r="I607" s="5801"/>
      <c r="J607" s="1983"/>
      <c r="K607" s="1983"/>
      <c r="L607" s="1984">
        <f>SUM(L608:L633)</f>
        <v>199095000</v>
      </c>
      <c r="M607" s="1985">
        <f>SUM(M608:M633)</f>
        <v>20635628.990000002</v>
      </c>
      <c r="N607" s="1985">
        <f>SUM(N608:N633)</f>
        <v>500000</v>
      </c>
      <c r="O607" s="1985">
        <f>N607+M607</f>
        <v>21135628.990000002</v>
      </c>
      <c r="P607" s="1985">
        <f>SUM(P608:P633)</f>
        <v>1707586400</v>
      </c>
      <c r="Q607" s="1985"/>
      <c r="R607" s="3650">
        <f>O607/L607*100</f>
        <v>10.615851221778549</v>
      </c>
      <c r="S607" s="3734"/>
      <c r="T607" s="3734"/>
      <c r="U607" s="2007"/>
      <c r="W607" s="1844"/>
      <c r="X607" s="1844"/>
      <c r="Y607" s="1844"/>
      <c r="Z607" s="1844"/>
      <c r="AA607" s="1844"/>
      <c r="AB607" s="1844"/>
      <c r="AC607" s="1844"/>
      <c r="AD607" s="1844"/>
      <c r="AE607" s="1844"/>
    </row>
    <row r="608" spans="1:31" s="1846" customFormat="1">
      <c r="A608" s="1951"/>
      <c r="B608" s="1951"/>
      <c r="C608" s="1952"/>
      <c r="D608" s="1952"/>
      <c r="E608" s="1952"/>
      <c r="F608" s="1953" t="s">
        <v>50</v>
      </c>
      <c r="G608" s="1953"/>
      <c r="H608" s="1954" t="s">
        <v>668</v>
      </c>
      <c r="I608" s="1986"/>
      <c r="J608" s="1987"/>
      <c r="K608" s="1987"/>
      <c r="L608" s="1988">
        <f>L467</f>
        <v>57136000</v>
      </c>
      <c r="M608" s="1988">
        <f>M467</f>
        <v>0</v>
      </c>
      <c r="N608" s="1988">
        <f>N467</f>
        <v>0</v>
      </c>
      <c r="O608" s="1988">
        <f>O467</f>
        <v>0</v>
      </c>
      <c r="P608" s="1988">
        <f>P467</f>
        <v>57136000</v>
      </c>
      <c r="Q608" s="1988"/>
      <c r="R608" s="3651">
        <f>R467</f>
        <v>0</v>
      </c>
      <c r="S608" s="2996"/>
      <c r="T608" s="2996"/>
      <c r="U608" s="1952"/>
      <c r="W608" s="1844"/>
      <c r="X608" s="1844"/>
      <c r="Y608" s="1844"/>
      <c r="Z608" s="1844"/>
      <c r="AA608" s="1844"/>
      <c r="AB608" s="1844"/>
      <c r="AC608" s="1844"/>
      <c r="AD608" s="1844"/>
      <c r="AE608" s="1844"/>
    </row>
    <row r="609" spans="1:31" s="1846" customFormat="1">
      <c r="A609" s="1951"/>
      <c r="B609" s="1951"/>
      <c r="C609" s="1952"/>
      <c r="D609" s="1952"/>
      <c r="E609" s="1952"/>
      <c r="F609" s="1953" t="s">
        <v>50</v>
      </c>
      <c r="G609" s="1953"/>
      <c r="H609" s="1955" t="s">
        <v>669</v>
      </c>
      <c r="I609" s="1989"/>
      <c r="J609" s="1989"/>
      <c r="K609" s="1989"/>
      <c r="L609" s="1988">
        <f>L472</f>
        <v>63698000</v>
      </c>
      <c r="M609" s="1988">
        <f>M472</f>
        <v>4835000</v>
      </c>
      <c r="N609" s="1988">
        <f>N472</f>
        <v>0</v>
      </c>
      <c r="O609" s="1988">
        <f>O472</f>
        <v>4835000</v>
      </c>
      <c r="P609" s="1988">
        <f>P472</f>
        <v>63698000</v>
      </c>
      <c r="Q609" s="1988"/>
      <c r="R609" s="3651">
        <f>R472</f>
        <v>0</v>
      </c>
      <c r="S609" s="2996"/>
      <c r="T609" s="2996"/>
      <c r="U609" s="1988">
        <f>U472</f>
        <v>0</v>
      </c>
      <c r="W609" s="1844"/>
      <c r="X609" s="1844"/>
      <c r="Y609" s="1844"/>
      <c r="Z609" s="1844"/>
      <c r="AA609" s="1844"/>
      <c r="AB609" s="1844"/>
      <c r="AC609" s="1844"/>
      <c r="AD609" s="1844"/>
      <c r="AE609" s="1844"/>
    </row>
    <row r="610" spans="1:31" s="1846" customFormat="1">
      <c r="A610" s="1951"/>
      <c r="B610" s="1951"/>
      <c r="C610" s="1952"/>
      <c r="D610" s="1952"/>
      <c r="E610" s="1952"/>
      <c r="F610" s="1953" t="s">
        <v>50</v>
      </c>
      <c r="G610" s="1953"/>
      <c r="H610" s="1955" t="s">
        <v>670</v>
      </c>
      <c r="I610" s="1989"/>
      <c r="J610" s="1989"/>
      <c r="K610" s="1989"/>
      <c r="L610" s="1988">
        <f t="shared" ref="L610:R610" si="98">L521</f>
        <v>0</v>
      </c>
      <c r="M610" s="1988">
        <f t="shared" si="98"/>
        <v>0</v>
      </c>
      <c r="N610" s="1988">
        <f t="shared" si="98"/>
        <v>0</v>
      </c>
      <c r="O610" s="1988">
        <f t="shared" si="98"/>
        <v>0</v>
      </c>
      <c r="P610" s="1988">
        <f t="shared" si="98"/>
        <v>0</v>
      </c>
      <c r="Q610" s="1988"/>
      <c r="R610" s="3651">
        <f t="shared" si="98"/>
        <v>0</v>
      </c>
      <c r="S610" s="2996"/>
      <c r="T610" s="2996"/>
      <c r="U610" s="1952"/>
      <c r="W610" s="1844"/>
      <c r="X610" s="1844"/>
      <c r="Y610" s="1844"/>
      <c r="Z610" s="1844"/>
      <c r="AA610" s="1844"/>
      <c r="AB610" s="1844"/>
      <c r="AC610" s="1844"/>
      <c r="AD610" s="1844"/>
      <c r="AE610" s="1844"/>
    </row>
    <row r="611" spans="1:31" s="1846" customFormat="1">
      <c r="A611" s="1951"/>
      <c r="B611" s="1951"/>
      <c r="C611" s="1952"/>
      <c r="D611" s="1952"/>
      <c r="E611" s="1952"/>
      <c r="F611" s="1953" t="s">
        <v>50</v>
      </c>
      <c r="G611" s="1953"/>
      <c r="H611" s="1955" t="s">
        <v>279</v>
      </c>
      <c r="I611" s="1989"/>
      <c r="J611" s="1989"/>
      <c r="K611" s="1989"/>
      <c r="L611" s="1988">
        <f>L502</f>
        <v>25741600</v>
      </c>
      <c r="M611" s="1988">
        <f t="shared" ref="M611:R611" si="99">M502</f>
        <v>0</v>
      </c>
      <c r="N611" s="1988">
        <f t="shared" si="99"/>
        <v>0</v>
      </c>
      <c r="O611" s="1988">
        <f t="shared" si="99"/>
        <v>0</v>
      </c>
      <c r="P611" s="1988">
        <f t="shared" si="99"/>
        <v>25741600</v>
      </c>
      <c r="Q611" s="1988"/>
      <c r="R611" s="3651">
        <f t="shared" si="99"/>
        <v>0</v>
      </c>
      <c r="S611" s="2996"/>
      <c r="T611" s="2996"/>
      <c r="U611" s="1952"/>
      <c r="W611" s="1844"/>
      <c r="X611" s="1844"/>
      <c r="Y611" s="1844"/>
      <c r="Z611" s="1844"/>
      <c r="AA611" s="1844"/>
      <c r="AB611" s="1844"/>
      <c r="AC611" s="1844"/>
      <c r="AD611" s="1844"/>
      <c r="AE611" s="1844"/>
    </row>
    <row r="612" spans="1:31" s="1846" customFormat="1" ht="15.05">
      <c r="A612" s="1951"/>
      <c r="B612" s="1951"/>
      <c r="C612" s="1952"/>
      <c r="D612" s="1952"/>
      <c r="E612" s="1952"/>
      <c r="F612" s="1953" t="s">
        <v>50</v>
      </c>
      <c r="G612" s="1953"/>
      <c r="H612" s="1956" t="s">
        <v>671</v>
      </c>
      <c r="I612" s="1989"/>
      <c r="J612" s="1990"/>
      <c r="K612" s="1990"/>
      <c r="L612" s="1991">
        <f>L548</f>
        <v>0</v>
      </c>
      <c r="M612" s="1992">
        <f>M548</f>
        <v>0</v>
      </c>
      <c r="N612" s="1992">
        <f>N548</f>
        <v>0</v>
      </c>
      <c r="O612" s="1993">
        <f>O548</f>
        <v>0</v>
      </c>
      <c r="P612" s="1988">
        <f>O612-L612</f>
        <v>0</v>
      </c>
      <c r="Q612" s="2008"/>
      <c r="R612" s="3652" t="e">
        <f>#REF!</f>
        <v>#REF!</v>
      </c>
      <c r="S612" s="2997"/>
      <c r="T612" s="2997"/>
      <c r="U612" s="2009"/>
      <c r="W612" s="1844"/>
      <c r="X612" s="1844"/>
      <c r="Y612" s="1844"/>
      <c r="Z612" s="1844"/>
      <c r="AA612" s="1844"/>
      <c r="AB612" s="1844"/>
      <c r="AC612" s="1844"/>
      <c r="AD612" s="1844"/>
      <c r="AE612" s="1844"/>
    </row>
    <row r="613" spans="1:31" s="1846" customFormat="1" ht="15.05">
      <c r="A613" s="1951"/>
      <c r="B613" s="1951"/>
      <c r="C613" s="1952"/>
      <c r="D613" s="1952"/>
      <c r="E613" s="1952"/>
      <c r="F613" s="1953" t="s">
        <v>50</v>
      </c>
      <c r="G613" s="1953"/>
      <c r="H613" s="1957" t="s">
        <v>287</v>
      </c>
      <c r="I613" s="1989"/>
      <c r="J613" s="1994"/>
      <c r="K613" s="1994"/>
      <c r="L613" s="1995">
        <f>L446</f>
        <v>0</v>
      </c>
      <c r="M613" s="1996">
        <f>M446</f>
        <v>0</v>
      </c>
      <c r="N613" s="1996">
        <f>N446</f>
        <v>0</v>
      </c>
      <c r="O613" s="1996">
        <f>O446</f>
        <v>0</v>
      </c>
      <c r="P613" s="1996">
        <f>P446</f>
        <v>0</v>
      </c>
      <c r="Q613" s="1996"/>
      <c r="R613" s="3653">
        <f>R446</f>
        <v>0</v>
      </c>
      <c r="S613" s="2998"/>
      <c r="T613" s="2998"/>
      <c r="U613" s="2009" t="e">
        <f>#REF!</f>
        <v>#REF!</v>
      </c>
      <c r="W613" s="1844"/>
      <c r="X613" s="1844"/>
      <c r="Y613" s="1844"/>
      <c r="Z613" s="1844"/>
      <c r="AA613" s="1844"/>
      <c r="AB613" s="1844"/>
      <c r="AC613" s="1844"/>
      <c r="AD613" s="1844"/>
      <c r="AE613" s="1844"/>
    </row>
    <row r="614" spans="1:31" s="1846" customFormat="1" ht="15.05">
      <c r="A614" s="1951"/>
      <c r="B614" s="1951"/>
      <c r="C614" s="1952"/>
      <c r="D614" s="1952"/>
      <c r="E614" s="1952"/>
      <c r="F614" s="1953" t="s">
        <v>50</v>
      </c>
      <c r="G614" s="1953"/>
      <c r="H614" s="1957" t="s">
        <v>672</v>
      </c>
      <c r="I614" s="1989"/>
      <c r="J614" s="1994"/>
      <c r="K614" s="1994"/>
      <c r="L614" s="1995">
        <f t="shared" ref="L614:R614" si="100">L568</f>
        <v>0</v>
      </c>
      <c r="M614" s="1996">
        <f t="shared" si="100"/>
        <v>0</v>
      </c>
      <c r="N614" s="1996">
        <f t="shared" si="100"/>
        <v>0</v>
      </c>
      <c r="O614" s="1996">
        <f t="shared" si="100"/>
        <v>0</v>
      </c>
      <c r="P614" s="1996">
        <f t="shared" si="100"/>
        <v>0</v>
      </c>
      <c r="Q614" s="1996"/>
      <c r="R614" s="3653">
        <f t="shared" si="100"/>
        <v>0</v>
      </c>
      <c r="S614" s="2998"/>
      <c r="T614" s="2998"/>
      <c r="U614" s="2009" t="e">
        <f>#REF!</f>
        <v>#REF!</v>
      </c>
      <c r="W614" s="1844"/>
      <c r="X614" s="1844"/>
      <c r="Y614" s="1844"/>
      <c r="Z614" s="1844"/>
      <c r="AA614" s="1844"/>
      <c r="AB614" s="1844"/>
      <c r="AC614" s="1844"/>
      <c r="AD614" s="1844"/>
      <c r="AE614" s="1844"/>
    </row>
    <row r="615" spans="1:31" s="1846" customFormat="1" ht="15.05">
      <c r="A615" s="1951"/>
      <c r="B615" s="1951"/>
      <c r="C615" s="1952"/>
      <c r="D615" s="1952"/>
      <c r="E615" s="1952"/>
      <c r="F615" s="1953" t="s">
        <v>50</v>
      </c>
      <c r="G615" s="1953"/>
      <c r="H615" s="1957" t="s">
        <v>673</v>
      </c>
      <c r="I615" s="1989"/>
      <c r="J615" s="1994"/>
      <c r="K615" s="1994"/>
      <c r="L615" s="1995">
        <f>L448</f>
        <v>0</v>
      </c>
      <c r="M615" s="1996">
        <f>M448</f>
        <v>0</v>
      </c>
      <c r="N615" s="1996">
        <f>N448</f>
        <v>0</v>
      </c>
      <c r="O615" s="1996">
        <f>O448</f>
        <v>0</v>
      </c>
      <c r="P615" s="1996">
        <f>P448</f>
        <v>0</v>
      </c>
      <c r="Q615" s="1996"/>
      <c r="R615" s="3653" t="e">
        <f>R448</f>
        <v>#DIV/0!</v>
      </c>
      <c r="S615" s="2998"/>
      <c r="T615" s="2998"/>
      <c r="U615" s="2009" t="e">
        <f>#REF!</f>
        <v>#REF!</v>
      </c>
      <c r="W615" s="1844"/>
      <c r="X615" s="1844"/>
      <c r="Y615" s="1844"/>
      <c r="Z615" s="1844"/>
      <c r="AA615" s="1844"/>
      <c r="AB615" s="1844"/>
      <c r="AC615" s="1844"/>
      <c r="AD615" s="1844"/>
      <c r="AE615" s="1844"/>
    </row>
    <row r="616" spans="1:31" s="1846" customFormat="1" ht="15.05">
      <c r="A616" s="1951"/>
      <c r="B616" s="1951"/>
      <c r="C616" s="1952"/>
      <c r="D616" s="1952"/>
      <c r="E616" s="1952"/>
      <c r="F616" s="1953"/>
      <c r="G616" s="1953"/>
      <c r="H616" s="1957" t="s">
        <v>571</v>
      </c>
      <c r="I616" s="1989"/>
      <c r="J616" s="1994"/>
      <c r="K616" s="1994"/>
      <c r="L616" s="1995">
        <f t="shared" ref="L616:R616" si="101">L551</f>
        <v>0</v>
      </c>
      <c r="M616" s="1996">
        <f t="shared" si="101"/>
        <v>14027628.99</v>
      </c>
      <c r="N616" s="1996">
        <f t="shared" si="101"/>
        <v>500000</v>
      </c>
      <c r="O616" s="1997">
        <f t="shared" si="101"/>
        <v>14527628.99</v>
      </c>
      <c r="P616" s="1996">
        <f t="shared" si="101"/>
        <v>0</v>
      </c>
      <c r="Q616" s="1996"/>
      <c r="R616" s="3653">
        <f t="shared" si="101"/>
        <v>0</v>
      </c>
      <c r="S616" s="2998"/>
      <c r="T616" s="2998"/>
      <c r="U616" s="2009" t="e">
        <f>#REF!</f>
        <v>#REF!</v>
      </c>
      <c r="W616" s="1844"/>
      <c r="X616" s="1844"/>
      <c r="Y616" s="1844"/>
      <c r="Z616" s="1844"/>
      <c r="AA616" s="1844"/>
      <c r="AB616" s="1844"/>
      <c r="AC616" s="1844"/>
      <c r="AD616" s="1844"/>
      <c r="AE616" s="1844"/>
    </row>
    <row r="617" spans="1:31" ht="15.05">
      <c r="A617" s="1951"/>
      <c r="B617" s="1951"/>
      <c r="C617" s="1952"/>
      <c r="D617" s="1952"/>
      <c r="E617" s="1952"/>
      <c r="F617" s="1953"/>
      <c r="G617" s="1953"/>
      <c r="H617" s="1957" t="s">
        <v>674</v>
      </c>
      <c r="I617" s="1989"/>
      <c r="J617" s="1994"/>
      <c r="K617" s="1994"/>
      <c r="L617" s="1995">
        <f t="shared" ref="L617:R617" si="102">L555</f>
        <v>0</v>
      </c>
      <c r="M617" s="1996">
        <f t="shared" si="102"/>
        <v>0</v>
      </c>
      <c r="N617" s="1996">
        <f t="shared" si="102"/>
        <v>0</v>
      </c>
      <c r="O617" s="1996">
        <f t="shared" si="102"/>
        <v>0</v>
      </c>
      <c r="P617" s="1996">
        <f t="shared" si="102"/>
        <v>0</v>
      </c>
      <c r="Q617" s="1996"/>
      <c r="R617" s="3653">
        <f t="shared" si="102"/>
        <v>0</v>
      </c>
      <c r="S617" s="2998"/>
      <c r="T617" s="2998"/>
      <c r="U617" s="2009" t="e">
        <f>#REF!</f>
        <v>#REF!</v>
      </c>
    </row>
    <row r="618" spans="1:31">
      <c r="A618" s="1951"/>
      <c r="B618" s="1951"/>
      <c r="C618" s="1952"/>
      <c r="D618" s="1952"/>
      <c r="E618" s="1952"/>
      <c r="F618" s="1953"/>
      <c r="G618" s="1953"/>
      <c r="H618" s="1958" t="s">
        <v>675</v>
      </c>
      <c r="I618" s="1998"/>
      <c r="J618" s="1999"/>
      <c r="K618" s="1999"/>
      <c r="L618" s="1958">
        <f>L460</f>
        <v>0</v>
      </c>
      <c r="M618" s="1958">
        <f>M460</f>
        <v>0</v>
      </c>
      <c r="N618" s="1958">
        <f>N460</f>
        <v>0</v>
      </c>
      <c r="O618" s="2000">
        <f>O460</f>
        <v>0</v>
      </c>
      <c r="P618" s="1958">
        <f>P460</f>
        <v>0</v>
      </c>
      <c r="Q618" s="1958"/>
      <c r="R618" s="3652" t="e">
        <f>#REF!</f>
        <v>#REF!</v>
      </c>
      <c r="S618" s="2997"/>
      <c r="T618" s="2997"/>
      <c r="U618" s="2009" t="e">
        <f>#REF!</f>
        <v>#REF!</v>
      </c>
    </row>
    <row r="619" spans="1:31" ht="15.05">
      <c r="A619" s="1951"/>
      <c r="B619" s="1951"/>
      <c r="C619" s="1952"/>
      <c r="D619" s="1952"/>
      <c r="E619" s="1952"/>
      <c r="F619" s="1953"/>
      <c r="G619" s="1953"/>
      <c r="H619" s="1959" t="s">
        <v>271</v>
      </c>
      <c r="I619" s="1990"/>
      <c r="J619" s="1994"/>
      <c r="K619" s="1994"/>
      <c r="L619" s="1995">
        <f>L463</f>
        <v>51419400</v>
      </c>
      <c r="M619" s="1995">
        <f>M463</f>
        <v>0</v>
      </c>
      <c r="N619" s="1995">
        <f>N463</f>
        <v>0</v>
      </c>
      <c r="O619" s="1995">
        <f>O463</f>
        <v>0</v>
      </c>
      <c r="P619" s="1995">
        <f>P463</f>
        <v>51419400</v>
      </c>
      <c r="Q619" s="1995"/>
      <c r="R619" s="3654">
        <f>R463</f>
        <v>0</v>
      </c>
      <c r="S619" s="2999"/>
      <c r="T619" s="2999"/>
      <c r="U619" s="2009" t="e">
        <f>#REF!</f>
        <v>#REF!</v>
      </c>
    </row>
    <row r="620" spans="1:31" ht="15.05">
      <c r="A620" s="1951"/>
      <c r="B620" s="1951"/>
      <c r="C620" s="1952"/>
      <c r="D620" s="1952"/>
      <c r="E620" s="1952"/>
      <c r="F620" s="1953"/>
      <c r="G620" s="1953"/>
      <c r="H620" s="1960" t="s">
        <v>676</v>
      </c>
      <c r="I620" s="1989"/>
      <c r="J620" s="1989"/>
      <c r="K620" s="1989"/>
      <c r="L620" s="1988">
        <f t="shared" ref="L620:R620" si="103">L541</f>
        <v>0</v>
      </c>
      <c r="M620" s="1988">
        <f t="shared" si="103"/>
        <v>0</v>
      </c>
      <c r="N620" s="1988">
        <f t="shared" si="103"/>
        <v>0</v>
      </c>
      <c r="O620" s="2001">
        <f t="shared" si="103"/>
        <v>0</v>
      </c>
      <c r="P620" s="1988">
        <f t="shared" si="103"/>
        <v>0</v>
      </c>
      <c r="Q620" s="1988"/>
      <c r="R620" s="3651">
        <f t="shared" si="103"/>
        <v>0</v>
      </c>
      <c r="S620" s="2996"/>
      <c r="T620" s="2996"/>
      <c r="U620" s="2009" t="e">
        <f>#REF!</f>
        <v>#REF!</v>
      </c>
    </row>
    <row r="621" spans="1:31" ht="15.05">
      <c r="A621" s="1951"/>
      <c r="B621" s="1951"/>
      <c r="C621" s="1952"/>
      <c r="D621" s="1952"/>
      <c r="E621" s="1952"/>
      <c r="F621" s="1953"/>
      <c r="G621" s="1953"/>
      <c r="H621" s="1960" t="s">
        <v>280</v>
      </c>
      <c r="I621" s="1989"/>
      <c r="J621" s="1989"/>
      <c r="K621" s="1989"/>
      <c r="L621" s="1988">
        <f t="shared" ref="L621:R621" si="104">L540</f>
        <v>1100000</v>
      </c>
      <c r="M621" s="1988">
        <f t="shared" si="104"/>
        <v>0</v>
      </c>
      <c r="N621" s="1988">
        <f t="shared" si="104"/>
        <v>0</v>
      </c>
      <c r="O621" s="1988">
        <f t="shared" si="104"/>
        <v>0</v>
      </c>
      <c r="P621" s="1988">
        <f t="shared" si="104"/>
        <v>1100000</v>
      </c>
      <c r="Q621" s="1988"/>
      <c r="R621" s="3651">
        <f t="shared" si="104"/>
        <v>0</v>
      </c>
      <c r="S621" s="2996"/>
      <c r="T621" s="2996"/>
      <c r="U621" s="2009" t="e">
        <f>#REF!</f>
        <v>#REF!</v>
      </c>
    </row>
    <row r="622" spans="1:31">
      <c r="A622" s="1951"/>
      <c r="B622" s="1951"/>
      <c r="C622" s="1952"/>
      <c r="D622" s="1952"/>
      <c r="E622" s="1952"/>
      <c r="F622" s="1953"/>
      <c r="G622" s="1953"/>
      <c r="H622" s="1958" t="s">
        <v>595</v>
      </c>
      <c r="I622" s="1998"/>
      <c r="J622" s="1999"/>
      <c r="K622" s="1999"/>
      <c r="L622" s="1958">
        <f>L561</f>
        <v>0</v>
      </c>
      <c r="M622" s="1958">
        <f t="shared" ref="M622:U622" si="105">M561</f>
        <v>0</v>
      </c>
      <c r="N622" s="1958">
        <f t="shared" si="105"/>
        <v>0</v>
      </c>
      <c r="O622" s="1958">
        <f t="shared" si="105"/>
        <v>0</v>
      </c>
      <c r="P622" s="1958">
        <f t="shared" si="105"/>
        <v>0</v>
      </c>
      <c r="Q622" s="1958"/>
      <c r="R622" s="3652">
        <f t="shared" si="105"/>
        <v>0</v>
      </c>
      <c r="S622" s="2997"/>
      <c r="T622" s="2997"/>
      <c r="U622" s="2009">
        <f t="shared" si="105"/>
        <v>0</v>
      </c>
    </row>
    <row r="623" spans="1:31">
      <c r="A623" s="1951"/>
      <c r="B623" s="1951"/>
      <c r="C623" s="1952"/>
      <c r="D623" s="1952"/>
      <c r="E623" s="1952"/>
      <c r="F623" s="1953"/>
      <c r="G623" s="1953"/>
      <c r="H623" s="1958" t="s">
        <v>677</v>
      </c>
      <c r="I623" s="1998"/>
      <c r="J623" s="1999"/>
      <c r="K623" s="1999"/>
      <c r="L623" s="1958">
        <f>L451</f>
        <v>0</v>
      </c>
      <c r="M623" s="1958">
        <f>M451</f>
        <v>0</v>
      </c>
      <c r="N623" s="1958">
        <f>N451</f>
        <v>0</v>
      </c>
      <c r="O623" s="1958">
        <f>O451</f>
        <v>0</v>
      </c>
      <c r="P623" s="1958">
        <f>P451</f>
        <v>0</v>
      </c>
      <c r="Q623" s="1958"/>
      <c r="R623" s="3652" t="e">
        <f>R451</f>
        <v>#DIV/0!</v>
      </c>
      <c r="S623" s="2997"/>
      <c r="T623" s="2997"/>
      <c r="U623" s="2009" t="e">
        <f>#REF!</f>
        <v>#REF!</v>
      </c>
    </row>
    <row r="624" spans="1:31" ht="15.05">
      <c r="A624" s="1951"/>
      <c r="B624" s="1951"/>
      <c r="C624" s="1952"/>
      <c r="D624" s="1952"/>
      <c r="E624" s="1952"/>
      <c r="F624" s="1953"/>
      <c r="G624" s="1953"/>
      <c r="H624" s="2010" t="str">
        <f>F456</f>
        <v>BADAN PENANAMAN MODAL TERPADU</v>
      </c>
      <c r="I624" s="2040"/>
      <c r="J624" s="2041"/>
      <c r="K624" s="2041"/>
      <c r="L624" s="2042">
        <f>L456</f>
        <v>0</v>
      </c>
      <c r="M624" s="2042">
        <f>M456</f>
        <v>0</v>
      </c>
      <c r="N624" s="2042">
        <f>N456</f>
        <v>0</v>
      </c>
      <c r="O624" s="2042">
        <f>O456</f>
        <v>0</v>
      </c>
      <c r="P624" s="2042">
        <f>P456</f>
        <v>0</v>
      </c>
      <c r="Q624" s="2042"/>
      <c r="R624" s="3655" t="e">
        <f>R456</f>
        <v>#DIV/0!</v>
      </c>
      <c r="S624" s="3000"/>
      <c r="T624" s="3000"/>
      <c r="U624" s="2042">
        <f>U456</f>
        <v>0</v>
      </c>
    </row>
    <row r="625" spans="1:31" s="1841" customFormat="1">
      <c r="A625" s="1951"/>
      <c r="B625" s="1951"/>
      <c r="C625" s="1952"/>
      <c r="D625" s="1952"/>
      <c r="E625" s="1952"/>
      <c r="F625" s="2011"/>
      <c r="G625" s="2011"/>
      <c r="H625" s="2012" t="s">
        <v>678</v>
      </c>
      <c r="I625" s="2043"/>
      <c r="J625" s="2044"/>
      <c r="K625" s="2044"/>
      <c r="L625" s="2045">
        <f>L559</f>
        <v>0</v>
      </c>
      <c r="M625" s="2045">
        <f t="shared" ref="M625:R625" si="106">M559</f>
        <v>0</v>
      </c>
      <c r="N625" s="2045">
        <f t="shared" si="106"/>
        <v>0</v>
      </c>
      <c r="O625" s="2046">
        <f t="shared" si="106"/>
        <v>0</v>
      </c>
      <c r="P625" s="2045">
        <f t="shared" si="106"/>
        <v>0</v>
      </c>
      <c r="Q625" s="2045"/>
      <c r="R625" s="3656">
        <f t="shared" si="106"/>
        <v>0</v>
      </c>
      <c r="S625" s="3001"/>
      <c r="T625" s="3001"/>
      <c r="U625" s="2066" t="e">
        <f>#REF!</f>
        <v>#REF!</v>
      </c>
      <c r="V625" s="2067"/>
    </row>
    <row r="626" spans="1:31" ht="15.65">
      <c r="A626" s="1951"/>
      <c r="B626" s="1951"/>
      <c r="C626" s="1952"/>
      <c r="D626" s="1952"/>
      <c r="E626" s="1952"/>
      <c r="F626" s="1953"/>
      <c r="G626" s="1953"/>
      <c r="H626" s="2013" t="s">
        <v>679</v>
      </c>
      <c r="I626" s="1998"/>
      <c r="J626" s="1999"/>
      <c r="K626" s="1999"/>
      <c r="L626" s="1958">
        <f>L528</f>
        <v>0</v>
      </c>
      <c r="M626" s="1958">
        <f t="shared" ref="M626:U626" si="107">M528</f>
        <v>0</v>
      </c>
      <c r="N626" s="1958">
        <f t="shared" si="107"/>
        <v>0</v>
      </c>
      <c r="O626" s="1958">
        <f t="shared" si="107"/>
        <v>0</v>
      </c>
      <c r="P626" s="1958">
        <f t="shared" si="107"/>
        <v>0</v>
      </c>
      <c r="Q626" s="1958"/>
      <c r="R626" s="3652">
        <f t="shared" si="107"/>
        <v>0</v>
      </c>
      <c r="S626" s="2997"/>
      <c r="T626" s="2997"/>
      <c r="U626" s="2009">
        <f t="shared" si="107"/>
        <v>0</v>
      </c>
    </row>
    <row r="627" spans="1:31" ht="15.05">
      <c r="A627" s="1951"/>
      <c r="B627" s="1951"/>
      <c r="C627" s="1952"/>
      <c r="D627" s="1952"/>
      <c r="E627" s="1952"/>
      <c r="F627" s="1953" t="s">
        <v>50</v>
      </c>
      <c r="G627" s="1953"/>
      <c r="H627" s="1960" t="s">
        <v>568</v>
      </c>
      <c r="I627" s="1989"/>
      <c r="J627" s="1989"/>
      <c r="K627" s="1989"/>
      <c r="L627" s="1988">
        <f t="shared" ref="L627:R627" si="108">L565</f>
        <v>0</v>
      </c>
      <c r="M627" s="1988">
        <f t="shared" si="108"/>
        <v>913000</v>
      </c>
      <c r="N627" s="1988">
        <f t="shared" si="108"/>
        <v>0</v>
      </c>
      <c r="O627" s="2001">
        <f t="shared" si="108"/>
        <v>913000</v>
      </c>
      <c r="P627" s="1988">
        <f t="shared" si="108"/>
        <v>0</v>
      </c>
      <c r="Q627" s="1988"/>
      <c r="R627" s="3651">
        <f t="shared" si="108"/>
        <v>0</v>
      </c>
      <c r="S627" s="2996"/>
      <c r="T627" s="2996"/>
      <c r="U627" s="2009" t="e">
        <f>#REF!</f>
        <v>#REF!</v>
      </c>
    </row>
    <row r="628" spans="1:31" ht="15.05">
      <c r="A628" s="1951"/>
      <c r="B628" s="1951"/>
      <c r="C628" s="1952"/>
      <c r="D628" s="1952"/>
      <c r="E628" s="1952"/>
      <c r="F628" s="1953"/>
      <c r="G628" s="1953"/>
      <c r="H628" s="1960" t="s">
        <v>680</v>
      </c>
      <c r="I628" s="1989"/>
      <c r="J628" s="1989"/>
      <c r="K628" s="1989"/>
      <c r="L628" s="1988">
        <f t="shared" ref="L628:R628" si="109">L517</f>
        <v>0</v>
      </c>
      <c r="M628" s="1988">
        <f t="shared" si="109"/>
        <v>720000</v>
      </c>
      <c r="N628" s="1988">
        <f t="shared" si="109"/>
        <v>0</v>
      </c>
      <c r="O628" s="1988">
        <f t="shared" si="109"/>
        <v>720000</v>
      </c>
      <c r="P628" s="1988">
        <f t="shared" si="109"/>
        <v>0</v>
      </c>
      <c r="Q628" s="1988"/>
      <c r="R628" s="3651">
        <f t="shared" si="109"/>
        <v>0</v>
      </c>
      <c r="S628" s="2996"/>
      <c r="T628" s="2996"/>
      <c r="U628" s="2009" t="e">
        <f>#REF!</f>
        <v>#REF!</v>
      </c>
    </row>
    <row r="629" spans="1:31" ht="15.05">
      <c r="A629" s="1951"/>
      <c r="B629" s="1951"/>
      <c r="C629" s="1952"/>
      <c r="D629" s="1952"/>
      <c r="E629" s="1952"/>
      <c r="F629" s="1953" t="s">
        <v>50</v>
      </c>
      <c r="G629" s="1953"/>
      <c r="H629" s="1960" t="s">
        <v>589</v>
      </c>
      <c r="I629" s="1989"/>
      <c r="J629" s="1989"/>
      <c r="K629" s="1989"/>
      <c r="L629" s="1988">
        <f t="shared" ref="L629:R629" si="110">L505</f>
        <v>0</v>
      </c>
      <c r="M629" s="1988">
        <f t="shared" si="110"/>
        <v>140000</v>
      </c>
      <c r="N629" s="1988">
        <f t="shared" si="110"/>
        <v>0</v>
      </c>
      <c r="O629" s="1988">
        <f t="shared" si="110"/>
        <v>140000</v>
      </c>
      <c r="P629" s="1988">
        <f t="shared" si="110"/>
        <v>0</v>
      </c>
      <c r="Q629" s="1988"/>
      <c r="R629" s="3651">
        <f t="shared" si="110"/>
        <v>0</v>
      </c>
      <c r="S629" s="2996"/>
      <c r="T629" s="2996"/>
      <c r="U629" s="2009" t="e">
        <f>#REF!</f>
        <v>#REF!</v>
      </c>
    </row>
    <row r="630" spans="1:31" ht="15.05">
      <c r="A630" s="1951"/>
      <c r="B630" s="1951"/>
      <c r="C630" s="1952"/>
      <c r="D630" s="1952"/>
      <c r="E630" s="1952"/>
      <c r="F630" s="1953" t="s">
        <v>50</v>
      </c>
      <c r="G630" s="1953"/>
      <c r="H630" s="1960" t="s">
        <v>681</v>
      </c>
      <c r="I630" s="1989"/>
      <c r="J630" s="1989"/>
      <c r="K630" s="1989"/>
      <c r="L630" s="1988">
        <f t="shared" ref="L630:R630" si="111">L508</f>
        <v>0</v>
      </c>
      <c r="M630" s="1988">
        <f t="shared" si="111"/>
        <v>0</v>
      </c>
      <c r="N630" s="1988">
        <f t="shared" si="111"/>
        <v>0</v>
      </c>
      <c r="O630" s="2001">
        <f t="shared" si="111"/>
        <v>0</v>
      </c>
      <c r="P630" s="1988">
        <f t="shared" si="111"/>
        <v>0</v>
      </c>
      <c r="Q630" s="1988"/>
      <c r="R630" s="3651">
        <f t="shared" si="111"/>
        <v>0</v>
      </c>
      <c r="S630" s="2996"/>
      <c r="T630" s="2996"/>
      <c r="U630" s="2009" t="e">
        <f>#REF!</f>
        <v>#REF!</v>
      </c>
    </row>
    <row r="631" spans="1:31" ht="15.05">
      <c r="A631" s="1951"/>
      <c r="B631" s="1951"/>
      <c r="C631" s="1952"/>
      <c r="D631" s="1952"/>
      <c r="E631" s="1952"/>
      <c r="F631" s="1953"/>
      <c r="G631" s="1953"/>
      <c r="H631" s="1960" t="s">
        <v>609</v>
      </c>
      <c r="I631" s="1989"/>
      <c r="J631" s="1989"/>
      <c r="K631" s="1989"/>
      <c r="L631" s="1988">
        <f t="shared" ref="L631:R631" si="112">L511</f>
        <v>0</v>
      </c>
      <c r="M631" s="1988">
        <f t="shared" si="112"/>
        <v>0</v>
      </c>
      <c r="N631" s="1988">
        <f t="shared" si="112"/>
        <v>0</v>
      </c>
      <c r="O631" s="2001">
        <f t="shared" si="112"/>
        <v>0</v>
      </c>
      <c r="P631" s="1988">
        <f t="shared" si="112"/>
        <v>0</v>
      </c>
      <c r="Q631" s="1988"/>
      <c r="R631" s="3651">
        <f t="shared" si="112"/>
        <v>0</v>
      </c>
      <c r="S631" s="2996"/>
      <c r="T631" s="2996"/>
      <c r="U631" s="2009" t="e">
        <f>#REF!</f>
        <v>#REF!</v>
      </c>
    </row>
    <row r="632" spans="1:31" ht="15.05">
      <c r="A632" s="1951"/>
      <c r="B632" s="1951"/>
      <c r="C632" s="1952"/>
      <c r="D632" s="1952"/>
      <c r="E632" s="1952"/>
      <c r="F632" s="1953" t="s">
        <v>50</v>
      </c>
      <c r="G632" s="1953"/>
      <c r="H632" s="2014" t="s">
        <v>682</v>
      </c>
      <c r="I632" s="1998"/>
      <c r="J632" s="1998"/>
      <c r="K632" s="1998"/>
      <c r="L632" s="2009"/>
      <c r="M632" s="2009">
        <f t="shared" ref="M632:U632" si="113">M499</f>
        <v>0</v>
      </c>
      <c r="N632" s="2009">
        <f t="shared" si="113"/>
        <v>0</v>
      </c>
      <c r="O632" s="2009">
        <f t="shared" si="113"/>
        <v>0</v>
      </c>
      <c r="P632" s="2009">
        <f t="shared" si="113"/>
        <v>1508491400</v>
      </c>
      <c r="Q632" s="2009"/>
      <c r="R632" s="3657">
        <f t="shared" si="113"/>
        <v>0</v>
      </c>
      <c r="S632" s="3002"/>
      <c r="T632" s="3002"/>
      <c r="U632" s="2009">
        <f t="shared" si="113"/>
        <v>0</v>
      </c>
    </row>
    <row r="633" spans="1:31" s="1846" customFormat="1" ht="12.55">
      <c r="A633" s="2015"/>
      <c r="B633" s="2015"/>
      <c r="C633" s="2016"/>
      <c r="D633" s="2016"/>
      <c r="E633" s="2016"/>
      <c r="F633" s="2017" t="s">
        <v>50</v>
      </c>
      <c r="G633" s="2017"/>
      <c r="H633" s="2018"/>
      <c r="I633" s="2047"/>
      <c r="J633" s="2047"/>
      <c r="K633" s="2047"/>
      <c r="L633" s="2048"/>
      <c r="M633" s="2048"/>
      <c r="N633" s="2048"/>
      <c r="O633" s="2048"/>
      <c r="P633" s="2048"/>
      <c r="Q633" s="2048"/>
      <c r="R633" s="3658"/>
      <c r="S633" s="3003"/>
      <c r="T633" s="3003"/>
      <c r="U633" s="2048"/>
      <c r="W633" s="1844"/>
      <c r="X633" s="1844"/>
      <c r="Y633" s="1844"/>
      <c r="Z633" s="1844"/>
      <c r="AA633" s="1844"/>
      <c r="AB633" s="1844"/>
      <c r="AC633" s="1844"/>
      <c r="AD633" s="1844"/>
      <c r="AE633" s="1844"/>
    </row>
    <row r="634" spans="1:31" s="1846" customFormat="1">
      <c r="A634" s="1843"/>
      <c r="B634" s="1843"/>
      <c r="C634" s="1844"/>
      <c r="D634" s="1844"/>
      <c r="E634" s="1844"/>
      <c r="F634" s="2019"/>
      <c r="G634" s="2019"/>
      <c r="H634" s="1843"/>
      <c r="I634" s="1844"/>
      <c r="J634" s="1844"/>
      <c r="K634" s="1844"/>
      <c r="L634" s="1844"/>
      <c r="M634" s="1844"/>
      <c r="N634" s="1844"/>
      <c r="O634" s="1844"/>
      <c r="P634" s="1844"/>
      <c r="Q634" s="1844"/>
      <c r="R634" s="3649"/>
      <c r="S634" s="2883"/>
      <c r="T634" s="2883"/>
      <c r="U634" s="1844"/>
      <c r="W634" s="1844"/>
      <c r="X634" s="1844"/>
      <c r="Y634" s="1844"/>
      <c r="Z634" s="1844"/>
      <c r="AA634" s="1844"/>
      <c r="AB634" s="1844"/>
      <c r="AC634" s="1844"/>
      <c r="AD634" s="1844"/>
      <c r="AE634" s="1844"/>
    </row>
    <row r="635" spans="1:31" s="1846" customFormat="1">
      <c r="A635" s="1843"/>
      <c r="B635" s="1843"/>
      <c r="C635" s="1844"/>
      <c r="D635" s="1844"/>
      <c r="E635" s="1844"/>
      <c r="F635" s="2019"/>
      <c r="G635" s="2019"/>
      <c r="H635" s="1843"/>
      <c r="I635" s="1844"/>
      <c r="J635" s="1844"/>
      <c r="K635" s="1844"/>
      <c r="L635" s="1982" t="s">
        <v>665</v>
      </c>
      <c r="M635" s="1982"/>
      <c r="N635" s="1982" t="s">
        <v>666</v>
      </c>
      <c r="O635" s="1844"/>
      <c r="P635" s="1844"/>
      <c r="Q635" s="1844"/>
      <c r="R635" s="3649"/>
      <c r="S635" s="2883"/>
      <c r="T635" s="2883"/>
      <c r="U635" s="1844"/>
      <c r="W635" s="1844"/>
      <c r="X635" s="1844"/>
      <c r="Y635" s="1844"/>
      <c r="Z635" s="1844"/>
      <c r="AA635" s="1844"/>
      <c r="AB635" s="1844"/>
      <c r="AC635" s="1844"/>
      <c r="AD635" s="1844"/>
      <c r="AE635" s="1844"/>
    </row>
    <row r="636" spans="1:31" s="1846" customFormat="1" ht="16.45" customHeight="1">
      <c r="A636" s="2020"/>
      <c r="B636" s="2020"/>
      <c r="C636" s="2021"/>
      <c r="D636" s="2021"/>
      <c r="E636" s="2021"/>
      <c r="F636" s="2022"/>
      <c r="G636" s="2022"/>
      <c r="H636" s="5802" t="s">
        <v>683</v>
      </c>
      <c r="I636" s="5803"/>
      <c r="J636" s="2049"/>
      <c r="K636" s="2049"/>
      <c r="L636" s="2050">
        <f>SUM(L637:L648)</f>
        <v>0</v>
      </c>
      <c r="M636" s="2050">
        <f>SUM(M637:M648)</f>
        <v>10809500</v>
      </c>
      <c r="N636" s="2050">
        <f>SUM(N637:N648)</f>
        <v>0</v>
      </c>
      <c r="O636" s="2050">
        <f>N636+M636</f>
        <v>10809500</v>
      </c>
      <c r="P636" s="2050" t="e">
        <f>P637+#REF!+P639+P641+P644+P647+P648+P645</f>
        <v>#REF!</v>
      </c>
      <c r="Q636" s="2050"/>
      <c r="R636" s="3659" t="e">
        <f>R637+#REF!+R639+R641+R644+R647+R648</f>
        <v>#REF!</v>
      </c>
      <c r="S636" s="3735"/>
      <c r="T636" s="3735"/>
      <c r="U636" s="1831"/>
      <c r="W636" s="1844"/>
      <c r="X636" s="1844"/>
      <c r="Y636" s="1844"/>
      <c r="Z636" s="1844"/>
      <c r="AA636" s="1844"/>
      <c r="AB636" s="1844"/>
      <c r="AC636" s="1844"/>
      <c r="AD636" s="1844"/>
      <c r="AE636" s="1844"/>
    </row>
    <row r="637" spans="1:31" s="1846" customFormat="1">
      <c r="A637" s="2023"/>
      <c r="B637" s="2023"/>
      <c r="C637" s="2007"/>
      <c r="D637" s="2007"/>
      <c r="E637" s="2007"/>
      <c r="F637" s="2024" t="s">
        <v>50</v>
      </c>
      <c r="G637" s="2025"/>
      <c r="H637" s="2026" t="s">
        <v>684</v>
      </c>
      <c r="I637" s="2051"/>
      <c r="J637" s="2051"/>
      <c r="K637" s="2051"/>
      <c r="L637" s="2052">
        <f>L470</f>
        <v>0</v>
      </c>
      <c r="M637" s="2052">
        <f>M470</f>
        <v>0</v>
      </c>
      <c r="N637" s="2052">
        <f>N470</f>
        <v>0</v>
      </c>
      <c r="O637" s="2052">
        <f>O470</f>
        <v>0</v>
      </c>
      <c r="P637" s="2052">
        <f>P470</f>
        <v>0</v>
      </c>
      <c r="Q637" s="2052"/>
      <c r="R637" s="3660">
        <f>R470</f>
        <v>0</v>
      </c>
      <c r="S637" s="2998"/>
      <c r="T637" s="2998"/>
      <c r="U637" s="1996">
        <f>U470</f>
        <v>0</v>
      </c>
      <c r="W637" s="1844"/>
      <c r="X637" s="1844"/>
      <c r="Y637" s="1844"/>
      <c r="Z637" s="1844"/>
      <c r="AA637" s="1844"/>
      <c r="AB637" s="1844"/>
      <c r="AC637" s="1844"/>
      <c r="AD637" s="1844"/>
      <c r="AE637" s="1844"/>
    </row>
    <row r="638" spans="1:31" s="1846" customFormat="1">
      <c r="A638" s="2027"/>
      <c r="B638" s="2027"/>
      <c r="C638" s="2028"/>
      <c r="D638" s="2028"/>
      <c r="E638" s="2028"/>
      <c r="F638" s="1953" t="s">
        <v>50</v>
      </c>
      <c r="G638" s="2029"/>
      <c r="H638" s="2030" t="s">
        <v>685</v>
      </c>
      <c r="I638" s="2053"/>
      <c r="J638" s="2053"/>
      <c r="K638" s="2053"/>
      <c r="L638" s="2054">
        <v>0</v>
      </c>
      <c r="M638" s="2054">
        <f>M469</f>
        <v>0</v>
      </c>
      <c r="N638" s="2054">
        <f>N469</f>
        <v>0</v>
      </c>
      <c r="O638" s="2054">
        <f>O469</f>
        <v>0</v>
      </c>
      <c r="P638" s="2054">
        <f>P469</f>
        <v>198040000</v>
      </c>
      <c r="Q638" s="2054"/>
      <c r="R638" s="3661">
        <f>R469</f>
        <v>0</v>
      </c>
      <c r="S638" s="3736"/>
      <c r="T638" s="3736"/>
      <c r="U638" s="1996"/>
      <c r="W638" s="1844"/>
      <c r="X638" s="1844"/>
      <c r="Y638" s="1844"/>
      <c r="Z638" s="1844"/>
      <c r="AA638" s="1844"/>
      <c r="AB638" s="1844"/>
      <c r="AC638" s="1844"/>
      <c r="AD638" s="1844"/>
      <c r="AE638" s="1844"/>
    </row>
    <row r="639" spans="1:31" s="1846" customFormat="1" ht="15.05">
      <c r="A639" s="1951"/>
      <c r="B639" s="1951"/>
      <c r="C639" s="1952"/>
      <c r="D639" s="1952"/>
      <c r="E639" s="1952"/>
      <c r="F639" s="1953" t="s">
        <v>50</v>
      </c>
      <c r="G639" s="1953"/>
      <c r="H639" s="1960" t="s">
        <v>570</v>
      </c>
      <c r="I639" s="1989"/>
      <c r="J639" s="1989"/>
      <c r="K639" s="1989"/>
      <c r="L639" s="1988">
        <f t="shared" ref="L639:R639" si="114">L525</f>
        <v>0</v>
      </c>
      <c r="M639" s="1988">
        <f t="shared" si="114"/>
        <v>10809500</v>
      </c>
      <c r="N639" s="1988">
        <f t="shared" si="114"/>
        <v>0</v>
      </c>
      <c r="O639" s="1988">
        <f t="shared" si="114"/>
        <v>10809500</v>
      </c>
      <c r="P639" s="1988">
        <f t="shared" si="114"/>
        <v>0</v>
      </c>
      <c r="Q639" s="1988"/>
      <c r="R639" s="3651">
        <f t="shared" si="114"/>
        <v>0</v>
      </c>
      <c r="S639" s="2998"/>
      <c r="T639" s="2998"/>
      <c r="U639" s="1996"/>
      <c r="W639" s="1844"/>
      <c r="X639" s="1844"/>
      <c r="Y639" s="1844"/>
      <c r="Z639" s="1844"/>
      <c r="AA639" s="1844"/>
      <c r="AB639" s="1844"/>
      <c r="AC639" s="1844"/>
      <c r="AD639" s="1844"/>
      <c r="AE639" s="1844"/>
    </row>
    <row r="640" spans="1:31" s="1846" customFormat="1" ht="15.05">
      <c r="A640" s="1951"/>
      <c r="B640" s="1951"/>
      <c r="C640" s="1952"/>
      <c r="D640" s="1952"/>
      <c r="E640" s="1952"/>
      <c r="F640" s="1953" t="s">
        <v>50</v>
      </c>
      <c r="G640" s="2031"/>
      <c r="H640" s="1960" t="s">
        <v>686</v>
      </c>
      <c r="I640" s="1989"/>
      <c r="J640" s="1989"/>
      <c r="K640" s="1989"/>
      <c r="L640" s="1988">
        <f>L518</f>
        <v>0</v>
      </c>
      <c r="M640" s="1988">
        <f t="shared" ref="M640:U640" si="115">M518</f>
        <v>0</v>
      </c>
      <c r="N640" s="1988">
        <f t="shared" si="115"/>
        <v>0</v>
      </c>
      <c r="O640" s="1988">
        <f t="shared" si="115"/>
        <v>0</v>
      </c>
      <c r="P640" s="1988">
        <f t="shared" si="115"/>
        <v>0</v>
      </c>
      <c r="Q640" s="1988"/>
      <c r="R640" s="3651">
        <f t="shared" si="115"/>
        <v>0</v>
      </c>
      <c r="S640" s="2996"/>
      <c r="T640" s="2996"/>
      <c r="U640" s="1988">
        <f t="shared" si="115"/>
        <v>0</v>
      </c>
      <c r="W640" s="1844"/>
      <c r="X640" s="1844"/>
      <c r="Y640" s="1844"/>
      <c r="Z640" s="1844"/>
      <c r="AA640" s="1844"/>
      <c r="AB640" s="1844"/>
      <c r="AC640" s="1844"/>
      <c r="AD640" s="1844"/>
      <c r="AE640" s="1844"/>
    </row>
    <row r="641" spans="1:31" s="1846" customFormat="1">
      <c r="A641" s="1951"/>
      <c r="B641" s="1951"/>
      <c r="C641" s="1952"/>
      <c r="D641" s="1952"/>
      <c r="E641" s="1952"/>
      <c r="F641" s="1953" t="s">
        <v>50</v>
      </c>
      <c r="G641" s="2031"/>
      <c r="H641" s="2032" t="s">
        <v>687</v>
      </c>
      <c r="I641" s="1989"/>
      <c r="J641" s="1989"/>
      <c r="K641" s="1989"/>
      <c r="L641" s="1988">
        <f>L520</f>
        <v>0</v>
      </c>
      <c r="M641" s="1988">
        <f t="shared" ref="M641:U641" si="116">M520</f>
        <v>0</v>
      </c>
      <c r="N641" s="1988">
        <f t="shared" si="116"/>
        <v>0</v>
      </c>
      <c r="O641" s="1988">
        <f t="shared" si="116"/>
        <v>0</v>
      </c>
      <c r="P641" s="1988">
        <f t="shared" si="116"/>
        <v>0</v>
      </c>
      <c r="Q641" s="1988"/>
      <c r="R641" s="3651">
        <f t="shared" si="116"/>
        <v>0</v>
      </c>
      <c r="S641" s="2998"/>
      <c r="T641" s="2998"/>
      <c r="U641" s="1996">
        <f t="shared" si="116"/>
        <v>0</v>
      </c>
      <c r="W641" s="1844"/>
      <c r="X641" s="1844"/>
      <c r="Y641" s="1844"/>
      <c r="Z641" s="1844"/>
      <c r="AA641" s="1844"/>
      <c r="AB641" s="1844"/>
      <c r="AC641" s="1844"/>
      <c r="AD641" s="1844"/>
      <c r="AE641" s="1844"/>
    </row>
    <row r="642" spans="1:31" s="1846" customFormat="1" ht="15.05">
      <c r="A642" s="1951"/>
      <c r="B642" s="1951"/>
      <c r="C642" s="1952"/>
      <c r="D642" s="1952"/>
      <c r="E642" s="1952"/>
      <c r="F642" s="1953"/>
      <c r="G642" s="2031"/>
      <c r="H642" s="1960" t="s">
        <v>688</v>
      </c>
      <c r="I642" s="1989"/>
      <c r="J642" s="1989"/>
      <c r="K642" s="1989"/>
      <c r="L642" s="1988">
        <f>L512</f>
        <v>0</v>
      </c>
      <c r="M642" s="1988">
        <f t="shared" ref="M642:R642" si="117">M512</f>
        <v>0</v>
      </c>
      <c r="N642" s="1988">
        <f t="shared" si="117"/>
        <v>0</v>
      </c>
      <c r="O642" s="1988">
        <f t="shared" si="117"/>
        <v>0</v>
      </c>
      <c r="P642" s="1988">
        <f t="shared" si="117"/>
        <v>0</v>
      </c>
      <c r="Q642" s="1988"/>
      <c r="R642" s="3651">
        <f t="shared" si="117"/>
        <v>0</v>
      </c>
      <c r="S642" s="2998"/>
      <c r="T642" s="2998"/>
      <c r="U642" s="1996"/>
      <c r="W642" s="1844"/>
      <c r="X642" s="1844"/>
      <c r="Y642" s="1844"/>
      <c r="Z642" s="1844"/>
      <c r="AA642" s="1844"/>
      <c r="AB642" s="1844"/>
      <c r="AC642" s="1844"/>
      <c r="AD642" s="1844"/>
      <c r="AE642" s="1844"/>
    </row>
    <row r="643" spans="1:31" s="1846" customFormat="1" ht="15.05">
      <c r="A643" s="1951"/>
      <c r="B643" s="1951"/>
      <c r="C643" s="1952"/>
      <c r="D643" s="1952"/>
      <c r="E643" s="1952"/>
      <c r="F643" s="1953" t="s">
        <v>50</v>
      </c>
      <c r="G643" s="2031"/>
      <c r="H643" s="1960" t="s">
        <v>689</v>
      </c>
      <c r="I643" s="1989"/>
      <c r="J643" s="1989"/>
      <c r="K643" s="1989"/>
      <c r="L643" s="1988">
        <f>L514</f>
        <v>0</v>
      </c>
      <c r="M643" s="1988">
        <f t="shared" ref="M643:U643" si="118">M514</f>
        <v>0</v>
      </c>
      <c r="N643" s="1988">
        <f t="shared" si="118"/>
        <v>0</v>
      </c>
      <c r="O643" s="1988">
        <f t="shared" si="118"/>
        <v>0</v>
      </c>
      <c r="P643" s="1988">
        <f t="shared" si="118"/>
        <v>0</v>
      </c>
      <c r="Q643" s="1988"/>
      <c r="R643" s="3651">
        <f t="shared" si="118"/>
        <v>0</v>
      </c>
      <c r="S643" s="2998"/>
      <c r="T643" s="2998"/>
      <c r="U643" s="1996">
        <f t="shared" si="118"/>
        <v>0</v>
      </c>
      <c r="W643" s="1844"/>
      <c r="X643" s="1844"/>
      <c r="Y643" s="1844"/>
      <c r="Z643" s="1844"/>
      <c r="AA643" s="1844"/>
      <c r="AB643" s="1844"/>
      <c r="AC643" s="1844"/>
      <c r="AD643" s="1844"/>
      <c r="AE643" s="1844"/>
    </row>
    <row r="644" spans="1:31" s="1846" customFormat="1" ht="15.05">
      <c r="A644" s="1951"/>
      <c r="B644" s="1951"/>
      <c r="C644" s="1952"/>
      <c r="D644" s="1952"/>
      <c r="E644" s="1952"/>
      <c r="F644" s="1953"/>
      <c r="G644" s="2031"/>
      <c r="H644" s="1960" t="s">
        <v>690</v>
      </c>
      <c r="I644" s="1989"/>
      <c r="J644" s="1989"/>
      <c r="K644" s="1989"/>
      <c r="L644" s="1988">
        <f>L553</f>
        <v>0</v>
      </c>
      <c r="M644" s="1988">
        <f t="shared" ref="M644:U644" si="119">M553</f>
        <v>0</v>
      </c>
      <c r="N644" s="1988">
        <f t="shared" si="119"/>
        <v>0</v>
      </c>
      <c r="O644" s="1988">
        <f t="shared" si="119"/>
        <v>0</v>
      </c>
      <c r="P644" s="1988">
        <f t="shared" si="119"/>
        <v>0</v>
      </c>
      <c r="Q644" s="1988"/>
      <c r="R644" s="3651">
        <f t="shared" si="119"/>
        <v>0</v>
      </c>
      <c r="S644" s="2998"/>
      <c r="T644" s="2998"/>
      <c r="U644" s="1996">
        <f t="shared" si="119"/>
        <v>0</v>
      </c>
      <c r="W644" s="1844"/>
      <c r="X644" s="1844"/>
      <c r="Y644" s="1844"/>
      <c r="Z644" s="1844"/>
      <c r="AA644" s="1844"/>
      <c r="AB644" s="1844"/>
      <c r="AC644" s="1844"/>
      <c r="AD644" s="1844"/>
      <c r="AE644" s="1844"/>
    </row>
    <row r="645" spans="1:31" s="1846" customFormat="1" ht="15.05">
      <c r="A645" s="1951"/>
      <c r="B645" s="1951"/>
      <c r="C645" s="1952"/>
      <c r="D645" s="1952"/>
      <c r="E645" s="1952"/>
      <c r="F645" s="1953"/>
      <c r="G645" s="2031"/>
      <c r="H645" s="1960" t="s">
        <v>691</v>
      </c>
      <c r="I645" s="1989"/>
      <c r="J645" s="1989"/>
      <c r="K645" s="1989"/>
      <c r="L645" s="1988">
        <f>L557</f>
        <v>0</v>
      </c>
      <c r="M645" s="1988">
        <f t="shared" ref="M645:R645" si="120">M557</f>
        <v>0</v>
      </c>
      <c r="N645" s="1988">
        <f t="shared" si="120"/>
        <v>0</v>
      </c>
      <c r="O645" s="1988">
        <f t="shared" si="120"/>
        <v>0</v>
      </c>
      <c r="P645" s="1988">
        <f t="shared" si="120"/>
        <v>0</v>
      </c>
      <c r="Q645" s="1988"/>
      <c r="R645" s="3651">
        <f t="shared" si="120"/>
        <v>0</v>
      </c>
      <c r="S645" s="2998"/>
      <c r="T645" s="2998"/>
      <c r="U645" s="1996"/>
      <c r="W645" s="1844"/>
      <c r="X645" s="1844"/>
      <c r="Y645" s="1844"/>
      <c r="Z645" s="1844"/>
      <c r="AA645" s="1844"/>
      <c r="AB645" s="1844"/>
      <c r="AC645" s="1844"/>
      <c r="AD645" s="1844"/>
      <c r="AE645" s="1844"/>
    </row>
    <row r="646" spans="1:31" s="1846" customFormat="1" ht="15.05">
      <c r="A646" s="1951"/>
      <c r="B646" s="1951"/>
      <c r="C646" s="1952"/>
      <c r="D646" s="1952"/>
      <c r="E646" s="1952"/>
      <c r="F646" s="1953"/>
      <c r="G646" s="2031"/>
      <c r="H646" s="1960" t="s">
        <v>651</v>
      </c>
      <c r="I646" s="1989"/>
      <c r="J646" s="1989"/>
      <c r="K646" s="1989"/>
      <c r="L646" s="1988">
        <f t="shared" ref="L646:R646" si="121">L572</f>
        <v>0</v>
      </c>
      <c r="M646" s="1988">
        <f t="shared" si="121"/>
        <v>0</v>
      </c>
      <c r="N646" s="1988">
        <f t="shared" si="121"/>
        <v>0</v>
      </c>
      <c r="O646" s="1988">
        <f t="shared" si="121"/>
        <v>0</v>
      </c>
      <c r="P646" s="1988">
        <f t="shared" si="121"/>
        <v>0</v>
      </c>
      <c r="Q646" s="1988"/>
      <c r="R646" s="3651">
        <f t="shared" si="121"/>
        <v>0</v>
      </c>
      <c r="S646" s="2998"/>
      <c r="T646" s="2998"/>
      <c r="U646" s="1996"/>
      <c r="W646" s="1844"/>
      <c r="X646" s="1844"/>
      <c r="Y646" s="1844"/>
      <c r="Z646" s="1844"/>
      <c r="AA646" s="1844"/>
      <c r="AB646" s="1844"/>
      <c r="AC646" s="1844"/>
      <c r="AD646" s="1844"/>
      <c r="AE646" s="1844"/>
    </row>
    <row r="647" spans="1:31" s="1846" customFormat="1" ht="15.05">
      <c r="A647" s="1951"/>
      <c r="B647" s="1951"/>
      <c r="C647" s="1952"/>
      <c r="D647" s="1952"/>
      <c r="E647" s="1952"/>
      <c r="F647" s="2758" t="s">
        <v>50</v>
      </c>
      <c r="G647" s="2031"/>
      <c r="H647" s="2033" t="s">
        <v>692</v>
      </c>
      <c r="I647" s="1989"/>
      <c r="J647" s="1989"/>
      <c r="K647" s="1989"/>
      <c r="L647" s="2055">
        <f>L479</f>
        <v>0</v>
      </c>
      <c r="M647" s="2055">
        <f>M479</f>
        <v>0</v>
      </c>
      <c r="N647" s="2055">
        <f>N479</f>
        <v>0</v>
      </c>
      <c r="O647" s="2055">
        <f>O479</f>
        <v>0</v>
      </c>
      <c r="P647" s="2055">
        <f>P479</f>
        <v>0</v>
      </c>
      <c r="Q647" s="2055"/>
      <c r="R647" s="3651">
        <f>R479</f>
        <v>0</v>
      </c>
      <c r="S647" s="2998"/>
      <c r="T647" s="2998"/>
      <c r="U647" s="2068">
        <f>U479</f>
        <v>0</v>
      </c>
      <c r="W647" s="1844"/>
      <c r="X647" s="1844"/>
      <c r="Y647" s="1844"/>
      <c r="Z647" s="1844"/>
      <c r="AA647" s="1844"/>
      <c r="AB647" s="1844"/>
      <c r="AC647" s="1844"/>
      <c r="AD647" s="1844"/>
      <c r="AE647" s="1844"/>
    </row>
    <row r="648" spans="1:31" s="1846" customFormat="1" ht="15.05">
      <c r="A648" s="2015"/>
      <c r="B648" s="2015"/>
      <c r="C648" s="2016"/>
      <c r="D648" s="2016"/>
      <c r="E648" s="2016"/>
      <c r="F648" s="2017" t="s">
        <v>50</v>
      </c>
      <c r="G648" s="2034"/>
      <c r="H648" s="2035" t="s">
        <v>693</v>
      </c>
      <c r="I648" s="2056"/>
      <c r="J648" s="2056"/>
      <c r="K648" s="2056"/>
      <c r="L648" s="2057">
        <f t="shared" ref="L648:R648" si="122">L563</f>
        <v>0</v>
      </c>
      <c r="M648" s="2057">
        <f t="shared" si="122"/>
        <v>0</v>
      </c>
      <c r="N648" s="2057">
        <f t="shared" si="122"/>
        <v>0</v>
      </c>
      <c r="O648" s="2057">
        <f t="shared" si="122"/>
        <v>0</v>
      </c>
      <c r="P648" s="2057">
        <f t="shared" si="122"/>
        <v>0</v>
      </c>
      <c r="Q648" s="2057"/>
      <c r="R648" s="3662">
        <f t="shared" si="122"/>
        <v>0</v>
      </c>
      <c r="S648" s="3737"/>
      <c r="T648" s="3737"/>
      <c r="U648" s="1844"/>
      <c r="W648" s="1844"/>
      <c r="X648" s="1844"/>
      <c r="Y648" s="1844"/>
      <c r="Z648" s="1844"/>
      <c r="AA648" s="1844"/>
      <c r="AB648" s="1844"/>
      <c r="AC648" s="1844"/>
      <c r="AD648" s="1844"/>
      <c r="AE648" s="1844"/>
    </row>
    <row r="649" spans="1:31" s="1846" customFormat="1">
      <c r="A649" s="1843"/>
      <c r="B649" s="1843"/>
      <c r="C649" s="1844"/>
      <c r="D649" s="1844"/>
      <c r="E649" s="1844"/>
      <c r="F649" s="1845"/>
      <c r="G649" s="1845"/>
      <c r="H649" s="1844"/>
      <c r="I649" s="1844"/>
      <c r="J649" s="1844"/>
      <c r="K649" s="1844"/>
      <c r="L649" s="1844"/>
      <c r="M649" s="1844"/>
      <c r="N649" s="1844"/>
      <c r="O649" s="1844"/>
      <c r="P649" s="1844"/>
      <c r="Q649" s="1844"/>
      <c r="R649" s="3649"/>
      <c r="S649" s="2883"/>
      <c r="T649" s="2883"/>
      <c r="U649" s="2069" t="s">
        <v>694</v>
      </c>
      <c r="W649" s="1844"/>
      <c r="X649" s="1844"/>
      <c r="Y649" s="1844"/>
      <c r="Z649" s="1844"/>
      <c r="AA649" s="1844"/>
      <c r="AB649" s="1844"/>
      <c r="AC649" s="1844"/>
      <c r="AD649" s="1844"/>
      <c r="AE649" s="1844"/>
    </row>
    <row r="650" spans="1:31" s="1846" customFormat="1" ht="15.05">
      <c r="A650" s="2020"/>
      <c r="B650" s="2020"/>
      <c r="C650" s="2021"/>
      <c r="D650" s="2021"/>
      <c r="E650" s="2021"/>
      <c r="F650" s="2036"/>
      <c r="G650" s="2036"/>
      <c r="H650" s="2036" t="s">
        <v>695</v>
      </c>
      <c r="I650" s="2058"/>
      <c r="J650" s="2058"/>
      <c r="K650" s="2058"/>
      <c r="L650" s="2059" t="e">
        <f>SUM(L651:L653)</f>
        <v>#REF!</v>
      </c>
      <c r="M650" s="2059" t="e">
        <f>SUM(M651:M653)</f>
        <v>#REF!</v>
      </c>
      <c r="N650" s="2059" t="e">
        <f>SUM(N651:N653)</f>
        <v>#REF!</v>
      </c>
      <c r="O650" s="2059" t="e">
        <f>N650+M650</f>
        <v>#REF!</v>
      </c>
      <c r="P650" s="2059" t="e">
        <f>SUM(P651:P652)</f>
        <v>#REF!</v>
      </c>
      <c r="Q650" s="2059"/>
      <c r="R650" s="3663" t="e">
        <f>O650/L650*100</f>
        <v>#REF!</v>
      </c>
      <c r="S650" s="3738"/>
      <c r="T650" s="3738"/>
      <c r="U650" s="1844"/>
      <c r="W650" s="1844"/>
      <c r="X650" s="1844"/>
      <c r="Y650" s="1844"/>
      <c r="Z650" s="1844"/>
      <c r="AA650" s="1844"/>
      <c r="AB650" s="1844"/>
      <c r="AC650" s="1844"/>
      <c r="AD650" s="1844"/>
      <c r="AE650" s="1844"/>
    </row>
    <row r="651" spans="1:31" s="1846" customFormat="1">
      <c r="A651" s="1951"/>
      <c r="B651" s="1951"/>
      <c r="C651" s="1952"/>
      <c r="D651" s="1952"/>
      <c r="E651" s="1952"/>
      <c r="F651" s="1953" t="s">
        <v>50</v>
      </c>
      <c r="G651" s="1953"/>
      <c r="H651" s="2032" t="s">
        <v>696</v>
      </c>
      <c r="I651" s="1989"/>
      <c r="J651" s="1989"/>
      <c r="K651" s="1989"/>
      <c r="L651" s="1988">
        <f>L383</f>
        <v>125000000000</v>
      </c>
      <c r="M651" s="1988">
        <f>M383</f>
        <v>19046122482.029999</v>
      </c>
      <c r="N651" s="1988">
        <f>N383</f>
        <v>12944839389.030001</v>
      </c>
      <c r="O651" s="2060">
        <f>O383</f>
        <v>31990961871.060001</v>
      </c>
      <c r="P651" s="1988">
        <f>P383</f>
        <v>141100000000</v>
      </c>
      <c r="Q651" s="1988"/>
      <c r="R651" s="3664">
        <f>O651/L651*100</f>
        <v>25.592769496848</v>
      </c>
      <c r="S651" s="3739"/>
      <c r="T651" s="3739"/>
      <c r="U651" s="1844"/>
      <c r="W651" s="1844"/>
      <c r="X651" s="1844"/>
      <c r="Y651" s="1844"/>
      <c r="Z651" s="1844"/>
      <c r="AA651" s="1844"/>
      <c r="AB651" s="1844"/>
      <c r="AC651" s="1844"/>
      <c r="AD651" s="1844"/>
      <c r="AE651" s="1844"/>
    </row>
    <row r="652" spans="1:31" s="1846" customFormat="1">
      <c r="A652" s="1951"/>
      <c r="B652" s="1951"/>
      <c r="C652" s="1952"/>
      <c r="D652" s="1952"/>
      <c r="E652" s="1952"/>
      <c r="F652" s="1953"/>
      <c r="G652" s="1953"/>
      <c r="H652" s="2032" t="s">
        <v>697</v>
      </c>
      <c r="I652" s="1989"/>
      <c r="J652" s="1989"/>
      <c r="K652" s="1989"/>
      <c r="L652" s="1988" t="e">
        <f>#REF!</f>
        <v>#REF!</v>
      </c>
      <c r="M652" s="1988" t="e">
        <f>#REF!</f>
        <v>#REF!</v>
      </c>
      <c r="N652" s="1988" t="e">
        <f>#REF!</f>
        <v>#REF!</v>
      </c>
      <c r="O652" s="1988" t="e">
        <f>#REF!</f>
        <v>#REF!</v>
      </c>
      <c r="P652" s="1988" t="e">
        <f>#REF!</f>
        <v>#REF!</v>
      </c>
      <c r="Q652" s="1988"/>
      <c r="R652" s="3651" t="e">
        <f>O652/L652*100</f>
        <v>#REF!</v>
      </c>
      <c r="S652" s="3737"/>
      <c r="T652" s="3737"/>
      <c r="U652" s="1844"/>
      <c r="W652" s="1844"/>
      <c r="X652" s="1844"/>
      <c r="Y652" s="1844"/>
      <c r="Z652" s="1844"/>
      <c r="AA652" s="1844"/>
      <c r="AB652" s="1844"/>
      <c r="AC652" s="1844"/>
      <c r="AD652" s="1844"/>
      <c r="AE652" s="1844"/>
    </row>
    <row r="653" spans="1:31" s="1846" customFormat="1">
      <c r="A653" s="2015"/>
      <c r="B653" s="2015"/>
      <c r="C653" s="2016"/>
      <c r="D653" s="2016"/>
      <c r="E653" s="2016"/>
      <c r="F653" s="2017" t="s">
        <v>50</v>
      </c>
      <c r="G653" s="2034"/>
      <c r="H653" s="2037" t="s">
        <v>88</v>
      </c>
      <c r="I653" s="2056"/>
      <c r="J653" s="2056"/>
      <c r="K653" s="2056"/>
      <c r="L653" s="2057" t="e">
        <f>#REF!</f>
        <v>#REF!</v>
      </c>
      <c r="M653" s="2057" t="e">
        <f>#REF!</f>
        <v>#REF!</v>
      </c>
      <c r="N653" s="2057" t="e">
        <f>#REF!</f>
        <v>#REF!</v>
      </c>
      <c r="O653" s="2061" t="e">
        <f>#REF!</f>
        <v>#REF!</v>
      </c>
      <c r="P653" s="2061" t="e">
        <f>#REF!</f>
        <v>#REF!</v>
      </c>
      <c r="Q653" s="2061"/>
      <c r="R653" s="3665"/>
      <c r="S653" s="2883"/>
      <c r="T653" s="2883"/>
      <c r="U653" s="1844"/>
      <c r="W653" s="1844"/>
      <c r="X653" s="1844"/>
      <c r="Y653" s="1844"/>
      <c r="Z653" s="1844"/>
      <c r="AA653" s="1844"/>
      <c r="AB653" s="1844"/>
      <c r="AC653" s="1844"/>
      <c r="AD653" s="1844"/>
      <c r="AE653" s="1844"/>
    </row>
    <row r="655" spans="1:31" s="1846" customFormat="1" ht="15.05">
      <c r="A655" s="2020"/>
      <c r="B655" s="2020"/>
      <c r="C655" s="2021"/>
      <c r="D655" s="2021"/>
      <c r="E655" s="2021"/>
      <c r="F655" s="2038"/>
      <c r="G655" s="2038"/>
      <c r="H655" s="2038" t="s">
        <v>698</v>
      </c>
      <c r="I655" s="2062"/>
      <c r="J655" s="2062"/>
      <c r="K655" s="2062"/>
      <c r="L655" s="2063">
        <f>SUM(L656:L657)</f>
        <v>3123018400</v>
      </c>
      <c r="M655" s="2063">
        <f>SUM(M656:M657)</f>
        <v>457925000</v>
      </c>
      <c r="N655" s="2063">
        <f>SUM(N656:N657)</f>
        <v>274025000</v>
      </c>
      <c r="O655" s="2063">
        <f>N655+M655</f>
        <v>731950000</v>
      </c>
      <c r="P655" s="2063">
        <f>SUM(P656:P657)</f>
        <v>3123018400</v>
      </c>
      <c r="Q655" s="2063"/>
      <c r="R655" s="3666">
        <f>SUM(R656:R657)</f>
        <v>23.437261848985582</v>
      </c>
      <c r="S655" s="3740"/>
      <c r="T655" s="3740"/>
      <c r="U655" s="1844"/>
      <c r="W655" s="1844"/>
      <c r="X655" s="1844"/>
      <c r="Y655" s="1844"/>
      <c r="Z655" s="1844"/>
      <c r="AA655" s="1844"/>
      <c r="AB655" s="1844"/>
      <c r="AC655" s="1844"/>
      <c r="AD655" s="1844"/>
      <c r="AE655" s="1844"/>
    </row>
    <row r="656" spans="1:31" s="1846" customFormat="1">
      <c r="A656" s="1951"/>
      <c r="B656" s="1951"/>
      <c r="C656" s="1952"/>
      <c r="D656" s="1952"/>
      <c r="E656" s="1952"/>
      <c r="F656" s="1953" t="s">
        <v>50</v>
      </c>
      <c r="G656" s="1953"/>
      <c r="H656" s="2032" t="s">
        <v>699</v>
      </c>
      <c r="I656" s="1989"/>
      <c r="J656" s="1989"/>
      <c r="K656" s="1989"/>
      <c r="L656" s="1988">
        <f>L484</f>
        <v>3123018400</v>
      </c>
      <c r="M656" s="1988">
        <f>M484</f>
        <v>457925000</v>
      </c>
      <c r="N656" s="1988">
        <f>N484</f>
        <v>274025000</v>
      </c>
      <c r="O656" s="1988">
        <f>O484</f>
        <v>731950000</v>
      </c>
      <c r="P656" s="1988">
        <f>P484</f>
        <v>3123018400</v>
      </c>
      <c r="Q656" s="1988"/>
      <c r="R656" s="3651">
        <f>O656/L656*100</f>
        <v>23.437261848985582</v>
      </c>
      <c r="S656" s="3737"/>
      <c r="T656" s="3737"/>
      <c r="U656" s="1844"/>
      <c r="W656" s="1844"/>
      <c r="X656" s="1844"/>
      <c r="Y656" s="1844"/>
      <c r="Z656" s="1844"/>
      <c r="AA656" s="1844"/>
      <c r="AB656" s="1844"/>
      <c r="AC656" s="1844"/>
      <c r="AD656" s="1844"/>
      <c r="AE656" s="1844"/>
    </row>
    <row r="657" spans="1:31" s="1846" customFormat="1">
      <c r="A657" s="2015"/>
      <c r="B657" s="2015"/>
      <c r="C657" s="2016"/>
      <c r="D657" s="2016"/>
      <c r="E657" s="2016"/>
      <c r="F657" s="2017" t="s">
        <v>50</v>
      </c>
      <c r="G657" s="2034"/>
      <c r="H657" s="2039"/>
      <c r="I657" s="2064"/>
      <c r="J657" s="2064"/>
      <c r="K657" s="2064"/>
      <c r="L657" s="2061"/>
      <c r="M657" s="2061"/>
      <c r="N657" s="2061"/>
      <c r="O657" s="2061"/>
      <c r="P657" s="2061"/>
      <c r="Q657" s="2061"/>
      <c r="R657" s="3662"/>
      <c r="S657" s="3737"/>
      <c r="T657" s="3737"/>
      <c r="U657" s="1844"/>
      <c r="W657" s="1844"/>
      <c r="X657" s="1844"/>
      <c r="Y657" s="1844"/>
      <c r="Z657" s="1844"/>
      <c r="AA657" s="1844"/>
      <c r="AB657" s="1844"/>
      <c r="AC657" s="1844"/>
      <c r="AD657" s="1844"/>
      <c r="AE657" s="1844"/>
    </row>
    <row r="660" spans="1:31" s="1846" customFormat="1">
      <c r="A660" s="1843"/>
      <c r="B660" s="1843"/>
      <c r="C660" s="1844"/>
      <c r="D660" s="1844"/>
      <c r="E660" s="1844"/>
      <c r="F660" s="1845"/>
      <c r="G660" s="1845"/>
      <c r="H660" s="1844"/>
      <c r="I660" s="1844"/>
      <c r="J660" s="1844"/>
      <c r="K660" s="1844"/>
      <c r="L660" s="1844"/>
      <c r="M660" s="1844"/>
      <c r="N660" s="1844"/>
      <c r="O660" s="1844"/>
      <c r="P660" s="2065"/>
      <c r="Q660" s="2065"/>
      <c r="R660" s="3649"/>
      <c r="S660" s="2883"/>
      <c r="T660" s="2883"/>
      <c r="U660" s="1844"/>
      <c r="W660" s="1844"/>
      <c r="X660" s="1844"/>
      <c r="Y660" s="1844"/>
      <c r="Z660" s="1844"/>
      <c r="AA660" s="1844"/>
      <c r="AB660" s="1844"/>
      <c r="AC660" s="1844"/>
      <c r="AD660" s="1844"/>
      <c r="AE660" s="1844"/>
    </row>
    <row r="662" spans="1:31" s="1846" customFormat="1">
      <c r="A662" s="1843"/>
      <c r="B662" s="1843"/>
      <c r="C662" s="1844"/>
      <c r="D662" s="1844"/>
      <c r="E662" s="1844"/>
      <c r="F662" s="1845"/>
      <c r="G662" s="1845"/>
      <c r="H662" s="1844"/>
      <c r="I662" s="1844"/>
      <c r="J662" s="1844"/>
      <c r="K662" s="1844"/>
      <c r="L662" s="2065"/>
      <c r="M662" s="1844"/>
      <c r="N662" s="1844"/>
      <c r="O662" s="1844"/>
      <c r="P662" s="1844"/>
      <c r="Q662" s="1844"/>
      <c r="R662" s="3649"/>
      <c r="S662" s="2883"/>
      <c r="T662" s="2883"/>
      <c r="U662" s="1844"/>
      <c r="W662" s="1844"/>
      <c r="X662" s="1844"/>
      <c r="Y662" s="1844"/>
      <c r="Z662" s="1844"/>
      <c r="AA662" s="1844"/>
      <c r="AB662" s="1844"/>
      <c r="AC662" s="1844"/>
      <c r="AD662" s="1844"/>
      <c r="AE662" s="1844"/>
    </row>
    <row r="676" spans="1:22" s="1842" customFormat="1">
      <c r="A676" s="1843"/>
      <c r="B676" s="1843"/>
      <c r="C676" s="1844"/>
      <c r="D676" s="1844"/>
      <c r="E676" s="1844"/>
      <c r="F676" s="1845"/>
      <c r="G676" s="1845"/>
      <c r="H676" s="1844"/>
      <c r="I676" s="1844"/>
      <c r="J676" s="1844"/>
      <c r="K676" s="1844"/>
      <c r="L676" s="1844"/>
      <c r="M676" s="1844"/>
      <c r="N676" s="1844"/>
      <c r="O676" s="1844"/>
      <c r="P676" s="1844"/>
      <c r="Q676" s="1844"/>
      <c r="R676" s="3649"/>
      <c r="S676" s="2883"/>
      <c r="T676" s="2883"/>
      <c r="U676" s="1844"/>
      <c r="V676" s="1846"/>
    </row>
    <row r="677" spans="1:22" s="1842" customFormat="1">
      <c r="A677" s="1843"/>
      <c r="B677" s="1843"/>
      <c r="C677" s="1844"/>
      <c r="D677" s="1844"/>
      <c r="E677" s="1844"/>
      <c r="F677" s="1845"/>
      <c r="G677" s="1845"/>
      <c r="H677" s="1844"/>
      <c r="I677" s="1844"/>
      <c r="J677" s="1844"/>
      <c r="K677" s="1844"/>
      <c r="L677" s="1844"/>
      <c r="M677" s="1844"/>
      <c r="N677" s="1844"/>
      <c r="O677" s="1844"/>
      <c r="P677" s="1844"/>
      <c r="Q677" s="1844"/>
      <c r="R677" s="3649"/>
      <c r="S677" s="2883"/>
      <c r="T677" s="2883"/>
      <c r="U677" s="1844"/>
      <c r="V677" s="1846"/>
    </row>
    <row r="678" spans="1:22" s="1842" customFormat="1">
      <c r="A678" s="1843"/>
      <c r="B678" s="1843"/>
      <c r="C678" s="1844"/>
      <c r="D678" s="1844"/>
      <c r="E678" s="1844"/>
      <c r="F678" s="1845"/>
      <c r="G678" s="1845"/>
      <c r="H678" s="1844"/>
      <c r="I678" s="1844"/>
      <c r="J678" s="1844"/>
      <c r="K678" s="1844"/>
      <c r="L678" s="1844"/>
      <c r="M678" s="1844"/>
      <c r="N678" s="1844"/>
      <c r="O678" s="1844"/>
      <c r="P678" s="1844"/>
      <c r="Q678" s="1844"/>
      <c r="R678" s="3649"/>
      <c r="S678" s="2883"/>
      <c r="T678" s="2883"/>
      <c r="U678" s="1844"/>
      <c r="V678" s="1846"/>
    </row>
    <row r="679" spans="1:22" s="1842" customFormat="1">
      <c r="A679" s="1843"/>
      <c r="B679" s="1843"/>
      <c r="C679" s="1844"/>
      <c r="D679" s="1844"/>
      <c r="E679" s="1844"/>
      <c r="F679" s="1845"/>
      <c r="G679" s="1845"/>
      <c r="H679" s="1844"/>
      <c r="I679" s="1844"/>
      <c r="J679" s="1844"/>
      <c r="K679" s="1844"/>
      <c r="L679" s="1844"/>
      <c r="M679" s="1844"/>
      <c r="N679" s="1844"/>
      <c r="O679" s="1844"/>
      <c r="P679" s="1844"/>
      <c r="Q679" s="1844"/>
      <c r="R679" s="3649"/>
      <c r="S679" s="2883"/>
      <c r="T679" s="2883"/>
      <c r="U679" s="1844"/>
      <c r="V679" s="1846"/>
    </row>
    <row r="680" spans="1:22" s="1842" customFormat="1">
      <c r="A680" s="1843"/>
      <c r="B680" s="1843"/>
      <c r="C680" s="1844"/>
      <c r="D680" s="1844"/>
      <c r="E680" s="1844"/>
      <c r="F680" s="1845"/>
      <c r="G680" s="1845"/>
      <c r="H680" s="1844"/>
      <c r="I680" s="1844"/>
      <c r="J680" s="1844"/>
      <c r="K680" s="1844"/>
      <c r="L680" s="1844"/>
      <c r="M680" s="1844"/>
      <c r="N680" s="1844"/>
      <c r="O680" s="1844"/>
      <c r="P680" s="1844"/>
      <c r="Q680" s="1844"/>
      <c r="R680" s="3649"/>
      <c r="S680" s="2883"/>
      <c r="T680" s="2883"/>
      <c r="U680" s="1844"/>
      <c r="V680" s="1846"/>
    </row>
    <row r="681" spans="1:22" s="1842" customFormat="1">
      <c r="A681" s="1843"/>
      <c r="B681" s="1843"/>
      <c r="C681" s="1844"/>
      <c r="D681" s="1844"/>
      <c r="E681" s="1844"/>
      <c r="F681" s="1845"/>
      <c r="G681" s="1845"/>
      <c r="H681" s="1844"/>
      <c r="I681" s="1844"/>
      <c r="J681" s="1844"/>
      <c r="K681" s="1844"/>
      <c r="L681" s="1844"/>
      <c r="M681" s="1844"/>
      <c r="N681" s="1844"/>
      <c r="O681" s="1844"/>
      <c r="P681" s="1844"/>
      <c r="Q681" s="1844"/>
      <c r="R681" s="3649"/>
      <c r="S681" s="2883"/>
      <c r="T681" s="2883"/>
      <c r="U681" s="1844"/>
      <c r="V681" s="1846"/>
    </row>
    <row r="682" spans="1:22" s="1842" customFormat="1">
      <c r="A682" s="1843"/>
      <c r="B682" s="1843"/>
      <c r="C682" s="1844"/>
      <c r="D682" s="1844"/>
      <c r="E682" s="1844"/>
      <c r="F682" s="1845"/>
      <c r="G682" s="1845"/>
      <c r="H682" s="1844"/>
      <c r="I682" s="1844"/>
      <c r="J682" s="1844"/>
      <c r="K682" s="1844"/>
      <c r="L682" s="1844"/>
      <c r="M682" s="1844"/>
      <c r="N682" s="1844"/>
      <c r="O682" s="1844"/>
      <c r="P682" s="1844"/>
      <c r="Q682" s="1844"/>
      <c r="R682" s="3649"/>
      <c r="S682" s="2883"/>
      <c r="T682" s="2883"/>
      <c r="U682" s="1844"/>
      <c r="V682" s="1846"/>
    </row>
    <row r="683" spans="1:22" s="1842" customFormat="1">
      <c r="A683" s="1843"/>
      <c r="B683" s="1843"/>
      <c r="C683" s="1844"/>
      <c r="D683" s="1844"/>
      <c r="E683" s="1844"/>
      <c r="F683" s="1845"/>
      <c r="G683" s="1845"/>
      <c r="H683" s="1844"/>
      <c r="I683" s="1844"/>
      <c r="J683" s="1844"/>
      <c r="K683" s="1844"/>
      <c r="L683" s="1844"/>
      <c r="M683" s="1844"/>
      <c r="N683" s="1844"/>
      <c r="O683" s="1844"/>
      <c r="P683" s="1844"/>
      <c r="Q683" s="1844"/>
      <c r="R683" s="3649"/>
      <c r="S683" s="2883"/>
      <c r="T683" s="2883"/>
      <c r="U683" s="1844"/>
      <c r="V683" s="1846"/>
    </row>
    <row r="684" spans="1:22" s="1842" customFormat="1">
      <c r="A684" s="1843"/>
      <c r="B684" s="1843"/>
      <c r="C684" s="1844"/>
      <c r="D684" s="1844"/>
      <c r="E684" s="1844"/>
      <c r="F684" s="1845"/>
      <c r="G684" s="1845"/>
      <c r="H684" s="1844"/>
      <c r="I684" s="1844"/>
      <c r="J684" s="1844"/>
      <c r="K684" s="1844"/>
      <c r="L684" s="1844"/>
      <c r="M684" s="1844"/>
      <c r="N684" s="1844"/>
      <c r="O684" s="1844"/>
      <c r="P684" s="1844"/>
      <c r="Q684" s="1844"/>
      <c r="R684" s="3649"/>
      <c r="S684" s="2883"/>
      <c r="T684" s="2883"/>
      <c r="U684" s="1844"/>
      <c r="V684" s="1846"/>
    </row>
    <row r="685" spans="1:22" s="1842" customFormat="1">
      <c r="A685" s="1843"/>
      <c r="B685" s="1843"/>
      <c r="C685" s="1844"/>
      <c r="D685" s="1844"/>
      <c r="E685" s="1844"/>
      <c r="F685" s="1845"/>
      <c r="G685" s="1845"/>
      <c r="H685" s="1844"/>
      <c r="I685" s="1844"/>
      <c r="J685" s="1844"/>
      <c r="K685" s="1844"/>
      <c r="L685" s="1844"/>
      <c r="M685" s="1844"/>
      <c r="N685" s="1844"/>
      <c r="O685" s="1844"/>
      <c r="P685" s="1844"/>
      <c r="Q685" s="1844"/>
      <c r="R685" s="3649"/>
      <c r="S685" s="2883"/>
      <c r="T685" s="2883"/>
      <c r="U685" s="1844"/>
      <c r="V685" s="1846"/>
    </row>
    <row r="686" spans="1:22" s="1842" customFormat="1">
      <c r="A686" s="1843"/>
      <c r="B686" s="1843"/>
      <c r="C686" s="1844"/>
      <c r="D686" s="1844"/>
      <c r="E686" s="1844"/>
      <c r="F686" s="1845"/>
      <c r="G686" s="1845"/>
      <c r="H686" s="1844"/>
      <c r="I686" s="1844"/>
      <c r="J686" s="1844"/>
      <c r="K686" s="1844"/>
      <c r="L686" s="1844"/>
      <c r="M686" s="1844"/>
      <c r="N686" s="1844"/>
      <c r="O686" s="1844"/>
      <c r="P686" s="1844"/>
      <c r="Q686" s="1844"/>
      <c r="R686" s="3649"/>
      <c r="S686" s="2883"/>
      <c r="T686" s="2883"/>
      <c r="U686" s="1844"/>
      <c r="V686" s="1846"/>
    </row>
    <row r="687" spans="1:22" s="1842" customFormat="1">
      <c r="A687" s="1843"/>
      <c r="B687" s="1843"/>
      <c r="C687" s="1844"/>
      <c r="D687" s="1844"/>
      <c r="E687" s="1844"/>
      <c r="F687" s="1845"/>
      <c r="G687" s="1845"/>
      <c r="H687" s="1844"/>
      <c r="I687" s="1844"/>
      <c r="J687" s="1844"/>
      <c r="K687" s="1844"/>
      <c r="L687" s="1844"/>
      <c r="M687" s="1844"/>
      <c r="N687" s="1844"/>
      <c r="O687" s="1844"/>
      <c r="P687" s="1844"/>
      <c r="Q687" s="1844"/>
      <c r="R687" s="3649"/>
      <c r="S687" s="2883"/>
      <c r="T687" s="2883"/>
      <c r="U687" s="1844"/>
      <c r="V687" s="1846"/>
    </row>
    <row r="688" spans="1:22" s="1842" customFormat="1">
      <c r="A688" s="1843"/>
      <c r="B688" s="1843"/>
      <c r="C688" s="1844"/>
      <c r="D688" s="1844"/>
      <c r="E688" s="1844"/>
      <c r="F688" s="1845"/>
      <c r="G688" s="1845"/>
      <c r="H688" s="1844"/>
      <c r="I688" s="1844"/>
      <c r="J688" s="1844"/>
      <c r="K688" s="1844"/>
      <c r="L688" s="1844"/>
      <c r="M688" s="1844"/>
      <c r="N688" s="1844"/>
      <c r="O688" s="1844"/>
      <c r="P688" s="1844"/>
      <c r="Q688" s="1844"/>
      <c r="R688" s="3649"/>
      <c r="S688" s="2883"/>
      <c r="T688" s="2883"/>
      <c r="U688" s="1844"/>
      <c r="V688" s="1846"/>
    </row>
    <row r="689" spans="1:22" s="1842" customFormat="1">
      <c r="A689" s="1843"/>
      <c r="B689" s="1843"/>
      <c r="C689" s="1844"/>
      <c r="D689" s="1844"/>
      <c r="E689" s="1844"/>
      <c r="F689" s="1845"/>
      <c r="G689" s="1845"/>
      <c r="H689" s="1844"/>
      <c r="I689" s="1844"/>
      <c r="J689" s="1844"/>
      <c r="K689" s="1844"/>
      <c r="L689" s="1844"/>
      <c r="M689" s="1844"/>
      <c r="N689" s="1844"/>
      <c r="O689" s="1844"/>
      <c r="P689" s="1844"/>
      <c r="Q689" s="1844"/>
      <c r="R689" s="3649"/>
      <c r="S689" s="2883"/>
      <c r="T689" s="2883"/>
      <c r="U689" s="1844"/>
      <c r="V689" s="1846"/>
    </row>
    <row r="690" spans="1:22" s="1842" customFormat="1">
      <c r="A690" s="1843"/>
      <c r="B690" s="1843"/>
      <c r="C690" s="1844"/>
      <c r="D690" s="1844"/>
      <c r="E690" s="1844"/>
      <c r="F690" s="1845"/>
      <c r="G690" s="1845"/>
      <c r="H690" s="1844"/>
      <c r="I690" s="1844"/>
      <c r="J690" s="1844"/>
      <c r="K690" s="1844"/>
      <c r="L690" s="1844"/>
      <c r="M690" s="1844"/>
      <c r="N690" s="1844"/>
      <c r="O690" s="1844"/>
      <c r="P690" s="1844"/>
      <c r="Q690" s="1844"/>
      <c r="R690" s="3649"/>
      <c r="S690" s="2883"/>
      <c r="T690" s="2883"/>
      <c r="U690" s="1844"/>
      <c r="V690" s="1846"/>
    </row>
    <row r="691" spans="1:22" s="1842" customFormat="1">
      <c r="A691" s="1843"/>
      <c r="B691" s="1843"/>
      <c r="C691" s="1844"/>
      <c r="D691" s="1844"/>
      <c r="E691" s="1844"/>
      <c r="F691" s="1845"/>
      <c r="G691" s="1845"/>
      <c r="H691" s="1844"/>
      <c r="I691" s="1844"/>
      <c r="J691" s="1844"/>
      <c r="K691" s="1844"/>
      <c r="L691" s="1844"/>
      <c r="M691" s="1844"/>
      <c r="N691" s="1844"/>
      <c r="O691" s="1844"/>
      <c r="P691" s="1844"/>
      <c r="Q691" s="1844"/>
      <c r="R691" s="3649"/>
      <c r="S691" s="2883"/>
      <c r="T691" s="2883"/>
      <c r="U691" s="1844"/>
      <c r="V691" s="1846"/>
    </row>
    <row r="692" spans="1:22" s="1842" customFormat="1">
      <c r="A692" s="1843"/>
      <c r="B692" s="1843"/>
      <c r="C692" s="1844"/>
      <c r="D692" s="1844"/>
      <c r="E692" s="1844"/>
      <c r="F692" s="1845"/>
      <c r="G692" s="1845"/>
      <c r="H692" s="1844"/>
      <c r="I692" s="1844"/>
      <c r="J692" s="1844"/>
      <c r="K692" s="1844"/>
      <c r="L692" s="1844"/>
      <c r="M692" s="1844"/>
      <c r="N692" s="1844"/>
      <c r="O692" s="1844"/>
      <c r="P692" s="1844"/>
      <c r="Q692" s="1844"/>
      <c r="R692" s="3649"/>
      <c r="S692" s="2883"/>
      <c r="T692" s="2883"/>
      <c r="U692" s="1844"/>
      <c r="V692" s="1846"/>
    </row>
    <row r="693" spans="1:22" s="1842" customFormat="1">
      <c r="A693" s="1843"/>
      <c r="B693" s="1843"/>
      <c r="C693" s="1844"/>
      <c r="D693" s="1844"/>
      <c r="E693" s="1844"/>
      <c r="F693" s="1845"/>
      <c r="G693" s="1845"/>
      <c r="H693" s="1844"/>
      <c r="I693" s="1844"/>
      <c r="J693" s="1844"/>
      <c r="K693" s="1844"/>
      <c r="L693" s="1844"/>
      <c r="M693" s="1844"/>
      <c r="N693" s="1844"/>
      <c r="O693" s="1844"/>
      <c r="P693" s="1844"/>
      <c r="Q693" s="1844"/>
      <c r="R693" s="3649"/>
      <c r="S693" s="2883"/>
      <c r="T693" s="2883"/>
      <c r="U693" s="1844"/>
      <c r="V693" s="1846"/>
    </row>
    <row r="694" spans="1:22" s="1842" customFormat="1">
      <c r="A694" s="1843"/>
      <c r="B694" s="1843"/>
      <c r="C694" s="1844"/>
      <c r="D694" s="1844"/>
      <c r="E694" s="1844"/>
      <c r="F694" s="1845"/>
      <c r="G694" s="1845"/>
      <c r="H694" s="1844"/>
      <c r="I694" s="1844"/>
      <c r="J694" s="1844"/>
      <c r="K694" s="1844"/>
      <c r="L694" s="1844"/>
      <c r="M694" s="1844"/>
      <c r="N694" s="1844"/>
      <c r="O694" s="1844"/>
      <c r="P694" s="1844"/>
      <c r="Q694" s="1844"/>
      <c r="R694" s="3649"/>
      <c r="S694" s="2883"/>
      <c r="T694" s="2883"/>
      <c r="U694" s="1844"/>
      <c r="V694" s="1846"/>
    </row>
    <row r="695" spans="1:22" s="1842" customFormat="1">
      <c r="A695" s="1843"/>
      <c r="B695" s="1843"/>
      <c r="C695" s="1844"/>
      <c r="D695" s="1844"/>
      <c r="E695" s="1844"/>
      <c r="F695" s="1845"/>
      <c r="G695" s="1845"/>
      <c r="H695" s="1844"/>
      <c r="I695" s="1844"/>
      <c r="J695" s="1844"/>
      <c r="K695" s="1844"/>
      <c r="L695" s="1844"/>
      <c r="M695" s="1844"/>
      <c r="N695" s="1844"/>
      <c r="O695" s="1844"/>
      <c r="P695" s="1844"/>
      <c r="Q695" s="1844"/>
      <c r="R695" s="3649"/>
      <c r="S695" s="2883"/>
      <c r="T695" s="2883"/>
      <c r="U695" s="1844"/>
      <c r="V695" s="1846"/>
    </row>
    <row r="696" spans="1:22" s="1842" customFormat="1">
      <c r="A696" s="1843"/>
      <c r="B696" s="1843"/>
      <c r="C696" s="1844"/>
      <c r="D696" s="1844"/>
      <c r="E696" s="1844"/>
      <c r="F696" s="1845"/>
      <c r="G696" s="1845"/>
      <c r="H696" s="1844"/>
      <c r="I696" s="1844"/>
      <c r="J696" s="1844"/>
      <c r="K696" s="1844"/>
      <c r="L696" s="1844"/>
      <c r="M696" s="1844"/>
      <c r="N696" s="1844"/>
      <c r="O696" s="1844"/>
      <c r="P696" s="1844"/>
      <c r="Q696" s="1844"/>
      <c r="R696" s="3649"/>
      <c r="S696" s="2883"/>
      <c r="T696" s="2883"/>
      <c r="U696" s="1844"/>
      <c r="V696" s="1846"/>
    </row>
    <row r="697" spans="1:22" s="1842" customFormat="1">
      <c r="A697" s="1843"/>
      <c r="B697" s="1843"/>
      <c r="C697" s="1844"/>
      <c r="D697" s="1844"/>
      <c r="E697" s="1844"/>
      <c r="F697" s="1845"/>
      <c r="G697" s="1845"/>
      <c r="H697" s="1844"/>
      <c r="I697" s="1844"/>
      <c r="J697" s="1844"/>
      <c r="K697" s="1844"/>
      <c r="L697" s="1844"/>
      <c r="M697" s="1844"/>
      <c r="N697" s="1844"/>
      <c r="O697" s="1844"/>
      <c r="P697" s="1844"/>
      <c r="Q697" s="1844"/>
      <c r="R697" s="3649"/>
      <c r="S697" s="2883"/>
      <c r="T697" s="2883"/>
      <c r="U697" s="1844"/>
      <c r="V697" s="1846"/>
    </row>
    <row r="698" spans="1:22" s="1842" customFormat="1">
      <c r="A698" s="1843"/>
      <c r="B698" s="1843"/>
      <c r="C698" s="1844"/>
      <c r="D698" s="1844"/>
      <c r="E698" s="1844"/>
      <c r="F698" s="1845"/>
      <c r="G698" s="1845"/>
      <c r="H698" s="1844"/>
      <c r="I698" s="1844"/>
      <c r="J698" s="1844"/>
      <c r="K698" s="1844"/>
      <c r="L698" s="1844"/>
      <c r="M698" s="1844"/>
      <c r="N698" s="1844"/>
      <c r="O698" s="1844"/>
      <c r="P698" s="1844"/>
      <c r="Q698" s="1844"/>
      <c r="R698" s="3649"/>
      <c r="S698" s="2883"/>
      <c r="T698" s="2883"/>
      <c r="U698" s="1844"/>
      <c r="V698" s="1846"/>
    </row>
    <row r="699" spans="1:22" s="1842" customFormat="1">
      <c r="A699" s="1843"/>
      <c r="B699" s="1843"/>
      <c r="C699" s="1844"/>
      <c r="D699" s="1844"/>
      <c r="E699" s="1844"/>
      <c r="F699" s="1845"/>
      <c r="G699" s="1845"/>
      <c r="H699" s="1844"/>
      <c r="I699" s="1844"/>
      <c r="J699" s="1844"/>
      <c r="K699" s="1844"/>
      <c r="L699" s="1844"/>
      <c r="M699" s="1844"/>
      <c r="N699" s="1844"/>
      <c r="O699" s="1844"/>
      <c r="P699" s="1844"/>
      <c r="Q699" s="1844"/>
      <c r="R699" s="3649"/>
      <c r="S699" s="2883"/>
      <c r="T699" s="2883"/>
      <c r="U699" s="1844"/>
      <c r="V699" s="1846"/>
    </row>
    <row r="700" spans="1:22" s="1842" customFormat="1">
      <c r="A700" s="1843"/>
      <c r="B700" s="1843"/>
      <c r="C700" s="1844"/>
      <c r="D700" s="1844"/>
      <c r="E700" s="1844"/>
      <c r="F700" s="1845"/>
      <c r="G700" s="1845"/>
      <c r="H700" s="1844"/>
      <c r="I700" s="1844"/>
      <c r="J700" s="1844"/>
      <c r="K700" s="1844"/>
      <c r="L700" s="1844"/>
      <c r="M700" s="1844"/>
      <c r="N700" s="1844"/>
      <c r="O700" s="1844"/>
      <c r="P700" s="1844"/>
      <c r="Q700" s="1844"/>
      <c r="R700" s="3649"/>
      <c r="S700" s="2883"/>
      <c r="T700" s="2883"/>
      <c r="U700" s="1844"/>
      <c r="V700" s="1846"/>
    </row>
    <row r="701" spans="1:22" s="1842" customFormat="1">
      <c r="A701" s="1843"/>
      <c r="B701" s="1843"/>
      <c r="C701" s="1844"/>
      <c r="D701" s="1844"/>
      <c r="E701" s="1844"/>
      <c r="F701" s="1845"/>
      <c r="G701" s="1845"/>
      <c r="H701" s="1844"/>
      <c r="I701" s="1844"/>
      <c r="J701" s="1844"/>
      <c r="K701" s="1844"/>
      <c r="L701" s="1844"/>
      <c r="M701" s="1844"/>
      <c r="N701" s="1844"/>
      <c r="O701" s="1844"/>
      <c r="P701" s="1844"/>
      <c r="Q701" s="1844"/>
      <c r="R701" s="3649"/>
      <c r="S701" s="2883"/>
      <c r="T701" s="2883"/>
      <c r="U701" s="1844"/>
      <c r="V701" s="1846"/>
    </row>
    <row r="702" spans="1:22" s="1842" customFormat="1">
      <c r="A702" s="1843"/>
      <c r="B702" s="1843"/>
      <c r="C702" s="1844"/>
      <c r="D702" s="1844"/>
      <c r="E702" s="1844"/>
      <c r="F702" s="1845"/>
      <c r="G702" s="1845"/>
      <c r="H702" s="1844"/>
      <c r="I702" s="1844"/>
      <c r="J702" s="1844"/>
      <c r="K702" s="1844"/>
      <c r="L702" s="1844"/>
      <c r="M702" s="1844"/>
      <c r="N702" s="1844"/>
      <c r="O702" s="1844"/>
      <c r="P702" s="1844"/>
      <c r="Q702" s="1844"/>
      <c r="R702" s="3649"/>
      <c r="S702" s="2883"/>
      <c r="T702" s="2883"/>
      <c r="U702" s="1844"/>
      <c r="V702" s="1846"/>
    </row>
    <row r="703" spans="1:22" s="1842" customFormat="1">
      <c r="A703" s="1843"/>
      <c r="B703" s="1843"/>
      <c r="C703" s="1844"/>
      <c r="D703" s="1844"/>
      <c r="E703" s="1844"/>
      <c r="F703" s="1845"/>
      <c r="G703" s="1845"/>
      <c r="H703" s="1844"/>
      <c r="I703" s="1844"/>
      <c r="J703" s="1844"/>
      <c r="K703" s="1844"/>
      <c r="L703" s="1844"/>
      <c r="M703" s="1844"/>
      <c r="N703" s="1844"/>
      <c r="O703" s="1844"/>
      <c r="P703" s="1844"/>
      <c r="Q703" s="1844"/>
      <c r="R703" s="3649"/>
      <c r="S703" s="2883"/>
      <c r="T703" s="2883"/>
      <c r="U703" s="1844"/>
      <c r="V703" s="1846"/>
    </row>
    <row r="704" spans="1:22" s="1842" customFormat="1">
      <c r="A704" s="1843"/>
      <c r="B704" s="1843"/>
      <c r="C704" s="1844"/>
      <c r="D704" s="1844"/>
      <c r="E704" s="1844"/>
      <c r="F704" s="1845"/>
      <c r="G704" s="1845"/>
      <c r="H704" s="1844"/>
      <c r="I704" s="1844"/>
      <c r="J704" s="1844"/>
      <c r="K704" s="1844"/>
      <c r="L704" s="1844"/>
      <c r="M704" s="1844"/>
      <c r="N704" s="1844"/>
      <c r="O704" s="1844"/>
      <c r="P704" s="1844"/>
      <c r="Q704" s="1844"/>
      <c r="R704" s="3649"/>
      <c r="S704" s="2883"/>
      <c r="T704" s="2883"/>
      <c r="U704" s="1844"/>
      <c r="V704" s="1846"/>
    </row>
    <row r="705" spans="1:22" s="1842" customFormat="1">
      <c r="A705" s="1843"/>
      <c r="B705" s="1843"/>
      <c r="C705" s="1844"/>
      <c r="D705" s="1844"/>
      <c r="E705" s="1844"/>
      <c r="F705" s="1845"/>
      <c r="G705" s="1845"/>
      <c r="H705" s="1844"/>
      <c r="I705" s="1844"/>
      <c r="J705" s="1844"/>
      <c r="K705" s="1844"/>
      <c r="L705" s="1844"/>
      <c r="M705" s="1844"/>
      <c r="N705" s="1844"/>
      <c r="O705" s="1844"/>
      <c r="P705" s="1844"/>
      <c r="Q705" s="1844"/>
      <c r="R705" s="3649"/>
      <c r="S705" s="2883"/>
      <c r="T705" s="2883"/>
      <c r="U705" s="1844"/>
      <c r="V705" s="1846"/>
    </row>
    <row r="706" spans="1:22" s="1842" customFormat="1">
      <c r="A706" s="1843"/>
      <c r="B706" s="1843"/>
      <c r="C706" s="1844"/>
      <c r="D706" s="1844"/>
      <c r="E706" s="1844"/>
      <c r="F706" s="1845"/>
      <c r="G706" s="1845"/>
      <c r="H706" s="1844"/>
      <c r="I706" s="1844"/>
      <c r="J706" s="1844"/>
      <c r="K706" s="1844"/>
      <c r="L706" s="1844"/>
      <c r="M706" s="1844"/>
      <c r="N706" s="1844"/>
      <c r="O706" s="1844"/>
      <c r="P706" s="1844"/>
      <c r="Q706" s="1844"/>
      <c r="R706" s="3649"/>
      <c r="S706" s="2883"/>
      <c r="T706" s="2883"/>
      <c r="U706" s="1844"/>
      <c r="V706" s="1846"/>
    </row>
    <row r="707" spans="1:22" s="1842" customFormat="1">
      <c r="A707" s="1843"/>
      <c r="B707" s="1843"/>
      <c r="C707" s="1844"/>
      <c r="D707" s="1844"/>
      <c r="E707" s="1844"/>
      <c r="F707" s="1845"/>
      <c r="G707" s="1845"/>
      <c r="H707" s="1844"/>
      <c r="I707" s="1844"/>
      <c r="J707" s="1844"/>
      <c r="K707" s="1844"/>
      <c r="L707" s="1844"/>
      <c r="M707" s="1844"/>
      <c r="N707" s="1844"/>
      <c r="O707" s="1844"/>
      <c r="P707" s="1844"/>
      <c r="Q707" s="1844"/>
      <c r="R707" s="3649"/>
      <c r="S707" s="2883"/>
      <c r="T707" s="2883"/>
      <c r="U707" s="1844"/>
      <c r="V707" s="1846"/>
    </row>
    <row r="708" spans="1:22" s="1842" customFormat="1">
      <c r="A708" s="1843"/>
      <c r="B708" s="1843"/>
      <c r="C708" s="1844"/>
      <c r="D708" s="1844"/>
      <c r="E708" s="1844"/>
      <c r="F708" s="1845"/>
      <c r="G708" s="1845"/>
      <c r="H708" s="1844"/>
      <c r="I708" s="1844"/>
      <c r="J708" s="1844"/>
      <c r="K708" s="1844"/>
      <c r="L708" s="1844"/>
      <c r="M708" s="1844"/>
      <c r="N708" s="1844"/>
      <c r="O708" s="1844"/>
      <c r="P708" s="1844"/>
      <c r="Q708" s="1844"/>
      <c r="R708" s="3649"/>
      <c r="S708" s="2883"/>
      <c r="T708" s="2883"/>
      <c r="U708" s="1844"/>
      <c r="V708" s="1846"/>
    </row>
    <row r="709" spans="1:22" s="1842" customFormat="1">
      <c r="A709" s="1843"/>
      <c r="B709" s="1843"/>
      <c r="C709" s="1844"/>
      <c r="D709" s="1844"/>
      <c r="E709" s="1844"/>
      <c r="F709" s="1845"/>
      <c r="G709" s="1845"/>
      <c r="H709" s="1844"/>
      <c r="I709" s="1844"/>
      <c r="J709" s="1844"/>
      <c r="K709" s="1844"/>
      <c r="L709" s="1844"/>
      <c r="M709" s="1844"/>
      <c r="N709" s="1844"/>
      <c r="O709" s="1844"/>
      <c r="P709" s="1844"/>
      <c r="Q709" s="1844"/>
      <c r="R709" s="3649"/>
      <c r="S709" s="2883"/>
      <c r="T709" s="2883"/>
      <c r="U709" s="1844"/>
      <c r="V709" s="1846"/>
    </row>
    <row r="710" spans="1:22" s="1842" customFormat="1">
      <c r="A710" s="1843"/>
      <c r="B710" s="1843"/>
      <c r="C710" s="1844"/>
      <c r="D710" s="1844"/>
      <c r="E710" s="1844"/>
      <c r="F710" s="1845"/>
      <c r="G710" s="1845"/>
      <c r="H710" s="1844"/>
      <c r="I710" s="1844"/>
      <c r="J710" s="1844"/>
      <c r="K710" s="1844"/>
      <c r="L710" s="1844"/>
      <c r="M710" s="1844"/>
      <c r="N710" s="1844"/>
      <c r="O710" s="1844"/>
      <c r="P710" s="1844"/>
      <c r="Q710" s="1844"/>
      <c r="R710" s="3649"/>
      <c r="S710" s="2883"/>
      <c r="T710" s="2883"/>
      <c r="U710" s="1844"/>
      <c r="V710" s="1846"/>
    </row>
    <row r="711" spans="1:22" s="1842" customFormat="1">
      <c r="A711" s="1843"/>
      <c r="B711" s="1843"/>
      <c r="C711" s="1844"/>
      <c r="D711" s="1844"/>
      <c r="E711" s="1844"/>
      <c r="F711" s="1845"/>
      <c r="G711" s="1845"/>
      <c r="H711" s="1844"/>
      <c r="I711" s="1844"/>
      <c r="J711" s="1844"/>
      <c r="K711" s="1844"/>
      <c r="L711" s="1844"/>
      <c r="M711" s="1844"/>
      <c r="N711" s="1844"/>
      <c r="O711" s="1844"/>
      <c r="P711" s="1844"/>
      <c r="Q711" s="1844"/>
      <c r="R711" s="3649"/>
      <c r="S711" s="2883"/>
      <c r="T711" s="2883"/>
      <c r="U711" s="1844"/>
      <c r="V711" s="1846"/>
    </row>
    <row r="712" spans="1:22" s="1842" customFormat="1">
      <c r="A712" s="1843"/>
      <c r="B712" s="1843"/>
      <c r="C712" s="1844"/>
      <c r="D712" s="1844"/>
      <c r="E712" s="1844"/>
      <c r="F712" s="1845"/>
      <c r="G712" s="1845"/>
      <c r="H712" s="1844"/>
      <c r="I712" s="1844"/>
      <c r="J712" s="1844"/>
      <c r="K712" s="1844"/>
      <c r="L712" s="1844"/>
      <c r="M712" s="1844"/>
      <c r="N712" s="1844"/>
      <c r="O712" s="1844"/>
      <c r="P712" s="1844"/>
      <c r="Q712" s="1844"/>
      <c r="R712" s="3649"/>
      <c r="S712" s="2883"/>
      <c r="T712" s="2883"/>
      <c r="U712" s="1844"/>
      <c r="V712" s="1846"/>
    </row>
    <row r="713" spans="1:22" s="1842" customFormat="1">
      <c r="A713" s="1843"/>
      <c r="B713" s="1843"/>
      <c r="C713" s="1844"/>
      <c r="D713" s="1844"/>
      <c r="E713" s="1844"/>
      <c r="F713" s="1845"/>
      <c r="G713" s="1845"/>
      <c r="H713" s="1844"/>
      <c r="I713" s="1844"/>
      <c r="J713" s="1844"/>
      <c r="K713" s="1844"/>
      <c r="L713" s="1844"/>
      <c r="M713" s="1844"/>
      <c r="N713" s="1844"/>
      <c r="O713" s="1844"/>
      <c r="P713" s="1844"/>
      <c r="Q713" s="1844"/>
      <c r="R713" s="3649"/>
      <c r="S713" s="2883"/>
      <c r="T713" s="2883"/>
      <c r="U713" s="1844"/>
      <c r="V713" s="1846"/>
    </row>
    <row r="714" spans="1:22" s="1842" customFormat="1">
      <c r="A714" s="1843"/>
      <c r="B714" s="1843"/>
      <c r="C714" s="1844"/>
      <c r="D714" s="1844"/>
      <c r="E714" s="1844"/>
      <c r="F714" s="1845"/>
      <c r="G714" s="1845"/>
      <c r="H714" s="1844"/>
      <c r="I714" s="1844"/>
      <c r="J714" s="1844"/>
      <c r="K714" s="1844"/>
      <c r="L714" s="1844"/>
      <c r="M714" s="1844"/>
      <c r="N714" s="1844"/>
      <c r="O714" s="1844"/>
      <c r="P714" s="1844"/>
      <c r="Q714" s="1844"/>
      <c r="R714" s="3649"/>
      <c r="S714" s="2883"/>
      <c r="T714" s="2883"/>
      <c r="U714" s="1844"/>
      <c r="V714" s="1846"/>
    </row>
    <row r="715" spans="1:22" s="1842" customFormat="1">
      <c r="A715" s="1843"/>
      <c r="B715" s="1843"/>
      <c r="C715" s="1844"/>
      <c r="D715" s="1844"/>
      <c r="E715" s="1844"/>
      <c r="F715" s="1845"/>
      <c r="G715" s="1845"/>
      <c r="H715" s="1844"/>
      <c r="I715" s="1844"/>
      <c r="J715" s="1844"/>
      <c r="K715" s="1844"/>
      <c r="L715" s="1844"/>
      <c r="M715" s="1844"/>
      <c r="N715" s="1844"/>
      <c r="O715" s="1844"/>
      <c r="P715" s="1844"/>
      <c r="Q715" s="1844"/>
      <c r="R715" s="3649"/>
      <c r="S715" s="2883"/>
      <c r="T715" s="2883"/>
      <c r="U715" s="1844"/>
      <c r="V715" s="1846"/>
    </row>
    <row r="716" spans="1:22" s="1842" customFormat="1">
      <c r="A716" s="1843"/>
      <c r="B716" s="1843"/>
      <c r="C716" s="1844"/>
      <c r="D716" s="1844"/>
      <c r="E716" s="1844"/>
      <c r="F716" s="1845"/>
      <c r="G716" s="1845"/>
      <c r="H716" s="1844"/>
      <c r="I716" s="1844"/>
      <c r="J716" s="1844"/>
      <c r="K716" s="1844"/>
      <c r="L716" s="1844"/>
      <c r="M716" s="1844"/>
      <c r="N716" s="1844"/>
      <c r="O716" s="1844"/>
      <c r="P716" s="1844"/>
      <c r="Q716" s="1844"/>
      <c r="R716" s="3649"/>
      <c r="S716" s="2883"/>
      <c r="T716" s="2883"/>
      <c r="U716" s="1844"/>
      <c r="V716" s="1846"/>
    </row>
    <row r="717" spans="1:22" s="1842" customFormat="1">
      <c r="A717" s="1843"/>
      <c r="B717" s="1843"/>
      <c r="C717" s="1844"/>
      <c r="D717" s="1844"/>
      <c r="E717" s="1844"/>
      <c r="F717" s="1845"/>
      <c r="G717" s="1845"/>
      <c r="H717" s="1844"/>
      <c r="I717" s="1844"/>
      <c r="J717" s="1844"/>
      <c r="K717" s="1844"/>
      <c r="L717" s="1844"/>
      <c r="M717" s="1844"/>
      <c r="N717" s="1844"/>
      <c r="O717" s="1844"/>
      <c r="P717" s="1844"/>
      <c r="Q717" s="1844"/>
      <c r="R717" s="3649"/>
      <c r="S717" s="2883"/>
      <c r="T717" s="2883"/>
      <c r="U717" s="1844"/>
      <c r="V717" s="1846"/>
    </row>
    <row r="718" spans="1:22" s="1842" customFormat="1">
      <c r="A718" s="1843"/>
      <c r="B718" s="1843"/>
      <c r="C718" s="1844"/>
      <c r="D718" s="1844"/>
      <c r="E718" s="1844"/>
      <c r="F718" s="1845"/>
      <c r="G718" s="1845"/>
      <c r="H718" s="1844"/>
      <c r="I718" s="1844"/>
      <c r="J718" s="1844"/>
      <c r="K718" s="1844"/>
      <c r="L718" s="1844"/>
      <c r="M718" s="1844"/>
      <c r="N718" s="1844"/>
      <c r="O718" s="1844"/>
      <c r="P718" s="1844"/>
      <c r="Q718" s="1844"/>
      <c r="R718" s="3649"/>
      <c r="S718" s="2883"/>
      <c r="T718" s="2883"/>
      <c r="U718" s="1844"/>
      <c r="V718" s="1846"/>
    </row>
    <row r="719" spans="1:22" s="1842" customFormat="1">
      <c r="A719" s="1843"/>
      <c r="B719" s="1843"/>
      <c r="C719" s="1844"/>
      <c r="D719" s="1844"/>
      <c r="E719" s="1844"/>
      <c r="F719" s="1845"/>
      <c r="G719" s="1845"/>
      <c r="H719" s="1844"/>
      <c r="I719" s="1844"/>
      <c r="J719" s="1844"/>
      <c r="K719" s="1844"/>
      <c r="L719" s="1844"/>
      <c r="M719" s="1844"/>
      <c r="N719" s="1844"/>
      <c r="O719" s="1844"/>
      <c r="P719" s="1844"/>
      <c r="Q719" s="1844"/>
      <c r="R719" s="3649"/>
      <c r="S719" s="2883"/>
      <c r="T719" s="2883"/>
      <c r="U719" s="1844"/>
      <c r="V719" s="1846"/>
    </row>
    <row r="720" spans="1:22" s="1842" customFormat="1">
      <c r="A720" s="1843"/>
      <c r="B720" s="1843"/>
      <c r="C720" s="1844"/>
      <c r="D720" s="1844"/>
      <c r="E720" s="1844"/>
      <c r="F720" s="1845"/>
      <c r="G720" s="1845"/>
      <c r="H720" s="1844"/>
      <c r="I720" s="1844"/>
      <c r="J720" s="1844"/>
      <c r="K720" s="1844"/>
      <c r="L720" s="1844"/>
      <c r="M720" s="1844"/>
      <c r="N720" s="1844"/>
      <c r="O720" s="1844"/>
      <c r="P720" s="1844"/>
      <c r="Q720" s="1844"/>
      <c r="R720" s="3649"/>
      <c r="S720" s="2883"/>
      <c r="T720" s="2883"/>
      <c r="U720" s="1844"/>
      <c r="V720" s="1846"/>
    </row>
    <row r="721" spans="1:22" s="1842" customFormat="1">
      <c r="A721" s="1843"/>
      <c r="B721" s="1843"/>
      <c r="C721" s="1844"/>
      <c r="D721" s="1844"/>
      <c r="E721" s="1844"/>
      <c r="F721" s="1845"/>
      <c r="G721" s="1845"/>
      <c r="H721" s="1844"/>
      <c r="I721" s="1844"/>
      <c r="J721" s="1844"/>
      <c r="K721" s="1844"/>
      <c r="L721" s="1844"/>
      <c r="M721" s="1844"/>
      <c r="N721" s="1844"/>
      <c r="O721" s="1844"/>
      <c r="P721" s="1844"/>
      <c r="Q721" s="1844"/>
      <c r="R721" s="3649"/>
      <c r="S721" s="2883"/>
      <c r="T721" s="2883"/>
      <c r="U721" s="1844"/>
      <c r="V721" s="1846"/>
    </row>
    <row r="722" spans="1:22" s="1842" customFormat="1">
      <c r="A722" s="1843"/>
      <c r="B722" s="1843"/>
      <c r="C722" s="1844"/>
      <c r="D722" s="1844"/>
      <c r="E722" s="1844"/>
      <c r="F722" s="1845"/>
      <c r="G722" s="1845"/>
      <c r="H722" s="1844"/>
      <c r="I722" s="1844"/>
      <c r="J722" s="1844"/>
      <c r="K722" s="1844"/>
      <c r="L722" s="1844"/>
      <c r="M722" s="1844"/>
      <c r="N722" s="1844"/>
      <c r="O722" s="1844"/>
      <c r="P722" s="1844"/>
      <c r="Q722" s="1844"/>
      <c r="R722" s="3649"/>
      <c r="S722" s="2883"/>
      <c r="T722" s="2883"/>
      <c r="U722" s="1844"/>
      <c r="V722" s="1846"/>
    </row>
    <row r="723" spans="1:22" s="1842" customFormat="1">
      <c r="A723" s="1843"/>
      <c r="B723" s="1843"/>
      <c r="C723" s="1844"/>
      <c r="D723" s="1844"/>
      <c r="E723" s="1844"/>
      <c r="F723" s="1845"/>
      <c r="G723" s="1845"/>
      <c r="H723" s="1844"/>
      <c r="I723" s="1844"/>
      <c r="J723" s="1844"/>
      <c r="K723" s="1844"/>
      <c r="L723" s="1844"/>
      <c r="M723" s="1844"/>
      <c r="N723" s="1844"/>
      <c r="O723" s="1844"/>
      <c r="P723" s="1844"/>
      <c r="Q723" s="1844"/>
      <c r="R723" s="3649"/>
      <c r="S723" s="2883"/>
      <c r="T723" s="2883"/>
      <c r="U723" s="1844"/>
      <c r="V723" s="1846"/>
    </row>
    <row r="724" spans="1:22" s="1842" customFormat="1">
      <c r="A724" s="1843"/>
      <c r="B724" s="1843"/>
      <c r="C724" s="1844"/>
      <c r="D724" s="1844"/>
      <c r="E724" s="1844"/>
      <c r="F724" s="1845"/>
      <c r="G724" s="1845"/>
      <c r="H724" s="1844"/>
      <c r="I724" s="1844"/>
      <c r="J724" s="1844"/>
      <c r="K724" s="1844"/>
      <c r="L724" s="1844"/>
      <c r="M724" s="1844"/>
      <c r="N724" s="1844"/>
      <c r="O724" s="1844"/>
      <c r="P724" s="1844"/>
      <c r="Q724" s="1844"/>
      <c r="R724" s="3649"/>
      <c r="S724" s="2883"/>
      <c r="T724" s="2883"/>
      <c r="U724" s="1844"/>
      <c r="V724" s="1846"/>
    </row>
    <row r="725" spans="1:22" s="1842" customFormat="1">
      <c r="A725" s="1843"/>
      <c r="B725" s="1843"/>
      <c r="C725" s="1844"/>
      <c r="D725" s="1844"/>
      <c r="E725" s="1844"/>
      <c r="F725" s="1845"/>
      <c r="G725" s="1845"/>
      <c r="H725" s="1844"/>
      <c r="I725" s="1844"/>
      <c r="J725" s="1844"/>
      <c r="K725" s="1844"/>
      <c r="L725" s="1844"/>
      <c r="M725" s="1844"/>
      <c r="N725" s="1844"/>
      <c r="O725" s="1844"/>
      <c r="P725" s="1844"/>
      <c r="Q725" s="1844"/>
      <c r="R725" s="3649"/>
      <c r="S725" s="2883"/>
      <c r="T725" s="2883"/>
      <c r="U725" s="1844"/>
      <c r="V725" s="1846"/>
    </row>
    <row r="726" spans="1:22" s="1842" customFormat="1">
      <c r="A726" s="1843"/>
      <c r="B726" s="1843"/>
      <c r="C726" s="1844"/>
      <c r="D726" s="1844"/>
      <c r="E726" s="1844"/>
      <c r="F726" s="1845"/>
      <c r="G726" s="1845"/>
      <c r="H726" s="1844"/>
      <c r="I726" s="1844"/>
      <c r="J726" s="1844"/>
      <c r="K726" s="1844"/>
      <c r="L726" s="1844"/>
      <c r="M726" s="1844"/>
      <c r="N726" s="1844"/>
      <c r="O726" s="1844"/>
      <c r="P726" s="1844"/>
      <c r="Q726" s="1844"/>
      <c r="R726" s="3649"/>
      <c r="S726" s="2883"/>
      <c r="T726" s="2883"/>
      <c r="U726" s="1844"/>
      <c r="V726" s="1846"/>
    </row>
    <row r="727" spans="1:22" s="1842" customFormat="1">
      <c r="A727" s="1843"/>
      <c r="B727" s="1843"/>
      <c r="C727" s="1844"/>
      <c r="D727" s="1844"/>
      <c r="E727" s="1844"/>
      <c r="F727" s="1845"/>
      <c r="G727" s="1845"/>
      <c r="H727" s="1844"/>
      <c r="I727" s="1844"/>
      <c r="J727" s="1844"/>
      <c r="K727" s="1844"/>
      <c r="L727" s="1844"/>
      <c r="M727" s="1844"/>
      <c r="N727" s="1844"/>
      <c r="O727" s="1844"/>
      <c r="P727" s="1844"/>
      <c r="Q727" s="1844"/>
      <c r="R727" s="3649"/>
      <c r="S727" s="2883"/>
      <c r="T727" s="2883"/>
      <c r="U727" s="1844"/>
      <c r="V727" s="1846"/>
    </row>
    <row r="728" spans="1:22" s="1842" customFormat="1">
      <c r="A728" s="1843"/>
      <c r="B728" s="1843"/>
      <c r="C728" s="1844"/>
      <c r="D728" s="1844"/>
      <c r="E728" s="1844"/>
      <c r="F728" s="1845"/>
      <c r="G728" s="1845"/>
      <c r="H728" s="1844"/>
      <c r="I728" s="1844"/>
      <c r="J728" s="1844"/>
      <c r="K728" s="1844"/>
      <c r="L728" s="1844"/>
      <c r="M728" s="1844"/>
      <c r="N728" s="1844"/>
      <c r="O728" s="1844"/>
      <c r="P728" s="1844"/>
      <c r="Q728" s="1844"/>
      <c r="R728" s="3649"/>
      <c r="S728" s="2883"/>
      <c r="T728" s="2883"/>
      <c r="U728" s="1844"/>
      <c r="V728" s="1846"/>
    </row>
    <row r="729" spans="1:22" s="1842" customFormat="1">
      <c r="A729" s="1843"/>
      <c r="B729" s="1843"/>
      <c r="C729" s="1844"/>
      <c r="D729" s="1844"/>
      <c r="E729" s="1844"/>
      <c r="F729" s="1845"/>
      <c r="G729" s="1845"/>
      <c r="H729" s="1844"/>
      <c r="I729" s="1844"/>
      <c r="J729" s="1844"/>
      <c r="K729" s="1844"/>
      <c r="L729" s="1844"/>
      <c r="M729" s="1844"/>
      <c r="N729" s="1844"/>
      <c r="O729" s="1844"/>
      <c r="P729" s="1844"/>
      <c r="Q729" s="1844"/>
      <c r="R729" s="3649"/>
      <c r="S729" s="2883"/>
      <c r="T729" s="2883"/>
      <c r="U729" s="1844"/>
      <c r="V729" s="1846"/>
    </row>
    <row r="730" spans="1:22" s="1842" customFormat="1">
      <c r="A730" s="1843"/>
      <c r="B730" s="1843"/>
      <c r="C730" s="1844"/>
      <c r="D730" s="1844"/>
      <c r="E730" s="1844"/>
      <c r="F730" s="1845"/>
      <c r="G730" s="1845"/>
      <c r="H730" s="1844"/>
      <c r="I730" s="1844"/>
      <c r="J730" s="1844"/>
      <c r="K730" s="1844"/>
      <c r="L730" s="1844"/>
      <c r="M730" s="1844"/>
      <c r="N730" s="1844"/>
      <c r="O730" s="1844"/>
      <c r="P730" s="1844"/>
      <c r="Q730" s="1844"/>
      <c r="R730" s="3649"/>
      <c r="S730" s="2883"/>
      <c r="T730" s="2883"/>
      <c r="U730" s="1844"/>
      <c r="V730" s="1846"/>
    </row>
    <row r="731" spans="1:22" s="1842" customFormat="1">
      <c r="A731" s="1843"/>
      <c r="B731" s="1843"/>
      <c r="C731" s="1844"/>
      <c r="D731" s="1844"/>
      <c r="E731" s="1844"/>
      <c r="F731" s="1845"/>
      <c r="G731" s="1845"/>
      <c r="H731" s="1844"/>
      <c r="I731" s="1844"/>
      <c r="J731" s="1844"/>
      <c r="K731" s="1844"/>
      <c r="L731" s="1844"/>
      <c r="M731" s="1844"/>
      <c r="N731" s="1844"/>
      <c r="O731" s="1844"/>
      <c r="P731" s="1844"/>
      <c r="Q731" s="1844"/>
      <c r="R731" s="3649"/>
      <c r="S731" s="2883"/>
      <c r="T731" s="2883"/>
      <c r="U731" s="1844"/>
      <c r="V731" s="1846"/>
    </row>
    <row r="732" spans="1:22" s="1842" customFormat="1">
      <c r="A732" s="1843"/>
      <c r="B732" s="1843"/>
      <c r="C732" s="1844"/>
      <c r="D732" s="1844"/>
      <c r="E732" s="1844"/>
      <c r="F732" s="1845"/>
      <c r="G732" s="1845"/>
      <c r="H732" s="1844"/>
      <c r="I732" s="1844"/>
      <c r="J732" s="1844"/>
      <c r="K732" s="1844"/>
      <c r="L732" s="1844"/>
      <c r="M732" s="1844"/>
      <c r="N732" s="1844"/>
      <c r="O732" s="1844"/>
      <c r="P732" s="1844"/>
      <c r="Q732" s="1844"/>
      <c r="R732" s="3649"/>
      <c r="S732" s="2883"/>
      <c r="T732" s="2883"/>
      <c r="U732" s="1844"/>
      <c r="V732" s="1846"/>
    </row>
  </sheetData>
  <sheetProtection selectLockedCells="1" selectUnlockedCells="1"/>
  <autoFilter ref="L8:O584"/>
  <mergeCells count="19">
    <mergeCell ref="U5:U6"/>
    <mergeCell ref="A7:E7"/>
    <mergeCell ref="F7:I7"/>
    <mergeCell ref="H478:I478"/>
    <mergeCell ref="A2:R2"/>
    <mergeCell ref="A5:E6"/>
    <mergeCell ref="F5:I6"/>
    <mergeCell ref="J5:J6"/>
    <mergeCell ref="K5:K6"/>
    <mergeCell ref="L5:L6"/>
    <mergeCell ref="M5:O5"/>
    <mergeCell ref="Q5:Q6"/>
    <mergeCell ref="R5:R6"/>
    <mergeCell ref="A3:R3"/>
    <mergeCell ref="A584:I584"/>
    <mergeCell ref="H607:I607"/>
    <mergeCell ref="H636:I636"/>
    <mergeCell ref="S5:S6"/>
    <mergeCell ref="T5:T6"/>
  </mergeCells>
  <pageMargins left="0.51181102362204722" right="0.15748031496062992" top="0.31496062992125984" bottom="0.55118110236220474" header="0.31496062992125984" footer="0.27559055118110237"/>
  <pageSetup paperSize="9" scale="70" orientation="portrait" useFirstPageNumber="1" r:id="rId1"/>
  <headerFooter alignWithMargins="0">
    <oddHeader>Page &amp;P</oddHeader>
    <oddFooter>&amp;L&amp;8Rencana Perubahan Target Tahun 2017 - BAPPENDA NTB&amp;C&amp;7&amp;K02-047&amp;F&amp;D&amp;T&amp;RHal. &amp;P</oddFooter>
  </headerFooter>
  <rowBreaks count="4" manualBreakCount="4">
    <brk id="77" max="17" man="1"/>
    <brk id="237" max="17" man="1"/>
    <brk id="574" max="17" man="1"/>
    <brk id="596" max="17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48</vt:i4>
      </vt:variant>
    </vt:vector>
  </HeadingPairs>
  <TitlesOfParts>
    <vt:vector size="80" baseType="lpstr">
      <vt:lpstr>RINCIAN JENIS RETRIBUSI</vt:lpstr>
      <vt:lpstr>TARGET</vt:lpstr>
      <vt:lpstr>ALL BULAN</vt:lpstr>
      <vt:lpstr>REKAP KOMP</vt:lpstr>
      <vt:lpstr>Sheet4</vt:lpstr>
      <vt:lpstr>rekap perdinas Kua PPAS</vt:lpstr>
      <vt:lpstr>KOM revisi stlh KUA</vt:lpstr>
      <vt:lpstr>Rekap revisi stlh KUA</vt:lpstr>
      <vt:lpstr>Kom Kua PPAS</vt:lpstr>
      <vt:lpstr>Rekap Kua PPAS</vt:lpstr>
      <vt:lpstr>KOM sementara</vt:lpstr>
      <vt:lpstr>rekap sementara</vt:lpstr>
      <vt:lpstr>MAR</vt:lpstr>
      <vt:lpstr>rekap perdinas</vt:lpstr>
      <vt:lpstr>KOM opsi 2</vt:lpstr>
      <vt:lpstr>rekap opsi 2</vt:lpstr>
      <vt:lpstr>KOM opsi 1.</vt:lpstr>
      <vt:lpstr>PERBULAN2</vt:lpstr>
      <vt:lpstr>JAN1</vt:lpstr>
      <vt:lpstr>PerDinas</vt:lpstr>
      <vt:lpstr>PerDinas PEBRUARI</vt:lpstr>
      <vt:lpstr>PerDinas (2)</vt:lpstr>
      <vt:lpstr>rekap opsi 1.</vt:lpstr>
      <vt:lpstr>Chart</vt:lpstr>
      <vt:lpstr>KOM opsi 1</vt:lpstr>
      <vt:lpstr>REKAPOK</vt:lpstr>
      <vt:lpstr>REKAP</vt:lpstr>
      <vt:lpstr>Rekaf SIMDA</vt:lpstr>
      <vt:lpstr>Sheet1</vt:lpstr>
      <vt:lpstr>Sheet3</vt:lpstr>
      <vt:lpstr>Sheet2</vt:lpstr>
      <vt:lpstr>PER-OPD (2)</vt:lpstr>
      <vt:lpstr>'JAN1'!Print_Area</vt:lpstr>
      <vt:lpstr>'Kom Kua PPAS'!Print_Area</vt:lpstr>
      <vt:lpstr>'KOM opsi 1'!Print_Area</vt:lpstr>
      <vt:lpstr>'KOM opsi 1.'!Print_Area</vt:lpstr>
      <vt:lpstr>'KOM opsi 2'!Print_Area</vt:lpstr>
      <vt:lpstr>'KOM revisi stlh KUA'!Print_Area</vt:lpstr>
      <vt:lpstr>'KOM sementara'!Print_Area</vt:lpstr>
      <vt:lpstr>MAR!Print_Area</vt:lpstr>
      <vt:lpstr>PerDinas!Print_Area</vt:lpstr>
      <vt:lpstr>'PerDinas (2)'!Print_Area</vt:lpstr>
      <vt:lpstr>'PerDinas PEBRUARI'!Print_Area</vt:lpstr>
      <vt:lpstr>'PER-OPD (2)'!Print_Area</vt:lpstr>
      <vt:lpstr>REKAP!Print_Area</vt:lpstr>
      <vt:lpstr>'REKAP KOMP'!Print_Area</vt:lpstr>
      <vt:lpstr>'Rekap Kua PPAS'!Print_Area</vt:lpstr>
      <vt:lpstr>'rekap opsi 1.'!Print_Area</vt:lpstr>
      <vt:lpstr>'rekap opsi 2'!Print_Area</vt:lpstr>
      <vt:lpstr>'rekap perdinas'!Print_Area</vt:lpstr>
      <vt:lpstr>'rekap perdinas Kua PPAS'!Print_Area</vt:lpstr>
      <vt:lpstr>'Rekap revisi stlh KUA'!Print_Area</vt:lpstr>
      <vt:lpstr>'rekap sementara'!Print_Area</vt:lpstr>
      <vt:lpstr>REKAPOK!Print_Area</vt:lpstr>
      <vt:lpstr>'RINCIAN JENIS RETRIBUSI'!Print_Area</vt:lpstr>
      <vt:lpstr>TARGET!Print_Area</vt:lpstr>
      <vt:lpstr>'ALL BULAN'!Print_Titles</vt:lpstr>
      <vt:lpstr>'JAN1'!Print_Titles</vt:lpstr>
      <vt:lpstr>'Kom Kua PPAS'!Print_Titles</vt:lpstr>
      <vt:lpstr>'KOM opsi 1'!Print_Titles</vt:lpstr>
      <vt:lpstr>'KOM opsi 1.'!Print_Titles</vt:lpstr>
      <vt:lpstr>'KOM opsi 2'!Print_Titles</vt:lpstr>
      <vt:lpstr>'KOM revisi stlh KUA'!Print_Titles</vt:lpstr>
      <vt:lpstr>'KOM sementara'!Print_Titles</vt:lpstr>
      <vt:lpstr>MAR!Print_Titles</vt:lpstr>
      <vt:lpstr>PerDinas!Print_Titles</vt:lpstr>
      <vt:lpstr>'PerDinas (2)'!Print_Titles</vt:lpstr>
      <vt:lpstr>'PerDinas PEBRUARI'!Print_Titles</vt:lpstr>
      <vt:lpstr>'PER-OPD (2)'!Print_Titles</vt:lpstr>
      <vt:lpstr>'REKAP KOMP'!Print_Titles</vt:lpstr>
      <vt:lpstr>'Rekap Kua PPAS'!Print_Titles</vt:lpstr>
      <vt:lpstr>'rekap opsi 1.'!Print_Titles</vt:lpstr>
      <vt:lpstr>'rekap opsi 2'!Print_Titles</vt:lpstr>
      <vt:lpstr>'rekap perdinas'!Print_Titles</vt:lpstr>
      <vt:lpstr>'rekap perdinas Kua PPAS'!Print_Titles</vt:lpstr>
      <vt:lpstr>'Rekap revisi stlh KUA'!Print_Titles</vt:lpstr>
      <vt:lpstr>'rekap sementara'!Print_Titles</vt:lpstr>
      <vt:lpstr>REKAPOK!Print_Titles</vt:lpstr>
      <vt:lpstr>'RINCIAN JENIS RETRIBUSI'!Print_Titles</vt:lpstr>
      <vt:lpstr>TARGET!Print_Titles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Dipenda</dc:creator>
  <cp:lastModifiedBy>nurma qurniawan</cp:lastModifiedBy>
  <cp:lastPrinted>2020-01-23T07:57:24Z</cp:lastPrinted>
  <dcterms:created xsi:type="dcterms:W3CDTF">2011-05-05T04:52:00Z</dcterms:created>
  <dcterms:modified xsi:type="dcterms:W3CDTF">2020-11-19T02:45:17Z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1033-10.2.0.5811</vt:lpwstr>
  </property>
</Properties>
</file>